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66925"/>
  <xr:revisionPtr revIDLastSave="0" documentId="13_ncr:1_{09666449-0B3D-4AC6-B6CC-AF7A31CE2852}" xr6:coauthVersionLast="47" xr6:coauthVersionMax="47" xr10:uidLastSave="{00000000-0000-0000-0000-000000000000}"/>
  <bookViews>
    <workbookView xWindow="-120" yWindow="-120" windowWidth="29040" windowHeight="15840" firstSheet="1" activeTab="4" xr2:uid="{E9AC1A57-0012-4DC2-9E41-676B81723D94}"/>
  </bookViews>
  <sheets>
    <sheet name="1. Set Program Names" sheetId="4" r:id="rId1"/>
    <sheet name="2. Program Allocation Output" sheetId="1" r:id="rId2"/>
    <sheet name="3. Incentive Adjustment" sheetId="2" r:id="rId3"/>
    <sheet name="View for Selected Program" sheetId="5" r:id="rId4"/>
    <sheet name="Program Metrics" sheetId="3" r:id="rId5"/>
    <sheet name="For Review&amp;Discussion" sheetId="7" state="hidden" r:id="rId6"/>
    <sheet name="2. Program Output_Original" sheetId="8" state="hidden" r:id="rId7"/>
    <sheet name="Participation Adjustment" sheetId="9" state="hidden" r:id="rId8"/>
    <sheet name="Per Unit Values for lighting" sheetId="10" state="hidden" r:id="rId9"/>
    <sheet name="IRA Tax Credits" sheetId="6" state="hidden" r:id="rId10"/>
  </sheets>
  <definedNames>
    <definedName name="_xlnm._FilterDatabase" localSheetId="2" hidden="1">'3. Incentive Adjustment'!$A$1:$F$1</definedName>
    <definedName name="_xlnm._FilterDatabase" localSheetId="9" hidden="1">'IRA Tax Credits'!$A$2:$D$46</definedName>
    <definedName name="Adoption_Scen" localSheetId="6">tbl_Data_old[Adoption_Scen]</definedName>
    <definedName name="Adoption_Scen">tbl_Data[Adoption_Scen]</definedName>
    <definedName name="All_Programs" localSheetId="6">tbl_Data_old[All_Programs]</definedName>
    <definedName name="All_Programs">tbl_Data[Column1]</definedName>
    <definedName name="Avoided_Cost" localSheetId="6">tbl_Data_old[Avoided_Cost_Scenar2]</definedName>
    <definedName name="Avoided_Cost">tbl_Data[Avoided_Cost_Scenar2]</definedName>
    <definedName name="CustomerBase" localSheetId="6">tbl_Data_old[Customer_Base]</definedName>
    <definedName name="CustomerBase">tbl_Data[Customer_Base]</definedName>
    <definedName name="Incentive_Scenario" localSheetId="6">tbl_Data_old[Incentive_Scenario1]</definedName>
    <definedName name="Incentive_Scenario">tbl_Data[Incentive_Scenario1]</definedName>
    <definedName name="MeasureName" localSheetId="6">tbl_Data_old[Trimmed Measure Name]</definedName>
    <definedName name="MeasureName">tbl_Data[Trimmed Measure Name]</definedName>
    <definedName name="UniqueMeasureName" localSheetId="6">tbl_Data_old[[Trimmed Sector]:[Trimmed Measure Name]]</definedName>
    <definedName name="UniqueMeasureName">tbl_Data[[Trimmed Sector]:[Trimmed Measure Name]]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3" i="1" l="1"/>
  <c r="BW3" i="1"/>
  <c r="BX3" i="1"/>
  <c r="BY3" i="1"/>
  <c r="BZ3" i="1"/>
  <c r="CA3" i="1"/>
  <c r="CB3" i="1"/>
  <c r="CC3" i="1"/>
  <c r="CD3" i="1"/>
  <c r="CE3" i="1"/>
  <c r="BV4" i="1"/>
  <c r="BW4" i="1"/>
  <c r="BX4" i="1"/>
  <c r="BY4" i="1"/>
  <c r="BZ4" i="1"/>
  <c r="CA4" i="1"/>
  <c r="CB4" i="1"/>
  <c r="CC4" i="1"/>
  <c r="CD4" i="1"/>
  <c r="CE4" i="1"/>
  <c r="BV5" i="1"/>
  <c r="BW5" i="1"/>
  <c r="BX5" i="1"/>
  <c r="BY5" i="1"/>
  <c r="BZ5" i="1"/>
  <c r="CA5" i="1"/>
  <c r="CB5" i="1"/>
  <c r="CC5" i="1"/>
  <c r="CD5" i="1"/>
  <c r="CE5" i="1"/>
  <c r="BV6" i="1"/>
  <c r="BW6" i="1"/>
  <c r="BX6" i="1"/>
  <c r="BY6" i="1"/>
  <c r="BZ6" i="1"/>
  <c r="CA6" i="1"/>
  <c r="CB6" i="1"/>
  <c r="CC6" i="1"/>
  <c r="CD6" i="1"/>
  <c r="CE6" i="1"/>
  <c r="BV7" i="1"/>
  <c r="BW7" i="1"/>
  <c r="BX7" i="1"/>
  <c r="BY7" i="1"/>
  <c r="BZ7" i="1"/>
  <c r="CA7" i="1"/>
  <c r="CB7" i="1"/>
  <c r="CC7" i="1"/>
  <c r="CD7" i="1"/>
  <c r="CE7" i="1"/>
  <c r="BV8" i="1"/>
  <c r="BW8" i="1"/>
  <c r="BX8" i="1"/>
  <c r="BY8" i="1"/>
  <c r="BZ8" i="1"/>
  <c r="CA8" i="1"/>
  <c r="CB8" i="1"/>
  <c r="CC8" i="1"/>
  <c r="CD8" i="1"/>
  <c r="CE8" i="1"/>
  <c r="BV9" i="1"/>
  <c r="BW9" i="1"/>
  <c r="BX9" i="1"/>
  <c r="BY9" i="1"/>
  <c r="BZ9" i="1"/>
  <c r="CA9" i="1"/>
  <c r="CB9" i="1"/>
  <c r="CC9" i="1"/>
  <c r="CD9" i="1"/>
  <c r="CE9" i="1"/>
  <c r="BV10" i="1"/>
  <c r="BW10" i="1"/>
  <c r="BX10" i="1"/>
  <c r="BY10" i="1"/>
  <c r="BZ10" i="1"/>
  <c r="CA10" i="1"/>
  <c r="CB10" i="1"/>
  <c r="CC10" i="1"/>
  <c r="CD10" i="1"/>
  <c r="CE10" i="1"/>
  <c r="BV11" i="1"/>
  <c r="BW11" i="1"/>
  <c r="BX11" i="1"/>
  <c r="BY11" i="1"/>
  <c r="BZ11" i="1"/>
  <c r="CA11" i="1"/>
  <c r="CB11" i="1"/>
  <c r="CC11" i="1"/>
  <c r="CD11" i="1"/>
  <c r="CE11" i="1"/>
  <c r="BV12" i="1"/>
  <c r="BW12" i="1"/>
  <c r="BX12" i="1"/>
  <c r="BY12" i="1"/>
  <c r="BZ12" i="1"/>
  <c r="CA12" i="1"/>
  <c r="CB12" i="1"/>
  <c r="CC12" i="1"/>
  <c r="CD12" i="1"/>
  <c r="CE12" i="1"/>
  <c r="BV13" i="1"/>
  <c r="BW13" i="1"/>
  <c r="BX13" i="1"/>
  <c r="BY13" i="1"/>
  <c r="BZ13" i="1"/>
  <c r="CA13" i="1"/>
  <c r="CB13" i="1"/>
  <c r="CC13" i="1"/>
  <c r="CD13" i="1"/>
  <c r="CE13" i="1"/>
  <c r="BV14" i="1"/>
  <c r="BW14" i="1"/>
  <c r="BX14" i="1"/>
  <c r="BY14" i="1"/>
  <c r="BZ14" i="1"/>
  <c r="CA14" i="1"/>
  <c r="CB14" i="1"/>
  <c r="CC14" i="1"/>
  <c r="CD14" i="1"/>
  <c r="CE14" i="1"/>
  <c r="BV15" i="1"/>
  <c r="BW15" i="1"/>
  <c r="BX15" i="1"/>
  <c r="BY15" i="1"/>
  <c r="BZ15" i="1"/>
  <c r="CA15" i="1"/>
  <c r="CB15" i="1"/>
  <c r="CC15" i="1"/>
  <c r="CD15" i="1"/>
  <c r="CE15" i="1"/>
  <c r="BV16" i="1"/>
  <c r="BW16" i="1"/>
  <c r="BX16" i="1"/>
  <c r="BY16" i="1"/>
  <c r="BZ16" i="1"/>
  <c r="CA16" i="1"/>
  <c r="CB16" i="1"/>
  <c r="CC16" i="1"/>
  <c r="CD16" i="1"/>
  <c r="CE16" i="1"/>
  <c r="BV17" i="1"/>
  <c r="BW17" i="1"/>
  <c r="BX17" i="1"/>
  <c r="BY17" i="1"/>
  <c r="BZ17" i="1"/>
  <c r="CA17" i="1"/>
  <c r="CB17" i="1"/>
  <c r="CC17" i="1"/>
  <c r="CD17" i="1"/>
  <c r="CE17" i="1"/>
  <c r="BV18" i="1"/>
  <c r="BW18" i="1"/>
  <c r="BX18" i="1"/>
  <c r="BY18" i="1"/>
  <c r="BZ18" i="1"/>
  <c r="CA18" i="1"/>
  <c r="CB18" i="1"/>
  <c r="CC18" i="1"/>
  <c r="CD18" i="1"/>
  <c r="CE18" i="1"/>
  <c r="BV19" i="1"/>
  <c r="BW19" i="1"/>
  <c r="BX19" i="1"/>
  <c r="BY19" i="1"/>
  <c r="BZ19" i="1"/>
  <c r="CA19" i="1"/>
  <c r="CB19" i="1"/>
  <c r="CC19" i="1"/>
  <c r="CD19" i="1"/>
  <c r="CE19" i="1"/>
  <c r="BV20" i="1"/>
  <c r="BW20" i="1"/>
  <c r="BX20" i="1"/>
  <c r="BY20" i="1"/>
  <c r="BZ20" i="1"/>
  <c r="CA20" i="1"/>
  <c r="CB20" i="1"/>
  <c r="CC20" i="1"/>
  <c r="CD20" i="1"/>
  <c r="CE20" i="1"/>
  <c r="BV21" i="1"/>
  <c r="BW21" i="1"/>
  <c r="BX21" i="1"/>
  <c r="BY21" i="1"/>
  <c r="BZ21" i="1"/>
  <c r="CA21" i="1"/>
  <c r="CB21" i="1"/>
  <c r="CC21" i="1"/>
  <c r="CD21" i="1"/>
  <c r="CE21" i="1"/>
  <c r="BV22" i="1"/>
  <c r="BW22" i="1"/>
  <c r="BX22" i="1"/>
  <c r="BY22" i="1"/>
  <c r="BZ22" i="1"/>
  <c r="CA22" i="1"/>
  <c r="CB22" i="1"/>
  <c r="CC22" i="1"/>
  <c r="CD22" i="1"/>
  <c r="CE22" i="1"/>
  <c r="BV23" i="1"/>
  <c r="BW23" i="1"/>
  <c r="BX23" i="1"/>
  <c r="BY23" i="1"/>
  <c r="BZ23" i="1"/>
  <c r="CA23" i="1"/>
  <c r="CB23" i="1"/>
  <c r="CC23" i="1"/>
  <c r="CD23" i="1"/>
  <c r="CE23" i="1"/>
  <c r="BV24" i="1"/>
  <c r="BW24" i="1"/>
  <c r="BX24" i="1"/>
  <c r="BY24" i="1"/>
  <c r="BZ24" i="1"/>
  <c r="CA24" i="1"/>
  <c r="CB24" i="1"/>
  <c r="CC24" i="1"/>
  <c r="CD24" i="1"/>
  <c r="CE24" i="1"/>
  <c r="BV25" i="1"/>
  <c r="BW25" i="1"/>
  <c r="BX25" i="1"/>
  <c r="BY25" i="1"/>
  <c r="BZ25" i="1"/>
  <c r="CA25" i="1"/>
  <c r="CB25" i="1"/>
  <c r="CC25" i="1"/>
  <c r="CD25" i="1"/>
  <c r="CE25" i="1"/>
  <c r="BV26" i="1"/>
  <c r="BW26" i="1"/>
  <c r="BX26" i="1"/>
  <c r="BY26" i="1"/>
  <c r="BZ26" i="1"/>
  <c r="CA26" i="1"/>
  <c r="CB26" i="1"/>
  <c r="CC26" i="1"/>
  <c r="CD26" i="1"/>
  <c r="CE26" i="1"/>
  <c r="BV27" i="1"/>
  <c r="BW27" i="1"/>
  <c r="BX27" i="1"/>
  <c r="BY27" i="1"/>
  <c r="BZ27" i="1"/>
  <c r="CA27" i="1"/>
  <c r="CB27" i="1"/>
  <c r="CC27" i="1"/>
  <c r="CD27" i="1"/>
  <c r="CE27" i="1"/>
  <c r="BV28" i="1"/>
  <c r="BW28" i="1"/>
  <c r="BX28" i="1"/>
  <c r="BY28" i="1"/>
  <c r="BZ28" i="1"/>
  <c r="CA28" i="1"/>
  <c r="CB28" i="1"/>
  <c r="CC28" i="1"/>
  <c r="CD28" i="1"/>
  <c r="CE28" i="1"/>
  <c r="BV29" i="1"/>
  <c r="BW29" i="1"/>
  <c r="BX29" i="1"/>
  <c r="BY29" i="1"/>
  <c r="BZ29" i="1"/>
  <c r="CA29" i="1"/>
  <c r="CB29" i="1"/>
  <c r="CC29" i="1"/>
  <c r="CD29" i="1"/>
  <c r="CE29" i="1"/>
  <c r="BV30" i="1"/>
  <c r="BW30" i="1"/>
  <c r="BX30" i="1"/>
  <c r="BY30" i="1"/>
  <c r="BZ30" i="1"/>
  <c r="CA30" i="1"/>
  <c r="CB30" i="1"/>
  <c r="CC30" i="1"/>
  <c r="CD30" i="1"/>
  <c r="CE30" i="1"/>
  <c r="BV31" i="1"/>
  <c r="BW31" i="1"/>
  <c r="BX31" i="1"/>
  <c r="BY31" i="1"/>
  <c r="BZ31" i="1"/>
  <c r="CA31" i="1"/>
  <c r="CB31" i="1"/>
  <c r="CC31" i="1"/>
  <c r="CD31" i="1"/>
  <c r="CE31" i="1"/>
  <c r="BV32" i="1"/>
  <c r="BW32" i="1"/>
  <c r="BX32" i="1"/>
  <c r="BY32" i="1"/>
  <c r="BZ32" i="1"/>
  <c r="CA32" i="1"/>
  <c r="CB32" i="1"/>
  <c r="CC32" i="1"/>
  <c r="CD32" i="1"/>
  <c r="CE32" i="1"/>
  <c r="BV33" i="1"/>
  <c r="BW33" i="1"/>
  <c r="BX33" i="1"/>
  <c r="BY33" i="1"/>
  <c r="BZ33" i="1"/>
  <c r="CA33" i="1"/>
  <c r="CB33" i="1"/>
  <c r="CC33" i="1"/>
  <c r="CD33" i="1"/>
  <c r="CE33" i="1"/>
  <c r="BV34" i="1"/>
  <c r="BW34" i="1"/>
  <c r="BX34" i="1"/>
  <c r="BY34" i="1"/>
  <c r="BZ34" i="1"/>
  <c r="CA34" i="1"/>
  <c r="CB34" i="1"/>
  <c r="CC34" i="1"/>
  <c r="CD34" i="1"/>
  <c r="CE34" i="1"/>
  <c r="BV35" i="1"/>
  <c r="BW35" i="1"/>
  <c r="BX35" i="1"/>
  <c r="BY35" i="1"/>
  <c r="BZ35" i="1"/>
  <c r="CA35" i="1"/>
  <c r="CB35" i="1"/>
  <c r="CC35" i="1"/>
  <c r="CD35" i="1"/>
  <c r="CE35" i="1"/>
  <c r="BV36" i="1"/>
  <c r="BW36" i="1"/>
  <c r="BX36" i="1"/>
  <c r="BY36" i="1"/>
  <c r="BZ36" i="1"/>
  <c r="CA36" i="1"/>
  <c r="CB36" i="1"/>
  <c r="CC36" i="1"/>
  <c r="CD36" i="1"/>
  <c r="CE36" i="1"/>
  <c r="BV37" i="1"/>
  <c r="BW37" i="1"/>
  <c r="BX37" i="1"/>
  <c r="BY37" i="1"/>
  <c r="BZ37" i="1"/>
  <c r="CA37" i="1"/>
  <c r="CB37" i="1"/>
  <c r="CC37" i="1"/>
  <c r="CD37" i="1"/>
  <c r="CE37" i="1"/>
  <c r="BV38" i="1"/>
  <c r="BW38" i="1"/>
  <c r="BX38" i="1"/>
  <c r="BY38" i="1"/>
  <c r="BZ38" i="1"/>
  <c r="CA38" i="1"/>
  <c r="CB38" i="1"/>
  <c r="CC38" i="1"/>
  <c r="CD38" i="1"/>
  <c r="CE38" i="1"/>
  <c r="BV39" i="1"/>
  <c r="BW39" i="1"/>
  <c r="BX39" i="1"/>
  <c r="BY39" i="1"/>
  <c r="BZ39" i="1"/>
  <c r="CA39" i="1"/>
  <c r="CB39" i="1"/>
  <c r="CC39" i="1"/>
  <c r="CD39" i="1"/>
  <c r="CE39" i="1"/>
  <c r="BV40" i="1"/>
  <c r="BW40" i="1"/>
  <c r="BX40" i="1"/>
  <c r="BY40" i="1"/>
  <c r="BZ40" i="1"/>
  <c r="CA40" i="1"/>
  <c r="CB40" i="1"/>
  <c r="CC40" i="1"/>
  <c r="CD40" i="1"/>
  <c r="CE40" i="1"/>
  <c r="BV41" i="1"/>
  <c r="BW41" i="1"/>
  <c r="BX41" i="1"/>
  <c r="BY41" i="1"/>
  <c r="BZ41" i="1"/>
  <c r="CA41" i="1"/>
  <c r="CB41" i="1"/>
  <c r="CC41" i="1"/>
  <c r="CD41" i="1"/>
  <c r="CE41" i="1"/>
  <c r="BV42" i="1"/>
  <c r="BW42" i="1"/>
  <c r="BX42" i="1"/>
  <c r="BY42" i="1"/>
  <c r="BZ42" i="1"/>
  <c r="CA42" i="1"/>
  <c r="CB42" i="1"/>
  <c r="CC42" i="1"/>
  <c r="CD42" i="1"/>
  <c r="CE42" i="1"/>
  <c r="BV43" i="1"/>
  <c r="BW43" i="1"/>
  <c r="BX43" i="1"/>
  <c r="BY43" i="1"/>
  <c r="BZ43" i="1"/>
  <c r="CA43" i="1"/>
  <c r="CB43" i="1"/>
  <c r="CC43" i="1"/>
  <c r="CD43" i="1"/>
  <c r="CE43" i="1"/>
  <c r="BV44" i="1"/>
  <c r="BW44" i="1"/>
  <c r="BX44" i="1"/>
  <c r="BY44" i="1"/>
  <c r="BZ44" i="1"/>
  <c r="CA44" i="1"/>
  <c r="CB44" i="1"/>
  <c r="CC44" i="1"/>
  <c r="CD44" i="1"/>
  <c r="CE44" i="1"/>
  <c r="BV45" i="1"/>
  <c r="BW45" i="1"/>
  <c r="BX45" i="1"/>
  <c r="BY45" i="1"/>
  <c r="BZ45" i="1"/>
  <c r="CA45" i="1"/>
  <c r="CB45" i="1"/>
  <c r="CC45" i="1"/>
  <c r="CD45" i="1"/>
  <c r="CE45" i="1"/>
  <c r="BV46" i="1"/>
  <c r="BW46" i="1"/>
  <c r="BX46" i="1"/>
  <c r="BY46" i="1"/>
  <c r="BZ46" i="1"/>
  <c r="CA46" i="1"/>
  <c r="CB46" i="1"/>
  <c r="CC46" i="1"/>
  <c r="CD46" i="1"/>
  <c r="CE46" i="1"/>
  <c r="BV47" i="1"/>
  <c r="BW47" i="1"/>
  <c r="BX47" i="1"/>
  <c r="BY47" i="1"/>
  <c r="BZ47" i="1"/>
  <c r="CA47" i="1"/>
  <c r="CB47" i="1"/>
  <c r="CC47" i="1"/>
  <c r="CD47" i="1"/>
  <c r="CE47" i="1"/>
  <c r="BV48" i="1"/>
  <c r="BW48" i="1"/>
  <c r="BX48" i="1"/>
  <c r="BY48" i="1"/>
  <c r="BZ48" i="1"/>
  <c r="CA48" i="1"/>
  <c r="CB48" i="1"/>
  <c r="CC48" i="1"/>
  <c r="CD48" i="1"/>
  <c r="CE48" i="1"/>
  <c r="BV49" i="1"/>
  <c r="BW49" i="1"/>
  <c r="BX49" i="1"/>
  <c r="BY49" i="1"/>
  <c r="BZ49" i="1"/>
  <c r="CA49" i="1"/>
  <c r="CB49" i="1"/>
  <c r="CC49" i="1"/>
  <c r="CD49" i="1"/>
  <c r="CE49" i="1"/>
  <c r="BV50" i="1"/>
  <c r="BW50" i="1"/>
  <c r="BX50" i="1"/>
  <c r="BY50" i="1"/>
  <c r="BZ50" i="1"/>
  <c r="CA50" i="1"/>
  <c r="CB50" i="1"/>
  <c r="CC50" i="1"/>
  <c r="CD50" i="1"/>
  <c r="CE50" i="1"/>
  <c r="BV51" i="1"/>
  <c r="BW51" i="1"/>
  <c r="BX51" i="1"/>
  <c r="BY51" i="1"/>
  <c r="BZ51" i="1"/>
  <c r="CA51" i="1"/>
  <c r="CB51" i="1"/>
  <c r="CC51" i="1"/>
  <c r="CD51" i="1"/>
  <c r="CE51" i="1"/>
  <c r="BV52" i="1"/>
  <c r="BW52" i="1"/>
  <c r="BX52" i="1"/>
  <c r="BY52" i="1"/>
  <c r="BZ52" i="1"/>
  <c r="CA52" i="1"/>
  <c r="CB52" i="1"/>
  <c r="CC52" i="1"/>
  <c r="CD52" i="1"/>
  <c r="CE52" i="1"/>
  <c r="BV53" i="1"/>
  <c r="BW53" i="1"/>
  <c r="BX53" i="1"/>
  <c r="BY53" i="1"/>
  <c r="BZ53" i="1"/>
  <c r="CA53" i="1"/>
  <c r="CB53" i="1"/>
  <c r="CC53" i="1"/>
  <c r="CD53" i="1"/>
  <c r="CE53" i="1"/>
  <c r="BV54" i="1"/>
  <c r="BW54" i="1"/>
  <c r="BX54" i="1"/>
  <c r="BY54" i="1"/>
  <c r="BZ54" i="1"/>
  <c r="CA54" i="1"/>
  <c r="CB54" i="1"/>
  <c r="CC54" i="1"/>
  <c r="CD54" i="1"/>
  <c r="CE54" i="1"/>
  <c r="BV55" i="1"/>
  <c r="BW55" i="1"/>
  <c r="BX55" i="1"/>
  <c r="BY55" i="1"/>
  <c r="BZ55" i="1"/>
  <c r="CA55" i="1"/>
  <c r="CB55" i="1"/>
  <c r="CC55" i="1"/>
  <c r="CD55" i="1"/>
  <c r="CE55" i="1"/>
  <c r="BV56" i="1"/>
  <c r="BW56" i="1"/>
  <c r="BX56" i="1"/>
  <c r="BY56" i="1"/>
  <c r="BZ56" i="1"/>
  <c r="CA56" i="1"/>
  <c r="CB56" i="1"/>
  <c r="CC56" i="1"/>
  <c r="CD56" i="1"/>
  <c r="CE56" i="1"/>
  <c r="BV57" i="1"/>
  <c r="BW57" i="1"/>
  <c r="BX57" i="1"/>
  <c r="BY57" i="1"/>
  <c r="BZ57" i="1"/>
  <c r="CA57" i="1"/>
  <c r="CB57" i="1"/>
  <c r="CC57" i="1"/>
  <c r="CD57" i="1"/>
  <c r="CE57" i="1"/>
  <c r="BV58" i="1"/>
  <c r="BW58" i="1"/>
  <c r="BX58" i="1"/>
  <c r="BY58" i="1"/>
  <c r="BZ58" i="1"/>
  <c r="CA58" i="1"/>
  <c r="CB58" i="1"/>
  <c r="CC58" i="1"/>
  <c r="CD58" i="1"/>
  <c r="CE58" i="1"/>
  <c r="BV59" i="1"/>
  <c r="BW59" i="1"/>
  <c r="BX59" i="1"/>
  <c r="BY59" i="1"/>
  <c r="BZ59" i="1"/>
  <c r="CA59" i="1"/>
  <c r="CB59" i="1"/>
  <c r="CC59" i="1"/>
  <c r="CD59" i="1"/>
  <c r="CE59" i="1"/>
  <c r="BV60" i="1"/>
  <c r="BW60" i="1"/>
  <c r="BX60" i="1"/>
  <c r="BY60" i="1"/>
  <c r="BZ60" i="1"/>
  <c r="CA60" i="1"/>
  <c r="CB60" i="1"/>
  <c r="CC60" i="1"/>
  <c r="CD60" i="1"/>
  <c r="CE60" i="1"/>
  <c r="BV61" i="1"/>
  <c r="BW61" i="1"/>
  <c r="BX61" i="1"/>
  <c r="BY61" i="1"/>
  <c r="BZ61" i="1"/>
  <c r="CA61" i="1"/>
  <c r="CB61" i="1"/>
  <c r="CC61" i="1"/>
  <c r="CD61" i="1"/>
  <c r="CE61" i="1"/>
  <c r="BV62" i="1"/>
  <c r="BW62" i="1"/>
  <c r="BX62" i="1"/>
  <c r="BY62" i="1"/>
  <c r="BZ62" i="1"/>
  <c r="CA62" i="1"/>
  <c r="CB62" i="1"/>
  <c r="CC62" i="1"/>
  <c r="CD62" i="1"/>
  <c r="CE62" i="1"/>
  <c r="BV63" i="1"/>
  <c r="BW63" i="1"/>
  <c r="BX63" i="1"/>
  <c r="BY63" i="1"/>
  <c r="BZ63" i="1"/>
  <c r="CA63" i="1"/>
  <c r="CB63" i="1"/>
  <c r="CC63" i="1"/>
  <c r="CD63" i="1"/>
  <c r="CE63" i="1"/>
  <c r="BV64" i="1"/>
  <c r="BW64" i="1"/>
  <c r="BX64" i="1"/>
  <c r="BY64" i="1"/>
  <c r="BZ64" i="1"/>
  <c r="CA64" i="1"/>
  <c r="CB64" i="1"/>
  <c r="CC64" i="1"/>
  <c r="CD64" i="1"/>
  <c r="CE64" i="1"/>
  <c r="BV65" i="1"/>
  <c r="BW65" i="1"/>
  <c r="BX65" i="1"/>
  <c r="BY65" i="1"/>
  <c r="BZ65" i="1"/>
  <c r="CA65" i="1"/>
  <c r="CB65" i="1"/>
  <c r="CC65" i="1"/>
  <c r="CD65" i="1"/>
  <c r="CE65" i="1"/>
  <c r="BV66" i="1"/>
  <c r="BW66" i="1"/>
  <c r="BX66" i="1"/>
  <c r="BY66" i="1"/>
  <c r="BZ66" i="1"/>
  <c r="CA66" i="1"/>
  <c r="CB66" i="1"/>
  <c r="CC66" i="1"/>
  <c r="CD66" i="1"/>
  <c r="CE66" i="1"/>
  <c r="BV67" i="1"/>
  <c r="BW67" i="1"/>
  <c r="BX67" i="1"/>
  <c r="BY67" i="1"/>
  <c r="BZ67" i="1"/>
  <c r="CA67" i="1"/>
  <c r="CB67" i="1"/>
  <c r="CC67" i="1"/>
  <c r="CD67" i="1"/>
  <c r="CE67" i="1"/>
  <c r="BV68" i="1"/>
  <c r="BW68" i="1"/>
  <c r="BX68" i="1"/>
  <c r="BY68" i="1"/>
  <c r="BZ68" i="1"/>
  <c r="CA68" i="1"/>
  <c r="CB68" i="1"/>
  <c r="CC68" i="1"/>
  <c r="CD68" i="1"/>
  <c r="CE68" i="1"/>
  <c r="BV69" i="1"/>
  <c r="BW69" i="1"/>
  <c r="BX69" i="1"/>
  <c r="BY69" i="1"/>
  <c r="BZ69" i="1"/>
  <c r="CA69" i="1"/>
  <c r="CB69" i="1"/>
  <c r="CC69" i="1"/>
  <c r="CD69" i="1"/>
  <c r="CE69" i="1"/>
  <c r="BV70" i="1"/>
  <c r="BW70" i="1"/>
  <c r="BX70" i="1"/>
  <c r="BY70" i="1"/>
  <c r="BZ70" i="1"/>
  <c r="CA70" i="1"/>
  <c r="CB70" i="1"/>
  <c r="CC70" i="1"/>
  <c r="CD70" i="1"/>
  <c r="CE70" i="1"/>
  <c r="BV71" i="1"/>
  <c r="BW71" i="1"/>
  <c r="BX71" i="1"/>
  <c r="BY71" i="1"/>
  <c r="BZ71" i="1"/>
  <c r="CA71" i="1"/>
  <c r="CB71" i="1"/>
  <c r="CC71" i="1"/>
  <c r="CD71" i="1"/>
  <c r="CE71" i="1"/>
  <c r="BV72" i="1"/>
  <c r="BW72" i="1"/>
  <c r="BX72" i="1"/>
  <c r="BY72" i="1"/>
  <c r="BZ72" i="1"/>
  <c r="CA72" i="1"/>
  <c r="CB72" i="1"/>
  <c r="CC72" i="1"/>
  <c r="CD72" i="1"/>
  <c r="CE72" i="1"/>
  <c r="BV73" i="1"/>
  <c r="BW73" i="1"/>
  <c r="BX73" i="1"/>
  <c r="BY73" i="1"/>
  <c r="BZ73" i="1"/>
  <c r="CA73" i="1"/>
  <c r="CB73" i="1"/>
  <c r="CC73" i="1"/>
  <c r="CD73" i="1"/>
  <c r="CE73" i="1"/>
  <c r="BV74" i="1"/>
  <c r="BW74" i="1"/>
  <c r="BX74" i="1"/>
  <c r="BY74" i="1"/>
  <c r="BZ74" i="1"/>
  <c r="CA74" i="1"/>
  <c r="CB74" i="1"/>
  <c r="CC74" i="1"/>
  <c r="CD74" i="1"/>
  <c r="CE74" i="1"/>
  <c r="BV75" i="1"/>
  <c r="BW75" i="1"/>
  <c r="BX75" i="1"/>
  <c r="BY75" i="1"/>
  <c r="BZ75" i="1"/>
  <c r="CA75" i="1"/>
  <c r="CB75" i="1"/>
  <c r="CC75" i="1"/>
  <c r="CD75" i="1"/>
  <c r="CE75" i="1"/>
  <c r="BV76" i="1"/>
  <c r="BW76" i="1"/>
  <c r="BX76" i="1"/>
  <c r="BY76" i="1"/>
  <c r="BZ76" i="1"/>
  <c r="CA76" i="1"/>
  <c r="CB76" i="1"/>
  <c r="CC76" i="1"/>
  <c r="CD76" i="1"/>
  <c r="CE76" i="1"/>
  <c r="BV77" i="1"/>
  <c r="BW77" i="1"/>
  <c r="BX77" i="1"/>
  <c r="BY77" i="1"/>
  <c r="BZ77" i="1"/>
  <c r="CA77" i="1"/>
  <c r="CB77" i="1"/>
  <c r="CC77" i="1"/>
  <c r="CD77" i="1"/>
  <c r="CE77" i="1"/>
  <c r="BV78" i="1"/>
  <c r="BW78" i="1"/>
  <c r="BX78" i="1"/>
  <c r="BY78" i="1"/>
  <c r="BZ78" i="1"/>
  <c r="CA78" i="1"/>
  <c r="CB78" i="1"/>
  <c r="CC78" i="1"/>
  <c r="CD78" i="1"/>
  <c r="CE78" i="1"/>
  <c r="BV79" i="1"/>
  <c r="BW79" i="1"/>
  <c r="BX79" i="1"/>
  <c r="BY79" i="1"/>
  <c r="BZ79" i="1"/>
  <c r="CA79" i="1"/>
  <c r="CB79" i="1"/>
  <c r="CC79" i="1"/>
  <c r="CD79" i="1"/>
  <c r="CE79" i="1"/>
  <c r="BV80" i="1"/>
  <c r="BW80" i="1"/>
  <c r="BX80" i="1"/>
  <c r="BY80" i="1"/>
  <c r="BZ80" i="1"/>
  <c r="CA80" i="1"/>
  <c r="CB80" i="1"/>
  <c r="CC80" i="1"/>
  <c r="CD80" i="1"/>
  <c r="CE80" i="1"/>
  <c r="BV81" i="1"/>
  <c r="BW81" i="1"/>
  <c r="BX81" i="1"/>
  <c r="BY81" i="1"/>
  <c r="BZ81" i="1"/>
  <c r="CA81" i="1"/>
  <c r="CB81" i="1"/>
  <c r="CC81" i="1"/>
  <c r="CD81" i="1"/>
  <c r="CE81" i="1"/>
  <c r="BV82" i="1"/>
  <c r="BW82" i="1"/>
  <c r="BX82" i="1"/>
  <c r="BY82" i="1"/>
  <c r="BZ82" i="1"/>
  <c r="CA82" i="1"/>
  <c r="CB82" i="1"/>
  <c r="CC82" i="1"/>
  <c r="CD82" i="1"/>
  <c r="CE82" i="1"/>
  <c r="BV83" i="1"/>
  <c r="BW83" i="1"/>
  <c r="BX83" i="1"/>
  <c r="BY83" i="1"/>
  <c r="BZ83" i="1"/>
  <c r="CA83" i="1"/>
  <c r="CB83" i="1"/>
  <c r="CC83" i="1"/>
  <c r="CD83" i="1"/>
  <c r="CE83" i="1"/>
  <c r="BV84" i="1"/>
  <c r="BW84" i="1"/>
  <c r="BX84" i="1"/>
  <c r="BY84" i="1"/>
  <c r="BZ84" i="1"/>
  <c r="CA84" i="1"/>
  <c r="CB84" i="1"/>
  <c r="CC84" i="1"/>
  <c r="CD84" i="1"/>
  <c r="CE84" i="1"/>
  <c r="BV85" i="1"/>
  <c r="BW85" i="1"/>
  <c r="BX85" i="1"/>
  <c r="BY85" i="1"/>
  <c r="BZ85" i="1"/>
  <c r="CA85" i="1"/>
  <c r="CB85" i="1"/>
  <c r="CC85" i="1"/>
  <c r="CD85" i="1"/>
  <c r="CE85" i="1"/>
  <c r="BV86" i="1"/>
  <c r="BW86" i="1"/>
  <c r="BX86" i="1"/>
  <c r="BY86" i="1"/>
  <c r="BZ86" i="1"/>
  <c r="CA86" i="1"/>
  <c r="CB86" i="1"/>
  <c r="CC86" i="1"/>
  <c r="CD86" i="1"/>
  <c r="CE86" i="1"/>
  <c r="BV87" i="1"/>
  <c r="BW87" i="1"/>
  <c r="BX87" i="1"/>
  <c r="BY87" i="1"/>
  <c r="BZ87" i="1"/>
  <c r="CA87" i="1"/>
  <c r="CB87" i="1"/>
  <c r="CC87" i="1"/>
  <c r="CD87" i="1"/>
  <c r="CE87" i="1"/>
  <c r="BV88" i="1"/>
  <c r="BW88" i="1"/>
  <c r="BX88" i="1"/>
  <c r="BY88" i="1"/>
  <c r="BZ88" i="1"/>
  <c r="CA88" i="1"/>
  <c r="CB88" i="1"/>
  <c r="CC88" i="1"/>
  <c r="CD88" i="1"/>
  <c r="CE88" i="1"/>
  <c r="BV89" i="1"/>
  <c r="BW89" i="1"/>
  <c r="BX89" i="1"/>
  <c r="BY89" i="1"/>
  <c r="BZ89" i="1"/>
  <c r="CA89" i="1"/>
  <c r="CB89" i="1"/>
  <c r="CC89" i="1"/>
  <c r="CD89" i="1"/>
  <c r="CE89" i="1"/>
  <c r="BV90" i="1"/>
  <c r="BW90" i="1"/>
  <c r="BX90" i="1"/>
  <c r="BY90" i="1"/>
  <c r="BZ90" i="1"/>
  <c r="CA90" i="1"/>
  <c r="CB90" i="1"/>
  <c r="CC90" i="1"/>
  <c r="CD90" i="1"/>
  <c r="CE90" i="1"/>
  <c r="BV91" i="1"/>
  <c r="BW91" i="1"/>
  <c r="BX91" i="1"/>
  <c r="BY91" i="1"/>
  <c r="BZ91" i="1"/>
  <c r="CA91" i="1"/>
  <c r="CB91" i="1"/>
  <c r="CC91" i="1"/>
  <c r="CD91" i="1"/>
  <c r="CE91" i="1"/>
  <c r="BV92" i="1"/>
  <c r="BW92" i="1"/>
  <c r="BX92" i="1"/>
  <c r="BY92" i="1"/>
  <c r="BZ92" i="1"/>
  <c r="CA92" i="1"/>
  <c r="CB92" i="1"/>
  <c r="CC92" i="1"/>
  <c r="CD92" i="1"/>
  <c r="CE92" i="1"/>
  <c r="BV93" i="1"/>
  <c r="BW93" i="1"/>
  <c r="BX93" i="1"/>
  <c r="BY93" i="1"/>
  <c r="BZ93" i="1"/>
  <c r="CA93" i="1"/>
  <c r="CB93" i="1"/>
  <c r="CC93" i="1"/>
  <c r="CD93" i="1"/>
  <c r="CE93" i="1"/>
  <c r="BV94" i="1"/>
  <c r="BW94" i="1"/>
  <c r="BX94" i="1"/>
  <c r="BY94" i="1"/>
  <c r="BZ94" i="1"/>
  <c r="CA94" i="1"/>
  <c r="CB94" i="1"/>
  <c r="CC94" i="1"/>
  <c r="CD94" i="1"/>
  <c r="CE94" i="1"/>
  <c r="BV95" i="1"/>
  <c r="BW95" i="1"/>
  <c r="BX95" i="1"/>
  <c r="BY95" i="1"/>
  <c r="BZ95" i="1"/>
  <c r="CA95" i="1"/>
  <c r="CB95" i="1"/>
  <c r="CC95" i="1"/>
  <c r="CD95" i="1"/>
  <c r="CE95" i="1"/>
  <c r="BV96" i="1"/>
  <c r="BW96" i="1"/>
  <c r="BX96" i="1"/>
  <c r="BY96" i="1"/>
  <c r="BZ96" i="1"/>
  <c r="CA96" i="1"/>
  <c r="CB96" i="1"/>
  <c r="CC96" i="1"/>
  <c r="CD96" i="1"/>
  <c r="CE96" i="1"/>
  <c r="BV97" i="1"/>
  <c r="BW97" i="1"/>
  <c r="BX97" i="1"/>
  <c r="BY97" i="1"/>
  <c r="BZ97" i="1"/>
  <c r="CA97" i="1"/>
  <c r="CB97" i="1"/>
  <c r="CC97" i="1"/>
  <c r="CD97" i="1"/>
  <c r="CE97" i="1"/>
  <c r="BV98" i="1"/>
  <c r="BW98" i="1"/>
  <c r="BX98" i="1"/>
  <c r="BY98" i="1"/>
  <c r="BZ98" i="1"/>
  <c r="CA98" i="1"/>
  <c r="CB98" i="1"/>
  <c r="CC98" i="1"/>
  <c r="CD98" i="1"/>
  <c r="CE98" i="1"/>
  <c r="BV99" i="1"/>
  <c r="BW99" i="1"/>
  <c r="BX99" i="1"/>
  <c r="BY99" i="1"/>
  <c r="BZ99" i="1"/>
  <c r="CA99" i="1"/>
  <c r="CB99" i="1"/>
  <c r="CC99" i="1"/>
  <c r="CD99" i="1"/>
  <c r="CE99" i="1"/>
  <c r="BV100" i="1"/>
  <c r="BW100" i="1"/>
  <c r="BX100" i="1"/>
  <c r="BY100" i="1"/>
  <c r="BZ100" i="1"/>
  <c r="CA100" i="1"/>
  <c r="CB100" i="1"/>
  <c r="CC100" i="1"/>
  <c r="CD100" i="1"/>
  <c r="CE100" i="1"/>
  <c r="BV101" i="1"/>
  <c r="BW101" i="1"/>
  <c r="BX101" i="1"/>
  <c r="BY101" i="1"/>
  <c r="BZ101" i="1"/>
  <c r="CA101" i="1"/>
  <c r="CB101" i="1"/>
  <c r="CC101" i="1"/>
  <c r="CD101" i="1"/>
  <c r="CE101" i="1"/>
  <c r="BV102" i="1"/>
  <c r="BW102" i="1"/>
  <c r="BX102" i="1"/>
  <c r="BY102" i="1"/>
  <c r="BZ102" i="1"/>
  <c r="CA102" i="1"/>
  <c r="CB102" i="1"/>
  <c r="CC102" i="1"/>
  <c r="CD102" i="1"/>
  <c r="CE102" i="1"/>
  <c r="BV103" i="1"/>
  <c r="BW103" i="1"/>
  <c r="BX103" i="1"/>
  <c r="BY103" i="1"/>
  <c r="BZ103" i="1"/>
  <c r="CA103" i="1"/>
  <c r="CB103" i="1"/>
  <c r="CC103" i="1"/>
  <c r="CD103" i="1"/>
  <c r="CE103" i="1"/>
  <c r="BV104" i="1"/>
  <c r="BW104" i="1"/>
  <c r="BX104" i="1"/>
  <c r="BY104" i="1"/>
  <c r="BZ104" i="1"/>
  <c r="CA104" i="1"/>
  <c r="CB104" i="1"/>
  <c r="CC104" i="1"/>
  <c r="CD104" i="1"/>
  <c r="CE104" i="1"/>
  <c r="BV105" i="1"/>
  <c r="BW105" i="1"/>
  <c r="BX105" i="1"/>
  <c r="BY105" i="1"/>
  <c r="BZ105" i="1"/>
  <c r="CA105" i="1"/>
  <c r="CB105" i="1"/>
  <c r="CC105" i="1"/>
  <c r="CD105" i="1"/>
  <c r="CE105" i="1"/>
  <c r="BV106" i="1"/>
  <c r="BW106" i="1"/>
  <c r="BX106" i="1"/>
  <c r="BY106" i="1"/>
  <c r="BZ106" i="1"/>
  <c r="CA106" i="1"/>
  <c r="CB106" i="1"/>
  <c r="CC106" i="1"/>
  <c r="CD106" i="1"/>
  <c r="CE106" i="1"/>
  <c r="BV107" i="1"/>
  <c r="BW107" i="1"/>
  <c r="BX107" i="1"/>
  <c r="BY107" i="1"/>
  <c r="BZ107" i="1"/>
  <c r="CA107" i="1"/>
  <c r="CB107" i="1"/>
  <c r="CC107" i="1"/>
  <c r="CD107" i="1"/>
  <c r="CE107" i="1"/>
  <c r="BV108" i="1"/>
  <c r="BW108" i="1"/>
  <c r="BX108" i="1"/>
  <c r="BY108" i="1"/>
  <c r="BZ108" i="1"/>
  <c r="CA108" i="1"/>
  <c r="CB108" i="1"/>
  <c r="CC108" i="1"/>
  <c r="CD108" i="1"/>
  <c r="CE108" i="1"/>
  <c r="BV109" i="1"/>
  <c r="BW109" i="1"/>
  <c r="BX109" i="1"/>
  <c r="BY109" i="1"/>
  <c r="BZ109" i="1"/>
  <c r="CA109" i="1"/>
  <c r="CB109" i="1"/>
  <c r="CC109" i="1"/>
  <c r="CD109" i="1"/>
  <c r="CE109" i="1"/>
  <c r="BV110" i="1"/>
  <c r="BW110" i="1"/>
  <c r="BX110" i="1"/>
  <c r="BY110" i="1"/>
  <c r="BZ110" i="1"/>
  <c r="CA110" i="1"/>
  <c r="CB110" i="1"/>
  <c r="CC110" i="1"/>
  <c r="CD110" i="1"/>
  <c r="CE110" i="1"/>
  <c r="BV111" i="1"/>
  <c r="BW111" i="1"/>
  <c r="BX111" i="1"/>
  <c r="BY111" i="1"/>
  <c r="BZ111" i="1"/>
  <c r="CA111" i="1"/>
  <c r="CB111" i="1"/>
  <c r="CC111" i="1"/>
  <c r="CD111" i="1"/>
  <c r="CE111" i="1"/>
  <c r="BV112" i="1"/>
  <c r="BW112" i="1"/>
  <c r="BX112" i="1"/>
  <c r="BY112" i="1"/>
  <c r="BZ112" i="1"/>
  <c r="CA112" i="1"/>
  <c r="CB112" i="1"/>
  <c r="CC112" i="1"/>
  <c r="CD112" i="1"/>
  <c r="CE112" i="1"/>
  <c r="BV113" i="1"/>
  <c r="BW113" i="1"/>
  <c r="BX113" i="1"/>
  <c r="BY113" i="1"/>
  <c r="BZ113" i="1"/>
  <c r="CA113" i="1"/>
  <c r="CB113" i="1"/>
  <c r="CC113" i="1"/>
  <c r="CD113" i="1"/>
  <c r="CE113" i="1"/>
  <c r="BV114" i="1"/>
  <c r="BW114" i="1"/>
  <c r="BX114" i="1"/>
  <c r="BY114" i="1"/>
  <c r="BZ114" i="1"/>
  <c r="CA114" i="1"/>
  <c r="CB114" i="1"/>
  <c r="CC114" i="1"/>
  <c r="CD114" i="1"/>
  <c r="CE114" i="1"/>
  <c r="BV115" i="1"/>
  <c r="BW115" i="1"/>
  <c r="BX115" i="1"/>
  <c r="BY115" i="1"/>
  <c r="BZ115" i="1"/>
  <c r="CA115" i="1"/>
  <c r="CB115" i="1"/>
  <c r="CC115" i="1"/>
  <c r="CD115" i="1"/>
  <c r="CE115" i="1"/>
  <c r="BV116" i="1"/>
  <c r="BW116" i="1"/>
  <c r="BX116" i="1"/>
  <c r="BY116" i="1"/>
  <c r="BZ116" i="1"/>
  <c r="CA116" i="1"/>
  <c r="CB116" i="1"/>
  <c r="CC116" i="1"/>
  <c r="CD116" i="1"/>
  <c r="CE116" i="1"/>
  <c r="BV117" i="1"/>
  <c r="BW117" i="1"/>
  <c r="BX117" i="1"/>
  <c r="BY117" i="1"/>
  <c r="BZ117" i="1"/>
  <c r="CA117" i="1"/>
  <c r="CB117" i="1"/>
  <c r="CC117" i="1"/>
  <c r="CD117" i="1"/>
  <c r="CE117" i="1"/>
  <c r="BV118" i="1"/>
  <c r="BW118" i="1"/>
  <c r="BX118" i="1"/>
  <c r="BY118" i="1"/>
  <c r="BZ118" i="1"/>
  <c r="CA118" i="1"/>
  <c r="CB118" i="1"/>
  <c r="CC118" i="1"/>
  <c r="CD118" i="1"/>
  <c r="CE118" i="1"/>
  <c r="BV119" i="1"/>
  <c r="BW119" i="1"/>
  <c r="BX119" i="1"/>
  <c r="BY119" i="1"/>
  <c r="BZ119" i="1"/>
  <c r="CA119" i="1"/>
  <c r="CB119" i="1"/>
  <c r="CC119" i="1"/>
  <c r="CD119" i="1"/>
  <c r="CE119" i="1"/>
  <c r="BV120" i="1"/>
  <c r="BW120" i="1"/>
  <c r="BX120" i="1"/>
  <c r="BY120" i="1"/>
  <c r="BZ120" i="1"/>
  <c r="CA120" i="1"/>
  <c r="CB120" i="1"/>
  <c r="CC120" i="1"/>
  <c r="CD120" i="1"/>
  <c r="CE120" i="1"/>
  <c r="BV121" i="1"/>
  <c r="BW121" i="1"/>
  <c r="BX121" i="1"/>
  <c r="BY121" i="1"/>
  <c r="BZ121" i="1"/>
  <c r="CA121" i="1"/>
  <c r="CB121" i="1"/>
  <c r="CC121" i="1"/>
  <c r="CD121" i="1"/>
  <c r="CE121" i="1"/>
  <c r="BV122" i="1"/>
  <c r="BW122" i="1"/>
  <c r="BX122" i="1"/>
  <c r="BY122" i="1"/>
  <c r="BZ122" i="1"/>
  <c r="CA122" i="1"/>
  <c r="CB122" i="1"/>
  <c r="CC122" i="1"/>
  <c r="CD122" i="1"/>
  <c r="CE122" i="1"/>
  <c r="BV123" i="1"/>
  <c r="BW123" i="1"/>
  <c r="BX123" i="1"/>
  <c r="BY123" i="1"/>
  <c r="BZ123" i="1"/>
  <c r="CA123" i="1"/>
  <c r="CB123" i="1"/>
  <c r="CC123" i="1"/>
  <c r="CD123" i="1"/>
  <c r="CE123" i="1"/>
  <c r="BV124" i="1"/>
  <c r="BW124" i="1"/>
  <c r="BX124" i="1"/>
  <c r="BY124" i="1"/>
  <c r="BZ124" i="1"/>
  <c r="CA124" i="1"/>
  <c r="CB124" i="1"/>
  <c r="CC124" i="1"/>
  <c r="CD124" i="1"/>
  <c r="CE124" i="1"/>
  <c r="BV125" i="1"/>
  <c r="BW125" i="1"/>
  <c r="BX125" i="1"/>
  <c r="BY125" i="1"/>
  <c r="BZ125" i="1"/>
  <c r="CA125" i="1"/>
  <c r="CB125" i="1"/>
  <c r="CC125" i="1"/>
  <c r="CD125" i="1"/>
  <c r="CE125" i="1"/>
  <c r="BV126" i="1"/>
  <c r="BW126" i="1"/>
  <c r="BX126" i="1"/>
  <c r="BY126" i="1"/>
  <c r="BZ126" i="1"/>
  <c r="CA126" i="1"/>
  <c r="CB126" i="1"/>
  <c r="CC126" i="1"/>
  <c r="CD126" i="1"/>
  <c r="CE126" i="1"/>
  <c r="BV127" i="1"/>
  <c r="BW127" i="1"/>
  <c r="BX127" i="1"/>
  <c r="BY127" i="1"/>
  <c r="BZ127" i="1"/>
  <c r="CA127" i="1"/>
  <c r="CB127" i="1"/>
  <c r="CC127" i="1"/>
  <c r="CD127" i="1"/>
  <c r="CE127" i="1"/>
  <c r="BV128" i="1"/>
  <c r="BW128" i="1"/>
  <c r="BX128" i="1"/>
  <c r="BY128" i="1"/>
  <c r="BZ128" i="1"/>
  <c r="CA128" i="1"/>
  <c r="CB128" i="1"/>
  <c r="CC128" i="1"/>
  <c r="CD128" i="1"/>
  <c r="CE128" i="1"/>
  <c r="BV129" i="1"/>
  <c r="BW129" i="1"/>
  <c r="BX129" i="1"/>
  <c r="BY129" i="1"/>
  <c r="BZ129" i="1"/>
  <c r="CA129" i="1"/>
  <c r="CB129" i="1"/>
  <c r="CC129" i="1"/>
  <c r="CD129" i="1"/>
  <c r="CE129" i="1"/>
  <c r="BV130" i="1"/>
  <c r="BW130" i="1"/>
  <c r="BX130" i="1"/>
  <c r="BY130" i="1"/>
  <c r="BZ130" i="1"/>
  <c r="CA130" i="1"/>
  <c r="CB130" i="1"/>
  <c r="CC130" i="1"/>
  <c r="CD130" i="1"/>
  <c r="CE130" i="1"/>
  <c r="BV131" i="1"/>
  <c r="BW131" i="1"/>
  <c r="BX131" i="1"/>
  <c r="BY131" i="1"/>
  <c r="BZ131" i="1"/>
  <c r="CA131" i="1"/>
  <c r="CB131" i="1"/>
  <c r="CC131" i="1"/>
  <c r="CD131" i="1"/>
  <c r="CE131" i="1"/>
  <c r="BV132" i="1"/>
  <c r="BW132" i="1"/>
  <c r="BX132" i="1"/>
  <c r="BY132" i="1"/>
  <c r="BZ132" i="1"/>
  <c r="CA132" i="1"/>
  <c r="CB132" i="1"/>
  <c r="CC132" i="1"/>
  <c r="CD132" i="1"/>
  <c r="CE132" i="1"/>
  <c r="BV133" i="1"/>
  <c r="BW133" i="1"/>
  <c r="BX133" i="1"/>
  <c r="BY133" i="1"/>
  <c r="BZ133" i="1"/>
  <c r="CA133" i="1"/>
  <c r="CB133" i="1"/>
  <c r="CC133" i="1"/>
  <c r="CD133" i="1"/>
  <c r="CE133" i="1"/>
  <c r="BV134" i="1"/>
  <c r="BW134" i="1"/>
  <c r="BX134" i="1"/>
  <c r="BY134" i="1"/>
  <c r="BZ134" i="1"/>
  <c r="CA134" i="1"/>
  <c r="CB134" i="1"/>
  <c r="CC134" i="1"/>
  <c r="CD134" i="1"/>
  <c r="CE134" i="1"/>
  <c r="BV135" i="1"/>
  <c r="BW135" i="1"/>
  <c r="BX135" i="1"/>
  <c r="BY135" i="1"/>
  <c r="BZ135" i="1"/>
  <c r="CA135" i="1"/>
  <c r="CB135" i="1"/>
  <c r="CC135" i="1"/>
  <c r="CD135" i="1"/>
  <c r="CE135" i="1"/>
  <c r="BV136" i="1"/>
  <c r="BW136" i="1"/>
  <c r="BX136" i="1"/>
  <c r="BY136" i="1"/>
  <c r="BZ136" i="1"/>
  <c r="CA136" i="1"/>
  <c r="CB136" i="1"/>
  <c r="CC136" i="1"/>
  <c r="CD136" i="1"/>
  <c r="CE136" i="1"/>
  <c r="BV137" i="1"/>
  <c r="BW137" i="1"/>
  <c r="BX137" i="1"/>
  <c r="BY137" i="1"/>
  <c r="BZ137" i="1"/>
  <c r="CA137" i="1"/>
  <c r="CB137" i="1"/>
  <c r="CC137" i="1"/>
  <c r="CD137" i="1"/>
  <c r="CE137" i="1"/>
  <c r="BV138" i="1"/>
  <c r="BW138" i="1"/>
  <c r="BX138" i="1"/>
  <c r="BY138" i="1"/>
  <c r="BZ138" i="1"/>
  <c r="CA138" i="1"/>
  <c r="CB138" i="1"/>
  <c r="CC138" i="1"/>
  <c r="CD138" i="1"/>
  <c r="CE138" i="1"/>
  <c r="BV139" i="1"/>
  <c r="BW139" i="1"/>
  <c r="BX139" i="1"/>
  <c r="BY139" i="1"/>
  <c r="BZ139" i="1"/>
  <c r="CA139" i="1"/>
  <c r="CB139" i="1"/>
  <c r="CC139" i="1"/>
  <c r="CD139" i="1"/>
  <c r="CE139" i="1"/>
  <c r="BV140" i="1"/>
  <c r="BW140" i="1"/>
  <c r="BX140" i="1"/>
  <c r="BY140" i="1"/>
  <c r="BZ140" i="1"/>
  <c r="CA140" i="1"/>
  <c r="CB140" i="1"/>
  <c r="CC140" i="1"/>
  <c r="CD140" i="1"/>
  <c r="CE140" i="1"/>
  <c r="BV141" i="1"/>
  <c r="BW141" i="1"/>
  <c r="BX141" i="1"/>
  <c r="BY141" i="1"/>
  <c r="BZ141" i="1"/>
  <c r="CA141" i="1"/>
  <c r="CB141" i="1"/>
  <c r="CC141" i="1"/>
  <c r="CD141" i="1"/>
  <c r="CE141" i="1"/>
  <c r="BV142" i="1"/>
  <c r="BW142" i="1"/>
  <c r="BX142" i="1"/>
  <c r="BY142" i="1"/>
  <c r="BZ142" i="1"/>
  <c r="CA142" i="1"/>
  <c r="CB142" i="1"/>
  <c r="CC142" i="1"/>
  <c r="CD142" i="1"/>
  <c r="CE142" i="1"/>
  <c r="BV143" i="1"/>
  <c r="BW143" i="1"/>
  <c r="BX143" i="1"/>
  <c r="BY143" i="1"/>
  <c r="BZ143" i="1"/>
  <c r="CA143" i="1"/>
  <c r="CB143" i="1"/>
  <c r="CC143" i="1"/>
  <c r="CD143" i="1"/>
  <c r="CE143" i="1"/>
  <c r="BV144" i="1"/>
  <c r="BW144" i="1"/>
  <c r="BX144" i="1"/>
  <c r="BY144" i="1"/>
  <c r="BZ144" i="1"/>
  <c r="CA144" i="1"/>
  <c r="CB144" i="1"/>
  <c r="CC144" i="1"/>
  <c r="CD144" i="1"/>
  <c r="CE144" i="1"/>
  <c r="BV145" i="1"/>
  <c r="BW145" i="1"/>
  <c r="BX145" i="1"/>
  <c r="BY145" i="1"/>
  <c r="BZ145" i="1"/>
  <c r="CA145" i="1"/>
  <c r="CB145" i="1"/>
  <c r="CC145" i="1"/>
  <c r="CD145" i="1"/>
  <c r="CE145" i="1"/>
  <c r="BV146" i="1"/>
  <c r="BW146" i="1"/>
  <c r="BX146" i="1"/>
  <c r="BY146" i="1"/>
  <c r="BZ146" i="1"/>
  <c r="CA146" i="1"/>
  <c r="CB146" i="1"/>
  <c r="CC146" i="1"/>
  <c r="CD146" i="1"/>
  <c r="CE146" i="1"/>
  <c r="BV147" i="1"/>
  <c r="BW147" i="1"/>
  <c r="BX147" i="1"/>
  <c r="BY147" i="1"/>
  <c r="BZ147" i="1"/>
  <c r="CA147" i="1"/>
  <c r="CB147" i="1"/>
  <c r="CC147" i="1"/>
  <c r="CD147" i="1"/>
  <c r="CE147" i="1"/>
  <c r="BV148" i="1"/>
  <c r="BW148" i="1"/>
  <c r="BX148" i="1"/>
  <c r="BY148" i="1"/>
  <c r="BZ148" i="1"/>
  <c r="CA148" i="1"/>
  <c r="CB148" i="1"/>
  <c r="CC148" i="1"/>
  <c r="CD148" i="1"/>
  <c r="CE148" i="1"/>
  <c r="BV149" i="1"/>
  <c r="BW149" i="1"/>
  <c r="BX149" i="1"/>
  <c r="BY149" i="1"/>
  <c r="BZ149" i="1"/>
  <c r="CA149" i="1"/>
  <c r="CB149" i="1"/>
  <c r="CC149" i="1"/>
  <c r="CD149" i="1"/>
  <c r="CE149" i="1"/>
  <c r="BV150" i="1"/>
  <c r="BW150" i="1"/>
  <c r="BX150" i="1"/>
  <c r="BY150" i="1"/>
  <c r="BZ150" i="1"/>
  <c r="CA150" i="1"/>
  <c r="CB150" i="1"/>
  <c r="CC150" i="1"/>
  <c r="CD150" i="1"/>
  <c r="CE150" i="1"/>
  <c r="BV151" i="1"/>
  <c r="BW151" i="1"/>
  <c r="BX151" i="1"/>
  <c r="BY151" i="1"/>
  <c r="BZ151" i="1"/>
  <c r="CA151" i="1"/>
  <c r="CB151" i="1"/>
  <c r="CC151" i="1"/>
  <c r="CD151" i="1"/>
  <c r="CE151" i="1"/>
  <c r="BV152" i="1"/>
  <c r="BW152" i="1"/>
  <c r="BX152" i="1"/>
  <c r="BY152" i="1"/>
  <c r="BZ152" i="1"/>
  <c r="CA152" i="1"/>
  <c r="CB152" i="1"/>
  <c r="CC152" i="1"/>
  <c r="CD152" i="1"/>
  <c r="CE152" i="1"/>
  <c r="BV153" i="1"/>
  <c r="BW153" i="1"/>
  <c r="BX153" i="1"/>
  <c r="BY153" i="1"/>
  <c r="BZ153" i="1"/>
  <c r="CA153" i="1"/>
  <c r="CB153" i="1"/>
  <c r="CC153" i="1"/>
  <c r="CD153" i="1"/>
  <c r="CE153" i="1"/>
  <c r="BV154" i="1"/>
  <c r="BW154" i="1"/>
  <c r="BX154" i="1"/>
  <c r="BY154" i="1"/>
  <c r="BZ154" i="1"/>
  <c r="CA154" i="1"/>
  <c r="CB154" i="1"/>
  <c r="CC154" i="1"/>
  <c r="CD154" i="1"/>
  <c r="CE154" i="1"/>
  <c r="BV155" i="1"/>
  <c r="BW155" i="1"/>
  <c r="BX155" i="1"/>
  <c r="BY155" i="1"/>
  <c r="BZ155" i="1"/>
  <c r="CA155" i="1"/>
  <c r="CB155" i="1"/>
  <c r="CC155" i="1"/>
  <c r="CD155" i="1"/>
  <c r="CE155" i="1"/>
  <c r="BV156" i="1"/>
  <c r="BW156" i="1"/>
  <c r="BX156" i="1"/>
  <c r="BY156" i="1"/>
  <c r="BZ156" i="1"/>
  <c r="CA156" i="1"/>
  <c r="CB156" i="1"/>
  <c r="CC156" i="1"/>
  <c r="CD156" i="1"/>
  <c r="CE156" i="1"/>
  <c r="BV157" i="1"/>
  <c r="BW157" i="1"/>
  <c r="BX157" i="1"/>
  <c r="BY157" i="1"/>
  <c r="BZ157" i="1"/>
  <c r="CA157" i="1"/>
  <c r="CB157" i="1"/>
  <c r="CC157" i="1"/>
  <c r="CD157" i="1"/>
  <c r="CE157" i="1"/>
  <c r="BV158" i="1"/>
  <c r="BW158" i="1"/>
  <c r="BX158" i="1"/>
  <c r="BY158" i="1"/>
  <c r="BZ158" i="1"/>
  <c r="CA158" i="1"/>
  <c r="CB158" i="1"/>
  <c r="CC158" i="1"/>
  <c r="CD158" i="1"/>
  <c r="CE158" i="1"/>
  <c r="BV159" i="1"/>
  <c r="BW159" i="1"/>
  <c r="BX159" i="1"/>
  <c r="BY159" i="1"/>
  <c r="BZ159" i="1"/>
  <c r="CA159" i="1"/>
  <c r="CB159" i="1"/>
  <c r="CC159" i="1"/>
  <c r="CD159" i="1"/>
  <c r="CE159" i="1"/>
  <c r="BV160" i="1"/>
  <c r="BW160" i="1"/>
  <c r="BX160" i="1"/>
  <c r="BY160" i="1"/>
  <c r="BZ160" i="1"/>
  <c r="CA160" i="1"/>
  <c r="CB160" i="1"/>
  <c r="CC160" i="1"/>
  <c r="CD160" i="1"/>
  <c r="CE160" i="1"/>
  <c r="BV161" i="1"/>
  <c r="BW161" i="1"/>
  <c r="BX161" i="1"/>
  <c r="BY161" i="1"/>
  <c r="BZ161" i="1"/>
  <c r="CA161" i="1"/>
  <c r="CB161" i="1"/>
  <c r="CC161" i="1"/>
  <c r="CD161" i="1"/>
  <c r="CE161" i="1"/>
  <c r="BV162" i="1"/>
  <c r="BW162" i="1"/>
  <c r="BX162" i="1"/>
  <c r="BY162" i="1"/>
  <c r="BZ162" i="1"/>
  <c r="CA162" i="1"/>
  <c r="CB162" i="1"/>
  <c r="CC162" i="1"/>
  <c r="CD162" i="1"/>
  <c r="CE162" i="1"/>
  <c r="BV163" i="1"/>
  <c r="BW163" i="1"/>
  <c r="BX163" i="1"/>
  <c r="BY163" i="1"/>
  <c r="BZ163" i="1"/>
  <c r="CA163" i="1"/>
  <c r="CB163" i="1"/>
  <c r="CC163" i="1"/>
  <c r="CD163" i="1"/>
  <c r="CE163" i="1"/>
  <c r="BV164" i="1"/>
  <c r="BW164" i="1"/>
  <c r="BX164" i="1"/>
  <c r="BY164" i="1"/>
  <c r="BZ164" i="1"/>
  <c r="CA164" i="1"/>
  <c r="CB164" i="1"/>
  <c r="CC164" i="1"/>
  <c r="CD164" i="1"/>
  <c r="CE164" i="1"/>
  <c r="BV165" i="1"/>
  <c r="BW165" i="1"/>
  <c r="BX165" i="1"/>
  <c r="BY165" i="1"/>
  <c r="BZ165" i="1"/>
  <c r="CA165" i="1"/>
  <c r="CB165" i="1"/>
  <c r="CC165" i="1"/>
  <c r="CD165" i="1"/>
  <c r="CE165" i="1"/>
  <c r="BV166" i="1"/>
  <c r="BW166" i="1"/>
  <c r="BX166" i="1"/>
  <c r="BY166" i="1"/>
  <c r="BZ166" i="1"/>
  <c r="CA166" i="1"/>
  <c r="CB166" i="1"/>
  <c r="CC166" i="1"/>
  <c r="CD166" i="1"/>
  <c r="CE166" i="1"/>
  <c r="BV167" i="1"/>
  <c r="BW167" i="1"/>
  <c r="BX167" i="1"/>
  <c r="BY167" i="1"/>
  <c r="BZ167" i="1"/>
  <c r="CA167" i="1"/>
  <c r="CB167" i="1"/>
  <c r="CC167" i="1"/>
  <c r="CD167" i="1"/>
  <c r="CE167" i="1"/>
  <c r="BV168" i="1"/>
  <c r="BW168" i="1"/>
  <c r="BX168" i="1"/>
  <c r="BY168" i="1"/>
  <c r="BZ168" i="1"/>
  <c r="CA168" i="1"/>
  <c r="CB168" i="1"/>
  <c r="CC168" i="1"/>
  <c r="CD168" i="1"/>
  <c r="CE168" i="1"/>
  <c r="BV169" i="1"/>
  <c r="BW169" i="1"/>
  <c r="BX169" i="1"/>
  <c r="BY169" i="1"/>
  <c r="BZ169" i="1"/>
  <c r="CA169" i="1"/>
  <c r="CB169" i="1"/>
  <c r="CC169" i="1"/>
  <c r="CD169" i="1"/>
  <c r="CE169" i="1"/>
  <c r="BV170" i="1"/>
  <c r="BW170" i="1"/>
  <c r="BX170" i="1"/>
  <c r="BY170" i="1"/>
  <c r="BZ170" i="1"/>
  <c r="CA170" i="1"/>
  <c r="CB170" i="1"/>
  <c r="CC170" i="1"/>
  <c r="CD170" i="1"/>
  <c r="CE170" i="1"/>
  <c r="BV171" i="1"/>
  <c r="BW171" i="1"/>
  <c r="BX171" i="1"/>
  <c r="BY171" i="1"/>
  <c r="BZ171" i="1"/>
  <c r="CA171" i="1"/>
  <c r="CB171" i="1"/>
  <c r="CC171" i="1"/>
  <c r="CD171" i="1"/>
  <c r="CE171" i="1"/>
  <c r="BV172" i="1"/>
  <c r="BW172" i="1"/>
  <c r="BX172" i="1"/>
  <c r="BY172" i="1"/>
  <c r="BZ172" i="1"/>
  <c r="CA172" i="1"/>
  <c r="CB172" i="1"/>
  <c r="CC172" i="1"/>
  <c r="CD172" i="1"/>
  <c r="CE172" i="1"/>
  <c r="BV173" i="1"/>
  <c r="BW173" i="1"/>
  <c r="BX173" i="1"/>
  <c r="BY173" i="1"/>
  <c r="BZ173" i="1"/>
  <c r="CA173" i="1"/>
  <c r="CB173" i="1"/>
  <c r="CC173" i="1"/>
  <c r="CD173" i="1"/>
  <c r="CE173" i="1"/>
  <c r="BV174" i="1"/>
  <c r="BW174" i="1"/>
  <c r="BX174" i="1"/>
  <c r="BY174" i="1"/>
  <c r="BZ174" i="1"/>
  <c r="CA174" i="1"/>
  <c r="CB174" i="1"/>
  <c r="CC174" i="1"/>
  <c r="CD174" i="1"/>
  <c r="CE174" i="1"/>
  <c r="BV175" i="1"/>
  <c r="BW175" i="1"/>
  <c r="BX175" i="1"/>
  <c r="BY175" i="1"/>
  <c r="BZ175" i="1"/>
  <c r="CA175" i="1"/>
  <c r="CB175" i="1"/>
  <c r="CC175" i="1"/>
  <c r="CD175" i="1"/>
  <c r="CE175" i="1"/>
  <c r="BV176" i="1"/>
  <c r="BW176" i="1"/>
  <c r="BX176" i="1"/>
  <c r="BY176" i="1"/>
  <c r="BZ176" i="1"/>
  <c r="CA176" i="1"/>
  <c r="CB176" i="1"/>
  <c r="CC176" i="1"/>
  <c r="CD176" i="1"/>
  <c r="CE176" i="1"/>
  <c r="BV177" i="1"/>
  <c r="BW177" i="1"/>
  <c r="BX177" i="1"/>
  <c r="BY177" i="1"/>
  <c r="BZ177" i="1"/>
  <c r="CA177" i="1"/>
  <c r="CB177" i="1"/>
  <c r="CC177" i="1"/>
  <c r="CD177" i="1"/>
  <c r="CE177" i="1"/>
  <c r="BV178" i="1"/>
  <c r="BW178" i="1"/>
  <c r="BX178" i="1"/>
  <c r="BY178" i="1"/>
  <c r="BZ178" i="1"/>
  <c r="CA178" i="1"/>
  <c r="CB178" i="1"/>
  <c r="CC178" i="1"/>
  <c r="CD178" i="1"/>
  <c r="CE178" i="1"/>
  <c r="BV179" i="1"/>
  <c r="BW179" i="1"/>
  <c r="BX179" i="1"/>
  <c r="BY179" i="1"/>
  <c r="BZ179" i="1"/>
  <c r="CA179" i="1"/>
  <c r="CB179" i="1"/>
  <c r="CC179" i="1"/>
  <c r="CD179" i="1"/>
  <c r="CE179" i="1"/>
  <c r="BV180" i="1"/>
  <c r="BW180" i="1"/>
  <c r="BX180" i="1"/>
  <c r="BY180" i="1"/>
  <c r="BZ180" i="1"/>
  <c r="CA180" i="1"/>
  <c r="CB180" i="1"/>
  <c r="CC180" i="1"/>
  <c r="CD180" i="1"/>
  <c r="CE180" i="1"/>
  <c r="BV181" i="1"/>
  <c r="BW181" i="1"/>
  <c r="BX181" i="1"/>
  <c r="BY181" i="1"/>
  <c r="BZ181" i="1"/>
  <c r="CA181" i="1"/>
  <c r="CB181" i="1"/>
  <c r="CC181" i="1"/>
  <c r="CD181" i="1"/>
  <c r="CE181" i="1"/>
  <c r="BV182" i="1"/>
  <c r="BW182" i="1"/>
  <c r="BX182" i="1"/>
  <c r="BY182" i="1"/>
  <c r="BZ182" i="1"/>
  <c r="CA182" i="1"/>
  <c r="CB182" i="1"/>
  <c r="CC182" i="1"/>
  <c r="CD182" i="1"/>
  <c r="CE182" i="1"/>
  <c r="BV183" i="1"/>
  <c r="BW183" i="1"/>
  <c r="BX183" i="1"/>
  <c r="BY183" i="1"/>
  <c r="BZ183" i="1"/>
  <c r="CA183" i="1"/>
  <c r="CB183" i="1"/>
  <c r="CC183" i="1"/>
  <c r="CD183" i="1"/>
  <c r="CE183" i="1"/>
  <c r="BV184" i="1"/>
  <c r="BW184" i="1"/>
  <c r="BX184" i="1"/>
  <c r="BY184" i="1"/>
  <c r="BZ184" i="1"/>
  <c r="CA184" i="1"/>
  <c r="CB184" i="1"/>
  <c r="CC184" i="1"/>
  <c r="CD184" i="1"/>
  <c r="CE184" i="1"/>
  <c r="BV185" i="1"/>
  <c r="BW185" i="1"/>
  <c r="BX185" i="1"/>
  <c r="BY185" i="1"/>
  <c r="BZ185" i="1"/>
  <c r="CA185" i="1"/>
  <c r="CB185" i="1"/>
  <c r="CC185" i="1"/>
  <c r="CD185" i="1"/>
  <c r="CE185" i="1"/>
  <c r="BV186" i="1"/>
  <c r="BW186" i="1"/>
  <c r="BX186" i="1"/>
  <c r="BY186" i="1"/>
  <c r="BZ186" i="1"/>
  <c r="CA186" i="1"/>
  <c r="CB186" i="1"/>
  <c r="CC186" i="1"/>
  <c r="CD186" i="1"/>
  <c r="CE186" i="1"/>
  <c r="BV187" i="1"/>
  <c r="BW187" i="1"/>
  <c r="BX187" i="1"/>
  <c r="BY187" i="1"/>
  <c r="BZ187" i="1"/>
  <c r="CA187" i="1"/>
  <c r="CB187" i="1"/>
  <c r="CC187" i="1"/>
  <c r="CD187" i="1"/>
  <c r="CE187" i="1"/>
  <c r="BV188" i="1"/>
  <c r="BW188" i="1"/>
  <c r="BX188" i="1"/>
  <c r="BY188" i="1"/>
  <c r="BZ188" i="1"/>
  <c r="CA188" i="1"/>
  <c r="CB188" i="1"/>
  <c r="CC188" i="1"/>
  <c r="CD188" i="1"/>
  <c r="CE188" i="1"/>
  <c r="BV189" i="1"/>
  <c r="BW189" i="1"/>
  <c r="BX189" i="1"/>
  <c r="BY189" i="1"/>
  <c r="BZ189" i="1"/>
  <c r="CA189" i="1"/>
  <c r="CB189" i="1"/>
  <c r="CC189" i="1"/>
  <c r="CD189" i="1"/>
  <c r="CE189" i="1"/>
  <c r="BV190" i="1"/>
  <c r="BW190" i="1"/>
  <c r="BX190" i="1"/>
  <c r="BY190" i="1"/>
  <c r="BZ190" i="1"/>
  <c r="CA190" i="1"/>
  <c r="CB190" i="1"/>
  <c r="CC190" i="1"/>
  <c r="CD190" i="1"/>
  <c r="CE190" i="1"/>
  <c r="BV191" i="1"/>
  <c r="BW191" i="1"/>
  <c r="BX191" i="1"/>
  <c r="BY191" i="1"/>
  <c r="BZ191" i="1"/>
  <c r="CA191" i="1"/>
  <c r="CB191" i="1"/>
  <c r="CC191" i="1"/>
  <c r="CD191" i="1"/>
  <c r="CE191" i="1"/>
  <c r="BV192" i="1"/>
  <c r="BW192" i="1"/>
  <c r="BX192" i="1"/>
  <c r="BY192" i="1"/>
  <c r="BZ192" i="1"/>
  <c r="CA192" i="1"/>
  <c r="CB192" i="1"/>
  <c r="CC192" i="1"/>
  <c r="CD192" i="1"/>
  <c r="CE192" i="1"/>
  <c r="BV193" i="1"/>
  <c r="BW193" i="1"/>
  <c r="BX193" i="1"/>
  <c r="BY193" i="1"/>
  <c r="BZ193" i="1"/>
  <c r="CA193" i="1"/>
  <c r="CB193" i="1"/>
  <c r="CC193" i="1"/>
  <c r="CD193" i="1"/>
  <c r="CE193" i="1"/>
  <c r="BV194" i="1"/>
  <c r="BW194" i="1"/>
  <c r="BX194" i="1"/>
  <c r="BY194" i="1"/>
  <c r="BZ194" i="1"/>
  <c r="CA194" i="1"/>
  <c r="CB194" i="1"/>
  <c r="CC194" i="1"/>
  <c r="CD194" i="1"/>
  <c r="CE194" i="1"/>
  <c r="BV195" i="1"/>
  <c r="BW195" i="1"/>
  <c r="BX195" i="1"/>
  <c r="BY195" i="1"/>
  <c r="BZ195" i="1"/>
  <c r="CA195" i="1"/>
  <c r="CB195" i="1"/>
  <c r="CC195" i="1"/>
  <c r="CD195" i="1"/>
  <c r="CE195" i="1"/>
  <c r="BV196" i="1"/>
  <c r="BW196" i="1"/>
  <c r="BX196" i="1"/>
  <c r="BY196" i="1"/>
  <c r="BZ196" i="1"/>
  <c r="CA196" i="1"/>
  <c r="CB196" i="1"/>
  <c r="CC196" i="1"/>
  <c r="CD196" i="1"/>
  <c r="CE196" i="1"/>
  <c r="BV197" i="1"/>
  <c r="BW197" i="1"/>
  <c r="BX197" i="1"/>
  <c r="BY197" i="1"/>
  <c r="BZ197" i="1"/>
  <c r="CA197" i="1"/>
  <c r="CB197" i="1"/>
  <c r="CC197" i="1"/>
  <c r="CD197" i="1"/>
  <c r="CE197" i="1"/>
  <c r="BV198" i="1"/>
  <c r="BW198" i="1"/>
  <c r="BX198" i="1"/>
  <c r="BY198" i="1"/>
  <c r="BZ198" i="1"/>
  <c r="CA198" i="1"/>
  <c r="CB198" i="1"/>
  <c r="CC198" i="1"/>
  <c r="CD198" i="1"/>
  <c r="CE198" i="1"/>
  <c r="BV199" i="1"/>
  <c r="BW199" i="1"/>
  <c r="BX199" i="1"/>
  <c r="BY199" i="1"/>
  <c r="BZ199" i="1"/>
  <c r="CA199" i="1"/>
  <c r="CB199" i="1"/>
  <c r="CC199" i="1"/>
  <c r="CD199" i="1"/>
  <c r="CE199" i="1"/>
  <c r="BV200" i="1"/>
  <c r="BW200" i="1"/>
  <c r="BX200" i="1"/>
  <c r="BY200" i="1"/>
  <c r="BZ200" i="1"/>
  <c r="CA200" i="1"/>
  <c r="CB200" i="1"/>
  <c r="CC200" i="1"/>
  <c r="CD200" i="1"/>
  <c r="CE200" i="1"/>
  <c r="BV201" i="1"/>
  <c r="BW201" i="1"/>
  <c r="BX201" i="1"/>
  <c r="BY201" i="1"/>
  <c r="BZ201" i="1"/>
  <c r="CA201" i="1"/>
  <c r="CB201" i="1"/>
  <c r="CC201" i="1"/>
  <c r="CD201" i="1"/>
  <c r="CE201" i="1"/>
  <c r="BV202" i="1"/>
  <c r="BW202" i="1"/>
  <c r="BX202" i="1"/>
  <c r="BY202" i="1"/>
  <c r="BZ202" i="1"/>
  <c r="CA202" i="1"/>
  <c r="CB202" i="1"/>
  <c r="CC202" i="1"/>
  <c r="CD202" i="1"/>
  <c r="CE202" i="1"/>
  <c r="BV203" i="1"/>
  <c r="BW203" i="1"/>
  <c r="BX203" i="1"/>
  <c r="BY203" i="1"/>
  <c r="BZ203" i="1"/>
  <c r="CA203" i="1"/>
  <c r="CB203" i="1"/>
  <c r="CC203" i="1"/>
  <c r="CD203" i="1"/>
  <c r="CE203" i="1"/>
  <c r="BV204" i="1"/>
  <c r="BW204" i="1"/>
  <c r="BX204" i="1"/>
  <c r="BY204" i="1"/>
  <c r="BZ204" i="1"/>
  <c r="CA204" i="1"/>
  <c r="CB204" i="1"/>
  <c r="CC204" i="1"/>
  <c r="CD204" i="1"/>
  <c r="CE204" i="1"/>
  <c r="BV205" i="1"/>
  <c r="BW205" i="1"/>
  <c r="BX205" i="1"/>
  <c r="BY205" i="1"/>
  <c r="BZ205" i="1"/>
  <c r="CA205" i="1"/>
  <c r="CB205" i="1"/>
  <c r="CC205" i="1"/>
  <c r="CD205" i="1"/>
  <c r="CE205" i="1"/>
  <c r="BV206" i="1"/>
  <c r="BW206" i="1"/>
  <c r="BX206" i="1"/>
  <c r="BY206" i="1"/>
  <c r="BZ206" i="1"/>
  <c r="CA206" i="1"/>
  <c r="CB206" i="1"/>
  <c r="CC206" i="1"/>
  <c r="CD206" i="1"/>
  <c r="CE206" i="1"/>
  <c r="BV207" i="1"/>
  <c r="BW207" i="1"/>
  <c r="BX207" i="1"/>
  <c r="BY207" i="1"/>
  <c r="BZ207" i="1"/>
  <c r="CA207" i="1"/>
  <c r="CB207" i="1"/>
  <c r="CC207" i="1"/>
  <c r="CD207" i="1"/>
  <c r="CE207" i="1"/>
  <c r="BV208" i="1"/>
  <c r="BW208" i="1"/>
  <c r="BX208" i="1"/>
  <c r="BY208" i="1"/>
  <c r="BZ208" i="1"/>
  <c r="CA208" i="1"/>
  <c r="CB208" i="1"/>
  <c r="CC208" i="1"/>
  <c r="CD208" i="1"/>
  <c r="CE208" i="1"/>
  <c r="BV209" i="1"/>
  <c r="BW209" i="1"/>
  <c r="BX209" i="1"/>
  <c r="BY209" i="1"/>
  <c r="BZ209" i="1"/>
  <c r="CA209" i="1"/>
  <c r="CB209" i="1"/>
  <c r="CC209" i="1"/>
  <c r="CD209" i="1"/>
  <c r="CE209" i="1"/>
  <c r="BV210" i="1"/>
  <c r="BW210" i="1"/>
  <c r="BX210" i="1"/>
  <c r="BY210" i="1"/>
  <c r="BZ210" i="1"/>
  <c r="CA210" i="1"/>
  <c r="CB210" i="1"/>
  <c r="CC210" i="1"/>
  <c r="CD210" i="1"/>
  <c r="CE210" i="1"/>
  <c r="BV211" i="1"/>
  <c r="BW211" i="1"/>
  <c r="BX211" i="1"/>
  <c r="BY211" i="1"/>
  <c r="BZ211" i="1"/>
  <c r="CA211" i="1"/>
  <c r="CB211" i="1"/>
  <c r="CC211" i="1"/>
  <c r="CD211" i="1"/>
  <c r="CE211" i="1"/>
  <c r="BV212" i="1"/>
  <c r="BW212" i="1"/>
  <c r="BX212" i="1"/>
  <c r="BY212" i="1"/>
  <c r="BZ212" i="1"/>
  <c r="CA212" i="1"/>
  <c r="CB212" i="1"/>
  <c r="CC212" i="1"/>
  <c r="CD212" i="1"/>
  <c r="CE212" i="1"/>
  <c r="BV213" i="1"/>
  <c r="BW213" i="1"/>
  <c r="BX213" i="1"/>
  <c r="BY213" i="1"/>
  <c r="BZ213" i="1"/>
  <c r="CA213" i="1"/>
  <c r="CB213" i="1"/>
  <c r="CC213" i="1"/>
  <c r="CD213" i="1"/>
  <c r="CE213" i="1"/>
  <c r="BV214" i="1"/>
  <c r="BW214" i="1"/>
  <c r="BX214" i="1"/>
  <c r="BY214" i="1"/>
  <c r="BZ214" i="1"/>
  <c r="CA214" i="1"/>
  <c r="CB214" i="1"/>
  <c r="CC214" i="1"/>
  <c r="CD214" i="1"/>
  <c r="CE214" i="1"/>
  <c r="BV215" i="1"/>
  <c r="BW215" i="1"/>
  <c r="BX215" i="1"/>
  <c r="BY215" i="1"/>
  <c r="BZ215" i="1"/>
  <c r="CA215" i="1"/>
  <c r="CB215" i="1"/>
  <c r="CC215" i="1"/>
  <c r="CD215" i="1"/>
  <c r="CE215" i="1"/>
  <c r="BV216" i="1"/>
  <c r="BW216" i="1"/>
  <c r="BX216" i="1"/>
  <c r="BY216" i="1"/>
  <c r="BZ216" i="1"/>
  <c r="CA216" i="1"/>
  <c r="CB216" i="1"/>
  <c r="CC216" i="1"/>
  <c r="CD216" i="1"/>
  <c r="CE216" i="1"/>
  <c r="BV217" i="1"/>
  <c r="BW217" i="1"/>
  <c r="BX217" i="1"/>
  <c r="BY217" i="1"/>
  <c r="BZ217" i="1"/>
  <c r="CA217" i="1"/>
  <c r="CB217" i="1"/>
  <c r="CC217" i="1"/>
  <c r="CD217" i="1"/>
  <c r="CE217" i="1"/>
  <c r="BV218" i="1"/>
  <c r="BW218" i="1"/>
  <c r="BX218" i="1"/>
  <c r="BY218" i="1"/>
  <c r="BZ218" i="1"/>
  <c r="CA218" i="1"/>
  <c r="CB218" i="1"/>
  <c r="CC218" i="1"/>
  <c r="CD218" i="1"/>
  <c r="CE218" i="1"/>
  <c r="BV219" i="1"/>
  <c r="BW219" i="1"/>
  <c r="BX219" i="1"/>
  <c r="BY219" i="1"/>
  <c r="BZ219" i="1"/>
  <c r="CA219" i="1"/>
  <c r="CB219" i="1"/>
  <c r="CC219" i="1"/>
  <c r="CD219" i="1"/>
  <c r="CE219" i="1"/>
  <c r="BV220" i="1"/>
  <c r="BW220" i="1"/>
  <c r="BX220" i="1"/>
  <c r="BY220" i="1"/>
  <c r="BZ220" i="1"/>
  <c r="CA220" i="1"/>
  <c r="CB220" i="1"/>
  <c r="CC220" i="1"/>
  <c r="CD220" i="1"/>
  <c r="CE220" i="1"/>
  <c r="BV221" i="1"/>
  <c r="BW221" i="1"/>
  <c r="BX221" i="1"/>
  <c r="BY221" i="1"/>
  <c r="BZ221" i="1"/>
  <c r="CA221" i="1"/>
  <c r="CB221" i="1"/>
  <c r="CC221" i="1"/>
  <c r="CD221" i="1"/>
  <c r="CE221" i="1"/>
  <c r="BV222" i="1"/>
  <c r="BW222" i="1"/>
  <c r="BX222" i="1"/>
  <c r="BY222" i="1"/>
  <c r="BZ222" i="1"/>
  <c r="CA222" i="1"/>
  <c r="CB222" i="1"/>
  <c r="CC222" i="1"/>
  <c r="CD222" i="1"/>
  <c r="CE222" i="1"/>
  <c r="BV223" i="1"/>
  <c r="BW223" i="1"/>
  <c r="BX223" i="1"/>
  <c r="BY223" i="1"/>
  <c r="BZ223" i="1"/>
  <c r="CA223" i="1"/>
  <c r="CB223" i="1"/>
  <c r="CC223" i="1"/>
  <c r="CD223" i="1"/>
  <c r="CE223" i="1"/>
  <c r="BV224" i="1"/>
  <c r="BW224" i="1"/>
  <c r="BX224" i="1"/>
  <c r="BY224" i="1"/>
  <c r="BZ224" i="1"/>
  <c r="CA224" i="1"/>
  <c r="CB224" i="1"/>
  <c r="CC224" i="1"/>
  <c r="CD224" i="1"/>
  <c r="CE224" i="1"/>
  <c r="BV225" i="1"/>
  <c r="BW225" i="1"/>
  <c r="BX225" i="1"/>
  <c r="BY225" i="1"/>
  <c r="BZ225" i="1"/>
  <c r="CA225" i="1"/>
  <c r="CB225" i="1"/>
  <c r="CC225" i="1"/>
  <c r="CD225" i="1"/>
  <c r="CE225" i="1"/>
  <c r="BV226" i="1"/>
  <c r="BW226" i="1"/>
  <c r="BX226" i="1"/>
  <c r="BY226" i="1"/>
  <c r="BZ226" i="1"/>
  <c r="CA226" i="1"/>
  <c r="CB226" i="1"/>
  <c r="CC226" i="1"/>
  <c r="CD226" i="1"/>
  <c r="CE226" i="1"/>
  <c r="BV227" i="1"/>
  <c r="BW227" i="1"/>
  <c r="BX227" i="1"/>
  <c r="BY227" i="1"/>
  <c r="BZ227" i="1"/>
  <c r="CA227" i="1"/>
  <c r="CB227" i="1"/>
  <c r="CC227" i="1"/>
  <c r="CD227" i="1"/>
  <c r="CE227" i="1"/>
  <c r="BV228" i="1"/>
  <c r="BW228" i="1"/>
  <c r="BX228" i="1"/>
  <c r="BY228" i="1"/>
  <c r="BZ228" i="1"/>
  <c r="CA228" i="1"/>
  <c r="CB228" i="1"/>
  <c r="CC228" i="1"/>
  <c r="CD228" i="1"/>
  <c r="CE228" i="1"/>
  <c r="BV229" i="1"/>
  <c r="BW229" i="1"/>
  <c r="BX229" i="1"/>
  <c r="BY229" i="1"/>
  <c r="BZ229" i="1"/>
  <c r="CA229" i="1"/>
  <c r="CB229" i="1"/>
  <c r="CC229" i="1"/>
  <c r="CD229" i="1"/>
  <c r="CE229" i="1"/>
  <c r="BV230" i="1"/>
  <c r="BW230" i="1"/>
  <c r="BX230" i="1"/>
  <c r="BY230" i="1"/>
  <c r="BZ230" i="1"/>
  <c r="CA230" i="1"/>
  <c r="CB230" i="1"/>
  <c r="CC230" i="1"/>
  <c r="CD230" i="1"/>
  <c r="CE230" i="1"/>
  <c r="BV231" i="1"/>
  <c r="BW231" i="1"/>
  <c r="BX231" i="1"/>
  <c r="BY231" i="1"/>
  <c r="BZ231" i="1"/>
  <c r="CA231" i="1"/>
  <c r="CB231" i="1"/>
  <c r="CC231" i="1"/>
  <c r="CD231" i="1"/>
  <c r="CE231" i="1"/>
  <c r="BV232" i="1"/>
  <c r="BW232" i="1"/>
  <c r="BX232" i="1"/>
  <c r="BY232" i="1"/>
  <c r="BZ232" i="1"/>
  <c r="CA232" i="1"/>
  <c r="CB232" i="1"/>
  <c r="CC232" i="1"/>
  <c r="CD232" i="1"/>
  <c r="CE232" i="1"/>
  <c r="BV233" i="1"/>
  <c r="BW233" i="1"/>
  <c r="BX233" i="1"/>
  <c r="BY233" i="1"/>
  <c r="BZ233" i="1"/>
  <c r="CA233" i="1"/>
  <c r="CB233" i="1"/>
  <c r="CC233" i="1"/>
  <c r="CD233" i="1"/>
  <c r="CE233" i="1"/>
  <c r="BV234" i="1"/>
  <c r="BW234" i="1"/>
  <c r="BX234" i="1"/>
  <c r="BY234" i="1"/>
  <c r="BZ234" i="1"/>
  <c r="CA234" i="1"/>
  <c r="CB234" i="1"/>
  <c r="CC234" i="1"/>
  <c r="CD234" i="1"/>
  <c r="CE234" i="1"/>
  <c r="BV235" i="1"/>
  <c r="BW235" i="1"/>
  <c r="BX235" i="1"/>
  <c r="BY235" i="1"/>
  <c r="BZ235" i="1"/>
  <c r="CA235" i="1"/>
  <c r="CB235" i="1"/>
  <c r="CC235" i="1"/>
  <c r="CD235" i="1"/>
  <c r="CE235" i="1"/>
  <c r="BV236" i="1"/>
  <c r="BW236" i="1"/>
  <c r="BX236" i="1"/>
  <c r="BY236" i="1"/>
  <c r="BZ236" i="1"/>
  <c r="CA236" i="1"/>
  <c r="CB236" i="1"/>
  <c r="CC236" i="1"/>
  <c r="CD236" i="1"/>
  <c r="CE236" i="1"/>
  <c r="BV237" i="1"/>
  <c r="BW237" i="1"/>
  <c r="BX237" i="1"/>
  <c r="BY237" i="1"/>
  <c r="BZ237" i="1"/>
  <c r="CA237" i="1"/>
  <c r="CB237" i="1"/>
  <c r="CC237" i="1"/>
  <c r="CD237" i="1"/>
  <c r="CE237" i="1"/>
  <c r="BV238" i="1"/>
  <c r="BW238" i="1"/>
  <c r="BX238" i="1"/>
  <c r="BY238" i="1"/>
  <c r="BZ238" i="1"/>
  <c r="CA238" i="1"/>
  <c r="CB238" i="1"/>
  <c r="CC238" i="1"/>
  <c r="CD238" i="1"/>
  <c r="CE238" i="1"/>
  <c r="BV239" i="1"/>
  <c r="BW239" i="1"/>
  <c r="BX239" i="1"/>
  <c r="BY239" i="1"/>
  <c r="BZ239" i="1"/>
  <c r="CA239" i="1"/>
  <c r="CB239" i="1"/>
  <c r="CC239" i="1"/>
  <c r="CD239" i="1"/>
  <c r="CE239" i="1"/>
  <c r="BV240" i="1"/>
  <c r="BW240" i="1"/>
  <c r="BX240" i="1"/>
  <c r="BY240" i="1"/>
  <c r="BZ240" i="1"/>
  <c r="CA240" i="1"/>
  <c r="CB240" i="1"/>
  <c r="CC240" i="1"/>
  <c r="CD240" i="1"/>
  <c r="CE240" i="1"/>
  <c r="BV241" i="1"/>
  <c r="BW241" i="1"/>
  <c r="BX241" i="1"/>
  <c r="BY241" i="1"/>
  <c r="BZ241" i="1"/>
  <c r="CA241" i="1"/>
  <c r="CB241" i="1"/>
  <c r="CC241" i="1"/>
  <c r="CD241" i="1"/>
  <c r="CE241" i="1"/>
  <c r="BV242" i="1"/>
  <c r="BW242" i="1"/>
  <c r="BX242" i="1"/>
  <c r="BY242" i="1"/>
  <c r="BZ242" i="1"/>
  <c r="CA242" i="1"/>
  <c r="CB242" i="1"/>
  <c r="CC242" i="1"/>
  <c r="CD242" i="1"/>
  <c r="CE242" i="1"/>
  <c r="BV243" i="1"/>
  <c r="BW243" i="1"/>
  <c r="BX243" i="1"/>
  <c r="BY243" i="1"/>
  <c r="BZ243" i="1"/>
  <c r="CA243" i="1"/>
  <c r="CB243" i="1"/>
  <c r="CC243" i="1"/>
  <c r="CD243" i="1"/>
  <c r="CE243" i="1"/>
  <c r="BV244" i="1"/>
  <c r="BW244" i="1"/>
  <c r="BX244" i="1"/>
  <c r="BY244" i="1"/>
  <c r="BZ244" i="1"/>
  <c r="CA244" i="1"/>
  <c r="CB244" i="1"/>
  <c r="CC244" i="1"/>
  <c r="CD244" i="1"/>
  <c r="CE244" i="1"/>
  <c r="BV245" i="1"/>
  <c r="BW245" i="1"/>
  <c r="BX245" i="1"/>
  <c r="BY245" i="1"/>
  <c r="BZ245" i="1"/>
  <c r="CA245" i="1"/>
  <c r="CB245" i="1"/>
  <c r="CC245" i="1"/>
  <c r="CD245" i="1"/>
  <c r="CE245" i="1"/>
  <c r="BV246" i="1"/>
  <c r="BW246" i="1"/>
  <c r="BX246" i="1"/>
  <c r="BY246" i="1"/>
  <c r="BZ246" i="1"/>
  <c r="CA246" i="1"/>
  <c r="CB246" i="1"/>
  <c r="CC246" i="1"/>
  <c r="CD246" i="1"/>
  <c r="CE246" i="1"/>
  <c r="BV247" i="1"/>
  <c r="BW247" i="1"/>
  <c r="BX247" i="1"/>
  <c r="BY247" i="1"/>
  <c r="BZ247" i="1"/>
  <c r="CA247" i="1"/>
  <c r="CB247" i="1"/>
  <c r="CC247" i="1"/>
  <c r="CD247" i="1"/>
  <c r="CE247" i="1"/>
  <c r="BV248" i="1"/>
  <c r="BW248" i="1"/>
  <c r="BX248" i="1"/>
  <c r="BY248" i="1"/>
  <c r="BZ248" i="1"/>
  <c r="CA248" i="1"/>
  <c r="CB248" i="1"/>
  <c r="CC248" i="1"/>
  <c r="CD248" i="1"/>
  <c r="CE248" i="1"/>
  <c r="BV249" i="1"/>
  <c r="BW249" i="1"/>
  <c r="BX249" i="1"/>
  <c r="BY249" i="1"/>
  <c r="BZ249" i="1"/>
  <c r="CA249" i="1"/>
  <c r="CB249" i="1"/>
  <c r="CC249" i="1"/>
  <c r="CD249" i="1"/>
  <c r="CE249" i="1"/>
  <c r="BV250" i="1"/>
  <c r="BW250" i="1"/>
  <c r="BX250" i="1"/>
  <c r="BY250" i="1"/>
  <c r="BZ250" i="1"/>
  <c r="CA250" i="1"/>
  <c r="CB250" i="1"/>
  <c r="CC250" i="1"/>
  <c r="CD250" i="1"/>
  <c r="CE250" i="1"/>
  <c r="BV251" i="1"/>
  <c r="BW251" i="1"/>
  <c r="BX251" i="1"/>
  <c r="BY251" i="1"/>
  <c r="BZ251" i="1"/>
  <c r="CA251" i="1"/>
  <c r="CB251" i="1"/>
  <c r="CC251" i="1"/>
  <c r="CD251" i="1"/>
  <c r="CE251" i="1"/>
  <c r="BV252" i="1"/>
  <c r="BW252" i="1"/>
  <c r="BX252" i="1"/>
  <c r="BY252" i="1"/>
  <c r="BZ252" i="1"/>
  <c r="CA252" i="1"/>
  <c r="CB252" i="1"/>
  <c r="CC252" i="1"/>
  <c r="CD252" i="1"/>
  <c r="CE252" i="1"/>
  <c r="BV253" i="1"/>
  <c r="BW253" i="1"/>
  <c r="BX253" i="1"/>
  <c r="BY253" i="1"/>
  <c r="BZ253" i="1"/>
  <c r="CA253" i="1"/>
  <c r="CB253" i="1"/>
  <c r="CC253" i="1"/>
  <c r="CD253" i="1"/>
  <c r="CE253" i="1"/>
  <c r="BV254" i="1"/>
  <c r="BW254" i="1"/>
  <c r="BX254" i="1"/>
  <c r="BY254" i="1"/>
  <c r="BZ254" i="1"/>
  <c r="CA254" i="1"/>
  <c r="CB254" i="1"/>
  <c r="CC254" i="1"/>
  <c r="CD254" i="1"/>
  <c r="CE254" i="1"/>
  <c r="BV255" i="1"/>
  <c r="BW255" i="1"/>
  <c r="BX255" i="1"/>
  <c r="BY255" i="1"/>
  <c r="BZ255" i="1"/>
  <c r="CA255" i="1"/>
  <c r="CB255" i="1"/>
  <c r="CC255" i="1"/>
  <c r="CD255" i="1"/>
  <c r="CE255" i="1"/>
  <c r="BV256" i="1"/>
  <c r="BW256" i="1"/>
  <c r="BX256" i="1"/>
  <c r="BY256" i="1"/>
  <c r="BZ256" i="1"/>
  <c r="CA256" i="1"/>
  <c r="CB256" i="1"/>
  <c r="CC256" i="1"/>
  <c r="CD256" i="1"/>
  <c r="CE256" i="1"/>
  <c r="BV257" i="1"/>
  <c r="BW257" i="1"/>
  <c r="BX257" i="1"/>
  <c r="BY257" i="1"/>
  <c r="BZ257" i="1"/>
  <c r="CA257" i="1"/>
  <c r="CB257" i="1"/>
  <c r="CC257" i="1"/>
  <c r="CD257" i="1"/>
  <c r="CE257" i="1"/>
  <c r="BV258" i="1"/>
  <c r="BW258" i="1"/>
  <c r="BX258" i="1"/>
  <c r="BY258" i="1"/>
  <c r="BZ258" i="1"/>
  <c r="CA258" i="1"/>
  <c r="CB258" i="1"/>
  <c r="CC258" i="1"/>
  <c r="CD258" i="1"/>
  <c r="CE258" i="1"/>
  <c r="BV259" i="1"/>
  <c r="BW259" i="1"/>
  <c r="BX259" i="1"/>
  <c r="BY259" i="1"/>
  <c r="BZ259" i="1"/>
  <c r="CA259" i="1"/>
  <c r="CB259" i="1"/>
  <c r="CC259" i="1"/>
  <c r="CD259" i="1"/>
  <c r="CE259" i="1"/>
  <c r="BV260" i="1"/>
  <c r="BW260" i="1"/>
  <c r="BX260" i="1"/>
  <c r="BY260" i="1"/>
  <c r="BZ260" i="1"/>
  <c r="CA260" i="1"/>
  <c r="CB260" i="1"/>
  <c r="CC260" i="1"/>
  <c r="CD260" i="1"/>
  <c r="CE260" i="1"/>
  <c r="BV261" i="1"/>
  <c r="BW261" i="1"/>
  <c r="BX261" i="1"/>
  <c r="BY261" i="1"/>
  <c r="BZ261" i="1"/>
  <c r="CA261" i="1"/>
  <c r="CB261" i="1"/>
  <c r="CC261" i="1"/>
  <c r="CD261" i="1"/>
  <c r="CE261" i="1"/>
  <c r="BV262" i="1"/>
  <c r="BW262" i="1"/>
  <c r="BX262" i="1"/>
  <c r="BY262" i="1"/>
  <c r="BZ262" i="1"/>
  <c r="CA262" i="1"/>
  <c r="CB262" i="1"/>
  <c r="CC262" i="1"/>
  <c r="CD262" i="1"/>
  <c r="CE262" i="1"/>
  <c r="BV263" i="1"/>
  <c r="BW263" i="1"/>
  <c r="BX263" i="1"/>
  <c r="BY263" i="1"/>
  <c r="BZ263" i="1"/>
  <c r="CA263" i="1"/>
  <c r="CB263" i="1"/>
  <c r="CC263" i="1"/>
  <c r="CD263" i="1"/>
  <c r="CE263" i="1"/>
  <c r="BV264" i="1"/>
  <c r="BW264" i="1"/>
  <c r="BX264" i="1"/>
  <c r="BY264" i="1"/>
  <c r="BZ264" i="1"/>
  <c r="CA264" i="1"/>
  <c r="CB264" i="1"/>
  <c r="CC264" i="1"/>
  <c r="CD264" i="1"/>
  <c r="CE264" i="1"/>
  <c r="BV265" i="1"/>
  <c r="BW265" i="1"/>
  <c r="BX265" i="1"/>
  <c r="BY265" i="1"/>
  <c r="BZ265" i="1"/>
  <c r="CA265" i="1"/>
  <c r="CB265" i="1"/>
  <c r="CC265" i="1"/>
  <c r="CD265" i="1"/>
  <c r="CE265" i="1"/>
  <c r="BV266" i="1"/>
  <c r="BW266" i="1"/>
  <c r="BX266" i="1"/>
  <c r="BY266" i="1"/>
  <c r="BZ266" i="1"/>
  <c r="CA266" i="1"/>
  <c r="CB266" i="1"/>
  <c r="CC266" i="1"/>
  <c r="CD266" i="1"/>
  <c r="CE266" i="1"/>
  <c r="BV267" i="1"/>
  <c r="BW267" i="1"/>
  <c r="BX267" i="1"/>
  <c r="BY267" i="1"/>
  <c r="BZ267" i="1"/>
  <c r="CA267" i="1"/>
  <c r="CB267" i="1"/>
  <c r="CC267" i="1"/>
  <c r="CD267" i="1"/>
  <c r="CE267" i="1"/>
  <c r="BV268" i="1"/>
  <c r="BW268" i="1"/>
  <c r="BX268" i="1"/>
  <c r="BY268" i="1"/>
  <c r="BZ268" i="1"/>
  <c r="CA268" i="1"/>
  <c r="CB268" i="1"/>
  <c r="CC268" i="1"/>
  <c r="CD268" i="1"/>
  <c r="CE268" i="1"/>
  <c r="BV269" i="1"/>
  <c r="BW269" i="1"/>
  <c r="BX269" i="1"/>
  <c r="BY269" i="1"/>
  <c r="BZ269" i="1"/>
  <c r="CA269" i="1"/>
  <c r="CB269" i="1"/>
  <c r="CC269" i="1"/>
  <c r="CD269" i="1"/>
  <c r="CE269" i="1"/>
  <c r="BV270" i="1"/>
  <c r="BW270" i="1"/>
  <c r="BX270" i="1"/>
  <c r="BY270" i="1"/>
  <c r="BZ270" i="1"/>
  <c r="CA270" i="1"/>
  <c r="CB270" i="1"/>
  <c r="CC270" i="1"/>
  <c r="CD270" i="1"/>
  <c r="CE270" i="1"/>
  <c r="BV271" i="1"/>
  <c r="BW271" i="1"/>
  <c r="BX271" i="1"/>
  <c r="BY271" i="1"/>
  <c r="BZ271" i="1"/>
  <c r="CA271" i="1"/>
  <c r="CB271" i="1"/>
  <c r="CC271" i="1"/>
  <c r="CD271" i="1"/>
  <c r="CE271" i="1"/>
  <c r="BV272" i="1"/>
  <c r="BW272" i="1"/>
  <c r="BX272" i="1"/>
  <c r="BY272" i="1"/>
  <c r="BZ272" i="1"/>
  <c r="CA272" i="1"/>
  <c r="CB272" i="1"/>
  <c r="CC272" i="1"/>
  <c r="CD272" i="1"/>
  <c r="CE272" i="1"/>
  <c r="BV273" i="1"/>
  <c r="BW273" i="1"/>
  <c r="BX273" i="1"/>
  <c r="BY273" i="1"/>
  <c r="BZ273" i="1"/>
  <c r="CA273" i="1"/>
  <c r="CB273" i="1"/>
  <c r="CC273" i="1"/>
  <c r="CD273" i="1"/>
  <c r="CE273" i="1"/>
  <c r="BV274" i="1"/>
  <c r="BW274" i="1"/>
  <c r="BX274" i="1"/>
  <c r="BY274" i="1"/>
  <c r="BZ274" i="1"/>
  <c r="CA274" i="1"/>
  <c r="CB274" i="1"/>
  <c r="CC274" i="1"/>
  <c r="CD274" i="1"/>
  <c r="CE274" i="1"/>
  <c r="BV275" i="1"/>
  <c r="BW275" i="1"/>
  <c r="BX275" i="1"/>
  <c r="BY275" i="1"/>
  <c r="BZ275" i="1"/>
  <c r="CA275" i="1"/>
  <c r="CB275" i="1"/>
  <c r="CC275" i="1"/>
  <c r="CD275" i="1"/>
  <c r="CE275" i="1"/>
  <c r="BV276" i="1"/>
  <c r="BW276" i="1"/>
  <c r="BX276" i="1"/>
  <c r="BY276" i="1"/>
  <c r="BZ276" i="1"/>
  <c r="CA276" i="1"/>
  <c r="CB276" i="1"/>
  <c r="CC276" i="1"/>
  <c r="CD276" i="1"/>
  <c r="CE276" i="1"/>
  <c r="BV277" i="1"/>
  <c r="BW277" i="1"/>
  <c r="BX277" i="1"/>
  <c r="BY277" i="1"/>
  <c r="BZ277" i="1"/>
  <c r="CA277" i="1"/>
  <c r="CB277" i="1"/>
  <c r="CC277" i="1"/>
  <c r="CD277" i="1"/>
  <c r="CE277" i="1"/>
  <c r="BV278" i="1"/>
  <c r="BW278" i="1"/>
  <c r="BX278" i="1"/>
  <c r="BY278" i="1"/>
  <c r="BZ278" i="1"/>
  <c r="CA278" i="1"/>
  <c r="CB278" i="1"/>
  <c r="CC278" i="1"/>
  <c r="CD278" i="1"/>
  <c r="CE278" i="1"/>
  <c r="BV279" i="1"/>
  <c r="BW279" i="1"/>
  <c r="BX279" i="1"/>
  <c r="BY279" i="1"/>
  <c r="BZ279" i="1"/>
  <c r="CA279" i="1"/>
  <c r="CB279" i="1"/>
  <c r="CC279" i="1"/>
  <c r="CD279" i="1"/>
  <c r="CE279" i="1"/>
  <c r="BV280" i="1"/>
  <c r="BW280" i="1"/>
  <c r="BX280" i="1"/>
  <c r="BY280" i="1"/>
  <c r="BZ280" i="1"/>
  <c r="CA280" i="1"/>
  <c r="CB280" i="1"/>
  <c r="CC280" i="1"/>
  <c r="CD280" i="1"/>
  <c r="CE280" i="1"/>
  <c r="BV281" i="1"/>
  <c r="BW281" i="1"/>
  <c r="BX281" i="1"/>
  <c r="BY281" i="1"/>
  <c r="BZ281" i="1"/>
  <c r="CA281" i="1"/>
  <c r="CB281" i="1"/>
  <c r="CC281" i="1"/>
  <c r="CD281" i="1"/>
  <c r="CE281" i="1"/>
  <c r="BV282" i="1"/>
  <c r="BW282" i="1"/>
  <c r="BX282" i="1"/>
  <c r="BY282" i="1"/>
  <c r="BZ282" i="1"/>
  <c r="CA282" i="1"/>
  <c r="CB282" i="1"/>
  <c r="CC282" i="1"/>
  <c r="CD282" i="1"/>
  <c r="CE282" i="1"/>
  <c r="BV283" i="1"/>
  <c r="BW283" i="1"/>
  <c r="BX283" i="1"/>
  <c r="BY283" i="1"/>
  <c r="BZ283" i="1"/>
  <c r="CA283" i="1"/>
  <c r="CB283" i="1"/>
  <c r="CC283" i="1"/>
  <c r="CD283" i="1"/>
  <c r="CE283" i="1"/>
  <c r="BV284" i="1"/>
  <c r="BW284" i="1"/>
  <c r="BX284" i="1"/>
  <c r="BY284" i="1"/>
  <c r="BZ284" i="1"/>
  <c r="CA284" i="1"/>
  <c r="CB284" i="1"/>
  <c r="CC284" i="1"/>
  <c r="CD284" i="1"/>
  <c r="CE284" i="1"/>
  <c r="BV285" i="1"/>
  <c r="BW285" i="1"/>
  <c r="BX285" i="1"/>
  <c r="BY285" i="1"/>
  <c r="BZ285" i="1"/>
  <c r="CA285" i="1"/>
  <c r="CB285" i="1"/>
  <c r="CC285" i="1"/>
  <c r="CD285" i="1"/>
  <c r="CE285" i="1"/>
  <c r="BV286" i="1"/>
  <c r="BW286" i="1"/>
  <c r="BX286" i="1"/>
  <c r="BY286" i="1"/>
  <c r="BZ286" i="1"/>
  <c r="CA286" i="1"/>
  <c r="CB286" i="1"/>
  <c r="CC286" i="1"/>
  <c r="CD286" i="1"/>
  <c r="CE286" i="1"/>
  <c r="BV287" i="1"/>
  <c r="BW287" i="1"/>
  <c r="BX287" i="1"/>
  <c r="BY287" i="1"/>
  <c r="BZ287" i="1"/>
  <c r="CA287" i="1"/>
  <c r="CB287" i="1"/>
  <c r="CC287" i="1"/>
  <c r="CD287" i="1"/>
  <c r="CE287" i="1"/>
  <c r="BV288" i="1"/>
  <c r="BW288" i="1"/>
  <c r="BX288" i="1"/>
  <c r="BY288" i="1"/>
  <c r="BZ288" i="1"/>
  <c r="CA288" i="1"/>
  <c r="CB288" i="1"/>
  <c r="CC288" i="1"/>
  <c r="CD288" i="1"/>
  <c r="CE288" i="1"/>
  <c r="BV289" i="1"/>
  <c r="BW289" i="1"/>
  <c r="BX289" i="1"/>
  <c r="BY289" i="1"/>
  <c r="BZ289" i="1"/>
  <c r="CA289" i="1"/>
  <c r="CB289" i="1"/>
  <c r="CC289" i="1"/>
  <c r="CD289" i="1"/>
  <c r="CE289" i="1"/>
  <c r="BV290" i="1"/>
  <c r="BW290" i="1"/>
  <c r="BX290" i="1"/>
  <c r="BY290" i="1"/>
  <c r="BZ290" i="1"/>
  <c r="CA290" i="1"/>
  <c r="CB290" i="1"/>
  <c r="CC290" i="1"/>
  <c r="CD290" i="1"/>
  <c r="CE290" i="1"/>
  <c r="BV291" i="1"/>
  <c r="BW291" i="1"/>
  <c r="BX291" i="1"/>
  <c r="BY291" i="1"/>
  <c r="BZ291" i="1"/>
  <c r="CA291" i="1"/>
  <c r="CB291" i="1"/>
  <c r="CC291" i="1"/>
  <c r="CD291" i="1"/>
  <c r="CE291" i="1"/>
  <c r="BV292" i="1"/>
  <c r="BW292" i="1"/>
  <c r="BX292" i="1"/>
  <c r="BY292" i="1"/>
  <c r="BZ292" i="1"/>
  <c r="CA292" i="1"/>
  <c r="CB292" i="1"/>
  <c r="CC292" i="1"/>
  <c r="CD292" i="1"/>
  <c r="CE292" i="1"/>
  <c r="BV293" i="1"/>
  <c r="BW293" i="1"/>
  <c r="BX293" i="1"/>
  <c r="BY293" i="1"/>
  <c r="BZ293" i="1"/>
  <c r="CA293" i="1"/>
  <c r="CB293" i="1"/>
  <c r="CC293" i="1"/>
  <c r="CD293" i="1"/>
  <c r="CE293" i="1"/>
  <c r="BV294" i="1"/>
  <c r="BW294" i="1"/>
  <c r="BX294" i="1"/>
  <c r="BY294" i="1"/>
  <c r="BZ294" i="1"/>
  <c r="CA294" i="1"/>
  <c r="CB294" i="1"/>
  <c r="CC294" i="1"/>
  <c r="CD294" i="1"/>
  <c r="CE294" i="1"/>
  <c r="BV295" i="1"/>
  <c r="BW295" i="1"/>
  <c r="BX295" i="1"/>
  <c r="BY295" i="1"/>
  <c r="BZ295" i="1"/>
  <c r="CA295" i="1"/>
  <c r="CB295" i="1"/>
  <c r="CC295" i="1"/>
  <c r="CD295" i="1"/>
  <c r="CE295" i="1"/>
  <c r="BV296" i="1"/>
  <c r="BW296" i="1"/>
  <c r="BX296" i="1"/>
  <c r="BY296" i="1"/>
  <c r="BZ296" i="1"/>
  <c r="CA296" i="1"/>
  <c r="CB296" i="1"/>
  <c r="CC296" i="1"/>
  <c r="CD296" i="1"/>
  <c r="CE296" i="1"/>
  <c r="BV297" i="1"/>
  <c r="BW297" i="1"/>
  <c r="BX297" i="1"/>
  <c r="BY297" i="1"/>
  <c r="BZ297" i="1"/>
  <c r="CA297" i="1"/>
  <c r="CB297" i="1"/>
  <c r="CC297" i="1"/>
  <c r="CD297" i="1"/>
  <c r="CE297" i="1"/>
  <c r="BV298" i="1"/>
  <c r="BW298" i="1"/>
  <c r="BX298" i="1"/>
  <c r="BY298" i="1"/>
  <c r="BZ298" i="1"/>
  <c r="CA298" i="1"/>
  <c r="CB298" i="1"/>
  <c r="CC298" i="1"/>
  <c r="CD298" i="1"/>
  <c r="CE298" i="1"/>
  <c r="BV299" i="1"/>
  <c r="BW299" i="1"/>
  <c r="BX299" i="1"/>
  <c r="BY299" i="1"/>
  <c r="BZ299" i="1"/>
  <c r="CA299" i="1"/>
  <c r="CB299" i="1"/>
  <c r="CC299" i="1"/>
  <c r="CD299" i="1"/>
  <c r="CE299" i="1"/>
  <c r="BV300" i="1"/>
  <c r="BW300" i="1"/>
  <c r="BX300" i="1"/>
  <c r="BY300" i="1"/>
  <c r="BZ300" i="1"/>
  <c r="CA300" i="1"/>
  <c r="CB300" i="1"/>
  <c r="CC300" i="1"/>
  <c r="CD300" i="1"/>
  <c r="CE300" i="1"/>
  <c r="BV301" i="1"/>
  <c r="BW301" i="1"/>
  <c r="BX301" i="1"/>
  <c r="BY301" i="1"/>
  <c r="BZ301" i="1"/>
  <c r="CA301" i="1"/>
  <c r="CB301" i="1"/>
  <c r="CC301" i="1"/>
  <c r="CD301" i="1"/>
  <c r="CE301" i="1"/>
  <c r="BV302" i="1"/>
  <c r="BW302" i="1"/>
  <c r="BX302" i="1"/>
  <c r="BY302" i="1"/>
  <c r="BZ302" i="1"/>
  <c r="CA302" i="1"/>
  <c r="CB302" i="1"/>
  <c r="CC302" i="1"/>
  <c r="CD302" i="1"/>
  <c r="CE302" i="1"/>
  <c r="BV303" i="1"/>
  <c r="BW303" i="1"/>
  <c r="BX303" i="1"/>
  <c r="BY303" i="1"/>
  <c r="BZ303" i="1"/>
  <c r="CA303" i="1"/>
  <c r="CB303" i="1"/>
  <c r="CC303" i="1"/>
  <c r="CD303" i="1"/>
  <c r="CE303" i="1"/>
  <c r="BV304" i="1"/>
  <c r="BW304" i="1"/>
  <c r="BX304" i="1"/>
  <c r="BY304" i="1"/>
  <c r="BZ304" i="1"/>
  <c r="CA304" i="1"/>
  <c r="CB304" i="1"/>
  <c r="CC304" i="1"/>
  <c r="CD304" i="1"/>
  <c r="CE304" i="1"/>
  <c r="BV305" i="1"/>
  <c r="BW305" i="1"/>
  <c r="BX305" i="1"/>
  <c r="BY305" i="1"/>
  <c r="BZ305" i="1"/>
  <c r="CA305" i="1"/>
  <c r="CB305" i="1"/>
  <c r="CC305" i="1"/>
  <c r="CD305" i="1"/>
  <c r="CE305" i="1"/>
  <c r="BV306" i="1"/>
  <c r="BW306" i="1"/>
  <c r="BX306" i="1"/>
  <c r="BY306" i="1"/>
  <c r="BZ306" i="1"/>
  <c r="CA306" i="1"/>
  <c r="CB306" i="1"/>
  <c r="CC306" i="1"/>
  <c r="CD306" i="1"/>
  <c r="CE306" i="1"/>
  <c r="BV307" i="1"/>
  <c r="BW307" i="1"/>
  <c r="BX307" i="1"/>
  <c r="BY307" i="1"/>
  <c r="BZ307" i="1"/>
  <c r="CA307" i="1"/>
  <c r="CB307" i="1"/>
  <c r="CC307" i="1"/>
  <c r="CD307" i="1"/>
  <c r="CE307" i="1"/>
  <c r="BV308" i="1"/>
  <c r="BW308" i="1"/>
  <c r="BX308" i="1"/>
  <c r="BY308" i="1"/>
  <c r="BZ308" i="1"/>
  <c r="CA308" i="1"/>
  <c r="CB308" i="1"/>
  <c r="CC308" i="1"/>
  <c r="CD308" i="1"/>
  <c r="CE308" i="1"/>
  <c r="BV309" i="1"/>
  <c r="BW309" i="1"/>
  <c r="BX309" i="1"/>
  <c r="BY309" i="1"/>
  <c r="BZ309" i="1"/>
  <c r="CA309" i="1"/>
  <c r="CB309" i="1"/>
  <c r="CC309" i="1"/>
  <c r="CD309" i="1"/>
  <c r="CE309" i="1"/>
  <c r="BV310" i="1"/>
  <c r="BW310" i="1"/>
  <c r="BX310" i="1"/>
  <c r="BY310" i="1"/>
  <c r="BZ310" i="1"/>
  <c r="CA310" i="1"/>
  <c r="CB310" i="1"/>
  <c r="CC310" i="1"/>
  <c r="CD310" i="1"/>
  <c r="CE310" i="1"/>
  <c r="BV311" i="1"/>
  <c r="BW311" i="1"/>
  <c r="BX311" i="1"/>
  <c r="BY311" i="1"/>
  <c r="BZ311" i="1"/>
  <c r="CA311" i="1"/>
  <c r="CB311" i="1"/>
  <c r="CC311" i="1"/>
  <c r="CD311" i="1"/>
  <c r="CE311" i="1"/>
  <c r="BV312" i="1"/>
  <c r="BW312" i="1"/>
  <c r="BX312" i="1"/>
  <c r="BY312" i="1"/>
  <c r="BZ312" i="1"/>
  <c r="CA312" i="1"/>
  <c r="CB312" i="1"/>
  <c r="CC312" i="1"/>
  <c r="CD312" i="1"/>
  <c r="CE312" i="1"/>
  <c r="BV313" i="1"/>
  <c r="BW313" i="1"/>
  <c r="BX313" i="1"/>
  <c r="BY313" i="1"/>
  <c r="BZ313" i="1"/>
  <c r="CA313" i="1"/>
  <c r="CB313" i="1"/>
  <c r="CC313" i="1"/>
  <c r="CD313" i="1"/>
  <c r="CE313" i="1"/>
  <c r="BV314" i="1"/>
  <c r="BW314" i="1"/>
  <c r="BX314" i="1"/>
  <c r="BY314" i="1"/>
  <c r="BZ314" i="1"/>
  <c r="CA314" i="1"/>
  <c r="CB314" i="1"/>
  <c r="CC314" i="1"/>
  <c r="CD314" i="1"/>
  <c r="CE314" i="1"/>
  <c r="BV315" i="1"/>
  <c r="BW315" i="1"/>
  <c r="BX315" i="1"/>
  <c r="BY315" i="1"/>
  <c r="BZ315" i="1"/>
  <c r="CA315" i="1"/>
  <c r="CB315" i="1"/>
  <c r="CC315" i="1"/>
  <c r="CD315" i="1"/>
  <c r="CE315" i="1"/>
  <c r="BV316" i="1"/>
  <c r="BW316" i="1"/>
  <c r="BX316" i="1"/>
  <c r="BY316" i="1"/>
  <c r="BZ316" i="1"/>
  <c r="CA316" i="1"/>
  <c r="CB316" i="1"/>
  <c r="CC316" i="1"/>
  <c r="CD316" i="1"/>
  <c r="CE316" i="1"/>
  <c r="BV317" i="1"/>
  <c r="BW317" i="1"/>
  <c r="BX317" i="1"/>
  <c r="BY317" i="1"/>
  <c r="BZ317" i="1"/>
  <c r="CA317" i="1"/>
  <c r="CB317" i="1"/>
  <c r="CC317" i="1"/>
  <c r="CD317" i="1"/>
  <c r="CE317" i="1"/>
  <c r="BV318" i="1"/>
  <c r="BW318" i="1"/>
  <c r="BX318" i="1"/>
  <c r="BY318" i="1"/>
  <c r="BZ318" i="1"/>
  <c r="CA318" i="1"/>
  <c r="CB318" i="1"/>
  <c r="CC318" i="1"/>
  <c r="CD318" i="1"/>
  <c r="CE318" i="1"/>
  <c r="BV319" i="1"/>
  <c r="BW319" i="1"/>
  <c r="BX319" i="1"/>
  <c r="BY319" i="1"/>
  <c r="BZ319" i="1"/>
  <c r="CA319" i="1"/>
  <c r="CB319" i="1"/>
  <c r="CC319" i="1"/>
  <c r="CD319" i="1"/>
  <c r="CE319" i="1"/>
  <c r="BV320" i="1"/>
  <c r="BW320" i="1"/>
  <c r="BX320" i="1"/>
  <c r="BY320" i="1"/>
  <c r="BZ320" i="1"/>
  <c r="CA320" i="1"/>
  <c r="CB320" i="1"/>
  <c r="CC320" i="1"/>
  <c r="CD320" i="1"/>
  <c r="CE320" i="1"/>
  <c r="BV321" i="1"/>
  <c r="BW321" i="1"/>
  <c r="BX321" i="1"/>
  <c r="BY321" i="1"/>
  <c r="BZ321" i="1"/>
  <c r="CA321" i="1"/>
  <c r="CB321" i="1"/>
  <c r="CC321" i="1"/>
  <c r="CD321" i="1"/>
  <c r="CE321" i="1"/>
  <c r="BV322" i="1"/>
  <c r="BW322" i="1"/>
  <c r="BX322" i="1"/>
  <c r="BY322" i="1"/>
  <c r="BZ322" i="1"/>
  <c r="CA322" i="1"/>
  <c r="CB322" i="1"/>
  <c r="CC322" i="1"/>
  <c r="CD322" i="1"/>
  <c r="CE322" i="1"/>
  <c r="BV323" i="1"/>
  <c r="BW323" i="1"/>
  <c r="BX323" i="1"/>
  <c r="BY323" i="1"/>
  <c r="BZ323" i="1"/>
  <c r="CA323" i="1"/>
  <c r="CB323" i="1"/>
  <c r="CC323" i="1"/>
  <c r="CD323" i="1"/>
  <c r="CE323" i="1"/>
  <c r="BV324" i="1"/>
  <c r="BW324" i="1"/>
  <c r="BX324" i="1"/>
  <c r="BY324" i="1"/>
  <c r="BZ324" i="1"/>
  <c r="CA324" i="1"/>
  <c r="CB324" i="1"/>
  <c r="CC324" i="1"/>
  <c r="CD324" i="1"/>
  <c r="CE324" i="1"/>
  <c r="BV325" i="1"/>
  <c r="BW325" i="1"/>
  <c r="BX325" i="1"/>
  <c r="BY325" i="1"/>
  <c r="BZ325" i="1"/>
  <c r="CA325" i="1"/>
  <c r="CB325" i="1"/>
  <c r="CC325" i="1"/>
  <c r="CD325" i="1"/>
  <c r="CE325" i="1"/>
  <c r="BV326" i="1"/>
  <c r="BW326" i="1"/>
  <c r="BX326" i="1"/>
  <c r="BY326" i="1"/>
  <c r="BZ326" i="1"/>
  <c r="CA326" i="1"/>
  <c r="CB326" i="1"/>
  <c r="CC326" i="1"/>
  <c r="CD326" i="1"/>
  <c r="CE326" i="1"/>
  <c r="BV327" i="1"/>
  <c r="BW327" i="1"/>
  <c r="BX327" i="1"/>
  <c r="BY327" i="1"/>
  <c r="BZ327" i="1"/>
  <c r="CA327" i="1"/>
  <c r="CB327" i="1"/>
  <c r="CC327" i="1"/>
  <c r="CD327" i="1"/>
  <c r="CE327" i="1"/>
  <c r="BV328" i="1"/>
  <c r="BW328" i="1"/>
  <c r="BX328" i="1"/>
  <c r="BY328" i="1"/>
  <c r="BZ328" i="1"/>
  <c r="CA328" i="1"/>
  <c r="CB328" i="1"/>
  <c r="CC328" i="1"/>
  <c r="CD328" i="1"/>
  <c r="CE328" i="1"/>
  <c r="BV329" i="1"/>
  <c r="BW329" i="1"/>
  <c r="BX329" i="1"/>
  <c r="BY329" i="1"/>
  <c r="BZ329" i="1"/>
  <c r="CA329" i="1"/>
  <c r="CB329" i="1"/>
  <c r="CC329" i="1"/>
  <c r="CD329" i="1"/>
  <c r="CE329" i="1"/>
  <c r="BV330" i="1"/>
  <c r="BW330" i="1"/>
  <c r="BX330" i="1"/>
  <c r="BY330" i="1"/>
  <c r="BZ330" i="1"/>
  <c r="CA330" i="1"/>
  <c r="CB330" i="1"/>
  <c r="CC330" i="1"/>
  <c r="CD330" i="1"/>
  <c r="CE330" i="1"/>
  <c r="BV331" i="1"/>
  <c r="BW331" i="1"/>
  <c r="BX331" i="1"/>
  <c r="BY331" i="1"/>
  <c r="BZ331" i="1"/>
  <c r="CA331" i="1"/>
  <c r="CB331" i="1"/>
  <c r="CC331" i="1"/>
  <c r="CD331" i="1"/>
  <c r="CE331" i="1"/>
  <c r="BV332" i="1"/>
  <c r="BW332" i="1"/>
  <c r="BX332" i="1"/>
  <c r="BY332" i="1"/>
  <c r="BZ332" i="1"/>
  <c r="CA332" i="1"/>
  <c r="CB332" i="1"/>
  <c r="CC332" i="1"/>
  <c r="CD332" i="1"/>
  <c r="CE332" i="1"/>
  <c r="BV333" i="1"/>
  <c r="BW333" i="1"/>
  <c r="BX333" i="1"/>
  <c r="BY333" i="1"/>
  <c r="BZ333" i="1"/>
  <c r="CA333" i="1"/>
  <c r="CB333" i="1"/>
  <c r="CC333" i="1"/>
  <c r="CD333" i="1"/>
  <c r="CE333" i="1"/>
  <c r="BV334" i="1"/>
  <c r="BW334" i="1"/>
  <c r="BX334" i="1"/>
  <c r="BY334" i="1"/>
  <c r="BZ334" i="1"/>
  <c r="CA334" i="1"/>
  <c r="CB334" i="1"/>
  <c r="CC334" i="1"/>
  <c r="CD334" i="1"/>
  <c r="CE334" i="1"/>
  <c r="BV335" i="1"/>
  <c r="BW335" i="1"/>
  <c r="BX335" i="1"/>
  <c r="BY335" i="1"/>
  <c r="BZ335" i="1"/>
  <c r="CA335" i="1"/>
  <c r="CB335" i="1"/>
  <c r="CC335" i="1"/>
  <c r="CD335" i="1"/>
  <c r="CE335" i="1"/>
  <c r="BV336" i="1"/>
  <c r="BW336" i="1"/>
  <c r="BX336" i="1"/>
  <c r="BY336" i="1"/>
  <c r="BZ336" i="1"/>
  <c r="CA336" i="1"/>
  <c r="CB336" i="1"/>
  <c r="CC336" i="1"/>
  <c r="CD336" i="1"/>
  <c r="CE336" i="1"/>
  <c r="BV337" i="1"/>
  <c r="BW337" i="1"/>
  <c r="BX337" i="1"/>
  <c r="BY337" i="1"/>
  <c r="BZ337" i="1"/>
  <c r="CA337" i="1"/>
  <c r="CB337" i="1"/>
  <c r="CC337" i="1"/>
  <c r="CD337" i="1"/>
  <c r="CE337" i="1"/>
  <c r="BV338" i="1"/>
  <c r="BW338" i="1"/>
  <c r="BX338" i="1"/>
  <c r="BY338" i="1"/>
  <c r="BZ338" i="1"/>
  <c r="CA338" i="1"/>
  <c r="CB338" i="1"/>
  <c r="CC338" i="1"/>
  <c r="CD338" i="1"/>
  <c r="CE338" i="1"/>
  <c r="BV339" i="1"/>
  <c r="BW339" i="1"/>
  <c r="BX339" i="1"/>
  <c r="BY339" i="1"/>
  <c r="BZ339" i="1"/>
  <c r="CA339" i="1"/>
  <c r="CB339" i="1"/>
  <c r="CC339" i="1"/>
  <c r="CD339" i="1"/>
  <c r="CE339" i="1"/>
  <c r="BV340" i="1"/>
  <c r="BW340" i="1"/>
  <c r="BX340" i="1"/>
  <c r="BY340" i="1"/>
  <c r="BZ340" i="1"/>
  <c r="CA340" i="1"/>
  <c r="CB340" i="1"/>
  <c r="CC340" i="1"/>
  <c r="CD340" i="1"/>
  <c r="CE340" i="1"/>
  <c r="BV341" i="1"/>
  <c r="BW341" i="1"/>
  <c r="BX341" i="1"/>
  <c r="BY341" i="1"/>
  <c r="BZ341" i="1"/>
  <c r="CA341" i="1"/>
  <c r="CB341" i="1"/>
  <c r="CC341" i="1"/>
  <c r="CD341" i="1"/>
  <c r="CE341" i="1"/>
  <c r="BV342" i="1"/>
  <c r="BW342" i="1"/>
  <c r="BX342" i="1"/>
  <c r="BY342" i="1"/>
  <c r="BZ342" i="1"/>
  <c r="CA342" i="1"/>
  <c r="CB342" i="1"/>
  <c r="CC342" i="1"/>
  <c r="CD342" i="1"/>
  <c r="CE342" i="1"/>
  <c r="BV343" i="1"/>
  <c r="BW343" i="1"/>
  <c r="BX343" i="1"/>
  <c r="BY343" i="1"/>
  <c r="BZ343" i="1"/>
  <c r="CA343" i="1"/>
  <c r="CB343" i="1"/>
  <c r="CC343" i="1"/>
  <c r="CD343" i="1"/>
  <c r="CE343" i="1"/>
  <c r="BV344" i="1"/>
  <c r="BW344" i="1"/>
  <c r="BX344" i="1"/>
  <c r="BY344" i="1"/>
  <c r="BZ344" i="1"/>
  <c r="CA344" i="1"/>
  <c r="CB344" i="1"/>
  <c r="CC344" i="1"/>
  <c r="CD344" i="1"/>
  <c r="CE344" i="1"/>
  <c r="BV345" i="1"/>
  <c r="BW345" i="1"/>
  <c r="BX345" i="1"/>
  <c r="BY345" i="1"/>
  <c r="BZ345" i="1"/>
  <c r="CA345" i="1"/>
  <c r="CB345" i="1"/>
  <c r="CC345" i="1"/>
  <c r="CD345" i="1"/>
  <c r="CE345" i="1"/>
  <c r="BV346" i="1"/>
  <c r="BW346" i="1"/>
  <c r="BX346" i="1"/>
  <c r="BY346" i="1"/>
  <c r="BZ346" i="1"/>
  <c r="CA346" i="1"/>
  <c r="CB346" i="1"/>
  <c r="CC346" i="1"/>
  <c r="CD346" i="1"/>
  <c r="CE346" i="1"/>
  <c r="BV347" i="1"/>
  <c r="BW347" i="1"/>
  <c r="BX347" i="1"/>
  <c r="BY347" i="1"/>
  <c r="BZ347" i="1"/>
  <c r="CA347" i="1"/>
  <c r="CB347" i="1"/>
  <c r="CC347" i="1"/>
  <c r="CD347" i="1"/>
  <c r="CE347" i="1"/>
  <c r="BV348" i="1"/>
  <c r="BW348" i="1"/>
  <c r="BX348" i="1"/>
  <c r="BY348" i="1"/>
  <c r="BZ348" i="1"/>
  <c r="CA348" i="1"/>
  <c r="CB348" i="1"/>
  <c r="CC348" i="1"/>
  <c r="CD348" i="1"/>
  <c r="CE348" i="1"/>
  <c r="BV349" i="1"/>
  <c r="BW349" i="1"/>
  <c r="BX349" i="1"/>
  <c r="BY349" i="1"/>
  <c r="BZ349" i="1"/>
  <c r="CA349" i="1"/>
  <c r="CB349" i="1"/>
  <c r="CC349" i="1"/>
  <c r="CD349" i="1"/>
  <c r="CE349" i="1"/>
  <c r="BV350" i="1"/>
  <c r="BW350" i="1"/>
  <c r="BX350" i="1"/>
  <c r="BY350" i="1"/>
  <c r="BZ350" i="1"/>
  <c r="CA350" i="1"/>
  <c r="CB350" i="1"/>
  <c r="CC350" i="1"/>
  <c r="CD350" i="1"/>
  <c r="CE350" i="1"/>
  <c r="BV351" i="1"/>
  <c r="BW351" i="1"/>
  <c r="BX351" i="1"/>
  <c r="BY351" i="1"/>
  <c r="BZ351" i="1"/>
  <c r="CA351" i="1"/>
  <c r="CB351" i="1"/>
  <c r="CC351" i="1"/>
  <c r="CD351" i="1"/>
  <c r="CE351" i="1"/>
  <c r="BV352" i="1"/>
  <c r="BW352" i="1"/>
  <c r="BX352" i="1"/>
  <c r="BY352" i="1"/>
  <c r="BZ352" i="1"/>
  <c r="CA352" i="1"/>
  <c r="CB352" i="1"/>
  <c r="CC352" i="1"/>
  <c r="CD352" i="1"/>
  <c r="CE352" i="1"/>
  <c r="BV353" i="1"/>
  <c r="BW353" i="1"/>
  <c r="BX353" i="1"/>
  <c r="BY353" i="1"/>
  <c r="BZ353" i="1"/>
  <c r="CA353" i="1"/>
  <c r="CB353" i="1"/>
  <c r="CC353" i="1"/>
  <c r="CD353" i="1"/>
  <c r="CE353" i="1"/>
  <c r="BV354" i="1"/>
  <c r="BW354" i="1"/>
  <c r="BX354" i="1"/>
  <c r="BY354" i="1"/>
  <c r="BZ354" i="1"/>
  <c r="CA354" i="1"/>
  <c r="CB354" i="1"/>
  <c r="CC354" i="1"/>
  <c r="CD354" i="1"/>
  <c r="CE354" i="1"/>
  <c r="BV355" i="1"/>
  <c r="BW355" i="1"/>
  <c r="BX355" i="1"/>
  <c r="BY355" i="1"/>
  <c r="BZ355" i="1"/>
  <c r="CA355" i="1"/>
  <c r="CB355" i="1"/>
  <c r="CC355" i="1"/>
  <c r="CD355" i="1"/>
  <c r="CE355" i="1"/>
  <c r="BV356" i="1"/>
  <c r="BW356" i="1"/>
  <c r="BX356" i="1"/>
  <c r="BY356" i="1"/>
  <c r="BZ356" i="1"/>
  <c r="CA356" i="1"/>
  <c r="CB356" i="1"/>
  <c r="CC356" i="1"/>
  <c r="CD356" i="1"/>
  <c r="CE356" i="1"/>
  <c r="BV357" i="1"/>
  <c r="BW357" i="1"/>
  <c r="BX357" i="1"/>
  <c r="BY357" i="1"/>
  <c r="BZ357" i="1"/>
  <c r="CA357" i="1"/>
  <c r="CB357" i="1"/>
  <c r="CC357" i="1"/>
  <c r="CD357" i="1"/>
  <c r="CE357" i="1"/>
  <c r="BV358" i="1"/>
  <c r="BW358" i="1"/>
  <c r="BX358" i="1"/>
  <c r="BY358" i="1"/>
  <c r="BZ358" i="1"/>
  <c r="CA358" i="1"/>
  <c r="CB358" i="1"/>
  <c r="CC358" i="1"/>
  <c r="CD358" i="1"/>
  <c r="CE358" i="1"/>
  <c r="BV359" i="1"/>
  <c r="BW359" i="1"/>
  <c r="BX359" i="1"/>
  <c r="BY359" i="1"/>
  <c r="BZ359" i="1"/>
  <c r="CA359" i="1"/>
  <c r="CB359" i="1"/>
  <c r="CC359" i="1"/>
  <c r="CD359" i="1"/>
  <c r="CE359" i="1"/>
  <c r="BV360" i="1"/>
  <c r="BW360" i="1"/>
  <c r="BX360" i="1"/>
  <c r="BY360" i="1"/>
  <c r="BZ360" i="1"/>
  <c r="CA360" i="1"/>
  <c r="CB360" i="1"/>
  <c r="CC360" i="1"/>
  <c r="CD360" i="1"/>
  <c r="CE360" i="1"/>
  <c r="BV361" i="1"/>
  <c r="BW361" i="1"/>
  <c r="BX361" i="1"/>
  <c r="BY361" i="1"/>
  <c r="BZ361" i="1"/>
  <c r="CA361" i="1"/>
  <c r="CB361" i="1"/>
  <c r="CC361" i="1"/>
  <c r="CD361" i="1"/>
  <c r="CE361" i="1"/>
  <c r="BV362" i="1"/>
  <c r="BW362" i="1"/>
  <c r="BX362" i="1"/>
  <c r="BY362" i="1"/>
  <c r="BZ362" i="1"/>
  <c r="CA362" i="1"/>
  <c r="CB362" i="1"/>
  <c r="CC362" i="1"/>
  <c r="CD362" i="1"/>
  <c r="CE362" i="1"/>
  <c r="BV363" i="1"/>
  <c r="BW363" i="1"/>
  <c r="BX363" i="1"/>
  <c r="BY363" i="1"/>
  <c r="BZ363" i="1"/>
  <c r="CA363" i="1"/>
  <c r="CB363" i="1"/>
  <c r="CC363" i="1"/>
  <c r="CD363" i="1"/>
  <c r="CE363" i="1"/>
  <c r="BV364" i="1"/>
  <c r="BW364" i="1"/>
  <c r="BX364" i="1"/>
  <c r="BY364" i="1"/>
  <c r="BZ364" i="1"/>
  <c r="CA364" i="1"/>
  <c r="CB364" i="1"/>
  <c r="CC364" i="1"/>
  <c r="CD364" i="1"/>
  <c r="CE364" i="1"/>
  <c r="BV365" i="1"/>
  <c r="BW365" i="1"/>
  <c r="BX365" i="1"/>
  <c r="BY365" i="1"/>
  <c r="BZ365" i="1"/>
  <c r="CA365" i="1"/>
  <c r="CB365" i="1"/>
  <c r="CC365" i="1"/>
  <c r="CD365" i="1"/>
  <c r="CE365" i="1"/>
  <c r="BV366" i="1"/>
  <c r="BW366" i="1"/>
  <c r="BX366" i="1"/>
  <c r="BY366" i="1"/>
  <c r="BZ366" i="1"/>
  <c r="CA366" i="1"/>
  <c r="CB366" i="1"/>
  <c r="CC366" i="1"/>
  <c r="CD366" i="1"/>
  <c r="CE366" i="1"/>
  <c r="BV367" i="1"/>
  <c r="BW367" i="1"/>
  <c r="BX367" i="1"/>
  <c r="BY367" i="1"/>
  <c r="BZ367" i="1"/>
  <c r="CA367" i="1"/>
  <c r="CB367" i="1"/>
  <c r="CC367" i="1"/>
  <c r="CD367" i="1"/>
  <c r="CE367" i="1"/>
  <c r="BV368" i="1"/>
  <c r="BW368" i="1"/>
  <c r="BX368" i="1"/>
  <c r="BY368" i="1"/>
  <c r="BZ368" i="1"/>
  <c r="CA368" i="1"/>
  <c r="CB368" i="1"/>
  <c r="CC368" i="1"/>
  <c r="CD368" i="1"/>
  <c r="CE368" i="1"/>
  <c r="BV369" i="1"/>
  <c r="BW369" i="1"/>
  <c r="BX369" i="1"/>
  <c r="BY369" i="1"/>
  <c r="BZ369" i="1"/>
  <c r="CA369" i="1"/>
  <c r="CB369" i="1"/>
  <c r="CC369" i="1"/>
  <c r="CD369" i="1"/>
  <c r="CE369" i="1"/>
  <c r="BV370" i="1"/>
  <c r="BW370" i="1"/>
  <c r="BX370" i="1"/>
  <c r="BY370" i="1"/>
  <c r="BZ370" i="1"/>
  <c r="CA370" i="1"/>
  <c r="CB370" i="1"/>
  <c r="CC370" i="1"/>
  <c r="CD370" i="1"/>
  <c r="CE370" i="1"/>
  <c r="BV371" i="1"/>
  <c r="BW371" i="1"/>
  <c r="BX371" i="1"/>
  <c r="BY371" i="1"/>
  <c r="BZ371" i="1"/>
  <c r="CA371" i="1"/>
  <c r="CB371" i="1"/>
  <c r="CC371" i="1"/>
  <c r="CD371" i="1"/>
  <c r="CE371" i="1"/>
  <c r="BV372" i="1"/>
  <c r="BW372" i="1"/>
  <c r="BX372" i="1"/>
  <c r="BY372" i="1"/>
  <c r="BZ372" i="1"/>
  <c r="CA372" i="1"/>
  <c r="CB372" i="1"/>
  <c r="CC372" i="1"/>
  <c r="CD372" i="1"/>
  <c r="CE372" i="1"/>
  <c r="BV373" i="1"/>
  <c r="BW373" i="1"/>
  <c r="BX373" i="1"/>
  <c r="BY373" i="1"/>
  <c r="BZ373" i="1"/>
  <c r="CA373" i="1"/>
  <c r="CB373" i="1"/>
  <c r="CC373" i="1"/>
  <c r="CD373" i="1"/>
  <c r="CE373" i="1"/>
  <c r="BV374" i="1"/>
  <c r="BW374" i="1"/>
  <c r="BX374" i="1"/>
  <c r="BY374" i="1"/>
  <c r="BZ374" i="1"/>
  <c r="CA374" i="1"/>
  <c r="CB374" i="1"/>
  <c r="CC374" i="1"/>
  <c r="CD374" i="1"/>
  <c r="CE374" i="1"/>
  <c r="BV375" i="1"/>
  <c r="BW375" i="1"/>
  <c r="BX375" i="1"/>
  <c r="BY375" i="1"/>
  <c r="BZ375" i="1"/>
  <c r="CA375" i="1"/>
  <c r="CB375" i="1"/>
  <c r="CC375" i="1"/>
  <c r="CD375" i="1"/>
  <c r="CE375" i="1"/>
  <c r="BV376" i="1"/>
  <c r="BW376" i="1"/>
  <c r="BX376" i="1"/>
  <c r="BY376" i="1"/>
  <c r="BZ376" i="1"/>
  <c r="CA376" i="1"/>
  <c r="CB376" i="1"/>
  <c r="CC376" i="1"/>
  <c r="CD376" i="1"/>
  <c r="CE376" i="1"/>
  <c r="BV377" i="1"/>
  <c r="BW377" i="1"/>
  <c r="BX377" i="1"/>
  <c r="BY377" i="1"/>
  <c r="BZ377" i="1"/>
  <c r="CA377" i="1"/>
  <c r="CB377" i="1"/>
  <c r="CC377" i="1"/>
  <c r="CD377" i="1"/>
  <c r="CE377" i="1"/>
  <c r="BV378" i="1"/>
  <c r="BW378" i="1"/>
  <c r="BX378" i="1"/>
  <c r="BY378" i="1"/>
  <c r="BZ378" i="1"/>
  <c r="CA378" i="1"/>
  <c r="CB378" i="1"/>
  <c r="CC378" i="1"/>
  <c r="CD378" i="1"/>
  <c r="CE378" i="1"/>
  <c r="BV379" i="1"/>
  <c r="BW379" i="1"/>
  <c r="BX379" i="1"/>
  <c r="BY379" i="1"/>
  <c r="BZ379" i="1"/>
  <c r="CA379" i="1"/>
  <c r="CB379" i="1"/>
  <c r="CC379" i="1"/>
  <c r="CD379" i="1"/>
  <c r="CE379" i="1"/>
  <c r="BV380" i="1"/>
  <c r="BW380" i="1"/>
  <c r="BX380" i="1"/>
  <c r="BY380" i="1"/>
  <c r="BZ380" i="1"/>
  <c r="CA380" i="1"/>
  <c r="CB380" i="1"/>
  <c r="CC380" i="1"/>
  <c r="CD380" i="1"/>
  <c r="CE380" i="1"/>
  <c r="BV381" i="1"/>
  <c r="BW381" i="1"/>
  <c r="BX381" i="1"/>
  <c r="BY381" i="1"/>
  <c r="BZ381" i="1"/>
  <c r="CA381" i="1"/>
  <c r="CB381" i="1"/>
  <c r="CC381" i="1"/>
  <c r="CD381" i="1"/>
  <c r="CE381" i="1"/>
  <c r="BV382" i="1"/>
  <c r="BW382" i="1"/>
  <c r="BX382" i="1"/>
  <c r="BY382" i="1"/>
  <c r="BZ382" i="1"/>
  <c r="CA382" i="1"/>
  <c r="CB382" i="1"/>
  <c r="CC382" i="1"/>
  <c r="CD382" i="1"/>
  <c r="CE382" i="1"/>
  <c r="BV383" i="1"/>
  <c r="BW383" i="1"/>
  <c r="BX383" i="1"/>
  <c r="BY383" i="1"/>
  <c r="BZ383" i="1"/>
  <c r="CA383" i="1"/>
  <c r="CB383" i="1"/>
  <c r="CC383" i="1"/>
  <c r="CD383" i="1"/>
  <c r="CE383" i="1"/>
  <c r="BV384" i="1"/>
  <c r="BW384" i="1"/>
  <c r="BX384" i="1"/>
  <c r="BY384" i="1"/>
  <c r="BZ384" i="1"/>
  <c r="CA384" i="1"/>
  <c r="CB384" i="1"/>
  <c r="CC384" i="1"/>
  <c r="CD384" i="1"/>
  <c r="CE384" i="1"/>
  <c r="BV385" i="1"/>
  <c r="BW385" i="1"/>
  <c r="BX385" i="1"/>
  <c r="BY385" i="1"/>
  <c r="BZ385" i="1"/>
  <c r="CA385" i="1"/>
  <c r="CB385" i="1"/>
  <c r="CC385" i="1"/>
  <c r="CD385" i="1"/>
  <c r="CE385" i="1"/>
  <c r="BV386" i="1"/>
  <c r="BW386" i="1"/>
  <c r="BX386" i="1"/>
  <c r="BY386" i="1"/>
  <c r="BZ386" i="1"/>
  <c r="CA386" i="1"/>
  <c r="CB386" i="1"/>
  <c r="CC386" i="1"/>
  <c r="CD386" i="1"/>
  <c r="CE386" i="1"/>
  <c r="BV387" i="1"/>
  <c r="BW387" i="1"/>
  <c r="BX387" i="1"/>
  <c r="BY387" i="1"/>
  <c r="BZ387" i="1"/>
  <c r="CA387" i="1"/>
  <c r="CB387" i="1"/>
  <c r="CC387" i="1"/>
  <c r="CD387" i="1"/>
  <c r="CE387" i="1"/>
  <c r="BV388" i="1"/>
  <c r="BW388" i="1"/>
  <c r="BX388" i="1"/>
  <c r="BY388" i="1"/>
  <c r="BZ388" i="1"/>
  <c r="CA388" i="1"/>
  <c r="CB388" i="1"/>
  <c r="CC388" i="1"/>
  <c r="CD388" i="1"/>
  <c r="CE388" i="1"/>
  <c r="BV389" i="1"/>
  <c r="BW389" i="1"/>
  <c r="BX389" i="1"/>
  <c r="BY389" i="1"/>
  <c r="BZ389" i="1"/>
  <c r="CA389" i="1"/>
  <c r="CB389" i="1"/>
  <c r="CC389" i="1"/>
  <c r="CD389" i="1"/>
  <c r="CE389" i="1"/>
  <c r="BV390" i="1"/>
  <c r="BW390" i="1"/>
  <c r="BX390" i="1"/>
  <c r="BY390" i="1"/>
  <c r="BZ390" i="1"/>
  <c r="CA390" i="1"/>
  <c r="CB390" i="1"/>
  <c r="CC390" i="1"/>
  <c r="CD390" i="1"/>
  <c r="CE390" i="1"/>
  <c r="BV391" i="1"/>
  <c r="BW391" i="1"/>
  <c r="BX391" i="1"/>
  <c r="BY391" i="1"/>
  <c r="BZ391" i="1"/>
  <c r="CA391" i="1"/>
  <c r="CB391" i="1"/>
  <c r="CC391" i="1"/>
  <c r="CD391" i="1"/>
  <c r="CE391" i="1"/>
  <c r="BV392" i="1"/>
  <c r="BW392" i="1"/>
  <c r="BX392" i="1"/>
  <c r="BY392" i="1"/>
  <c r="BZ392" i="1"/>
  <c r="CA392" i="1"/>
  <c r="CB392" i="1"/>
  <c r="CC392" i="1"/>
  <c r="CD392" i="1"/>
  <c r="CE392" i="1"/>
  <c r="BV393" i="1"/>
  <c r="BW393" i="1"/>
  <c r="BX393" i="1"/>
  <c r="BY393" i="1"/>
  <c r="BZ393" i="1"/>
  <c r="CA393" i="1"/>
  <c r="CB393" i="1"/>
  <c r="CC393" i="1"/>
  <c r="CD393" i="1"/>
  <c r="CE393" i="1"/>
  <c r="BV394" i="1"/>
  <c r="BW394" i="1"/>
  <c r="BX394" i="1"/>
  <c r="BY394" i="1"/>
  <c r="BZ394" i="1"/>
  <c r="CA394" i="1"/>
  <c r="CB394" i="1"/>
  <c r="CC394" i="1"/>
  <c r="CD394" i="1"/>
  <c r="CE394" i="1"/>
  <c r="BV395" i="1"/>
  <c r="BW395" i="1"/>
  <c r="BX395" i="1"/>
  <c r="BY395" i="1"/>
  <c r="BZ395" i="1"/>
  <c r="CA395" i="1"/>
  <c r="CB395" i="1"/>
  <c r="CC395" i="1"/>
  <c r="CD395" i="1"/>
  <c r="CE395" i="1"/>
  <c r="BV396" i="1"/>
  <c r="BW396" i="1"/>
  <c r="BX396" i="1"/>
  <c r="BY396" i="1"/>
  <c r="BZ396" i="1"/>
  <c r="CA396" i="1"/>
  <c r="CB396" i="1"/>
  <c r="CC396" i="1"/>
  <c r="CD396" i="1"/>
  <c r="CE396" i="1"/>
  <c r="BV397" i="1"/>
  <c r="BW397" i="1"/>
  <c r="BX397" i="1"/>
  <c r="BY397" i="1"/>
  <c r="BZ397" i="1"/>
  <c r="CA397" i="1"/>
  <c r="CB397" i="1"/>
  <c r="CC397" i="1"/>
  <c r="CD397" i="1"/>
  <c r="CE397" i="1"/>
  <c r="BV398" i="1"/>
  <c r="BW398" i="1"/>
  <c r="BX398" i="1"/>
  <c r="BY398" i="1"/>
  <c r="BZ398" i="1"/>
  <c r="CA398" i="1"/>
  <c r="CB398" i="1"/>
  <c r="CC398" i="1"/>
  <c r="CD398" i="1"/>
  <c r="CE398" i="1"/>
  <c r="BV399" i="1"/>
  <c r="BW399" i="1"/>
  <c r="BX399" i="1"/>
  <c r="BY399" i="1"/>
  <c r="BZ399" i="1"/>
  <c r="CA399" i="1"/>
  <c r="CB399" i="1"/>
  <c r="CC399" i="1"/>
  <c r="CD399" i="1"/>
  <c r="CE399" i="1"/>
  <c r="BV400" i="1"/>
  <c r="BW400" i="1"/>
  <c r="BX400" i="1"/>
  <c r="BY400" i="1"/>
  <c r="BZ400" i="1"/>
  <c r="CA400" i="1"/>
  <c r="CB400" i="1"/>
  <c r="CC400" i="1"/>
  <c r="CD400" i="1"/>
  <c r="CE400" i="1"/>
  <c r="BV401" i="1"/>
  <c r="BW401" i="1"/>
  <c r="BX401" i="1"/>
  <c r="BY401" i="1"/>
  <c r="BZ401" i="1"/>
  <c r="CA401" i="1"/>
  <c r="CB401" i="1"/>
  <c r="CC401" i="1"/>
  <c r="CD401" i="1"/>
  <c r="CE401" i="1"/>
  <c r="BV402" i="1"/>
  <c r="BW402" i="1"/>
  <c r="BX402" i="1"/>
  <c r="BY402" i="1"/>
  <c r="BZ402" i="1"/>
  <c r="CA402" i="1"/>
  <c r="CB402" i="1"/>
  <c r="CC402" i="1"/>
  <c r="CD402" i="1"/>
  <c r="CE402" i="1"/>
  <c r="BV403" i="1"/>
  <c r="BW403" i="1"/>
  <c r="BX403" i="1"/>
  <c r="BY403" i="1"/>
  <c r="BZ403" i="1"/>
  <c r="CA403" i="1"/>
  <c r="CB403" i="1"/>
  <c r="CC403" i="1"/>
  <c r="CD403" i="1"/>
  <c r="CE403" i="1"/>
  <c r="BV404" i="1"/>
  <c r="BW404" i="1"/>
  <c r="BX404" i="1"/>
  <c r="BY404" i="1"/>
  <c r="BZ404" i="1"/>
  <c r="CA404" i="1"/>
  <c r="CB404" i="1"/>
  <c r="CC404" i="1"/>
  <c r="CD404" i="1"/>
  <c r="CE404" i="1"/>
  <c r="BV405" i="1"/>
  <c r="BW405" i="1"/>
  <c r="BX405" i="1"/>
  <c r="BY405" i="1"/>
  <c r="BZ405" i="1"/>
  <c r="CA405" i="1"/>
  <c r="CB405" i="1"/>
  <c r="CC405" i="1"/>
  <c r="CD405" i="1"/>
  <c r="CE405" i="1"/>
  <c r="BV406" i="1"/>
  <c r="BW406" i="1"/>
  <c r="BX406" i="1"/>
  <c r="BY406" i="1"/>
  <c r="BZ406" i="1"/>
  <c r="CA406" i="1"/>
  <c r="CB406" i="1"/>
  <c r="CC406" i="1"/>
  <c r="CD406" i="1"/>
  <c r="CE406" i="1"/>
  <c r="BV407" i="1"/>
  <c r="BW407" i="1"/>
  <c r="BX407" i="1"/>
  <c r="BY407" i="1"/>
  <c r="BZ407" i="1"/>
  <c r="CA407" i="1"/>
  <c r="CB407" i="1"/>
  <c r="CC407" i="1"/>
  <c r="CD407" i="1"/>
  <c r="CE407" i="1"/>
  <c r="BV408" i="1"/>
  <c r="BW408" i="1"/>
  <c r="BX408" i="1"/>
  <c r="BY408" i="1"/>
  <c r="BZ408" i="1"/>
  <c r="CA408" i="1"/>
  <c r="CB408" i="1"/>
  <c r="CC408" i="1"/>
  <c r="CD408" i="1"/>
  <c r="CE408" i="1"/>
  <c r="BV409" i="1"/>
  <c r="BW409" i="1"/>
  <c r="BX409" i="1"/>
  <c r="BY409" i="1"/>
  <c r="BZ409" i="1"/>
  <c r="CA409" i="1"/>
  <c r="CB409" i="1"/>
  <c r="CC409" i="1"/>
  <c r="CD409" i="1"/>
  <c r="CE409" i="1"/>
  <c r="BV410" i="1"/>
  <c r="BW410" i="1"/>
  <c r="BX410" i="1"/>
  <c r="BY410" i="1"/>
  <c r="BZ410" i="1"/>
  <c r="CA410" i="1"/>
  <c r="CB410" i="1"/>
  <c r="CC410" i="1"/>
  <c r="CD410" i="1"/>
  <c r="CE410" i="1"/>
  <c r="BV411" i="1"/>
  <c r="BW411" i="1"/>
  <c r="BX411" i="1"/>
  <c r="BY411" i="1"/>
  <c r="BZ411" i="1"/>
  <c r="CA411" i="1"/>
  <c r="CB411" i="1"/>
  <c r="CC411" i="1"/>
  <c r="CD411" i="1"/>
  <c r="CE411" i="1"/>
  <c r="BV412" i="1"/>
  <c r="BW412" i="1"/>
  <c r="BX412" i="1"/>
  <c r="BY412" i="1"/>
  <c r="BZ412" i="1"/>
  <c r="CA412" i="1"/>
  <c r="CB412" i="1"/>
  <c r="CC412" i="1"/>
  <c r="CD412" i="1"/>
  <c r="CE412" i="1"/>
  <c r="BV413" i="1"/>
  <c r="BW413" i="1"/>
  <c r="BX413" i="1"/>
  <c r="BY413" i="1"/>
  <c r="BZ413" i="1"/>
  <c r="CA413" i="1"/>
  <c r="CB413" i="1"/>
  <c r="CC413" i="1"/>
  <c r="CD413" i="1"/>
  <c r="CE413" i="1"/>
  <c r="BV414" i="1"/>
  <c r="BW414" i="1"/>
  <c r="BX414" i="1"/>
  <c r="BY414" i="1"/>
  <c r="BZ414" i="1"/>
  <c r="CA414" i="1"/>
  <c r="CB414" i="1"/>
  <c r="CC414" i="1"/>
  <c r="CD414" i="1"/>
  <c r="CE414" i="1"/>
  <c r="BV415" i="1"/>
  <c r="BW415" i="1"/>
  <c r="BX415" i="1"/>
  <c r="BY415" i="1"/>
  <c r="BZ415" i="1"/>
  <c r="CA415" i="1"/>
  <c r="CB415" i="1"/>
  <c r="CC415" i="1"/>
  <c r="CD415" i="1"/>
  <c r="CE415" i="1"/>
  <c r="BV416" i="1"/>
  <c r="BW416" i="1"/>
  <c r="BX416" i="1"/>
  <c r="BY416" i="1"/>
  <c r="BZ416" i="1"/>
  <c r="CA416" i="1"/>
  <c r="CB416" i="1"/>
  <c r="CC416" i="1"/>
  <c r="CD416" i="1"/>
  <c r="CE416" i="1"/>
  <c r="BV417" i="1"/>
  <c r="BW417" i="1"/>
  <c r="BX417" i="1"/>
  <c r="BY417" i="1"/>
  <c r="BZ417" i="1"/>
  <c r="CA417" i="1"/>
  <c r="CB417" i="1"/>
  <c r="CC417" i="1"/>
  <c r="CD417" i="1"/>
  <c r="CE417" i="1"/>
  <c r="BV418" i="1"/>
  <c r="BW418" i="1"/>
  <c r="BX418" i="1"/>
  <c r="BY418" i="1"/>
  <c r="BZ418" i="1"/>
  <c r="CA418" i="1"/>
  <c r="CB418" i="1"/>
  <c r="CC418" i="1"/>
  <c r="CD418" i="1"/>
  <c r="CE418" i="1"/>
  <c r="BV419" i="1"/>
  <c r="BW419" i="1"/>
  <c r="BX419" i="1"/>
  <c r="BY419" i="1"/>
  <c r="BZ419" i="1"/>
  <c r="CA419" i="1"/>
  <c r="CB419" i="1"/>
  <c r="CC419" i="1"/>
  <c r="CD419" i="1"/>
  <c r="CE419" i="1"/>
  <c r="BV420" i="1"/>
  <c r="BW420" i="1"/>
  <c r="BX420" i="1"/>
  <c r="BY420" i="1"/>
  <c r="BZ420" i="1"/>
  <c r="CA420" i="1"/>
  <c r="CB420" i="1"/>
  <c r="CC420" i="1"/>
  <c r="CD420" i="1"/>
  <c r="CE420" i="1"/>
  <c r="BV421" i="1"/>
  <c r="BW421" i="1"/>
  <c r="BX421" i="1"/>
  <c r="BY421" i="1"/>
  <c r="BZ421" i="1"/>
  <c r="CA421" i="1"/>
  <c r="CB421" i="1"/>
  <c r="CC421" i="1"/>
  <c r="CD421" i="1"/>
  <c r="CE421" i="1"/>
  <c r="BV422" i="1"/>
  <c r="BW422" i="1"/>
  <c r="BX422" i="1"/>
  <c r="BY422" i="1"/>
  <c r="BZ422" i="1"/>
  <c r="CA422" i="1"/>
  <c r="CB422" i="1"/>
  <c r="CC422" i="1"/>
  <c r="CD422" i="1"/>
  <c r="CE422" i="1"/>
  <c r="BV423" i="1"/>
  <c r="BW423" i="1"/>
  <c r="BX423" i="1"/>
  <c r="BY423" i="1"/>
  <c r="BZ423" i="1"/>
  <c r="CA423" i="1"/>
  <c r="CB423" i="1"/>
  <c r="CC423" i="1"/>
  <c r="CD423" i="1"/>
  <c r="CE423" i="1"/>
  <c r="BV424" i="1"/>
  <c r="BW424" i="1"/>
  <c r="BX424" i="1"/>
  <c r="BY424" i="1"/>
  <c r="BZ424" i="1"/>
  <c r="CA424" i="1"/>
  <c r="CB424" i="1"/>
  <c r="CC424" i="1"/>
  <c r="CD424" i="1"/>
  <c r="CE424" i="1"/>
  <c r="BV425" i="1"/>
  <c r="BW425" i="1"/>
  <c r="BX425" i="1"/>
  <c r="BY425" i="1"/>
  <c r="BZ425" i="1"/>
  <c r="CA425" i="1"/>
  <c r="CB425" i="1"/>
  <c r="CC425" i="1"/>
  <c r="CD425" i="1"/>
  <c r="CE425" i="1"/>
  <c r="BV426" i="1"/>
  <c r="BW426" i="1"/>
  <c r="BX426" i="1"/>
  <c r="BY426" i="1"/>
  <c r="BZ426" i="1"/>
  <c r="CA426" i="1"/>
  <c r="CB426" i="1"/>
  <c r="CC426" i="1"/>
  <c r="CD426" i="1"/>
  <c r="CE426" i="1"/>
  <c r="BV427" i="1"/>
  <c r="BW427" i="1"/>
  <c r="BX427" i="1"/>
  <c r="BY427" i="1"/>
  <c r="BZ427" i="1"/>
  <c r="CA427" i="1"/>
  <c r="CB427" i="1"/>
  <c r="CC427" i="1"/>
  <c r="CD427" i="1"/>
  <c r="CE427" i="1"/>
  <c r="BV428" i="1"/>
  <c r="BW428" i="1"/>
  <c r="BX428" i="1"/>
  <c r="BY428" i="1"/>
  <c r="BZ428" i="1"/>
  <c r="CA428" i="1"/>
  <c r="CB428" i="1"/>
  <c r="CC428" i="1"/>
  <c r="CD428" i="1"/>
  <c r="CE428" i="1"/>
  <c r="BV429" i="1"/>
  <c r="BW429" i="1"/>
  <c r="BX429" i="1"/>
  <c r="BY429" i="1"/>
  <c r="BZ429" i="1"/>
  <c r="CA429" i="1"/>
  <c r="CB429" i="1"/>
  <c r="CC429" i="1"/>
  <c r="CD429" i="1"/>
  <c r="CE429" i="1"/>
  <c r="BV430" i="1"/>
  <c r="BW430" i="1"/>
  <c r="BX430" i="1"/>
  <c r="BY430" i="1"/>
  <c r="BZ430" i="1"/>
  <c r="CA430" i="1"/>
  <c r="CB430" i="1"/>
  <c r="CC430" i="1"/>
  <c r="CD430" i="1"/>
  <c r="CE430" i="1"/>
  <c r="BV431" i="1"/>
  <c r="BW431" i="1"/>
  <c r="BX431" i="1"/>
  <c r="BY431" i="1"/>
  <c r="BZ431" i="1"/>
  <c r="CA431" i="1"/>
  <c r="CB431" i="1"/>
  <c r="CC431" i="1"/>
  <c r="CD431" i="1"/>
  <c r="CE431" i="1"/>
  <c r="BV432" i="1"/>
  <c r="BW432" i="1"/>
  <c r="BX432" i="1"/>
  <c r="BY432" i="1"/>
  <c r="BZ432" i="1"/>
  <c r="CA432" i="1"/>
  <c r="CB432" i="1"/>
  <c r="CC432" i="1"/>
  <c r="CD432" i="1"/>
  <c r="CE432" i="1"/>
  <c r="BV433" i="1"/>
  <c r="BW433" i="1"/>
  <c r="BX433" i="1"/>
  <c r="BY433" i="1"/>
  <c r="BZ433" i="1"/>
  <c r="CA433" i="1"/>
  <c r="CB433" i="1"/>
  <c r="CC433" i="1"/>
  <c r="CD433" i="1"/>
  <c r="CE433" i="1"/>
  <c r="BV434" i="1"/>
  <c r="BW434" i="1"/>
  <c r="BX434" i="1"/>
  <c r="BY434" i="1"/>
  <c r="BZ434" i="1"/>
  <c r="CA434" i="1"/>
  <c r="CB434" i="1"/>
  <c r="CC434" i="1"/>
  <c r="CD434" i="1"/>
  <c r="CE434" i="1"/>
  <c r="BV435" i="1"/>
  <c r="BW435" i="1"/>
  <c r="BX435" i="1"/>
  <c r="BY435" i="1"/>
  <c r="BZ435" i="1"/>
  <c r="CA435" i="1"/>
  <c r="CB435" i="1"/>
  <c r="CC435" i="1"/>
  <c r="CD435" i="1"/>
  <c r="CE435" i="1"/>
  <c r="BV436" i="1"/>
  <c r="BW436" i="1"/>
  <c r="BX436" i="1"/>
  <c r="BY436" i="1"/>
  <c r="BZ436" i="1"/>
  <c r="CA436" i="1"/>
  <c r="CB436" i="1"/>
  <c r="CC436" i="1"/>
  <c r="CD436" i="1"/>
  <c r="CE436" i="1"/>
  <c r="BV437" i="1"/>
  <c r="BW437" i="1"/>
  <c r="BX437" i="1"/>
  <c r="BY437" i="1"/>
  <c r="BZ437" i="1"/>
  <c r="CA437" i="1"/>
  <c r="CB437" i="1"/>
  <c r="CC437" i="1"/>
  <c r="CD437" i="1"/>
  <c r="CE437" i="1"/>
  <c r="BV438" i="1"/>
  <c r="BW438" i="1"/>
  <c r="BX438" i="1"/>
  <c r="BY438" i="1"/>
  <c r="BZ438" i="1"/>
  <c r="CA438" i="1"/>
  <c r="CB438" i="1"/>
  <c r="CC438" i="1"/>
  <c r="CD438" i="1"/>
  <c r="CE438" i="1"/>
  <c r="BV439" i="1"/>
  <c r="BW439" i="1"/>
  <c r="BX439" i="1"/>
  <c r="BY439" i="1"/>
  <c r="BZ439" i="1"/>
  <c r="CA439" i="1"/>
  <c r="CB439" i="1"/>
  <c r="CC439" i="1"/>
  <c r="CD439" i="1"/>
  <c r="CE439" i="1"/>
  <c r="BV440" i="1"/>
  <c r="BW440" i="1"/>
  <c r="BX440" i="1"/>
  <c r="BY440" i="1"/>
  <c r="BZ440" i="1"/>
  <c r="CA440" i="1"/>
  <c r="CB440" i="1"/>
  <c r="CC440" i="1"/>
  <c r="CD440" i="1"/>
  <c r="CE440" i="1"/>
  <c r="BV441" i="1"/>
  <c r="BW441" i="1"/>
  <c r="BX441" i="1"/>
  <c r="BY441" i="1"/>
  <c r="BZ441" i="1"/>
  <c r="CA441" i="1"/>
  <c r="CB441" i="1"/>
  <c r="CC441" i="1"/>
  <c r="CD441" i="1"/>
  <c r="CE441" i="1"/>
  <c r="BV442" i="1"/>
  <c r="BW442" i="1"/>
  <c r="BX442" i="1"/>
  <c r="BY442" i="1"/>
  <c r="BZ442" i="1"/>
  <c r="CA442" i="1"/>
  <c r="CB442" i="1"/>
  <c r="CC442" i="1"/>
  <c r="CD442" i="1"/>
  <c r="CE442" i="1"/>
  <c r="BV443" i="1"/>
  <c r="BW443" i="1"/>
  <c r="BX443" i="1"/>
  <c r="BY443" i="1"/>
  <c r="BZ443" i="1"/>
  <c r="CA443" i="1"/>
  <c r="CB443" i="1"/>
  <c r="CC443" i="1"/>
  <c r="CD443" i="1"/>
  <c r="CE443" i="1"/>
  <c r="BV444" i="1"/>
  <c r="BW444" i="1"/>
  <c r="BX444" i="1"/>
  <c r="BY444" i="1"/>
  <c r="BZ444" i="1"/>
  <c r="CA444" i="1"/>
  <c r="CB444" i="1"/>
  <c r="CC444" i="1"/>
  <c r="CD444" i="1"/>
  <c r="CE444" i="1"/>
  <c r="BV445" i="1"/>
  <c r="BW445" i="1"/>
  <c r="BX445" i="1"/>
  <c r="BY445" i="1"/>
  <c r="BZ445" i="1"/>
  <c r="CA445" i="1"/>
  <c r="CB445" i="1"/>
  <c r="CC445" i="1"/>
  <c r="CD445" i="1"/>
  <c r="CE445" i="1"/>
  <c r="BV446" i="1"/>
  <c r="BW446" i="1"/>
  <c r="BX446" i="1"/>
  <c r="BY446" i="1"/>
  <c r="BZ446" i="1"/>
  <c r="CA446" i="1"/>
  <c r="CB446" i="1"/>
  <c r="CC446" i="1"/>
  <c r="CD446" i="1"/>
  <c r="CE446" i="1"/>
  <c r="BV447" i="1"/>
  <c r="BW447" i="1"/>
  <c r="BX447" i="1"/>
  <c r="BY447" i="1"/>
  <c r="BZ447" i="1"/>
  <c r="CA447" i="1"/>
  <c r="CB447" i="1"/>
  <c r="CC447" i="1"/>
  <c r="CD447" i="1"/>
  <c r="CE447" i="1"/>
  <c r="BV448" i="1"/>
  <c r="BW448" i="1"/>
  <c r="BX448" i="1"/>
  <c r="BY448" i="1"/>
  <c r="BZ448" i="1"/>
  <c r="CA448" i="1"/>
  <c r="CB448" i="1"/>
  <c r="CC448" i="1"/>
  <c r="CD448" i="1"/>
  <c r="CE448" i="1"/>
  <c r="BV449" i="1"/>
  <c r="BW449" i="1"/>
  <c r="BX449" i="1"/>
  <c r="BY449" i="1"/>
  <c r="BZ449" i="1"/>
  <c r="CA449" i="1"/>
  <c r="CB449" i="1"/>
  <c r="CC449" i="1"/>
  <c r="CD449" i="1"/>
  <c r="CE449" i="1"/>
  <c r="BV450" i="1"/>
  <c r="BW450" i="1"/>
  <c r="BX450" i="1"/>
  <c r="BY450" i="1"/>
  <c r="BZ450" i="1"/>
  <c r="CA450" i="1"/>
  <c r="CB450" i="1"/>
  <c r="CC450" i="1"/>
  <c r="CD450" i="1"/>
  <c r="CE450" i="1"/>
  <c r="BV451" i="1"/>
  <c r="BW451" i="1"/>
  <c r="BX451" i="1"/>
  <c r="BY451" i="1"/>
  <c r="BZ451" i="1"/>
  <c r="CA451" i="1"/>
  <c r="CB451" i="1"/>
  <c r="CC451" i="1"/>
  <c r="CD451" i="1"/>
  <c r="CE451" i="1"/>
  <c r="BV452" i="1"/>
  <c r="BW452" i="1"/>
  <c r="BX452" i="1"/>
  <c r="BY452" i="1"/>
  <c r="BZ452" i="1"/>
  <c r="CA452" i="1"/>
  <c r="CB452" i="1"/>
  <c r="CC452" i="1"/>
  <c r="CD452" i="1"/>
  <c r="CE452" i="1"/>
  <c r="BV453" i="1"/>
  <c r="BW453" i="1"/>
  <c r="BX453" i="1"/>
  <c r="BY453" i="1"/>
  <c r="BZ453" i="1"/>
  <c r="CA453" i="1"/>
  <c r="CB453" i="1"/>
  <c r="CC453" i="1"/>
  <c r="CD453" i="1"/>
  <c r="CE453" i="1"/>
  <c r="BV454" i="1"/>
  <c r="BW454" i="1"/>
  <c r="BX454" i="1"/>
  <c r="BY454" i="1"/>
  <c r="BZ454" i="1"/>
  <c r="CA454" i="1"/>
  <c r="CB454" i="1"/>
  <c r="CC454" i="1"/>
  <c r="CD454" i="1"/>
  <c r="CE454" i="1"/>
  <c r="BV455" i="1"/>
  <c r="BW455" i="1"/>
  <c r="BX455" i="1"/>
  <c r="BY455" i="1"/>
  <c r="BZ455" i="1"/>
  <c r="CA455" i="1"/>
  <c r="CB455" i="1"/>
  <c r="CC455" i="1"/>
  <c r="CD455" i="1"/>
  <c r="CE455" i="1"/>
  <c r="BV456" i="1"/>
  <c r="BW456" i="1"/>
  <c r="BX456" i="1"/>
  <c r="BY456" i="1"/>
  <c r="BZ456" i="1"/>
  <c r="CA456" i="1"/>
  <c r="CB456" i="1"/>
  <c r="CC456" i="1"/>
  <c r="CD456" i="1"/>
  <c r="CE456" i="1"/>
  <c r="BV457" i="1"/>
  <c r="BW457" i="1"/>
  <c r="BX457" i="1"/>
  <c r="BY457" i="1"/>
  <c r="BZ457" i="1"/>
  <c r="CA457" i="1"/>
  <c r="CB457" i="1"/>
  <c r="CC457" i="1"/>
  <c r="CD457" i="1"/>
  <c r="CE457" i="1"/>
  <c r="BV458" i="1"/>
  <c r="BW458" i="1"/>
  <c r="BX458" i="1"/>
  <c r="BY458" i="1"/>
  <c r="BZ458" i="1"/>
  <c r="CA458" i="1"/>
  <c r="CB458" i="1"/>
  <c r="CC458" i="1"/>
  <c r="CD458" i="1"/>
  <c r="CE458" i="1"/>
  <c r="BV459" i="1"/>
  <c r="BW459" i="1"/>
  <c r="BX459" i="1"/>
  <c r="BY459" i="1"/>
  <c r="BZ459" i="1"/>
  <c r="CA459" i="1"/>
  <c r="CB459" i="1"/>
  <c r="CC459" i="1"/>
  <c r="CD459" i="1"/>
  <c r="CE459" i="1"/>
  <c r="BV460" i="1"/>
  <c r="BW460" i="1"/>
  <c r="BX460" i="1"/>
  <c r="BY460" i="1"/>
  <c r="BZ460" i="1"/>
  <c r="CA460" i="1"/>
  <c r="CB460" i="1"/>
  <c r="CC460" i="1"/>
  <c r="CD460" i="1"/>
  <c r="CE460" i="1"/>
  <c r="BV461" i="1"/>
  <c r="BW461" i="1"/>
  <c r="BX461" i="1"/>
  <c r="BY461" i="1"/>
  <c r="BZ461" i="1"/>
  <c r="CA461" i="1"/>
  <c r="CB461" i="1"/>
  <c r="CC461" i="1"/>
  <c r="CD461" i="1"/>
  <c r="CE461" i="1"/>
  <c r="BV462" i="1"/>
  <c r="BW462" i="1"/>
  <c r="BX462" i="1"/>
  <c r="BY462" i="1"/>
  <c r="BZ462" i="1"/>
  <c r="CA462" i="1"/>
  <c r="CB462" i="1"/>
  <c r="CC462" i="1"/>
  <c r="CD462" i="1"/>
  <c r="CE462" i="1"/>
  <c r="BV463" i="1"/>
  <c r="BW463" i="1"/>
  <c r="BX463" i="1"/>
  <c r="BY463" i="1"/>
  <c r="BZ463" i="1"/>
  <c r="CA463" i="1"/>
  <c r="CB463" i="1"/>
  <c r="CC463" i="1"/>
  <c r="CD463" i="1"/>
  <c r="CE463" i="1"/>
  <c r="BV464" i="1"/>
  <c r="BW464" i="1"/>
  <c r="BX464" i="1"/>
  <c r="BY464" i="1"/>
  <c r="BZ464" i="1"/>
  <c r="CA464" i="1"/>
  <c r="CB464" i="1"/>
  <c r="CC464" i="1"/>
  <c r="CD464" i="1"/>
  <c r="CE464" i="1"/>
  <c r="BV465" i="1"/>
  <c r="BW465" i="1"/>
  <c r="BX465" i="1"/>
  <c r="BY465" i="1"/>
  <c r="BZ465" i="1"/>
  <c r="CA465" i="1"/>
  <c r="CB465" i="1"/>
  <c r="CC465" i="1"/>
  <c r="CD465" i="1"/>
  <c r="CE465" i="1"/>
  <c r="BV466" i="1"/>
  <c r="BW466" i="1"/>
  <c r="BX466" i="1"/>
  <c r="BY466" i="1"/>
  <c r="BZ466" i="1"/>
  <c r="CA466" i="1"/>
  <c r="CB466" i="1"/>
  <c r="CC466" i="1"/>
  <c r="CD466" i="1"/>
  <c r="CE466" i="1"/>
  <c r="BV467" i="1"/>
  <c r="BW467" i="1"/>
  <c r="BX467" i="1"/>
  <c r="BY467" i="1"/>
  <c r="BZ467" i="1"/>
  <c r="CA467" i="1"/>
  <c r="CB467" i="1"/>
  <c r="CC467" i="1"/>
  <c r="CD467" i="1"/>
  <c r="CE467" i="1"/>
  <c r="BV468" i="1"/>
  <c r="BW468" i="1"/>
  <c r="BX468" i="1"/>
  <c r="BY468" i="1"/>
  <c r="BZ468" i="1"/>
  <c r="CA468" i="1"/>
  <c r="CB468" i="1"/>
  <c r="CC468" i="1"/>
  <c r="CD468" i="1"/>
  <c r="CE468" i="1"/>
  <c r="BV469" i="1"/>
  <c r="BW469" i="1"/>
  <c r="BX469" i="1"/>
  <c r="BY469" i="1"/>
  <c r="BZ469" i="1"/>
  <c r="CA469" i="1"/>
  <c r="CB469" i="1"/>
  <c r="CC469" i="1"/>
  <c r="CD469" i="1"/>
  <c r="CE469" i="1"/>
  <c r="BV470" i="1"/>
  <c r="BW470" i="1"/>
  <c r="BX470" i="1"/>
  <c r="BY470" i="1"/>
  <c r="BZ470" i="1"/>
  <c r="CA470" i="1"/>
  <c r="CB470" i="1"/>
  <c r="CC470" i="1"/>
  <c r="CD470" i="1"/>
  <c r="CE470" i="1"/>
  <c r="BV471" i="1"/>
  <c r="BW471" i="1"/>
  <c r="BX471" i="1"/>
  <c r="BY471" i="1"/>
  <c r="BZ471" i="1"/>
  <c r="CA471" i="1"/>
  <c r="CB471" i="1"/>
  <c r="CC471" i="1"/>
  <c r="CD471" i="1"/>
  <c r="CE471" i="1"/>
  <c r="BV472" i="1"/>
  <c r="BW472" i="1"/>
  <c r="BX472" i="1"/>
  <c r="BY472" i="1"/>
  <c r="BZ472" i="1"/>
  <c r="CA472" i="1"/>
  <c r="CB472" i="1"/>
  <c r="CC472" i="1"/>
  <c r="CD472" i="1"/>
  <c r="CE472" i="1"/>
  <c r="BV473" i="1"/>
  <c r="BW473" i="1"/>
  <c r="BX473" i="1"/>
  <c r="BY473" i="1"/>
  <c r="BZ473" i="1"/>
  <c r="CA473" i="1"/>
  <c r="CB473" i="1"/>
  <c r="CC473" i="1"/>
  <c r="CD473" i="1"/>
  <c r="CE473" i="1"/>
  <c r="BV474" i="1"/>
  <c r="BW474" i="1"/>
  <c r="BX474" i="1"/>
  <c r="BY474" i="1"/>
  <c r="BZ474" i="1"/>
  <c r="CA474" i="1"/>
  <c r="CB474" i="1"/>
  <c r="CC474" i="1"/>
  <c r="CD474" i="1"/>
  <c r="CE474" i="1"/>
  <c r="BV475" i="1"/>
  <c r="BW475" i="1"/>
  <c r="BX475" i="1"/>
  <c r="BY475" i="1"/>
  <c r="BZ475" i="1"/>
  <c r="CA475" i="1"/>
  <c r="CB475" i="1"/>
  <c r="CC475" i="1"/>
  <c r="CD475" i="1"/>
  <c r="CE475" i="1"/>
  <c r="BV476" i="1"/>
  <c r="BW476" i="1"/>
  <c r="BX476" i="1"/>
  <c r="BY476" i="1"/>
  <c r="BZ476" i="1"/>
  <c r="CA476" i="1"/>
  <c r="CB476" i="1"/>
  <c r="CC476" i="1"/>
  <c r="CD476" i="1"/>
  <c r="CE476" i="1"/>
  <c r="BV477" i="1"/>
  <c r="BW477" i="1"/>
  <c r="BX477" i="1"/>
  <c r="BY477" i="1"/>
  <c r="BZ477" i="1"/>
  <c r="CA477" i="1"/>
  <c r="CB477" i="1"/>
  <c r="CC477" i="1"/>
  <c r="CD477" i="1"/>
  <c r="CE477" i="1"/>
  <c r="BV478" i="1"/>
  <c r="BW478" i="1"/>
  <c r="BX478" i="1"/>
  <c r="BY478" i="1"/>
  <c r="BZ478" i="1"/>
  <c r="CA478" i="1"/>
  <c r="CB478" i="1"/>
  <c r="CC478" i="1"/>
  <c r="CD478" i="1"/>
  <c r="CE478" i="1"/>
  <c r="BV479" i="1"/>
  <c r="BW479" i="1"/>
  <c r="BX479" i="1"/>
  <c r="BY479" i="1"/>
  <c r="BZ479" i="1"/>
  <c r="CA479" i="1"/>
  <c r="CB479" i="1"/>
  <c r="CC479" i="1"/>
  <c r="CD479" i="1"/>
  <c r="CE479" i="1"/>
  <c r="BV480" i="1"/>
  <c r="BW480" i="1"/>
  <c r="BX480" i="1"/>
  <c r="BY480" i="1"/>
  <c r="BZ480" i="1"/>
  <c r="CA480" i="1"/>
  <c r="CB480" i="1"/>
  <c r="CC480" i="1"/>
  <c r="CD480" i="1"/>
  <c r="CE480" i="1"/>
  <c r="BV481" i="1"/>
  <c r="BW481" i="1"/>
  <c r="BX481" i="1"/>
  <c r="BY481" i="1"/>
  <c r="BZ481" i="1"/>
  <c r="CA481" i="1"/>
  <c r="CB481" i="1"/>
  <c r="CC481" i="1"/>
  <c r="CD481" i="1"/>
  <c r="CE481" i="1"/>
  <c r="BV482" i="1"/>
  <c r="BW482" i="1"/>
  <c r="BX482" i="1"/>
  <c r="BY482" i="1"/>
  <c r="BZ482" i="1"/>
  <c r="CA482" i="1"/>
  <c r="CB482" i="1"/>
  <c r="CC482" i="1"/>
  <c r="CD482" i="1"/>
  <c r="CE482" i="1"/>
  <c r="BV483" i="1"/>
  <c r="BW483" i="1"/>
  <c r="BX483" i="1"/>
  <c r="BY483" i="1"/>
  <c r="BZ483" i="1"/>
  <c r="CA483" i="1"/>
  <c r="CB483" i="1"/>
  <c r="CC483" i="1"/>
  <c r="CD483" i="1"/>
  <c r="CE483" i="1"/>
  <c r="BV484" i="1"/>
  <c r="BW484" i="1"/>
  <c r="BX484" i="1"/>
  <c r="BY484" i="1"/>
  <c r="BZ484" i="1"/>
  <c r="CA484" i="1"/>
  <c r="CB484" i="1"/>
  <c r="CC484" i="1"/>
  <c r="CD484" i="1"/>
  <c r="CE484" i="1"/>
  <c r="BV485" i="1"/>
  <c r="BW485" i="1"/>
  <c r="BX485" i="1"/>
  <c r="BY485" i="1"/>
  <c r="BZ485" i="1"/>
  <c r="CA485" i="1"/>
  <c r="CB485" i="1"/>
  <c r="CC485" i="1"/>
  <c r="CD485" i="1"/>
  <c r="CE485" i="1"/>
  <c r="BV486" i="1"/>
  <c r="BW486" i="1"/>
  <c r="BX486" i="1"/>
  <c r="BY486" i="1"/>
  <c r="BZ486" i="1"/>
  <c r="CA486" i="1"/>
  <c r="CB486" i="1"/>
  <c r="CC486" i="1"/>
  <c r="CD486" i="1"/>
  <c r="CE486" i="1"/>
  <c r="BV487" i="1"/>
  <c r="BW487" i="1"/>
  <c r="BX487" i="1"/>
  <c r="BY487" i="1"/>
  <c r="BZ487" i="1"/>
  <c r="CA487" i="1"/>
  <c r="CB487" i="1"/>
  <c r="CC487" i="1"/>
  <c r="CD487" i="1"/>
  <c r="CE487" i="1"/>
  <c r="BV488" i="1"/>
  <c r="BW488" i="1"/>
  <c r="BX488" i="1"/>
  <c r="BY488" i="1"/>
  <c r="BZ488" i="1"/>
  <c r="CA488" i="1"/>
  <c r="CB488" i="1"/>
  <c r="CC488" i="1"/>
  <c r="CD488" i="1"/>
  <c r="CE488" i="1"/>
  <c r="BV489" i="1"/>
  <c r="BW489" i="1"/>
  <c r="BX489" i="1"/>
  <c r="BY489" i="1"/>
  <c r="BZ489" i="1"/>
  <c r="CA489" i="1"/>
  <c r="CB489" i="1"/>
  <c r="CC489" i="1"/>
  <c r="CD489" i="1"/>
  <c r="CE489" i="1"/>
  <c r="BV490" i="1"/>
  <c r="BW490" i="1"/>
  <c r="BX490" i="1"/>
  <c r="BY490" i="1"/>
  <c r="BZ490" i="1"/>
  <c r="CA490" i="1"/>
  <c r="CB490" i="1"/>
  <c r="CC490" i="1"/>
  <c r="CD490" i="1"/>
  <c r="CE490" i="1"/>
  <c r="BV491" i="1"/>
  <c r="BW491" i="1"/>
  <c r="BX491" i="1"/>
  <c r="BY491" i="1"/>
  <c r="BZ491" i="1"/>
  <c r="CA491" i="1"/>
  <c r="CB491" i="1"/>
  <c r="CC491" i="1"/>
  <c r="CD491" i="1"/>
  <c r="CE491" i="1"/>
  <c r="BV492" i="1"/>
  <c r="BW492" i="1"/>
  <c r="BX492" i="1"/>
  <c r="BY492" i="1"/>
  <c r="BZ492" i="1"/>
  <c r="CA492" i="1"/>
  <c r="CB492" i="1"/>
  <c r="CC492" i="1"/>
  <c r="CD492" i="1"/>
  <c r="CE492" i="1"/>
  <c r="BV493" i="1"/>
  <c r="BW493" i="1"/>
  <c r="BX493" i="1"/>
  <c r="BY493" i="1"/>
  <c r="BZ493" i="1"/>
  <c r="CA493" i="1"/>
  <c r="CB493" i="1"/>
  <c r="CC493" i="1"/>
  <c r="CD493" i="1"/>
  <c r="CE493" i="1"/>
  <c r="BV494" i="1"/>
  <c r="BW494" i="1"/>
  <c r="BX494" i="1"/>
  <c r="BY494" i="1"/>
  <c r="BZ494" i="1"/>
  <c r="CA494" i="1"/>
  <c r="CB494" i="1"/>
  <c r="CC494" i="1"/>
  <c r="CD494" i="1"/>
  <c r="CE494" i="1"/>
  <c r="BV495" i="1"/>
  <c r="BW495" i="1"/>
  <c r="BX495" i="1"/>
  <c r="BY495" i="1"/>
  <c r="BZ495" i="1"/>
  <c r="CA495" i="1"/>
  <c r="CB495" i="1"/>
  <c r="CC495" i="1"/>
  <c r="CD495" i="1"/>
  <c r="CE495" i="1"/>
  <c r="BV496" i="1"/>
  <c r="BW496" i="1"/>
  <c r="BX496" i="1"/>
  <c r="BY496" i="1"/>
  <c r="BZ496" i="1"/>
  <c r="CA496" i="1"/>
  <c r="CB496" i="1"/>
  <c r="CC496" i="1"/>
  <c r="CD496" i="1"/>
  <c r="CE496" i="1"/>
  <c r="BV497" i="1"/>
  <c r="BW497" i="1"/>
  <c r="BX497" i="1"/>
  <c r="BY497" i="1"/>
  <c r="BZ497" i="1"/>
  <c r="CA497" i="1"/>
  <c r="CB497" i="1"/>
  <c r="CC497" i="1"/>
  <c r="CD497" i="1"/>
  <c r="CE497" i="1"/>
  <c r="BV498" i="1"/>
  <c r="BW498" i="1"/>
  <c r="BX498" i="1"/>
  <c r="BY498" i="1"/>
  <c r="BZ498" i="1"/>
  <c r="CA498" i="1"/>
  <c r="CB498" i="1"/>
  <c r="CC498" i="1"/>
  <c r="CD498" i="1"/>
  <c r="CE498" i="1"/>
  <c r="BV499" i="1"/>
  <c r="BW499" i="1"/>
  <c r="BX499" i="1"/>
  <c r="BY499" i="1"/>
  <c r="BZ499" i="1"/>
  <c r="CA499" i="1"/>
  <c r="CB499" i="1"/>
  <c r="CC499" i="1"/>
  <c r="CD499" i="1"/>
  <c r="CE499" i="1"/>
  <c r="BV500" i="1"/>
  <c r="BW500" i="1"/>
  <c r="BX500" i="1"/>
  <c r="BY500" i="1"/>
  <c r="BZ500" i="1"/>
  <c r="CA500" i="1"/>
  <c r="CB500" i="1"/>
  <c r="CC500" i="1"/>
  <c r="CD500" i="1"/>
  <c r="CE500" i="1"/>
  <c r="BV501" i="1"/>
  <c r="BW501" i="1"/>
  <c r="BX501" i="1"/>
  <c r="BY501" i="1"/>
  <c r="BZ501" i="1"/>
  <c r="CA501" i="1"/>
  <c r="CB501" i="1"/>
  <c r="CC501" i="1"/>
  <c r="CD501" i="1"/>
  <c r="CE501" i="1"/>
  <c r="BV502" i="1"/>
  <c r="BW502" i="1"/>
  <c r="BX502" i="1"/>
  <c r="BY502" i="1"/>
  <c r="BZ502" i="1"/>
  <c r="CA502" i="1"/>
  <c r="CB502" i="1"/>
  <c r="CC502" i="1"/>
  <c r="CD502" i="1"/>
  <c r="CE502" i="1"/>
  <c r="BV503" i="1"/>
  <c r="BW503" i="1"/>
  <c r="BX503" i="1"/>
  <c r="BY503" i="1"/>
  <c r="BZ503" i="1"/>
  <c r="CA503" i="1"/>
  <c r="CB503" i="1"/>
  <c r="CC503" i="1"/>
  <c r="CD503" i="1"/>
  <c r="CE503" i="1"/>
  <c r="BV504" i="1"/>
  <c r="BW504" i="1"/>
  <c r="BX504" i="1"/>
  <c r="BY504" i="1"/>
  <c r="BZ504" i="1"/>
  <c r="CA504" i="1"/>
  <c r="CB504" i="1"/>
  <c r="CC504" i="1"/>
  <c r="CD504" i="1"/>
  <c r="CE504" i="1"/>
  <c r="BV505" i="1"/>
  <c r="BW505" i="1"/>
  <c r="BX505" i="1"/>
  <c r="BY505" i="1"/>
  <c r="BZ505" i="1"/>
  <c r="CA505" i="1"/>
  <c r="CB505" i="1"/>
  <c r="CC505" i="1"/>
  <c r="CD505" i="1"/>
  <c r="CE505" i="1"/>
  <c r="BV506" i="1"/>
  <c r="BW506" i="1"/>
  <c r="BX506" i="1"/>
  <c r="BY506" i="1"/>
  <c r="BZ506" i="1"/>
  <c r="CA506" i="1"/>
  <c r="CB506" i="1"/>
  <c r="CC506" i="1"/>
  <c r="CD506" i="1"/>
  <c r="CE506" i="1"/>
  <c r="BV507" i="1"/>
  <c r="BW507" i="1"/>
  <c r="BX507" i="1"/>
  <c r="BY507" i="1"/>
  <c r="BZ507" i="1"/>
  <c r="CA507" i="1"/>
  <c r="CB507" i="1"/>
  <c r="CC507" i="1"/>
  <c r="CD507" i="1"/>
  <c r="CE507" i="1"/>
  <c r="BV508" i="1"/>
  <c r="BW508" i="1"/>
  <c r="BX508" i="1"/>
  <c r="BY508" i="1"/>
  <c r="BZ508" i="1"/>
  <c r="CA508" i="1"/>
  <c r="CB508" i="1"/>
  <c r="CC508" i="1"/>
  <c r="CD508" i="1"/>
  <c r="CE508" i="1"/>
  <c r="BV509" i="1"/>
  <c r="BW509" i="1"/>
  <c r="BX509" i="1"/>
  <c r="BY509" i="1"/>
  <c r="BZ509" i="1"/>
  <c r="CA509" i="1"/>
  <c r="CB509" i="1"/>
  <c r="CC509" i="1"/>
  <c r="CD509" i="1"/>
  <c r="CE509" i="1"/>
  <c r="BV510" i="1"/>
  <c r="BW510" i="1"/>
  <c r="BX510" i="1"/>
  <c r="BY510" i="1"/>
  <c r="BZ510" i="1"/>
  <c r="CA510" i="1"/>
  <c r="CB510" i="1"/>
  <c r="CC510" i="1"/>
  <c r="CD510" i="1"/>
  <c r="CE510" i="1"/>
  <c r="BV511" i="1"/>
  <c r="BW511" i="1"/>
  <c r="BX511" i="1"/>
  <c r="BY511" i="1"/>
  <c r="BZ511" i="1"/>
  <c r="CA511" i="1"/>
  <c r="CB511" i="1"/>
  <c r="CC511" i="1"/>
  <c r="CD511" i="1"/>
  <c r="CE511" i="1"/>
  <c r="BV512" i="1"/>
  <c r="BW512" i="1"/>
  <c r="BX512" i="1"/>
  <c r="BY512" i="1"/>
  <c r="BZ512" i="1"/>
  <c r="CA512" i="1"/>
  <c r="CB512" i="1"/>
  <c r="CC512" i="1"/>
  <c r="CD512" i="1"/>
  <c r="CE512" i="1"/>
  <c r="BV513" i="1"/>
  <c r="BW513" i="1"/>
  <c r="BX513" i="1"/>
  <c r="BY513" i="1"/>
  <c r="BZ513" i="1"/>
  <c r="CA513" i="1"/>
  <c r="CB513" i="1"/>
  <c r="CC513" i="1"/>
  <c r="CD513" i="1"/>
  <c r="CE513" i="1"/>
  <c r="BV514" i="1"/>
  <c r="BW514" i="1"/>
  <c r="BX514" i="1"/>
  <c r="BY514" i="1"/>
  <c r="BZ514" i="1"/>
  <c r="CA514" i="1"/>
  <c r="CB514" i="1"/>
  <c r="CC514" i="1"/>
  <c r="CD514" i="1"/>
  <c r="CE514" i="1"/>
  <c r="BV515" i="1"/>
  <c r="BW515" i="1"/>
  <c r="BX515" i="1"/>
  <c r="BY515" i="1"/>
  <c r="BZ515" i="1"/>
  <c r="CA515" i="1"/>
  <c r="CB515" i="1"/>
  <c r="CC515" i="1"/>
  <c r="CD515" i="1"/>
  <c r="CE515" i="1"/>
  <c r="BV516" i="1"/>
  <c r="BW516" i="1"/>
  <c r="BX516" i="1"/>
  <c r="BY516" i="1"/>
  <c r="BZ516" i="1"/>
  <c r="CA516" i="1"/>
  <c r="CB516" i="1"/>
  <c r="CC516" i="1"/>
  <c r="CD516" i="1"/>
  <c r="CE516" i="1"/>
  <c r="BV517" i="1"/>
  <c r="BW517" i="1"/>
  <c r="BX517" i="1"/>
  <c r="BY517" i="1"/>
  <c r="BZ517" i="1"/>
  <c r="CA517" i="1"/>
  <c r="CB517" i="1"/>
  <c r="CC517" i="1"/>
  <c r="CD517" i="1"/>
  <c r="CE517" i="1"/>
  <c r="BV518" i="1"/>
  <c r="BW518" i="1"/>
  <c r="BX518" i="1"/>
  <c r="BY518" i="1"/>
  <c r="BZ518" i="1"/>
  <c r="CA518" i="1"/>
  <c r="CB518" i="1"/>
  <c r="CC518" i="1"/>
  <c r="CD518" i="1"/>
  <c r="CE518" i="1"/>
  <c r="BV519" i="1"/>
  <c r="BW519" i="1"/>
  <c r="BX519" i="1"/>
  <c r="BY519" i="1"/>
  <c r="BZ519" i="1"/>
  <c r="CA519" i="1"/>
  <c r="CB519" i="1"/>
  <c r="CC519" i="1"/>
  <c r="CD519" i="1"/>
  <c r="CE519" i="1"/>
  <c r="BV520" i="1"/>
  <c r="BW520" i="1"/>
  <c r="BX520" i="1"/>
  <c r="BY520" i="1"/>
  <c r="BZ520" i="1"/>
  <c r="CA520" i="1"/>
  <c r="CB520" i="1"/>
  <c r="CC520" i="1"/>
  <c r="CD520" i="1"/>
  <c r="CE520" i="1"/>
  <c r="BV521" i="1"/>
  <c r="BW521" i="1"/>
  <c r="BX521" i="1"/>
  <c r="BY521" i="1"/>
  <c r="BZ521" i="1"/>
  <c r="CA521" i="1"/>
  <c r="CB521" i="1"/>
  <c r="CC521" i="1"/>
  <c r="CD521" i="1"/>
  <c r="CE521" i="1"/>
  <c r="BV522" i="1"/>
  <c r="BW522" i="1"/>
  <c r="BX522" i="1"/>
  <c r="BY522" i="1"/>
  <c r="BZ522" i="1"/>
  <c r="CA522" i="1"/>
  <c r="CB522" i="1"/>
  <c r="CC522" i="1"/>
  <c r="CD522" i="1"/>
  <c r="CE522" i="1"/>
  <c r="BV523" i="1"/>
  <c r="BW523" i="1"/>
  <c r="BX523" i="1"/>
  <c r="BY523" i="1"/>
  <c r="BZ523" i="1"/>
  <c r="CA523" i="1"/>
  <c r="CB523" i="1"/>
  <c r="CC523" i="1"/>
  <c r="CD523" i="1"/>
  <c r="CE523" i="1"/>
  <c r="BV524" i="1"/>
  <c r="BW524" i="1"/>
  <c r="BX524" i="1"/>
  <c r="BY524" i="1"/>
  <c r="BZ524" i="1"/>
  <c r="CA524" i="1"/>
  <c r="CB524" i="1"/>
  <c r="CC524" i="1"/>
  <c r="CD524" i="1"/>
  <c r="CE524" i="1"/>
  <c r="BV525" i="1"/>
  <c r="BW525" i="1"/>
  <c r="BX525" i="1"/>
  <c r="BY525" i="1"/>
  <c r="BZ525" i="1"/>
  <c r="CA525" i="1"/>
  <c r="CB525" i="1"/>
  <c r="CC525" i="1"/>
  <c r="CD525" i="1"/>
  <c r="CE525" i="1"/>
  <c r="BV526" i="1"/>
  <c r="BW526" i="1"/>
  <c r="BX526" i="1"/>
  <c r="BY526" i="1"/>
  <c r="BZ526" i="1"/>
  <c r="CA526" i="1"/>
  <c r="CB526" i="1"/>
  <c r="CC526" i="1"/>
  <c r="CD526" i="1"/>
  <c r="CE526" i="1"/>
  <c r="BV527" i="1"/>
  <c r="BW527" i="1"/>
  <c r="BX527" i="1"/>
  <c r="BY527" i="1"/>
  <c r="BZ527" i="1"/>
  <c r="CA527" i="1"/>
  <c r="CB527" i="1"/>
  <c r="CC527" i="1"/>
  <c r="CD527" i="1"/>
  <c r="CE527" i="1"/>
  <c r="BV528" i="1"/>
  <c r="BW528" i="1"/>
  <c r="BX528" i="1"/>
  <c r="BY528" i="1"/>
  <c r="BZ528" i="1"/>
  <c r="CA528" i="1"/>
  <c r="CB528" i="1"/>
  <c r="CC528" i="1"/>
  <c r="CD528" i="1"/>
  <c r="CE528" i="1"/>
  <c r="BV529" i="1"/>
  <c r="BW529" i="1"/>
  <c r="BX529" i="1"/>
  <c r="BY529" i="1"/>
  <c r="BZ529" i="1"/>
  <c r="CA529" i="1"/>
  <c r="CB529" i="1"/>
  <c r="CC529" i="1"/>
  <c r="CD529" i="1"/>
  <c r="CE529" i="1"/>
  <c r="BV530" i="1"/>
  <c r="BW530" i="1"/>
  <c r="BX530" i="1"/>
  <c r="BY530" i="1"/>
  <c r="BZ530" i="1"/>
  <c r="CA530" i="1"/>
  <c r="CB530" i="1"/>
  <c r="CC530" i="1"/>
  <c r="CD530" i="1"/>
  <c r="CE530" i="1"/>
  <c r="BV531" i="1"/>
  <c r="BW531" i="1"/>
  <c r="BX531" i="1"/>
  <c r="BY531" i="1"/>
  <c r="BZ531" i="1"/>
  <c r="CA531" i="1"/>
  <c r="CB531" i="1"/>
  <c r="CC531" i="1"/>
  <c r="CD531" i="1"/>
  <c r="CE531" i="1"/>
  <c r="BV532" i="1"/>
  <c r="BW532" i="1"/>
  <c r="BX532" i="1"/>
  <c r="BY532" i="1"/>
  <c r="BZ532" i="1"/>
  <c r="CA532" i="1"/>
  <c r="CB532" i="1"/>
  <c r="CC532" i="1"/>
  <c r="CD532" i="1"/>
  <c r="CE532" i="1"/>
  <c r="BV533" i="1"/>
  <c r="BW533" i="1"/>
  <c r="BX533" i="1"/>
  <c r="BY533" i="1"/>
  <c r="BZ533" i="1"/>
  <c r="CA533" i="1"/>
  <c r="CB533" i="1"/>
  <c r="CC533" i="1"/>
  <c r="CD533" i="1"/>
  <c r="CE533" i="1"/>
  <c r="BV534" i="1"/>
  <c r="BW534" i="1"/>
  <c r="BX534" i="1"/>
  <c r="BY534" i="1"/>
  <c r="BZ534" i="1"/>
  <c r="CA534" i="1"/>
  <c r="CB534" i="1"/>
  <c r="CC534" i="1"/>
  <c r="CD534" i="1"/>
  <c r="CE534" i="1"/>
  <c r="BV535" i="1"/>
  <c r="BW535" i="1"/>
  <c r="BX535" i="1"/>
  <c r="BY535" i="1"/>
  <c r="BZ535" i="1"/>
  <c r="CA535" i="1"/>
  <c r="CB535" i="1"/>
  <c r="CC535" i="1"/>
  <c r="CD535" i="1"/>
  <c r="CE535" i="1"/>
  <c r="BV536" i="1"/>
  <c r="BW536" i="1"/>
  <c r="BX536" i="1"/>
  <c r="BY536" i="1"/>
  <c r="BZ536" i="1"/>
  <c r="CA536" i="1"/>
  <c r="CB536" i="1"/>
  <c r="CC536" i="1"/>
  <c r="CD536" i="1"/>
  <c r="CE536" i="1"/>
  <c r="BV537" i="1"/>
  <c r="BW537" i="1"/>
  <c r="BX537" i="1"/>
  <c r="BY537" i="1"/>
  <c r="BZ537" i="1"/>
  <c r="CA537" i="1"/>
  <c r="CB537" i="1"/>
  <c r="CC537" i="1"/>
  <c r="CD537" i="1"/>
  <c r="CE537" i="1"/>
  <c r="BV538" i="1"/>
  <c r="BW538" i="1"/>
  <c r="BX538" i="1"/>
  <c r="BY538" i="1"/>
  <c r="BZ538" i="1"/>
  <c r="CA538" i="1"/>
  <c r="CB538" i="1"/>
  <c r="CC538" i="1"/>
  <c r="CD538" i="1"/>
  <c r="CE538" i="1"/>
  <c r="BV539" i="1"/>
  <c r="BW539" i="1"/>
  <c r="BX539" i="1"/>
  <c r="BY539" i="1"/>
  <c r="BZ539" i="1"/>
  <c r="CA539" i="1"/>
  <c r="CB539" i="1"/>
  <c r="CC539" i="1"/>
  <c r="CD539" i="1"/>
  <c r="CE539" i="1"/>
  <c r="BV540" i="1"/>
  <c r="BW540" i="1"/>
  <c r="BX540" i="1"/>
  <c r="BY540" i="1"/>
  <c r="BZ540" i="1"/>
  <c r="CA540" i="1"/>
  <c r="CB540" i="1"/>
  <c r="CC540" i="1"/>
  <c r="CD540" i="1"/>
  <c r="CE540" i="1"/>
  <c r="BV541" i="1"/>
  <c r="BW541" i="1"/>
  <c r="BX541" i="1"/>
  <c r="BY541" i="1"/>
  <c r="BZ541" i="1"/>
  <c r="CA541" i="1"/>
  <c r="CB541" i="1"/>
  <c r="CC541" i="1"/>
  <c r="CD541" i="1"/>
  <c r="CE541" i="1"/>
  <c r="BV542" i="1"/>
  <c r="BW542" i="1"/>
  <c r="BX542" i="1"/>
  <c r="BY542" i="1"/>
  <c r="BZ542" i="1"/>
  <c r="CA542" i="1"/>
  <c r="CB542" i="1"/>
  <c r="CC542" i="1"/>
  <c r="CD542" i="1"/>
  <c r="CE542" i="1"/>
  <c r="BV543" i="1"/>
  <c r="BW543" i="1"/>
  <c r="BX543" i="1"/>
  <c r="BY543" i="1"/>
  <c r="BZ543" i="1"/>
  <c r="CA543" i="1"/>
  <c r="CB543" i="1"/>
  <c r="CC543" i="1"/>
  <c r="CD543" i="1"/>
  <c r="CE543" i="1"/>
  <c r="BV544" i="1"/>
  <c r="BW544" i="1"/>
  <c r="BX544" i="1"/>
  <c r="BY544" i="1"/>
  <c r="BZ544" i="1"/>
  <c r="CA544" i="1"/>
  <c r="CB544" i="1"/>
  <c r="CC544" i="1"/>
  <c r="CD544" i="1"/>
  <c r="CE544" i="1"/>
  <c r="BV545" i="1"/>
  <c r="BW545" i="1"/>
  <c r="BX545" i="1"/>
  <c r="BY545" i="1"/>
  <c r="BZ545" i="1"/>
  <c r="CA545" i="1"/>
  <c r="CB545" i="1"/>
  <c r="CC545" i="1"/>
  <c r="CD545" i="1"/>
  <c r="CE545" i="1"/>
  <c r="BV546" i="1"/>
  <c r="BW546" i="1"/>
  <c r="BX546" i="1"/>
  <c r="BY546" i="1"/>
  <c r="BZ546" i="1"/>
  <c r="CA546" i="1"/>
  <c r="CB546" i="1"/>
  <c r="CC546" i="1"/>
  <c r="CD546" i="1"/>
  <c r="CE546" i="1"/>
  <c r="BV547" i="1"/>
  <c r="BW547" i="1"/>
  <c r="BX547" i="1"/>
  <c r="BY547" i="1"/>
  <c r="BZ547" i="1"/>
  <c r="CA547" i="1"/>
  <c r="CB547" i="1"/>
  <c r="CC547" i="1"/>
  <c r="CD547" i="1"/>
  <c r="CE547" i="1"/>
  <c r="BV548" i="1"/>
  <c r="BW548" i="1"/>
  <c r="BX548" i="1"/>
  <c r="BY548" i="1"/>
  <c r="BZ548" i="1"/>
  <c r="CA548" i="1"/>
  <c r="CB548" i="1"/>
  <c r="CC548" i="1"/>
  <c r="CD548" i="1"/>
  <c r="CE548" i="1"/>
  <c r="BV549" i="1"/>
  <c r="BW549" i="1"/>
  <c r="BX549" i="1"/>
  <c r="BY549" i="1"/>
  <c r="BZ549" i="1"/>
  <c r="CA549" i="1"/>
  <c r="CB549" i="1"/>
  <c r="CC549" i="1"/>
  <c r="CD549" i="1"/>
  <c r="CE549" i="1"/>
  <c r="BV550" i="1"/>
  <c r="BW550" i="1"/>
  <c r="BX550" i="1"/>
  <c r="BY550" i="1"/>
  <c r="BZ550" i="1"/>
  <c r="CA550" i="1"/>
  <c r="CB550" i="1"/>
  <c r="CC550" i="1"/>
  <c r="CD550" i="1"/>
  <c r="CE550" i="1"/>
  <c r="BV551" i="1"/>
  <c r="BW551" i="1"/>
  <c r="BX551" i="1"/>
  <c r="BY551" i="1"/>
  <c r="BZ551" i="1"/>
  <c r="CA551" i="1"/>
  <c r="CB551" i="1"/>
  <c r="CC551" i="1"/>
  <c r="CD551" i="1"/>
  <c r="CE551" i="1"/>
  <c r="BV552" i="1"/>
  <c r="BW552" i="1"/>
  <c r="BX552" i="1"/>
  <c r="BY552" i="1"/>
  <c r="BZ552" i="1"/>
  <c r="CA552" i="1"/>
  <c r="CB552" i="1"/>
  <c r="CC552" i="1"/>
  <c r="CD552" i="1"/>
  <c r="CE552" i="1"/>
  <c r="BV553" i="1"/>
  <c r="BW553" i="1"/>
  <c r="BX553" i="1"/>
  <c r="BY553" i="1"/>
  <c r="BZ553" i="1"/>
  <c r="CA553" i="1"/>
  <c r="CB553" i="1"/>
  <c r="CC553" i="1"/>
  <c r="CD553" i="1"/>
  <c r="CE553" i="1"/>
  <c r="BV554" i="1"/>
  <c r="BW554" i="1"/>
  <c r="BX554" i="1"/>
  <c r="BY554" i="1"/>
  <c r="BZ554" i="1"/>
  <c r="CA554" i="1"/>
  <c r="CB554" i="1"/>
  <c r="CC554" i="1"/>
  <c r="CD554" i="1"/>
  <c r="CE554" i="1"/>
  <c r="BV555" i="1"/>
  <c r="BW555" i="1"/>
  <c r="BX555" i="1"/>
  <c r="BY555" i="1"/>
  <c r="BZ555" i="1"/>
  <c r="CA555" i="1"/>
  <c r="CB555" i="1"/>
  <c r="CC555" i="1"/>
  <c r="CD555" i="1"/>
  <c r="CE555" i="1"/>
  <c r="BV556" i="1"/>
  <c r="BW556" i="1"/>
  <c r="BX556" i="1"/>
  <c r="BY556" i="1"/>
  <c r="BZ556" i="1"/>
  <c r="CA556" i="1"/>
  <c r="CB556" i="1"/>
  <c r="CC556" i="1"/>
  <c r="CD556" i="1"/>
  <c r="CE556" i="1"/>
  <c r="BV557" i="1"/>
  <c r="BW557" i="1"/>
  <c r="BX557" i="1"/>
  <c r="BY557" i="1"/>
  <c r="BZ557" i="1"/>
  <c r="CA557" i="1"/>
  <c r="CB557" i="1"/>
  <c r="CC557" i="1"/>
  <c r="CD557" i="1"/>
  <c r="CE557" i="1"/>
  <c r="BV558" i="1"/>
  <c r="BW558" i="1"/>
  <c r="BX558" i="1"/>
  <c r="BY558" i="1"/>
  <c r="BZ558" i="1"/>
  <c r="CA558" i="1"/>
  <c r="CB558" i="1"/>
  <c r="CC558" i="1"/>
  <c r="CD558" i="1"/>
  <c r="CE558" i="1"/>
  <c r="BV559" i="1"/>
  <c r="BW559" i="1"/>
  <c r="BX559" i="1"/>
  <c r="BY559" i="1"/>
  <c r="BZ559" i="1"/>
  <c r="CA559" i="1"/>
  <c r="CB559" i="1"/>
  <c r="CC559" i="1"/>
  <c r="CD559" i="1"/>
  <c r="CE559" i="1"/>
  <c r="BV560" i="1"/>
  <c r="BW560" i="1"/>
  <c r="BX560" i="1"/>
  <c r="BY560" i="1"/>
  <c r="BZ560" i="1"/>
  <c r="CA560" i="1"/>
  <c r="CB560" i="1"/>
  <c r="CC560" i="1"/>
  <c r="CD560" i="1"/>
  <c r="CE560" i="1"/>
  <c r="BV561" i="1"/>
  <c r="BW561" i="1"/>
  <c r="BX561" i="1"/>
  <c r="BY561" i="1"/>
  <c r="BZ561" i="1"/>
  <c r="CA561" i="1"/>
  <c r="CB561" i="1"/>
  <c r="CC561" i="1"/>
  <c r="CD561" i="1"/>
  <c r="CE561" i="1"/>
  <c r="BV562" i="1"/>
  <c r="BW562" i="1"/>
  <c r="BX562" i="1"/>
  <c r="BY562" i="1"/>
  <c r="BZ562" i="1"/>
  <c r="CA562" i="1"/>
  <c r="CB562" i="1"/>
  <c r="CC562" i="1"/>
  <c r="CD562" i="1"/>
  <c r="CE562" i="1"/>
  <c r="BV563" i="1"/>
  <c r="BW563" i="1"/>
  <c r="BX563" i="1"/>
  <c r="BY563" i="1"/>
  <c r="BZ563" i="1"/>
  <c r="CA563" i="1"/>
  <c r="CB563" i="1"/>
  <c r="CC563" i="1"/>
  <c r="CD563" i="1"/>
  <c r="CE563" i="1"/>
  <c r="BV564" i="1"/>
  <c r="BW564" i="1"/>
  <c r="BX564" i="1"/>
  <c r="BY564" i="1"/>
  <c r="BZ564" i="1"/>
  <c r="CA564" i="1"/>
  <c r="CB564" i="1"/>
  <c r="CC564" i="1"/>
  <c r="CD564" i="1"/>
  <c r="CE564" i="1"/>
  <c r="BV565" i="1"/>
  <c r="BW565" i="1"/>
  <c r="BX565" i="1"/>
  <c r="BY565" i="1"/>
  <c r="BZ565" i="1"/>
  <c r="CA565" i="1"/>
  <c r="CB565" i="1"/>
  <c r="CC565" i="1"/>
  <c r="CD565" i="1"/>
  <c r="CE565" i="1"/>
  <c r="BV566" i="1"/>
  <c r="BW566" i="1"/>
  <c r="BX566" i="1"/>
  <c r="BY566" i="1"/>
  <c r="BZ566" i="1"/>
  <c r="CA566" i="1"/>
  <c r="CB566" i="1"/>
  <c r="CC566" i="1"/>
  <c r="CD566" i="1"/>
  <c r="CE566" i="1"/>
  <c r="BV567" i="1"/>
  <c r="BW567" i="1"/>
  <c r="BX567" i="1"/>
  <c r="BY567" i="1"/>
  <c r="BZ567" i="1"/>
  <c r="CA567" i="1"/>
  <c r="CB567" i="1"/>
  <c r="CC567" i="1"/>
  <c r="CD567" i="1"/>
  <c r="CE567" i="1"/>
  <c r="BV568" i="1"/>
  <c r="BW568" i="1"/>
  <c r="BX568" i="1"/>
  <c r="BY568" i="1"/>
  <c r="BZ568" i="1"/>
  <c r="CA568" i="1"/>
  <c r="CB568" i="1"/>
  <c r="CC568" i="1"/>
  <c r="CD568" i="1"/>
  <c r="CE568" i="1"/>
  <c r="BV569" i="1"/>
  <c r="BW569" i="1"/>
  <c r="BX569" i="1"/>
  <c r="BY569" i="1"/>
  <c r="BZ569" i="1"/>
  <c r="CA569" i="1"/>
  <c r="CB569" i="1"/>
  <c r="CC569" i="1"/>
  <c r="CD569" i="1"/>
  <c r="CE569" i="1"/>
  <c r="BV570" i="1"/>
  <c r="BW570" i="1"/>
  <c r="BX570" i="1"/>
  <c r="BY570" i="1"/>
  <c r="BZ570" i="1"/>
  <c r="CA570" i="1"/>
  <c r="CB570" i="1"/>
  <c r="CC570" i="1"/>
  <c r="CD570" i="1"/>
  <c r="CE570" i="1"/>
  <c r="BV571" i="1"/>
  <c r="BW571" i="1"/>
  <c r="BX571" i="1"/>
  <c r="BY571" i="1"/>
  <c r="BZ571" i="1"/>
  <c r="CA571" i="1"/>
  <c r="CB571" i="1"/>
  <c r="CC571" i="1"/>
  <c r="CD571" i="1"/>
  <c r="CE571" i="1"/>
  <c r="BV572" i="1"/>
  <c r="BW572" i="1"/>
  <c r="BX572" i="1"/>
  <c r="BY572" i="1"/>
  <c r="BZ572" i="1"/>
  <c r="CA572" i="1"/>
  <c r="CB572" i="1"/>
  <c r="CC572" i="1"/>
  <c r="CD572" i="1"/>
  <c r="CE572" i="1"/>
  <c r="BV573" i="1"/>
  <c r="BW573" i="1"/>
  <c r="BX573" i="1"/>
  <c r="BY573" i="1"/>
  <c r="BZ573" i="1"/>
  <c r="CA573" i="1"/>
  <c r="CB573" i="1"/>
  <c r="CC573" i="1"/>
  <c r="CD573" i="1"/>
  <c r="CE573" i="1"/>
  <c r="BV574" i="1"/>
  <c r="BW574" i="1"/>
  <c r="BX574" i="1"/>
  <c r="BY574" i="1"/>
  <c r="BZ574" i="1"/>
  <c r="CA574" i="1"/>
  <c r="CB574" i="1"/>
  <c r="CC574" i="1"/>
  <c r="CD574" i="1"/>
  <c r="CE574" i="1"/>
  <c r="BV575" i="1"/>
  <c r="BW575" i="1"/>
  <c r="BX575" i="1"/>
  <c r="BY575" i="1"/>
  <c r="BZ575" i="1"/>
  <c r="CA575" i="1"/>
  <c r="CB575" i="1"/>
  <c r="CC575" i="1"/>
  <c r="CD575" i="1"/>
  <c r="CE575" i="1"/>
  <c r="BV576" i="1"/>
  <c r="BW576" i="1"/>
  <c r="BX576" i="1"/>
  <c r="BY576" i="1"/>
  <c r="BZ576" i="1"/>
  <c r="CA576" i="1"/>
  <c r="CB576" i="1"/>
  <c r="CC576" i="1"/>
  <c r="CD576" i="1"/>
  <c r="CE576" i="1"/>
  <c r="BV577" i="1"/>
  <c r="BW577" i="1"/>
  <c r="BX577" i="1"/>
  <c r="BY577" i="1"/>
  <c r="BZ577" i="1"/>
  <c r="CA577" i="1"/>
  <c r="CB577" i="1"/>
  <c r="CC577" i="1"/>
  <c r="CD577" i="1"/>
  <c r="CE577" i="1"/>
  <c r="BV578" i="1"/>
  <c r="BW578" i="1"/>
  <c r="BX578" i="1"/>
  <c r="BY578" i="1"/>
  <c r="BZ578" i="1"/>
  <c r="CA578" i="1"/>
  <c r="CB578" i="1"/>
  <c r="CC578" i="1"/>
  <c r="CD578" i="1"/>
  <c r="CE578" i="1"/>
  <c r="BV579" i="1"/>
  <c r="BW579" i="1"/>
  <c r="BX579" i="1"/>
  <c r="BY579" i="1"/>
  <c r="BZ579" i="1"/>
  <c r="CA579" i="1"/>
  <c r="CB579" i="1"/>
  <c r="CC579" i="1"/>
  <c r="CD579" i="1"/>
  <c r="CE579" i="1"/>
  <c r="BV580" i="1"/>
  <c r="BW580" i="1"/>
  <c r="BX580" i="1"/>
  <c r="BY580" i="1"/>
  <c r="BZ580" i="1"/>
  <c r="CA580" i="1"/>
  <c r="CB580" i="1"/>
  <c r="CC580" i="1"/>
  <c r="CD580" i="1"/>
  <c r="CE580" i="1"/>
  <c r="BV581" i="1"/>
  <c r="BW581" i="1"/>
  <c r="BX581" i="1"/>
  <c r="BY581" i="1"/>
  <c r="BZ581" i="1"/>
  <c r="CA581" i="1"/>
  <c r="CB581" i="1"/>
  <c r="CC581" i="1"/>
  <c r="CD581" i="1"/>
  <c r="CE581" i="1"/>
  <c r="BV582" i="1"/>
  <c r="BW582" i="1"/>
  <c r="BX582" i="1"/>
  <c r="BY582" i="1"/>
  <c r="BZ582" i="1"/>
  <c r="CA582" i="1"/>
  <c r="CB582" i="1"/>
  <c r="CC582" i="1"/>
  <c r="CD582" i="1"/>
  <c r="CE582" i="1"/>
  <c r="BV583" i="1"/>
  <c r="BW583" i="1"/>
  <c r="BX583" i="1"/>
  <c r="BY583" i="1"/>
  <c r="BZ583" i="1"/>
  <c r="CA583" i="1"/>
  <c r="CB583" i="1"/>
  <c r="CC583" i="1"/>
  <c r="CD583" i="1"/>
  <c r="CE583" i="1"/>
  <c r="BV584" i="1"/>
  <c r="BW584" i="1"/>
  <c r="BX584" i="1"/>
  <c r="BY584" i="1"/>
  <c r="BZ584" i="1"/>
  <c r="CA584" i="1"/>
  <c r="CB584" i="1"/>
  <c r="CC584" i="1"/>
  <c r="CD584" i="1"/>
  <c r="CE584" i="1"/>
  <c r="BV585" i="1"/>
  <c r="BW585" i="1"/>
  <c r="BX585" i="1"/>
  <c r="BY585" i="1"/>
  <c r="BZ585" i="1"/>
  <c r="CA585" i="1"/>
  <c r="CB585" i="1"/>
  <c r="CC585" i="1"/>
  <c r="CD585" i="1"/>
  <c r="CE585" i="1"/>
  <c r="BV586" i="1"/>
  <c r="BW586" i="1"/>
  <c r="BX586" i="1"/>
  <c r="BY586" i="1"/>
  <c r="BZ586" i="1"/>
  <c r="CA586" i="1"/>
  <c r="CB586" i="1"/>
  <c r="CC586" i="1"/>
  <c r="CD586" i="1"/>
  <c r="CE586" i="1"/>
  <c r="BV587" i="1"/>
  <c r="BW587" i="1"/>
  <c r="BX587" i="1"/>
  <c r="BY587" i="1"/>
  <c r="BZ587" i="1"/>
  <c r="CA587" i="1"/>
  <c r="CB587" i="1"/>
  <c r="CC587" i="1"/>
  <c r="CD587" i="1"/>
  <c r="CE587" i="1"/>
  <c r="BV588" i="1"/>
  <c r="BW588" i="1"/>
  <c r="BX588" i="1"/>
  <c r="BY588" i="1"/>
  <c r="BZ588" i="1"/>
  <c r="CA588" i="1"/>
  <c r="CB588" i="1"/>
  <c r="CC588" i="1"/>
  <c r="CD588" i="1"/>
  <c r="CE588" i="1"/>
  <c r="BV589" i="1"/>
  <c r="BW589" i="1"/>
  <c r="BX589" i="1"/>
  <c r="BY589" i="1"/>
  <c r="BZ589" i="1"/>
  <c r="CA589" i="1"/>
  <c r="CB589" i="1"/>
  <c r="CC589" i="1"/>
  <c r="CD589" i="1"/>
  <c r="CE589" i="1"/>
  <c r="BV590" i="1"/>
  <c r="BW590" i="1"/>
  <c r="BX590" i="1"/>
  <c r="BY590" i="1"/>
  <c r="BZ590" i="1"/>
  <c r="CA590" i="1"/>
  <c r="CB590" i="1"/>
  <c r="CC590" i="1"/>
  <c r="CD590" i="1"/>
  <c r="CE590" i="1"/>
  <c r="BV591" i="1"/>
  <c r="BW591" i="1"/>
  <c r="BX591" i="1"/>
  <c r="BY591" i="1"/>
  <c r="BZ591" i="1"/>
  <c r="CA591" i="1"/>
  <c r="CB591" i="1"/>
  <c r="CC591" i="1"/>
  <c r="CD591" i="1"/>
  <c r="CE591" i="1"/>
  <c r="BV592" i="1"/>
  <c r="BW592" i="1"/>
  <c r="BX592" i="1"/>
  <c r="BY592" i="1"/>
  <c r="BZ592" i="1"/>
  <c r="CA592" i="1"/>
  <c r="CB592" i="1"/>
  <c r="CC592" i="1"/>
  <c r="CD592" i="1"/>
  <c r="CE592" i="1"/>
  <c r="BV593" i="1"/>
  <c r="BW593" i="1"/>
  <c r="BX593" i="1"/>
  <c r="BY593" i="1"/>
  <c r="BZ593" i="1"/>
  <c r="CA593" i="1"/>
  <c r="CB593" i="1"/>
  <c r="CC593" i="1"/>
  <c r="CD593" i="1"/>
  <c r="CE593" i="1"/>
  <c r="BV594" i="1"/>
  <c r="BW594" i="1"/>
  <c r="BX594" i="1"/>
  <c r="BY594" i="1"/>
  <c r="BZ594" i="1"/>
  <c r="CA594" i="1"/>
  <c r="CB594" i="1"/>
  <c r="CC594" i="1"/>
  <c r="CD594" i="1"/>
  <c r="CE594" i="1"/>
  <c r="BV595" i="1"/>
  <c r="BW595" i="1"/>
  <c r="BX595" i="1"/>
  <c r="BY595" i="1"/>
  <c r="BZ595" i="1"/>
  <c r="CA595" i="1"/>
  <c r="CB595" i="1"/>
  <c r="CC595" i="1"/>
  <c r="CD595" i="1"/>
  <c r="CE595" i="1"/>
  <c r="BV596" i="1"/>
  <c r="BW596" i="1"/>
  <c r="BX596" i="1"/>
  <c r="BY596" i="1"/>
  <c r="BZ596" i="1"/>
  <c r="CA596" i="1"/>
  <c r="CB596" i="1"/>
  <c r="CC596" i="1"/>
  <c r="CD596" i="1"/>
  <c r="CE596" i="1"/>
  <c r="BV597" i="1"/>
  <c r="BW597" i="1"/>
  <c r="BX597" i="1"/>
  <c r="BY597" i="1"/>
  <c r="BZ597" i="1"/>
  <c r="CA597" i="1"/>
  <c r="CB597" i="1"/>
  <c r="CC597" i="1"/>
  <c r="CD597" i="1"/>
  <c r="CE597" i="1"/>
  <c r="BV598" i="1"/>
  <c r="BW598" i="1"/>
  <c r="BX598" i="1"/>
  <c r="BY598" i="1"/>
  <c r="BZ598" i="1"/>
  <c r="CA598" i="1"/>
  <c r="CB598" i="1"/>
  <c r="CC598" i="1"/>
  <c r="CD598" i="1"/>
  <c r="CE598" i="1"/>
  <c r="BV599" i="1"/>
  <c r="BW599" i="1"/>
  <c r="BX599" i="1"/>
  <c r="BY599" i="1"/>
  <c r="BZ599" i="1"/>
  <c r="CA599" i="1"/>
  <c r="CB599" i="1"/>
  <c r="CC599" i="1"/>
  <c r="CD599" i="1"/>
  <c r="CE599" i="1"/>
  <c r="BV600" i="1"/>
  <c r="BW600" i="1"/>
  <c r="BX600" i="1"/>
  <c r="BY600" i="1"/>
  <c r="BZ600" i="1"/>
  <c r="CA600" i="1"/>
  <c r="CB600" i="1"/>
  <c r="CC600" i="1"/>
  <c r="CD600" i="1"/>
  <c r="CE600" i="1"/>
  <c r="BV601" i="1"/>
  <c r="BW601" i="1"/>
  <c r="BX601" i="1"/>
  <c r="BY601" i="1"/>
  <c r="BZ601" i="1"/>
  <c r="CA601" i="1"/>
  <c r="CB601" i="1"/>
  <c r="CC601" i="1"/>
  <c r="CD601" i="1"/>
  <c r="CE601" i="1"/>
  <c r="BV602" i="1"/>
  <c r="BW602" i="1"/>
  <c r="BX602" i="1"/>
  <c r="BY602" i="1"/>
  <c r="BZ602" i="1"/>
  <c r="CA602" i="1"/>
  <c r="CB602" i="1"/>
  <c r="CC602" i="1"/>
  <c r="CD602" i="1"/>
  <c r="CE602" i="1"/>
  <c r="BV603" i="1"/>
  <c r="BW603" i="1"/>
  <c r="BX603" i="1"/>
  <c r="BY603" i="1"/>
  <c r="BZ603" i="1"/>
  <c r="CA603" i="1"/>
  <c r="CB603" i="1"/>
  <c r="CC603" i="1"/>
  <c r="CD603" i="1"/>
  <c r="CE603" i="1"/>
  <c r="BV604" i="1"/>
  <c r="BW604" i="1"/>
  <c r="BX604" i="1"/>
  <c r="BY604" i="1"/>
  <c r="BZ604" i="1"/>
  <c r="CA604" i="1"/>
  <c r="CB604" i="1"/>
  <c r="CC604" i="1"/>
  <c r="CD604" i="1"/>
  <c r="CE604" i="1"/>
  <c r="BV605" i="1"/>
  <c r="BW605" i="1"/>
  <c r="BX605" i="1"/>
  <c r="BY605" i="1"/>
  <c r="BZ605" i="1"/>
  <c r="CA605" i="1"/>
  <c r="CB605" i="1"/>
  <c r="CC605" i="1"/>
  <c r="CD605" i="1"/>
  <c r="CE605" i="1"/>
  <c r="BV606" i="1"/>
  <c r="BW606" i="1"/>
  <c r="BX606" i="1"/>
  <c r="BY606" i="1"/>
  <c r="BZ606" i="1"/>
  <c r="CA606" i="1"/>
  <c r="CB606" i="1"/>
  <c r="CC606" i="1"/>
  <c r="CD606" i="1"/>
  <c r="CE606" i="1"/>
  <c r="BV607" i="1"/>
  <c r="BW607" i="1"/>
  <c r="BX607" i="1"/>
  <c r="BY607" i="1"/>
  <c r="BZ607" i="1"/>
  <c r="CA607" i="1"/>
  <c r="CB607" i="1"/>
  <c r="CC607" i="1"/>
  <c r="CD607" i="1"/>
  <c r="CE607" i="1"/>
  <c r="BV608" i="1"/>
  <c r="BW608" i="1"/>
  <c r="BX608" i="1"/>
  <c r="BY608" i="1"/>
  <c r="BZ608" i="1"/>
  <c r="CA608" i="1"/>
  <c r="CB608" i="1"/>
  <c r="CC608" i="1"/>
  <c r="CD608" i="1"/>
  <c r="CE608" i="1"/>
  <c r="BV609" i="1"/>
  <c r="BW609" i="1"/>
  <c r="BX609" i="1"/>
  <c r="BY609" i="1"/>
  <c r="BZ609" i="1"/>
  <c r="CA609" i="1"/>
  <c r="CB609" i="1"/>
  <c r="CC609" i="1"/>
  <c r="CD609" i="1"/>
  <c r="CE609" i="1"/>
  <c r="BV610" i="1"/>
  <c r="BW610" i="1"/>
  <c r="BX610" i="1"/>
  <c r="BY610" i="1"/>
  <c r="BZ610" i="1"/>
  <c r="CA610" i="1"/>
  <c r="CB610" i="1"/>
  <c r="CC610" i="1"/>
  <c r="CD610" i="1"/>
  <c r="CE610" i="1"/>
  <c r="BV611" i="1"/>
  <c r="BW611" i="1"/>
  <c r="BX611" i="1"/>
  <c r="BY611" i="1"/>
  <c r="BZ611" i="1"/>
  <c r="CA611" i="1"/>
  <c r="CB611" i="1"/>
  <c r="CC611" i="1"/>
  <c r="CD611" i="1"/>
  <c r="CE611" i="1"/>
  <c r="BV612" i="1"/>
  <c r="BW612" i="1"/>
  <c r="BX612" i="1"/>
  <c r="BY612" i="1"/>
  <c r="BZ612" i="1"/>
  <c r="CA612" i="1"/>
  <c r="CB612" i="1"/>
  <c r="CC612" i="1"/>
  <c r="CD612" i="1"/>
  <c r="CE612" i="1"/>
  <c r="BV613" i="1"/>
  <c r="BW613" i="1"/>
  <c r="BX613" i="1"/>
  <c r="BY613" i="1"/>
  <c r="BZ613" i="1"/>
  <c r="CA613" i="1"/>
  <c r="CB613" i="1"/>
  <c r="CC613" i="1"/>
  <c r="CD613" i="1"/>
  <c r="CE613" i="1"/>
  <c r="BV614" i="1"/>
  <c r="BW614" i="1"/>
  <c r="BX614" i="1"/>
  <c r="BY614" i="1"/>
  <c r="BZ614" i="1"/>
  <c r="CA614" i="1"/>
  <c r="CB614" i="1"/>
  <c r="CC614" i="1"/>
  <c r="CD614" i="1"/>
  <c r="CE614" i="1"/>
  <c r="BV615" i="1"/>
  <c r="BW615" i="1"/>
  <c r="BX615" i="1"/>
  <c r="BY615" i="1"/>
  <c r="BZ615" i="1"/>
  <c r="CA615" i="1"/>
  <c r="CB615" i="1"/>
  <c r="CC615" i="1"/>
  <c r="CD615" i="1"/>
  <c r="CE615" i="1"/>
  <c r="BV616" i="1"/>
  <c r="BW616" i="1"/>
  <c r="BX616" i="1"/>
  <c r="BY616" i="1"/>
  <c r="BZ616" i="1"/>
  <c r="CA616" i="1"/>
  <c r="CB616" i="1"/>
  <c r="CC616" i="1"/>
  <c r="CD616" i="1"/>
  <c r="CE616" i="1"/>
  <c r="BV617" i="1"/>
  <c r="BW617" i="1"/>
  <c r="BX617" i="1"/>
  <c r="BY617" i="1"/>
  <c r="BZ617" i="1"/>
  <c r="CA617" i="1"/>
  <c r="CB617" i="1"/>
  <c r="CC617" i="1"/>
  <c r="CD617" i="1"/>
  <c r="CE617" i="1"/>
  <c r="BV618" i="1"/>
  <c r="BW618" i="1"/>
  <c r="BX618" i="1"/>
  <c r="BY618" i="1"/>
  <c r="BZ618" i="1"/>
  <c r="CA618" i="1"/>
  <c r="CB618" i="1"/>
  <c r="CC618" i="1"/>
  <c r="CD618" i="1"/>
  <c r="CE618" i="1"/>
  <c r="BV619" i="1"/>
  <c r="BW619" i="1"/>
  <c r="BX619" i="1"/>
  <c r="BY619" i="1"/>
  <c r="BZ619" i="1"/>
  <c r="CA619" i="1"/>
  <c r="CB619" i="1"/>
  <c r="CC619" i="1"/>
  <c r="CD619" i="1"/>
  <c r="CE619" i="1"/>
  <c r="BV620" i="1"/>
  <c r="BW620" i="1"/>
  <c r="BX620" i="1"/>
  <c r="BY620" i="1"/>
  <c r="BZ620" i="1"/>
  <c r="CA620" i="1"/>
  <c r="CB620" i="1"/>
  <c r="CC620" i="1"/>
  <c r="CD620" i="1"/>
  <c r="CE620" i="1"/>
  <c r="BV621" i="1"/>
  <c r="BW621" i="1"/>
  <c r="BX621" i="1"/>
  <c r="BY621" i="1"/>
  <c r="BZ621" i="1"/>
  <c r="CA621" i="1"/>
  <c r="CB621" i="1"/>
  <c r="CC621" i="1"/>
  <c r="CD621" i="1"/>
  <c r="CE621" i="1"/>
  <c r="BV622" i="1"/>
  <c r="BW622" i="1"/>
  <c r="BX622" i="1"/>
  <c r="BY622" i="1"/>
  <c r="BZ622" i="1"/>
  <c r="CA622" i="1"/>
  <c r="CB622" i="1"/>
  <c r="CC622" i="1"/>
  <c r="CD622" i="1"/>
  <c r="CE622" i="1"/>
  <c r="BV623" i="1"/>
  <c r="BW623" i="1"/>
  <c r="BX623" i="1"/>
  <c r="BY623" i="1"/>
  <c r="BZ623" i="1"/>
  <c r="CA623" i="1"/>
  <c r="CB623" i="1"/>
  <c r="CC623" i="1"/>
  <c r="CD623" i="1"/>
  <c r="CE623" i="1"/>
  <c r="BV624" i="1"/>
  <c r="BW624" i="1"/>
  <c r="BX624" i="1"/>
  <c r="BY624" i="1"/>
  <c r="BZ624" i="1"/>
  <c r="CA624" i="1"/>
  <c r="CB624" i="1"/>
  <c r="CC624" i="1"/>
  <c r="CD624" i="1"/>
  <c r="CE624" i="1"/>
  <c r="BV625" i="1"/>
  <c r="BW625" i="1"/>
  <c r="BX625" i="1"/>
  <c r="BY625" i="1"/>
  <c r="BZ625" i="1"/>
  <c r="CA625" i="1"/>
  <c r="CB625" i="1"/>
  <c r="CC625" i="1"/>
  <c r="CD625" i="1"/>
  <c r="CE625" i="1"/>
  <c r="BV626" i="1"/>
  <c r="BW626" i="1"/>
  <c r="BX626" i="1"/>
  <c r="BY626" i="1"/>
  <c r="BZ626" i="1"/>
  <c r="CA626" i="1"/>
  <c r="CB626" i="1"/>
  <c r="CC626" i="1"/>
  <c r="CD626" i="1"/>
  <c r="CE626" i="1"/>
  <c r="BV627" i="1"/>
  <c r="BW627" i="1"/>
  <c r="BX627" i="1"/>
  <c r="BY627" i="1"/>
  <c r="BZ627" i="1"/>
  <c r="CA627" i="1"/>
  <c r="CB627" i="1"/>
  <c r="CC627" i="1"/>
  <c r="CD627" i="1"/>
  <c r="CE627" i="1"/>
  <c r="BV628" i="1"/>
  <c r="BW628" i="1"/>
  <c r="BX628" i="1"/>
  <c r="BY628" i="1"/>
  <c r="BZ628" i="1"/>
  <c r="CA628" i="1"/>
  <c r="CB628" i="1"/>
  <c r="CC628" i="1"/>
  <c r="CD628" i="1"/>
  <c r="CE628" i="1"/>
  <c r="BV629" i="1"/>
  <c r="BW629" i="1"/>
  <c r="BX629" i="1"/>
  <c r="BY629" i="1"/>
  <c r="BZ629" i="1"/>
  <c r="CA629" i="1"/>
  <c r="CB629" i="1"/>
  <c r="CC629" i="1"/>
  <c r="CD629" i="1"/>
  <c r="CE629" i="1"/>
  <c r="BV630" i="1"/>
  <c r="BW630" i="1"/>
  <c r="BX630" i="1"/>
  <c r="BY630" i="1"/>
  <c r="BZ630" i="1"/>
  <c r="CA630" i="1"/>
  <c r="CB630" i="1"/>
  <c r="CC630" i="1"/>
  <c r="CD630" i="1"/>
  <c r="CE630" i="1"/>
  <c r="BV631" i="1"/>
  <c r="BW631" i="1"/>
  <c r="BX631" i="1"/>
  <c r="BY631" i="1"/>
  <c r="BZ631" i="1"/>
  <c r="CA631" i="1"/>
  <c r="CB631" i="1"/>
  <c r="CC631" i="1"/>
  <c r="CD631" i="1"/>
  <c r="CE631" i="1"/>
  <c r="BV632" i="1"/>
  <c r="BW632" i="1"/>
  <c r="BX632" i="1"/>
  <c r="BY632" i="1"/>
  <c r="BZ632" i="1"/>
  <c r="CA632" i="1"/>
  <c r="CB632" i="1"/>
  <c r="CC632" i="1"/>
  <c r="CD632" i="1"/>
  <c r="CE632" i="1"/>
  <c r="BV633" i="1"/>
  <c r="BW633" i="1"/>
  <c r="BX633" i="1"/>
  <c r="BY633" i="1"/>
  <c r="BZ633" i="1"/>
  <c r="CA633" i="1"/>
  <c r="CB633" i="1"/>
  <c r="CC633" i="1"/>
  <c r="CD633" i="1"/>
  <c r="CE633" i="1"/>
  <c r="BV634" i="1"/>
  <c r="BW634" i="1"/>
  <c r="BX634" i="1"/>
  <c r="BY634" i="1"/>
  <c r="BZ634" i="1"/>
  <c r="CA634" i="1"/>
  <c r="CB634" i="1"/>
  <c r="CC634" i="1"/>
  <c r="CD634" i="1"/>
  <c r="CE634" i="1"/>
  <c r="BV635" i="1"/>
  <c r="BW635" i="1"/>
  <c r="BX635" i="1"/>
  <c r="BY635" i="1"/>
  <c r="BZ635" i="1"/>
  <c r="CA635" i="1"/>
  <c r="CB635" i="1"/>
  <c r="CC635" i="1"/>
  <c r="CD635" i="1"/>
  <c r="CE635" i="1"/>
  <c r="BV636" i="1"/>
  <c r="BW636" i="1"/>
  <c r="BX636" i="1"/>
  <c r="BY636" i="1"/>
  <c r="BZ636" i="1"/>
  <c r="CA636" i="1"/>
  <c r="CB636" i="1"/>
  <c r="CC636" i="1"/>
  <c r="CD636" i="1"/>
  <c r="CE636" i="1"/>
  <c r="BV637" i="1"/>
  <c r="BW637" i="1"/>
  <c r="BX637" i="1"/>
  <c r="BY637" i="1"/>
  <c r="BZ637" i="1"/>
  <c r="CA637" i="1"/>
  <c r="CB637" i="1"/>
  <c r="CC637" i="1"/>
  <c r="CD637" i="1"/>
  <c r="CE637" i="1"/>
  <c r="BV638" i="1"/>
  <c r="BW638" i="1"/>
  <c r="BX638" i="1"/>
  <c r="BY638" i="1"/>
  <c r="BZ638" i="1"/>
  <c r="CA638" i="1"/>
  <c r="CB638" i="1"/>
  <c r="CC638" i="1"/>
  <c r="CD638" i="1"/>
  <c r="CE638" i="1"/>
  <c r="BV639" i="1"/>
  <c r="BW639" i="1"/>
  <c r="BX639" i="1"/>
  <c r="BY639" i="1"/>
  <c r="BZ639" i="1"/>
  <c r="CA639" i="1"/>
  <c r="CB639" i="1"/>
  <c r="CC639" i="1"/>
  <c r="CD639" i="1"/>
  <c r="CE639" i="1"/>
  <c r="BV640" i="1"/>
  <c r="BW640" i="1"/>
  <c r="BX640" i="1"/>
  <c r="BY640" i="1"/>
  <c r="BZ640" i="1"/>
  <c r="CA640" i="1"/>
  <c r="CB640" i="1"/>
  <c r="CC640" i="1"/>
  <c r="CD640" i="1"/>
  <c r="CE640" i="1"/>
  <c r="BV641" i="1"/>
  <c r="BW641" i="1"/>
  <c r="BX641" i="1"/>
  <c r="BY641" i="1"/>
  <c r="BZ641" i="1"/>
  <c r="CA641" i="1"/>
  <c r="CB641" i="1"/>
  <c r="CC641" i="1"/>
  <c r="CD641" i="1"/>
  <c r="CE641" i="1"/>
  <c r="BV642" i="1"/>
  <c r="BW642" i="1"/>
  <c r="BX642" i="1"/>
  <c r="BY642" i="1"/>
  <c r="BZ642" i="1"/>
  <c r="CA642" i="1"/>
  <c r="CB642" i="1"/>
  <c r="CC642" i="1"/>
  <c r="CD642" i="1"/>
  <c r="CE642" i="1"/>
  <c r="BV643" i="1"/>
  <c r="BW643" i="1"/>
  <c r="BX643" i="1"/>
  <c r="BY643" i="1"/>
  <c r="BZ643" i="1"/>
  <c r="CA643" i="1"/>
  <c r="CB643" i="1"/>
  <c r="CC643" i="1"/>
  <c r="CD643" i="1"/>
  <c r="CE643" i="1"/>
  <c r="BV644" i="1"/>
  <c r="BW644" i="1"/>
  <c r="BX644" i="1"/>
  <c r="BY644" i="1"/>
  <c r="BZ644" i="1"/>
  <c r="CA644" i="1"/>
  <c r="CB644" i="1"/>
  <c r="CC644" i="1"/>
  <c r="CD644" i="1"/>
  <c r="CE644" i="1"/>
  <c r="BV645" i="1"/>
  <c r="BW645" i="1"/>
  <c r="BX645" i="1"/>
  <c r="BY645" i="1"/>
  <c r="BZ645" i="1"/>
  <c r="CA645" i="1"/>
  <c r="CB645" i="1"/>
  <c r="CC645" i="1"/>
  <c r="CD645" i="1"/>
  <c r="CE645" i="1"/>
  <c r="BV646" i="1"/>
  <c r="BW646" i="1"/>
  <c r="BX646" i="1"/>
  <c r="BY646" i="1"/>
  <c r="BZ646" i="1"/>
  <c r="CA646" i="1"/>
  <c r="CB646" i="1"/>
  <c r="CC646" i="1"/>
  <c r="CD646" i="1"/>
  <c r="CE646" i="1"/>
  <c r="BV647" i="1"/>
  <c r="BW647" i="1"/>
  <c r="BX647" i="1"/>
  <c r="BY647" i="1"/>
  <c r="BZ647" i="1"/>
  <c r="CA647" i="1"/>
  <c r="CB647" i="1"/>
  <c r="CC647" i="1"/>
  <c r="CD647" i="1"/>
  <c r="CE647" i="1"/>
  <c r="BV648" i="1"/>
  <c r="BW648" i="1"/>
  <c r="BX648" i="1"/>
  <c r="BY648" i="1"/>
  <c r="BZ648" i="1"/>
  <c r="CA648" i="1"/>
  <c r="CB648" i="1"/>
  <c r="CC648" i="1"/>
  <c r="CD648" i="1"/>
  <c r="CE648" i="1"/>
  <c r="BV649" i="1"/>
  <c r="BW649" i="1"/>
  <c r="BX649" i="1"/>
  <c r="BY649" i="1"/>
  <c r="BZ649" i="1"/>
  <c r="CA649" i="1"/>
  <c r="CB649" i="1"/>
  <c r="CC649" i="1"/>
  <c r="CD649" i="1"/>
  <c r="CE649" i="1"/>
  <c r="BV650" i="1"/>
  <c r="BW650" i="1"/>
  <c r="BX650" i="1"/>
  <c r="BY650" i="1"/>
  <c r="BZ650" i="1"/>
  <c r="CA650" i="1"/>
  <c r="CB650" i="1"/>
  <c r="CC650" i="1"/>
  <c r="CD650" i="1"/>
  <c r="CE650" i="1"/>
  <c r="BV651" i="1"/>
  <c r="BW651" i="1"/>
  <c r="BX651" i="1"/>
  <c r="BY651" i="1"/>
  <c r="BZ651" i="1"/>
  <c r="CA651" i="1"/>
  <c r="CB651" i="1"/>
  <c r="CC651" i="1"/>
  <c r="CD651" i="1"/>
  <c r="CE651" i="1"/>
  <c r="BV652" i="1"/>
  <c r="BW652" i="1"/>
  <c r="BX652" i="1"/>
  <c r="BY652" i="1"/>
  <c r="BZ652" i="1"/>
  <c r="CA652" i="1"/>
  <c r="CB652" i="1"/>
  <c r="CC652" i="1"/>
  <c r="CD652" i="1"/>
  <c r="CE652" i="1"/>
  <c r="BV653" i="1"/>
  <c r="BW653" i="1"/>
  <c r="BX653" i="1"/>
  <c r="BY653" i="1"/>
  <c r="BZ653" i="1"/>
  <c r="CA653" i="1"/>
  <c r="CB653" i="1"/>
  <c r="CC653" i="1"/>
  <c r="CD653" i="1"/>
  <c r="CE653" i="1"/>
  <c r="BV654" i="1"/>
  <c r="BW654" i="1"/>
  <c r="BX654" i="1"/>
  <c r="BY654" i="1"/>
  <c r="BZ654" i="1"/>
  <c r="CA654" i="1"/>
  <c r="CB654" i="1"/>
  <c r="CC654" i="1"/>
  <c r="CD654" i="1"/>
  <c r="CE654" i="1"/>
  <c r="BV655" i="1"/>
  <c r="BW655" i="1"/>
  <c r="BX655" i="1"/>
  <c r="BY655" i="1"/>
  <c r="BZ655" i="1"/>
  <c r="CA655" i="1"/>
  <c r="CB655" i="1"/>
  <c r="CC655" i="1"/>
  <c r="CD655" i="1"/>
  <c r="CE655" i="1"/>
  <c r="BV656" i="1"/>
  <c r="BW656" i="1"/>
  <c r="BX656" i="1"/>
  <c r="BY656" i="1"/>
  <c r="BZ656" i="1"/>
  <c r="CA656" i="1"/>
  <c r="CB656" i="1"/>
  <c r="CC656" i="1"/>
  <c r="CD656" i="1"/>
  <c r="CE656" i="1"/>
  <c r="BV657" i="1"/>
  <c r="BW657" i="1"/>
  <c r="BX657" i="1"/>
  <c r="BY657" i="1"/>
  <c r="BZ657" i="1"/>
  <c r="CA657" i="1"/>
  <c r="CB657" i="1"/>
  <c r="CC657" i="1"/>
  <c r="CD657" i="1"/>
  <c r="CE657" i="1"/>
  <c r="BV658" i="1"/>
  <c r="BW658" i="1"/>
  <c r="BX658" i="1"/>
  <c r="BY658" i="1"/>
  <c r="BZ658" i="1"/>
  <c r="CA658" i="1"/>
  <c r="CB658" i="1"/>
  <c r="CC658" i="1"/>
  <c r="CD658" i="1"/>
  <c r="CE658" i="1"/>
  <c r="BV659" i="1"/>
  <c r="BW659" i="1"/>
  <c r="BX659" i="1"/>
  <c r="BY659" i="1"/>
  <c r="BZ659" i="1"/>
  <c r="CA659" i="1"/>
  <c r="CB659" i="1"/>
  <c r="CC659" i="1"/>
  <c r="CD659" i="1"/>
  <c r="CE659" i="1"/>
  <c r="BV660" i="1"/>
  <c r="BW660" i="1"/>
  <c r="BX660" i="1"/>
  <c r="BY660" i="1"/>
  <c r="BZ660" i="1"/>
  <c r="CA660" i="1"/>
  <c r="CB660" i="1"/>
  <c r="CC660" i="1"/>
  <c r="CD660" i="1"/>
  <c r="CE660" i="1"/>
  <c r="BV661" i="1"/>
  <c r="BW661" i="1"/>
  <c r="BX661" i="1"/>
  <c r="BY661" i="1"/>
  <c r="BZ661" i="1"/>
  <c r="CA661" i="1"/>
  <c r="CB661" i="1"/>
  <c r="CC661" i="1"/>
  <c r="CD661" i="1"/>
  <c r="CE661" i="1"/>
  <c r="BV662" i="1"/>
  <c r="BW662" i="1"/>
  <c r="BX662" i="1"/>
  <c r="BY662" i="1"/>
  <c r="BZ662" i="1"/>
  <c r="CA662" i="1"/>
  <c r="CB662" i="1"/>
  <c r="CC662" i="1"/>
  <c r="CD662" i="1"/>
  <c r="CE662" i="1"/>
  <c r="BV663" i="1"/>
  <c r="BW663" i="1"/>
  <c r="BX663" i="1"/>
  <c r="BY663" i="1"/>
  <c r="BZ663" i="1"/>
  <c r="CA663" i="1"/>
  <c r="CB663" i="1"/>
  <c r="CC663" i="1"/>
  <c r="CD663" i="1"/>
  <c r="CE663" i="1"/>
  <c r="BV664" i="1"/>
  <c r="BW664" i="1"/>
  <c r="BX664" i="1"/>
  <c r="BY664" i="1"/>
  <c r="BZ664" i="1"/>
  <c r="CA664" i="1"/>
  <c r="CB664" i="1"/>
  <c r="CC664" i="1"/>
  <c r="CD664" i="1"/>
  <c r="CE664" i="1"/>
  <c r="BV665" i="1"/>
  <c r="BW665" i="1"/>
  <c r="BX665" i="1"/>
  <c r="BY665" i="1"/>
  <c r="BZ665" i="1"/>
  <c r="CA665" i="1"/>
  <c r="CB665" i="1"/>
  <c r="CC665" i="1"/>
  <c r="CD665" i="1"/>
  <c r="CE665" i="1"/>
  <c r="BV666" i="1"/>
  <c r="BW666" i="1"/>
  <c r="BX666" i="1"/>
  <c r="BY666" i="1"/>
  <c r="BZ666" i="1"/>
  <c r="CA666" i="1"/>
  <c r="CB666" i="1"/>
  <c r="CC666" i="1"/>
  <c r="CD666" i="1"/>
  <c r="CE666" i="1"/>
  <c r="BV667" i="1"/>
  <c r="BW667" i="1"/>
  <c r="BX667" i="1"/>
  <c r="BY667" i="1"/>
  <c r="BZ667" i="1"/>
  <c r="CA667" i="1"/>
  <c r="CB667" i="1"/>
  <c r="CC667" i="1"/>
  <c r="CD667" i="1"/>
  <c r="CE667" i="1"/>
  <c r="BV668" i="1"/>
  <c r="BW668" i="1"/>
  <c r="BX668" i="1"/>
  <c r="BY668" i="1"/>
  <c r="BZ668" i="1"/>
  <c r="CA668" i="1"/>
  <c r="CB668" i="1"/>
  <c r="CC668" i="1"/>
  <c r="CD668" i="1"/>
  <c r="CE668" i="1"/>
  <c r="BV669" i="1"/>
  <c r="BW669" i="1"/>
  <c r="BX669" i="1"/>
  <c r="BY669" i="1"/>
  <c r="BZ669" i="1"/>
  <c r="CA669" i="1"/>
  <c r="CB669" i="1"/>
  <c r="CC669" i="1"/>
  <c r="CD669" i="1"/>
  <c r="CE669" i="1"/>
  <c r="BV670" i="1"/>
  <c r="BW670" i="1"/>
  <c r="BX670" i="1"/>
  <c r="BY670" i="1"/>
  <c r="BZ670" i="1"/>
  <c r="CA670" i="1"/>
  <c r="CB670" i="1"/>
  <c r="CC670" i="1"/>
  <c r="CD670" i="1"/>
  <c r="CE670" i="1"/>
  <c r="BV671" i="1"/>
  <c r="BW671" i="1"/>
  <c r="BX671" i="1"/>
  <c r="BY671" i="1"/>
  <c r="BZ671" i="1"/>
  <c r="CA671" i="1"/>
  <c r="CB671" i="1"/>
  <c r="CC671" i="1"/>
  <c r="CD671" i="1"/>
  <c r="CE671" i="1"/>
  <c r="BV672" i="1"/>
  <c r="BW672" i="1"/>
  <c r="BX672" i="1"/>
  <c r="BY672" i="1"/>
  <c r="BZ672" i="1"/>
  <c r="CA672" i="1"/>
  <c r="CB672" i="1"/>
  <c r="CC672" i="1"/>
  <c r="CD672" i="1"/>
  <c r="CE672" i="1"/>
  <c r="BV673" i="1"/>
  <c r="BW673" i="1"/>
  <c r="BX673" i="1"/>
  <c r="BY673" i="1"/>
  <c r="BZ673" i="1"/>
  <c r="CA673" i="1"/>
  <c r="CB673" i="1"/>
  <c r="CC673" i="1"/>
  <c r="CD673" i="1"/>
  <c r="CE673" i="1"/>
  <c r="BV674" i="1"/>
  <c r="BW674" i="1"/>
  <c r="BX674" i="1"/>
  <c r="BY674" i="1"/>
  <c r="BZ674" i="1"/>
  <c r="CA674" i="1"/>
  <c r="CB674" i="1"/>
  <c r="CC674" i="1"/>
  <c r="CD674" i="1"/>
  <c r="CE674" i="1"/>
  <c r="BV675" i="1"/>
  <c r="BW675" i="1"/>
  <c r="BX675" i="1"/>
  <c r="BY675" i="1"/>
  <c r="BZ675" i="1"/>
  <c r="CA675" i="1"/>
  <c r="CB675" i="1"/>
  <c r="CC675" i="1"/>
  <c r="CD675" i="1"/>
  <c r="CE675" i="1"/>
  <c r="BV676" i="1"/>
  <c r="BW676" i="1"/>
  <c r="BX676" i="1"/>
  <c r="BY676" i="1"/>
  <c r="BZ676" i="1"/>
  <c r="CA676" i="1"/>
  <c r="CB676" i="1"/>
  <c r="CC676" i="1"/>
  <c r="CD676" i="1"/>
  <c r="CE676" i="1"/>
  <c r="BV677" i="1"/>
  <c r="BW677" i="1"/>
  <c r="BX677" i="1"/>
  <c r="BY677" i="1"/>
  <c r="BZ677" i="1"/>
  <c r="CA677" i="1"/>
  <c r="CB677" i="1"/>
  <c r="CC677" i="1"/>
  <c r="CD677" i="1"/>
  <c r="CE677" i="1"/>
  <c r="BV678" i="1"/>
  <c r="BW678" i="1"/>
  <c r="BX678" i="1"/>
  <c r="BY678" i="1"/>
  <c r="BZ678" i="1"/>
  <c r="CA678" i="1"/>
  <c r="CB678" i="1"/>
  <c r="CC678" i="1"/>
  <c r="CD678" i="1"/>
  <c r="CE678" i="1"/>
  <c r="BV679" i="1"/>
  <c r="BW679" i="1"/>
  <c r="BX679" i="1"/>
  <c r="BY679" i="1"/>
  <c r="BZ679" i="1"/>
  <c r="CA679" i="1"/>
  <c r="CB679" i="1"/>
  <c r="CC679" i="1"/>
  <c r="CD679" i="1"/>
  <c r="CE679" i="1"/>
  <c r="BV680" i="1"/>
  <c r="BW680" i="1"/>
  <c r="BX680" i="1"/>
  <c r="BY680" i="1"/>
  <c r="BZ680" i="1"/>
  <c r="CA680" i="1"/>
  <c r="CB680" i="1"/>
  <c r="CC680" i="1"/>
  <c r="CD680" i="1"/>
  <c r="CE680" i="1"/>
  <c r="BV681" i="1"/>
  <c r="BW681" i="1"/>
  <c r="BX681" i="1"/>
  <c r="BY681" i="1"/>
  <c r="BZ681" i="1"/>
  <c r="CA681" i="1"/>
  <c r="CB681" i="1"/>
  <c r="CC681" i="1"/>
  <c r="CD681" i="1"/>
  <c r="CE681" i="1"/>
  <c r="BV682" i="1"/>
  <c r="BW682" i="1"/>
  <c r="BX682" i="1"/>
  <c r="BY682" i="1"/>
  <c r="BZ682" i="1"/>
  <c r="CA682" i="1"/>
  <c r="CB682" i="1"/>
  <c r="CC682" i="1"/>
  <c r="CD682" i="1"/>
  <c r="CE682" i="1"/>
  <c r="BV683" i="1"/>
  <c r="BW683" i="1"/>
  <c r="BX683" i="1"/>
  <c r="BY683" i="1"/>
  <c r="BZ683" i="1"/>
  <c r="CA683" i="1"/>
  <c r="CB683" i="1"/>
  <c r="CC683" i="1"/>
  <c r="CD683" i="1"/>
  <c r="CE683" i="1"/>
  <c r="BV684" i="1"/>
  <c r="BW684" i="1"/>
  <c r="BX684" i="1"/>
  <c r="BY684" i="1"/>
  <c r="BZ684" i="1"/>
  <c r="CA684" i="1"/>
  <c r="CB684" i="1"/>
  <c r="CC684" i="1"/>
  <c r="CD684" i="1"/>
  <c r="CE684" i="1"/>
  <c r="BV685" i="1"/>
  <c r="BW685" i="1"/>
  <c r="BX685" i="1"/>
  <c r="BY685" i="1"/>
  <c r="BZ685" i="1"/>
  <c r="CA685" i="1"/>
  <c r="CB685" i="1"/>
  <c r="CC685" i="1"/>
  <c r="CD685" i="1"/>
  <c r="CE685" i="1"/>
  <c r="BV686" i="1"/>
  <c r="BW686" i="1"/>
  <c r="BX686" i="1"/>
  <c r="BY686" i="1"/>
  <c r="BZ686" i="1"/>
  <c r="CA686" i="1"/>
  <c r="CB686" i="1"/>
  <c r="CC686" i="1"/>
  <c r="CD686" i="1"/>
  <c r="CE686" i="1"/>
  <c r="BV687" i="1"/>
  <c r="BW687" i="1"/>
  <c r="BX687" i="1"/>
  <c r="BY687" i="1"/>
  <c r="BZ687" i="1"/>
  <c r="CA687" i="1"/>
  <c r="CB687" i="1"/>
  <c r="CC687" i="1"/>
  <c r="CD687" i="1"/>
  <c r="CE687" i="1"/>
  <c r="BV688" i="1"/>
  <c r="BW688" i="1"/>
  <c r="BX688" i="1"/>
  <c r="BY688" i="1"/>
  <c r="BZ688" i="1"/>
  <c r="CA688" i="1"/>
  <c r="CB688" i="1"/>
  <c r="CC688" i="1"/>
  <c r="CD688" i="1"/>
  <c r="CE688" i="1"/>
  <c r="BV689" i="1"/>
  <c r="BW689" i="1"/>
  <c r="BX689" i="1"/>
  <c r="BY689" i="1"/>
  <c r="BZ689" i="1"/>
  <c r="CA689" i="1"/>
  <c r="CB689" i="1"/>
  <c r="CC689" i="1"/>
  <c r="CD689" i="1"/>
  <c r="CE689" i="1"/>
  <c r="BV690" i="1"/>
  <c r="BW690" i="1"/>
  <c r="BX690" i="1"/>
  <c r="BY690" i="1"/>
  <c r="BZ690" i="1"/>
  <c r="CA690" i="1"/>
  <c r="CB690" i="1"/>
  <c r="CC690" i="1"/>
  <c r="CD690" i="1"/>
  <c r="CE690" i="1"/>
  <c r="BV691" i="1"/>
  <c r="BW691" i="1"/>
  <c r="BX691" i="1"/>
  <c r="BY691" i="1"/>
  <c r="BZ691" i="1"/>
  <c r="CA691" i="1"/>
  <c r="CB691" i="1"/>
  <c r="CC691" i="1"/>
  <c r="CD691" i="1"/>
  <c r="CE691" i="1"/>
  <c r="BV692" i="1"/>
  <c r="BW692" i="1"/>
  <c r="BX692" i="1"/>
  <c r="BY692" i="1"/>
  <c r="BZ692" i="1"/>
  <c r="CA692" i="1"/>
  <c r="CB692" i="1"/>
  <c r="CC692" i="1"/>
  <c r="CD692" i="1"/>
  <c r="CE692" i="1"/>
  <c r="BV693" i="1"/>
  <c r="BW693" i="1"/>
  <c r="BX693" i="1"/>
  <c r="BY693" i="1"/>
  <c r="BZ693" i="1"/>
  <c r="CA693" i="1"/>
  <c r="CB693" i="1"/>
  <c r="CC693" i="1"/>
  <c r="CD693" i="1"/>
  <c r="CE693" i="1"/>
  <c r="BV694" i="1"/>
  <c r="BW694" i="1"/>
  <c r="BX694" i="1"/>
  <c r="BY694" i="1"/>
  <c r="BZ694" i="1"/>
  <c r="CA694" i="1"/>
  <c r="CB694" i="1"/>
  <c r="CC694" i="1"/>
  <c r="CD694" i="1"/>
  <c r="CE694" i="1"/>
  <c r="BV695" i="1"/>
  <c r="BW695" i="1"/>
  <c r="BX695" i="1"/>
  <c r="BY695" i="1"/>
  <c r="BZ695" i="1"/>
  <c r="CA695" i="1"/>
  <c r="CB695" i="1"/>
  <c r="CC695" i="1"/>
  <c r="CD695" i="1"/>
  <c r="CE695" i="1"/>
  <c r="BV696" i="1"/>
  <c r="BW696" i="1"/>
  <c r="BX696" i="1"/>
  <c r="BY696" i="1"/>
  <c r="BZ696" i="1"/>
  <c r="CA696" i="1"/>
  <c r="CB696" i="1"/>
  <c r="CC696" i="1"/>
  <c r="CD696" i="1"/>
  <c r="CE696" i="1"/>
  <c r="BV697" i="1"/>
  <c r="BW697" i="1"/>
  <c r="BX697" i="1"/>
  <c r="BY697" i="1"/>
  <c r="BZ697" i="1"/>
  <c r="CA697" i="1"/>
  <c r="CB697" i="1"/>
  <c r="CC697" i="1"/>
  <c r="CD697" i="1"/>
  <c r="CE697" i="1"/>
  <c r="BV698" i="1"/>
  <c r="BW698" i="1"/>
  <c r="BX698" i="1"/>
  <c r="BY698" i="1"/>
  <c r="BZ698" i="1"/>
  <c r="CA698" i="1"/>
  <c r="CB698" i="1"/>
  <c r="CC698" i="1"/>
  <c r="CD698" i="1"/>
  <c r="CE698" i="1"/>
  <c r="BV699" i="1"/>
  <c r="BW699" i="1"/>
  <c r="BX699" i="1"/>
  <c r="BY699" i="1"/>
  <c r="BZ699" i="1"/>
  <c r="CA699" i="1"/>
  <c r="CB699" i="1"/>
  <c r="CC699" i="1"/>
  <c r="CD699" i="1"/>
  <c r="CE699" i="1"/>
  <c r="BV700" i="1"/>
  <c r="BW700" i="1"/>
  <c r="BX700" i="1"/>
  <c r="BY700" i="1"/>
  <c r="BZ700" i="1"/>
  <c r="CA700" i="1"/>
  <c r="CB700" i="1"/>
  <c r="CC700" i="1"/>
  <c r="CD700" i="1"/>
  <c r="CE700" i="1"/>
  <c r="BV701" i="1"/>
  <c r="BW701" i="1"/>
  <c r="BX701" i="1"/>
  <c r="BY701" i="1"/>
  <c r="BZ701" i="1"/>
  <c r="CA701" i="1"/>
  <c r="CB701" i="1"/>
  <c r="CC701" i="1"/>
  <c r="CD701" i="1"/>
  <c r="CE701" i="1"/>
  <c r="BV702" i="1"/>
  <c r="BW702" i="1"/>
  <c r="BX702" i="1"/>
  <c r="BY702" i="1"/>
  <c r="BZ702" i="1"/>
  <c r="CA702" i="1"/>
  <c r="CB702" i="1"/>
  <c r="CC702" i="1"/>
  <c r="CD702" i="1"/>
  <c r="CE702" i="1"/>
  <c r="BV703" i="1"/>
  <c r="BW703" i="1"/>
  <c r="BX703" i="1"/>
  <c r="BY703" i="1"/>
  <c r="BZ703" i="1"/>
  <c r="CA703" i="1"/>
  <c r="CB703" i="1"/>
  <c r="CC703" i="1"/>
  <c r="CD703" i="1"/>
  <c r="CE703" i="1"/>
  <c r="BV704" i="1"/>
  <c r="BW704" i="1"/>
  <c r="BX704" i="1"/>
  <c r="BY704" i="1"/>
  <c r="BZ704" i="1"/>
  <c r="CA704" i="1"/>
  <c r="CB704" i="1"/>
  <c r="CC704" i="1"/>
  <c r="CD704" i="1"/>
  <c r="CE704" i="1"/>
  <c r="BV705" i="1"/>
  <c r="BW705" i="1"/>
  <c r="BX705" i="1"/>
  <c r="BY705" i="1"/>
  <c r="BZ705" i="1"/>
  <c r="CA705" i="1"/>
  <c r="CB705" i="1"/>
  <c r="CC705" i="1"/>
  <c r="CD705" i="1"/>
  <c r="CE705" i="1"/>
  <c r="BV706" i="1"/>
  <c r="BW706" i="1"/>
  <c r="BX706" i="1"/>
  <c r="BY706" i="1"/>
  <c r="BZ706" i="1"/>
  <c r="CA706" i="1"/>
  <c r="CB706" i="1"/>
  <c r="CC706" i="1"/>
  <c r="CD706" i="1"/>
  <c r="CE706" i="1"/>
  <c r="BV707" i="1"/>
  <c r="BW707" i="1"/>
  <c r="BX707" i="1"/>
  <c r="BY707" i="1"/>
  <c r="BZ707" i="1"/>
  <c r="CA707" i="1"/>
  <c r="CB707" i="1"/>
  <c r="CC707" i="1"/>
  <c r="CD707" i="1"/>
  <c r="CE707" i="1"/>
  <c r="BV708" i="1"/>
  <c r="BW708" i="1"/>
  <c r="BX708" i="1"/>
  <c r="BY708" i="1"/>
  <c r="BZ708" i="1"/>
  <c r="CA708" i="1"/>
  <c r="CB708" i="1"/>
  <c r="CC708" i="1"/>
  <c r="CD708" i="1"/>
  <c r="CE708" i="1"/>
  <c r="BV709" i="1"/>
  <c r="BW709" i="1"/>
  <c r="BX709" i="1"/>
  <c r="BY709" i="1"/>
  <c r="BZ709" i="1"/>
  <c r="CA709" i="1"/>
  <c r="CB709" i="1"/>
  <c r="CC709" i="1"/>
  <c r="CD709" i="1"/>
  <c r="CE709" i="1"/>
  <c r="BV710" i="1"/>
  <c r="BW710" i="1"/>
  <c r="BX710" i="1"/>
  <c r="BY710" i="1"/>
  <c r="BZ710" i="1"/>
  <c r="CA710" i="1"/>
  <c r="CB710" i="1"/>
  <c r="CC710" i="1"/>
  <c r="CD710" i="1"/>
  <c r="CE710" i="1"/>
  <c r="BV711" i="1"/>
  <c r="BW711" i="1"/>
  <c r="BX711" i="1"/>
  <c r="BY711" i="1"/>
  <c r="BZ711" i="1"/>
  <c r="CA711" i="1"/>
  <c r="CB711" i="1"/>
  <c r="CC711" i="1"/>
  <c r="CD711" i="1"/>
  <c r="CE711" i="1"/>
  <c r="BV712" i="1"/>
  <c r="BW712" i="1"/>
  <c r="BX712" i="1"/>
  <c r="BY712" i="1"/>
  <c r="BZ712" i="1"/>
  <c r="CA712" i="1"/>
  <c r="CB712" i="1"/>
  <c r="CC712" i="1"/>
  <c r="CD712" i="1"/>
  <c r="CE712" i="1"/>
  <c r="BV713" i="1"/>
  <c r="BW713" i="1"/>
  <c r="BX713" i="1"/>
  <c r="BY713" i="1"/>
  <c r="BZ713" i="1"/>
  <c r="CA713" i="1"/>
  <c r="CB713" i="1"/>
  <c r="CC713" i="1"/>
  <c r="CD713" i="1"/>
  <c r="CE713" i="1"/>
  <c r="BV714" i="1"/>
  <c r="BW714" i="1"/>
  <c r="BX714" i="1"/>
  <c r="BY714" i="1"/>
  <c r="BZ714" i="1"/>
  <c r="CA714" i="1"/>
  <c r="CB714" i="1"/>
  <c r="CC714" i="1"/>
  <c r="CD714" i="1"/>
  <c r="CE714" i="1"/>
  <c r="BV715" i="1"/>
  <c r="BW715" i="1"/>
  <c r="BX715" i="1"/>
  <c r="BY715" i="1"/>
  <c r="BZ715" i="1"/>
  <c r="CA715" i="1"/>
  <c r="CB715" i="1"/>
  <c r="CC715" i="1"/>
  <c r="CD715" i="1"/>
  <c r="CE715" i="1"/>
  <c r="BV716" i="1"/>
  <c r="BW716" i="1"/>
  <c r="BX716" i="1"/>
  <c r="BY716" i="1"/>
  <c r="BZ716" i="1"/>
  <c r="CA716" i="1"/>
  <c r="CB716" i="1"/>
  <c r="CC716" i="1"/>
  <c r="CD716" i="1"/>
  <c r="CE716" i="1"/>
  <c r="BV717" i="1"/>
  <c r="BW717" i="1"/>
  <c r="BX717" i="1"/>
  <c r="BY717" i="1"/>
  <c r="BZ717" i="1"/>
  <c r="CA717" i="1"/>
  <c r="CB717" i="1"/>
  <c r="CC717" i="1"/>
  <c r="CD717" i="1"/>
  <c r="CE717" i="1"/>
  <c r="BV718" i="1"/>
  <c r="BW718" i="1"/>
  <c r="BX718" i="1"/>
  <c r="BY718" i="1"/>
  <c r="BZ718" i="1"/>
  <c r="CA718" i="1"/>
  <c r="CB718" i="1"/>
  <c r="CC718" i="1"/>
  <c r="CD718" i="1"/>
  <c r="CE718" i="1"/>
  <c r="BV719" i="1"/>
  <c r="BW719" i="1"/>
  <c r="BX719" i="1"/>
  <c r="BY719" i="1"/>
  <c r="BZ719" i="1"/>
  <c r="CA719" i="1"/>
  <c r="CB719" i="1"/>
  <c r="CC719" i="1"/>
  <c r="CD719" i="1"/>
  <c r="CE719" i="1"/>
  <c r="BV720" i="1"/>
  <c r="BW720" i="1"/>
  <c r="BX720" i="1"/>
  <c r="BY720" i="1"/>
  <c r="BZ720" i="1"/>
  <c r="CA720" i="1"/>
  <c r="CB720" i="1"/>
  <c r="CC720" i="1"/>
  <c r="CD720" i="1"/>
  <c r="CE720" i="1"/>
  <c r="BV721" i="1"/>
  <c r="BW721" i="1"/>
  <c r="BX721" i="1"/>
  <c r="BY721" i="1"/>
  <c r="BZ721" i="1"/>
  <c r="CA721" i="1"/>
  <c r="CB721" i="1"/>
  <c r="CC721" i="1"/>
  <c r="CD721" i="1"/>
  <c r="CE721" i="1"/>
  <c r="BV722" i="1"/>
  <c r="BW722" i="1"/>
  <c r="BX722" i="1"/>
  <c r="BY722" i="1"/>
  <c r="BZ722" i="1"/>
  <c r="CA722" i="1"/>
  <c r="CB722" i="1"/>
  <c r="CC722" i="1"/>
  <c r="CD722" i="1"/>
  <c r="CE722" i="1"/>
  <c r="BV723" i="1"/>
  <c r="BW723" i="1"/>
  <c r="BX723" i="1"/>
  <c r="BY723" i="1"/>
  <c r="BZ723" i="1"/>
  <c r="CA723" i="1"/>
  <c r="CB723" i="1"/>
  <c r="CC723" i="1"/>
  <c r="CD723" i="1"/>
  <c r="CE723" i="1"/>
  <c r="BV724" i="1"/>
  <c r="BW724" i="1"/>
  <c r="BX724" i="1"/>
  <c r="BY724" i="1"/>
  <c r="BZ724" i="1"/>
  <c r="CA724" i="1"/>
  <c r="CB724" i="1"/>
  <c r="CC724" i="1"/>
  <c r="CD724" i="1"/>
  <c r="CE724" i="1"/>
  <c r="BV725" i="1"/>
  <c r="BW725" i="1"/>
  <c r="BX725" i="1"/>
  <c r="BY725" i="1"/>
  <c r="BZ725" i="1"/>
  <c r="CA725" i="1"/>
  <c r="CB725" i="1"/>
  <c r="CC725" i="1"/>
  <c r="CD725" i="1"/>
  <c r="CE725" i="1"/>
  <c r="BV726" i="1"/>
  <c r="BW726" i="1"/>
  <c r="BX726" i="1"/>
  <c r="BY726" i="1"/>
  <c r="BZ726" i="1"/>
  <c r="CA726" i="1"/>
  <c r="CB726" i="1"/>
  <c r="CC726" i="1"/>
  <c r="CD726" i="1"/>
  <c r="CE726" i="1"/>
  <c r="BV727" i="1"/>
  <c r="BW727" i="1"/>
  <c r="BX727" i="1"/>
  <c r="BY727" i="1"/>
  <c r="BZ727" i="1"/>
  <c r="CA727" i="1"/>
  <c r="CB727" i="1"/>
  <c r="CC727" i="1"/>
  <c r="CD727" i="1"/>
  <c r="CE727" i="1"/>
  <c r="BV728" i="1"/>
  <c r="BW728" i="1"/>
  <c r="BX728" i="1"/>
  <c r="BY728" i="1"/>
  <c r="BZ728" i="1"/>
  <c r="CA728" i="1"/>
  <c r="CB728" i="1"/>
  <c r="CC728" i="1"/>
  <c r="CD728" i="1"/>
  <c r="CE728" i="1"/>
  <c r="BV729" i="1"/>
  <c r="BW729" i="1"/>
  <c r="BX729" i="1"/>
  <c r="BY729" i="1"/>
  <c r="BZ729" i="1"/>
  <c r="CA729" i="1"/>
  <c r="CB729" i="1"/>
  <c r="CC729" i="1"/>
  <c r="CD729" i="1"/>
  <c r="CE729" i="1"/>
  <c r="BV730" i="1"/>
  <c r="BW730" i="1"/>
  <c r="BX730" i="1"/>
  <c r="BY730" i="1"/>
  <c r="BZ730" i="1"/>
  <c r="CA730" i="1"/>
  <c r="CB730" i="1"/>
  <c r="CC730" i="1"/>
  <c r="CD730" i="1"/>
  <c r="CE730" i="1"/>
  <c r="BV731" i="1"/>
  <c r="BW731" i="1"/>
  <c r="BX731" i="1"/>
  <c r="BY731" i="1"/>
  <c r="BZ731" i="1"/>
  <c r="CA731" i="1"/>
  <c r="CB731" i="1"/>
  <c r="CC731" i="1"/>
  <c r="CD731" i="1"/>
  <c r="CE731" i="1"/>
  <c r="BV732" i="1"/>
  <c r="BW732" i="1"/>
  <c r="BX732" i="1"/>
  <c r="BY732" i="1"/>
  <c r="BZ732" i="1"/>
  <c r="CA732" i="1"/>
  <c r="CB732" i="1"/>
  <c r="CC732" i="1"/>
  <c r="CD732" i="1"/>
  <c r="CE732" i="1"/>
  <c r="BV733" i="1"/>
  <c r="BW733" i="1"/>
  <c r="BX733" i="1"/>
  <c r="BY733" i="1"/>
  <c r="BZ733" i="1"/>
  <c r="CA733" i="1"/>
  <c r="CB733" i="1"/>
  <c r="CC733" i="1"/>
  <c r="CD733" i="1"/>
  <c r="CE733" i="1"/>
  <c r="BV734" i="1"/>
  <c r="BW734" i="1"/>
  <c r="BX734" i="1"/>
  <c r="BY734" i="1"/>
  <c r="BZ734" i="1"/>
  <c r="CA734" i="1"/>
  <c r="CB734" i="1"/>
  <c r="CC734" i="1"/>
  <c r="CD734" i="1"/>
  <c r="CE734" i="1"/>
  <c r="BV735" i="1"/>
  <c r="BW735" i="1"/>
  <c r="BX735" i="1"/>
  <c r="BY735" i="1"/>
  <c r="BZ735" i="1"/>
  <c r="CA735" i="1"/>
  <c r="CB735" i="1"/>
  <c r="CC735" i="1"/>
  <c r="CD735" i="1"/>
  <c r="CE735" i="1"/>
  <c r="BV736" i="1"/>
  <c r="BW736" i="1"/>
  <c r="BX736" i="1"/>
  <c r="BY736" i="1"/>
  <c r="BZ736" i="1"/>
  <c r="CA736" i="1"/>
  <c r="CB736" i="1"/>
  <c r="CC736" i="1"/>
  <c r="CD736" i="1"/>
  <c r="CE736" i="1"/>
  <c r="BV737" i="1"/>
  <c r="BW737" i="1"/>
  <c r="BX737" i="1"/>
  <c r="BY737" i="1"/>
  <c r="BZ737" i="1"/>
  <c r="CA737" i="1"/>
  <c r="CB737" i="1"/>
  <c r="CC737" i="1"/>
  <c r="CD737" i="1"/>
  <c r="CE737" i="1"/>
  <c r="BV738" i="1"/>
  <c r="BW738" i="1"/>
  <c r="BX738" i="1"/>
  <c r="BY738" i="1"/>
  <c r="BZ738" i="1"/>
  <c r="CA738" i="1"/>
  <c r="CB738" i="1"/>
  <c r="CC738" i="1"/>
  <c r="CD738" i="1"/>
  <c r="CE738" i="1"/>
  <c r="BV739" i="1"/>
  <c r="BW739" i="1"/>
  <c r="BX739" i="1"/>
  <c r="BY739" i="1"/>
  <c r="BZ739" i="1"/>
  <c r="CA739" i="1"/>
  <c r="CB739" i="1"/>
  <c r="CC739" i="1"/>
  <c r="CD739" i="1"/>
  <c r="CE739" i="1"/>
  <c r="BV740" i="1"/>
  <c r="BW740" i="1"/>
  <c r="BX740" i="1"/>
  <c r="BY740" i="1"/>
  <c r="BZ740" i="1"/>
  <c r="CA740" i="1"/>
  <c r="CB740" i="1"/>
  <c r="CC740" i="1"/>
  <c r="CD740" i="1"/>
  <c r="CE740" i="1"/>
  <c r="BV741" i="1"/>
  <c r="BW741" i="1"/>
  <c r="BX741" i="1"/>
  <c r="BY741" i="1"/>
  <c r="BZ741" i="1"/>
  <c r="CA741" i="1"/>
  <c r="CB741" i="1"/>
  <c r="CC741" i="1"/>
  <c r="CD741" i="1"/>
  <c r="CE741" i="1"/>
  <c r="BV742" i="1"/>
  <c r="BW742" i="1"/>
  <c r="BX742" i="1"/>
  <c r="BY742" i="1"/>
  <c r="BZ742" i="1"/>
  <c r="CA742" i="1"/>
  <c r="CB742" i="1"/>
  <c r="CC742" i="1"/>
  <c r="CD742" i="1"/>
  <c r="CE742" i="1"/>
  <c r="BV743" i="1"/>
  <c r="BW743" i="1"/>
  <c r="BX743" i="1"/>
  <c r="BY743" i="1"/>
  <c r="BZ743" i="1"/>
  <c r="CA743" i="1"/>
  <c r="CB743" i="1"/>
  <c r="CC743" i="1"/>
  <c r="CD743" i="1"/>
  <c r="CE743" i="1"/>
  <c r="BV744" i="1"/>
  <c r="BW744" i="1"/>
  <c r="BX744" i="1"/>
  <c r="BY744" i="1"/>
  <c r="BZ744" i="1"/>
  <c r="CA744" i="1"/>
  <c r="CB744" i="1"/>
  <c r="CC744" i="1"/>
  <c r="CD744" i="1"/>
  <c r="CE744" i="1"/>
  <c r="BV745" i="1"/>
  <c r="BW745" i="1"/>
  <c r="BX745" i="1"/>
  <c r="BY745" i="1"/>
  <c r="BZ745" i="1"/>
  <c r="CA745" i="1"/>
  <c r="CB745" i="1"/>
  <c r="CC745" i="1"/>
  <c r="CD745" i="1"/>
  <c r="CE745" i="1"/>
  <c r="BV746" i="1"/>
  <c r="BW746" i="1"/>
  <c r="BX746" i="1"/>
  <c r="BY746" i="1"/>
  <c r="BZ746" i="1"/>
  <c r="CA746" i="1"/>
  <c r="CB746" i="1"/>
  <c r="CC746" i="1"/>
  <c r="CD746" i="1"/>
  <c r="CE746" i="1"/>
  <c r="BV747" i="1"/>
  <c r="BW747" i="1"/>
  <c r="BX747" i="1"/>
  <c r="BY747" i="1"/>
  <c r="BZ747" i="1"/>
  <c r="CA747" i="1"/>
  <c r="CB747" i="1"/>
  <c r="CC747" i="1"/>
  <c r="CD747" i="1"/>
  <c r="CE747" i="1"/>
  <c r="BV748" i="1"/>
  <c r="BW748" i="1"/>
  <c r="BX748" i="1"/>
  <c r="BY748" i="1"/>
  <c r="BZ748" i="1"/>
  <c r="CA748" i="1"/>
  <c r="CB748" i="1"/>
  <c r="CC748" i="1"/>
  <c r="CD748" i="1"/>
  <c r="CE748" i="1"/>
  <c r="BV749" i="1"/>
  <c r="BW749" i="1"/>
  <c r="BX749" i="1"/>
  <c r="BY749" i="1"/>
  <c r="BZ749" i="1"/>
  <c r="CA749" i="1"/>
  <c r="CB749" i="1"/>
  <c r="CC749" i="1"/>
  <c r="CD749" i="1"/>
  <c r="CE749" i="1"/>
  <c r="BV750" i="1"/>
  <c r="BW750" i="1"/>
  <c r="BX750" i="1"/>
  <c r="BY750" i="1"/>
  <c r="BZ750" i="1"/>
  <c r="CA750" i="1"/>
  <c r="CB750" i="1"/>
  <c r="CC750" i="1"/>
  <c r="CD750" i="1"/>
  <c r="CE750" i="1"/>
  <c r="BV751" i="1"/>
  <c r="BW751" i="1"/>
  <c r="BX751" i="1"/>
  <c r="BY751" i="1"/>
  <c r="BZ751" i="1"/>
  <c r="CA751" i="1"/>
  <c r="CB751" i="1"/>
  <c r="CC751" i="1"/>
  <c r="CD751" i="1"/>
  <c r="CE751" i="1"/>
  <c r="BV752" i="1"/>
  <c r="BW752" i="1"/>
  <c r="BX752" i="1"/>
  <c r="BY752" i="1"/>
  <c r="BZ752" i="1"/>
  <c r="CA752" i="1"/>
  <c r="CB752" i="1"/>
  <c r="CC752" i="1"/>
  <c r="CD752" i="1"/>
  <c r="CE752" i="1"/>
  <c r="BV753" i="1"/>
  <c r="BW753" i="1"/>
  <c r="BX753" i="1"/>
  <c r="BY753" i="1"/>
  <c r="BZ753" i="1"/>
  <c r="CA753" i="1"/>
  <c r="CB753" i="1"/>
  <c r="CC753" i="1"/>
  <c r="CD753" i="1"/>
  <c r="CE753" i="1"/>
  <c r="BV754" i="1"/>
  <c r="BW754" i="1"/>
  <c r="BX754" i="1"/>
  <c r="BY754" i="1"/>
  <c r="BZ754" i="1"/>
  <c r="CA754" i="1"/>
  <c r="CB754" i="1"/>
  <c r="CC754" i="1"/>
  <c r="CD754" i="1"/>
  <c r="CE754" i="1"/>
  <c r="BV755" i="1"/>
  <c r="BW755" i="1"/>
  <c r="BX755" i="1"/>
  <c r="BY755" i="1"/>
  <c r="BZ755" i="1"/>
  <c r="CA755" i="1"/>
  <c r="CB755" i="1"/>
  <c r="CC755" i="1"/>
  <c r="CD755" i="1"/>
  <c r="CE755" i="1"/>
  <c r="BV756" i="1"/>
  <c r="BW756" i="1"/>
  <c r="BX756" i="1"/>
  <c r="BY756" i="1"/>
  <c r="BZ756" i="1"/>
  <c r="CA756" i="1"/>
  <c r="CB756" i="1"/>
  <c r="CC756" i="1"/>
  <c r="CD756" i="1"/>
  <c r="CE756" i="1"/>
  <c r="BV757" i="1"/>
  <c r="BW757" i="1"/>
  <c r="BX757" i="1"/>
  <c r="BY757" i="1"/>
  <c r="BZ757" i="1"/>
  <c r="CA757" i="1"/>
  <c r="CB757" i="1"/>
  <c r="CC757" i="1"/>
  <c r="CD757" i="1"/>
  <c r="CE757" i="1"/>
  <c r="BV758" i="1"/>
  <c r="BW758" i="1"/>
  <c r="BX758" i="1"/>
  <c r="BY758" i="1"/>
  <c r="BZ758" i="1"/>
  <c r="CA758" i="1"/>
  <c r="CB758" i="1"/>
  <c r="CC758" i="1"/>
  <c r="CD758" i="1"/>
  <c r="CE758" i="1"/>
  <c r="BV759" i="1"/>
  <c r="BW759" i="1"/>
  <c r="BX759" i="1"/>
  <c r="BY759" i="1"/>
  <c r="BZ759" i="1"/>
  <c r="CA759" i="1"/>
  <c r="CB759" i="1"/>
  <c r="CC759" i="1"/>
  <c r="CD759" i="1"/>
  <c r="CE759" i="1"/>
  <c r="BV760" i="1"/>
  <c r="BW760" i="1"/>
  <c r="BX760" i="1"/>
  <c r="BY760" i="1"/>
  <c r="BZ760" i="1"/>
  <c r="CA760" i="1"/>
  <c r="CB760" i="1"/>
  <c r="CC760" i="1"/>
  <c r="CD760" i="1"/>
  <c r="CE760" i="1"/>
  <c r="BV761" i="1"/>
  <c r="BW761" i="1"/>
  <c r="BX761" i="1"/>
  <c r="BY761" i="1"/>
  <c r="BZ761" i="1"/>
  <c r="CA761" i="1"/>
  <c r="CB761" i="1"/>
  <c r="CC761" i="1"/>
  <c r="CD761" i="1"/>
  <c r="CE761" i="1"/>
  <c r="BV762" i="1"/>
  <c r="BW762" i="1"/>
  <c r="BX762" i="1"/>
  <c r="BY762" i="1"/>
  <c r="BZ762" i="1"/>
  <c r="CA762" i="1"/>
  <c r="CB762" i="1"/>
  <c r="CC762" i="1"/>
  <c r="CD762" i="1"/>
  <c r="CE762" i="1"/>
  <c r="BV763" i="1"/>
  <c r="BW763" i="1"/>
  <c r="BX763" i="1"/>
  <c r="BY763" i="1"/>
  <c r="BZ763" i="1"/>
  <c r="CA763" i="1"/>
  <c r="CB763" i="1"/>
  <c r="CC763" i="1"/>
  <c r="CD763" i="1"/>
  <c r="CE763" i="1"/>
  <c r="BV764" i="1"/>
  <c r="BW764" i="1"/>
  <c r="BX764" i="1"/>
  <c r="BY764" i="1"/>
  <c r="BZ764" i="1"/>
  <c r="CA764" i="1"/>
  <c r="CB764" i="1"/>
  <c r="CC764" i="1"/>
  <c r="CD764" i="1"/>
  <c r="CE764" i="1"/>
  <c r="BV765" i="1"/>
  <c r="BW765" i="1"/>
  <c r="BX765" i="1"/>
  <c r="BY765" i="1"/>
  <c r="BZ765" i="1"/>
  <c r="CA765" i="1"/>
  <c r="CB765" i="1"/>
  <c r="CC765" i="1"/>
  <c r="CD765" i="1"/>
  <c r="CE765" i="1"/>
  <c r="BV766" i="1"/>
  <c r="BW766" i="1"/>
  <c r="BX766" i="1"/>
  <c r="BY766" i="1"/>
  <c r="BZ766" i="1"/>
  <c r="CA766" i="1"/>
  <c r="CB766" i="1"/>
  <c r="CC766" i="1"/>
  <c r="CD766" i="1"/>
  <c r="CE766" i="1"/>
  <c r="BV767" i="1"/>
  <c r="BW767" i="1"/>
  <c r="BX767" i="1"/>
  <c r="BY767" i="1"/>
  <c r="BZ767" i="1"/>
  <c r="CA767" i="1"/>
  <c r="CB767" i="1"/>
  <c r="CC767" i="1"/>
  <c r="CD767" i="1"/>
  <c r="CE767" i="1"/>
  <c r="BV768" i="1"/>
  <c r="BW768" i="1"/>
  <c r="BX768" i="1"/>
  <c r="BY768" i="1"/>
  <c r="BZ768" i="1"/>
  <c r="CA768" i="1"/>
  <c r="CB768" i="1"/>
  <c r="CC768" i="1"/>
  <c r="CD768" i="1"/>
  <c r="CE768" i="1"/>
  <c r="BV769" i="1"/>
  <c r="BW769" i="1"/>
  <c r="BX769" i="1"/>
  <c r="BY769" i="1"/>
  <c r="BZ769" i="1"/>
  <c r="CA769" i="1"/>
  <c r="CB769" i="1"/>
  <c r="CC769" i="1"/>
  <c r="CD769" i="1"/>
  <c r="CE769" i="1"/>
  <c r="BV770" i="1"/>
  <c r="BW770" i="1"/>
  <c r="BX770" i="1"/>
  <c r="BY770" i="1"/>
  <c r="BZ770" i="1"/>
  <c r="CA770" i="1"/>
  <c r="CB770" i="1"/>
  <c r="CC770" i="1"/>
  <c r="CD770" i="1"/>
  <c r="CE770" i="1"/>
  <c r="BV771" i="1"/>
  <c r="BW771" i="1"/>
  <c r="BX771" i="1"/>
  <c r="BY771" i="1"/>
  <c r="BZ771" i="1"/>
  <c r="CA771" i="1"/>
  <c r="CB771" i="1"/>
  <c r="CC771" i="1"/>
  <c r="CD771" i="1"/>
  <c r="CE771" i="1"/>
  <c r="BV772" i="1"/>
  <c r="BW772" i="1"/>
  <c r="BX772" i="1"/>
  <c r="BY772" i="1"/>
  <c r="BZ772" i="1"/>
  <c r="CA772" i="1"/>
  <c r="CB772" i="1"/>
  <c r="CC772" i="1"/>
  <c r="CD772" i="1"/>
  <c r="CE772" i="1"/>
  <c r="BV773" i="1"/>
  <c r="BW773" i="1"/>
  <c r="BX773" i="1"/>
  <c r="BY773" i="1"/>
  <c r="BZ773" i="1"/>
  <c r="CA773" i="1"/>
  <c r="CB773" i="1"/>
  <c r="CC773" i="1"/>
  <c r="CD773" i="1"/>
  <c r="CE773" i="1"/>
  <c r="BV774" i="1"/>
  <c r="BW774" i="1"/>
  <c r="BX774" i="1"/>
  <c r="BY774" i="1"/>
  <c r="BZ774" i="1"/>
  <c r="CA774" i="1"/>
  <c r="CB774" i="1"/>
  <c r="CC774" i="1"/>
  <c r="CD774" i="1"/>
  <c r="CE774" i="1"/>
  <c r="BV775" i="1"/>
  <c r="BW775" i="1"/>
  <c r="BX775" i="1"/>
  <c r="BY775" i="1"/>
  <c r="BZ775" i="1"/>
  <c r="CA775" i="1"/>
  <c r="CB775" i="1"/>
  <c r="CC775" i="1"/>
  <c r="CD775" i="1"/>
  <c r="CE775" i="1"/>
  <c r="BV776" i="1"/>
  <c r="BW776" i="1"/>
  <c r="BX776" i="1"/>
  <c r="BY776" i="1"/>
  <c r="BZ776" i="1"/>
  <c r="CA776" i="1"/>
  <c r="CB776" i="1"/>
  <c r="CC776" i="1"/>
  <c r="CD776" i="1"/>
  <c r="CE776" i="1"/>
  <c r="BV777" i="1"/>
  <c r="BW777" i="1"/>
  <c r="BX777" i="1"/>
  <c r="BY777" i="1"/>
  <c r="BZ777" i="1"/>
  <c r="CA777" i="1"/>
  <c r="CB777" i="1"/>
  <c r="CC777" i="1"/>
  <c r="CD777" i="1"/>
  <c r="CE777" i="1"/>
  <c r="BV778" i="1"/>
  <c r="BW778" i="1"/>
  <c r="BX778" i="1"/>
  <c r="BY778" i="1"/>
  <c r="BZ778" i="1"/>
  <c r="CA778" i="1"/>
  <c r="CB778" i="1"/>
  <c r="CC778" i="1"/>
  <c r="CD778" i="1"/>
  <c r="CE778" i="1"/>
  <c r="BV779" i="1"/>
  <c r="BW779" i="1"/>
  <c r="BX779" i="1"/>
  <c r="BY779" i="1"/>
  <c r="BZ779" i="1"/>
  <c r="CA779" i="1"/>
  <c r="CB779" i="1"/>
  <c r="CC779" i="1"/>
  <c r="CD779" i="1"/>
  <c r="CE779" i="1"/>
  <c r="BV780" i="1"/>
  <c r="BW780" i="1"/>
  <c r="BX780" i="1"/>
  <c r="BY780" i="1"/>
  <c r="BZ780" i="1"/>
  <c r="CA780" i="1"/>
  <c r="CB780" i="1"/>
  <c r="CC780" i="1"/>
  <c r="CD780" i="1"/>
  <c r="CE780" i="1"/>
  <c r="BV781" i="1"/>
  <c r="BW781" i="1"/>
  <c r="BX781" i="1"/>
  <c r="BY781" i="1"/>
  <c r="BZ781" i="1"/>
  <c r="CA781" i="1"/>
  <c r="CB781" i="1"/>
  <c r="CC781" i="1"/>
  <c r="CD781" i="1"/>
  <c r="CE781" i="1"/>
  <c r="BV782" i="1"/>
  <c r="BW782" i="1"/>
  <c r="BX782" i="1"/>
  <c r="BY782" i="1"/>
  <c r="BZ782" i="1"/>
  <c r="CA782" i="1"/>
  <c r="CB782" i="1"/>
  <c r="CC782" i="1"/>
  <c r="CD782" i="1"/>
  <c r="CE782" i="1"/>
  <c r="BV783" i="1"/>
  <c r="BW783" i="1"/>
  <c r="BX783" i="1"/>
  <c r="BY783" i="1"/>
  <c r="BZ783" i="1"/>
  <c r="CA783" i="1"/>
  <c r="CB783" i="1"/>
  <c r="CC783" i="1"/>
  <c r="CD783" i="1"/>
  <c r="CE783" i="1"/>
  <c r="BV784" i="1"/>
  <c r="BW784" i="1"/>
  <c r="BX784" i="1"/>
  <c r="BY784" i="1"/>
  <c r="BZ784" i="1"/>
  <c r="CA784" i="1"/>
  <c r="CB784" i="1"/>
  <c r="CC784" i="1"/>
  <c r="CD784" i="1"/>
  <c r="CE784" i="1"/>
  <c r="BV785" i="1"/>
  <c r="BW785" i="1"/>
  <c r="BX785" i="1"/>
  <c r="BY785" i="1"/>
  <c r="BZ785" i="1"/>
  <c r="CA785" i="1"/>
  <c r="CB785" i="1"/>
  <c r="CC785" i="1"/>
  <c r="CD785" i="1"/>
  <c r="CE785" i="1"/>
  <c r="BV786" i="1"/>
  <c r="BW786" i="1"/>
  <c r="BX786" i="1"/>
  <c r="BY786" i="1"/>
  <c r="BZ786" i="1"/>
  <c r="CA786" i="1"/>
  <c r="CB786" i="1"/>
  <c r="CC786" i="1"/>
  <c r="CD786" i="1"/>
  <c r="CE786" i="1"/>
  <c r="BV787" i="1"/>
  <c r="BW787" i="1"/>
  <c r="BX787" i="1"/>
  <c r="BY787" i="1"/>
  <c r="BZ787" i="1"/>
  <c r="CA787" i="1"/>
  <c r="CB787" i="1"/>
  <c r="CC787" i="1"/>
  <c r="CD787" i="1"/>
  <c r="CE787" i="1"/>
  <c r="BV788" i="1"/>
  <c r="BW788" i="1"/>
  <c r="BX788" i="1"/>
  <c r="BY788" i="1"/>
  <c r="BZ788" i="1"/>
  <c r="CA788" i="1"/>
  <c r="CB788" i="1"/>
  <c r="CC788" i="1"/>
  <c r="CD788" i="1"/>
  <c r="CE788" i="1"/>
  <c r="BV789" i="1"/>
  <c r="BW789" i="1"/>
  <c r="BX789" i="1"/>
  <c r="BY789" i="1"/>
  <c r="BZ789" i="1"/>
  <c r="CA789" i="1"/>
  <c r="CB789" i="1"/>
  <c r="CC789" i="1"/>
  <c r="CD789" i="1"/>
  <c r="CE789" i="1"/>
  <c r="BV790" i="1"/>
  <c r="BW790" i="1"/>
  <c r="BX790" i="1"/>
  <c r="BY790" i="1"/>
  <c r="BZ790" i="1"/>
  <c r="CA790" i="1"/>
  <c r="CB790" i="1"/>
  <c r="CC790" i="1"/>
  <c r="CD790" i="1"/>
  <c r="CE790" i="1"/>
  <c r="BV791" i="1"/>
  <c r="BW791" i="1"/>
  <c r="BX791" i="1"/>
  <c r="BY791" i="1"/>
  <c r="BZ791" i="1"/>
  <c r="CA791" i="1"/>
  <c r="CB791" i="1"/>
  <c r="CC791" i="1"/>
  <c r="CD791" i="1"/>
  <c r="CE791" i="1"/>
  <c r="BV792" i="1"/>
  <c r="BW792" i="1"/>
  <c r="BX792" i="1"/>
  <c r="BY792" i="1"/>
  <c r="BZ792" i="1"/>
  <c r="CA792" i="1"/>
  <c r="CB792" i="1"/>
  <c r="CC792" i="1"/>
  <c r="CD792" i="1"/>
  <c r="CE792" i="1"/>
  <c r="BV793" i="1"/>
  <c r="BW793" i="1"/>
  <c r="BX793" i="1"/>
  <c r="BY793" i="1"/>
  <c r="BZ793" i="1"/>
  <c r="CA793" i="1"/>
  <c r="CB793" i="1"/>
  <c r="CC793" i="1"/>
  <c r="CD793" i="1"/>
  <c r="CE793" i="1"/>
  <c r="BV794" i="1"/>
  <c r="BW794" i="1"/>
  <c r="BX794" i="1"/>
  <c r="BY794" i="1"/>
  <c r="BZ794" i="1"/>
  <c r="CA794" i="1"/>
  <c r="CB794" i="1"/>
  <c r="CC794" i="1"/>
  <c r="CD794" i="1"/>
  <c r="CE794" i="1"/>
  <c r="BV795" i="1"/>
  <c r="BW795" i="1"/>
  <c r="BX795" i="1"/>
  <c r="BY795" i="1"/>
  <c r="BZ795" i="1"/>
  <c r="CA795" i="1"/>
  <c r="CB795" i="1"/>
  <c r="CC795" i="1"/>
  <c r="CD795" i="1"/>
  <c r="CE795" i="1"/>
  <c r="BV796" i="1"/>
  <c r="BW796" i="1"/>
  <c r="BX796" i="1"/>
  <c r="BY796" i="1"/>
  <c r="BZ796" i="1"/>
  <c r="CA796" i="1"/>
  <c r="CB796" i="1"/>
  <c r="CC796" i="1"/>
  <c r="CD796" i="1"/>
  <c r="CE796" i="1"/>
  <c r="BV797" i="1"/>
  <c r="BW797" i="1"/>
  <c r="BX797" i="1"/>
  <c r="BY797" i="1"/>
  <c r="BZ797" i="1"/>
  <c r="CA797" i="1"/>
  <c r="CB797" i="1"/>
  <c r="CC797" i="1"/>
  <c r="CD797" i="1"/>
  <c r="CE797" i="1"/>
  <c r="BV798" i="1"/>
  <c r="BW798" i="1"/>
  <c r="BX798" i="1"/>
  <c r="BY798" i="1"/>
  <c r="BZ798" i="1"/>
  <c r="CA798" i="1"/>
  <c r="CB798" i="1"/>
  <c r="CC798" i="1"/>
  <c r="CD798" i="1"/>
  <c r="CE798" i="1"/>
  <c r="BV799" i="1"/>
  <c r="BW799" i="1"/>
  <c r="BX799" i="1"/>
  <c r="BY799" i="1"/>
  <c r="BZ799" i="1"/>
  <c r="CA799" i="1"/>
  <c r="CB799" i="1"/>
  <c r="CC799" i="1"/>
  <c r="CD799" i="1"/>
  <c r="CE799" i="1"/>
  <c r="BV800" i="1"/>
  <c r="BW800" i="1"/>
  <c r="BX800" i="1"/>
  <c r="BY800" i="1"/>
  <c r="BZ800" i="1"/>
  <c r="CA800" i="1"/>
  <c r="CB800" i="1"/>
  <c r="CC800" i="1"/>
  <c r="CD800" i="1"/>
  <c r="CE800" i="1"/>
  <c r="BV801" i="1"/>
  <c r="BW801" i="1"/>
  <c r="BX801" i="1"/>
  <c r="BY801" i="1"/>
  <c r="BZ801" i="1"/>
  <c r="CA801" i="1"/>
  <c r="CB801" i="1"/>
  <c r="CC801" i="1"/>
  <c r="CD801" i="1"/>
  <c r="CE801" i="1"/>
  <c r="BV802" i="1"/>
  <c r="BW802" i="1"/>
  <c r="BX802" i="1"/>
  <c r="BY802" i="1"/>
  <c r="BZ802" i="1"/>
  <c r="CA802" i="1"/>
  <c r="CB802" i="1"/>
  <c r="CC802" i="1"/>
  <c r="CD802" i="1"/>
  <c r="CE802" i="1"/>
  <c r="BV803" i="1"/>
  <c r="BW803" i="1"/>
  <c r="BX803" i="1"/>
  <c r="BY803" i="1"/>
  <c r="BZ803" i="1"/>
  <c r="CA803" i="1"/>
  <c r="CB803" i="1"/>
  <c r="CC803" i="1"/>
  <c r="CD803" i="1"/>
  <c r="CE803" i="1"/>
  <c r="BV804" i="1"/>
  <c r="BW804" i="1"/>
  <c r="BX804" i="1"/>
  <c r="BY804" i="1"/>
  <c r="BZ804" i="1"/>
  <c r="CA804" i="1"/>
  <c r="CB804" i="1"/>
  <c r="CC804" i="1"/>
  <c r="CD804" i="1"/>
  <c r="CE804" i="1"/>
  <c r="BV805" i="1"/>
  <c r="BW805" i="1"/>
  <c r="BX805" i="1"/>
  <c r="BY805" i="1"/>
  <c r="BZ805" i="1"/>
  <c r="CA805" i="1"/>
  <c r="CB805" i="1"/>
  <c r="CC805" i="1"/>
  <c r="CD805" i="1"/>
  <c r="CE805" i="1"/>
  <c r="BV806" i="1"/>
  <c r="BW806" i="1"/>
  <c r="BX806" i="1"/>
  <c r="BY806" i="1"/>
  <c r="BZ806" i="1"/>
  <c r="CA806" i="1"/>
  <c r="CB806" i="1"/>
  <c r="CC806" i="1"/>
  <c r="CD806" i="1"/>
  <c r="CE806" i="1"/>
  <c r="BV807" i="1"/>
  <c r="BW807" i="1"/>
  <c r="BX807" i="1"/>
  <c r="BY807" i="1"/>
  <c r="BZ807" i="1"/>
  <c r="CA807" i="1"/>
  <c r="CB807" i="1"/>
  <c r="CC807" i="1"/>
  <c r="CD807" i="1"/>
  <c r="CE807" i="1"/>
  <c r="BV808" i="1"/>
  <c r="BW808" i="1"/>
  <c r="BX808" i="1"/>
  <c r="BY808" i="1"/>
  <c r="BZ808" i="1"/>
  <c r="CA808" i="1"/>
  <c r="CB808" i="1"/>
  <c r="CC808" i="1"/>
  <c r="CD808" i="1"/>
  <c r="CE808" i="1"/>
  <c r="BV809" i="1"/>
  <c r="BW809" i="1"/>
  <c r="BX809" i="1"/>
  <c r="BY809" i="1"/>
  <c r="BZ809" i="1"/>
  <c r="CA809" i="1"/>
  <c r="CB809" i="1"/>
  <c r="CC809" i="1"/>
  <c r="CD809" i="1"/>
  <c r="CE809" i="1"/>
  <c r="BV810" i="1"/>
  <c r="BW810" i="1"/>
  <c r="BX810" i="1"/>
  <c r="BY810" i="1"/>
  <c r="BZ810" i="1"/>
  <c r="CA810" i="1"/>
  <c r="CB810" i="1"/>
  <c r="CC810" i="1"/>
  <c r="CD810" i="1"/>
  <c r="CE810" i="1"/>
  <c r="BV811" i="1"/>
  <c r="BW811" i="1"/>
  <c r="BX811" i="1"/>
  <c r="BY811" i="1"/>
  <c r="BZ811" i="1"/>
  <c r="CA811" i="1"/>
  <c r="CB811" i="1"/>
  <c r="CC811" i="1"/>
  <c r="CD811" i="1"/>
  <c r="CE811" i="1"/>
  <c r="BV812" i="1"/>
  <c r="BW812" i="1"/>
  <c r="BX812" i="1"/>
  <c r="BY812" i="1"/>
  <c r="BZ812" i="1"/>
  <c r="CA812" i="1"/>
  <c r="CB812" i="1"/>
  <c r="CC812" i="1"/>
  <c r="CD812" i="1"/>
  <c r="CE812" i="1"/>
  <c r="BV813" i="1"/>
  <c r="BW813" i="1"/>
  <c r="BX813" i="1"/>
  <c r="BY813" i="1"/>
  <c r="BZ813" i="1"/>
  <c r="CA813" i="1"/>
  <c r="CB813" i="1"/>
  <c r="CC813" i="1"/>
  <c r="CD813" i="1"/>
  <c r="CE813" i="1"/>
  <c r="BV814" i="1"/>
  <c r="BW814" i="1"/>
  <c r="BX814" i="1"/>
  <c r="BY814" i="1"/>
  <c r="BZ814" i="1"/>
  <c r="CA814" i="1"/>
  <c r="CB814" i="1"/>
  <c r="CC814" i="1"/>
  <c r="CD814" i="1"/>
  <c r="CE814" i="1"/>
  <c r="BV815" i="1"/>
  <c r="BW815" i="1"/>
  <c r="BX815" i="1"/>
  <c r="BY815" i="1"/>
  <c r="BZ815" i="1"/>
  <c r="CA815" i="1"/>
  <c r="CB815" i="1"/>
  <c r="CC815" i="1"/>
  <c r="CD815" i="1"/>
  <c r="CE815" i="1"/>
  <c r="BV816" i="1"/>
  <c r="BW816" i="1"/>
  <c r="BX816" i="1"/>
  <c r="BY816" i="1"/>
  <c r="BZ816" i="1"/>
  <c r="CA816" i="1"/>
  <c r="CB816" i="1"/>
  <c r="CC816" i="1"/>
  <c r="CD816" i="1"/>
  <c r="CE816" i="1"/>
  <c r="BV817" i="1"/>
  <c r="BW817" i="1"/>
  <c r="BX817" i="1"/>
  <c r="BY817" i="1"/>
  <c r="BZ817" i="1"/>
  <c r="CA817" i="1"/>
  <c r="CB817" i="1"/>
  <c r="CC817" i="1"/>
  <c r="CD817" i="1"/>
  <c r="CE817" i="1"/>
  <c r="BV818" i="1"/>
  <c r="BW818" i="1"/>
  <c r="BX818" i="1"/>
  <c r="BY818" i="1"/>
  <c r="BZ818" i="1"/>
  <c r="CA818" i="1"/>
  <c r="CB818" i="1"/>
  <c r="CC818" i="1"/>
  <c r="CD818" i="1"/>
  <c r="CE818" i="1"/>
  <c r="BV819" i="1"/>
  <c r="BW819" i="1"/>
  <c r="BX819" i="1"/>
  <c r="BY819" i="1"/>
  <c r="BZ819" i="1"/>
  <c r="CA819" i="1"/>
  <c r="CB819" i="1"/>
  <c r="CC819" i="1"/>
  <c r="CD819" i="1"/>
  <c r="CE819" i="1"/>
  <c r="BV820" i="1"/>
  <c r="BW820" i="1"/>
  <c r="BX820" i="1"/>
  <c r="BY820" i="1"/>
  <c r="BZ820" i="1"/>
  <c r="CA820" i="1"/>
  <c r="CB820" i="1"/>
  <c r="CC820" i="1"/>
  <c r="CD820" i="1"/>
  <c r="CE820" i="1"/>
  <c r="BV821" i="1"/>
  <c r="BW821" i="1"/>
  <c r="BX821" i="1"/>
  <c r="BY821" i="1"/>
  <c r="BZ821" i="1"/>
  <c r="CA821" i="1"/>
  <c r="CB821" i="1"/>
  <c r="CC821" i="1"/>
  <c r="CD821" i="1"/>
  <c r="CE821" i="1"/>
  <c r="BV822" i="1"/>
  <c r="BW822" i="1"/>
  <c r="BX822" i="1"/>
  <c r="BY822" i="1"/>
  <c r="BZ822" i="1"/>
  <c r="CA822" i="1"/>
  <c r="CB822" i="1"/>
  <c r="CC822" i="1"/>
  <c r="CD822" i="1"/>
  <c r="CE822" i="1"/>
  <c r="BV823" i="1"/>
  <c r="BW823" i="1"/>
  <c r="BX823" i="1"/>
  <c r="BY823" i="1"/>
  <c r="BZ823" i="1"/>
  <c r="CA823" i="1"/>
  <c r="CB823" i="1"/>
  <c r="CC823" i="1"/>
  <c r="CD823" i="1"/>
  <c r="CE823" i="1"/>
  <c r="BV824" i="1"/>
  <c r="BW824" i="1"/>
  <c r="BX824" i="1"/>
  <c r="BY824" i="1"/>
  <c r="BZ824" i="1"/>
  <c r="CA824" i="1"/>
  <c r="CB824" i="1"/>
  <c r="CC824" i="1"/>
  <c r="CD824" i="1"/>
  <c r="CE824" i="1"/>
  <c r="BV825" i="1"/>
  <c r="BW825" i="1"/>
  <c r="BX825" i="1"/>
  <c r="BY825" i="1"/>
  <c r="BZ825" i="1"/>
  <c r="CA825" i="1"/>
  <c r="CB825" i="1"/>
  <c r="CC825" i="1"/>
  <c r="CD825" i="1"/>
  <c r="CE825" i="1"/>
  <c r="BV826" i="1"/>
  <c r="BW826" i="1"/>
  <c r="BX826" i="1"/>
  <c r="BY826" i="1"/>
  <c r="BZ826" i="1"/>
  <c r="CA826" i="1"/>
  <c r="CB826" i="1"/>
  <c r="CC826" i="1"/>
  <c r="CD826" i="1"/>
  <c r="CE826" i="1"/>
  <c r="BV827" i="1"/>
  <c r="BW827" i="1"/>
  <c r="BX827" i="1"/>
  <c r="BY827" i="1"/>
  <c r="BZ827" i="1"/>
  <c r="CA827" i="1"/>
  <c r="CB827" i="1"/>
  <c r="CC827" i="1"/>
  <c r="CD827" i="1"/>
  <c r="CE827" i="1"/>
  <c r="BV828" i="1"/>
  <c r="BW828" i="1"/>
  <c r="BX828" i="1"/>
  <c r="BY828" i="1"/>
  <c r="BZ828" i="1"/>
  <c r="CA828" i="1"/>
  <c r="CB828" i="1"/>
  <c r="CC828" i="1"/>
  <c r="CD828" i="1"/>
  <c r="CE828" i="1"/>
  <c r="BV829" i="1"/>
  <c r="BW829" i="1"/>
  <c r="BX829" i="1"/>
  <c r="BY829" i="1"/>
  <c r="BZ829" i="1"/>
  <c r="CA829" i="1"/>
  <c r="CB829" i="1"/>
  <c r="CC829" i="1"/>
  <c r="CD829" i="1"/>
  <c r="CE829" i="1"/>
  <c r="BV830" i="1"/>
  <c r="BW830" i="1"/>
  <c r="BX830" i="1"/>
  <c r="BY830" i="1"/>
  <c r="BZ830" i="1"/>
  <c r="CA830" i="1"/>
  <c r="CB830" i="1"/>
  <c r="CC830" i="1"/>
  <c r="CD830" i="1"/>
  <c r="CE830" i="1"/>
  <c r="BV831" i="1"/>
  <c r="BW831" i="1"/>
  <c r="BX831" i="1"/>
  <c r="BY831" i="1"/>
  <c r="BZ831" i="1"/>
  <c r="CA831" i="1"/>
  <c r="CB831" i="1"/>
  <c r="CC831" i="1"/>
  <c r="CD831" i="1"/>
  <c r="CE831" i="1"/>
  <c r="BV832" i="1"/>
  <c r="BW832" i="1"/>
  <c r="BX832" i="1"/>
  <c r="BY832" i="1"/>
  <c r="BZ832" i="1"/>
  <c r="CA832" i="1"/>
  <c r="CB832" i="1"/>
  <c r="CC832" i="1"/>
  <c r="CD832" i="1"/>
  <c r="CE832" i="1"/>
  <c r="BV833" i="1"/>
  <c r="BW833" i="1"/>
  <c r="BX833" i="1"/>
  <c r="BY833" i="1"/>
  <c r="BZ833" i="1"/>
  <c r="CA833" i="1"/>
  <c r="CB833" i="1"/>
  <c r="CC833" i="1"/>
  <c r="CD833" i="1"/>
  <c r="CE833" i="1"/>
  <c r="BV834" i="1"/>
  <c r="BW834" i="1"/>
  <c r="BX834" i="1"/>
  <c r="BY834" i="1"/>
  <c r="BZ834" i="1"/>
  <c r="CA834" i="1"/>
  <c r="CB834" i="1"/>
  <c r="CC834" i="1"/>
  <c r="CD834" i="1"/>
  <c r="CE834" i="1"/>
  <c r="BV835" i="1"/>
  <c r="BW835" i="1"/>
  <c r="BX835" i="1"/>
  <c r="BY835" i="1"/>
  <c r="BZ835" i="1"/>
  <c r="CA835" i="1"/>
  <c r="CB835" i="1"/>
  <c r="CC835" i="1"/>
  <c r="CD835" i="1"/>
  <c r="CE835" i="1"/>
  <c r="BW2" i="1"/>
  <c r="BX2" i="1"/>
  <c r="BY2" i="1"/>
  <c r="BZ2" i="1"/>
  <c r="CA2" i="1"/>
  <c r="CB2" i="1"/>
  <c r="CC2" i="1"/>
  <c r="CD2" i="1"/>
  <c r="CE2" i="1"/>
  <c r="BV2" i="1"/>
  <c r="O28" i="3"/>
  <c r="O29" i="3"/>
  <c r="D4" i="4"/>
  <c r="D2" i="4"/>
  <c r="D3" i="4"/>
  <c r="F8" i="2" l="1"/>
  <c r="K5" i="10" l="1"/>
  <c r="K3" i="10"/>
  <c r="K4" i="10"/>
  <c r="K6" i="10"/>
  <c r="K7" i="10"/>
  <c r="K2" i="10"/>
  <c r="J3" i="10"/>
  <c r="J4" i="10"/>
  <c r="J5" i="10"/>
  <c r="J6" i="10"/>
  <c r="J7" i="10"/>
  <c r="J2" i="10"/>
  <c r="J13" i="10"/>
  <c r="J14" i="10"/>
  <c r="J15" i="10"/>
  <c r="J16" i="10"/>
  <c r="J17" i="10"/>
  <c r="J18" i="10"/>
  <c r="B3" i="10"/>
  <c r="C3" i="10" s="1"/>
  <c r="F3" i="10"/>
  <c r="H3" i="10"/>
  <c r="I3" i="10"/>
  <c r="H7" i="10"/>
  <c r="I7" i="10"/>
  <c r="H4" i="10"/>
  <c r="I4" i="10"/>
  <c r="H5" i="10"/>
  <c r="I5" i="10"/>
  <c r="H6" i="10"/>
  <c r="I6" i="10"/>
  <c r="I2" i="10"/>
  <c r="H2" i="10"/>
  <c r="F4" i="10"/>
  <c r="F5" i="10"/>
  <c r="F6" i="10"/>
  <c r="F7" i="10"/>
  <c r="F2" i="10"/>
  <c r="S3" i="10"/>
  <c r="S4"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2" i="10"/>
  <c r="E3" i="10"/>
  <c r="E4" i="10"/>
  <c r="E5" i="10"/>
  <c r="E6" i="10"/>
  <c r="E7" i="10"/>
  <c r="E2" i="10"/>
  <c r="D7" i="10"/>
  <c r="C7" i="10"/>
  <c r="B4" i="10"/>
  <c r="D4" i="10" s="1"/>
  <c r="B5" i="10"/>
  <c r="D5" i="10" s="1"/>
  <c r="B6" i="10"/>
  <c r="D6" i="10" s="1"/>
  <c r="B7" i="10"/>
  <c r="B2" i="10"/>
  <c r="C2" i="10" s="1"/>
  <c r="R3" i="10"/>
  <c r="R4"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2" i="10"/>
  <c r="C6" i="10" l="1"/>
  <c r="D3" i="10"/>
  <c r="C5" i="10"/>
  <c r="D2" i="10"/>
  <c r="C4" i="10"/>
  <c r="B26" i="3" l="1"/>
  <c r="C26" i="3" s="1"/>
  <c r="D26" i="3" s="1"/>
  <c r="B27" i="3"/>
  <c r="C27" i="3" s="1"/>
  <c r="D27" i="3" s="1"/>
  <c r="E27" i="3" s="1"/>
  <c r="F27" i="3" s="1"/>
  <c r="G27" i="3" s="1"/>
  <c r="H27" i="3" s="1"/>
  <c r="I27" i="3" s="1"/>
  <c r="J27" i="3" s="1"/>
  <c r="K27" i="3" s="1"/>
  <c r="L27" i="3" s="1"/>
  <c r="B28" i="3"/>
  <c r="C28" i="3" s="1"/>
  <c r="D28" i="3" s="1"/>
  <c r="E28" i="3" s="1"/>
  <c r="F28" i="3" s="1"/>
  <c r="G28" i="3" s="1"/>
  <c r="H28" i="3" s="1"/>
  <c r="I28" i="3" s="1"/>
  <c r="J28" i="3" s="1"/>
  <c r="K28" i="3" s="1"/>
  <c r="L28" i="3" s="1"/>
  <c r="B29" i="3"/>
  <c r="C29" i="3" s="1"/>
  <c r="D29" i="3" s="1"/>
  <c r="E29" i="3" s="1"/>
  <c r="F29" i="3" s="1"/>
  <c r="G29" i="3" s="1"/>
  <c r="H29" i="3" s="1"/>
  <c r="I29" i="3" s="1"/>
  <c r="J29" i="3" s="1"/>
  <c r="K29" i="3" s="1"/>
  <c r="L29" i="3" s="1"/>
  <c r="B31" i="3"/>
  <c r="B32" i="3"/>
  <c r="B33" i="3"/>
  <c r="B34" i="3"/>
  <c r="B35" i="3"/>
  <c r="C35" i="3" s="1"/>
  <c r="D35" i="3" s="1"/>
  <c r="E35" i="3" s="1"/>
  <c r="F35" i="3" s="1"/>
  <c r="G35" i="3" s="1"/>
  <c r="H35" i="3" s="1"/>
  <c r="I35" i="3" s="1"/>
  <c r="J35" i="3" s="1"/>
  <c r="K35" i="3" s="1"/>
  <c r="L35" i="3" s="1"/>
  <c r="B36" i="3"/>
  <c r="C36" i="3" s="1"/>
  <c r="D36" i="3" s="1"/>
  <c r="E36" i="3" s="1"/>
  <c r="F36" i="3" s="1"/>
  <c r="G36" i="3" s="1"/>
  <c r="H36" i="3" s="1"/>
  <c r="I36" i="3" s="1"/>
  <c r="J36" i="3" s="1"/>
  <c r="K36" i="3" s="1"/>
  <c r="L36" i="3" s="1"/>
  <c r="B37" i="3"/>
  <c r="C37" i="3" s="1"/>
  <c r="D37" i="3" s="1"/>
  <c r="E37" i="3" s="1"/>
  <c r="F37" i="3" s="1"/>
  <c r="G37" i="3" s="1"/>
  <c r="H37" i="3" s="1"/>
  <c r="I37" i="3" s="1"/>
  <c r="J37" i="3" s="1"/>
  <c r="K37" i="3" s="1"/>
  <c r="L37" i="3" s="1"/>
  <c r="B15" i="3"/>
  <c r="C15" i="3" s="1"/>
  <c r="D15" i="3" s="1"/>
  <c r="E15" i="3" s="1"/>
  <c r="F15" i="3" s="1"/>
  <c r="G15" i="3" s="1"/>
  <c r="H15" i="3" s="1"/>
  <c r="I15" i="3" s="1"/>
  <c r="J15" i="3" s="1"/>
  <c r="K15" i="3" s="1"/>
  <c r="L15" i="3" s="1"/>
  <c r="B6" i="3"/>
  <c r="B7" i="3"/>
  <c r="C7" i="3" s="1"/>
  <c r="D7" i="3" s="1"/>
  <c r="E7" i="3" s="1"/>
  <c r="F7" i="3" s="1"/>
  <c r="G7" i="3" s="1"/>
  <c r="H7" i="3" s="1"/>
  <c r="I7" i="3" s="1"/>
  <c r="J7" i="3" s="1"/>
  <c r="K7" i="3" s="1"/>
  <c r="L7" i="3" s="1"/>
  <c r="E26" i="3" l="1"/>
  <c r="F26" i="3" l="1"/>
  <c r="G26" i="3" l="1"/>
  <c r="H26" i="3" l="1"/>
  <c r="I26" i="3" l="1"/>
  <c r="J26" i="3" l="1"/>
  <c r="K26" i="3" l="1"/>
  <c r="L26" i="3" l="1"/>
  <c r="V3" i="1" l="1"/>
  <c r="W3" i="1"/>
  <c r="X3" i="1"/>
  <c r="Y3" i="1"/>
  <c r="Z3" i="1"/>
  <c r="AA3" i="1"/>
  <c r="AB3" i="1"/>
  <c r="AC3" i="1"/>
  <c r="AD3" i="1"/>
  <c r="AE3" i="1"/>
  <c r="V4" i="1"/>
  <c r="W4" i="1"/>
  <c r="X4" i="1"/>
  <c r="Y4" i="1"/>
  <c r="Z4" i="1"/>
  <c r="AA4" i="1"/>
  <c r="AB4" i="1"/>
  <c r="AC4" i="1"/>
  <c r="AD4" i="1"/>
  <c r="AE4" i="1"/>
  <c r="V5" i="1"/>
  <c r="W5" i="1"/>
  <c r="X5" i="1"/>
  <c r="Y5" i="1"/>
  <c r="Z5" i="1"/>
  <c r="AA5" i="1"/>
  <c r="AB5" i="1"/>
  <c r="AC5" i="1"/>
  <c r="AD5" i="1"/>
  <c r="AE5" i="1"/>
  <c r="V6" i="1"/>
  <c r="W6" i="1"/>
  <c r="X6" i="1"/>
  <c r="Y6" i="1"/>
  <c r="Z6" i="1"/>
  <c r="AA6" i="1"/>
  <c r="AB6" i="1"/>
  <c r="AC6" i="1"/>
  <c r="AD6" i="1"/>
  <c r="AE6" i="1"/>
  <c r="V7" i="1"/>
  <c r="W7" i="1"/>
  <c r="X7" i="1"/>
  <c r="Y7" i="1"/>
  <c r="Z7" i="1"/>
  <c r="AA7" i="1"/>
  <c r="AB7" i="1"/>
  <c r="AC7" i="1"/>
  <c r="AD7" i="1"/>
  <c r="AE7" i="1"/>
  <c r="V8" i="1"/>
  <c r="W8" i="1"/>
  <c r="X8" i="1"/>
  <c r="Y8" i="1"/>
  <c r="Z8" i="1"/>
  <c r="AA8" i="1"/>
  <c r="AB8" i="1"/>
  <c r="AC8" i="1"/>
  <c r="AD8" i="1"/>
  <c r="AE8" i="1"/>
  <c r="V9" i="1"/>
  <c r="W9" i="1"/>
  <c r="X9" i="1"/>
  <c r="Y9" i="1"/>
  <c r="Z9" i="1"/>
  <c r="AA9" i="1"/>
  <c r="AB9" i="1"/>
  <c r="AC9" i="1"/>
  <c r="AD9" i="1"/>
  <c r="AE9" i="1"/>
  <c r="V10" i="1"/>
  <c r="W10" i="1"/>
  <c r="X10" i="1"/>
  <c r="Y10" i="1"/>
  <c r="Z10" i="1"/>
  <c r="AA10" i="1"/>
  <c r="AB10" i="1"/>
  <c r="AC10" i="1"/>
  <c r="AD10" i="1"/>
  <c r="AE10" i="1"/>
  <c r="V11" i="1"/>
  <c r="W11" i="1"/>
  <c r="X11" i="1"/>
  <c r="Y11" i="1"/>
  <c r="Z11" i="1"/>
  <c r="AA11" i="1"/>
  <c r="AB11" i="1"/>
  <c r="AC11" i="1"/>
  <c r="AD11" i="1"/>
  <c r="AE11" i="1"/>
  <c r="V12" i="1"/>
  <c r="W12" i="1"/>
  <c r="X12" i="1"/>
  <c r="Y12" i="1"/>
  <c r="Z12" i="1"/>
  <c r="AA12" i="1"/>
  <c r="AB12" i="1"/>
  <c r="AC12" i="1"/>
  <c r="AD12" i="1"/>
  <c r="AE12" i="1"/>
  <c r="V13" i="1"/>
  <c r="W13" i="1"/>
  <c r="X13" i="1"/>
  <c r="Y13" i="1"/>
  <c r="Z13" i="1"/>
  <c r="AA13" i="1"/>
  <c r="AB13" i="1"/>
  <c r="AC13" i="1"/>
  <c r="AD13" i="1"/>
  <c r="AE13" i="1"/>
  <c r="V14" i="1"/>
  <c r="W14" i="1"/>
  <c r="X14" i="1"/>
  <c r="Y14" i="1"/>
  <c r="Z14" i="1"/>
  <c r="AA14" i="1"/>
  <c r="AB14" i="1"/>
  <c r="AC14" i="1"/>
  <c r="AD14" i="1"/>
  <c r="AE14" i="1"/>
  <c r="V15" i="1"/>
  <c r="W15" i="1"/>
  <c r="X15" i="1"/>
  <c r="Y15" i="1"/>
  <c r="Z15" i="1"/>
  <c r="AA15" i="1"/>
  <c r="AB15" i="1"/>
  <c r="AC15" i="1"/>
  <c r="AD15" i="1"/>
  <c r="AE15" i="1"/>
  <c r="V16" i="1"/>
  <c r="W16" i="1"/>
  <c r="X16" i="1"/>
  <c r="Y16" i="1"/>
  <c r="Z16" i="1"/>
  <c r="AA16" i="1"/>
  <c r="AB16" i="1"/>
  <c r="AC16" i="1"/>
  <c r="AD16" i="1"/>
  <c r="AE16" i="1"/>
  <c r="V17" i="1"/>
  <c r="W17" i="1"/>
  <c r="X17" i="1"/>
  <c r="Y17" i="1"/>
  <c r="Z17" i="1"/>
  <c r="AA17" i="1"/>
  <c r="AB17" i="1"/>
  <c r="AC17" i="1"/>
  <c r="AD17" i="1"/>
  <c r="AE17" i="1"/>
  <c r="V18" i="1"/>
  <c r="W18" i="1"/>
  <c r="X18" i="1"/>
  <c r="Y18" i="1"/>
  <c r="Z18" i="1"/>
  <c r="AA18" i="1"/>
  <c r="AB18" i="1"/>
  <c r="AC18" i="1"/>
  <c r="AD18" i="1"/>
  <c r="AE18" i="1"/>
  <c r="V19" i="1"/>
  <c r="W19" i="1"/>
  <c r="X19" i="1"/>
  <c r="Y19" i="1"/>
  <c r="Z19" i="1"/>
  <c r="AA19" i="1"/>
  <c r="AB19" i="1"/>
  <c r="AC19" i="1"/>
  <c r="AD19" i="1"/>
  <c r="AE19" i="1"/>
  <c r="V20" i="1"/>
  <c r="W20" i="1"/>
  <c r="X20" i="1"/>
  <c r="Y20" i="1"/>
  <c r="Z20" i="1"/>
  <c r="AA20" i="1"/>
  <c r="AB20" i="1"/>
  <c r="AC20" i="1"/>
  <c r="AD20" i="1"/>
  <c r="AE20" i="1"/>
  <c r="V21" i="1"/>
  <c r="W21" i="1"/>
  <c r="X21" i="1"/>
  <c r="Y21" i="1"/>
  <c r="Z21" i="1"/>
  <c r="AA21" i="1"/>
  <c r="AB21" i="1"/>
  <c r="AC21" i="1"/>
  <c r="AD21" i="1"/>
  <c r="AE21" i="1"/>
  <c r="V22" i="1"/>
  <c r="W22" i="1"/>
  <c r="X22" i="1"/>
  <c r="Y22" i="1"/>
  <c r="Z22" i="1"/>
  <c r="AA22" i="1"/>
  <c r="AB22" i="1"/>
  <c r="AC22" i="1"/>
  <c r="AD22" i="1"/>
  <c r="AE22" i="1"/>
  <c r="V23" i="1"/>
  <c r="W23" i="1"/>
  <c r="X23" i="1"/>
  <c r="Y23" i="1"/>
  <c r="Z23" i="1"/>
  <c r="AA23" i="1"/>
  <c r="AB23" i="1"/>
  <c r="AC23" i="1"/>
  <c r="AD23" i="1"/>
  <c r="AE23" i="1"/>
  <c r="V24" i="1"/>
  <c r="W24" i="1"/>
  <c r="X24" i="1"/>
  <c r="Y24" i="1"/>
  <c r="Z24" i="1"/>
  <c r="AA24" i="1"/>
  <c r="AB24" i="1"/>
  <c r="AC24" i="1"/>
  <c r="AD24" i="1"/>
  <c r="AE24" i="1"/>
  <c r="V25" i="1"/>
  <c r="W25" i="1"/>
  <c r="X25" i="1"/>
  <c r="Y25" i="1"/>
  <c r="Z25" i="1"/>
  <c r="AA25" i="1"/>
  <c r="AB25" i="1"/>
  <c r="AC25" i="1"/>
  <c r="AD25" i="1"/>
  <c r="AE25" i="1"/>
  <c r="V26" i="1"/>
  <c r="W26" i="1"/>
  <c r="X26" i="1"/>
  <c r="Y26" i="1"/>
  <c r="Z26" i="1"/>
  <c r="AA26" i="1"/>
  <c r="AB26" i="1"/>
  <c r="AC26" i="1"/>
  <c r="AD26" i="1"/>
  <c r="AE26" i="1"/>
  <c r="V27" i="1"/>
  <c r="W27" i="1"/>
  <c r="X27" i="1"/>
  <c r="Y27" i="1"/>
  <c r="Z27" i="1"/>
  <c r="AA27" i="1"/>
  <c r="AB27" i="1"/>
  <c r="AC27" i="1"/>
  <c r="AD27" i="1"/>
  <c r="AE27" i="1"/>
  <c r="V28" i="1"/>
  <c r="W28" i="1"/>
  <c r="X28" i="1"/>
  <c r="Y28" i="1"/>
  <c r="Z28" i="1"/>
  <c r="AA28" i="1"/>
  <c r="AB28" i="1"/>
  <c r="AC28" i="1"/>
  <c r="AD28" i="1"/>
  <c r="AE28" i="1"/>
  <c r="V29" i="1"/>
  <c r="W29" i="1"/>
  <c r="X29" i="1"/>
  <c r="Y29" i="1"/>
  <c r="Z29" i="1"/>
  <c r="AA29" i="1"/>
  <c r="AB29" i="1"/>
  <c r="AC29" i="1"/>
  <c r="AD29" i="1"/>
  <c r="AE29" i="1"/>
  <c r="V30" i="1"/>
  <c r="W30" i="1"/>
  <c r="X30" i="1"/>
  <c r="Y30" i="1"/>
  <c r="Z30" i="1"/>
  <c r="AA30" i="1"/>
  <c r="AB30" i="1"/>
  <c r="AC30" i="1"/>
  <c r="AD30" i="1"/>
  <c r="AE30" i="1"/>
  <c r="V31" i="1"/>
  <c r="W31" i="1"/>
  <c r="X31" i="1"/>
  <c r="Y31" i="1"/>
  <c r="Z31" i="1"/>
  <c r="AA31" i="1"/>
  <c r="AB31" i="1"/>
  <c r="AC31" i="1"/>
  <c r="AD31" i="1"/>
  <c r="AE31" i="1"/>
  <c r="V32" i="1"/>
  <c r="W32" i="1"/>
  <c r="X32" i="1"/>
  <c r="Y32" i="1"/>
  <c r="Z32" i="1"/>
  <c r="AA32" i="1"/>
  <c r="AB32" i="1"/>
  <c r="AC32" i="1"/>
  <c r="AD32" i="1"/>
  <c r="AE32" i="1"/>
  <c r="V33" i="1"/>
  <c r="W33" i="1"/>
  <c r="X33" i="1"/>
  <c r="Y33" i="1"/>
  <c r="Z33" i="1"/>
  <c r="AA33" i="1"/>
  <c r="AB33" i="1"/>
  <c r="AC33" i="1"/>
  <c r="AD33" i="1"/>
  <c r="AE33" i="1"/>
  <c r="V34" i="1"/>
  <c r="W34" i="1"/>
  <c r="X34" i="1"/>
  <c r="Y34" i="1"/>
  <c r="Z34" i="1"/>
  <c r="AA34" i="1"/>
  <c r="AB34" i="1"/>
  <c r="AC34" i="1"/>
  <c r="AD34" i="1"/>
  <c r="AE34" i="1"/>
  <c r="V35" i="1"/>
  <c r="W35" i="1"/>
  <c r="X35" i="1"/>
  <c r="Y35" i="1"/>
  <c r="Z35" i="1"/>
  <c r="AA35" i="1"/>
  <c r="AB35" i="1"/>
  <c r="AC35" i="1"/>
  <c r="AD35" i="1"/>
  <c r="AE35" i="1"/>
  <c r="V36" i="1"/>
  <c r="W36" i="1"/>
  <c r="X36" i="1"/>
  <c r="Y36" i="1"/>
  <c r="Z36" i="1"/>
  <c r="AA36" i="1"/>
  <c r="AB36" i="1"/>
  <c r="AC36" i="1"/>
  <c r="AD36" i="1"/>
  <c r="AE36" i="1"/>
  <c r="V37" i="1"/>
  <c r="W37" i="1"/>
  <c r="X37" i="1"/>
  <c r="Y37" i="1"/>
  <c r="Z37" i="1"/>
  <c r="AA37" i="1"/>
  <c r="AB37" i="1"/>
  <c r="AC37" i="1"/>
  <c r="AD37" i="1"/>
  <c r="AE37" i="1"/>
  <c r="V38" i="1"/>
  <c r="W38" i="1"/>
  <c r="X38" i="1"/>
  <c r="Y38" i="1"/>
  <c r="Z38" i="1"/>
  <c r="AA38" i="1"/>
  <c r="AB38" i="1"/>
  <c r="AC38" i="1"/>
  <c r="AD38" i="1"/>
  <c r="AE38" i="1"/>
  <c r="V39" i="1"/>
  <c r="W39" i="1"/>
  <c r="X39" i="1"/>
  <c r="Y39" i="1"/>
  <c r="Z39" i="1"/>
  <c r="AA39" i="1"/>
  <c r="AB39" i="1"/>
  <c r="AC39" i="1"/>
  <c r="AD39" i="1"/>
  <c r="AE39" i="1"/>
  <c r="V40" i="1"/>
  <c r="W40" i="1"/>
  <c r="X40" i="1"/>
  <c r="Y40" i="1"/>
  <c r="Z40" i="1"/>
  <c r="AA40" i="1"/>
  <c r="AB40" i="1"/>
  <c r="AC40" i="1"/>
  <c r="AD40" i="1"/>
  <c r="AE40" i="1"/>
  <c r="V41" i="1"/>
  <c r="W41" i="1"/>
  <c r="X41" i="1"/>
  <c r="Y41" i="1"/>
  <c r="Z41" i="1"/>
  <c r="AA41" i="1"/>
  <c r="AB41" i="1"/>
  <c r="AC41" i="1"/>
  <c r="AD41" i="1"/>
  <c r="AE41" i="1"/>
  <c r="V42" i="1"/>
  <c r="W42" i="1"/>
  <c r="X42" i="1"/>
  <c r="Y42" i="1"/>
  <c r="Z42" i="1"/>
  <c r="AA42" i="1"/>
  <c r="AB42" i="1"/>
  <c r="AC42" i="1"/>
  <c r="AD42" i="1"/>
  <c r="AE42" i="1"/>
  <c r="V43" i="1"/>
  <c r="W43" i="1"/>
  <c r="X43" i="1"/>
  <c r="Y43" i="1"/>
  <c r="Z43" i="1"/>
  <c r="AA43" i="1"/>
  <c r="AB43" i="1"/>
  <c r="AC43" i="1"/>
  <c r="AD43" i="1"/>
  <c r="AE43" i="1"/>
  <c r="V44" i="1"/>
  <c r="W44" i="1"/>
  <c r="X44" i="1"/>
  <c r="Y44" i="1"/>
  <c r="Z44" i="1"/>
  <c r="AA44" i="1"/>
  <c r="AB44" i="1"/>
  <c r="AC44" i="1"/>
  <c r="AD44" i="1"/>
  <c r="AE44" i="1"/>
  <c r="V45" i="1"/>
  <c r="W45" i="1"/>
  <c r="X45" i="1"/>
  <c r="Y45" i="1"/>
  <c r="Z45" i="1"/>
  <c r="AA45" i="1"/>
  <c r="AB45" i="1"/>
  <c r="AC45" i="1"/>
  <c r="AD45" i="1"/>
  <c r="AE45" i="1"/>
  <c r="V46" i="1"/>
  <c r="W46" i="1"/>
  <c r="X46" i="1"/>
  <c r="Y46" i="1"/>
  <c r="Z46" i="1"/>
  <c r="AA46" i="1"/>
  <c r="AB46" i="1"/>
  <c r="AC46" i="1"/>
  <c r="AD46" i="1"/>
  <c r="AE46" i="1"/>
  <c r="V47" i="1"/>
  <c r="W47" i="1"/>
  <c r="X47" i="1"/>
  <c r="Y47" i="1"/>
  <c r="Z47" i="1"/>
  <c r="AA47" i="1"/>
  <c r="AB47" i="1"/>
  <c r="AC47" i="1"/>
  <c r="AD47" i="1"/>
  <c r="AE47" i="1"/>
  <c r="V48" i="1"/>
  <c r="W48" i="1"/>
  <c r="X48" i="1"/>
  <c r="Y48" i="1"/>
  <c r="Z48" i="1"/>
  <c r="AA48" i="1"/>
  <c r="AB48" i="1"/>
  <c r="AC48" i="1"/>
  <c r="AD48" i="1"/>
  <c r="AE48" i="1"/>
  <c r="V49" i="1"/>
  <c r="W49" i="1"/>
  <c r="X49" i="1"/>
  <c r="Y49" i="1"/>
  <c r="Z49" i="1"/>
  <c r="AA49" i="1"/>
  <c r="AB49" i="1"/>
  <c r="AC49" i="1"/>
  <c r="AD49" i="1"/>
  <c r="AE49" i="1"/>
  <c r="V50" i="1"/>
  <c r="W50" i="1"/>
  <c r="X50" i="1"/>
  <c r="Y50" i="1"/>
  <c r="Z50" i="1"/>
  <c r="AA50" i="1"/>
  <c r="AB50" i="1"/>
  <c r="AC50" i="1"/>
  <c r="AD50" i="1"/>
  <c r="AE50" i="1"/>
  <c r="V51" i="1"/>
  <c r="W51" i="1"/>
  <c r="X51" i="1"/>
  <c r="Y51" i="1"/>
  <c r="Z51" i="1"/>
  <c r="AA51" i="1"/>
  <c r="AB51" i="1"/>
  <c r="AC51" i="1"/>
  <c r="AD51" i="1"/>
  <c r="AE51" i="1"/>
  <c r="V52" i="1"/>
  <c r="W52" i="1"/>
  <c r="X52" i="1"/>
  <c r="Y52" i="1"/>
  <c r="Z52" i="1"/>
  <c r="AA52" i="1"/>
  <c r="AB52" i="1"/>
  <c r="AC52" i="1"/>
  <c r="AD52" i="1"/>
  <c r="AE52" i="1"/>
  <c r="V53" i="1"/>
  <c r="W53" i="1"/>
  <c r="X53" i="1"/>
  <c r="Y53" i="1"/>
  <c r="Z53" i="1"/>
  <c r="AA53" i="1"/>
  <c r="AB53" i="1"/>
  <c r="AC53" i="1"/>
  <c r="AD53" i="1"/>
  <c r="AE53" i="1"/>
  <c r="V54" i="1"/>
  <c r="W54" i="1"/>
  <c r="X54" i="1"/>
  <c r="Y54" i="1"/>
  <c r="Z54" i="1"/>
  <c r="AA54" i="1"/>
  <c r="AB54" i="1"/>
  <c r="AC54" i="1"/>
  <c r="AD54" i="1"/>
  <c r="AE54" i="1"/>
  <c r="V55" i="1"/>
  <c r="W55" i="1"/>
  <c r="X55" i="1"/>
  <c r="Y55" i="1"/>
  <c r="Z55" i="1"/>
  <c r="AA55" i="1"/>
  <c r="AB55" i="1"/>
  <c r="AC55" i="1"/>
  <c r="AD55" i="1"/>
  <c r="AE55" i="1"/>
  <c r="V56" i="1"/>
  <c r="W56" i="1"/>
  <c r="X56" i="1"/>
  <c r="Y56" i="1"/>
  <c r="Z56" i="1"/>
  <c r="AA56" i="1"/>
  <c r="AB56" i="1"/>
  <c r="AC56" i="1"/>
  <c r="AD56" i="1"/>
  <c r="AE56" i="1"/>
  <c r="V57" i="1"/>
  <c r="W57" i="1"/>
  <c r="X57" i="1"/>
  <c r="Y57" i="1"/>
  <c r="Z57" i="1"/>
  <c r="AA57" i="1"/>
  <c r="AB57" i="1"/>
  <c r="AC57" i="1"/>
  <c r="AD57" i="1"/>
  <c r="AE57" i="1"/>
  <c r="V58" i="1"/>
  <c r="W58" i="1"/>
  <c r="X58" i="1"/>
  <c r="Y58" i="1"/>
  <c r="Z58" i="1"/>
  <c r="AA58" i="1"/>
  <c r="AB58" i="1"/>
  <c r="AC58" i="1"/>
  <c r="AD58" i="1"/>
  <c r="AE58" i="1"/>
  <c r="V59" i="1"/>
  <c r="W59" i="1"/>
  <c r="X59" i="1"/>
  <c r="Y59" i="1"/>
  <c r="Z59" i="1"/>
  <c r="AA59" i="1"/>
  <c r="AB59" i="1"/>
  <c r="AC59" i="1"/>
  <c r="AD59" i="1"/>
  <c r="AE59" i="1"/>
  <c r="V60" i="1"/>
  <c r="W60" i="1"/>
  <c r="X60" i="1"/>
  <c r="Y60" i="1"/>
  <c r="Z60" i="1"/>
  <c r="AA60" i="1"/>
  <c r="AB60" i="1"/>
  <c r="AC60" i="1"/>
  <c r="AD60" i="1"/>
  <c r="AE60" i="1"/>
  <c r="V61" i="1"/>
  <c r="W61" i="1"/>
  <c r="X61" i="1"/>
  <c r="Y61" i="1"/>
  <c r="Z61" i="1"/>
  <c r="AA61" i="1"/>
  <c r="AB61" i="1"/>
  <c r="AC61" i="1"/>
  <c r="AD61" i="1"/>
  <c r="AE61" i="1"/>
  <c r="V62" i="1"/>
  <c r="W62" i="1"/>
  <c r="X62" i="1"/>
  <c r="Y62" i="1"/>
  <c r="Z62" i="1"/>
  <c r="AA62" i="1"/>
  <c r="AB62" i="1"/>
  <c r="AC62" i="1"/>
  <c r="AD62" i="1"/>
  <c r="AE62" i="1"/>
  <c r="V63" i="1"/>
  <c r="W63" i="1"/>
  <c r="X63" i="1"/>
  <c r="Y63" i="1"/>
  <c r="Z63" i="1"/>
  <c r="AA63" i="1"/>
  <c r="AB63" i="1"/>
  <c r="AC63" i="1"/>
  <c r="AD63" i="1"/>
  <c r="AE63" i="1"/>
  <c r="V64" i="1"/>
  <c r="W64" i="1"/>
  <c r="X64" i="1"/>
  <c r="Y64" i="1"/>
  <c r="Z64" i="1"/>
  <c r="AA64" i="1"/>
  <c r="AB64" i="1"/>
  <c r="AC64" i="1"/>
  <c r="AD64" i="1"/>
  <c r="AE64" i="1"/>
  <c r="V65" i="1"/>
  <c r="W65" i="1"/>
  <c r="X65" i="1"/>
  <c r="Y65" i="1"/>
  <c r="Z65" i="1"/>
  <c r="AA65" i="1"/>
  <c r="AB65" i="1"/>
  <c r="AC65" i="1"/>
  <c r="AD65" i="1"/>
  <c r="AE65" i="1"/>
  <c r="V66" i="1"/>
  <c r="W66" i="1"/>
  <c r="X66" i="1"/>
  <c r="Y66" i="1"/>
  <c r="Z66" i="1"/>
  <c r="AA66" i="1"/>
  <c r="AB66" i="1"/>
  <c r="AC66" i="1"/>
  <c r="AD66" i="1"/>
  <c r="AE66" i="1"/>
  <c r="V67" i="1"/>
  <c r="W67" i="1"/>
  <c r="X67" i="1"/>
  <c r="Y67" i="1"/>
  <c r="Z67" i="1"/>
  <c r="AA67" i="1"/>
  <c r="AB67" i="1"/>
  <c r="AC67" i="1"/>
  <c r="AD67" i="1"/>
  <c r="AE67" i="1"/>
  <c r="V68" i="1"/>
  <c r="W68" i="1"/>
  <c r="X68" i="1"/>
  <c r="Y68" i="1"/>
  <c r="Z68" i="1"/>
  <c r="AA68" i="1"/>
  <c r="AB68" i="1"/>
  <c r="AC68" i="1"/>
  <c r="AD68" i="1"/>
  <c r="AE68" i="1"/>
  <c r="V69" i="1"/>
  <c r="W69" i="1"/>
  <c r="X69" i="1"/>
  <c r="Y69" i="1"/>
  <c r="Z69" i="1"/>
  <c r="AA69" i="1"/>
  <c r="AB69" i="1"/>
  <c r="AC69" i="1"/>
  <c r="AD69" i="1"/>
  <c r="AE69" i="1"/>
  <c r="V70" i="1"/>
  <c r="W70" i="1"/>
  <c r="X70" i="1"/>
  <c r="Y70" i="1"/>
  <c r="Z70" i="1"/>
  <c r="AA70" i="1"/>
  <c r="AB70" i="1"/>
  <c r="AC70" i="1"/>
  <c r="AD70" i="1"/>
  <c r="AE70" i="1"/>
  <c r="V71" i="1"/>
  <c r="W71" i="1"/>
  <c r="X71" i="1"/>
  <c r="Y71" i="1"/>
  <c r="Z71" i="1"/>
  <c r="AA71" i="1"/>
  <c r="AB71" i="1"/>
  <c r="AC71" i="1"/>
  <c r="AD71" i="1"/>
  <c r="AE71" i="1"/>
  <c r="V72" i="1"/>
  <c r="W72" i="1"/>
  <c r="X72" i="1"/>
  <c r="Y72" i="1"/>
  <c r="Z72" i="1"/>
  <c r="AA72" i="1"/>
  <c r="AB72" i="1"/>
  <c r="AC72" i="1"/>
  <c r="AD72" i="1"/>
  <c r="AE72" i="1"/>
  <c r="V73" i="1"/>
  <c r="W73" i="1"/>
  <c r="X73" i="1"/>
  <c r="Y73" i="1"/>
  <c r="Z73" i="1"/>
  <c r="AA73" i="1"/>
  <c r="AB73" i="1"/>
  <c r="AC73" i="1"/>
  <c r="AD73" i="1"/>
  <c r="AE73" i="1"/>
  <c r="V74" i="1"/>
  <c r="W74" i="1"/>
  <c r="X74" i="1"/>
  <c r="Y74" i="1"/>
  <c r="Z74" i="1"/>
  <c r="AA74" i="1"/>
  <c r="AB74" i="1"/>
  <c r="AC74" i="1"/>
  <c r="AD74" i="1"/>
  <c r="AE74" i="1"/>
  <c r="V75" i="1"/>
  <c r="W75" i="1"/>
  <c r="X75" i="1"/>
  <c r="Y75" i="1"/>
  <c r="Z75" i="1"/>
  <c r="AA75" i="1"/>
  <c r="AB75" i="1"/>
  <c r="AC75" i="1"/>
  <c r="AD75" i="1"/>
  <c r="AE75" i="1"/>
  <c r="V76" i="1"/>
  <c r="W76" i="1"/>
  <c r="X76" i="1"/>
  <c r="Y76" i="1"/>
  <c r="Z76" i="1"/>
  <c r="AA76" i="1"/>
  <c r="AB76" i="1"/>
  <c r="AC76" i="1"/>
  <c r="AD76" i="1"/>
  <c r="AE76" i="1"/>
  <c r="V77" i="1"/>
  <c r="W77" i="1"/>
  <c r="X77" i="1"/>
  <c r="Y77" i="1"/>
  <c r="Z77" i="1"/>
  <c r="AA77" i="1"/>
  <c r="AB77" i="1"/>
  <c r="AC77" i="1"/>
  <c r="AD77" i="1"/>
  <c r="AE77" i="1"/>
  <c r="V78" i="1"/>
  <c r="W78" i="1"/>
  <c r="X78" i="1"/>
  <c r="Y78" i="1"/>
  <c r="Z78" i="1"/>
  <c r="AA78" i="1"/>
  <c r="AB78" i="1"/>
  <c r="AC78" i="1"/>
  <c r="AD78" i="1"/>
  <c r="AE78" i="1"/>
  <c r="V79" i="1"/>
  <c r="W79" i="1"/>
  <c r="X79" i="1"/>
  <c r="Y79" i="1"/>
  <c r="Z79" i="1"/>
  <c r="AA79" i="1"/>
  <c r="AB79" i="1"/>
  <c r="AC79" i="1"/>
  <c r="AD79" i="1"/>
  <c r="AE79" i="1"/>
  <c r="V80" i="1"/>
  <c r="W80" i="1"/>
  <c r="X80" i="1"/>
  <c r="Y80" i="1"/>
  <c r="Z80" i="1"/>
  <c r="AA80" i="1"/>
  <c r="AB80" i="1"/>
  <c r="AC80" i="1"/>
  <c r="AD80" i="1"/>
  <c r="AE80" i="1"/>
  <c r="V81" i="1"/>
  <c r="W81" i="1"/>
  <c r="X81" i="1"/>
  <c r="Y81" i="1"/>
  <c r="Z81" i="1"/>
  <c r="AA81" i="1"/>
  <c r="AB81" i="1"/>
  <c r="AC81" i="1"/>
  <c r="AD81" i="1"/>
  <c r="AE81" i="1"/>
  <c r="V82" i="1"/>
  <c r="W82" i="1"/>
  <c r="X82" i="1"/>
  <c r="Y82" i="1"/>
  <c r="Z82" i="1"/>
  <c r="AA82" i="1"/>
  <c r="AB82" i="1"/>
  <c r="AC82" i="1"/>
  <c r="AD82" i="1"/>
  <c r="AE82" i="1"/>
  <c r="V83" i="1"/>
  <c r="W83" i="1"/>
  <c r="X83" i="1"/>
  <c r="Y83" i="1"/>
  <c r="Z83" i="1"/>
  <c r="AA83" i="1"/>
  <c r="AB83" i="1"/>
  <c r="AC83" i="1"/>
  <c r="AD83" i="1"/>
  <c r="AE83" i="1"/>
  <c r="V84" i="1"/>
  <c r="W84" i="1"/>
  <c r="X84" i="1"/>
  <c r="Y84" i="1"/>
  <c r="Z84" i="1"/>
  <c r="AA84" i="1"/>
  <c r="AB84" i="1"/>
  <c r="AC84" i="1"/>
  <c r="AD84" i="1"/>
  <c r="AE84" i="1"/>
  <c r="V85" i="1"/>
  <c r="W85" i="1"/>
  <c r="X85" i="1"/>
  <c r="Y85" i="1"/>
  <c r="Z85" i="1"/>
  <c r="AA85" i="1"/>
  <c r="AB85" i="1"/>
  <c r="AC85" i="1"/>
  <c r="AD85" i="1"/>
  <c r="AE85" i="1"/>
  <c r="V86" i="1"/>
  <c r="W86" i="1"/>
  <c r="X86" i="1"/>
  <c r="Y86" i="1"/>
  <c r="Z86" i="1"/>
  <c r="AA86" i="1"/>
  <c r="AB86" i="1"/>
  <c r="AC86" i="1"/>
  <c r="AD86" i="1"/>
  <c r="AE86" i="1"/>
  <c r="V87" i="1"/>
  <c r="W87" i="1"/>
  <c r="X87" i="1"/>
  <c r="Y87" i="1"/>
  <c r="Z87" i="1"/>
  <c r="AA87" i="1"/>
  <c r="AB87" i="1"/>
  <c r="AC87" i="1"/>
  <c r="AD87" i="1"/>
  <c r="AE87" i="1"/>
  <c r="V88" i="1"/>
  <c r="W88" i="1"/>
  <c r="X88" i="1"/>
  <c r="Y88" i="1"/>
  <c r="Z88" i="1"/>
  <c r="AA88" i="1"/>
  <c r="AB88" i="1"/>
  <c r="AC88" i="1"/>
  <c r="AD88" i="1"/>
  <c r="AE88" i="1"/>
  <c r="V89" i="1"/>
  <c r="W89" i="1"/>
  <c r="X89" i="1"/>
  <c r="Y89" i="1"/>
  <c r="Z89" i="1"/>
  <c r="AA89" i="1"/>
  <c r="AB89" i="1"/>
  <c r="AC89" i="1"/>
  <c r="AD89" i="1"/>
  <c r="AE89" i="1"/>
  <c r="V90" i="1"/>
  <c r="W90" i="1"/>
  <c r="X90" i="1"/>
  <c r="Y90" i="1"/>
  <c r="Z90" i="1"/>
  <c r="AA90" i="1"/>
  <c r="AB90" i="1"/>
  <c r="AC90" i="1"/>
  <c r="AD90" i="1"/>
  <c r="AE90" i="1"/>
  <c r="V91" i="1"/>
  <c r="W91" i="1"/>
  <c r="X91" i="1"/>
  <c r="Y91" i="1"/>
  <c r="Z91" i="1"/>
  <c r="AA91" i="1"/>
  <c r="AB91" i="1"/>
  <c r="AC91" i="1"/>
  <c r="AD91" i="1"/>
  <c r="AE91" i="1"/>
  <c r="V92" i="1"/>
  <c r="W92" i="1"/>
  <c r="X92" i="1"/>
  <c r="Y92" i="1"/>
  <c r="Z92" i="1"/>
  <c r="AA92" i="1"/>
  <c r="AB92" i="1"/>
  <c r="AC92" i="1"/>
  <c r="AD92" i="1"/>
  <c r="AE92" i="1"/>
  <c r="V93" i="1"/>
  <c r="W93" i="1"/>
  <c r="X93" i="1"/>
  <c r="Y93" i="1"/>
  <c r="Z93" i="1"/>
  <c r="AA93" i="1"/>
  <c r="AB93" i="1"/>
  <c r="AC93" i="1"/>
  <c r="AD93" i="1"/>
  <c r="AE93" i="1"/>
  <c r="V94" i="1"/>
  <c r="W94" i="1"/>
  <c r="X94" i="1"/>
  <c r="Y94" i="1"/>
  <c r="Z94" i="1"/>
  <c r="AA94" i="1"/>
  <c r="AB94" i="1"/>
  <c r="AC94" i="1"/>
  <c r="AD94" i="1"/>
  <c r="AE94" i="1"/>
  <c r="V95" i="1"/>
  <c r="W95" i="1"/>
  <c r="X95" i="1"/>
  <c r="Y95" i="1"/>
  <c r="Z95" i="1"/>
  <c r="AA95" i="1"/>
  <c r="AB95" i="1"/>
  <c r="AC95" i="1"/>
  <c r="AD95" i="1"/>
  <c r="AE95" i="1"/>
  <c r="V96" i="1"/>
  <c r="W96" i="1"/>
  <c r="X96" i="1"/>
  <c r="Y96" i="1"/>
  <c r="Z96" i="1"/>
  <c r="AA96" i="1"/>
  <c r="AB96" i="1"/>
  <c r="AC96" i="1"/>
  <c r="AD96" i="1"/>
  <c r="AE96" i="1"/>
  <c r="V97" i="1"/>
  <c r="W97" i="1"/>
  <c r="X97" i="1"/>
  <c r="Y97" i="1"/>
  <c r="Z97" i="1"/>
  <c r="AA97" i="1"/>
  <c r="AB97" i="1"/>
  <c r="AC97" i="1"/>
  <c r="AD97" i="1"/>
  <c r="AE97" i="1"/>
  <c r="V98" i="1"/>
  <c r="W98" i="1"/>
  <c r="X98" i="1"/>
  <c r="Y98" i="1"/>
  <c r="Z98" i="1"/>
  <c r="AA98" i="1"/>
  <c r="AB98" i="1"/>
  <c r="AC98" i="1"/>
  <c r="AD98" i="1"/>
  <c r="AE98" i="1"/>
  <c r="V99" i="1"/>
  <c r="W99" i="1"/>
  <c r="X99" i="1"/>
  <c r="Y99" i="1"/>
  <c r="Z99" i="1"/>
  <c r="AA99" i="1"/>
  <c r="AB99" i="1"/>
  <c r="AC99" i="1"/>
  <c r="AD99" i="1"/>
  <c r="AE99" i="1"/>
  <c r="V100" i="1"/>
  <c r="W100" i="1"/>
  <c r="X100" i="1"/>
  <c r="Y100" i="1"/>
  <c r="Z100" i="1"/>
  <c r="AA100" i="1"/>
  <c r="AB100" i="1"/>
  <c r="AC100" i="1"/>
  <c r="AD100" i="1"/>
  <c r="AE100" i="1"/>
  <c r="V101" i="1"/>
  <c r="W101" i="1"/>
  <c r="X101" i="1"/>
  <c r="Y101" i="1"/>
  <c r="Z101" i="1"/>
  <c r="AA101" i="1"/>
  <c r="AB101" i="1"/>
  <c r="AC101" i="1"/>
  <c r="AD101" i="1"/>
  <c r="AE101" i="1"/>
  <c r="V102" i="1"/>
  <c r="W102" i="1"/>
  <c r="X102" i="1"/>
  <c r="Y102" i="1"/>
  <c r="Z102" i="1"/>
  <c r="AA102" i="1"/>
  <c r="AB102" i="1"/>
  <c r="AC102" i="1"/>
  <c r="AD102" i="1"/>
  <c r="AE102" i="1"/>
  <c r="V103" i="1"/>
  <c r="W103" i="1"/>
  <c r="X103" i="1"/>
  <c r="Y103" i="1"/>
  <c r="Z103" i="1"/>
  <c r="AA103" i="1"/>
  <c r="AB103" i="1"/>
  <c r="AC103" i="1"/>
  <c r="AD103" i="1"/>
  <c r="AE103" i="1"/>
  <c r="V104" i="1"/>
  <c r="W104" i="1"/>
  <c r="X104" i="1"/>
  <c r="Y104" i="1"/>
  <c r="Z104" i="1"/>
  <c r="AA104" i="1"/>
  <c r="AB104" i="1"/>
  <c r="AC104" i="1"/>
  <c r="AD104" i="1"/>
  <c r="AE104" i="1"/>
  <c r="V105" i="1"/>
  <c r="W105" i="1"/>
  <c r="X105" i="1"/>
  <c r="Y105" i="1"/>
  <c r="Z105" i="1"/>
  <c r="AA105" i="1"/>
  <c r="AB105" i="1"/>
  <c r="AC105" i="1"/>
  <c r="AD105" i="1"/>
  <c r="AE105" i="1"/>
  <c r="V106" i="1"/>
  <c r="W106" i="1"/>
  <c r="X106" i="1"/>
  <c r="Y106" i="1"/>
  <c r="Z106" i="1"/>
  <c r="AA106" i="1"/>
  <c r="AB106" i="1"/>
  <c r="AC106" i="1"/>
  <c r="AD106" i="1"/>
  <c r="AE106" i="1"/>
  <c r="V107" i="1"/>
  <c r="W107" i="1"/>
  <c r="X107" i="1"/>
  <c r="Y107" i="1"/>
  <c r="Z107" i="1"/>
  <c r="AA107" i="1"/>
  <c r="AB107" i="1"/>
  <c r="AC107" i="1"/>
  <c r="AD107" i="1"/>
  <c r="AE107" i="1"/>
  <c r="V108" i="1"/>
  <c r="W108" i="1"/>
  <c r="X108" i="1"/>
  <c r="Y108" i="1"/>
  <c r="Z108" i="1"/>
  <c r="AA108" i="1"/>
  <c r="AB108" i="1"/>
  <c r="AC108" i="1"/>
  <c r="AD108" i="1"/>
  <c r="AE108" i="1"/>
  <c r="V109" i="1"/>
  <c r="W109" i="1"/>
  <c r="X109" i="1"/>
  <c r="Y109" i="1"/>
  <c r="Z109" i="1"/>
  <c r="AA109" i="1"/>
  <c r="AB109" i="1"/>
  <c r="AC109" i="1"/>
  <c r="AD109" i="1"/>
  <c r="AE109" i="1"/>
  <c r="V110" i="1"/>
  <c r="W110" i="1"/>
  <c r="X110" i="1"/>
  <c r="Y110" i="1"/>
  <c r="Z110" i="1"/>
  <c r="AA110" i="1"/>
  <c r="AB110" i="1"/>
  <c r="AC110" i="1"/>
  <c r="AD110" i="1"/>
  <c r="AE110" i="1"/>
  <c r="V111" i="1"/>
  <c r="W111" i="1"/>
  <c r="X111" i="1"/>
  <c r="Y111" i="1"/>
  <c r="Z111" i="1"/>
  <c r="AA111" i="1"/>
  <c r="AB111" i="1"/>
  <c r="AC111" i="1"/>
  <c r="AD111" i="1"/>
  <c r="AE111" i="1"/>
  <c r="V112" i="1"/>
  <c r="W112" i="1"/>
  <c r="X112" i="1"/>
  <c r="Y112" i="1"/>
  <c r="Z112" i="1"/>
  <c r="AA112" i="1"/>
  <c r="AB112" i="1"/>
  <c r="AC112" i="1"/>
  <c r="AD112" i="1"/>
  <c r="AE112" i="1"/>
  <c r="V113" i="1"/>
  <c r="W113" i="1"/>
  <c r="X113" i="1"/>
  <c r="Y113" i="1"/>
  <c r="Z113" i="1"/>
  <c r="AA113" i="1"/>
  <c r="AB113" i="1"/>
  <c r="AC113" i="1"/>
  <c r="AD113" i="1"/>
  <c r="AE113" i="1"/>
  <c r="V114" i="1"/>
  <c r="W114" i="1"/>
  <c r="X114" i="1"/>
  <c r="Y114" i="1"/>
  <c r="Z114" i="1"/>
  <c r="AA114" i="1"/>
  <c r="AB114" i="1"/>
  <c r="AC114" i="1"/>
  <c r="AD114" i="1"/>
  <c r="AE114" i="1"/>
  <c r="V115" i="1"/>
  <c r="W115" i="1"/>
  <c r="X115" i="1"/>
  <c r="Y115" i="1"/>
  <c r="Z115" i="1"/>
  <c r="AA115" i="1"/>
  <c r="AB115" i="1"/>
  <c r="AC115" i="1"/>
  <c r="AD115" i="1"/>
  <c r="AE115" i="1"/>
  <c r="V116" i="1"/>
  <c r="W116" i="1"/>
  <c r="X116" i="1"/>
  <c r="Y116" i="1"/>
  <c r="Z116" i="1"/>
  <c r="AA116" i="1"/>
  <c r="AB116" i="1"/>
  <c r="AC116" i="1"/>
  <c r="AD116" i="1"/>
  <c r="AE116" i="1"/>
  <c r="V117" i="1"/>
  <c r="W117" i="1"/>
  <c r="X117" i="1"/>
  <c r="Y117" i="1"/>
  <c r="Z117" i="1"/>
  <c r="AA117" i="1"/>
  <c r="AB117" i="1"/>
  <c r="AC117" i="1"/>
  <c r="AD117" i="1"/>
  <c r="AE117" i="1"/>
  <c r="V118" i="1"/>
  <c r="W118" i="1"/>
  <c r="X118" i="1"/>
  <c r="Y118" i="1"/>
  <c r="Z118" i="1"/>
  <c r="AA118" i="1"/>
  <c r="AB118" i="1"/>
  <c r="AC118" i="1"/>
  <c r="AD118" i="1"/>
  <c r="AE118" i="1"/>
  <c r="V119" i="1"/>
  <c r="W119" i="1"/>
  <c r="X119" i="1"/>
  <c r="Y119" i="1"/>
  <c r="Z119" i="1"/>
  <c r="AA119" i="1"/>
  <c r="AB119" i="1"/>
  <c r="AC119" i="1"/>
  <c r="AD119" i="1"/>
  <c r="AE119" i="1"/>
  <c r="V120" i="1"/>
  <c r="W120" i="1"/>
  <c r="X120" i="1"/>
  <c r="Y120" i="1"/>
  <c r="Z120" i="1"/>
  <c r="AA120" i="1"/>
  <c r="AB120" i="1"/>
  <c r="AC120" i="1"/>
  <c r="AD120" i="1"/>
  <c r="AE120" i="1"/>
  <c r="V121" i="1"/>
  <c r="W121" i="1"/>
  <c r="X121" i="1"/>
  <c r="Y121" i="1"/>
  <c r="Z121" i="1"/>
  <c r="AA121" i="1"/>
  <c r="AB121" i="1"/>
  <c r="AC121" i="1"/>
  <c r="AD121" i="1"/>
  <c r="AE121" i="1"/>
  <c r="V122" i="1"/>
  <c r="W122" i="1"/>
  <c r="X122" i="1"/>
  <c r="Y122" i="1"/>
  <c r="Z122" i="1"/>
  <c r="AA122" i="1"/>
  <c r="AB122" i="1"/>
  <c r="AC122" i="1"/>
  <c r="AD122" i="1"/>
  <c r="AE122" i="1"/>
  <c r="V123" i="1"/>
  <c r="W123" i="1"/>
  <c r="X123" i="1"/>
  <c r="Y123" i="1"/>
  <c r="Z123" i="1"/>
  <c r="AA123" i="1"/>
  <c r="AB123" i="1"/>
  <c r="AC123" i="1"/>
  <c r="AD123" i="1"/>
  <c r="AE123" i="1"/>
  <c r="V124" i="1"/>
  <c r="W124" i="1"/>
  <c r="X124" i="1"/>
  <c r="Y124" i="1"/>
  <c r="Z124" i="1"/>
  <c r="AA124" i="1"/>
  <c r="AB124" i="1"/>
  <c r="AC124" i="1"/>
  <c r="AD124" i="1"/>
  <c r="AE124" i="1"/>
  <c r="V125" i="1"/>
  <c r="W125" i="1"/>
  <c r="X125" i="1"/>
  <c r="Y125" i="1"/>
  <c r="Z125" i="1"/>
  <c r="AA125" i="1"/>
  <c r="AB125" i="1"/>
  <c r="AC125" i="1"/>
  <c r="AD125" i="1"/>
  <c r="AE125" i="1"/>
  <c r="V126" i="1"/>
  <c r="W126" i="1"/>
  <c r="X126" i="1"/>
  <c r="Y126" i="1"/>
  <c r="Z126" i="1"/>
  <c r="AA126" i="1"/>
  <c r="AB126" i="1"/>
  <c r="AC126" i="1"/>
  <c r="AD126" i="1"/>
  <c r="AE126" i="1"/>
  <c r="V127" i="1"/>
  <c r="W127" i="1"/>
  <c r="X127" i="1"/>
  <c r="Y127" i="1"/>
  <c r="Z127" i="1"/>
  <c r="AA127" i="1"/>
  <c r="AB127" i="1"/>
  <c r="AC127" i="1"/>
  <c r="AD127" i="1"/>
  <c r="AE127" i="1"/>
  <c r="V128" i="1"/>
  <c r="W128" i="1"/>
  <c r="X128" i="1"/>
  <c r="Y128" i="1"/>
  <c r="Z128" i="1"/>
  <c r="AA128" i="1"/>
  <c r="AB128" i="1"/>
  <c r="AC128" i="1"/>
  <c r="AD128" i="1"/>
  <c r="AE128" i="1"/>
  <c r="V129" i="1"/>
  <c r="W129" i="1"/>
  <c r="X129" i="1"/>
  <c r="Y129" i="1"/>
  <c r="Z129" i="1"/>
  <c r="AA129" i="1"/>
  <c r="AB129" i="1"/>
  <c r="AC129" i="1"/>
  <c r="AD129" i="1"/>
  <c r="AE129" i="1"/>
  <c r="V130" i="1"/>
  <c r="W130" i="1"/>
  <c r="X130" i="1"/>
  <c r="Y130" i="1"/>
  <c r="Z130" i="1"/>
  <c r="AA130" i="1"/>
  <c r="AB130" i="1"/>
  <c r="AC130" i="1"/>
  <c r="AD130" i="1"/>
  <c r="AE130" i="1"/>
  <c r="V131" i="1"/>
  <c r="W131" i="1"/>
  <c r="X131" i="1"/>
  <c r="Y131" i="1"/>
  <c r="Z131" i="1"/>
  <c r="AA131" i="1"/>
  <c r="AB131" i="1"/>
  <c r="AC131" i="1"/>
  <c r="AD131" i="1"/>
  <c r="AE131" i="1"/>
  <c r="V132" i="1"/>
  <c r="W132" i="1"/>
  <c r="X132" i="1"/>
  <c r="Y132" i="1"/>
  <c r="Z132" i="1"/>
  <c r="AA132" i="1"/>
  <c r="AB132" i="1"/>
  <c r="AC132" i="1"/>
  <c r="AD132" i="1"/>
  <c r="AE132" i="1"/>
  <c r="V133" i="1"/>
  <c r="W133" i="1"/>
  <c r="X133" i="1"/>
  <c r="Y133" i="1"/>
  <c r="Z133" i="1"/>
  <c r="AA133" i="1"/>
  <c r="AB133" i="1"/>
  <c r="AC133" i="1"/>
  <c r="AD133" i="1"/>
  <c r="AE133" i="1"/>
  <c r="V134" i="1"/>
  <c r="W134" i="1"/>
  <c r="X134" i="1"/>
  <c r="Y134" i="1"/>
  <c r="Z134" i="1"/>
  <c r="AA134" i="1"/>
  <c r="AB134" i="1"/>
  <c r="AC134" i="1"/>
  <c r="AD134" i="1"/>
  <c r="AE134" i="1"/>
  <c r="V135" i="1"/>
  <c r="W135" i="1"/>
  <c r="X135" i="1"/>
  <c r="Y135" i="1"/>
  <c r="Z135" i="1"/>
  <c r="AA135" i="1"/>
  <c r="AB135" i="1"/>
  <c r="AC135" i="1"/>
  <c r="AD135" i="1"/>
  <c r="AE135" i="1"/>
  <c r="V136" i="1"/>
  <c r="W136" i="1"/>
  <c r="X136" i="1"/>
  <c r="Y136" i="1"/>
  <c r="Z136" i="1"/>
  <c r="AA136" i="1"/>
  <c r="AB136" i="1"/>
  <c r="AC136" i="1"/>
  <c r="AD136" i="1"/>
  <c r="AE136" i="1"/>
  <c r="V137" i="1"/>
  <c r="W137" i="1"/>
  <c r="X137" i="1"/>
  <c r="Y137" i="1"/>
  <c r="Z137" i="1"/>
  <c r="AA137" i="1"/>
  <c r="AB137" i="1"/>
  <c r="AC137" i="1"/>
  <c r="AD137" i="1"/>
  <c r="AE137" i="1"/>
  <c r="V138" i="1"/>
  <c r="W138" i="1"/>
  <c r="X138" i="1"/>
  <c r="Y138" i="1"/>
  <c r="Z138" i="1"/>
  <c r="AA138" i="1"/>
  <c r="AB138" i="1"/>
  <c r="AC138" i="1"/>
  <c r="AD138" i="1"/>
  <c r="AE138" i="1"/>
  <c r="V139" i="1"/>
  <c r="W139" i="1"/>
  <c r="X139" i="1"/>
  <c r="Y139" i="1"/>
  <c r="Z139" i="1"/>
  <c r="AA139" i="1"/>
  <c r="AB139" i="1"/>
  <c r="AC139" i="1"/>
  <c r="AD139" i="1"/>
  <c r="AE139" i="1"/>
  <c r="V140" i="1"/>
  <c r="W140" i="1"/>
  <c r="X140" i="1"/>
  <c r="Y140" i="1"/>
  <c r="Z140" i="1"/>
  <c r="AA140" i="1"/>
  <c r="AB140" i="1"/>
  <c r="AC140" i="1"/>
  <c r="AD140" i="1"/>
  <c r="AE140" i="1"/>
  <c r="V141" i="1"/>
  <c r="W141" i="1"/>
  <c r="X141" i="1"/>
  <c r="Y141" i="1"/>
  <c r="Z141" i="1"/>
  <c r="AA141" i="1"/>
  <c r="AB141" i="1"/>
  <c r="AC141" i="1"/>
  <c r="AD141" i="1"/>
  <c r="AE141" i="1"/>
  <c r="V142" i="1"/>
  <c r="W142" i="1"/>
  <c r="X142" i="1"/>
  <c r="Y142" i="1"/>
  <c r="Z142" i="1"/>
  <c r="AA142" i="1"/>
  <c r="AB142" i="1"/>
  <c r="AC142" i="1"/>
  <c r="AD142" i="1"/>
  <c r="AE142" i="1"/>
  <c r="V143" i="1"/>
  <c r="W143" i="1"/>
  <c r="X143" i="1"/>
  <c r="Y143" i="1"/>
  <c r="Z143" i="1"/>
  <c r="AA143" i="1"/>
  <c r="AB143" i="1"/>
  <c r="AC143" i="1"/>
  <c r="AD143" i="1"/>
  <c r="AE143" i="1"/>
  <c r="V144" i="1"/>
  <c r="W144" i="1"/>
  <c r="X144" i="1"/>
  <c r="Y144" i="1"/>
  <c r="Z144" i="1"/>
  <c r="AA144" i="1"/>
  <c r="AB144" i="1"/>
  <c r="AC144" i="1"/>
  <c r="AD144" i="1"/>
  <c r="AE144" i="1"/>
  <c r="V145" i="1"/>
  <c r="W145" i="1"/>
  <c r="X145" i="1"/>
  <c r="Y145" i="1"/>
  <c r="Z145" i="1"/>
  <c r="AA145" i="1"/>
  <c r="AB145" i="1"/>
  <c r="AC145" i="1"/>
  <c r="AD145" i="1"/>
  <c r="AE145" i="1"/>
  <c r="V146" i="1"/>
  <c r="W146" i="1"/>
  <c r="X146" i="1"/>
  <c r="Y146" i="1"/>
  <c r="Z146" i="1"/>
  <c r="AA146" i="1"/>
  <c r="AB146" i="1"/>
  <c r="AC146" i="1"/>
  <c r="AD146" i="1"/>
  <c r="AE146" i="1"/>
  <c r="V147" i="1"/>
  <c r="W147" i="1"/>
  <c r="X147" i="1"/>
  <c r="Y147" i="1"/>
  <c r="Z147" i="1"/>
  <c r="AA147" i="1"/>
  <c r="AB147" i="1"/>
  <c r="AC147" i="1"/>
  <c r="AD147" i="1"/>
  <c r="AE147" i="1"/>
  <c r="V148" i="1"/>
  <c r="W148" i="1"/>
  <c r="X148" i="1"/>
  <c r="Y148" i="1"/>
  <c r="Z148" i="1"/>
  <c r="AA148" i="1"/>
  <c r="AB148" i="1"/>
  <c r="AC148" i="1"/>
  <c r="AD148" i="1"/>
  <c r="AE148" i="1"/>
  <c r="V149" i="1"/>
  <c r="W149" i="1"/>
  <c r="X149" i="1"/>
  <c r="Y149" i="1"/>
  <c r="Z149" i="1"/>
  <c r="AA149" i="1"/>
  <c r="AB149" i="1"/>
  <c r="AC149" i="1"/>
  <c r="AD149" i="1"/>
  <c r="AE149" i="1"/>
  <c r="V150" i="1"/>
  <c r="W150" i="1"/>
  <c r="X150" i="1"/>
  <c r="Y150" i="1"/>
  <c r="Z150" i="1"/>
  <c r="AA150" i="1"/>
  <c r="AB150" i="1"/>
  <c r="AC150" i="1"/>
  <c r="AD150" i="1"/>
  <c r="AE150" i="1"/>
  <c r="V151" i="1"/>
  <c r="W151" i="1"/>
  <c r="X151" i="1"/>
  <c r="Y151" i="1"/>
  <c r="Z151" i="1"/>
  <c r="AA151" i="1"/>
  <c r="AB151" i="1"/>
  <c r="AC151" i="1"/>
  <c r="AD151" i="1"/>
  <c r="AE151" i="1"/>
  <c r="V152" i="1"/>
  <c r="W152" i="1"/>
  <c r="X152" i="1"/>
  <c r="Y152" i="1"/>
  <c r="Z152" i="1"/>
  <c r="AA152" i="1"/>
  <c r="AB152" i="1"/>
  <c r="AC152" i="1"/>
  <c r="AD152" i="1"/>
  <c r="AE152" i="1"/>
  <c r="V153" i="1"/>
  <c r="W153" i="1"/>
  <c r="X153" i="1"/>
  <c r="Y153" i="1"/>
  <c r="Z153" i="1"/>
  <c r="AA153" i="1"/>
  <c r="AB153" i="1"/>
  <c r="AC153" i="1"/>
  <c r="AD153" i="1"/>
  <c r="AE153" i="1"/>
  <c r="V154" i="1"/>
  <c r="W154" i="1"/>
  <c r="X154" i="1"/>
  <c r="Y154" i="1"/>
  <c r="Z154" i="1"/>
  <c r="AA154" i="1"/>
  <c r="AB154" i="1"/>
  <c r="AC154" i="1"/>
  <c r="AD154" i="1"/>
  <c r="AE154" i="1"/>
  <c r="V155" i="1"/>
  <c r="W155" i="1"/>
  <c r="X155" i="1"/>
  <c r="Y155" i="1"/>
  <c r="Z155" i="1"/>
  <c r="AA155" i="1"/>
  <c r="AB155" i="1"/>
  <c r="AC155" i="1"/>
  <c r="AD155" i="1"/>
  <c r="AE155" i="1"/>
  <c r="V156" i="1"/>
  <c r="W156" i="1"/>
  <c r="X156" i="1"/>
  <c r="Y156" i="1"/>
  <c r="Z156" i="1"/>
  <c r="AA156" i="1"/>
  <c r="AB156" i="1"/>
  <c r="AC156" i="1"/>
  <c r="AD156" i="1"/>
  <c r="AE156" i="1"/>
  <c r="V157" i="1"/>
  <c r="W157" i="1"/>
  <c r="X157" i="1"/>
  <c r="Y157" i="1"/>
  <c r="Z157" i="1"/>
  <c r="AA157" i="1"/>
  <c r="AB157" i="1"/>
  <c r="AC157" i="1"/>
  <c r="AD157" i="1"/>
  <c r="AE157" i="1"/>
  <c r="V158" i="1"/>
  <c r="W158" i="1"/>
  <c r="X158" i="1"/>
  <c r="Y158" i="1"/>
  <c r="Z158" i="1"/>
  <c r="AA158" i="1"/>
  <c r="AB158" i="1"/>
  <c r="AC158" i="1"/>
  <c r="AD158" i="1"/>
  <c r="AE158" i="1"/>
  <c r="V159" i="1"/>
  <c r="W159" i="1"/>
  <c r="X159" i="1"/>
  <c r="Y159" i="1"/>
  <c r="Z159" i="1"/>
  <c r="AA159" i="1"/>
  <c r="AB159" i="1"/>
  <c r="AC159" i="1"/>
  <c r="AD159" i="1"/>
  <c r="AE159" i="1"/>
  <c r="V160" i="1"/>
  <c r="W160" i="1"/>
  <c r="X160" i="1"/>
  <c r="Y160" i="1"/>
  <c r="Z160" i="1"/>
  <c r="AA160" i="1"/>
  <c r="AB160" i="1"/>
  <c r="AC160" i="1"/>
  <c r="AD160" i="1"/>
  <c r="AE160" i="1"/>
  <c r="V161" i="1"/>
  <c r="W161" i="1"/>
  <c r="X161" i="1"/>
  <c r="Y161" i="1"/>
  <c r="Z161" i="1"/>
  <c r="AA161" i="1"/>
  <c r="AB161" i="1"/>
  <c r="AC161" i="1"/>
  <c r="AD161" i="1"/>
  <c r="AE161" i="1"/>
  <c r="V162" i="1"/>
  <c r="W162" i="1"/>
  <c r="X162" i="1"/>
  <c r="Y162" i="1"/>
  <c r="Z162" i="1"/>
  <c r="AA162" i="1"/>
  <c r="AB162" i="1"/>
  <c r="AC162" i="1"/>
  <c r="AD162" i="1"/>
  <c r="AE162" i="1"/>
  <c r="V163" i="1"/>
  <c r="W163" i="1"/>
  <c r="X163" i="1"/>
  <c r="Y163" i="1"/>
  <c r="Z163" i="1"/>
  <c r="AA163" i="1"/>
  <c r="AB163" i="1"/>
  <c r="AC163" i="1"/>
  <c r="AD163" i="1"/>
  <c r="AE163" i="1"/>
  <c r="V164" i="1"/>
  <c r="W164" i="1"/>
  <c r="X164" i="1"/>
  <c r="Y164" i="1"/>
  <c r="Z164" i="1"/>
  <c r="AA164" i="1"/>
  <c r="AB164" i="1"/>
  <c r="AC164" i="1"/>
  <c r="AD164" i="1"/>
  <c r="AE164" i="1"/>
  <c r="V165" i="1"/>
  <c r="W165" i="1"/>
  <c r="X165" i="1"/>
  <c r="Y165" i="1"/>
  <c r="Z165" i="1"/>
  <c r="AA165" i="1"/>
  <c r="AB165" i="1"/>
  <c r="AC165" i="1"/>
  <c r="AD165" i="1"/>
  <c r="AE165" i="1"/>
  <c r="V166" i="1"/>
  <c r="W166" i="1"/>
  <c r="X166" i="1"/>
  <c r="Y166" i="1"/>
  <c r="Z166" i="1"/>
  <c r="AA166" i="1"/>
  <c r="AB166" i="1"/>
  <c r="AC166" i="1"/>
  <c r="AD166" i="1"/>
  <c r="AE166" i="1"/>
  <c r="V167" i="1"/>
  <c r="W167" i="1"/>
  <c r="X167" i="1"/>
  <c r="Y167" i="1"/>
  <c r="Z167" i="1"/>
  <c r="AA167" i="1"/>
  <c r="AB167" i="1"/>
  <c r="AC167" i="1"/>
  <c r="AD167" i="1"/>
  <c r="AE167" i="1"/>
  <c r="V168" i="1"/>
  <c r="W168" i="1"/>
  <c r="X168" i="1"/>
  <c r="Y168" i="1"/>
  <c r="Z168" i="1"/>
  <c r="AA168" i="1"/>
  <c r="AB168" i="1"/>
  <c r="AC168" i="1"/>
  <c r="AD168" i="1"/>
  <c r="AE168" i="1"/>
  <c r="V169" i="1"/>
  <c r="W169" i="1"/>
  <c r="X169" i="1"/>
  <c r="Y169" i="1"/>
  <c r="Z169" i="1"/>
  <c r="AA169" i="1"/>
  <c r="AB169" i="1"/>
  <c r="AC169" i="1"/>
  <c r="AD169" i="1"/>
  <c r="AE169" i="1"/>
  <c r="V170" i="1"/>
  <c r="W170" i="1"/>
  <c r="X170" i="1"/>
  <c r="Y170" i="1"/>
  <c r="Z170" i="1"/>
  <c r="AA170" i="1"/>
  <c r="AB170" i="1"/>
  <c r="AC170" i="1"/>
  <c r="AD170" i="1"/>
  <c r="AE170" i="1"/>
  <c r="V171" i="1"/>
  <c r="W171" i="1"/>
  <c r="X171" i="1"/>
  <c r="Y171" i="1"/>
  <c r="Z171" i="1"/>
  <c r="AA171" i="1"/>
  <c r="AB171" i="1"/>
  <c r="AC171" i="1"/>
  <c r="AD171" i="1"/>
  <c r="AE171" i="1"/>
  <c r="V172" i="1"/>
  <c r="W172" i="1"/>
  <c r="X172" i="1"/>
  <c r="Y172" i="1"/>
  <c r="Z172" i="1"/>
  <c r="AA172" i="1"/>
  <c r="AB172" i="1"/>
  <c r="AC172" i="1"/>
  <c r="AD172" i="1"/>
  <c r="AE172" i="1"/>
  <c r="V173" i="1"/>
  <c r="W173" i="1"/>
  <c r="X173" i="1"/>
  <c r="Y173" i="1"/>
  <c r="Z173" i="1"/>
  <c r="AA173" i="1"/>
  <c r="AB173" i="1"/>
  <c r="AC173" i="1"/>
  <c r="AD173" i="1"/>
  <c r="AE173" i="1"/>
  <c r="V174" i="1"/>
  <c r="W174" i="1"/>
  <c r="X174" i="1"/>
  <c r="Y174" i="1"/>
  <c r="Z174" i="1"/>
  <c r="AA174" i="1"/>
  <c r="AB174" i="1"/>
  <c r="AC174" i="1"/>
  <c r="AD174" i="1"/>
  <c r="AE174" i="1"/>
  <c r="V175" i="1"/>
  <c r="W175" i="1"/>
  <c r="X175" i="1"/>
  <c r="Y175" i="1"/>
  <c r="Z175" i="1"/>
  <c r="AA175" i="1"/>
  <c r="AB175" i="1"/>
  <c r="AC175" i="1"/>
  <c r="AD175" i="1"/>
  <c r="AE175" i="1"/>
  <c r="V176" i="1"/>
  <c r="W176" i="1"/>
  <c r="X176" i="1"/>
  <c r="Y176" i="1"/>
  <c r="Z176" i="1"/>
  <c r="AA176" i="1"/>
  <c r="AB176" i="1"/>
  <c r="AC176" i="1"/>
  <c r="AD176" i="1"/>
  <c r="AE176" i="1"/>
  <c r="V177" i="1"/>
  <c r="W177" i="1"/>
  <c r="X177" i="1"/>
  <c r="Y177" i="1"/>
  <c r="Z177" i="1"/>
  <c r="AA177" i="1"/>
  <c r="AB177" i="1"/>
  <c r="AC177" i="1"/>
  <c r="AD177" i="1"/>
  <c r="AE177" i="1"/>
  <c r="V178" i="1"/>
  <c r="W178" i="1"/>
  <c r="X178" i="1"/>
  <c r="Y178" i="1"/>
  <c r="Z178" i="1"/>
  <c r="AA178" i="1"/>
  <c r="AB178" i="1"/>
  <c r="AC178" i="1"/>
  <c r="AD178" i="1"/>
  <c r="AE178" i="1"/>
  <c r="V179" i="1"/>
  <c r="W179" i="1"/>
  <c r="X179" i="1"/>
  <c r="Y179" i="1"/>
  <c r="Z179" i="1"/>
  <c r="AA179" i="1"/>
  <c r="AB179" i="1"/>
  <c r="AC179" i="1"/>
  <c r="AD179" i="1"/>
  <c r="AE179" i="1"/>
  <c r="V180" i="1"/>
  <c r="W180" i="1"/>
  <c r="X180" i="1"/>
  <c r="Y180" i="1"/>
  <c r="Z180" i="1"/>
  <c r="AA180" i="1"/>
  <c r="AB180" i="1"/>
  <c r="AC180" i="1"/>
  <c r="AD180" i="1"/>
  <c r="AE180" i="1"/>
  <c r="V181" i="1"/>
  <c r="W181" i="1"/>
  <c r="X181" i="1"/>
  <c r="Y181" i="1"/>
  <c r="Z181" i="1"/>
  <c r="AA181" i="1"/>
  <c r="AB181" i="1"/>
  <c r="AC181" i="1"/>
  <c r="AD181" i="1"/>
  <c r="AE181" i="1"/>
  <c r="V182" i="1"/>
  <c r="W182" i="1"/>
  <c r="X182" i="1"/>
  <c r="Y182" i="1"/>
  <c r="Z182" i="1"/>
  <c r="AA182" i="1"/>
  <c r="AB182" i="1"/>
  <c r="AC182" i="1"/>
  <c r="AD182" i="1"/>
  <c r="AE182" i="1"/>
  <c r="V183" i="1"/>
  <c r="W183" i="1"/>
  <c r="X183" i="1"/>
  <c r="Y183" i="1"/>
  <c r="Z183" i="1"/>
  <c r="AA183" i="1"/>
  <c r="AB183" i="1"/>
  <c r="AC183" i="1"/>
  <c r="AD183" i="1"/>
  <c r="AE183" i="1"/>
  <c r="V184" i="1"/>
  <c r="W184" i="1"/>
  <c r="X184" i="1"/>
  <c r="Y184" i="1"/>
  <c r="Z184" i="1"/>
  <c r="AA184" i="1"/>
  <c r="AB184" i="1"/>
  <c r="AC184" i="1"/>
  <c r="AD184" i="1"/>
  <c r="AE184" i="1"/>
  <c r="V185" i="1"/>
  <c r="W185" i="1"/>
  <c r="X185" i="1"/>
  <c r="Y185" i="1"/>
  <c r="Z185" i="1"/>
  <c r="AA185" i="1"/>
  <c r="AB185" i="1"/>
  <c r="AC185" i="1"/>
  <c r="AD185" i="1"/>
  <c r="AE185" i="1"/>
  <c r="V186" i="1"/>
  <c r="W186" i="1"/>
  <c r="X186" i="1"/>
  <c r="Y186" i="1"/>
  <c r="Z186" i="1"/>
  <c r="AA186" i="1"/>
  <c r="AB186" i="1"/>
  <c r="AC186" i="1"/>
  <c r="AD186" i="1"/>
  <c r="AE186" i="1"/>
  <c r="V187" i="1"/>
  <c r="W187" i="1"/>
  <c r="X187" i="1"/>
  <c r="Y187" i="1"/>
  <c r="Z187" i="1"/>
  <c r="AA187" i="1"/>
  <c r="AB187" i="1"/>
  <c r="AC187" i="1"/>
  <c r="AD187" i="1"/>
  <c r="AE187" i="1"/>
  <c r="V188" i="1"/>
  <c r="W188" i="1"/>
  <c r="X188" i="1"/>
  <c r="Y188" i="1"/>
  <c r="Z188" i="1"/>
  <c r="AA188" i="1"/>
  <c r="AB188" i="1"/>
  <c r="AC188" i="1"/>
  <c r="AD188" i="1"/>
  <c r="AE188" i="1"/>
  <c r="V189" i="1"/>
  <c r="W189" i="1"/>
  <c r="X189" i="1"/>
  <c r="Y189" i="1"/>
  <c r="Z189" i="1"/>
  <c r="AA189" i="1"/>
  <c r="AB189" i="1"/>
  <c r="AC189" i="1"/>
  <c r="AD189" i="1"/>
  <c r="AE189" i="1"/>
  <c r="V190" i="1"/>
  <c r="W190" i="1"/>
  <c r="X190" i="1"/>
  <c r="Y190" i="1"/>
  <c r="Z190" i="1"/>
  <c r="AA190" i="1"/>
  <c r="AB190" i="1"/>
  <c r="AC190" i="1"/>
  <c r="AD190" i="1"/>
  <c r="AE190" i="1"/>
  <c r="V191" i="1"/>
  <c r="W191" i="1"/>
  <c r="X191" i="1"/>
  <c r="Y191" i="1"/>
  <c r="Z191" i="1"/>
  <c r="AA191" i="1"/>
  <c r="AB191" i="1"/>
  <c r="AC191" i="1"/>
  <c r="AD191" i="1"/>
  <c r="AE191" i="1"/>
  <c r="V192" i="1"/>
  <c r="W192" i="1"/>
  <c r="X192" i="1"/>
  <c r="Y192" i="1"/>
  <c r="Z192" i="1"/>
  <c r="AA192" i="1"/>
  <c r="AB192" i="1"/>
  <c r="AC192" i="1"/>
  <c r="AD192" i="1"/>
  <c r="AE192" i="1"/>
  <c r="V193" i="1"/>
  <c r="W193" i="1"/>
  <c r="X193" i="1"/>
  <c r="Y193" i="1"/>
  <c r="Z193" i="1"/>
  <c r="AA193" i="1"/>
  <c r="AB193" i="1"/>
  <c r="AC193" i="1"/>
  <c r="AD193" i="1"/>
  <c r="AE193" i="1"/>
  <c r="V194" i="1"/>
  <c r="W194" i="1"/>
  <c r="X194" i="1"/>
  <c r="Y194" i="1"/>
  <c r="Z194" i="1"/>
  <c r="AA194" i="1"/>
  <c r="AB194" i="1"/>
  <c r="AC194" i="1"/>
  <c r="AD194" i="1"/>
  <c r="AE194" i="1"/>
  <c r="V195" i="1"/>
  <c r="W195" i="1"/>
  <c r="X195" i="1"/>
  <c r="Y195" i="1"/>
  <c r="Z195" i="1"/>
  <c r="AA195" i="1"/>
  <c r="AB195" i="1"/>
  <c r="AC195" i="1"/>
  <c r="AD195" i="1"/>
  <c r="AE195" i="1"/>
  <c r="V196" i="1"/>
  <c r="W196" i="1"/>
  <c r="X196" i="1"/>
  <c r="Y196" i="1"/>
  <c r="Z196" i="1"/>
  <c r="AA196" i="1"/>
  <c r="AB196" i="1"/>
  <c r="AC196" i="1"/>
  <c r="AD196" i="1"/>
  <c r="AE196" i="1"/>
  <c r="V197" i="1"/>
  <c r="W197" i="1"/>
  <c r="X197" i="1"/>
  <c r="Y197" i="1"/>
  <c r="Z197" i="1"/>
  <c r="AA197" i="1"/>
  <c r="AB197" i="1"/>
  <c r="AC197" i="1"/>
  <c r="AD197" i="1"/>
  <c r="AE197" i="1"/>
  <c r="V198" i="1"/>
  <c r="W198" i="1"/>
  <c r="X198" i="1"/>
  <c r="Y198" i="1"/>
  <c r="Z198" i="1"/>
  <c r="AA198" i="1"/>
  <c r="AB198" i="1"/>
  <c r="AC198" i="1"/>
  <c r="AD198" i="1"/>
  <c r="AE198" i="1"/>
  <c r="V199" i="1"/>
  <c r="W199" i="1"/>
  <c r="X199" i="1"/>
  <c r="Y199" i="1"/>
  <c r="Z199" i="1"/>
  <c r="AA199" i="1"/>
  <c r="AB199" i="1"/>
  <c r="AC199" i="1"/>
  <c r="AD199" i="1"/>
  <c r="AE199" i="1"/>
  <c r="V200" i="1"/>
  <c r="W200" i="1"/>
  <c r="X200" i="1"/>
  <c r="Y200" i="1"/>
  <c r="Z200" i="1"/>
  <c r="AA200" i="1"/>
  <c r="AB200" i="1"/>
  <c r="AC200" i="1"/>
  <c r="AD200" i="1"/>
  <c r="AE200" i="1"/>
  <c r="V201" i="1"/>
  <c r="W201" i="1"/>
  <c r="X201" i="1"/>
  <c r="Y201" i="1"/>
  <c r="Z201" i="1"/>
  <c r="AA201" i="1"/>
  <c r="AB201" i="1"/>
  <c r="AC201" i="1"/>
  <c r="AD201" i="1"/>
  <c r="AE201" i="1"/>
  <c r="V202" i="1"/>
  <c r="W202" i="1"/>
  <c r="X202" i="1"/>
  <c r="Y202" i="1"/>
  <c r="Z202" i="1"/>
  <c r="AA202" i="1"/>
  <c r="AB202" i="1"/>
  <c r="AC202" i="1"/>
  <c r="AD202" i="1"/>
  <c r="AE202" i="1"/>
  <c r="V203" i="1"/>
  <c r="W203" i="1"/>
  <c r="X203" i="1"/>
  <c r="Y203" i="1"/>
  <c r="Z203" i="1"/>
  <c r="AA203" i="1"/>
  <c r="AB203" i="1"/>
  <c r="AC203" i="1"/>
  <c r="AD203" i="1"/>
  <c r="AE203" i="1"/>
  <c r="V204" i="1"/>
  <c r="W204" i="1"/>
  <c r="X204" i="1"/>
  <c r="Y204" i="1"/>
  <c r="Z204" i="1"/>
  <c r="AA204" i="1"/>
  <c r="AB204" i="1"/>
  <c r="AC204" i="1"/>
  <c r="AD204" i="1"/>
  <c r="AE204" i="1"/>
  <c r="V205" i="1"/>
  <c r="W205" i="1"/>
  <c r="X205" i="1"/>
  <c r="Y205" i="1"/>
  <c r="Z205" i="1"/>
  <c r="AA205" i="1"/>
  <c r="AB205" i="1"/>
  <c r="AC205" i="1"/>
  <c r="AD205" i="1"/>
  <c r="AE205" i="1"/>
  <c r="V206" i="1"/>
  <c r="W206" i="1"/>
  <c r="X206" i="1"/>
  <c r="Y206" i="1"/>
  <c r="Z206" i="1"/>
  <c r="AA206" i="1"/>
  <c r="AB206" i="1"/>
  <c r="AC206" i="1"/>
  <c r="AD206" i="1"/>
  <c r="AE206" i="1"/>
  <c r="V207" i="1"/>
  <c r="W207" i="1"/>
  <c r="X207" i="1"/>
  <c r="Y207" i="1"/>
  <c r="Z207" i="1"/>
  <c r="AA207" i="1"/>
  <c r="AB207" i="1"/>
  <c r="AC207" i="1"/>
  <c r="AD207" i="1"/>
  <c r="AE207" i="1"/>
  <c r="V208" i="1"/>
  <c r="W208" i="1"/>
  <c r="X208" i="1"/>
  <c r="Y208" i="1"/>
  <c r="Z208" i="1"/>
  <c r="AA208" i="1"/>
  <c r="AB208" i="1"/>
  <c r="AC208" i="1"/>
  <c r="AD208" i="1"/>
  <c r="AE208" i="1"/>
  <c r="V209" i="1"/>
  <c r="W209" i="1"/>
  <c r="X209" i="1"/>
  <c r="Y209" i="1"/>
  <c r="Z209" i="1"/>
  <c r="AA209" i="1"/>
  <c r="AB209" i="1"/>
  <c r="AC209" i="1"/>
  <c r="AD209" i="1"/>
  <c r="AE209" i="1"/>
  <c r="V210" i="1"/>
  <c r="W210" i="1"/>
  <c r="X210" i="1"/>
  <c r="Y210" i="1"/>
  <c r="Z210" i="1"/>
  <c r="AA210" i="1"/>
  <c r="AB210" i="1"/>
  <c r="AC210" i="1"/>
  <c r="AD210" i="1"/>
  <c r="AE210" i="1"/>
  <c r="V211" i="1"/>
  <c r="W211" i="1"/>
  <c r="X211" i="1"/>
  <c r="Y211" i="1"/>
  <c r="Z211" i="1"/>
  <c r="AA211" i="1"/>
  <c r="AB211" i="1"/>
  <c r="AC211" i="1"/>
  <c r="AD211" i="1"/>
  <c r="AE211" i="1"/>
  <c r="V212" i="1"/>
  <c r="W212" i="1"/>
  <c r="X212" i="1"/>
  <c r="Y212" i="1"/>
  <c r="Z212" i="1"/>
  <c r="AA212" i="1"/>
  <c r="AB212" i="1"/>
  <c r="AC212" i="1"/>
  <c r="AD212" i="1"/>
  <c r="AE212" i="1"/>
  <c r="V213" i="1"/>
  <c r="W213" i="1"/>
  <c r="X213" i="1"/>
  <c r="Y213" i="1"/>
  <c r="Z213" i="1"/>
  <c r="AA213" i="1"/>
  <c r="AB213" i="1"/>
  <c r="AC213" i="1"/>
  <c r="AD213" i="1"/>
  <c r="AE213" i="1"/>
  <c r="V214" i="1"/>
  <c r="W214" i="1"/>
  <c r="X214" i="1"/>
  <c r="Y214" i="1"/>
  <c r="Z214" i="1"/>
  <c r="AA214" i="1"/>
  <c r="AB214" i="1"/>
  <c r="AC214" i="1"/>
  <c r="AD214" i="1"/>
  <c r="AE214" i="1"/>
  <c r="V215" i="1"/>
  <c r="W215" i="1"/>
  <c r="X215" i="1"/>
  <c r="Y215" i="1"/>
  <c r="Z215" i="1"/>
  <c r="AA215" i="1"/>
  <c r="AB215" i="1"/>
  <c r="AC215" i="1"/>
  <c r="AD215" i="1"/>
  <c r="AE215" i="1"/>
  <c r="V216" i="1"/>
  <c r="W216" i="1"/>
  <c r="X216" i="1"/>
  <c r="Y216" i="1"/>
  <c r="Z216" i="1"/>
  <c r="AA216" i="1"/>
  <c r="AB216" i="1"/>
  <c r="AC216" i="1"/>
  <c r="AD216" i="1"/>
  <c r="AE216" i="1"/>
  <c r="V217" i="1"/>
  <c r="W217" i="1"/>
  <c r="X217" i="1"/>
  <c r="Y217" i="1"/>
  <c r="Z217" i="1"/>
  <c r="AA217" i="1"/>
  <c r="AB217" i="1"/>
  <c r="AC217" i="1"/>
  <c r="AD217" i="1"/>
  <c r="AE217" i="1"/>
  <c r="V218" i="1"/>
  <c r="W218" i="1"/>
  <c r="X218" i="1"/>
  <c r="Y218" i="1"/>
  <c r="Z218" i="1"/>
  <c r="AA218" i="1"/>
  <c r="AB218" i="1"/>
  <c r="AC218" i="1"/>
  <c r="AD218" i="1"/>
  <c r="AE218" i="1"/>
  <c r="V219" i="1"/>
  <c r="W219" i="1"/>
  <c r="X219" i="1"/>
  <c r="Y219" i="1"/>
  <c r="Z219" i="1"/>
  <c r="AA219" i="1"/>
  <c r="AB219" i="1"/>
  <c r="AC219" i="1"/>
  <c r="AD219" i="1"/>
  <c r="AE219" i="1"/>
  <c r="V220" i="1"/>
  <c r="W220" i="1"/>
  <c r="X220" i="1"/>
  <c r="Y220" i="1"/>
  <c r="Z220" i="1"/>
  <c r="AA220" i="1"/>
  <c r="AB220" i="1"/>
  <c r="AC220" i="1"/>
  <c r="AD220" i="1"/>
  <c r="AE220" i="1"/>
  <c r="V221" i="1"/>
  <c r="W221" i="1"/>
  <c r="X221" i="1"/>
  <c r="Y221" i="1"/>
  <c r="Z221" i="1"/>
  <c r="AA221" i="1"/>
  <c r="AB221" i="1"/>
  <c r="AC221" i="1"/>
  <c r="AD221" i="1"/>
  <c r="AE221" i="1"/>
  <c r="V222" i="1"/>
  <c r="W222" i="1"/>
  <c r="X222" i="1"/>
  <c r="Y222" i="1"/>
  <c r="Z222" i="1"/>
  <c r="AA222" i="1"/>
  <c r="AB222" i="1"/>
  <c r="AC222" i="1"/>
  <c r="AD222" i="1"/>
  <c r="AE222" i="1"/>
  <c r="V223" i="1"/>
  <c r="W223" i="1"/>
  <c r="X223" i="1"/>
  <c r="Y223" i="1"/>
  <c r="Z223" i="1"/>
  <c r="AA223" i="1"/>
  <c r="AB223" i="1"/>
  <c r="AC223" i="1"/>
  <c r="AD223" i="1"/>
  <c r="AE223" i="1"/>
  <c r="V224" i="1"/>
  <c r="W224" i="1"/>
  <c r="X224" i="1"/>
  <c r="Y224" i="1"/>
  <c r="Z224" i="1"/>
  <c r="AA224" i="1"/>
  <c r="AB224" i="1"/>
  <c r="AC224" i="1"/>
  <c r="AD224" i="1"/>
  <c r="AE224" i="1"/>
  <c r="V225" i="1"/>
  <c r="W225" i="1"/>
  <c r="X225" i="1"/>
  <c r="Y225" i="1"/>
  <c r="Z225" i="1"/>
  <c r="AA225" i="1"/>
  <c r="AB225" i="1"/>
  <c r="AC225" i="1"/>
  <c r="AD225" i="1"/>
  <c r="AE225" i="1"/>
  <c r="V226" i="1"/>
  <c r="W226" i="1"/>
  <c r="X226" i="1"/>
  <c r="Y226" i="1"/>
  <c r="Z226" i="1"/>
  <c r="AA226" i="1"/>
  <c r="AB226" i="1"/>
  <c r="AC226" i="1"/>
  <c r="AD226" i="1"/>
  <c r="AE226" i="1"/>
  <c r="V227" i="1"/>
  <c r="W227" i="1"/>
  <c r="X227" i="1"/>
  <c r="Y227" i="1"/>
  <c r="Z227" i="1"/>
  <c r="AA227" i="1"/>
  <c r="AB227" i="1"/>
  <c r="AC227" i="1"/>
  <c r="AD227" i="1"/>
  <c r="AE227" i="1"/>
  <c r="V228" i="1"/>
  <c r="W228" i="1"/>
  <c r="X228" i="1"/>
  <c r="Y228" i="1"/>
  <c r="Z228" i="1"/>
  <c r="AA228" i="1"/>
  <c r="AB228" i="1"/>
  <c r="AC228" i="1"/>
  <c r="AD228" i="1"/>
  <c r="AE228" i="1"/>
  <c r="V229" i="1"/>
  <c r="W229" i="1"/>
  <c r="X229" i="1"/>
  <c r="Y229" i="1"/>
  <c r="Z229" i="1"/>
  <c r="AA229" i="1"/>
  <c r="AB229" i="1"/>
  <c r="AC229" i="1"/>
  <c r="AD229" i="1"/>
  <c r="AE229" i="1"/>
  <c r="V230" i="1"/>
  <c r="W230" i="1"/>
  <c r="X230" i="1"/>
  <c r="Y230" i="1"/>
  <c r="Z230" i="1"/>
  <c r="AA230" i="1"/>
  <c r="AB230" i="1"/>
  <c r="AC230" i="1"/>
  <c r="AD230" i="1"/>
  <c r="AE230" i="1"/>
  <c r="V231" i="1"/>
  <c r="W231" i="1"/>
  <c r="X231" i="1"/>
  <c r="Y231" i="1"/>
  <c r="Z231" i="1"/>
  <c r="AA231" i="1"/>
  <c r="AB231" i="1"/>
  <c r="AC231" i="1"/>
  <c r="AD231" i="1"/>
  <c r="AE231" i="1"/>
  <c r="V232" i="1"/>
  <c r="W232" i="1"/>
  <c r="X232" i="1"/>
  <c r="Y232" i="1"/>
  <c r="Z232" i="1"/>
  <c r="AA232" i="1"/>
  <c r="AB232" i="1"/>
  <c r="AC232" i="1"/>
  <c r="AD232" i="1"/>
  <c r="AE232" i="1"/>
  <c r="V233" i="1"/>
  <c r="W233" i="1"/>
  <c r="X233" i="1"/>
  <c r="Y233" i="1"/>
  <c r="Z233" i="1"/>
  <c r="AA233" i="1"/>
  <c r="AB233" i="1"/>
  <c r="AC233" i="1"/>
  <c r="AD233" i="1"/>
  <c r="AE233" i="1"/>
  <c r="V234" i="1"/>
  <c r="W234" i="1"/>
  <c r="X234" i="1"/>
  <c r="Y234" i="1"/>
  <c r="Z234" i="1"/>
  <c r="AA234" i="1"/>
  <c r="AB234" i="1"/>
  <c r="AC234" i="1"/>
  <c r="AD234" i="1"/>
  <c r="AE234" i="1"/>
  <c r="V235" i="1"/>
  <c r="W235" i="1"/>
  <c r="X235" i="1"/>
  <c r="Y235" i="1"/>
  <c r="Z235" i="1"/>
  <c r="AA235" i="1"/>
  <c r="AB235" i="1"/>
  <c r="AC235" i="1"/>
  <c r="AD235" i="1"/>
  <c r="AE235" i="1"/>
  <c r="V236" i="1"/>
  <c r="W236" i="1"/>
  <c r="X236" i="1"/>
  <c r="Y236" i="1"/>
  <c r="Z236" i="1"/>
  <c r="AA236" i="1"/>
  <c r="AB236" i="1"/>
  <c r="AC236" i="1"/>
  <c r="AD236" i="1"/>
  <c r="AE236" i="1"/>
  <c r="V237" i="1"/>
  <c r="W237" i="1"/>
  <c r="X237" i="1"/>
  <c r="Y237" i="1"/>
  <c r="Z237" i="1"/>
  <c r="AA237" i="1"/>
  <c r="AB237" i="1"/>
  <c r="AC237" i="1"/>
  <c r="AD237" i="1"/>
  <c r="AE237" i="1"/>
  <c r="V238" i="1"/>
  <c r="W238" i="1"/>
  <c r="X238" i="1"/>
  <c r="Y238" i="1"/>
  <c r="Z238" i="1"/>
  <c r="AA238" i="1"/>
  <c r="AB238" i="1"/>
  <c r="AC238" i="1"/>
  <c r="AD238" i="1"/>
  <c r="AE238" i="1"/>
  <c r="V239" i="1"/>
  <c r="W239" i="1"/>
  <c r="X239" i="1"/>
  <c r="Y239" i="1"/>
  <c r="Z239" i="1"/>
  <c r="AA239" i="1"/>
  <c r="AB239" i="1"/>
  <c r="AC239" i="1"/>
  <c r="AD239" i="1"/>
  <c r="AE239" i="1"/>
  <c r="V240" i="1"/>
  <c r="W240" i="1"/>
  <c r="X240" i="1"/>
  <c r="Y240" i="1"/>
  <c r="Z240" i="1"/>
  <c r="AA240" i="1"/>
  <c r="AB240" i="1"/>
  <c r="AC240" i="1"/>
  <c r="AD240" i="1"/>
  <c r="AE240" i="1"/>
  <c r="V241" i="1"/>
  <c r="W241" i="1"/>
  <c r="X241" i="1"/>
  <c r="Y241" i="1"/>
  <c r="Z241" i="1"/>
  <c r="AA241" i="1"/>
  <c r="AB241" i="1"/>
  <c r="AC241" i="1"/>
  <c r="AD241" i="1"/>
  <c r="AE241" i="1"/>
  <c r="V242" i="1"/>
  <c r="W242" i="1"/>
  <c r="X242" i="1"/>
  <c r="Y242" i="1"/>
  <c r="Z242" i="1"/>
  <c r="AA242" i="1"/>
  <c r="AB242" i="1"/>
  <c r="AC242" i="1"/>
  <c r="AD242" i="1"/>
  <c r="AE242" i="1"/>
  <c r="V243" i="1"/>
  <c r="W243" i="1"/>
  <c r="X243" i="1"/>
  <c r="Y243" i="1"/>
  <c r="Z243" i="1"/>
  <c r="AA243" i="1"/>
  <c r="AB243" i="1"/>
  <c r="AC243" i="1"/>
  <c r="AD243" i="1"/>
  <c r="AE243" i="1"/>
  <c r="V244" i="1"/>
  <c r="W244" i="1"/>
  <c r="X244" i="1"/>
  <c r="Y244" i="1"/>
  <c r="Z244" i="1"/>
  <c r="AA244" i="1"/>
  <c r="AB244" i="1"/>
  <c r="AC244" i="1"/>
  <c r="AD244" i="1"/>
  <c r="AE244" i="1"/>
  <c r="V245" i="1"/>
  <c r="W245" i="1"/>
  <c r="X245" i="1"/>
  <c r="Y245" i="1"/>
  <c r="Z245" i="1"/>
  <c r="AA245" i="1"/>
  <c r="AB245" i="1"/>
  <c r="AC245" i="1"/>
  <c r="AD245" i="1"/>
  <c r="AE245" i="1"/>
  <c r="V246" i="1"/>
  <c r="W246" i="1"/>
  <c r="X246" i="1"/>
  <c r="Y246" i="1"/>
  <c r="Z246" i="1"/>
  <c r="AA246" i="1"/>
  <c r="AB246" i="1"/>
  <c r="AC246" i="1"/>
  <c r="AD246" i="1"/>
  <c r="AE246" i="1"/>
  <c r="V247" i="1"/>
  <c r="W247" i="1"/>
  <c r="X247" i="1"/>
  <c r="Y247" i="1"/>
  <c r="Z247" i="1"/>
  <c r="AA247" i="1"/>
  <c r="AB247" i="1"/>
  <c r="AC247" i="1"/>
  <c r="AD247" i="1"/>
  <c r="AE247" i="1"/>
  <c r="V248" i="1"/>
  <c r="W248" i="1"/>
  <c r="X248" i="1"/>
  <c r="Y248" i="1"/>
  <c r="Z248" i="1"/>
  <c r="AA248" i="1"/>
  <c r="AB248" i="1"/>
  <c r="AC248" i="1"/>
  <c r="AD248" i="1"/>
  <c r="AE248" i="1"/>
  <c r="V249" i="1"/>
  <c r="W249" i="1"/>
  <c r="X249" i="1"/>
  <c r="Y249" i="1"/>
  <c r="Z249" i="1"/>
  <c r="AA249" i="1"/>
  <c r="AB249" i="1"/>
  <c r="AC249" i="1"/>
  <c r="AD249" i="1"/>
  <c r="AE249" i="1"/>
  <c r="V250" i="1"/>
  <c r="W250" i="1"/>
  <c r="X250" i="1"/>
  <c r="Y250" i="1"/>
  <c r="Z250" i="1"/>
  <c r="AA250" i="1"/>
  <c r="AB250" i="1"/>
  <c r="AC250" i="1"/>
  <c r="AD250" i="1"/>
  <c r="AE250" i="1"/>
  <c r="V251" i="1"/>
  <c r="W251" i="1"/>
  <c r="X251" i="1"/>
  <c r="Y251" i="1"/>
  <c r="Z251" i="1"/>
  <c r="AA251" i="1"/>
  <c r="AB251" i="1"/>
  <c r="AC251" i="1"/>
  <c r="AD251" i="1"/>
  <c r="AE251" i="1"/>
  <c r="V252" i="1"/>
  <c r="W252" i="1"/>
  <c r="X252" i="1"/>
  <c r="Y252" i="1"/>
  <c r="Z252" i="1"/>
  <c r="AA252" i="1"/>
  <c r="AB252" i="1"/>
  <c r="AC252" i="1"/>
  <c r="AD252" i="1"/>
  <c r="AE252" i="1"/>
  <c r="V253" i="1"/>
  <c r="W253" i="1"/>
  <c r="X253" i="1"/>
  <c r="Y253" i="1"/>
  <c r="Z253" i="1"/>
  <c r="AA253" i="1"/>
  <c r="AB253" i="1"/>
  <c r="AC253" i="1"/>
  <c r="AD253" i="1"/>
  <c r="AE253" i="1"/>
  <c r="V254" i="1"/>
  <c r="W254" i="1"/>
  <c r="X254" i="1"/>
  <c r="Y254" i="1"/>
  <c r="Z254" i="1"/>
  <c r="AA254" i="1"/>
  <c r="AB254" i="1"/>
  <c r="AC254" i="1"/>
  <c r="AD254" i="1"/>
  <c r="AE254" i="1"/>
  <c r="V255" i="1"/>
  <c r="W255" i="1"/>
  <c r="X255" i="1"/>
  <c r="Y255" i="1"/>
  <c r="Z255" i="1"/>
  <c r="AA255" i="1"/>
  <c r="AB255" i="1"/>
  <c r="AC255" i="1"/>
  <c r="AD255" i="1"/>
  <c r="AE255" i="1"/>
  <c r="V256" i="1"/>
  <c r="W256" i="1"/>
  <c r="X256" i="1"/>
  <c r="Y256" i="1"/>
  <c r="Z256" i="1"/>
  <c r="AA256" i="1"/>
  <c r="AB256" i="1"/>
  <c r="AC256" i="1"/>
  <c r="AD256" i="1"/>
  <c r="AE256" i="1"/>
  <c r="V257" i="1"/>
  <c r="W257" i="1"/>
  <c r="X257" i="1"/>
  <c r="Y257" i="1"/>
  <c r="Z257" i="1"/>
  <c r="AA257" i="1"/>
  <c r="AB257" i="1"/>
  <c r="AC257" i="1"/>
  <c r="AD257" i="1"/>
  <c r="AE257" i="1"/>
  <c r="V258" i="1"/>
  <c r="W258" i="1"/>
  <c r="X258" i="1"/>
  <c r="Y258" i="1"/>
  <c r="Z258" i="1"/>
  <c r="AA258" i="1"/>
  <c r="AB258" i="1"/>
  <c r="AC258" i="1"/>
  <c r="AD258" i="1"/>
  <c r="AE258" i="1"/>
  <c r="V259" i="1"/>
  <c r="W259" i="1"/>
  <c r="X259" i="1"/>
  <c r="Y259" i="1"/>
  <c r="Z259" i="1"/>
  <c r="AA259" i="1"/>
  <c r="AB259" i="1"/>
  <c r="AC259" i="1"/>
  <c r="AD259" i="1"/>
  <c r="AE259" i="1"/>
  <c r="V260" i="1"/>
  <c r="W260" i="1"/>
  <c r="X260" i="1"/>
  <c r="Y260" i="1"/>
  <c r="Z260" i="1"/>
  <c r="AA260" i="1"/>
  <c r="AB260" i="1"/>
  <c r="AC260" i="1"/>
  <c r="AD260" i="1"/>
  <c r="AE260" i="1"/>
  <c r="V261" i="1"/>
  <c r="W261" i="1"/>
  <c r="X261" i="1"/>
  <c r="Y261" i="1"/>
  <c r="Z261" i="1"/>
  <c r="AA261" i="1"/>
  <c r="AB261" i="1"/>
  <c r="AC261" i="1"/>
  <c r="AD261" i="1"/>
  <c r="AE261" i="1"/>
  <c r="V262" i="1"/>
  <c r="W262" i="1"/>
  <c r="X262" i="1"/>
  <c r="Y262" i="1"/>
  <c r="Z262" i="1"/>
  <c r="AA262" i="1"/>
  <c r="AB262" i="1"/>
  <c r="AC262" i="1"/>
  <c r="AD262" i="1"/>
  <c r="AE262" i="1"/>
  <c r="V263" i="1"/>
  <c r="W263" i="1"/>
  <c r="X263" i="1"/>
  <c r="Y263" i="1"/>
  <c r="Z263" i="1"/>
  <c r="AA263" i="1"/>
  <c r="AB263" i="1"/>
  <c r="AC263" i="1"/>
  <c r="AD263" i="1"/>
  <c r="AE263" i="1"/>
  <c r="V264" i="1"/>
  <c r="W264" i="1"/>
  <c r="X264" i="1"/>
  <c r="Y264" i="1"/>
  <c r="Z264" i="1"/>
  <c r="AA264" i="1"/>
  <c r="AB264" i="1"/>
  <c r="AC264" i="1"/>
  <c r="AD264" i="1"/>
  <c r="AE264" i="1"/>
  <c r="V265" i="1"/>
  <c r="W265" i="1"/>
  <c r="X265" i="1"/>
  <c r="Y265" i="1"/>
  <c r="Z265" i="1"/>
  <c r="AA265" i="1"/>
  <c r="AB265" i="1"/>
  <c r="AC265" i="1"/>
  <c r="AD265" i="1"/>
  <c r="AE265" i="1"/>
  <c r="V266" i="1"/>
  <c r="W266" i="1"/>
  <c r="X266" i="1"/>
  <c r="Y266" i="1"/>
  <c r="Z266" i="1"/>
  <c r="AA266" i="1"/>
  <c r="AB266" i="1"/>
  <c r="AC266" i="1"/>
  <c r="AD266" i="1"/>
  <c r="AE266" i="1"/>
  <c r="V267" i="1"/>
  <c r="W267" i="1"/>
  <c r="X267" i="1"/>
  <c r="Y267" i="1"/>
  <c r="Z267" i="1"/>
  <c r="AA267" i="1"/>
  <c r="AB267" i="1"/>
  <c r="AC267" i="1"/>
  <c r="AD267" i="1"/>
  <c r="AE267" i="1"/>
  <c r="V268" i="1"/>
  <c r="W268" i="1"/>
  <c r="X268" i="1"/>
  <c r="Y268" i="1"/>
  <c r="Z268" i="1"/>
  <c r="AA268" i="1"/>
  <c r="AB268" i="1"/>
  <c r="AC268" i="1"/>
  <c r="AD268" i="1"/>
  <c r="AE268" i="1"/>
  <c r="V269" i="1"/>
  <c r="W269" i="1"/>
  <c r="X269" i="1"/>
  <c r="Y269" i="1"/>
  <c r="Z269" i="1"/>
  <c r="AA269" i="1"/>
  <c r="AB269" i="1"/>
  <c r="AC269" i="1"/>
  <c r="AD269" i="1"/>
  <c r="AE269" i="1"/>
  <c r="V270" i="1"/>
  <c r="W270" i="1"/>
  <c r="X270" i="1"/>
  <c r="Y270" i="1"/>
  <c r="Z270" i="1"/>
  <c r="AA270" i="1"/>
  <c r="AB270" i="1"/>
  <c r="AC270" i="1"/>
  <c r="AD270" i="1"/>
  <c r="AE270" i="1"/>
  <c r="V271" i="1"/>
  <c r="W271" i="1"/>
  <c r="X271" i="1"/>
  <c r="Y271" i="1"/>
  <c r="Z271" i="1"/>
  <c r="AA271" i="1"/>
  <c r="AB271" i="1"/>
  <c r="AC271" i="1"/>
  <c r="AD271" i="1"/>
  <c r="AE271" i="1"/>
  <c r="V272" i="1"/>
  <c r="W272" i="1"/>
  <c r="X272" i="1"/>
  <c r="Y272" i="1"/>
  <c r="Z272" i="1"/>
  <c r="AA272" i="1"/>
  <c r="AB272" i="1"/>
  <c r="AC272" i="1"/>
  <c r="AD272" i="1"/>
  <c r="AE272" i="1"/>
  <c r="V273" i="1"/>
  <c r="W273" i="1"/>
  <c r="X273" i="1"/>
  <c r="Y273" i="1"/>
  <c r="Z273" i="1"/>
  <c r="AA273" i="1"/>
  <c r="AB273" i="1"/>
  <c r="AC273" i="1"/>
  <c r="AD273" i="1"/>
  <c r="AE273" i="1"/>
  <c r="V274" i="1"/>
  <c r="W274" i="1"/>
  <c r="X274" i="1"/>
  <c r="Y274" i="1"/>
  <c r="Z274" i="1"/>
  <c r="AA274" i="1"/>
  <c r="AB274" i="1"/>
  <c r="AC274" i="1"/>
  <c r="AD274" i="1"/>
  <c r="AE274" i="1"/>
  <c r="V275" i="1"/>
  <c r="W275" i="1"/>
  <c r="X275" i="1"/>
  <c r="Y275" i="1"/>
  <c r="Z275" i="1"/>
  <c r="AA275" i="1"/>
  <c r="AB275" i="1"/>
  <c r="AC275" i="1"/>
  <c r="AD275" i="1"/>
  <c r="AE275" i="1"/>
  <c r="V276" i="1"/>
  <c r="W276" i="1"/>
  <c r="X276" i="1"/>
  <c r="Y276" i="1"/>
  <c r="Z276" i="1"/>
  <c r="AA276" i="1"/>
  <c r="AB276" i="1"/>
  <c r="AC276" i="1"/>
  <c r="AD276" i="1"/>
  <c r="AE276" i="1"/>
  <c r="V277" i="1"/>
  <c r="W277" i="1"/>
  <c r="X277" i="1"/>
  <c r="Y277" i="1"/>
  <c r="Z277" i="1"/>
  <c r="AA277" i="1"/>
  <c r="AB277" i="1"/>
  <c r="AC277" i="1"/>
  <c r="AD277" i="1"/>
  <c r="AE277" i="1"/>
  <c r="V278" i="1"/>
  <c r="W278" i="1"/>
  <c r="X278" i="1"/>
  <c r="Y278" i="1"/>
  <c r="Z278" i="1"/>
  <c r="AA278" i="1"/>
  <c r="AB278" i="1"/>
  <c r="AC278" i="1"/>
  <c r="AD278" i="1"/>
  <c r="AE278" i="1"/>
  <c r="V279" i="1"/>
  <c r="W279" i="1"/>
  <c r="X279" i="1"/>
  <c r="Y279" i="1"/>
  <c r="Z279" i="1"/>
  <c r="AA279" i="1"/>
  <c r="AB279" i="1"/>
  <c r="AC279" i="1"/>
  <c r="AD279" i="1"/>
  <c r="AE279" i="1"/>
  <c r="V280" i="1"/>
  <c r="W280" i="1"/>
  <c r="X280" i="1"/>
  <c r="Y280" i="1"/>
  <c r="Z280" i="1"/>
  <c r="AA280" i="1"/>
  <c r="AB280" i="1"/>
  <c r="AC280" i="1"/>
  <c r="AD280" i="1"/>
  <c r="AE280" i="1"/>
  <c r="V281" i="1"/>
  <c r="W281" i="1"/>
  <c r="X281" i="1"/>
  <c r="Y281" i="1"/>
  <c r="Z281" i="1"/>
  <c r="AA281" i="1"/>
  <c r="AB281" i="1"/>
  <c r="AC281" i="1"/>
  <c r="AD281" i="1"/>
  <c r="AE281" i="1"/>
  <c r="V282" i="1"/>
  <c r="W282" i="1"/>
  <c r="X282" i="1"/>
  <c r="Y282" i="1"/>
  <c r="Z282" i="1"/>
  <c r="AA282" i="1"/>
  <c r="AB282" i="1"/>
  <c r="AC282" i="1"/>
  <c r="AD282" i="1"/>
  <c r="AE282" i="1"/>
  <c r="V283" i="1"/>
  <c r="W283" i="1"/>
  <c r="X283" i="1"/>
  <c r="Y283" i="1"/>
  <c r="Z283" i="1"/>
  <c r="AA283" i="1"/>
  <c r="AB283" i="1"/>
  <c r="AC283" i="1"/>
  <c r="AD283" i="1"/>
  <c r="AE283" i="1"/>
  <c r="V284" i="1"/>
  <c r="W284" i="1"/>
  <c r="X284" i="1"/>
  <c r="Y284" i="1"/>
  <c r="Z284" i="1"/>
  <c r="AA284" i="1"/>
  <c r="AB284" i="1"/>
  <c r="AC284" i="1"/>
  <c r="AD284" i="1"/>
  <c r="AE284" i="1"/>
  <c r="V285" i="1"/>
  <c r="W285" i="1"/>
  <c r="X285" i="1"/>
  <c r="Y285" i="1"/>
  <c r="Z285" i="1"/>
  <c r="AA285" i="1"/>
  <c r="AB285" i="1"/>
  <c r="AC285" i="1"/>
  <c r="AD285" i="1"/>
  <c r="AE285" i="1"/>
  <c r="V286" i="1"/>
  <c r="W286" i="1"/>
  <c r="X286" i="1"/>
  <c r="Y286" i="1"/>
  <c r="Z286" i="1"/>
  <c r="AA286" i="1"/>
  <c r="AB286" i="1"/>
  <c r="AC286" i="1"/>
  <c r="AD286" i="1"/>
  <c r="AE286" i="1"/>
  <c r="V287" i="1"/>
  <c r="W287" i="1"/>
  <c r="X287" i="1"/>
  <c r="Y287" i="1"/>
  <c r="Z287" i="1"/>
  <c r="AA287" i="1"/>
  <c r="AB287" i="1"/>
  <c r="AC287" i="1"/>
  <c r="AD287" i="1"/>
  <c r="AE287" i="1"/>
  <c r="V288" i="1"/>
  <c r="W288" i="1"/>
  <c r="X288" i="1"/>
  <c r="Y288" i="1"/>
  <c r="Z288" i="1"/>
  <c r="AA288" i="1"/>
  <c r="AB288" i="1"/>
  <c r="AC288" i="1"/>
  <c r="AD288" i="1"/>
  <c r="AE288" i="1"/>
  <c r="V289" i="1"/>
  <c r="W289" i="1"/>
  <c r="X289" i="1"/>
  <c r="Y289" i="1"/>
  <c r="Z289" i="1"/>
  <c r="AA289" i="1"/>
  <c r="AB289" i="1"/>
  <c r="AC289" i="1"/>
  <c r="AD289" i="1"/>
  <c r="AE289" i="1"/>
  <c r="V290" i="1"/>
  <c r="W290" i="1"/>
  <c r="X290" i="1"/>
  <c r="Y290" i="1"/>
  <c r="Z290" i="1"/>
  <c r="AA290" i="1"/>
  <c r="AB290" i="1"/>
  <c r="AC290" i="1"/>
  <c r="AD290" i="1"/>
  <c r="AE290" i="1"/>
  <c r="V291" i="1"/>
  <c r="W291" i="1"/>
  <c r="X291" i="1"/>
  <c r="Y291" i="1"/>
  <c r="Z291" i="1"/>
  <c r="AA291" i="1"/>
  <c r="AB291" i="1"/>
  <c r="AC291" i="1"/>
  <c r="AD291" i="1"/>
  <c r="AE291" i="1"/>
  <c r="V292" i="1"/>
  <c r="W292" i="1"/>
  <c r="X292" i="1"/>
  <c r="Y292" i="1"/>
  <c r="Z292" i="1"/>
  <c r="AA292" i="1"/>
  <c r="AB292" i="1"/>
  <c r="AC292" i="1"/>
  <c r="AD292" i="1"/>
  <c r="AE292" i="1"/>
  <c r="V293" i="1"/>
  <c r="W293" i="1"/>
  <c r="X293" i="1"/>
  <c r="Y293" i="1"/>
  <c r="Z293" i="1"/>
  <c r="AA293" i="1"/>
  <c r="AB293" i="1"/>
  <c r="AC293" i="1"/>
  <c r="AD293" i="1"/>
  <c r="AE293" i="1"/>
  <c r="V294" i="1"/>
  <c r="W294" i="1"/>
  <c r="X294" i="1"/>
  <c r="Y294" i="1"/>
  <c r="Z294" i="1"/>
  <c r="AA294" i="1"/>
  <c r="AB294" i="1"/>
  <c r="AC294" i="1"/>
  <c r="AD294" i="1"/>
  <c r="AE294" i="1"/>
  <c r="V295" i="1"/>
  <c r="W295" i="1"/>
  <c r="X295" i="1"/>
  <c r="Y295" i="1"/>
  <c r="Z295" i="1"/>
  <c r="AA295" i="1"/>
  <c r="AB295" i="1"/>
  <c r="AC295" i="1"/>
  <c r="AD295" i="1"/>
  <c r="AE295" i="1"/>
  <c r="V296" i="1"/>
  <c r="W296" i="1"/>
  <c r="X296" i="1"/>
  <c r="Y296" i="1"/>
  <c r="Z296" i="1"/>
  <c r="AA296" i="1"/>
  <c r="AB296" i="1"/>
  <c r="AC296" i="1"/>
  <c r="AD296" i="1"/>
  <c r="AE296" i="1"/>
  <c r="V297" i="1"/>
  <c r="W297" i="1"/>
  <c r="X297" i="1"/>
  <c r="Y297" i="1"/>
  <c r="Z297" i="1"/>
  <c r="AA297" i="1"/>
  <c r="AB297" i="1"/>
  <c r="AC297" i="1"/>
  <c r="AD297" i="1"/>
  <c r="AE297" i="1"/>
  <c r="V298" i="1"/>
  <c r="W298" i="1"/>
  <c r="X298" i="1"/>
  <c r="Y298" i="1"/>
  <c r="Z298" i="1"/>
  <c r="AA298" i="1"/>
  <c r="AB298" i="1"/>
  <c r="AC298" i="1"/>
  <c r="AD298" i="1"/>
  <c r="AE298" i="1"/>
  <c r="V299" i="1"/>
  <c r="W299" i="1"/>
  <c r="X299" i="1"/>
  <c r="Y299" i="1"/>
  <c r="Z299" i="1"/>
  <c r="AA299" i="1"/>
  <c r="AB299" i="1"/>
  <c r="AC299" i="1"/>
  <c r="AD299" i="1"/>
  <c r="AE299" i="1"/>
  <c r="V300" i="1"/>
  <c r="W300" i="1"/>
  <c r="X300" i="1"/>
  <c r="Y300" i="1"/>
  <c r="Z300" i="1"/>
  <c r="AA300" i="1"/>
  <c r="AB300" i="1"/>
  <c r="AC300" i="1"/>
  <c r="AD300" i="1"/>
  <c r="AE300" i="1"/>
  <c r="V301" i="1"/>
  <c r="W301" i="1"/>
  <c r="X301" i="1"/>
  <c r="Y301" i="1"/>
  <c r="Z301" i="1"/>
  <c r="AA301" i="1"/>
  <c r="AB301" i="1"/>
  <c r="AC301" i="1"/>
  <c r="AD301" i="1"/>
  <c r="AE301" i="1"/>
  <c r="V302" i="1"/>
  <c r="W302" i="1"/>
  <c r="X302" i="1"/>
  <c r="Y302" i="1"/>
  <c r="Z302" i="1"/>
  <c r="AA302" i="1"/>
  <c r="AB302" i="1"/>
  <c r="AC302" i="1"/>
  <c r="AD302" i="1"/>
  <c r="AE302" i="1"/>
  <c r="V303" i="1"/>
  <c r="W303" i="1"/>
  <c r="X303" i="1"/>
  <c r="Y303" i="1"/>
  <c r="Z303" i="1"/>
  <c r="AA303" i="1"/>
  <c r="AB303" i="1"/>
  <c r="AC303" i="1"/>
  <c r="AD303" i="1"/>
  <c r="AE303" i="1"/>
  <c r="V304" i="1"/>
  <c r="W304" i="1"/>
  <c r="X304" i="1"/>
  <c r="Y304" i="1"/>
  <c r="Z304" i="1"/>
  <c r="AA304" i="1"/>
  <c r="AB304" i="1"/>
  <c r="AC304" i="1"/>
  <c r="AD304" i="1"/>
  <c r="AE304" i="1"/>
  <c r="V305" i="1"/>
  <c r="W305" i="1"/>
  <c r="X305" i="1"/>
  <c r="Y305" i="1"/>
  <c r="Z305" i="1"/>
  <c r="AA305" i="1"/>
  <c r="AB305" i="1"/>
  <c r="AC305" i="1"/>
  <c r="AD305" i="1"/>
  <c r="AE305" i="1"/>
  <c r="V306" i="1"/>
  <c r="W306" i="1"/>
  <c r="X306" i="1"/>
  <c r="Y306" i="1"/>
  <c r="Z306" i="1"/>
  <c r="AA306" i="1"/>
  <c r="AB306" i="1"/>
  <c r="AC306" i="1"/>
  <c r="AD306" i="1"/>
  <c r="AE306" i="1"/>
  <c r="V307" i="1"/>
  <c r="W307" i="1"/>
  <c r="X307" i="1"/>
  <c r="Y307" i="1"/>
  <c r="Z307" i="1"/>
  <c r="AA307" i="1"/>
  <c r="AB307" i="1"/>
  <c r="AC307" i="1"/>
  <c r="AD307" i="1"/>
  <c r="AE307" i="1"/>
  <c r="V308" i="1"/>
  <c r="W308" i="1"/>
  <c r="X308" i="1"/>
  <c r="Y308" i="1"/>
  <c r="Z308" i="1"/>
  <c r="AA308" i="1"/>
  <c r="AB308" i="1"/>
  <c r="AC308" i="1"/>
  <c r="AD308" i="1"/>
  <c r="AE308" i="1"/>
  <c r="V309" i="1"/>
  <c r="W309" i="1"/>
  <c r="X309" i="1"/>
  <c r="Y309" i="1"/>
  <c r="Z309" i="1"/>
  <c r="AA309" i="1"/>
  <c r="AB309" i="1"/>
  <c r="AC309" i="1"/>
  <c r="AD309" i="1"/>
  <c r="AE309" i="1"/>
  <c r="V310" i="1"/>
  <c r="W310" i="1"/>
  <c r="X310" i="1"/>
  <c r="Y310" i="1"/>
  <c r="Z310" i="1"/>
  <c r="AA310" i="1"/>
  <c r="AB310" i="1"/>
  <c r="AC310" i="1"/>
  <c r="AD310" i="1"/>
  <c r="AE310" i="1"/>
  <c r="V311" i="1"/>
  <c r="W311" i="1"/>
  <c r="X311" i="1"/>
  <c r="Y311" i="1"/>
  <c r="Z311" i="1"/>
  <c r="AA311" i="1"/>
  <c r="AB311" i="1"/>
  <c r="AC311" i="1"/>
  <c r="AD311" i="1"/>
  <c r="AE311" i="1"/>
  <c r="V312" i="1"/>
  <c r="W312" i="1"/>
  <c r="X312" i="1"/>
  <c r="Y312" i="1"/>
  <c r="Z312" i="1"/>
  <c r="AA312" i="1"/>
  <c r="AB312" i="1"/>
  <c r="AC312" i="1"/>
  <c r="AD312" i="1"/>
  <c r="AE312" i="1"/>
  <c r="V313" i="1"/>
  <c r="W313" i="1"/>
  <c r="X313" i="1"/>
  <c r="Y313" i="1"/>
  <c r="Z313" i="1"/>
  <c r="AA313" i="1"/>
  <c r="AB313" i="1"/>
  <c r="AC313" i="1"/>
  <c r="AD313" i="1"/>
  <c r="AE313" i="1"/>
  <c r="V314" i="1"/>
  <c r="W314" i="1"/>
  <c r="X314" i="1"/>
  <c r="Y314" i="1"/>
  <c r="Z314" i="1"/>
  <c r="AA314" i="1"/>
  <c r="AB314" i="1"/>
  <c r="AC314" i="1"/>
  <c r="AD314" i="1"/>
  <c r="AE314" i="1"/>
  <c r="V315" i="1"/>
  <c r="W315" i="1"/>
  <c r="X315" i="1"/>
  <c r="Y315" i="1"/>
  <c r="Z315" i="1"/>
  <c r="AA315" i="1"/>
  <c r="AB315" i="1"/>
  <c r="AC315" i="1"/>
  <c r="AD315" i="1"/>
  <c r="AE315" i="1"/>
  <c r="V316" i="1"/>
  <c r="W316" i="1"/>
  <c r="X316" i="1"/>
  <c r="Y316" i="1"/>
  <c r="Z316" i="1"/>
  <c r="AA316" i="1"/>
  <c r="AB316" i="1"/>
  <c r="AC316" i="1"/>
  <c r="AD316" i="1"/>
  <c r="AE316" i="1"/>
  <c r="V317" i="1"/>
  <c r="W317" i="1"/>
  <c r="X317" i="1"/>
  <c r="Y317" i="1"/>
  <c r="Z317" i="1"/>
  <c r="AA317" i="1"/>
  <c r="AB317" i="1"/>
  <c r="AC317" i="1"/>
  <c r="AD317" i="1"/>
  <c r="AE317" i="1"/>
  <c r="V318" i="1"/>
  <c r="W318" i="1"/>
  <c r="X318" i="1"/>
  <c r="Y318" i="1"/>
  <c r="Z318" i="1"/>
  <c r="AA318" i="1"/>
  <c r="AB318" i="1"/>
  <c r="AC318" i="1"/>
  <c r="AD318" i="1"/>
  <c r="AE318" i="1"/>
  <c r="V319" i="1"/>
  <c r="W319" i="1"/>
  <c r="X319" i="1"/>
  <c r="Y319" i="1"/>
  <c r="Z319" i="1"/>
  <c r="AA319" i="1"/>
  <c r="AB319" i="1"/>
  <c r="AC319" i="1"/>
  <c r="AD319" i="1"/>
  <c r="AE319" i="1"/>
  <c r="V320" i="1"/>
  <c r="W320" i="1"/>
  <c r="X320" i="1"/>
  <c r="Y320" i="1"/>
  <c r="Z320" i="1"/>
  <c r="AA320" i="1"/>
  <c r="AB320" i="1"/>
  <c r="AC320" i="1"/>
  <c r="AD320" i="1"/>
  <c r="AE320" i="1"/>
  <c r="V321" i="1"/>
  <c r="W321" i="1"/>
  <c r="X321" i="1"/>
  <c r="Y321" i="1"/>
  <c r="Z321" i="1"/>
  <c r="AA321" i="1"/>
  <c r="AB321" i="1"/>
  <c r="AC321" i="1"/>
  <c r="AD321" i="1"/>
  <c r="AE321" i="1"/>
  <c r="V322" i="1"/>
  <c r="W322" i="1"/>
  <c r="X322" i="1"/>
  <c r="Y322" i="1"/>
  <c r="Z322" i="1"/>
  <c r="AA322" i="1"/>
  <c r="AB322" i="1"/>
  <c r="AC322" i="1"/>
  <c r="AD322" i="1"/>
  <c r="AE322" i="1"/>
  <c r="V323" i="1"/>
  <c r="W323" i="1"/>
  <c r="X323" i="1"/>
  <c r="Y323" i="1"/>
  <c r="Z323" i="1"/>
  <c r="AA323" i="1"/>
  <c r="AB323" i="1"/>
  <c r="AC323" i="1"/>
  <c r="AD323" i="1"/>
  <c r="AE323" i="1"/>
  <c r="V324" i="1"/>
  <c r="W324" i="1"/>
  <c r="X324" i="1"/>
  <c r="Y324" i="1"/>
  <c r="Z324" i="1"/>
  <c r="AA324" i="1"/>
  <c r="AB324" i="1"/>
  <c r="AC324" i="1"/>
  <c r="AD324" i="1"/>
  <c r="AE324" i="1"/>
  <c r="V325" i="1"/>
  <c r="W325" i="1"/>
  <c r="X325" i="1"/>
  <c r="Y325" i="1"/>
  <c r="Z325" i="1"/>
  <c r="AA325" i="1"/>
  <c r="AB325" i="1"/>
  <c r="AC325" i="1"/>
  <c r="AD325" i="1"/>
  <c r="AE325" i="1"/>
  <c r="V326" i="1"/>
  <c r="W326" i="1"/>
  <c r="X326" i="1"/>
  <c r="Y326" i="1"/>
  <c r="Z326" i="1"/>
  <c r="AA326" i="1"/>
  <c r="AB326" i="1"/>
  <c r="AC326" i="1"/>
  <c r="AD326" i="1"/>
  <c r="AE326" i="1"/>
  <c r="V327" i="1"/>
  <c r="W327" i="1"/>
  <c r="X327" i="1"/>
  <c r="Y327" i="1"/>
  <c r="Z327" i="1"/>
  <c r="AA327" i="1"/>
  <c r="AB327" i="1"/>
  <c r="AC327" i="1"/>
  <c r="AD327" i="1"/>
  <c r="AE327" i="1"/>
  <c r="V328" i="1"/>
  <c r="W328" i="1"/>
  <c r="X328" i="1"/>
  <c r="Y328" i="1"/>
  <c r="Z328" i="1"/>
  <c r="AA328" i="1"/>
  <c r="AB328" i="1"/>
  <c r="AC328" i="1"/>
  <c r="AD328" i="1"/>
  <c r="AE328" i="1"/>
  <c r="V329" i="1"/>
  <c r="W329" i="1"/>
  <c r="X329" i="1"/>
  <c r="Y329" i="1"/>
  <c r="Z329" i="1"/>
  <c r="AA329" i="1"/>
  <c r="AB329" i="1"/>
  <c r="AC329" i="1"/>
  <c r="AD329" i="1"/>
  <c r="AE329" i="1"/>
  <c r="V330" i="1"/>
  <c r="W330" i="1"/>
  <c r="X330" i="1"/>
  <c r="Y330" i="1"/>
  <c r="Z330" i="1"/>
  <c r="AA330" i="1"/>
  <c r="AB330" i="1"/>
  <c r="AC330" i="1"/>
  <c r="AD330" i="1"/>
  <c r="AE330" i="1"/>
  <c r="V331" i="1"/>
  <c r="W331" i="1"/>
  <c r="X331" i="1"/>
  <c r="Y331" i="1"/>
  <c r="Z331" i="1"/>
  <c r="AA331" i="1"/>
  <c r="AB331" i="1"/>
  <c r="AC331" i="1"/>
  <c r="AD331" i="1"/>
  <c r="AE331" i="1"/>
  <c r="V332" i="1"/>
  <c r="W332" i="1"/>
  <c r="X332" i="1"/>
  <c r="Y332" i="1"/>
  <c r="Z332" i="1"/>
  <c r="AA332" i="1"/>
  <c r="AB332" i="1"/>
  <c r="AC332" i="1"/>
  <c r="AD332" i="1"/>
  <c r="AE332" i="1"/>
  <c r="V333" i="1"/>
  <c r="W333" i="1"/>
  <c r="X333" i="1"/>
  <c r="Y333" i="1"/>
  <c r="Z333" i="1"/>
  <c r="AA333" i="1"/>
  <c r="AB333" i="1"/>
  <c r="AC333" i="1"/>
  <c r="AD333" i="1"/>
  <c r="AE333" i="1"/>
  <c r="V334" i="1"/>
  <c r="W334" i="1"/>
  <c r="X334" i="1"/>
  <c r="Y334" i="1"/>
  <c r="Z334" i="1"/>
  <c r="AA334" i="1"/>
  <c r="AB334" i="1"/>
  <c r="AC334" i="1"/>
  <c r="AD334" i="1"/>
  <c r="AE334" i="1"/>
  <c r="V335" i="1"/>
  <c r="W335" i="1"/>
  <c r="X335" i="1"/>
  <c r="Y335" i="1"/>
  <c r="Z335" i="1"/>
  <c r="AA335" i="1"/>
  <c r="AB335" i="1"/>
  <c r="AC335" i="1"/>
  <c r="AD335" i="1"/>
  <c r="AE335" i="1"/>
  <c r="V336" i="1"/>
  <c r="W336" i="1"/>
  <c r="X336" i="1"/>
  <c r="Y336" i="1"/>
  <c r="Z336" i="1"/>
  <c r="AA336" i="1"/>
  <c r="AB336" i="1"/>
  <c r="AC336" i="1"/>
  <c r="AD336" i="1"/>
  <c r="AE336" i="1"/>
  <c r="V337" i="1"/>
  <c r="W337" i="1"/>
  <c r="X337" i="1"/>
  <c r="Y337" i="1"/>
  <c r="Z337" i="1"/>
  <c r="AA337" i="1"/>
  <c r="AB337" i="1"/>
  <c r="AC337" i="1"/>
  <c r="AD337" i="1"/>
  <c r="AE337" i="1"/>
  <c r="V338" i="1"/>
  <c r="W338" i="1"/>
  <c r="X338" i="1"/>
  <c r="Y338" i="1"/>
  <c r="Z338" i="1"/>
  <c r="AA338" i="1"/>
  <c r="AB338" i="1"/>
  <c r="AC338" i="1"/>
  <c r="AD338" i="1"/>
  <c r="AE338" i="1"/>
  <c r="V339" i="1"/>
  <c r="W339" i="1"/>
  <c r="X339" i="1"/>
  <c r="Y339" i="1"/>
  <c r="Z339" i="1"/>
  <c r="AA339" i="1"/>
  <c r="AB339" i="1"/>
  <c r="AC339" i="1"/>
  <c r="AD339" i="1"/>
  <c r="AE339" i="1"/>
  <c r="V340" i="1"/>
  <c r="W340" i="1"/>
  <c r="X340" i="1"/>
  <c r="Y340" i="1"/>
  <c r="Z340" i="1"/>
  <c r="AA340" i="1"/>
  <c r="AB340" i="1"/>
  <c r="AC340" i="1"/>
  <c r="AD340" i="1"/>
  <c r="AE340" i="1"/>
  <c r="V341" i="1"/>
  <c r="W341" i="1"/>
  <c r="X341" i="1"/>
  <c r="Y341" i="1"/>
  <c r="Z341" i="1"/>
  <c r="AA341" i="1"/>
  <c r="AB341" i="1"/>
  <c r="AC341" i="1"/>
  <c r="AD341" i="1"/>
  <c r="AE341" i="1"/>
  <c r="V342" i="1"/>
  <c r="W342" i="1"/>
  <c r="X342" i="1"/>
  <c r="Y342" i="1"/>
  <c r="Z342" i="1"/>
  <c r="AA342" i="1"/>
  <c r="AB342" i="1"/>
  <c r="AC342" i="1"/>
  <c r="AD342" i="1"/>
  <c r="AE342" i="1"/>
  <c r="V343" i="1"/>
  <c r="W343" i="1"/>
  <c r="X343" i="1"/>
  <c r="Y343" i="1"/>
  <c r="Z343" i="1"/>
  <c r="AA343" i="1"/>
  <c r="AB343" i="1"/>
  <c r="AC343" i="1"/>
  <c r="AD343" i="1"/>
  <c r="AE343" i="1"/>
  <c r="V344" i="1"/>
  <c r="W344" i="1"/>
  <c r="X344" i="1"/>
  <c r="Y344" i="1"/>
  <c r="Z344" i="1"/>
  <c r="AA344" i="1"/>
  <c r="AB344" i="1"/>
  <c r="AC344" i="1"/>
  <c r="AD344" i="1"/>
  <c r="AE344" i="1"/>
  <c r="V345" i="1"/>
  <c r="W345" i="1"/>
  <c r="X345" i="1"/>
  <c r="Y345" i="1"/>
  <c r="Z345" i="1"/>
  <c r="AA345" i="1"/>
  <c r="AB345" i="1"/>
  <c r="AC345" i="1"/>
  <c r="AD345" i="1"/>
  <c r="AE345" i="1"/>
  <c r="V346" i="1"/>
  <c r="W346" i="1"/>
  <c r="X346" i="1"/>
  <c r="Y346" i="1"/>
  <c r="Z346" i="1"/>
  <c r="AA346" i="1"/>
  <c r="AB346" i="1"/>
  <c r="AC346" i="1"/>
  <c r="AD346" i="1"/>
  <c r="AE346" i="1"/>
  <c r="V347" i="1"/>
  <c r="W347" i="1"/>
  <c r="X347" i="1"/>
  <c r="Y347" i="1"/>
  <c r="Z347" i="1"/>
  <c r="AA347" i="1"/>
  <c r="AB347" i="1"/>
  <c r="AC347" i="1"/>
  <c r="AD347" i="1"/>
  <c r="AE347" i="1"/>
  <c r="V348" i="1"/>
  <c r="W348" i="1"/>
  <c r="X348" i="1"/>
  <c r="Y348" i="1"/>
  <c r="Z348" i="1"/>
  <c r="AA348" i="1"/>
  <c r="AB348" i="1"/>
  <c r="AC348" i="1"/>
  <c r="AD348" i="1"/>
  <c r="AE348" i="1"/>
  <c r="V349" i="1"/>
  <c r="W349" i="1"/>
  <c r="X349" i="1"/>
  <c r="Y349" i="1"/>
  <c r="Z349" i="1"/>
  <c r="AA349" i="1"/>
  <c r="AB349" i="1"/>
  <c r="AC349" i="1"/>
  <c r="AD349" i="1"/>
  <c r="AE349" i="1"/>
  <c r="V350" i="1"/>
  <c r="W350" i="1"/>
  <c r="X350" i="1"/>
  <c r="Y350" i="1"/>
  <c r="Z350" i="1"/>
  <c r="AA350" i="1"/>
  <c r="AB350" i="1"/>
  <c r="AC350" i="1"/>
  <c r="AD350" i="1"/>
  <c r="AE350" i="1"/>
  <c r="V351" i="1"/>
  <c r="W351" i="1"/>
  <c r="X351" i="1"/>
  <c r="Y351" i="1"/>
  <c r="Z351" i="1"/>
  <c r="AA351" i="1"/>
  <c r="AB351" i="1"/>
  <c r="AC351" i="1"/>
  <c r="AD351" i="1"/>
  <c r="AE351" i="1"/>
  <c r="V352" i="1"/>
  <c r="W352" i="1"/>
  <c r="X352" i="1"/>
  <c r="Y352" i="1"/>
  <c r="Z352" i="1"/>
  <c r="AA352" i="1"/>
  <c r="AB352" i="1"/>
  <c r="AC352" i="1"/>
  <c r="AD352" i="1"/>
  <c r="AE352" i="1"/>
  <c r="V353" i="1"/>
  <c r="W353" i="1"/>
  <c r="X353" i="1"/>
  <c r="Y353" i="1"/>
  <c r="Z353" i="1"/>
  <c r="AA353" i="1"/>
  <c r="AB353" i="1"/>
  <c r="AC353" i="1"/>
  <c r="AD353" i="1"/>
  <c r="AE353" i="1"/>
  <c r="V354" i="1"/>
  <c r="W354" i="1"/>
  <c r="X354" i="1"/>
  <c r="Y354" i="1"/>
  <c r="Z354" i="1"/>
  <c r="AA354" i="1"/>
  <c r="AB354" i="1"/>
  <c r="AC354" i="1"/>
  <c r="AD354" i="1"/>
  <c r="AE354" i="1"/>
  <c r="V355" i="1"/>
  <c r="W355" i="1"/>
  <c r="X355" i="1"/>
  <c r="Y355" i="1"/>
  <c r="Z355" i="1"/>
  <c r="AA355" i="1"/>
  <c r="AB355" i="1"/>
  <c r="AC355" i="1"/>
  <c r="AD355" i="1"/>
  <c r="AE355" i="1"/>
  <c r="V356" i="1"/>
  <c r="W356" i="1"/>
  <c r="X356" i="1"/>
  <c r="Y356" i="1"/>
  <c r="Z356" i="1"/>
  <c r="AA356" i="1"/>
  <c r="AB356" i="1"/>
  <c r="AC356" i="1"/>
  <c r="AD356" i="1"/>
  <c r="AE356" i="1"/>
  <c r="V357" i="1"/>
  <c r="W357" i="1"/>
  <c r="X357" i="1"/>
  <c r="Y357" i="1"/>
  <c r="Z357" i="1"/>
  <c r="AA357" i="1"/>
  <c r="AB357" i="1"/>
  <c r="AC357" i="1"/>
  <c r="AD357" i="1"/>
  <c r="AE357" i="1"/>
  <c r="V358" i="1"/>
  <c r="W358" i="1"/>
  <c r="X358" i="1"/>
  <c r="Y358" i="1"/>
  <c r="Z358" i="1"/>
  <c r="AA358" i="1"/>
  <c r="AB358" i="1"/>
  <c r="AC358" i="1"/>
  <c r="AD358" i="1"/>
  <c r="AE358" i="1"/>
  <c r="V359" i="1"/>
  <c r="W359" i="1"/>
  <c r="X359" i="1"/>
  <c r="Y359" i="1"/>
  <c r="Z359" i="1"/>
  <c r="AA359" i="1"/>
  <c r="AB359" i="1"/>
  <c r="AC359" i="1"/>
  <c r="AD359" i="1"/>
  <c r="AE359" i="1"/>
  <c r="V360" i="1"/>
  <c r="W360" i="1"/>
  <c r="X360" i="1"/>
  <c r="Y360" i="1"/>
  <c r="Z360" i="1"/>
  <c r="AA360" i="1"/>
  <c r="AB360" i="1"/>
  <c r="AC360" i="1"/>
  <c r="AD360" i="1"/>
  <c r="AE360" i="1"/>
  <c r="V361" i="1"/>
  <c r="W361" i="1"/>
  <c r="X361" i="1"/>
  <c r="Y361" i="1"/>
  <c r="Z361" i="1"/>
  <c r="AA361" i="1"/>
  <c r="AB361" i="1"/>
  <c r="AC361" i="1"/>
  <c r="AD361" i="1"/>
  <c r="AE361" i="1"/>
  <c r="V362" i="1"/>
  <c r="W362" i="1"/>
  <c r="X362" i="1"/>
  <c r="Y362" i="1"/>
  <c r="Z362" i="1"/>
  <c r="AA362" i="1"/>
  <c r="AB362" i="1"/>
  <c r="AC362" i="1"/>
  <c r="AD362" i="1"/>
  <c r="AE362" i="1"/>
  <c r="V363" i="1"/>
  <c r="W363" i="1"/>
  <c r="X363" i="1"/>
  <c r="Y363" i="1"/>
  <c r="Z363" i="1"/>
  <c r="AA363" i="1"/>
  <c r="AB363" i="1"/>
  <c r="AC363" i="1"/>
  <c r="AD363" i="1"/>
  <c r="AE363" i="1"/>
  <c r="V364" i="1"/>
  <c r="W364" i="1"/>
  <c r="X364" i="1"/>
  <c r="Y364" i="1"/>
  <c r="Z364" i="1"/>
  <c r="AA364" i="1"/>
  <c r="AB364" i="1"/>
  <c r="AC364" i="1"/>
  <c r="AD364" i="1"/>
  <c r="AE364" i="1"/>
  <c r="V365" i="1"/>
  <c r="W365" i="1"/>
  <c r="X365" i="1"/>
  <c r="Y365" i="1"/>
  <c r="Z365" i="1"/>
  <c r="AA365" i="1"/>
  <c r="AB365" i="1"/>
  <c r="AC365" i="1"/>
  <c r="AD365" i="1"/>
  <c r="AE365" i="1"/>
  <c r="V366" i="1"/>
  <c r="W366" i="1"/>
  <c r="X366" i="1"/>
  <c r="Y366" i="1"/>
  <c r="Z366" i="1"/>
  <c r="AA366" i="1"/>
  <c r="AB366" i="1"/>
  <c r="AC366" i="1"/>
  <c r="AD366" i="1"/>
  <c r="AE366" i="1"/>
  <c r="V367" i="1"/>
  <c r="W367" i="1"/>
  <c r="X367" i="1"/>
  <c r="Y367" i="1"/>
  <c r="Z367" i="1"/>
  <c r="AA367" i="1"/>
  <c r="AB367" i="1"/>
  <c r="AC367" i="1"/>
  <c r="AD367" i="1"/>
  <c r="AE367" i="1"/>
  <c r="V368" i="1"/>
  <c r="W368" i="1"/>
  <c r="X368" i="1"/>
  <c r="Y368" i="1"/>
  <c r="Z368" i="1"/>
  <c r="AA368" i="1"/>
  <c r="AB368" i="1"/>
  <c r="AC368" i="1"/>
  <c r="AD368" i="1"/>
  <c r="AE368" i="1"/>
  <c r="V369" i="1"/>
  <c r="W369" i="1"/>
  <c r="X369" i="1"/>
  <c r="Y369" i="1"/>
  <c r="Z369" i="1"/>
  <c r="AA369" i="1"/>
  <c r="AB369" i="1"/>
  <c r="AC369" i="1"/>
  <c r="AD369" i="1"/>
  <c r="AE369" i="1"/>
  <c r="V370" i="1"/>
  <c r="W370" i="1"/>
  <c r="X370" i="1"/>
  <c r="Y370" i="1"/>
  <c r="Z370" i="1"/>
  <c r="AA370" i="1"/>
  <c r="AB370" i="1"/>
  <c r="AC370" i="1"/>
  <c r="AD370" i="1"/>
  <c r="AE370" i="1"/>
  <c r="V371" i="1"/>
  <c r="W371" i="1"/>
  <c r="X371" i="1"/>
  <c r="Y371" i="1"/>
  <c r="Z371" i="1"/>
  <c r="AA371" i="1"/>
  <c r="AB371" i="1"/>
  <c r="AC371" i="1"/>
  <c r="AD371" i="1"/>
  <c r="AE371" i="1"/>
  <c r="V372" i="1"/>
  <c r="W372" i="1"/>
  <c r="X372" i="1"/>
  <c r="Y372" i="1"/>
  <c r="Z372" i="1"/>
  <c r="AA372" i="1"/>
  <c r="AB372" i="1"/>
  <c r="AC372" i="1"/>
  <c r="AD372" i="1"/>
  <c r="AE372" i="1"/>
  <c r="V373" i="1"/>
  <c r="W373" i="1"/>
  <c r="X373" i="1"/>
  <c r="Y373" i="1"/>
  <c r="Z373" i="1"/>
  <c r="AA373" i="1"/>
  <c r="AB373" i="1"/>
  <c r="AC373" i="1"/>
  <c r="AD373" i="1"/>
  <c r="AE373" i="1"/>
  <c r="V374" i="1"/>
  <c r="W374" i="1"/>
  <c r="X374" i="1"/>
  <c r="Y374" i="1"/>
  <c r="Z374" i="1"/>
  <c r="AA374" i="1"/>
  <c r="AB374" i="1"/>
  <c r="AC374" i="1"/>
  <c r="AD374" i="1"/>
  <c r="AE374" i="1"/>
  <c r="V375" i="1"/>
  <c r="W375" i="1"/>
  <c r="X375" i="1"/>
  <c r="Y375" i="1"/>
  <c r="Z375" i="1"/>
  <c r="AA375" i="1"/>
  <c r="AB375" i="1"/>
  <c r="AC375" i="1"/>
  <c r="AD375" i="1"/>
  <c r="AE375" i="1"/>
  <c r="V376" i="1"/>
  <c r="W376" i="1"/>
  <c r="X376" i="1"/>
  <c r="Y376" i="1"/>
  <c r="Z376" i="1"/>
  <c r="AA376" i="1"/>
  <c r="AB376" i="1"/>
  <c r="AC376" i="1"/>
  <c r="AD376" i="1"/>
  <c r="AE376" i="1"/>
  <c r="V377" i="1"/>
  <c r="W377" i="1"/>
  <c r="X377" i="1"/>
  <c r="Y377" i="1"/>
  <c r="Z377" i="1"/>
  <c r="AA377" i="1"/>
  <c r="AB377" i="1"/>
  <c r="AC377" i="1"/>
  <c r="AD377" i="1"/>
  <c r="AE377" i="1"/>
  <c r="V378" i="1"/>
  <c r="W378" i="1"/>
  <c r="X378" i="1"/>
  <c r="Y378" i="1"/>
  <c r="Z378" i="1"/>
  <c r="AA378" i="1"/>
  <c r="AB378" i="1"/>
  <c r="AC378" i="1"/>
  <c r="AD378" i="1"/>
  <c r="AE378" i="1"/>
  <c r="V379" i="1"/>
  <c r="W379" i="1"/>
  <c r="X379" i="1"/>
  <c r="Y379" i="1"/>
  <c r="Z379" i="1"/>
  <c r="AA379" i="1"/>
  <c r="AB379" i="1"/>
  <c r="AC379" i="1"/>
  <c r="AD379" i="1"/>
  <c r="AE379" i="1"/>
  <c r="V380" i="1"/>
  <c r="W380" i="1"/>
  <c r="X380" i="1"/>
  <c r="Y380" i="1"/>
  <c r="Z380" i="1"/>
  <c r="AA380" i="1"/>
  <c r="AB380" i="1"/>
  <c r="AC380" i="1"/>
  <c r="AD380" i="1"/>
  <c r="AE380" i="1"/>
  <c r="V381" i="1"/>
  <c r="W381" i="1"/>
  <c r="X381" i="1"/>
  <c r="Y381" i="1"/>
  <c r="Z381" i="1"/>
  <c r="AA381" i="1"/>
  <c r="AB381" i="1"/>
  <c r="AC381" i="1"/>
  <c r="AD381" i="1"/>
  <c r="AE381" i="1"/>
  <c r="V382" i="1"/>
  <c r="W382" i="1"/>
  <c r="X382" i="1"/>
  <c r="Y382" i="1"/>
  <c r="Z382" i="1"/>
  <c r="AA382" i="1"/>
  <c r="AB382" i="1"/>
  <c r="AC382" i="1"/>
  <c r="AD382" i="1"/>
  <c r="AE382" i="1"/>
  <c r="V383" i="1"/>
  <c r="W383" i="1"/>
  <c r="X383" i="1"/>
  <c r="Y383" i="1"/>
  <c r="Z383" i="1"/>
  <c r="AA383" i="1"/>
  <c r="AB383" i="1"/>
  <c r="AC383" i="1"/>
  <c r="AD383" i="1"/>
  <c r="AE383" i="1"/>
  <c r="V384" i="1"/>
  <c r="W384" i="1"/>
  <c r="X384" i="1"/>
  <c r="Y384" i="1"/>
  <c r="Z384" i="1"/>
  <c r="AA384" i="1"/>
  <c r="AB384" i="1"/>
  <c r="AC384" i="1"/>
  <c r="AD384" i="1"/>
  <c r="AE384" i="1"/>
  <c r="V385" i="1"/>
  <c r="W385" i="1"/>
  <c r="X385" i="1"/>
  <c r="Y385" i="1"/>
  <c r="Z385" i="1"/>
  <c r="AA385" i="1"/>
  <c r="AB385" i="1"/>
  <c r="AC385" i="1"/>
  <c r="AD385" i="1"/>
  <c r="AE385" i="1"/>
  <c r="V386" i="1"/>
  <c r="W386" i="1"/>
  <c r="X386" i="1"/>
  <c r="Y386" i="1"/>
  <c r="Z386" i="1"/>
  <c r="AA386" i="1"/>
  <c r="AB386" i="1"/>
  <c r="AC386" i="1"/>
  <c r="AD386" i="1"/>
  <c r="AE386" i="1"/>
  <c r="V387" i="1"/>
  <c r="W387" i="1"/>
  <c r="X387" i="1"/>
  <c r="Y387" i="1"/>
  <c r="Z387" i="1"/>
  <c r="AA387" i="1"/>
  <c r="AB387" i="1"/>
  <c r="AC387" i="1"/>
  <c r="AD387" i="1"/>
  <c r="AE387" i="1"/>
  <c r="V388" i="1"/>
  <c r="W388" i="1"/>
  <c r="X388" i="1"/>
  <c r="Y388" i="1"/>
  <c r="Z388" i="1"/>
  <c r="AA388" i="1"/>
  <c r="AB388" i="1"/>
  <c r="AC388" i="1"/>
  <c r="AD388" i="1"/>
  <c r="AE388" i="1"/>
  <c r="V389" i="1"/>
  <c r="W389" i="1"/>
  <c r="X389" i="1"/>
  <c r="Y389" i="1"/>
  <c r="Z389" i="1"/>
  <c r="AA389" i="1"/>
  <c r="AB389" i="1"/>
  <c r="AC389" i="1"/>
  <c r="AD389" i="1"/>
  <c r="AE389" i="1"/>
  <c r="V390" i="1"/>
  <c r="W390" i="1"/>
  <c r="X390" i="1"/>
  <c r="Y390" i="1"/>
  <c r="Z390" i="1"/>
  <c r="AA390" i="1"/>
  <c r="AB390" i="1"/>
  <c r="AC390" i="1"/>
  <c r="AD390" i="1"/>
  <c r="AE390" i="1"/>
  <c r="V391" i="1"/>
  <c r="W391" i="1"/>
  <c r="X391" i="1"/>
  <c r="Y391" i="1"/>
  <c r="Z391" i="1"/>
  <c r="AA391" i="1"/>
  <c r="AB391" i="1"/>
  <c r="AC391" i="1"/>
  <c r="AD391" i="1"/>
  <c r="AE391" i="1"/>
  <c r="V392" i="1"/>
  <c r="W392" i="1"/>
  <c r="X392" i="1"/>
  <c r="Y392" i="1"/>
  <c r="Z392" i="1"/>
  <c r="AA392" i="1"/>
  <c r="AB392" i="1"/>
  <c r="AC392" i="1"/>
  <c r="AD392" i="1"/>
  <c r="AE392" i="1"/>
  <c r="V393" i="1"/>
  <c r="W393" i="1"/>
  <c r="X393" i="1"/>
  <c r="Y393" i="1"/>
  <c r="Z393" i="1"/>
  <c r="AA393" i="1"/>
  <c r="AB393" i="1"/>
  <c r="AC393" i="1"/>
  <c r="AD393" i="1"/>
  <c r="AE393" i="1"/>
  <c r="V394" i="1"/>
  <c r="W394" i="1"/>
  <c r="X394" i="1"/>
  <c r="Y394" i="1"/>
  <c r="Z394" i="1"/>
  <c r="AA394" i="1"/>
  <c r="AB394" i="1"/>
  <c r="AC394" i="1"/>
  <c r="AD394" i="1"/>
  <c r="AE394" i="1"/>
  <c r="V395" i="1"/>
  <c r="W395" i="1"/>
  <c r="X395" i="1"/>
  <c r="Y395" i="1"/>
  <c r="Z395" i="1"/>
  <c r="AA395" i="1"/>
  <c r="AB395" i="1"/>
  <c r="AC395" i="1"/>
  <c r="AD395" i="1"/>
  <c r="AE395" i="1"/>
  <c r="V396" i="1"/>
  <c r="W396" i="1"/>
  <c r="X396" i="1"/>
  <c r="Y396" i="1"/>
  <c r="Z396" i="1"/>
  <c r="AA396" i="1"/>
  <c r="AB396" i="1"/>
  <c r="AC396" i="1"/>
  <c r="AD396" i="1"/>
  <c r="AE396" i="1"/>
  <c r="V397" i="1"/>
  <c r="W397" i="1"/>
  <c r="X397" i="1"/>
  <c r="Y397" i="1"/>
  <c r="Z397" i="1"/>
  <c r="AA397" i="1"/>
  <c r="AB397" i="1"/>
  <c r="AC397" i="1"/>
  <c r="AD397" i="1"/>
  <c r="AE397" i="1"/>
  <c r="V398" i="1"/>
  <c r="W398" i="1"/>
  <c r="X398" i="1"/>
  <c r="Y398" i="1"/>
  <c r="Z398" i="1"/>
  <c r="AA398" i="1"/>
  <c r="AB398" i="1"/>
  <c r="AC398" i="1"/>
  <c r="AD398" i="1"/>
  <c r="AE398" i="1"/>
  <c r="V399" i="1"/>
  <c r="W399" i="1"/>
  <c r="X399" i="1"/>
  <c r="Y399" i="1"/>
  <c r="Z399" i="1"/>
  <c r="AA399" i="1"/>
  <c r="AB399" i="1"/>
  <c r="AC399" i="1"/>
  <c r="AD399" i="1"/>
  <c r="AE399" i="1"/>
  <c r="V400" i="1"/>
  <c r="W400" i="1"/>
  <c r="X400" i="1"/>
  <c r="Y400" i="1"/>
  <c r="Z400" i="1"/>
  <c r="AA400" i="1"/>
  <c r="AB400" i="1"/>
  <c r="AC400" i="1"/>
  <c r="AD400" i="1"/>
  <c r="AE400" i="1"/>
  <c r="V401" i="1"/>
  <c r="W401" i="1"/>
  <c r="X401" i="1"/>
  <c r="Y401" i="1"/>
  <c r="Z401" i="1"/>
  <c r="AA401" i="1"/>
  <c r="AB401" i="1"/>
  <c r="AC401" i="1"/>
  <c r="AD401" i="1"/>
  <c r="AE401" i="1"/>
  <c r="V402" i="1"/>
  <c r="W402" i="1"/>
  <c r="X402" i="1"/>
  <c r="Y402" i="1"/>
  <c r="Z402" i="1"/>
  <c r="AA402" i="1"/>
  <c r="AB402" i="1"/>
  <c r="AC402" i="1"/>
  <c r="AD402" i="1"/>
  <c r="AE402" i="1"/>
  <c r="V403" i="1"/>
  <c r="W403" i="1"/>
  <c r="X403" i="1"/>
  <c r="Y403" i="1"/>
  <c r="Z403" i="1"/>
  <c r="AA403" i="1"/>
  <c r="AB403" i="1"/>
  <c r="AC403" i="1"/>
  <c r="AD403" i="1"/>
  <c r="AE403" i="1"/>
  <c r="V404" i="1"/>
  <c r="W404" i="1"/>
  <c r="X404" i="1"/>
  <c r="Y404" i="1"/>
  <c r="Z404" i="1"/>
  <c r="AA404" i="1"/>
  <c r="AB404" i="1"/>
  <c r="AC404" i="1"/>
  <c r="AD404" i="1"/>
  <c r="AE404" i="1"/>
  <c r="V405" i="1"/>
  <c r="W405" i="1"/>
  <c r="X405" i="1"/>
  <c r="Y405" i="1"/>
  <c r="Z405" i="1"/>
  <c r="AA405" i="1"/>
  <c r="AB405" i="1"/>
  <c r="AC405" i="1"/>
  <c r="AD405" i="1"/>
  <c r="AE405" i="1"/>
  <c r="V406" i="1"/>
  <c r="W406" i="1"/>
  <c r="X406" i="1"/>
  <c r="Y406" i="1"/>
  <c r="Z406" i="1"/>
  <c r="AA406" i="1"/>
  <c r="AB406" i="1"/>
  <c r="AC406" i="1"/>
  <c r="AD406" i="1"/>
  <c r="AE406" i="1"/>
  <c r="V407" i="1"/>
  <c r="W407" i="1"/>
  <c r="X407" i="1"/>
  <c r="Y407" i="1"/>
  <c r="Z407" i="1"/>
  <c r="AA407" i="1"/>
  <c r="AB407" i="1"/>
  <c r="AC407" i="1"/>
  <c r="AD407" i="1"/>
  <c r="AE407" i="1"/>
  <c r="V408" i="1"/>
  <c r="W408" i="1"/>
  <c r="X408" i="1"/>
  <c r="Y408" i="1"/>
  <c r="Z408" i="1"/>
  <c r="AA408" i="1"/>
  <c r="AB408" i="1"/>
  <c r="AC408" i="1"/>
  <c r="AD408" i="1"/>
  <c r="AE408" i="1"/>
  <c r="V409" i="1"/>
  <c r="W409" i="1"/>
  <c r="X409" i="1"/>
  <c r="Y409" i="1"/>
  <c r="Z409" i="1"/>
  <c r="AA409" i="1"/>
  <c r="AB409" i="1"/>
  <c r="AC409" i="1"/>
  <c r="AD409" i="1"/>
  <c r="AE409" i="1"/>
  <c r="V410" i="1"/>
  <c r="W410" i="1"/>
  <c r="X410" i="1"/>
  <c r="Y410" i="1"/>
  <c r="Z410" i="1"/>
  <c r="AA410" i="1"/>
  <c r="AB410" i="1"/>
  <c r="AC410" i="1"/>
  <c r="AD410" i="1"/>
  <c r="AE410" i="1"/>
  <c r="V411" i="1"/>
  <c r="W411" i="1"/>
  <c r="X411" i="1"/>
  <c r="Y411" i="1"/>
  <c r="Z411" i="1"/>
  <c r="AA411" i="1"/>
  <c r="AB411" i="1"/>
  <c r="AC411" i="1"/>
  <c r="AD411" i="1"/>
  <c r="AE411" i="1"/>
  <c r="V412" i="1"/>
  <c r="W412" i="1"/>
  <c r="X412" i="1"/>
  <c r="Y412" i="1"/>
  <c r="Z412" i="1"/>
  <c r="AA412" i="1"/>
  <c r="AB412" i="1"/>
  <c r="AC412" i="1"/>
  <c r="AD412" i="1"/>
  <c r="AE412" i="1"/>
  <c r="V413" i="1"/>
  <c r="W413" i="1"/>
  <c r="X413" i="1"/>
  <c r="Y413" i="1"/>
  <c r="Z413" i="1"/>
  <c r="AA413" i="1"/>
  <c r="AB413" i="1"/>
  <c r="AC413" i="1"/>
  <c r="AD413" i="1"/>
  <c r="AE413" i="1"/>
  <c r="V414" i="1"/>
  <c r="W414" i="1"/>
  <c r="X414" i="1"/>
  <c r="Y414" i="1"/>
  <c r="Z414" i="1"/>
  <c r="AA414" i="1"/>
  <c r="AB414" i="1"/>
  <c r="AC414" i="1"/>
  <c r="AD414" i="1"/>
  <c r="AE414" i="1"/>
  <c r="V415" i="1"/>
  <c r="W415" i="1"/>
  <c r="X415" i="1"/>
  <c r="Y415" i="1"/>
  <c r="Z415" i="1"/>
  <c r="AA415" i="1"/>
  <c r="AB415" i="1"/>
  <c r="AC415" i="1"/>
  <c r="AD415" i="1"/>
  <c r="AE415" i="1"/>
  <c r="V416" i="1"/>
  <c r="W416" i="1"/>
  <c r="X416" i="1"/>
  <c r="Y416" i="1"/>
  <c r="Z416" i="1"/>
  <c r="AA416" i="1"/>
  <c r="AB416" i="1"/>
  <c r="AC416" i="1"/>
  <c r="AD416" i="1"/>
  <c r="AE416" i="1"/>
  <c r="V417" i="1"/>
  <c r="W417" i="1"/>
  <c r="X417" i="1"/>
  <c r="Y417" i="1"/>
  <c r="Z417" i="1"/>
  <c r="AA417" i="1"/>
  <c r="AB417" i="1"/>
  <c r="AC417" i="1"/>
  <c r="AD417" i="1"/>
  <c r="AE417" i="1"/>
  <c r="V418" i="1"/>
  <c r="W418" i="1"/>
  <c r="X418" i="1"/>
  <c r="Y418" i="1"/>
  <c r="Z418" i="1"/>
  <c r="AA418" i="1"/>
  <c r="AB418" i="1"/>
  <c r="AC418" i="1"/>
  <c r="AD418" i="1"/>
  <c r="AE418" i="1"/>
  <c r="V419" i="1"/>
  <c r="W419" i="1"/>
  <c r="X419" i="1"/>
  <c r="Y419" i="1"/>
  <c r="Z419" i="1"/>
  <c r="AA419" i="1"/>
  <c r="AB419" i="1"/>
  <c r="AC419" i="1"/>
  <c r="AD419" i="1"/>
  <c r="AE419" i="1"/>
  <c r="V420" i="1"/>
  <c r="W420" i="1"/>
  <c r="X420" i="1"/>
  <c r="Y420" i="1"/>
  <c r="Z420" i="1"/>
  <c r="AA420" i="1"/>
  <c r="AB420" i="1"/>
  <c r="AC420" i="1"/>
  <c r="AD420" i="1"/>
  <c r="AE420" i="1"/>
  <c r="V421" i="1"/>
  <c r="W421" i="1"/>
  <c r="X421" i="1"/>
  <c r="Y421" i="1"/>
  <c r="Z421" i="1"/>
  <c r="AA421" i="1"/>
  <c r="AB421" i="1"/>
  <c r="AC421" i="1"/>
  <c r="AD421" i="1"/>
  <c r="AE421" i="1"/>
  <c r="V422" i="1"/>
  <c r="W422" i="1"/>
  <c r="X422" i="1"/>
  <c r="Y422" i="1"/>
  <c r="Z422" i="1"/>
  <c r="AA422" i="1"/>
  <c r="AB422" i="1"/>
  <c r="AC422" i="1"/>
  <c r="AD422" i="1"/>
  <c r="AE422" i="1"/>
  <c r="V423" i="1"/>
  <c r="W423" i="1"/>
  <c r="X423" i="1"/>
  <c r="Y423" i="1"/>
  <c r="Z423" i="1"/>
  <c r="AA423" i="1"/>
  <c r="AB423" i="1"/>
  <c r="AC423" i="1"/>
  <c r="AD423" i="1"/>
  <c r="AE423" i="1"/>
  <c r="V424" i="1"/>
  <c r="W424" i="1"/>
  <c r="X424" i="1"/>
  <c r="Y424" i="1"/>
  <c r="Z424" i="1"/>
  <c r="AA424" i="1"/>
  <c r="AB424" i="1"/>
  <c r="AC424" i="1"/>
  <c r="AD424" i="1"/>
  <c r="AE424" i="1"/>
  <c r="V425" i="1"/>
  <c r="W425" i="1"/>
  <c r="X425" i="1"/>
  <c r="Y425" i="1"/>
  <c r="Z425" i="1"/>
  <c r="AA425" i="1"/>
  <c r="AB425" i="1"/>
  <c r="AC425" i="1"/>
  <c r="AD425" i="1"/>
  <c r="AE425" i="1"/>
  <c r="V426" i="1"/>
  <c r="W426" i="1"/>
  <c r="X426" i="1"/>
  <c r="Y426" i="1"/>
  <c r="Z426" i="1"/>
  <c r="AA426" i="1"/>
  <c r="AB426" i="1"/>
  <c r="AC426" i="1"/>
  <c r="AD426" i="1"/>
  <c r="AE426" i="1"/>
  <c r="V427" i="1"/>
  <c r="W427" i="1"/>
  <c r="X427" i="1"/>
  <c r="Y427" i="1"/>
  <c r="Z427" i="1"/>
  <c r="AA427" i="1"/>
  <c r="AB427" i="1"/>
  <c r="AC427" i="1"/>
  <c r="AD427" i="1"/>
  <c r="AE427" i="1"/>
  <c r="V428" i="1"/>
  <c r="W428" i="1"/>
  <c r="X428" i="1"/>
  <c r="Y428" i="1"/>
  <c r="Z428" i="1"/>
  <c r="AA428" i="1"/>
  <c r="AB428" i="1"/>
  <c r="AC428" i="1"/>
  <c r="AD428" i="1"/>
  <c r="AE428" i="1"/>
  <c r="V429" i="1"/>
  <c r="W429" i="1"/>
  <c r="X429" i="1"/>
  <c r="Y429" i="1"/>
  <c r="Z429" i="1"/>
  <c r="AA429" i="1"/>
  <c r="AB429" i="1"/>
  <c r="AC429" i="1"/>
  <c r="AD429" i="1"/>
  <c r="AE429" i="1"/>
  <c r="V430" i="1"/>
  <c r="W430" i="1"/>
  <c r="X430" i="1"/>
  <c r="Y430" i="1"/>
  <c r="Z430" i="1"/>
  <c r="AA430" i="1"/>
  <c r="AB430" i="1"/>
  <c r="AC430" i="1"/>
  <c r="AD430" i="1"/>
  <c r="AE430" i="1"/>
  <c r="V431" i="1"/>
  <c r="W431" i="1"/>
  <c r="X431" i="1"/>
  <c r="Y431" i="1"/>
  <c r="Z431" i="1"/>
  <c r="AA431" i="1"/>
  <c r="AB431" i="1"/>
  <c r="AC431" i="1"/>
  <c r="AD431" i="1"/>
  <c r="AE431" i="1"/>
  <c r="V432" i="1"/>
  <c r="W432" i="1"/>
  <c r="X432" i="1"/>
  <c r="Y432" i="1"/>
  <c r="Z432" i="1"/>
  <c r="AA432" i="1"/>
  <c r="AB432" i="1"/>
  <c r="AC432" i="1"/>
  <c r="AD432" i="1"/>
  <c r="AE432" i="1"/>
  <c r="V433" i="1"/>
  <c r="W433" i="1"/>
  <c r="X433" i="1"/>
  <c r="Y433" i="1"/>
  <c r="Z433" i="1"/>
  <c r="AA433" i="1"/>
  <c r="AB433" i="1"/>
  <c r="AC433" i="1"/>
  <c r="AD433" i="1"/>
  <c r="AE433" i="1"/>
  <c r="V434" i="1"/>
  <c r="W434" i="1"/>
  <c r="X434" i="1"/>
  <c r="Y434" i="1"/>
  <c r="Z434" i="1"/>
  <c r="AA434" i="1"/>
  <c r="AB434" i="1"/>
  <c r="AC434" i="1"/>
  <c r="AD434" i="1"/>
  <c r="AE434" i="1"/>
  <c r="V435" i="1"/>
  <c r="W435" i="1"/>
  <c r="X435" i="1"/>
  <c r="Y435" i="1"/>
  <c r="Z435" i="1"/>
  <c r="AA435" i="1"/>
  <c r="AB435" i="1"/>
  <c r="AC435" i="1"/>
  <c r="AD435" i="1"/>
  <c r="AE435" i="1"/>
  <c r="V436" i="1"/>
  <c r="W436" i="1"/>
  <c r="X436" i="1"/>
  <c r="Y436" i="1"/>
  <c r="Z436" i="1"/>
  <c r="AA436" i="1"/>
  <c r="AB436" i="1"/>
  <c r="AC436" i="1"/>
  <c r="AD436" i="1"/>
  <c r="AE436" i="1"/>
  <c r="V437" i="1"/>
  <c r="W437" i="1"/>
  <c r="X437" i="1"/>
  <c r="Y437" i="1"/>
  <c r="Z437" i="1"/>
  <c r="AA437" i="1"/>
  <c r="AB437" i="1"/>
  <c r="AC437" i="1"/>
  <c r="AD437" i="1"/>
  <c r="AE437" i="1"/>
  <c r="V438" i="1"/>
  <c r="W438" i="1"/>
  <c r="X438" i="1"/>
  <c r="Y438" i="1"/>
  <c r="Z438" i="1"/>
  <c r="AA438" i="1"/>
  <c r="AB438" i="1"/>
  <c r="AC438" i="1"/>
  <c r="AD438" i="1"/>
  <c r="AE438" i="1"/>
  <c r="V439" i="1"/>
  <c r="W439" i="1"/>
  <c r="X439" i="1"/>
  <c r="Y439" i="1"/>
  <c r="Z439" i="1"/>
  <c r="AA439" i="1"/>
  <c r="AB439" i="1"/>
  <c r="AC439" i="1"/>
  <c r="AD439" i="1"/>
  <c r="AE439" i="1"/>
  <c r="V440" i="1"/>
  <c r="W440" i="1"/>
  <c r="X440" i="1"/>
  <c r="Y440" i="1"/>
  <c r="Z440" i="1"/>
  <c r="AA440" i="1"/>
  <c r="AB440" i="1"/>
  <c r="AC440" i="1"/>
  <c r="AD440" i="1"/>
  <c r="AE440" i="1"/>
  <c r="V441" i="1"/>
  <c r="W441" i="1"/>
  <c r="X441" i="1"/>
  <c r="Y441" i="1"/>
  <c r="Z441" i="1"/>
  <c r="AA441" i="1"/>
  <c r="AB441" i="1"/>
  <c r="AC441" i="1"/>
  <c r="AD441" i="1"/>
  <c r="AE441" i="1"/>
  <c r="V442" i="1"/>
  <c r="W442" i="1"/>
  <c r="X442" i="1"/>
  <c r="Y442" i="1"/>
  <c r="Z442" i="1"/>
  <c r="AA442" i="1"/>
  <c r="AB442" i="1"/>
  <c r="AC442" i="1"/>
  <c r="AD442" i="1"/>
  <c r="AE442" i="1"/>
  <c r="V443" i="1"/>
  <c r="W443" i="1"/>
  <c r="X443" i="1"/>
  <c r="Y443" i="1"/>
  <c r="Z443" i="1"/>
  <c r="AA443" i="1"/>
  <c r="AB443" i="1"/>
  <c r="AC443" i="1"/>
  <c r="AD443" i="1"/>
  <c r="AE443" i="1"/>
  <c r="V444" i="1"/>
  <c r="W444" i="1"/>
  <c r="X444" i="1"/>
  <c r="Y444" i="1"/>
  <c r="Z444" i="1"/>
  <c r="AA444" i="1"/>
  <c r="AB444" i="1"/>
  <c r="AC444" i="1"/>
  <c r="AD444" i="1"/>
  <c r="AE444" i="1"/>
  <c r="V445" i="1"/>
  <c r="W445" i="1"/>
  <c r="X445" i="1"/>
  <c r="Y445" i="1"/>
  <c r="Z445" i="1"/>
  <c r="AA445" i="1"/>
  <c r="AB445" i="1"/>
  <c r="AC445" i="1"/>
  <c r="AD445" i="1"/>
  <c r="AE445" i="1"/>
  <c r="V446" i="1"/>
  <c r="W446" i="1"/>
  <c r="X446" i="1"/>
  <c r="Y446" i="1"/>
  <c r="Z446" i="1"/>
  <c r="AA446" i="1"/>
  <c r="AB446" i="1"/>
  <c r="AC446" i="1"/>
  <c r="AD446" i="1"/>
  <c r="AE446" i="1"/>
  <c r="V447" i="1"/>
  <c r="W447" i="1"/>
  <c r="X447" i="1"/>
  <c r="Y447" i="1"/>
  <c r="Z447" i="1"/>
  <c r="AA447" i="1"/>
  <c r="AB447" i="1"/>
  <c r="AC447" i="1"/>
  <c r="AD447" i="1"/>
  <c r="AE447" i="1"/>
  <c r="V448" i="1"/>
  <c r="W448" i="1"/>
  <c r="X448" i="1"/>
  <c r="Y448" i="1"/>
  <c r="Z448" i="1"/>
  <c r="AA448" i="1"/>
  <c r="AB448" i="1"/>
  <c r="AC448" i="1"/>
  <c r="AD448" i="1"/>
  <c r="AE448" i="1"/>
  <c r="V449" i="1"/>
  <c r="W449" i="1"/>
  <c r="X449" i="1"/>
  <c r="Y449" i="1"/>
  <c r="Z449" i="1"/>
  <c r="AA449" i="1"/>
  <c r="AB449" i="1"/>
  <c r="AC449" i="1"/>
  <c r="AD449" i="1"/>
  <c r="AE449" i="1"/>
  <c r="V450" i="1"/>
  <c r="W450" i="1"/>
  <c r="X450" i="1"/>
  <c r="Y450" i="1"/>
  <c r="Z450" i="1"/>
  <c r="AA450" i="1"/>
  <c r="AB450" i="1"/>
  <c r="AC450" i="1"/>
  <c r="AD450" i="1"/>
  <c r="AE450" i="1"/>
  <c r="V451" i="1"/>
  <c r="W451" i="1"/>
  <c r="X451" i="1"/>
  <c r="Y451" i="1"/>
  <c r="Z451" i="1"/>
  <c r="AA451" i="1"/>
  <c r="AB451" i="1"/>
  <c r="AC451" i="1"/>
  <c r="AD451" i="1"/>
  <c r="AE451" i="1"/>
  <c r="V452" i="1"/>
  <c r="W452" i="1"/>
  <c r="X452" i="1"/>
  <c r="Y452" i="1"/>
  <c r="Z452" i="1"/>
  <c r="AA452" i="1"/>
  <c r="AB452" i="1"/>
  <c r="AC452" i="1"/>
  <c r="AD452" i="1"/>
  <c r="AE452" i="1"/>
  <c r="V453" i="1"/>
  <c r="W453" i="1"/>
  <c r="X453" i="1"/>
  <c r="Y453" i="1"/>
  <c r="Z453" i="1"/>
  <c r="AA453" i="1"/>
  <c r="AB453" i="1"/>
  <c r="AC453" i="1"/>
  <c r="AD453" i="1"/>
  <c r="AE453" i="1"/>
  <c r="V454" i="1"/>
  <c r="W454" i="1"/>
  <c r="X454" i="1"/>
  <c r="Y454" i="1"/>
  <c r="Z454" i="1"/>
  <c r="AA454" i="1"/>
  <c r="AB454" i="1"/>
  <c r="AC454" i="1"/>
  <c r="AD454" i="1"/>
  <c r="AE454" i="1"/>
  <c r="V455" i="1"/>
  <c r="W455" i="1"/>
  <c r="X455" i="1"/>
  <c r="Y455" i="1"/>
  <c r="Z455" i="1"/>
  <c r="AA455" i="1"/>
  <c r="AB455" i="1"/>
  <c r="AC455" i="1"/>
  <c r="AD455" i="1"/>
  <c r="AE455" i="1"/>
  <c r="V456" i="1"/>
  <c r="W456" i="1"/>
  <c r="X456" i="1"/>
  <c r="Y456" i="1"/>
  <c r="Z456" i="1"/>
  <c r="AA456" i="1"/>
  <c r="AB456" i="1"/>
  <c r="AC456" i="1"/>
  <c r="AD456" i="1"/>
  <c r="AE456" i="1"/>
  <c r="V457" i="1"/>
  <c r="W457" i="1"/>
  <c r="X457" i="1"/>
  <c r="Y457" i="1"/>
  <c r="Z457" i="1"/>
  <c r="AA457" i="1"/>
  <c r="AB457" i="1"/>
  <c r="AC457" i="1"/>
  <c r="AD457" i="1"/>
  <c r="AE457" i="1"/>
  <c r="V458" i="1"/>
  <c r="W458" i="1"/>
  <c r="X458" i="1"/>
  <c r="Y458" i="1"/>
  <c r="Z458" i="1"/>
  <c r="AA458" i="1"/>
  <c r="AB458" i="1"/>
  <c r="AC458" i="1"/>
  <c r="AD458" i="1"/>
  <c r="AE458" i="1"/>
  <c r="V459" i="1"/>
  <c r="W459" i="1"/>
  <c r="X459" i="1"/>
  <c r="Y459" i="1"/>
  <c r="Z459" i="1"/>
  <c r="AA459" i="1"/>
  <c r="AB459" i="1"/>
  <c r="AC459" i="1"/>
  <c r="AD459" i="1"/>
  <c r="AE459" i="1"/>
  <c r="V460" i="1"/>
  <c r="W460" i="1"/>
  <c r="X460" i="1"/>
  <c r="Y460" i="1"/>
  <c r="Z460" i="1"/>
  <c r="AA460" i="1"/>
  <c r="AB460" i="1"/>
  <c r="AC460" i="1"/>
  <c r="AD460" i="1"/>
  <c r="AE460" i="1"/>
  <c r="V461" i="1"/>
  <c r="W461" i="1"/>
  <c r="X461" i="1"/>
  <c r="Y461" i="1"/>
  <c r="Z461" i="1"/>
  <c r="AA461" i="1"/>
  <c r="AB461" i="1"/>
  <c r="AC461" i="1"/>
  <c r="AD461" i="1"/>
  <c r="AE461" i="1"/>
  <c r="V462" i="1"/>
  <c r="W462" i="1"/>
  <c r="X462" i="1"/>
  <c r="Y462" i="1"/>
  <c r="Z462" i="1"/>
  <c r="AA462" i="1"/>
  <c r="AB462" i="1"/>
  <c r="AC462" i="1"/>
  <c r="AD462" i="1"/>
  <c r="AE462" i="1"/>
  <c r="V463" i="1"/>
  <c r="W463" i="1"/>
  <c r="X463" i="1"/>
  <c r="Y463" i="1"/>
  <c r="Z463" i="1"/>
  <c r="AA463" i="1"/>
  <c r="AB463" i="1"/>
  <c r="AC463" i="1"/>
  <c r="AD463" i="1"/>
  <c r="AE463" i="1"/>
  <c r="V464" i="1"/>
  <c r="W464" i="1"/>
  <c r="X464" i="1"/>
  <c r="Y464" i="1"/>
  <c r="Z464" i="1"/>
  <c r="AA464" i="1"/>
  <c r="AB464" i="1"/>
  <c r="AC464" i="1"/>
  <c r="AD464" i="1"/>
  <c r="AE464" i="1"/>
  <c r="V465" i="1"/>
  <c r="W465" i="1"/>
  <c r="X465" i="1"/>
  <c r="Y465" i="1"/>
  <c r="Z465" i="1"/>
  <c r="AA465" i="1"/>
  <c r="AB465" i="1"/>
  <c r="AC465" i="1"/>
  <c r="AD465" i="1"/>
  <c r="AE465" i="1"/>
  <c r="V466" i="1"/>
  <c r="W466" i="1"/>
  <c r="X466" i="1"/>
  <c r="Y466" i="1"/>
  <c r="Z466" i="1"/>
  <c r="AA466" i="1"/>
  <c r="AB466" i="1"/>
  <c r="AC466" i="1"/>
  <c r="AD466" i="1"/>
  <c r="AE466" i="1"/>
  <c r="V467" i="1"/>
  <c r="W467" i="1"/>
  <c r="X467" i="1"/>
  <c r="Y467" i="1"/>
  <c r="Z467" i="1"/>
  <c r="AA467" i="1"/>
  <c r="AB467" i="1"/>
  <c r="AC467" i="1"/>
  <c r="AD467" i="1"/>
  <c r="AE467" i="1"/>
  <c r="V468" i="1"/>
  <c r="W468" i="1"/>
  <c r="X468" i="1"/>
  <c r="Y468" i="1"/>
  <c r="Z468" i="1"/>
  <c r="AA468" i="1"/>
  <c r="AB468" i="1"/>
  <c r="AC468" i="1"/>
  <c r="AD468" i="1"/>
  <c r="AE468" i="1"/>
  <c r="V469" i="1"/>
  <c r="W469" i="1"/>
  <c r="X469" i="1"/>
  <c r="Y469" i="1"/>
  <c r="Z469" i="1"/>
  <c r="AA469" i="1"/>
  <c r="AB469" i="1"/>
  <c r="AC469" i="1"/>
  <c r="AD469" i="1"/>
  <c r="AE469" i="1"/>
  <c r="V470" i="1"/>
  <c r="W470" i="1"/>
  <c r="X470" i="1"/>
  <c r="Y470" i="1"/>
  <c r="Z470" i="1"/>
  <c r="AA470" i="1"/>
  <c r="AB470" i="1"/>
  <c r="AC470" i="1"/>
  <c r="AD470" i="1"/>
  <c r="AE470" i="1"/>
  <c r="V471" i="1"/>
  <c r="W471" i="1"/>
  <c r="X471" i="1"/>
  <c r="Y471" i="1"/>
  <c r="Z471" i="1"/>
  <c r="AA471" i="1"/>
  <c r="AB471" i="1"/>
  <c r="AC471" i="1"/>
  <c r="AD471" i="1"/>
  <c r="AE471" i="1"/>
  <c r="V472" i="1"/>
  <c r="W472" i="1"/>
  <c r="X472" i="1"/>
  <c r="Y472" i="1"/>
  <c r="Z472" i="1"/>
  <c r="AA472" i="1"/>
  <c r="AB472" i="1"/>
  <c r="AC472" i="1"/>
  <c r="AD472" i="1"/>
  <c r="AE472" i="1"/>
  <c r="V473" i="1"/>
  <c r="W473" i="1"/>
  <c r="X473" i="1"/>
  <c r="Y473" i="1"/>
  <c r="Z473" i="1"/>
  <c r="AA473" i="1"/>
  <c r="AB473" i="1"/>
  <c r="AC473" i="1"/>
  <c r="AD473" i="1"/>
  <c r="AE473" i="1"/>
  <c r="V474" i="1"/>
  <c r="W474" i="1"/>
  <c r="X474" i="1"/>
  <c r="Y474" i="1"/>
  <c r="Z474" i="1"/>
  <c r="AA474" i="1"/>
  <c r="AB474" i="1"/>
  <c r="AC474" i="1"/>
  <c r="AD474" i="1"/>
  <c r="AE474" i="1"/>
  <c r="V475" i="1"/>
  <c r="W475" i="1"/>
  <c r="X475" i="1"/>
  <c r="Y475" i="1"/>
  <c r="Z475" i="1"/>
  <c r="AA475" i="1"/>
  <c r="AB475" i="1"/>
  <c r="AC475" i="1"/>
  <c r="AD475" i="1"/>
  <c r="AE475" i="1"/>
  <c r="V476" i="1"/>
  <c r="W476" i="1"/>
  <c r="X476" i="1"/>
  <c r="Y476" i="1"/>
  <c r="Z476" i="1"/>
  <c r="AA476" i="1"/>
  <c r="AB476" i="1"/>
  <c r="AC476" i="1"/>
  <c r="AD476" i="1"/>
  <c r="AE476" i="1"/>
  <c r="V477" i="1"/>
  <c r="W477" i="1"/>
  <c r="X477" i="1"/>
  <c r="Y477" i="1"/>
  <c r="Z477" i="1"/>
  <c r="AA477" i="1"/>
  <c r="AB477" i="1"/>
  <c r="AC477" i="1"/>
  <c r="AD477" i="1"/>
  <c r="AE477" i="1"/>
  <c r="V478" i="1"/>
  <c r="W478" i="1"/>
  <c r="X478" i="1"/>
  <c r="Y478" i="1"/>
  <c r="Z478" i="1"/>
  <c r="AA478" i="1"/>
  <c r="AB478" i="1"/>
  <c r="AC478" i="1"/>
  <c r="AD478" i="1"/>
  <c r="AE478" i="1"/>
  <c r="V479" i="1"/>
  <c r="W479" i="1"/>
  <c r="X479" i="1"/>
  <c r="Y479" i="1"/>
  <c r="Z479" i="1"/>
  <c r="AA479" i="1"/>
  <c r="AB479" i="1"/>
  <c r="AC479" i="1"/>
  <c r="AD479" i="1"/>
  <c r="AE479" i="1"/>
  <c r="V480" i="1"/>
  <c r="W480" i="1"/>
  <c r="X480" i="1"/>
  <c r="Y480" i="1"/>
  <c r="Z480" i="1"/>
  <c r="AA480" i="1"/>
  <c r="AB480" i="1"/>
  <c r="AC480" i="1"/>
  <c r="AD480" i="1"/>
  <c r="AE480" i="1"/>
  <c r="V481" i="1"/>
  <c r="W481" i="1"/>
  <c r="X481" i="1"/>
  <c r="Y481" i="1"/>
  <c r="Z481" i="1"/>
  <c r="AA481" i="1"/>
  <c r="AB481" i="1"/>
  <c r="AC481" i="1"/>
  <c r="AD481" i="1"/>
  <c r="AE481" i="1"/>
  <c r="V482" i="1"/>
  <c r="W482" i="1"/>
  <c r="X482" i="1"/>
  <c r="Y482" i="1"/>
  <c r="Z482" i="1"/>
  <c r="AA482" i="1"/>
  <c r="AB482" i="1"/>
  <c r="AC482" i="1"/>
  <c r="AD482" i="1"/>
  <c r="AE482" i="1"/>
  <c r="V483" i="1"/>
  <c r="W483" i="1"/>
  <c r="X483" i="1"/>
  <c r="Y483" i="1"/>
  <c r="Z483" i="1"/>
  <c r="AA483" i="1"/>
  <c r="AB483" i="1"/>
  <c r="AC483" i="1"/>
  <c r="AD483" i="1"/>
  <c r="AE483" i="1"/>
  <c r="V484" i="1"/>
  <c r="W484" i="1"/>
  <c r="X484" i="1"/>
  <c r="Y484" i="1"/>
  <c r="Z484" i="1"/>
  <c r="AA484" i="1"/>
  <c r="AB484" i="1"/>
  <c r="AC484" i="1"/>
  <c r="AD484" i="1"/>
  <c r="AE484" i="1"/>
  <c r="V485" i="1"/>
  <c r="W485" i="1"/>
  <c r="X485" i="1"/>
  <c r="Y485" i="1"/>
  <c r="Z485" i="1"/>
  <c r="AA485" i="1"/>
  <c r="AB485" i="1"/>
  <c r="AC485" i="1"/>
  <c r="AD485" i="1"/>
  <c r="AE485" i="1"/>
  <c r="V486" i="1"/>
  <c r="W486" i="1"/>
  <c r="X486" i="1"/>
  <c r="Y486" i="1"/>
  <c r="Z486" i="1"/>
  <c r="AA486" i="1"/>
  <c r="AB486" i="1"/>
  <c r="AC486" i="1"/>
  <c r="AD486" i="1"/>
  <c r="AE486" i="1"/>
  <c r="V487" i="1"/>
  <c r="W487" i="1"/>
  <c r="X487" i="1"/>
  <c r="Y487" i="1"/>
  <c r="Z487" i="1"/>
  <c r="AA487" i="1"/>
  <c r="AB487" i="1"/>
  <c r="AC487" i="1"/>
  <c r="AD487" i="1"/>
  <c r="AE487" i="1"/>
  <c r="V488" i="1"/>
  <c r="W488" i="1"/>
  <c r="X488" i="1"/>
  <c r="Y488" i="1"/>
  <c r="Z488" i="1"/>
  <c r="AA488" i="1"/>
  <c r="AB488" i="1"/>
  <c r="AC488" i="1"/>
  <c r="AD488" i="1"/>
  <c r="AE488" i="1"/>
  <c r="V489" i="1"/>
  <c r="W489" i="1"/>
  <c r="X489" i="1"/>
  <c r="Y489" i="1"/>
  <c r="Z489" i="1"/>
  <c r="AA489" i="1"/>
  <c r="AB489" i="1"/>
  <c r="AC489" i="1"/>
  <c r="AD489" i="1"/>
  <c r="AE489" i="1"/>
  <c r="V490" i="1"/>
  <c r="W490" i="1"/>
  <c r="X490" i="1"/>
  <c r="Y490" i="1"/>
  <c r="Z490" i="1"/>
  <c r="AA490" i="1"/>
  <c r="AB490" i="1"/>
  <c r="AC490" i="1"/>
  <c r="AD490" i="1"/>
  <c r="AE490" i="1"/>
  <c r="V491" i="1"/>
  <c r="W491" i="1"/>
  <c r="X491" i="1"/>
  <c r="Y491" i="1"/>
  <c r="Z491" i="1"/>
  <c r="AA491" i="1"/>
  <c r="AB491" i="1"/>
  <c r="AC491" i="1"/>
  <c r="AD491" i="1"/>
  <c r="AE491" i="1"/>
  <c r="V492" i="1"/>
  <c r="W492" i="1"/>
  <c r="X492" i="1"/>
  <c r="Y492" i="1"/>
  <c r="Z492" i="1"/>
  <c r="AA492" i="1"/>
  <c r="AB492" i="1"/>
  <c r="AC492" i="1"/>
  <c r="AD492" i="1"/>
  <c r="AE492" i="1"/>
  <c r="V493" i="1"/>
  <c r="W493" i="1"/>
  <c r="X493" i="1"/>
  <c r="Y493" i="1"/>
  <c r="Z493" i="1"/>
  <c r="AA493" i="1"/>
  <c r="AB493" i="1"/>
  <c r="AC493" i="1"/>
  <c r="AD493" i="1"/>
  <c r="AE493" i="1"/>
  <c r="V494" i="1"/>
  <c r="W494" i="1"/>
  <c r="X494" i="1"/>
  <c r="Y494" i="1"/>
  <c r="Z494" i="1"/>
  <c r="AA494" i="1"/>
  <c r="AB494" i="1"/>
  <c r="AC494" i="1"/>
  <c r="AD494" i="1"/>
  <c r="AE494" i="1"/>
  <c r="V495" i="1"/>
  <c r="W495" i="1"/>
  <c r="X495" i="1"/>
  <c r="Y495" i="1"/>
  <c r="Z495" i="1"/>
  <c r="AA495" i="1"/>
  <c r="AB495" i="1"/>
  <c r="AC495" i="1"/>
  <c r="AD495" i="1"/>
  <c r="AE495" i="1"/>
  <c r="V496" i="1"/>
  <c r="W496" i="1"/>
  <c r="X496" i="1"/>
  <c r="Y496" i="1"/>
  <c r="Z496" i="1"/>
  <c r="AA496" i="1"/>
  <c r="AB496" i="1"/>
  <c r="AC496" i="1"/>
  <c r="AD496" i="1"/>
  <c r="AE496" i="1"/>
  <c r="V497" i="1"/>
  <c r="W497" i="1"/>
  <c r="X497" i="1"/>
  <c r="Y497" i="1"/>
  <c r="Z497" i="1"/>
  <c r="AA497" i="1"/>
  <c r="AB497" i="1"/>
  <c r="AC497" i="1"/>
  <c r="AD497" i="1"/>
  <c r="AE497" i="1"/>
  <c r="V498" i="1"/>
  <c r="W498" i="1"/>
  <c r="X498" i="1"/>
  <c r="Y498" i="1"/>
  <c r="Z498" i="1"/>
  <c r="AA498" i="1"/>
  <c r="AB498" i="1"/>
  <c r="AC498" i="1"/>
  <c r="AD498" i="1"/>
  <c r="AE498" i="1"/>
  <c r="V499" i="1"/>
  <c r="W499" i="1"/>
  <c r="X499" i="1"/>
  <c r="Y499" i="1"/>
  <c r="Z499" i="1"/>
  <c r="AA499" i="1"/>
  <c r="AB499" i="1"/>
  <c r="AC499" i="1"/>
  <c r="AD499" i="1"/>
  <c r="AE499" i="1"/>
  <c r="V500" i="1"/>
  <c r="W500" i="1"/>
  <c r="X500" i="1"/>
  <c r="Y500" i="1"/>
  <c r="Z500" i="1"/>
  <c r="AA500" i="1"/>
  <c r="AB500" i="1"/>
  <c r="AC500" i="1"/>
  <c r="AD500" i="1"/>
  <c r="AE500" i="1"/>
  <c r="V501" i="1"/>
  <c r="W501" i="1"/>
  <c r="X501" i="1"/>
  <c r="Y501" i="1"/>
  <c r="Z501" i="1"/>
  <c r="AA501" i="1"/>
  <c r="AB501" i="1"/>
  <c r="AC501" i="1"/>
  <c r="AD501" i="1"/>
  <c r="AE501" i="1"/>
  <c r="V502" i="1"/>
  <c r="W502" i="1"/>
  <c r="X502" i="1"/>
  <c r="Y502" i="1"/>
  <c r="Z502" i="1"/>
  <c r="AA502" i="1"/>
  <c r="AB502" i="1"/>
  <c r="AC502" i="1"/>
  <c r="AD502" i="1"/>
  <c r="AE502" i="1"/>
  <c r="V503" i="1"/>
  <c r="W503" i="1"/>
  <c r="X503" i="1"/>
  <c r="Y503" i="1"/>
  <c r="Z503" i="1"/>
  <c r="AA503" i="1"/>
  <c r="AB503" i="1"/>
  <c r="AC503" i="1"/>
  <c r="AD503" i="1"/>
  <c r="AE503" i="1"/>
  <c r="V504" i="1"/>
  <c r="W504" i="1"/>
  <c r="X504" i="1"/>
  <c r="Y504" i="1"/>
  <c r="Z504" i="1"/>
  <c r="AA504" i="1"/>
  <c r="AB504" i="1"/>
  <c r="AC504" i="1"/>
  <c r="AD504" i="1"/>
  <c r="AE504" i="1"/>
  <c r="V505" i="1"/>
  <c r="W505" i="1"/>
  <c r="X505" i="1"/>
  <c r="Y505" i="1"/>
  <c r="Z505" i="1"/>
  <c r="AA505" i="1"/>
  <c r="AB505" i="1"/>
  <c r="AC505" i="1"/>
  <c r="AD505" i="1"/>
  <c r="AE505" i="1"/>
  <c r="V506" i="1"/>
  <c r="W506" i="1"/>
  <c r="X506" i="1"/>
  <c r="Y506" i="1"/>
  <c r="Z506" i="1"/>
  <c r="AA506" i="1"/>
  <c r="AB506" i="1"/>
  <c r="AC506" i="1"/>
  <c r="AD506" i="1"/>
  <c r="AE506" i="1"/>
  <c r="V507" i="1"/>
  <c r="W507" i="1"/>
  <c r="X507" i="1"/>
  <c r="Y507" i="1"/>
  <c r="Z507" i="1"/>
  <c r="AA507" i="1"/>
  <c r="AB507" i="1"/>
  <c r="AC507" i="1"/>
  <c r="AD507" i="1"/>
  <c r="AE507" i="1"/>
  <c r="V508" i="1"/>
  <c r="W508" i="1"/>
  <c r="X508" i="1"/>
  <c r="Y508" i="1"/>
  <c r="Z508" i="1"/>
  <c r="AA508" i="1"/>
  <c r="AB508" i="1"/>
  <c r="AC508" i="1"/>
  <c r="AD508" i="1"/>
  <c r="AE508" i="1"/>
  <c r="V509" i="1"/>
  <c r="W509" i="1"/>
  <c r="X509" i="1"/>
  <c r="Y509" i="1"/>
  <c r="Z509" i="1"/>
  <c r="AA509" i="1"/>
  <c r="AB509" i="1"/>
  <c r="AC509" i="1"/>
  <c r="AD509" i="1"/>
  <c r="AE509" i="1"/>
  <c r="V510" i="1"/>
  <c r="W510" i="1"/>
  <c r="X510" i="1"/>
  <c r="Y510" i="1"/>
  <c r="Z510" i="1"/>
  <c r="AA510" i="1"/>
  <c r="AB510" i="1"/>
  <c r="AC510" i="1"/>
  <c r="AD510" i="1"/>
  <c r="AE510" i="1"/>
  <c r="V511" i="1"/>
  <c r="W511" i="1"/>
  <c r="X511" i="1"/>
  <c r="Y511" i="1"/>
  <c r="Z511" i="1"/>
  <c r="AA511" i="1"/>
  <c r="AB511" i="1"/>
  <c r="AC511" i="1"/>
  <c r="AD511" i="1"/>
  <c r="AE511" i="1"/>
  <c r="V512" i="1"/>
  <c r="W512" i="1"/>
  <c r="X512" i="1"/>
  <c r="Y512" i="1"/>
  <c r="Z512" i="1"/>
  <c r="AA512" i="1"/>
  <c r="AB512" i="1"/>
  <c r="AC512" i="1"/>
  <c r="AD512" i="1"/>
  <c r="AE512" i="1"/>
  <c r="V513" i="1"/>
  <c r="W513" i="1"/>
  <c r="X513" i="1"/>
  <c r="Y513" i="1"/>
  <c r="Z513" i="1"/>
  <c r="AA513" i="1"/>
  <c r="AB513" i="1"/>
  <c r="AC513" i="1"/>
  <c r="AD513" i="1"/>
  <c r="AE513" i="1"/>
  <c r="V514" i="1"/>
  <c r="W514" i="1"/>
  <c r="X514" i="1"/>
  <c r="Y514" i="1"/>
  <c r="Z514" i="1"/>
  <c r="AA514" i="1"/>
  <c r="AB514" i="1"/>
  <c r="AC514" i="1"/>
  <c r="AD514" i="1"/>
  <c r="AE514" i="1"/>
  <c r="V515" i="1"/>
  <c r="W515" i="1"/>
  <c r="X515" i="1"/>
  <c r="Y515" i="1"/>
  <c r="Z515" i="1"/>
  <c r="AA515" i="1"/>
  <c r="AB515" i="1"/>
  <c r="AC515" i="1"/>
  <c r="AD515" i="1"/>
  <c r="AE515" i="1"/>
  <c r="V516" i="1"/>
  <c r="W516" i="1"/>
  <c r="X516" i="1"/>
  <c r="Y516" i="1"/>
  <c r="Z516" i="1"/>
  <c r="AA516" i="1"/>
  <c r="AB516" i="1"/>
  <c r="AC516" i="1"/>
  <c r="AD516" i="1"/>
  <c r="AE516" i="1"/>
  <c r="V517" i="1"/>
  <c r="W517" i="1"/>
  <c r="X517" i="1"/>
  <c r="Y517" i="1"/>
  <c r="Z517" i="1"/>
  <c r="AA517" i="1"/>
  <c r="AB517" i="1"/>
  <c r="AC517" i="1"/>
  <c r="AD517" i="1"/>
  <c r="AE517" i="1"/>
  <c r="V518" i="1"/>
  <c r="W518" i="1"/>
  <c r="X518" i="1"/>
  <c r="Y518" i="1"/>
  <c r="Z518" i="1"/>
  <c r="AA518" i="1"/>
  <c r="AB518" i="1"/>
  <c r="AC518" i="1"/>
  <c r="AD518" i="1"/>
  <c r="AE518" i="1"/>
  <c r="V519" i="1"/>
  <c r="W519" i="1"/>
  <c r="X519" i="1"/>
  <c r="Y519" i="1"/>
  <c r="Z519" i="1"/>
  <c r="AA519" i="1"/>
  <c r="AB519" i="1"/>
  <c r="AC519" i="1"/>
  <c r="AD519" i="1"/>
  <c r="AE519" i="1"/>
  <c r="V520" i="1"/>
  <c r="W520" i="1"/>
  <c r="X520" i="1"/>
  <c r="Y520" i="1"/>
  <c r="Z520" i="1"/>
  <c r="AA520" i="1"/>
  <c r="AB520" i="1"/>
  <c r="AC520" i="1"/>
  <c r="AD520" i="1"/>
  <c r="AE520" i="1"/>
  <c r="V521" i="1"/>
  <c r="W521" i="1"/>
  <c r="X521" i="1"/>
  <c r="Y521" i="1"/>
  <c r="Z521" i="1"/>
  <c r="AA521" i="1"/>
  <c r="AB521" i="1"/>
  <c r="AC521" i="1"/>
  <c r="AD521" i="1"/>
  <c r="AE521" i="1"/>
  <c r="V522" i="1"/>
  <c r="W522" i="1"/>
  <c r="X522" i="1"/>
  <c r="Y522" i="1"/>
  <c r="Z522" i="1"/>
  <c r="AA522" i="1"/>
  <c r="AB522" i="1"/>
  <c r="AC522" i="1"/>
  <c r="AD522" i="1"/>
  <c r="AE522" i="1"/>
  <c r="V523" i="1"/>
  <c r="W523" i="1"/>
  <c r="X523" i="1"/>
  <c r="Y523" i="1"/>
  <c r="Z523" i="1"/>
  <c r="AA523" i="1"/>
  <c r="AB523" i="1"/>
  <c r="AC523" i="1"/>
  <c r="AD523" i="1"/>
  <c r="AE523" i="1"/>
  <c r="V524" i="1"/>
  <c r="W524" i="1"/>
  <c r="X524" i="1"/>
  <c r="Y524" i="1"/>
  <c r="Z524" i="1"/>
  <c r="AA524" i="1"/>
  <c r="AB524" i="1"/>
  <c r="AC524" i="1"/>
  <c r="AD524" i="1"/>
  <c r="AE524" i="1"/>
  <c r="V525" i="1"/>
  <c r="W525" i="1"/>
  <c r="X525" i="1"/>
  <c r="Y525" i="1"/>
  <c r="Z525" i="1"/>
  <c r="AA525" i="1"/>
  <c r="AB525" i="1"/>
  <c r="AC525" i="1"/>
  <c r="AD525" i="1"/>
  <c r="AE525" i="1"/>
  <c r="V526" i="1"/>
  <c r="W526" i="1"/>
  <c r="X526" i="1"/>
  <c r="Y526" i="1"/>
  <c r="Z526" i="1"/>
  <c r="AA526" i="1"/>
  <c r="AB526" i="1"/>
  <c r="AC526" i="1"/>
  <c r="AD526" i="1"/>
  <c r="AE526" i="1"/>
  <c r="V527" i="1"/>
  <c r="W527" i="1"/>
  <c r="X527" i="1"/>
  <c r="Y527" i="1"/>
  <c r="Z527" i="1"/>
  <c r="AA527" i="1"/>
  <c r="AB527" i="1"/>
  <c r="AC527" i="1"/>
  <c r="AD527" i="1"/>
  <c r="AE527" i="1"/>
  <c r="V528" i="1"/>
  <c r="W528" i="1"/>
  <c r="X528" i="1"/>
  <c r="Y528" i="1"/>
  <c r="Z528" i="1"/>
  <c r="AA528" i="1"/>
  <c r="AB528" i="1"/>
  <c r="AC528" i="1"/>
  <c r="AD528" i="1"/>
  <c r="AE528" i="1"/>
  <c r="V529" i="1"/>
  <c r="W529" i="1"/>
  <c r="X529" i="1"/>
  <c r="Y529" i="1"/>
  <c r="Z529" i="1"/>
  <c r="AA529" i="1"/>
  <c r="AB529" i="1"/>
  <c r="AC529" i="1"/>
  <c r="AD529" i="1"/>
  <c r="AE529" i="1"/>
  <c r="V530" i="1"/>
  <c r="W530" i="1"/>
  <c r="X530" i="1"/>
  <c r="Y530" i="1"/>
  <c r="Z530" i="1"/>
  <c r="AA530" i="1"/>
  <c r="AB530" i="1"/>
  <c r="AC530" i="1"/>
  <c r="AD530" i="1"/>
  <c r="AE530" i="1"/>
  <c r="V531" i="1"/>
  <c r="W531" i="1"/>
  <c r="X531" i="1"/>
  <c r="Y531" i="1"/>
  <c r="Z531" i="1"/>
  <c r="AA531" i="1"/>
  <c r="AB531" i="1"/>
  <c r="AC531" i="1"/>
  <c r="AD531" i="1"/>
  <c r="AE531" i="1"/>
  <c r="V532" i="1"/>
  <c r="W532" i="1"/>
  <c r="X532" i="1"/>
  <c r="Y532" i="1"/>
  <c r="Z532" i="1"/>
  <c r="AA532" i="1"/>
  <c r="AB532" i="1"/>
  <c r="AC532" i="1"/>
  <c r="AD532" i="1"/>
  <c r="AE532" i="1"/>
  <c r="V533" i="1"/>
  <c r="W533" i="1"/>
  <c r="X533" i="1"/>
  <c r="Y533" i="1"/>
  <c r="Z533" i="1"/>
  <c r="AA533" i="1"/>
  <c r="AB533" i="1"/>
  <c r="AC533" i="1"/>
  <c r="AD533" i="1"/>
  <c r="AE533" i="1"/>
  <c r="V534" i="1"/>
  <c r="W534" i="1"/>
  <c r="X534" i="1"/>
  <c r="Y534" i="1"/>
  <c r="Z534" i="1"/>
  <c r="AA534" i="1"/>
  <c r="AB534" i="1"/>
  <c r="AC534" i="1"/>
  <c r="AD534" i="1"/>
  <c r="AE534" i="1"/>
  <c r="V535" i="1"/>
  <c r="W535" i="1"/>
  <c r="X535" i="1"/>
  <c r="Y535" i="1"/>
  <c r="Z535" i="1"/>
  <c r="AA535" i="1"/>
  <c r="AB535" i="1"/>
  <c r="AC535" i="1"/>
  <c r="AD535" i="1"/>
  <c r="AE535" i="1"/>
  <c r="V536" i="1"/>
  <c r="W536" i="1"/>
  <c r="X536" i="1"/>
  <c r="Y536" i="1"/>
  <c r="Z536" i="1"/>
  <c r="AA536" i="1"/>
  <c r="AB536" i="1"/>
  <c r="AC536" i="1"/>
  <c r="AD536" i="1"/>
  <c r="AE536" i="1"/>
  <c r="V537" i="1"/>
  <c r="W537" i="1"/>
  <c r="X537" i="1"/>
  <c r="Y537" i="1"/>
  <c r="Z537" i="1"/>
  <c r="AA537" i="1"/>
  <c r="AB537" i="1"/>
  <c r="AC537" i="1"/>
  <c r="AD537" i="1"/>
  <c r="AE537" i="1"/>
  <c r="V538" i="1"/>
  <c r="W538" i="1"/>
  <c r="X538" i="1"/>
  <c r="Y538" i="1"/>
  <c r="Z538" i="1"/>
  <c r="AA538" i="1"/>
  <c r="AB538" i="1"/>
  <c r="AC538" i="1"/>
  <c r="AD538" i="1"/>
  <c r="AE538" i="1"/>
  <c r="V539" i="1"/>
  <c r="W539" i="1"/>
  <c r="X539" i="1"/>
  <c r="Y539" i="1"/>
  <c r="Z539" i="1"/>
  <c r="AA539" i="1"/>
  <c r="AB539" i="1"/>
  <c r="AC539" i="1"/>
  <c r="AD539" i="1"/>
  <c r="AE539" i="1"/>
  <c r="V540" i="1"/>
  <c r="W540" i="1"/>
  <c r="X540" i="1"/>
  <c r="Y540" i="1"/>
  <c r="Z540" i="1"/>
  <c r="AA540" i="1"/>
  <c r="AB540" i="1"/>
  <c r="AC540" i="1"/>
  <c r="AD540" i="1"/>
  <c r="AE540" i="1"/>
  <c r="V541" i="1"/>
  <c r="W541" i="1"/>
  <c r="X541" i="1"/>
  <c r="Y541" i="1"/>
  <c r="Z541" i="1"/>
  <c r="AA541" i="1"/>
  <c r="AB541" i="1"/>
  <c r="AC541" i="1"/>
  <c r="AD541" i="1"/>
  <c r="AE541" i="1"/>
  <c r="V542" i="1"/>
  <c r="W542" i="1"/>
  <c r="X542" i="1"/>
  <c r="Y542" i="1"/>
  <c r="Z542" i="1"/>
  <c r="AA542" i="1"/>
  <c r="AB542" i="1"/>
  <c r="AC542" i="1"/>
  <c r="AD542" i="1"/>
  <c r="AE542" i="1"/>
  <c r="V543" i="1"/>
  <c r="W543" i="1"/>
  <c r="X543" i="1"/>
  <c r="Y543" i="1"/>
  <c r="Z543" i="1"/>
  <c r="AA543" i="1"/>
  <c r="AB543" i="1"/>
  <c r="AC543" i="1"/>
  <c r="AD543" i="1"/>
  <c r="AE543" i="1"/>
  <c r="V544" i="1"/>
  <c r="W544" i="1"/>
  <c r="X544" i="1"/>
  <c r="Y544" i="1"/>
  <c r="Z544" i="1"/>
  <c r="AA544" i="1"/>
  <c r="AB544" i="1"/>
  <c r="AC544" i="1"/>
  <c r="AD544" i="1"/>
  <c r="AE544" i="1"/>
  <c r="V545" i="1"/>
  <c r="W545" i="1"/>
  <c r="X545" i="1"/>
  <c r="Y545" i="1"/>
  <c r="Z545" i="1"/>
  <c r="AA545" i="1"/>
  <c r="AB545" i="1"/>
  <c r="AC545" i="1"/>
  <c r="AD545" i="1"/>
  <c r="AE545" i="1"/>
  <c r="V546" i="1"/>
  <c r="W546" i="1"/>
  <c r="X546" i="1"/>
  <c r="Y546" i="1"/>
  <c r="Z546" i="1"/>
  <c r="AA546" i="1"/>
  <c r="AB546" i="1"/>
  <c r="AC546" i="1"/>
  <c r="AD546" i="1"/>
  <c r="AE546" i="1"/>
  <c r="V547" i="1"/>
  <c r="W547" i="1"/>
  <c r="X547" i="1"/>
  <c r="Y547" i="1"/>
  <c r="Z547" i="1"/>
  <c r="AA547" i="1"/>
  <c r="AB547" i="1"/>
  <c r="AC547" i="1"/>
  <c r="AD547" i="1"/>
  <c r="AE547" i="1"/>
  <c r="V548" i="1"/>
  <c r="W548" i="1"/>
  <c r="X548" i="1"/>
  <c r="Y548" i="1"/>
  <c r="Z548" i="1"/>
  <c r="AA548" i="1"/>
  <c r="AB548" i="1"/>
  <c r="AC548" i="1"/>
  <c r="AD548" i="1"/>
  <c r="AE548" i="1"/>
  <c r="V549" i="1"/>
  <c r="W549" i="1"/>
  <c r="X549" i="1"/>
  <c r="Y549" i="1"/>
  <c r="Z549" i="1"/>
  <c r="AA549" i="1"/>
  <c r="AB549" i="1"/>
  <c r="AC549" i="1"/>
  <c r="AD549" i="1"/>
  <c r="AE549" i="1"/>
  <c r="V550" i="1"/>
  <c r="W550" i="1"/>
  <c r="X550" i="1"/>
  <c r="Y550" i="1"/>
  <c r="Z550" i="1"/>
  <c r="AA550" i="1"/>
  <c r="AB550" i="1"/>
  <c r="AC550" i="1"/>
  <c r="AD550" i="1"/>
  <c r="AE550" i="1"/>
  <c r="V551" i="1"/>
  <c r="W551" i="1"/>
  <c r="X551" i="1"/>
  <c r="Y551" i="1"/>
  <c r="Z551" i="1"/>
  <c r="AA551" i="1"/>
  <c r="AB551" i="1"/>
  <c r="AC551" i="1"/>
  <c r="AD551" i="1"/>
  <c r="AE551" i="1"/>
  <c r="V552" i="1"/>
  <c r="W552" i="1"/>
  <c r="X552" i="1"/>
  <c r="Y552" i="1"/>
  <c r="Z552" i="1"/>
  <c r="AA552" i="1"/>
  <c r="AB552" i="1"/>
  <c r="AC552" i="1"/>
  <c r="AD552" i="1"/>
  <c r="AE552" i="1"/>
  <c r="V553" i="1"/>
  <c r="W553" i="1"/>
  <c r="X553" i="1"/>
  <c r="Y553" i="1"/>
  <c r="Z553" i="1"/>
  <c r="AA553" i="1"/>
  <c r="AB553" i="1"/>
  <c r="AC553" i="1"/>
  <c r="AD553" i="1"/>
  <c r="AE553" i="1"/>
  <c r="V554" i="1"/>
  <c r="W554" i="1"/>
  <c r="X554" i="1"/>
  <c r="Y554" i="1"/>
  <c r="Z554" i="1"/>
  <c r="AA554" i="1"/>
  <c r="AB554" i="1"/>
  <c r="AC554" i="1"/>
  <c r="AD554" i="1"/>
  <c r="AE554" i="1"/>
  <c r="V555" i="1"/>
  <c r="W555" i="1"/>
  <c r="X555" i="1"/>
  <c r="Y555" i="1"/>
  <c r="Z555" i="1"/>
  <c r="AA555" i="1"/>
  <c r="AB555" i="1"/>
  <c r="AC555" i="1"/>
  <c r="AD555" i="1"/>
  <c r="AE555" i="1"/>
  <c r="V556" i="1"/>
  <c r="W556" i="1"/>
  <c r="X556" i="1"/>
  <c r="Y556" i="1"/>
  <c r="Z556" i="1"/>
  <c r="AA556" i="1"/>
  <c r="AB556" i="1"/>
  <c r="AC556" i="1"/>
  <c r="AD556" i="1"/>
  <c r="AE556" i="1"/>
  <c r="V557" i="1"/>
  <c r="W557" i="1"/>
  <c r="X557" i="1"/>
  <c r="Y557" i="1"/>
  <c r="Z557" i="1"/>
  <c r="AA557" i="1"/>
  <c r="AB557" i="1"/>
  <c r="AC557" i="1"/>
  <c r="AD557" i="1"/>
  <c r="AE557" i="1"/>
  <c r="V558" i="1"/>
  <c r="W558" i="1"/>
  <c r="X558" i="1"/>
  <c r="Y558" i="1"/>
  <c r="Z558" i="1"/>
  <c r="AA558" i="1"/>
  <c r="AB558" i="1"/>
  <c r="AC558" i="1"/>
  <c r="AD558" i="1"/>
  <c r="AE558" i="1"/>
  <c r="V559" i="1"/>
  <c r="W559" i="1"/>
  <c r="X559" i="1"/>
  <c r="Y559" i="1"/>
  <c r="Z559" i="1"/>
  <c r="AA559" i="1"/>
  <c r="AB559" i="1"/>
  <c r="AC559" i="1"/>
  <c r="AD559" i="1"/>
  <c r="AE559" i="1"/>
  <c r="V560" i="1"/>
  <c r="W560" i="1"/>
  <c r="X560" i="1"/>
  <c r="Y560" i="1"/>
  <c r="Z560" i="1"/>
  <c r="AA560" i="1"/>
  <c r="AB560" i="1"/>
  <c r="AC560" i="1"/>
  <c r="AD560" i="1"/>
  <c r="AE560" i="1"/>
  <c r="V561" i="1"/>
  <c r="W561" i="1"/>
  <c r="X561" i="1"/>
  <c r="Y561" i="1"/>
  <c r="Z561" i="1"/>
  <c r="AA561" i="1"/>
  <c r="AB561" i="1"/>
  <c r="AC561" i="1"/>
  <c r="AD561" i="1"/>
  <c r="AE561" i="1"/>
  <c r="V562" i="1"/>
  <c r="W562" i="1"/>
  <c r="X562" i="1"/>
  <c r="Y562" i="1"/>
  <c r="Z562" i="1"/>
  <c r="AA562" i="1"/>
  <c r="AB562" i="1"/>
  <c r="AC562" i="1"/>
  <c r="AD562" i="1"/>
  <c r="AE562" i="1"/>
  <c r="V563" i="1"/>
  <c r="W563" i="1"/>
  <c r="X563" i="1"/>
  <c r="Y563" i="1"/>
  <c r="Z563" i="1"/>
  <c r="AA563" i="1"/>
  <c r="AB563" i="1"/>
  <c r="AC563" i="1"/>
  <c r="AD563" i="1"/>
  <c r="AE563" i="1"/>
  <c r="V564" i="1"/>
  <c r="W564" i="1"/>
  <c r="X564" i="1"/>
  <c r="Y564" i="1"/>
  <c r="Z564" i="1"/>
  <c r="AA564" i="1"/>
  <c r="AB564" i="1"/>
  <c r="AC564" i="1"/>
  <c r="AD564" i="1"/>
  <c r="AE564" i="1"/>
  <c r="V565" i="1"/>
  <c r="W565" i="1"/>
  <c r="X565" i="1"/>
  <c r="Y565" i="1"/>
  <c r="Z565" i="1"/>
  <c r="AA565" i="1"/>
  <c r="AB565" i="1"/>
  <c r="AC565" i="1"/>
  <c r="AD565" i="1"/>
  <c r="AE565" i="1"/>
  <c r="V566" i="1"/>
  <c r="W566" i="1"/>
  <c r="X566" i="1"/>
  <c r="Y566" i="1"/>
  <c r="Z566" i="1"/>
  <c r="AA566" i="1"/>
  <c r="AB566" i="1"/>
  <c r="AC566" i="1"/>
  <c r="AD566" i="1"/>
  <c r="AE566" i="1"/>
  <c r="V567" i="1"/>
  <c r="W567" i="1"/>
  <c r="X567" i="1"/>
  <c r="Y567" i="1"/>
  <c r="Z567" i="1"/>
  <c r="AA567" i="1"/>
  <c r="AB567" i="1"/>
  <c r="AC567" i="1"/>
  <c r="AD567" i="1"/>
  <c r="AE567" i="1"/>
  <c r="V568" i="1"/>
  <c r="W568" i="1"/>
  <c r="X568" i="1"/>
  <c r="Y568" i="1"/>
  <c r="Z568" i="1"/>
  <c r="AA568" i="1"/>
  <c r="AB568" i="1"/>
  <c r="AC568" i="1"/>
  <c r="AD568" i="1"/>
  <c r="AE568" i="1"/>
  <c r="V569" i="1"/>
  <c r="W569" i="1"/>
  <c r="X569" i="1"/>
  <c r="Y569" i="1"/>
  <c r="Z569" i="1"/>
  <c r="AA569" i="1"/>
  <c r="AB569" i="1"/>
  <c r="AC569" i="1"/>
  <c r="AD569" i="1"/>
  <c r="AE569" i="1"/>
  <c r="V570" i="1"/>
  <c r="W570" i="1"/>
  <c r="X570" i="1"/>
  <c r="Y570" i="1"/>
  <c r="Z570" i="1"/>
  <c r="AA570" i="1"/>
  <c r="AB570" i="1"/>
  <c r="AC570" i="1"/>
  <c r="AD570" i="1"/>
  <c r="AE570" i="1"/>
  <c r="V571" i="1"/>
  <c r="W571" i="1"/>
  <c r="X571" i="1"/>
  <c r="Y571" i="1"/>
  <c r="Z571" i="1"/>
  <c r="AA571" i="1"/>
  <c r="AB571" i="1"/>
  <c r="AC571" i="1"/>
  <c r="AD571" i="1"/>
  <c r="AE571" i="1"/>
  <c r="V572" i="1"/>
  <c r="W572" i="1"/>
  <c r="X572" i="1"/>
  <c r="Y572" i="1"/>
  <c r="Z572" i="1"/>
  <c r="AA572" i="1"/>
  <c r="AB572" i="1"/>
  <c r="AC572" i="1"/>
  <c r="AD572" i="1"/>
  <c r="AE572" i="1"/>
  <c r="V573" i="1"/>
  <c r="W573" i="1"/>
  <c r="X573" i="1"/>
  <c r="Y573" i="1"/>
  <c r="Z573" i="1"/>
  <c r="AA573" i="1"/>
  <c r="AB573" i="1"/>
  <c r="AC573" i="1"/>
  <c r="AD573" i="1"/>
  <c r="AE573" i="1"/>
  <c r="V574" i="1"/>
  <c r="W574" i="1"/>
  <c r="X574" i="1"/>
  <c r="Y574" i="1"/>
  <c r="Z574" i="1"/>
  <c r="AA574" i="1"/>
  <c r="AB574" i="1"/>
  <c r="AC574" i="1"/>
  <c r="AD574" i="1"/>
  <c r="AE574" i="1"/>
  <c r="V575" i="1"/>
  <c r="W575" i="1"/>
  <c r="X575" i="1"/>
  <c r="Y575" i="1"/>
  <c r="Z575" i="1"/>
  <c r="AA575" i="1"/>
  <c r="AB575" i="1"/>
  <c r="AC575" i="1"/>
  <c r="AD575" i="1"/>
  <c r="AE575" i="1"/>
  <c r="V576" i="1"/>
  <c r="W576" i="1"/>
  <c r="X576" i="1"/>
  <c r="Y576" i="1"/>
  <c r="Z576" i="1"/>
  <c r="AA576" i="1"/>
  <c r="AB576" i="1"/>
  <c r="AC576" i="1"/>
  <c r="AD576" i="1"/>
  <c r="AE576" i="1"/>
  <c r="V577" i="1"/>
  <c r="W577" i="1"/>
  <c r="X577" i="1"/>
  <c r="Y577" i="1"/>
  <c r="Z577" i="1"/>
  <c r="AA577" i="1"/>
  <c r="AB577" i="1"/>
  <c r="AC577" i="1"/>
  <c r="AD577" i="1"/>
  <c r="AE577" i="1"/>
  <c r="V578" i="1"/>
  <c r="W578" i="1"/>
  <c r="X578" i="1"/>
  <c r="Y578" i="1"/>
  <c r="Z578" i="1"/>
  <c r="AA578" i="1"/>
  <c r="AB578" i="1"/>
  <c r="AC578" i="1"/>
  <c r="AD578" i="1"/>
  <c r="AE578" i="1"/>
  <c r="V579" i="1"/>
  <c r="W579" i="1"/>
  <c r="X579" i="1"/>
  <c r="Y579" i="1"/>
  <c r="Z579" i="1"/>
  <c r="AA579" i="1"/>
  <c r="AB579" i="1"/>
  <c r="AC579" i="1"/>
  <c r="AD579" i="1"/>
  <c r="AE579" i="1"/>
  <c r="V580" i="1"/>
  <c r="W580" i="1"/>
  <c r="X580" i="1"/>
  <c r="Y580" i="1"/>
  <c r="Z580" i="1"/>
  <c r="AA580" i="1"/>
  <c r="AB580" i="1"/>
  <c r="AC580" i="1"/>
  <c r="AD580" i="1"/>
  <c r="AE580" i="1"/>
  <c r="V581" i="1"/>
  <c r="W581" i="1"/>
  <c r="X581" i="1"/>
  <c r="Y581" i="1"/>
  <c r="Z581" i="1"/>
  <c r="AA581" i="1"/>
  <c r="AB581" i="1"/>
  <c r="AC581" i="1"/>
  <c r="AD581" i="1"/>
  <c r="AE581" i="1"/>
  <c r="V582" i="1"/>
  <c r="W582" i="1"/>
  <c r="X582" i="1"/>
  <c r="Y582" i="1"/>
  <c r="Z582" i="1"/>
  <c r="AA582" i="1"/>
  <c r="AB582" i="1"/>
  <c r="AC582" i="1"/>
  <c r="AD582" i="1"/>
  <c r="AE582" i="1"/>
  <c r="V583" i="1"/>
  <c r="W583" i="1"/>
  <c r="X583" i="1"/>
  <c r="Y583" i="1"/>
  <c r="Z583" i="1"/>
  <c r="AA583" i="1"/>
  <c r="AB583" i="1"/>
  <c r="AC583" i="1"/>
  <c r="AD583" i="1"/>
  <c r="AE583" i="1"/>
  <c r="V584" i="1"/>
  <c r="W584" i="1"/>
  <c r="X584" i="1"/>
  <c r="Y584" i="1"/>
  <c r="Z584" i="1"/>
  <c r="AA584" i="1"/>
  <c r="AB584" i="1"/>
  <c r="AC584" i="1"/>
  <c r="AD584" i="1"/>
  <c r="AE584" i="1"/>
  <c r="V585" i="1"/>
  <c r="W585" i="1"/>
  <c r="X585" i="1"/>
  <c r="Y585" i="1"/>
  <c r="Z585" i="1"/>
  <c r="AA585" i="1"/>
  <c r="AB585" i="1"/>
  <c r="AC585" i="1"/>
  <c r="AD585" i="1"/>
  <c r="AE585" i="1"/>
  <c r="V586" i="1"/>
  <c r="W586" i="1"/>
  <c r="X586" i="1"/>
  <c r="Y586" i="1"/>
  <c r="Z586" i="1"/>
  <c r="AA586" i="1"/>
  <c r="AB586" i="1"/>
  <c r="AC586" i="1"/>
  <c r="AD586" i="1"/>
  <c r="AE586" i="1"/>
  <c r="V587" i="1"/>
  <c r="W587" i="1"/>
  <c r="X587" i="1"/>
  <c r="Y587" i="1"/>
  <c r="Z587" i="1"/>
  <c r="AA587" i="1"/>
  <c r="AB587" i="1"/>
  <c r="AC587" i="1"/>
  <c r="AD587" i="1"/>
  <c r="AE587" i="1"/>
  <c r="V588" i="1"/>
  <c r="W588" i="1"/>
  <c r="X588" i="1"/>
  <c r="Y588" i="1"/>
  <c r="Z588" i="1"/>
  <c r="AA588" i="1"/>
  <c r="AB588" i="1"/>
  <c r="AC588" i="1"/>
  <c r="AD588" i="1"/>
  <c r="AE588" i="1"/>
  <c r="V589" i="1"/>
  <c r="W589" i="1"/>
  <c r="X589" i="1"/>
  <c r="Y589" i="1"/>
  <c r="Z589" i="1"/>
  <c r="AA589" i="1"/>
  <c r="AB589" i="1"/>
  <c r="AC589" i="1"/>
  <c r="AD589" i="1"/>
  <c r="AE589" i="1"/>
  <c r="V590" i="1"/>
  <c r="W590" i="1"/>
  <c r="X590" i="1"/>
  <c r="Y590" i="1"/>
  <c r="Z590" i="1"/>
  <c r="AA590" i="1"/>
  <c r="AB590" i="1"/>
  <c r="AC590" i="1"/>
  <c r="AD590" i="1"/>
  <c r="AE590" i="1"/>
  <c r="V591" i="1"/>
  <c r="W591" i="1"/>
  <c r="X591" i="1"/>
  <c r="Y591" i="1"/>
  <c r="Z591" i="1"/>
  <c r="AA591" i="1"/>
  <c r="AB591" i="1"/>
  <c r="AC591" i="1"/>
  <c r="AD591" i="1"/>
  <c r="AE591" i="1"/>
  <c r="V592" i="1"/>
  <c r="W592" i="1"/>
  <c r="X592" i="1"/>
  <c r="Y592" i="1"/>
  <c r="Z592" i="1"/>
  <c r="AA592" i="1"/>
  <c r="AB592" i="1"/>
  <c r="AC592" i="1"/>
  <c r="AD592" i="1"/>
  <c r="AE592" i="1"/>
  <c r="V593" i="1"/>
  <c r="W593" i="1"/>
  <c r="X593" i="1"/>
  <c r="Y593" i="1"/>
  <c r="Z593" i="1"/>
  <c r="AA593" i="1"/>
  <c r="AB593" i="1"/>
  <c r="AC593" i="1"/>
  <c r="AD593" i="1"/>
  <c r="AE593" i="1"/>
  <c r="V594" i="1"/>
  <c r="W594" i="1"/>
  <c r="X594" i="1"/>
  <c r="Y594" i="1"/>
  <c r="Z594" i="1"/>
  <c r="AA594" i="1"/>
  <c r="AB594" i="1"/>
  <c r="AC594" i="1"/>
  <c r="AD594" i="1"/>
  <c r="AE594" i="1"/>
  <c r="V595" i="1"/>
  <c r="W595" i="1"/>
  <c r="X595" i="1"/>
  <c r="Y595" i="1"/>
  <c r="Z595" i="1"/>
  <c r="AA595" i="1"/>
  <c r="AB595" i="1"/>
  <c r="AC595" i="1"/>
  <c r="AD595" i="1"/>
  <c r="AE595" i="1"/>
  <c r="V596" i="1"/>
  <c r="W596" i="1"/>
  <c r="X596" i="1"/>
  <c r="Y596" i="1"/>
  <c r="Z596" i="1"/>
  <c r="AA596" i="1"/>
  <c r="AB596" i="1"/>
  <c r="AC596" i="1"/>
  <c r="AD596" i="1"/>
  <c r="AE596" i="1"/>
  <c r="V597" i="1"/>
  <c r="W597" i="1"/>
  <c r="X597" i="1"/>
  <c r="Y597" i="1"/>
  <c r="Z597" i="1"/>
  <c r="AA597" i="1"/>
  <c r="AB597" i="1"/>
  <c r="AC597" i="1"/>
  <c r="AD597" i="1"/>
  <c r="AE597" i="1"/>
  <c r="V598" i="1"/>
  <c r="W598" i="1"/>
  <c r="X598" i="1"/>
  <c r="Y598" i="1"/>
  <c r="Z598" i="1"/>
  <c r="AA598" i="1"/>
  <c r="AB598" i="1"/>
  <c r="AC598" i="1"/>
  <c r="AD598" i="1"/>
  <c r="AE598" i="1"/>
  <c r="V599" i="1"/>
  <c r="W599" i="1"/>
  <c r="X599" i="1"/>
  <c r="Y599" i="1"/>
  <c r="Z599" i="1"/>
  <c r="AA599" i="1"/>
  <c r="AB599" i="1"/>
  <c r="AC599" i="1"/>
  <c r="AD599" i="1"/>
  <c r="AE599" i="1"/>
  <c r="V600" i="1"/>
  <c r="W600" i="1"/>
  <c r="X600" i="1"/>
  <c r="Y600" i="1"/>
  <c r="Z600" i="1"/>
  <c r="AA600" i="1"/>
  <c r="AB600" i="1"/>
  <c r="AC600" i="1"/>
  <c r="AD600" i="1"/>
  <c r="AE600" i="1"/>
  <c r="V601" i="1"/>
  <c r="W601" i="1"/>
  <c r="X601" i="1"/>
  <c r="Y601" i="1"/>
  <c r="Z601" i="1"/>
  <c r="AA601" i="1"/>
  <c r="AB601" i="1"/>
  <c r="AC601" i="1"/>
  <c r="AD601" i="1"/>
  <c r="AE601" i="1"/>
  <c r="V602" i="1"/>
  <c r="W602" i="1"/>
  <c r="X602" i="1"/>
  <c r="Y602" i="1"/>
  <c r="Z602" i="1"/>
  <c r="AA602" i="1"/>
  <c r="AB602" i="1"/>
  <c r="AC602" i="1"/>
  <c r="AD602" i="1"/>
  <c r="AE602" i="1"/>
  <c r="V603" i="1"/>
  <c r="W603" i="1"/>
  <c r="X603" i="1"/>
  <c r="Y603" i="1"/>
  <c r="Z603" i="1"/>
  <c r="AA603" i="1"/>
  <c r="AB603" i="1"/>
  <c r="AC603" i="1"/>
  <c r="AD603" i="1"/>
  <c r="AE603" i="1"/>
  <c r="V604" i="1"/>
  <c r="W604" i="1"/>
  <c r="X604" i="1"/>
  <c r="Y604" i="1"/>
  <c r="Z604" i="1"/>
  <c r="AA604" i="1"/>
  <c r="AB604" i="1"/>
  <c r="AC604" i="1"/>
  <c r="AD604" i="1"/>
  <c r="AE604" i="1"/>
  <c r="V605" i="1"/>
  <c r="W605" i="1"/>
  <c r="X605" i="1"/>
  <c r="Y605" i="1"/>
  <c r="Z605" i="1"/>
  <c r="AA605" i="1"/>
  <c r="AB605" i="1"/>
  <c r="AC605" i="1"/>
  <c r="AD605" i="1"/>
  <c r="AE605" i="1"/>
  <c r="V606" i="1"/>
  <c r="W606" i="1"/>
  <c r="X606" i="1"/>
  <c r="Y606" i="1"/>
  <c r="Z606" i="1"/>
  <c r="AA606" i="1"/>
  <c r="AB606" i="1"/>
  <c r="AC606" i="1"/>
  <c r="AD606" i="1"/>
  <c r="AE606" i="1"/>
  <c r="V607" i="1"/>
  <c r="W607" i="1"/>
  <c r="X607" i="1"/>
  <c r="Y607" i="1"/>
  <c r="Z607" i="1"/>
  <c r="AA607" i="1"/>
  <c r="AB607" i="1"/>
  <c r="AC607" i="1"/>
  <c r="AD607" i="1"/>
  <c r="AE607" i="1"/>
  <c r="V608" i="1"/>
  <c r="W608" i="1"/>
  <c r="X608" i="1"/>
  <c r="Y608" i="1"/>
  <c r="Z608" i="1"/>
  <c r="AA608" i="1"/>
  <c r="AB608" i="1"/>
  <c r="AC608" i="1"/>
  <c r="AD608" i="1"/>
  <c r="AE608" i="1"/>
  <c r="V609" i="1"/>
  <c r="W609" i="1"/>
  <c r="X609" i="1"/>
  <c r="Y609" i="1"/>
  <c r="Z609" i="1"/>
  <c r="AA609" i="1"/>
  <c r="AB609" i="1"/>
  <c r="AC609" i="1"/>
  <c r="AD609" i="1"/>
  <c r="AE609" i="1"/>
  <c r="V610" i="1"/>
  <c r="W610" i="1"/>
  <c r="X610" i="1"/>
  <c r="Y610" i="1"/>
  <c r="Z610" i="1"/>
  <c r="AA610" i="1"/>
  <c r="AB610" i="1"/>
  <c r="AC610" i="1"/>
  <c r="AD610" i="1"/>
  <c r="AE610" i="1"/>
  <c r="V611" i="1"/>
  <c r="W611" i="1"/>
  <c r="X611" i="1"/>
  <c r="Y611" i="1"/>
  <c r="Z611" i="1"/>
  <c r="AA611" i="1"/>
  <c r="AB611" i="1"/>
  <c r="AC611" i="1"/>
  <c r="AD611" i="1"/>
  <c r="AE611" i="1"/>
  <c r="V612" i="1"/>
  <c r="W612" i="1"/>
  <c r="X612" i="1"/>
  <c r="Y612" i="1"/>
  <c r="Z612" i="1"/>
  <c r="AA612" i="1"/>
  <c r="AB612" i="1"/>
  <c r="AC612" i="1"/>
  <c r="AD612" i="1"/>
  <c r="AE612" i="1"/>
  <c r="V613" i="1"/>
  <c r="W613" i="1"/>
  <c r="X613" i="1"/>
  <c r="Y613" i="1"/>
  <c r="Z613" i="1"/>
  <c r="AA613" i="1"/>
  <c r="AB613" i="1"/>
  <c r="AC613" i="1"/>
  <c r="AD613" i="1"/>
  <c r="AE613" i="1"/>
  <c r="V614" i="1"/>
  <c r="W614" i="1"/>
  <c r="X614" i="1"/>
  <c r="Y614" i="1"/>
  <c r="Z614" i="1"/>
  <c r="AA614" i="1"/>
  <c r="AB614" i="1"/>
  <c r="AC614" i="1"/>
  <c r="AD614" i="1"/>
  <c r="AE614" i="1"/>
  <c r="V615" i="1"/>
  <c r="W615" i="1"/>
  <c r="X615" i="1"/>
  <c r="Y615" i="1"/>
  <c r="Z615" i="1"/>
  <c r="AA615" i="1"/>
  <c r="AB615" i="1"/>
  <c r="AC615" i="1"/>
  <c r="AD615" i="1"/>
  <c r="AE615" i="1"/>
  <c r="V616" i="1"/>
  <c r="W616" i="1"/>
  <c r="X616" i="1"/>
  <c r="Y616" i="1"/>
  <c r="Z616" i="1"/>
  <c r="AA616" i="1"/>
  <c r="AB616" i="1"/>
  <c r="AC616" i="1"/>
  <c r="AD616" i="1"/>
  <c r="AE616" i="1"/>
  <c r="V617" i="1"/>
  <c r="W617" i="1"/>
  <c r="X617" i="1"/>
  <c r="Y617" i="1"/>
  <c r="Z617" i="1"/>
  <c r="AA617" i="1"/>
  <c r="AB617" i="1"/>
  <c r="AC617" i="1"/>
  <c r="AD617" i="1"/>
  <c r="AE617" i="1"/>
  <c r="V618" i="1"/>
  <c r="W618" i="1"/>
  <c r="X618" i="1"/>
  <c r="Y618" i="1"/>
  <c r="Z618" i="1"/>
  <c r="AA618" i="1"/>
  <c r="AB618" i="1"/>
  <c r="AC618" i="1"/>
  <c r="AD618" i="1"/>
  <c r="AE618" i="1"/>
  <c r="V619" i="1"/>
  <c r="W619" i="1"/>
  <c r="X619" i="1"/>
  <c r="Y619" i="1"/>
  <c r="Z619" i="1"/>
  <c r="AA619" i="1"/>
  <c r="AB619" i="1"/>
  <c r="AC619" i="1"/>
  <c r="AD619" i="1"/>
  <c r="AE619" i="1"/>
  <c r="V620" i="1"/>
  <c r="W620" i="1"/>
  <c r="X620" i="1"/>
  <c r="Y620" i="1"/>
  <c r="Z620" i="1"/>
  <c r="AA620" i="1"/>
  <c r="AB620" i="1"/>
  <c r="AC620" i="1"/>
  <c r="AD620" i="1"/>
  <c r="AE620" i="1"/>
  <c r="V621" i="1"/>
  <c r="W621" i="1"/>
  <c r="X621" i="1"/>
  <c r="Y621" i="1"/>
  <c r="Z621" i="1"/>
  <c r="AA621" i="1"/>
  <c r="AB621" i="1"/>
  <c r="AC621" i="1"/>
  <c r="AD621" i="1"/>
  <c r="AE621" i="1"/>
  <c r="V622" i="1"/>
  <c r="W622" i="1"/>
  <c r="X622" i="1"/>
  <c r="Y622" i="1"/>
  <c r="Z622" i="1"/>
  <c r="AA622" i="1"/>
  <c r="AB622" i="1"/>
  <c r="AC622" i="1"/>
  <c r="AD622" i="1"/>
  <c r="AE622" i="1"/>
  <c r="V623" i="1"/>
  <c r="W623" i="1"/>
  <c r="X623" i="1"/>
  <c r="Y623" i="1"/>
  <c r="Z623" i="1"/>
  <c r="AA623" i="1"/>
  <c r="AB623" i="1"/>
  <c r="AC623" i="1"/>
  <c r="AD623" i="1"/>
  <c r="AE623" i="1"/>
  <c r="V624" i="1"/>
  <c r="W624" i="1"/>
  <c r="X624" i="1"/>
  <c r="Y624" i="1"/>
  <c r="Z624" i="1"/>
  <c r="AA624" i="1"/>
  <c r="AB624" i="1"/>
  <c r="AC624" i="1"/>
  <c r="AD624" i="1"/>
  <c r="AE624" i="1"/>
  <c r="V625" i="1"/>
  <c r="W625" i="1"/>
  <c r="X625" i="1"/>
  <c r="Y625" i="1"/>
  <c r="Z625" i="1"/>
  <c r="AA625" i="1"/>
  <c r="AB625" i="1"/>
  <c r="AC625" i="1"/>
  <c r="AD625" i="1"/>
  <c r="AE625" i="1"/>
  <c r="V626" i="1"/>
  <c r="W626" i="1"/>
  <c r="X626" i="1"/>
  <c r="Y626" i="1"/>
  <c r="Z626" i="1"/>
  <c r="AA626" i="1"/>
  <c r="AB626" i="1"/>
  <c r="AC626" i="1"/>
  <c r="AD626" i="1"/>
  <c r="AE626" i="1"/>
  <c r="V627" i="1"/>
  <c r="W627" i="1"/>
  <c r="X627" i="1"/>
  <c r="Y627" i="1"/>
  <c r="Z627" i="1"/>
  <c r="AA627" i="1"/>
  <c r="AB627" i="1"/>
  <c r="AC627" i="1"/>
  <c r="AD627" i="1"/>
  <c r="AE627" i="1"/>
  <c r="V628" i="1"/>
  <c r="W628" i="1"/>
  <c r="X628" i="1"/>
  <c r="Y628" i="1"/>
  <c r="Z628" i="1"/>
  <c r="AA628" i="1"/>
  <c r="AB628" i="1"/>
  <c r="AC628" i="1"/>
  <c r="AD628" i="1"/>
  <c r="AE628" i="1"/>
  <c r="V629" i="1"/>
  <c r="W629" i="1"/>
  <c r="X629" i="1"/>
  <c r="Y629" i="1"/>
  <c r="Z629" i="1"/>
  <c r="AA629" i="1"/>
  <c r="AB629" i="1"/>
  <c r="AC629" i="1"/>
  <c r="AD629" i="1"/>
  <c r="AE629" i="1"/>
  <c r="V630" i="1"/>
  <c r="W630" i="1"/>
  <c r="X630" i="1"/>
  <c r="Y630" i="1"/>
  <c r="Z630" i="1"/>
  <c r="AA630" i="1"/>
  <c r="AB630" i="1"/>
  <c r="AC630" i="1"/>
  <c r="AD630" i="1"/>
  <c r="AE630" i="1"/>
  <c r="V631" i="1"/>
  <c r="W631" i="1"/>
  <c r="X631" i="1"/>
  <c r="Y631" i="1"/>
  <c r="Z631" i="1"/>
  <c r="AA631" i="1"/>
  <c r="AB631" i="1"/>
  <c r="AC631" i="1"/>
  <c r="AD631" i="1"/>
  <c r="AE631" i="1"/>
  <c r="V632" i="1"/>
  <c r="W632" i="1"/>
  <c r="X632" i="1"/>
  <c r="Y632" i="1"/>
  <c r="Z632" i="1"/>
  <c r="AA632" i="1"/>
  <c r="AB632" i="1"/>
  <c r="AC632" i="1"/>
  <c r="AD632" i="1"/>
  <c r="AE632" i="1"/>
  <c r="V633" i="1"/>
  <c r="W633" i="1"/>
  <c r="X633" i="1"/>
  <c r="Y633" i="1"/>
  <c r="Z633" i="1"/>
  <c r="AA633" i="1"/>
  <c r="AB633" i="1"/>
  <c r="AC633" i="1"/>
  <c r="AD633" i="1"/>
  <c r="AE633" i="1"/>
  <c r="V634" i="1"/>
  <c r="W634" i="1"/>
  <c r="X634" i="1"/>
  <c r="Y634" i="1"/>
  <c r="Z634" i="1"/>
  <c r="AA634" i="1"/>
  <c r="AB634" i="1"/>
  <c r="AC634" i="1"/>
  <c r="AD634" i="1"/>
  <c r="AE634" i="1"/>
  <c r="V635" i="1"/>
  <c r="W635" i="1"/>
  <c r="X635" i="1"/>
  <c r="Y635" i="1"/>
  <c r="Z635" i="1"/>
  <c r="AA635" i="1"/>
  <c r="AB635" i="1"/>
  <c r="AC635" i="1"/>
  <c r="AD635" i="1"/>
  <c r="AE635" i="1"/>
  <c r="V636" i="1"/>
  <c r="W636" i="1"/>
  <c r="X636" i="1"/>
  <c r="Y636" i="1"/>
  <c r="Z636" i="1"/>
  <c r="AA636" i="1"/>
  <c r="AB636" i="1"/>
  <c r="AC636" i="1"/>
  <c r="AD636" i="1"/>
  <c r="AE636" i="1"/>
  <c r="V637" i="1"/>
  <c r="W637" i="1"/>
  <c r="X637" i="1"/>
  <c r="Y637" i="1"/>
  <c r="Z637" i="1"/>
  <c r="AA637" i="1"/>
  <c r="AB637" i="1"/>
  <c r="AC637" i="1"/>
  <c r="AD637" i="1"/>
  <c r="AE637" i="1"/>
  <c r="V638" i="1"/>
  <c r="W638" i="1"/>
  <c r="X638" i="1"/>
  <c r="Y638" i="1"/>
  <c r="Z638" i="1"/>
  <c r="AA638" i="1"/>
  <c r="AB638" i="1"/>
  <c r="AC638" i="1"/>
  <c r="AD638" i="1"/>
  <c r="AE638" i="1"/>
  <c r="V639" i="1"/>
  <c r="W639" i="1"/>
  <c r="X639" i="1"/>
  <c r="Y639" i="1"/>
  <c r="Z639" i="1"/>
  <c r="AA639" i="1"/>
  <c r="AB639" i="1"/>
  <c r="AC639" i="1"/>
  <c r="AD639" i="1"/>
  <c r="AE639" i="1"/>
  <c r="V640" i="1"/>
  <c r="W640" i="1"/>
  <c r="X640" i="1"/>
  <c r="Y640" i="1"/>
  <c r="Z640" i="1"/>
  <c r="AA640" i="1"/>
  <c r="AB640" i="1"/>
  <c r="AC640" i="1"/>
  <c r="AD640" i="1"/>
  <c r="AE640" i="1"/>
  <c r="V641" i="1"/>
  <c r="W641" i="1"/>
  <c r="X641" i="1"/>
  <c r="Y641" i="1"/>
  <c r="Z641" i="1"/>
  <c r="AA641" i="1"/>
  <c r="AB641" i="1"/>
  <c r="AC641" i="1"/>
  <c r="AD641" i="1"/>
  <c r="AE641" i="1"/>
  <c r="V642" i="1"/>
  <c r="W642" i="1"/>
  <c r="X642" i="1"/>
  <c r="Y642" i="1"/>
  <c r="Z642" i="1"/>
  <c r="AA642" i="1"/>
  <c r="AB642" i="1"/>
  <c r="AC642" i="1"/>
  <c r="AD642" i="1"/>
  <c r="AE642" i="1"/>
  <c r="V643" i="1"/>
  <c r="W643" i="1"/>
  <c r="X643" i="1"/>
  <c r="Y643" i="1"/>
  <c r="Z643" i="1"/>
  <c r="AA643" i="1"/>
  <c r="AB643" i="1"/>
  <c r="AC643" i="1"/>
  <c r="AD643" i="1"/>
  <c r="AE643" i="1"/>
  <c r="V644" i="1"/>
  <c r="W644" i="1"/>
  <c r="X644" i="1"/>
  <c r="Y644" i="1"/>
  <c r="Z644" i="1"/>
  <c r="AA644" i="1"/>
  <c r="AB644" i="1"/>
  <c r="AC644" i="1"/>
  <c r="AD644" i="1"/>
  <c r="AE644" i="1"/>
  <c r="V645" i="1"/>
  <c r="W645" i="1"/>
  <c r="X645" i="1"/>
  <c r="Y645" i="1"/>
  <c r="Z645" i="1"/>
  <c r="AA645" i="1"/>
  <c r="AB645" i="1"/>
  <c r="AC645" i="1"/>
  <c r="AD645" i="1"/>
  <c r="AE645" i="1"/>
  <c r="V646" i="1"/>
  <c r="W646" i="1"/>
  <c r="X646" i="1"/>
  <c r="Y646" i="1"/>
  <c r="Z646" i="1"/>
  <c r="AA646" i="1"/>
  <c r="AB646" i="1"/>
  <c r="AC646" i="1"/>
  <c r="AD646" i="1"/>
  <c r="AE646" i="1"/>
  <c r="V647" i="1"/>
  <c r="W647" i="1"/>
  <c r="X647" i="1"/>
  <c r="Y647" i="1"/>
  <c r="Z647" i="1"/>
  <c r="AA647" i="1"/>
  <c r="AB647" i="1"/>
  <c r="AC647" i="1"/>
  <c r="AD647" i="1"/>
  <c r="AE647" i="1"/>
  <c r="V648" i="1"/>
  <c r="W648" i="1"/>
  <c r="X648" i="1"/>
  <c r="Y648" i="1"/>
  <c r="Z648" i="1"/>
  <c r="AA648" i="1"/>
  <c r="AB648" i="1"/>
  <c r="AC648" i="1"/>
  <c r="AD648" i="1"/>
  <c r="AE648" i="1"/>
  <c r="V649" i="1"/>
  <c r="W649" i="1"/>
  <c r="X649" i="1"/>
  <c r="Y649" i="1"/>
  <c r="Z649" i="1"/>
  <c r="AA649" i="1"/>
  <c r="AB649" i="1"/>
  <c r="AC649" i="1"/>
  <c r="AD649" i="1"/>
  <c r="AE649" i="1"/>
  <c r="V650" i="1"/>
  <c r="W650" i="1"/>
  <c r="X650" i="1"/>
  <c r="Y650" i="1"/>
  <c r="Z650" i="1"/>
  <c r="AA650" i="1"/>
  <c r="AB650" i="1"/>
  <c r="AC650" i="1"/>
  <c r="AD650" i="1"/>
  <c r="AE650" i="1"/>
  <c r="V651" i="1"/>
  <c r="W651" i="1"/>
  <c r="X651" i="1"/>
  <c r="Y651" i="1"/>
  <c r="Z651" i="1"/>
  <c r="AA651" i="1"/>
  <c r="AB651" i="1"/>
  <c r="AC651" i="1"/>
  <c r="AD651" i="1"/>
  <c r="AE651" i="1"/>
  <c r="V652" i="1"/>
  <c r="W652" i="1"/>
  <c r="X652" i="1"/>
  <c r="Y652" i="1"/>
  <c r="Z652" i="1"/>
  <c r="AA652" i="1"/>
  <c r="AB652" i="1"/>
  <c r="AC652" i="1"/>
  <c r="AD652" i="1"/>
  <c r="AE652" i="1"/>
  <c r="V653" i="1"/>
  <c r="W653" i="1"/>
  <c r="X653" i="1"/>
  <c r="Y653" i="1"/>
  <c r="Z653" i="1"/>
  <c r="AA653" i="1"/>
  <c r="AB653" i="1"/>
  <c r="AC653" i="1"/>
  <c r="AD653" i="1"/>
  <c r="AE653" i="1"/>
  <c r="V654" i="1"/>
  <c r="W654" i="1"/>
  <c r="X654" i="1"/>
  <c r="Y654" i="1"/>
  <c r="Z654" i="1"/>
  <c r="AA654" i="1"/>
  <c r="AB654" i="1"/>
  <c r="AC654" i="1"/>
  <c r="AD654" i="1"/>
  <c r="AE654" i="1"/>
  <c r="V655" i="1"/>
  <c r="W655" i="1"/>
  <c r="X655" i="1"/>
  <c r="Y655" i="1"/>
  <c r="Z655" i="1"/>
  <c r="AA655" i="1"/>
  <c r="AB655" i="1"/>
  <c r="AC655" i="1"/>
  <c r="AD655" i="1"/>
  <c r="AE655" i="1"/>
  <c r="V656" i="1"/>
  <c r="W656" i="1"/>
  <c r="X656" i="1"/>
  <c r="Y656" i="1"/>
  <c r="Z656" i="1"/>
  <c r="AA656" i="1"/>
  <c r="AB656" i="1"/>
  <c r="AC656" i="1"/>
  <c r="AD656" i="1"/>
  <c r="AE656" i="1"/>
  <c r="V657" i="1"/>
  <c r="W657" i="1"/>
  <c r="X657" i="1"/>
  <c r="Y657" i="1"/>
  <c r="Z657" i="1"/>
  <c r="AA657" i="1"/>
  <c r="AB657" i="1"/>
  <c r="AC657" i="1"/>
  <c r="AD657" i="1"/>
  <c r="AE657" i="1"/>
  <c r="V658" i="1"/>
  <c r="W658" i="1"/>
  <c r="X658" i="1"/>
  <c r="Y658" i="1"/>
  <c r="Z658" i="1"/>
  <c r="AA658" i="1"/>
  <c r="AB658" i="1"/>
  <c r="AC658" i="1"/>
  <c r="AD658" i="1"/>
  <c r="AE658" i="1"/>
  <c r="V659" i="1"/>
  <c r="W659" i="1"/>
  <c r="X659" i="1"/>
  <c r="Y659" i="1"/>
  <c r="Z659" i="1"/>
  <c r="AA659" i="1"/>
  <c r="AB659" i="1"/>
  <c r="AC659" i="1"/>
  <c r="AD659" i="1"/>
  <c r="AE659" i="1"/>
  <c r="V660" i="1"/>
  <c r="W660" i="1"/>
  <c r="X660" i="1"/>
  <c r="Y660" i="1"/>
  <c r="Z660" i="1"/>
  <c r="AA660" i="1"/>
  <c r="AB660" i="1"/>
  <c r="AC660" i="1"/>
  <c r="AD660" i="1"/>
  <c r="AE660" i="1"/>
  <c r="V661" i="1"/>
  <c r="W661" i="1"/>
  <c r="X661" i="1"/>
  <c r="Y661" i="1"/>
  <c r="Z661" i="1"/>
  <c r="AA661" i="1"/>
  <c r="AB661" i="1"/>
  <c r="AC661" i="1"/>
  <c r="AD661" i="1"/>
  <c r="AE661" i="1"/>
  <c r="V662" i="1"/>
  <c r="W662" i="1"/>
  <c r="X662" i="1"/>
  <c r="Y662" i="1"/>
  <c r="Z662" i="1"/>
  <c r="AA662" i="1"/>
  <c r="AB662" i="1"/>
  <c r="AC662" i="1"/>
  <c r="AD662" i="1"/>
  <c r="AE662" i="1"/>
  <c r="V663" i="1"/>
  <c r="W663" i="1"/>
  <c r="X663" i="1"/>
  <c r="Y663" i="1"/>
  <c r="Z663" i="1"/>
  <c r="AA663" i="1"/>
  <c r="AB663" i="1"/>
  <c r="AC663" i="1"/>
  <c r="AD663" i="1"/>
  <c r="AE663" i="1"/>
  <c r="V664" i="1"/>
  <c r="W664" i="1"/>
  <c r="X664" i="1"/>
  <c r="Y664" i="1"/>
  <c r="Z664" i="1"/>
  <c r="AA664" i="1"/>
  <c r="AB664" i="1"/>
  <c r="AC664" i="1"/>
  <c r="AD664" i="1"/>
  <c r="AE664" i="1"/>
  <c r="V665" i="1"/>
  <c r="W665" i="1"/>
  <c r="X665" i="1"/>
  <c r="Y665" i="1"/>
  <c r="Z665" i="1"/>
  <c r="AA665" i="1"/>
  <c r="AB665" i="1"/>
  <c r="AC665" i="1"/>
  <c r="AD665" i="1"/>
  <c r="AE665" i="1"/>
  <c r="V666" i="1"/>
  <c r="W666" i="1"/>
  <c r="X666" i="1"/>
  <c r="Y666" i="1"/>
  <c r="Z666" i="1"/>
  <c r="AA666" i="1"/>
  <c r="AB666" i="1"/>
  <c r="AC666" i="1"/>
  <c r="AD666" i="1"/>
  <c r="AE666" i="1"/>
  <c r="V667" i="1"/>
  <c r="W667" i="1"/>
  <c r="X667" i="1"/>
  <c r="Y667" i="1"/>
  <c r="Z667" i="1"/>
  <c r="AA667" i="1"/>
  <c r="AB667" i="1"/>
  <c r="AC667" i="1"/>
  <c r="AD667" i="1"/>
  <c r="AE667" i="1"/>
  <c r="V668" i="1"/>
  <c r="W668" i="1"/>
  <c r="X668" i="1"/>
  <c r="Y668" i="1"/>
  <c r="Z668" i="1"/>
  <c r="AA668" i="1"/>
  <c r="AB668" i="1"/>
  <c r="AC668" i="1"/>
  <c r="AD668" i="1"/>
  <c r="AE668" i="1"/>
  <c r="V669" i="1"/>
  <c r="W669" i="1"/>
  <c r="X669" i="1"/>
  <c r="Y669" i="1"/>
  <c r="Z669" i="1"/>
  <c r="AA669" i="1"/>
  <c r="AB669" i="1"/>
  <c r="AC669" i="1"/>
  <c r="AD669" i="1"/>
  <c r="AE669" i="1"/>
  <c r="V670" i="1"/>
  <c r="W670" i="1"/>
  <c r="X670" i="1"/>
  <c r="Y670" i="1"/>
  <c r="Z670" i="1"/>
  <c r="AA670" i="1"/>
  <c r="AB670" i="1"/>
  <c r="AC670" i="1"/>
  <c r="AD670" i="1"/>
  <c r="AE670" i="1"/>
  <c r="V671" i="1"/>
  <c r="W671" i="1"/>
  <c r="X671" i="1"/>
  <c r="Y671" i="1"/>
  <c r="Z671" i="1"/>
  <c r="AA671" i="1"/>
  <c r="AB671" i="1"/>
  <c r="AC671" i="1"/>
  <c r="AD671" i="1"/>
  <c r="AE671" i="1"/>
  <c r="V672" i="1"/>
  <c r="W672" i="1"/>
  <c r="X672" i="1"/>
  <c r="Y672" i="1"/>
  <c r="Z672" i="1"/>
  <c r="AA672" i="1"/>
  <c r="AB672" i="1"/>
  <c r="AC672" i="1"/>
  <c r="AD672" i="1"/>
  <c r="AE672" i="1"/>
  <c r="V673" i="1"/>
  <c r="W673" i="1"/>
  <c r="X673" i="1"/>
  <c r="Y673" i="1"/>
  <c r="Z673" i="1"/>
  <c r="AA673" i="1"/>
  <c r="AB673" i="1"/>
  <c r="AC673" i="1"/>
  <c r="AD673" i="1"/>
  <c r="AE673" i="1"/>
  <c r="V674" i="1"/>
  <c r="W674" i="1"/>
  <c r="X674" i="1"/>
  <c r="Y674" i="1"/>
  <c r="Z674" i="1"/>
  <c r="AA674" i="1"/>
  <c r="AB674" i="1"/>
  <c r="AC674" i="1"/>
  <c r="AD674" i="1"/>
  <c r="AE674" i="1"/>
  <c r="V675" i="1"/>
  <c r="W675" i="1"/>
  <c r="X675" i="1"/>
  <c r="Y675" i="1"/>
  <c r="Z675" i="1"/>
  <c r="AA675" i="1"/>
  <c r="AB675" i="1"/>
  <c r="AC675" i="1"/>
  <c r="AD675" i="1"/>
  <c r="AE675" i="1"/>
  <c r="V676" i="1"/>
  <c r="W676" i="1"/>
  <c r="X676" i="1"/>
  <c r="Y676" i="1"/>
  <c r="Z676" i="1"/>
  <c r="AA676" i="1"/>
  <c r="AB676" i="1"/>
  <c r="AC676" i="1"/>
  <c r="AD676" i="1"/>
  <c r="AE676" i="1"/>
  <c r="V677" i="1"/>
  <c r="W677" i="1"/>
  <c r="X677" i="1"/>
  <c r="Y677" i="1"/>
  <c r="Z677" i="1"/>
  <c r="AA677" i="1"/>
  <c r="AB677" i="1"/>
  <c r="AC677" i="1"/>
  <c r="AD677" i="1"/>
  <c r="AE677" i="1"/>
  <c r="V678" i="1"/>
  <c r="W678" i="1"/>
  <c r="X678" i="1"/>
  <c r="Y678" i="1"/>
  <c r="Z678" i="1"/>
  <c r="AA678" i="1"/>
  <c r="AB678" i="1"/>
  <c r="AC678" i="1"/>
  <c r="AD678" i="1"/>
  <c r="AE678" i="1"/>
  <c r="V679" i="1"/>
  <c r="W679" i="1"/>
  <c r="X679" i="1"/>
  <c r="Y679" i="1"/>
  <c r="Z679" i="1"/>
  <c r="AA679" i="1"/>
  <c r="AB679" i="1"/>
  <c r="AC679" i="1"/>
  <c r="AD679" i="1"/>
  <c r="AE679" i="1"/>
  <c r="V680" i="1"/>
  <c r="W680" i="1"/>
  <c r="X680" i="1"/>
  <c r="Y680" i="1"/>
  <c r="Z680" i="1"/>
  <c r="AA680" i="1"/>
  <c r="AB680" i="1"/>
  <c r="AC680" i="1"/>
  <c r="AD680" i="1"/>
  <c r="AE680" i="1"/>
  <c r="V681" i="1"/>
  <c r="W681" i="1"/>
  <c r="X681" i="1"/>
  <c r="Y681" i="1"/>
  <c r="Z681" i="1"/>
  <c r="AA681" i="1"/>
  <c r="AB681" i="1"/>
  <c r="AC681" i="1"/>
  <c r="AD681" i="1"/>
  <c r="AE681" i="1"/>
  <c r="V682" i="1"/>
  <c r="W682" i="1"/>
  <c r="X682" i="1"/>
  <c r="Y682" i="1"/>
  <c r="Z682" i="1"/>
  <c r="AA682" i="1"/>
  <c r="AB682" i="1"/>
  <c r="AC682" i="1"/>
  <c r="AD682" i="1"/>
  <c r="AE682" i="1"/>
  <c r="V683" i="1"/>
  <c r="W683" i="1"/>
  <c r="X683" i="1"/>
  <c r="Y683" i="1"/>
  <c r="Z683" i="1"/>
  <c r="AA683" i="1"/>
  <c r="AB683" i="1"/>
  <c r="AC683" i="1"/>
  <c r="AD683" i="1"/>
  <c r="AE683" i="1"/>
  <c r="V684" i="1"/>
  <c r="W684" i="1"/>
  <c r="X684" i="1"/>
  <c r="Y684" i="1"/>
  <c r="Z684" i="1"/>
  <c r="AA684" i="1"/>
  <c r="AB684" i="1"/>
  <c r="AC684" i="1"/>
  <c r="AD684" i="1"/>
  <c r="AE684" i="1"/>
  <c r="V685" i="1"/>
  <c r="W685" i="1"/>
  <c r="X685" i="1"/>
  <c r="Y685" i="1"/>
  <c r="Z685" i="1"/>
  <c r="AA685" i="1"/>
  <c r="AB685" i="1"/>
  <c r="AC685" i="1"/>
  <c r="AD685" i="1"/>
  <c r="AE685" i="1"/>
  <c r="V686" i="1"/>
  <c r="W686" i="1"/>
  <c r="X686" i="1"/>
  <c r="Y686" i="1"/>
  <c r="Z686" i="1"/>
  <c r="AA686" i="1"/>
  <c r="AB686" i="1"/>
  <c r="AC686" i="1"/>
  <c r="AD686" i="1"/>
  <c r="AE686" i="1"/>
  <c r="V687" i="1"/>
  <c r="W687" i="1"/>
  <c r="X687" i="1"/>
  <c r="Y687" i="1"/>
  <c r="Z687" i="1"/>
  <c r="AA687" i="1"/>
  <c r="AB687" i="1"/>
  <c r="AC687" i="1"/>
  <c r="AD687" i="1"/>
  <c r="AE687" i="1"/>
  <c r="V688" i="1"/>
  <c r="W688" i="1"/>
  <c r="X688" i="1"/>
  <c r="Y688" i="1"/>
  <c r="Z688" i="1"/>
  <c r="AA688" i="1"/>
  <c r="AB688" i="1"/>
  <c r="AC688" i="1"/>
  <c r="AD688" i="1"/>
  <c r="AE688" i="1"/>
  <c r="V689" i="1"/>
  <c r="W689" i="1"/>
  <c r="X689" i="1"/>
  <c r="Y689" i="1"/>
  <c r="Z689" i="1"/>
  <c r="AA689" i="1"/>
  <c r="AB689" i="1"/>
  <c r="AC689" i="1"/>
  <c r="AD689" i="1"/>
  <c r="AE689" i="1"/>
  <c r="V690" i="1"/>
  <c r="W690" i="1"/>
  <c r="X690" i="1"/>
  <c r="Y690" i="1"/>
  <c r="Z690" i="1"/>
  <c r="AA690" i="1"/>
  <c r="AB690" i="1"/>
  <c r="AC690" i="1"/>
  <c r="AD690" i="1"/>
  <c r="AE690" i="1"/>
  <c r="V691" i="1"/>
  <c r="W691" i="1"/>
  <c r="X691" i="1"/>
  <c r="Y691" i="1"/>
  <c r="Z691" i="1"/>
  <c r="AA691" i="1"/>
  <c r="AB691" i="1"/>
  <c r="AC691" i="1"/>
  <c r="AD691" i="1"/>
  <c r="AE691" i="1"/>
  <c r="V692" i="1"/>
  <c r="W692" i="1"/>
  <c r="X692" i="1"/>
  <c r="Y692" i="1"/>
  <c r="Z692" i="1"/>
  <c r="AA692" i="1"/>
  <c r="AB692" i="1"/>
  <c r="AC692" i="1"/>
  <c r="AD692" i="1"/>
  <c r="AE692" i="1"/>
  <c r="V693" i="1"/>
  <c r="W693" i="1"/>
  <c r="X693" i="1"/>
  <c r="Y693" i="1"/>
  <c r="Z693" i="1"/>
  <c r="AA693" i="1"/>
  <c r="AB693" i="1"/>
  <c r="AC693" i="1"/>
  <c r="AD693" i="1"/>
  <c r="AE693" i="1"/>
  <c r="V694" i="1"/>
  <c r="W694" i="1"/>
  <c r="X694" i="1"/>
  <c r="Y694" i="1"/>
  <c r="Z694" i="1"/>
  <c r="AA694" i="1"/>
  <c r="AB694" i="1"/>
  <c r="AC694" i="1"/>
  <c r="AD694" i="1"/>
  <c r="AE694" i="1"/>
  <c r="V695" i="1"/>
  <c r="W695" i="1"/>
  <c r="X695" i="1"/>
  <c r="Y695" i="1"/>
  <c r="Z695" i="1"/>
  <c r="AA695" i="1"/>
  <c r="AB695" i="1"/>
  <c r="AC695" i="1"/>
  <c r="AD695" i="1"/>
  <c r="AE695" i="1"/>
  <c r="V696" i="1"/>
  <c r="W696" i="1"/>
  <c r="X696" i="1"/>
  <c r="Y696" i="1"/>
  <c r="Z696" i="1"/>
  <c r="AA696" i="1"/>
  <c r="AB696" i="1"/>
  <c r="AC696" i="1"/>
  <c r="AD696" i="1"/>
  <c r="AE696" i="1"/>
  <c r="V697" i="1"/>
  <c r="W697" i="1"/>
  <c r="X697" i="1"/>
  <c r="Y697" i="1"/>
  <c r="Z697" i="1"/>
  <c r="AA697" i="1"/>
  <c r="AB697" i="1"/>
  <c r="AC697" i="1"/>
  <c r="AD697" i="1"/>
  <c r="AE697" i="1"/>
  <c r="V698" i="1"/>
  <c r="W698" i="1"/>
  <c r="X698" i="1"/>
  <c r="Y698" i="1"/>
  <c r="Z698" i="1"/>
  <c r="AA698" i="1"/>
  <c r="AB698" i="1"/>
  <c r="AC698" i="1"/>
  <c r="AD698" i="1"/>
  <c r="AE698" i="1"/>
  <c r="V699" i="1"/>
  <c r="W699" i="1"/>
  <c r="X699" i="1"/>
  <c r="Y699" i="1"/>
  <c r="Z699" i="1"/>
  <c r="AA699" i="1"/>
  <c r="AB699" i="1"/>
  <c r="AC699" i="1"/>
  <c r="AD699" i="1"/>
  <c r="AE699" i="1"/>
  <c r="V700" i="1"/>
  <c r="W700" i="1"/>
  <c r="X700" i="1"/>
  <c r="Y700" i="1"/>
  <c r="Z700" i="1"/>
  <c r="AA700" i="1"/>
  <c r="AB700" i="1"/>
  <c r="AC700" i="1"/>
  <c r="AD700" i="1"/>
  <c r="AE700" i="1"/>
  <c r="V701" i="1"/>
  <c r="W701" i="1"/>
  <c r="X701" i="1"/>
  <c r="Y701" i="1"/>
  <c r="Z701" i="1"/>
  <c r="AA701" i="1"/>
  <c r="AB701" i="1"/>
  <c r="AC701" i="1"/>
  <c r="AD701" i="1"/>
  <c r="AE701" i="1"/>
  <c r="V702" i="1"/>
  <c r="W702" i="1"/>
  <c r="X702" i="1"/>
  <c r="Y702" i="1"/>
  <c r="Z702" i="1"/>
  <c r="AA702" i="1"/>
  <c r="AB702" i="1"/>
  <c r="AC702" i="1"/>
  <c r="AD702" i="1"/>
  <c r="AE702" i="1"/>
  <c r="V703" i="1"/>
  <c r="W703" i="1"/>
  <c r="X703" i="1"/>
  <c r="Y703" i="1"/>
  <c r="Z703" i="1"/>
  <c r="AA703" i="1"/>
  <c r="AB703" i="1"/>
  <c r="AC703" i="1"/>
  <c r="AD703" i="1"/>
  <c r="AE703" i="1"/>
  <c r="V704" i="1"/>
  <c r="W704" i="1"/>
  <c r="X704" i="1"/>
  <c r="Y704" i="1"/>
  <c r="Z704" i="1"/>
  <c r="AA704" i="1"/>
  <c r="AB704" i="1"/>
  <c r="AC704" i="1"/>
  <c r="AD704" i="1"/>
  <c r="AE704" i="1"/>
  <c r="V705" i="1"/>
  <c r="W705" i="1"/>
  <c r="X705" i="1"/>
  <c r="Y705" i="1"/>
  <c r="Z705" i="1"/>
  <c r="AA705" i="1"/>
  <c r="AB705" i="1"/>
  <c r="AC705" i="1"/>
  <c r="AD705" i="1"/>
  <c r="AE705" i="1"/>
  <c r="V706" i="1"/>
  <c r="W706" i="1"/>
  <c r="X706" i="1"/>
  <c r="Y706" i="1"/>
  <c r="Z706" i="1"/>
  <c r="AA706" i="1"/>
  <c r="AB706" i="1"/>
  <c r="AC706" i="1"/>
  <c r="AD706" i="1"/>
  <c r="AE706" i="1"/>
  <c r="V707" i="1"/>
  <c r="W707" i="1"/>
  <c r="X707" i="1"/>
  <c r="Y707" i="1"/>
  <c r="Z707" i="1"/>
  <c r="AA707" i="1"/>
  <c r="AB707" i="1"/>
  <c r="AC707" i="1"/>
  <c r="AD707" i="1"/>
  <c r="AE707" i="1"/>
  <c r="V708" i="1"/>
  <c r="W708" i="1"/>
  <c r="X708" i="1"/>
  <c r="Y708" i="1"/>
  <c r="Z708" i="1"/>
  <c r="AA708" i="1"/>
  <c r="AB708" i="1"/>
  <c r="AC708" i="1"/>
  <c r="AD708" i="1"/>
  <c r="AE708" i="1"/>
  <c r="V709" i="1"/>
  <c r="W709" i="1"/>
  <c r="X709" i="1"/>
  <c r="Y709" i="1"/>
  <c r="Z709" i="1"/>
  <c r="AA709" i="1"/>
  <c r="AB709" i="1"/>
  <c r="AC709" i="1"/>
  <c r="AD709" i="1"/>
  <c r="AE709" i="1"/>
  <c r="V710" i="1"/>
  <c r="W710" i="1"/>
  <c r="X710" i="1"/>
  <c r="Y710" i="1"/>
  <c r="Z710" i="1"/>
  <c r="AA710" i="1"/>
  <c r="AB710" i="1"/>
  <c r="AC710" i="1"/>
  <c r="AD710" i="1"/>
  <c r="AE710" i="1"/>
  <c r="V711" i="1"/>
  <c r="W711" i="1"/>
  <c r="X711" i="1"/>
  <c r="Y711" i="1"/>
  <c r="Z711" i="1"/>
  <c r="AA711" i="1"/>
  <c r="AB711" i="1"/>
  <c r="AC711" i="1"/>
  <c r="AD711" i="1"/>
  <c r="AE711" i="1"/>
  <c r="V712" i="1"/>
  <c r="W712" i="1"/>
  <c r="X712" i="1"/>
  <c r="Y712" i="1"/>
  <c r="Z712" i="1"/>
  <c r="AA712" i="1"/>
  <c r="AB712" i="1"/>
  <c r="AC712" i="1"/>
  <c r="AD712" i="1"/>
  <c r="AE712" i="1"/>
  <c r="V713" i="1"/>
  <c r="W713" i="1"/>
  <c r="X713" i="1"/>
  <c r="Y713" i="1"/>
  <c r="Z713" i="1"/>
  <c r="AA713" i="1"/>
  <c r="AB713" i="1"/>
  <c r="AC713" i="1"/>
  <c r="AD713" i="1"/>
  <c r="AE713" i="1"/>
  <c r="V714" i="1"/>
  <c r="W714" i="1"/>
  <c r="X714" i="1"/>
  <c r="Y714" i="1"/>
  <c r="Z714" i="1"/>
  <c r="AA714" i="1"/>
  <c r="AB714" i="1"/>
  <c r="AC714" i="1"/>
  <c r="AD714" i="1"/>
  <c r="AE714" i="1"/>
  <c r="V715" i="1"/>
  <c r="W715" i="1"/>
  <c r="X715" i="1"/>
  <c r="Y715" i="1"/>
  <c r="Z715" i="1"/>
  <c r="AA715" i="1"/>
  <c r="AB715" i="1"/>
  <c r="AC715" i="1"/>
  <c r="AD715" i="1"/>
  <c r="AE715" i="1"/>
  <c r="V716" i="1"/>
  <c r="W716" i="1"/>
  <c r="X716" i="1"/>
  <c r="Y716" i="1"/>
  <c r="Z716" i="1"/>
  <c r="AA716" i="1"/>
  <c r="AB716" i="1"/>
  <c r="AC716" i="1"/>
  <c r="AD716" i="1"/>
  <c r="AE716" i="1"/>
  <c r="V717" i="1"/>
  <c r="W717" i="1"/>
  <c r="X717" i="1"/>
  <c r="Y717" i="1"/>
  <c r="Z717" i="1"/>
  <c r="AA717" i="1"/>
  <c r="AB717" i="1"/>
  <c r="AC717" i="1"/>
  <c r="AD717" i="1"/>
  <c r="AE717" i="1"/>
  <c r="V718" i="1"/>
  <c r="W718" i="1"/>
  <c r="X718" i="1"/>
  <c r="Y718" i="1"/>
  <c r="Z718" i="1"/>
  <c r="AA718" i="1"/>
  <c r="AB718" i="1"/>
  <c r="AC718" i="1"/>
  <c r="AD718" i="1"/>
  <c r="AE718" i="1"/>
  <c r="V719" i="1"/>
  <c r="W719" i="1"/>
  <c r="X719" i="1"/>
  <c r="Y719" i="1"/>
  <c r="Z719" i="1"/>
  <c r="AA719" i="1"/>
  <c r="AB719" i="1"/>
  <c r="AC719" i="1"/>
  <c r="AD719" i="1"/>
  <c r="AE719" i="1"/>
  <c r="V720" i="1"/>
  <c r="W720" i="1"/>
  <c r="X720" i="1"/>
  <c r="Y720" i="1"/>
  <c r="Z720" i="1"/>
  <c r="AA720" i="1"/>
  <c r="AB720" i="1"/>
  <c r="AC720" i="1"/>
  <c r="AD720" i="1"/>
  <c r="AE720" i="1"/>
  <c r="V721" i="1"/>
  <c r="W721" i="1"/>
  <c r="X721" i="1"/>
  <c r="Y721" i="1"/>
  <c r="Z721" i="1"/>
  <c r="AA721" i="1"/>
  <c r="AB721" i="1"/>
  <c r="AC721" i="1"/>
  <c r="AD721" i="1"/>
  <c r="AE721" i="1"/>
  <c r="V722" i="1"/>
  <c r="W722" i="1"/>
  <c r="X722" i="1"/>
  <c r="Y722" i="1"/>
  <c r="Z722" i="1"/>
  <c r="AA722" i="1"/>
  <c r="AB722" i="1"/>
  <c r="AC722" i="1"/>
  <c r="AD722" i="1"/>
  <c r="AE722" i="1"/>
  <c r="V723" i="1"/>
  <c r="W723" i="1"/>
  <c r="X723" i="1"/>
  <c r="Y723" i="1"/>
  <c r="Z723" i="1"/>
  <c r="AA723" i="1"/>
  <c r="AB723" i="1"/>
  <c r="AC723" i="1"/>
  <c r="AD723" i="1"/>
  <c r="AE723" i="1"/>
  <c r="V724" i="1"/>
  <c r="W724" i="1"/>
  <c r="X724" i="1"/>
  <c r="Y724" i="1"/>
  <c r="Z724" i="1"/>
  <c r="AA724" i="1"/>
  <c r="AB724" i="1"/>
  <c r="AC724" i="1"/>
  <c r="AD724" i="1"/>
  <c r="AE724" i="1"/>
  <c r="V725" i="1"/>
  <c r="W725" i="1"/>
  <c r="X725" i="1"/>
  <c r="Y725" i="1"/>
  <c r="Z725" i="1"/>
  <c r="AA725" i="1"/>
  <c r="AB725" i="1"/>
  <c r="AC725" i="1"/>
  <c r="AD725" i="1"/>
  <c r="AE725" i="1"/>
  <c r="V726" i="1"/>
  <c r="W726" i="1"/>
  <c r="X726" i="1"/>
  <c r="Y726" i="1"/>
  <c r="Z726" i="1"/>
  <c r="AA726" i="1"/>
  <c r="AB726" i="1"/>
  <c r="AC726" i="1"/>
  <c r="AD726" i="1"/>
  <c r="AE726" i="1"/>
  <c r="V727" i="1"/>
  <c r="W727" i="1"/>
  <c r="X727" i="1"/>
  <c r="Y727" i="1"/>
  <c r="Z727" i="1"/>
  <c r="AA727" i="1"/>
  <c r="AB727" i="1"/>
  <c r="AC727" i="1"/>
  <c r="AD727" i="1"/>
  <c r="AE727" i="1"/>
  <c r="V728" i="1"/>
  <c r="W728" i="1"/>
  <c r="X728" i="1"/>
  <c r="Y728" i="1"/>
  <c r="Z728" i="1"/>
  <c r="AA728" i="1"/>
  <c r="AB728" i="1"/>
  <c r="AC728" i="1"/>
  <c r="AD728" i="1"/>
  <c r="AE728" i="1"/>
  <c r="V729" i="1"/>
  <c r="W729" i="1"/>
  <c r="X729" i="1"/>
  <c r="Y729" i="1"/>
  <c r="Z729" i="1"/>
  <c r="AA729" i="1"/>
  <c r="AB729" i="1"/>
  <c r="AC729" i="1"/>
  <c r="AD729" i="1"/>
  <c r="AE729" i="1"/>
  <c r="V730" i="1"/>
  <c r="W730" i="1"/>
  <c r="X730" i="1"/>
  <c r="Y730" i="1"/>
  <c r="Z730" i="1"/>
  <c r="AA730" i="1"/>
  <c r="AB730" i="1"/>
  <c r="AC730" i="1"/>
  <c r="AD730" i="1"/>
  <c r="AE730" i="1"/>
  <c r="V731" i="1"/>
  <c r="W731" i="1"/>
  <c r="X731" i="1"/>
  <c r="Y731" i="1"/>
  <c r="Z731" i="1"/>
  <c r="AA731" i="1"/>
  <c r="AB731" i="1"/>
  <c r="AC731" i="1"/>
  <c r="AD731" i="1"/>
  <c r="AE731" i="1"/>
  <c r="V732" i="1"/>
  <c r="W732" i="1"/>
  <c r="X732" i="1"/>
  <c r="Y732" i="1"/>
  <c r="Z732" i="1"/>
  <c r="AA732" i="1"/>
  <c r="AB732" i="1"/>
  <c r="AC732" i="1"/>
  <c r="AD732" i="1"/>
  <c r="AE732" i="1"/>
  <c r="V733" i="1"/>
  <c r="W733" i="1"/>
  <c r="X733" i="1"/>
  <c r="Y733" i="1"/>
  <c r="Z733" i="1"/>
  <c r="AA733" i="1"/>
  <c r="AB733" i="1"/>
  <c r="AC733" i="1"/>
  <c r="AD733" i="1"/>
  <c r="AE733" i="1"/>
  <c r="V734" i="1"/>
  <c r="W734" i="1"/>
  <c r="X734" i="1"/>
  <c r="Y734" i="1"/>
  <c r="Z734" i="1"/>
  <c r="AA734" i="1"/>
  <c r="AB734" i="1"/>
  <c r="AC734" i="1"/>
  <c r="AD734" i="1"/>
  <c r="AE734" i="1"/>
  <c r="V735" i="1"/>
  <c r="W735" i="1"/>
  <c r="X735" i="1"/>
  <c r="Y735" i="1"/>
  <c r="Z735" i="1"/>
  <c r="AA735" i="1"/>
  <c r="AB735" i="1"/>
  <c r="AC735" i="1"/>
  <c r="AD735" i="1"/>
  <c r="AE735" i="1"/>
  <c r="V736" i="1"/>
  <c r="W736" i="1"/>
  <c r="X736" i="1"/>
  <c r="Y736" i="1"/>
  <c r="Z736" i="1"/>
  <c r="AA736" i="1"/>
  <c r="AB736" i="1"/>
  <c r="AC736" i="1"/>
  <c r="AD736" i="1"/>
  <c r="AE736" i="1"/>
  <c r="V737" i="1"/>
  <c r="W737" i="1"/>
  <c r="X737" i="1"/>
  <c r="Y737" i="1"/>
  <c r="Z737" i="1"/>
  <c r="AA737" i="1"/>
  <c r="AB737" i="1"/>
  <c r="AC737" i="1"/>
  <c r="AD737" i="1"/>
  <c r="AE737" i="1"/>
  <c r="V738" i="1"/>
  <c r="W738" i="1"/>
  <c r="X738" i="1"/>
  <c r="Y738" i="1"/>
  <c r="Z738" i="1"/>
  <c r="AA738" i="1"/>
  <c r="AB738" i="1"/>
  <c r="AC738" i="1"/>
  <c r="AD738" i="1"/>
  <c r="AE738" i="1"/>
  <c r="V739" i="1"/>
  <c r="W739" i="1"/>
  <c r="X739" i="1"/>
  <c r="Y739" i="1"/>
  <c r="Z739" i="1"/>
  <c r="AA739" i="1"/>
  <c r="AB739" i="1"/>
  <c r="AC739" i="1"/>
  <c r="AD739" i="1"/>
  <c r="AE739" i="1"/>
  <c r="V740" i="1"/>
  <c r="W740" i="1"/>
  <c r="X740" i="1"/>
  <c r="Y740" i="1"/>
  <c r="Z740" i="1"/>
  <c r="AA740" i="1"/>
  <c r="AB740" i="1"/>
  <c r="AC740" i="1"/>
  <c r="AD740" i="1"/>
  <c r="AE740" i="1"/>
  <c r="V741" i="1"/>
  <c r="W741" i="1"/>
  <c r="X741" i="1"/>
  <c r="Y741" i="1"/>
  <c r="Z741" i="1"/>
  <c r="AA741" i="1"/>
  <c r="AB741" i="1"/>
  <c r="AC741" i="1"/>
  <c r="AD741" i="1"/>
  <c r="AE741" i="1"/>
  <c r="V742" i="1"/>
  <c r="W742" i="1"/>
  <c r="X742" i="1"/>
  <c r="Y742" i="1"/>
  <c r="Z742" i="1"/>
  <c r="AA742" i="1"/>
  <c r="AB742" i="1"/>
  <c r="AC742" i="1"/>
  <c r="AD742" i="1"/>
  <c r="AE742" i="1"/>
  <c r="V743" i="1"/>
  <c r="W743" i="1"/>
  <c r="X743" i="1"/>
  <c r="Y743" i="1"/>
  <c r="Z743" i="1"/>
  <c r="AA743" i="1"/>
  <c r="AB743" i="1"/>
  <c r="AC743" i="1"/>
  <c r="AD743" i="1"/>
  <c r="AE743" i="1"/>
  <c r="V744" i="1"/>
  <c r="W744" i="1"/>
  <c r="X744" i="1"/>
  <c r="Y744" i="1"/>
  <c r="Z744" i="1"/>
  <c r="AA744" i="1"/>
  <c r="AB744" i="1"/>
  <c r="AC744" i="1"/>
  <c r="AD744" i="1"/>
  <c r="AE744" i="1"/>
  <c r="V745" i="1"/>
  <c r="W745" i="1"/>
  <c r="X745" i="1"/>
  <c r="Y745" i="1"/>
  <c r="Z745" i="1"/>
  <c r="AA745" i="1"/>
  <c r="AB745" i="1"/>
  <c r="AC745" i="1"/>
  <c r="AD745" i="1"/>
  <c r="AE745" i="1"/>
  <c r="V746" i="1"/>
  <c r="W746" i="1"/>
  <c r="X746" i="1"/>
  <c r="Y746" i="1"/>
  <c r="Z746" i="1"/>
  <c r="AA746" i="1"/>
  <c r="AB746" i="1"/>
  <c r="AC746" i="1"/>
  <c r="AD746" i="1"/>
  <c r="AE746" i="1"/>
  <c r="V747" i="1"/>
  <c r="W747" i="1"/>
  <c r="X747" i="1"/>
  <c r="Y747" i="1"/>
  <c r="Z747" i="1"/>
  <c r="AA747" i="1"/>
  <c r="AB747" i="1"/>
  <c r="AC747" i="1"/>
  <c r="AD747" i="1"/>
  <c r="AE747" i="1"/>
  <c r="V748" i="1"/>
  <c r="W748" i="1"/>
  <c r="X748" i="1"/>
  <c r="Y748" i="1"/>
  <c r="Z748" i="1"/>
  <c r="AA748" i="1"/>
  <c r="AB748" i="1"/>
  <c r="AC748" i="1"/>
  <c r="AD748" i="1"/>
  <c r="AE748" i="1"/>
  <c r="V749" i="1"/>
  <c r="W749" i="1"/>
  <c r="X749" i="1"/>
  <c r="Y749" i="1"/>
  <c r="Z749" i="1"/>
  <c r="AA749" i="1"/>
  <c r="AB749" i="1"/>
  <c r="AC749" i="1"/>
  <c r="AD749" i="1"/>
  <c r="AE749" i="1"/>
  <c r="V750" i="1"/>
  <c r="W750" i="1"/>
  <c r="X750" i="1"/>
  <c r="Y750" i="1"/>
  <c r="Z750" i="1"/>
  <c r="AA750" i="1"/>
  <c r="AB750" i="1"/>
  <c r="AC750" i="1"/>
  <c r="AD750" i="1"/>
  <c r="AE750" i="1"/>
  <c r="V751" i="1"/>
  <c r="W751" i="1"/>
  <c r="X751" i="1"/>
  <c r="Y751" i="1"/>
  <c r="Z751" i="1"/>
  <c r="AA751" i="1"/>
  <c r="AB751" i="1"/>
  <c r="AC751" i="1"/>
  <c r="AD751" i="1"/>
  <c r="AE751" i="1"/>
  <c r="V752" i="1"/>
  <c r="W752" i="1"/>
  <c r="X752" i="1"/>
  <c r="Y752" i="1"/>
  <c r="Z752" i="1"/>
  <c r="AA752" i="1"/>
  <c r="AB752" i="1"/>
  <c r="AC752" i="1"/>
  <c r="AD752" i="1"/>
  <c r="AE752" i="1"/>
  <c r="V753" i="1"/>
  <c r="W753" i="1"/>
  <c r="X753" i="1"/>
  <c r="Y753" i="1"/>
  <c r="Z753" i="1"/>
  <c r="AA753" i="1"/>
  <c r="AB753" i="1"/>
  <c r="AC753" i="1"/>
  <c r="AD753" i="1"/>
  <c r="AE753" i="1"/>
  <c r="V754" i="1"/>
  <c r="W754" i="1"/>
  <c r="X754" i="1"/>
  <c r="Y754" i="1"/>
  <c r="Z754" i="1"/>
  <c r="AA754" i="1"/>
  <c r="AB754" i="1"/>
  <c r="AC754" i="1"/>
  <c r="AD754" i="1"/>
  <c r="AE754" i="1"/>
  <c r="V755" i="1"/>
  <c r="W755" i="1"/>
  <c r="X755" i="1"/>
  <c r="Y755" i="1"/>
  <c r="Z755" i="1"/>
  <c r="AA755" i="1"/>
  <c r="AB755" i="1"/>
  <c r="AC755" i="1"/>
  <c r="AD755" i="1"/>
  <c r="AE755" i="1"/>
  <c r="V756" i="1"/>
  <c r="W756" i="1"/>
  <c r="X756" i="1"/>
  <c r="Y756" i="1"/>
  <c r="Z756" i="1"/>
  <c r="AA756" i="1"/>
  <c r="AB756" i="1"/>
  <c r="AC756" i="1"/>
  <c r="AD756" i="1"/>
  <c r="AE756" i="1"/>
  <c r="V757" i="1"/>
  <c r="W757" i="1"/>
  <c r="X757" i="1"/>
  <c r="Y757" i="1"/>
  <c r="Z757" i="1"/>
  <c r="AA757" i="1"/>
  <c r="AB757" i="1"/>
  <c r="AC757" i="1"/>
  <c r="AD757" i="1"/>
  <c r="AE757" i="1"/>
  <c r="V758" i="1"/>
  <c r="W758" i="1"/>
  <c r="X758" i="1"/>
  <c r="Y758" i="1"/>
  <c r="Z758" i="1"/>
  <c r="AA758" i="1"/>
  <c r="AB758" i="1"/>
  <c r="AC758" i="1"/>
  <c r="AD758" i="1"/>
  <c r="AE758" i="1"/>
  <c r="V759" i="1"/>
  <c r="W759" i="1"/>
  <c r="X759" i="1"/>
  <c r="Y759" i="1"/>
  <c r="Z759" i="1"/>
  <c r="AA759" i="1"/>
  <c r="AB759" i="1"/>
  <c r="AC759" i="1"/>
  <c r="AD759" i="1"/>
  <c r="AE759" i="1"/>
  <c r="V760" i="1"/>
  <c r="W760" i="1"/>
  <c r="X760" i="1"/>
  <c r="Y760" i="1"/>
  <c r="Z760" i="1"/>
  <c r="AA760" i="1"/>
  <c r="AB760" i="1"/>
  <c r="AC760" i="1"/>
  <c r="AD760" i="1"/>
  <c r="AE760" i="1"/>
  <c r="V761" i="1"/>
  <c r="W761" i="1"/>
  <c r="X761" i="1"/>
  <c r="Y761" i="1"/>
  <c r="Z761" i="1"/>
  <c r="AA761" i="1"/>
  <c r="AB761" i="1"/>
  <c r="AC761" i="1"/>
  <c r="AD761" i="1"/>
  <c r="AE761" i="1"/>
  <c r="V762" i="1"/>
  <c r="W762" i="1"/>
  <c r="X762" i="1"/>
  <c r="Y762" i="1"/>
  <c r="Z762" i="1"/>
  <c r="AA762" i="1"/>
  <c r="AB762" i="1"/>
  <c r="AC762" i="1"/>
  <c r="AD762" i="1"/>
  <c r="AE762" i="1"/>
  <c r="V763" i="1"/>
  <c r="W763" i="1"/>
  <c r="X763" i="1"/>
  <c r="Y763" i="1"/>
  <c r="Z763" i="1"/>
  <c r="AA763" i="1"/>
  <c r="AB763" i="1"/>
  <c r="AC763" i="1"/>
  <c r="AD763" i="1"/>
  <c r="AE763" i="1"/>
  <c r="V764" i="1"/>
  <c r="W764" i="1"/>
  <c r="X764" i="1"/>
  <c r="Y764" i="1"/>
  <c r="Z764" i="1"/>
  <c r="AA764" i="1"/>
  <c r="AB764" i="1"/>
  <c r="AC764" i="1"/>
  <c r="AD764" i="1"/>
  <c r="AE764" i="1"/>
  <c r="V765" i="1"/>
  <c r="W765" i="1"/>
  <c r="X765" i="1"/>
  <c r="Y765" i="1"/>
  <c r="Z765" i="1"/>
  <c r="AA765" i="1"/>
  <c r="AB765" i="1"/>
  <c r="AC765" i="1"/>
  <c r="AD765" i="1"/>
  <c r="AE765" i="1"/>
  <c r="V766" i="1"/>
  <c r="W766" i="1"/>
  <c r="X766" i="1"/>
  <c r="Y766" i="1"/>
  <c r="Z766" i="1"/>
  <c r="AA766" i="1"/>
  <c r="AB766" i="1"/>
  <c r="AC766" i="1"/>
  <c r="AD766" i="1"/>
  <c r="AE766" i="1"/>
  <c r="V767" i="1"/>
  <c r="W767" i="1"/>
  <c r="X767" i="1"/>
  <c r="Y767" i="1"/>
  <c r="Z767" i="1"/>
  <c r="AA767" i="1"/>
  <c r="AB767" i="1"/>
  <c r="AC767" i="1"/>
  <c r="AD767" i="1"/>
  <c r="AE767" i="1"/>
  <c r="V768" i="1"/>
  <c r="W768" i="1"/>
  <c r="X768" i="1"/>
  <c r="Y768" i="1"/>
  <c r="Z768" i="1"/>
  <c r="AA768" i="1"/>
  <c r="AB768" i="1"/>
  <c r="AC768" i="1"/>
  <c r="AD768" i="1"/>
  <c r="AE768" i="1"/>
  <c r="V769" i="1"/>
  <c r="W769" i="1"/>
  <c r="X769" i="1"/>
  <c r="Y769" i="1"/>
  <c r="Z769" i="1"/>
  <c r="AA769" i="1"/>
  <c r="AB769" i="1"/>
  <c r="AC769" i="1"/>
  <c r="AD769" i="1"/>
  <c r="AE769" i="1"/>
  <c r="V770" i="1"/>
  <c r="W770" i="1"/>
  <c r="X770" i="1"/>
  <c r="Y770" i="1"/>
  <c r="Z770" i="1"/>
  <c r="AA770" i="1"/>
  <c r="AB770" i="1"/>
  <c r="AC770" i="1"/>
  <c r="AD770" i="1"/>
  <c r="AE770" i="1"/>
  <c r="V771" i="1"/>
  <c r="W771" i="1"/>
  <c r="X771" i="1"/>
  <c r="Y771" i="1"/>
  <c r="Z771" i="1"/>
  <c r="AA771" i="1"/>
  <c r="AB771" i="1"/>
  <c r="AC771" i="1"/>
  <c r="AD771" i="1"/>
  <c r="AE771" i="1"/>
  <c r="V772" i="1"/>
  <c r="W772" i="1"/>
  <c r="X772" i="1"/>
  <c r="Y772" i="1"/>
  <c r="Z772" i="1"/>
  <c r="AA772" i="1"/>
  <c r="AB772" i="1"/>
  <c r="AC772" i="1"/>
  <c r="AD772" i="1"/>
  <c r="AE772" i="1"/>
  <c r="V773" i="1"/>
  <c r="W773" i="1"/>
  <c r="X773" i="1"/>
  <c r="Y773" i="1"/>
  <c r="Z773" i="1"/>
  <c r="AA773" i="1"/>
  <c r="AB773" i="1"/>
  <c r="AC773" i="1"/>
  <c r="AD773" i="1"/>
  <c r="AE773" i="1"/>
  <c r="V774" i="1"/>
  <c r="W774" i="1"/>
  <c r="X774" i="1"/>
  <c r="Y774" i="1"/>
  <c r="Z774" i="1"/>
  <c r="AA774" i="1"/>
  <c r="AB774" i="1"/>
  <c r="AC774" i="1"/>
  <c r="AD774" i="1"/>
  <c r="AE774" i="1"/>
  <c r="V775" i="1"/>
  <c r="W775" i="1"/>
  <c r="X775" i="1"/>
  <c r="Y775" i="1"/>
  <c r="Z775" i="1"/>
  <c r="AA775" i="1"/>
  <c r="AB775" i="1"/>
  <c r="AC775" i="1"/>
  <c r="AD775" i="1"/>
  <c r="AE775" i="1"/>
  <c r="V776" i="1"/>
  <c r="W776" i="1"/>
  <c r="X776" i="1"/>
  <c r="Y776" i="1"/>
  <c r="Z776" i="1"/>
  <c r="AA776" i="1"/>
  <c r="AB776" i="1"/>
  <c r="AC776" i="1"/>
  <c r="AD776" i="1"/>
  <c r="AE776" i="1"/>
  <c r="V777" i="1"/>
  <c r="W777" i="1"/>
  <c r="X777" i="1"/>
  <c r="Y777" i="1"/>
  <c r="Z777" i="1"/>
  <c r="AA777" i="1"/>
  <c r="AB777" i="1"/>
  <c r="AC777" i="1"/>
  <c r="AD777" i="1"/>
  <c r="AE777" i="1"/>
  <c r="V778" i="1"/>
  <c r="W778" i="1"/>
  <c r="X778" i="1"/>
  <c r="Y778" i="1"/>
  <c r="Z778" i="1"/>
  <c r="AA778" i="1"/>
  <c r="AB778" i="1"/>
  <c r="AC778" i="1"/>
  <c r="AD778" i="1"/>
  <c r="AE778" i="1"/>
  <c r="V779" i="1"/>
  <c r="W779" i="1"/>
  <c r="X779" i="1"/>
  <c r="Y779" i="1"/>
  <c r="Z779" i="1"/>
  <c r="AA779" i="1"/>
  <c r="AB779" i="1"/>
  <c r="AC779" i="1"/>
  <c r="AD779" i="1"/>
  <c r="AE779" i="1"/>
  <c r="V780" i="1"/>
  <c r="W780" i="1"/>
  <c r="X780" i="1"/>
  <c r="Y780" i="1"/>
  <c r="Z780" i="1"/>
  <c r="AA780" i="1"/>
  <c r="AB780" i="1"/>
  <c r="AC780" i="1"/>
  <c r="AD780" i="1"/>
  <c r="AE780" i="1"/>
  <c r="V781" i="1"/>
  <c r="W781" i="1"/>
  <c r="X781" i="1"/>
  <c r="Y781" i="1"/>
  <c r="Z781" i="1"/>
  <c r="AA781" i="1"/>
  <c r="AB781" i="1"/>
  <c r="AC781" i="1"/>
  <c r="AD781" i="1"/>
  <c r="AE781" i="1"/>
  <c r="V782" i="1"/>
  <c r="W782" i="1"/>
  <c r="X782" i="1"/>
  <c r="Y782" i="1"/>
  <c r="Z782" i="1"/>
  <c r="AA782" i="1"/>
  <c r="AB782" i="1"/>
  <c r="AC782" i="1"/>
  <c r="AD782" i="1"/>
  <c r="AE782" i="1"/>
  <c r="V783" i="1"/>
  <c r="W783" i="1"/>
  <c r="X783" i="1"/>
  <c r="Y783" i="1"/>
  <c r="Z783" i="1"/>
  <c r="AA783" i="1"/>
  <c r="AB783" i="1"/>
  <c r="AC783" i="1"/>
  <c r="AD783" i="1"/>
  <c r="AE783" i="1"/>
  <c r="V784" i="1"/>
  <c r="W784" i="1"/>
  <c r="X784" i="1"/>
  <c r="Y784" i="1"/>
  <c r="Z784" i="1"/>
  <c r="AA784" i="1"/>
  <c r="AB784" i="1"/>
  <c r="AC784" i="1"/>
  <c r="AD784" i="1"/>
  <c r="AE784" i="1"/>
  <c r="V785" i="1"/>
  <c r="W785" i="1"/>
  <c r="X785" i="1"/>
  <c r="Y785" i="1"/>
  <c r="Z785" i="1"/>
  <c r="AA785" i="1"/>
  <c r="AB785" i="1"/>
  <c r="AC785" i="1"/>
  <c r="AD785" i="1"/>
  <c r="AE785" i="1"/>
  <c r="V786" i="1"/>
  <c r="W786" i="1"/>
  <c r="X786" i="1"/>
  <c r="Y786" i="1"/>
  <c r="Z786" i="1"/>
  <c r="AA786" i="1"/>
  <c r="AB786" i="1"/>
  <c r="AC786" i="1"/>
  <c r="AD786" i="1"/>
  <c r="AE786" i="1"/>
  <c r="V787" i="1"/>
  <c r="W787" i="1"/>
  <c r="X787" i="1"/>
  <c r="Y787" i="1"/>
  <c r="Z787" i="1"/>
  <c r="AA787" i="1"/>
  <c r="AB787" i="1"/>
  <c r="AC787" i="1"/>
  <c r="AD787" i="1"/>
  <c r="AE787" i="1"/>
  <c r="V788" i="1"/>
  <c r="W788" i="1"/>
  <c r="X788" i="1"/>
  <c r="Y788" i="1"/>
  <c r="Z788" i="1"/>
  <c r="AA788" i="1"/>
  <c r="AB788" i="1"/>
  <c r="AC788" i="1"/>
  <c r="AD788" i="1"/>
  <c r="AE788" i="1"/>
  <c r="V789" i="1"/>
  <c r="W789" i="1"/>
  <c r="X789" i="1"/>
  <c r="Y789" i="1"/>
  <c r="Z789" i="1"/>
  <c r="AA789" i="1"/>
  <c r="AB789" i="1"/>
  <c r="AC789" i="1"/>
  <c r="AD789" i="1"/>
  <c r="AE789" i="1"/>
  <c r="V790" i="1"/>
  <c r="W790" i="1"/>
  <c r="X790" i="1"/>
  <c r="Y790" i="1"/>
  <c r="Z790" i="1"/>
  <c r="AA790" i="1"/>
  <c r="AB790" i="1"/>
  <c r="AC790" i="1"/>
  <c r="AD790" i="1"/>
  <c r="AE790" i="1"/>
  <c r="V791" i="1"/>
  <c r="W791" i="1"/>
  <c r="X791" i="1"/>
  <c r="Y791" i="1"/>
  <c r="Z791" i="1"/>
  <c r="AA791" i="1"/>
  <c r="AB791" i="1"/>
  <c r="AC791" i="1"/>
  <c r="AD791" i="1"/>
  <c r="AE791" i="1"/>
  <c r="V792" i="1"/>
  <c r="W792" i="1"/>
  <c r="X792" i="1"/>
  <c r="Y792" i="1"/>
  <c r="Z792" i="1"/>
  <c r="AA792" i="1"/>
  <c r="AB792" i="1"/>
  <c r="AC792" i="1"/>
  <c r="AD792" i="1"/>
  <c r="AE792" i="1"/>
  <c r="V793" i="1"/>
  <c r="W793" i="1"/>
  <c r="X793" i="1"/>
  <c r="Y793" i="1"/>
  <c r="Z793" i="1"/>
  <c r="AA793" i="1"/>
  <c r="AB793" i="1"/>
  <c r="AC793" i="1"/>
  <c r="AD793" i="1"/>
  <c r="AE793" i="1"/>
  <c r="V794" i="1"/>
  <c r="W794" i="1"/>
  <c r="X794" i="1"/>
  <c r="Y794" i="1"/>
  <c r="Z794" i="1"/>
  <c r="AA794" i="1"/>
  <c r="AB794" i="1"/>
  <c r="AC794" i="1"/>
  <c r="AD794" i="1"/>
  <c r="AE794" i="1"/>
  <c r="V795" i="1"/>
  <c r="W795" i="1"/>
  <c r="X795" i="1"/>
  <c r="Y795" i="1"/>
  <c r="Z795" i="1"/>
  <c r="AA795" i="1"/>
  <c r="AB795" i="1"/>
  <c r="AC795" i="1"/>
  <c r="AD795" i="1"/>
  <c r="AE795" i="1"/>
  <c r="V796" i="1"/>
  <c r="W796" i="1"/>
  <c r="X796" i="1"/>
  <c r="Y796" i="1"/>
  <c r="Z796" i="1"/>
  <c r="AA796" i="1"/>
  <c r="AB796" i="1"/>
  <c r="AC796" i="1"/>
  <c r="AD796" i="1"/>
  <c r="AE796" i="1"/>
  <c r="V797" i="1"/>
  <c r="W797" i="1"/>
  <c r="X797" i="1"/>
  <c r="Y797" i="1"/>
  <c r="Z797" i="1"/>
  <c r="AA797" i="1"/>
  <c r="AB797" i="1"/>
  <c r="AC797" i="1"/>
  <c r="AD797" i="1"/>
  <c r="AE797" i="1"/>
  <c r="V798" i="1"/>
  <c r="W798" i="1"/>
  <c r="X798" i="1"/>
  <c r="Y798" i="1"/>
  <c r="Z798" i="1"/>
  <c r="AA798" i="1"/>
  <c r="AB798" i="1"/>
  <c r="AC798" i="1"/>
  <c r="AD798" i="1"/>
  <c r="AE798" i="1"/>
  <c r="V799" i="1"/>
  <c r="W799" i="1"/>
  <c r="X799" i="1"/>
  <c r="Y799" i="1"/>
  <c r="Z799" i="1"/>
  <c r="AA799" i="1"/>
  <c r="AB799" i="1"/>
  <c r="AC799" i="1"/>
  <c r="AD799" i="1"/>
  <c r="AE799" i="1"/>
  <c r="V800" i="1"/>
  <c r="W800" i="1"/>
  <c r="X800" i="1"/>
  <c r="Y800" i="1"/>
  <c r="Z800" i="1"/>
  <c r="AA800" i="1"/>
  <c r="AB800" i="1"/>
  <c r="AC800" i="1"/>
  <c r="AD800" i="1"/>
  <c r="AE800" i="1"/>
  <c r="V801" i="1"/>
  <c r="W801" i="1"/>
  <c r="X801" i="1"/>
  <c r="Y801" i="1"/>
  <c r="Z801" i="1"/>
  <c r="AA801" i="1"/>
  <c r="AB801" i="1"/>
  <c r="AC801" i="1"/>
  <c r="AD801" i="1"/>
  <c r="AE801" i="1"/>
  <c r="V802" i="1"/>
  <c r="W802" i="1"/>
  <c r="X802" i="1"/>
  <c r="Y802" i="1"/>
  <c r="Z802" i="1"/>
  <c r="AA802" i="1"/>
  <c r="AB802" i="1"/>
  <c r="AC802" i="1"/>
  <c r="AD802" i="1"/>
  <c r="AE802" i="1"/>
  <c r="V803" i="1"/>
  <c r="W803" i="1"/>
  <c r="X803" i="1"/>
  <c r="Y803" i="1"/>
  <c r="Z803" i="1"/>
  <c r="AA803" i="1"/>
  <c r="AB803" i="1"/>
  <c r="AC803" i="1"/>
  <c r="AD803" i="1"/>
  <c r="AE803" i="1"/>
  <c r="V804" i="1"/>
  <c r="W804" i="1"/>
  <c r="X804" i="1"/>
  <c r="Y804" i="1"/>
  <c r="Z804" i="1"/>
  <c r="AA804" i="1"/>
  <c r="AB804" i="1"/>
  <c r="AC804" i="1"/>
  <c r="AD804" i="1"/>
  <c r="AE804" i="1"/>
  <c r="V805" i="1"/>
  <c r="W805" i="1"/>
  <c r="X805" i="1"/>
  <c r="Y805" i="1"/>
  <c r="Z805" i="1"/>
  <c r="AA805" i="1"/>
  <c r="AB805" i="1"/>
  <c r="AC805" i="1"/>
  <c r="AD805" i="1"/>
  <c r="AE805" i="1"/>
  <c r="V806" i="1"/>
  <c r="W806" i="1"/>
  <c r="X806" i="1"/>
  <c r="Y806" i="1"/>
  <c r="Z806" i="1"/>
  <c r="AA806" i="1"/>
  <c r="AB806" i="1"/>
  <c r="AC806" i="1"/>
  <c r="AD806" i="1"/>
  <c r="AE806" i="1"/>
  <c r="V807" i="1"/>
  <c r="W807" i="1"/>
  <c r="X807" i="1"/>
  <c r="Y807" i="1"/>
  <c r="Z807" i="1"/>
  <c r="AA807" i="1"/>
  <c r="AB807" i="1"/>
  <c r="AC807" i="1"/>
  <c r="AD807" i="1"/>
  <c r="AE807" i="1"/>
  <c r="V808" i="1"/>
  <c r="W808" i="1"/>
  <c r="X808" i="1"/>
  <c r="Y808" i="1"/>
  <c r="Z808" i="1"/>
  <c r="AA808" i="1"/>
  <c r="AB808" i="1"/>
  <c r="AC808" i="1"/>
  <c r="AD808" i="1"/>
  <c r="AE808" i="1"/>
  <c r="V809" i="1"/>
  <c r="W809" i="1"/>
  <c r="X809" i="1"/>
  <c r="Y809" i="1"/>
  <c r="Z809" i="1"/>
  <c r="AA809" i="1"/>
  <c r="AB809" i="1"/>
  <c r="AC809" i="1"/>
  <c r="AD809" i="1"/>
  <c r="AE809" i="1"/>
  <c r="V810" i="1"/>
  <c r="W810" i="1"/>
  <c r="X810" i="1"/>
  <c r="Y810" i="1"/>
  <c r="Z810" i="1"/>
  <c r="AA810" i="1"/>
  <c r="AB810" i="1"/>
  <c r="AC810" i="1"/>
  <c r="AD810" i="1"/>
  <c r="AE810" i="1"/>
  <c r="V811" i="1"/>
  <c r="W811" i="1"/>
  <c r="X811" i="1"/>
  <c r="Y811" i="1"/>
  <c r="Z811" i="1"/>
  <c r="AA811" i="1"/>
  <c r="AB811" i="1"/>
  <c r="AC811" i="1"/>
  <c r="AD811" i="1"/>
  <c r="AE811" i="1"/>
  <c r="V812" i="1"/>
  <c r="W812" i="1"/>
  <c r="X812" i="1"/>
  <c r="Y812" i="1"/>
  <c r="Z812" i="1"/>
  <c r="AA812" i="1"/>
  <c r="AB812" i="1"/>
  <c r="AC812" i="1"/>
  <c r="AD812" i="1"/>
  <c r="AE812" i="1"/>
  <c r="V813" i="1"/>
  <c r="W813" i="1"/>
  <c r="X813" i="1"/>
  <c r="Y813" i="1"/>
  <c r="Z813" i="1"/>
  <c r="AA813" i="1"/>
  <c r="AB813" i="1"/>
  <c r="AC813" i="1"/>
  <c r="AD813" i="1"/>
  <c r="AE813" i="1"/>
  <c r="V814" i="1"/>
  <c r="W814" i="1"/>
  <c r="X814" i="1"/>
  <c r="Y814" i="1"/>
  <c r="Z814" i="1"/>
  <c r="AA814" i="1"/>
  <c r="AB814" i="1"/>
  <c r="AC814" i="1"/>
  <c r="AD814" i="1"/>
  <c r="AE814" i="1"/>
  <c r="V815" i="1"/>
  <c r="W815" i="1"/>
  <c r="X815" i="1"/>
  <c r="Y815" i="1"/>
  <c r="Z815" i="1"/>
  <c r="AA815" i="1"/>
  <c r="AB815" i="1"/>
  <c r="AC815" i="1"/>
  <c r="AD815" i="1"/>
  <c r="AE815" i="1"/>
  <c r="V816" i="1"/>
  <c r="W816" i="1"/>
  <c r="X816" i="1"/>
  <c r="Y816" i="1"/>
  <c r="Z816" i="1"/>
  <c r="AA816" i="1"/>
  <c r="AB816" i="1"/>
  <c r="AC816" i="1"/>
  <c r="AD816" i="1"/>
  <c r="AE816" i="1"/>
  <c r="V817" i="1"/>
  <c r="W817" i="1"/>
  <c r="X817" i="1"/>
  <c r="Y817" i="1"/>
  <c r="Z817" i="1"/>
  <c r="AA817" i="1"/>
  <c r="AB817" i="1"/>
  <c r="AC817" i="1"/>
  <c r="AD817" i="1"/>
  <c r="AE817" i="1"/>
  <c r="V818" i="1"/>
  <c r="W818" i="1"/>
  <c r="X818" i="1"/>
  <c r="Y818" i="1"/>
  <c r="Z818" i="1"/>
  <c r="AA818" i="1"/>
  <c r="AB818" i="1"/>
  <c r="AC818" i="1"/>
  <c r="AD818" i="1"/>
  <c r="AE818" i="1"/>
  <c r="V819" i="1"/>
  <c r="W819" i="1"/>
  <c r="X819" i="1"/>
  <c r="Y819" i="1"/>
  <c r="Z819" i="1"/>
  <c r="AA819" i="1"/>
  <c r="AB819" i="1"/>
  <c r="AC819" i="1"/>
  <c r="AD819" i="1"/>
  <c r="AE819" i="1"/>
  <c r="V820" i="1"/>
  <c r="W820" i="1"/>
  <c r="X820" i="1"/>
  <c r="Y820" i="1"/>
  <c r="Z820" i="1"/>
  <c r="AA820" i="1"/>
  <c r="AB820" i="1"/>
  <c r="AC820" i="1"/>
  <c r="AD820" i="1"/>
  <c r="AE820" i="1"/>
  <c r="V821" i="1"/>
  <c r="W821" i="1"/>
  <c r="X821" i="1"/>
  <c r="Y821" i="1"/>
  <c r="Z821" i="1"/>
  <c r="AA821" i="1"/>
  <c r="AB821" i="1"/>
  <c r="AC821" i="1"/>
  <c r="AD821" i="1"/>
  <c r="AE821" i="1"/>
  <c r="V822" i="1"/>
  <c r="W822" i="1"/>
  <c r="X822" i="1"/>
  <c r="Y822" i="1"/>
  <c r="Z822" i="1"/>
  <c r="AA822" i="1"/>
  <c r="AB822" i="1"/>
  <c r="AC822" i="1"/>
  <c r="AD822" i="1"/>
  <c r="AE822" i="1"/>
  <c r="V823" i="1"/>
  <c r="W823" i="1"/>
  <c r="X823" i="1"/>
  <c r="Y823" i="1"/>
  <c r="Z823" i="1"/>
  <c r="AA823" i="1"/>
  <c r="AB823" i="1"/>
  <c r="AC823" i="1"/>
  <c r="AD823" i="1"/>
  <c r="AE823" i="1"/>
  <c r="V824" i="1"/>
  <c r="W824" i="1"/>
  <c r="X824" i="1"/>
  <c r="Y824" i="1"/>
  <c r="Z824" i="1"/>
  <c r="AA824" i="1"/>
  <c r="AB824" i="1"/>
  <c r="AC824" i="1"/>
  <c r="AD824" i="1"/>
  <c r="AE824" i="1"/>
  <c r="V825" i="1"/>
  <c r="W825" i="1"/>
  <c r="X825" i="1"/>
  <c r="Y825" i="1"/>
  <c r="Z825" i="1"/>
  <c r="AA825" i="1"/>
  <c r="AB825" i="1"/>
  <c r="AC825" i="1"/>
  <c r="AD825" i="1"/>
  <c r="AE825" i="1"/>
  <c r="V826" i="1"/>
  <c r="W826" i="1"/>
  <c r="X826" i="1"/>
  <c r="Y826" i="1"/>
  <c r="Z826" i="1"/>
  <c r="AA826" i="1"/>
  <c r="AB826" i="1"/>
  <c r="AC826" i="1"/>
  <c r="AD826" i="1"/>
  <c r="AE826" i="1"/>
  <c r="V827" i="1"/>
  <c r="W827" i="1"/>
  <c r="X827" i="1"/>
  <c r="Y827" i="1"/>
  <c r="Z827" i="1"/>
  <c r="AA827" i="1"/>
  <c r="AB827" i="1"/>
  <c r="AC827" i="1"/>
  <c r="AD827" i="1"/>
  <c r="AE827" i="1"/>
  <c r="V828" i="1"/>
  <c r="W828" i="1"/>
  <c r="X828" i="1"/>
  <c r="Y828" i="1"/>
  <c r="Z828" i="1"/>
  <c r="AA828" i="1"/>
  <c r="AB828" i="1"/>
  <c r="AC828" i="1"/>
  <c r="AD828" i="1"/>
  <c r="AE828" i="1"/>
  <c r="V829" i="1"/>
  <c r="W829" i="1"/>
  <c r="X829" i="1"/>
  <c r="Y829" i="1"/>
  <c r="Z829" i="1"/>
  <c r="AA829" i="1"/>
  <c r="AB829" i="1"/>
  <c r="AC829" i="1"/>
  <c r="AD829" i="1"/>
  <c r="AE829" i="1"/>
  <c r="V830" i="1"/>
  <c r="W830" i="1"/>
  <c r="X830" i="1"/>
  <c r="Y830" i="1"/>
  <c r="Z830" i="1"/>
  <c r="AA830" i="1"/>
  <c r="AB830" i="1"/>
  <c r="AC830" i="1"/>
  <c r="AD830" i="1"/>
  <c r="AE830" i="1"/>
  <c r="V831" i="1"/>
  <c r="W831" i="1"/>
  <c r="X831" i="1"/>
  <c r="Y831" i="1"/>
  <c r="Z831" i="1"/>
  <c r="AA831" i="1"/>
  <c r="AB831" i="1"/>
  <c r="AC831" i="1"/>
  <c r="AD831" i="1"/>
  <c r="AE831" i="1"/>
  <c r="V832" i="1"/>
  <c r="W832" i="1"/>
  <c r="X832" i="1"/>
  <c r="Y832" i="1"/>
  <c r="Z832" i="1"/>
  <c r="AA832" i="1"/>
  <c r="AB832" i="1"/>
  <c r="AC832" i="1"/>
  <c r="AD832" i="1"/>
  <c r="AE832" i="1"/>
  <c r="V833" i="1"/>
  <c r="W833" i="1"/>
  <c r="X833" i="1"/>
  <c r="Y833" i="1"/>
  <c r="Z833" i="1"/>
  <c r="AA833" i="1"/>
  <c r="AB833" i="1"/>
  <c r="AC833" i="1"/>
  <c r="AD833" i="1"/>
  <c r="AE833" i="1"/>
  <c r="V834" i="1"/>
  <c r="W834" i="1"/>
  <c r="X834" i="1"/>
  <c r="Y834" i="1"/>
  <c r="Z834" i="1"/>
  <c r="AA834" i="1"/>
  <c r="AB834" i="1"/>
  <c r="AC834" i="1"/>
  <c r="AD834" i="1"/>
  <c r="AE834" i="1"/>
  <c r="V835" i="1"/>
  <c r="W835" i="1"/>
  <c r="X835" i="1"/>
  <c r="Y835" i="1"/>
  <c r="Z835" i="1"/>
  <c r="AA835" i="1"/>
  <c r="AB835" i="1"/>
  <c r="AC835" i="1"/>
  <c r="AD835" i="1"/>
  <c r="AE835" i="1"/>
  <c r="W2" i="1"/>
  <c r="X2" i="1"/>
  <c r="Y2" i="1"/>
  <c r="Z2" i="1"/>
  <c r="AA2" i="1"/>
  <c r="AB2" i="1"/>
  <c r="AC2" i="1"/>
  <c r="AD2" i="1"/>
  <c r="AE2" i="1"/>
  <c r="V2" i="1"/>
  <c r="CE835" i="8"/>
  <c r="CD835" i="8"/>
  <c r="CC835" i="8"/>
  <c r="CB835" i="8"/>
  <c r="CA835" i="8"/>
  <c r="BZ835" i="8"/>
  <c r="BY835" i="8"/>
  <c r="BX835" i="8"/>
  <c r="BW835" i="8"/>
  <c r="BV835" i="8"/>
  <c r="AU835" i="8"/>
  <c r="AG835" i="8"/>
  <c r="AF835" i="8"/>
  <c r="CE834" i="8"/>
  <c r="CD834" i="8"/>
  <c r="CC834" i="8"/>
  <c r="CB834" i="8"/>
  <c r="CA834" i="8"/>
  <c r="BZ834" i="8"/>
  <c r="BY834" i="8"/>
  <c r="BX834" i="8"/>
  <c r="BW834" i="8"/>
  <c r="BV834" i="8"/>
  <c r="AU834" i="8"/>
  <c r="AG834" i="8"/>
  <c r="AF834" i="8"/>
  <c r="CE833" i="8"/>
  <c r="CD833" i="8"/>
  <c r="CC833" i="8"/>
  <c r="CB833" i="8"/>
  <c r="CA833" i="8"/>
  <c r="BZ833" i="8"/>
  <c r="BY833" i="8"/>
  <c r="BX833" i="8"/>
  <c r="BW833" i="8"/>
  <c r="BV833" i="8"/>
  <c r="AU833" i="8"/>
  <c r="AG833" i="8"/>
  <c r="AF833" i="8"/>
  <c r="CE832" i="8"/>
  <c r="CD832" i="8"/>
  <c r="CC832" i="8"/>
  <c r="CB832" i="8"/>
  <c r="CA832" i="8"/>
  <c r="BZ832" i="8"/>
  <c r="BY832" i="8"/>
  <c r="BX832" i="8"/>
  <c r="BW832" i="8"/>
  <c r="BV832" i="8"/>
  <c r="AU832" i="8"/>
  <c r="AG832" i="8"/>
  <c r="AF832" i="8"/>
  <c r="CE831" i="8"/>
  <c r="CD831" i="8"/>
  <c r="CC831" i="8"/>
  <c r="CB831" i="8"/>
  <c r="CA831" i="8"/>
  <c r="BZ831" i="8"/>
  <c r="BY831" i="8"/>
  <c r="BX831" i="8"/>
  <c r="BW831" i="8"/>
  <c r="BV831" i="8"/>
  <c r="AU831" i="8"/>
  <c r="AG831" i="8"/>
  <c r="AF831" i="8"/>
  <c r="CE830" i="8"/>
  <c r="CD830" i="8"/>
  <c r="CC830" i="8"/>
  <c r="CB830" i="8"/>
  <c r="CA830" i="8"/>
  <c r="BZ830" i="8"/>
  <c r="BY830" i="8"/>
  <c r="BX830" i="8"/>
  <c r="BW830" i="8"/>
  <c r="BV830" i="8"/>
  <c r="AU830" i="8"/>
  <c r="AG830" i="8"/>
  <c r="AF830" i="8"/>
  <c r="CE829" i="8"/>
  <c r="CD829" i="8"/>
  <c r="CC829" i="8"/>
  <c r="CB829" i="8"/>
  <c r="CA829" i="8"/>
  <c r="BZ829" i="8"/>
  <c r="BY829" i="8"/>
  <c r="BX829" i="8"/>
  <c r="BW829" i="8"/>
  <c r="BV829" i="8"/>
  <c r="AU829" i="8"/>
  <c r="AG829" i="8"/>
  <c r="AF829" i="8"/>
  <c r="CE828" i="8"/>
  <c r="CD828" i="8"/>
  <c r="CC828" i="8"/>
  <c r="CB828" i="8"/>
  <c r="CA828" i="8"/>
  <c r="BZ828" i="8"/>
  <c r="BY828" i="8"/>
  <c r="BX828" i="8"/>
  <c r="BW828" i="8"/>
  <c r="BV828" i="8"/>
  <c r="AU828" i="8"/>
  <c r="AG828" i="8"/>
  <c r="AF828" i="8"/>
  <c r="CE827" i="8"/>
  <c r="CD827" i="8"/>
  <c r="CC827" i="8"/>
  <c r="CB827" i="8"/>
  <c r="CA827" i="8"/>
  <c r="BZ827" i="8"/>
  <c r="BY827" i="8"/>
  <c r="BX827" i="8"/>
  <c r="BW827" i="8"/>
  <c r="BV827" i="8"/>
  <c r="AU827" i="8"/>
  <c r="AG827" i="8"/>
  <c r="AF827" i="8"/>
  <c r="CE826" i="8"/>
  <c r="CD826" i="8"/>
  <c r="CC826" i="8"/>
  <c r="CB826" i="8"/>
  <c r="CA826" i="8"/>
  <c r="BZ826" i="8"/>
  <c r="BY826" i="8"/>
  <c r="BX826" i="8"/>
  <c r="BW826" i="8"/>
  <c r="BV826" i="8"/>
  <c r="AU826" i="8"/>
  <c r="AG826" i="8"/>
  <c r="AF826" i="8"/>
  <c r="CE825" i="8"/>
  <c r="CD825" i="8"/>
  <c r="CC825" i="8"/>
  <c r="CB825" i="8"/>
  <c r="CA825" i="8"/>
  <c r="BZ825" i="8"/>
  <c r="BY825" i="8"/>
  <c r="BX825" i="8"/>
  <c r="BW825" i="8"/>
  <c r="BV825" i="8"/>
  <c r="AU825" i="8"/>
  <c r="AG825" i="8"/>
  <c r="AF825" i="8"/>
  <c r="CE824" i="8"/>
  <c r="CD824" i="8"/>
  <c r="CC824" i="8"/>
  <c r="CB824" i="8"/>
  <c r="CA824" i="8"/>
  <c r="BZ824" i="8"/>
  <c r="BY824" i="8"/>
  <c r="BX824" i="8"/>
  <c r="BW824" i="8"/>
  <c r="BV824" i="8"/>
  <c r="AU824" i="8"/>
  <c r="AG824" i="8"/>
  <c r="AF824" i="8"/>
  <c r="CE823" i="8"/>
  <c r="CD823" i="8"/>
  <c r="CC823" i="8"/>
  <c r="CB823" i="8"/>
  <c r="CA823" i="8"/>
  <c r="BZ823" i="8"/>
  <c r="BY823" i="8"/>
  <c r="BX823" i="8"/>
  <c r="BW823" i="8"/>
  <c r="BV823" i="8"/>
  <c r="AU823" i="8"/>
  <c r="AG823" i="8"/>
  <c r="AF823" i="8"/>
  <c r="CE822" i="8"/>
  <c r="CD822" i="8"/>
  <c r="CC822" i="8"/>
  <c r="CB822" i="8"/>
  <c r="CA822" i="8"/>
  <c r="BZ822" i="8"/>
  <c r="BY822" i="8"/>
  <c r="BX822" i="8"/>
  <c r="BW822" i="8"/>
  <c r="BV822" i="8"/>
  <c r="AU822" i="8"/>
  <c r="AG822" i="8"/>
  <c r="AF822" i="8"/>
  <c r="CE821" i="8"/>
  <c r="CD821" i="8"/>
  <c r="CC821" i="8"/>
  <c r="CB821" i="8"/>
  <c r="CA821" i="8"/>
  <c r="BZ821" i="8"/>
  <c r="BY821" i="8"/>
  <c r="BX821" i="8"/>
  <c r="BW821" i="8"/>
  <c r="BV821" i="8"/>
  <c r="AU821" i="8"/>
  <c r="AG821" i="8"/>
  <c r="AF821" i="8"/>
  <c r="CE820" i="8"/>
  <c r="CD820" i="8"/>
  <c r="CC820" i="8"/>
  <c r="CB820" i="8"/>
  <c r="CA820" i="8"/>
  <c r="BZ820" i="8"/>
  <c r="BY820" i="8"/>
  <c r="BX820" i="8"/>
  <c r="BW820" i="8"/>
  <c r="BV820" i="8"/>
  <c r="AU820" i="8"/>
  <c r="AG820" i="8"/>
  <c r="AF820" i="8"/>
  <c r="CE819" i="8"/>
  <c r="CD819" i="8"/>
  <c r="CC819" i="8"/>
  <c r="CB819" i="8"/>
  <c r="CA819" i="8"/>
  <c r="BZ819" i="8"/>
  <c r="BY819" i="8"/>
  <c r="BX819" i="8"/>
  <c r="BW819" i="8"/>
  <c r="BV819" i="8"/>
  <c r="AU819" i="8"/>
  <c r="AG819" i="8"/>
  <c r="AF819" i="8"/>
  <c r="CE818" i="8"/>
  <c r="CD818" i="8"/>
  <c r="CC818" i="8"/>
  <c r="CB818" i="8"/>
  <c r="CA818" i="8"/>
  <c r="BZ818" i="8"/>
  <c r="BY818" i="8"/>
  <c r="BX818" i="8"/>
  <c r="BW818" i="8"/>
  <c r="BV818" i="8"/>
  <c r="AU818" i="8"/>
  <c r="AG818" i="8"/>
  <c r="AF818" i="8"/>
  <c r="CE817" i="8"/>
  <c r="CD817" i="8"/>
  <c r="CC817" i="8"/>
  <c r="CB817" i="8"/>
  <c r="CA817" i="8"/>
  <c r="BZ817" i="8"/>
  <c r="BY817" i="8"/>
  <c r="BX817" i="8"/>
  <c r="BW817" i="8"/>
  <c r="BV817" i="8"/>
  <c r="AU817" i="8"/>
  <c r="AG817" i="8"/>
  <c r="AF817" i="8"/>
  <c r="CE816" i="8"/>
  <c r="CD816" i="8"/>
  <c r="CC816" i="8"/>
  <c r="CB816" i="8"/>
  <c r="CA816" i="8"/>
  <c r="BZ816" i="8"/>
  <c r="BY816" i="8"/>
  <c r="BX816" i="8"/>
  <c r="BW816" i="8"/>
  <c r="BV816" i="8"/>
  <c r="AU816" i="8"/>
  <c r="AG816" i="8"/>
  <c r="AF816" i="8"/>
  <c r="CE815" i="8"/>
  <c r="CD815" i="8"/>
  <c r="CC815" i="8"/>
  <c r="CB815" i="8"/>
  <c r="CA815" i="8"/>
  <c r="BZ815" i="8"/>
  <c r="BY815" i="8"/>
  <c r="BX815" i="8"/>
  <c r="BW815" i="8"/>
  <c r="BV815" i="8"/>
  <c r="AU815" i="8"/>
  <c r="AG815" i="8"/>
  <c r="AF815" i="8"/>
  <c r="CE814" i="8"/>
  <c r="CD814" i="8"/>
  <c r="CC814" i="8"/>
  <c r="CB814" i="8"/>
  <c r="CA814" i="8"/>
  <c r="BZ814" i="8"/>
  <c r="BY814" i="8"/>
  <c r="BX814" i="8"/>
  <c r="BW814" i="8"/>
  <c r="BV814" i="8"/>
  <c r="AU814" i="8"/>
  <c r="AG814" i="8"/>
  <c r="AF814" i="8"/>
  <c r="CE813" i="8"/>
  <c r="CD813" i="8"/>
  <c r="CC813" i="8"/>
  <c r="CB813" i="8"/>
  <c r="CA813" i="8"/>
  <c r="BZ813" i="8"/>
  <c r="BY813" i="8"/>
  <c r="BX813" i="8"/>
  <c r="BW813" i="8"/>
  <c r="BV813" i="8"/>
  <c r="AU813" i="8"/>
  <c r="AG813" i="8"/>
  <c r="AF813" i="8"/>
  <c r="CE812" i="8"/>
  <c r="CD812" i="8"/>
  <c r="CC812" i="8"/>
  <c r="CB812" i="8"/>
  <c r="CA812" i="8"/>
  <c r="BZ812" i="8"/>
  <c r="BY812" i="8"/>
  <c r="BX812" i="8"/>
  <c r="BW812" i="8"/>
  <c r="BV812" i="8"/>
  <c r="AU812" i="8"/>
  <c r="AG812" i="8"/>
  <c r="AF812" i="8"/>
  <c r="CE811" i="8"/>
  <c r="CD811" i="8"/>
  <c r="CC811" i="8"/>
  <c r="CB811" i="8"/>
  <c r="CA811" i="8"/>
  <c r="BZ811" i="8"/>
  <c r="BY811" i="8"/>
  <c r="BX811" i="8"/>
  <c r="BW811" i="8"/>
  <c r="BV811" i="8"/>
  <c r="AU811" i="8"/>
  <c r="AG811" i="8"/>
  <c r="AF811" i="8"/>
  <c r="CE810" i="8"/>
  <c r="CD810" i="8"/>
  <c r="CC810" i="8"/>
  <c r="CB810" i="8"/>
  <c r="CA810" i="8"/>
  <c r="BZ810" i="8"/>
  <c r="BY810" i="8"/>
  <c r="BX810" i="8"/>
  <c r="BW810" i="8"/>
  <c r="BV810" i="8"/>
  <c r="AU810" i="8"/>
  <c r="AG810" i="8"/>
  <c r="AF810" i="8"/>
  <c r="CE809" i="8"/>
  <c r="CD809" i="8"/>
  <c r="CC809" i="8"/>
  <c r="CB809" i="8"/>
  <c r="CA809" i="8"/>
  <c r="BZ809" i="8"/>
  <c r="BY809" i="8"/>
  <c r="BX809" i="8"/>
  <c r="BW809" i="8"/>
  <c r="BV809" i="8"/>
  <c r="AU809" i="8"/>
  <c r="AG809" i="8"/>
  <c r="AF809" i="8"/>
  <c r="CE808" i="8"/>
  <c r="CD808" i="8"/>
  <c r="CC808" i="8"/>
  <c r="CB808" i="8"/>
  <c r="CA808" i="8"/>
  <c r="BZ808" i="8"/>
  <c r="BY808" i="8"/>
  <c r="BX808" i="8"/>
  <c r="BW808" i="8"/>
  <c r="BV808" i="8"/>
  <c r="AU808" i="8"/>
  <c r="AG808" i="8"/>
  <c r="AF808" i="8"/>
  <c r="CE807" i="8"/>
  <c r="CD807" i="8"/>
  <c r="CC807" i="8"/>
  <c r="CB807" i="8"/>
  <c r="CA807" i="8"/>
  <c r="BZ807" i="8"/>
  <c r="BY807" i="8"/>
  <c r="BX807" i="8"/>
  <c r="BW807" i="8"/>
  <c r="BV807" i="8"/>
  <c r="AU807" i="8"/>
  <c r="AG807" i="8"/>
  <c r="AF807" i="8"/>
  <c r="CE806" i="8"/>
  <c r="CD806" i="8"/>
  <c r="CC806" i="8"/>
  <c r="CB806" i="8"/>
  <c r="CA806" i="8"/>
  <c r="BZ806" i="8"/>
  <c r="BY806" i="8"/>
  <c r="BX806" i="8"/>
  <c r="BW806" i="8"/>
  <c r="BV806" i="8"/>
  <c r="AU806" i="8"/>
  <c r="AG806" i="8"/>
  <c r="AF806" i="8"/>
  <c r="CE805" i="8"/>
  <c r="CD805" i="8"/>
  <c r="CC805" i="8"/>
  <c r="CB805" i="8"/>
  <c r="CA805" i="8"/>
  <c r="BZ805" i="8"/>
  <c r="BY805" i="8"/>
  <c r="BX805" i="8"/>
  <c r="BW805" i="8"/>
  <c r="BV805" i="8"/>
  <c r="AU805" i="8"/>
  <c r="AG805" i="8"/>
  <c r="AF805" i="8"/>
  <c r="CE804" i="8"/>
  <c r="CD804" i="8"/>
  <c r="CC804" i="8"/>
  <c r="CB804" i="8"/>
  <c r="CA804" i="8"/>
  <c r="BZ804" i="8"/>
  <c r="BY804" i="8"/>
  <c r="BX804" i="8"/>
  <c r="BW804" i="8"/>
  <c r="BV804" i="8"/>
  <c r="AU804" i="8"/>
  <c r="AG804" i="8"/>
  <c r="AF804" i="8"/>
  <c r="CE803" i="8"/>
  <c r="CD803" i="8"/>
  <c r="CC803" i="8"/>
  <c r="CB803" i="8"/>
  <c r="CA803" i="8"/>
  <c r="BZ803" i="8"/>
  <c r="BY803" i="8"/>
  <c r="BX803" i="8"/>
  <c r="BW803" i="8"/>
  <c r="BV803" i="8"/>
  <c r="AU803" i="8"/>
  <c r="AG803" i="8"/>
  <c r="AF803" i="8"/>
  <c r="CE802" i="8"/>
  <c r="CD802" i="8"/>
  <c r="CC802" i="8"/>
  <c r="CB802" i="8"/>
  <c r="CA802" i="8"/>
  <c r="BZ802" i="8"/>
  <c r="BY802" i="8"/>
  <c r="BX802" i="8"/>
  <c r="BW802" i="8"/>
  <c r="BV802" i="8"/>
  <c r="AU802" i="8"/>
  <c r="AG802" i="8"/>
  <c r="AF802" i="8"/>
  <c r="CE801" i="8"/>
  <c r="CD801" i="8"/>
  <c r="CC801" i="8"/>
  <c r="CB801" i="8"/>
  <c r="CA801" i="8"/>
  <c r="BZ801" i="8"/>
  <c r="BY801" i="8"/>
  <c r="BX801" i="8"/>
  <c r="BW801" i="8"/>
  <c r="BV801" i="8"/>
  <c r="AU801" i="8"/>
  <c r="AG801" i="8"/>
  <c r="AF801" i="8"/>
  <c r="CE800" i="8"/>
  <c r="CD800" i="8"/>
  <c r="CC800" i="8"/>
  <c r="CB800" i="8"/>
  <c r="CA800" i="8"/>
  <c r="BZ800" i="8"/>
  <c r="BY800" i="8"/>
  <c r="BX800" i="8"/>
  <c r="BW800" i="8"/>
  <c r="BV800" i="8"/>
  <c r="AU800" i="8"/>
  <c r="AG800" i="8"/>
  <c r="AF800" i="8"/>
  <c r="CE799" i="8"/>
  <c r="CD799" i="8"/>
  <c r="CC799" i="8"/>
  <c r="CB799" i="8"/>
  <c r="CA799" i="8"/>
  <c r="BZ799" i="8"/>
  <c r="BY799" i="8"/>
  <c r="BX799" i="8"/>
  <c r="BW799" i="8"/>
  <c r="BV799" i="8"/>
  <c r="AU799" i="8"/>
  <c r="AG799" i="8"/>
  <c r="AF799" i="8"/>
  <c r="CE798" i="8"/>
  <c r="CD798" i="8"/>
  <c r="CC798" i="8"/>
  <c r="CB798" i="8"/>
  <c r="CA798" i="8"/>
  <c r="BZ798" i="8"/>
  <c r="BY798" i="8"/>
  <c r="BX798" i="8"/>
  <c r="BW798" i="8"/>
  <c r="BV798" i="8"/>
  <c r="AU798" i="8"/>
  <c r="AG798" i="8"/>
  <c r="AF798" i="8"/>
  <c r="CE797" i="8"/>
  <c r="CD797" i="8"/>
  <c r="CC797" i="8"/>
  <c r="CB797" i="8"/>
  <c r="CA797" i="8"/>
  <c r="BZ797" i="8"/>
  <c r="BY797" i="8"/>
  <c r="BX797" i="8"/>
  <c r="BW797" i="8"/>
  <c r="BV797" i="8"/>
  <c r="AU797" i="8"/>
  <c r="AG797" i="8"/>
  <c r="AF797" i="8"/>
  <c r="CE796" i="8"/>
  <c r="CD796" i="8"/>
  <c r="CC796" i="8"/>
  <c r="CB796" i="8"/>
  <c r="CA796" i="8"/>
  <c r="BZ796" i="8"/>
  <c r="BY796" i="8"/>
  <c r="BX796" i="8"/>
  <c r="BW796" i="8"/>
  <c r="BV796" i="8"/>
  <c r="AU796" i="8"/>
  <c r="AG796" i="8"/>
  <c r="AF796" i="8"/>
  <c r="CE795" i="8"/>
  <c r="CD795" i="8"/>
  <c r="CC795" i="8"/>
  <c r="CB795" i="8"/>
  <c r="CA795" i="8"/>
  <c r="BZ795" i="8"/>
  <c r="BY795" i="8"/>
  <c r="BX795" i="8"/>
  <c r="BW795" i="8"/>
  <c r="BV795" i="8"/>
  <c r="AU795" i="8"/>
  <c r="AG795" i="8"/>
  <c r="AF795" i="8"/>
  <c r="CE794" i="8"/>
  <c r="CD794" i="8"/>
  <c r="CC794" i="8"/>
  <c r="CB794" i="8"/>
  <c r="CA794" i="8"/>
  <c r="BZ794" i="8"/>
  <c r="BY794" i="8"/>
  <c r="BX794" i="8"/>
  <c r="BW794" i="8"/>
  <c r="BV794" i="8"/>
  <c r="AU794" i="8"/>
  <c r="AG794" i="8"/>
  <c r="AF794" i="8"/>
  <c r="CE793" i="8"/>
  <c r="CD793" i="8"/>
  <c r="CC793" i="8"/>
  <c r="CB793" i="8"/>
  <c r="CA793" i="8"/>
  <c r="BZ793" i="8"/>
  <c r="BY793" i="8"/>
  <c r="BX793" i="8"/>
  <c r="BW793" i="8"/>
  <c r="BV793" i="8"/>
  <c r="AU793" i="8"/>
  <c r="AG793" i="8"/>
  <c r="AF793" i="8"/>
  <c r="CE792" i="8"/>
  <c r="CD792" i="8"/>
  <c r="CC792" i="8"/>
  <c r="CB792" i="8"/>
  <c r="CA792" i="8"/>
  <c r="BZ792" i="8"/>
  <c r="BY792" i="8"/>
  <c r="BX792" i="8"/>
  <c r="BW792" i="8"/>
  <c r="BV792" i="8"/>
  <c r="AU792" i="8"/>
  <c r="AG792" i="8"/>
  <c r="AF792" i="8"/>
  <c r="CE791" i="8"/>
  <c r="CD791" i="8"/>
  <c r="CC791" i="8"/>
  <c r="CB791" i="8"/>
  <c r="CA791" i="8"/>
  <c r="BZ791" i="8"/>
  <c r="BY791" i="8"/>
  <c r="BX791" i="8"/>
  <c r="BW791" i="8"/>
  <c r="BV791" i="8"/>
  <c r="AU791" i="8"/>
  <c r="AG791" i="8"/>
  <c r="AF791" i="8"/>
  <c r="CE790" i="8"/>
  <c r="CD790" i="8"/>
  <c r="CC790" i="8"/>
  <c r="CB790" i="8"/>
  <c r="CA790" i="8"/>
  <c r="BZ790" i="8"/>
  <c r="BY790" i="8"/>
  <c r="BX790" i="8"/>
  <c r="BW790" i="8"/>
  <c r="BV790" i="8"/>
  <c r="AU790" i="8"/>
  <c r="AG790" i="8"/>
  <c r="AF790" i="8"/>
  <c r="CE789" i="8"/>
  <c r="CD789" i="8"/>
  <c r="CC789" i="8"/>
  <c r="CB789" i="8"/>
  <c r="CA789" i="8"/>
  <c r="BZ789" i="8"/>
  <c r="BY789" i="8"/>
  <c r="BX789" i="8"/>
  <c r="BW789" i="8"/>
  <c r="BV789" i="8"/>
  <c r="AU789" i="8"/>
  <c r="AG789" i="8"/>
  <c r="AF789" i="8"/>
  <c r="CE788" i="8"/>
  <c r="CD788" i="8"/>
  <c r="CC788" i="8"/>
  <c r="CB788" i="8"/>
  <c r="CA788" i="8"/>
  <c r="BZ788" i="8"/>
  <c r="BY788" i="8"/>
  <c r="BX788" i="8"/>
  <c r="BW788" i="8"/>
  <c r="BV788" i="8"/>
  <c r="AU788" i="8"/>
  <c r="AG788" i="8"/>
  <c r="AF788" i="8"/>
  <c r="CE787" i="8"/>
  <c r="CD787" i="8"/>
  <c r="CC787" i="8"/>
  <c r="CB787" i="8"/>
  <c r="CA787" i="8"/>
  <c r="BZ787" i="8"/>
  <c r="BY787" i="8"/>
  <c r="BX787" i="8"/>
  <c r="BW787" i="8"/>
  <c r="BV787" i="8"/>
  <c r="AU787" i="8"/>
  <c r="AG787" i="8"/>
  <c r="AF787" i="8"/>
  <c r="CE786" i="8"/>
  <c r="CD786" i="8"/>
  <c r="CC786" i="8"/>
  <c r="CB786" i="8"/>
  <c r="CA786" i="8"/>
  <c r="BZ786" i="8"/>
  <c r="BY786" i="8"/>
  <c r="BX786" i="8"/>
  <c r="BW786" i="8"/>
  <c r="BV786" i="8"/>
  <c r="AU786" i="8"/>
  <c r="AG786" i="8"/>
  <c r="AF786" i="8"/>
  <c r="CE785" i="8"/>
  <c r="CD785" i="8"/>
  <c r="CC785" i="8"/>
  <c r="CB785" i="8"/>
  <c r="CA785" i="8"/>
  <c r="BZ785" i="8"/>
  <c r="BY785" i="8"/>
  <c r="BX785" i="8"/>
  <c r="BW785" i="8"/>
  <c r="BV785" i="8"/>
  <c r="AU785" i="8"/>
  <c r="AG785" i="8"/>
  <c r="AF785" i="8"/>
  <c r="CE784" i="8"/>
  <c r="CD784" i="8"/>
  <c r="CC784" i="8"/>
  <c r="CB784" i="8"/>
  <c r="CA784" i="8"/>
  <c r="BZ784" i="8"/>
  <c r="BY784" i="8"/>
  <c r="BX784" i="8"/>
  <c r="BW784" i="8"/>
  <c r="BV784" i="8"/>
  <c r="AU784" i="8"/>
  <c r="AG784" i="8"/>
  <c r="AF784" i="8"/>
  <c r="CE783" i="8"/>
  <c r="CD783" i="8"/>
  <c r="CC783" i="8"/>
  <c r="CB783" i="8"/>
  <c r="CA783" i="8"/>
  <c r="BZ783" i="8"/>
  <c r="BY783" i="8"/>
  <c r="BX783" i="8"/>
  <c r="BW783" i="8"/>
  <c r="BV783" i="8"/>
  <c r="AU783" i="8"/>
  <c r="AG783" i="8"/>
  <c r="AF783" i="8"/>
  <c r="CE782" i="8"/>
  <c r="CD782" i="8"/>
  <c r="CC782" i="8"/>
  <c r="CB782" i="8"/>
  <c r="CA782" i="8"/>
  <c r="BZ782" i="8"/>
  <c r="BY782" i="8"/>
  <c r="BX782" i="8"/>
  <c r="BW782" i="8"/>
  <c r="BV782" i="8"/>
  <c r="AU782" i="8"/>
  <c r="AG782" i="8"/>
  <c r="AF782" i="8"/>
  <c r="CE781" i="8"/>
  <c r="CD781" i="8"/>
  <c r="CC781" i="8"/>
  <c r="CB781" i="8"/>
  <c r="CA781" i="8"/>
  <c r="BZ781" i="8"/>
  <c r="BY781" i="8"/>
  <c r="BX781" i="8"/>
  <c r="BW781" i="8"/>
  <c r="BV781" i="8"/>
  <c r="AU781" i="8"/>
  <c r="AG781" i="8"/>
  <c r="AF781" i="8"/>
  <c r="CE780" i="8"/>
  <c r="CD780" i="8"/>
  <c r="CC780" i="8"/>
  <c r="CB780" i="8"/>
  <c r="CA780" i="8"/>
  <c r="BZ780" i="8"/>
  <c r="BY780" i="8"/>
  <c r="BX780" i="8"/>
  <c r="BW780" i="8"/>
  <c r="BV780" i="8"/>
  <c r="AU780" i="8"/>
  <c r="AG780" i="8"/>
  <c r="AF780" i="8"/>
  <c r="CE779" i="8"/>
  <c r="CD779" i="8"/>
  <c r="CC779" i="8"/>
  <c r="CB779" i="8"/>
  <c r="CA779" i="8"/>
  <c r="BZ779" i="8"/>
  <c r="BY779" i="8"/>
  <c r="BX779" i="8"/>
  <c r="BW779" i="8"/>
  <c r="BV779" i="8"/>
  <c r="AU779" i="8"/>
  <c r="AG779" i="8"/>
  <c r="AF779" i="8"/>
  <c r="CE778" i="8"/>
  <c r="CD778" i="8"/>
  <c r="CC778" i="8"/>
  <c r="CB778" i="8"/>
  <c r="CA778" i="8"/>
  <c r="BZ778" i="8"/>
  <c r="BY778" i="8"/>
  <c r="BX778" i="8"/>
  <c r="BW778" i="8"/>
  <c r="BV778" i="8"/>
  <c r="AU778" i="8"/>
  <c r="AG778" i="8"/>
  <c r="AF778" i="8"/>
  <c r="CE777" i="8"/>
  <c r="CD777" i="8"/>
  <c r="CC777" i="8"/>
  <c r="CB777" i="8"/>
  <c r="CA777" i="8"/>
  <c r="BZ777" i="8"/>
  <c r="BY777" i="8"/>
  <c r="BX777" i="8"/>
  <c r="BW777" i="8"/>
  <c r="BV777" i="8"/>
  <c r="AU777" i="8"/>
  <c r="AG777" i="8"/>
  <c r="AF777" i="8"/>
  <c r="CE776" i="8"/>
  <c r="CD776" i="8"/>
  <c r="CC776" i="8"/>
  <c r="CB776" i="8"/>
  <c r="CA776" i="8"/>
  <c r="BZ776" i="8"/>
  <c r="BY776" i="8"/>
  <c r="BX776" i="8"/>
  <c r="BW776" i="8"/>
  <c r="BV776" i="8"/>
  <c r="AU776" i="8"/>
  <c r="AG776" i="8"/>
  <c r="AF776" i="8"/>
  <c r="CE775" i="8"/>
  <c r="CD775" i="8"/>
  <c r="CC775" i="8"/>
  <c r="CB775" i="8"/>
  <c r="CA775" i="8"/>
  <c r="BZ775" i="8"/>
  <c r="BY775" i="8"/>
  <c r="BX775" i="8"/>
  <c r="BW775" i="8"/>
  <c r="BV775" i="8"/>
  <c r="AU775" i="8"/>
  <c r="AG775" i="8"/>
  <c r="AF775" i="8"/>
  <c r="CE774" i="8"/>
  <c r="CD774" i="8"/>
  <c r="CC774" i="8"/>
  <c r="CB774" i="8"/>
  <c r="CA774" i="8"/>
  <c r="BZ774" i="8"/>
  <c r="BY774" i="8"/>
  <c r="BX774" i="8"/>
  <c r="BW774" i="8"/>
  <c r="BV774" i="8"/>
  <c r="AU774" i="8"/>
  <c r="AG774" i="8"/>
  <c r="AF774" i="8"/>
  <c r="CE773" i="8"/>
  <c r="CD773" i="8"/>
  <c r="CC773" i="8"/>
  <c r="CB773" i="8"/>
  <c r="CA773" i="8"/>
  <c r="BZ773" i="8"/>
  <c r="BY773" i="8"/>
  <c r="BX773" i="8"/>
  <c r="BW773" i="8"/>
  <c r="BV773" i="8"/>
  <c r="AU773" i="8"/>
  <c r="AG773" i="8"/>
  <c r="AF773" i="8"/>
  <c r="CE772" i="8"/>
  <c r="CD772" i="8"/>
  <c r="CC772" i="8"/>
  <c r="CB772" i="8"/>
  <c r="CA772" i="8"/>
  <c r="BZ772" i="8"/>
  <c r="BY772" i="8"/>
  <c r="BX772" i="8"/>
  <c r="BW772" i="8"/>
  <c r="BV772" i="8"/>
  <c r="AU772" i="8"/>
  <c r="AG772" i="8"/>
  <c r="AF772" i="8"/>
  <c r="CE771" i="8"/>
  <c r="CD771" i="8"/>
  <c r="CC771" i="8"/>
  <c r="CB771" i="8"/>
  <c r="CA771" i="8"/>
  <c r="BZ771" i="8"/>
  <c r="BY771" i="8"/>
  <c r="BX771" i="8"/>
  <c r="BW771" i="8"/>
  <c r="BV771" i="8"/>
  <c r="AU771" i="8"/>
  <c r="AG771" i="8"/>
  <c r="AF771" i="8"/>
  <c r="CE770" i="8"/>
  <c r="CD770" i="8"/>
  <c r="CC770" i="8"/>
  <c r="CB770" i="8"/>
  <c r="CA770" i="8"/>
  <c r="BZ770" i="8"/>
  <c r="BY770" i="8"/>
  <c r="BX770" i="8"/>
  <c r="BW770" i="8"/>
  <c r="BV770" i="8"/>
  <c r="AU770" i="8"/>
  <c r="AG770" i="8"/>
  <c r="AF770" i="8"/>
  <c r="CE769" i="8"/>
  <c r="CD769" i="8"/>
  <c r="CC769" i="8"/>
  <c r="CB769" i="8"/>
  <c r="CA769" i="8"/>
  <c r="BZ769" i="8"/>
  <c r="BY769" i="8"/>
  <c r="BX769" i="8"/>
  <c r="BW769" i="8"/>
  <c r="BV769" i="8"/>
  <c r="AU769" i="8"/>
  <c r="AG769" i="8"/>
  <c r="AF769" i="8"/>
  <c r="CE768" i="8"/>
  <c r="CD768" i="8"/>
  <c r="CC768" i="8"/>
  <c r="CB768" i="8"/>
  <c r="CA768" i="8"/>
  <c r="BZ768" i="8"/>
  <c r="BY768" i="8"/>
  <c r="BX768" i="8"/>
  <c r="BW768" i="8"/>
  <c r="BV768" i="8"/>
  <c r="AU768" i="8"/>
  <c r="AG768" i="8"/>
  <c r="AF768" i="8"/>
  <c r="CE767" i="8"/>
  <c r="CD767" i="8"/>
  <c r="CC767" i="8"/>
  <c r="CB767" i="8"/>
  <c r="CA767" i="8"/>
  <c r="BZ767" i="8"/>
  <c r="BY767" i="8"/>
  <c r="BX767" i="8"/>
  <c r="BW767" i="8"/>
  <c r="BV767" i="8"/>
  <c r="AU767" i="8"/>
  <c r="AG767" i="8"/>
  <c r="AF767" i="8"/>
  <c r="CE766" i="8"/>
  <c r="CD766" i="8"/>
  <c r="CC766" i="8"/>
  <c r="CB766" i="8"/>
  <c r="CA766" i="8"/>
  <c r="BZ766" i="8"/>
  <c r="BY766" i="8"/>
  <c r="BX766" i="8"/>
  <c r="BW766" i="8"/>
  <c r="BV766" i="8"/>
  <c r="AU766" i="8"/>
  <c r="AG766" i="8"/>
  <c r="AF766" i="8"/>
  <c r="CE765" i="8"/>
  <c r="CD765" i="8"/>
  <c r="CC765" i="8"/>
  <c r="CB765" i="8"/>
  <c r="CA765" i="8"/>
  <c r="BZ765" i="8"/>
  <c r="BY765" i="8"/>
  <c r="BX765" i="8"/>
  <c r="BW765" i="8"/>
  <c r="BV765" i="8"/>
  <c r="AU765" i="8"/>
  <c r="AG765" i="8"/>
  <c r="AF765" i="8"/>
  <c r="CE764" i="8"/>
  <c r="CD764" i="8"/>
  <c r="CC764" i="8"/>
  <c r="CB764" i="8"/>
  <c r="CA764" i="8"/>
  <c r="BZ764" i="8"/>
  <c r="BY764" i="8"/>
  <c r="BX764" i="8"/>
  <c r="BW764" i="8"/>
  <c r="BV764" i="8"/>
  <c r="AU764" i="8"/>
  <c r="AG764" i="8"/>
  <c r="AF764" i="8"/>
  <c r="CE763" i="8"/>
  <c r="CD763" i="8"/>
  <c r="CC763" i="8"/>
  <c r="CB763" i="8"/>
  <c r="CA763" i="8"/>
  <c r="BZ763" i="8"/>
  <c r="BY763" i="8"/>
  <c r="BX763" i="8"/>
  <c r="BW763" i="8"/>
  <c r="BV763" i="8"/>
  <c r="AU763" i="8"/>
  <c r="AG763" i="8"/>
  <c r="AF763" i="8"/>
  <c r="CE762" i="8"/>
  <c r="CD762" i="8"/>
  <c r="CC762" i="8"/>
  <c r="CB762" i="8"/>
  <c r="CA762" i="8"/>
  <c r="BZ762" i="8"/>
  <c r="BY762" i="8"/>
  <c r="BX762" i="8"/>
  <c r="BW762" i="8"/>
  <c r="BV762" i="8"/>
  <c r="AU762" i="8"/>
  <c r="AG762" i="8"/>
  <c r="AF762" i="8"/>
  <c r="CE761" i="8"/>
  <c r="CD761" i="8"/>
  <c r="CC761" i="8"/>
  <c r="CB761" i="8"/>
  <c r="CA761" i="8"/>
  <c r="BZ761" i="8"/>
  <c r="BY761" i="8"/>
  <c r="BX761" i="8"/>
  <c r="BW761" i="8"/>
  <c r="BV761" i="8"/>
  <c r="AU761" i="8"/>
  <c r="AG761" i="8"/>
  <c r="AF761" i="8"/>
  <c r="CE760" i="8"/>
  <c r="CD760" i="8"/>
  <c r="CC760" i="8"/>
  <c r="CB760" i="8"/>
  <c r="CA760" i="8"/>
  <c r="BZ760" i="8"/>
  <c r="BY760" i="8"/>
  <c r="BX760" i="8"/>
  <c r="BW760" i="8"/>
  <c r="BV760" i="8"/>
  <c r="AU760" i="8"/>
  <c r="AG760" i="8"/>
  <c r="AF760" i="8"/>
  <c r="CE759" i="8"/>
  <c r="CD759" i="8"/>
  <c r="CC759" i="8"/>
  <c r="CB759" i="8"/>
  <c r="CA759" i="8"/>
  <c r="BZ759" i="8"/>
  <c r="BY759" i="8"/>
  <c r="BX759" i="8"/>
  <c r="BW759" i="8"/>
  <c r="BV759" i="8"/>
  <c r="AU759" i="8"/>
  <c r="AG759" i="8"/>
  <c r="AF759" i="8"/>
  <c r="CE758" i="8"/>
  <c r="CD758" i="8"/>
  <c r="CC758" i="8"/>
  <c r="CB758" i="8"/>
  <c r="CA758" i="8"/>
  <c r="BZ758" i="8"/>
  <c r="BY758" i="8"/>
  <c r="BX758" i="8"/>
  <c r="BW758" i="8"/>
  <c r="BV758" i="8"/>
  <c r="AU758" i="8"/>
  <c r="AG758" i="8"/>
  <c r="AF758" i="8"/>
  <c r="CE757" i="8"/>
  <c r="CD757" i="8"/>
  <c r="CC757" i="8"/>
  <c r="CB757" i="8"/>
  <c r="CA757" i="8"/>
  <c r="BZ757" i="8"/>
  <c r="BY757" i="8"/>
  <c r="BX757" i="8"/>
  <c r="BW757" i="8"/>
  <c r="BV757" i="8"/>
  <c r="AU757" i="8"/>
  <c r="AG757" i="8"/>
  <c r="AF757" i="8"/>
  <c r="CE756" i="8"/>
  <c r="CD756" i="8"/>
  <c r="CC756" i="8"/>
  <c r="CB756" i="8"/>
  <c r="CA756" i="8"/>
  <c r="BZ756" i="8"/>
  <c r="BY756" i="8"/>
  <c r="BX756" i="8"/>
  <c r="BW756" i="8"/>
  <c r="BV756" i="8"/>
  <c r="AU756" i="8"/>
  <c r="AG756" i="8"/>
  <c r="AF756" i="8"/>
  <c r="CE755" i="8"/>
  <c r="CD755" i="8"/>
  <c r="CC755" i="8"/>
  <c r="CB755" i="8"/>
  <c r="CA755" i="8"/>
  <c r="BZ755" i="8"/>
  <c r="BY755" i="8"/>
  <c r="BX755" i="8"/>
  <c r="BW755" i="8"/>
  <c r="BV755" i="8"/>
  <c r="AU755" i="8"/>
  <c r="AG755" i="8"/>
  <c r="AF755" i="8"/>
  <c r="CE754" i="8"/>
  <c r="CD754" i="8"/>
  <c r="CC754" i="8"/>
  <c r="CB754" i="8"/>
  <c r="CA754" i="8"/>
  <c r="BZ754" i="8"/>
  <c r="BY754" i="8"/>
  <c r="BX754" i="8"/>
  <c r="BW754" i="8"/>
  <c r="BV754" i="8"/>
  <c r="AU754" i="8"/>
  <c r="AG754" i="8"/>
  <c r="AF754" i="8"/>
  <c r="CE753" i="8"/>
  <c r="CD753" i="8"/>
  <c r="CC753" i="8"/>
  <c r="CB753" i="8"/>
  <c r="CA753" i="8"/>
  <c r="BZ753" i="8"/>
  <c r="BY753" i="8"/>
  <c r="BX753" i="8"/>
  <c r="BW753" i="8"/>
  <c r="BV753" i="8"/>
  <c r="AU753" i="8"/>
  <c r="AG753" i="8"/>
  <c r="AF753" i="8"/>
  <c r="CE752" i="8"/>
  <c r="CD752" i="8"/>
  <c r="CC752" i="8"/>
  <c r="CB752" i="8"/>
  <c r="CA752" i="8"/>
  <c r="BZ752" i="8"/>
  <c r="BY752" i="8"/>
  <c r="BX752" i="8"/>
  <c r="BW752" i="8"/>
  <c r="BV752" i="8"/>
  <c r="AU752" i="8"/>
  <c r="AG752" i="8"/>
  <c r="AF752" i="8"/>
  <c r="CE751" i="8"/>
  <c r="CD751" i="8"/>
  <c r="CC751" i="8"/>
  <c r="CB751" i="8"/>
  <c r="CA751" i="8"/>
  <c r="BZ751" i="8"/>
  <c r="BY751" i="8"/>
  <c r="BX751" i="8"/>
  <c r="BW751" i="8"/>
  <c r="BV751" i="8"/>
  <c r="AU751" i="8"/>
  <c r="AG751" i="8"/>
  <c r="AF751" i="8"/>
  <c r="CE750" i="8"/>
  <c r="CD750" i="8"/>
  <c r="CC750" i="8"/>
  <c r="CB750" i="8"/>
  <c r="CA750" i="8"/>
  <c r="BZ750" i="8"/>
  <c r="BY750" i="8"/>
  <c r="BX750" i="8"/>
  <c r="BW750" i="8"/>
  <c r="BV750" i="8"/>
  <c r="AU750" i="8"/>
  <c r="AG750" i="8"/>
  <c r="AF750" i="8"/>
  <c r="CE749" i="8"/>
  <c r="CD749" i="8"/>
  <c r="CC749" i="8"/>
  <c r="CB749" i="8"/>
  <c r="CA749" i="8"/>
  <c r="BZ749" i="8"/>
  <c r="BY749" i="8"/>
  <c r="BX749" i="8"/>
  <c r="BW749" i="8"/>
  <c r="BV749" i="8"/>
  <c r="AU749" i="8"/>
  <c r="AG749" i="8"/>
  <c r="AF749" i="8"/>
  <c r="CE748" i="8"/>
  <c r="CD748" i="8"/>
  <c r="CC748" i="8"/>
  <c r="CB748" i="8"/>
  <c r="CA748" i="8"/>
  <c r="BZ748" i="8"/>
  <c r="BY748" i="8"/>
  <c r="BX748" i="8"/>
  <c r="BW748" i="8"/>
  <c r="BV748" i="8"/>
  <c r="AU748" i="8"/>
  <c r="AG748" i="8"/>
  <c r="AF748" i="8"/>
  <c r="CE747" i="8"/>
  <c r="CD747" i="8"/>
  <c r="CC747" i="8"/>
  <c r="CB747" i="8"/>
  <c r="CA747" i="8"/>
  <c r="BZ747" i="8"/>
  <c r="BY747" i="8"/>
  <c r="BX747" i="8"/>
  <c r="BW747" i="8"/>
  <c r="BV747" i="8"/>
  <c r="AU747" i="8"/>
  <c r="AG747" i="8"/>
  <c r="AF747" i="8"/>
  <c r="CE746" i="8"/>
  <c r="CD746" i="8"/>
  <c r="CC746" i="8"/>
  <c r="CB746" i="8"/>
  <c r="CA746" i="8"/>
  <c r="BZ746" i="8"/>
  <c r="BY746" i="8"/>
  <c r="BX746" i="8"/>
  <c r="BW746" i="8"/>
  <c r="BV746" i="8"/>
  <c r="AU746" i="8"/>
  <c r="AG746" i="8"/>
  <c r="AF746" i="8"/>
  <c r="CE745" i="8"/>
  <c r="CD745" i="8"/>
  <c r="CC745" i="8"/>
  <c r="CB745" i="8"/>
  <c r="CA745" i="8"/>
  <c r="BZ745" i="8"/>
  <c r="BY745" i="8"/>
  <c r="BX745" i="8"/>
  <c r="BW745" i="8"/>
  <c r="BV745" i="8"/>
  <c r="AU745" i="8"/>
  <c r="AG745" i="8"/>
  <c r="AF745" i="8"/>
  <c r="CE744" i="8"/>
  <c r="CD744" i="8"/>
  <c r="CC744" i="8"/>
  <c r="CB744" i="8"/>
  <c r="CA744" i="8"/>
  <c r="BZ744" i="8"/>
  <c r="BY744" i="8"/>
  <c r="BX744" i="8"/>
  <c r="BW744" i="8"/>
  <c r="BV744" i="8"/>
  <c r="AU744" i="8"/>
  <c r="AG744" i="8"/>
  <c r="AF744" i="8"/>
  <c r="CE743" i="8"/>
  <c r="CD743" i="8"/>
  <c r="CC743" i="8"/>
  <c r="CB743" i="8"/>
  <c r="CA743" i="8"/>
  <c r="BZ743" i="8"/>
  <c r="BY743" i="8"/>
  <c r="BX743" i="8"/>
  <c r="BW743" i="8"/>
  <c r="BV743" i="8"/>
  <c r="AU743" i="8"/>
  <c r="AG743" i="8"/>
  <c r="AF743" i="8"/>
  <c r="CE742" i="8"/>
  <c r="CD742" i="8"/>
  <c r="CC742" i="8"/>
  <c r="CB742" i="8"/>
  <c r="CA742" i="8"/>
  <c r="BZ742" i="8"/>
  <c r="BY742" i="8"/>
  <c r="BX742" i="8"/>
  <c r="BW742" i="8"/>
  <c r="BV742" i="8"/>
  <c r="AU742" i="8"/>
  <c r="AG742" i="8"/>
  <c r="AF742" i="8"/>
  <c r="CE741" i="8"/>
  <c r="CD741" i="8"/>
  <c r="CC741" i="8"/>
  <c r="CB741" i="8"/>
  <c r="CA741" i="8"/>
  <c r="BZ741" i="8"/>
  <c r="BY741" i="8"/>
  <c r="BX741" i="8"/>
  <c r="BW741" i="8"/>
  <c r="BV741" i="8"/>
  <c r="AU741" i="8"/>
  <c r="AG741" i="8"/>
  <c r="AF741" i="8"/>
  <c r="CE740" i="8"/>
  <c r="CD740" i="8"/>
  <c r="CC740" i="8"/>
  <c r="CB740" i="8"/>
  <c r="CA740" i="8"/>
  <c r="BZ740" i="8"/>
  <c r="BY740" i="8"/>
  <c r="BX740" i="8"/>
  <c r="BW740" i="8"/>
  <c r="BV740" i="8"/>
  <c r="AU740" i="8"/>
  <c r="AG740" i="8"/>
  <c r="AF740" i="8"/>
  <c r="CE739" i="8"/>
  <c r="CD739" i="8"/>
  <c r="CC739" i="8"/>
  <c r="CB739" i="8"/>
  <c r="CA739" i="8"/>
  <c r="BZ739" i="8"/>
  <c r="BY739" i="8"/>
  <c r="BX739" i="8"/>
  <c r="BW739" i="8"/>
  <c r="BV739" i="8"/>
  <c r="AU739" i="8"/>
  <c r="AG739" i="8"/>
  <c r="AF739" i="8"/>
  <c r="CE738" i="8"/>
  <c r="CD738" i="8"/>
  <c r="CC738" i="8"/>
  <c r="CB738" i="8"/>
  <c r="CA738" i="8"/>
  <c r="BZ738" i="8"/>
  <c r="BY738" i="8"/>
  <c r="BX738" i="8"/>
  <c r="BW738" i="8"/>
  <c r="BV738" i="8"/>
  <c r="AU738" i="8"/>
  <c r="AG738" i="8"/>
  <c r="AF738" i="8"/>
  <c r="CE737" i="8"/>
  <c r="CD737" i="8"/>
  <c r="CC737" i="8"/>
  <c r="CB737" i="8"/>
  <c r="CA737" i="8"/>
  <c r="BZ737" i="8"/>
  <c r="BY737" i="8"/>
  <c r="BX737" i="8"/>
  <c r="BW737" i="8"/>
  <c r="BV737" i="8"/>
  <c r="AU737" i="8"/>
  <c r="AG737" i="8"/>
  <c r="AF737" i="8"/>
  <c r="CE736" i="8"/>
  <c r="CD736" i="8"/>
  <c r="CC736" i="8"/>
  <c r="CB736" i="8"/>
  <c r="CA736" i="8"/>
  <c r="BZ736" i="8"/>
  <c r="BY736" i="8"/>
  <c r="BX736" i="8"/>
  <c r="BW736" i="8"/>
  <c r="BV736" i="8"/>
  <c r="AU736" i="8"/>
  <c r="AG736" i="8"/>
  <c r="AF736" i="8"/>
  <c r="CE735" i="8"/>
  <c r="CD735" i="8"/>
  <c r="CC735" i="8"/>
  <c r="CB735" i="8"/>
  <c r="CA735" i="8"/>
  <c r="BZ735" i="8"/>
  <c r="BY735" i="8"/>
  <c r="BX735" i="8"/>
  <c r="BW735" i="8"/>
  <c r="BV735" i="8"/>
  <c r="AU735" i="8"/>
  <c r="AG735" i="8"/>
  <c r="AF735" i="8"/>
  <c r="CE734" i="8"/>
  <c r="CD734" i="8"/>
  <c r="CC734" i="8"/>
  <c r="CB734" i="8"/>
  <c r="CA734" i="8"/>
  <c r="BZ734" i="8"/>
  <c r="BY734" i="8"/>
  <c r="BX734" i="8"/>
  <c r="BW734" i="8"/>
  <c r="BV734" i="8"/>
  <c r="AU734" i="8"/>
  <c r="AG734" i="8"/>
  <c r="AF734" i="8"/>
  <c r="CE733" i="8"/>
  <c r="CD733" i="8"/>
  <c r="CC733" i="8"/>
  <c r="CB733" i="8"/>
  <c r="CA733" i="8"/>
  <c r="BZ733" i="8"/>
  <c r="BY733" i="8"/>
  <c r="BX733" i="8"/>
  <c r="BW733" i="8"/>
  <c r="BV733" i="8"/>
  <c r="AU733" i="8"/>
  <c r="AG733" i="8"/>
  <c r="AF733" i="8"/>
  <c r="CE732" i="8"/>
  <c r="CD732" i="8"/>
  <c r="CC732" i="8"/>
  <c r="CB732" i="8"/>
  <c r="CA732" i="8"/>
  <c r="BZ732" i="8"/>
  <c r="BY732" i="8"/>
  <c r="BX732" i="8"/>
  <c r="BW732" i="8"/>
  <c r="BV732" i="8"/>
  <c r="AU732" i="8"/>
  <c r="AG732" i="8"/>
  <c r="AF732" i="8"/>
  <c r="CE731" i="8"/>
  <c r="CD731" i="8"/>
  <c r="CC731" i="8"/>
  <c r="CB731" i="8"/>
  <c r="CA731" i="8"/>
  <c r="BZ731" i="8"/>
  <c r="BY731" i="8"/>
  <c r="BX731" i="8"/>
  <c r="BW731" i="8"/>
  <c r="BV731" i="8"/>
  <c r="AU731" i="8"/>
  <c r="AG731" i="8"/>
  <c r="AF731" i="8"/>
  <c r="CE730" i="8"/>
  <c r="CD730" i="8"/>
  <c r="CC730" i="8"/>
  <c r="CB730" i="8"/>
  <c r="CA730" i="8"/>
  <c r="BZ730" i="8"/>
  <c r="BY730" i="8"/>
  <c r="BX730" i="8"/>
  <c r="BW730" i="8"/>
  <c r="BV730" i="8"/>
  <c r="AU730" i="8"/>
  <c r="AG730" i="8"/>
  <c r="AF730" i="8"/>
  <c r="CE729" i="8"/>
  <c r="CD729" i="8"/>
  <c r="CC729" i="8"/>
  <c r="CB729" i="8"/>
  <c r="CA729" i="8"/>
  <c r="BZ729" i="8"/>
  <c r="BY729" i="8"/>
  <c r="BX729" i="8"/>
  <c r="BW729" i="8"/>
  <c r="BV729" i="8"/>
  <c r="AU729" i="8"/>
  <c r="AG729" i="8"/>
  <c r="AF729" i="8"/>
  <c r="CE728" i="8"/>
  <c r="CD728" i="8"/>
  <c r="CC728" i="8"/>
  <c r="CB728" i="8"/>
  <c r="CA728" i="8"/>
  <c r="BZ728" i="8"/>
  <c r="BY728" i="8"/>
  <c r="BX728" i="8"/>
  <c r="BW728" i="8"/>
  <c r="BV728" i="8"/>
  <c r="AU728" i="8"/>
  <c r="AG728" i="8"/>
  <c r="AF728" i="8"/>
  <c r="CE727" i="8"/>
  <c r="CD727" i="8"/>
  <c r="CC727" i="8"/>
  <c r="CB727" i="8"/>
  <c r="CA727" i="8"/>
  <c r="BZ727" i="8"/>
  <c r="BY727" i="8"/>
  <c r="BX727" i="8"/>
  <c r="BW727" i="8"/>
  <c r="BV727" i="8"/>
  <c r="AU727" i="8"/>
  <c r="AG727" i="8"/>
  <c r="AF727" i="8"/>
  <c r="CE726" i="8"/>
  <c r="CD726" i="8"/>
  <c r="CC726" i="8"/>
  <c r="CB726" i="8"/>
  <c r="CA726" i="8"/>
  <c r="BZ726" i="8"/>
  <c r="BY726" i="8"/>
  <c r="BX726" i="8"/>
  <c r="BW726" i="8"/>
  <c r="BV726" i="8"/>
  <c r="AU726" i="8"/>
  <c r="AG726" i="8"/>
  <c r="AF726" i="8"/>
  <c r="CE725" i="8"/>
  <c r="CD725" i="8"/>
  <c r="CC725" i="8"/>
  <c r="CB725" i="8"/>
  <c r="CA725" i="8"/>
  <c r="BZ725" i="8"/>
  <c r="BY725" i="8"/>
  <c r="BX725" i="8"/>
  <c r="BW725" i="8"/>
  <c r="BV725" i="8"/>
  <c r="AU725" i="8"/>
  <c r="AG725" i="8"/>
  <c r="AF725" i="8"/>
  <c r="CE724" i="8"/>
  <c r="CD724" i="8"/>
  <c r="CC724" i="8"/>
  <c r="CB724" i="8"/>
  <c r="CA724" i="8"/>
  <c r="BZ724" i="8"/>
  <c r="BY724" i="8"/>
  <c r="BX724" i="8"/>
  <c r="BW724" i="8"/>
  <c r="BV724" i="8"/>
  <c r="AU724" i="8"/>
  <c r="AG724" i="8"/>
  <c r="AF724" i="8"/>
  <c r="CE723" i="8"/>
  <c r="CD723" i="8"/>
  <c r="CC723" i="8"/>
  <c r="CB723" i="8"/>
  <c r="CA723" i="8"/>
  <c r="BZ723" i="8"/>
  <c r="BY723" i="8"/>
  <c r="BX723" i="8"/>
  <c r="BW723" i="8"/>
  <c r="BV723" i="8"/>
  <c r="AU723" i="8"/>
  <c r="AG723" i="8"/>
  <c r="AF723" i="8"/>
  <c r="CE722" i="8"/>
  <c r="CD722" i="8"/>
  <c r="CC722" i="8"/>
  <c r="CB722" i="8"/>
  <c r="CA722" i="8"/>
  <c r="BZ722" i="8"/>
  <c r="BY722" i="8"/>
  <c r="BX722" i="8"/>
  <c r="BW722" i="8"/>
  <c r="BV722" i="8"/>
  <c r="AU722" i="8"/>
  <c r="AG722" i="8"/>
  <c r="AF722" i="8"/>
  <c r="CE721" i="8"/>
  <c r="CD721" i="8"/>
  <c r="CC721" i="8"/>
  <c r="CB721" i="8"/>
  <c r="CA721" i="8"/>
  <c r="BZ721" i="8"/>
  <c r="BY721" i="8"/>
  <c r="BX721" i="8"/>
  <c r="BW721" i="8"/>
  <c r="BV721" i="8"/>
  <c r="AU721" i="8"/>
  <c r="AG721" i="8"/>
  <c r="AF721" i="8"/>
  <c r="CE720" i="8"/>
  <c r="CD720" i="8"/>
  <c r="CC720" i="8"/>
  <c r="CB720" i="8"/>
  <c r="CA720" i="8"/>
  <c r="BZ720" i="8"/>
  <c r="BY720" i="8"/>
  <c r="BX720" i="8"/>
  <c r="BW720" i="8"/>
  <c r="BV720" i="8"/>
  <c r="AU720" i="8"/>
  <c r="AG720" i="8"/>
  <c r="AF720" i="8"/>
  <c r="CE719" i="8"/>
  <c r="CD719" i="8"/>
  <c r="CC719" i="8"/>
  <c r="CB719" i="8"/>
  <c r="CA719" i="8"/>
  <c r="BZ719" i="8"/>
  <c r="BY719" i="8"/>
  <c r="BX719" i="8"/>
  <c r="BW719" i="8"/>
  <c r="BV719" i="8"/>
  <c r="AU719" i="8"/>
  <c r="AG719" i="8"/>
  <c r="AF719" i="8"/>
  <c r="CE718" i="8"/>
  <c r="CD718" i="8"/>
  <c r="CC718" i="8"/>
  <c r="CB718" i="8"/>
  <c r="CA718" i="8"/>
  <c r="BZ718" i="8"/>
  <c r="BY718" i="8"/>
  <c r="BX718" i="8"/>
  <c r="BW718" i="8"/>
  <c r="BV718" i="8"/>
  <c r="AU718" i="8"/>
  <c r="AG718" i="8"/>
  <c r="AF718" i="8"/>
  <c r="CE717" i="8"/>
  <c r="CD717" i="8"/>
  <c r="CC717" i="8"/>
  <c r="CB717" i="8"/>
  <c r="CA717" i="8"/>
  <c r="BZ717" i="8"/>
  <c r="BY717" i="8"/>
  <c r="BX717" i="8"/>
  <c r="BW717" i="8"/>
  <c r="BV717" i="8"/>
  <c r="AU717" i="8"/>
  <c r="AG717" i="8"/>
  <c r="AF717" i="8"/>
  <c r="CE716" i="8"/>
  <c r="CD716" i="8"/>
  <c r="CC716" i="8"/>
  <c r="CB716" i="8"/>
  <c r="CA716" i="8"/>
  <c r="BZ716" i="8"/>
  <c r="BY716" i="8"/>
  <c r="BX716" i="8"/>
  <c r="BW716" i="8"/>
  <c r="BV716" i="8"/>
  <c r="AU716" i="8"/>
  <c r="AG716" i="8"/>
  <c r="AF716" i="8"/>
  <c r="CE715" i="8"/>
  <c r="CD715" i="8"/>
  <c r="CC715" i="8"/>
  <c r="CB715" i="8"/>
  <c r="CA715" i="8"/>
  <c r="BZ715" i="8"/>
  <c r="BY715" i="8"/>
  <c r="BX715" i="8"/>
  <c r="BW715" i="8"/>
  <c r="BV715" i="8"/>
  <c r="AU715" i="8"/>
  <c r="AG715" i="8"/>
  <c r="AF715" i="8"/>
  <c r="CE714" i="8"/>
  <c r="CD714" i="8"/>
  <c r="CC714" i="8"/>
  <c r="CB714" i="8"/>
  <c r="CA714" i="8"/>
  <c r="BZ714" i="8"/>
  <c r="BY714" i="8"/>
  <c r="BX714" i="8"/>
  <c r="BW714" i="8"/>
  <c r="BV714" i="8"/>
  <c r="AU714" i="8"/>
  <c r="AG714" i="8"/>
  <c r="AF714" i="8"/>
  <c r="CE713" i="8"/>
  <c r="CD713" i="8"/>
  <c r="CC713" i="8"/>
  <c r="CB713" i="8"/>
  <c r="CA713" i="8"/>
  <c r="BZ713" i="8"/>
  <c r="BY713" i="8"/>
  <c r="BX713" i="8"/>
  <c r="BW713" i="8"/>
  <c r="BV713" i="8"/>
  <c r="AU713" i="8"/>
  <c r="AG713" i="8"/>
  <c r="AF713" i="8"/>
  <c r="CE712" i="8"/>
  <c r="CD712" i="8"/>
  <c r="CC712" i="8"/>
  <c r="CB712" i="8"/>
  <c r="CA712" i="8"/>
  <c r="BZ712" i="8"/>
  <c r="BY712" i="8"/>
  <c r="BX712" i="8"/>
  <c r="BW712" i="8"/>
  <c r="BV712" i="8"/>
  <c r="AU712" i="8"/>
  <c r="AG712" i="8"/>
  <c r="AF712" i="8"/>
  <c r="CE711" i="8"/>
  <c r="CD711" i="8"/>
  <c r="CC711" i="8"/>
  <c r="CB711" i="8"/>
  <c r="CA711" i="8"/>
  <c r="BZ711" i="8"/>
  <c r="BY711" i="8"/>
  <c r="BX711" i="8"/>
  <c r="BW711" i="8"/>
  <c r="BV711" i="8"/>
  <c r="AU711" i="8"/>
  <c r="AG711" i="8"/>
  <c r="AF711" i="8"/>
  <c r="CE710" i="8"/>
  <c r="CD710" i="8"/>
  <c r="CC710" i="8"/>
  <c r="CB710" i="8"/>
  <c r="CA710" i="8"/>
  <c r="BZ710" i="8"/>
  <c r="BY710" i="8"/>
  <c r="BX710" i="8"/>
  <c r="BW710" i="8"/>
  <c r="BV710" i="8"/>
  <c r="AU710" i="8"/>
  <c r="AG710" i="8"/>
  <c r="AF710" i="8"/>
  <c r="CE709" i="8"/>
  <c r="CD709" i="8"/>
  <c r="CC709" i="8"/>
  <c r="CB709" i="8"/>
  <c r="CA709" i="8"/>
  <c r="BZ709" i="8"/>
  <c r="BY709" i="8"/>
  <c r="BX709" i="8"/>
  <c r="BW709" i="8"/>
  <c r="BV709" i="8"/>
  <c r="AU709" i="8"/>
  <c r="AG709" i="8"/>
  <c r="AF709" i="8"/>
  <c r="CE708" i="8"/>
  <c r="CD708" i="8"/>
  <c r="CC708" i="8"/>
  <c r="CB708" i="8"/>
  <c r="CA708" i="8"/>
  <c r="BZ708" i="8"/>
  <c r="BY708" i="8"/>
  <c r="BX708" i="8"/>
  <c r="BW708" i="8"/>
  <c r="BV708" i="8"/>
  <c r="AU708" i="8"/>
  <c r="AG708" i="8"/>
  <c r="AF708" i="8"/>
  <c r="CE707" i="8"/>
  <c r="CD707" i="8"/>
  <c r="CC707" i="8"/>
  <c r="CB707" i="8"/>
  <c r="CA707" i="8"/>
  <c r="BZ707" i="8"/>
  <c r="BY707" i="8"/>
  <c r="BX707" i="8"/>
  <c r="BW707" i="8"/>
  <c r="BV707" i="8"/>
  <c r="AU707" i="8"/>
  <c r="AG707" i="8"/>
  <c r="AF707" i="8"/>
  <c r="CE706" i="8"/>
  <c r="CD706" i="8"/>
  <c r="CC706" i="8"/>
  <c r="CB706" i="8"/>
  <c r="CA706" i="8"/>
  <c r="BZ706" i="8"/>
  <c r="BY706" i="8"/>
  <c r="BX706" i="8"/>
  <c r="BW706" i="8"/>
  <c r="BV706" i="8"/>
  <c r="AU706" i="8"/>
  <c r="AG706" i="8"/>
  <c r="AF706" i="8"/>
  <c r="CE705" i="8"/>
  <c r="CD705" i="8"/>
  <c r="CC705" i="8"/>
  <c r="CB705" i="8"/>
  <c r="CA705" i="8"/>
  <c r="BZ705" i="8"/>
  <c r="BY705" i="8"/>
  <c r="BX705" i="8"/>
  <c r="BW705" i="8"/>
  <c r="BV705" i="8"/>
  <c r="AU705" i="8"/>
  <c r="AG705" i="8"/>
  <c r="AF705" i="8"/>
  <c r="CE704" i="8"/>
  <c r="CD704" i="8"/>
  <c r="CC704" i="8"/>
  <c r="CB704" i="8"/>
  <c r="CA704" i="8"/>
  <c r="BZ704" i="8"/>
  <c r="BY704" i="8"/>
  <c r="BX704" i="8"/>
  <c r="BW704" i="8"/>
  <c r="BV704" i="8"/>
  <c r="AU704" i="8"/>
  <c r="AG704" i="8"/>
  <c r="AF704" i="8"/>
  <c r="CE703" i="8"/>
  <c r="CD703" i="8"/>
  <c r="CC703" i="8"/>
  <c r="CB703" i="8"/>
  <c r="CA703" i="8"/>
  <c r="BZ703" i="8"/>
  <c r="BY703" i="8"/>
  <c r="BX703" i="8"/>
  <c r="BW703" i="8"/>
  <c r="BV703" i="8"/>
  <c r="AU703" i="8"/>
  <c r="AG703" i="8"/>
  <c r="AF703" i="8"/>
  <c r="CE702" i="8"/>
  <c r="CD702" i="8"/>
  <c r="CC702" i="8"/>
  <c r="CB702" i="8"/>
  <c r="CA702" i="8"/>
  <c r="BZ702" i="8"/>
  <c r="BY702" i="8"/>
  <c r="BX702" i="8"/>
  <c r="BW702" i="8"/>
  <c r="BV702" i="8"/>
  <c r="AU702" i="8"/>
  <c r="AG702" i="8"/>
  <c r="AF702" i="8"/>
  <c r="CE701" i="8"/>
  <c r="CD701" i="8"/>
  <c r="CC701" i="8"/>
  <c r="CB701" i="8"/>
  <c r="CA701" i="8"/>
  <c r="BZ701" i="8"/>
  <c r="BY701" i="8"/>
  <c r="BX701" i="8"/>
  <c r="BW701" i="8"/>
  <c r="BV701" i="8"/>
  <c r="AU701" i="8"/>
  <c r="AG701" i="8"/>
  <c r="AF701" i="8"/>
  <c r="CE700" i="8"/>
  <c r="CD700" i="8"/>
  <c r="CC700" i="8"/>
  <c r="CB700" i="8"/>
  <c r="CA700" i="8"/>
  <c r="BZ700" i="8"/>
  <c r="BY700" i="8"/>
  <c r="BX700" i="8"/>
  <c r="BW700" i="8"/>
  <c r="BV700" i="8"/>
  <c r="AU700" i="8"/>
  <c r="AG700" i="8"/>
  <c r="AF700" i="8"/>
  <c r="CE699" i="8"/>
  <c r="CD699" i="8"/>
  <c r="CC699" i="8"/>
  <c r="CB699" i="8"/>
  <c r="CA699" i="8"/>
  <c r="BZ699" i="8"/>
  <c r="BY699" i="8"/>
  <c r="BX699" i="8"/>
  <c r="BW699" i="8"/>
  <c r="BV699" i="8"/>
  <c r="AU699" i="8"/>
  <c r="AG699" i="8"/>
  <c r="AF699" i="8"/>
  <c r="CE698" i="8"/>
  <c r="CD698" i="8"/>
  <c r="CC698" i="8"/>
  <c r="CB698" i="8"/>
  <c r="CA698" i="8"/>
  <c r="BZ698" i="8"/>
  <c r="BY698" i="8"/>
  <c r="BX698" i="8"/>
  <c r="BW698" i="8"/>
  <c r="BV698" i="8"/>
  <c r="AU698" i="8"/>
  <c r="AG698" i="8"/>
  <c r="AF698" i="8"/>
  <c r="CE697" i="8"/>
  <c r="CD697" i="8"/>
  <c r="CC697" i="8"/>
  <c r="CB697" i="8"/>
  <c r="CA697" i="8"/>
  <c r="BZ697" i="8"/>
  <c r="BY697" i="8"/>
  <c r="BX697" i="8"/>
  <c r="BW697" i="8"/>
  <c r="BV697" i="8"/>
  <c r="AU697" i="8"/>
  <c r="AG697" i="8"/>
  <c r="AF697" i="8"/>
  <c r="CE696" i="8"/>
  <c r="CD696" i="8"/>
  <c r="CC696" i="8"/>
  <c r="CB696" i="8"/>
  <c r="CA696" i="8"/>
  <c r="BZ696" i="8"/>
  <c r="BY696" i="8"/>
  <c r="BX696" i="8"/>
  <c r="BW696" i="8"/>
  <c r="BV696" i="8"/>
  <c r="AU696" i="8"/>
  <c r="AG696" i="8"/>
  <c r="AF696" i="8"/>
  <c r="CE695" i="8"/>
  <c r="CD695" i="8"/>
  <c r="CC695" i="8"/>
  <c r="CB695" i="8"/>
  <c r="CA695" i="8"/>
  <c r="BZ695" i="8"/>
  <c r="BY695" i="8"/>
  <c r="BX695" i="8"/>
  <c r="BW695" i="8"/>
  <c r="BV695" i="8"/>
  <c r="AU695" i="8"/>
  <c r="AG695" i="8"/>
  <c r="AF695" i="8"/>
  <c r="CE694" i="8"/>
  <c r="CD694" i="8"/>
  <c r="CC694" i="8"/>
  <c r="CB694" i="8"/>
  <c r="CA694" i="8"/>
  <c r="BZ694" i="8"/>
  <c r="BY694" i="8"/>
  <c r="BX694" i="8"/>
  <c r="BW694" i="8"/>
  <c r="BV694" i="8"/>
  <c r="AU694" i="8"/>
  <c r="AG694" i="8"/>
  <c r="AF694" i="8"/>
  <c r="CE693" i="8"/>
  <c r="CD693" i="8"/>
  <c r="CC693" i="8"/>
  <c r="CB693" i="8"/>
  <c r="CA693" i="8"/>
  <c r="BZ693" i="8"/>
  <c r="BY693" i="8"/>
  <c r="BX693" i="8"/>
  <c r="BW693" i="8"/>
  <c r="BV693" i="8"/>
  <c r="AU693" i="8"/>
  <c r="AG693" i="8"/>
  <c r="AF693" i="8"/>
  <c r="CE692" i="8"/>
  <c r="CD692" i="8"/>
  <c r="CC692" i="8"/>
  <c r="CB692" i="8"/>
  <c r="CA692" i="8"/>
  <c r="BZ692" i="8"/>
  <c r="BY692" i="8"/>
  <c r="BX692" i="8"/>
  <c r="BW692" i="8"/>
  <c r="BV692" i="8"/>
  <c r="AU692" i="8"/>
  <c r="AG692" i="8"/>
  <c r="AF692" i="8"/>
  <c r="CE691" i="8"/>
  <c r="CD691" i="8"/>
  <c r="CC691" i="8"/>
  <c r="CB691" i="8"/>
  <c r="CA691" i="8"/>
  <c r="BZ691" i="8"/>
  <c r="BY691" i="8"/>
  <c r="BX691" i="8"/>
  <c r="BW691" i="8"/>
  <c r="BV691" i="8"/>
  <c r="AU691" i="8"/>
  <c r="AG691" i="8"/>
  <c r="AF691" i="8"/>
  <c r="CE690" i="8"/>
  <c r="CD690" i="8"/>
  <c r="CC690" i="8"/>
  <c r="CB690" i="8"/>
  <c r="CA690" i="8"/>
  <c r="BZ690" i="8"/>
  <c r="BY690" i="8"/>
  <c r="BX690" i="8"/>
  <c r="BW690" i="8"/>
  <c r="BV690" i="8"/>
  <c r="AU690" i="8"/>
  <c r="AG690" i="8"/>
  <c r="AF690" i="8"/>
  <c r="CE689" i="8"/>
  <c r="CD689" i="8"/>
  <c r="CC689" i="8"/>
  <c r="CB689" i="8"/>
  <c r="CA689" i="8"/>
  <c r="BZ689" i="8"/>
  <c r="BY689" i="8"/>
  <c r="BX689" i="8"/>
  <c r="BW689" i="8"/>
  <c r="BV689" i="8"/>
  <c r="AU689" i="8"/>
  <c r="AG689" i="8"/>
  <c r="AF689" i="8"/>
  <c r="CE688" i="8"/>
  <c r="CD688" i="8"/>
  <c r="CC688" i="8"/>
  <c r="CB688" i="8"/>
  <c r="CA688" i="8"/>
  <c r="BZ688" i="8"/>
  <c r="BY688" i="8"/>
  <c r="BX688" i="8"/>
  <c r="BW688" i="8"/>
  <c r="BV688" i="8"/>
  <c r="AU688" i="8"/>
  <c r="AG688" i="8"/>
  <c r="AF688" i="8"/>
  <c r="CE687" i="8"/>
  <c r="CD687" i="8"/>
  <c r="CC687" i="8"/>
  <c r="CB687" i="8"/>
  <c r="CA687" i="8"/>
  <c r="BZ687" i="8"/>
  <c r="BY687" i="8"/>
  <c r="BX687" i="8"/>
  <c r="BW687" i="8"/>
  <c r="BV687" i="8"/>
  <c r="AU687" i="8"/>
  <c r="AG687" i="8"/>
  <c r="AF687" i="8"/>
  <c r="CE686" i="8"/>
  <c r="CD686" i="8"/>
  <c r="CC686" i="8"/>
  <c r="CB686" i="8"/>
  <c r="CA686" i="8"/>
  <c r="BZ686" i="8"/>
  <c r="BY686" i="8"/>
  <c r="BX686" i="8"/>
  <c r="BW686" i="8"/>
  <c r="BV686" i="8"/>
  <c r="AU686" i="8"/>
  <c r="AG686" i="8"/>
  <c r="AF686" i="8"/>
  <c r="CE685" i="8"/>
  <c r="CD685" i="8"/>
  <c r="CC685" i="8"/>
  <c r="CB685" i="8"/>
  <c r="CA685" i="8"/>
  <c r="BZ685" i="8"/>
  <c r="BY685" i="8"/>
  <c r="BX685" i="8"/>
  <c r="BW685" i="8"/>
  <c r="BV685" i="8"/>
  <c r="AU685" i="8"/>
  <c r="AG685" i="8"/>
  <c r="AF685" i="8"/>
  <c r="CE684" i="8"/>
  <c r="CD684" i="8"/>
  <c r="CC684" i="8"/>
  <c r="CB684" i="8"/>
  <c r="CA684" i="8"/>
  <c r="BZ684" i="8"/>
  <c r="BY684" i="8"/>
  <c r="BX684" i="8"/>
  <c r="BW684" i="8"/>
  <c r="BV684" i="8"/>
  <c r="AU684" i="8"/>
  <c r="AG684" i="8"/>
  <c r="AF684" i="8"/>
  <c r="CE683" i="8"/>
  <c r="CD683" i="8"/>
  <c r="CC683" i="8"/>
  <c r="CB683" i="8"/>
  <c r="CA683" i="8"/>
  <c r="BZ683" i="8"/>
  <c r="BY683" i="8"/>
  <c r="BX683" i="8"/>
  <c r="BW683" i="8"/>
  <c r="BV683" i="8"/>
  <c r="AU683" i="8"/>
  <c r="AG683" i="8"/>
  <c r="AF683" i="8"/>
  <c r="CE682" i="8"/>
  <c r="CD682" i="8"/>
  <c r="CC682" i="8"/>
  <c r="CB682" i="8"/>
  <c r="CA682" i="8"/>
  <c r="BZ682" i="8"/>
  <c r="BY682" i="8"/>
  <c r="BX682" i="8"/>
  <c r="BW682" i="8"/>
  <c r="BV682" i="8"/>
  <c r="AU682" i="8"/>
  <c r="AG682" i="8"/>
  <c r="AF682" i="8"/>
  <c r="CE681" i="8"/>
  <c r="CD681" i="8"/>
  <c r="CC681" i="8"/>
  <c r="CB681" i="8"/>
  <c r="CA681" i="8"/>
  <c r="BZ681" i="8"/>
  <c r="BY681" i="8"/>
  <c r="BX681" i="8"/>
  <c r="BW681" i="8"/>
  <c r="BV681" i="8"/>
  <c r="AU681" i="8"/>
  <c r="AG681" i="8"/>
  <c r="AF681" i="8"/>
  <c r="CE680" i="8"/>
  <c r="CD680" i="8"/>
  <c r="CC680" i="8"/>
  <c r="CB680" i="8"/>
  <c r="CA680" i="8"/>
  <c r="BZ680" i="8"/>
  <c r="BY680" i="8"/>
  <c r="BX680" i="8"/>
  <c r="BW680" i="8"/>
  <c r="BV680" i="8"/>
  <c r="AU680" i="8"/>
  <c r="AG680" i="8"/>
  <c r="AF680" i="8"/>
  <c r="CE679" i="8"/>
  <c r="CD679" i="8"/>
  <c r="CC679" i="8"/>
  <c r="CB679" i="8"/>
  <c r="CA679" i="8"/>
  <c r="BZ679" i="8"/>
  <c r="BY679" i="8"/>
  <c r="BX679" i="8"/>
  <c r="BW679" i="8"/>
  <c r="BV679" i="8"/>
  <c r="AU679" i="8"/>
  <c r="AG679" i="8"/>
  <c r="AF679" i="8"/>
  <c r="CE678" i="8"/>
  <c r="CD678" i="8"/>
  <c r="CC678" i="8"/>
  <c r="CB678" i="8"/>
  <c r="CA678" i="8"/>
  <c r="BZ678" i="8"/>
  <c r="BY678" i="8"/>
  <c r="BX678" i="8"/>
  <c r="BW678" i="8"/>
  <c r="BV678" i="8"/>
  <c r="AU678" i="8"/>
  <c r="AG678" i="8"/>
  <c r="AF678" i="8"/>
  <c r="CE677" i="8"/>
  <c r="CD677" i="8"/>
  <c r="CC677" i="8"/>
  <c r="CB677" i="8"/>
  <c r="CA677" i="8"/>
  <c r="BZ677" i="8"/>
  <c r="BY677" i="8"/>
  <c r="BX677" i="8"/>
  <c r="BW677" i="8"/>
  <c r="BV677" i="8"/>
  <c r="AU677" i="8"/>
  <c r="AG677" i="8"/>
  <c r="AF677" i="8"/>
  <c r="CE676" i="8"/>
  <c r="CD676" i="8"/>
  <c r="CC676" i="8"/>
  <c r="CB676" i="8"/>
  <c r="CA676" i="8"/>
  <c r="BZ676" i="8"/>
  <c r="BY676" i="8"/>
  <c r="BX676" i="8"/>
  <c r="BW676" i="8"/>
  <c r="BV676" i="8"/>
  <c r="AU676" i="8"/>
  <c r="AG676" i="8"/>
  <c r="AF676" i="8"/>
  <c r="CE675" i="8"/>
  <c r="CD675" i="8"/>
  <c r="CC675" i="8"/>
  <c r="CB675" i="8"/>
  <c r="CA675" i="8"/>
  <c r="BZ675" i="8"/>
  <c r="BY675" i="8"/>
  <c r="BX675" i="8"/>
  <c r="BW675" i="8"/>
  <c r="BV675" i="8"/>
  <c r="AU675" i="8"/>
  <c r="AG675" i="8"/>
  <c r="AF675" i="8"/>
  <c r="CE674" i="8"/>
  <c r="CD674" i="8"/>
  <c r="CC674" i="8"/>
  <c r="CB674" i="8"/>
  <c r="CA674" i="8"/>
  <c r="BZ674" i="8"/>
  <c r="BY674" i="8"/>
  <c r="BX674" i="8"/>
  <c r="BW674" i="8"/>
  <c r="BV674" i="8"/>
  <c r="AU674" i="8"/>
  <c r="AG674" i="8"/>
  <c r="AF674" i="8"/>
  <c r="CE673" i="8"/>
  <c r="CD673" i="8"/>
  <c r="CC673" i="8"/>
  <c r="CB673" i="8"/>
  <c r="CA673" i="8"/>
  <c r="BZ673" i="8"/>
  <c r="BY673" i="8"/>
  <c r="BX673" i="8"/>
  <c r="BW673" i="8"/>
  <c r="BV673" i="8"/>
  <c r="AU673" i="8"/>
  <c r="AG673" i="8"/>
  <c r="AF673" i="8"/>
  <c r="CE672" i="8"/>
  <c r="CD672" i="8"/>
  <c r="CC672" i="8"/>
  <c r="CB672" i="8"/>
  <c r="CA672" i="8"/>
  <c r="BZ672" i="8"/>
  <c r="BY672" i="8"/>
  <c r="BX672" i="8"/>
  <c r="BW672" i="8"/>
  <c r="BV672" i="8"/>
  <c r="AU672" i="8"/>
  <c r="AG672" i="8"/>
  <c r="AF672" i="8"/>
  <c r="CE671" i="8"/>
  <c r="CD671" i="8"/>
  <c r="CC671" i="8"/>
  <c r="CB671" i="8"/>
  <c r="CA671" i="8"/>
  <c r="BZ671" i="8"/>
  <c r="BY671" i="8"/>
  <c r="BX671" i="8"/>
  <c r="BW671" i="8"/>
  <c r="BV671" i="8"/>
  <c r="AU671" i="8"/>
  <c r="AG671" i="8"/>
  <c r="AF671" i="8"/>
  <c r="CE670" i="8"/>
  <c r="CD670" i="8"/>
  <c r="CC670" i="8"/>
  <c r="CB670" i="8"/>
  <c r="CA670" i="8"/>
  <c r="BZ670" i="8"/>
  <c r="BY670" i="8"/>
  <c r="BX670" i="8"/>
  <c r="BW670" i="8"/>
  <c r="BV670" i="8"/>
  <c r="AU670" i="8"/>
  <c r="AG670" i="8"/>
  <c r="AF670" i="8"/>
  <c r="CE669" i="8"/>
  <c r="CD669" i="8"/>
  <c r="CC669" i="8"/>
  <c r="CB669" i="8"/>
  <c r="CA669" i="8"/>
  <c r="BZ669" i="8"/>
  <c r="BY669" i="8"/>
  <c r="BX669" i="8"/>
  <c r="BW669" i="8"/>
  <c r="BV669" i="8"/>
  <c r="AU669" i="8"/>
  <c r="AG669" i="8"/>
  <c r="AF669" i="8"/>
  <c r="CE668" i="8"/>
  <c r="CD668" i="8"/>
  <c r="CC668" i="8"/>
  <c r="CB668" i="8"/>
  <c r="CA668" i="8"/>
  <c r="BZ668" i="8"/>
  <c r="BY668" i="8"/>
  <c r="BX668" i="8"/>
  <c r="BW668" i="8"/>
  <c r="BV668" i="8"/>
  <c r="AU668" i="8"/>
  <c r="AG668" i="8"/>
  <c r="AF668" i="8"/>
  <c r="CE667" i="8"/>
  <c r="CD667" i="8"/>
  <c r="CC667" i="8"/>
  <c r="CB667" i="8"/>
  <c r="CA667" i="8"/>
  <c r="BZ667" i="8"/>
  <c r="BY667" i="8"/>
  <c r="BX667" i="8"/>
  <c r="BW667" i="8"/>
  <c r="BV667" i="8"/>
  <c r="AU667" i="8"/>
  <c r="AG667" i="8"/>
  <c r="AF667" i="8"/>
  <c r="CE666" i="8"/>
  <c r="CD666" i="8"/>
  <c r="CC666" i="8"/>
  <c r="CB666" i="8"/>
  <c r="CA666" i="8"/>
  <c r="BZ666" i="8"/>
  <c r="BY666" i="8"/>
  <c r="BX666" i="8"/>
  <c r="BW666" i="8"/>
  <c r="BV666" i="8"/>
  <c r="AU666" i="8"/>
  <c r="AG666" i="8"/>
  <c r="AF666" i="8"/>
  <c r="CE665" i="8"/>
  <c r="CD665" i="8"/>
  <c r="CC665" i="8"/>
  <c r="CB665" i="8"/>
  <c r="CA665" i="8"/>
  <c r="BZ665" i="8"/>
  <c r="BY665" i="8"/>
  <c r="BX665" i="8"/>
  <c r="BW665" i="8"/>
  <c r="BV665" i="8"/>
  <c r="AU665" i="8"/>
  <c r="AG665" i="8"/>
  <c r="AF665" i="8"/>
  <c r="CE664" i="8"/>
  <c r="CD664" i="8"/>
  <c r="CC664" i="8"/>
  <c r="CB664" i="8"/>
  <c r="CA664" i="8"/>
  <c r="BZ664" i="8"/>
  <c r="BY664" i="8"/>
  <c r="BX664" i="8"/>
  <c r="BW664" i="8"/>
  <c r="BV664" i="8"/>
  <c r="AU664" i="8"/>
  <c r="AG664" i="8"/>
  <c r="AF664" i="8"/>
  <c r="CE663" i="8"/>
  <c r="CD663" i="8"/>
  <c r="CC663" i="8"/>
  <c r="CB663" i="8"/>
  <c r="CA663" i="8"/>
  <c r="BZ663" i="8"/>
  <c r="BY663" i="8"/>
  <c r="BX663" i="8"/>
  <c r="BW663" i="8"/>
  <c r="BV663" i="8"/>
  <c r="AU663" i="8"/>
  <c r="AG663" i="8"/>
  <c r="AF663" i="8"/>
  <c r="CE662" i="8"/>
  <c r="CD662" i="8"/>
  <c r="CC662" i="8"/>
  <c r="CB662" i="8"/>
  <c r="CA662" i="8"/>
  <c r="BZ662" i="8"/>
  <c r="BY662" i="8"/>
  <c r="BX662" i="8"/>
  <c r="BW662" i="8"/>
  <c r="BV662" i="8"/>
  <c r="AU662" i="8"/>
  <c r="AG662" i="8"/>
  <c r="AF662" i="8"/>
  <c r="CE661" i="8"/>
  <c r="CD661" i="8"/>
  <c r="CC661" i="8"/>
  <c r="CB661" i="8"/>
  <c r="CA661" i="8"/>
  <c r="BZ661" i="8"/>
  <c r="BY661" i="8"/>
  <c r="BX661" i="8"/>
  <c r="BW661" i="8"/>
  <c r="BV661" i="8"/>
  <c r="AU661" i="8"/>
  <c r="AG661" i="8"/>
  <c r="AF661" i="8"/>
  <c r="CE660" i="8"/>
  <c r="CD660" i="8"/>
  <c r="CC660" i="8"/>
  <c r="CB660" i="8"/>
  <c r="CA660" i="8"/>
  <c r="BZ660" i="8"/>
  <c r="BY660" i="8"/>
  <c r="BX660" i="8"/>
  <c r="BW660" i="8"/>
  <c r="BV660" i="8"/>
  <c r="AU660" i="8"/>
  <c r="AG660" i="8"/>
  <c r="AF660" i="8"/>
  <c r="CE659" i="8"/>
  <c r="CD659" i="8"/>
  <c r="CC659" i="8"/>
  <c r="CB659" i="8"/>
  <c r="CA659" i="8"/>
  <c r="BZ659" i="8"/>
  <c r="BY659" i="8"/>
  <c r="BX659" i="8"/>
  <c r="BW659" i="8"/>
  <c r="BV659" i="8"/>
  <c r="AU659" i="8"/>
  <c r="AG659" i="8"/>
  <c r="AF659" i="8"/>
  <c r="CE658" i="8"/>
  <c r="CD658" i="8"/>
  <c r="CC658" i="8"/>
  <c r="CB658" i="8"/>
  <c r="CA658" i="8"/>
  <c r="BZ658" i="8"/>
  <c r="BY658" i="8"/>
  <c r="BX658" i="8"/>
  <c r="BW658" i="8"/>
  <c r="BV658" i="8"/>
  <c r="AU658" i="8"/>
  <c r="AG658" i="8"/>
  <c r="AF658" i="8"/>
  <c r="CE657" i="8"/>
  <c r="CD657" i="8"/>
  <c r="CC657" i="8"/>
  <c r="CB657" i="8"/>
  <c r="CA657" i="8"/>
  <c r="BZ657" i="8"/>
  <c r="BY657" i="8"/>
  <c r="BX657" i="8"/>
  <c r="BW657" i="8"/>
  <c r="BV657" i="8"/>
  <c r="AU657" i="8"/>
  <c r="AG657" i="8"/>
  <c r="AF657" i="8"/>
  <c r="CE656" i="8"/>
  <c r="CD656" i="8"/>
  <c r="CC656" i="8"/>
  <c r="CB656" i="8"/>
  <c r="CA656" i="8"/>
  <c r="BZ656" i="8"/>
  <c r="BY656" i="8"/>
  <c r="BX656" i="8"/>
  <c r="BW656" i="8"/>
  <c r="BV656" i="8"/>
  <c r="AU656" i="8"/>
  <c r="AG656" i="8"/>
  <c r="AF656" i="8"/>
  <c r="CE655" i="8"/>
  <c r="CD655" i="8"/>
  <c r="CC655" i="8"/>
  <c r="CB655" i="8"/>
  <c r="CA655" i="8"/>
  <c r="BZ655" i="8"/>
  <c r="BY655" i="8"/>
  <c r="BX655" i="8"/>
  <c r="BW655" i="8"/>
  <c r="BV655" i="8"/>
  <c r="AU655" i="8"/>
  <c r="AG655" i="8"/>
  <c r="AF655" i="8"/>
  <c r="CE654" i="8"/>
  <c r="CD654" i="8"/>
  <c r="CC654" i="8"/>
  <c r="CB654" i="8"/>
  <c r="CA654" i="8"/>
  <c r="BZ654" i="8"/>
  <c r="BY654" i="8"/>
  <c r="BX654" i="8"/>
  <c r="BW654" i="8"/>
  <c r="BV654" i="8"/>
  <c r="AU654" i="8"/>
  <c r="AG654" i="8"/>
  <c r="AF654" i="8"/>
  <c r="CE653" i="8"/>
  <c r="CD653" i="8"/>
  <c r="CC653" i="8"/>
  <c r="CB653" i="8"/>
  <c r="CA653" i="8"/>
  <c r="BZ653" i="8"/>
  <c r="BY653" i="8"/>
  <c r="BX653" i="8"/>
  <c r="BW653" i="8"/>
  <c r="BV653" i="8"/>
  <c r="AU653" i="8"/>
  <c r="AG653" i="8"/>
  <c r="AF653" i="8"/>
  <c r="CE652" i="8"/>
  <c r="CD652" i="8"/>
  <c r="CC652" i="8"/>
  <c r="CB652" i="8"/>
  <c r="CA652" i="8"/>
  <c r="BZ652" i="8"/>
  <c r="BY652" i="8"/>
  <c r="BX652" i="8"/>
  <c r="BW652" i="8"/>
  <c r="BV652" i="8"/>
  <c r="AU652" i="8"/>
  <c r="AG652" i="8"/>
  <c r="AF652" i="8"/>
  <c r="CE651" i="8"/>
  <c r="CD651" i="8"/>
  <c r="CC651" i="8"/>
  <c r="CB651" i="8"/>
  <c r="CA651" i="8"/>
  <c r="BZ651" i="8"/>
  <c r="BY651" i="8"/>
  <c r="BX651" i="8"/>
  <c r="BW651" i="8"/>
  <c r="BV651" i="8"/>
  <c r="AU651" i="8"/>
  <c r="AG651" i="8"/>
  <c r="AF651" i="8"/>
  <c r="CE650" i="8"/>
  <c r="CD650" i="8"/>
  <c r="CC650" i="8"/>
  <c r="CB650" i="8"/>
  <c r="CA650" i="8"/>
  <c r="BZ650" i="8"/>
  <c r="BY650" i="8"/>
  <c r="BX650" i="8"/>
  <c r="BW650" i="8"/>
  <c r="BV650" i="8"/>
  <c r="AU650" i="8"/>
  <c r="AG650" i="8"/>
  <c r="AF650" i="8"/>
  <c r="CE649" i="8"/>
  <c r="CD649" i="8"/>
  <c r="CC649" i="8"/>
  <c r="CB649" i="8"/>
  <c r="CA649" i="8"/>
  <c r="BZ649" i="8"/>
  <c r="BY649" i="8"/>
  <c r="BX649" i="8"/>
  <c r="BW649" i="8"/>
  <c r="BV649" i="8"/>
  <c r="AU649" i="8"/>
  <c r="AG649" i="8"/>
  <c r="AF649" i="8"/>
  <c r="CE648" i="8"/>
  <c r="CD648" i="8"/>
  <c r="CC648" i="8"/>
  <c r="CB648" i="8"/>
  <c r="CA648" i="8"/>
  <c r="BZ648" i="8"/>
  <c r="BY648" i="8"/>
  <c r="BX648" i="8"/>
  <c r="BW648" i="8"/>
  <c r="BV648" i="8"/>
  <c r="AU648" i="8"/>
  <c r="AG648" i="8"/>
  <c r="AF648" i="8"/>
  <c r="CE647" i="8"/>
  <c r="CD647" i="8"/>
  <c r="CC647" i="8"/>
  <c r="CB647" i="8"/>
  <c r="CA647" i="8"/>
  <c r="BZ647" i="8"/>
  <c r="BY647" i="8"/>
  <c r="BX647" i="8"/>
  <c r="BW647" i="8"/>
  <c r="BV647" i="8"/>
  <c r="AU647" i="8"/>
  <c r="AG647" i="8"/>
  <c r="AF647" i="8"/>
  <c r="CE646" i="8"/>
  <c r="CD646" i="8"/>
  <c r="CC646" i="8"/>
  <c r="CB646" i="8"/>
  <c r="CA646" i="8"/>
  <c r="BZ646" i="8"/>
  <c r="BY646" i="8"/>
  <c r="BX646" i="8"/>
  <c r="BW646" i="8"/>
  <c r="BV646" i="8"/>
  <c r="AU646" i="8"/>
  <c r="AG646" i="8"/>
  <c r="AF646" i="8"/>
  <c r="CE645" i="8"/>
  <c r="CD645" i="8"/>
  <c r="CC645" i="8"/>
  <c r="CB645" i="8"/>
  <c r="CA645" i="8"/>
  <c r="BZ645" i="8"/>
  <c r="BY645" i="8"/>
  <c r="BX645" i="8"/>
  <c r="BW645" i="8"/>
  <c r="BV645" i="8"/>
  <c r="AU645" i="8"/>
  <c r="AG645" i="8"/>
  <c r="AF645" i="8"/>
  <c r="CE644" i="8"/>
  <c r="CD644" i="8"/>
  <c r="CC644" i="8"/>
  <c r="CB644" i="8"/>
  <c r="CA644" i="8"/>
  <c r="BZ644" i="8"/>
  <c r="BY644" i="8"/>
  <c r="BX644" i="8"/>
  <c r="BW644" i="8"/>
  <c r="BV644" i="8"/>
  <c r="AU644" i="8"/>
  <c r="AG644" i="8"/>
  <c r="AF644" i="8"/>
  <c r="CE643" i="8"/>
  <c r="CD643" i="8"/>
  <c r="CC643" i="8"/>
  <c r="CB643" i="8"/>
  <c r="CA643" i="8"/>
  <c r="BZ643" i="8"/>
  <c r="BY643" i="8"/>
  <c r="BX643" i="8"/>
  <c r="BW643" i="8"/>
  <c r="BV643" i="8"/>
  <c r="AU643" i="8"/>
  <c r="AG643" i="8"/>
  <c r="AF643" i="8"/>
  <c r="CE642" i="8"/>
  <c r="CD642" i="8"/>
  <c r="CC642" i="8"/>
  <c r="CB642" i="8"/>
  <c r="CA642" i="8"/>
  <c r="BZ642" i="8"/>
  <c r="BY642" i="8"/>
  <c r="BX642" i="8"/>
  <c r="BW642" i="8"/>
  <c r="BV642" i="8"/>
  <c r="AU642" i="8"/>
  <c r="AG642" i="8"/>
  <c r="AF642" i="8"/>
  <c r="CE641" i="8"/>
  <c r="CD641" i="8"/>
  <c r="CC641" i="8"/>
  <c r="CB641" i="8"/>
  <c r="CA641" i="8"/>
  <c r="BZ641" i="8"/>
  <c r="BY641" i="8"/>
  <c r="BX641" i="8"/>
  <c r="BW641" i="8"/>
  <c r="BV641" i="8"/>
  <c r="AU641" i="8"/>
  <c r="AG641" i="8"/>
  <c r="AF641" i="8"/>
  <c r="CE640" i="8"/>
  <c r="CD640" i="8"/>
  <c r="CC640" i="8"/>
  <c r="CB640" i="8"/>
  <c r="CA640" i="8"/>
  <c r="BZ640" i="8"/>
  <c r="BY640" i="8"/>
  <c r="BX640" i="8"/>
  <c r="BW640" i="8"/>
  <c r="BV640" i="8"/>
  <c r="AU640" i="8"/>
  <c r="AG640" i="8"/>
  <c r="AF640" i="8"/>
  <c r="CE639" i="8"/>
  <c r="CD639" i="8"/>
  <c r="CC639" i="8"/>
  <c r="CB639" i="8"/>
  <c r="CA639" i="8"/>
  <c r="BZ639" i="8"/>
  <c r="BY639" i="8"/>
  <c r="BX639" i="8"/>
  <c r="BW639" i="8"/>
  <c r="BV639" i="8"/>
  <c r="AU639" i="8"/>
  <c r="AG639" i="8"/>
  <c r="AF639" i="8"/>
  <c r="CE638" i="8"/>
  <c r="CD638" i="8"/>
  <c r="CC638" i="8"/>
  <c r="CB638" i="8"/>
  <c r="CA638" i="8"/>
  <c r="BZ638" i="8"/>
  <c r="BY638" i="8"/>
  <c r="BX638" i="8"/>
  <c r="BW638" i="8"/>
  <c r="BV638" i="8"/>
  <c r="AU638" i="8"/>
  <c r="AG638" i="8"/>
  <c r="AF638" i="8"/>
  <c r="CE637" i="8"/>
  <c r="CD637" i="8"/>
  <c r="CC637" i="8"/>
  <c r="CB637" i="8"/>
  <c r="CA637" i="8"/>
  <c r="BZ637" i="8"/>
  <c r="BY637" i="8"/>
  <c r="BX637" i="8"/>
  <c r="BW637" i="8"/>
  <c r="BV637" i="8"/>
  <c r="AU637" i="8"/>
  <c r="AG637" i="8"/>
  <c r="AF637" i="8"/>
  <c r="CE636" i="8"/>
  <c r="CD636" i="8"/>
  <c r="CC636" i="8"/>
  <c r="CB636" i="8"/>
  <c r="CA636" i="8"/>
  <c r="BZ636" i="8"/>
  <c r="BY636" i="8"/>
  <c r="BX636" i="8"/>
  <c r="BW636" i="8"/>
  <c r="BV636" i="8"/>
  <c r="AU636" i="8"/>
  <c r="AG636" i="8"/>
  <c r="AF636" i="8"/>
  <c r="CE635" i="8"/>
  <c r="CD635" i="8"/>
  <c r="CC635" i="8"/>
  <c r="CB635" i="8"/>
  <c r="CA635" i="8"/>
  <c r="BZ635" i="8"/>
  <c r="BY635" i="8"/>
  <c r="BX635" i="8"/>
  <c r="BW635" i="8"/>
  <c r="BV635" i="8"/>
  <c r="AU635" i="8"/>
  <c r="AG635" i="8"/>
  <c r="AF635" i="8"/>
  <c r="CE634" i="8"/>
  <c r="CD634" i="8"/>
  <c r="CC634" i="8"/>
  <c r="CB634" i="8"/>
  <c r="CA634" i="8"/>
  <c r="BZ634" i="8"/>
  <c r="BY634" i="8"/>
  <c r="BX634" i="8"/>
  <c r="BW634" i="8"/>
  <c r="BV634" i="8"/>
  <c r="AU634" i="8"/>
  <c r="AG634" i="8"/>
  <c r="AF634" i="8"/>
  <c r="CE633" i="8"/>
  <c r="CD633" i="8"/>
  <c r="CC633" i="8"/>
  <c r="CB633" i="8"/>
  <c r="CA633" i="8"/>
  <c r="BZ633" i="8"/>
  <c r="BY633" i="8"/>
  <c r="BX633" i="8"/>
  <c r="BW633" i="8"/>
  <c r="BV633" i="8"/>
  <c r="AU633" i="8"/>
  <c r="AG633" i="8"/>
  <c r="AF633" i="8"/>
  <c r="CE632" i="8"/>
  <c r="CD632" i="8"/>
  <c r="CC632" i="8"/>
  <c r="CB632" i="8"/>
  <c r="CA632" i="8"/>
  <c r="BZ632" i="8"/>
  <c r="BY632" i="8"/>
  <c r="BX632" i="8"/>
  <c r="BW632" i="8"/>
  <c r="BV632" i="8"/>
  <c r="AU632" i="8"/>
  <c r="AG632" i="8"/>
  <c r="AF632" i="8"/>
  <c r="CE631" i="8"/>
  <c r="CD631" i="8"/>
  <c r="CC631" i="8"/>
  <c r="CB631" i="8"/>
  <c r="CA631" i="8"/>
  <c r="BZ631" i="8"/>
  <c r="BY631" i="8"/>
  <c r="BX631" i="8"/>
  <c r="BW631" i="8"/>
  <c r="BV631" i="8"/>
  <c r="AU631" i="8"/>
  <c r="AG631" i="8"/>
  <c r="AF631" i="8"/>
  <c r="CE630" i="8"/>
  <c r="CD630" i="8"/>
  <c r="CC630" i="8"/>
  <c r="CB630" i="8"/>
  <c r="CA630" i="8"/>
  <c r="BZ630" i="8"/>
  <c r="BY630" i="8"/>
  <c r="BX630" i="8"/>
  <c r="BW630" i="8"/>
  <c r="BV630" i="8"/>
  <c r="AU630" i="8"/>
  <c r="AG630" i="8"/>
  <c r="AF630" i="8"/>
  <c r="CE629" i="8"/>
  <c r="CD629" i="8"/>
  <c r="CC629" i="8"/>
  <c r="CB629" i="8"/>
  <c r="CA629" i="8"/>
  <c r="BZ629" i="8"/>
  <c r="BY629" i="8"/>
  <c r="BX629" i="8"/>
  <c r="BW629" i="8"/>
  <c r="BV629" i="8"/>
  <c r="AU629" i="8"/>
  <c r="AG629" i="8"/>
  <c r="AF629" i="8"/>
  <c r="CE628" i="8"/>
  <c r="CD628" i="8"/>
  <c r="CC628" i="8"/>
  <c r="CB628" i="8"/>
  <c r="CA628" i="8"/>
  <c r="BZ628" i="8"/>
  <c r="BY628" i="8"/>
  <c r="BX628" i="8"/>
  <c r="BW628" i="8"/>
  <c r="BV628" i="8"/>
  <c r="AU628" i="8"/>
  <c r="AG628" i="8"/>
  <c r="AF628" i="8"/>
  <c r="CE627" i="8"/>
  <c r="CD627" i="8"/>
  <c r="CC627" i="8"/>
  <c r="CB627" i="8"/>
  <c r="CA627" i="8"/>
  <c r="BZ627" i="8"/>
  <c r="BY627" i="8"/>
  <c r="BX627" i="8"/>
  <c r="BW627" i="8"/>
  <c r="BV627" i="8"/>
  <c r="AU627" i="8"/>
  <c r="AG627" i="8"/>
  <c r="AF627" i="8"/>
  <c r="CE626" i="8"/>
  <c r="CD626" i="8"/>
  <c r="CC626" i="8"/>
  <c r="CB626" i="8"/>
  <c r="CA626" i="8"/>
  <c r="BZ626" i="8"/>
  <c r="BY626" i="8"/>
  <c r="BX626" i="8"/>
  <c r="BW626" i="8"/>
  <c r="BV626" i="8"/>
  <c r="AU626" i="8"/>
  <c r="AG626" i="8"/>
  <c r="AF626" i="8"/>
  <c r="CE625" i="8"/>
  <c r="CD625" i="8"/>
  <c r="CC625" i="8"/>
  <c r="CB625" i="8"/>
  <c r="CA625" i="8"/>
  <c r="BZ625" i="8"/>
  <c r="BY625" i="8"/>
  <c r="BX625" i="8"/>
  <c r="BW625" i="8"/>
  <c r="BV625" i="8"/>
  <c r="AU625" i="8"/>
  <c r="AG625" i="8"/>
  <c r="AF625" i="8"/>
  <c r="CE624" i="8"/>
  <c r="CD624" i="8"/>
  <c r="CC624" i="8"/>
  <c r="CB624" i="8"/>
  <c r="CA624" i="8"/>
  <c r="BZ624" i="8"/>
  <c r="BY624" i="8"/>
  <c r="BX624" i="8"/>
  <c r="BW624" i="8"/>
  <c r="BV624" i="8"/>
  <c r="AU624" i="8"/>
  <c r="AG624" i="8"/>
  <c r="AF624" i="8"/>
  <c r="CE623" i="8"/>
  <c r="CD623" i="8"/>
  <c r="CC623" i="8"/>
  <c r="CB623" i="8"/>
  <c r="CA623" i="8"/>
  <c r="BZ623" i="8"/>
  <c r="BY623" i="8"/>
  <c r="BX623" i="8"/>
  <c r="BW623" i="8"/>
  <c r="BV623" i="8"/>
  <c r="AU623" i="8"/>
  <c r="AG623" i="8"/>
  <c r="AF623" i="8"/>
  <c r="CE622" i="8"/>
  <c r="CD622" i="8"/>
  <c r="CC622" i="8"/>
  <c r="CB622" i="8"/>
  <c r="CA622" i="8"/>
  <c r="BZ622" i="8"/>
  <c r="BY622" i="8"/>
  <c r="BX622" i="8"/>
  <c r="BW622" i="8"/>
  <c r="BV622" i="8"/>
  <c r="AU622" i="8"/>
  <c r="AG622" i="8"/>
  <c r="AF622" i="8"/>
  <c r="CE621" i="8"/>
  <c r="CD621" i="8"/>
  <c r="CC621" i="8"/>
  <c r="CB621" i="8"/>
  <c r="CA621" i="8"/>
  <c r="BZ621" i="8"/>
  <c r="BY621" i="8"/>
  <c r="BX621" i="8"/>
  <c r="BW621" i="8"/>
  <c r="BV621" i="8"/>
  <c r="AU621" i="8"/>
  <c r="AG621" i="8"/>
  <c r="AF621" i="8"/>
  <c r="CE620" i="8"/>
  <c r="CD620" i="8"/>
  <c r="CC620" i="8"/>
  <c r="CB620" i="8"/>
  <c r="CA620" i="8"/>
  <c r="BZ620" i="8"/>
  <c r="BY620" i="8"/>
  <c r="BX620" i="8"/>
  <c r="BW620" i="8"/>
  <c r="BV620" i="8"/>
  <c r="AU620" i="8"/>
  <c r="AG620" i="8"/>
  <c r="AF620" i="8"/>
  <c r="CE619" i="8"/>
  <c r="CD619" i="8"/>
  <c r="CC619" i="8"/>
  <c r="CB619" i="8"/>
  <c r="CA619" i="8"/>
  <c r="BZ619" i="8"/>
  <c r="BY619" i="8"/>
  <c r="BX619" i="8"/>
  <c r="BW619" i="8"/>
  <c r="BV619" i="8"/>
  <c r="AU619" i="8"/>
  <c r="AG619" i="8"/>
  <c r="AF619" i="8"/>
  <c r="CE618" i="8"/>
  <c r="CD618" i="8"/>
  <c r="CC618" i="8"/>
  <c r="CB618" i="8"/>
  <c r="CA618" i="8"/>
  <c r="BZ618" i="8"/>
  <c r="BY618" i="8"/>
  <c r="BX618" i="8"/>
  <c r="BW618" i="8"/>
  <c r="BV618" i="8"/>
  <c r="AU618" i="8"/>
  <c r="AG618" i="8"/>
  <c r="AF618" i="8"/>
  <c r="CE617" i="8"/>
  <c r="CD617" i="8"/>
  <c r="CC617" i="8"/>
  <c r="CB617" i="8"/>
  <c r="CA617" i="8"/>
  <c r="BZ617" i="8"/>
  <c r="BY617" i="8"/>
  <c r="BX617" i="8"/>
  <c r="BW617" i="8"/>
  <c r="BV617" i="8"/>
  <c r="AU617" i="8"/>
  <c r="AG617" i="8"/>
  <c r="AF617" i="8"/>
  <c r="CE616" i="8"/>
  <c r="CD616" i="8"/>
  <c r="CC616" i="8"/>
  <c r="CB616" i="8"/>
  <c r="CA616" i="8"/>
  <c r="BZ616" i="8"/>
  <c r="BY616" i="8"/>
  <c r="BX616" i="8"/>
  <c r="BW616" i="8"/>
  <c r="BV616" i="8"/>
  <c r="AU616" i="8"/>
  <c r="AG616" i="8"/>
  <c r="AF616" i="8"/>
  <c r="CE615" i="8"/>
  <c r="CD615" i="8"/>
  <c r="CC615" i="8"/>
  <c r="CB615" i="8"/>
  <c r="CA615" i="8"/>
  <c r="BZ615" i="8"/>
  <c r="BY615" i="8"/>
  <c r="BX615" i="8"/>
  <c r="BW615" i="8"/>
  <c r="BV615" i="8"/>
  <c r="AU615" i="8"/>
  <c r="AG615" i="8"/>
  <c r="AF615" i="8"/>
  <c r="CE614" i="8"/>
  <c r="CD614" i="8"/>
  <c r="CC614" i="8"/>
  <c r="CB614" i="8"/>
  <c r="CA614" i="8"/>
  <c r="BZ614" i="8"/>
  <c r="BY614" i="8"/>
  <c r="BX614" i="8"/>
  <c r="BW614" i="8"/>
  <c r="BV614" i="8"/>
  <c r="AU614" i="8"/>
  <c r="AG614" i="8"/>
  <c r="AF614" i="8"/>
  <c r="CE613" i="8"/>
  <c r="CD613" i="8"/>
  <c r="CC613" i="8"/>
  <c r="CB613" i="8"/>
  <c r="CA613" i="8"/>
  <c r="BZ613" i="8"/>
  <c r="BY613" i="8"/>
  <c r="BX613" i="8"/>
  <c r="BW613" i="8"/>
  <c r="BV613" i="8"/>
  <c r="AU613" i="8"/>
  <c r="AG613" i="8"/>
  <c r="AF613" i="8"/>
  <c r="CE612" i="8"/>
  <c r="CD612" i="8"/>
  <c r="CC612" i="8"/>
  <c r="CB612" i="8"/>
  <c r="CA612" i="8"/>
  <c r="BZ612" i="8"/>
  <c r="BY612" i="8"/>
  <c r="BX612" i="8"/>
  <c r="BW612" i="8"/>
  <c r="BV612" i="8"/>
  <c r="AU612" i="8"/>
  <c r="AG612" i="8"/>
  <c r="AF612" i="8"/>
  <c r="CE611" i="8"/>
  <c r="CD611" i="8"/>
  <c r="CC611" i="8"/>
  <c r="CB611" i="8"/>
  <c r="CA611" i="8"/>
  <c r="BZ611" i="8"/>
  <c r="BY611" i="8"/>
  <c r="BX611" i="8"/>
  <c r="BW611" i="8"/>
  <c r="BV611" i="8"/>
  <c r="AU611" i="8"/>
  <c r="AG611" i="8"/>
  <c r="AF611" i="8"/>
  <c r="CE610" i="8"/>
  <c r="CD610" i="8"/>
  <c r="CC610" i="8"/>
  <c r="CB610" i="8"/>
  <c r="CA610" i="8"/>
  <c r="BZ610" i="8"/>
  <c r="BY610" i="8"/>
  <c r="BX610" i="8"/>
  <c r="BW610" i="8"/>
  <c r="BV610" i="8"/>
  <c r="AU610" i="8"/>
  <c r="AG610" i="8"/>
  <c r="AF610" i="8"/>
  <c r="CE609" i="8"/>
  <c r="CD609" i="8"/>
  <c r="CC609" i="8"/>
  <c r="CB609" i="8"/>
  <c r="CA609" i="8"/>
  <c r="BZ609" i="8"/>
  <c r="BY609" i="8"/>
  <c r="BX609" i="8"/>
  <c r="BW609" i="8"/>
  <c r="BV609" i="8"/>
  <c r="AU609" i="8"/>
  <c r="AG609" i="8"/>
  <c r="AF609" i="8"/>
  <c r="CE608" i="8"/>
  <c r="CD608" i="8"/>
  <c r="CC608" i="8"/>
  <c r="CB608" i="8"/>
  <c r="CA608" i="8"/>
  <c r="BZ608" i="8"/>
  <c r="BY608" i="8"/>
  <c r="BX608" i="8"/>
  <c r="BW608" i="8"/>
  <c r="BV608" i="8"/>
  <c r="AU608" i="8"/>
  <c r="AG608" i="8"/>
  <c r="AF608" i="8"/>
  <c r="CE607" i="8"/>
  <c r="CD607" i="8"/>
  <c r="CC607" i="8"/>
  <c r="CB607" i="8"/>
  <c r="CA607" i="8"/>
  <c r="BZ607" i="8"/>
  <c r="BY607" i="8"/>
  <c r="BX607" i="8"/>
  <c r="BW607" i="8"/>
  <c r="BV607" i="8"/>
  <c r="AU607" i="8"/>
  <c r="AG607" i="8"/>
  <c r="AF607" i="8"/>
  <c r="CE606" i="8"/>
  <c r="CD606" i="8"/>
  <c r="CC606" i="8"/>
  <c r="CB606" i="8"/>
  <c r="CA606" i="8"/>
  <c r="BZ606" i="8"/>
  <c r="BY606" i="8"/>
  <c r="BX606" i="8"/>
  <c r="BW606" i="8"/>
  <c r="BV606" i="8"/>
  <c r="AU606" i="8"/>
  <c r="AG606" i="8"/>
  <c r="AF606" i="8"/>
  <c r="CE605" i="8"/>
  <c r="CD605" i="8"/>
  <c r="CC605" i="8"/>
  <c r="CB605" i="8"/>
  <c r="CA605" i="8"/>
  <c r="BZ605" i="8"/>
  <c r="BY605" i="8"/>
  <c r="BX605" i="8"/>
  <c r="BW605" i="8"/>
  <c r="BV605" i="8"/>
  <c r="AU605" i="8"/>
  <c r="AG605" i="8"/>
  <c r="AF605" i="8"/>
  <c r="CE604" i="8"/>
  <c r="CD604" i="8"/>
  <c r="CC604" i="8"/>
  <c r="CB604" i="8"/>
  <c r="CA604" i="8"/>
  <c r="BZ604" i="8"/>
  <c r="BY604" i="8"/>
  <c r="BX604" i="8"/>
  <c r="BW604" i="8"/>
  <c r="BV604" i="8"/>
  <c r="AU604" i="8"/>
  <c r="AG604" i="8"/>
  <c r="AF604" i="8"/>
  <c r="CE603" i="8"/>
  <c r="CD603" i="8"/>
  <c r="CC603" i="8"/>
  <c r="CB603" i="8"/>
  <c r="CA603" i="8"/>
  <c r="BZ603" i="8"/>
  <c r="BY603" i="8"/>
  <c r="BX603" i="8"/>
  <c r="BW603" i="8"/>
  <c r="BV603" i="8"/>
  <c r="AU603" i="8"/>
  <c r="AG603" i="8"/>
  <c r="AF603" i="8"/>
  <c r="CE602" i="8"/>
  <c r="CD602" i="8"/>
  <c r="CC602" i="8"/>
  <c r="CB602" i="8"/>
  <c r="CA602" i="8"/>
  <c r="BZ602" i="8"/>
  <c r="BY602" i="8"/>
  <c r="BX602" i="8"/>
  <c r="BW602" i="8"/>
  <c r="BV602" i="8"/>
  <c r="AU602" i="8"/>
  <c r="AG602" i="8"/>
  <c r="AF602" i="8"/>
  <c r="CE601" i="8"/>
  <c r="CD601" i="8"/>
  <c r="CC601" i="8"/>
  <c r="CB601" i="8"/>
  <c r="CA601" i="8"/>
  <c r="BZ601" i="8"/>
  <c r="BY601" i="8"/>
  <c r="BX601" i="8"/>
  <c r="BW601" i="8"/>
  <c r="BV601" i="8"/>
  <c r="AU601" i="8"/>
  <c r="AG601" i="8"/>
  <c r="AF601" i="8"/>
  <c r="CE600" i="8"/>
  <c r="CD600" i="8"/>
  <c r="CC600" i="8"/>
  <c r="CB600" i="8"/>
  <c r="CA600" i="8"/>
  <c r="BZ600" i="8"/>
  <c r="BY600" i="8"/>
  <c r="BX600" i="8"/>
  <c r="BW600" i="8"/>
  <c r="BV600" i="8"/>
  <c r="AU600" i="8"/>
  <c r="AG600" i="8"/>
  <c r="AF600" i="8"/>
  <c r="CE599" i="8"/>
  <c r="CD599" i="8"/>
  <c r="CC599" i="8"/>
  <c r="CB599" i="8"/>
  <c r="CA599" i="8"/>
  <c r="BZ599" i="8"/>
  <c r="BY599" i="8"/>
  <c r="BX599" i="8"/>
  <c r="BW599" i="8"/>
  <c r="BV599" i="8"/>
  <c r="AU599" i="8"/>
  <c r="AG599" i="8"/>
  <c r="AF599" i="8"/>
  <c r="CE598" i="8"/>
  <c r="CD598" i="8"/>
  <c r="CC598" i="8"/>
  <c r="CB598" i="8"/>
  <c r="CA598" i="8"/>
  <c r="BZ598" i="8"/>
  <c r="BY598" i="8"/>
  <c r="BX598" i="8"/>
  <c r="BW598" i="8"/>
  <c r="BV598" i="8"/>
  <c r="AU598" i="8"/>
  <c r="AG598" i="8"/>
  <c r="AF598" i="8"/>
  <c r="CE597" i="8"/>
  <c r="CD597" i="8"/>
  <c r="CC597" i="8"/>
  <c r="CB597" i="8"/>
  <c r="CA597" i="8"/>
  <c r="BZ597" i="8"/>
  <c r="BY597" i="8"/>
  <c r="BX597" i="8"/>
  <c r="BW597" i="8"/>
  <c r="BV597" i="8"/>
  <c r="AU597" i="8"/>
  <c r="AG597" i="8"/>
  <c r="AF597" i="8"/>
  <c r="CE596" i="8"/>
  <c r="CD596" i="8"/>
  <c r="CC596" i="8"/>
  <c r="CB596" i="8"/>
  <c r="CA596" i="8"/>
  <c r="BZ596" i="8"/>
  <c r="BY596" i="8"/>
  <c r="BX596" i="8"/>
  <c r="BW596" i="8"/>
  <c r="BV596" i="8"/>
  <c r="AU596" i="8"/>
  <c r="AG596" i="8"/>
  <c r="AF596" i="8"/>
  <c r="CE595" i="8"/>
  <c r="CD595" i="8"/>
  <c r="CC595" i="8"/>
  <c r="CB595" i="8"/>
  <c r="CA595" i="8"/>
  <c r="BZ595" i="8"/>
  <c r="BY595" i="8"/>
  <c r="BX595" i="8"/>
  <c r="BW595" i="8"/>
  <c r="BV595" i="8"/>
  <c r="AU595" i="8"/>
  <c r="AG595" i="8"/>
  <c r="AF595" i="8"/>
  <c r="CE594" i="8"/>
  <c r="CD594" i="8"/>
  <c r="CC594" i="8"/>
  <c r="CB594" i="8"/>
  <c r="CA594" i="8"/>
  <c r="BZ594" i="8"/>
  <c r="BY594" i="8"/>
  <c r="BX594" i="8"/>
  <c r="BW594" i="8"/>
  <c r="BV594" i="8"/>
  <c r="AU594" i="8"/>
  <c r="AG594" i="8"/>
  <c r="AF594" i="8"/>
  <c r="CE593" i="8"/>
  <c r="CD593" i="8"/>
  <c r="CC593" i="8"/>
  <c r="CB593" i="8"/>
  <c r="CA593" i="8"/>
  <c r="BZ593" i="8"/>
  <c r="BY593" i="8"/>
  <c r="BX593" i="8"/>
  <c r="BW593" i="8"/>
  <c r="BV593" i="8"/>
  <c r="AU593" i="8"/>
  <c r="AG593" i="8"/>
  <c r="AF593" i="8"/>
  <c r="CE592" i="8"/>
  <c r="CD592" i="8"/>
  <c r="CC592" i="8"/>
  <c r="CB592" i="8"/>
  <c r="CA592" i="8"/>
  <c r="BZ592" i="8"/>
  <c r="BY592" i="8"/>
  <c r="BX592" i="8"/>
  <c r="BW592" i="8"/>
  <c r="BV592" i="8"/>
  <c r="AU592" i="8"/>
  <c r="AG592" i="8"/>
  <c r="AF592" i="8"/>
  <c r="CE591" i="8"/>
  <c r="CD591" i="8"/>
  <c r="CC591" i="8"/>
  <c r="CB591" i="8"/>
  <c r="CA591" i="8"/>
  <c r="BZ591" i="8"/>
  <c r="BY591" i="8"/>
  <c r="BX591" i="8"/>
  <c r="BW591" i="8"/>
  <c r="BV591" i="8"/>
  <c r="AU591" i="8"/>
  <c r="AG591" i="8"/>
  <c r="AF591" i="8"/>
  <c r="CE590" i="8"/>
  <c r="CD590" i="8"/>
  <c r="CC590" i="8"/>
  <c r="CB590" i="8"/>
  <c r="CA590" i="8"/>
  <c r="BZ590" i="8"/>
  <c r="BY590" i="8"/>
  <c r="BX590" i="8"/>
  <c r="BW590" i="8"/>
  <c r="BV590" i="8"/>
  <c r="AU590" i="8"/>
  <c r="AG590" i="8"/>
  <c r="AF590" i="8"/>
  <c r="CE589" i="8"/>
  <c r="CD589" i="8"/>
  <c r="CC589" i="8"/>
  <c r="CB589" i="8"/>
  <c r="CA589" i="8"/>
  <c r="BZ589" i="8"/>
  <c r="BY589" i="8"/>
  <c r="BX589" i="8"/>
  <c r="BW589" i="8"/>
  <c r="BV589" i="8"/>
  <c r="AU589" i="8"/>
  <c r="AG589" i="8"/>
  <c r="AF589" i="8"/>
  <c r="CE588" i="8"/>
  <c r="CD588" i="8"/>
  <c r="CC588" i="8"/>
  <c r="CB588" i="8"/>
  <c r="CA588" i="8"/>
  <c r="BZ588" i="8"/>
  <c r="BY588" i="8"/>
  <c r="BX588" i="8"/>
  <c r="BW588" i="8"/>
  <c r="BV588" i="8"/>
  <c r="AU588" i="8"/>
  <c r="AG588" i="8"/>
  <c r="AF588" i="8"/>
  <c r="CE587" i="8"/>
  <c r="CD587" i="8"/>
  <c r="CC587" i="8"/>
  <c r="CB587" i="8"/>
  <c r="CA587" i="8"/>
  <c r="BZ587" i="8"/>
  <c r="BY587" i="8"/>
  <c r="BX587" i="8"/>
  <c r="BW587" i="8"/>
  <c r="BV587" i="8"/>
  <c r="AU587" i="8"/>
  <c r="AG587" i="8"/>
  <c r="AF587" i="8"/>
  <c r="CE586" i="8"/>
  <c r="CD586" i="8"/>
  <c r="CC586" i="8"/>
  <c r="CB586" i="8"/>
  <c r="CA586" i="8"/>
  <c r="BZ586" i="8"/>
  <c r="BY586" i="8"/>
  <c r="BX586" i="8"/>
  <c r="BW586" i="8"/>
  <c r="BV586" i="8"/>
  <c r="AU586" i="8"/>
  <c r="AG586" i="8"/>
  <c r="AF586" i="8"/>
  <c r="CE585" i="8"/>
  <c r="CD585" i="8"/>
  <c r="CC585" i="8"/>
  <c r="CB585" i="8"/>
  <c r="CA585" i="8"/>
  <c r="BZ585" i="8"/>
  <c r="BY585" i="8"/>
  <c r="BX585" i="8"/>
  <c r="BW585" i="8"/>
  <c r="BV585" i="8"/>
  <c r="AU585" i="8"/>
  <c r="AG585" i="8"/>
  <c r="AF585" i="8"/>
  <c r="CE584" i="8"/>
  <c r="CD584" i="8"/>
  <c r="CC584" i="8"/>
  <c r="CB584" i="8"/>
  <c r="CA584" i="8"/>
  <c r="BZ584" i="8"/>
  <c r="BY584" i="8"/>
  <c r="BX584" i="8"/>
  <c r="BW584" i="8"/>
  <c r="BV584" i="8"/>
  <c r="AU584" i="8"/>
  <c r="AG584" i="8"/>
  <c r="AF584" i="8"/>
  <c r="CE583" i="8"/>
  <c r="CD583" i="8"/>
  <c r="CC583" i="8"/>
  <c r="CB583" i="8"/>
  <c r="CA583" i="8"/>
  <c r="BZ583" i="8"/>
  <c r="BY583" i="8"/>
  <c r="BX583" i="8"/>
  <c r="BW583" i="8"/>
  <c r="BV583" i="8"/>
  <c r="AU583" i="8"/>
  <c r="AG583" i="8"/>
  <c r="AF583" i="8"/>
  <c r="CE582" i="8"/>
  <c r="CD582" i="8"/>
  <c r="CC582" i="8"/>
  <c r="CB582" i="8"/>
  <c r="CA582" i="8"/>
  <c r="BZ582" i="8"/>
  <c r="BY582" i="8"/>
  <c r="BX582" i="8"/>
  <c r="BW582" i="8"/>
  <c r="BV582" i="8"/>
  <c r="AU582" i="8"/>
  <c r="AG582" i="8"/>
  <c r="AF582" i="8"/>
  <c r="CE581" i="8"/>
  <c r="CD581" i="8"/>
  <c r="CC581" i="8"/>
  <c r="CB581" i="8"/>
  <c r="CA581" i="8"/>
  <c r="BZ581" i="8"/>
  <c r="BY581" i="8"/>
  <c r="BX581" i="8"/>
  <c r="BW581" i="8"/>
  <c r="BV581" i="8"/>
  <c r="AU581" i="8"/>
  <c r="AG581" i="8"/>
  <c r="AF581" i="8"/>
  <c r="CE580" i="8"/>
  <c r="CD580" i="8"/>
  <c r="CC580" i="8"/>
  <c r="CB580" i="8"/>
  <c r="CA580" i="8"/>
  <c r="BZ580" i="8"/>
  <c r="BY580" i="8"/>
  <c r="BX580" i="8"/>
  <c r="BW580" i="8"/>
  <c r="BV580" i="8"/>
  <c r="AU580" i="8"/>
  <c r="AG580" i="8"/>
  <c r="AF580" i="8"/>
  <c r="CE579" i="8"/>
  <c r="CD579" i="8"/>
  <c r="CC579" i="8"/>
  <c r="CB579" i="8"/>
  <c r="CA579" i="8"/>
  <c r="BZ579" i="8"/>
  <c r="BY579" i="8"/>
  <c r="BX579" i="8"/>
  <c r="BW579" i="8"/>
  <c r="BV579" i="8"/>
  <c r="AU579" i="8"/>
  <c r="AG579" i="8"/>
  <c r="AF579" i="8"/>
  <c r="CE578" i="8"/>
  <c r="CD578" i="8"/>
  <c r="CC578" i="8"/>
  <c r="CB578" i="8"/>
  <c r="CA578" i="8"/>
  <c r="BZ578" i="8"/>
  <c r="BY578" i="8"/>
  <c r="BX578" i="8"/>
  <c r="BW578" i="8"/>
  <c r="BV578" i="8"/>
  <c r="AU578" i="8"/>
  <c r="AG578" i="8"/>
  <c r="AF578" i="8"/>
  <c r="CE577" i="8"/>
  <c r="CD577" i="8"/>
  <c r="CC577" i="8"/>
  <c r="CB577" i="8"/>
  <c r="CA577" i="8"/>
  <c r="BZ577" i="8"/>
  <c r="BY577" i="8"/>
  <c r="BX577" i="8"/>
  <c r="BW577" i="8"/>
  <c r="BV577" i="8"/>
  <c r="AU577" i="8"/>
  <c r="AG577" i="8"/>
  <c r="AF577" i="8"/>
  <c r="CE576" i="8"/>
  <c r="CD576" i="8"/>
  <c r="CC576" i="8"/>
  <c r="CB576" i="8"/>
  <c r="CA576" i="8"/>
  <c r="BZ576" i="8"/>
  <c r="BY576" i="8"/>
  <c r="BX576" i="8"/>
  <c r="BW576" i="8"/>
  <c r="BV576" i="8"/>
  <c r="AU576" i="8"/>
  <c r="AG576" i="8"/>
  <c r="AF576" i="8"/>
  <c r="CE575" i="8"/>
  <c r="CD575" i="8"/>
  <c r="CC575" i="8"/>
  <c r="CB575" i="8"/>
  <c r="CA575" i="8"/>
  <c r="BZ575" i="8"/>
  <c r="BY575" i="8"/>
  <c r="BX575" i="8"/>
  <c r="BW575" i="8"/>
  <c r="BV575" i="8"/>
  <c r="AU575" i="8"/>
  <c r="AG575" i="8"/>
  <c r="AF575" i="8"/>
  <c r="CE574" i="8"/>
  <c r="CD574" i="8"/>
  <c r="CC574" i="8"/>
  <c r="CB574" i="8"/>
  <c r="CA574" i="8"/>
  <c r="BZ574" i="8"/>
  <c r="BY574" i="8"/>
  <c r="BX574" i="8"/>
  <c r="BW574" i="8"/>
  <c r="BV574" i="8"/>
  <c r="AU574" i="8"/>
  <c r="AG574" i="8"/>
  <c r="AF574" i="8"/>
  <c r="CE573" i="8"/>
  <c r="CD573" i="8"/>
  <c r="CC573" i="8"/>
  <c r="CB573" i="8"/>
  <c r="CA573" i="8"/>
  <c r="BZ573" i="8"/>
  <c r="BY573" i="8"/>
  <c r="BX573" i="8"/>
  <c r="BW573" i="8"/>
  <c r="BV573" i="8"/>
  <c r="AU573" i="8"/>
  <c r="AG573" i="8"/>
  <c r="AF573" i="8"/>
  <c r="CE572" i="8"/>
  <c r="CD572" i="8"/>
  <c r="CC572" i="8"/>
  <c r="CB572" i="8"/>
  <c r="CA572" i="8"/>
  <c r="BZ572" i="8"/>
  <c r="BY572" i="8"/>
  <c r="BX572" i="8"/>
  <c r="BW572" i="8"/>
  <c r="BV572" i="8"/>
  <c r="AU572" i="8"/>
  <c r="AG572" i="8"/>
  <c r="AF572" i="8"/>
  <c r="CE571" i="8"/>
  <c r="CD571" i="8"/>
  <c r="CC571" i="8"/>
  <c r="CB571" i="8"/>
  <c r="CA571" i="8"/>
  <c r="BZ571" i="8"/>
  <c r="BY571" i="8"/>
  <c r="BX571" i="8"/>
  <c r="BW571" i="8"/>
  <c r="BV571" i="8"/>
  <c r="AU571" i="8"/>
  <c r="AG571" i="8"/>
  <c r="AF571" i="8"/>
  <c r="CE570" i="8"/>
  <c r="CD570" i="8"/>
  <c r="CC570" i="8"/>
  <c r="CB570" i="8"/>
  <c r="CA570" i="8"/>
  <c r="BZ570" i="8"/>
  <c r="BY570" i="8"/>
  <c r="BX570" i="8"/>
  <c r="BW570" i="8"/>
  <c r="BV570" i="8"/>
  <c r="AU570" i="8"/>
  <c r="AG570" i="8"/>
  <c r="AF570" i="8"/>
  <c r="CE569" i="8"/>
  <c r="CD569" i="8"/>
  <c r="CC569" i="8"/>
  <c r="CB569" i="8"/>
  <c r="CA569" i="8"/>
  <c r="BZ569" i="8"/>
  <c r="BY569" i="8"/>
  <c r="BX569" i="8"/>
  <c r="BW569" i="8"/>
  <c r="BV569" i="8"/>
  <c r="AU569" i="8"/>
  <c r="AG569" i="8"/>
  <c r="AF569" i="8"/>
  <c r="CE568" i="8"/>
  <c r="CD568" i="8"/>
  <c r="CC568" i="8"/>
  <c r="CB568" i="8"/>
  <c r="CA568" i="8"/>
  <c r="BZ568" i="8"/>
  <c r="BY568" i="8"/>
  <c r="BX568" i="8"/>
  <c r="BW568" i="8"/>
  <c r="BV568" i="8"/>
  <c r="AU568" i="8"/>
  <c r="AG568" i="8"/>
  <c r="AF568" i="8"/>
  <c r="CE567" i="8"/>
  <c r="CD567" i="8"/>
  <c r="CC567" i="8"/>
  <c r="CB567" i="8"/>
  <c r="CA567" i="8"/>
  <c r="BZ567" i="8"/>
  <c r="BY567" i="8"/>
  <c r="BX567" i="8"/>
  <c r="BW567" i="8"/>
  <c r="BV567" i="8"/>
  <c r="AU567" i="8"/>
  <c r="AG567" i="8"/>
  <c r="AF567" i="8"/>
  <c r="CE566" i="8"/>
  <c r="CD566" i="8"/>
  <c r="CC566" i="8"/>
  <c r="CB566" i="8"/>
  <c r="CA566" i="8"/>
  <c r="BZ566" i="8"/>
  <c r="BY566" i="8"/>
  <c r="BX566" i="8"/>
  <c r="BW566" i="8"/>
  <c r="BV566" i="8"/>
  <c r="AU566" i="8"/>
  <c r="AG566" i="8"/>
  <c r="AF566" i="8"/>
  <c r="CE565" i="8"/>
  <c r="CD565" i="8"/>
  <c r="CC565" i="8"/>
  <c r="CB565" i="8"/>
  <c r="CA565" i="8"/>
  <c r="BZ565" i="8"/>
  <c r="BY565" i="8"/>
  <c r="BX565" i="8"/>
  <c r="BW565" i="8"/>
  <c r="BV565" i="8"/>
  <c r="AU565" i="8"/>
  <c r="AG565" i="8"/>
  <c r="AF565" i="8"/>
  <c r="CE564" i="8"/>
  <c r="CD564" i="8"/>
  <c r="CC564" i="8"/>
  <c r="CB564" i="8"/>
  <c r="CA564" i="8"/>
  <c r="BZ564" i="8"/>
  <c r="BY564" i="8"/>
  <c r="BX564" i="8"/>
  <c r="BW564" i="8"/>
  <c r="BV564" i="8"/>
  <c r="AU564" i="8"/>
  <c r="AG564" i="8"/>
  <c r="AF564" i="8"/>
  <c r="S564" i="8"/>
  <c r="R564" i="8"/>
  <c r="Q564" i="8"/>
  <c r="P564" i="8"/>
  <c r="O564" i="8"/>
  <c r="CE563" i="8"/>
  <c r="CD563" i="8"/>
  <c r="CC563" i="8"/>
  <c r="CB563" i="8"/>
  <c r="CA563" i="8"/>
  <c r="BZ563" i="8"/>
  <c r="BY563" i="8"/>
  <c r="BX563" i="8"/>
  <c r="BW563" i="8"/>
  <c r="BV563" i="8"/>
  <c r="AU563" i="8"/>
  <c r="AG563" i="8"/>
  <c r="AF563" i="8"/>
  <c r="CE562" i="8"/>
  <c r="CD562" i="8"/>
  <c r="CC562" i="8"/>
  <c r="CB562" i="8"/>
  <c r="CA562" i="8"/>
  <c r="BZ562" i="8"/>
  <c r="BY562" i="8"/>
  <c r="BX562" i="8"/>
  <c r="BW562" i="8"/>
  <c r="BV562" i="8"/>
  <c r="AU562" i="8"/>
  <c r="AG562" i="8"/>
  <c r="AF562" i="8"/>
  <c r="CE561" i="8"/>
  <c r="CD561" i="8"/>
  <c r="CC561" i="8"/>
  <c r="CB561" i="8"/>
  <c r="CA561" i="8"/>
  <c r="BZ561" i="8"/>
  <c r="BY561" i="8"/>
  <c r="BX561" i="8"/>
  <c r="BW561" i="8"/>
  <c r="BV561" i="8"/>
  <c r="AU561" i="8"/>
  <c r="AG561" i="8"/>
  <c r="AF561" i="8"/>
  <c r="CE560" i="8"/>
  <c r="CD560" i="8"/>
  <c r="CC560" i="8"/>
  <c r="CB560" i="8"/>
  <c r="CA560" i="8"/>
  <c r="BZ560" i="8"/>
  <c r="BY560" i="8"/>
  <c r="BX560" i="8"/>
  <c r="BW560" i="8"/>
  <c r="BV560" i="8"/>
  <c r="AU560" i="8"/>
  <c r="AG560" i="8"/>
  <c r="AF560" i="8"/>
  <c r="CE559" i="8"/>
  <c r="CD559" i="8"/>
  <c r="CC559" i="8"/>
  <c r="CB559" i="8"/>
  <c r="CA559" i="8"/>
  <c r="BZ559" i="8"/>
  <c r="BY559" i="8"/>
  <c r="BX559" i="8"/>
  <c r="BW559" i="8"/>
  <c r="BV559" i="8"/>
  <c r="AU559" i="8"/>
  <c r="AG559" i="8"/>
  <c r="AF559" i="8"/>
  <c r="S559" i="8"/>
  <c r="R559" i="8"/>
  <c r="Q559" i="8"/>
  <c r="P559" i="8"/>
  <c r="O559" i="8"/>
  <c r="CE558" i="8"/>
  <c r="CD558" i="8"/>
  <c r="CC558" i="8"/>
  <c r="CB558" i="8"/>
  <c r="CA558" i="8"/>
  <c r="BZ558" i="8"/>
  <c r="BY558" i="8"/>
  <c r="BX558" i="8"/>
  <c r="BW558" i="8"/>
  <c r="BV558" i="8"/>
  <c r="AU558" i="8"/>
  <c r="AG558" i="8"/>
  <c r="AF558" i="8"/>
  <c r="O558" i="8"/>
  <c r="CE557" i="8"/>
  <c r="CD557" i="8"/>
  <c r="CC557" i="8"/>
  <c r="CB557" i="8"/>
  <c r="CA557" i="8"/>
  <c r="BZ557" i="8"/>
  <c r="BY557" i="8"/>
  <c r="BX557" i="8"/>
  <c r="BW557" i="8"/>
  <c r="BV557" i="8"/>
  <c r="AU557" i="8"/>
  <c r="AG557" i="8"/>
  <c r="AF557" i="8"/>
  <c r="O557" i="8"/>
  <c r="CE556" i="8"/>
  <c r="CD556" i="8"/>
  <c r="CC556" i="8"/>
  <c r="CB556" i="8"/>
  <c r="CA556" i="8"/>
  <c r="BZ556" i="8"/>
  <c r="BY556" i="8"/>
  <c r="BX556" i="8"/>
  <c r="BW556" i="8"/>
  <c r="BV556" i="8"/>
  <c r="AU556" i="8"/>
  <c r="AG556" i="8"/>
  <c r="AF556" i="8"/>
  <c r="O556" i="8"/>
  <c r="CE555" i="8"/>
  <c r="CD555" i="8"/>
  <c r="CC555" i="8"/>
  <c r="CB555" i="8"/>
  <c r="CA555" i="8"/>
  <c r="BZ555" i="8"/>
  <c r="BY555" i="8"/>
  <c r="BX555" i="8"/>
  <c r="BW555" i="8"/>
  <c r="BV555" i="8"/>
  <c r="AU555" i="8"/>
  <c r="AG555" i="8"/>
  <c r="AF555" i="8"/>
  <c r="O555" i="8"/>
  <c r="CE554" i="8"/>
  <c r="CD554" i="8"/>
  <c r="CC554" i="8"/>
  <c r="CB554" i="8"/>
  <c r="CA554" i="8"/>
  <c r="BZ554" i="8"/>
  <c r="BY554" i="8"/>
  <c r="BX554" i="8"/>
  <c r="BW554" i="8"/>
  <c r="BV554" i="8"/>
  <c r="AU554" i="8"/>
  <c r="AG554" i="8"/>
  <c r="AF554" i="8"/>
  <c r="CE553" i="8"/>
  <c r="CD553" i="8"/>
  <c r="CC553" i="8"/>
  <c r="CB553" i="8"/>
  <c r="CA553" i="8"/>
  <c r="BZ553" i="8"/>
  <c r="BY553" i="8"/>
  <c r="BX553" i="8"/>
  <c r="BW553" i="8"/>
  <c r="BV553" i="8"/>
  <c r="AU553" i="8"/>
  <c r="AG553" i="8"/>
  <c r="AF553" i="8"/>
  <c r="S553" i="8"/>
  <c r="R553" i="8"/>
  <c r="Q553" i="8"/>
  <c r="P553" i="8"/>
  <c r="O553" i="8"/>
  <c r="CE552" i="8"/>
  <c r="CD552" i="8"/>
  <c r="CC552" i="8"/>
  <c r="CB552" i="8"/>
  <c r="CA552" i="8"/>
  <c r="BZ552" i="8"/>
  <c r="BY552" i="8"/>
  <c r="BX552" i="8"/>
  <c r="BW552" i="8"/>
  <c r="BV552" i="8"/>
  <c r="AU552" i="8"/>
  <c r="AG552" i="8"/>
  <c r="AF552" i="8"/>
  <c r="CE551" i="8"/>
  <c r="CD551" i="8"/>
  <c r="CC551" i="8"/>
  <c r="CB551" i="8"/>
  <c r="CA551" i="8"/>
  <c r="BZ551" i="8"/>
  <c r="BY551" i="8"/>
  <c r="BX551" i="8"/>
  <c r="BW551" i="8"/>
  <c r="BV551" i="8"/>
  <c r="AU551" i="8"/>
  <c r="AG551" i="8"/>
  <c r="AF551" i="8"/>
  <c r="CE550" i="8"/>
  <c r="CD550" i="8"/>
  <c r="CC550" i="8"/>
  <c r="CB550" i="8"/>
  <c r="CA550" i="8"/>
  <c r="BZ550" i="8"/>
  <c r="BY550" i="8"/>
  <c r="BX550" i="8"/>
  <c r="BW550" i="8"/>
  <c r="BV550" i="8"/>
  <c r="AU550" i="8"/>
  <c r="AG550" i="8"/>
  <c r="AF550" i="8"/>
  <c r="CE549" i="8"/>
  <c r="CD549" i="8"/>
  <c r="CC549" i="8"/>
  <c r="CB549" i="8"/>
  <c r="CA549" i="8"/>
  <c r="BZ549" i="8"/>
  <c r="BY549" i="8"/>
  <c r="BX549" i="8"/>
  <c r="BW549" i="8"/>
  <c r="BV549" i="8"/>
  <c r="AU549" i="8"/>
  <c r="AG549" i="8"/>
  <c r="AF549" i="8"/>
  <c r="CE548" i="8"/>
  <c r="CD548" i="8"/>
  <c r="CC548" i="8"/>
  <c r="CB548" i="8"/>
  <c r="CA548" i="8"/>
  <c r="BZ548" i="8"/>
  <c r="BY548" i="8"/>
  <c r="BX548" i="8"/>
  <c r="BW548" i="8"/>
  <c r="BV548" i="8"/>
  <c r="AU548" i="8"/>
  <c r="AG548" i="8"/>
  <c r="AF548" i="8"/>
  <c r="S548" i="8"/>
  <c r="R548" i="8"/>
  <c r="Q548" i="8"/>
  <c r="P548" i="8"/>
  <c r="O548" i="8"/>
  <c r="CE547" i="8"/>
  <c r="CD547" i="8"/>
  <c r="CC547" i="8"/>
  <c r="CB547" i="8"/>
  <c r="CA547" i="8"/>
  <c r="BZ547" i="8"/>
  <c r="BY547" i="8"/>
  <c r="BX547" i="8"/>
  <c r="BW547" i="8"/>
  <c r="BV547" i="8"/>
  <c r="AU547" i="8"/>
  <c r="AG547" i="8"/>
  <c r="AF547" i="8"/>
  <c r="O547" i="8"/>
  <c r="CE546" i="8"/>
  <c r="CD546" i="8"/>
  <c r="CC546" i="8"/>
  <c r="CB546" i="8"/>
  <c r="CA546" i="8"/>
  <c r="BZ546" i="8"/>
  <c r="BY546" i="8"/>
  <c r="BX546" i="8"/>
  <c r="BW546" i="8"/>
  <c r="BV546" i="8"/>
  <c r="AU546" i="8"/>
  <c r="AG546" i="8"/>
  <c r="AF546" i="8"/>
  <c r="O546" i="8"/>
  <c r="CE545" i="8"/>
  <c r="CD545" i="8"/>
  <c r="CC545" i="8"/>
  <c r="CB545" i="8"/>
  <c r="CA545" i="8"/>
  <c r="BZ545" i="8"/>
  <c r="BY545" i="8"/>
  <c r="BX545" i="8"/>
  <c r="BW545" i="8"/>
  <c r="BV545" i="8"/>
  <c r="AU545" i="8"/>
  <c r="AG545" i="8"/>
  <c r="AF545" i="8"/>
  <c r="O545" i="8"/>
  <c r="CE544" i="8"/>
  <c r="CD544" i="8"/>
  <c r="CC544" i="8"/>
  <c r="CB544" i="8"/>
  <c r="CA544" i="8"/>
  <c r="BZ544" i="8"/>
  <c r="BY544" i="8"/>
  <c r="BX544" i="8"/>
  <c r="BW544" i="8"/>
  <c r="BV544" i="8"/>
  <c r="AU544" i="8"/>
  <c r="AG544" i="8"/>
  <c r="AF544" i="8"/>
  <c r="O544" i="8"/>
  <c r="CE543" i="8"/>
  <c r="CD543" i="8"/>
  <c r="CC543" i="8"/>
  <c r="CB543" i="8"/>
  <c r="CA543" i="8"/>
  <c r="BZ543" i="8"/>
  <c r="BY543" i="8"/>
  <c r="BX543" i="8"/>
  <c r="BW543" i="8"/>
  <c r="BV543" i="8"/>
  <c r="AU543" i="8"/>
  <c r="AG543" i="8"/>
  <c r="AF543" i="8"/>
  <c r="CE542" i="8"/>
  <c r="CD542" i="8"/>
  <c r="CC542" i="8"/>
  <c r="CB542" i="8"/>
  <c r="CA542" i="8"/>
  <c r="BZ542" i="8"/>
  <c r="BY542" i="8"/>
  <c r="BX542" i="8"/>
  <c r="BW542" i="8"/>
  <c r="BV542" i="8"/>
  <c r="AU542" i="8"/>
  <c r="AG542" i="8"/>
  <c r="AF542" i="8"/>
  <c r="S542" i="8"/>
  <c r="R542" i="8"/>
  <c r="Q542" i="8"/>
  <c r="P542" i="8"/>
  <c r="O542" i="8"/>
  <c r="CE541" i="8"/>
  <c r="CD541" i="8"/>
  <c r="CC541" i="8"/>
  <c r="CB541" i="8"/>
  <c r="CA541" i="8"/>
  <c r="BZ541" i="8"/>
  <c r="BY541" i="8"/>
  <c r="BX541" i="8"/>
  <c r="BW541" i="8"/>
  <c r="BV541" i="8"/>
  <c r="AU541" i="8"/>
  <c r="AG541" i="8"/>
  <c r="AF541" i="8"/>
  <c r="CE540" i="8"/>
  <c r="CD540" i="8"/>
  <c r="CC540" i="8"/>
  <c r="CB540" i="8"/>
  <c r="CA540" i="8"/>
  <c r="BZ540" i="8"/>
  <c r="BY540" i="8"/>
  <c r="BX540" i="8"/>
  <c r="BW540" i="8"/>
  <c r="BV540" i="8"/>
  <c r="AU540" i="8"/>
  <c r="AG540" i="8"/>
  <c r="AF540" i="8"/>
  <c r="CE539" i="8"/>
  <c r="CD539" i="8"/>
  <c r="CC539" i="8"/>
  <c r="CB539" i="8"/>
  <c r="CA539" i="8"/>
  <c r="BZ539" i="8"/>
  <c r="BY539" i="8"/>
  <c r="BX539" i="8"/>
  <c r="BW539" i="8"/>
  <c r="BV539" i="8"/>
  <c r="AU539" i="8"/>
  <c r="AG539" i="8"/>
  <c r="AF539" i="8"/>
  <c r="CE538" i="8"/>
  <c r="CD538" i="8"/>
  <c r="CC538" i="8"/>
  <c r="CB538" i="8"/>
  <c r="CA538" i="8"/>
  <c r="BZ538" i="8"/>
  <c r="BY538" i="8"/>
  <c r="BX538" i="8"/>
  <c r="BW538" i="8"/>
  <c r="BV538" i="8"/>
  <c r="AU538" i="8"/>
  <c r="AG538" i="8"/>
  <c r="AF538" i="8"/>
  <c r="CE537" i="8"/>
  <c r="CD537" i="8"/>
  <c r="CC537" i="8"/>
  <c r="CB537" i="8"/>
  <c r="CA537" i="8"/>
  <c r="BZ537" i="8"/>
  <c r="BY537" i="8"/>
  <c r="BX537" i="8"/>
  <c r="BW537" i="8"/>
  <c r="BV537" i="8"/>
  <c r="AU537" i="8"/>
  <c r="AG537" i="8"/>
  <c r="AF537" i="8"/>
  <c r="S537" i="8"/>
  <c r="R537" i="8"/>
  <c r="Q537" i="8"/>
  <c r="P537" i="8"/>
  <c r="O537" i="8"/>
  <c r="CE536" i="8"/>
  <c r="CD536" i="8"/>
  <c r="CC536" i="8"/>
  <c r="CB536" i="8"/>
  <c r="CA536" i="8"/>
  <c r="BZ536" i="8"/>
  <c r="BY536" i="8"/>
  <c r="BX536" i="8"/>
  <c r="BW536" i="8"/>
  <c r="BV536" i="8"/>
  <c r="AU536" i="8"/>
  <c r="AG536" i="8"/>
  <c r="AF536" i="8"/>
  <c r="O536" i="8"/>
  <c r="CE535" i="8"/>
  <c r="CD535" i="8"/>
  <c r="CC535" i="8"/>
  <c r="CB535" i="8"/>
  <c r="CA535" i="8"/>
  <c r="BZ535" i="8"/>
  <c r="BY535" i="8"/>
  <c r="BX535" i="8"/>
  <c r="BW535" i="8"/>
  <c r="BV535" i="8"/>
  <c r="AU535" i="8"/>
  <c r="AG535" i="8"/>
  <c r="AF535" i="8"/>
  <c r="O535" i="8"/>
  <c r="CE534" i="8"/>
  <c r="CD534" i="8"/>
  <c r="CC534" i="8"/>
  <c r="CB534" i="8"/>
  <c r="CA534" i="8"/>
  <c r="BZ534" i="8"/>
  <c r="BY534" i="8"/>
  <c r="BX534" i="8"/>
  <c r="BW534" i="8"/>
  <c r="BV534" i="8"/>
  <c r="AU534" i="8"/>
  <c r="AG534" i="8"/>
  <c r="AF534" i="8"/>
  <c r="O534" i="8"/>
  <c r="CE533" i="8"/>
  <c r="CD533" i="8"/>
  <c r="CC533" i="8"/>
  <c r="CB533" i="8"/>
  <c r="CA533" i="8"/>
  <c r="BZ533" i="8"/>
  <c r="BY533" i="8"/>
  <c r="BX533" i="8"/>
  <c r="BW533" i="8"/>
  <c r="BV533" i="8"/>
  <c r="AU533" i="8"/>
  <c r="AG533" i="8"/>
  <c r="AF533" i="8"/>
  <c r="O533" i="8"/>
  <c r="CE532" i="8"/>
  <c r="CD532" i="8"/>
  <c r="CC532" i="8"/>
  <c r="CB532" i="8"/>
  <c r="CA532" i="8"/>
  <c r="BZ532" i="8"/>
  <c r="BY532" i="8"/>
  <c r="BX532" i="8"/>
  <c r="BW532" i="8"/>
  <c r="BV532" i="8"/>
  <c r="AU532" i="8"/>
  <c r="AG532" i="8"/>
  <c r="AF532" i="8"/>
  <c r="CE531" i="8"/>
  <c r="CD531" i="8"/>
  <c r="CC531" i="8"/>
  <c r="CB531" i="8"/>
  <c r="CA531" i="8"/>
  <c r="BZ531" i="8"/>
  <c r="BY531" i="8"/>
  <c r="BX531" i="8"/>
  <c r="BW531" i="8"/>
  <c r="BV531" i="8"/>
  <c r="AU531" i="8"/>
  <c r="AG531" i="8"/>
  <c r="AF531" i="8"/>
  <c r="S531" i="8"/>
  <c r="R531" i="8"/>
  <c r="Q531" i="8"/>
  <c r="P531" i="8"/>
  <c r="O531" i="8"/>
  <c r="CE530" i="8"/>
  <c r="CD530" i="8"/>
  <c r="CC530" i="8"/>
  <c r="CB530" i="8"/>
  <c r="CA530" i="8"/>
  <c r="BZ530" i="8"/>
  <c r="BY530" i="8"/>
  <c r="BX530" i="8"/>
  <c r="BW530" i="8"/>
  <c r="BV530" i="8"/>
  <c r="AU530" i="8"/>
  <c r="AG530" i="8"/>
  <c r="AF530" i="8"/>
  <c r="CE529" i="8"/>
  <c r="CD529" i="8"/>
  <c r="CC529" i="8"/>
  <c r="CB529" i="8"/>
  <c r="CA529" i="8"/>
  <c r="BZ529" i="8"/>
  <c r="BY529" i="8"/>
  <c r="BX529" i="8"/>
  <c r="BW529" i="8"/>
  <c r="BV529" i="8"/>
  <c r="AU529" i="8"/>
  <c r="AG529" i="8"/>
  <c r="AF529" i="8"/>
  <c r="CE528" i="8"/>
  <c r="CD528" i="8"/>
  <c r="CC528" i="8"/>
  <c r="CB528" i="8"/>
  <c r="CA528" i="8"/>
  <c r="BZ528" i="8"/>
  <c r="BY528" i="8"/>
  <c r="BX528" i="8"/>
  <c r="BW528" i="8"/>
  <c r="BV528" i="8"/>
  <c r="AU528" i="8"/>
  <c r="AG528" i="8"/>
  <c r="AF528" i="8"/>
  <c r="CE527" i="8"/>
  <c r="CD527" i="8"/>
  <c r="CC527" i="8"/>
  <c r="CB527" i="8"/>
  <c r="CA527" i="8"/>
  <c r="BZ527" i="8"/>
  <c r="BY527" i="8"/>
  <c r="BX527" i="8"/>
  <c r="BW527" i="8"/>
  <c r="BV527" i="8"/>
  <c r="AU527" i="8"/>
  <c r="AG527" i="8"/>
  <c r="AF527" i="8"/>
  <c r="CE526" i="8"/>
  <c r="CD526" i="8"/>
  <c r="CC526" i="8"/>
  <c r="CB526" i="8"/>
  <c r="CA526" i="8"/>
  <c r="BZ526" i="8"/>
  <c r="BY526" i="8"/>
  <c r="BX526" i="8"/>
  <c r="BW526" i="8"/>
  <c r="BV526" i="8"/>
  <c r="AU526" i="8"/>
  <c r="AG526" i="8"/>
  <c r="AF526" i="8"/>
  <c r="S526" i="8"/>
  <c r="R526" i="8"/>
  <c r="Q526" i="8"/>
  <c r="P526" i="8"/>
  <c r="O526" i="8"/>
  <c r="CE525" i="8"/>
  <c r="CD525" i="8"/>
  <c r="CC525" i="8"/>
  <c r="CB525" i="8"/>
  <c r="CA525" i="8"/>
  <c r="BZ525" i="8"/>
  <c r="BY525" i="8"/>
  <c r="BX525" i="8"/>
  <c r="BW525" i="8"/>
  <c r="BV525" i="8"/>
  <c r="AU525" i="8"/>
  <c r="AG525" i="8"/>
  <c r="AF525" i="8"/>
  <c r="O525" i="8"/>
  <c r="CE524" i="8"/>
  <c r="CD524" i="8"/>
  <c r="CC524" i="8"/>
  <c r="CB524" i="8"/>
  <c r="CA524" i="8"/>
  <c r="BZ524" i="8"/>
  <c r="BY524" i="8"/>
  <c r="BX524" i="8"/>
  <c r="BW524" i="8"/>
  <c r="BV524" i="8"/>
  <c r="AU524" i="8"/>
  <c r="AG524" i="8"/>
  <c r="AF524" i="8"/>
  <c r="O524" i="8"/>
  <c r="CE523" i="8"/>
  <c r="CD523" i="8"/>
  <c r="CC523" i="8"/>
  <c r="CB523" i="8"/>
  <c r="CA523" i="8"/>
  <c r="BZ523" i="8"/>
  <c r="BY523" i="8"/>
  <c r="BX523" i="8"/>
  <c r="BW523" i="8"/>
  <c r="BV523" i="8"/>
  <c r="AU523" i="8"/>
  <c r="AG523" i="8"/>
  <c r="AF523" i="8"/>
  <c r="O523" i="8"/>
  <c r="CE522" i="8"/>
  <c r="CD522" i="8"/>
  <c r="CC522" i="8"/>
  <c r="CB522" i="8"/>
  <c r="CA522" i="8"/>
  <c r="BZ522" i="8"/>
  <c r="BY522" i="8"/>
  <c r="BX522" i="8"/>
  <c r="BW522" i="8"/>
  <c r="BV522" i="8"/>
  <c r="AU522" i="8"/>
  <c r="AG522" i="8"/>
  <c r="AF522" i="8"/>
  <c r="O522" i="8"/>
  <c r="CE521" i="8"/>
  <c r="CD521" i="8"/>
  <c r="CC521" i="8"/>
  <c r="CB521" i="8"/>
  <c r="CA521" i="8"/>
  <c r="BZ521" i="8"/>
  <c r="BY521" i="8"/>
  <c r="BX521" i="8"/>
  <c r="BW521" i="8"/>
  <c r="BV521" i="8"/>
  <c r="AU521" i="8"/>
  <c r="AG521" i="8"/>
  <c r="AF521" i="8"/>
  <c r="CE520" i="8"/>
  <c r="CD520" i="8"/>
  <c r="CC520" i="8"/>
  <c r="CB520" i="8"/>
  <c r="CA520" i="8"/>
  <c r="BZ520" i="8"/>
  <c r="BY520" i="8"/>
  <c r="BX520" i="8"/>
  <c r="BW520" i="8"/>
  <c r="BV520" i="8"/>
  <c r="AU520" i="8"/>
  <c r="AG520" i="8"/>
  <c r="AF520" i="8"/>
  <c r="S520" i="8"/>
  <c r="R520" i="8"/>
  <c r="Q520" i="8"/>
  <c r="P520" i="8"/>
  <c r="O520" i="8"/>
  <c r="CE519" i="8"/>
  <c r="CD519" i="8"/>
  <c r="CC519" i="8"/>
  <c r="CB519" i="8"/>
  <c r="CA519" i="8"/>
  <c r="BZ519" i="8"/>
  <c r="BY519" i="8"/>
  <c r="BX519" i="8"/>
  <c r="BW519" i="8"/>
  <c r="BV519" i="8"/>
  <c r="AU519" i="8"/>
  <c r="AG519" i="8"/>
  <c r="AF519" i="8"/>
  <c r="CE518" i="8"/>
  <c r="CD518" i="8"/>
  <c r="CC518" i="8"/>
  <c r="CB518" i="8"/>
  <c r="CA518" i="8"/>
  <c r="BZ518" i="8"/>
  <c r="BY518" i="8"/>
  <c r="BX518" i="8"/>
  <c r="BW518" i="8"/>
  <c r="BV518" i="8"/>
  <c r="AU518" i="8"/>
  <c r="AG518" i="8"/>
  <c r="AF518" i="8"/>
  <c r="CE517" i="8"/>
  <c r="CD517" i="8"/>
  <c r="CC517" i="8"/>
  <c r="CB517" i="8"/>
  <c r="CA517" i="8"/>
  <c r="BZ517" i="8"/>
  <c r="BY517" i="8"/>
  <c r="BX517" i="8"/>
  <c r="BW517" i="8"/>
  <c r="BV517" i="8"/>
  <c r="AU517" i="8"/>
  <c r="AG517" i="8"/>
  <c r="AF517" i="8"/>
  <c r="CE516" i="8"/>
  <c r="CD516" i="8"/>
  <c r="CC516" i="8"/>
  <c r="CB516" i="8"/>
  <c r="CA516" i="8"/>
  <c r="BZ516" i="8"/>
  <c r="BY516" i="8"/>
  <c r="BX516" i="8"/>
  <c r="BW516" i="8"/>
  <c r="BV516" i="8"/>
  <c r="AU516" i="8"/>
  <c r="AG516" i="8"/>
  <c r="AF516" i="8"/>
  <c r="CE515" i="8"/>
  <c r="CD515" i="8"/>
  <c r="CC515" i="8"/>
  <c r="CB515" i="8"/>
  <c r="CA515" i="8"/>
  <c r="BZ515" i="8"/>
  <c r="BY515" i="8"/>
  <c r="BX515" i="8"/>
  <c r="BW515" i="8"/>
  <c r="BV515" i="8"/>
  <c r="AU515" i="8"/>
  <c r="AG515" i="8"/>
  <c r="AF515" i="8"/>
  <c r="S515" i="8"/>
  <c r="R515" i="8"/>
  <c r="Q515" i="8"/>
  <c r="P515" i="8"/>
  <c r="O515" i="8"/>
  <c r="CE514" i="8"/>
  <c r="CD514" i="8"/>
  <c r="CC514" i="8"/>
  <c r="CB514" i="8"/>
  <c r="CA514" i="8"/>
  <c r="BZ514" i="8"/>
  <c r="BY514" i="8"/>
  <c r="BX514" i="8"/>
  <c r="BW514" i="8"/>
  <c r="BV514" i="8"/>
  <c r="AU514" i="8"/>
  <c r="AG514" i="8"/>
  <c r="AF514" i="8"/>
  <c r="O514" i="8"/>
  <c r="CE513" i="8"/>
  <c r="CD513" i="8"/>
  <c r="CC513" i="8"/>
  <c r="CB513" i="8"/>
  <c r="CA513" i="8"/>
  <c r="BZ513" i="8"/>
  <c r="BY513" i="8"/>
  <c r="BX513" i="8"/>
  <c r="BW513" i="8"/>
  <c r="BV513" i="8"/>
  <c r="AU513" i="8"/>
  <c r="AG513" i="8"/>
  <c r="AF513" i="8"/>
  <c r="O513" i="8"/>
  <c r="CE512" i="8"/>
  <c r="CD512" i="8"/>
  <c r="CC512" i="8"/>
  <c r="CB512" i="8"/>
  <c r="CA512" i="8"/>
  <c r="BZ512" i="8"/>
  <c r="BY512" i="8"/>
  <c r="BX512" i="8"/>
  <c r="BW512" i="8"/>
  <c r="BV512" i="8"/>
  <c r="AU512" i="8"/>
  <c r="AG512" i="8"/>
  <c r="AF512" i="8"/>
  <c r="O512" i="8"/>
  <c r="CE511" i="8"/>
  <c r="CD511" i="8"/>
  <c r="CC511" i="8"/>
  <c r="CB511" i="8"/>
  <c r="CA511" i="8"/>
  <c r="BZ511" i="8"/>
  <c r="BY511" i="8"/>
  <c r="BX511" i="8"/>
  <c r="BW511" i="8"/>
  <c r="BV511" i="8"/>
  <c r="AU511" i="8"/>
  <c r="AG511" i="8"/>
  <c r="AF511" i="8"/>
  <c r="O511" i="8"/>
  <c r="CE510" i="8"/>
  <c r="CD510" i="8"/>
  <c r="CC510" i="8"/>
  <c r="CB510" i="8"/>
  <c r="CA510" i="8"/>
  <c r="BZ510" i="8"/>
  <c r="BY510" i="8"/>
  <c r="BX510" i="8"/>
  <c r="BW510" i="8"/>
  <c r="BV510" i="8"/>
  <c r="AU510" i="8"/>
  <c r="AG510" i="8"/>
  <c r="AF510" i="8"/>
  <c r="CE509" i="8"/>
  <c r="CD509" i="8"/>
  <c r="CC509" i="8"/>
  <c r="CB509" i="8"/>
  <c r="CA509" i="8"/>
  <c r="BZ509" i="8"/>
  <c r="BY509" i="8"/>
  <c r="BX509" i="8"/>
  <c r="BW509" i="8"/>
  <c r="BV509" i="8"/>
  <c r="AU509" i="8"/>
  <c r="AG509" i="8"/>
  <c r="AF509" i="8"/>
  <c r="S509" i="8"/>
  <c r="R509" i="8"/>
  <c r="Q509" i="8"/>
  <c r="P509" i="8"/>
  <c r="O509" i="8"/>
  <c r="CE508" i="8"/>
  <c r="CD508" i="8"/>
  <c r="CC508" i="8"/>
  <c r="CB508" i="8"/>
  <c r="CA508" i="8"/>
  <c r="BZ508" i="8"/>
  <c r="BY508" i="8"/>
  <c r="BX508" i="8"/>
  <c r="BW508" i="8"/>
  <c r="BV508" i="8"/>
  <c r="AU508" i="8"/>
  <c r="AG508" i="8"/>
  <c r="AF508" i="8"/>
  <c r="CE507" i="8"/>
  <c r="CD507" i="8"/>
  <c r="CC507" i="8"/>
  <c r="CB507" i="8"/>
  <c r="CA507" i="8"/>
  <c r="BZ507" i="8"/>
  <c r="BY507" i="8"/>
  <c r="BX507" i="8"/>
  <c r="BW507" i="8"/>
  <c r="BV507" i="8"/>
  <c r="AU507" i="8"/>
  <c r="AG507" i="8"/>
  <c r="AF507" i="8"/>
  <c r="CE506" i="8"/>
  <c r="CD506" i="8"/>
  <c r="CC506" i="8"/>
  <c r="CB506" i="8"/>
  <c r="CA506" i="8"/>
  <c r="BZ506" i="8"/>
  <c r="BY506" i="8"/>
  <c r="BX506" i="8"/>
  <c r="BW506" i="8"/>
  <c r="BV506" i="8"/>
  <c r="AU506" i="8"/>
  <c r="AG506" i="8"/>
  <c r="AF506" i="8"/>
  <c r="CE505" i="8"/>
  <c r="CD505" i="8"/>
  <c r="CC505" i="8"/>
  <c r="CB505" i="8"/>
  <c r="CA505" i="8"/>
  <c r="BZ505" i="8"/>
  <c r="BY505" i="8"/>
  <c r="BX505" i="8"/>
  <c r="BW505" i="8"/>
  <c r="BV505" i="8"/>
  <c r="AU505" i="8"/>
  <c r="AG505" i="8"/>
  <c r="AF505" i="8"/>
  <c r="CE504" i="8"/>
  <c r="CD504" i="8"/>
  <c r="CC504" i="8"/>
  <c r="CB504" i="8"/>
  <c r="CA504" i="8"/>
  <c r="BZ504" i="8"/>
  <c r="BY504" i="8"/>
  <c r="BX504" i="8"/>
  <c r="BW504" i="8"/>
  <c r="BV504" i="8"/>
  <c r="AU504" i="8"/>
  <c r="AG504" i="8"/>
  <c r="AF504" i="8"/>
  <c r="S504" i="8"/>
  <c r="R504" i="8"/>
  <c r="Q504" i="8"/>
  <c r="P504" i="8"/>
  <c r="O504" i="8"/>
  <c r="CE503" i="8"/>
  <c r="CD503" i="8"/>
  <c r="CC503" i="8"/>
  <c r="CB503" i="8"/>
  <c r="CA503" i="8"/>
  <c r="BZ503" i="8"/>
  <c r="BY503" i="8"/>
  <c r="BX503" i="8"/>
  <c r="BW503" i="8"/>
  <c r="BV503" i="8"/>
  <c r="AU503" i="8"/>
  <c r="AG503" i="8"/>
  <c r="AF503" i="8"/>
  <c r="O503" i="8"/>
  <c r="CE502" i="8"/>
  <c r="CD502" i="8"/>
  <c r="CC502" i="8"/>
  <c r="CB502" i="8"/>
  <c r="CA502" i="8"/>
  <c r="BZ502" i="8"/>
  <c r="BY502" i="8"/>
  <c r="BX502" i="8"/>
  <c r="BW502" i="8"/>
  <c r="BV502" i="8"/>
  <c r="AU502" i="8"/>
  <c r="AG502" i="8"/>
  <c r="AF502" i="8"/>
  <c r="O502" i="8"/>
  <c r="CE501" i="8"/>
  <c r="CD501" i="8"/>
  <c r="CC501" i="8"/>
  <c r="CB501" i="8"/>
  <c r="CA501" i="8"/>
  <c r="BZ501" i="8"/>
  <c r="BY501" i="8"/>
  <c r="BX501" i="8"/>
  <c r="BW501" i="8"/>
  <c r="BV501" i="8"/>
  <c r="AU501" i="8"/>
  <c r="AG501" i="8"/>
  <c r="AF501" i="8"/>
  <c r="O501" i="8"/>
  <c r="CE500" i="8"/>
  <c r="CD500" i="8"/>
  <c r="CC500" i="8"/>
  <c r="CB500" i="8"/>
  <c r="CA500" i="8"/>
  <c r="BZ500" i="8"/>
  <c r="BY500" i="8"/>
  <c r="BX500" i="8"/>
  <c r="BW500" i="8"/>
  <c r="BV500" i="8"/>
  <c r="AU500" i="8"/>
  <c r="AG500" i="8"/>
  <c r="AF500" i="8"/>
  <c r="O500" i="8"/>
  <c r="CE499" i="8"/>
  <c r="CD499" i="8"/>
  <c r="CC499" i="8"/>
  <c r="CB499" i="8"/>
  <c r="CA499" i="8"/>
  <c r="BZ499" i="8"/>
  <c r="BY499" i="8"/>
  <c r="BX499" i="8"/>
  <c r="BW499" i="8"/>
  <c r="BV499" i="8"/>
  <c r="AU499" i="8"/>
  <c r="AG499" i="8"/>
  <c r="AF499" i="8"/>
  <c r="CE498" i="8"/>
  <c r="CD498" i="8"/>
  <c r="CC498" i="8"/>
  <c r="CB498" i="8"/>
  <c r="CA498" i="8"/>
  <c r="BZ498" i="8"/>
  <c r="BY498" i="8"/>
  <c r="BX498" i="8"/>
  <c r="BW498" i="8"/>
  <c r="BV498" i="8"/>
  <c r="AU498" i="8"/>
  <c r="AG498" i="8"/>
  <c r="AF498" i="8"/>
  <c r="CE497" i="8"/>
  <c r="CD497" i="8"/>
  <c r="CC497" i="8"/>
  <c r="CB497" i="8"/>
  <c r="CA497" i="8"/>
  <c r="BZ497" i="8"/>
  <c r="BY497" i="8"/>
  <c r="BX497" i="8"/>
  <c r="BW497" i="8"/>
  <c r="BV497" i="8"/>
  <c r="AU497" i="8"/>
  <c r="AG497" i="8"/>
  <c r="AF497" i="8"/>
  <c r="CE496" i="8"/>
  <c r="CD496" i="8"/>
  <c r="CC496" i="8"/>
  <c r="CB496" i="8"/>
  <c r="CA496" i="8"/>
  <c r="BZ496" i="8"/>
  <c r="BY496" i="8"/>
  <c r="BX496" i="8"/>
  <c r="BW496" i="8"/>
  <c r="BV496" i="8"/>
  <c r="AU496" i="8"/>
  <c r="AG496" i="8"/>
  <c r="AF496" i="8"/>
  <c r="CE495" i="8"/>
  <c r="CD495" i="8"/>
  <c r="CC495" i="8"/>
  <c r="CB495" i="8"/>
  <c r="CA495" i="8"/>
  <c r="BZ495" i="8"/>
  <c r="BY495" i="8"/>
  <c r="BX495" i="8"/>
  <c r="BW495" i="8"/>
  <c r="BV495" i="8"/>
  <c r="AU495" i="8"/>
  <c r="AG495" i="8"/>
  <c r="AF495" i="8"/>
  <c r="CE494" i="8"/>
  <c r="CD494" i="8"/>
  <c r="CC494" i="8"/>
  <c r="CB494" i="8"/>
  <c r="CA494" i="8"/>
  <c r="BZ494" i="8"/>
  <c r="BY494" i="8"/>
  <c r="BX494" i="8"/>
  <c r="BW494" i="8"/>
  <c r="BV494" i="8"/>
  <c r="AU494" i="8"/>
  <c r="AG494" i="8"/>
  <c r="AF494" i="8"/>
  <c r="CE493" i="8"/>
  <c r="CD493" i="8"/>
  <c r="CC493" i="8"/>
  <c r="CB493" i="8"/>
  <c r="CA493" i="8"/>
  <c r="BZ493" i="8"/>
  <c r="BY493" i="8"/>
  <c r="BX493" i="8"/>
  <c r="BW493" i="8"/>
  <c r="BV493" i="8"/>
  <c r="AU493" i="8"/>
  <c r="AG493" i="8"/>
  <c r="AF493" i="8"/>
  <c r="CE492" i="8"/>
  <c r="CD492" i="8"/>
  <c r="CC492" i="8"/>
  <c r="CB492" i="8"/>
  <c r="CA492" i="8"/>
  <c r="BZ492" i="8"/>
  <c r="BY492" i="8"/>
  <c r="BX492" i="8"/>
  <c r="BW492" i="8"/>
  <c r="BV492" i="8"/>
  <c r="AU492" i="8"/>
  <c r="AG492" i="8"/>
  <c r="AF492" i="8"/>
  <c r="CE491" i="8"/>
  <c r="CD491" i="8"/>
  <c r="CC491" i="8"/>
  <c r="CB491" i="8"/>
  <c r="CA491" i="8"/>
  <c r="BZ491" i="8"/>
  <c r="BY491" i="8"/>
  <c r="BX491" i="8"/>
  <c r="BW491" i="8"/>
  <c r="BV491" i="8"/>
  <c r="AU491" i="8"/>
  <c r="AG491" i="8"/>
  <c r="AF491" i="8"/>
  <c r="CE490" i="8"/>
  <c r="CD490" i="8"/>
  <c r="CC490" i="8"/>
  <c r="CB490" i="8"/>
  <c r="CA490" i="8"/>
  <c r="BZ490" i="8"/>
  <c r="BY490" i="8"/>
  <c r="BX490" i="8"/>
  <c r="BW490" i="8"/>
  <c r="BV490" i="8"/>
  <c r="AU490" i="8"/>
  <c r="AG490" i="8"/>
  <c r="AF490" i="8"/>
  <c r="CE489" i="8"/>
  <c r="CD489" i="8"/>
  <c r="CC489" i="8"/>
  <c r="CB489" i="8"/>
  <c r="CA489" i="8"/>
  <c r="BZ489" i="8"/>
  <c r="BY489" i="8"/>
  <c r="BX489" i="8"/>
  <c r="BW489" i="8"/>
  <c r="BV489" i="8"/>
  <c r="AU489" i="8"/>
  <c r="AG489" i="8"/>
  <c r="AF489" i="8"/>
  <c r="CE488" i="8"/>
  <c r="CD488" i="8"/>
  <c r="CC488" i="8"/>
  <c r="CB488" i="8"/>
  <c r="CA488" i="8"/>
  <c r="BZ488" i="8"/>
  <c r="BY488" i="8"/>
  <c r="BX488" i="8"/>
  <c r="BW488" i="8"/>
  <c r="BV488" i="8"/>
  <c r="AU488" i="8"/>
  <c r="AG488" i="8"/>
  <c r="AF488" i="8"/>
  <c r="CE487" i="8"/>
  <c r="CD487" i="8"/>
  <c r="CC487" i="8"/>
  <c r="CB487" i="8"/>
  <c r="CA487" i="8"/>
  <c r="BZ487" i="8"/>
  <c r="BY487" i="8"/>
  <c r="BX487" i="8"/>
  <c r="BW487" i="8"/>
  <c r="BV487" i="8"/>
  <c r="AU487" i="8"/>
  <c r="AG487" i="8"/>
  <c r="AF487" i="8"/>
  <c r="CE486" i="8"/>
  <c r="CD486" i="8"/>
  <c r="CC486" i="8"/>
  <c r="CB486" i="8"/>
  <c r="CA486" i="8"/>
  <c r="BZ486" i="8"/>
  <c r="BY486" i="8"/>
  <c r="BX486" i="8"/>
  <c r="BW486" i="8"/>
  <c r="BV486" i="8"/>
  <c r="AU486" i="8"/>
  <c r="AG486" i="8"/>
  <c r="AF486" i="8"/>
  <c r="CE485" i="8"/>
  <c r="CD485" i="8"/>
  <c r="CC485" i="8"/>
  <c r="CB485" i="8"/>
  <c r="CA485" i="8"/>
  <c r="BZ485" i="8"/>
  <c r="BY485" i="8"/>
  <c r="BX485" i="8"/>
  <c r="BW485" i="8"/>
  <c r="BV485" i="8"/>
  <c r="AU485" i="8"/>
  <c r="AG485" i="8"/>
  <c r="AF485" i="8"/>
  <c r="CE484" i="8"/>
  <c r="CD484" i="8"/>
  <c r="CC484" i="8"/>
  <c r="CB484" i="8"/>
  <c r="CA484" i="8"/>
  <c r="BZ484" i="8"/>
  <c r="BY484" i="8"/>
  <c r="BX484" i="8"/>
  <c r="BW484" i="8"/>
  <c r="BV484" i="8"/>
  <c r="AU484" i="8"/>
  <c r="AG484" i="8"/>
  <c r="AF484" i="8"/>
  <c r="CE483" i="8"/>
  <c r="CD483" i="8"/>
  <c r="CC483" i="8"/>
  <c r="CB483" i="8"/>
  <c r="CA483" i="8"/>
  <c r="BZ483" i="8"/>
  <c r="BY483" i="8"/>
  <c r="BX483" i="8"/>
  <c r="BW483" i="8"/>
  <c r="BV483" i="8"/>
  <c r="AU483" i="8"/>
  <c r="AG483" i="8"/>
  <c r="AF483" i="8"/>
  <c r="CE482" i="8"/>
  <c r="CD482" i="8"/>
  <c r="CC482" i="8"/>
  <c r="CB482" i="8"/>
  <c r="CA482" i="8"/>
  <c r="BZ482" i="8"/>
  <c r="BY482" i="8"/>
  <c r="BX482" i="8"/>
  <c r="BW482" i="8"/>
  <c r="BV482" i="8"/>
  <c r="AU482" i="8"/>
  <c r="AG482" i="8"/>
  <c r="AF482" i="8"/>
  <c r="CE481" i="8"/>
  <c r="CD481" i="8"/>
  <c r="CC481" i="8"/>
  <c r="CB481" i="8"/>
  <c r="CA481" i="8"/>
  <c r="BZ481" i="8"/>
  <c r="BY481" i="8"/>
  <c r="BX481" i="8"/>
  <c r="BW481" i="8"/>
  <c r="BV481" i="8"/>
  <c r="AU481" i="8"/>
  <c r="AG481" i="8"/>
  <c r="AF481" i="8"/>
  <c r="CE480" i="8"/>
  <c r="CD480" i="8"/>
  <c r="CC480" i="8"/>
  <c r="CB480" i="8"/>
  <c r="CA480" i="8"/>
  <c r="BZ480" i="8"/>
  <c r="BY480" i="8"/>
  <c r="BX480" i="8"/>
  <c r="BW480" i="8"/>
  <c r="BV480" i="8"/>
  <c r="AU480" i="8"/>
  <c r="AG480" i="8"/>
  <c r="AF480" i="8"/>
  <c r="CE479" i="8"/>
  <c r="CD479" i="8"/>
  <c r="CC479" i="8"/>
  <c r="CB479" i="8"/>
  <c r="CA479" i="8"/>
  <c r="BZ479" i="8"/>
  <c r="BY479" i="8"/>
  <c r="BX479" i="8"/>
  <c r="BW479" i="8"/>
  <c r="BV479" i="8"/>
  <c r="AU479" i="8"/>
  <c r="AG479" i="8"/>
  <c r="AF479" i="8"/>
  <c r="CE478" i="8"/>
  <c r="CD478" i="8"/>
  <c r="CC478" i="8"/>
  <c r="CB478" i="8"/>
  <c r="CA478" i="8"/>
  <c r="BZ478" i="8"/>
  <c r="BY478" i="8"/>
  <c r="BX478" i="8"/>
  <c r="BW478" i="8"/>
  <c r="BV478" i="8"/>
  <c r="AU478" i="8"/>
  <c r="AG478" i="8"/>
  <c r="AF478" i="8"/>
  <c r="CE477" i="8"/>
  <c r="CD477" i="8"/>
  <c r="CC477" i="8"/>
  <c r="CB477" i="8"/>
  <c r="CA477" i="8"/>
  <c r="BZ477" i="8"/>
  <c r="BY477" i="8"/>
  <c r="BX477" i="8"/>
  <c r="BW477" i="8"/>
  <c r="BV477" i="8"/>
  <c r="AU477" i="8"/>
  <c r="AG477" i="8"/>
  <c r="AF477" i="8"/>
  <c r="CE476" i="8"/>
  <c r="CD476" i="8"/>
  <c r="CC476" i="8"/>
  <c r="CB476" i="8"/>
  <c r="CA476" i="8"/>
  <c r="BZ476" i="8"/>
  <c r="BY476" i="8"/>
  <c r="BX476" i="8"/>
  <c r="BW476" i="8"/>
  <c r="BV476" i="8"/>
  <c r="AU476" i="8"/>
  <c r="AG476" i="8"/>
  <c r="AF476" i="8"/>
  <c r="CE475" i="8"/>
  <c r="CD475" i="8"/>
  <c r="CC475" i="8"/>
  <c r="CB475" i="8"/>
  <c r="CA475" i="8"/>
  <c r="BZ475" i="8"/>
  <c r="BY475" i="8"/>
  <c r="BX475" i="8"/>
  <c r="BW475" i="8"/>
  <c r="BV475" i="8"/>
  <c r="AU475" i="8"/>
  <c r="AG475" i="8"/>
  <c r="AF475" i="8"/>
  <c r="CE474" i="8"/>
  <c r="CD474" i="8"/>
  <c r="CC474" i="8"/>
  <c r="CB474" i="8"/>
  <c r="CA474" i="8"/>
  <c r="BZ474" i="8"/>
  <c r="BY474" i="8"/>
  <c r="BX474" i="8"/>
  <c r="BW474" i="8"/>
  <c r="BV474" i="8"/>
  <c r="AU474" i="8"/>
  <c r="AG474" i="8"/>
  <c r="AF474" i="8"/>
  <c r="CE473" i="8"/>
  <c r="CD473" i="8"/>
  <c r="CC473" i="8"/>
  <c r="CB473" i="8"/>
  <c r="CA473" i="8"/>
  <c r="BZ473" i="8"/>
  <c r="BY473" i="8"/>
  <c r="BX473" i="8"/>
  <c r="BW473" i="8"/>
  <c r="BV473" i="8"/>
  <c r="AU473" i="8"/>
  <c r="AG473" i="8"/>
  <c r="AF473" i="8"/>
  <c r="CE472" i="8"/>
  <c r="CD472" i="8"/>
  <c r="CC472" i="8"/>
  <c r="CB472" i="8"/>
  <c r="CA472" i="8"/>
  <c r="BZ472" i="8"/>
  <c r="BY472" i="8"/>
  <c r="BX472" i="8"/>
  <c r="BW472" i="8"/>
  <c r="BV472" i="8"/>
  <c r="AU472" i="8"/>
  <c r="AG472" i="8"/>
  <c r="AF472" i="8"/>
  <c r="CE471" i="8"/>
  <c r="CD471" i="8"/>
  <c r="CC471" i="8"/>
  <c r="CB471" i="8"/>
  <c r="CA471" i="8"/>
  <c r="BZ471" i="8"/>
  <c r="BY471" i="8"/>
  <c r="BX471" i="8"/>
  <c r="BW471" i="8"/>
  <c r="BV471" i="8"/>
  <c r="AU471" i="8"/>
  <c r="AG471" i="8"/>
  <c r="AF471" i="8"/>
  <c r="CE470" i="8"/>
  <c r="CD470" i="8"/>
  <c r="CC470" i="8"/>
  <c r="CB470" i="8"/>
  <c r="CA470" i="8"/>
  <c r="BZ470" i="8"/>
  <c r="BY470" i="8"/>
  <c r="BX470" i="8"/>
  <c r="BW470" i="8"/>
  <c r="BV470" i="8"/>
  <c r="AU470" i="8"/>
  <c r="AG470" i="8"/>
  <c r="AF470" i="8"/>
  <c r="CE469" i="8"/>
  <c r="CD469" i="8"/>
  <c r="CC469" i="8"/>
  <c r="CB469" i="8"/>
  <c r="CA469" i="8"/>
  <c r="BZ469" i="8"/>
  <c r="BY469" i="8"/>
  <c r="BX469" i="8"/>
  <c r="BW469" i="8"/>
  <c r="BV469" i="8"/>
  <c r="AU469" i="8"/>
  <c r="AG469" i="8"/>
  <c r="AF469" i="8"/>
  <c r="CE468" i="8"/>
  <c r="CD468" i="8"/>
  <c r="CC468" i="8"/>
  <c r="CB468" i="8"/>
  <c r="CA468" i="8"/>
  <c r="BZ468" i="8"/>
  <c r="BY468" i="8"/>
  <c r="BX468" i="8"/>
  <c r="BW468" i="8"/>
  <c r="BV468" i="8"/>
  <c r="AU468" i="8"/>
  <c r="AG468" i="8"/>
  <c r="AF468" i="8"/>
  <c r="CE467" i="8"/>
  <c r="CD467" i="8"/>
  <c r="CC467" i="8"/>
  <c r="CB467" i="8"/>
  <c r="CA467" i="8"/>
  <c r="BZ467" i="8"/>
  <c r="BY467" i="8"/>
  <c r="BX467" i="8"/>
  <c r="BW467" i="8"/>
  <c r="BV467" i="8"/>
  <c r="AU467" i="8"/>
  <c r="AG467" i="8"/>
  <c r="AF467" i="8"/>
  <c r="CE466" i="8"/>
  <c r="CD466" i="8"/>
  <c r="CC466" i="8"/>
  <c r="CB466" i="8"/>
  <c r="CA466" i="8"/>
  <c r="BZ466" i="8"/>
  <c r="BY466" i="8"/>
  <c r="BX466" i="8"/>
  <c r="BW466" i="8"/>
  <c r="BV466" i="8"/>
  <c r="AU466" i="8"/>
  <c r="AG466" i="8"/>
  <c r="AF466" i="8"/>
  <c r="CE465" i="8"/>
  <c r="CD465" i="8"/>
  <c r="CC465" i="8"/>
  <c r="CB465" i="8"/>
  <c r="CA465" i="8"/>
  <c r="BZ465" i="8"/>
  <c r="BY465" i="8"/>
  <c r="BX465" i="8"/>
  <c r="BW465" i="8"/>
  <c r="BV465" i="8"/>
  <c r="AU465" i="8"/>
  <c r="AG465" i="8"/>
  <c r="AF465" i="8"/>
  <c r="CE464" i="8"/>
  <c r="CD464" i="8"/>
  <c r="CC464" i="8"/>
  <c r="CB464" i="8"/>
  <c r="CA464" i="8"/>
  <c r="BZ464" i="8"/>
  <c r="BY464" i="8"/>
  <c r="BX464" i="8"/>
  <c r="BW464" i="8"/>
  <c r="BV464" i="8"/>
  <c r="AU464" i="8"/>
  <c r="AG464" i="8"/>
  <c r="AF464" i="8"/>
  <c r="CE463" i="8"/>
  <c r="CD463" i="8"/>
  <c r="CC463" i="8"/>
  <c r="CB463" i="8"/>
  <c r="CA463" i="8"/>
  <c r="BZ463" i="8"/>
  <c r="BY463" i="8"/>
  <c r="BX463" i="8"/>
  <c r="BW463" i="8"/>
  <c r="BV463" i="8"/>
  <c r="AU463" i="8"/>
  <c r="AG463" i="8"/>
  <c r="AF463" i="8"/>
  <c r="CE462" i="8"/>
  <c r="CD462" i="8"/>
  <c r="CC462" i="8"/>
  <c r="CB462" i="8"/>
  <c r="CA462" i="8"/>
  <c r="BZ462" i="8"/>
  <c r="BY462" i="8"/>
  <c r="BX462" i="8"/>
  <c r="BW462" i="8"/>
  <c r="BV462" i="8"/>
  <c r="AU462" i="8"/>
  <c r="AG462" i="8"/>
  <c r="AF462" i="8"/>
  <c r="CE461" i="8"/>
  <c r="CD461" i="8"/>
  <c r="CC461" i="8"/>
  <c r="CB461" i="8"/>
  <c r="CA461" i="8"/>
  <c r="BZ461" i="8"/>
  <c r="BY461" i="8"/>
  <c r="BX461" i="8"/>
  <c r="BW461" i="8"/>
  <c r="BV461" i="8"/>
  <c r="AU461" i="8"/>
  <c r="AG461" i="8"/>
  <c r="AF461" i="8"/>
  <c r="CE460" i="8"/>
  <c r="CD460" i="8"/>
  <c r="CC460" i="8"/>
  <c r="CB460" i="8"/>
  <c r="CA460" i="8"/>
  <c r="BZ460" i="8"/>
  <c r="BY460" i="8"/>
  <c r="BX460" i="8"/>
  <c r="BW460" i="8"/>
  <c r="BV460" i="8"/>
  <c r="AU460" i="8"/>
  <c r="AG460" i="8"/>
  <c r="AF460" i="8"/>
  <c r="CE459" i="8"/>
  <c r="CD459" i="8"/>
  <c r="CC459" i="8"/>
  <c r="CB459" i="8"/>
  <c r="CA459" i="8"/>
  <c r="BZ459" i="8"/>
  <c r="BY459" i="8"/>
  <c r="BX459" i="8"/>
  <c r="BW459" i="8"/>
  <c r="BV459" i="8"/>
  <c r="AU459" i="8"/>
  <c r="AG459" i="8"/>
  <c r="AF459" i="8"/>
  <c r="CE458" i="8"/>
  <c r="CD458" i="8"/>
  <c r="CC458" i="8"/>
  <c r="CB458" i="8"/>
  <c r="CA458" i="8"/>
  <c r="BZ458" i="8"/>
  <c r="BY458" i="8"/>
  <c r="BX458" i="8"/>
  <c r="BW458" i="8"/>
  <c r="BV458" i="8"/>
  <c r="AU458" i="8"/>
  <c r="AG458" i="8"/>
  <c r="AF458" i="8"/>
  <c r="CE457" i="8"/>
  <c r="CD457" i="8"/>
  <c r="CC457" i="8"/>
  <c r="CB457" i="8"/>
  <c r="CA457" i="8"/>
  <c r="BZ457" i="8"/>
  <c r="BY457" i="8"/>
  <c r="BX457" i="8"/>
  <c r="BW457" i="8"/>
  <c r="BV457" i="8"/>
  <c r="AU457" i="8"/>
  <c r="AG457" i="8"/>
  <c r="AF457" i="8"/>
  <c r="CE456" i="8"/>
  <c r="CD456" i="8"/>
  <c r="CC456" i="8"/>
  <c r="CB456" i="8"/>
  <c r="CA456" i="8"/>
  <c r="BZ456" i="8"/>
  <c r="BY456" i="8"/>
  <c r="BX456" i="8"/>
  <c r="BW456" i="8"/>
  <c r="BV456" i="8"/>
  <c r="AU456" i="8"/>
  <c r="AG456" i="8"/>
  <c r="AF456" i="8"/>
  <c r="CE455" i="8"/>
  <c r="CD455" i="8"/>
  <c r="CC455" i="8"/>
  <c r="CB455" i="8"/>
  <c r="CA455" i="8"/>
  <c r="BZ455" i="8"/>
  <c r="BY455" i="8"/>
  <c r="BX455" i="8"/>
  <c r="BW455" i="8"/>
  <c r="BV455" i="8"/>
  <c r="AU455" i="8"/>
  <c r="AG455" i="8"/>
  <c r="AF455" i="8"/>
  <c r="CE454" i="8"/>
  <c r="CD454" i="8"/>
  <c r="CC454" i="8"/>
  <c r="CB454" i="8"/>
  <c r="CA454" i="8"/>
  <c r="BZ454" i="8"/>
  <c r="BY454" i="8"/>
  <c r="BX454" i="8"/>
  <c r="BW454" i="8"/>
  <c r="BV454" i="8"/>
  <c r="AU454" i="8"/>
  <c r="AG454" i="8"/>
  <c r="AF454" i="8"/>
  <c r="CE453" i="8"/>
  <c r="CD453" i="8"/>
  <c r="CC453" i="8"/>
  <c r="CB453" i="8"/>
  <c r="CA453" i="8"/>
  <c r="BZ453" i="8"/>
  <c r="BY453" i="8"/>
  <c r="BX453" i="8"/>
  <c r="BW453" i="8"/>
  <c r="BV453" i="8"/>
  <c r="AU453" i="8"/>
  <c r="AG453" i="8"/>
  <c r="AF453" i="8"/>
  <c r="CE452" i="8"/>
  <c r="CD452" i="8"/>
  <c r="CC452" i="8"/>
  <c r="CB452" i="8"/>
  <c r="CA452" i="8"/>
  <c r="BZ452" i="8"/>
  <c r="BY452" i="8"/>
  <c r="BX452" i="8"/>
  <c r="BW452" i="8"/>
  <c r="BV452" i="8"/>
  <c r="AU452" i="8"/>
  <c r="AG452" i="8"/>
  <c r="AF452" i="8"/>
  <c r="CE451" i="8"/>
  <c r="CD451" i="8"/>
  <c r="CC451" i="8"/>
  <c r="CB451" i="8"/>
  <c r="CA451" i="8"/>
  <c r="BZ451" i="8"/>
  <c r="BY451" i="8"/>
  <c r="BX451" i="8"/>
  <c r="BW451" i="8"/>
  <c r="BV451" i="8"/>
  <c r="AU451" i="8"/>
  <c r="AG451" i="8"/>
  <c r="AF451" i="8"/>
  <c r="CE450" i="8"/>
  <c r="CD450" i="8"/>
  <c r="CC450" i="8"/>
  <c r="CB450" i="8"/>
  <c r="CA450" i="8"/>
  <c r="BZ450" i="8"/>
  <c r="BY450" i="8"/>
  <c r="BX450" i="8"/>
  <c r="BW450" i="8"/>
  <c r="BV450" i="8"/>
  <c r="AU450" i="8"/>
  <c r="AG450" i="8"/>
  <c r="AF450" i="8"/>
  <c r="CE449" i="8"/>
  <c r="CD449" i="8"/>
  <c r="CC449" i="8"/>
  <c r="CB449" i="8"/>
  <c r="CA449" i="8"/>
  <c r="BZ449" i="8"/>
  <c r="BY449" i="8"/>
  <c r="BX449" i="8"/>
  <c r="BW449" i="8"/>
  <c r="BV449" i="8"/>
  <c r="AU449" i="8"/>
  <c r="AG449" i="8"/>
  <c r="AF449" i="8"/>
  <c r="CE448" i="8"/>
  <c r="CD448" i="8"/>
  <c r="CC448" i="8"/>
  <c r="CB448" i="8"/>
  <c r="CA448" i="8"/>
  <c r="BZ448" i="8"/>
  <c r="BY448" i="8"/>
  <c r="BX448" i="8"/>
  <c r="BW448" i="8"/>
  <c r="BV448" i="8"/>
  <c r="AU448" i="8"/>
  <c r="AG448" i="8"/>
  <c r="AF448" i="8"/>
  <c r="CE447" i="8"/>
  <c r="CD447" i="8"/>
  <c r="CC447" i="8"/>
  <c r="CB447" i="8"/>
  <c r="CA447" i="8"/>
  <c r="BZ447" i="8"/>
  <c r="BY447" i="8"/>
  <c r="BX447" i="8"/>
  <c r="BW447" i="8"/>
  <c r="BV447" i="8"/>
  <c r="AU447" i="8"/>
  <c r="AG447" i="8"/>
  <c r="AF447" i="8"/>
  <c r="CE446" i="8"/>
  <c r="CD446" i="8"/>
  <c r="CC446" i="8"/>
  <c r="CB446" i="8"/>
  <c r="CA446" i="8"/>
  <c r="BZ446" i="8"/>
  <c r="BY446" i="8"/>
  <c r="BX446" i="8"/>
  <c r="BW446" i="8"/>
  <c r="BV446" i="8"/>
  <c r="AU446" i="8"/>
  <c r="AG446" i="8"/>
  <c r="AF446" i="8"/>
  <c r="CE445" i="8"/>
  <c r="CD445" i="8"/>
  <c r="CC445" i="8"/>
  <c r="CB445" i="8"/>
  <c r="CA445" i="8"/>
  <c r="BZ445" i="8"/>
  <c r="BY445" i="8"/>
  <c r="BX445" i="8"/>
  <c r="BW445" i="8"/>
  <c r="BV445" i="8"/>
  <c r="AU445" i="8"/>
  <c r="AG445" i="8"/>
  <c r="AF445" i="8"/>
  <c r="CE444" i="8"/>
  <c r="CD444" i="8"/>
  <c r="CC444" i="8"/>
  <c r="CB444" i="8"/>
  <c r="CA444" i="8"/>
  <c r="BZ444" i="8"/>
  <c r="BY444" i="8"/>
  <c r="BX444" i="8"/>
  <c r="BW444" i="8"/>
  <c r="BV444" i="8"/>
  <c r="AU444" i="8"/>
  <c r="AG444" i="8"/>
  <c r="AF444" i="8"/>
  <c r="CE443" i="8"/>
  <c r="CD443" i="8"/>
  <c r="CC443" i="8"/>
  <c r="CB443" i="8"/>
  <c r="CA443" i="8"/>
  <c r="BZ443" i="8"/>
  <c r="BY443" i="8"/>
  <c r="BX443" i="8"/>
  <c r="BW443" i="8"/>
  <c r="BV443" i="8"/>
  <c r="AU443" i="8"/>
  <c r="AG443" i="8"/>
  <c r="AF443" i="8"/>
  <c r="CE442" i="8"/>
  <c r="CD442" i="8"/>
  <c r="CC442" i="8"/>
  <c r="CB442" i="8"/>
  <c r="CA442" i="8"/>
  <c r="BZ442" i="8"/>
  <c r="BY442" i="8"/>
  <c r="BX442" i="8"/>
  <c r="BW442" i="8"/>
  <c r="BV442" i="8"/>
  <c r="AU442" i="8"/>
  <c r="AG442" i="8"/>
  <c r="AF442" i="8"/>
  <c r="CE441" i="8"/>
  <c r="CD441" i="8"/>
  <c r="CC441" i="8"/>
  <c r="CB441" i="8"/>
  <c r="CA441" i="8"/>
  <c r="BZ441" i="8"/>
  <c r="BY441" i="8"/>
  <c r="BX441" i="8"/>
  <c r="BW441" i="8"/>
  <c r="BV441" i="8"/>
  <c r="AU441" i="8"/>
  <c r="AG441" i="8"/>
  <c r="AF441" i="8"/>
  <c r="CE440" i="8"/>
  <c r="CD440" i="8"/>
  <c r="CC440" i="8"/>
  <c r="CB440" i="8"/>
  <c r="CA440" i="8"/>
  <c r="BZ440" i="8"/>
  <c r="BY440" i="8"/>
  <c r="BX440" i="8"/>
  <c r="BW440" i="8"/>
  <c r="BV440" i="8"/>
  <c r="AU440" i="8"/>
  <c r="AG440" i="8"/>
  <c r="AF440" i="8"/>
  <c r="CE439" i="8"/>
  <c r="CD439" i="8"/>
  <c r="CC439" i="8"/>
  <c r="CB439" i="8"/>
  <c r="CA439" i="8"/>
  <c r="BZ439" i="8"/>
  <c r="BY439" i="8"/>
  <c r="BX439" i="8"/>
  <c r="BW439" i="8"/>
  <c r="BV439" i="8"/>
  <c r="AU439" i="8"/>
  <c r="AG439" i="8"/>
  <c r="AF439" i="8"/>
  <c r="CE438" i="8"/>
  <c r="CD438" i="8"/>
  <c r="CC438" i="8"/>
  <c r="CB438" i="8"/>
  <c r="CA438" i="8"/>
  <c r="BZ438" i="8"/>
  <c r="BY438" i="8"/>
  <c r="BX438" i="8"/>
  <c r="BW438" i="8"/>
  <c r="BV438" i="8"/>
  <c r="AU438" i="8"/>
  <c r="AG438" i="8"/>
  <c r="AF438" i="8"/>
  <c r="CE437" i="8"/>
  <c r="CD437" i="8"/>
  <c r="CC437" i="8"/>
  <c r="CB437" i="8"/>
  <c r="CA437" i="8"/>
  <c r="BZ437" i="8"/>
  <c r="BY437" i="8"/>
  <c r="BX437" i="8"/>
  <c r="BW437" i="8"/>
  <c r="BV437" i="8"/>
  <c r="AU437" i="8"/>
  <c r="AG437" i="8"/>
  <c r="AF437" i="8"/>
  <c r="CE436" i="8"/>
  <c r="CD436" i="8"/>
  <c r="CC436" i="8"/>
  <c r="CB436" i="8"/>
  <c r="CA436" i="8"/>
  <c r="BZ436" i="8"/>
  <c r="BY436" i="8"/>
  <c r="BX436" i="8"/>
  <c r="BW436" i="8"/>
  <c r="BV436" i="8"/>
  <c r="AU436" i="8"/>
  <c r="AG436" i="8"/>
  <c r="AF436" i="8"/>
  <c r="CE435" i="8"/>
  <c r="CD435" i="8"/>
  <c r="CC435" i="8"/>
  <c r="CB435" i="8"/>
  <c r="CA435" i="8"/>
  <c r="BZ435" i="8"/>
  <c r="BY435" i="8"/>
  <c r="BX435" i="8"/>
  <c r="BW435" i="8"/>
  <c r="BV435" i="8"/>
  <c r="AU435" i="8"/>
  <c r="AG435" i="8"/>
  <c r="AF435" i="8"/>
  <c r="CE434" i="8"/>
  <c r="CD434" i="8"/>
  <c r="CC434" i="8"/>
  <c r="CB434" i="8"/>
  <c r="CA434" i="8"/>
  <c r="BZ434" i="8"/>
  <c r="BY434" i="8"/>
  <c r="BX434" i="8"/>
  <c r="BW434" i="8"/>
  <c r="BV434" i="8"/>
  <c r="AU434" i="8"/>
  <c r="AG434" i="8"/>
  <c r="AF434" i="8"/>
  <c r="CE433" i="8"/>
  <c r="CD433" i="8"/>
  <c r="CC433" i="8"/>
  <c r="CB433" i="8"/>
  <c r="CA433" i="8"/>
  <c r="BZ433" i="8"/>
  <c r="BY433" i="8"/>
  <c r="BX433" i="8"/>
  <c r="BW433" i="8"/>
  <c r="BV433" i="8"/>
  <c r="AU433" i="8"/>
  <c r="AG433" i="8"/>
  <c r="AF433" i="8"/>
  <c r="CE432" i="8"/>
  <c r="CD432" i="8"/>
  <c r="CC432" i="8"/>
  <c r="CB432" i="8"/>
  <c r="CA432" i="8"/>
  <c r="BZ432" i="8"/>
  <c r="BY432" i="8"/>
  <c r="BX432" i="8"/>
  <c r="BW432" i="8"/>
  <c r="BV432" i="8"/>
  <c r="AU432" i="8"/>
  <c r="AG432" i="8"/>
  <c r="AF432" i="8"/>
  <c r="CE431" i="8"/>
  <c r="CD431" i="8"/>
  <c r="CC431" i="8"/>
  <c r="CB431" i="8"/>
  <c r="CA431" i="8"/>
  <c r="BZ431" i="8"/>
  <c r="BY431" i="8"/>
  <c r="BX431" i="8"/>
  <c r="BW431" i="8"/>
  <c r="BV431" i="8"/>
  <c r="AU431" i="8"/>
  <c r="AG431" i="8"/>
  <c r="AF431" i="8"/>
  <c r="CE430" i="8"/>
  <c r="CD430" i="8"/>
  <c r="CC430" i="8"/>
  <c r="CB430" i="8"/>
  <c r="CA430" i="8"/>
  <c r="BZ430" i="8"/>
  <c r="BY430" i="8"/>
  <c r="BX430" i="8"/>
  <c r="BW430" i="8"/>
  <c r="BV430" i="8"/>
  <c r="AU430" i="8"/>
  <c r="AG430" i="8"/>
  <c r="AF430" i="8"/>
  <c r="CE429" i="8"/>
  <c r="CD429" i="8"/>
  <c r="CC429" i="8"/>
  <c r="CB429" i="8"/>
  <c r="CA429" i="8"/>
  <c r="BZ429" i="8"/>
  <c r="BY429" i="8"/>
  <c r="BX429" i="8"/>
  <c r="BW429" i="8"/>
  <c r="BV429" i="8"/>
  <c r="AU429" i="8"/>
  <c r="AG429" i="8"/>
  <c r="AF429" i="8"/>
  <c r="CE428" i="8"/>
  <c r="CD428" i="8"/>
  <c r="CC428" i="8"/>
  <c r="CB428" i="8"/>
  <c r="CA428" i="8"/>
  <c r="BZ428" i="8"/>
  <c r="BY428" i="8"/>
  <c r="BX428" i="8"/>
  <c r="BW428" i="8"/>
  <c r="BV428" i="8"/>
  <c r="AU428" i="8"/>
  <c r="AG428" i="8"/>
  <c r="AF428" i="8"/>
  <c r="CE427" i="8"/>
  <c r="CD427" i="8"/>
  <c r="CC427" i="8"/>
  <c r="CB427" i="8"/>
  <c r="CA427" i="8"/>
  <c r="BZ427" i="8"/>
  <c r="BY427" i="8"/>
  <c r="BX427" i="8"/>
  <c r="BW427" i="8"/>
  <c r="BV427" i="8"/>
  <c r="AU427" i="8"/>
  <c r="AG427" i="8"/>
  <c r="AF427" i="8"/>
  <c r="CE426" i="8"/>
  <c r="CD426" i="8"/>
  <c r="CC426" i="8"/>
  <c r="CB426" i="8"/>
  <c r="CA426" i="8"/>
  <c r="BZ426" i="8"/>
  <c r="BY426" i="8"/>
  <c r="BX426" i="8"/>
  <c r="BW426" i="8"/>
  <c r="BV426" i="8"/>
  <c r="AU426" i="8"/>
  <c r="AG426" i="8"/>
  <c r="AF426" i="8"/>
  <c r="CE425" i="8"/>
  <c r="CD425" i="8"/>
  <c r="CC425" i="8"/>
  <c r="CB425" i="8"/>
  <c r="CA425" i="8"/>
  <c r="BZ425" i="8"/>
  <c r="BY425" i="8"/>
  <c r="BX425" i="8"/>
  <c r="BW425" i="8"/>
  <c r="BV425" i="8"/>
  <c r="AU425" i="8"/>
  <c r="AG425" i="8"/>
  <c r="AF425" i="8"/>
  <c r="CE424" i="8"/>
  <c r="CD424" i="8"/>
  <c r="CC424" i="8"/>
  <c r="CB424" i="8"/>
  <c r="CA424" i="8"/>
  <c r="BZ424" i="8"/>
  <c r="BY424" i="8"/>
  <c r="BX424" i="8"/>
  <c r="BW424" i="8"/>
  <c r="BV424" i="8"/>
  <c r="AU424" i="8"/>
  <c r="AG424" i="8"/>
  <c r="AF424" i="8"/>
  <c r="CE423" i="8"/>
  <c r="CD423" i="8"/>
  <c r="CC423" i="8"/>
  <c r="CB423" i="8"/>
  <c r="CA423" i="8"/>
  <c r="BZ423" i="8"/>
  <c r="BY423" i="8"/>
  <c r="BX423" i="8"/>
  <c r="BW423" i="8"/>
  <c r="BV423" i="8"/>
  <c r="AU423" i="8"/>
  <c r="AG423" i="8"/>
  <c r="AF423" i="8"/>
  <c r="CE422" i="8"/>
  <c r="CD422" i="8"/>
  <c r="CC422" i="8"/>
  <c r="CB422" i="8"/>
  <c r="CA422" i="8"/>
  <c r="BZ422" i="8"/>
  <c r="BY422" i="8"/>
  <c r="BX422" i="8"/>
  <c r="BW422" i="8"/>
  <c r="BV422" i="8"/>
  <c r="AU422" i="8"/>
  <c r="AG422" i="8"/>
  <c r="AF422" i="8"/>
  <c r="CE421" i="8"/>
  <c r="CD421" i="8"/>
  <c r="CC421" i="8"/>
  <c r="CB421" i="8"/>
  <c r="CA421" i="8"/>
  <c r="BZ421" i="8"/>
  <c r="BY421" i="8"/>
  <c r="BX421" i="8"/>
  <c r="BW421" i="8"/>
  <c r="BV421" i="8"/>
  <c r="AU421" i="8"/>
  <c r="AG421" i="8"/>
  <c r="AF421" i="8"/>
  <c r="CE420" i="8"/>
  <c r="CD420" i="8"/>
  <c r="CC420" i="8"/>
  <c r="CB420" i="8"/>
  <c r="CA420" i="8"/>
  <c r="BZ420" i="8"/>
  <c r="BY420" i="8"/>
  <c r="BX420" i="8"/>
  <c r="BW420" i="8"/>
  <c r="BV420" i="8"/>
  <c r="AU420" i="8"/>
  <c r="AG420" i="8"/>
  <c r="AF420" i="8"/>
  <c r="CE419" i="8"/>
  <c r="CD419" i="8"/>
  <c r="CC419" i="8"/>
  <c r="CB419" i="8"/>
  <c r="CA419" i="8"/>
  <c r="BZ419" i="8"/>
  <c r="BY419" i="8"/>
  <c r="BX419" i="8"/>
  <c r="BW419" i="8"/>
  <c r="BV419" i="8"/>
  <c r="AU419" i="8"/>
  <c r="AG419" i="8"/>
  <c r="AF419" i="8"/>
  <c r="CE418" i="8"/>
  <c r="CD418" i="8"/>
  <c r="CC418" i="8"/>
  <c r="CB418" i="8"/>
  <c r="CA418" i="8"/>
  <c r="BZ418" i="8"/>
  <c r="BY418" i="8"/>
  <c r="BX418" i="8"/>
  <c r="BW418" i="8"/>
  <c r="BV418" i="8"/>
  <c r="AU418" i="8"/>
  <c r="AG418" i="8"/>
  <c r="AF418" i="8"/>
  <c r="CE417" i="8"/>
  <c r="CD417" i="8"/>
  <c r="CC417" i="8"/>
  <c r="CB417" i="8"/>
  <c r="CA417" i="8"/>
  <c r="BZ417" i="8"/>
  <c r="BY417" i="8"/>
  <c r="BX417" i="8"/>
  <c r="BW417" i="8"/>
  <c r="BV417" i="8"/>
  <c r="AU417" i="8"/>
  <c r="AG417" i="8"/>
  <c r="AF417" i="8"/>
  <c r="CE416" i="8"/>
  <c r="CD416" i="8"/>
  <c r="CC416" i="8"/>
  <c r="CB416" i="8"/>
  <c r="CA416" i="8"/>
  <c r="BZ416" i="8"/>
  <c r="BY416" i="8"/>
  <c r="BX416" i="8"/>
  <c r="BW416" i="8"/>
  <c r="BV416" i="8"/>
  <c r="AU416" i="8"/>
  <c r="AG416" i="8"/>
  <c r="AF416" i="8"/>
  <c r="CE415" i="8"/>
  <c r="CD415" i="8"/>
  <c r="CC415" i="8"/>
  <c r="CB415" i="8"/>
  <c r="CA415" i="8"/>
  <c r="BZ415" i="8"/>
  <c r="BY415" i="8"/>
  <c r="BX415" i="8"/>
  <c r="BW415" i="8"/>
  <c r="BV415" i="8"/>
  <c r="AU415" i="8"/>
  <c r="AG415" i="8"/>
  <c r="AF415" i="8"/>
  <c r="CE414" i="8"/>
  <c r="CD414" i="8"/>
  <c r="CC414" i="8"/>
  <c r="CB414" i="8"/>
  <c r="CA414" i="8"/>
  <c r="BZ414" i="8"/>
  <c r="BY414" i="8"/>
  <c r="BX414" i="8"/>
  <c r="BW414" i="8"/>
  <c r="BV414" i="8"/>
  <c r="AU414" i="8"/>
  <c r="AG414" i="8"/>
  <c r="AF414" i="8"/>
  <c r="CE413" i="8"/>
  <c r="CD413" i="8"/>
  <c r="CC413" i="8"/>
  <c r="CB413" i="8"/>
  <c r="CA413" i="8"/>
  <c r="BZ413" i="8"/>
  <c r="BY413" i="8"/>
  <c r="BX413" i="8"/>
  <c r="BW413" i="8"/>
  <c r="BV413" i="8"/>
  <c r="AU413" i="8"/>
  <c r="AG413" i="8"/>
  <c r="AF413" i="8"/>
  <c r="CE412" i="8"/>
  <c r="CD412" i="8"/>
  <c r="CC412" i="8"/>
  <c r="CB412" i="8"/>
  <c r="CA412" i="8"/>
  <c r="BZ412" i="8"/>
  <c r="BY412" i="8"/>
  <c r="BX412" i="8"/>
  <c r="BW412" i="8"/>
  <c r="BV412" i="8"/>
  <c r="AU412" i="8"/>
  <c r="AG412" i="8"/>
  <c r="AF412" i="8"/>
  <c r="CE411" i="8"/>
  <c r="CD411" i="8"/>
  <c r="CC411" i="8"/>
  <c r="CB411" i="8"/>
  <c r="CA411" i="8"/>
  <c r="BZ411" i="8"/>
  <c r="BY411" i="8"/>
  <c r="BX411" i="8"/>
  <c r="BW411" i="8"/>
  <c r="BV411" i="8"/>
  <c r="AU411" i="8"/>
  <c r="AG411" i="8"/>
  <c r="AF411" i="8"/>
  <c r="CE410" i="8"/>
  <c r="CD410" i="8"/>
  <c r="CC410" i="8"/>
  <c r="CB410" i="8"/>
  <c r="CA410" i="8"/>
  <c r="BZ410" i="8"/>
  <c r="BY410" i="8"/>
  <c r="BX410" i="8"/>
  <c r="BW410" i="8"/>
  <c r="BV410" i="8"/>
  <c r="AU410" i="8"/>
  <c r="AG410" i="8"/>
  <c r="AF410" i="8"/>
  <c r="CE409" i="8"/>
  <c r="CD409" i="8"/>
  <c r="CC409" i="8"/>
  <c r="CB409" i="8"/>
  <c r="CA409" i="8"/>
  <c r="BZ409" i="8"/>
  <c r="BY409" i="8"/>
  <c r="BX409" i="8"/>
  <c r="BW409" i="8"/>
  <c r="BV409" i="8"/>
  <c r="AU409" i="8"/>
  <c r="AG409" i="8"/>
  <c r="AF409" i="8"/>
  <c r="CE408" i="8"/>
  <c r="CD408" i="8"/>
  <c r="CC408" i="8"/>
  <c r="CB408" i="8"/>
  <c r="CA408" i="8"/>
  <c r="BZ408" i="8"/>
  <c r="BY408" i="8"/>
  <c r="BX408" i="8"/>
  <c r="BW408" i="8"/>
  <c r="BV408" i="8"/>
  <c r="AU408" i="8"/>
  <c r="AG408" i="8"/>
  <c r="AF408" i="8"/>
  <c r="CE407" i="8"/>
  <c r="CD407" i="8"/>
  <c r="CC407" i="8"/>
  <c r="CB407" i="8"/>
  <c r="CA407" i="8"/>
  <c r="BZ407" i="8"/>
  <c r="BY407" i="8"/>
  <c r="BX407" i="8"/>
  <c r="BW407" i="8"/>
  <c r="BV407" i="8"/>
  <c r="AU407" i="8"/>
  <c r="AG407" i="8"/>
  <c r="AF407" i="8"/>
  <c r="CE406" i="8"/>
  <c r="CD406" i="8"/>
  <c r="CC406" i="8"/>
  <c r="CB406" i="8"/>
  <c r="CA406" i="8"/>
  <c r="BZ406" i="8"/>
  <c r="BY406" i="8"/>
  <c r="BX406" i="8"/>
  <c r="BW406" i="8"/>
  <c r="BV406" i="8"/>
  <c r="AU406" i="8"/>
  <c r="AG406" i="8"/>
  <c r="AF406" i="8"/>
  <c r="CE405" i="8"/>
  <c r="CD405" i="8"/>
  <c r="CC405" i="8"/>
  <c r="CB405" i="8"/>
  <c r="CA405" i="8"/>
  <c r="BZ405" i="8"/>
  <c r="BY405" i="8"/>
  <c r="BX405" i="8"/>
  <c r="BW405" i="8"/>
  <c r="BV405" i="8"/>
  <c r="AU405" i="8"/>
  <c r="AG405" i="8"/>
  <c r="AF405" i="8"/>
  <c r="CE404" i="8"/>
  <c r="CD404" i="8"/>
  <c r="CC404" i="8"/>
  <c r="CB404" i="8"/>
  <c r="CA404" i="8"/>
  <c r="BZ404" i="8"/>
  <c r="BY404" i="8"/>
  <c r="BX404" i="8"/>
  <c r="BW404" i="8"/>
  <c r="BV404" i="8"/>
  <c r="AU404" i="8"/>
  <c r="AG404" i="8"/>
  <c r="AF404" i="8"/>
  <c r="CE403" i="8"/>
  <c r="CD403" i="8"/>
  <c r="CC403" i="8"/>
  <c r="CB403" i="8"/>
  <c r="CA403" i="8"/>
  <c r="BZ403" i="8"/>
  <c r="BY403" i="8"/>
  <c r="BX403" i="8"/>
  <c r="BW403" i="8"/>
  <c r="BV403" i="8"/>
  <c r="AU403" i="8"/>
  <c r="AG403" i="8"/>
  <c r="AF403" i="8"/>
  <c r="CE402" i="8"/>
  <c r="CD402" i="8"/>
  <c r="CC402" i="8"/>
  <c r="CB402" i="8"/>
  <c r="CA402" i="8"/>
  <c r="BZ402" i="8"/>
  <c r="BY402" i="8"/>
  <c r="BX402" i="8"/>
  <c r="BW402" i="8"/>
  <c r="BV402" i="8"/>
  <c r="AU402" i="8"/>
  <c r="AG402" i="8"/>
  <c r="AF402" i="8"/>
  <c r="CE401" i="8"/>
  <c r="CD401" i="8"/>
  <c r="CC401" i="8"/>
  <c r="CB401" i="8"/>
  <c r="CA401" i="8"/>
  <c r="BZ401" i="8"/>
  <c r="BY401" i="8"/>
  <c r="BX401" i="8"/>
  <c r="BW401" i="8"/>
  <c r="BV401" i="8"/>
  <c r="AU401" i="8"/>
  <c r="AG401" i="8"/>
  <c r="AF401" i="8"/>
  <c r="CE400" i="8"/>
  <c r="CD400" i="8"/>
  <c r="CC400" i="8"/>
  <c r="CB400" i="8"/>
  <c r="CA400" i="8"/>
  <c r="BZ400" i="8"/>
  <c r="BY400" i="8"/>
  <c r="BX400" i="8"/>
  <c r="BW400" i="8"/>
  <c r="BV400" i="8"/>
  <c r="AU400" i="8"/>
  <c r="AG400" i="8"/>
  <c r="AF400" i="8"/>
  <c r="CE399" i="8"/>
  <c r="CD399" i="8"/>
  <c r="CC399" i="8"/>
  <c r="CB399" i="8"/>
  <c r="CA399" i="8"/>
  <c r="BZ399" i="8"/>
  <c r="BY399" i="8"/>
  <c r="BX399" i="8"/>
  <c r="BW399" i="8"/>
  <c r="BV399" i="8"/>
  <c r="AU399" i="8"/>
  <c r="AG399" i="8"/>
  <c r="AF399" i="8"/>
  <c r="CE398" i="8"/>
  <c r="CD398" i="8"/>
  <c r="CC398" i="8"/>
  <c r="CB398" i="8"/>
  <c r="CA398" i="8"/>
  <c r="BZ398" i="8"/>
  <c r="BY398" i="8"/>
  <c r="BX398" i="8"/>
  <c r="BW398" i="8"/>
  <c r="BV398" i="8"/>
  <c r="AU398" i="8"/>
  <c r="AG398" i="8"/>
  <c r="AF398" i="8"/>
  <c r="CE397" i="8"/>
  <c r="CD397" i="8"/>
  <c r="CC397" i="8"/>
  <c r="CB397" i="8"/>
  <c r="CA397" i="8"/>
  <c r="BZ397" i="8"/>
  <c r="BY397" i="8"/>
  <c r="BX397" i="8"/>
  <c r="BW397" i="8"/>
  <c r="BV397" i="8"/>
  <c r="AU397" i="8"/>
  <c r="AG397" i="8"/>
  <c r="AF397" i="8"/>
  <c r="CE396" i="8"/>
  <c r="CD396" i="8"/>
  <c r="CC396" i="8"/>
  <c r="CB396" i="8"/>
  <c r="CA396" i="8"/>
  <c r="BZ396" i="8"/>
  <c r="BY396" i="8"/>
  <c r="BX396" i="8"/>
  <c r="BW396" i="8"/>
  <c r="BV396" i="8"/>
  <c r="AU396" i="8"/>
  <c r="AG396" i="8"/>
  <c r="AF396" i="8"/>
  <c r="CE395" i="8"/>
  <c r="CD395" i="8"/>
  <c r="CC395" i="8"/>
  <c r="CB395" i="8"/>
  <c r="CA395" i="8"/>
  <c r="BZ395" i="8"/>
  <c r="BY395" i="8"/>
  <c r="BX395" i="8"/>
  <c r="BW395" i="8"/>
  <c r="BV395" i="8"/>
  <c r="AU395" i="8"/>
  <c r="AG395" i="8"/>
  <c r="AF395" i="8"/>
  <c r="CE394" i="8"/>
  <c r="CD394" i="8"/>
  <c r="CC394" i="8"/>
  <c r="CB394" i="8"/>
  <c r="CA394" i="8"/>
  <c r="BZ394" i="8"/>
  <c r="BY394" i="8"/>
  <c r="BX394" i="8"/>
  <c r="BW394" i="8"/>
  <c r="BV394" i="8"/>
  <c r="AU394" i="8"/>
  <c r="AG394" i="8"/>
  <c r="AF394" i="8"/>
  <c r="CE393" i="8"/>
  <c r="CD393" i="8"/>
  <c r="CC393" i="8"/>
  <c r="CB393" i="8"/>
  <c r="CA393" i="8"/>
  <c r="BZ393" i="8"/>
  <c r="BY393" i="8"/>
  <c r="BX393" i="8"/>
  <c r="BW393" i="8"/>
  <c r="BV393" i="8"/>
  <c r="AU393" i="8"/>
  <c r="AG393" i="8"/>
  <c r="AF393" i="8"/>
  <c r="CE392" i="8"/>
  <c r="CD392" i="8"/>
  <c r="CC392" i="8"/>
  <c r="CB392" i="8"/>
  <c r="CA392" i="8"/>
  <c r="BZ392" i="8"/>
  <c r="BY392" i="8"/>
  <c r="BX392" i="8"/>
  <c r="BW392" i="8"/>
  <c r="BV392" i="8"/>
  <c r="AU392" i="8"/>
  <c r="AG392" i="8"/>
  <c r="AF392" i="8"/>
  <c r="CE391" i="8"/>
  <c r="CD391" i="8"/>
  <c r="CC391" i="8"/>
  <c r="CB391" i="8"/>
  <c r="CA391" i="8"/>
  <c r="BZ391" i="8"/>
  <c r="BY391" i="8"/>
  <c r="BX391" i="8"/>
  <c r="BW391" i="8"/>
  <c r="BV391" i="8"/>
  <c r="AU391" i="8"/>
  <c r="AG391" i="8"/>
  <c r="AF391" i="8"/>
  <c r="CE390" i="8"/>
  <c r="CD390" i="8"/>
  <c r="CC390" i="8"/>
  <c r="CB390" i="8"/>
  <c r="CA390" i="8"/>
  <c r="BZ390" i="8"/>
  <c r="BY390" i="8"/>
  <c r="BX390" i="8"/>
  <c r="BW390" i="8"/>
  <c r="BV390" i="8"/>
  <c r="AU390" i="8"/>
  <c r="AG390" i="8"/>
  <c r="AF390" i="8"/>
  <c r="CE389" i="8"/>
  <c r="CD389" i="8"/>
  <c r="CC389" i="8"/>
  <c r="CB389" i="8"/>
  <c r="CA389" i="8"/>
  <c r="BZ389" i="8"/>
  <c r="BY389" i="8"/>
  <c r="BX389" i="8"/>
  <c r="BW389" i="8"/>
  <c r="BV389" i="8"/>
  <c r="AU389" i="8"/>
  <c r="AG389" i="8"/>
  <c r="AF389" i="8"/>
  <c r="CE388" i="8"/>
  <c r="CD388" i="8"/>
  <c r="CC388" i="8"/>
  <c r="CB388" i="8"/>
  <c r="CA388" i="8"/>
  <c r="BZ388" i="8"/>
  <c r="BY388" i="8"/>
  <c r="BX388" i="8"/>
  <c r="BW388" i="8"/>
  <c r="BV388" i="8"/>
  <c r="AU388" i="8"/>
  <c r="AG388" i="8"/>
  <c r="AF388" i="8"/>
  <c r="CE387" i="8"/>
  <c r="CD387" i="8"/>
  <c r="CC387" i="8"/>
  <c r="CB387" i="8"/>
  <c r="CA387" i="8"/>
  <c r="BZ387" i="8"/>
  <c r="BY387" i="8"/>
  <c r="BX387" i="8"/>
  <c r="BW387" i="8"/>
  <c r="BV387" i="8"/>
  <c r="AU387" i="8"/>
  <c r="AG387" i="8"/>
  <c r="AF387" i="8"/>
  <c r="CE386" i="8"/>
  <c r="CD386" i="8"/>
  <c r="CC386" i="8"/>
  <c r="CB386" i="8"/>
  <c r="CA386" i="8"/>
  <c r="BZ386" i="8"/>
  <c r="BY386" i="8"/>
  <c r="BX386" i="8"/>
  <c r="BW386" i="8"/>
  <c r="BV386" i="8"/>
  <c r="AU386" i="8"/>
  <c r="AG386" i="8"/>
  <c r="AF386" i="8"/>
  <c r="CE385" i="8"/>
  <c r="CD385" i="8"/>
  <c r="CC385" i="8"/>
  <c r="CB385" i="8"/>
  <c r="CA385" i="8"/>
  <c r="BZ385" i="8"/>
  <c r="BY385" i="8"/>
  <c r="BX385" i="8"/>
  <c r="BW385" i="8"/>
  <c r="BV385" i="8"/>
  <c r="AU385" i="8"/>
  <c r="AG385" i="8"/>
  <c r="AF385" i="8"/>
  <c r="CE384" i="8"/>
  <c r="CD384" i="8"/>
  <c r="CC384" i="8"/>
  <c r="CB384" i="8"/>
  <c r="CA384" i="8"/>
  <c r="BZ384" i="8"/>
  <c r="BY384" i="8"/>
  <c r="BX384" i="8"/>
  <c r="BW384" i="8"/>
  <c r="BV384" i="8"/>
  <c r="AU384" i="8"/>
  <c r="AG384" i="8"/>
  <c r="AF384" i="8"/>
  <c r="CE383" i="8"/>
  <c r="CD383" i="8"/>
  <c r="CC383" i="8"/>
  <c r="CB383" i="8"/>
  <c r="CA383" i="8"/>
  <c r="BZ383" i="8"/>
  <c r="BY383" i="8"/>
  <c r="BX383" i="8"/>
  <c r="BW383" i="8"/>
  <c r="BV383" i="8"/>
  <c r="AU383" i="8"/>
  <c r="AG383" i="8"/>
  <c r="AF383" i="8"/>
  <c r="CE382" i="8"/>
  <c r="CD382" i="8"/>
  <c r="CC382" i="8"/>
  <c r="CB382" i="8"/>
  <c r="CA382" i="8"/>
  <c r="BZ382" i="8"/>
  <c r="BY382" i="8"/>
  <c r="BX382" i="8"/>
  <c r="BW382" i="8"/>
  <c r="BV382" i="8"/>
  <c r="AU382" i="8"/>
  <c r="AG382" i="8"/>
  <c r="AF382" i="8"/>
  <c r="CE381" i="8"/>
  <c r="CD381" i="8"/>
  <c r="CC381" i="8"/>
  <c r="CB381" i="8"/>
  <c r="CA381" i="8"/>
  <c r="BZ381" i="8"/>
  <c r="BY381" i="8"/>
  <c r="BX381" i="8"/>
  <c r="BW381" i="8"/>
  <c r="BV381" i="8"/>
  <c r="AU381" i="8"/>
  <c r="AG381" i="8"/>
  <c r="AF381" i="8"/>
  <c r="CE380" i="8"/>
  <c r="CD380" i="8"/>
  <c r="CC380" i="8"/>
  <c r="CB380" i="8"/>
  <c r="CA380" i="8"/>
  <c r="BZ380" i="8"/>
  <c r="BY380" i="8"/>
  <c r="BX380" i="8"/>
  <c r="BW380" i="8"/>
  <c r="BV380" i="8"/>
  <c r="AU380" i="8"/>
  <c r="AG380" i="8"/>
  <c r="AF380" i="8"/>
  <c r="CE379" i="8"/>
  <c r="CD379" i="8"/>
  <c r="CC379" i="8"/>
  <c r="CB379" i="8"/>
  <c r="CA379" i="8"/>
  <c r="BZ379" i="8"/>
  <c r="BY379" i="8"/>
  <c r="BX379" i="8"/>
  <c r="BW379" i="8"/>
  <c r="BV379" i="8"/>
  <c r="AU379" i="8"/>
  <c r="AG379" i="8"/>
  <c r="AF379" i="8"/>
  <c r="CE378" i="8"/>
  <c r="CD378" i="8"/>
  <c r="CC378" i="8"/>
  <c r="CB378" i="8"/>
  <c r="CA378" i="8"/>
  <c r="BZ378" i="8"/>
  <c r="BY378" i="8"/>
  <c r="BX378" i="8"/>
  <c r="BW378" i="8"/>
  <c r="BV378" i="8"/>
  <c r="AU378" i="8"/>
  <c r="AG378" i="8"/>
  <c r="AF378" i="8"/>
  <c r="CE377" i="8"/>
  <c r="CD377" i="8"/>
  <c r="CC377" i="8"/>
  <c r="CB377" i="8"/>
  <c r="CA377" i="8"/>
  <c r="BZ377" i="8"/>
  <c r="BY377" i="8"/>
  <c r="BX377" i="8"/>
  <c r="BW377" i="8"/>
  <c r="BV377" i="8"/>
  <c r="AU377" i="8"/>
  <c r="AG377" i="8"/>
  <c r="AF377" i="8"/>
  <c r="CE376" i="8"/>
  <c r="CD376" i="8"/>
  <c r="CC376" i="8"/>
  <c r="CB376" i="8"/>
  <c r="CA376" i="8"/>
  <c r="BZ376" i="8"/>
  <c r="BY376" i="8"/>
  <c r="BX376" i="8"/>
  <c r="BW376" i="8"/>
  <c r="BV376" i="8"/>
  <c r="AU376" i="8"/>
  <c r="AG376" i="8"/>
  <c r="AF376" i="8"/>
  <c r="CE375" i="8"/>
  <c r="CD375" i="8"/>
  <c r="CC375" i="8"/>
  <c r="CB375" i="8"/>
  <c r="CA375" i="8"/>
  <c r="BZ375" i="8"/>
  <c r="BY375" i="8"/>
  <c r="BX375" i="8"/>
  <c r="BW375" i="8"/>
  <c r="BV375" i="8"/>
  <c r="AU375" i="8"/>
  <c r="AG375" i="8"/>
  <c r="AF375" i="8"/>
  <c r="CE374" i="8"/>
  <c r="CD374" i="8"/>
  <c r="CC374" i="8"/>
  <c r="CB374" i="8"/>
  <c r="CA374" i="8"/>
  <c r="BZ374" i="8"/>
  <c r="BY374" i="8"/>
  <c r="BX374" i="8"/>
  <c r="BW374" i="8"/>
  <c r="BV374" i="8"/>
  <c r="AU374" i="8"/>
  <c r="AG374" i="8"/>
  <c r="AF374" i="8"/>
  <c r="CE373" i="8"/>
  <c r="CD373" i="8"/>
  <c r="CC373" i="8"/>
  <c r="CB373" i="8"/>
  <c r="CA373" i="8"/>
  <c r="BZ373" i="8"/>
  <c r="BY373" i="8"/>
  <c r="BX373" i="8"/>
  <c r="BW373" i="8"/>
  <c r="BV373" i="8"/>
  <c r="AU373" i="8"/>
  <c r="AG373" i="8"/>
  <c r="AF373" i="8"/>
  <c r="CE372" i="8"/>
  <c r="CD372" i="8"/>
  <c r="CC372" i="8"/>
  <c r="CB372" i="8"/>
  <c r="CA372" i="8"/>
  <c r="BZ372" i="8"/>
  <c r="BY372" i="8"/>
  <c r="BX372" i="8"/>
  <c r="BW372" i="8"/>
  <c r="BV372" i="8"/>
  <c r="AU372" i="8"/>
  <c r="AG372" i="8"/>
  <c r="AF372" i="8"/>
  <c r="CE371" i="8"/>
  <c r="CD371" i="8"/>
  <c r="CC371" i="8"/>
  <c r="CB371" i="8"/>
  <c r="CA371" i="8"/>
  <c r="BZ371" i="8"/>
  <c r="BY371" i="8"/>
  <c r="BX371" i="8"/>
  <c r="BW371" i="8"/>
  <c r="BV371" i="8"/>
  <c r="AU371" i="8"/>
  <c r="AG371" i="8"/>
  <c r="AF371" i="8"/>
  <c r="CE370" i="8"/>
  <c r="CD370" i="8"/>
  <c r="CC370" i="8"/>
  <c r="CB370" i="8"/>
  <c r="CA370" i="8"/>
  <c r="BZ370" i="8"/>
  <c r="BY370" i="8"/>
  <c r="BX370" i="8"/>
  <c r="BW370" i="8"/>
  <c r="BV370" i="8"/>
  <c r="AU370" i="8"/>
  <c r="AG370" i="8"/>
  <c r="AF370" i="8"/>
  <c r="CE369" i="8"/>
  <c r="CD369" i="8"/>
  <c r="CC369" i="8"/>
  <c r="CB369" i="8"/>
  <c r="CA369" i="8"/>
  <c r="BZ369" i="8"/>
  <c r="BY369" i="8"/>
  <c r="BX369" i="8"/>
  <c r="BW369" i="8"/>
  <c r="BV369" i="8"/>
  <c r="AU369" i="8"/>
  <c r="AG369" i="8"/>
  <c r="AF369" i="8"/>
  <c r="CE368" i="8"/>
  <c r="CD368" i="8"/>
  <c r="CC368" i="8"/>
  <c r="CB368" i="8"/>
  <c r="CA368" i="8"/>
  <c r="BZ368" i="8"/>
  <c r="BY368" i="8"/>
  <c r="BX368" i="8"/>
  <c r="BW368" i="8"/>
  <c r="BV368" i="8"/>
  <c r="AU368" i="8"/>
  <c r="AG368" i="8"/>
  <c r="AF368" i="8"/>
  <c r="CE367" i="8"/>
  <c r="CD367" i="8"/>
  <c r="CC367" i="8"/>
  <c r="CB367" i="8"/>
  <c r="CA367" i="8"/>
  <c r="BZ367" i="8"/>
  <c r="BY367" i="8"/>
  <c r="BX367" i="8"/>
  <c r="BW367" i="8"/>
  <c r="BV367" i="8"/>
  <c r="AU367" i="8"/>
  <c r="AG367" i="8"/>
  <c r="AF367" i="8"/>
  <c r="CE366" i="8"/>
  <c r="CD366" i="8"/>
  <c r="CC366" i="8"/>
  <c r="CB366" i="8"/>
  <c r="CA366" i="8"/>
  <c r="BZ366" i="8"/>
  <c r="BY366" i="8"/>
  <c r="BX366" i="8"/>
  <c r="BW366" i="8"/>
  <c r="BV366" i="8"/>
  <c r="AU366" i="8"/>
  <c r="AG366" i="8"/>
  <c r="AF366" i="8"/>
  <c r="CE365" i="8"/>
  <c r="CD365" i="8"/>
  <c r="CC365" i="8"/>
  <c r="CB365" i="8"/>
  <c r="CA365" i="8"/>
  <c r="BZ365" i="8"/>
  <c r="BY365" i="8"/>
  <c r="BX365" i="8"/>
  <c r="BW365" i="8"/>
  <c r="BV365" i="8"/>
  <c r="AU365" i="8"/>
  <c r="AG365" i="8"/>
  <c r="AF365" i="8"/>
  <c r="CE364" i="8"/>
  <c r="CD364" i="8"/>
  <c r="CC364" i="8"/>
  <c r="CB364" i="8"/>
  <c r="CA364" i="8"/>
  <c r="BZ364" i="8"/>
  <c r="BY364" i="8"/>
  <c r="BX364" i="8"/>
  <c r="BW364" i="8"/>
  <c r="BV364" i="8"/>
  <c r="AU364" i="8"/>
  <c r="AG364" i="8"/>
  <c r="AF364" i="8"/>
  <c r="CE363" i="8"/>
  <c r="CD363" i="8"/>
  <c r="CC363" i="8"/>
  <c r="CB363" i="8"/>
  <c r="CA363" i="8"/>
  <c r="BZ363" i="8"/>
  <c r="BY363" i="8"/>
  <c r="BX363" i="8"/>
  <c r="BW363" i="8"/>
  <c r="BV363" i="8"/>
  <c r="AU363" i="8"/>
  <c r="AG363" i="8"/>
  <c r="AF363" i="8"/>
  <c r="CE362" i="8"/>
  <c r="CD362" i="8"/>
  <c r="CC362" i="8"/>
  <c r="CB362" i="8"/>
  <c r="CA362" i="8"/>
  <c r="BZ362" i="8"/>
  <c r="BY362" i="8"/>
  <c r="BX362" i="8"/>
  <c r="BW362" i="8"/>
  <c r="BV362" i="8"/>
  <c r="AU362" i="8"/>
  <c r="AG362" i="8"/>
  <c r="AF362" i="8"/>
  <c r="CE361" i="8"/>
  <c r="CD361" i="8"/>
  <c r="CC361" i="8"/>
  <c r="CB361" i="8"/>
  <c r="CA361" i="8"/>
  <c r="BZ361" i="8"/>
  <c r="BY361" i="8"/>
  <c r="BX361" i="8"/>
  <c r="BW361" i="8"/>
  <c r="BV361" i="8"/>
  <c r="AU361" i="8"/>
  <c r="AG361" i="8"/>
  <c r="AF361" i="8"/>
  <c r="CE360" i="8"/>
  <c r="CD360" i="8"/>
  <c r="CC360" i="8"/>
  <c r="CB360" i="8"/>
  <c r="CA360" i="8"/>
  <c r="BZ360" i="8"/>
  <c r="BY360" i="8"/>
  <c r="BX360" i="8"/>
  <c r="BW360" i="8"/>
  <c r="BV360" i="8"/>
  <c r="AU360" i="8"/>
  <c r="AG360" i="8"/>
  <c r="AF360" i="8"/>
  <c r="CE359" i="8"/>
  <c r="CD359" i="8"/>
  <c r="CC359" i="8"/>
  <c r="CB359" i="8"/>
  <c r="CA359" i="8"/>
  <c r="BZ359" i="8"/>
  <c r="BY359" i="8"/>
  <c r="BX359" i="8"/>
  <c r="BW359" i="8"/>
  <c r="BV359" i="8"/>
  <c r="AU359" i="8"/>
  <c r="AG359" i="8"/>
  <c r="AF359" i="8"/>
  <c r="CE358" i="8"/>
  <c r="CD358" i="8"/>
  <c r="CC358" i="8"/>
  <c r="CB358" i="8"/>
  <c r="CA358" i="8"/>
  <c r="BZ358" i="8"/>
  <c r="BY358" i="8"/>
  <c r="BX358" i="8"/>
  <c r="BW358" i="8"/>
  <c r="BV358" i="8"/>
  <c r="AU358" i="8"/>
  <c r="AG358" i="8"/>
  <c r="AF358" i="8"/>
  <c r="CE357" i="8"/>
  <c r="CD357" i="8"/>
  <c r="CC357" i="8"/>
  <c r="CB357" i="8"/>
  <c r="CA357" i="8"/>
  <c r="BZ357" i="8"/>
  <c r="BY357" i="8"/>
  <c r="BX357" i="8"/>
  <c r="BW357" i="8"/>
  <c r="BV357" i="8"/>
  <c r="AU357" i="8"/>
  <c r="AG357" i="8"/>
  <c r="AF357" i="8"/>
  <c r="CE356" i="8"/>
  <c r="CD356" i="8"/>
  <c r="CC356" i="8"/>
  <c r="CB356" i="8"/>
  <c r="CA356" i="8"/>
  <c r="BZ356" i="8"/>
  <c r="BY356" i="8"/>
  <c r="BX356" i="8"/>
  <c r="BW356" i="8"/>
  <c r="BV356" i="8"/>
  <c r="AU356" i="8"/>
  <c r="AG356" i="8"/>
  <c r="AF356" i="8"/>
  <c r="CE355" i="8"/>
  <c r="CD355" i="8"/>
  <c r="CC355" i="8"/>
  <c r="CB355" i="8"/>
  <c r="CA355" i="8"/>
  <c r="BZ355" i="8"/>
  <c r="BY355" i="8"/>
  <c r="BX355" i="8"/>
  <c r="BW355" i="8"/>
  <c r="BV355" i="8"/>
  <c r="AU355" i="8"/>
  <c r="AG355" i="8"/>
  <c r="AF355" i="8"/>
  <c r="CE354" i="8"/>
  <c r="CD354" i="8"/>
  <c r="CC354" i="8"/>
  <c r="CB354" i="8"/>
  <c r="CA354" i="8"/>
  <c r="BZ354" i="8"/>
  <c r="BY354" i="8"/>
  <c r="BX354" i="8"/>
  <c r="BW354" i="8"/>
  <c r="BV354" i="8"/>
  <c r="AU354" i="8"/>
  <c r="AG354" i="8"/>
  <c r="AF354" i="8"/>
  <c r="CE353" i="8"/>
  <c r="CD353" i="8"/>
  <c r="CC353" i="8"/>
  <c r="CB353" i="8"/>
  <c r="CA353" i="8"/>
  <c r="BZ353" i="8"/>
  <c r="BY353" i="8"/>
  <c r="BX353" i="8"/>
  <c r="BW353" i="8"/>
  <c r="BV353" i="8"/>
  <c r="AU353" i="8"/>
  <c r="AG353" i="8"/>
  <c r="AF353" i="8"/>
  <c r="CE352" i="8"/>
  <c r="CD352" i="8"/>
  <c r="CC352" i="8"/>
  <c r="CB352" i="8"/>
  <c r="CA352" i="8"/>
  <c r="BZ352" i="8"/>
  <c r="BY352" i="8"/>
  <c r="BX352" i="8"/>
  <c r="BW352" i="8"/>
  <c r="BV352" i="8"/>
  <c r="AU352" i="8"/>
  <c r="AG352" i="8"/>
  <c r="AF352" i="8"/>
  <c r="CE351" i="8"/>
  <c r="CD351" i="8"/>
  <c r="CC351" i="8"/>
  <c r="CB351" i="8"/>
  <c r="CA351" i="8"/>
  <c r="BZ351" i="8"/>
  <c r="BY351" i="8"/>
  <c r="BX351" i="8"/>
  <c r="BW351" i="8"/>
  <c r="BV351" i="8"/>
  <c r="AU351" i="8"/>
  <c r="AG351" i="8"/>
  <c r="AF351" i="8"/>
  <c r="CE350" i="8"/>
  <c r="CD350" i="8"/>
  <c r="CC350" i="8"/>
  <c r="CB350" i="8"/>
  <c r="CA350" i="8"/>
  <c r="BZ350" i="8"/>
  <c r="BY350" i="8"/>
  <c r="BX350" i="8"/>
  <c r="BW350" i="8"/>
  <c r="BV350" i="8"/>
  <c r="AU350" i="8"/>
  <c r="AG350" i="8"/>
  <c r="AF350" i="8"/>
  <c r="CE349" i="8"/>
  <c r="CD349" i="8"/>
  <c r="CC349" i="8"/>
  <c r="CB349" i="8"/>
  <c r="CA349" i="8"/>
  <c r="BZ349" i="8"/>
  <c r="BY349" i="8"/>
  <c r="BX349" i="8"/>
  <c r="BW349" i="8"/>
  <c r="BV349" i="8"/>
  <c r="AU349" i="8"/>
  <c r="AG349" i="8"/>
  <c r="AF349" i="8"/>
  <c r="CE348" i="8"/>
  <c r="CD348" i="8"/>
  <c r="CC348" i="8"/>
  <c r="CB348" i="8"/>
  <c r="CA348" i="8"/>
  <c r="BZ348" i="8"/>
  <c r="BY348" i="8"/>
  <c r="BX348" i="8"/>
  <c r="BW348" i="8"/>
  <c r="BV348" i="8"/>
  <c r="AU348" i="8"/>
  <c r="AG348" i="8"/>
  <c r="AF348" i="8"/>
  <c r="CE347" i="8"/>
  <c r="CD347" i="8"/>
  <c r="CC347" i="8"/>
  <c r="CB347" i="8"/>
  <c r="CA347" i="8"/>
  <c r="BZ347" i="8"/>
  <c r="BY347" i="8"/>
  <c r="BX347" i="8"/>
  <c r="BW347" i="8"/>
  <c r="BV347" i="8"/>
  <c r="AU347" i="8"/>
  <c r="AG347" i="8"/>
  <c r="AF347" i="8"/>
  <c r="CE346" i="8"/>
  <c r="CD346" i="8"/>
  <c r="CC346" i="8"/>
  <c r="CB346" i="8"/>
  <c r="CA346" i="8"/>
  <c r="BZ346" i="8"/>
  <c r="BY346" i="8"/>
  <c r="BX346" i="8"/>
  <c r="BW346" i="8"/>
  <c r="BV346" i="8"/>
  <c r="AU346" i="8"/>
  <c r="AG346" i="8"/>
  <c r="AF346" i="8"/>
  <c r="CE345" i="8"/>
  <c r="CD345" i="8"/>
  <c r="CC345" i="8"/>
  <c r="CB345" i="8"/>
  <c r="CA345" i="8"/>
  <c r="BZ345" i="8"/>
  <c r="BY345" i="8"/>
  <c r="BX345" i="8"/>
  <c r="BW345" i="8"/>
  <c r="BV345" i="8"/>
  <c r="AU345" i="8"/>
  <c r="AG345" i="8"/>
  <c r="AF345" i="8"/>
  <c r="CE344" i="8"/>
  <c r="CD344" i="8"/>
  <c r="CC344" i="8"/>
  <c r="CB344" i="8"/>
  <c r="CA344" i="8"/>
  <c r="BZ344" i="8"/>
  <c r="BY344" i="8"/>
  <c r="BX344" i="8"/>
  <c r="BW344" i="8"/>
  <c r="BV344" i="8"/>
  <c r="AU344" i="8"/>
  <c r="AG344" i="8"/>
  <c r="AF344" i="8"/>
  <c r="CE343" i="8"/>
  <c r="CD343" i="8"/>
  <c r="CC343" i="8"/>
  <c r="CB343" i="8"/>
  <c r="CA343" i="8"/>
  <c r="BZ343" i="8"/>
  <c r="BY343" i="8"/>
  <c r="BX343" i="8"/>
  <c r="BW343" i="8"/>
  <c r="BV343" i="8"/>
  <c r="AU343" i="8"/>
  <c r="AG343" i="8"/>
  <c r="AF343" i="8"/>
  <c r="CE342" i="8"/>
  <c r="CD342" i="8"/>
  <c r="CC342" i="8"/>
  <c r="CB342" i="8"/>
  <c r="CA342" i="8"/>
  <c r="BZ342" i="8"/>
  <c r="BY342" i="8"/>
  <c r="BX342" i="8"/>
  <c r="BW342" i="8"/>
  <c r="BV342" i="8"/>
  <c r="AU342" i="8"/>
  <c r="AG342" i="8"/>
  <c r="AF342" i="8"/>
  <c r="CE341" i="8"/>
  <c r="CD341" i="8"/>
  <c r="CC341" i="8"/>
  <c r="CB341" i="8"/>
  <c r="CA341" i="8"/>
  <c r="BZ341" i="8"/>
  <c r="BY341" i="8"/>
  <c r="BX341" i="8"/>
  <c r="BW341" i="8"/>
  <c r="BV341" i="8"/>
  <c r="AU341" i="8"/>
  <c r="AG341" i="8"/>
  <c r="AF341" i="8"/>
  <c r="S341" i="8"/>
  <c r="R341" i="8"/>
  <c r="Q341" i="8"/>
  <c r="P341" i="8"/>
  <c r="O341" i="8"/>
  <c r="CE340" i="8"/>
  <c r="CD340" i="8"/>
  <c r="CC340" i="8"/>
  <c r="CB340" i="8"/>
  <c r="CA340" i="8"/>
  <c r="BZ340" i="8"/>
  <c r="BY340" i="8"/>
  <c r="BX340" i="8"/>
  <c r="BW340" i="8"/>
  <c r="BV340" i="8"/>
  <c r="AU340" i="8"/>
  <c r="AG340" i="8"/>
  <c r="AF340" i="8"/>
  <c r="CE339" i="8"/>
  <c r="CD339" i="8"/>
  <c r="CC339" i="8"/>
  <c r="CB339" i="8"/>
  <c r="CA339" i="8"/>
  <c r="BZ339" i="8"/>
  <c r="BY339" i="8"/>
  <c r="BX339" i="8"/>
  <c r="BW339" i="8"/>
  <c r="BV339" i="8"/>
  <c r="AU339" i="8"/>
  <c r="AG339" i="8"/>
  <c r="AF339" i="8"/>
  <c r="CE338" i="8"/>
  <c r="CD338" i="8"/>
  <c r="CC338" i="8"/>
  <c r="CB338" i="8"/>
  <c r="CA338" i="8"/>
  <c r="BZ338" i="8"/>
  <c r="BY338" i="8"/>
  <c r="BX338" i="8"/>
  <c r="BW338" i="8"/>
  <c r="BV338" i="8"/>
  <c r="AU338" i="8"/>
  <c r="AG338" i="8"/>
  <c r="AF338" i="8"/>
  <c r="CE337" i="8"/>
  <c r="CD337" i="8"/>
  <c r="CC337" i="8"/>
  <c r="CB337" i="8"/>
  <c r="CA337" i="8"/>
  <c r="BZ337" i="8"/>
  <c r="BY337" i="8"/>
  <c r="BX337" i="8"/>
  <c r="BW337" i="8"/>
  <c r="BV337" i="8"/>
  <c r="AU337" i="8"/>
  <c r="AG337" i="8"/>
  <c r="AF337" i="8"/>
  <c r="CE336" i="8"/>
  <c r="CD336" i="8"/>
  <c r="CC336" i="8"/>
  <c r="CB336" i="8"/>
  <c r="CA336" i="8"/>
  <c r="BZ336" i="8"/>
  <c r="BY336" i="8"/>
  <c r="BX336" i="8"/>
  <c r="BW336" i="8"/>
  <c r="BV336" i="8"/>
  <c r="AU336" i="8"/>
  <c r="AG336" i="8"/>
  <c r="AF336" i="8"/>
  <c r="CE335" i="8"/>
  <c r="CD335" i="8"/>
  <c r="CC335" i="8"/>
  <c r="CB335" i="8"/>
  <c r="CA335" i="8"/>
  <c r="BZ335" i="8"/>
  <c r="BY335" i="8"/>
  <c r="BX335" i="8"/>
  <c r="BW335" i="8"/>
  <c r="BV335" i="8"/>
  <c r="AU335" i="8"/>
  <c r="AG335" i="8"/>
  <c r="AF335" i="8"/>
  <c r="CE334" i="8"/>
  <c r="CD334" i="8"/>
  <c r="CC334" i="8"/>
  <c r="CB334" i="8"/>
  <c r="CA334" i="8"/>
  <c r="BZ334" i="8"/>
  <c r="BY334" i="8"/>
  <c r="BX334" i="8"/>
  <c r="BW334" i="8"/>
  <c r="BV334" i="8"/>
  <c r="AU334" i="8"/>
  <c r="AG334" i="8"/>
  <c r="AF334" i="8"/>
  <c r="CE333" i="8"/>
  <c r="CD333" i="8"/>
  <c r="CC333" i="8"/>
  <c r="CB333" i="8"/>
  <c r="CA333" i="8"/>
  <c r="BZ333" i="8"/>
  <c r="BY333" i="8"/>
  <c r="BX333" i="8"/>
  <c r="BW333" i="8"/>
  <c r="BV333" i="8"/>
  <c r="AU333" i="8"/>
  <c r="AG333" i="8"/>
  <c r="AF333" i="8"/>
  <c r="CE332" i="8"/>
  <c r="CD332" i="8"/>
  <c r="CC332" i="8"/>
  <c r="CB332" i="8"/>
  <c r="CA332" i="8"/>
  <c r="BZ332" i="8"/>
  <c r="BY332" i="8"/>
  <c r="BX332" i="8"/>
  <c r="BW332" i="8"/>
  <c r="BV332" i="8"/>
  <c r="AU332" i="8"/>
  <c r="AG332" i="8"/>
  <c r="AF332" i="8"/>
  <c r="CE331" i="8"/>
  <c r="CD331" i="8"/>
  <c r="CC331" i="8"/>
  <c r="CB331" i="8"/>
  <c r="CA331" i="8"/>
  <c r="BZ331" i="8"/>
  <c r="BY331" i="8"/>
  <c r="BX331" i="8"/>
  <c r="BW331" i="8"/>
  <c r="BV331" i="8"/>
  <c r="AU331" i="8"/>
  <c r="AG331" i="8"/>
  <c r="AF331" i="8"/>
  <c r="CE330" i="8"/>
  <c r="CD330" i="8"/>
  <c r="CC330" i="8"/>
  <c r="CB330" i="8"/>
  <c r="CA330" i="8"/>
  <c r="BZ330" i="8"/>
  <c r="BY330" i="8"/>
  <c r="BX330" i="8"/>
  <c r="BW330" i="8"/>
  <c r="BV330" i="8"/>
  <c r="AU330" i="8"/>
  <c r="AG330" i="8"/>
  <c r="AF330" i="8"/>
  <c r="S330" i="8"/>
  <c r="R330" i="8"/>
  <c r="Q330" i="8"/>
  <c r="P330" i="8"/>
  <c r="O330" i="8"/>
  <c r="CE329" i="8"/>
  <c r="CD329" i="8"/>
  <c r="CC329" i="8"/>
  <c r="CB329" i="8"/>
  <c r="CA329" i="8"/>
  <c r="BZ329" i="8"/>
  <c r="BY329" i="8"/>
  <c r="BX329" i="8"/>
  <c r="BW329" i="8"/>
  <c r="BV329" i="8"/>
  <c r="AU329" i="8"/>
  <c r="AG329" i="8"/>
  <c r="AF329" i="8"/>
  <c r="O329" i="8"/>
  <c r="CE328" i="8"/>
  <c r="CD328" i="8"/>
  <c r="CC328" i="8"/>
  <c r="CB328" i="8"/>
  <c r="CA328" i="8"/>
  <c r="BZ328" i="8"/>
  <c r="BY328" i="8"/>
  <c r="BX328" i="8"/>
  <c r="BW328" i="8"/>
  <c r="BV328" i="8"/>
  <c r="AU328" i="8"/>
  <c r="AG328" i="8"/>
  <c r="AF328" i="8"/>
  <c r="O328" i="8"/>
  <c r="CE327" i="8"/>
  <c r="CD327" i="8"/>
  <c r="CC327" i="8"/>
  <c r="CB327" i="8"/>
  <c r="CA327" i="8"/>
  <c r="BZ327" i="8"/>
  <c r="BY327" i="8"/>
  <c r="BX327" i="8"/>
  <c r="BW327" i="8"/>
  <c r="BV327" i="8"/>
  <c r="AU327" i="8"/>
  <c r="AG327" i="8"/>
  <c r="AF327" i="8"/>
  <c r="O327" i="8"/>
  <c r="CE326" i="8"/>
  <c r="CD326" i="8"/>
  <c r="CC326" i="8"/>
  <c r="CB326" i="8"/>
  <c r="CA326" i="8"/>
  <c r="BZ326" i="8"/>
  <c r="BY326" i="8"/>
  <c r="BX326" i="8"/>
  <c r="BW326" i="8"/>
  <c r="BV326" i="8"/>
  <c r="AU326" i="8"/>
  <c r="AG326" i="8"/>
  <c r="AF326" i="8"/>
  <c r="O326" i="8"/>
  <c r="CE325" i="8"/>
  <c r="CD325" i="8"/>
  <c r="CC325" i="8"/>
  <c r="CB325" i="8"/>
  <c r="CA325" i="8"/>
  <c r="BZ325" i="8"/>
  <c r="BY325" i="8"/>
  <c r="BX325" i="8"/>
  <c r="BW325" i="8"/>
  <c r="BV325" i="8"/>
  <c r="AU325" i="8"/>
  <c r="AG325" i="8"/>
  <c r="AF325" i="8"/>
  <c r="CE324" i="8"/>
  <c r="CD324" i="8"/>
  <c r="CC324" i="8"/>
  <c r="CB324" i="8"/>
  <c r="CA324" i="8"/>
  <c r="BZ324" i="8"/>
  <c r="BY324" i="8"/>
  <c r="BX324" i="8"/>
  <c r="BW324" i="8"/>
  <c r="BV324" i="8"/>
  <c r="AU324" i="8"/>
  <c r="AG324" i="8"/>
  <c r="AF324" i="8"/>
  <c r="CE323" i="8"/>
  <c r="CD323" i="8"/>
  <c r="CC323" i="8"/>
  <c r="CB323" i="8"/>
  <c r="CA323" i="8"/>
  <c r="BZ323" i="8"/>
  <c r="BY323" i="8"/>
  <c r="BX323" i="8"/>
  <c r="BW323" i="8"/>
  <c r="BV323" i="8"/>
  <c r="AU323" i="8"/>
  <c r="AG323" i="8"/>
  <c r="AF323" i="8"/>
  <c r="S323" i="8"/>
  <c r="R323" i="8"/>
  <c r="Q323" i="8"/>
  <c r="P323" i="8"/>
  <c r="O323" i="8"/>
  <c r="CE322" i="8"/>
  <c r="CD322" i="8"/>
  <c r="CC322" i="8"/>
  <c r="CB322" i="8"/>
  <c r="CA322" i="8"/>
  <c r="BZ322" i="8"/>
  <c r="BY322" i="8"/>
  <c r="BX322" i="8"/>
  <c r="BW322" i="8"/>
  <c r="BV322" i="8"/>
  <c r="AU322" i="8"/>
  <c r="AG322" i="8"/>
  <c r="AF322" i="8"/>
  <c r="CE321" i="8"/>
  <c r="CD321" i="8"/>
  <c r="CC321" i="8"/>
  <c r="CB321" i="8"/>
  <c r="CA321" i="8"/>
  <c r="BZ321" i="8"/>
  <c r="BY321" i="8"/>
  <c r="BX321" i="8"/>
  <c r="BW321" i="8"/>
  <c r="BV321" i="8"/>
  <c r="AU321" i="8"/>
  <c r="AG321" i="8"/>
  <c r="AF321" i="8"/>
  <c r="CE320" i="8"/>
  <c r="CD320" i="8"/>
  <c r="CC320" i="8"/>
  <c r="CB320" i="8"/>
  <c r="CA320" i="8"/>
  <c r="BZ320" i="8"/>
  <c r="BY320" i="8"/>
  <c r="BX320" i="8"/>
  <c r="BW320" i="8"/>
  <c r="BV320" i="8"/>
  <c r="AU320" i="8"/>
  <c r="AG320" i="8"/>
  <c r="AF320" i="8"/>
  <c r="CE319" i="8"/>
  <c r="CD319" i="8"/>
  <c r="CC319" i="8"/>
  <c r="CB319" i="8"/>
  <c r="CA319" i="8"/>
  <c r="BZ319" i="8"/>
  <c r="BY319" i="8"/>
  <c r="BX319" i="8"/>
  <c r="BW319" i="8"/>
  <c r="BV319" i="8"/>
  <c r="AU319" i="8"/>
  <c r="AG319" i="8"/>
  <c r="AF319" i="8"/>
  <c r="CE318" i="8"/>
  <c r="CD318" i="8"/>
  <c r="CC318" i="8"/>
  <c r="CB318" i="8"/>
  <c r="CA318" i="8"/>
  <c r="BZ318" i="8"/>
  <c r="BY318" i="8"/>
  <c r="BX318" i="8"/>
  <c r="BW318" i="8"/>
  <c r="BV318" i="8"/>
  <c r="AU318" i="8"/>
  <c r="AG318" i="8"/>
  <c r="AF318" i="8"/>
  <c r="CE317" i="8"/>
  <c r="CD317" i="8"/>
  <c r="CC317" i="8"/>
  <c r="CB317" i="8"/>
  <c r="CA317" i="8"/>
  <c r="BZ317" i="8"/>
  <c r="BY317" i="8"/>
  <c r="BX317" i="8"/>
  <c r="BW317" i="8"/>
  <c r="BV317" i="8"/>
  <c r="AU317" i="8"/>
  <c r="AG317" i="8"/>
  <c r="AF317" i="8"/>
  <c r="CE316" i="8"/>
  <c r="CD316" i="8"/>
  <c r="CC316" i="8"/>
  <c r="CB316" i="8"/>
  <c r="CA316" i="8"/>
  <c r="BZ316" i="8"/>
  <c r="BY316" i="8"/>
  <c r="BX316" i="8"/>
  <c r="BW316" i="8"/>
  <c r="BV316" i="8"/>
  <c r="AU316" i="8"/>
  <c r="AG316" i="8"/>
  <c r="AF316" i="8"/>
  <c r="CE315" i="8"/>
  <c r="CD315" i="8"/>
  <c r="CC315" i="8"/>
  <c r="CB315" i="8"/>
  <c r="CA315" i="8"/>
  <c r="BZ315" i="8"/>
  <c r="BY315" i="8"/>
  <c r="BX315" i="8"/>
  <c r="BW315" i="8"/>
  <c r="BV315" i="8"/>
  <c r="AU315" i="8"/>
  <c r="AG315" i="8"/>
  <c r="AF315" i="8"/>
  <c r="CE314" i="8"/>
  <c r="CD314" i="8"/>
  <c r="CC314" i="8"/>
  <c r="CB314" i="8"/>
  <c r="CA314" i="8"/>
  <c r="BZ314" i="8"/>
  <c r="BY314" i="8"/>
  <c r="BX314" i="8"/>
  <c r="BW314" i="8"/>
  <c r="BV314" i="8"/>
  <c r="AU314" i="8"/>
  <c r="AG314" i="8"/>
  <c r="AF314" i="8"/>
  <c r="CE313" i="8"/>
  <c r="CD313" i="8"/>
  <c r="CC313" i="8"/>
  <c r="CB313" i="8"/>
  <c r="CA313" i="8"/>
  <c r="BZ313" i="8"/>
  <c r="BY313" i="8"/>
  <c r="BX313" i="8"/>
  <c r="BW313" i="8"/>
  <c r="BV313" i="8"/>
  <c r="AU313" i="8"/>
  <c r="AG313" i="8"/>
  <c r="AF313" i="8"/>
  <c r="CE312" i="8"/>
  <c r="CD312" i="8"/>
  <c r="CC312" i="8"/>
  <c r="CB312" i="8"/>
  <c r="CA312" i="8"/>
  <c r="BZ312" i="8"/>
  <c r="BY312" i="8"/>
  <c r="BX312" i="8"/>
  <c r="BW312" i="8"/>
  <c r="BV312" i="8"/>
  <c r="AU312" i="8"/>
  <c r="AG312" i="8"/>
  <c r="AF312" i="8"/>
  <c r="S312" i="8"/>
  <c r="R312" i="8"/>
  <c r="Q312" i="8"/>
  <c r="P312" i="8"/>
  <c r="O312" i="8"/>
  <c r="CE311" i="8"/>
  <c r="CD311" i="8"/>
  <c r="CC311" i="8"/>
  <c r="CB311" i="8"/>
  <c r="CA311" i="8"/>
  <c r="BZ311" i="8"/>
  <c r="BY311" i="8"/>
  <c r="BX311" i="8"/>
  <c r="BW311" i="8"/>
  <c r="BV311" i="8"/>
  <c r="AU311" i="8"/>
  <c r="AG311" i="8"/>
  <c r="AF311" i="8"/>
  <c r="O311" i="8"/>
  <c r="CE310" i="8"/>
  <c r="CD310" i="8"/>
  <c r="CC310" i="8"/>
  <c r="CB310" i="8"/>
  <c r="CA310" i="8"/>
  <c r="BZ310" i="8"/>
  <c r="BY310" i="8"/>
  <c r="BX310" i="8"/>
  <c r="BW310" i="8"/>
  <c r="BV310" i="8"/>
  <c r="AU310" i="8"/>
  <c r="AG310" i="8"/>
  <c r="AF310" i="8"/>
  <c r="O310" i="8"/>
  <c r="CE309" i="8"/>
  <c r="CD309" i="8"/>
  <c r="CC309" i="8"/>
  <c r="CB309" i="8"/>
  <c r="CA309" i="8"/>
  <c r="BZ309" i="8"/>
  <c r="BY309" i="8"/>
  <c r="BX309" i="8"/>
  <c r="BW309" i="8"/>
  <c r="BV309" i="8"/>
  <c r="AU309" i="8"/>
  <c r="AG309" i="8"/>
  <c r="AF309" i="8"/>
  <c r="O309" i="8"/>
  <c r="CE308" i="8"/>
  <c r="CD308" i="8"/>
  <c r="CC308" i="8"/>
  <c r="CB308" i="8"/>
  <c r="CA308" i="8"/>
  <c r="BZ308" i="8"/>
  <c r="BY308" i="8"/>
  <c r="BX308" i="8"/>
  <c r="BW308" i="8"/>
  <c r="BV308" i="8"/>
  <c r="AU308" i="8"/>
  <c r="AG308" i="8"/>
  <c r="AF308" i="8"/>
  <c r="O308" i="8"/>
  <c r="CE307" i="8"/>
  <c r="CD307" i="8"/>
  <c r="CC307" i="8"/>
  <c r="CB307" i="8"/>
  <c r="CA307" i="8"/>
  <c r="BZ307" i="8"/>
  <c r="BY307" i="8"/>
  <c r="BX307" i="8"/>
  <c r="BW307" i="8"/>
  <c r="BV307" i="8"/>
  <c r="AU307" i="8"/>
  <c r="AG307" i="8"/>
  <c r="AF307" i="8"/>
  <c r="CE306" i="8"/>
  <c r="CD306" i="8"/>
  <c r="CC306" i="8"/>
  <c r="CB306" i="8"/>
  <c r="CA306" i="8"/>
  <c r="BZ306" i="8"/>
  <c r="BY306" i="8"/>
  <c r="BX306" i="8"/>
  <c r="BW306" i="8"/>
  <c r="BV306" i="8"/>
  <c r="AU306" i="8"/>
  <c r="AG306" i="8"/>
  <c r="AF306" i="8"/>
  <c r="CE305" i="8"/>
  <c r="CD305" i="8"/>
  <c r="CC305" i="8"/>
  <c r="CB305" i="8"/>
  <c r="CA305" i="8"/>
  <c r="BZ305" i="8"/>
  <c r="BY305" i="8"/>
  <c r="BX305" i="8"/>
  <c r="BW305" i="8"/>
  <c r="BV305" i="8"/>
  <c r="AU305" i="8"/>
  <c r="AG305" i="8"/>
  <c r="AF305" i="8"/>
  <c r="S305" i="8"/>
  <c r="R305" i="8"/>
  <c r="Q305" i="8"/>
  <c r="P305" i="8"/>
  <c r="O305" i="8"/>
  <c r="CE304" i="8"/>
  <c r="CD304" i="8"/>
  <c r="CC304" i="8"/>
  <c r="CB304" i="8"/>
  <c r="CA304" i="8"/>
  <c r="BZ304" i="8"/>
  <c r="BY304" i="8"/>
  <c r="BX304" i="8"/>
  <c r="BW304" i="8"/>
  <c r="BV304" i="8"/>
  <c r="AU304" i="8"/>
  <c r="AG304" i="8"/>
  <c r="AF304" i="8"/>
  <c r="CE303" i="8"/>
  <c r="CD303" i="8"/>
  <c r="CC303" i="8"/>
  <c r="CB303" i="8"/>
  <c r="CA303" i="8"/>
  <c r="BZ303" i="8"/>
  <c r="BY303" i="8"/>
  <c r="BX303" i="8"/>
  <c r="BW303" i="8"/>
  <c r="BV303" i="8"/>
  <c r="AU303" i="8"/>
  <c r="AG303" i="8"/>
  <c r="AF303" i="8"/>
  <c r="CE302" i="8"/>
  <c r="CD302" i="8"/>
  <c r="CC302" i="8"/>
  <c r="CB302" i="8"/>
  <c r="CA302" i="8"/>
  <c r="BZ302" i="8"/>
  <c r="BY302" i="8"/>
  <c r="BX302" i="8"/>
  <c r="BW302" i="8"/>
  <c r="BV302" i="8"/>
  <c r="AU302" i="8"/>
  <c r="AG302" i="8"/>
  <c r="AF302" i="8"/>
  <c r="CE301" i="8"/>
  <c r="CD301" i="8"/>
  <c r="CC301" i="8"/>
  <c r="CB301" i="8"/>
  <c r="CA301" i="8"/>
  <c r="BZ301" i="8"/>
  <c r="BY301" i="8"/>
  <c r="BX301" i="8"/>
  <c r="BW301" i="8"/>
  <c r="BV301" i="8"/>
  <c r="AU301" i="8"/>
  <c r="AG301" i="8"/>
  <c r="AF301" i="8"/>
  <c r="CE300" i="8"/>
  <c r="CD300" i="8"/>
  <c r="CC300" i="8"/>
  <c r="CB300" i="8"/>
  <c r="CA300" i="8"/>
  <c r="BZ300" i="8"/>
  <c r="BY300" i="8"/>
  <c r="BX300" i="8"/>
  <c r="BW300" i="8"/>
  <c r="BV300" i="8"/>
  <c r="AU300" i="8"/>
  <c r="AG300" i="8"/>
  <c r="AF300" i="8"/>
  <c r="CE299" i="8"/>
  <c r="CD299" i="8"/>
  <c r="CC299" i="8"/>
  <c r="CB299" i="8"/>
  <c r="CA299" i="8"/>
  <c r="BZ299" i="8"/>
  <c r="BY299" i="8"/>
  <c r="BX299" i="8"/>
  <c r="BW299" i="8"/>
  <c r="BV299" i="8"/>
  <c r="AU299" i="8"/>
  <c r="AG299" i="8"/>
  <c r="AF299" i="8"/>
  <c r="CE298" i="8"/>
  <c r="CD298" i="8"/>
  <c r="CC298" i="8"/>
  <c r="CB298" i="8"/>
  <c r="CA298" i="8"/>
  <c r="BZ298" i="8"/>
  <c r="BY298" i="8"/>
  <c r="BX298" i="8"/>
  <c r="BW298" i="8"/>
  <c r="BV298" i="8"/>
  <c r="AU298" i="8"/>
  <c r="AG298" i="8"/>
  <c r="AF298" i="8"/>
  <c r="CE297" i="8"/>
  <c r="CD297" i="8"/>
  <c r="CC297" i="8"/>
  <c r="CB297" i="8"/>
  <c r="CA297" i="8"/>
  <c r="BZ297" i="8"/>
  <c r="BY297" i="8"/>
  <c r="BX297" i="8"/>
  <c r="BW297" i="8"/>
  <c r="BV297" i="8"/>
  <c r="AU297" i="8"/>
  <c r="AG297" i="8"/>
  <c r="AF297" i="8"/>
  <c r="CE296" i="8"/>
  <c r="CD296" i="8"/>
  <c r="CC296" i="8"/>
  <c r="CB296" i="8"/>
  <c r="CA296" i="8"/>
  <c r="BZ296" i="8"/>
  <c r="BY296" i="8"/>
  <c r="BX296" i="8"/>
  <c r="BW296" i="8"/>
  <c r="BV296" i="8"/>
  <c r="AU296" i="8"/>
  <c r="AG296" i="8"/>
  <c r="AF296" i="8"/>
  <c r="CE295" i="8"/>
  <c r="CD295" i="8"/>
  <c r="CC295" i="8"/>
  <c r="CB295" i="8"/>
  <c r="CA295" i="8"/>
  <c r="BZ295" i="8"/>
  <c r="BY295" i="8"/>
  <c r="BX295" i="8"/>
  <c r="BW295" i="8"/>
  <c r="BV295" i="8"/>
  <c r="AU295" i="8"/>
  <c r="AG295" i="8"/>
  <c r="AF295" i="8"/>
  <c r="CE294" i="8"/>
  <c r="CD294" i="8"/>
  <c r="CC294" i="8"/>
  <c r="CB294" i="8"/>
  <c r="CA294" i="8"/>
  <c r="BZ294" i="8"/>
  <c r="BY294" i="8"/>
  <c r="BX294" i="8"/>
  <c r="BW294" i="8"/>
  <c r="BV294" i="8"/>
  <c r="AU294" i="8"/>
  <c r="AG294" i="8"/>
  <c r="AF294" i="8"/>
  <c r="S294" i="8"/>
  <c r="R294" i="8"/>
  <c r="Q294" i="8"/>
  <c r="P294" i="8"/>
  <c r="O294" i="8"/>
  <c r="CE293" i="8"/>
  <c r="CD293" i="8"/>
  <c r="CC293" i="8"/>
  <c r="CB293" i="8"/>
  <c r="CA293" i="8"/>
  <c r="BZ293" i="8"/>
  <c r="BY293" i="8"/>
  <c r="BX293" i="8"/>
  <c r="BW293" i="8"/>
  <c r="BV293" i="8"/>
  <c r="AU293" i="8"/>
  <c r="AG293" i="8"/>
  <c r="AF293" i="8"/>
  <c r="O293" i="8"/>
  <c r="CE292" i="8"/>
  <c r="CD292" i="8"/>
  <c r="CC292" i="8"/>
  <c r="CB292" i="8"/>
  <c r="CA292" i="8"/>
  <c r="BZ292" i="8"/>
  <c r="BY292" i="8"/>
  <c r="BX292" i="8"/>
  <c r="BW292" i="8"/>
  <c r="BV292" i="8"/>
  <c r="AU292" i="8"/>
  <c r="AG292" i="8"/>
  <c r="AF292" i="8"/>
  <c r="O292" i="8"/>
  <c r="CE291" i="8"/>
  <c r="CD291" i="8"/>
  <c r="CC291" i="8"/>
  <c r="CB291" i="8"/>
  <c r="CA291" i="8"/>
  <c r="BZ291" i="8"/>
  <c r="BY291" i="8"/>
  <c r="BX291" i="8"/>
  <c r="BW291" i="8"/>
  <c r="BV291" i="8"/>
  <c r="AU291" i="8"/>
  <c r="AG291" i="8"/>
  <c r="AF291" i="8"/>
  <c r="O291" i="8"/>
  <c r="CE290" i="8"/>
  <c r="CD290" i="8"/>
  <c r="CC290" i="8"/>
  <c r="CB290" i="8"/>
  <c r="CA290" i="8"/>
  <c r="BZ290" i="8"/>
  <c r="BY290" i="8"/>
  <c r="BX290" i="8"/>
  <c r="BW290" i="8"/>
  <c r="BV290" i="8"/>
  <c r="AU290" i="8"/>
  <c r="AG290" i="8"/>
  <c r="AF290" i="8"/>
  <c r="O290" i="8"/>
  <c r="CE289" i="8"/>
  <c r="CD289" i="8"/>
  <c r="CC289" i="8"/>
  <c r="CB289" i="8"/>
  <c r="CA289" i="8"/>
  <c r="BZ289" i="8"/>
  <c r="BY289" i="8"/>
  <c r="BX289" i="8"/>
  <c r="BW289" i="8"/>
  <c r="BV289" i="8"/>
  <c r="AU289" i="8"/>
  <c r="AG289" i="8"/>
  <c r="AF289" i="8"/>
  <c r="CE288" i="8"/>
  <c r="CD288" i="8"/>
  <c r="CC288" i="8"/>
  <c r="CB288" i="8"/>
  <c r="CA288" i="8"/>
  <c r="BZ288" i="8"/>
  <c r="BY288" i="8"/>
  <c r="BX288" i="8"/>
  <c r="BW288" i="8"/>
  <c r="BV288" i="8"/>
  <c r="AU288" i="8"/>
  <c r="AG288" i="8"/>
  <c r="AF288" i="8"/>
  <c r="CE287" i="8"/>
  <c r="CD287" i="8"/>
  <c r="CC287" i="8"/>
  <c r="CB287" i="8"/>
  <c r="CA287" i="8"/>
  <c r="BZ287" i="8"/>
  <c r="BY287" i="8"/>
  <c r="BX287" i="8"/>
  <c r="BW287" i="8"/>
  <c r="BV287" i="8"/>
  <c r="AU287" i="8"/>
  <c r="AG287" i="8"/>
  <c r="AF287" i="8"/>
  <c r="S287" i="8"/>
  <c r="R287" i="8"/>
  <c r="Q287" i="8"/>
  <c r="P287" i="8"/>
  <c r="O287" i="8"/>
  <c r="CE286" i="8"/>
  <c r="CD286" i="8"/>
  <c r="CC286" i="8"/>
  <c r="CB286" i="8"/>
  <c r="CA286" i="8"/>
  <c r="BZ286" i="8"/>
  <c r="BY286" i="8"/>
  <c r="BX286" i="8"/>
  <c r="BW286" i="8"/>
  <c r="BV286" i="8"/>
  <c r="AU286" i="8"/>
  <c r="AG286" i="8"/>
  <c r="AF286" i="8"/>
  <c r="CE285" i="8"/>
  <c r="CD285" i="8"/>
  <c r="CC285" i="8"/>
  <c r="CB285" i="8"/>
  <c r="CA285" i="8"/>
  <c r="BZ285" i="8"/>
  <c r="BY285" i="8"/>
  <c r="BX285" i="8"/>
  <c r="BW285" i="8"/>
  <c r="BV285" i="8"/>
  <c r="AU285" i="8"/>
  <c r="AG285" i="8"/>
  <c r="AF285" i="8"/>
  <c r="CE284" i="8"/>
  <c r="CD284" i="8"/>
  <c r="CC284" i="8"/>
  <c r="CB284" i="8"/>
  <c r="CA284" i="8"/>
  <c r="BZ284" i="8"/>
  <c r="BY284" i="8"/>
  <c r="BX284" i="8"/>
  <c r="BW284" i="8"/>
  <c r="BV284" i="8"/>
  <c r="AU284" i="8"/>
  <c r="AG284" i="8"/>
  <c r="AF284" i="8"/>
  <c r="CE283" i="8"/>
  <c r="CD283" i="8"/>
  <c r="CC283" i="8"/>
  <c r="CB283" i="8"/>
  <c r="CA283" i="8"/>
  <c r="BZ283" i="8"/>
  <c r="BY283" i="8"/>
  <c r="BX283" i="8"/>
  <c r="BW283" i="8"/>
  <c r="BV283" i="8"/>
  <c r="AU283" i="8"/>
  <c r="AG283" i="8"/>
  <c r="AF283" i="8"/>
  <c r="CE282" i="8"/>
  <c r="CD282" i="8"/>
  <c r="CC282" i="8"/>
  <c r="CB282" i="8"/>
  <c r="CA282" i="8"/>
  <c r="BZ282" i="8"/>
  <c r="BY282" i="8"/>
  <c r="BX282" i="8"/>
  <c r="BW282" i="8"/>
  <c r="BV282" i="8"/>
  <c r="AU282" i="8"/>
  <c r="AG282" i="8"/>
  <c r="AF282" i="8"/>
  <c r="CE281" i="8"/>
  <c r="CD281" i="8"/>
  <c r="CC281" i="8"/>
  <c r="CB281" i="8"/>
  <c r="CA281" i="8"/>
  <c r="BZ281" i="8"/>
  <c r="BY281" i="8"/>
  <c r="BX281" i="8"/>
  <c r="BW281" i="8"/>
  <c r="BV281" i="8"/>
  <c r="AU281" i="8"/>
  <c r="AG281" i="8"/>
  <c r="AF281" i="8"/>
  <c r="CE280" i="8"/>
  <c r="CD280" i="8"/>
  <c r="CC280" i="8"/>
  <c r="CB280" i="8"/>
  <c r="CA280" i="8"/>
  <c r="BZ280" i="8"/>
  <c r="BY280" i="8"/>
  <c r="BX280" i="8"/>
  <c r="BW280" i="8"/>
  <c r="BV280" i="8"/>
  <c r="AU280" i="8"/>
  <c r="AG280" i="8"/>
  <c r="AF280" i="8"/>
  <c r="CE279" i="8"/>
  <c r="CD279" i="8"/>
  <c r="CC279" i="8"/>
  <c r="CB279" i="8"/>
  <c r="CA279" i="8"/>
  <c r="BZ279" i="8"/>
  <c r="BY279" i="8"/>
  <c r="BX279" i="8"/>
  <c r="BW279" i="8"/>
  <c r="BV279" i="8"/>
  <c r="AU279" i="8"/>
  <c r="AG279" i="8"/>
  <c r="AF279" i="8"/>
  <c r="CE278" i="8"/>
  <c r="CD278" i="8"/>
  <c r="CC278" i="8"/>
  <c r="CB278" i="8"/>
  <c r="CA278" i="8"/>
  <c r="BZ278" i="8"/>
  <c r="BY278" i="8"/>
  <c r="BX278" i="8"/>
  <c r="BW278" i="8"/>
  <c r="BV278" i="8"/>
  <c r="AU278" i="8"/>
  <c r="AG278" i="8"/>
  <c r="AF278" i="8"/>
  <c r="CE277" i="8"/>
  <c r="CD277" i="8"/>
  <c r="CC277" i="8"/>
  <c r="CB277" i="8"/>
  <c r="CA277" i="8"/>
  <c r="BZ277" i="8"/>
  <c r="BY277" i="8"/>
  <c r="BX277" i="8"/>
  <c r="BW277" i="8"/>
  <c r="BV277" i="8"/>
  <c r="AU277" i="8"/>
  <c r="AG277" i="8"/>
  <c r="AF277" i="8"/>
  <c r="CE276" i="8"/>
  <c r="CD276" i="8"/>
  <c r="CC276" i="8"/>
  <c r="CB276" i="8"/>
  <c r="CA276" i="8"/>
  <c r="BZ276" i="8"/>
  <c r="BY276" i="8"/>
  <c r="BX276" i="8"/>
  <c r="BW276" i="8"/>
  <c r="BV276" i="8"/>
  <c r="AU276" i="8"/>
  <c r="AG276" i="8"/>
  <c r="AF276" i="8"/>
  <c r="S276" i="8"/>
  <c r="R276" i="8"/>
  <c r="Q276" i="8"/>
  <c r="P276" i="8"/>
  <c r="O276" i="8"/>
  <c r="CE275" i="8"/>
  <c r="CD275" i="8"/>
  <c r="CC275" i="8"/>
  <c r="CB275" i="8"/>
  <c r="CA275" i="8"/>
  <c r="BZ275" i="8"/>
  <c r="BY275" i="8"/>
  <c r="BX275" i="8"/>
  <c r="BW275" i="8"/>
  <c r="BV275" i="8"/>
  <c r="AU275" i="8"/>
  <c r="AG275" i="8"/>
  <c r="AF275" i="8"/>
  <c r="O275" i="8"/>
  <c r="CE274" i="8"/>
  <c r="CD274" i="8"/>
  <c r="CC274" i="8"/>
  <c r="CB274" i="8"/>
  <c r="CA274" i="8"/>
  <c r="BZ274" i="8"/>
  <c r="BY274" i="8"/>
  <c r="BX274" i="8"/>
  <c r="BW274" i="8"/>
  <c r="BV274" i="8"/>
  <c r="AU274" i="8"/>
  <c r="AG274" i="8"/>
  <c r="AF274" i="8"/>
  <c r="O274" i="8"/>
  <c r="CE273" i="8"/>
  <c r="CD273" i="8"/>
  <c r="CC273" i="8"/>
  <c r="CB273" i="8"/>
  <c r="CA273" i="8"/>
  <c r="BZ273" i="8"/>
  <c r="BY273" i="8"/>
  <c r="BX273" i="8"/>
  <c r="BW273" i="8"/>
  <c r="BV273" i="8"/>
  <c r="AU273" i="8"/>
  <c r="AG273" i="8"/>
  <c r="AF273" i="8"/>
  <c r="O273" i="8"/>
  <c r="CE272" i="8"/>
  <c r="CD272" i="8"/>
  <c r="CC272" i="8"/>
  <c r="CB272" i="8"/>
  <c r="CA272" i="8"/>
  <c r="BZ272" i="8"/>
  <c r="BY272" i="8"/>
  <c r="BX272" i="8"/>
  <c r="BW272" i="8"/>
  <c r="BV272" i="8"/>
  <c r="AU272" i="8"/>
  <c r="AG272" i="8"/>
  <c r="AF272" i="8"/>
  <c r="O272" i="8"/>
  <c r="CE271" i="8"/>
  <c r="CD271" i="8"/>
  <c r="CC271" i="8"/>
  <c r="CB271" i="8"/>
  <c r="CA271" i="8"/>
  <c r="BZ271" i="8"/>
  <c r="BY271" i="8"/>
  <c r="BX271" i="8"/>
  <c r="BW271" i="8"/>
  <c r="BV271" i="8"/>
  <c r="AU271" i="8"/>
  <c r="AG271" i="8"/>
  <c r="AF271" i="8"/>
  <c r="CE270" i="8"/>
  <c r="CD270" i="8"/>
  <c r="CC270" i="8"/>
  <c r="CB270" i="8"/>
  <c r="CA270" i="8"/>
  <c r="BZ270" i="8"/>
  <c r="BY270" i="8"/>
  <c r="BX270" i="8"/>
  <c r="BW270" i="8"/>
  <c r="BV270" i="8"/>
  <c r="AU270" i="8"/>
  <c r="AG270" i="8"/>
  <c r="AF270" i="8"/>
  <c r="CE269" i="8"/>
  <c r="CD269" i="8"/>
  <c r="CC269" i="8"/>
  <c r="CB269" i="8"/>
  <c r="CA269" i="8"/>
  <c r="BZ269" i="8"/>
  <c r="BY269" i="8"/>
  <c r="BX269" i="8"/>
  <c r="BW269" i="8"/>
  <c r="BV269" i="8"/>
  <c r="AU269" i="8"/>
  <c r="AG269" i="8"/>
  <c r="AF269" i="8"/>
  <c r="S269" i="8"/>
  <c r="R269" i="8"/>
  <c r="Q269" i="8"/>
  <c r="P269" i="8"/>
  <c r="O269" i="8"/>
  <c r="CE268" i="8"/>
  <c r="CD268" i="8"/>
  <c r="CC268" i="8"/>
  <c r="CB268" i="8"/>
  <c r="CA268" i="8"/>
  <c r="BZ268" i="8"/>
  <c r="BY268" i="8"/>
  <c r="BX268" i="8"/>
  <c r="BW268" i="8"/>
  <c r="BV268" i="8"/>
  <c r="AU268" i="8"/>
  <c r="AG268" i="8"/>
  <c r="AF268" i="8"/>
  <c r="CE267" i="8"/>
  <c r="CD267" i="8"/>
  <c r="CC267" i="8"/>
  <c r="CB267" i="8"/>
  <c r="CA267" i="8"/>
  <c r="BZ267" i="8"/>
  <c r="BY267" i="8"/>
  <c r="BX267" i="8"/>
  <c r="BW267" i="8"/>
  <c r="BV267" i="8"/>
  <c r="AU267" i="8"/>
  <c r="AG267" i="8"/>
  <c r="AF267" i="8"/>
  <c r="CE266" i="8"/>
  <c r="CD266" i="8"/>
  <c r="CC266" i="8"/>
  <c r="CB266" i="8"/>
  <c r="CA266" i="8"/>
  <c r="BZ266" i="8"/>
  <c r="BY266" i="8"/>
  <c r="BX266" i="8"/>
  <c r="BW266" i="8"/>
  <c r="BV266" i="8"/>
  <c r="AU266" i="8"/>
  <c r="AG266" i="8"/>
  <c r="AF266" i="8"/>
  <c r="CE265" i="8"/>
  <c r="CD265" i="8"/>
  <c r="CC265" i="8"/>
  <c r="CB265" i="8"/>
  <c r="CA265" i="8"/>
  <c r="BZ265" i="8"/>
  <c r="BY265" i="8"/>
  <c r="BX265" i="8"/>
  <c r="BW265" i="8"/>
  <c r="BV265" i="8"/>
  <c r="AU265" i="8"/>
  <c r="AG265" i="8"/>
  <c r="AF265" i="8"/>
  <c r="CE264" i="8"/>
  <c r="CD264" i="8"/>
  <c r="CC264" i="8"/>
  <c r="CB264" i="8"/>
  <c r="CA264" i="8"/>
  <c r="BZ264" i="8"/>
  <c r="BY264" i="8"/>
  <c r="BX264" i="8"/>
  <c r="BW264" i="8"/>
  <c r="BV264" i="8"/>
  <c r="AU264" i="8"/>
  <c r="AG264" i="8"/>
  <c r="AF264" i="8"/>
  <c r="CE263" i="8"/>
  <c r="CD263" i="8"/>
  <c r="CC263" i="8"/>
  <c r="CB263" i="8"/>
  <c r="CA263" i="8"/>
  <c r="BZ263" i="8"/>
  <c r="BY263" i="8"/>
  <c r="BX263" i="8"/>
  <c r="BW263" i="8"/>
  <c r="BV263" i="8"/>
  <c r="AU263" i="8"/>
  <c r="AG263" i="8"/>
  <c r="AF263" i="8"/>
  <c r="CE262" i="8"/>
  <c r="CD262" i="8"/>
  <c r="CC262" i="8"/>
  <c r="CB262" i="8"/>
  <c r="CA262" i="8"/>
  <c r="BZ262" i="8"/>
  <c r="BY262" i="8"/>
  <c r="BX262" i="8"/>
  <c r="BW262" i="8"/>
  <c r="BV262" i="8"/>
  <c r="AU262" i="8"/>
  <c r="AG262" i="8"/>
  <c r="AF262" i="8"/>
  <c r="CE261" i="8"/>
  <c r="CD261" i="8"/>
  <c r="CC261" i="8"/>
  <c r="CB261" i="8"/>
  <c r="CA261" i="8"/>
  <c r="BZ261" i="8"/>
  <c r="BY261" i="8"/>
  <c r="BX261" i="8"/>
  <c r="BW261" i="8"/>
  <c r="BV261" i="8"/>
  <c r="AU261" i="8"/>
  <c r="AG261" i="8"/>
  <c r="AF261" i="8"/>
  <c r="CE260" i="8"/>
  <c r="CD260" i="8"/>
  <c r="CC260" i="8"/>
  <c r="CB260" i="8"/>
  <c r="CA260" i="8"/>
  <c r="BZ260" i="8"/>
  <c r="BY260" i="8"/>
  <c r="BX260" i="8"/>
  <c r="BW260" i="8"/>
  <c r="BV260" i="8"/>
  <c r="AU260" i="8"/>
  <c r="AG260" i="8"/>
  <c r="AF260" i="8"/>
  <c r="CE259" i="8"/>
  <c r="CD259" i="8"/>
  <c r="CC259" i="8"/>
  <c r="CB259" i="8"/>
  <c r="CA259" i="8"/>
  <c r="BZ259" i="8"/>
  <c r="BY259" i="8"/>
  <c r="BX259" i="8"/>
  <c r="BW259" i="8"/>
  <c r="BV259" i="8"/>
  <c r="AU259" i="8"/>
  <c r="AG259" i="8"/>
  <c r="AF259" i="8"/>
  <c r="CE258" i="8"/>
  <c r="CD258" i="8"/>
  <c r="CC258" i="8"/>
  <c r="CB258" i="8"/>
  <c r="CA258" i="8"/>
  <c r="BZ258" i="8"/>
  <c r="BY258" i="8"/>
  <c r="BX258" i="8"/>
  <c r="BW258" i="8"/>
  <c r="BV258" i="8"/>
  <c r="AU258" i="8"/>
  <c r="AG258" i="8"/>
  <c r="AF258" i="8"/>
  <c r="S258" i="8"/>
  <c r="R258" i="8"/>
  <c r="Q258" i="8"/>
  <c r="P258" i="8"/>
  <c r="O258" i="8"/>
  <c r="CE257" i="8"/>
  <c r="CD257" i="8"/>
  <c r="CC257" i="8"/>
  <c r="CB257" i="8"/>
  <c r="CA257" i="8"/>
  <c r="BZ257" i="8"/>
  <c r="BY257" i="8"/>
  <c r="BX257" i="8"/>
  <c r="BW257" i="8"/>
  <c r="BV257" i="8"/>
  <c r="AU257" i="8"/>
  <c r="AG257" i="8"/>
  <c r="AF257" i="8"/>
  <c r="O257" i="8"/>
  <c r="CE256" i="8"/>
  <c r="CD256" i="8"/>
  <c r="CC256" i="8"/>
  <c r="CB256" i="8"/>
  <c r="CA256" i="8"/>
  <c r="BZ256" i="8"/>
  <c r="BY256" i="8"/>
  <c r="BX256" i="8"/>
  <c r="BW256" i="8"/>
  <c r="BV256" i="8"/>
  <c r="AU256" i="8"/>
  <c r="AG256" i="8"/>
  <c r="AF256" i="8"/>
  <c r="O256" i="8"/>
  <c r="CE255" i="8"/>
  <c r="CD255" i="8"/>
  <c r="CC255" i="8"/>
  <c r="CB255" i="8"/>
  <c r="CA255" i="8"/>
  <c r="BZ255" i="8"/>
  <c r="BY255" i="8"/>
  <c r="BX255" i="8"/>
  <c r="BW255" i="8"/>
  <c r="BV255" i="8"/>
  <c r="AU255" i="8"/>
  <c r="AG255" i="8"/>
  <c r="AF255" i="8"/>
  <c r="O255" i="8"/>
  <c r="CE254" i="8"/>
  <c r="CD254" i="8"/>
  <c r="CC254" i="8"/>
  <c r="CB254" i="8"/>
  <c r="CA254" i="8"/>
  <c r="BZ254" i="8"/>
  <c r="BY254" i="8"/>
  <c r="BX254" i="8"/>
  <c r="BW254" i="8"/>
  <c r="BV254" i="8"/>
  <c r="AU254" i="8"/>
  <c r="AG254" i="8"/>
  <c r="AF254" i="8"/>
  <c r="O254" i="8"/>
  <c r="CE253" i="8"/>
  <c r="CD253" i="8"/>
  <c r="CC253" i="8"/>
  <c r="CB253" i="8"/>
  <c r="CA253" i="8"/>
  <c r="BZ253" i="8"/>
  <c r="BY253" i="8"/>
  <c r="BX253" i="8"/>
  <c r="BW253" i="8"/>
  <c r="BV253" i="8"/>
  <c r="AU253" i="8"/>
  <c r="AG253" i="8"/>
  <c r="AF253" i="8"/>
  <c r="CE252" i="8"/>
  <c r="CD252" i="8"/>
  <c r="CC252" i="8"/>
  <c r="CB252" i="8"/>
  <c r="CA252" i="8"/>
  <c r="BZ252" i="8"/>
  <c r="BY252" i="8"/>
  <c r="BX252" i="8"/>
  <c r="BW252" i="8"/>
  <c r="BV252" i="8"/>
  <c r="AU252" i="8"/>
  <c r="AG252" i="8"/>
  <c r="AF252" i="8"/>
  <c r="CE251" i="8"/>
  <c r="CD251" i="8"/>
  <c r="CC251" i="8"/>
  <c r="CB251" i="8"/>
  <c r="CA251" i="8"/>
  <c r="BZ251" i="8"/>
  <c r="BY251" i="8"/>
  <c r="BX251" i="8"/>
  <c r="BW251" i="8"/>
  <c r="BV251" i="8"/>
  <c r="AU251" i="8"/>
  <c r="AG251" i="8"/>
  <c r="AF251" i="8"/>
  <c r="S251" i="8"/>
  <c r="R251" i="8"/>
  <c r="Q251" i="8"/>
  <c r="P251" i="8"/>
  <c r="O251" i="8"/>
  <c r="CE250" i="8"/>
  <c r="CD250" i="8"/>
  <c r="CC250" i="8"/>
  <c r="CB250" i="8"/>
  <c r="CA250" i="8"/>
  <c r="BZ250" i="8"/>
  <c r="BY250" i="8"/>
  <c r="BX250" i="8"/>
  <c r="BW250" i="8"/>
  <c r="BV250" i="8"/>
  <c r="AU250" i="8"/>
  <c r="AG250" i="8"/>
  <c r="AF250" i="8"/>
  <c r="CE249" i="8"/>
  <c r="CD249" i="8"/>
  <c r="CC249" i="8"/>
  <c r="CB249" i="8"/>
  <c r="CA249" i="8"/>
  <c r="BZ249" i="8"/>
  <c r="BY249" i="8"/>
  <c r="BX249" i="8"/>
  <c r="BW249" i="8"/>
  <c r="BV249" i="8"/>
  <c r="AU249" i="8"/>
  <c r="AG249" i="8"/>
  <c r="AF249" i="8"/>
  <c r="CE248" i="8"/>
  <c r="CD248" i="8"/>
  <c r="CC248" i="8"/>
  <c r="CB248" i="8"/>
  <c r="CA248" i="8"/>
  <c r="BZ248" i="8"/>
  <c r="BY248" i="8"/>
  <c r="BX248" i="8"/>
  <c r="BW248" i="8"/>
  <c r="BV248" i="8"/>
  <c r="AU248" i="8"/>
  <c r="AG248" i="8"/>
  <c r="AF248" i="8"/>
  <c r="CE247" i="8"/>
  <c r="CD247" i="8"/>
  <c r="CC247" i="8"/>
  <c r="CB247" i="8"/>
  <c r="CA247" i="8"/>
  <c r="BZ247" i="8"/>
  <c r="BY247" i="8"/>
  <c r="BX247" i="8"/>
  <c r="BW247" i="8"/>
  <c r="BV247" i="8"/>
  <c r="AU247" i="8"/>
  <c r="AG247" i="8"/>
  <c r="AF247" i="8"/>
  <c r="CE246" i="8"/>
  <c r="CD246" i="8"/>
  <c r="CC246" i="8"/>
  <c r="CB246" i="8"/>
  <c r="CA246" i="8"/>
  <c r="BZ246" i="8"/>
  <c r="BY246" i="8"/>
  <c r="BX246" i="8"/>
  <c r="BW246" i="8"/>
  <c r="BV246" i="8"/>
  <c r="AU246" i="8"/>
  <c r="AG246" i="8"/>
  <c r="AF246" i="8"/>
  <c r="CE245" i="8"/>
  <c r="CD245" i="8"/>
  <c r="CC245" i="8"/>
  <c r="CB245" i="8"/>
  <c r="CA245" i="8"/>
  <c r="BZ245" i="8"/>
  <c r="BY245" i="8"/>
  <c r="BX245" i="8"/>
  <c r="BW245" i="8"/>
  <c r="BV245" i="8"/>
  <c r="AU245" i="8"/>
  <c r="AG245" i="8"/>
  <c r="AF245" i="8"/>
  <c r="CE244" i="8"/>
  <c r="CD244" i="8"/>
  <c r="CC244" i="8"/>
  <c r="CB244" i="8"/>
  <c r="CA244" i="8"/>
  <c r="BZ244" i="8"/>
  <c r="BY244" i="8"/>
  <c r="BX244" i="8"/>
  <c r="BW244" i="8"/>
  <c r="BV244" i="8"/>
  <c r="AU244" i="8"/>
  <c r="AG244" i="8"/>
  <c r="AF244" i="8"/>
  <c r="CE243" i="8"/>
  <c r="CD243" i="8"/>
  <c r="CC243" i="8"/>
  <c r="CB243" i="8"/>
  <c r="CA243" i="8"/>
  <c r="BZ243" i="8"/>
  <c r="BY243" i="8"/>
  <c r="BX243" i="8"/>
  <c r="BW243" i="8"/>
  <c r="BV243" i="8"/>
  <c r="AU243" i="8"/>
  <c r="AG243" i="8"/>
  <c r="AF243" i="8"/>
  <c r="CE242" i="8"/>
  <c r="CD242" i="8"/>
  <c r="CC242" i="8"/>
  <c r="CB242" i="8"/>
  <c r="CA242" i="8"/>
  <c r="BZ242" i="8"/>
  <c r="BY242" i="8"/>
  <c r="BX242" i="8"/>
  <c r="BW242" i="8"/>
  <c r="BV242" i="8"/>
  <c r="AU242" i="8"/>
  <c r="AG242" i="8"/>
  <c r="AF242" i="8"/>
  <c r="CE241" i="8"/>
  <c r="CD241" i="8"/>
  <c r="CC241" i="8"/>
  <c r="CB241" i="8"/>
  <c r="CA241" i="8"/>
  <c r="BZ241" i="8"/>
  <c r="BY241" i="8"/>
  <c r="BX241" i="8"/>
  <c r="BW241" i="8"/>
  <c r="BV241" i="8"/>
  <c r="AU241" i="8"/>
  <c r="AG241" i="8"/>
  <c r="AF241" i="8"/>
  <c r="CE240" i="8"/>
  <c r="CD240" i="8"/>
  <c r="CC240" i="8"/>
  <c r="CB240" i="8"/>
  <c r="CA240" i="8"/>
  <c r="BZ240" i="8"/>
  <c r="BY240" i="8"/>
  <c r="BX240" i="8"/>
  <c r="BW240" i="8"/>
  <c r="BV240" i="8"/>
  <c r="AU240" i="8"/>
  <c r="AG240" i="8"/>
  <c r="AF240" i="8"/>
  <c r="S240" i="8"/>
  <c r="R240" i="8"/>
  <c r="Q240" i="8"/>
  <c r="P240" i="8"/>
  <c r="O240" i="8"/>
  <c r="CE239" i="8"/>
  <c r="CD239" i="8"/>
  <c r="CC239" i="8"/>
  <c r="CB239" i="8"/>
  <c r="CA239" i="8"/>
  <c r="BZ239" i="8"/>
  <c r="BY239" i="8"/>
  <c r="BX239" i="8"/>
  <c r="BW239" i="8"/>
  <c r="BV239" i="8"/>
  <c r="AU239" i="8"/>
  <c r="AG239" i="8"/>
  <c r="AF239" i="8"/>
  <c r="O239" i="8"/>
  <c r="CE238" i="8"/>
  <c r="CD238" i="8"/>
  <c r="CC238" i="8"/>
  <c r="CB238" i="8"/>
  <c r="CA238" i="8"/>
  <c r="BZ238" i="8"/>
  <c r="BY238" i="8"/>
  <c r="BX238" i="8"/>
  <c r="BW238" i="8"/>
  <c r="BV238" i="8"/>
  <c r="AU238" i="8"/>
  <c r="AG238" i="8"/>
  <c r="AF238" i="8"/>
  <c r="O238" i="8"/>
  <c r="CE237" i="8"/>
  <c r="CD237" i="8"/>
  <c r="CC237" i="8"/>
  <c r="CB237" i="8"/>
  <c r="CA237" i="8"/>
  <c r="BZ237" i="8"/>
  <c r="BY237" i="8"/>
  <c r="BX237" i="8"/>
  <c r="BW237" i="8"/>
  <c r="BV237" i="8"/>
  <c r="AU237" i="8"/>
  <c r="AG237" i="8"/>
  <c r="AF237" i="8"/>
  <c r="O237" i="8"/>
  <c r="CE236" i="8"/>
  <c r="CD236" i="8"/>
  <c r="CC236" i="8"/>
  <c r="CB236" i="8"/>
  <c r="CA236" i="8"/>
  <c r="BZ236" i="8"/>
  <c r="BY236" i="8"/>
  <c r="BX236" i="8"/>
  <c r="BW236" i="8"/>
  <c r="BV236" i="8"/>
  <c r="AU236" i="8"/>
  <c r="AG236" i="8"/>
  <c r="AF236" i="8"/>
  <c r="O236" i="8"/>
  <c r="CE235" i="8"/>
  <c r="CD235" i="8"/>
  <c r="CC235" i="8"/>
  <c r="CB235" i="8"/>
  <c r="CA235" i="8"/>
  <c r="BZ235" i="8"/>
  <c r="BY235" i="8"/>
  <c r="BX235" i="8"/>
  <c r="BW235" i="8"/>
  <c r="BV235" i="8"/>
  <c r="AU235" i="8"/>
  <c r="AG235" i="8"/>
  <c r="AF235" i="8"/>
  <c r="CE234" i="8"/>
  <c r="CD234" i="8"/>
  <c r="CC234" i="8"/>
  <c r="CB234" i="8"/>
  <c r="CA234" i="8"/>
  <c r="BZ234" i="8"/>
  <c r="BY234" i="8"/>
  <c r="BX234" i="8"/>
  <c r="BW234" i="8"/>
  <c r="BV234" i="8"/>
  <c r="AU234" i="8"/>
  <c r="AG234" i="8"/>
  <c r="AF234" i="8"/>
  <c r="CE233" i="8"/>
  <c r="CD233" i="8"/>
  <c r="CC233" i="8"/>
  <c r="CB233" i="8"/>
  <c r="CA233" i="8"/>
  <c r="BZ233" i="8"/>
  <c r="BY233" i="8"/>
  <c r="BX233" i="8"/>
  <c r="BW233" i="8"/>
  <c r="BV233" i="8"/>
  <c r="AU233" i="8"/>
  <c r="AG233" i="8"/>
  <c r="AF233" i="8"/>
  <c r="CE232" i="8"/>
  <c r="CD232" i="8"/>
  <c r="CC232" i="8"/>
  <c r="CB232" i="8"/>
  <c r="CA232" i="8"/>
  <c r="BZ232" i="8"/>
  <c r="BY232" i="8"/>
  <c r="BX232" i="8"/>
  <c r="BW232" i="8"/>
  <c r="BV232" i="8"/>
  <c r="AU232" i="8"/>
  <c r="AG232" i="8"/>
  <c r="AF232" i="8"/>
  <c r="CE231" i="8"/>
  <c r="CD231" i="8"/>
  <c r="CC231" i="8"/>
  <c r="CB231" i="8"/>
  <c r="CA231" i="8"/>
  <c r="BZ231" i="8"/>
  <c r="BY231" i="8"/>
  <c r="BX231" i="8"/>
  <c r="BW231" i="8"/>
  <c r="BV231" i="8"/>
  <c r="AU231" i="8"/>
  <c r="AG231" i="8"/>
  <c r="AF231" i="8"/>
  <c r="CE230" i="8"/>
  <c r="CD230" i="8"/>
  <c r="CC230" i="8"/>
  <c r="CB230" i="8"/>
  <c r="CA230" i="8"/>
  <c r="BZ230" i="8"/>
  <c r="BY230" i="8"/>
  <c r="BX230" i="8"/>
  <c r="BW230" i="8"/>
  <c r="BV230" i="8"/>
  <c r="AU230" i="8"/>
  <c r="AG230" i="8"/>
  <c r="AF230" i="8"/>
  <c r="CE229" i="8"/>
  <c r="CD229" i="8"/>
  <c r="CC229" i="8"/>
  <c r="CB229" i="8"/>
  <c r="CA229" i="8"/>
  <c r="BZ229" i="8"/>
  <c r="BY229" i="8"/>
  <c r="BX229" i="8"/>
  <c r="BW229" i="8"/>
  <c r="BV229" i="8"/>
  <c r="AU229" i="8"/>
  <c r="AG229" i="8"/>
  <c r="AF229" i="8"/>
  <c r="CE228" i="8"/>
  <c r="CD228" i="8"/>
  <c r="CC228" i="8"/>
  <c r="CB228" i="8"/>
  <c r="CA228" i="8"/>
  <c r="BZ228" i="8"/>
  <c r="BY228" i="8"/>
  <c r="BX228" i="8"/>
  <c r="BW228" i="8"/>
  <c r="BV228" i="8"/>
  <c r="AU228" i="8"/>
  <c r="AG228" i="8"/>
  <c r="AF228" i="8"/>
  <c r="CE227" i="8"/>
  <c r="CD227" i="8"/>
  <c r="CC227" i="8"/>
  <c r="CB227" i="8"/>
  <c r="CA227" i="8"/>
  <c r="BZ227" i="8"/>
  <c r="BY227" i="8"/>
  <c r="BX227" i="8"/>
  <c r="BW227" i="8"/>
  <c r="BV227" i="8"/>
  <c r="AU227" i="8"/>
  <c r="AG227" i="8"/>
  <c r="AF227" i="8"/>
  <c r="CE226" i="8"/>
  <c r="CD226" i="8"/>
  <c r="CC226" i="8"/>
  <c r="CB226" i="8"/>
  <c r="CA226" i="8"/>
  <c r="BZ226" i="8"/>
  <c r="BY226" i="8"/>
  <c r="BX226" i="8"/>
  <c r="BW226" i="8"/>
  <c r="BV226" i="8"/>
  <c r="AU226" i="8"/>
  <c r="AG226" i="8"/>
  <c r="AF226" i="8"/>
  <c r="CE225" i="8"/>
  <c r="CD225" i="8"/>
  <c r="CC225" i="8"/>
  <c r="CB225" i="8"/>
  <c r="CA225" i="8"/>
  <c r="BZ225" i="8"/>
  <c r="BY225" i="8"/>
  <c r="BX225" i="8"/>
  <c r="BW225" i="8"/>
  <c r="BV225" i="8"/>
  <c r="AU225" i="8"/>
  <c r="AG225" i="8"/>
  <c r="AF225" i="8"/>
  <c r="CE224" i="8"/>
  <c r="CD224" i="8"/>
  <c r="CC224" i="8"/>
  <c r="CB224" i="8"/>
  <c r="CA224" i="8"/>
  <c r="BZ224" i="8"/>
  <c r="BY224" i="8"/>
  <c r="BX224" i="8"/>
  <c r="BW224" i="8"/>
  <c r="BV224" i="8"/>
  <c r="AU224" i="8"/>
  <c r="AG224" i="8"/>
  <c r="AF224" i="8"/>
  <c r="CE223" i="8"/>
  <c r="CD223" i="8"/>
  <c r="CC223" i="8"/>
  <c r="CB223" i="8"/>
  <c r="CA223" i="8"/>
  <c r="BZ223" i="8"/>
  <c r="BY223" i="8"/>
  <c r="BX223" i="8"/>
  <c r="BW223" i="8"/>
  <c r="BV223" i="8"/>
  <c r="AU223" i="8"/>
  <c r="AG223" i="8"/>
  <c r="AF223" i="8"/>
  <c r="CE222" i="8"/>
  <c r="CD222" i="8"/>
  <c r="CC222" i="8"/>
  <c r="CB222" i="8"/>
  <c r="CA222" i="8"/>
  <c r="BZ222" i="8"/>
  <c r="BY222" i="8"/>
  <c r="BX222" i="8"/>
  <c r="BW222" i="8"/>
  <c r="BV222" i="8"/>
  <c r="AU222" i="8"/>
  <c r="AG222" i="8"/>
  <c r="AF222" i="8"/>
  <c r="CE221" i="8"/>
  <c r="CD221" i="8"/>
  <c r="CC221" i="8"/>
  <c r="CB221" i="8"/>
  <c r="CA221" i="8"/>
  <c r="BZ221" i="8"/>
  <c r="BY221" i="8"/>
  <c r="BX221" i="8"/>
  <c r="BW221" i="8"/>
  <c r="BV221" i="8"/>
  <c r="AU221" i="8"/>
  <c r="AG221" i="8"/>
  <c r="AF221" i="8"/>
  <c r="CE220" i="8"/>
  <c r="CD220" i="8"/>
  <c r="CC220" i="8"/>
  <c r="CB220" i="8"/>
  <c r="CA220" i="8"/>
  <c r="BZ220" i="8"/>
  <c r="BY220" i="8"/>
  <c r="BX220" i="8"/>
  <c r="BW220" i="8"/>
  <c r="BV220" i="8"/>
  <c r="AU220" i="8"/>
  <c r="AG220" i="8"/>
  <c r="AF220" i="8"/>
  <c r="CE219" i="8"/>
  <c r="CD219" i="8"/>
  <c r="CC219" i="8"/>
  <c r="CB219" i="8"/>
  <c r="CA219" i="8"/>
  <c r="BZ219" i="8"/>
  <c r="BY219" i="8"/>
  <c r="BX219" i="8"/>
  <c r="BW219" i="8"/>
  <c r="BV219" i="8"/>
  <c r="AU219" i="8"/>
  <c r="AG219" i="8"/>
  <c r="AF219" i="8"/>
  <c r="CE218" i="8"/>
  <c r="CD218" i="8"/>
  <c r="CC218" i="8"/>
  <c r="CB218" i="8"/>
  <c r="CA218" i="8"/>
  <c r="BZ218" i="8"/>
  <c r="BY218" i="8"/>
  <c r="BX218" i="8"/>
  <c r="BW218" i="8"/>
  <c r="BV218" i="8"/>
  <c r="AU218" i="8"/>
  <c r="AG218" i="8"/>
  <c r="AF218" i="8"/>
  <c r="CE217" i="8"/>
  <c r="CD217" i="8"/>
  <c r="CC217" i="8"/>
  <c r="CB217" i="8"/>
  <c r="CA217" i="8"/>
  <c r="BZ217" i="8"/>
  <c r="BY217" i="8"/>
  <c r="BX217" i="8"/>
  <c r="BW217" i="8"/>
  <c r="BV217" i="8"/>
  <c r="AU217" i="8"/>
  <c r="AG217" i="8"/>
  <c r="AF217" i="8"/>
  <c r="CE216" i="8"/>
  <c r="CD216" i="8"/>
  <c r="CC216" i="8"/>
  <c r="CB216" i="8"/>
  <c r="CA216" i="8"/>
  <c r="BZ216" i="8"/>
  <c r="BY216" i="8"/>
  <c r="BX216" i="8"/>
  <c r="BW216" i="8"/>
  <c r="BV216" i="8"/>
  <c r="AU216" i="8"/>
  <c r="AG216" i="8"/>
  <c r="AF216" i="8"/>
  <c r="CE215" i="8"/>
  <c r="CD215" i="8"/>
  <c r="CC215" i="8"/>
  <c r="CB215" i="8"/>
  <c r="CA215" i="8"/>
  <c r="BZ215" i="8"/>
  <c r="BY215" i="8"/>
  <c r="BX215" i="8"/>
  <c r="BW215" i="8"/>
  <c r="BV215" i="8"/>
  <c r="AU215" i="8"/>
  <c r="AG215" i="8"/>
  <c r="AF215" i="8"/>
  <c r="CE214" i="8"/>
  <c r="CD214" i="8"/>
  <c r="CC214" i="8"/>
  <c r="CB214" i="8"/>
  <c r="CA214" i="8"/>
  <c r="BZ214" i="8"/>
  <c r="BY214" i="8"/>
  <c r="BX214" i="8"/>
  <c r="BW214" i="8"/>
  <c r="BV214" i="8"/>
  <c r="AU214" i="8"/>
  <c r="AG214" i="8"/>
  <c r="AF214" i="8"/>
  <c r="CE213" i="8"/>
  <c r="CD213" i="8"/>
  <c r="CC213" i="8"/>
  <c r="CB213" i="8"/>
  <c r="CA213" i="8"/>
  <c r="BZ213" i="8"/>
  <c r="BY213" i="8"/>
  <c r="BX213" i="8"/>
  <c r="BW213" i="8"/>
  <c r="BV213" i="8"/>
  <c r="AU213" i="8"/>
  <c r="AG213" i="8"/>
  <c r="AF213" i="8"/>
  <c r="CE212" i="8"/>
  <c r="CD212" i="8"/>
  <c r="CC212" i="8"/>
  <c r="CB212" i="8"/>
  <c r="CA212" i="8"/>
  <c r="BZ212" i="8"/>
  <c r="BY212" i="8"/>
  <c r="BX212" i="8"/>
  <c r="BW212" i="8"/>
  <c r="BV212" i="8"/>
  <c r="AU212" i="8"/>
  <c r="AG212" i="8"/>
  <c r="AF212" i="8"/>
  <c r="AU211" i="8"/>
  <c r="AG211" i="8"/>
  <c r="AF211" i="8"/>
  <c r="AU210" i="8"/>
  <c r="AG210" i="8"/>
  <c r="AF210" i="8"/>
  <c r="AU209" i="8"/>
  <c r="AG209" i="8"/>
  <c r="AF209" i="8"/>
  <c r="AU208" i="8"/>
  <c r="AG208" i="8"/>
  <c r="AF208" i="8"/>
  <c r="AU207" i="8"/>
  <c r="AG207" i="8"/>
  <c r="AF207" i="8"/>
  <c r="AU206" i="8"/>
  <c r="AG206" i="8"/>
  <c r="AF206" i="8"/>
  <c r="AU205" i="8"/>
  <c r="AG205" i="8"/>
  <c r="AF205" i="8"/>
  <c r="AU204" i="8"/>
  <c r="AG204" i="8"/>
  <c r="AF204" i="8"/>
  <c r="AU203" i="8"/>
  <c r="AG203" i="8"/>
  <c r="AF203" i="8"/>
  <c r="AU202" i="8"/>
  <c r="AG202" i="8"/>
  <c r="AF202" i="8"/>
  <c r="AU201" i="8"/>
  <c r="AG201" i="8"/>
  <c r="AF201" i="8"/>
  <c r="AU200" i="8"/>
  <c r="AG200" i="8"/>
  <c r="AF200" i="8"/>
  <c r="AU199" i="8"/>
  <c r="AG199" i="8"/>
  <c r="AF199" i="8"/>
  <c r="AU198" i="8"/>
  <c r="AG198" i="8"/>
  <c r="AF198" i="8"/>
  <c r="AU197" i="8"/>
  <c r="AG197" i="8"/>
  <c r="AF197" i="8"/>
  <c r="AU196" i="8"/>
  <c r="AG196" i="8"/>
  <c r="AF196" i="8"/>
  <c r="AU195" i="8"/>
  <c r="AG195" i="8"/>
  <c r="AF195" i="8"/>
  <c r="AU194" i="8"/>
  <c r="AG194" i="8"/>
  <c r="AF194" i="8"/>
  <c r="AU193" i="8"/>
  <c r="AG193" i="8"/>
  <c r="AF193" i="8"/>
  <c r="AU192" i="8"/>
  <c r="AG192" i="8"/>
  <c r="AF192" i="8"/>
  <c r="AU191" i="8"/>
  <c r="AG191" i="8"/>
  <c r="AF191" i="8"/>
  <c r="AU190" i="8"/>
  <c r="AG190" i="8"/>
  <c r="AF190" i="8"/>
  <c r="AU189" i="8"/>
  <c r="AG189" i="8"/>
  <c r="AF189" i="8"/>
  <c r="AU188" i="8"/>
  <c r="AG188" i="8"/>
  <c r="AF188" i="8"/>
  <c r="AU187" i="8"/>
  <c r="AG187" i="8"/>
  <c r="AF187" i="8"/>
  <c r="AU186" i="8"/>
  <c r="AG186" i="8"/>
  <c r="AF186" i="8"/>
  <c r="AU185" i="8"/>
  <c r="AG185" i="8"/>
  <c r="AF185" i="8"/>
  <c r="AU184" i="8"/>
  <c r="AG184" i="8"/>
  <c r="AF184" i="8"/>
  <c r="AU183" i="8"/>
  <c r="AG183" i="8"/>
  <c r="AF183" i="8"/>
  <c r="AU182" i="8"/>
  <c r="AG182" i="8"/>
  <c r="AF182" i="8"/>
  <c r="AU181" i="8"/>
  <c r="AG181" i="8"/>
  <c r="AF181" i="8"/>
  <c r="AU180" i="8"/>
  <c r="AG180" i="8"/>
  <c r="AF180" i="8"/>
  <c r="AU179" i="8"/>
  <c r="AG179" i="8"/>
  <c r="AF179" i="8"/>
  <c r="AU178" i="8"/>
  <c r="AG178" i="8"/>
  <c r="AF178" i="8"/>
  <c r="AU177" i="8"/>
  <c r="AG177" i="8"/>
  <c r="AF177" i="8"/>
  <c r="AU176" i="8"/>
  <c r="AG176" i="8"/>
  <c r="AF176" i="8"/>
  <c r="AU175" i="8"/>
  <c r="AG175" i="8"/>
  <c r="AF175" i="8"/>
  <c r="AU174" i="8"/>
  <c r="AG174" i="8"/>
  <c r="AF174" i="8"/>
  <c r="AU173" i="8"/>
  <c r="AG173" i="8"/>
  <c r="AF173" i="8"/>
  <c r="AU172" i="8"/>
  <c r="AG172" i="8"/>
  <c r="AF172" i="8"/>
  <c r="AU171" i="8"/>
  <c r="AG171" i="8"/>
  <c r="AF171" i="8"/>
  <c r="AU170" i="8"/>
  <c r="AG170" i="8"/>
  <c r="AF170" i="8"/>
  <c r="AU169" i="8"/>
  <c r="AG169" i="8"/>
  <c r="AF169" i="8"/>
  <c r="AU168" i="8"/>
  <c r="AG168" i="8"/>
  <c r="AF168" i="8"/>
  <c r="AU167" i="8"/>
  <c r="AG167" i="8"/>
  <c r="AF167" i="8"/>
  <c r="AU166" i="8"/>
  <c r="AG166" i="8"/>
  <c r="AF166" i="8"/>
  <c r="AU165" i="8"/>
  <c r="AG165" i="8"/>
  <c r="AF165" i="8"/>
  <c r="AU164" i="8"/>
  <c r="AG164" i="8"/>
  <c r="AF164" i="8"/>
  <c r="AU163" i="8"/>
  <c r="AG163" i="8"/>
  <c r="AF163" i="8"/>
  <c r="AU162" i="8"/>
  <c r="AG162" i="8"/>
  <c r="AF162" i="8"/>
  <c r="AU161" i="8"/>
  <c r="AG161" i="8"/>
  <c r="AF161" i="8"/>
  <c r="AU160" i="8"/>
  <c r="AG160" i="8"/>
  <c r="AF160" i="8"/>
  <c r="AU159" i="8"/>
  <c r="AG159" i="8"/>
  <c r="AF159" i="8"/>
  <c r="AU158" i="8"/>
  <c r="AG158" i="8"/>
  <c r="AF158" i="8"/>
  <c r="AU157" i="8"/>
  <c r="AG157" i="8"/>
  <c r="AF157" i="8"/>
  <c r="AU156" i="8"/>
  <c r="AG156" i="8"/>
  <c r="AF156" i="8"/>
  <c r="AU155" i="8"/>
  <c r="AG155" i="8"/>
  <c r="AF155" i="8"/>
  <c r="AU154" i="8"/>
  <c r="AG154" i="8"/>
  <c r="AF154" i="8"/>
  <c r="AU153" i="8"/>
  <c r="AG153" i="8"/>
  <c r="AF153" i="8"/>
  <c r="AU152" i="8"/>
  <c r="AG152" i="8"/>
  <c r="AF152" i="8"/>
  <c r="AU151" i="8"/>
  <c r="AG151" i="8"/>
  <c r="AF151" i="8"/>
  <c r="AU150" i="8"/>
  <c r="AG150" i="8"/>
  <c r="AF150" i="8"/>
  <c r="AU149" i="8"/>
  <c r="AG149" i="8"/>
  <c r="AF149" i="8"/>
  <c r="AU148" i="8"/>
  <c r="AG148" i="8"/>
  <c r="AF148" i="8"/>
  <c r="AU147" i="8"/>
  <c r="AG147" i="8"/>
  <c r="AF147" i="8"/>
  <c r="AU146" i="8"/>
  <c r="AG146" i="8"/>
  <c r="AF146" i="8"/>
  <c r="AU145" i="8"/>
  <c r="AG145" i="8"/>
  <c r="AF145" i="8"/>
  <c r="AU144" i="8"/>
  <c r="AG144" i="8"/>
  <c r="AF144" i="8"/>
  <c r="AU143" i="8"/>
  <c r="AG143" i="8"/>
  <c r="AF143" i="8"/>
  <c r="AU142" i="8"/>
  <c r="AG142" i="8"/>
  <c r="AF142" i="8"/>
  <c r="AU141" i="8"/>
  <c r="AG141" i="8"/>
  <c r="AF141" i="8"/>
  <c r="AU140" i="8"/>
  <c r="AG140" i="8"/>
  <c r="AF140" i="8"/>
  <c r="AU139" i="8"/>
  <c r="AG139" i="8"/>
  <c r="AF139" i="8"/>
  <c r="AU138" i="8"/>
  <c r="AG138" i="8"/>
  <c r="AF138" i="8"/>
  <c r="AU137" i="8"/>
  <c r="AG137" i="8"/>
  <c r="AF137" i="8"/>
  <c r="AU136" i="8"/>
  <c r="AG136" i="8"/>
  <c r="AF136" i="8"/>
  <c r="AU135" i="8"/>
  <c r="AG135" i="8"/>
  <c r="AF135" i="8"/>
  <c r="AU134" i="8"/>
  <c r="AG134" i="8"/>
  <c r="AF134" i="8"/>
  <c r="AU133" i="8"/>
  <c r="AG133" i="8"/>
  <c r="AF133" i="8"/>
  <c r="AU132" i="8"/>
  <c r="AG132" i="8"/>
  <c r="AF132" i="8"/>
  <c r="AU131" i="8"/>
  <c r="AG131" i="8"/>
  <c r="AF131" i="8"/>
  <c r="AU130" i="8"/>
  <c r="AG130" i="8"/>
  <c r="AF130" i="8"/>
  <c r="AU129" i="8"/>
  <c r="AG129" i="8"/>
  <c r="AF129" i="8"/>
  <c r="AU128" i="8"/>
  <c r="AG128" i="8"/>
  <c r="AF128" i="8"/>
  <c r="AU127" i="8"/>
  <c r="AG127" i="8"/>
  <c r="AF127" i="8"/>
  <c r="AU126" i="8"/>
  <c r="AG126" i="8"/>
  <c r="AF126" i="8"/>
  <c r="AU125" i="8"/>
  <c r="AG125" i="8"/>
  <c r="AF125" i="8"/>
  <c r="AU124" i="8"/>
  <c r="AG124" i="8"/>
  <c r="AF124" i="8"/>
  <c r="AU123" i="8"/>
  <c r="AG123" i="8"/>
  <c r="AF123" i="8"/>
  <c r="AU122" i="8"/>
  <c r="AG122" i="8"/>
  <c r="AF122" i="8"/>
  <c r="AU121" i="8"/>
  <c r="AG121" i="8"/>
  <c r="AF121" i="8"/>
  <c r="AU120" i="8"/>
  <c r="AG120" i="8"/>
  <c r="AF120" i="8"/>
  <c r="AU119" i="8"/>
  <c r="AG119" i="8"/>
  <c r="AF119" i="8"/>
  <c r="AU118" i="8"/>
  <c r="AG118" i="8"/>
  <c r="AF118" i="8"/>
  <c r="AU117" i="8"/>
  <c r="AG117" i="8"/>
  <c r="AF117" i="8"/>
  <c r="AU116" i="8"/>
  <c r="AG116" i="8"/>
  <c r="AF116" i="8"/>
  <c r="AU115" i="8"/>
  <c r="AG115" i="8"/>
  <c r="AF115" i="8"/>
  <c r="AU114" i="8"/>
  <c r="AG114" i="8"/>
  <c r="AF114" i="8"/>
  <c r="AU113" i="8"/>
  <c r="AG113" i="8"/>
  <c r="AF113" i="8"/>
  <c r="AU112" i="8"/>
  <c r="AG112" i="8"/>
  <c r="AF112" i="8"/>
  <c r="AU111" i="8"/>
  <c r="AG111" i="8"/>
  <c r="AF111" i="8"/>
  <c r="AU110" i="8"/>
  <c r="AG110" i="8"/>
  <c r="AF110" i="8"/>
  <c r="AU109" i="8"/>
  <c r="AG109" i="8"/>
  <c r="AF109" i="8"/>
  <c r="AU108" i="8"/>
  <c r="AG108" i="8"/>
  <c r="AF108" i="8"/>
  <c r="AU107" i="8"/>
  <c r="AG107" i="8"/>
  <c r="AF107" i="8"/>
  <c r="AU106" i="8"/>
  <c r="AG106" i="8"/>
  <c r="AF106" i="8"/>
  <c r="AU105" i="8"/>
  <c r="AG105" i="8"/>
  <c r="AF105" i="8"/>
  <c r="AU104" i="8"/>
  <c r="AG104" i="8"/>
  <c r="AF104" i="8"/>
  <c r="AU103" i="8"/>
  <c r="AG103" i="8"/>
  <c r="AF103" i="8"/>
  <c r="AU102" i="8"/>
  <c r="AG102" i="8"/>
  <c r="AF102" i="8"/>
  <c r="AU101" i="8"/>
  <c r="AG101" i="8"/>
  <c r="AF101" i="8"/>
  <c r="AU100" i="8"/>
  <c r="AG100" i="8"/>
  <c r="AF100" i="8"/>
  <c r="AU99" i="8"/>
  <c r="AG99" i="8"/>
  <c r="AF99" i="8"/>
  <c r="AU98" i="8"/>
  <c r="AG98" i="8"/>
  <c r="AF98" i="8"/>
  <c r="AU97" i="8"/>
  <c r="AG97" i="8"/>
  <c r="AF97" i="8"/>
  <c r="AU96" i="8"/>
  <c r="AG96" i="8"/>
  <c r="AF96" i="8"/>
  <c r="AU95" i="8"/>
  <c r="AG95" i="8"/>
  <c r="AF95" i="8"/>
  <c r="AU94" i="8"/>
  <c r="AG94" i="8"/>
  <c r="AF94" i="8"/>
  <c r="AU93" i="8"/>
  <c r="AG93" i="8"/>
  <c r="AF93" i="8"/>
  <c r="AU92" i="8"/>
  <c r="AG92" i="8"/>
  <c r="AF92" i="8"/>
  <c r="AU91" i="8"/>
  <c r="AG91" i="8"/>
  <c r="AF91" i="8"/>
  <c r="AU90" i="8"/>
  <c r="AG90" i="8"/>
  <c r="AF90" i="8"/>
  <c r="AU89" i="8"/>
  <c r="AG89" i="8"/>
  <c r="AF89" i="8"/>
  <c r="AU88" i="8"/>
  <c r="AG88" i="8"/>
  <c r="AF88" i="8"/>
  <c r="AU87" i="8"/>
  <c r="AG87" i="8"/>
  <c r="AF87" i="8"/>
  <c r="AU86" i="8"/>
  <c r="AG86" i="8"/>
  <c r="AF86" i="8"/>
  <c r="AU85" i="8"/>
  <c r="AG85" i="8"/>
  <c r="AF85" i="8"/>
  <c r="AU84" i="8"/>
  <c r="AG84" i="8"/>
  <c r="AF84" i="8"/>
  <c r="AU83" i="8"/>
  <c r="AG83" i="8"/>
  <c r="AF83" i="8"/>
  <c r="AU82" i="8"/>
  <c r="AG82" i="8"/>
  <c r="AF82" i="8"/>
  <c r="AU81" i="8"/>
  <c r="AG81" i="8"/>
  <c r="AF81" i="8"/>
  <c r="AU80" i="8"/>
  <c r="AG80" i="8"/>
  <c r="AF80" i="8"/>
  <c r="AU79" i="8"/>
  <c r="AG79" i="8"/>
  <c r="AF79" i="8"/>
  <c r="AU78" i="8"/>
  <c r="AG78" i="8"/>
  <c r="AF78" i="8"/>
  <c r="AU77" i="8"/>
  <c r="AG77" i="8"/>
  <c r="AF77" i="8"/>
  <c r="AU76" i="8"/>
  <c r="AG76" i="8"/>
  <c r="AF76" i="8"/>
  <c r="AU75" i="8"/>
  <c r="AG75" i="8"/>
  <c r="AF75" i="8"/>
  <c r="AU74" i="8"/>
  <c r="AG74" i="8"/>
  <c r="AF74" i="8"/>
  <c r="AU73" i="8"/>
  <c r="AG73" i="8"/>
  <c r="AF73" i="8"/>
  <c r="AU72" i="8"/>
  <c r="AG72" i="8"/>
  <c r="AF72" i="8"/>
  <c r="AU71" i="8"/>
  <c r="AG71" i="8"/>
  <c r="AF71" i="8"/>
  <c r="AU70" i="8"/>
  <c r="AG70" i="8"/>
  <c r="AF70" i="8"/>
  <c r="AU69" i="8"/>
  <c r="AG69" i="8"/>
  <c r="AF69" i="8"/>
  <c r="AU68" i="8"/>
  <c r="AG68" i="8"/>
  <c r="AF68" i="8"/>
  <c r="AU67" i="8"/>
  <c r="AG67" i="8"/>
  <c r="AF67" i="8"/>
  <c r="AU66" i="8"/>
  <c r="AG66" i="8"/>
  <c r="AF66" i="8"/>
  <c r="AU65" i="8"/>
  <c r="AG65" i="8"/>
  <c r="AF65" i="8"/>
  <c r="AU64" i="8"/>
  <c r="AG64" i="8"/>
  <c r="AF64" i="8"/>
  <c r="AU63" i="8"/>
  <c r="AG63" i="8"/>
  <c r="AF63" i="8"/>
  <c r="AU62" i="8"/>
  <c r="AG62" i="8"/>
  <c r="AF62" i="8"/>
  <c r="AU61" i="8"/>
  <c r="AG61" i="8"/>
  <c r="AF61" i="8"/>
  <c r="AU60" i="8"/>
  <c r="AG60" i="8"/>
  <c r="AF60" i="8"/>
  <c r="AU59" i="8"/>
  <c r="AG59" i="8"/>
  <c r="AF59" i="8"/>
  <c r="AU58" i="8"/>
  <c r="AG58" i="8"/>
  <c r="AF58" i="8"/>
  <c r="AU57" i="8"/>
  <c r="AG57" i="8"/>
  <c r="AF57" i="8"/>
  <c r="AU56" i="8"/>
  <c r="AG56" i="8"/>
  <c r="AF56" i="8"/>
  <c r="AU55" i="8"/>
  <c r="AG55" i="8"/>
  <c r="AF55" i="8"/>
  <c r="AU54" i="8"/>
  <c r="AG54" i="8"/>
  <c r="AF54" i="8"/>
  <c r="AU53" i="8"/>
  <c r="AG53" i="8"/>
  <c r="AF53" i="8"/>
  <c r="AU52" i="8"/>
  <c r="AG52" i="8"/>
  <c r="AF52" i="8"/>
  <c r="AU51" i="8"/>
  <c r="AG51" i="8"/>
  <c r="AF51" i="8"/>
  <c r="AU50" i="8"/>
  <c r="AG50" i="8"/>
  <c r="AF50" i="8"/>
  <c r="AU49" i="8"/>
  <c r="AG49" i="8"/>
  <c r="AF49" i="8"/>
  <c r="AU48" i="8"/>
  <c r="AG48" i="8"/>
  <c r="AF48" i="8"/>
  <c r="AU47" i="8"/>
  <c r="AG47" i="8"/>
  <c r="AF47" i="8"/>
  <c r="AU46" i="8"/>
  <c r="AG46" i="8"/>
  <c r="AF46" i="8"/>
  <c r="AU45" i="8"/>
  <c r="AG45" i="8"/>
  <c r="AF45" i="8"/>
  <c r="AU44" i="8"/>
  <c r="AG44" i="8"/>
  <c r="AF44" i="8"/>
  <c r="AU43" i="8"/>
  <c r="AG43" i="8"/>
  <c r="AF43" i="8"/>
  <c r="AU42" i="8"/>
  <c r="AG42" i="8"/>
  <c r="AF42" i="8"/>
  <c r="AU41" i="8"/>
  <c r="AG41" i="8"/>
  <c r="AF41" i="8"/>
  <c r="AU40" i="8"/>
  <c r="AG40" i="8"/>
  <c r="AF40" i="8"/>
  <c r="AU39" i="8"/>
  <c r="AG39" i="8"/>
  <c r="AF39" i="8"/>
  <c r="AU38" i="8"/>
  <c r="AG38" i="8"/>
  <c r="AF38" i="8"/>
  <c r="AU37" i="8"/>
  <c r="AG37" i="8"/>
  <c r="AF37" i="8"/>
  <c r="AU36" i="8"/>
  <c r="AG36" i="8"/>
  <c r="AF36" i="8"/>
  <c r="AU35" i="8"/>
  <c r="AG35" i="8"/>
  <c r="AF35" i="8"/>
  <c r="AU34" i="8"/>
  <c r="AG34" i="8"/>
  <c r="AF34" i="8"/>
  <c r="AU33" i="8"/>
  <c r="AG33" i="8"/>
  <c r="AF33" i="8"/>
  <c r="AU32" i="8"/>
  <c r="AG32" i="8"/>
  <c r="AF32" i="8"/>
  <c r="AU31" i="8"/>
  <c r="AG31" i="8"/>
  <c r="AF31" i="8"/>
  <c r="AU30" i="8"/>
  <c r="AG30" i="8"/>
  <c r="AF30" i="8"/>
  <c r="AU29" i="8"/>
  <c r="AG29" i="8"/>
  <c r="AF29" i="8"/>
  <c r="AU28" i="8"/>
  <c r="AG28" i="8"/>
  <c r="AF28" i="8"/>
  <c r="AU27" i="8"/>
  <c r="AG27" i="8"/>
  <c r="AF27" i="8"/>
  <c r="AU26" i="8"/>
  <c r="AG26" i="8"/>
  <c r="AF26" i="8"/>
  <c r="AU25" i="8"/>
  <c r="AG25" i="8"/>
  <c r="AF25" i="8"/>
  <c r="AU24" i="8"/>
  <c r="AG24" i="8"/>
  <c r="AF24" i="8"/>
  <c r="AU23" i="8"/>
  <c r="AG23" i="8"/>
  <c r="AF23" i="8"/>
  <c r="AU22" i="8"/>
  <c r="AG22" i="8"/>
  <c r="AF22" i="8"/>
  <c r="AU21" i="8"/>
  <c r="AG21" i="8"/>
  <c r="AF21" i="8"/>
  <c r="AU20" i="8"/>
  <c r="AG20" i="8"/>
  <c r="AF20" i="8"/>
  <c r="AU19" i="8"/>
  <c r="AG19" i="8"/>
  <c r="AF19" i="8"/>
  <c r="AU18" i="8"/>
  <c r="AG18" i="8"/>
  <c r="AF18" i="8"/>
  <c r="AU17" i="8"/>
  <c r="AG17" i="8"/>
  <c r="AF17" i="8"/>
  <c r="AU16" i="8"/>
  <c r="AG16" i="8"/>
  <c r="AF16" i="8"/>
  <c r="AU15" i="8"/>
  <c r="AG15" i="8"/>
  <c r="AF15" i="8"/>
  <c r="AU14" i="8"/>
  <c r="AG14" i="8"/>
  <c r="AF14" i="8"/>
  <c r="AU13" i="8"/>
  <c r="AG13" i="8"/>
  <c r="AF13" i="8"/>
  <c r="AU12" i="8"/>
  <c r="AG12" i="8"/>
  <c r="AF12" i="8"/>
  <c r="AU11" i="8"/>
  <c r="AG11" i="8"/>
  <c r="AF11" i="8"/>
  <c r="AU10" i="8"/>
  <c r="AG10" i="8"/>
  <c r="AF10" i="8"/>
  <c r="AU9" i="8"/>
  <c r="AG9" i="8"/>
  <c r="AF9" i="8"/>
  <c r="AU8" i="8"/>
  <c r="AG8" i="8"/>
  <c r="AF8" i="8"/>
  <c r="AU7" i="8"/>
  <c r="AG7" i="8"/>
  <c r="AF7" i="8"/>
  <c r="AU6" i="8"/>
  <c r="AG6" i="8"/>
  <c r="AF6" i="8"/>
  <c r="AU5" i="8"/>
  <c r="AG5" i="8"/>
  <c r="AF5" i="8"/>
  <c r="AU4" i="8"/>
  <c r="AG4" i="8"/>
  <c r="AF4" i="8"/>
  <c r="AU3" i="8"/>
  <c r="AG3" i="8"/>
  <c r="AF3" i="8"/>
  <c r="AU2" i="8"/>
  <c r="AG2" i="8"/>
  <c r="AF2" i="8"/>
  <c r="H46" i="7"/>
  <c r="H47" i="7"/>
  <c r="H48" i="7"/>
  <c r="H49" i="7"/>
  <c r="H50" i="7"/>
  <c r="H45" i="7"/>
  <c r="H44" i="7"/>
  <c r="S564" i="1"/>
  <c r="R564" i="1"/>
  <c r="Q564" i="1"/>
  <c r="P564" i="1"/>
  <c r="O564" i="1"/>
  <c r="S553" i="1"/>
  <c r="R553" i="1"/>
  <c r="Q553" i="1"/>
  <c r="P553" i="1"/>
  <c r="O553" i="1"/>
  <c r="S542" i="1"/>
  <c r="R542" i="1"/>
  <c r="Q542" i="1"/>
  <c r="P542" i="1"/>
  <c r="O542" i="1"/>
  <c r="S531" i="1"/>
  <c r="R531" i="1"/>
  <c r="Q531" i="1"/>
  <c r="P531" i="1"/>
  <c r="O531" i="1"/>
  <c r="S520" i="1"/>
  <c r="R520" i="1"/>
  <c r="Q520" i="1"/>
  <c r="P520" i="1"/>
  <c r="O520" i="1"/>
  <c r="S509" i="1"/>
  <c r="R509" i="1"/>
  <c r="Q509" i="1"/>
  <c r="P509" i="1"/>
  <c r="O509" i="1"/>
  <c r="S341" i="1"/>
  <c r="R341" i="1"/>
  <c r="Q341" i="1"/>
  <c r="P341" i="1"/>
  <c r="O341" i="1"/>
  <c r="S323" i="1"/>
  <c r="R323" i="1"/>
  <c r="Q323" i="1"/>
  <c r="P323" i="1"/>
  <c r="O323" i="1"/>
  <c r="S305" i="1"/>
  <c r="R305" i="1"/>
  <c r="Q305" i="1"/>
  <c r="P305" i="1"/>
  <c r="O305" i="1"/>
  <c r="S287" i="1"/>
  <c r="R287" i="1"/>
  <c r="Q287" i="1"/>
  <c r="P287" i="1"/>
  <c r="O287" i="1"/>
  <c r="S269" i="1"/>
  <c r="R269" i="1"/>
  <c r="Q269" i="1"/>
  <c r="P269" i="1"/>
  <c r="O269" i="1"/>
  <c r="S251" i="1"/>
  <c r="R251" i="1"/>
  <c r="Q251" i="1"/>
  <c r="P251" i="1"/>
  <c r="O251" i="1"/>
  <c r="S559" i="1"/>
  <c r="R559" i="1"/>
  <c r="Q559" i="1"/>
  <c r="P559" i="1"/>
  <c r="O559" i="1"/>
  <c r="S548" i="1"/>
  <c r="R548" i="1"/>
  <c r="Q548" i="1"/>
  <c r="P548" i="1"/>
  <c r="O548" i="1"/>
  <c r="S537" i="1"/>
  <c r="R537" i="1"/>
  <c r="Q537" i="1"/>
  <c r="P537" i="1"/>
  <c r="O537" i="1"/>
  <c r="S526" i="1"/>
  <c r="R526" i="1"/>
  <c r="Q526" i="1"/>
  <c r="P526" i="1"/>
  <c r="O526" i="1"/>
  <c r="S515" i="1"/>
  <c r="R515" i="1"/>
  <c r="Q515" i="1"/>
  <c r="P515" i="1"/>
  <c r="O515" i="1"/>
  <c r="S504" i="1"/>
  <c r="R504" i="1"/>
  <c r="Q504" i="1"/>
  <c r="P504" i="1"/>
  <c r="O504" i="1"/>
  <c r="S330" i="1"/>
  <c r="R330" i="1"/>
  <c r="Q330" i="1"/>
  <c r="P330" i="1"/>
  <c r="O330" i="1"/>
  <c r="S312" i="1"/>
  <c r="R312" i="1"/>
  <c r="Q312" i="1"/>
  <c r="P312" i="1"/>
  <c r="O312" i="1"/>
  <c r="S294" i="1"/>
  <c r="R294" i="1"/>
  <c r="Q294" i="1"/>
  <c r="P294" i="1"/>
  <c r="O294" i="1"/>
  <c r="S276" i="1"/>
  <c r="R276" i="1"/>
  <c r="Q276" i="1"/>
  <c r="P276" i="1"/>
  <c r="O276" i="1"/>
  <c r="S258" i="1"/>
  <c r="R258" i="1"/>
  <c r="Q258" i="1"/>
  <c r="P258" i="1"/>
  <c r="O258" i="1"/>
  <c r="S240" i="1"/>
  <c r="R240" i="1"/>
  <c r="Q240" i="1"/>
  <c r="P240" i="1"/>
  <c r="O240" i="1"/>
  <c r="O558" i="1" l="1"/>
  <c r="O547" i="1"/>
  <c r="O536" i="1"/>
  <c r="O525" i="1"/>
  <c r="O514" i="1"/>
  <c r="O503" i="1"/>
  <c r="O329" i="1"/>
  <c r="O311" i="1"/>
  <c r="O293" i="1"/>
  <c r="O275" i="1"/>
  <c r="O257" i="1"/>
  <c r="O239" i="1"/>
  <c r="O557" i="1"/>
  <c r="O546" i="1"/>
  <c r="O535" i="1"/>
  <c r="O524" i="1"/>
  <c r="O513" i="1"/>
  <c r="O502" i="1"/>
  <c r="O328" i="1"/>
  <c r="O310" i="1"/>
  <c r="O292" i="1"/>
  <c r="O274" i="1"/>
  <c r="O256" i="1"/>
  <c r="O238" i="1"/>
  <c r="O327" i="1"/>
  <c r="O501" i="1"/>
  <c r="O512" i="1"/>
  <c r="O523" i="1"/>
  <c r="O534" i="1"/>
  <c r="O545" i="1"/>
  <c r="O556" i="1"/>
  <c r="O309" i="1"/>
  <c r="O291" i="1"/>
  <c r="O273" i="1"/>
  <c r="O255" i="1"/>
  <c r="O237" i="1"/>
  <c r="O555" i="1"/>
  <c r="O544" i="1"/>
  <c r="O533" i="1"/>
  <c r="O522" i="1"/>
  <c r="O511" i="1"/>
  <c r="O500" i="1"/>
  <c r="O326" i="1"/>
  <c r="O308" i="1"/>
  <c r="O290" i="1"/>
  <c r="O272" i="1"/>
  <c r="O254" i="1"/>
  <c r="O236" i="1"/>
  <c r="C37" i="5" l="1"/>
  <c r="D37" i="5"/>
  <c r="E37" i="5"/>
  <c r="F37" i="5"/>
  <c r="G37" i="5"/>
  <c r="H37" i="5"/>
  <c r="I37" i="5"/>
  <c r="J37" i="5"/>
  <c r="K37" i="5"/>
  <c r="L37" i="5"/>
  <c r="M37" i="5"/>
  <c r="N37" i="5"/>
  <c r="O37" i="5"/>
  <c r="P37" i="5"/>
  <c r="Q37" i="5"/>
  <c r="R37" i="5"/>
  <c r="C38" i="5"/>
  <c r="D38" i="5"/>
  <c r="E38" i="5"/>
  <c r="F38" i="5"/>
  <c r="G38" i="5"/>
  <c r="H38" i="5"/>
  <c r="I38" i="5"/>
  <c r="J38" i="5"/>
  <c r="K38" i="5"/>
  <c r="L38" i="5"/>
  <c r="M38" i="5"/>
  <c r="N38" i="5"/>
  <c r="O38" i="5"/>
  <c r="P38" i="5"/>
  <c r="Q38" i="5"/>
  <c r="R38" i="5"/>
  <c r="C39" i="5"/>
  <c r="D39" i="5"/>
  <c r="E39" i="5"/>
  <c r="F39" i="5"/>
  <c r="G39" i="5"/>
  <c r="H39" i="5"/>
  <c r="I39" i="5"/>
  <c r="J39" i="5"/>
  <c r="K39" i="5"/>
  <c r="L39" i="5"/>
  <c r="M39" i="5"/>
  <c r="N39" i="5"/>
  <c r="O39" i="5"/>
  <c r="P39" i="5"/>
  <c r="Q39" i="5"/>
  <c r="R39" i="5"/>
  <c r="C40" i="5"/>
  <c r="D40" i="5"/>
  <c r="E40" i="5"/>
  <c r="F40" i="5"/>
  <c r="G40" i="5"/>
  <c r="H40" i="5"/>
  <c r="I40" i="5"/>
  <c r="J40" i="5"/>
  <c r="K40" i="5"/>
  <c r="L40" i="5"/>
  <c r="M40" i="5"/>
  <c r="N40" i="5"/>
  <c r="O40" i="5"/>
  <c r="P40" i="5"/>
  <c r="Q40" i="5"/>
  <c r="R40" i="5"/>
  <c r="C41" i="5"/>
  <c r="D41" i="5"/>
  <c r="E41" i="5"/>
  <c r="F41" i="5"/>
  <c r="G41" i="5"/>
  <c r="H41" i="5"/>
  <c r="I41" i="5"/>
  <c r="J41" i="5"/>
  <c r="K41" i="5"/>
  <c r="L41" i="5"/>
  <c r="M41" i="5"/>
  <c r="N41" i="5"/>
  <c r="O41" i="5"/>
  <c r="P41" i="5"/>
  <c r="Q41" i="5"/>
  <c r="R41" i="5"/>
  <c r="C42" i="5"/>
  <c r="D42" i="5"/>
  <c r="E42" i="5"/>
  <c r="F42" i="5"/>
  <c r="G42" i="5"/>
  <c r="H42" i="5"/>
  <c r="I42" i="5"/>
  <c r="J42" i="5"/>
  <c r="K42" i="5"/>
  <c r="L42" i="5"/>
  <c r="M42" i="5"/>
  <c r="N42" i="5"/>
  <c r="O42" i="5"/>
  <c r="P42" i="5"/>
  <c r="Q42" i="5"/>
  <c r="R42" i="5"/>
  <c r="C43" i="5"/>
  <c r="D43" i="5"/>
  <c r="E43" i="5"/>
  <c r="F43" i="5"/>
  <c r="G43" i="5"/>
  <c r="H43" i="5"/>
  <c r="I43" i="5"/>
  <c r="J43" i="5"/>
  <c r="K43" i="5"/>
  <c r="L43" i="5"/>
  <c r="M43" i="5"/>
  <c r="N43" i="5"/>
  <c r="O43" i="5"/>
  <c r="P43" i="5"/>
  <c r="Q43" i="5"/>
  <c r="R43" i="5"/>
  <c r="C44" i="5"/>
  <c r="D44" i="5"/>
  <c r="E44" i="5"/>
  <c r="F44" i="5"/>
  <c r="G44" i="5"/>
  <c r="H44" i="5"/>
  <c r="I44" i="5"/>
  <c r="J44" i="5"/>
  <c r="K44" i="5"/>
  <c r="L44" i="5"/>
  <c r="M44" i="5"/>
  <c r="N44" i="5"/>
  <c r="O44" i="5"/>
  <c r="P44" i="5"/>
  <c r="Q44" i="5"/>
  <c r="R44" i="5"/>
  <c r="C45" i="5"/>
  <c r="D45" i="5"/>
  <c r="E45" i="5"/>
  <c r="F45" i="5"/>
  <c r="G45" i="5"/>
  <c r="H45" i="5"/>
  <c r="I45" i="5"/>
  <c r="J45" i="5"/>
  <c r="K45" i="5"/>
  <c r="L45" i="5"/>
  <c r="M45" i="5"/>
  <c r="N45" i="5"/>
  <c r="O45" i="5"/>
  <c r="P45" i="5"/>
  <c r="Q45" i="5"/>
  <c r="R45" i="5"/>
  <c r="C46" i="5"/>
  <c r="D46" i="5"/>
  <c r="E46" i="5"/>
  <c r="F46" i="5"/>
  <c r="G46" i="5"/>
  <c r="H46" i="5"/>
  <c r="I46" i="5"/>
  <c r="J46" i="5"/>
  <c r="K46" i="5"/>
  <c r="L46" i="5"/>
  <c r="M46" i="5"/>
  <c r="N46" i="5"/>
  <c r="O46" i="5"/>
  <c r="P46" i="5"/>
  <c r="Q46" i="5"/>
  <c r="R46" i="5"/>
  <c r="C47" i="5"/>
  <c r="D47" i="5"/>
  <c r="E47" i="5"/>
  <c r="F47" i="5"/>
  <c r="G47" i="5"/>
  <c r="H47" i="5"/>
  <c r="I47" i="5"/>
  <c r="J47" i="5"/>
  <c r="K47" i="5"/>
  <c r="L47" i="5"/>
  <c r="M47" i="5"/>
  <c r="N47" i="5"/>
  <c r="O47" i="5"/>
  <c r="P47" i="5"/>
  <c r="Q47" i="5"/>
  <c r="R47" i="5"/>
  <c r="C48" i="5"/>
  <c r="D48" i="5"/>
  <c r="E48" i="5"/>
  <c r="F48" i="5"/>
  <c r="G48" i="5"/>
  <c r="H48" i="5"/>
  <c r="I48" i="5"/>
  <c r="J48" i="5"/>
  <c r="K48" i="5"/>
  <c r="L48" i="5"/>
  <c r="M48" i="5"/>
  <c r="N48" i="5"/>
  <c r="O48" i="5"/>
  <c r="P48" i="5"/>
  <c r="Q48" i="5"/>
  <c r="R48" i="5"/>
  <c r="C49" i="5"/>
  <c r="D49" i="5"/>
  <c r="E49" i="5"/>
  <c r="F49" i="5"/>
  <c r="G49" i="5"/>
  <c r="H49" i="5"/>
  <c r="I49" i="5"/>
  <c r="J49" i="5"/>
  <c r="K49" i="5"/>
  <c r="L49" i="5"/>
  <c r="M49" i="5"/>
  <c r="N49" i="5"/>
  <c r="O49" i="5"/>
  <c r="P49" i="5"/>
  <c r="Q49" i="5"/>
  <c r="R49" i="5"/>
  <c r="C50" i="5"/>
  <c r="D50" i="5"/>
  <c r="E50" i="5"/>
  <c r="F50" i="5"/>
  <c r="G50" i="5"/>
  <c r="H50" i="5"/>
  <c r="I50" i="5"/>
  <c r="J50" i="5"/>
  <c r="K50" i="5"/>
  <c r="L50" i="5"/>
  <c r="M50" i="5"/>
  <c r="N50" i="5"/>
  <c r="O50" i="5"/>
  <c r="P50" i="5"/>
  <c r="Q50" i="5"/>
  <c r="R50" i="5"/>
  <c r="C51" i="5"/>
  <c r="D51" i="5"/>
  <c r="E51" i="5"/>
  <c r="F51" i="5"/>
  <c r="G51" i="5"/>
  <c r="H51" i="5"/>
  <c r="I51" i="5"/>
  <c r="J51" i="5"/>
  <c r="K51" i="5"/>
  <c r="L51" i="5"/>
  <c r="M51" i="5"/>
  <c r="N51" i="5"/>
  <c r="O51" i="5"/>
  <c r="P51" i="5"/>
  <c r="Q51" i="5"/>
  <c r="R51" i="5"/>
  <c r="C52" i="5"/>
  <c r="D52" i="5"/>
  <c r="E52" i="5"/>
  <c r="F52" i="5"/>
  <c r="G52" i="5"/>
  <c r="H52" i="5"/>
  <c r="I52" i="5"/>
  <c r="J52" i="5"/>
  <c r="K52" i="5"/>
  <c r="L52" i="5"/>
  <c r="M52" i="5"/>
  <c r="N52" i="5"/>
  <c r="O52" i="5"/>
  <c r="P52" i="5"/>
  <c r="Q52" i="5"/>
  <c r="R52" i="5"/>
  <c r="C53" i="5"/>
  <c r="D53" i="5"/>
  <c r="E53" i="5"/>
  <c r="F53" i="5"/>
  <c r="G53" i="5"/>
  <c r="H53" i="5"/>
  <c r="I53" i="5"/>
  <c r="J53" i="5"/>
  <c r="K53" i="5"/>
  <c r="L53" i="5"/>
  <c r="M53" i="5"/>
  <c r="N53" i="5"/>
  <c r="O53" i="5"/>
  <c r="P53" i="5"/>
  <c r="Q53" i="5"/>
  <c r="R53" i="5"/>
  <c r="C54" i="5"/>
  <c r="D54" i="5"/>
  <c r="E54" i="5"/>
  <c r="F54" i="5"/>
  <c r="G54" i="5"/>
  <c r="H54" i="5"/>
  <c r="I54" i="5"/>
  <c r="J54" i="5"/>
  <c r="K54" i="5"/>
  <c r="L54" i="5"/>
  <c r="M54" i="5"/>
  <c r="N54" i="5"/>
  <c r="O54" i="5"/>
  <c r="P54" i="5"/>
  <c r="Q54" i="5"/>
  <c r="R54" i="5"/>
  <c r="C55" i="5"/>
  <c r="D55" i="5"/>
  <c r="E55" i="5"/>
  <c r="F55" i="5"/>
  <c r="G55" i="5"/>
  <c r="H55" i="5"/>
  <c r="I55" i="5"/>
  <c r="J55" i="5"/>
  <c r="K55" i="5"/>
  <c r="L55" i="5"/>
  <c r="M55" i="5"/>
  <c r="N55" i="5"/>
  <c r="O55" i="5"/>
  <c r="P55" i="5"/>
  <c r="Q55" i="5"/>
  <c r="R55" i="5"/>
  <c r="C56" i="5"/>
  <c r="D56" i="5"/>
  <c r="E56" i="5"/>
  <c r="F56" i="5"/>
  <c r="G56" i="5"/>
  <c r="H56" i="5"/>
  <c r="I56" i="5"/>
  <c r="J56" i="5"/>
  <c r="K56" i="5"/>
  <c r="L56" i="5"/>
  <c r="M56" i="5"/>
  <c r="N56" i="5"/>
  <c r="O56" i="5"/>
  <c r="P56" i="5"/>
  <c r="Q56" i="5"/>
  <c r="R56" i="5"/>
  <c r="C57" i="5"/>
  <c r="D57" i="5"/>
  <c r="E57" i="5"/>
  <c r="F57" i="5"/>
  <c r="G57" i="5"/>
  <c r="H57" i="5"/>
  <c r="I57" i="5"/>
  <c r="J57" i="5"/>
  <c r="K57" i="5"/>
  <c r="L57" i="5"/>
  <c r="M57" i="5"/>
  <c r="N57" i="5"/>
  <c r="O57" i="5"/>
  <c r="P57" i="5"/>
  <c r="Q57" i="5"/>
  <c r="R57" i="5"/>
  <c r="C58" i="5"/>
  <c r="D58" i="5"/>
  <c r="E58" i="5"/>
  <c r="F58" i="5"/>
  <c r="G58" i="5"/>
  <c r="H58" i="5"/>
  <c r="I58" i="5"/>
  <c r="J58" i="5"/>
  <c r="K58" i="5"/>
  <c r="L58" i="5"/>
  <c r="M58" i="5"/>
  <c r="N58" i="5"/>
  <c r="O58" i="5"/>
  <c r="P58" i="5"/>
  <c r="Q58" i="5"/>
  <c r="R58" i="5"/>
  <c r="C59" i="5"/>
  <c r="D59" i="5"/>
  <c r="E59" i="5"/>
  <c r="F59" i="5"/>
  <c r="G59" i="5"/>
  <c r="H59" i="5"/>
  <c r="I59" i="5"/>
  <c r="J59" i="5"/>
  <c r="K59" i="5"/>
  <c r="L59" i="5"/>
  <c r="M59" i="5"/>
  <c r="N59" i="5"/>
  <c r="O59" i="5"/>
  <c r="P59" i="5"/>
  <c r="Q59" i="5"/>
  <c r="R59" i="5"/>
  <c r="C60" i="5"/>
  <c r="D60" i="5"/>
  <c r="E60" i="5"/>
  <c r="F60" i="5"/>
  <c r="G60" i="5"/>
  <c r="H60" i="5"/>
  <c r="I60" i="5"/>
  <c r="J60" i="5"/>
  <c r="K60" i="5"/>
  <c r="L60" i="5"/>
  <c r="M60" i="5"/>
  <c r="N60" i="5"/>
  <c r="O60" i="5"/>
  <c r="P60" i="5"/>
  <c r="Q60" i="5"/>
  <c r="R60" i="5"/>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F764" i="1"/>
  <c r="AF765" i="1"/>
  <c r="AF766" i="1"/>
  <c r="AF767" i="1"/>
  <c r="AF768" i="1"/>
  <c r="AF769" i="1"/>
  <c r="AF770" i="1"/>
  <c r="AF771" i="1"/>
  <c r="AF772" i="1"/>
  <c r="AF773" i="1"/>
  <c r="AF774" i="1"/>
  <c r="AF775" i="1"/>
  <c r="AG764" i="1"/>
  <c r="AG765" i="1"/>
  <c r="AG766" i="1"/>
  <c r="AG767" i="1"/>
  <c r="AG768" i="1"/>
  <c r="AG769" i="1"/>
  <c r="AG770" i="1"/>
  <c r="AG771" i="1"/>
  <c r="AG772" i="1"/>
  <c r="AG773" i="1"/>
  <c r="AG774" i="1"/>
  <c r="AG775" i="1"/>
  <c r="AU764" i="1"/>
  <c r="AU765" i="1"/>
  <c r="AU766" i="1"/>
  <c r="AU767" i="1"/>
  <c r="AU768" i="1"/>
  <c r="AU769" i="1"/>
  <c r="AU770" i="1"/>
  <c r="AU771" i="1"/>
  <c r="AU772" i="1"/>
  <c r="AU773" i="1"/>
  <c r="AU774" i="1"/>
  <c r="AU775"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F692" i="1"/>
  <c r="AF693" i="1"/>
  <c r="AF694" i="1"/>
  <c r="AF695" i="1"/>
  <c r="AF696" i="1"/>
  <c r="AF697" i="1"/>
  <c r="AF698" i="1"/>
  <c r="AF699" i="1"/>
  <c r="AF700" i="1"/>
  <c r="AF701" i="1"/>
  <c r="AF702" i="1"/>
  <c r="AF703" i="1"/>
  <c r="AF704" i="1"/>
  <c r="AF705" i="1"/>
  <c r="AF706" i="1"/>
  <c r="AF707" i="1"/>
  <c r="AF708" i="1"/>
  <c r="AF709" i="1"/>
  <c r="AG692" i="1"/>
  <c r="AG693" i="1"/>
  <c r="AG694" i="1"/>
  <c r="AG695" i="1"/>
  <c r="AG696" i="1"/>
  <c r="AG697" i="1"/>
  <c r="AG698" i="1"/>
  <c r="AG699" i="1"/>
  <c r="AG700" i="1"/>
  <c r="AG701" i="1"/>
  <c r="AG702" i="1"/>
  <c r="AG703" i="1"/>
  <c r="AG704" i="1"/>
  <c r="AG705" i="1"/>
  <c r="AG706" i="1"/>
  <c r="AG707" i="1"/>
  <c r="AG708" i="1"/>
  <c r="AG709" i="1"/>
  <c r="AU692" i="1"/>
  <c r="AU693" i="1"/>
  <c r="AU694" i="1"/>
  <c r="AU695" i="1"/>
  <c r="AU696" i="1"/>
  <c r="AU697" i="1"/>
  <c r="AU698" i="1"/>
  <c r="AU699" i="1"/>
  <c r="AU700" i="1"/>
  <c r="AU701" i="1"/>
  <c r="AU702" i="1"/>
  <c r="AU703" i="1"/>
  <c r="AU704" i="1"/>
  <c r="AU705" i="1"/>
  <c r="AU706" i="1"/>
  <c r="AU707" i="1"/>
  <c r="AU708" i="1"/>
  <c r="AU709"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U3" i="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O15" i="3"/>
  <c r="Z15" i="3" l="1"/>
  <c r="V15" i="3"/>
  <c r="Y15" i="3"/>
  <c r="U15" i="3"/>
  <c r="Q15" i="3"/>
  <c r="R15" i="3"/>
  <c r="B141" i="3"/>
  <c r="B140" i="3"/>
  <c r="B138" i="3"/>
  <c r="B137" i="3"/>
  <c r="B136" i="3"/>
  <c r="B135" i="3"/>
  <c r="B133" i="3"/>
  <c r="B131" i="3"/>
  <c r="B130" i="3"/>
  <c r="B129" i="3"/>
  <c r="B128" i="3"/>
  <c r="B127" i="3"/>
  <c r="B120" i="3"/>
  <c r="C120" i="3" s="1"/>
  <c r="D120" i="3" s="1"/>
  <c r="E120" i="3" s="1"/>
  <c r="F120" i="3" s="1"/>
  <c r="G120" i="3" s="1"/>
  <c r="H120" i="3" s="1"/>
  <c r="I120" i="3" s="1"/>
  <c r="J120" i="3" s="1"/>
  <c r="K120" i="3" s="1"/>
  <c r="L120" i="3" s="1"/>
  <c r="B119" i="3"/>
  <c r="C119" i="3" s="1"/>
  <c r="D119" i="3" s="1"/>
  <c r="E119" i="3" s="1"/>
  <c r="F119" i="3" s="1"/>
  <c r="G119" i="3" s="1"/>
  <c r="H119" i="3" s="1"/>
  <c r="I119" i="3" s="1"/>
  <c r="J119" i="3" s="1"/>
  <c r="K119" i="3" s="1"/>
  <c r="L119" i="3" s="1"/>
  <c r="B118" i="3"/>
  <c r="C118" i="3" s="1"/>
  <c r="D118" i="3" s="1"/>
  <c r="E118" i="3" s="1"/>
  <c r="F118" i="3" s="1"/>
  <c r="G118" i="3" s="1"/>
  <c r="H118" i="3" s="1"/>
  <c r="I118" i="3" s="1"/>
  <c r="J118" i="3" s="1"/>
  <c r="K118" i="3" s="1"/>
  <c r="L118" i="3" s="1"/>
  <c r="B117" i="3"/>
  <c r="C117" i="3" s="1"/>
  <c r="D117" i="3" s="1"/>
  <c r="E117" i="3" s="1"/>
  <c r="F117" i="3" s="1"/>
  <c r="G117" i="3" s="1"/>
  <c r="H117" i="3" s="1"/>
  <c r="I117" i="3" s="1"/>
  <c r="J117" i="3" s="1"/>
  <c r="K117" i="3" s="1"/>
  <c r="L117" i="3" s="1"/>
  <c r="B116" i="3"/>
  <c r="C116" i="3" s="1"/>
  <c r="B115" i="3"/>
  <c r="B114" i="3"/>
  <c r="B112" i="3"/>
  <c r="C112" i="3" s="1"/>
  <c r="D112" i="3" s="1"/>
  <c r="E112" i="3" s="1"/>
  <c r="F112" i="3" s="1"/>
  <c r="G112" i="3" s="1"/>
  <c r="H112" i="3" s="1"/>
  <c r="I112" i="3" s="1"/>
  <c r="J112" i="3" s="1"/>
  <c r="K112" i="3" s="1"/>
  <c r="L112" i="3" s="1"/>
  <c r="B111" i="3"/>
  <c r="C111" i="3" s="1"/>
  <c r="D111" i="3" s="1"/>
  <c r="E111" i="3" s="1"/>
  <c r="F111" i="3" s="1"/>
  <c r="G111" i="3" s="1"/>
  <c r="H111" i="3" s="1"/>
  <c r="I111" i="3" s="1"/>
  <c r="J111" i="3" s="1"/>
  <c r="K111" i="3" s="1"/>
  <c r="L111" i="3" s="1"/>
  <c r="B110" i="3"/>
  <c r="C110" i="3" s="1"/>
  <c r="D110" i="3" s="1"/>
  <c r="E110" i="3" s="1"/>
  <c r="F110" i="3" s="1"/>
  <c r="G110" i="3" s="1"/>
  <c r="H110" i="3" s="1"/>
  <c r="I110" i="3" s="1"/>
  <c r="J110" i="3" s="1"/>
  <c r="K110" i="3" s="1"/>
  <c r="L110" i="3" s="1"/>
  <c r="B109" i="3"/>
  <c r="B108" i="3"/>
  <c r="B107" i="3"/>
  <c r="B106" i="3"/>
  <c r="D116" i="3" l="1"/>
  <c r="E116" i="3" s="1"/>
  <c r="F116" i="3" s="1"/>
  <c r="G116" i="3" s="1"/>
  <c r="H116" i="3" s="1"/>
  <c r="I116" i="3" s="1"/>
  <c r="J116" i="3" s="1"/>
  <c r="K116" i="3" s="1"/>
  <c r="L116" i="3" s="1"/>
  <c r="C115" i="3"/>
  <c r="D115" i="3" s="1"/>
  <c r="E115" i="3" s="1"/>
  <c r="F115" i="3" s="1"/>
  <c r="G115" i="3" s="1"/>
  <c r="H115" i="3" s="1"/>
  <c r="I115" i="3" s="1"/>
  <c r="J115" i="3" s="1"/>
  <c r="K115" i="3" s="1"/>
  <c r="L115" i="3" s="1"/>
  <c r="C114" i="3"/>
  <c r="D114" i="3" s="1"/>
  <c r="E114" i="3" s="1"/>
  <c r="F114" i="3" s="1"/>
  <c r="G114" i="3" s="1"/>
  <c r="H114" i="3" s="1"/>
  <c r="I114" i="3" s="1"/>
  <c r="J114" i="3" s="1"/>
  <c r="K114" i="3" s="1"/>
  <c r="L114" i="3" s="1"/>
  <c r="CB73" i="8" l="1"/>
  <c r="BY72" i="8"/>
  <c r="CD71" i="8"/>
  <c r="BV71" i="8"/>
  <c r="CA70" i="8"/>
  <c r="BX69" i="8"/>
  <c r="CC68" i="8"/>
  <c r="BZ67" i="8"/>
  <c r="CE66" i="8"/>
  <c r="BW66" i="8"/>
  <c r="CB65" i="8"/>
  <c r="BY64" i="8"/>
  <c r="CD63" i="8"/>
  <c r="BV63" i="8"/>
  <c r="CA62" i="8"/>
  <c r="BX61" i="8"/>
  <c r="CC60" i="8"/>
  <c r="BZ59" i="8"/>
  <c r="CE58" i="8"/>
  <c r="BW58" i="8"/>
  <c r="CB57" i="8"/>
  <c r="BY56" i="8"/>
  <c r="CD55" i="8"/>
  <c r="BV55" i="8"/>
  <c r="CA54" i="8"/>
  <c r="BX53" i="8"/>
  <c r="CC52" i="8"/>
  <c r="BZ51" i="8"/>
  <c r="CE50" i="8"/>
  <c r="BW50" i="8"/>
  <c r="CB49" i="8"/>
  <c r="BY48" i="8"/>
  <c r="CD47" i="8"/>
  <c r="BV47" i="8"/>
  <c r="CA46" i="8"/>
  <c r="BX45" i="8"/>
  <c r="CC44" i="8"/>
  <c r="BZ43" i="8"/>
  <c r="CE42" i="8"/>
  <c r="BW42" i="8"/>
  <c r="CB41" i="8"/>
  <c r="BY40" i="8"/>
  <c r="CD39" i="8"/>
  <c r="BV39" i="8"/>
  <c r="CA38" i="8"/>
  <c r="BX37" i="8"/>
  <c r="CC36" i="8"/>
  <c r="BZ35" i="8"/>
  <c r="CE34" i="8"/>
  <c r="BW34" i="8"/>
  <c r="CB33" i="8"/>
  <c r="BY32" i="8"/>
  <c r="CD31" i="8"/>
  <c r="BV31" i="8"/>
  <c r="CA30" i="8"/>
  <c r="BX29" i="8"/>
  <c r="CC28" i="8"/>
  <c r="BZ27" i="8"/>
  <c r="CE26" i="8"/>
  <c r="BW26" i="8"/>
  <c r="CB25" i="8"/>
  <c r="BY24" i="8"/>
  <c r="CD23" i="8"/>
  <c r="BV23" i="8"/>
  <c r="CA22" i="8"/>
  <c r="BX21" i="8"/>
  <c r="CC20" i="8"/>
  <c r="BZ19" i="8"/>
  <c r="CE18" i="8"/>
  <c r="BW18" i="8"/>
  <c r="CB17" i="8"/>
  <c r="BY16" i="8"/>
  <c r="CD15" i="8"/>
  <c r="BV15" i="8"/>
  <c r="CA14" i="8"/>
  <c r="BX13" i="8"/>
  <c r="CC12" i="8"/>
  <c r="BZ11" i="8"/>
  <c r="CE10" i="8"/>
  <c r="BW10" i="8"/>
  <c r="CB9" i="8"/>
  <c r="BY8" i="8"/>
  <c r="CD7" i="8"/>
  <c r="BV7" i="8"/>
  <c r="CA6" i="8"/>
  <c r="BX5" i="8"/>
  <c r="CC4" i="8"/>
  <c r="BZ3" i="8"/>
  <c r="CE2" i="8"/>
  <c r="BW2" i="8"/>
  <c r="CA73" i="8"/>
  <c r="BX72" i="8"/>
  <c r="CC71" i="8"/>
  <c r="BZ70" i="8"/>
  <c r="CE69" i="8"/>
  <c r="BW69" i="8"/>
  <c r="CB68" i="8"/>
  <c r="BY67" i="8"/>
  <c r="CD66" i="8"/>
  <c r="BV66" i="8"/>
  <c r="CA65" i="8"/>
  <c r="BX64" i="8"/>
  <c r="CC63" i="8"/>
  <c r="BZ62" i="8"/>
  <c r="CE61" i="8"/>
  <c r="BW61" i="8"/>
  <c r="CB60" i="8"/>
  <c r="BY59" i="8"/>
  <c r="CD58" i="8"/>
  <c r="BV58" i="8"/>
  <c r="CA57" i="8"/>
  <c r="BX56" i="8"/>
  <c r="CC55" i="8"/>
  <c r="BZ54" i="8"/>
  <c r="CE53" i="8"/>
  <c r="BW53" i="8"/>
  <c r="CB52" i="8"/>
  <c r="BY51" i="8"/>
  <c r="CD50" i="8"/>
  <c r="BV50" i="8"/>
  <c r="CA49" i="8"/>
  <c r="BX48" i="8"/>
  <c r="CC47" i="8"/>
  <c r="BZ46" i="8"/>
  <c r="CE45" i="8"/>
  <c r="BW45" i="8"/>
  <c r="CB44" i="8"/>
  <c r="BY43" i="8"/>
  <c r="CD42" i="8"/>
  <c r="BV42" i="8"/>
  <c r="CA41" i="8"/>
  <c r="BX40" i="8"/>
  <c r="CC39" i="8"/>
  <c r="BZ38" i="8"/>
  <c r="CE37" i="8"/>
  <c r="BW37" i="8"/>
  <c r="CB36" i="8"/>
  <c r="BY35" i="8"/>
  <c r="CD34" i="8"/>
  <c r="BV34" i="8"/>
  <c r="CA33" i="8"/>
  <c r="BX32" i="8"/>
  <c r="CC31" i="8"/>
  <c r="BZ30" i="8"/>
  <c r="CE29" i="8"/>
  <c r="BW29" i="8"/>
  <c r="CB28" i="8"/>
  <c r="BY27" i="8"/>
  <c r="CD26" i="8"/>
  <c r="BV26" i="8"/>
  <c r="CA25" i="8"/>
  <c r="BX24" i="8"/>
  <c r="CC23" i="8"/>
  <c r="BZ22" i="8"/>
  <c r="CE21" i="8"/>
  <c r="BW21" i="8"/>
  <c r="CB20" i="8"/>
  <c r="BY19" i="8"/>
  <c r="CD18" i="8"/>
  <c r="BV18" i="8"/>
  <c r="CA17" i="8"/>
  <c r="BX16" i="8"/>
  <c r="CC15" i="8"/>
  <c r="BZ14" i="8"/>
  <c r="CE13" i="8"/>
  <c r="BW13" i="8"/>
  <c r="CB12" i="8"/>
  <c r="BY11" i="8"/>
  <c r="CD10" i="8"/>
  <c r="BV10" i="8"/>
  <c r="CA9" i="8"/>
  <c r="BX8" i="8"/>
  <c r="CC7" i="8"/>
  <c r="BZ6" i="8"/>
  <c r="CE5" i="8"/>
  <c r="BW5" i="8"/>
  <c r="CB4" i="8"/>
  <c r="BY3" i="8"/>
  <c r="CD2" i="8"/>
  <c r="BV2" i="8"/>
  <c r="BZ73" i="8"/>
  <c r="CE72" i="8"/>
  <c r="BW72" i="8"/>
  <c r="CB71" i="8"/>
  <c r="BY70" i="8"/>
  <c r="CD69" i="8"/>
  <c r="BV69" i="8"/>
  <c r="CA68" i="8"/>
  <c r="BX67" i="8"/>
  <c r="CC66" i="8"/>
  <c r="BZ65" i="8"/>
  <c r="CE64" i="8"/>
  <c r="BW64" i="8"/>
  <c r="CB63" i="8"/>
  <c r="BY62" i="8"/>
  <c r="CD61" i="8"/>
  <c r="BV61" i="8"/>
  <c r="CA60" i="8"/>
  <c r="BX59" i="8"/>
  <c r="CC58" i="8"/>
  <c r="BZ57" i="8"/>
  <c r="CE56" i="8"/>
  <c r="BW56" i="8"/>
  <c r="CB55" i="8"/>
  <c r="BY54" i="8"/>
  <c r="CD53" i="8"/>
  <c r="BV53" i="8"/>
  <c r="CA52" i="8"/>
  <c r="BX51" i="8"/>
  <c r="CC50" i="8"/>
  <c r="BZ49" i="8"/>
  <c r="CE48" i="8"/>
  <c r="BW48" i="8"/>
  <c r="CB47" i="8"/>
  <c r="BY46" i="8"/>
  <c r="CD45" i="8"/>
  <c r="BV45" i="8"/>
  <c r="CA44" i="8"/>
  <c r="BX43" i="8"/>
  <c r="CC42" i="8"/>
  <c r="BZ41" i="8"/>
  <c r="CE40" i="8"/>
  <c r="BW40" i="8"/>
  <c r="CB39" i="8"/>
  <c r="BY38" i="8"/>
  <c r="CD37" i="8"/>
  <c r="BV37" i="8"/>
  <c r="CA36" i="8"/>
  <c r="BX35" i="8"/>
  <c r="CC34" i="8"/>
  <c r="BZ33" i="8"/>
  <c r="CE32" i="8"/>
  <c r="BW32" i="8"/>
  <c r="CB31" i="8"/>
  <c r="BY30" i="8"/>
  <c r="CD29" i="8"/>
  <c r="BV29" i="8"/>
  <c r="CA28" i="8"/>
  <c r="BX27" i="8"/>
  <c r="CC26" i="8"/>
  <c r="BZ25" i="8"/>
  <c r="CE24" i="8"/>
  <c r="BW24" i="8"/>
  <c r="CB23" i="8"/>
  <c r="BY22" i="8"/>
  <c r="CD21" i="8"/>
  <c r="BV21" i="8"/>
  <c r="CA20" i="8"/>
  <c r="BX19" i="8"/>
  <c r="CC18" i="8"/>
  <c r="BZ17" i="8"/>
  <c r="CE16" i="8"/>
  <c r="BW16" i="8"/>
  <c r="CB15" i="8"/>
  <c r="BY14" i="8"/>
  <c r="CD13" i="8"/>
  <c r="BV13" i="8"/>
  <c r="CA12" i="8"/>
  <c r="BX11" i="8"/>
  <c r="CC10" i="8"/>
  <c r="BZ9" i="8"/>
  <c r="CE8" i="8"/>
  <c r="BW8" i="8"/>
  <c r="CB7" i="8"/>
  <c r="BY6" i="8"/>
  <c r="CD5" i="8"/>
  <c r="BV5" i="8"/>
  <c r="CA4" i="8"/>
  <c r="BX3" i="8"/>
  <c r="CC2" i="8"/>
  <c r="BY73" i="8"/>
  <c r="CD72" i="8"/>
  <c r="BV72" i="8"/>
  <c r="CA71" i="8"/>
  <c r="BX70" i="8"/>
  <c r="CC69" i="8"/>
  <c r="BZ68" i="8"/>
  <c r="CE67" i="8"/>
  <c r="BW67" i="8"/>
  <c r="CB66" i="8"/>
  <c r="BY65" i="8"/>
  <c r="CD64" i="8"/>
  <c r="BV64" i="8"/>
  <c r="CA63" i="8"/>
  <c r="BX62" i="8"/>
  <c r="CC61" i="8"/>
  <c r="BZ60" i="8"/>
  <c r="CE59" i="8"/>
  <c r="BW59" i="8"/>
  <c r="CB58" i="8"/>
  <c r="BY57" i="8"/>
  <c r="CD56" i="8"/>
  <c r="BV56" i="8"/>
  <c r="CA55" i="8"/>
  <c r="BX54" i="8"/>
  <c r="CC53" i="8"/>
  <c r="BZ52" i="8"/>
  <c r="CE51" i="8"/>
  <c r="BW51" i="8"/>
  <c r="CB50" i="8"/>
  <c r="BY49" i="8"/>
  <c r="CD48" i="8"/>
  <c r="BV48" i="8"/>
  <c r="CA47" i="8"/>
  <c r="BX46" i="8"/>
  <c r="CC45" i="8"/>
  <c r="BZ44" i="8"/>
  <c r="CE43" i="8"/>
  <c r="BW43" i="8"/>
  <c r="CB42" i="8"/>
  <c r="BY41" i="8"/>
  <c r="CD40" i="8"/>
  <c r="BV40" i="8"/>
  <c r="CA39" i="8"/>
  <c r="BX38" i="8"/>
  <c r="CC37" i="8"/>
  <c r="BZ36" i="8"/>
  <c r="CE35" i="8"/>
  <c r="BW35" i="8"/>
  <c r="CB34" i="8"/>
  <c r="BY33" i="8"/>
  <c r="CD32" i="8"/>
  <c r="BV32" i="8"/>
  <c r="CA31" i="8"/>
  <c r="BX30" i="8"/>
  <c r="CC29" i="8"/>
  <c r="BZ28" i="8"/>
  <c r="CE27" i="8"/>
  <c r="BW27" i="8"/>
  <c r="CB26" i="8"/>
  <c r="BY25" i="8"/>
  <c r="CD24" i="8"/>
  <c r="BV24" i="8"/>
  <c r="CA23" i="8"/>
  <c r="BX22" i="8"/>
  <c r="CC21" i="8"/>
  <c r="BZ20" i="8"/>
  <c r="CE19" i="8"/>
  <c r="BW19" i="8"/>
  <c r="CB18" i="8"/>
  <c r="BY17" i="8"/>
  <c r="CD16" i="8"/>
  <c r="BV16" i="8"/>
  <c r="CA15" i="8"/>
  <c r="BX14" i="8"/>
  <c r="CC13" i="8"/>
  <c r="BZ12" i="8"/>
  <c r="CE11" i="8"/>
  <c r="BW11" i="8"/>
  <c r="CB10" i="8"/>
  <c r="BY9" i="8"/>
  <c r="CD8" i="8"/>
  <c r="BV8" i="8"/>
  <c r="CA7" i="8"/>
  <c r="BX6" i="8"/>
  <c r="CC5" i="8"/>
  <c r="BZ4" i="8"/>
  <c r="CE3" i="8"/>
  <c r="BW3" i="8"/>
  <c r="CB2" i="8"/>
  <c r="BX73" i="8"/>
  <c r="CC72" i="8"/>
  <c r="BZ71" i="8"/>
  <c r="CE70" i="8"/>
  <c r="BW70" i="8"/>
  <c r="CB69" i="8"/>
  <c r="BY68" i="8"/>
  <c r="CD67" i="8"/>
  <c r="BV67" i="8"/>
  <c r="CA66" i="8"/>
  <c r="BX65" i="8"/>
  <c r="CC64" i="8"/>
  <c r="BZ63" i="8"/>
  <c r="CE62" i="8"/>
  <c r="BW62" i="8"/>
  <c r="CB61" i="8"/>
  <c r="BY60" i="8"/>
  <c r="CD59" i="8"/>
  <c r="BV59" i="8"/>
  <c r="CA58" i="8"/>
  <c r="BX57" i="8"/>
  <c r="CC56" i="8"/>
  <c r="BZ55" i="8"/>
  <c r="CE54" i="8"/>
  <c r="BW54" i="8"/>
  <c r="CB53" i="8"/>
  <c r="BY52" i="8"/>
  <c r="CD51" i="8"/>
  <c r="BV51" i="8"/>
  <c r="CA50" i="8"/>
  <c r="BX49" i="8"/>
  <c r="CC48" i="8"/>
  <c r="BZ47" i="8"/>
  <c r="CE46" i="8"/>
  <c r="BW46" i="8"/>
  <c r="CB45" i="8"/>
  <c r="BY44" i="8"/>
  <c r="CD43" i="8"/>
  <c r="BV43" i="8"/>
  <c r="CA42" i="8"/>
  <c r="BX41" i="8"/>
  <c r="CC40" i="8"/>
  <c r="BZ39" i="8"/>
  <c r="CE38" i="8"/>
  <c r="BW38" i="8"/>
  <c r="CB37" i="8"/>
  <c r="BY36" i="8"/>
  <c r="CD35" i="8"/>
  <c r="BV35" i="8"/>
  <c r="CA34" i="8"/>
  <c r="BX33" i="8"/>
  <c r="CC32" i="8"/>
  <c r="BZ31" i="8"/>
  <c r="CE30" i="8"/>
  <c r="BW30" i="8"/>
  <c r="CB29" i="8"/>
  <c r="BY28" i="8"/>
  <c r="CD27" i="8"/>
  <c r="BV27" i="8"/>
  <c r="CA26" i="8"/>
  <c r="BX25" i="8"/>
  <c r="CC24" i="8"/>
  <c r="BZ23" i="8"/>
  <c r="CE22" i="8"/>
  <c r="BW22" i="8"/>
  <c r="CB21" i="8"/>
  <c r="BY20" i="8"/>
  <c r="CD19" i="8"/>
  <c r="BV19" i="8"/>
  <c r="CA18" i="8"/>
  <c r="BX17" i="8"/>
  <c r="CC16" i="8"/>
  <c r="BZ15" i="8"/>
  <c r="CE14" i="8"/>
  <c r="BW14" i="8"/>
  <c r="CB13" i="8"/>
  <c r="BY12" i="8"/>
  <c r="CD11" i="8"/>
  <c r="BV11" i="8"/>
  <c r="CA10" i="8"/>
  <c r="BX9" i="8"/>
  <c r="CC8" i="8"/>
  <c r="BZ7" i="8"/>
  <c r="CE6" i="8"/>
  <c r="BW6" i="8"/>
  <c r="CB5" i="8"/>
  <c r="BY4" i="8"/>
  <c r="CD3" i="8"/>
  <c r="BV3" i="8"/>
  <c r="CA2" i="8"/>
  <c r="CE73" i="8"/>
  <c r="BW73" i="8"/>
  <c r="CB72" i="8"/>
  <c r="BY71" i="8"/>
  <c r="CD70" i="8"/>
  <c r="BV70" i="8"/>
  <c r="CA69" i="8"/>
  <c r="BX68" i="8"/>
  <c r="CC67" i="8"/>
  <c r="BZ66" i="8"/>
  <c r="CE65" i="8"/>
  <c r="BW65" i="8"/>
  <c r="CB64" i="8"/>
  <c r="BY63" i="8"/>
  <c r="CD62" i="8"/>
  <c r="BV62" i="8"/>
  <c r="CA61" i="8"/>
  <c r="BX60" i="8"/>
  <c r="CC59" i="8"/>
  <c r="BZ58" i="8"/>
  <c r="CE57" i="8"/>
  <c r="BW57" i="8"/>
  <c r="CB56" i="8"/>
  <c r="BY55" i="8"/>
  <c r="CD54" i="8"/>
  <c r="BV54" i="8"/>
  <c r="CA53" i="8"/>
  <c r="BX52" i="8"/>
  <c r="CC51" i="8"/>
  <c r="BZ50" i="8"/>
  <c r="CE49" i="8"/>
  <c r="BW49" i="8"/>
  <c r="CB48" i="8"/>
  <c r="BY47" i="8"/>
  <c r="CD46" i="8"/>
  <c r="BV46" i="8"/>
  <c r="CA45" i="8"/>
  <c r="BX44" i="8"/>
  <c r="CC43" i="8"/>
  <c r="BZ42" i="8"/>
  <c r="CE41" i="8"/>
  <c r="BW41" i="8"/>
  <c r="CB40" i="8"/>
  <c r="BY39" i="8"/>
  <c r="CD38" i="8"/>
  <c r="BV38" i="8"/>
  <c r="CA37" i="8"/>
  <c r="BX36" i="8"/>
  <c r="CC35" i="8"/>
  <c r="BZ34" i="8"/>
  <c r="CE33" i="8"/>
  <c r="BW33" i="8"/>
  <c r="CB32" i="8"/>
  <c r="BY31" i="8"/>
  <c r="CD30" i="8"/>
  <c r="BV30" i="8"/>
  <c r="CA29" i="8"/>
  <c r="BX28" i="8"/>
  <c r="CC27" i="8"/>
  <c r="BZ26" i="8"/>
  <c r="CE25" i="8"/>
  <c r="BW25" i="8"/>
  <c r="CB24" i="8"/>
  <c r="BY23" i="8"/>
  <c r="CD22" i="8"/>
  <c r="BV22" i="8"/>
  <c r="CA21" i="8"/>
  <c r="BX20" i="8"/>
  <c r="CC19" i="8"/>
  <c r="BZ18" i="8"/>
  <c r="CE17" i="8"/>
  <c r="BW17" i="8"/>
  <c r="CB16" i="8"/>
  <c r="BY15" i="8"/>
  <c r="CD14" i="8"/>
  <c r="BV14" i="8"/>
  <c r="CA13" i="8"/>
  <c r="BX12" i="8"/>
  <c r="CC11" i="8"/>
  <c r="BZ10" i="8"/>
  <c r="CE9" i="8"/>
  <c r="BW9" i="8"/>
  <c r="CB8" i="8"/>
  <c r="BY7" i="8"/>
  <c r="CD6" i="8"/>
  <c r="BV6" i="8"/>
  <c r="CA5" i="8"/>
  <c r="BX4" i="8"/>
  <c r="CC3" i="8"/>
  <c r="BZ2" i="8"/>
  <c r="CD73" i="8"/>
  <c r="BV73" i="8"/>
  <c r="CA72" i="8"/>
  <c r="BX71" i="8"/>
  <c r="CC70" i="8"/>
  <c r="BZ69" i="8"/>
  <c r="CE68" i="8"/>
  <c r="BW68" i="8"/>
  <c r="CB67" i="8"/>
  <c r="BY66" i="8"/>
  <c r="CD65" i="8"/>
  <c r="BV65" i="8"/>
  <c r="CA64" i="8"/>
  <c r="BX63" i="8"/>
  <c r="CC62" i="8"/>
  <c r="BZ61" i="8"/>
  <c r="CE60" i="8"/>
  <c r="BW60" i="8"/>
  <c r="CB59" i="8"/>
  <c r="BY58" i="8"/>
  <c r="CD57" i="8"/>
  <c r="BV57" i="8"/>
  <c r="CA56" i="8"/>
  <c r="BX55" i="8"/>
  <c r="CC54" i="8"/>
  <c r="BZ53" i="8"/>
  <c r="CE52" i="8"/>
  <c r="BW52" i="8"/>
  <c r="CB51" i="8"/>
  <c r="BY50" i="8"/>
  <c r="CD49" i="8"/>
  <c r="BV49" i="8"/>
  <c r="CA48" i="8"/>
  <c r="BX47" i="8"/>
  <c r="CC46" i="8"/>
  <c r="BZ45" i="8"/>
  <c r="CE44" i="8"/>
  <c r="BW44" i="8"/>
  <c r="CB43" i="8"/>
  <c r="BY42" i="8"/>
  <c r="CD41" i="8"/>
  <c r="BV41" i="8"/>
  <c r="CA40" i="8"/>
  <c r="BX39" i="8"/>
  <c r="CC38" i="8"/>
  <c r="BZ37" i="8"/>
  <c r="CE36" i="8"/>
  <c r="BW36" i="8"/>
  <c r="CB35" i="8"/>
  <c r="BY34" i="8"/>
  <c r="CD33" i="8"/>
  <c r="BV33" i="8"/>
  <c r="CA32" i="8"/>
  <c r="BX31" i="8"/>
  <c r="CC30" i="8"/>
  <c r="BZ29" i="8"/>
  <c r="CE28" i="8"/>
  <c r="BW28" i="8"/>
  <c r="CB27" i="8"/>
  <c r="BY26" i="8"/>
  <c r="CD25" i="8"/>
  <c r="BV25" i="8"/>
  <c r="CA24" i="8"/>
  <c r="BX23" i="8"/>
  <c r="CC22" i="8"/>
  <c r="BZ21" i="8"/>
  <c r="CE20" i="8"/>
  <c r="BW20" i="8"/>
  <c r="CB19" i="8"/>
  <c r="BY18" i="8"/>
  <c r="CD17" i="8"/>
  <c r="BV17" i="8"/>
  <c r="CA16" i="8"/>
  <c r="BX15" i="8"/>
  <c r="CC14" i="8"/>
  <c r="BZ13" i="8"/>
  <c r="CE12" i="8"/>
  <c r="BW12" i="8"/>
  <c r="CB11" i="8"/>
  <c r="BY10" i="8"/>
  <c r="CD9" i="8"/>
  <c r="BV9" i="8"/>
  <c r="CA8" i="8"/>
  <c r="BX7" i="8"/>
  <c r="CC6" i="8"/>
  <c r="BZ5" i="8"/>
  <c r="CE4" i="8"/>
  <c r="BW4" i="8"/>
  <c r="CB3" i="8"/>
  <c r="BY2" i="8"/>
  <c r="CC73" i="8"/>
  <c r="BZ72" i="8"/>
  <c r="CE71" i="8"/>
  <c r="BW71" i="8"/>
  <c r="CB70" i="8"/>
  <c r="BY69" i="8"/>
  <c r="CD68" i="8"/>
  <c r="BV68" i="8"/>
  <c r="CA67" i="8"/>
  <c r="BX66" i="8"/>
  <c r="CC65" i="8"/>
  <c r="BZ64" i="8"/>
  <c r="CE63" i="8"/>
  <c r="BW63" i="8"/>
  <c r="CB62" i="8"/>
  <c r="BY61" i="8"/>
  <c r="CD60" i="8"/>
  <c r="BV60" i="8"/>
  <c r="CA59" i="8"/>
  <c r="BX58" i="8"/>
  <c r="CC57" i="8"/>
  <c r="BZ56" i="8"/>
  <c r="CE55" i="8"/>
  <c r="BW55" i="8"/>
  <c r="CB54" i="8"/>
  <c r="BY53" i="8"/>
  <c r="CD52" i="8"/>
  <c r="BV52" i="8"/>
  <c r="CA51" i="8"/>
  <c r="BX50" i="8"/>
  <c r="CC49" i="8"/>
  <c r="BZ48" i="8"/>
  <c r="CE47" i="8"/>
  <c r="BW47" i="8"/>
  <c r="CB46" i="8"/>
  <c r="BY45" i="8"/>
  <c r="CD44" i="8"/>
  <c r="BV44" i="8"/>
  <c r="CA43" i="8"/>
  <c r="BX42" i="8"/>
  <c r="CC41" i="8"/>
  <c r="BZ40" i="8"/>
  <c r="CE39" i="8"/>
  <c r="BW39" i="8"/>
  <c r="CB38" i="8"/>
  <c r="BY37" i="8"/>
  <c r="CD36" i="8"/>
  <c r="BV36" i="8"/>
  <c r="CA35" i="8"/>
  <c r="BX34" i="8"/>
  <c r="CC33" i="8"/>
  <c r="BZ32" i="8"/>
  <c r="CE31" i="8"/>
  <c r="BW31" i="8"/>
  <c r="CB30" i="8"/>
  <c r="BY29" i="8"/>
  <c r="CD28" i="8"/>
  <c r="BV28" i="8"/>
  <c r="CA27" i="8"/>
  <c r="BX26" i="8"/>
  <c r="CC25" i="8"/>
  <c r="BZ24" i="8"/>
  <c r="CE23" i="8"/>
  <c r="BW23" i="8"/>
  <c r="CB22" i="8"/>
  <c r="BY21" i="8"/>
  <c r="CD20" i="8"/>
  <c r="BV20" i="8"/>
  <c r="CA19" i="8"/>
  <c r="BX18" i="8"/>
  <c r="CC17" i="8"/>
  <c r="BZ16" i="8"/>
  <c r="CE15" i="8"/>
  <c r="BW15" i="8"/>
  <c r="CB14" i="8"/>
  <c r="BY13" i="8"/>
  <c r="CD12" i="8"/>
  <c r="BV12" i="8"/>
  <c r="CA11" i="8"/>
  <c r="BX10" i="8"/>
  <c r="CC9" i="8"/>
  <c r="BZ8" i="8"/>
  <c r="CE7" i="8"/>
  <c r="BW7" i="8"/>
  <c r="CB6" i="8"/>
  <c r="BY5" i="8"/>
  <c r="CD4" i="8"/>
  <c r="BV4" i="8"/>
  <c r="CA3" i="8"/>
  <c r="BX2" i="8"/>
  <c r="BX151" i="8"/>
  <c r="CC150" i="8"/>
  <c r="BZ149" i="8"/>
  <c r="CE148" i="8"/>
  <c r="BW148" i="8"/>
  <c r="CB147" i="8"/>
  <c r="BY146" i="8"/>
  <c r="CD145" i="8"/>
  <c r="BV145" i="8"/>
  <c r="CA144" i="8"/>
  <c r="CE151" i="8"/>
  <c r="BW151" i="8"/>
  <c r="CB150" i="8"/>
  <c r="BY149" i="8"/>
  <c r="CD148" i="8"/>
  <c r="BV148" i="8"/>
  <c r="CA147" i="8"/>
  <c r="BX146" i="8"/>
  <c r="CC145" i="8"/>
  <c r="BZ144" i="8"/>
  <c r="CE143" i="8"/>
  <c r="CD151" i="8"/>
  <c r="BV151" i="8"/>
  <c r="CA150" i="8"/>
  <c r="BX149" i="8"/>
  <c r="CC148" i="8"/>
  <c r="BZ147" i="8"/>
  <c r="CE146" i="8"/>
  <c r="BW146" i="8"/>
  <c r="CB145" i="8"/>
  <c r="CC151" i="8"/>
  <c r="BZ150" i="8"/>
  <c r="CE149" i="8"/>
  <c r="BW149" i="8"/>
  <c r="CB148" i="8"/>
  <c r="BY147" i="8"/>
  <c r="CD146" i="8"/>
  <c r="BV146" i="8"/>
  <c r="CA145" i="8"/>
  <c r="BX144" i="8"/>
  <c r="CB151" i="8"/>
  <c r="BY150" i="8"/>
  <c r="CD149" i="8"/>
  <c r="BV149" i="8"/>
  <c r="CA148" i="8"/>
  <c r="BX147" i="8"/>
  <c r="CC146" i="8"/>
  <c r="BZ145" i="8"/>
  <c r="CE144" i="8"/>
  <c r="BW144" i="8"/>
  <c r="CA151" i="8"/>
  <c r="BX150" i="8"/>
  <c r="CC149" i="8"/>
  <c r="BZ148" i="8"/>
  <c r="CE147" i="8"/>
  <c r="BW147" i="8"/>
  <c r="CB146" i="8"/>
  <c r="BY145" i="8"/>
  <c r="CD144" i="8"/>
  <c r="BZ151" i="8"/>
  <c r="CE150" i="8"/>
  <c r="BW150" i="8"/>
  <c r="CB149" i="8"/>
  <c r="BY148" i="8"/>
  <c r="CD147" i="8"/>
  <c r="BV147" i="8"/>
  <c r="CA146" i="8"/>
  <c r="BX145" i="8"/>
  <c r="CC144" i="8"/>
  <c r="BY151" i="8"/>
  <c r="CD150" i="8"/>
  <c r="BV150" i="8"/>
  <c r="CA149" i="8"/>
  <c r="BX148" i="8"/>
  <c r="CC147" i="8"/>
  <c r="BZ146" i="8"/>
  <c r="CE145" i="8"/>
  <c r="BW145" i="8"/>
  <c r="CB144" i="8"/>
  <c r="BY143" i="8"/>
  <c r="CD142" i="8"/>
  <c r="BV142" i="8"/>
  <c r="CA141" i="8"/>
  <c r="BX140" i="8"/>
  <c r="CC139" i="8"/>
  <c r="BZ138" i="8"/>
  <c r="CE137" i="8"/>
  <c r="BW137" i="8"/>
  <c r="CB136" i="8"/>
  <c r="BY135" i="8"/>
  <c r="CD134" i="8"/>
  <c r="BV134" i="8"/>
  <c r="CA133" i="8"/>
  <c r="BX132" i="8"/>
  <c r="CC131" i="8"/>
  <c r="BZ130" i="8"/>
  <c r="CE129" i="8"/>
  <c r="BW129" i="8"/>
  <c r="CB128" i="8"/>
  <c r="BY127" i="8"/>
  <c r="CD126" i="8"/>
  <c r="BV126" i="8"/>
  <c r="CA125" i="8"/>
  <c r="BX124" i="8"/>
  <c r="CC123" i="8"/>
  <c r="BZ122" i="8"/>
  <c r="CE121" i="8"/>
  <c r="BW121" i="8"/>
  <c r="CB120" i="8"/>
  <c r="BY119" i="8"/>
  <c r="CD118" i="8"/>
  <c r="BV118" i="8"/>
  <c r="CA117" i="8"/>
  <c r="BX116" i="8"/>
  <c r="CC115" i="8"/>
  <c r="BZ114" i="8"/>
  <c r="CE113" i="8"/>
  <c r="BW113" i="8"/>
  <c r="CB112" i="8"/>
  <c r="BY111" i="8"/>
  <c r="CD110" i="8"/>
  <c r="BV110" i="8"/>
  <c r="CA109" i="8"/>
  <c r="BX108" i="8"/>
  <c r="CC107" i="8"/>
  <c r="BZ106" i="8"/>
  <c r="CE105" i="8"/>
  <c r="BW105" i="8"/>
  <c r="CB104" i="8"/>
  <c r="BY103" i="8"/>
  <c r="CD102" i="8"/>
  <c r="BV102" i="8"/>
  <c r="CA101" i="8"/>
  <c r="BX100" i="8"/>
  <c r="CC99" i="8"/>
  <c r="BZ98" i="8"/>
  <c r="CE97" i="8"/>
  <c r="BW97" i="8"/>
  <c r="CB96" i="8"/>
  <c r="BY95" i="8"/>
  <c r="CD94" i="8"/>
  <c r="BV94" i="8"/>
  <c r="CA93" i="8"/>
  <c r="BX92" i="8"/>
  <c r="CC91" i="8"/>
  <c r="BZ90" i="8"/>
  <c r="CE89" i="8"/>
  <c r="BW89" i="8"/>
  <c r="CB88" i="8"/>
  <c r="BY87" i="8"/>
  <c r="CD86" i="8"/>
  <c r="BV86" i="8"/>
  <c r="CA85" i="8"/>
  <c r="BX84" i="8"/>
  <c r="CC83" i="8"/>
  <c r="BZ82" i="8"/>
  <c r="CE81" i="8"/>
  <c r="BW81" i="8"/>
  <c r="CB80" i="8"/>
  <c r="BY79" i="8"/>
  <c r="CD78" i="8"/>
  <c r="BV78" i="8"/>
  <c r="CA77" i="8"/>
  <c r="BX76" i="8"/>
  <c r="CC75" i="8"/>
  <c r="BX143" i="8"/>
  <c r="CC142" i="8"/>
  <c r="BZ141" i="8"/>
  <c r="CE140" i="8"/>
  <c r="BW140" i="8"/>
  <c r="CB139" i="8"/>
  <c r="BY138" i="8"/>
  <c r="CD137" i="8"/>
  <c r="BV137" i="8"/>
  <c r="CA136" i="8"/>
  <c r="BX135" i="8"/>
  <c r="CC134" i="8"/>
  <c r="BZ133" i="8"/>
  <c r="CE132" i="8"/>
  <c r="BW132" i="8"/>
  <c r="CB131" i="8"/>
  <c r="BY130" i="8"/>
  <c r="CD129" i="8"/>
  <c r="BV129" i="8"/>
  <c r="CA128" i="8"/>
  <c r="BX127" i="8"/>
  <c r="CC126" i="8"/>
  <c r="BZ125" i="8"/>
  <c r="CE124" i="8"/>
  <c r="BW124" i="8"/>
  <c r="CB123" i="8"/>
  <c r="BY122" i="8"/>
  <c r="CD121" i="8"/>
  <c r="BV121" i="8"/>
  <c r="CA120" i="8"/>
  <c r="BX119" i="8"/>
  <c r="CC118" i="8"/>
  <c r="BZ117" i="8"/>
  <c r="CE116" i="8"/>
  <c r="BW116" i="8"/>
  <c r="CB115" i="8"/>
  <c r="BY114" i="8"/>
  <c r="CD113" i="8"/>
  <c r="BV113" i="8"/>
  <c r="CA112" i="8"/>
  <c r="BX111" i="8"/>
  <c r="CC110" i="8"/>
  <c r="BZ109" i="8"/>
  <c r="CE108" i="8"/>
  <c r="BW108" i="8"/>
  <c r="CB107" i="8"/>
  <c r="BY106" i="8"/>
  <c r="CD105" i="8"/>
  <c r="BV105" i="8"/>
  <c r="CA104" i="8"/>
  <c r="BX103" i="8"/>
  <c r="CC102" i="8"/>
  <c r="BZ101" i="8"/>
  <c r="CE100" i="8"/>
  <c r="BW100" i="8"/>
  <c r="CB99" i="8"/>
  <c r="BY98" i="8"/>
  <c r="CD97" i="8"/>
  <c r="BV97" i="8"/>
  <c r="CA96" i="8"/>
  <c r="BX95" i="8"/>
  <c r="CC94" i="8"/>
  <c r="BZ93" i="8"/>
  <c r="CE92" i="8"/>
  <c r="BW92" i="8"/>
  <c r="CB91" i="8"/>
  <c r="BY90" i="8"/>
  <c r="CD89" i="8"/>
  <c r="BV89" i="8"/>
  <c r="CA88" i="8"/>
  <c r="BX87" i="8"/>
  <c r="CC86" i="8"/>
  <c r="BZ85" i="8"/>
  <c r="CE84" i="8"/>
  <c r="BW84" i="8"/>
  <c r="CB83" i="8"/>
  <c r="BY82" i="8"/>
  <c r="CD81" i="8"/>
  <c r="BV81" i="8"/>
  <c r="CA80" i="8"/>
  <c r="BX79" i="8"/>
  <c r="CC78" i="8"/>
  <c r="BZ77" i="8"/>
  <c r="CE76" i="8"/>
  <c r="BW76" i="8"/>
  <c r="CB75" i="8"/>
  <c r="BW143" i="8"/>
  <c r="CB142" i="8"/>
  <c r="BY141" i="8"/>
  <c r="CD140" i="8"/>
  <c r="BV140" i="8"/>
  <c r="CA139" i="8"/>
  <c r="BX138" i="8"/>
  <c r="CC137" i="8"/>
  <c r="BZ136" i="8"/>
  <c r="CE135" i="8"/>
  <c r="BW135" i="8"/>
  <c r="CB134" i="8"/>
  <c r="BY133" i="8"/>
  <c r="CD132" i="8"/>
  <c r="BV132" i="8"/>
  <c r="CA131" i="8"/>
  <c r="BX130" i="8"/>
  <c r="CC129" i="8"/>
  <c r="BZ128" i="8"/>
  <c r="CE127" i="8"/>
  <c r="BW127" i="8"/>
  <c r="CB126" i="8"/>
  <c r="BY125" i="8"/>
  <c r="CD124" i="8"/>
  <c r="BV124" i="8"/>
  <c r="CA123" i="8"/>
  <c r="BX122" i="8"/>
  <c r="CC121" i="8"/>
  <c r="BZ120" i="8"/>
  <c r="CE119" i="8"/>
  <c r="BW119" i="8"/>
  <c r="CB118" i="8"/>
  <c r="BY117" i="8"/>
  <c r="CD116" i="8"/>
  <c r="BV116" i="8"/>
  <c r="CA115" i="8"/>
  <c r="BX114" i="8"/>
  <c r="CC113" i="8"/>
  <c r="BZ112" i="8"/>
  <c r="CE111" i="8"/>
  <c r="BW111" i="8"/>
  <c r="CB110" i="8"/>
  <c r="BY109" i="8"/>
  <c r="CD108" i="8"/>
  <c r="BV108" i="8"/>
  <c r="CA107" i="8"/>
  <c r="BX106" i="8"/>
  <c r="CC105" i="8"/>
  <c r="BZ104" i="8"/>
  <c r="CE103" i="8"/>
  <c r="BW103" i="8"/>
  <c r="CB102" i="8"/>
  <c r="BY101" i="8"/>
  <c r="CD100" i="8"/>
  <c r="BV100" i="8"/>
  <c r="CA99" i="8"/>
  <c r="BX98" i="8"/>
  <c r="CC97" i="8"/>
  <c r="BZ96" i="8"/>
  <c r="CE95" i="8"/>
  <c r="BW95" i="8"/>
  <c r="CB94" i="8"/>
  <c r="BY93" i="8"/>
  <c r="CD92" i="8"/>
  <c r="BV92" i="8"/>
  <c r="CA91" i="8"/>
  <c r="BX90" i="8"/>
  <c r="CC89" i="8"/>
  <c r="BZ88" i="8"/>
  <c r="CE87" i="8"/>
  <c r="BW87" i="8"/>
  <c r="CB86" i="8"/>
  <c r="BY85" i="8"/>
  <c r="CD84" i="8"/>
  <c r="BV84" i="8"/>
  <c r="CA83" i="8"/>
  <c r="BX82" i="8"/>
  <c r="CC81" i="8"/>
  <c r="BZ80" i="8"/>
  <c r="CE79" i="8"/>
  <c r="BW79" i="8"/>
  <c r="CB78" i="8"/>
  <c r="BY77" i="8"/>
  <c r="CD76" i="8"/>
  <c r="BV76" i="8"/>
  <c r="CD143" i="8"/>
  <c r="BV143" i="8"/>
  <c r="CA142" i="8"/>
  <c r="BX141" i="8"/>
  <c r="CC140" i="8"/>
  <c r="BZ139" i="8"/>
  <c r="CE138" i="8"/>
  <c r="BW138" i="8"/>
  <c r="CB137" i="8"/>
  <c r="BY136" i="8"/>
  <c r="CD135" i="8"/>
  <c r="BV135" i="8"/>
  <c r="CA134" i="8"/>
  <c r="BX133" i="8"/>
  <c r="CC132" i="8"/>
  <c r="BZ131" i="8"/>
  <c r="CE130" i="8"/>
  <c r="BW130" i="8"/>
  <c r="CB129" i="8"/>
  <c r="BY128" i="8"/>
  <c r="CD127" i="8"/>
  <c r="BV127" i="8"/>
  <c r="CA126" i="8"/>
  <c r="BX125" i="8"/>
  <c r="CC124" i="8"/>
  <c r="BZ123" i="8"/>
  <c r="CE122" i="8"/>
  <c r="BW122" i="8"/>
  <c r="CB121" i="8"/>
  <c r="BY120" i="8"/>
  <c r="CD119" i="8"/>
  <c r="BV119" i="8"/>
  <c r="CA118" i="8"/>
  <c r="BX117" i="8"/>
  <c r="CC116" i="8"/>
  <c r="BZ115" i="8"/>
  <c r="CE114" i="8"/>
  <c r="BW114" i="8"/>
  <c r="CB113" i="8"/>
  <c r="BY112" i="8"/>
  <c r="CD111" i="8"/>
  <c r="BV111" i="8"/>
  <c r="CA110" i="8"/>
  <c r="BX109" i="8"/>
  <c r="CC108" i="8"/>
  <c r="BZ107" i="8"/>
  <c r="CE106" i="8"/>
  <c r="BW106" i="8"/>
  <c r="CB105" i="8"/>
  <c r="BY104" i="8"/>
  <c r="CD103" i="8"/>
  <c r="BV103" i="8"/>
  <c r="CA102" i="8"/>
  <c r="BX101" i="8"/>
  <c r="CC100" i="8"/>
  <c r="BZ99" i="8"/>
  <c r="CE98" i="8"/>
  <c r="BW98" i="8"/>
  <c r="CB97" i="8"/>
  <c r="BY96" i="8"/>
  <c r="CD95" i="8"/>
  <c r="BV95" i="8"/>
  <c r="CA94" i="8"/>
  <c r="BX93" i="8"/>
  <c r="CC92" i="8"/>
  <c r="BZ91" i="8"/>
  <c r="CE90" i="8"/>
  <c r="BW90" i="8"/>
  <c r="CB89" i="8"/>
  <c r="BY88" i="8"/>
  <c r="CD87" i="8"/>
  <c r="BV87" i="8"/>
  <c r="CA86" i="8"/>
  <c r="BX85" i="8"/>
  <c r="CC84" i="8"/>
  <c r="BZ83" i="8"/>
  <c r="CE82" i="8"/>
  <c r="BW82" i="8"/>
  <c r="CB81" i="8"/>
  <c r="BY80" i="8"/>
  <c r="CD79" i="8"/>
  <c r="BV79" i="8"/>
  <c r="CA78" i="8"/>
  <c r="BX77" i="8"/>
  <c r="CC76" i="8"/>
  <c r="BZ75" i="8"/>
  <c r="CC143" i="8"/>
  <c r="BZ142" i="8"/>
  <c r="CE141" i="8"/>
  <c r="BW141" i="8"/>
  <c r="CB140" i="8"/>
  <c r="BY139" i="8"/>
  <c r="CD138" i="8"/>
  <c r="BV138" i="8"/>
  <c r="CA137" i="8"/>
  <c r="BX136" i="8"/>
  <c r="CC135" i="8"/>
  <c r="BZ134" i="8"/>
  <c r="CE133" i="8"/>
  <c r="BW133" i="8"/>
  <c r="CB132" i="8"/>
  <c r="BY131" i="8"/>
  <c r="CD130" i="8"/>
  <c r="BV130" i="8"/>
  <c r="CA129" i="8"/>
  <c r="BX128" i="8"/>
  <c r="CC127" i="8"/>
  <c r="BZ126" i="8"/>
  <c r="CE125" i="8"/>
  <c r="BW125" i="8"/>
  <c r="CB124" i="8"/>
  <c r="BY123" i="8"/>
  <c r="CD122" i="8"/>
  <c r="BV122" i="8"/>
  <c r="CA121" i="8"/>
  <c r="BX120" i="8"/>
  <c r="CC119" i="8"/>
  <c r="BZ118" i="8"/>
  <c r="CE117" i="8"/>
  <c r="BW117" i="8"/>
  <c r="CB116" i="8"/>
  <c r="BY115" i="8"/>
  <c r="CD114" i="8"/>
  <c r="BV114" i="8"/>
  <c r="CA113" i="8"/>
  <c r="BX112" i="8"/>
  <c r="CC111" i="8"/>
  <c r="BZ110" i="8"/>
  <c r="CE109" i="8"/>
  <c r="BW109" i="8"/>
  <c r="CB108" i="8"/>
  <c r="BY107" i="8"/>
  <c r="CD106" i="8"/>
  <c r="BV106" i="8"/>
  <c r="CA105" i="8"/>
  <c r="BX104" i="8"/>
  <c r="CC103" i="8"/>
  <c r="BZ102" i="8"/>
  <c r="CE101" i="8"/>
  <c r="BW101" i="8"/>
  <c r="CB100" i="8"/>
  <c r="BY99" i="8"/>
  <c r="CD98" i="8"/>
  <c r="BV98" i="8"/>
  <c r="CA97" i="8"/>
  <c r="BX96" i="8"/>
  <c r="CC95" i="8"/>
  <c r="BZ94" i="8"/>
  <c r="CE93" i="8"/>
  <c r="BW93" i="8"/>
  <c r="CB92" i="8"/>
  <c r="BY91" i="8"/>
  <c r="CD90" i="8"/>
  <c r="BV90" i="8"/>
  <c r="CA89" i="8"/>
  <c r="BX88" i="8"/>
  <c r="CC87" i="8"/>
  <c r="BZ86" i="8"/>
  <c r="CE85" i="8"/>
  <c r="BW85" i="8"/>
  <c r="CB84" i="8"/>
  <c r="BY83" i="8"/>
  <c r="CD82" i="8"/>
  <c r="BV82" i="8"/>
  <c r="CA81" i="8"/>
  <c r="BX80" i="8"/>
  <c r="CC79" i="8"/>
  <c r="BZ78" i="8"/>
  <c r="CE77" i="8"/>
  <c r="BW77" i="8"/>
  <c r="CB76" i="8"/>
  <c r="BY75" i="8"/>
  <c r="CB143" i="8"/>
  <c r="BY142" i="8"/>
  <c r="CD141" i="8"/>
  <c r="BV141" i="8"/>
  <c r="CA140" i="8"/>
  <c r="BX139" i="8"/>
  <c r="CC138" i="8"/>
  <c r="BZ137" i="8"/>
  <c r="CE136" i="8"/>
  <c r="BW136" i="8"/>
  <c r="CB135" i="8"/>
  <c r="BY134" i="8"/>
  <c r="CD133" i="8"/>
  <c r="BV133" i="8"/>
  <c r="CA132" i="8"/>
  <c r="BX131" i="8"/>
  <c r="CC130" i="8"/>
  <c r="BZ129" i="8"/>
  <c r="CE128" i="8"/>
  <c r="BW128" i="8"/>
  <c r="CB127" i="8"/>
  <c r="BY126" i="8"/>
  <c r="CD125" i="8"/>
  <c r="BV125" i="8"/>
  <c r="CA124" i="8"/>
  <c r="BX123" i="8"/>
  <c r="CC122" i="8"/>
  <c r="BZ121" i="8"/>
  <c r="CE120" i="8"/>
  <c r="BW120" i="8"/>
  <c r="CB119" i="8"/>
  <c r="BY118" i="8"/>
  <c r="CD117" i="8"/>
  <c r="BV117" i="8"/>
  <c r="CA116" i="8"/>
  <c r="BX115" i="8"/>
  <c r="CC114" i="8"/>
  <c r="BZ113" i="8"/>
  <c r="CE112" i="8"/>
  <c r="BW112" i="8"/>
  <c r="CB111" i="8"/>
  <c r="BY110" i="8"/>
  <c r="CD109" i="8"/>
  <c r="BV109" i="8"/>
  <c r="CA108" i="8"/>
  <c r="BX107" i="8"/>
  <c r="CC106" i="8"/>
  <c r="BZ105" i="8"/>
  <c r="CE104" i="8"/>
  <c r="BW104" i="8"/>
  <c r="CB103" i="8"/>
  <c r="BY102" i="8"/>
  <c r="CD101" i="8"/>
  <c r="BV101" i="8"/>
  <c r="CA100" i="8"/>
  <c r="BX99" i="8"/>
  <c r="CC98" i="8"/>
  <c r="BZ97" i="8"/>
  <c r="CE96" i="8"/>
  <c r="BW96" i="8"/>
  <c r="CB95" i="8"/>
  <c r="BY94" i="8"/>
  <c r="CD93" i="8"/>
  <c r="BV93" i="8"/>
  <c r="CA92" i="8"/>
  <c r="BX91" i="8"/>
  <c r="CC90" i="8"/>
  <c r="BZ89" i="8"/>
  <c r="CE88" i="8"/>
  <c r="BW88" i="8"/>
  <c r="CB87" i="8"/>
  <c r="BY86" i="8"/>
  <c r="CD85" i="8"/>
  <c r="BV85" i="8"/>
  <c r="CA84" i="8"/>
  <c r="BX83" i="8"/>
  <c r="CC82" i="8"/>
  <c r="BZ81" i="8"/>
  <c r="CE80" i="8"/>
  <c r="BW80" i="8"/>
  <c r="CB79" i="8"/>
  <c r="BY78" i="8"/>
  <c r="CD77" i="8"/>
  <c r="BV77" i="8"/>
  <c r="CA76" i="8"/>
  <c r="BX75" i="8"/>
  <c r="BV144" i="8"/>
  <c r="BZ143" i="8"/>
  <c r="CE142" i="8"/>
  <c r="BW142" i="8"/>
  <c r="CB141" i="8"/>
  <c r="BY140" i="8"/>
  <c r="CD139" i="8"/>
  <c r="BV139" i="8"/>
  <c r="CA138" i="8"/>
  <c r="BX137" i="8"/>
  <c r="CC136" i="8"/>
  <c r="BZ135" i="8"/>
  <c r="CE134" i="8"/>
  <c r="BW134" i="8"/>
  <c r="CB133" i="8"/>
  <c r="BY132" i="8"/>
  <c r="CD131" i="8"/>
  <c r="BV131" i="8"/>
  <c r="CA130" i="8"/>
  <c r="BX129" i="8"/>
  <c r="CC128" i="8"/>
  <c r="BZ127" i="8"/>
  <c r="CE126" i="8"/>
  <c r="BW126" i="8"/>
  <c r="CB125" i="8"/>
  <c r="BY124" i="8"/>
  <c r="CD123" i="8"/>
  <c r="BV123" i="8"/>
  <c r="CA122" i="8"/>
  <c r="BX121" i="8"/>
  <c r="CC120" i="8"/>
  <c r="BZ119" i="8"/>
  <c r="CE118" i="8"/>
  <c r="BW118" i="8"/>
  <c r="CB117" i="8"/>
  <c r="BY116" i="8"/>
  <c r="CD115" i="8"/>
  <c r="BV115" i="8"/>
  <c r="CA114" i="8"/>
  <c r="BX113" i="8"/>
  <c r="CC112" i="8"/>
  <c r="BZ111" i="8"/>
  <c r="CE110" i="8"/>
  <c r="BW110" i="8"/>
  <c r="CB109" i="8"/>
  <c r="BY108" i="8"/>
  <c r="CD107" i="8"/>
  <c r="BV107" i="8"/>
  <c r="CA106" i="8"/>
  <c r="BX105" i="8"/>
  <c r="CC104" i="8"/>
  <c r="BZ103" i="8"/>
  <c r="CE102" i="8"/>
  <c r="BW102" i="8"/>
  <c r="CB101" i="8"/>
  <c r="BY100" i="8"/>
  <c r="CD99" i="8"/>
  <c r="BV99" i="8"/>
  <c r="CA98" i="8"/>
  <c r="BX97" i="8"/>
  <c r="CC96" i="8"/>
  <c r="BZ95" i="8"/>
  <c r="CE94" i="8"/>
  <c r="BW94" i="8"/>
  <c r="CB93" i="8"/>
  <c r="BY92" i="8"/>
  <c r="CD91" i="8"/>
  <c r="BV91" i="8"/>
  <c r="CA90" i="8"/>
  <c r="BX89" i="8"/>
  <c r="CC88" i="8"/>
  <c r="BZ87" i="8"/>
  <c r="CE86" i="8"/>
  <c r="BW86" i="8"/>
  <c r="CB85" i="8"/>
  <c r="BY84" i="8"/>
  <c r="CD83" i="8"/>
  <c r="BV83" i="8"/>
  <c r="CA82" i="8"/>
  <c r="BX81" i="8"/>
  <c r="CC80" i="8"/>
  <c r="BZ79" i="8"/>
  <c r="CE78" i="8"/>
  <c r="BW78" i="8"/>
  <c r="CB77" i="8"/>
  <c r="BY76" i="8"/>
  <c r="CD75" i="8"/>
  <c r="BV75" i="8"/>
  <c r="BV136" i="8"/>
  <c r="BX134" i="8"/>
  <c r="BZ132" i="8"/>
  <c r="CA119" i="8"/>
  <c r="CC117" i="8"/>
  <c r="CE115" i="8"/>
  <c r="BV104" i="8"/>
  <c r="BX102" i="8"/>
  <c r="BZ100" i="8"/>
  <c r="CA87" i="8"/>
  <c r="CC85" i="8"/>
  <c r="CE83" i="8"/>
  <c r="CE74" i="8"/>
  <c r="BW74" i="8"/>
  <c r="CB130" i="8"/>
  <c r="CD128" i="8"/>
  <c r="BW115" i="8"/>
  <c r="BY113" i="8"/>
  <c r="CB98" i="8"/>
  <c r="CD96" i="8"/>
  <c r="BW83" i="8"/>
  <c r="BY81" i="8"/>
  <c r="CD74" i="8"/>
  <c r="BV74" i="8"/>
  <c r="CA143" i="8"/>
  <c r="CC141" i="8"/>
  <c r="CE139" i="8"/>
  <c r="BV128" i="8"/>
  <c r="BX126" i="8"/>
  <c r="BZ124" i="8"/>
  <c r="CA111" i="8"/>
  <c r="CC109" i="8"/>
  <c r="CE107" i="8"/>
  <c r="BV96" i="8"/>
  <c r="BX94" i="8"/>
  <c r="BZ92" i="8"/>
  <c r="CA79" i="8"/>
  <c r="CC77" i="8"/>
  <c r="CE75" i="8"/>
  <c r="CC74" i="8"/>
  <c r="BW139" i="8"/>
  <c r="BY137" i="8"/>
  <c r="CB122" i="8"/>
  <c r="CD120" i="8"/>
  <c r="BW107" i="8"/>
  <c r="BY105" i="8"/>
  <c r="CB90" i="8"/>
  <c r="CD88" i="8"/>
  <c r="CA75" i="8"/>
  <c r="CB74" i="8"/>
  <c r="CA135" i="8"/>
  <c r="CC133" i="8"/>
  <c r="CE131" i="8"/>
  <c r="BV120" i="8"/>
  <c r="BX118" i="8"/>
  <c r="BZ116" i="8"/>
  <c r="CA103" i="8"/>
  <c r="CC101" i="8"/>
  <c r="CE99" i="8"/>
  <c r="BV88" i="8"/>
  <c r="BX86" i="8"/>
  <c r="BZ84" i="8"/>
  <c r="BW75" i="8"/>
  <c r="CA74" i="8"/>
  <c r="BW131" i="8"/>
  <c r="BY129" i="8"/>
  <c r="CB114" i="8"/>
  <c r="CD112" i="8"/>
  <c r="BW99" i="8"/>
  <c r="BY97" i="8"/>
  <c r="CB82" i="8"/>
  <c r="CD80" i="8"/>
  <c r="BZ74" i="8"/>
  <c r="BY144" i="8"/>
  <c r="BX142" i="8"/>
  <c r="BZ140" i="8"/>
  <c r="CA127" i="8"/>
  <c r="CC125" i="8"/>
  <c r="CE123" i="8"/>
  <c r="BV112" i="8"/>
  <c r="BX110" i="8"/>
  <c r="BZ108" i="8"/>
  <c r="CA95" i="8"/>
  <c r="CC93" i="8"/>
  <c r="CE91" i="8"/>
  <c r="BV80" i="8"/>
  <c r="BX78" i="8"/>
  <c r="BZ76" i="8"/>
  <c r="BY74" i="8"/>
  <c r="CB138" i="8"/>
  <c r="CD136" i="8"/>
  <c r="BW123" i="8"/>
  <c r="BY121" i="8"/>
  <c r="CB106" i="8"/>
  <c r="CD104" i="8"/>
  <c r="BW91" i="8"/>
  <c r="BY89" i="8"/>
  <c r="BX74" i="8"/>
  <c r="CB211" i="8"/>
  <c r="BY210" i="8"/>
  <c r="CD209" i="8"/>
  <c r="BV209" i="8"/>
  <c r="CA208" i="8"/>
  <c r="BX207" i="8"/>
  <c r="CC206" i="8"/>
  <c r="BZ205" i="8"/>
  <c r="CE204" i="8"/>
  <c r="BW204" i="8"/>
  <c r="CB203" i="8"/>
  <c r="BY202" i="8"/>
  <c r="CD201" i="8"/>
  <c r="BV201" i="8"/>
  <c r="CA200" i="8"/>
  <c r="BX199" i="8"/>
  <c r="CC198" i="8"/>
  <c r="BZ197" i="8"/>
  <c r="CE196" i="8"/>
  <c r="BW196" i="8"/>
  <c r="CB195" i="8"/>
  <c r="BY194" i="8"/>
  <c r="CD193" i="8"/>
  <c r="BV193" i="8"/>
  <c r="CA192" i="8"/>
  <c r="BX191" i="8"/>
  <c r="CC190" i="8"/>
  <c r="BZ189" i="8"/>
  <c r="CE188" i="8"/>
  <c r="BW188" i="8"/>
  <c r="CB187" i="8"/>
  <c r="BY186" i="8"/>
  <c r="CD185" i="8"/>
  <c r="BV185" i="8"/>
  <c r="CA184" i="8"/>
  <c r="BX183" i="8"/>
  <c r="CC182" i="8"/>
  <c r="BZ181" i="8"/>
  <c r="CE180" i="8"/>
  <c r="BW180" i="8"/>
  <c r="CB179" i="8"/>
  <c r="BY178" i="8"/>
  <c r="CD177" i="8"/>
  <c r="BV177" i="8"/>
  <c r="CA176" i="8"/>
  <c r="BX175" i="8"/>
  <c r="CC174" i="8"/>
  <c r="BZ173" i="8"/>
  <c r="CE172" i="8"/>
  <c r="BW172" i="8"/>
  <c r="CB171" i="8"/>
  <c r="BY170" i="8"/>
  <c r="CD169" i="8"/>
  <c r="BV169" i="8"/>
  <c r="CA168" i="8"/>
  <c r="BX167" i="8"/>
  <c r="CC166" i="8"/>
  <c r="BZ165" i="8"/>
  <c r="CE164" i="8"/>
  <c r="BW164" i="8"/>
  <c r="CB163" i="8"/>
  <c r="BY162" i="8"/>
  <c r="CD161" i="8"/>
  <c r="BV161" i="8"/>
  <c r="CA160" i="8"/>
  <c r="BX159" i="8"/>
  <c r="CC158" i="8"/>
  <c r="BZ157" i="8"/>
  <c r="CE156" i="8"/>
  <c r="BW156" i="8"/>
  <c r="CB155" i="8"/>
  <c r="BY154" i="8"/>
  <c r="CD153" i="8"/>
  <c r="BV153" i="8"/>
  <c r="CA152" i="8"/>
  <c r="CA211" i="8"/>
  <c r="BX210" i="8"/>
  <c r="CC209" i="8"/>
  <c r="BZ208" i="8"/>
  <c r="CE207" i="8"/>
  <c r="BW207" i="8"/>
  <c r="CB206" i="8"/>
  <c r="BY205" i="8"/>
  <c r="CD204" i="8"/>
  <c r="BV204" i="8"/>
  <c r="CA203" i="8"/>
  <c r="BX202" i="8"/>
  <c r="CC201" i="8"/>
  <c r="BZ200" i="8"/>
  <c r="CE199" i="8"/>
  <c r="BW199" i="8"/>
  <c r="CB198" i="8"/>
  <c r="BY197" i="8"/>
  <c r="CD196" i="8"/>
  <c r="BV196" i="8"/>
  <c r="CA195" i="8"/>
  <c r="BX194" i="8"/>
  <c r="CC193" i="8"/>
  <c r="BZ192" i="8"/>
  <c r="CE191" i="8"/>
  <c r="BW191" i="8"/>
  <c r="CB190" i="8"/>
  <c r="BY189" i="8"/>
  <c r="CD188" i="8"/>
  <c r="BV188" i="8"/>
  <c r="CA187" i="8"/>
  <c r="BX186" i="8"/>
  <c r="CC185" i="8"/>
  <c r="BZ184" i="8"/>
  <c r="CE183" i="8"/>
  <c r="BW183" i="8"/>
  <c r="CB182" i="8"/>
  <c r="BY181" i="8"/>
  <c r="CD180" i="8"/>
  <c r="BV180" i="8"/>
  <c r="CA179" i="8"/>
  <c r="BX178" i="8"/>
  <c r="CC177" i="8"/>
  <c r="BZ176" i="8"/>
  <c r="CE175" i="8"/>
  <c r="BW175" i="8"/>
  <c r="CB174" i="8"/>
  <c r="BY173" i="8"/>
  <c r="CD172" i="8"/>
  <c r="BV172" i="8"/>
  <c r="CA171" i="8"/>
  <c r="BX170" i="8"/>
  <c r="CC169" i="8"/>
  <c r="BZ168" i="8"/>
  <c r="CE167" i="8"/>
  <c r="BW167" i="8"/>
  <c r="CB166" i="8"/>
  <c r="BY165" i="8"/>
  <c r="CD164" i="8"/>
  <c r="BV164" i="8"/>
  <c r="CA163" i="8"/>
  <c r="BX162" i="8"/>
  <c r="CC161" i="8"/>
  <c r="BZ160" i="8"/>
  <c r="CE159" i="8"/>
  <c r="BW159" i="8"/>
  <c r="CB158" i="8"/>
  <c r="BY157" i="8"/>
  <c r="CD156" i="8"/>
  <c r="BV156" i="8"/>
  <c r="CA155" i="8"/>
  <c r="BX154" i="8"/>
  <c r="CC153" i="8"/>
  <c r="BZ152" i="8"/>
  <c r="BZ211" i="8"/>
  <c r="CE210" i="8"/>
  <c r="BW210" i="8"/>
  <c r="CB209" i="8"/>
  <c r="BY208" i="8"/>
  <c r="CD207" i="8"/>
  <c r="BV207" i="8"/>
  <c r="CA206" i="8"/>
  <c r="BX205" i="8"/>
  <c r="CC204" i="8"/>
  <c r="BZ203" i="8"/>
  <c r="CE202" i="8"/>
  <c r="BW202" i="8"/>
  <c r="CB201" i="8"/>
  <c r="BY200" i="8"/>
  <c r="CD199" i="8"/>
  <c r="BV199" i="8"/>
  <c r="CA198" i="8"/>
  <c r="BX197" i="8"/>
  <c r="CC196" i="8"/>
  <c r="BZ195" i="8"/>
  <c r="CE194" i="8"/>
  <c r="BW194" i="8"/>
  <c r="CB193" i="8"/>
  <c r="BY192" i="8"/>
  <c r="CD191" i="8"/>
  <c r="BV191" i="8"/>
  <c r="CA190" i="8"/>
  <c r="BX189" i="8"/>
  <c r="CC188" i="8"/>
  <c r="BZ187" i="8"/>
  <c r="CE186" i="8"/>
  <c r="BW186" i="8"/>
  <c r="CB185" i="8"/>
  <c r="BY184" i="8"/>
  <c r="CD183" i="8"/>
  <c r="BV183" i="8"/>
  <c r="CA182" i="8"/>
  <c r="BX181" i="8"/>
  <c r="CC180" i="8"/>
  <c r="BZ179" i="8"/>
  <c r="CE178" i="8"/>
  <c r="BW178" i="8"/>
  <c r="CB177" i="8"/>
  <c r="BY176" i="8"/>
  <c r="CD175" i="8"/>
  <c r="BV175" i="8"/>
  <c r="CA174" i="8"/>
  <c r="BX173" i="8"/>
  <c r="CC172" i="8"/>
  <c r="BZ171" i="8"/>
  <c r="CE170" i="8"/>
  <c r="BW170" i="8"/>
  <c r="CB169" i="8"/>
  <c r="BY168" i="8"/>
  <c r="CD167" i="8"/>
  <c r="BV167" i="8"/>
  <c r="CA166" i="8"/>
  <c r="BX165" i="8"/>
  <c r="CC164" i="8"/>
  <c r="BZ163" i="8"/>
  <c r="CE162" i="8"/>
  <c r="BW162" i="8"/>
  <c r="CB161" i="8"/>
  <c r="BY160" i="8"/>
  <c r="CD159" i="8"/>
  <c r="BV159" i="8"/>
  <c r="CA158" i="8"/>
  <c r="BX157" i="8"/>
  <c r="CC156" i="8"/>
  <c r="BZ155" i="8"/>
  <c r="CE154" i="8"/>
  <c r="BW154" i="8"/>
  <c r="CB153" i="8"/>
  <c r="BY152" i="8"/>
  <c r="BY211" i="8"/>
  <c r="CD210" i="8"/>
  <c r="BV210" i="8"/>
  <c r="CA209" i="8"/>
  <c r="BX208" i="8"/>
  <c r="CC207" i="8"/>
  <c r="BZ206" i="8"/>
  <c r="CE205" i="8"/>
  <c r="BW205" i="8"/>
  <c r="CB204" i="8"/>
  <c r="BY203" i="8"/>
  <c r="CD202" i="8"/>
  <c r="BV202" i="8"/>
  <c r="CA201" i="8"/>
  <c r="BX200" i="8"/>
  <c r="CC199" i="8"/>
  <c r="BZ198" i="8"/>
  <c r="CE197" i="8"/>
  <c r="BW197" i="8"/>
  <c r="CB196" i="8"/>
  <c r="BY195" i="8"/>
  <c r="CD194" i="8"/>
  <c r="BV194" i="8"/>
  <c r="CA193" i="8"/>
  <c r="BX192" i="8"/>
  <c r="CC191" i="8"/>
  <c r="BZ190" i="8"/>
  <c r="CE189" i="8"/>
  <c r="BW189" i="8"/>
  <c r="CB188" i="8"/>
  <c r="BY187" i="8"/>
  <c r="CD186" i="8"/>
  <c r="BV186" i="8"/>
  <c r="CA185" i="8"/>
  <c r="BX184" i="8"/>
  <c r="CC183" i="8"/>
  <c r="BZ182" i="8"/>
  <c r="CE181" i="8"/>
  <c r="BW181" i="8"/>
  <c r="CB180" i="8"/>
  <c r="BY179" i="8"/>
  <c r="CD178" i="8"/>
  <c r="BV178" i="8"/>
  <c r="CA177" i="8"/>
  <c r="BX176" i="8"/>
  <c r="CC175" i="8"/>
  <c r="BZ174" i="8"/>
  <c r="CE173" i="8"/>
  <c r="BW173" i="8"/>
  <c r="CB172" i="8"/>
  <c r="BY171" i="8"/>
  <c r="CD170" i="8"/>
  <c r="BV170" i="8"/>
  <c r="CA169" i="8"/>
  <c r="BX168" i="8"/>
  <c r="CC167" i="8"/>
  <c r="BZ166" i="8"/>
  <c r="CE165" i="8"/>
  <c r="BW165" i="8"/>
  <c r="CB164" i="8"/>
  <c r="BY163" i="8"/>
  <c r="CD162" i="8"/>
  <c r="BV162" i="8"/>
  <c r="CA161" i="8"/>
  <c r="BX160" i="8"/>
  <c r="CC159" i="8"/>
  <c r="BZ158" i="8"/>
  <c r="CE157" i="8"/>
  <c r="BW157" i="8"/>
  <c r="CB156" i="8"/>
  <c r="BY155" i="8"/>
  <c r="CD154" i="8"/>
  <c r="BV154" i="8"/>
  <c r="CA153" i="8"/>
  <c r="BX152" i="8"/>
  <c r="BX211" i="8"/>
  <c r="CC210" i="8"/>
  <c r="BZ209" i="8"/>
  <c r="CE208" i="8"/>
  <c r="BW208" i="8"/>
  <c r="CB207" i="8"/>
  <c r="BY206" i="8"/>
  <c r="CD205" i="8"/>
  <c r="BV205" i="8"/>
  <c r="CA204" i="8"/>
  <c r="BX203" i="8"/>
  <c r="CC202" i="8"/>
  <c r="BZ201" i="8"/>
  <c r="CE200" i="8"/>
  <c r="BW200" i="8"/>
  <c r="CB199" i="8"/>
  <c r="BY198" i="8"/>
  <c r="CD197" i="8"/>
  <c r="BV197" i="8"/>
  <c r="CA196" i="8"/>
  <c r="BX195" i="8"/>
  <c r="CC194" i="8"/>
  <c r="BZ193" i="8"/>
  <c r="CE192" i="8"/>
  <c r="BW192" i="8"/>
  <c r="CB191" i="8"/>
  <c r="BY190" i="8"/>
  <c r="CD189" i="8"/>
  <c r="BV189" i="8"/>
  <c r="CA188" i="8"/>
  <c r="BX187" i="8"/>
  <c r="CC186" i="8"/>
  <c r="BZ185" i="8"/>
  <c r="CE184" i="8"/>
  <c r="BW184" i="8"/>
  <c r="CB183" i="8"/>
  <c r="BY182" i="8"/>
  <c r="CD181" i="8"/>
  <c r="BV181" i="8"/>
  <c r="CA180" i="8"/>
  <c r="BX179" i="8"/>
  <c r="CC178" i="8"/>
  <c r="BZ177" i="8"/>
  <c r="CE176" i="8"/>
  <c r="BW176" i="8"/>
  <c r="CB175" i="8"/>
  <c r="BY174" i="8"/>
  <c r="CD173" i="8"/>
  <c r="BV173" i="8"/>
  <c r="CA172" i="8"/>
  <c r="BX171" i="8"/>
  <c r="CC170" i="8"/>
  <c r="BZ169" i="8"/>
  <c r="CE168" i="8"/>
  <c r="BW168" i="8"/>
  <c r="CB167" i="8"/>
  <c r="BY166" i="8"/>
  <c r="CD165" i="8"/>
  <c r="BV165" i="8"/>
  <c r="CA164" i="8"/>
  <c r="BX163" i="8"/>
  <c r="CC162" i="8"/>
  <c r="BZ161" i="8"/>
  <c r="CE160" i="8"/>
  <c r="BW160" i="8"/>
  <c r="CB159" i="8"/>
  <c r="BY158" i="8"/>
  <c r="CD157" i="8"/>
  <c r="BV157" i="8"/>
  <c r="CA156" i="8"/>
  <c r="BX155" i="8"/>
  <c r="CC154" i="8"/>
  <c r="BZ153" i="8"/>
  <c r="CE152" i="8"/>
  <c r="BW152" i="8"/>
  <c r="CE211" i="8"/>
  <c r="BW211" i="8"/>
  <c r="CB210" i="8"/>
  <c r="BY209" i="8"/>
  <c r="CD208" i="8"/>
  <c r="BV208" i="8"/>
  <c r="CA207" i="8"/>
  <c r="BX206" i="8"/>
  <c r="CC205" i="8"/>
  <c r="BZ204" i="8"/>
  <c r="CE203" i="8"/>
  <c r="BW203" i="8"/>
  <c r="CB202" i="8"/>
  <c r="BY201" i="8"/>
  <c r="CD200" i="8"/>
  <c r="BV200" i="8"/>
  <c r="CA199" i="8"/>
  <c r="BX198" i="8"/>
  <c r="CC197" i="8"/>
  <c r="BZ196" i="8"/>
  <c r="CE195" i="8"/>
  <c r="BW195" i="8"/>
  <c r="CB194" i="8"/>
  <c r="BY193" i="8"/>
  <c r="CD192" i="8"/>
  <c r="BV192" i="8"/>
  <c r="CA191" i="8"/>
  <c r="BX190" i="8"/>
  <c r="CC189" i="8"/>
  <c r="BZ188" i="8"/>
  <c r="CE187" i="8"/>
  <c r="BW187" i="8"/>
  <c r="CB186" i="8"/>
  <c r="BY185" i="8"/>
  <c r="CD184" i="8"/>
  <c r="BV184" i="8"/>
  <c r="CA183" i="8"/>
  <c r="BX182" i="8"/>
  <c r="CC181" i="8"/>
  <c r="BZ180" i="8"/>
  <c r="CE179" i="8"/>
  <c r="BW179" i="8"/>
  <c r="CB178" i="8"/>
  <c r="BY177" i="8"/>
  <c r="CD176" i="8"/>
  <c r="BV176" i="8"/>
  <c r="CA175" i="8"/>
  <c r="BX174" i="8"/>
  <c r="CC173" i="8"/>
  <c r="BZ172" i="8"/>
  <c r="CE171" i="8"/>
  <c r="BW171" i="8"/>
  <c r="CB170" i="8"/>
  <c r="BY169" i="8"/>
  <c r="CD168" i="8"/>
  <c r="BV168" i="8"/>
  <c r="CA167" i="8"/>
  <c r="BX166" i="8"/>
  <c r="CC165" i="8"/>
  <c r="BZ164" i="8"/>
  <c r="CE163" i="8"/>
  <c r="BW163" i="8"/>
  <c r="CB162" i="8"/>
  <c r="BY161" i="8"/>
  <c r="CD160" i="8"/>
  <c r="BV160" i="8"/>
  <c r="CA159" i="8"/>
  <c r="BX158" i="8"/>
  <c r="CC157" i="8"/>
  <c r="BZ156" i="8"/>
  <c r="CE155" i="8"/>
  <c r="BW155" i="8"/>
  <c r="CB154" i="8"/>
  <c r="BY153" i="8"/>
  <c r="CD152" i="8"/>
  <c r="BV152" i="8"/>
  <c r="CD211" i="8"/>
  <c r="BV211" i="8"/>
  <c r="CA210" i="8"/>
  <c r="BX209" i="8"/>
  <c r="CC208" i="8"/>
  <c r="BZ207" i="8"/>
  <c r="CE206" i="8"/>
  <c r="BW206" i="8"/>
  <c r="CB205" i="8"/>
  <c r="BY204" i="8"/>
  <c r="CD203" i="8"/>
  <c r="BV203" i="8"/>
  <c r="CA202" i="8"/>
  <c r="BX201" i="8"/>
  <c r="CC200" i="8"/>
  <c r="BZ199" i="8"/>
  <c r="CE198" i="8"/>
  <c r="BW198" i="8"/>
  <c r="CB197" i="8"/>
  <c r="BY196" i="8"/>
  <c r="CD195" i="8"/>
  <c r="BV195" i="8"/>
  <c r="CA194" i="8"/>
  <c r="BX193" i="8"/>
  <c r="CC192" i="8"/>
  <c r="BZ191" i="8"/>
  <c r="CE190" i="8"/>
  <c r="BW190" i="8"/>
  <c r="CB189" i="8"/>
  <c r="BY188" i="8"/>
  <c r="CD187" i="8"/>
  <c r="BV187" i="8"/>
  <c r="CA186" i="8"/>
  <c r="BX185" i="8"/>
  <c r="CC184" i="8"/>
  <c r="BZ183" i="8"/>
  <c r="CE182" i="8"/>
  <c r="BW182" i="8"/>
  <c r="CB181" i="8"/>
  <c r="BY180" i="8"/>
  <c r="CD179" i="8"/>
  <c r="BV179" i="8"/>
  <c r="CA178" i="8"/>
  <c r="BX177" i="8"/>
  <c r="CC176" i="8"/>
  <c r="BZ175" i="8"/>
  <c r="CE174" i="8"/>
  <c r="BW174" i="8"/>
  <c r="CB173" i="8"/>
  <c r="BY172" i="8"/>
  <c r="CD171" i="8"/>
  <c r="BV171" i="8"/>
  <c r="CA170" i="8"/>
  <c r="BX169" i="8"/>
  <c r="CC168" i="8"/>
  <c r="BZ167" i="8"/>
  <c r="CE166" i="8"/>
  <c r="BW166" i="8"/>
  <c r="CB165" i="8"/>
  <c r="BY164" i="8"/>
  <c r="CD163" i="8"/>
  <c r="BV163" i="8"/>
  <c r="CA162" i="8"/>
  <c r="BX161" i="8"/>
  <c r="CC160" i="8"/>
  <c r="BZ159" i="8"/>
  <c r="CE158" i="8"/>
  <c r="BW158" i="8"/>
  <c r="CB157" i="8"/>
  <c r="BY156" i="8"/>
  <c r="CD155" i="8"/>
  <c r="BV155" i="8"/>
  <c r="CA154" i="8"/>
  <c r="BX153" i="8"/>
  <c r="CC152" i="8"/>
  <c r="CC211" i="8"/>
  <c r="BZ210" i="8"/>
  <c r="CE209" i="8"/>
  <c r="BW209" i="8"/>
  <c r="CB208" i="8"/>
  <c r="BY207" i="8"/>
  <c r="CD206" i="8"/>
  <c r="BV206" i="8"/>
  <c r="CA205" i="8"/>
  <c r="BX204" i="8"/>
  <c r="CC203" i="8"/>
  <c r="BZ202" i="8"/>
  <c r="CE201" i="8"/>
  <c r="BW201" i="8"/>
  <c r="CB200" i="8"/>
  <c r="BY199" i="8"/>
  <c r="CD198" i="8"/>
  <c r="BV198" i="8"/>
  <c r="CA197" i="8"/>
  <c r="BX196" i="8"/>
  <c r="CC195" i="8"/>
  <c r="BZ194" i="8"/>
  <c r="CE193" i="8"/>
  <c r="BW193" i="8"/>
  <c r="CB192" i="8"/>
  <c r="BY191" i="8"/>
  <c r="CD190" i="8"/>
  <c r="BV190" i="8"/>
  <c r="CA189" i="8"/>
  <c r="BX188" i="8"/>
  <c r="CC187" i="8"/>
  <c r="BZ186" i="8"/>
  <c r="CE185" i="8"/>
  <c r="BW185" i="8"/>
  <c r="CB184" i="8"/>
  <c r="BY183" i="8"/>
  <c r="CD182" i="8"/>
  <c r="BV182" i="8"/>
  <c r="CA181" i="8"/>
  <c r="BX180" i="8"/>
  <c r="CC179" i="8"/>
  <c r="BZ178" i="8"/>
  <c r="CE177" i="8"/>
  <c r="BW177" i="8"/>
  <c r="CB176" i="8"/>
  <c r="BY175" i="8"/>
  <c r="CD174" i="8"/>
  <c r="BV174" i="8"/>
  <c r="CA173" i="8"/>
  <c r="BX172" i="8"/>
  <c r="CC171" i="8"/>
  <c r="BZ170" i="8"/>
  <c r="CE169" i="8"/>
  <c r="BW169" i="8"/>
  <c r="CB168" i="8"/>
  <c r="BY167" i="8"/>
  <c r="CD166" i="8"/>
  <c r="BV166" i="8"/>
  <c r="CA165" i="8"/>
  <c r="BX164" i="8"/>
  <c r="CC163" i="8"/>
  <c r="BZ162" i="8"/>
  <c r="CE161" i="8"/>
  <c r="BW161" i="8"/>
  <c r="CB160" i="8"/>
  <c r="BY159" i="8"/>
  <c r="CD158" i="8"/>
  <c r="BV158" i="8"/>
  <c r="CA157" i="8"/>
  <c r="BX156" i="8"/>
  <c r="CC155" i="8"/>
  <c r="BZ154" i="8"/>
  <c r="CE153" i="8"/>
  <c r="BW153" i="8"/>
  <c r="CB152" i="8"/>
  <c r="C121" i="3"/>
  <c r="D121" i="3"/>
  <c r="D10" i="4"/>
  <c r="D11" i="4"/>
  <c r="D9" i="4"/>
  <c r="C108" i="3" l="1"/>
  <c r="D108" i="3" s="1"/>
  <c r="E108" i="3" s="1"/>
  <c r="F108" i="3" s="1"/>
  <c r="G108" i="3" s="1"/>
  <c r="H108" i="3" s="1"/>
  <c r="I108" i="3" s="1"/>
  <c r="J108" i="3" s="1"/>
  <c r="K108" i="3" s="1"/>
  <c r="L108" i="3" s="1"/>
  <c r="C109" i="3"/>
  <c r="D109" i="3" s="1"/>
  <c r="E109" i="3" s="1"/>
  <c r="F109" i="3" s="1"/>
  <c r="G109" i="3" s="1"/>
  <c r="H109" i="3" s="1"/>
  <c r="I109" i="3" s="1"/>
  <c r="J109" i="3" s="1"/>
  <c r="K109" i="3" s="1"/>
  <c r="L109" i="3" s="1"/>
  <c r="C107" i="3"/>
  <c r="D107" i="3" s="1"/>
  <c r="E107" i="3" s="1"/>
  <c r="F107" i="3" s="1"/>
  <c r="G107" i="3" s="1"/>
  <c r="H107" i="3" s="1"/>
  <c r="I107" i="3" s="1"/>
  <c r="J107" i="3" s="1"/>
  <c r="K107" i="3" s="1"/>
  <c r="L107" i="3" s="1"/>
  <c r="C106" i="3"/>
  <c r="E121" i="3"/>
  <c r="AU2" i="1"/>
  <c r="D106" i="3" l="1"/>
  <c r="C113" i="3"/>
  <c r="C122" i="3" s="1"/>
  <c r="F121" i="3"/>
  <c r="O17" i="3"/>
  <c r="O16" i="3"/>
  <c r="O14" i="3"/>
  <c r="O13" i="3"/>
  <c r="O12" i="3"/>
  <c r="O11" i="3"/>
  <c r="O9" i="3"/>
  <c r="O8" i="3"/>
  <c r="O7" i="3"/>
  <c r="O6" i="3"/>
  <c r="O5" i="3"/>
  <c r="O4" i="3"/>
  <c r="O3" i="3"/>
  <c r="B161" i="3"/>
  <c r="B160" i="3"/>
  <c r="B159" i="3"/>
  <c r="B158" i="3"/>
  <c r="B157" i="3"/>
  <c r="B156" i="3"/>
  <c r="B155" i="3"/>
  <c r="B153" i="3"/>
  <c r="B152" i="3"/>
  <c r="B151" i="3"/>
  <c r="B150" i="3"/>
  <c r="B149" i="3"/>
  <c r="B148" i="3"/>
  <c r="B147" i="3"/>
  <c r="B99" i="3"/>
  <c r="C99" i="3" s="1"/>
  <c r="C141" i="3" s="1"/>
  <c r="B98" i="3"/>
  <c r="C98" i="3" s="1"/>
  <c r="C140" i="3" s="1"/>
  <c r="B97" i="3"/>
  <c r="B96" i="3"/>
  <c r="B95" i="3"/>
  <c r="B94" i="3"/>
  <c r="B93" i="3"/>
  <c r="B91" i="3"/>
  <c r="C91" i="3" s="1"/>
  <c r="C133" i="3" s="1"/>
  <c r="B90" i="3"/>
  <c r="B89" i="3"/>
  <c r="C89" i="3" s="1"/>
  <c r="C131" i="3" s="1"/>
  <c r="B88" i="3"/>
  <c r="B87" i="3"/>
  <c r="B86" i="3"/>
  <c r="B85" i="3"/>
  <c r="B78" i="3"/>
  <c r="C78" i="3" s="1"/>
  <c r="D78" i="3" s="1"/>
  <c r="E78" i="3" s="1"/>
  <c r="F78" i="3" s="1"/>
  <c r="G78" i="3" s="1"/>
  <c r="H78" i="3" s="1"/>
  <c r="I78" i="3" s="1"/>
  <c r="J78" i="3" s="1"/>
  <c r="K78" i="3" s="1"/>
  <c r="L78" i="3" s="1"/>
  <c r="B77" i="3"/>
  <c r="C77" i="3" s="1"/>
  <c r="D77" i="3" s="1"/>
  <c r="E77" i="3" s="1"/>
  <c r="F77" i="3" s="1"/>
  <c r="G77" i="3" s="1"/>
  <c r="H77" i="3" s="1"/>
  <c r="I77" i="3" s="1"/>
  <c r="J77" i="3" s="1"/>
  <c r="K77" i="3" s="1"/>
  <c r="L77" i="3" s="1"/>
  <c r="B76" i="3"/>
  <c r="B75" i="3"/>
  <c r="B74" i="3"/>
  <c r="B73" i="3"/>
  <c r="B72" i="3"/>
  <c r="B70" i="3"/>
  <c r="C70" i="3" s="1"/>
  <c r="D70" i="3" s="1"/>
  <c r="E70" i="3" s="1"/>
  <c r="F70" i="3" s="1"/>
  <c r="G70" i="3" s="1"/>
  <c r="H70" i="3" s="1"/>
  <c r="I70" i="3" s="1"/>
  <c r="J70" i="3" s="1"/>
  <c r="K70" i="3" s="1"/>
  <c r="L70" i="3" s="1"/>
  <c r="B69" i="3"/>
  <c r="B68" i="3"/>
  <c r="B67" i="3"/>
  <c r="B66" i="3"/>
  <c r="B65" i="3"/>
  <c r="B64" i="3"/>
  <c r="B57" i="3"/>
  <c r="C57" i="3" s="1"/>
  <c r="D57" i="3" s="1"/>
  <c r="E57" i="3" s="1"/>
  <c r="F57" i="3" s="1"/>
  <c r="G57" i="3" s="1"/>
  <c r="H57" i="3" s="1"/>
  <c r="I57" i="3" s="1"/>
  <c r="J57" i="3" s="1"/>
  <c r="K57" i="3" s="1"/>
  <c r="L57" i="3" s="1"/>
  <c r="B56" i="3"/>
  <c r="C56" i="3" s="1"/>
  <c r="D56" i="3" s="1"/>
  <c r="E56" i="3" s="1"/>
  <c r="F56" i="3" s="1"/>
  <c r="G56" i="3" s="1"/>
  <c r="H56" i="3" s="1"/>
  <c r="I56" i="3" s="1"/>
  <c r="J56" i="3" s="1"/>
  <c r="K56" i="3" s="1"/>
  <c r="L56" i="3" s="1"/>
  <c r="B55" i="3"/>
  <c r="B54" i="3"/>
  <c r="B53" i="3"/>
  <c r="B52" i="3"/>
  <c r="B51" i="3"/>
  <c r="B49" i="3"/>
  <c r="C49" i="3" s="1"/>
  <c r="D49" i="3" s="1"/>
  <c r="E49" i="3" s="1"/>
  <c r="F49" i="3" s="1"/>
  <c r="G49" i="3" s="1"/>
  <c r="H49" i="3" s="1"/>
  <c r="I49" i="3" s="1"/>
  <c r="J49" i="3" s="1"/>
  <c r="K49" i="3" s="1"/>
  <c r="L49" i="3" s="1"/>
  <c r="B48" i="3"/>
  <c r="B47" i="3"/>
  <c r="B46" i="3"/>
  <c r="B45" i="3"/>
  <c r="B44" i="3"/>
  <c r="B43" i="3"/>
  <c r="B25" i="3"/>
  <c r="B24" i="3"/>
  <c r="B23" i="3"/>
  <c r="B12" i="3"/>
  <c r="B13" i="3"/>
  <c r="B14" i="3"/>
  <c r="B16" i="3"/>
  <c r="C16" i="3" s="1"/>
  <c r="D16" i="3" s="1"/>
  <c r="E16" i="3" s="1"/>
  <c r="F16" i="3" s="1"/>
  <c r="G16" i="3" s="1"/>
  <c r="H16" i="3" s="1"/>
  <c r="I16" i="3" s="1"/>
  <c r="J16" i="3" s="1"/>
  <c r="K16" i="3" s="1"/>
  <c r="L16" i="3" s="1"/>
  <c r="B17" i="3"/>
  <c r="C17" i="3" s="1"/>
  <c r="D17" i="3" s="1"/>
  <c r="E17" i="3" s="1"/>
  <c r="F17" i="3" s="1"/>
  <c r="G17" i="3" s="1"/>
  <c r="H17" i="3" s="1"/>
  <c r="I17" i="3" s="1"/>
  <c r="J17" i="3" s="1"/>
  <c r="K17" i="3" s="1"/>
  <c r="L17" i="3" s="1"/>
  <c r="B11" i="3"/>
  <c r="B4" i="3"/>
  <c r="B5" i="3"/>
  <c r="B9" i="3"/>
  <c r="D9" i="3" s="1"/>
  <c r="E9" i="3" s="1"/>
  <c r="F9" i="3" s="1"/>
  <c r="G9" i="3" s="1"/>
  <c r="H9" i="3" s="1"/>
  <c r="I9" i="3" s="1"/>
  <c r="J9" i="3" s="1"/>
  <c r="K9" i="3" s="1"/>
  <c r="L9" i="3" s="1"/>
  <c r="B3" i="3"/>
  <c r="Y6" i="3" l="1"/>
  <c r="Z6" i="3"/>
  <c r="U6" i="3"/>
  <c r="V6" i="3"/>
  <c r="V16" i="3"/>
  <c r="Z16" i="3"/>
  <c r="Y16" i="3"/>
  <c r="U16" i="3"/>
  <c r="Z7" i="3"/>
  <c r="U7" i="3"/>
  <c r="Y7" i="3"/>
  <c r="V7" i="3"/>
  <c r="V17" i="3"/>
  <c r="U17" i="3"/>
  <c r="Y17" i="3"/>
  <c r="Z17" i="3"/>
  <c r="V8" i="3"/>
  <c r="Y8" i="3"/>
  <c r="U8" i="3"/>
  <c r="Z8" i="3"/>
  <c r="U9" i="3"/>
  <c r="Y9" i="3"/>
  <c r="Z9" i="3"/>
  <c r="V9" i="3"/>
  <c r="R6" i="3"/>
  <c r="Q6" i="3"/>
  <c r="Q16" i="3"/>
  <c r="R16" i="3"/>
  <c r="Q7" i="3"/>
  <c r="R7" i="3"/>
  <c r="R17" i="3"/>
  <c r="Q17" i="3"/>
  <c r="Q8" i="3"/>
  <c r="R8" i="3"/>
  <c r="Q9" i="3"/>
  <c r="R9" i="3"/>
  <c r="E106" i="3"/>
  <c r="D113" i="3"/>
  <c r="D122" i="3" s="1"/>
  <c r="D89" i="3"/>
  <c r="D131" i="3" s="1"/>
  <c r="D98" i="3"/>
  <c r="D140" i="3" s="1"/>
  <c r="D99" i="3"/>
  <c r="D141" i="3" s="1"/>
  <c r="D91" i="3"/>
  <c r="D133" i="3" s="1"/>
  <c r="G121" i="3"/>
  <c r="AA16" i="3"/>
  <c r="S16" i="3"/>
  <c r="W16" i="3"/>
  <c r="X16" i="3"/>
  <c r="W17" i="3"/>
  <c r="X17" i="3"/>
  <c r="S17" i="3"/>
  <c r="AA17" i="3"/>
  <c r="S9" i="3"/>
  <c r="AA9" i="3"/>
  <c r="W9" i="3"/>
  <c r="X9" i="3"/>
  <c r="T16" i="3"/>
  <c r="P16" i="3"/>
  <c r="T17" i="3"/>
  <c r="P17" i="3"/>
  <c r="T9" i="3"/>
  <c r="P9" i="3"/>
  <c r="AG2" i="1"/>
  <c r="AF2" i="1"/>
  <c r="C96" i="2" l="1"/>
  <c r="E98" i="2"/>
  <c r="D101" i="2"/>
  <c r="C104" i="2"/>
  <c r="E106" i="2"/>
  <c r="D109" i="2"/>
  <c r="C112" i="2"/>
  <c r="D96" i="2"/>
  <c r="C99" i="2"/>
  <c r="E101" i="2"/>
  <c r="D104" i="2"/>
  <c r="C107" i="2"/>
  <c r="E109" i="2"/>
  <c r="D112" i="2"/>
  <c r="E96" i="2"/>
  <c r="D99" i="2"/>
  <c r="C102" i="2"/>
  <c r="E104" i="2"/>
  <c r="D107" i="2"/>
  <c r="C110" i="2"/>
  <c r="E112" i="2"/>
  <c r="D115" i="2"/>
  <c r="C97" i="2"/>
  <c r="E99" i="2"/>
  <c r="D102" i="2"/>
  <c r="C105" i="2"/>
  <c r="E107" i="2"/>
  <c r="D110" i="2"/>
  <c r="C98" i="2"/>
  <c r="E100" i="2"/>
  <c r="D103" i="2"/>
  <c r="C106" i="2"/>
  <c r="E108" i="2"/>
  <c r="D111" i="2"/>
  <c r="C114" i="2"/>
  <c r="E116" i="2"/>
  <c r="D119" i="2"/>
  <c r="D98" i="2"/>
  <c r="C101" i="2"/>
  <c r="E103" i="2"/>
  <c r="D106" i="2"/>
  <c r="C109" i="2"/>
  <c r="E102" i="2"/>
  <c r="E111" i="2"/>
  <c r="C116" i="2"/>
  <c r="C119" i="2"/>
  <c r="C122" i="2"/>
  <c r="E124" i="2"/>
  <c r="D127" i="2"/>
  <c r="C130" i="2"/>
  <c r="E132" i="2"/>
  <c r="D135" i="2"/>
  <c r="C138" i="2"/>
  <c r="E140" i="2"/>
  <c r="D143" i="2"/>
  <c r="C146" i="2"/>
  <c r="E148" i="2"/>
  <c r="D151" i="2"/>
  <c r="C154" i="2"/>
  <c r="E156" i="2"/>
  <c r="D159" i="2"/>
  <c r="C162" i="2"/>
  <c r="E164" i="2"/>
  <c r="D167" i="2"/>
  <c r="C170" i="2"/>
  <c r="E172" i="2"/>
  <c r="D175" i="2"/>
  <c r="C178" i="2"/>
  <c r="E180" i="2"/>
  <c r="D183" i="2"/>
  <c r="C186" i="2"/>
  <c r="E188" i="2"/>
  <c r="D191" i="2"/>
  <c r="C194" i="2"/>
  <c r="E196" i="2"/>
  <c r="D199" i="2"/>
  <c r="C202" i="2"/>
  <c r="E204" i="2"/>
  <c r="D207" i="2"/>
  <c r="C210" i="2"/>
  <c r="E212" i="2"/>
  <c r="D215" i="2"/>
  <c r="C218" i="2"/>
  <c r="E220" i="2"/>
  <c r="D223" i="2"/>
  <c r="C226" i="2"/>
  <c r="E228" i="2"/>
  <c r="D231" i="2"/>
  <c r="C234" i="2"/>
  <c r="E236" i="2"/>
  <c r="D239" i="2"/>
  <c r="C242" i="2"/>
  <c r="E244" i="2"/>
  <c r="D247" i="2"/>
  <c r="C250" i="2"/>
  <c r="E252" i="2"/>
  <c r="D255" i="2"/>
  <c r="C258" i="2"/>
  <c r="E260" i="2"/>
  <c r="D263" i="2"/>
  <c r="C266" i="2"/>
  <c r="E268" i="2"/>
  <c r="D271" i="2"/>
  <c r="C274" i="2"/>
  <c r="E276" i="2"/>
  <c r="D279" i="2"/>
  <c r="C282" i="2"/>
  <c r="E284" i="2"/>
  <c r="D287" i="2"/>
  <c r="C290" i="2"/>
  <c r="E292" i="2"/>
  <c r="D295" i="2"/>
  <c r="C298" i="2"/>
  <c r="E300" i="2"/>
  <c r="D303" i="2"/>
  <c r="C306" i="2"/>
  <c r="E308" i="2"/>
  <c r="D311" i="2"/>
  <c r="C314" i="2"/>
  <c r="E316" i="2"/>
  <c r="D319" i="2"/>
  <c r="C322" i="2"/>
  <c r="E324" i="2"/>
  <c r="D327" i="2"/>
  <c r="C330" i="2"/>
  <c r="E332" i="2"/>
  <c r="D335" i="2"/>
  <c r="C338" i="2"/>
  <c r="E340" i="2"/>
  <c r="D343" i="2"/>
  <c r="C346" i="2"/>
  <c r="E348" i="2"/>
  <c r="D351" i="2"/>
  <c r="C354" i="2"/>
  <c r="E356" i="2"/>
  <c r="D359" i="2"/>
  <c r="C362" i="2"/>
  <c r="E364" i="2"/>
  <c r="D367" i="2"/>
  <c r="C370" i="2"/>
  <c r="E372" i="2"/>
  <c r="D375" i="2"/>
  <c r="C378" i="2"/>
  <c r="E380" i="2"/>
  <c r="C103" i="2"/>
  <c r="C113" i="2"/>
  <c r="D116" i="2"/>
  <c r="E119" i="2"/>
  <c r="D122" i="2"/>
  <c r="C125" i="2"/>
  <c r="E127" i="2"/>
  <c r="D130" i="2"/>
  <c r="C133" i="2"/>
  <c r="E135" i="2"/>
  <c r="D138" i="2"/>
  <c r="C141" i="2"/>
  <c r="E143" i="2"/>
  <c r="D146" i="2"/>
  <c r="C149" i="2"/>
  <c r="E151" i="2"/>
  <c r="D154" i="2"/>
  <c r="C157" i="2"/>
  <c r="E159" i="2"/>
  <c r="D162" i="2"/>
  <c r="C165" i="2"/>
  <c r="E167" i="2"/>
  <c r="D170" i="2"/>
  <c r="C173" i="2"/>
  <c r="E175" i="2"/>
  <c r="D178" i="2"/>
  <c r="C181" i="2"/>
  <c r="E183" i="2"/>
  <c r="D186" i="2"/>
  <c r="C189" i="2"/>
  <c r="E191" i="2"/>
  <c r="D194" i="2"/>
  <c r="C197" i="2"/>
  <c r="E199" i="2"/>
  <c r="D202" i="2"/>
  <c r="C205" i="2"/>
  <c r="E207" i="2"/>
  <c r="D210" i="2"/>
  <c r="C213" i="2"/>
  <c r="E215" i="2"/>
  <c r="D218" i="2"/>
  <c r="C221" i="2"/>
  <c r="E223" i="2"/>
  <c r="D226" i="2"/>
  <c r="C229" i="2"/>
  <c r="E231" i="2"/>
  <c r="D234" i="2"/>
  <c r="C237" i="2"/>
  <c r="E239" i="2"/>
  <c r="D242" i="2"/>
  <c r="C245" i="2"/>
  <c r="E247" i="2"/>
  <c r="D250" i="2"/>
  <c r="C253" i="2"/>
  <c r="E255" i="2"/>
  <c r="D258" i="2"/>
  <c r="C261" i="2"/>
  <c r="E263" i="2"/>
  <c r="D266" i="2"/>
  <c r="C269" i="2"/>
  <c r="E271" i="2"/>
  <c r="D274" i="2"/>
  <c r="C277" i="2"/>
  <c r="E279" i="2"/>
  <c r="D282" i="2"/>
  <c r="C285" i="2"/>
  <c r="E287" i="2"/>
  <c r="D290" i="2"/>
  <c r="C293" i="2"/>
  <c r="E295" i="2"/>
  <c r="D298" i="2"/>
  <c r="C301" i="2"/>
  <c r="E303" i="2"/>
  <c r="D306" i="2"/>
  <c r="C309" i="2"/>
  <c r="E311" i="2"/>
  <c r="D314" i="2"/>
  <c r="C317" i="2"/>
  <c r="E319" i="2"/>
  <c r="D322" i="2"/>
  <c r="C325" i="2"/>
  <c r="E327" i="2"/>
  <c r="D330" i="2"/>
  <c r="C333" i="2"/>
  <c r="E335" i="2"/>
  <c r="D338" i="2"/>
  <c r="C341" i="2"/>
  <c r="E343" i="2"/>
  <c r="D346" i="2"/>
  <c r="C349" i="2"/>
  <c r="E351" i="2"/>
  <c r="D354" i="2"/>
  <c r="C357" i="2"/>
  <c r="E359" i="2"/>
  <c r="D362" i="2"/>
  <c r="C365" i="2"/>
  <c r="E367" i="2"/>
  <c r="D370" i="2"/>
  <c r="C373" i="2"/>
  <c r="E375" i="2"/>
  <c r="D378" i="2"/>
  <c r="C381" i="2"/>
  <c r="E383" i="2"/>
  <c r="D386" i="2"/>
  <c r="C389" i="2"/>
  <c r="E391" i="2"/>
  <c r="D394" i="2"/>
  <c r="C397" i="2"/>
  <c r="E399" i="2"/>
  <c r="D402" i="2"/>
  <c r="C405" i="2"/>
  <c r="E407" i="2"/>
  <c r="D105" i="2"/>
  <c r="D113" i="2"/>
  <c r="C117" i="2"/>
  <c r="C120" i="2"/>
  <c r="E122" i="2"/>
  <c r="D125" i="2"/>
  <c r="C128" i="2"/>
  <c r="E130" i="2"/>
  <c r="D133" i="2"/>
  <c r="C136" i="2"/>
  <c r="E138" i="2"/>
  <c r="D141" i="2"/>
  <c r="C144" i="2"/>
  <c r="E146" i="2"/>
  <c r="D149" i="2"/>
  <c r="C152" i="2"/>
  <c r="E154" i="2"/>
  <c r="D157" i="2"/>
  <c r="C160" i="2"/>
  <c r="E162" i="2"/>
  <c r="D165" i="2"/>
  <c r="C168" i="2"/>
  <c r="E170" i="2"/>
  <c r="D173" i="2"/>
  <c r="C176" i="2"/>
  <c r="E178" i="2"/>
  <c r="D181" i="2"/>
  <c r="C184" i="2"/>
  <c r="E186" i="2"/>
  <c r="D189" i="2"/>
  <c r="C192" i="2"/>
  <c r="E194" i="2"/>
  <c r="D197" i="2"/>
  <c r="C200" i="2"/>
  <c r="E202" i="2"/>
  <c r="D205" i="2"/>
  <c r="C208" i="2"/>
  <c r="E210" i="2"/>
  <c r="D213" i="2"/>
  <c r="C216" i="2"/>
  <c r="E218" i="2"/>
  <c r="D221" i="2"/>
  <c r="C224" i="2"/>
  <c r="E226" i="2"/>
  <c r="D229" i="2"/>
  <c r="C232" i="2"/>
  <c r="E234" i="2"/>
  <c r="D237" i="2"/>
  <c r="C240" i="2"/>
  <c r="E242" i="2"/>
  <c r="D245" i="2"/>
  <c r="C248" i="2"/>
  <c r="E250" i="2"/>
  <c r="D253" i="2"/>
  <c r="C256" i="2"/>
  <c r="E258" i="2"/>
  <c r="D261" i="2"/>
  <c r="C264" i="2"/>
  <c r="E266" i="2"/>
  <c r="D269" i="2"/>
  <c r="C272" i="2"/>
  <c r="E274" i="2"/>
  <c r="D277" i="2"/>
  <c r="C280" i="2"/>
  <c r="E282" i="2"/>
  <c r="D285" i="2"/>
  <c r="C288" i="2"/>
  <c r="E290" i="2"/>
  <c r="D293" i="2"/>
  <c r="C296" i="2"/>
  <c r="E298" i="2"/>
  <c r="D301" i="2"/>
  <c r="C304" i="2"/>
  <c r="E306" i="2"/>
  <c r="D309" i="2"/>
  <c r="C312" i="2"/>
  <c r="E314" i="2"/>
  <c r="D317" i="2"/>
  <c r="C320" i="2"/>
  <c r="E322" i="2"/>
  <c r="D325" i="2"/>
  <c r="C328" i="2"/>
  <c r="E330" i="2"/>
  <c r="D333" i="2"/>
  <c r="C336" i="2"/>
  <c r="E338" i="2"/>
  <c r="D341" i="2"/>
  <c r="C344" i="2"/>
  <c r="E346" i="2"/>
  <c r="D349" i="2"/>
  <c r="C352" i="2"/>
  <c r="E354" i="2"/>
  <c r="D357" i="2"/>
  <c r="C360" i="2"/>
  <c r="E362" i="2"/>
  <c r="D365" i="2"/>
  <c r="C368" i="2"/>
  <c r="E370" i="2"/>
  <c r="D373" i="2"/>
  <c r="C376" i="2"/>
  <c r="E378" i="2"/>
  <c r="D381" i="2"/>
  <c r="C384" i="2"/>
  <c r="E386" i="2"/>
  <c r="D389" i="2"/>
  <c r="C392" i="2"/>
  <c r="E394" i="2"/>
  <c r="D397" i="2"/>
  <c r="C400" i="2"/>
  <c r="E402" i="2"/>
  <c r="D405" i="2"/>
  <c r="C408" i="2"/>
  <c r="E410" i="2"/>
  <c r="D413" i="2"/>
  <c r="C416" i="2"/>
  <c r="E418" i="2"/>
  <c r="D421" i="2"/>
  <c r="C424" i="2"/>
  <c r="E426" i="2"/>
  <c r="D429" i="2"/>
  <c r="C432" i="2"/>
  <c r="E434" i="2"/>
  <c r="D437" i="2"/>
  <c r="C440" i="2"/>
  <c r="E442" i="2"/>
  <c r="D445" i="2"/>
  <c r="C448" i="2"/>
  <c r="E450" i="2"/>
  <c r="D453" i="2"/>
  <c r="C456" i="2"/>
  <c r="E458" i="2"/>
  <c r="D461" i="2"/>
  <c r="C464" i="2"/>
  <c r="E466" i="2"/>
  <c r="D469" i="2"/>
  <c r="C472" i="2"/>
  <c r="E474" i="2"/>
  <c r="D477" i="2"/>
  <c r="C480" i="2"/>
  <c r="E482" i="2"/>
  <c r="D485" i="2"/>
  <c r="C488" i="2"/>
  <c r="E490" i="2"/>
  <c r="D493" i="2"/>
  <c r="C496" i="2"/>
  <c r="E498" i="2"/>
  <c r="D501" i="2"/>
  <c r="C504" i="2"/>
  <c r="E105" i="2"/>
  <c r="E113" i="2"/>
  <c r="D117" i="2"/>
  <c r="D120" i="2"/>
  <c r="C123" i="2"/>
  <c r="E125" i="2"/>
  <c r="D128" i="2"/>
  <c r="C131" i="2"/>
  <c r="E133" i="2"/>
  <c r="D136" i="2"/>
  <c r="C139" i="2"/>
  <c r="E141" i="2"/>
  <c r="D144" i="2"/>
  <c r="C147" i="2"/>
  <c r="E149" i="2"/>
  <c r="D152" i="2"/>
  <c r="C155" i="2"/>
  <c r="E157" i="2"/>
  <c r="D160" i="2"/>
  <c r="C163" i="2"/>
  <c r="E165" i="2"/>
  <c r="D168" i="2"/>
  <c r="C171" i="2"/>
  <c r="E173" i="2"/>
  <c r="D176" i="2"/>
  <c r="C179" i="2"/>
  <c r="E181" i="2"/>
  <c r="D184" i="2"/>
  <c r="C187" i="2"/>
  <c r="E189" i="2"/>
  <c r="D192" i="2"/>
  <c r="C195" i="2"/>
  <c r="E197" i="2"/>
  <c r="D200" i="2"/>
  <c r="C203" i="2"/>
  <c r="E205" i="2"/>
  <c r="D208" i="2"/>
  <c r="C211" i="2"/>
  <c r="E213" i="2"/>
  <c r="D216" i="2"/>
  <c r="C219" i="2"/>
  <c r="E221" i="2"/>
  <c r="D224" i="2"/>
  <c r="C227" i="2"/>
  <c r="E229" i="2"/>
  <c r="D232" i="2"/>
  <c r="C235" i="2"/>
  <c r="E237" i="2"/>
  <c r="D240" i="2"/>
  <c r="C243" i="2"/>
  <c r="E245" i="2"/>
  <c r="D248" i="2"/>
  <c r="C251" i="2"/>
  <c r="E253" i="2"/>
  <c r="D256" i="2"/>
  <c r="C259" i="2"/>
  <c r="E261" i="2"/>
  <c r="D264" i="2"/>
  <c r="C267" i="2"/>
  <c r="E269" i="2"/>
  <c r="D272" i="2"/>
  <c r="C275" i="2"/>
  <c r="E277" i="2"/>
  <c r="D280" i="2"/>
  <c r="C283" i="2"/>
  <c r="E285" i="2"/>
  <c r="D288" i="2"/>
  <c r="C291" i="2"/>
  <c r="E293" i="2"/>
  <c r="D296" i="2"/>
  <c r="C299" i="2"/>
  <c r="E301" i="2"/>
  <c r="D304" i="2"/>
  <c r="C307" i="2"/>
  <c r="E309" i="2"/>
  <c r="D312" i="2"/>
  <c r="C315" i="2"/>
  <c r="E317" i="2"/>
  <c r="D320" i="2"/>
  <c r="C323" i="2"/>
  <c r="E325" i="2"/>
  <c r="D328" i="2"/>
  <c r="C331" i="2"/>
  <c r="E333" i="2"/>
  <c r="D336" i="2"/>
  <c r="C339" i="2"/>
  <c r="E341" i="2"/>
  <c r="D344" i="2"/>
  <c r="C347" i="2"/>
  <c r="E349" i="2"/>
  <c r="D352" i="2"/>
  <c r="C355" i="2"/>
  <c r="E357" i="2"/>
  <c r="D360" i="2"/>
  <c r="C363" i="2"/>
  <c r="E365" i="2"/>
  <c r="D368" i="2"/>
  <c r="C371" i="2"/>
  <c r="E373" i="2"/>
  <c r="D376" i="2"/>
  <c r="C379" i="2"/>
  <c r="E381" i="2"/>
  <c r="D384" i="2"/>
  <c r="C387" i="2"/>
  <c r="E389" i="2"/>
  <c r="D392" i="2"/>
  <c r="C395" i="2"/>
  <c r="E397" i="2"/>
  <c r="D400" i="2"/>
  <c r="C403" i="2"/>
  <c r="E405" i="2"/>
  <c r="D408" i="2"/>
  <c r="C411" i="2"/>
  <c r="E413" i="2"/>
  <c r="D416" i="2"/>
  <c r="C419" i="2"/>
  <c r="E421" i="2"/>
  <c r="D97" i="2"/>
  <c r="C108" i="2"/>
  <c r="D114" i="2"/>
  <c r="E117" i="2"/>
  <c r="E120" i="2"/>
  <c r="D123" i="2"/>
  <c r="C126" i="2"/>
  <c r="E128" i="2"/>
  <c r="D131" i="2"/>
  <c r="C134" i="2"/>
  <c r="E136" i="2"/>
  <c r="D139" i="2"/>
  <c r="C142" i="2"/>
  <c r="E144" i="2"/>
  <c r="D147" i="2"/>
  <c r="C150" i="2"/>
  <c r="E152" i="2"/>
  <c r="D155" i="2"/>
  <c r="C158" i="2"/>
  <c r="E160" i="2"/>
  <c r="D163" i="2"/>
  <c r="C166" i="2"/>
  <c r="E168" i="2"/>
  <c r="D171" i="2"/>
  <c r="C174" i="2"/>
  <c r="E176" i="2"/>
  <c r="D179" i="2"/>
  <c r="C182" i="2"/>
  <c r="E184" i="2"/>
  <c r="D187" i="2"/>
  <c r="C190" i="2"/>
  <c r="E192" i="2"/>
  <c r="D195" i="2"/>
  <c r="C198" i="2"/>
  <c r="E200" i="2"/>
  <c r="D203" i="2"/>
  <c r="C206" i="2"/>
  <c r="E208" i="2"/>
  <c r="D211" i="2"/>
  <c r="C214" i="2"/>
  <c r="E216" i="2"/>
  <c r="D219" i="2"/>
  <c r="C222" i="2"/>
  <c r="E224" i="2"/>
  <c r="D227" i="2"/>
  <c r="C230" i="2"/>
  <c r="E232" i="2"/>
  <c r="D235" i="2"/>
  <c r="C238" i="2"/>
  <c r="E240" i="2"/>
  <c r="D243" i="2"/>
  <c r="C246" i="2"/>
  <c r="E248" i="2"/>
  <c r="D251" i="2"/>
  <c r="C254" i="2"/>
  <c r="E256" i="2"/>
  <c r="D259" i="2"/>
  <c r="C262" i="2"/>
  <c r="E264" i="2"/>
  <c r="D267" i="2"/>
  <c r="C270" i="2"/>
  <c r="E272" i="2"/>
  <c r="C100" i="2"/>
  <c r="E110" i="2"/>
  <c r="C115" i="2"/>
  <c r="D118" i="2"/>
  <c r="D121" i="2"/>
  <c r="C124" i="2"/>
  <c r="E126" i="2"/>
  <c r="D129" i="2"/>
  <c r="C132" i="2"/>
  <c r="E134" i="2"/>
  <c r="D137" i="2"/>
  <c r="C140" i="2"/>
  <c r="E142" i="2"/>
  <c r="D145" i="2"/>
  <c r="C148" i="2"/>
  <c r="E150" i="2"/>
  <c r="D153" i="2"/>
  <c r="C156" i="2"/>
  <c r="E158" i="2"/>
  <c r="D161" i="2"/>
  <c r="C164" i="2"/>
  <c r="E166" i="2"/>
  <c r="D169" i="2"/>
  <c r="C172" i="2"/>
  <c r="E174" i="2"/>
  <c r="D177" i="2"/>
  <c r="C180" i="2"/>
  <c r="E182" i="2"/>
  <c r="D185" i="2"/>
  <c r="C188" i="2"/>
  <c r="E190" i="2"/>
  <c r="D193" i="2"/>
  <c r="C196" i="2"/>
  <c r="E198" i="2"/>
  <c r="D201" i="2"/>
  <c r="C204" i="2"/>
  <c r="E206" i="2"/>
  <c r="D209" i="2"/>
  <c r="C212" i="2"/>
  <c r="E214" i="2"/>
  <c r="D217" i="2"/>
  <c r="C220" i="2"/>
  <c r="E222" i="2"/>
  <c r="D225" i="2"/>
  <c r="C228" i="2"/>
  <c r="E230" i="2"/>
  <c r="D233" i="2"/>
  <c r="C236" i="2"/>
  <c r="E238" i="2"/>
  <c r="D241" i="2"/>
  <c r="C244" i="2"/>
  <c r="E246" i="2"/>
  <c r="D249" i="2"/>
  <c r="C252" i="2"/>
  <c r="E254" i="2"/>
  <c r="D257" i="2"/>
  <c r="C260" i="2"/>
  <c r="E262" i="2"/>
  <c r="D265" i="2"/>
  <c r="C268" i="2"/>
  <c r="E270" i="2"/>
  <c r="D273" i="2"/>
  <c r="C276" i="2"/>
  <c r="E278" i="2"/>
  <c r="D281" i="2"/>
  <c r="C284" i="2"/>
  <c r="E286" i="2"/>
  <c r="D289" i="2"/>
  <c r="C292" i="2"/>
  <c r="E294" i="2"/>
  <c r="D297" i="2"/>
  <c r="C300" i="2"/>
  <c r="E302" i="2"/>
  <c r="D305" i="2"/>
  <c r="C308" i="2"/>
  <c r="E310" i="2"/>
  <c r="D313" i="2"/>
  <c r="C316" i="2"/>
  <c r="E318" i="2"/>
  <c r="D321" i="2"/>
  <c r="C324" i="2"/>
  <c r="E326" i="2"/>
  <c r="D329" i="2"/>
  <c r="C332" i="2"/>
  <c r="E334" i="2"/>
  <c r="D337" i="2"/>
  <c r="C340" i="2"/>
  <c r="E342" i="2"/>
  <c r="D345" i="2"/>
  <c r="C348" i="2"/>
  <c r="E350" i="2"/>
  <c r="D353" i="2"/>
  <c r="C356" i="2"/>
  <c r="E358" i="2"/>
  <c r="D361" i="2"/>
  <c r="C364" i="2"/>
  <c r="E366" i="2"/>
  <c r="D369" i="2"/>
  <c r="C372" i="2"/>
  <c r="E374" i="2"/>
  <c r="D377" i="2"/>
  <c r="C380" i="2"/>
  <c r="E382" i="2"/>
  <c r="D385" i="2"/>
  <c r="C388" i="2"/>
  <c r="E390" i="2"/>
  <c r="D393" i="2"/>
  <c r="C396" i="2"/>
  <c r="E398" i="2"/>
  <c r="D401" i="2"/>
  <c r="C404" i="2"/>
  <c r="E406" i="2"/>
  <c r="D409" i="2"/>
  <c r="C412" i="2"/>
  <c r="E414" i="2"/>
  <c r="D417" i="2"/>
  <c r="C420" i="2"/>
  <c r="E422" i="2"/>
  <c r="D425" i="2"/>
  <c r="C428" i="2"/>
  <c r="E430" i="2"/>
  <c r="D433" i="2"/>
  <c r="C436" i="2"/>
  <c r="E438" i="2"/>
  <c r="D441" i="2"/>
  <c r="C444" i="2"/>
  <c r="E446" i="2"/>
  <c r="D449" i="2"/>
  <c r="C452" i="2"/>
  <c r="E454" i="2"/>
  <c r="D457" i="2"/>
  <c r="C460" i="2"/>
  <c r="E462" i="2"/>
  <c r="D465" i="2"/>
  <c r="C468" i="2"/>
  <c r="E470" i="2"/>
  <c r="D473" i="2"/>
  <c r="C476" i="2"/>
  <c r="E478" i="2"/>
  <c r="D481" i="2"/>
  <c r="C484" i="2"/>
  <c r="E486" i="2"/>
  <c r="D489" i="2"/>
  <c r="C492" i="2"/>
  <c r="E494" i="2"/>
  <c r="D497" i="2"/>
  <c r="C500" i="2"/>
  <c r="E502" i="2"/>
  <c r="D505" i="2"/>
  <c r="C508" i="2"/>
  <c r="E510" i="2"/>
  <c r="D100" i="2"/>
  <c r="C111" i="2"/>
  <c r="E115" i="2"/>
  <c r="E118" i="2"/>
  <c r="E121" i="2"/>
  <c r="D124" i="2"/>
  <c r="C127" i="2"/>
  <c r="E129" i="2"/>
  <c r="D132" i="2"/>
  <c r="C135" i="2"/>
  <c r="E137" i="2"/>
  <c r="D140" i="2"/>
  <c r="C143" i="2"/>
  <c r="E145" i="2"/>
  <c r="E123" i="2"/>
  <c r="C145" i="2"/>
  <c r="D156" i="2"/>
  <c r="C167" i="2"/>
  <c r="E177" i="2"/>
  <c r="D188" i="2"/>
  <c r="C199" i="2"/>
  <c r="E209" i="2"/>
  <c r="D220" i="2"/>
  <c r="C231" i="2"/>
  <c r="E241" i="2"/>
  <c r="D252" i="2"/>
  <c r="C263" i="2"/>
  <c r="E273" i="2"/>
  <c r="C281" i="2"/>
  <c r="E288" i="2"/>
  <c r="C295" i="2"/>
  <c r="D302" i="2"/>
  <c r="C310" i="2"/>
  <c r="D316" i="2"/>
  <c r="E323" i="2"/>
  <c r="D331" i="2"/>
  <c r="E337" i="2"/>
  <c r="C345" i="2"/>
  <c r="E352" i="2"/>
  <c r="C359" i="2"/>
  <c r="D366" i="2"/>
  <c r="C374" i="2"/>
  <c r="D380" i="2"/>
  <c r="C386" i="2"/>
  <c r="D391" i="2"/>
  <c r="E396" i="2"/>
  <c r="C402" i="2"/>
  <c r="D407" i="2"/>
  <c r="D412" i="2"/>
  <c r="E416" i="2"/>
  <c r="E420" i="2"/>
  <c r="E424" i="2"/>
  <c r="D428" i="2"/>
  <c r="E431" i="2"/>
  <c r="D435" i="2"/>
  <c r="C439" i="2"/>
  <c r="D442" i="2"/>
  <c r="C446" i="2"/>
  <c r="E449" i="2"/>
  <c r="C453" i="2"/>
  <c r="E456" i="2"/>
  <c r="D460" i="2"/>
  <c r="E463" i="2"/>
  <c r="D467" i="2"/>
  <c r="C471" i="2"/>
  <c r="D474" i="2"/>
  <c r="C478" i="2"/>
  <c r="E481" i="2"/>
  <c r="C485" i="2"/>
  <c r="E488" i="2"/>
  <c r="D492" i="2"/>
  <c r="E495" i="2"/>
  <c r="D499" i="2"/>
  <c r="C503" i="2"/>
  <c r="D506" i="2"/>
  <c r="D509" i="2"/>
  <c r="D512" i="2"/>
  <c r="C515" i="2"/>
  <c r="E517" i="2"/>
  <c r="D520" i="2"/>
  <c r="C523" i="2"/>
  <c r="F523" i="2" s="1"/>
  <c r="E525" i="2"/>
  <c r="D528" i="2"/>
  <c r="C531" i="2"/>
  <c r="E533" i="2"/>
  <c r="D536" i="2"/>
  <c r="C539" i="2"/>
  <c r="E541" i="2"/>
  <c r="D544" i="2"/>
  <c r="C547" i="2"/>
  <c r="E549" i="2"/>
  <c r="D552" i="2"/>
  <c r="C555" i="2"/>
  <c r="E557" i="2"/>
  <c r="D560" i="2"/>
  <c r="C563" i="2"/>
  <c r="E565" i="2"/>
  <c r="D568" i="2"/>
  <c r="C571" i="2"/>
  <c r="E573" i="2"/>
  <c r="D576" i="2"/>
  <c r="C579" i="2"/>
  <c r="E581" i="2"/>
  <c r="D584" i="2"/>
  <c r="C587" i="2"/>
  <c r="F587" i="2" s="1"/>
  <c r="E589" i="2"/>
  <c r="D126" i="2"/>
  <c r="E147" i="2"/>
  <c r="D158" i="2"/>
  <c r="C169" i="2"/>
  <c r="E179" i="2"/>
  <c r="D190" i="2"/>
  <c r="C201" i="2"/>
  <c r="E211" i="2"/>
  <c r="D222" i="2"/>
  <c r="C233" i="2"/>
  <c r="E243" i="2"/>
  <c r="D254" i="2"/>
  <c r="C265" i="2"/>
  <c r="D275" i="2"/>
  <c r="E281" i="2"/>
  <c r="C289" i="2"/>
  <c r="F289" i="2" s="1"/>
  <c r="E296" i="2"/>
  <c r="C303" i="2"/>
  <c r="D310" i="2"/>
  <c r="C318" i="2"/>
  <c r="D324" i="2"/>
  <c r="E331" i="2"/>
  <c r="D339" i="2"/>
  <c r="E345" i="2"/>
  <c r="C353" i="2"/>
  <c r="E360" i="2"/>
  <c r="C367" i="2"/>
  <c r="D374" i="2"/>
  <c r="C382" i="2"/>
  <c r="D387" i="2"/>
  <c r="E392" i="2"/>
  <c r="C398" i="2"/>
  <c r="D403" i="2"/>
  <c r="E408" i="2"/>
  <c r="E412" i="2"/>
  <c r="C417" i="2"/>
  <c r="C421" i="2"/>
  <c r="C425" i="2"/>
  <c r="E428" i="2"/>
  <c r="D432" i="2"/>
  <c r="E435" i="2"/>
  <c r="D439" i="2"/>
  <c r="C443" i="2"/>
  <c r="D446" i="2"/>
  <c r="C450" i="2"/>
  <c r="E453" i="2"/>
  <c r="C457" i="2"/>
  <c r="F457" i="2" s="1"/>
  <c r="E460" i="2"/>
  <c r="D464" i="2"/>
  <c r="E467" i="2"/>
  <c r="D471" i="2"/>
  <c r="C475" i="2"/>
  <c r="D478" i="2"/>
  <c r="C482" i="2"/>
  <c r="E485" i="2"/>
  <c r="C489" i="2"/>
  <c r="E492" i="2"/>
  <c r="D496" i="2"/>
  <c r="E499" i="2"/>
  <c r="D503" i="2"/>
  <c r="E506" i="2"/>
  <c r="E509" i="2"/>
  <c r="E512" i="2"/>
  <c r="D515" i="2"/>
  <c r="C518" i="2"/>
  <c r="E520" i="2"/>
  <c r="D523" i="2"/>
  <c r="C526" i="2"/>
  <c r="E528" i="2"/>
  <c r="D531" i="2"/>
  <c r="C534" i="2"/>
  <c r="F534" i="2" s="1"/>
  <c r="E536" i="2"/>
  <c r="D539" i="2"/>
  <c r="C542" i="2"/>
  <c r="E544" i="2"/>
  <c r="D547" i="2"/>
  <c r="C550" i="2"/>
  <c r="E552" i="2"/>
  <c r="D555" i="2"/>
  <c r="C558" i="2"/>
  <c r="E560" i="2"/>
  <c r="D563" i="2"/>
  <c r="C566" i="2"/>
  <c r="E568" i="2"/>
  <c r="D571" i="2"/>
  <c r="C574" i="2"/>
  <c r="E576" i="2"/>
  <c r="D579" i="2"/>
  <c r="C582" i="2"/>
  <c r="E584" i="2"/>
  <c r="D587" i="2"/>
  <c r="C129" i="2"/>
  <c r="D148" i="2"/>
  <c r="C159" i="2"/>
  <c r="E169" i="2"/>
  <c r="D180" i="2"/>
  <c r="C191" i="2"/>
  <c r="E201" i="2"/>
  <c r="D212" i="2"/>
  <c r="C223" i="2"/>
  <c r="E233" i="2"/>
  <c r="D244" i="2"/>
  <c r="C255" i="2"/>
  <c r="E265" i="2"/>
  <c r="E275" i="2"/>
  <c r="D283" i="2"/>
  <c r="E289" i="2"/>
  <c r="C297" i="2"/>
  <c r="E304" i="2"/>
  <c r="C311" i="2"/>
  <c r="D318" i="2"/>
  <c r="C326" i="2"/>
  <c r="D332" i="2"/>
  <c r="E339" i="2"/>
  <c r="D347" i="2"/>
  <c r="E353" i="2"/>
  <c r="C361" i="2"/>
  <c r="E368" i="2"/>
  <c r="C375" i="2"/>
  <c r="F375" i="2" s="1"/>
  <c r="G375" i="2" s="1"/>
  <c r="D382" i="2"/>
  <c r="E387" i="2"/>
  <c r="C393" i="2"/>
  <c r="D398" i="2"/>
  <c r="E403" i="2"/>
  <c r="C409" i="2"/>
  <c r="C413" i="2"/>
  <c r="E417" i="2"/>
  <c r="C422" i="2"/>
  <c r="E425" i="2"/>
  <c r="C429" i="2"/>
  <c r="E432" i="2"/>
  <c r="D436" i="2"/>
  <c r="E439" i="2"/>
  <c r="D443" i="2"/>
  <c r="C447" i="2"/>
  <c r="F447" i="2" s="1"/>
  <c r="D450" i="2"/>
  <c r="C454" i="2"/>
  <c r="E457" i="2"/>
  <c r="C461" i="2"/>
  <c r="E464" i="2"/>
  <c r="D468" i="2"/>
  <c r="E471" i="2"/>
  <c r="D475" i="2"/>
  <c r="C479" i="2"/>
  <c r="D482" i="2"/>
  <c r="C486" i="2"/>
  <c r="E489" i="2"/>
  <c r="C493" i="2"/>
  <c r="E496" i="2"/>
  <c r="D500" i="2"/>
  <c r="E503" i="2"/>
  <c r="C507" i="2"/>
  <c r="C510" i="2"/>
  <c r="C513" i="2"/>
  <c r="E515" i="2"/>
  <c r="D518" i="2"/>
  <c r="C521" i="2"/>
  <c r="E523" i="2"/>
  <c r="D526" i="2"/>
  <c r="C529" i="2"/>
  <c r="E531" i="2"/>
  <c r="D534" i="2"/>
  <c r="C537" i="2"/>
  <c r="E539" i="2"/>
  <c r="D542" i="2"/>
  <c r="C545" i="2"/>
  <c r="E547" i="2"/>
  <c r="D550" i="2"/>
  <c r="C553" i="2"/>
  <c r="E555" i="2"/>
  <c r="D558" i="2"/>
  <c r="C561" i="2"/>
  <c r="E563" i="2"/>
  <c r="D566" i="2"/>
  <c r="C569" i="2"/>
  <c r="F569" i="2" s="1"/>
  <c r="E571" i="2"/>
  <c r="D574" i="2"/>
  <c r="C577" i="2"/>
  <c r="E579" i="2"/>
  <c r="D582" i="2"/>
  <c r="C585" i="2"/>
  <c r="E587" i="2"/>
  <c r="D590" i="2"/>
  <c r="C593" i="2"/>
  <c r="E595" i="2"/>
  <c r="D598" i="2"/>
  <c r="E97" i="2"/>
  <c r="E131" i="2"/>
  <c r="D150" i="2"/>
  <c r="C161" i="2"/>
  <c r="E171" i="2"/>
  <c r="D182" i="2"/>
  <c r="C193" i="2"/>
  <c r="E203" i="2"/>
  <c r="D214" i="2"/>
  <c r="C225" i="2"/>
  <c r="E235" i="2"/>
  <c r="D246" i="2"/>
  <c r="C257" i="2"/>
  <c r="F257" i="2" s="1"/>
  <c r="E267" i="2"/>
  <c r="D276" i="2"/>
  <c r="E283" i="2"/>
  <c r="D291" i="2"/>
  <c r="E297" i="2"/>
  <c r="C305" i="2"/>
  <c r="E312" i="2"/>
  <c r="C319" i="2"/>
  <c r="F319" i="2" s="1"/>
  <c r="G319" i="2" s="1"/>
  <c r="D326" i="2"/>
  <c r="C334" i="2"/>
  <c r="D340" i="2"/>
  <c r="E347" i="2"/>
  <c r="D355" i="2"/>
  <c r="E361" i="2"/>
  <c r="C369" i="2"/>
  <c r="E376" i="2"/>
  <c r="C383" i="2"/>
  <c r="F383" i="2" s="1"/>
  <c r="G383" i="2" s="1"/>
  <c r="D388" i="2"/>
  <c r="E393" i="2"/>
  <c r="C399" i="2"/>
  <c r="D404" i="2"/>
  <c r="D108" i="2"/>
  <c r="D134" i="2"/>
  <c r="C151" i="2"/>
  <c r="F151" i="2" s="1"/>
  <c r="E161" i="2"/>
  <c r="D172" i="2"/>
  <c r="C183" i="2"/>
  <c r="E193" i="2"/>
  <c r="D204" i="2"/>
  <c r="C215" i="2"/>
  <c r="E225" i="2"/>
  <c r="D236" i="2"/>
  <c r="C247" i="2"/>
  <c r="E257" i="2"/>
  <c r="D268" i="2"/>
  <c r="C278" i="2"/>
  <c r="D284" i="2"/>
  <c r="E291" i="2"/>
  <c r="D299" i="2"/>
  <c r="E305" i="2"/>
  <c r="C313" i="2"/>
  <c r="E320" i="2"/>
  <c r="C327" i="2"/>
  <c r="D334" i="2"/>
  <c r="C342" i="2"/>
  <c r="D348" i="2"/>
  <c r="E355" i="2"/>
  <c r="D363" i="2"/>
  <c r="E369" i="2"/>
  <c r="C377" i="2"/>
  <c r="D383" i="2"/>
  <c r="E388" i="2"/>
  <c r="C394" i="2"/>
  <c r="D399" i="2"/>
  <c r="E404" i="2"/>
  <c r="C410" i="2"/>
  <c r="F410" i="2" s="1"/>
  <c r="G410" i="2" s="1"/>
  <c r="D414" i="2"/>
  <c r="D418" i="2"/>
  <c r="C423" i="2"/>
  <c r="D426" i="2"/>
  <c r="C430" i="2"/>
  <c r="E433" i="2"/>
  <c r="C437" i="2"/>
  <c r="E440" i="2"/>
  <c r="D444" i="2"/>
  <c r="E447" i="2"/>
  <c r="D451" i="2"/>
  <c r="C455" i="2"/>
  <c r="D458" i="2"/>
  <c r="C462" i="2"/>
  <c r="E465" i="2"/>
  <c r="C469" i="2"/>
  <c r="F469" i="2" s="1"/>
  <c r="E472" i="2"/>
  <c r="D476" i="2"/>
  <c r="E479" i="2"/>
  <c r="D483" i="2"/>
  <c r="C487" i="2"/>
  <c r="D490" i="2"/>
  <c r="C494" i="2"/>
  <c r="E497" i="2"/>
  <c r="C501" i="2"/>
  <c r="F501" i="2" s="1"/>
  <c r="E504" i="2"/>
  <c r="E507" i="2"/>
  <c r="C511" i="2"/>
  <c r="E513" i="2"/>
  <c r="D516" i="2"/>
  <c r="C519" i="2"/>
  <c r="E521" i="2"/>
  <c r="D524" i="2"/>
  <c r="C527" i="2"/>
  <c r="E529" i="2"/>
  <c r="D532" i="2"/>
  <c r="C535" i="2"/>
  <c r="E537" i="2"/>
  <c r="D540" i="2"/>
  <c r="C543" i="2"/>
  <c r="E545" i="2"/>
  <c r="D548" i="2"/>
  <c r="C551" i="2"/>
  <c r="E553" i="2"/>
  <c r="D556" i="2"/>
  <c r="C559" i="2"/>
  <c r="E561" i="2"/>
  <c r="D564" i="2"/>
  <c r="E114" i="2"/>
  <c r="C137" i="2"/>
  <c r="C153" i="2"/>
  <c r="E163" i="2"/>
  <c r="D174" i="2"/>
  <c r="C185" i="2"/>
  <c r="E195" i="2"/>
  <c r="D206" i="2"/>
  <c r="C217" i="2"/>
  <c r="F217" i="2" s="1"/>
  <c r="E227" i="2"/>
  <c r="D238" i="2"/>
  <c r="C249" i="2"/>
  <c r="E259" i="2"/>
  <c r="D270" i="2"/>
  <c r="D278" i="2"/>
  <c r="C286" i="2"/>
  <c r="D292" i="2"/>
  <c r="E299" i="2"/>
  <c r="D307" i="2"/>
  <c r="E313" i="2"/>
  <c r="C321" i="2"/>
  <c r="E328" i="2"/>
  <c r="C335" i="2"/>
  <c r="C118" i="2"/>
  <c r="E139" i="2"/>
  <c r="E153" i="2"/>
  <c r="D164" i="2"/>
  <c r="C175" i="2"/>
  <c r="E185" i="2"/>
  <c r="D196" i="2"/>
  <c r="C207" i="2"/>
  <c r="E217" i="2"/>
  <c r="D228" i="2"/>
  <c r="C239" i="2"/>
  <c r="E249" i="2"/>
  <c r="D260" i="2"/>
  <c r="C271" i="2"/>
  <c r="C279" i="2"/>
  <c r="D286" i="2"/>
  <c r="C294" i="2"/>
  <c r="F294" i="2" s="1"/>
  <c r="G294" i="2" s="1"/>
  <c r="D300" i="2"/>
  <c r="E307" i="2"/>
  <c r="D315" i="2"/>
  <c r="E321" i="2"/>
  <c r="C329" i="2"/>
  <c r="E336" i="2"/>
  <c r="C343" i="2"/>
  <c r="D350" i="2"/>
  <c r="C358" i="2"/>
  <c r="D364" i="2"/>
  <c r="E371" i="2"/>
  <c r="D379" i="2"/>
  <c r="C385" i="2"/>
  <c r="D390" i="2"/>
  <c r="E395" i="2"/>
  <c r="C401" i="2"/>
  <c r="F401" i="2" s="1"/>
  <c r="D406" i="2"/>
  <c r="D411" i="2"/>
  <c r="D415" i="2"/>
  <c r="E419" i="2"/>
  <c r="E423" i="2"/>
  <c r="D427" i="2"/>
  <c r="C431" i="2"/>
  <c r="D434" i="2"/>
  <c r="C438" i="2"/>
  <c r="E441" i="2"/>
  <c r="C445" i="2"/>
  <c r="E448" i="2"/>
  <c r="D452" i="2"/>
  <c r="E455" i="2"/>
  <c r="D459" i="2"/>
  <c r="C463" i="2"/>
  <c r="F463" i="2" s="1"/>
  <c r="D466" i="2"/>
  <c r="C470" i="2"/>
  <c r="E473" i="2"/>
  <c r="C477" i="2"/>
  <c r="E480" i="2"/>
  <c r="D484" i="2"/>
  <c r="E487" i="2"/>
  <c r="D491" i="2"/>
  <c r="C495" i="2"/>
  <c r="F495" i="2" s="1"/>
  <c r="G495" i="2" s="1"/>
  <c r="D498" i="2"/>
  <c r="C502" i="2"/>
  <c r="E505" i="2"/>
  <c r="E508" i="2"/>
  <c r="E511" i="2"/>
  <c r="D514" i="2"/>
  <c r="C517" i="2"/>
  <c r="F517" i="2" s="1"/>
  <c r="E519" i="2"/>
  <c r="D522" i="2"/>
  <c r="C525" i="2"/>
  <c r="E527" i="2"/>
  <c r="D530" i="2"/>
  <c r="C533" i="2"/>
  <c r="E535" i="2"/>
  <c r="D538" i="2"/>
  <c r="C541" i="2"/>
  <c r="F541" i="2" s="1"/>
  <c r="G541" i="2" s="1"/>
  <c r="E543" i="2"/>
  <c r="D546" i="2"/>
  <c r="C549" i="2"/>
  <c r="E551" i="2"/>
  <c r="D554" i="2"/>
  <c r="C557" i="2"/>
  <c r="E559" i="2"/>
  <c r="D562" i="2"/>
  <c r="C565" i="2"/>
  <c r="E567" i="2"/>
  <c r="D570" i="2"/>
  <c r="C573" i="2"/>
  <c r="E575" i="2"/>
  <c r="D578" i="2"/>
  <c r="C581" i="2"/>
  <c r="F581" i="2" s="1"/>
  <c r="E583" i="2"/>
  <c r="D586" i="2"/>
  <c r="C589" i="2"/>
  <c r="E591" i="2"/>
  <c r="D594" i="2"/>
  <c r="C597" i="2"/>
  <c r="E599" i="2"/>
  <c r="D198" i="2"/>
  <c r="E280" i="2"/>
  <c r="C337" i="2"/>
  <c r="C366" i="2"/>
  <c r="C391" i="2"/>
  <c r="D410" i="2"/>
  <c r="D422" i="2"/>
  <c r="D431" i="2"/>
  <c r="C441" i="2"/>
  <c r="F441" i="2" s="1"/>
  <c r="G441" i="2" s="1"/>
  <c r="C451" i="2"/>
  <c r="F451" i="2" s="1"/>
  <c r="E459" i="2"/>
  <c r="E469" i="2"/>
  <c r="D479" i="2"/>
  <c r="D488" i="2"/>
  <c r="C498" i="2"/>
  <c r="D507" i="2"/>
  <c r="E514" i="2"/>
  <c r="C522" i="2"/>
  <c r="F522" i="2" s="1"/>
  <c r="D529" i="2"/>
  <c r="C536" i="2"/>
  <c r="D543" i="2"/>
  <c r="E550" i="2"/>
  <c r="D557" i="2"/>
  <c r="E564" i="2"/>
  <c r="C570" i="2"/>
  <c r="F570" i="2" s="1"/>
  <c r="D575" i="2"/>
  <c r="E580" i="2"/>
  <c r="C586" i="2"/>
  <c r="C591" i="2"/>
  <c r="E594" i="2"/>
  <c r="C598" i="2"/>
  <c r="D601" i="2"/>
  <c r="C604" i="2"/>
  <c r="F604" i="2" s="1"/>
  <c r="E606" i="2"/>
  <c r="D609" i="2"/>
  <c r="C612" i="2"/>
  <c r="E614" i="2"/>
  <c r="D617" i="2"/>
  <c r="C620" i="2"/>
  <c r="E622" i="2"/>
  <c r="D625" i="2"/>
  <c r="C628" i="2"/>
  <c r="F628" i="2" s="1"/>
  <c r="E630" i="2"/>
  <c r="D633" i="2"/>
  <c r="C636" i="2"/>
  <c r="E638" i="2"/>
  <c r="D641" i="2"/>
  <c r="C644" i="2"/>
  <c r="E646" i="2"/>
  <c r="D649" i="2"/>
  <c r="C652" i="2"/>
  <c r="E654" i="2"/>
  <c r="D657" i="2"/>
  <c r="C660" i="2"/>
  <c r="E662" i="2"/>
  <c r="D665" i="2"/>
  <c r="C668" i="2"/>
  <c r="F668" i="2" s="1"/>
  <c r="E670" i="2"/>
  <c r="D673" i="2"/>
  <c r="C676" i="2"/>
  <c r="E678" i="2"/>
  <c r="D681" i="2"/>
  <c r="C684" i="2"/>
  <c r="E686" i="2"/>
  <c r="D689" i="2"/>
  <c r="C692" i="2"/>
  <c r="F692" i="2" s="1"/>
  <c r="E694" i="2"/>
  <c r="D697" i="2"/>
  <c r="C700" i="2"/>
  <c r="E702" i="2"/>
  <c r="D705" i="2"/>
  <c r="C708" i="2"/>
  <c r="E710" i="2"/>
  <c r="D713" i="2"/>
  <c r="C716" i="2"/>
  <c r="E718" i="2"/>
  <c r="D721" i="2"/>
  <c r="C724" i="2"/>
  <c r="E726" i="2"/>
  <c r="D729" i="2"/>
  <c r="C732" i="2"/>
  <c r="F732" i="2" s="1"/>
  <c r="E734" i="2"/>
  <c r="D737" i="2"/>
  <c r="C740" i="2"/>
  <c r="E742" i="2"/>
  <c r="D745" i="2"/>
  <c r="C748" i="2"/>
  <c r="E750" i="2"/>
  <c r="D753" i="2"/>
  <c r="C756" i="2"/>
  <c r="F756" i="2" s="1"/>
  <c r="E758" i="2"/>
  <c r="D761" i="2"/>
  <c r="C764" i="2"/>
  <c r="E766" i="2"/>
  <c r="D769" i="2"/>
  <c r="C772" i="2"/>
  <c r="E774" i="2"/>
  <c r="D777" i="2"/>
  <c r="C780" i="2"/>
  <c r="E782" i="2"/>
  <c r="D785" i="2"/>
  <c r="C788" i="2"/>
  <c r="E790" i="2"/>
  <c r="D793" i="2"/>
  <c r="C796" i="2"/>
  <c r="F796" i="2" s="1"/>
  <c r="E798" i="2"/>
  <c r="D801" i="2"/>
  <c r="C804" i="2"/>
  <c r="E806" i="2"/>
  <c r="D809" i="2"/>
  <c r="C812" i="2"/>
  <c r="E814" i="2"/>
  <c r="D817" i="2"/>
  <c r="C820" i="2"/>
  <c r="E822" i="2"/>
  <c r="D825" i="2"/>
  <c r="C828" i="2"/>
  <c r="E830" i="2"/>
  <c r="D833" i="2"/>
  <c r="C836" i="2"/>
  <c r="E838" i="2"/>
  <c r="D841" i="2"/>
  <c r="C844" i="2"/>
  <c r="E846" i="2"/>
  <c r="D849" i="2"/>
  <c r="C852" i="2"/>
  <c r="E854" i="2"/>
  <c r="D857" i="2"/>
  <c r="C860" i="2"/>
  <c r="E862" i="2"/>
  <c r="D865" i="2"/>
  <c r="C868" i="2"/>
  <c r="E870" i="2"/>
  <c r="D873" i="2"/>
  <c r="C876" i="2"/>
  <c r="E878" i="2"/>
  <c r="D881" i="2"/>
  <c r="C884" i="2"/>
  <c r="F884" i="2" s="1"/>
  <c r="E886" i="2"/>
  <c r="D889" i="2"/>
  <c r="C892" i="2"/>
  <c r="E894" i="2"/>
  <c r="D897" i="2"/>
  <c r="C900" i="2"/>
  <c r="E902" i="2"/>
  <c r="D905" i="2"/>
  <c r="C908" i="2"/>
  <c r="E910" i="2"/>
  <c r="C209" i="2"/>
  <c r="C287" i="2"/>
  <c r="D342" i="2"/>
  <c r="D371" i="2"/>
  <c r="D395" i="2"/>
  <c r="E411" i="2"/>
  <c r="D423" i="2"/>
  <c r="C433" i="2"/>
  <c r="C442" i="2"/>
  <c r="E451" i="2"/>
  <c r="E461" i="2"/>
  <c r="D470" i="2"/>
  <c r="D480" i="2"/>
  <c r="C490" i="2"/>
  <c r="C499" i="2"/>
  <c r="D508" i="2"/>
  <c r="C516" i="2"/>
  <c r="E522" i="2"/>
  <c r="C530" i="2"/>
  <c r="D537" i="2"/>
  <c r="C544" i="2"/>
  <c r="D551" i="2"/>
  <c r="E558" i="2"/>
  <c r="D565" i="2"/>
  <c r="E570" i="2"/>
  <c r="C576" i="2"/>
  <c r="D581" i="2"/>
  <c r="E586" i="2"/>
  <c r="D591" i="2"/>
  <c r="C595" i="2"/>
  <c r="F595" i="2" s="1"/>
  <c r="G595" i="2" s="1"/>
  <c r="E598" i="2"/>
  <c r="E601" i="2"/>
  <c r="D604" i="2"/>
  <c r="C607" i="2"/>
  <c r="E609" i="2"/>
  <c r="D612" i="2"/>
  <c r="C615" i="2"/>
  <c r="E617" i="2"/>
  <c r="D620" i="2"/>
  <c r="C623" i="2"/>
  <c r="E625" i="2"/>
  <c r="D628" i="2"/>
  <c r="C631" i="2"/>
  <c r="E633" i="2"/>
  <c r="D636" i="2"/>
  <c r="C639" i="2"/>
  <c r="F639" i="2" s="1"/>
  <c r="E641" i="2"/>
  <c r="D644" i="2"/>
  <c r="C647" i="2"/>
  <c r="E649" i="2"/>
  <c r="D652" i="2"/>
  <c r="C655" i="2"/>
  <c r="E657" i="2"/>
  <c r="D660" i="2"/>
  <c r="C663" i="2"/>
  <c r="E665" i="2"/>
  <c r="D668" i="2"/>
  <c r="C671" i="2"/>
  <c r="E673" i="2"/>
  <c r="D676" i="2"/>
  <c r="C679" i="2"/>
  <c r="F679" i="2" s="1"/>
  <c r="E681" i="2"/>
  <c r="D684" i="2"/>
  <c r="C687" i="2"/>
  <c r="E689" i="2"/>
  <c r="D692" i="2"/>
  <c r="C695" i="2"/>
  <c r="E697" i="2"/>
  <c r="D700" i="2"/>
  <c r="C703" i="2"/>
  <c r="F703" i="2" s="1"/>
  <c r="E705" i="2"/>
  <c r="D708" i="2"/>
  <c r="C711" i="2"/>
  <c r="E713" i="2"/>
  <c r="D716" i="2"/>
  <c r="C719" i="2"/>
  <c r="E721" i="2"/>
  <c r="D724" i="2"/>
  <c r="C727" i="2"/>
  <c r="E729" i="2"/>
  <c r="D732" i="2"/>
  <c r="C735" i="2"/>
  <c r="E737" i="2"/>
  <c r="D740" i="2"/>
  <c r="C743" i="2"/>
  <c r="F743" i="2" s="1"/>
  <c r="E745" i="2"/>
  <c r="D748" i="2"/>
  <c r="C751" i="2"/>
  <c r="E753" i="2"/>
  <c r="D756" i="2"/>
  <c r="C759" i="2"/>
  <c r="E761" i="2"/>
  <c r="D764" i="2"/>
  <c r="C767" i="2"/>
  <c r="F767" i="2" s="1"/>
  <c r="E769" i="2"/>
  <c r="D772" i="2"/>
  <c r="C775" i="2"/>
  <c r="E777" i="2"/>
  <c r="D780" i="2"/>
  <c r="C783" i="2"/>
  <c r="E785" i="2"/>
  <c r="D788" i="2"/>
  <c r="C791" i="2"/>
  <c r="E793" i="2"/>
  <c r="D796" i="2"/>
  <c r="C799" i="2"/>
  <c r="E801" i="2"/>
  <c r="D804" i="2"/>
  <c r="C807" i="2"/>
  <c r="E809" i="2"/>
  <c r="D812" i="2"/>
  <c r="C815" i="2"/>
  <c r="E817" i="2"/>
  <c r="D820" i="2"/>
  <c r="C823" i="2"/>
  <c r="E825" i="2"/>
  <c r="D828" i="2"/>
  <c r="C831" i="2"/>
  <c r="F831" i="2" s="1"/>
  <c r="E833" i="2"/>
  <c r="D836" i="2"/>
  <c r="C839" i="2"/>
  <c r="E841" i="2"/>
  <c r="D844" i="2"/>
  <c r="C847" i="2"/>
  <c r="E849" i="2"/>
  <c r="D852" i="2"/>
  <c r="C855" i="2"/>
  <c r="E857" i="2"/>
  <c r="D860" i="2"/>
  <c r="C863" i="2"/>
  <c r="E865" i="2"/>
  <c r="D868" i="2"/>
  <c r="C871" i="2"/>
  <c r="F871" i="2" s="1"/>
  <c r="E873" i="2"/>
  <c r="D876" i="2"/>
  <c r="C879" i="2"/>
  <c r="E881" i="2"/>
  <c r="D884" i="2"/>
  <c r="C887" i="2"/>
  <c r="E889" i="2"/>
  <c r="D892" i="2"/>
  <c r="C121" i="2"/>
  <c r="F121" i="2" s="1"/>
  <c r="G121" i="2" s="1"/>
  <c r="E219" i="2"/>
  <c r="D294" i="2"/>
  <c r="E344" i="2"/>
  <c r="D372" i="2"/>
  <c r="D396" i="2"/>
  <c r="C414" i="2"/>
  <c r="D424" i="2"/>
  <c r="C434" i="2"/>
  <c r="F434" i="2" s="1"/>
  <c r="G434" i="2" s="1"/>
  <c r="E443" i="2"/>
  <c r="E452" i="2"/>
  <c r="D462" i="2"/>
  <c r="D472" i="2"/>
  <c r="C481" i="2"/>
  <c r="C491" i="2"/>
  <c r="E500" i="2"/>
  <c r="C509" i="2"/>
  <c r="F509" i="2" s="1"/>
  <c r="G509" i="2" s="1"/>
  <c r="E516" i="2"/>
  <c r="C524" i="2"/>
  <c r="E530" i="2"/>
  <c r="C538" i="2"/>
  <c r="D545" i="2"/>
  <c r="C552" i="2"/>
  <c r="D559" i="2"/>
  <c r="E566" i="2"/>
  <c r="C572" i="2"/>
  <c r="D577" i="2"/>
  <c r="E582" i="2"/>
  <c r="C588" i="2"/>
  <c r="C592" i="2"/>
  <c r="D595" i="2"/>
  <c r="C599" i="2"/>
  <c r="F599" i="2" s="1"/>
  <c r="G599" i="2" s="1"/>
  <c r="C602" i="2"/>
  <c r="F602" i="2" s="1"/>
  <c r="E604" i="2"/>
  <c r="D607" i="2"/>
  <c r="C610" i="2"/>
  <c r="E612" i="2"/>
  <c r="D615" i="2"/>
  <c r="C618" i="2"/>
  <c r="E620" i="2"/>
  <c r="D623" i="2"/>
  <c r="C626" i="2"/>
  <c r="E628" i="2"/>
  <c r="D631" i="2"/>
  <c r="C634" i="2"/>
  <c r="E636" i="2"/>
  <c r="D639" i="2"/>
  <c r="C642" i="2"/>
  <c r="F642" i="2" s="1"/>
  <c r="E644" i="2"/>
  <c r="D647" i="2"/>
  <c r="C650" i="2"/>
  <c r="E652" i="2"/>
  <c r="D655" i="2"/>
  <c r="C658" i="2"/>
  <c r="E660" i="2"/>
  <c r="D663" i="2"/>
  <c r="C666" i="2"/>
  <c r="F666" i="2" s="1"/>
  <c r="E668" i="2"/>
  <c r="D671" i="2"/>
  <c r="C674" i="2"/>
  <c r="E676" i="2"/>
  <c r="D679" i="2"/>
  <c r="C682" i="2"/>
  <c r="E684" i="2"/>
  <c r="D687" i="2"/>
  <c r="C690" i="2"/>
  <c r="E692" i="2"/>
  <c r="D695" i="2"/>
  <c r="C698" i="2"/>
  <c r="E700" i="2"/>
  <c r="D703" i="2"/>
  <c r="C706" i="2"/>
  <c r="E708" i="2"/>
  <c r="D711" i="2"/>
  <c r="C714" i="2"/>
  <c r="E716" i="2"/>
  <c r="D719" i="2"/>
  <c r="C722" i="2"/>
  <c r="E724" i="2"/>
  <c r="D727" i="2"/>
  <c r="C730" i="2"/>
  <c r="F730" i="2" s="1"/>
  <c r="E732" i="2"/>
  <c r="D735" i="2"/>
  <c r="C738" i="2"/>
  <c r="E740" i="2"/>
  <c r="D743" i="2"/>
  <c r="C746" i="2"/>
  <c r="E748" i="2"/>
  <c r="D751" i="2"/>
  <c r="C754" i="2"/>
  <c r="E756" i="2"/>
  <c r="D759" i="2"/>
  <c r="C762" i="2"/>
  <c r="E764" i="2"/>
  <c r="D767" i="2"/>
  <c r="C770" i="2"/>
  <c r="E772" i="2"/>
  <c r="D775" i="2"/>
  <c r="C778" i="2"/>
  <c r="E780" i="2"/>
  <c r="D783" i="2"/>
  <c r="C786" i="2"/>
  <c r="E788" i="2"/>
  <c r="D791" i="2"/>
  <c r="C794" i="2"/>
  <c r="F794" i="2" s="1"/>
  <c r="E796" i="2"/>
  <c r="D799" i="2"/>
  <c r="C802" i="2"/>
  <c r="E804" i="2"/>
  <c r="D807" i="2"/>
  <c r="C810" i="2"/>
  <c r="E812" i="2"/>
  <c r="D815" i="2"/>
  <c r="C818" i="2"/>
  <c r="E820" i="2"/>
  <c r="D823" i="2"/>
  <c r="C826" i="2"/>
  <c r="E828" i="2"/>
  <c r="D831" i="2"/>
  <c r="C834" i="2"/>
  <c r="E836" i="2"/>
  <c r="D839" i="2"/>
  <c r="C842" i="2"/>
  <c r="E844" i="2"/>
  <c r="D847" i="2"/>
  <c r="C850" i="2"/>
  <c r="E852" i="2"/>
  <c r="D855" i="2"/>
  <c r="C858" i="2"/>
  <c r="F858" i="2" s="1"/>
  <c r="E860" i="2"/>
  <c r="D863" i="2"/>
  <c r="C866" i="2"/>
  <c r="E868" i="2"/>
  <c r="D871" i="2"/>
  <c r="C874" i="2"/>
  <c r="E876" i="2"/>
  <c r="D879" i="2"/>
  <c r="C882" i="2"/>
  <c r="E884" i="2"/>
  <c r="D887" i="2"/>
  <c r="C890" i="2"/>
  <c r="E892" i="2"/>
  <c r="D895" i="2"/>
  <c r="C898" i="2"/>
  <c r="F898" i="2" s="1"/>
  <c r="E900" i="2"/>
  <c r="D903" i="2"/>
  <c r="C906" i="2"/>
  <c r="E908" i="2"/>
  <c r="D911" i="2"/>
  <c r="C914" i="2"/>
  <c r="E916" i="2"/>
  <c r="D919" i="2"/>
  <c r="C922" i="2"/>
  <c r="F922" i="2" s="1"/>
  <c r="E924" i="2"/>
  <c r="D927" i="2"/>
  <c r="C930" i="2"/>
  <c r="E932" i="2"/>
  <c r="D935" i="2"/>
  <c r="C938" i="2"/>
  <c r="E940" i="2"/>
  <c r="D943" i="2"/>
  <c r="C946" i="2"/>
  <c r="E948" i="2"/>
  <c r="D951" i="2"/>
  <c r="C954" i="2"/>
  <c r="E956" i="2"/>
  <c r="D959" i="2"/>
  <c r="C962" i="2"/>
  <c r="E964" i="2"/>
  <c r="D967" i="2"/>
  <c r="D142" i="2"/>
  <c r="D230" i="2"/>
  <c r="C302" i="2"/>
  <c r="C350" i="2"/>
  <c r="E377" i="2"/>
  <c r="E400" i="2"/>
  <c r="C415" i="2"/>
  <c r="F415" i="2" s="1"/>
  <c r="C426" i="2"/>
  <c r="C435" i="2"/>
  <c r="E444" i="2"/>
  <c r="D454" i="2"/>
  <c r="D463" i="2"/>
  <c r="C473" i="2"/>
  <c r="C483" i="2"/>
  <c r="E491" i="2"/>
  <c r="E501" i="2"/>
  <c r="D510" i="2"/>
  <c r="D517" i="2"/>
  <c r="E524" i="2"/>
  <c r="C532" i="2"/>
  <c r="E538" i="2"/>
  <c r="C546" i="2"/>
  <c r="D553" i="2"/>
  <c r="C560" i="2"/>
  <c r="C567" i="2"/>
  <c r="D572" i="2"/>
  <c r="E577" i="2"/>
  <c r="C583" i="2"/>
  <c r="D588" i="2"/>
  <c r="D592" i="2"/>
  <c r="C596" i="2"/>
  <c r="F596" i="2" s="1"/>
  <c r="D599" i="2"/>
  <c r="D602" i="2"/>
  <c r="C605" i="2"/>
  <c r="E607" i="2"/>
  <c r="D610" i="2"/>
  <c r="C613" i="2"/>
  <c r="E615" i="2"/>
  <c r="D618" i="2"/>
  <c r="C621" i="2"/>
  <c r="E623" i="2"/>
  <c r="D626" i="2"/>
  <c r="C629" i="2"/>
  <c r="E631" i="2"/>
  <c r="D634" i="2"/>
  <c r="C637" i="2"/>
  <c r="E639" i="2"/>
  <c r="D642" i="2"/>
  <c r="C645" i="2"/>
  <c r="E647" i="2"/>
  <c r="D650" i="2"/>
  <c r="C653" i="2"/>
  <c r="E655" i="2"/>
  <c r="D658" i="2"/>
  <c r="C661" i="2"/>
  <c r="F661" i="2" s="1"/>
  <c r="E663" i="2"/>
  <c r="D666" i="2"/>
  <c r="C669" i="2"/>
  <c r="E671" i="2"/>
  <c r="D674" i="2"/>
  <c r="C677" i="2"/>
  <c r="E679" i="2"/>
  <c r="D682" i="2"/>
  <c r="C685" i="2"/>
  <c r="E687" i="2"/>
  <c r="D690" i="2"/>
  <c r="C693" i="2"/>
  <c r="E695" i="2"/>
  <c r="D698" i="2"/>
  <c r="C701" i="2"/>
  <c r="F701" i="2" s="1"/>
  <c r="E703" i="2"/>
  <c r="D706" i="2"/>
  <c r="C709" i="2"/>
  <c r="E711" i="2"/>
  <c r="D714" i="2"/>
  <c r="C717" i="2"/>
  <c r="E719" i="2"/>
  <c r="D722" i="2"/>
  <c r="C725" i="2"/>
  <c r="F725" i="2" s="1"/>
  <c r="E727" i="2"/>
  <c r="D730" i="2"/>
  <c r="C733" i="2"/>
  <c r="E735" i="2"/>
  <c r="D738" i="2"/>
  <c r="C741" i="2"/>
  <c r="E743" i="2"/>
  <c r="D746" i="2"/>
  <c r="C749" i="2"/>
  <c r="E751" i="2"/>
  <c r="D754" i="2"/>
  <c r="C757" i="2"/>
  <c r="E759" i="2"/>
  <c r="D762" i="2"/>
  <c r="C765" i="2"/>
  <c r="F765" i="2" s="1"/>
  <c r="E767" i="2"/>
  <c r="D770" i="2"/>
  <c r="C773" i="2"/>
  <c r="E775" i="2"/>
  <c r="D778" i="2"/>
  <c r="C781" i="2"/>
  <c r="E783" i="2"/>
  <c r="D786" i="2"/>
  <c r="C789" i="2"/>
  <c r="E791" i="2"/>
  <c r="D794" i="2"/>
  <c r="C797" i="2"/>
  <c r="E799" i="2"/>
  <c r="D802" i="2"/>
  <c r="C805" i="2"/>
  <c r="E807" i="2"/>
  <c r="D810" i="2"/>
  <c r="C813" i="2"/>
  <c r="E815" i="2"/>
  <c r="D818" i="2"/>
  <c r="C821" i="2"/>
  <c r="E823" i="2"/>
  <c r="D826" i="2"/>
  <c r="C829" i="2"/>
  <c r="E831" i="2"/>
  <c r="D834" i="2"/>
  <c r="C837" i="2"/>
  <c r="E839" i="2"/>
  <c r="D842" i="2"/>
  <c r="C845" i="2"/>
  <c r="E847" i="2"/>
  <c r="D850" i="2"/>
  <c r="C853" i="2"/>
  <c r="E855" i="2"/>
  <c r="D858" i="2"/>
  <c r="C861" i="2"/>
  <c r="E863" i="2"/>
  <c r="D866" i="2"/>
  <c r="C869" i="2"/>
  <c r="E871" i="2"/>
  <c r="D874" i="2"/>
  <c r="C877" i="2"/>
  <c r="E879" i="2"/>
  <c r="D882" i="2"/>
  <c r="C885" i="2"/>
  <c r="E887" i="2"/>
  <c r="D890" i="2"/>
  <c r="C893" i="2"/>
  <c r="F893" i="2" s="1"/>
  <c r="E895" i="2"/>
  <c r="D898" i="2"/>
  <c r="C901" i="2"/>
  <c r="E903" i="2"/>
  <c r="D906" i="2"/>
  <c r="C909" i="2"/>
  <c r="E911" i="2"/>
  <c r="D914" i="2"/>
  <c r="C917" i="2"/>
  <c r="E919" i="2"/>
  <c r="D922" i="2"/>
  <c r="C925" i="2"/>
  <c r="E927" i="2"/>
  <c r="D930" i="2"/>
  <c r="C933" i="2"/>
  <c r="E935" i="2"/>
  <c r="D938" i="2"/>
  <c r="C941" i="2"/>
  <c r="E943" i="2"/>
  <c r="D946" i="2"/>
  <c r="C949" i="2"/>
  <c r="E951" i="2"/>
  <c r="D954" i="2"/>
  <c r="C957" i="2"/>
  <c r="F957" i="2" s="1"/>
  <c r="E155" i="2"/>
  <c r="C241" i="2"/>
  <c r="D308" i="2"/>
  <c r="C351" i="2"/>
  <c r="E379" i="2"/>
  <c r="E401" i="2"/>
  <c r="E415" i="2"/>
  <c r="C427" i="2"/>
  <c r="F427" i="2" s="1"/>
  <c r="E436" i="2"/>
  <c r="E445" i="2"/>
  <c r="D455" i="2"/>
  <c r="C465" i="2"/>
  <c r="C474" i="2"/>
  <c r="E483" i="2"/>
  <c r="E493" i="2"/>
  <c r="D502" i="2"/>
  <c r="D511" i="2"/>
  <c r="E518" i="2"/>
  <c r="D525" i="2"/>
  <c r="E532" i="2"/>
  <c r="C540" i="2"/>
  <c r="E546" i="2"/>
  <c r="C554" i="2"/>
  <c r="D561" i="2"/>
  <c r="D567" i="2"/>
  <c r="E572" i="2"/>
  <c r="C578" i="2"/>
  <c r="D583" i="2"/>
  <c r="E588" i="2"/>
  <c r="E592" i="2"/>
  <c r="D596" i="2"/>
  <c r="C600" i="2"/>
  <c r="F600" i="2" s="1"/>
  <c r="E602" i="2"/>
  <c r="D605" i="2"/>
  <c r="C608" i="2"/>
  <c r="E610" i="2"/>
  <c r="D613" i="2"/>
  <c r="C616" i="2"/>
  <c r="E618" i="2"/>
  <c r="D621" i="2"/>
  <c r="C624" i="2"/>
  <c r="F624" i="2" s="1"/>
  <c r="E626" i="2"/>
  <c r="D629" i="2"/>
  <c r="C632" i="2"/>
  <c r="E634" i="2"/>
  <c r="D637" i="2"/>
  <c r="C640" i="2"/>
  <c r="E642" i="2"/>
  <c r="D645" i="2"/>
  <c r="C648" i="2"/>
  <c r="E650" i="2"/>
  <c r="D653" i="2"/>
  <c r="C656" i="2"/>
  <c r="E658" i="2"/>
  <c r="D661" i="2"/>
  <c r="C664" i="2"/>
  <c r="F664" i="2" s="1"/>
  <c r="E666" i="2"/>
  <c r="D669" i="2"/>
  <c r="C672" i="2"/>
  <c r="E674" i="2"/>
  <c r="D677" i="2"/>
  <c r="C680" i="2"/>
  <c r="E682" i="2"/>
  <c r="D685" i="2"/>
  <c r="C688" i="2"/>
  <c r="F688" i="2" s="1"/>
  <c r="E690" i="2"/>
  <c r="D693" i="2"/>
  <c r="C696" i="2"/>
  <c r="E698" i="2"/>
  <c r="D701" i="2"/>
  <c r="C704" i="2"/>
  <c r="E706" i="2"/>
  <c r="D709" i="2"/>
  <c r="C712" i="2"/>
  <c r="E714" i="2"/>
  <c r="D717" i="2"/>
  <c r="C720" i="2"/>
  <c r="E722" i="2"/>
  <c r="D725" i="2"/>
  <c r="C728" i="2"/>
  <c r="F728" i="2" s="1"/>
  <c r="E730" i="2"/>
  <c r="D733" i="2"/>
  <c r="C736" i="2"/>
  <c r="E738" i="2"/>
  <c r="D741" i="2"/>
  <c r="C744" i="2"/>
  <c r="E746" i="2"/>
  <c r="D749" i="2"/>
  <c r="C752" i="2"/>
  <c r="F752" i="2" s="1"/>
  <c r="E754" i="2"/>
  <c r="D757" i="2"/>
  <c r="C760" i="2"/>
  <c r="E762" i="2"/>
  <c r="D765" i="2"/>
  <c r="C768" i="2"/>
  <c r="E770" i="2"/>
  <c r="D773" i="2"/>
  <c r="C776" i="2"/>
  <c r="E778" i="2"/>
  <c r="D781" i="2"/>
  <c r="C784" i="2"/>
  <c r="E786" i="2"/>
  <c r="D789" i="2"/>
  <c r="C792" i="2"/>
  <c r="E794" i="2"/>
  <c r="D797" i="2"/>
  <c r="C800" i="2"/>
  <c r="E802" i="2"/>
  <c r="D805" i="2"/>
  <c r="C808" i="2"/>
  <c r="E810" i="2"/>
  <c r="D813" i="2"/>
  <c r="C816" i="2"/>
  <c r="F816" i="2" s="1"/>
  <c r="E818" i="2"/>
  <c r="D821" i="2"/>
  <c r="C824" i="2"/>
  <c r="E826" i="2"/>
  <c r="D829" i="2"/>
  <c r="C832" i="2"/>
  <c r="E834" i="2"/>
  <c r="D837" i="2"/>
  <c r="C840" i="2"/>
  <c r="E842" i="2"/>
  <c r="D166" i="2"/>
  <c r="E251" i="2"/>
  <c r="E315" i="2"/>
  <c r="D356" i="2"/>
  <c r="E384" i="2"/>
  <c r="C406" i="2"/>
  <c r="F406" i="2" s="1"/>
  <c r="G406" i="2" s="1"/>
  <c r="C418" i="2"/>
  <c r="E427" i="2"/>
  <c r="E437" i="2"/>
  <c r="D447" i="2"/>
  <c r="D456" i="2"/>
  <c r="C466" i="2"/>
  <c r="E475" i="2"/>
  <c r="E484" i="2"/>
  <c r="D494" i="2"/>
  <c r="D504" i="2"/>
  <c r="C512" i="2"/>
  <c r="D519" i="2"/>
  <c r="E526" i="2"/>
  <c r="D533" i="2"/>
  <c r="E540" i="2"/>
  <c r="C548" i="2"/>
  <c r="F548" i="2" s="1"/>
  <c r="E554" i="2"/>
  <c r="C562" i="2"/>
  <c r="F562" i="2" s="1"/>
  <c r="G562" i="2" s="1"/>
  <c r="C568" i="2"/>
  <c r="D573" i="2"/>
  <c r="E578" i="2"/>
  <c r="C584" i="2"/>
  <c r="D589" i="2"/>
  <c r="D593" i="2"/>
  <c r="E596" i="2"/>
  <c r="D600" i="2"/>
  <c r="C603" i="2"/>
  <c r="E605" i="2"/>
  <c r="D608" i="2"/>
  <c r="C611" i="2"/>
  <c r="E613" i="2"/>
  <c r="D616" i="2"/>
  <c r="C619" i="2"/>
  <c r="E621" i="2"/>
  <c r="D624" i="2"/>
  <c r="C627" i="2"/>
  <c r="E629" i="2"/>
  <c r="D632" i="2"/>
  <c r="C635" i="2"/>
  <c r="F635" i="2" s="1"/>
  <c r="E637" i="2"/>
  <c r="D640" i="2"/>
  <c r="C643" i="2"/>
  <c r="F643" i="2" s="1"/>
  <c r="E645" i="2"/>
  <c r="D648" i="2"/>
  <c r="C651" i="2"/>
  <c r="E653" i="2"/>
  <c r="D656" i="2"/>
  <c r="C659" i="2"/>
  <c r="F659" i="2" s="1"/>
  <c r="E661" i="2"/>
  <c r="D664" i="2"/>
  <c r="C667" i="2"/>
  <c r="E669" i="2"/>
  <c r="D672" i="2"/>
  <c r="C675" i="2"/>
  <c r="E677" i="2"/>
  <c r="D680" i="2"/>
  <c r="C683" i="2"/>
  <c r="E685" i="2"/>
  <c r="D688" i="2"/>
  <c r="C691" i="2"/>
  <c r="E693" i="2"/>
  <c r="D696" i="2"/>
  <c r="C699" i="2"/>
  <c r="E701" i="2"/>
  <c r="D704" i="2"/>
  <c r="C707" i="2"/>
  <c r="F707" i="2" s="1"/>
  <c r="E709" i="2"/>
  <c r="D712" i="2"/>
  <c r="C715" i="2"/>
  <c r="E717" i="2"/>
  <c r="D720" i="2"/>
  <c r="C723" i="2"/>
  <c r="F723" i="2" s="1"/>
  <c r="E725" i="2"/>
  <c r="D728" i="2"/>
  <c r="C731" i="2"/>
  <c r="E733" i="2"/>
  <c r="D736" i="2"/>
  <c r="C739" i="2"/>
  <c r="E741" i="2"/>
  <c r="D744" i="2"/>
  <c r="C747" i="2"/>
  <c r="E749" i="2"/>
  <c r="D752" i="2"/>
  <c r="C755" i="2"/>
  <c r="E757" i="2"/>
  <c r="D760" i="2"/>
  <c r="C763" i="2"/>
  <c r="F763" i="2" s="1"/>
  <c r="E765" i="2"/>
  <c r="D768" i="2"/>
  <c r="C771" i="2"/>
  <c r="F771" i="2" s="1"/>
  <c r="G771" i="2" s="1"/>
  <c r="E773" i="2"/>
  <c r="D776" i="2"/>
  <c r="C779" i="2"/>
  <c r="F779" i="2" s="1"/>
  <c r="E781" i="2"/>
  <c r="D784" i="2"/>
  <c r="C787" i="2"/>
  <c r="F787" i="2" s="1"/>
  <c r="E789" i="2"/>
  <c r="D792" i="2"/>
  <c r="C795" i="2"/>
  <c r="E797" i="2"/>
  <c r="D800" i="2"/>
  <c r="C803" i="2"/>
  <c r="E805" i="2"/>
  <c r="D808" i="2"/>
  <c r="C811" i="2"/>
  <c r="E813" i="2"/>
  <c r="D816" i="2"/>
  <c r="C819" i="2"/>
  <c r="E821" i="2"/>
  <c r="D824" i="2"/>
  <c r="C827" i="2"/>
  <c r="F827" i="2" s="1"/>
  <c r="E829" i="2"/>
  <c r="D832" i="2"/>
  <c r="C835" i="2"/>
  <c r="E837" i="2"/>
  <c r="D840" i="2"/>
  <c r="C843" i="2"/>
  <c r="F843" i="2" s="1"/>
  <c r="E845" i="2"/>
  <c r="D848" i="2"/>
  <c r="C851" i="2"/>
  <c r="F851" i="2" s="1"/>
  <c r="E853" i="2"/>
  <c r="C177" i="2"/>
  <c r="D262" i="2"/>
  <c r="D323" i="2"/>
  <c r="D358" i="2"/>
  <c r="E385" i="2"/>
  <c r="C407" i="2"/>
  <c r="F407" i="2" s="1"/>
  <c r="D419" i="2"/>
  <c r="E429" i="2"/>
  <c r="D438" i="2"/>
  <c r="D448" i="2"/>
  <c r="C458" i="2"/>
  <c r="C467" i="2"/>
  <c r="F467" i="2" s="1"/>
  <c r="G467" i="2" s="1"/>
  <c r="E476" i="2"/>
  <c r="D486" i="2"/>
  <c r="D495" i="2"/>
  <c r="C505" i="2"/>
  <c r="D513" i="2"/>
  <c r="C520" i="2"/>
  <c r="D527" i="2"/>
  <c r="E534" i="2"/>
  <c r="D541" i="2"/>
  <c r="E548" i="2"/>
  <c r="C556" i="2"/>
  <c r="F556" i="2" s="1"/>
  <c r="E562" i="2"/>
  <c r="D569" i="2"/>
  <c r="E574" i="2"/>
  <c r="C580" i="2"/>
  <c r="D585" i="2"/>
  <c r="C590" i="2"/>
  <c r="E593" i="2"/>
  <c r="D597" i="2"/>
  <c r="E600" i="2"/>
  <c r="D603" i="2"/>
  <c r="C606" i="2"/>
  <c r="E608" i="2"/>
  <c r="D611" i="2"/>
  <c r="C614" i="2"/>
  <c r="E616" i="2"/>
  <c r="D619" i="2"/>
  <c r="C622" i="2"/>
  <c r="E624" i="2"/>
  <c r="D627" i="2"/>
  <c r="C630" i="2"/>
  <c r="E632" i="2"/>
  <c r="D635" i="2"/>
  <c r="C638" i="2"/>
  <c r="F638" i="2" s="1"/>
  <c r="G638" i="2" s="1"/>
  <c r="E640" i="2"/>
  <c r="D643" i="2"/>
  <c r="C646" i="2"/>
  <c r="E648" i="2"/>
  <c r="D651" i="2"/>
  <c r="C654" i="2"/>
  <c r="F654" i="2" s="1"/>
  <c r="G654" i="2" s="1"/>
  <c r="E656" i="2"/>
  <c r="D659" i="2"/>
  <c r="C662" i="2"/>
  <c r="E664" i="2"/>
  <c r="D667" i="2"/>
  <c r="C670" i="2"/>
  <c r="E672" i="2"/>
  <c r="D675" i="2"/>
  <c r="C678" i="2"/>
  <c r="E680" i="2"/>
  <c r="D683" i="2"/>
  <c r="C686" i="2"/>
  <c r="E688" i="2"/>
  <c r="D691" i="2"/>
  <c r="C694" i="2"/>
  <c r="E696" i="2"/>
  <c r="D699" i="2"/>
  <c r="C702" i="2"/>
  <c r="F702" i="2" s="1"/>
  <c r="G702" i="2" s="1"/>
  <c r="E704" i="2"/>
  <c r="D707" i="2"/>
  <c r="C710" i="2"/>
  <c r="F710" i="2" s="1"/>
  <c r="E712" i="2"/>
  <c r="D715" i="2"/>
  <c r="C718" i="2"/>
  <c r="F718" i="2" s="1"/>
  <c r="G718" i="2" s="1"/>
  <c r="E720" i="2"/>
  <c r="D723" i="2"/>
  <c r="C726" i="2"/>
  <c r="E728" i="2"/>
  <c r="D731" i="2"/>
  <c r="C734" i="2"/>
  <c r="E736" i="2"/>
  <c r="D739" i="2"/>
  <c r="C742" i="2"/>
  <c r="E744" i="2"/>
  <c r="D747" i="2"/>
  <c r="C750" i="2"/>
  <c r="E752" i="2"/>
  <c r="D755" i="2"/>
  <c r="C758" i="2"/>
  <c r="E760" i="2"/>
  <c r="D763" i="2"/>
  <c r="C766" i="2"/>
  <c r="E768" i="2"/>
  <c r="D771" i="2"/>
  <c r="C774" i="2"/>
  <c r="F774" i="2" s="1"/>
  <c r="E776" i="2"/>
  <c r="D779" i="2"/>
  <c r="C782" i="2"/>
  <c r="E784" i="2"/>
  <c r="D787" i="2"/>
  <c r="C790" i="2"/>
  <c r="F790" i="2" s="1"/>
  <c r="G790" i="2" s="1"/>
  <c r="E792" i="2"/>
  <c r="D795" i="2"/>
  <c r="C798" i="2"/>
  <c r="E800" i="2"/>
  <c r="E187" i="2"/>
  <c r="D440" i="2"/>
  <c r="C514" i="2"/>
  <c r="E569" i="2"/>
  <c r="E603" i="2"/>
  <c r="C625" i="2"/>
  <c r="D646" i="2"/>
  <c r="E667" i="2"/>
  <c r="C689" i="2"/>
  <c r="F689" i="2" s="1"/>
  <c r="G689" i="2" s="1"/>
  <c r="D710" i="2"/>
  <c r="E731" i="2"/>
  <c r="C753" i="2"/>
  <c r="F753" i="2" s="1"/>
  <c r="G753" i="2" s="1"/>
  <c r="D774" i="2"/>
  <c r="E795" i="2"/>
  <c r="C809" i="2"/>
  <c r="E819" i="2"/>
  <c r="D830" i="2"/>
  <c r="C841" i="2"/>
  <c r="C849" i="2"/>
  <c r="F849" i="2" s="1"/>
  <c r="G849" i="2" s="1"/>
  <c r="D856" i="2"/>
  <c r="E861" i="2"/>
  <c r="C867" i="2"/>
  <c r="F867" i="2" s="1"/>
  <c r="D872" i="2"/>
  <c r="E877" i="2"/>
  <c r="C883" i="2"/>
  <c r="F883" i="2" s="1"/>
  <c r="D888" i="2"/>
  <c r="E893" i="2"/>
  <c r="E897" i="2"/>
  <c r="C902" i="2"/>
  <c r="E906" i="2"/>
  <c r="D910" i="2"/>
  <c r="E914" i="2"/>
  <c r="C918" i="2"/>
  <c r="F918" i="2" s="1"/>
  <c r="D921" i="2"/>
  <c r="D925" i="2"/>
  <c r="E928" i="2"/>
  <c r="C932" i="2"/>
  <c r="C936" i="2"/>
  <c r="D939" i="2"/>
  <c r="E942" i="2"/>
  <c r="E946" i="2"/>
  <c r="C950" i="2"/>
  <c r="D953" i="2"/>
  <c r="D957" i="2"/>
  <c r="D960" i="2"/>
  <c r="D963" i="2"/>
  <c r="D966" i="2"/>
  <c r="D969" i="2"/>
  <c r="C972" i="2"/>
  <c r="F972" i="2" s="1"/>
  <c r="E974" i="2"/>
  <c r="D977" i="2"/>
  <c r="C980" i="2"/>
  <c r="F980" i="2" s="1"/>
  <c r="E982" i="2"/>
  <c r="D985" i="2"/>
  <c r="C988" i="2"/>
  <c r="E990" i="2"/>
  <c r="D993" i="2"/>
  <c r="C996" i="2"/>
  <c r="E998" i="2"/>
  <c r="D1001" i="2"/>
  <c r="C1004" i="2"/>
  <c r="E1006" i="2"/>
  <c r="D1009" i="2"/>
  <c r="C1012" i="2"/>
  <c r="E1014" i="2"/>
  <c r="D1017" i="2"/>
  <c r="C1020" i="2"/>
  <c r="E1022" i="2"/>
  <c r="D1025" i="2"/>
  <c r="C1028" i="2"/>
  <c r="E1030" i="2"/>
  <c r="D1033" i="2"/>
  <c r="C1036" i="2"/>
  <c r="E1038" i="2"/>
  <c r="D1041" i="2"/>
  <c r="C1044" i="2"/>
  <c r="E1046" i="2"/>
  <c r="D1049" i="2"/>
  <c r="C1052" i="2"/>
  <c r="E1054" i="2"/>
  <c r="D1057" i="2"/>
  <c r="C1060" i="2"/>
  <c r="E1062" i="2"/>
  <c r="D1065" i="2"/>
  <c r="C1068" i="2"/>
  <c r="E1070" i="2"/>
  <c r="D1073" i="2"/>
  <c r="C1076" i="2"/>
  <c r="E1078" i="2"/>
  <c r="D1081" i="2"/>
  <c r="C1084" i="2"/>
  <c r="F1084" i="2" s="1"/>
  <c r="E1086" i="2"/>
  <c r="D1089" i="2"/>
  <c r="C1092" i="2"/>
  <c r="E1094" i="2"/>
  <c r="D1097" i="2"/>
  <c r="C1100" i="2"/>
  <c r="E1102" i="2"/>
  <c r="D1105" i="2"/>
  <c r="C1108" i="2"/>
  <c r="F1108" i="2" s="1"/>
  <c r="E1110" i="2"/>
  <c r="D1113" i="2"/>
  <c r="C1116" i="2"/>
  <c r="E1118" i="2"/>
  <c r="D1121" i="2"/>
  <c r="C1124" i="2"/>
  <c r="E1126" i="2"/>
  <c r="D1129" i="2"/>
  <c r="C1132" i="2"/>
  <c r="E1134" i="2"/>
  <c r="D1137" i="2"/>
  <c r="C1140" i="2"/>
  <c r="E1142" i="2"/>
  <c r="D1145" i="2"/>
  <c r="C1148" i="2"/>
  <c r="F1148" i="2" s="1"/>
  <c r="E1150" i="2"/>
  <c r="D1153" i="2"/>
  <c r="C1156" i="2"/>
  <c r="E1158" i="2"/>
  <c r="D1161" i="2"/>
  <c r="C1164" i="2"/>
  <c r="F1164" i="2" s="1"/>
  <c r="E1166" i="2"/>
  <c r="D1169" i="2"/>
  <c r="C1172" i="2"/>
  <c r="F1172" i="2" s="1"/>
  <c r="E1174" i="2"/>
  <c r="D1177" i="2"/>
  <c r="C1180" i="2"/>
  <c r="E1182" i="2"/>
  <c r="D1185" i="2"/>
  <c r="C1188" i="2"/>
  <c r="E1190" i="2"/>
  <c r="D1193" i="2"/>
  <c r="C1196" i="2"/>
  <c r="E1198" i="2"/>
  <c r="D1201" i="2"/>
  <c r="C1204" i="2"/>
  <c r="E1206" i="2"/>
  <c r="D1209" i="2"/>
  <c r="C1212" i="2"/>
  <c r="F1212" i="2" s="1"/>
  <c r="E1214" i="2"/>
  <c r="D1217" i="2"/>
  <c r="C1220" i="2"/>
  <c r="E1222" i="2"/>
  <c r="D1225" i="2"/>
  <c r="C1228" i="2"/>
  <c r="E1230" i="2"/>
  <c r="D1233" i="2"/>
  <c r="C1236" i="2"/>
  <c r="F1236" i="2" s="1"/>
  <c r="E1238" i="2"/>
  <c r="D1241" i="2"/>
  <c r="C1244" i="2"/>
  <c r="E1246" i="2"/>
  <c r="D1249" i="2"/>
  <c r="C1252" i="2"/>
  <c r="E1254" i="2"/>
  <c r="D1257" i="2"/>
  <c r="C1260" i="2"/>
  <c r="E1262" i="2"/>
  <c r="D1265" i="2"/>
  <c r="C1268" i="2"/>
  <c r="E1270" i="2"/>
  <c r="D1273" i="2"/>
  <c r="C1276" i="2"/>
  <c r="E1278" i="2"/>
  <c r="D1281" i="2"/>
  <c r="C1284" i="2"/>
  <c r="F1284" i="2" s="1"/>
  <c r="G1284" i="2" s="1"/>
  <c r="E1286" i="2"/>
  <c r="D1289" i="2"/>
  <c r="C1292" i="2"/>
  <c r="F1292" i="2" s="1"/>
  <c r="C273" i="2"/>
  <c r="C449" i="2"/>
  <c r="D521" i="2"/>
  <c r="C575" i="2"/>
  <c r="D606" i="2"/>
  <c r="E627" i="2"/>
  <c r="C649" i="2"/>
  <c r="D670" i="2"/>
  <c r="E691" i="2"/>
  <c r="C713" i="2"/>
  <c r="F713" i="2" s="1"/>
  <c r="G713" i="2" s="1"/>
  <c r="D734" i="2"/>
  <c r="E755" i="2"/>
  <c r="C777" i="2"/>
  <c r="F777" i="2" s="1"/>
  <c r="G777" i="2" s="1"/>
  <c r="D798" i="2"/>
  <c r="D811" i="2"/>
  <c r="C822" i="2"/>
  <c r="F822" i="2" s="1"/>
  <c r="G822" i="2" s="1"/>
  <c r="E832" i="2"/>
  <c r="D843" i="2"/>
  <c r="E850" i="2"/>
  <c r="E856" i="2"/>
  <c r="C862" i="2"/>
  <c r="D867" i="2"/>
  <c r="E872" i="2"/>
  <c r="C878" i="2"/>
  <c r="D883" i="2"/>
  <c r="E888" i="2"/>
  <c r="C894" i="2"/>
  <c r="F894" i="2" s="1"/>
  <c r="G894" i="2" s="1"/>
  <c r="E898" i="2"/>
  <c r="D902" i="2"/>
  <c r="C907" i="2"/>
  <c r="C911" i="2"/>
  <c r="C915" i="2"/>
  <c r="D918" i="2"/>
  <c r="E921" i="2"/>
  <c r="E925" i="2"/>
  <c r="C929" i="2"/>
  <c r="D932" i="2"/>
  <c r="D936" i="2"/>
  <c r="E939" i="2"/>
  <c r="C943" i="2"/>
  <c r="F943" i="2" s="1"/>
  <c r="G943" i="2" s="1"/>
  <c r="C947" i="2"/>
  <c r="D950" i="2"/>
  <c r="E953" i="2"/>
  <c r="E957" i="2"/>
  <c r="E960" i="2"/>
  <c r="E963" i="2"/>
  <c r="E966" i="2"/>
  <c r="E969" i="2"/>
  <c r="D972" i="2"/>
  <c r="C975" i="2"/>
  <c r="F975" i="2" s="1"/>
  <c r="E977" i="2"/>
  <c r="D980" i="2"/>
  <c r="C983" i="2"/>
  <c r="F983" i="2" s="1"/>
  <c r="G983" i="2" s="1"/>
  <c r="E985" i="2"/>
  <c r="D988" i="2"/>
  <c r="C991" i="2"/>
  <c r="F991" i="2" s="1"/>
  <c r="E993" i="2"/>
  <c r="D996" i="2"/>
  <c r="C999" i="2"/>
  <c r="F999" i="2" s="1"/>
  <c r="E1001" i="2"/>
  <c r="D1004" i="2"/>
  <c r="C1007" i="2"/>
  <c r="E1009" i="2"/>
  <c r="D1012" i="2"/>
  <c r="C1015" i="2"/>
  <c r="E1017" i="2"/>
  <c r="D1020" i="2"/>
  <c r="C1023" i="2"/>
  <c r="E1025" i="2"/>
  <c r="D1028" i="2"/>
  <c r="C1031" i="2"/>
  <c r="E1033" i="2"/>
  <c r="D1036" i="2"/>
  <c r="C1039" i="2"/>
  <c r="E1041" i="2"/>
  <c r="D1044" i="2"/>
  <c r="C1047" i="2"/>
  <c r="E1049" i="2"/>
  <c r="D1052" i="2"/>
  <c r="C1055" i="2"/>
  <c r="F1055" i="2" s="1"/>
  <c r="E1057" i="2"/>
  <c r="D1060" i="2"/>
  <c r="C1063" i="2"/>
  <c r="F1063" i="2" s="1"/>
  <c r="E1065" i="2"/>
  <c r="D1068" i="2"/>
  <c r="C1071" i="2"/>
  <c r="E1073" i="2"/>
  <c r="D1076" i="2"/>
  <c r="C1079" i="2"/>
  <c r="E1081" i="2"/>
  <c r="D1084" i="2"/>
  <c r="C1087" i="2"/>
  <c r="E1089" i="2"/>
  <c r="D1092" i="2"/>
  <c r="C1095" i="2"/>
  <c r="E1097" i="2"/>
  <c r="D1100" i="2"/>
  <c r="C1103" i="2"/>
  <c r="F1103" i="2" s="1"/>
  <c r="E1105" i="2"/>
  <c r="D1108" i="2"/>
  <c r="C1111" i="2"/>
  <c r="F1111" i="2" s="1"/>
  <c r="G1111" i="2" s="1"/>
  <c r="E1113" i="2"/>
  <c r="D1116" i="2"/>
  <c r="C1119" i="2"/>
  <c r="F1119" i="2" s="1"/>
  <c r="E1121" i="2"/>
  <c r="D1124" i="2"/>
  <c r="C1127" i="2"/>
  <c r="F1127" i="2" s="1"/>
  <c r="E1129" i="2"/>
  <c r="D1132" i="2"/>
  <c r="C1135" i="2"/>
  <c r="E1137" i="2"/>
  <c r="D1140" i="2"/>
  <c r="C1143" i="2"/>
  <c r="E1145" i="2"/>
  <c r="D1148" i="2"/>
  <c r="C1151" i="2"/>
  <c r="E1153" i="2"/>
  <c r="D1156" i="2"/>
  <c r="C1159" i="2"/>
  <c r="E1161" i="2"/>
  <c r="D1164" i="2"/>
  <c r="C1167" i="2"/>
  <c r="E1169" i="2"/>
  <c r="D1172" i="2"/>
  <c r="C1175" i="2"/>
  <c r="F1175" i="2" s="1"/>
  <c r="E1177" i="2"/>
  <c r="D1180" i="2"/>
  <c r="C1183" i="2"/>
  <c r="E1185" i="2"/>
  <c r="D1188" i="2"/>
  <c r="C1191" i="2"/>
  <c r="F1191" i="2" s="1"/>
  <c r="E1193" i="2"/>
  <c r="D1196" i="2"/>
  <c r="C1199" i="2"/>
  <c r="E1201" i="2"/>
  <c r="D1204" i="2"/>
  <c r="C1207" i="2"/>
  <c r="E1209" i="2"/>
  <c r="D1212" i="2"/>
  <c r="C1215" i="2"/>
  <c r="E1217" i="2"/>
  <c r="D1220" i="2"/>
  <c r="C1223" i="2"/>
  <c r="E1225" i="2"/>
  <c r="D1228" i="2"/>
  <c r="C1231" i="2"/>
  <c r="F1231" i="2" s="1"/>
  <c r="E1233" i="2"/>
  <c r="D1236" i="2"/>
  <c r="C1239" i="2"/>
  <c r="F1239" i="2" s="1"/>
  <c r="G1239" i="2" s="1"/>
  <c r="E1241" i="2"/>
  <c r="D1244" i="2"/>
  <c r="C1247" i="2"/>
  <c r="E1249" i="2"/>
  <c r="D1252" i="2"/>
  <c r="C1255" i="2"/>
  <c r="F1255" i="2" s="1"/>
  <c r="E1257" i="2"/>
  <c r="D1260" i="2"/>
  <c r="C1263" i="2"/>
  <c r="E1265" i="2"/>
  <c r="D1268" i="2"/>
  <c r="C1271" i="2"/>
  <c r="E1273" i="2"/>
  <c r="D1276" i="2"/>
  <c r="C1279" i="2"/>
  <c r="E1281" i="2"/>
  <c r="D1284" i="2"/>
  <c r="C1287" i="2"/>
  <c r="E1289" i="2"/>
  <c r="D1292" i="2"/>
  <c r="C1295" i="2"/>
  <c r="F1295" i="2" s="1"/>
  <c r="E329" i="2"/>
  <c r="C459" i="2"/>
  <c r="C528" i="2"/>
  <c r="F528" i="2" s="1"/>
  <c r="G528" i="2" s="1"/>
  <c r="D580" i="2"/>
  <c r="C609" i="2"/>
  <c r="D630" i="2"/>
  <c r="E651" i="2"/>
  <c r="C673" i="2"/>
  <c r="F673" i="2" s="1"/>
  <c r="G673" i="2" s="1"/>
  <c r="D694" i="2"/>
  <c r="E715" i="2"/>
  <c r="C737" i="2"/>
  <c r="F737" i="2" s="1"/>
  <c r="G737" i="2" s="1"/>
  <c r="D758" i="2"/>
  <c r="E779" i="2"/>
  <c r="C801" i="2"/>
  <c r="E811" i="2"/>
  <c r="D822" i="2"/>
  <c r="C833" i="2"/>
  <c r="F833" i="2" s="1"/>
  <c r="G833" i="2" s="1"/>
  <c r="E843" i="2"/>
  <c r="D851" i="2"/>
  <c r="C857" i="2"/>
  <c r="D862" i="2"/>
  <c r="E867" i="2"/>
  <c r="C873" i="2"/>
  <c r="D878" i="2"/>
  <c r="E883" i="2"/>
  <c r="C889" i="2"/>
  <c r="D894" i="2"/>
  <c r="C899" i="2"/>
  <c r="C903" i="2"/>
  <c r="D907" i="2"/>
  <c r="C912" i="2"/>
  <c r="D915" i="2"/>
  <c r="E918" i="2"/>
  <c r="E922" i="2"/>
  <c r="C926" i="2"/>
  <c r="F926" i="2" s="1"/>
  <c r="G926" i="2" s="1"/>
  <c r="D929" i="2"/>
  <c r="D933" i="2"/>
  <c r="E936" i="2"/>
  <c r="C940" i="2"/>
  <c r="C944" i="2"/>
  <c r="F944" i="2" s="1"/>
  <c r="D947" i="2"/>
  <c r="E950" i="2"/>
  <c r="E954" i="2"/>
  <c r="C958" i="2"/>
  <c r="C961" i="2"/>
  <c r="C964" i="2"/>
  <c r="C967" i="2"/>
  <c r="C970" i="2"/>
  <c r="F970" i="2" s="1"/>
  <c r="E972" i="2"/>
  <c r="D975" i="2"/>
  <c r="C978" i="2"/>
  <c r="F978" i="2" s="1"/>
  <c r="G978" i="2" s="1"/>
  <c r="E980" i="2"/>
  <c r="D983" i="2"/>
  <c r="C986" i="2"/>
  <c r="E988" i="2"/>
  <c r="D991" i="2"/>
  <c r="C994" i="2"/>
  <c r="F994" i="2" s="1"/>
  <c r="E996" i="2"/>
  <c r="D999" i="2"/>
  <c r="C1002" i="2"/>
  <c r="E1004" i="2"/>
  <c r="D1007" i="2"/>
  <c r="C1010" i="2"/>
  <c r="E1012" i="2"/>
  <c r="D1015" i="2"/>
  <c r="C1018" i="2"/>
  <c r="E1020" i="2"/>
  <c r="D1023" i="2"/>
  <c r="C1026" i="2"/>
  <c r="E1028" i="2"/>
  <c r="D1031" i="2"/>
  <c r="C1034" i="2"/>
  <c r="F1034" i="2" s="1"/>
  <c r="E1036" i="2"/>
  <c r="D1039" i="2"/>
  <c r="C1042" i="2"/>
  <c r="E1044" i="2"/>
  <c r="D1047" i="2"/>
  <c r="C1050" i="2"/>
  <c r="E1052" i="2"/>
  <c r="D1055" i="2"/>
  <c r="C1058" i="2"/>
  <c r="F1058" i="2" s="1"/>
  <c r="E1060" i="2"/>
  <c r="D1063" i="2"/>
  <c r="C1066" i="2"/>
  <c r="E1068" i="2"/>
  <c r="D1071" i="2"/>
  <c r="C1074" i="2"/>
  <c r="E1076" i="2"/>
  <c r="D1079" i="2"/>
  <c r="C1082" i="2"/>
  <c r="E1084" i="2"/>
  <c r="D1087" i="2"/>
  <c r="C1090" i="2"/>
  <c r="E1092" i="2"/>
  <c r="D1095" i="2"/>
  <c r="C1098" i="2"/>
  <c r="F1098" i="2" s="1"/>
  <c r="E1100" i="2"/>
  <c r="D1103" i="2"/>
  <c r="C1106" i="2"/>
  <c r="E1108" i="2"/>
  <c r="D1111" i="2"/>
  <c r="C1114" i="2"/>
  <c r="F1114" i="2" s="1"/>
  <c r="E1116" i="2"/>
  <c r="D1119" i="2"/>
  <c r="C1122" i="2"/>
  <c r="F1122" i="2" s="1"/>
  <c r="E1124" i="2"/>
  <c r="D1127" i="2"/>
  <c r="C1130" i="2"/>
  <c r="E1132" i="2"/>
  <c r="D1135" i="2"/>
  <c r="C1138" i="2"/>
  <c r="E1140" i="2"/>
  <c r="D1143" i="2"/>
  <c r="C1146" i="2"/>
  <c r="E1148" i="2"/>
  <c r="D1151" i="2"/>
  <c r="C1154" i="2"/>
  <c r="E1156" i="2"/>
  <c r="D1159" i="2"/>
  <c r="C1162" i="2"/>
  <c r="F1162" i="2" s="1"/>
  <c r="E1164" i="2"/>
  <c r="D1167" i="2"/>
  <c r="C1170" i="2"/>
  <c r="E1172" i="2"/>
  <c r="D1175" i="2"/>
  <c r="C1178" i="2"/>
  <c r="E1180" i="2"/>
  <c r="D1183" i="2"/>
  <c r="C1186" i="2"/>
  <c r="F1186" i="2" s="1"/>
  <c r="E1188" i="2"/>
  <c r="D1191" i="2"/>
  <c r="C1194" i="2"/>
  <c r="E1196" i="2"/>
  <c r="D1199" i="2"/>
  <c r="C1202" i="2"/>
  <c r="E1204" i="2"/>
  <c r="D1207" i="2"/>
  <c r="C1210" i="2"/>
  <c r="E1212" i="2"/>
  <c r="D1215" i="2"/>
  <c r="C1218" i="2"/>
  <c r="E1220" i="2"/>
  <c r="D1223" i="2"/>
  <c r="C1226" i="2"/>
  <c r="E1228" i="2"/>
  <c r="D1231" i="2"/>
  <c r="C1234" i="2"/>
  <c r="F1234" i="2" s="1"/>
  <c r="G1234" i="2" s="1"/>
  <c r="E1236" i="2"/>
  <c r="D1239" i="2"/>
  <c r="C1242" i="2"/>
  <c r="E1244" i="2"/>
  <c r="D1247" i="2"/>
  <c r="C1250" i="2"/>
  <c r="F1250" i="2" s="1"/>
  <c r="E1252" i="2"/>
  <c r="D1255" i="2"/>
  <c r="C1258" i="2"/>
  <c r="E1260" i="2"/>
  <c r="D1263" i="2"/>
  <c r="C1266" i="2"/>
  <c r="E1268" i="2"/>
  <c r="D1271" i="2"/>
  <c r="E363" i="2"/>
  <c r="E468" i="2"/>
  <c r="D535" i="2"/>
  <c r="E585" i="2"/>
  <c r="E611" i="2"/>
  <c r="C633" i="2"/>
  <c r="D654" i="2"/>
  <c r="E675" i="2"/>
  <c r="C697" i="2"/>
  <c r="D718" i="2"/>
  <c r="E739" i="2"/>
  <c r="C761" i="2"/>
  <c r="D782" i="2"/>
  <c r="D803" i="2"/>
  <c r="C814" i="2"/>
  <c r="F814" i="2" s="1"/>
  <c r="G814" i="2" s="1"/>
  <c r="E824" i="2"/>
  <c r="D835" i="2"/>
  <c r="D845" i="2"/>
  <c r="E851" i="2"/>
  <c r="E858" i="2"/>
  <c r="C864" i="2"/>
  <c r="F864" i="2" s="1"/>
  <c r="D869" i="2"/>
  <c r="E874" i="2"/>
  <c r="C880" i="2"/>
  <c r="F880" i="2" s="1"/>
  <c r="D885" i="2"/>
  <c r="E890" i="2"/>
  <c r="C895" i="2"/>
  <c r="D899" i="2"/>
  <c r="C904" i="2"/>
  <c r="F904" i="2" s="1"/>
  <c r="E907" i="2"/>
  <c r="D912" i="2"/>
  <c r="E915" i="2"/>
  <c r="C919" i="2"/>
  <c r="C923" i="2"/>
  <c r="F923" i="2" s="1"/>
  <c r="D926" i="2"/>
  <c r="E929" i="2"/>
  <c r="E933" i="2"/>
  <c r="C937" i="2"/>
  <c r="D940" i="2"/>
  <c r="D944" i="2"/>
  <c r="E947" i="2"/>
  <c r="C951" i="2"/>
  <c r="F951" i="2" s="1"/>
  <c r="G951" i="2" s="1"/>
  <c r="C955" i="2"/>
  <c r="D958" i="2"/>
  <c r="D961" i="2"/>
  <c r="D964" i="2"/>
  <c r="E967" i="2"/>
  <c r="D970" i="2"/>
  <c r="C973" i="2"/>
  <c r="E975" i="2"/>
  <c r="D978" i="2"/>
  <c r="C981" i="2"/>
  <c r="E983" i="2"/>
  <c r="D986" i="2"/>
  <c r="C989" i="2"/>
  <c r="F989" i="2" s="1"/>
  <c r="E991" i="2"/>
  <c r="D994" i="2"/>
  <c r="C997" i="2"/>
  <c r="F997" i="2" s="1"/>
  <c r="E999" i="2"/>
  <c r="D1002" i="2"/>
  <c r="C1005" i="2"/>
  <c r="F1005" i="2" s="1"/>
  <c r="E1007" i="2"/>
  <c r="D1010" i="2"/>
  <c r="C1013" i="2"/>
  <c r="F1013" i="2" s="1"/>
  <c r="E1015" i="2"/>
  <c r="D1018" i="2"/>
  <c r="C1021" i="2"/>
  <c r="E1023" i="2"/>
  <c r="D1026" i="2"/>
  <c r="C1029" i="2"/>
  <c r="E1031" i="2"/>
  <c r="D1034" i="2"/>
  <c r="C1037" i="2"/>
  <c r="E1039" i="2"/>
  <c r="D1042" i="2"/>
  <c r="C1045" i="2"/>
  <c r="E1047" i="2"/>
  <c r="D1050" i="2"/>
  <c r="C1053" i="2"/>
  <c r="F1053" i="2" s="1"/>
  <c r="E1055" i="2"/>
  <c r="D1058" i="2"/>
  <c r="C1061" i="2"/>
  <c r="E1063" i="2"/>
  <c r="D1066" i="2"/>
  <c r="C1069" i="2"/>
  <c r="F1069" i="2" s="1"/>
  <c r="E1071" i="2"/>
  <c r="D1074" i="2"/>
  <c r="C1077" i="2"/>
  <c r="F1077" i="2" s="1"/>
  <c r="E1079" i="2"/>
  <c r="D1082" i="2"/>
  <c r="C1085" i="2"/>
  <c r="E1087" i="2"/>
  <c r="D1090" i="2"/>
  <c r="C1093" i="2"/>
  <c r="E1095" i="2"/>
  <c r="D1098" i="2"/>
  <c r="C1101" i="2"/>
  <c r="E1103" i="2"/>
  <c r="D1106" i="2"/>
  <c r="C1109" i="2"/>
  <c r="E1111" i="2"/>
  <c r="D1114" i="2"/>
  <c r="C1117" i="2"/>
  <c r="F1117" i="2" s="1"/>
  <c r="E1119" i="2"/>
  <c r="D1122" i="2"/>
  <c r="C1125" i="2"/>
  <c r="F1125" i="2" s="1"/>
  <c r="E1127" i="2"/>
  <c r="D1130" i="2"/>
  <c r="C1133" i="2"/>
  <c r="F1133" i="2" s="1"/>
  <c r="E1135" i="2"/>
  <c r="D1138" i="2"/>
  <c r="C1141" i="2"/>
  <c r="F1141" i="2" s="1"/>
  <c r="E1143" i="2"/>
  <c r="D1146" i="2"/>
  <c r="C1149" i="2"/>
  <c r="E1151" i="2"/>
  <c r="D1154" i="2"/>
  <c r="C1157" i="2"/>
  <c r="E1159" i="2"/>
  <c r="D1162" i="2"/>
  <c r="C1165" i="2"/>
  <c r="E1167" i="2"/>
  <c r="D1170" i="2"/>
  <c r="C1173" i="2"/>
  <c r="E1175" i="2"/>
  <c r="D1178" i="2"/>
  <c r="C1181" i="2"/>
  <c r="F1181" i="2" s="1"/>
  <c r="E1183" i="2"/>
  <c r="D1186" i="2"/>
  <c r="C1189" i="2"/>
  <c r="F1189" i="2" s="1"/>
  <c r="E1191" i="2"/>
  <c r="D1194" i="2"/>
  <c r="C1197" i="2"/>
  <c r="F1197" i="2" s="1"/>
  <c r="E1199" i="2"/>
  <c r="D1202" i="2"/>
  <c r="C1205" i="2"/>
  <c r="F1205" i="2" s="1"/>
  <c r="E1207" i="2"/>
  <c r="D1210" i="2"/>
  <c r="C1213" i="2"/>
  <c r="E1215" i="2"/>
  <c r="D1218" i="2"/>
  <c r="C1221" i="2"/>
  <c r="E1223" i="2"/>
  <c r="C390" i="2"/>
  <c r="E477" i="2"/>
  <c r="E542" i="2"/>
  <c r="E590" i="2"/>
  <c r="D614" i="2"/>
  <c r="E635" i="2"/>
  <c r="C657" i="2"/>
  <c r="D678" i="2"/>
  <c r="E699" i="2"/>
  <c r="C721" i="2"/>
  <c r="D742" i="2"/>
  <c r="E763" i="2"/>
  <c r="C785" i="2"/>
  <c r="E803" i="2"/>
  <c r="D814" i="2"/>
  <c r="C825" i="2"/>
  <c r="F825" i="2" s="1"/>
  <c r="G825" i="2" s="1"/>
  <c r="E835" i="2"/>
  <c r="C846" i="2"/>
  <c r="D853" i="2"/>
  <c r="C859" i="2"/>
  <c r="D864" i="2"/>
  <c r="E869" i="2"/>
  <c r="C875" i="2"/>
  <c r="D880" i="2"/>
  <c r="E885" i="2"/>
  <c r="C891" i="2"/>
  <c r="C896" i="2"/>
  <c r="F896" i="2" s="1"/>
  <c r="E899" i="2"/>
  <c r="D904" i="2"/>
  <c r="D908" i="2"/>
  <c r="E912" i="2"/>
  <c r="C916" i="2"/>
  <c r="F916" i="2" s="1"/>
  <c r="G916" i="2" s="1"/>
  <c r="C920" i="2"/>
  <c r="F920" i="2" s="1"/>
  <c r="D923" i="2"/>
  <c r="E926" i="2"/>
  <c r="E930" i="2"/>
  <c r="C934" i="2"/>
  <c r="D937" i="2"/>
  <c r="D941" i="2"/>
  <c r="E944" i="2"/>
  <c r="C948" i="2"/>
  <c r="F948" i="2" s="1"/>
  <c r="G948" i="2" s="1"/>
  <c r="C952" i="2"/>
  <c r="D955" i="2"/>
  <c r="E958" i="2"/>
  <c r="E961" i="2"/>
  <c r="C965" i="2"/>
  <c r="C968" i="2"/>
  <c r="E970" i="2"/>
  <c r="D973" i="2"/>
  <c r="C976" i="2"/>
  <c r="E978" i="2"/>
  <c r="D981" i="2"/>
  <c r="C984" i="2"/>
  <c r="E986" i="2"/>
  <c r="D989" i="2"/>
  <c r="C992" i="2"/>
  <c r="F992" i="2" s="1"/>
  <c r="E994" i="2"/>
  <c r="D997" i="2"/>
  <c r="C1000" i="2"/>
  <c r="F1000" i="2" s="1"/>
  <c r="E1002" i="2"/>
  <c r="D1005" i="2"/>
  <c r="C1008" i="2"/>
  <c r="F1008" i="2" s="1"/>
  <c r="E1010" i="2"/>
  <c r="D1013" i="2"/>
  <c r="C1016" i="2"/>
  <c r="F1016" i="2" s="1"/>
  <c r="E1018" i="2"/>
  <c r="D1021" i="2"/>
  <c r="C1024" i="2"/>
  <c r="E1026" i="2"/>
  <c r="D1029" i="2"/>
  <c r="C1032" i="2"/>
  <c r="E1034" i="2"/>
  <c r="D1037" i="2"/>
  <c r="C1040" i="2"/>
  <c r="E1042" i="2"/>
  <c r="D1045" i="2"/>
  <c r="C1048" i="2"/>
  <c r="E1050" i="2"/>
  <c r="D1053" i="2"/>
  <c r="C1056" i="2"/>
  <c r="F1056" i="2" s="1"/>
  <c r="E1058" i="2"/>
  <c r="D1061" i="2"/>
  <c r="C1064" i="2"/>
  <c r="E1066" i="2"/>
  <c r="D1069" i="2"/>
  <c r="C1072" i="2"/>
  <c r="F1072" i="2" s="1"/>
  <c r="E1074" i="2"/>
  <c r="D1077" i="2"/>
  <c r="C1080" i="2"/>
  <c r="F1080" i="2" s="1"/>
  <c r="E1082" i="2"/>
  <c r="D1085" i="2"/>
  <c r="C1088" i="2"/>
  <c r="E1090" i="2"/>
  <c r="D1093" i="2"/>
  <c r="C1096" i="2"/>
  <c r="E1098" i="2"/>
  <c r="D1101" i="2"/>
  <c r="C1104" i="2"/>
  <c r="E1106" i="2"/>
  <c r="D1109" i="2"/>
  <c r="C1112" i="2"/>
  <c r="E1114" i="2"/>
  <c r="D1117" i="2"/>
  <c r="C1120" i="2"/>
  <c r="F1120" i="2" s="1"/>
  <c r="E1122" i="2"/>
  <c r="D1125" i="2"/>
  <c r="C1128" i="2"/>
  <c r="F1128" i="2" s="1"/>
  <c r="G1128" i="2" s="1"/>
  <c r="E1130" i="2"/>
  <c r="D1133" i="2"/>
  <c r="C1136" i="2"/>
  <c r="F1136" i="2" s="1"/>
  <c r="E1138" i="2"/>
  <c r="D1141" i="2"/>
  <c r="C1144" i="2"/>
  <c r="F1144" i="2" s="1"/>
  <c r="E1146" i="2"/>
  <c r="D1149" i="2"/>
  <c r="C1152" i="2"/>
  <c r="E1154" i="2"/>
  <c r="D1157" i="2"/>
  <c r="C1160" i="2"/>
  <c r="E1162" i="2"/>
  <c r="D1165" i="2"/>
  <c r="C1168" i="2"/>
  <c r="E1170" i="2"/>
  <c r="D1173" i="2"/>
  <c r="C1176" i="2"/>
  <c r="E1178" i="2"/>
  <c r="D1181" i="2"/>
  <c r="C1184" i="2"/>
  <c r="F1184" i="2" s="1"/>
  <c r="E1186" i="2"/>
  <c r="D1189" i="2"/>
  <c r="C1192" i="2"/>
  <c r="F1192" i="2" s="1"/>
  <c r="G1192" i="2" s="1"/>
  <c r="E1194" i="2"/>
  <c r="D1197" i="2"/>
  <c r="C1200" i="2"/>
  <c r="E1202" i="2"/>
  <c r="D1205" i="2"/>
  <c r="C1208" i="2"/>
  <c r="F1208" i="2" s="1"/>
  <c r="E1210" i="2"/>
  <c r="D1213" i="2"/>
  <c r="C1216" i="2"/>
  <c r="E1218" i="2"/>
  <c r="D1221" i="2"/>
  <c r="C1224" i="2"/>
  <c r="E1226" i="2"/>
  <c r="D1229" i="2"/>
  <c r="C1232" i="2"/>
  <c r="E1234" i="2"/>
  <c r="D1237" i="2"/>
  <c r="C1240" i="2"/>
  <c r="E1242" i="2"/>
  <c r="D1245" i="2"/>
  <c r="C1248" i="2"/>
  <c r="F1248" i="2" s="1"/>
  <c r="E1250" i="2"/>
  <c r="D1253" i="2"/>
  <c r="C1256" i="2"/>
  <c r="F1256" i="2" s="1"/>
  <c r="E1258" i="2"/>
  <c r="D1261" i="2"/>
  <c r="C1264" i="2"/>
  <c r="F1264" i="2" s="1"/>
  <c r="E1266" i="2"/>
  <c r="E409" i="2"/>
  <c r="D487" i="2"/>
  <c r="D549" i="2"/>
  <c r="C594" i="2"/>
  <c r="F594" i="2" s="1"/>
  <c r="G594" i="2" s="1"/>
  <c r="C617" i="2"/>
  <c r="D638" i="2"/>
  <c r="E659" i="2"/>
  <c r="C681" i="2"/>
  <c r="D702" i="2"/>
  <c r="E723" i="2"/>
  <c r="C745" i="2"/>
  <c r="D766" i="2"/>
  <c r="E787" i="2"/>
  <c r="C806" i="2"/>
  <c r="E816" i="2"/>
  <c r="D827" i="2"/>
  <c r="C838" i="2"/>
  <c r="F838" i="2" s="1"/>
  <c r="G838" i="2" s="1"/>
  <c r="D846" i="2"/>
  <c r="C854" i="2"/>
  <c r="D859" i="2"/>
  <c r="E864" i="2"/>
  <c r="C870" i="2"/>
  <c r="D875" i="2"/>
  <c r="E880" i="2"/>
  <c r="C886" i="2"/>
  <c r="D891" i="2"/>
  <c r="D896" i="2"/>
  <c r="D900" i="2"/>
  <c r="E904" i="2"/>
  <c r="D909" i="2"/>
  <c r="C913" i="2"/>
  <c r="F913" i="2" s="1"/>
  <c r="D916" i="2"/>
  <c r="D920" i="2"/>
  <c r="E923" i="2"/>
  <c r="C927" i="2"/>
  <c r="C931" i="2"/>
  <c r="F931" i="2" s="1"/>
  <c r="G931" i="2" s="1"/>
  <c r="D934" i="2"/>
  <c r="E937" i="2"/>
  <c r="E941" i="2"/>
  <c r="C945" i="2"/>
  <c r="D948" i="2"/>
  <c r="D952" i="2"/>
  <c r="E955" i="2"/>
  <c r="C959" i="2"/>
  <c r="D962" i="2"/>
  <c r="D965" i="2"/>
  <c r="D968" i="2"/>
  <c r="C971" i="2"/>
  <c r="E973" i="2"/>
  <c r="D976" i="2"/>
  <c r="C979" i="2"/>
  <c r="E981" i="2"/>
  <c r="D984" i="2"/>
  <c r="C987" i="2"/>
  <c r="E989" i="2"/>
  <c r="D992" i="2"/>
  <c r="C995" i="2"/>
  <c r="E997" i="2"/>
  <c r="D1000" i="2"/>
  <c r="C1003" i="2"/>
  <c r="F1003" i="2" s="1"/>
  <c r="G1003" i="2" s="1"/>
  <c r="E1005" i="2"/>
  <c r="D1008" i="2"/>
  <c r="C1011" i="2"/>
  <c r="F1011" i="2" s="1"/>
  <c r="E1013" i="2"/>
  <c r="D1016" i="2"/>
  <c r="C1019" i="2"/>
  <c r="F1019" i="2" s="1"/>
  <c r="E1021" i="2"/>
  <c r="D1024" i="2"/>
  <c r="C1027" i="2"/>
  <c r="E1029" i="2"/>
  <c r="D1032" i="2"/>
  <c r="C1035" i="2"/>
  <c r="E1037" i="2"/>
  <c r="D1040" i="2"/>
  <c r="C1043" i="2"/>
  <c r="E1045" i="2"/>
  <c r="D1048" i="2"/>
  <c r="C1051" i="2"/>
  <c r="E1053" i="2"/>
  <c r="D1056" i="2"/>
  <c r="C1059" i="2"/>
  <c r="F1059" i="2" s="1"/>
  <c r="E1061" i="2"/>
  <c r="D1064" i="2"/>
  <c r="C1067" i="2"/>
  <c r="F1067" i="2" s="1"/>
  <c r="E1069" i="2"/>
  <c r="D1072" i="2"/>
  <c r="C1075" i="2"/>
  <c r="F1075" i="2" s="1"/>
  <c r="E1077" i="2"/>
  <c r="D1080" i="2"/>
  <c r="C1083" i="2"/>
  <c r="F1083" i="2" s="1"/>
  <c r="E1085" i="2"/>
  <c r="D1088" i="2"/>
  <c r="C1091" i="2"/>
  <c r="E1093" i="2"/>
  <c r="D1096" i="2"/>
  <c r="C1099" i="2"/>
  <c r="E1101" i="2"/>
  <c r="D1104" i="2"/>
  <c r="C1107" i="2"/>
  <c r="E1109" i="2"/>
  <c r="D1112" i="2"/>
  <c r="C1115" i="2"/>
  <c r="E1117" i="2"/>
  <c r="D1120" i="2"/>
  <c r="C1123" i="2"/>
  <c r="F1123" i="2" s="1"/>
  <c r="E1125" i="2"/>
  <c r="D1128" i="2"/>
  <c r="C1131" i="2"/>
  <c r="F1131" i="2" s="1"/>
  <c r="E1133" i="2"/>
  <c r="D1136" i="2"/>
  <c r="C1139" i="2"/>
  <c r="F1139" i="2" s="1"/>
  <c r="E1141" i="2"/>
  <c r="D1144" i="2"/>
  <c r="C1147" i="2"/>
  <c r="F1147" i="2" s="1"/>
  <c r="E1149" i="2"/>
  <c r="D1152" i="2"/>
  <c r="C1155" i="2"/>
  <c r="E1157" i="2"/>
  <c r="D1160" i="2"/>
  <c r="C1163" i="2"/>
  <c r="E1165" i="2"/>
  <c r="D1168" i="2"/>
  <c r="C1171" i="2"/>
  <c r="E1173" i="2"/>
  <c r="D1176" i="2"/>
  <c r="C1179" i="2"/>
  <c r="E1181" i="2"/>
  <c r="D1184" i="2"/>
  <c r="C1187" i="2"/>
  <c r="F1187" i="2" s="1"/>
  <c r="E1189" i="2"/>
  <c r="D1192" i="2"/>
  <c r="C1195" i="2"/>
  <c r="F1195" i="2" s="1"/>
  <c r="E1197" i="2"/>
  <c r="D1200" i="2"/>
  <c r="C1203" i="2"/>
  <c r="E1205" i="2"/>
  <c r="D1208" i="2"/>
  <c r="C1211" i="2"/>
  <c r="F1211" i="2" s="1"/>
  <c r="E1213" i="2"/>
  <c r="D1216" i="2"/>
  <c r="C1219" i="2"/>
  <c r="E1221" i="2"/>
  <c r="D1224" i="2"/>
  <c r="C1227" i="2"/>
  <c r="E1229" i="2"/>
  <c r="D1232" i="2"/>
  <c r="C1235" i="2"/>
  <c r="E1237" i="2"/>
  <c r="D420" i="2"/>
  <c r="E619" i="2"/>
  <c r="C705" i="2"/>
  <c r="D790" i="2"/>
  <c r="D838" i="2"/>
  <c r="C865" i="2"/>
  <c r="F865" i="2" s="1"/>
  <c r="G865" i="2" s="1"/>
  <c r="D886" i="2"/>
  <c r="C905" i="2"/>
  <c r="F905" i="2" s="1"/>
  <c r="G905" i="2" s="1"/>
  <c r="E920" i="2"/>
  <c r="E934" i="2"/>
  <c r="D949" i="2"/>
  <c r="E962" i="2"/>
  <c r="C974" i="2"/>
  <c r="E984" i="2"/>
  <c r="D995" i="2"/>
  <c r="C1006" i="2"/>
  <c r="F1006" i="2" s="1"/>
  <c r="G1006" i="2" s="1"/>
  <c r="E1016" i="2"/>
  <c r="D1027" i="2"/>
  <c r="C1038" i="2"/>
  <c r="E1048" i="2"/>
  <c r="D1059" i="2"/>
  <c r="C1070" i="2"/>
  <c r="F1070" i="2" s="1"/>
  <c r="E1080" i="2"/>
  <c r="D1091" i="2"/>
  <c r="C1102" i="2"/>
  <c r="E1112" i="2"/>
  <c r="D1123" i="2"/>
  <c r="C1134" i="2"/>
  <c r="E1144" i="2"/>
  <c r="D1155" i="2"/>
  <c r="C1166" i="2"/>
  <c r="E1176" i="2"/>
  <c r="D1187" i="2"/>
  <c r="C1198" i="2"/>
  <c r="E1208" i="2"/>
  <c r="D1219" i="2"/>
  <c r="E1227" i="2"/>
  <c r="D1235" i="2"/>
  <c r="C1241" i="2"/>
  <c r="D1246" i="2"/>
  <c r="E1251" i="2"/>
  <c r="C1257" i="2"/>
  <c r="D1262" i="2"/>
  <c r="E1267" i="2"/>
  <c r="D1272" i="2"/>
  <c r="E1275" i="2"/>
  <c r="E1279" i="2"/>
  <c r="C1283" i="2"/>
  <c r="F1283" i="2" s="1"/>
  <c r="G1283" i="2" s="1"/>
  <c r="D1286" i="2"/>
  <c r="D1290" i="2"/>
  <c r="E1293" i="2"/>
  <c r="E1296" i="2"/>
  <c r="D1299" i="2"/>
  <c r="C1302" i="2"/>
  <c r="F1302" i="2" s="1"/>
  <c r="E1304" i="2"/>
  <c r="D1307" i="2"/>
  <c r="C1310" i="2"/>
  <c r="E1312" i="2"/>
  <c r="D1315" i="2"/>
  <c r="C1318" i="2"/>
  <c r="E1320" i="2"/>
  <c r="D1323" i="2"/>
  <c r="C1326" i="2"/>
  <c r="E1328" i="2"/>
  <c r="D1331" i="2"/>
  <c r="C1334" i="2"/>
  <c r="E1336" i="2"/>
  <c r="D1339" i="2"/>
  <c r="C1342" i="2"/>
  <c r="F1342" i="2" s="1"/>
  <c r="E1344" i="2"/>
  <c r="D1347" i="2"/>
  <c r="C1350" i="2"/>
  <c r="E1352" i="2"/>
  <c r="D1355" i="2"/>
  <c r="C1358" i="2"/>
  <c r="F1358" i="2" s="1"/>
  <c r="E1360" i="2"/>
  <c r="D1363" i="2"/>
  <c r="C1366" i="2"/>
  <c r="F1366" i="2" s="1"/>
  <c r="E1368" i="2"/>
  <c r="D1371" i="2"/>
  <c r="C1374" i="2"/>
  <c r="E1376" i="2"/>
  <c r="D1379" i="2"/>
  <c r="C1382" i="2"/>
  <c r="E1384" i="2"/>
  <c r="D1387" i="2"/>
  <c r="C1390" i="2"/>
  <c r="E1392" i="2"/>
  <c r="D1395" i="2"/>
  <c r="C1398" i="2"/>
  <c r="E1400" i="2"/>
  <c r="D1403" i="2"/>
  <c r="C1406" i="2"/>
  <c r="F1406" i="2" s="1"/>
  <c r="E1408" i="2"/>
  <c r="D1411" i="2"/>
  <c r="C1414" i="2"/>
  <c r="F1414" i="2" s="1"/>
  <c r="G1414" i="2" s="1"/>
  <c r="E1416" i="2"/>
  <c r="D1419" i="2"/>
  <c r="C1422" i="2"/>
  <c r="F1422" i="2" s="1"/>
  <c r="E1424" i="2"/>
  <c r="D1427" i="2"/>
  <c r="C1430" i="2"/>
  <c r="F1430" i="2" s="1"/>
  <c r="E1432" i="2"/>
  <c r="D1435" i="2"/>
  <c r="C1438" i="2"/>
  <c r="E1440" i="2"/>
  <c r="D1443" i="2"/>
  <c r="C1446" i="2"/>
  <c r="E1448" i="2"/>
  <c r="D1451" i="2"/>
  <c r="C1454" i="2"/>
  <c r="E1456" i="2"/>
  <c r="D1459" i="2"/>
  <c r="C1462" i="2"/>
  <c r="E1464" i="2"/>
  <c r="D1467" i="2"/>
  <c r="C1470" i="2"/>
  <c r="F1470" i="2" s="1"/>
  <c r="E1472" i="2"/>
  <c r="D1475" i="2"/>
  <c r="C1478" i="2"/>
  <c r="F1478" i="2" s="1"/>
  <c r="G1478" i="2" s="1"/>
  <c r="E1480" i="2"/>
  <c r="D1483" i="2"/>
  <c r="C1486" i="2"/>
  <c r="E1488" i="2"/>
  <c r="D1491" i="2"/>
  <c r="C1494" i="2"/>
  <c r="F1494" i="2" s="1"/>
  <c r="G1494" i="2" s="1"/>
  <c r="E1496" i="2"/>
  <c r="D1499" i="2"/>
  <c r="D1478" i="2"/>
  <c r="D1486" i="2"/>
  <c r="E1491" i="2"/>
  <c r="D1494" i="2"/>
  <c r="C1452" i="2"/>
  <c r="F1452" i="2" s="1"/>
  <c r="C1460" i="2"/>
  <c r="F1460" i="2" s="1"/>
  <c r="E1470" i="2"/>
  <c r="E1478" i="2"/>
  <c r="E1486" i="2"/>
  <c r="E1494" i="2"/>
  <c r="C1500" i="2"/>
  <c r="F1500" i="2" s="1"/>
  <c r="D1163" i="2"/>
  <c r="D1226" i="2"/>
  <c r="C1251" i="2"/>
  <c r="F1251" i="2" s="1"/>
  <c r="G1251" i="2" s="1"/>
  <c r="D1278" i="2"/>
  <c r="E1298" i="2"/>
  <c r="E1306" i="2"/>
  <c r="E1330" i="2"/>
  <c r="E1346" i="2"/>
  <c r="C1352" i="2"/>
  <c r="E1370" i="2"/>
  <c r="C1392" i="2"/>
  <c r="F1392" i="2" s="1"/>
  <c r="D1405" i="2"/>
  <c r="D1421" i="2"/>
  <c r="D1445" i="2"/>
  <c r="C1456" i="2"/>
  <c r="E1474" i="2"/>
  <c r="E1482" i="2"/>
  <c r="D1493" i="2"/>
  <c r="D861" i="2"/>
  <c r="D982" i="2"/>
  <c r="C1025" i="2"/>
  <c r="F1025" i="2" s="1"/>
  <c r="G1025" i="2" s="1"/>
  <c r="C1057" i="2"/>
  <c r="C1121" i="2"/>
  <c r="E1163" i="2"/>
  <c r="C1262" i="2"/>
  <c r="D1279" i="2"/>
  <c r="D1293" i="2"/>
  <c r="E1309" i="2"/>
  <c r="C1323" i="2"/>
  <c r="F1323" i="2" s="1"/>
  <c r="G1323" i="2" s="1"/>
  <c r="C1339" i="2"/>
  <c r="C1363" i="2"/>
  <c r="D430" i="2"/>
  <c r="D622" i="2"/>
  <c r="E707" i="2"/>
  <c r="C793" i="2"/>
  <c r="F793" i="2" s="1"/>
  <c r="G793" i="2" s="1"/>
  <c r="E840" i="2"/>
  <c r="E866" i="2"/>
  <c r="C888" i="2"/>
  <c r="E905" i="2"/>
  <c r="C921" i="2"/>
  <c r="F921" i="2" s="1"/>
  <c r="C935" i="2"/>
  <c r="E949" i="2"/>
  <c r="C963" i="2"/>
  <c r="F963" i="2" s="1"/>
  <c r="G963" i="2" s="1"/>
  <c r="D974" i="2"/>
  <c r="C985" i="2"/>
  <c r="E995" i="2"/>
  <c r="D1006" i="2"/>
  <c r="C1017" i="2"/>
  <c r="F1017" i="2" s="1"/>
  <c r="E1027" i="2"/>
  <c r="D1038" i="2"/>
  <c r="C1049" i="2"/>
  <c r="F1049" i="2" s="1"/>
  <c r="G1049" i="2" s="1"/>
  <c r="E1059" i="2"/>
  <c r="D1070" i="2"/>
  <c r="C1081" i="2"/>
  <c r="E1091" i="2"/>
  <c r="D1102" i="2"/>
  <c r="C1113" i="2"/>
  <c r="E1123" i="2"/>
  <c r="D1134" i="2"/>
  <c r="C1145" i="2"/>
  <c r="E1155" i="2"/>
  <c r="D1166" i="2"/>
  <c r="C1177" i="2"/>
  <c r="E1187" i="2"/>
  <c r="D1198" i="2"/>
  <c r="C1209" i="2"/>
  <c r="F1209" i="2" s="1"/>
  <c r="G1209" i="2" s="1"/>
  <c r="E1219" i="2"/>
  <c r="C1229" i="2"/>
  <c r="E1235" i="2"/>
  <c r="D1242" i="2"/>
  <c r="E1247" i="2"/>
  <c r="C1253" i="2"/>
  <c r="F1253" i="2" s="1"/>
  <c r="D1258" i="2"/>
  <c r="E1263" i="2"/>
  <c r="C1269" i="2"/>
  <c r="F1269" i="2" s="1"/>
  <c r="E1272" i="2"/>
  <c r="E1276" i="2"/>
  <c r="C1280" i="2"/>
  <c r="D1283" i="2"/>
  <c r="D1287" i="2"/>
  <c r="E1290" i="2"/>
  <c r="C1294" i="2"/>
  <c r="F1294" i="2" s="1"/>
  <c r="C1297" i="2"/>
  <c r="F1297" i="2" s="1"/>
  <c r="E1299" i="2"/>
  <c r="D1302" i="2"/>
  <c r="C1305" i="2"/>
  <c r="E1307" i="2"/>
  <c r="D1310" i="2"/>
  <c r="C1313" i="2"/>
  <c r="E1315" i="2"/>
  <c r="D1318" i="2"/>
  <c r="C1321" i="2"/>
  <c r="E1323" i="2"/>
  <c r="D1326" i="2"/>
  <c r="C1329" i="2"/>
  <c r="E1331" i="2"/>
  <c r="D1334" i="2"/>
  <c r="C1337" i="2"/>
  <c r="E1339" i="2"/>
  <c r="D1342" i="2"/>
  <c r="C1345" i="2"/>
  <c r="F1345" i="2" s="1"/>
  <c r="G1345" i="2" s="1"/>
  <c r="E1347" i="2"/>
  <c r="D1350" i="2"/>
  <c r="C1353" i="2"/>
  <c r="F1353" i="2" s="1"/>
  <c r="E1355" i="2"/>
  <c r="D1358" i="2"/>
  <c r="C1361" i="2"/>
  <c r="F1361" i="2" s="1"/>
  <c r="E1363" i="2"/>
  <c r="D1366" i="2"/>
  <c r="C1369" i="2"/>
  <c r="E1371" i="2"/>
  <c r="D1374" i="2"/>
  <c r="C1377" i="2"/>
  <c r="E1379" i="2"/>
  <c r="D1382" i="2"/>
  <c r="C1385" i="2"/>
  <c r="E1387" i="2"/>
  <c r="D1390" i="2"/>
  <c r="C1393" i="2"/>
  <c r="E1395" i="2"/>
  <c r="D1398" i="2"/>
  <c r="C1401" i="2"/>
  <c r="F1401" i="2" s="1"/>
  <c r="E1403" i="2"/>
  <c r="D1406" i="2"/>
  <c r="C1409" i="2"/>
  <c r="E1411" i="2"/>
  <c r="D1414" i="2"/>
  <c r="C1417" i="2"/>
  <c r="F1417" i="2" s="1"/>
  <c r="E1419" i="2"/>
  <c r="D1422" i="2"/>
  <c r="C1425" i="2"/>
  <c r="F1425" i="2" s="1"/>
  <c r="E1427" i="2"/>
  <c r="D1430" i="2"/>
  <c r="C1433" i="2"/>
  <c r="E1435" i="2"/>
  <c r="D1438" i="2"/>
  <c r="C1441" i="2"/>
  <c r="E1443" i="2"/>
  <c r="D1446" i="2"/>
  <c r="C1449" i="2"/>
  <c r="E1451" i="2"/>
  <c r="D1454" i="2"/>
  <c r="C1457" i="2"/>
  <c r="E1459" i="2"/>
  <c r="D1462" i="2"/>
  <c r="C1465" i="2"/>
  <c r="E1467" i="2"/>
  <c r="D1470" i="2"/>
  <c r="C1473" i="2"/>
  <c r="E1475" i="2"/>
  <c r="C1481" i="2"/>
  <c r="E1483" i="2"/>
  <c r="C1489" i="2"/>
  <c r="C1497" i="2"/>
  <c r="F1497" i="2" s="1"/>
  <c r="E1499" i="2"/>
  <c r="D1457" i="2"/>
  <c r="D1465" i="2"/>
  <c r="C1468" i="2"/>
  <c r="C1476" i="2"/>
  <c r="C1484" i="2"/>
  <c r="D1489" i="2"/>
  <c r="D1497" i="2"/>
  <c r="C1142" i="2"/>
  <c r="D1195" i="2"/>
  <c r="C1267" i="2"/>
  <c r="D1282" i="2"/>
  <c r="C1296" i="2"/>
  <c r="E1314" i="2"/>
  <c r="E1322" i="2"/>
  <c r="C1344" i="2"/>
  <c r="F1344" i="2" s="1"/>
  <c r="C1360" i="2"/>
  <c r="F1360" i="2" s="1"/>
  <c r="C1376" i="2"/>
  <c r="C1384" i="2"/>
  <c r="F1384" i="2" s="1"/>
  <c r="E1402" i="2"/>
  <c r="D1413" i="2"/>
  <c r="E1426" i="2"/>
  <c r="C1440" i="2"/>
  <c r="E1458" i="2"/>
  <c r="D1469" i="2"/>
  <c r="C1480" i="2"/>
  <c r="E1490" i="2"/>
  <c r="C601" i="2"/>
  <c r="C1290" i="2"/>
  <c r="C1315" i="2"/>
  <c r="F1315" i="2" s="1"/>
  <c r="E1325" i="2"/>
  <c r="D1344" i="2"/>
  <c r="C1355" i="2"/>
  <c r="F1355" i="2" s="1"/>
  <c r="E1365" i="2"/>
  <c r="C497" i="2"/>
  <c r="F497" i="2" s="1"/>
  <c r="C641" i="2"/>
  <c r="D726" i="2"/>
  <c r="D806" i="2"/>
  <c r="C848" i="2"/>
  <c r="D870" i="2"/>
  <c r="E891" i="2"/>
  <c r="E909" i="2"/>
  <c r="C924" i="2"/>
  <c r="F924" i="2" s="1"/>
  <c r="G924" i="2" s="1"/>
  <c r="E938" i="2"/>
  <c r="E952" i="2"/>
  <c r="E965" i="2"/>
  <c r="E976" i="2"/>
  <c r="D987" i="2"/>
  <c r="C998" i="2"/>
  <c r="F998" i="2" s="1"/>
  <c r="E1008" i="2"/>
  <c r="D1019" i="2"/>
  <c r="C1030" i="2"/>
  <c r="E1040" i="2"/>
  <c r="D1051" i="2"/>
  <c r="C1062" i="2"/>
  <c r="E1072" i="2"/>
  <c r="D1083" i="2"/>
  <c r="C1094" i="2"/>
  <c r="E1104" i="2"/>
  <c r="D1115" i="2"/>
  <c r="C1126" i="2"/>
  <c r="E1136" i="2"/>
  <c r="D1147" i="2"/>
  <c r="C1158" i="2"/>
  <c r="F1158" i="2" s="1"/>
  <c r="G1158" i="2" s="1"/>
  <c r="E1168" i="2"/>
  <c r="D1179" i="2"/>
  <c r="C1190" i="2"/>
  <c r="F1190" i="2" s="1"/>
  <c r="E1200" i="2"/>
  <c r="D1211" i="2"/>
  <c r="C1222" i="2"/>
  <c r="F1222" i="2" s="1"/>
  <c r="G1222" i="2" s="1"/>
  <c r="C1230" i="2"/>
  <c r="C1237" i="2"/>
  <c r="F1237" i="2" s="1"/>
  <c r="C1243" i="2"/>
  <c r="F1243" i="2" s="1"/>
  <c r="D1248" i="2"/>
  <c r="E1253" i="2"/>
  <c r="C1259" i="2"/>
  <c r="D1264" i="2"/>
  <c r="D1269" i="2"/>
  <c r="C1273" i="2"/>
  <c r="C1277" i="2"/>
  <c r="F1277" i="2" s="1"/>
  <c r="D1280" i="2"/>
  <c r="E1283" i="2"/>
  <c r="E1287" i="2"/>
  <c r="C1291" i="2"/>
  <c r="D1294" i="2"/>
  <c r="D1297" i="2"/>
  <c r="C1300" i="2"/>
  <c r="E1302" i="2"/>
  <c r="D1305" i="2"/>
  <c r="C1308" i="2"/>
  <c r="E1310" i="2"/>
  <c r="D1313" i="2"/>
  <c r="C1316" i="2"/>
  <c r="E1318" i="2"/>
  <c r="D1321" i="2"/>
  <c r="C1324" i="2"/>
  <c r="F1324" i="2" s="1"/>
  <c r="E1326" i="2"/>
  <c r="D1329" i="2"/>
  <c r="C1332" i="2"/>
  <c r="F1332" i="2" s="1"/>
  <c r="G1332" i="2" s="1"/>
  <c r="E1334" i="2"/>
  <c r="D1337" i="2"/>
  <c r="C1340" i="2"/>
  <c r="F1340" i="2" s="1"/>
  <c r="E1342" i="2"/>
  <c r="D1345" i="2"/>
  <c r="C1348" i="2"/>
  <c r="F1348" i="2" s="1"/>
  <c r="E1350" i="2"/>
  <c r="D1353" i="2"/>
  <c r="C1356" i="2"/>
  <c r="E1358" i="2"/>
  <c r="D1361" i="2"/>
  <c r="C1364" i="2"/>
  <c r="E1366" i="2"/>
  <c r="D1369" i="2"/>
  <c r="C1372" i="2"/>
  <c r="E1374" i="2"/>
  <c r="D1377" i="2"/>
  <c r="C1380" i="2"/>
  <c r="E1382" i="2"/>
  <c r="D1385" i="2"/>
  <c r="C1388" i="2"/>
  <c r="E1390" i="2"/>
  <c r="D1393" i="2"/>
  <c r="C1396" i="2"/>
  <c r="F1396" i="2" s="1"/>
  <c r="G1396" i="2" s="1"/>
  <c r="E1398" i="2"/>
  <c r="D1401" i="2"/>
  <c r="C1404" i="2"/>
  <c r="F1404" i="2" s="1"/>
  <c r="E1406" i="2"/>
  <c r="D1409" i="2"/>
  <c r="C1412" i="2"/>
  <c r="F1412" i="2" s="1"/>
  <c r="E1414" i="2"/>
  <c r="D1417" i="2"/>
  <c r="C1420" i="2"/>
  <c r="E1422" i="2"/>
  <c r="D1425" i="2"/>
  <c r="C1428" i="2"/>
  <c r="E1430" i="2"/>
  <c r="D1433" i="2"/>
  <c r="C1436" i="2"/>
  <c r="E1438" i="2"/>
  <c r="D1441" i="2"/>
  <c r="C1444" i="2"/>
  <c r="E1446" i="2"/>
  <c r="D1449" i="2"/>
  <c r="E1454" i="2"/>
  <c r="E1462" i="2"/>
  <c r="D1473" i="2"/>
  <c r="D1481" i="2"/>
  <c r="C1492" i="2"/>
  <c r="E1120" i="2"/>
  <c r="D1240" i="2"/>
  <c r="E1285" i="2"/>
  <c r="D1301" i="2"/>
  <c r="C1320" i="2"/>
  <c r="F1320" i="2" s="1"/>
  <c r="C1336" i="2"/>
  <c r="D1357" i="2"/>
  <c r="E1378" i="2"/>
  <c r="E1394" i="2"/>
  <c r="C1408" i="2"/>
  <c r="C1424" i="2"/>
  <c r="C1448" i="2"/>
  <c r="F1448" i="2" s="1"/>
  <c r="G1448" i="2" s="1"/>
  <c r="C1472" i="2"/>
  <c r="F1472" i="2" s="1"/>
  <c r="G1472" i="2" s="1"/>
  <c r="C1496" i="2"/>
  <c r="E882" i="2"/>
  <c r="E945" i="2"/>
  <c r="E1003" i="2"/>
  <c r="C1089" i="2"/>
  <c r="D1142" i="2"/>
  <c r="C1185" i="2"/>
  <c r="D1227" i="2"/>
  <c r="E1240" i="2"/>
  <c r="C1272" i="2"/>
  <c r="E1301" i="2"/>
  <c r="E1333" i="2"/>
  <c r="C1347" i="2"/>
  <c r="F1347" i="2" s="1"/>
  <c r="G1347" i="2" s="1"/>
  <c r="D1360" i="2"/>
  <c r="C506" i="2"/>
  <c r="F506" i="2" s="1"/>
  <c r="G506" i="2" s="1"/>
  <c r="E643" i="2"/>
  <c r="C729" i="2"/>
  <c r="E808" i="2"/>
  <c r="E848" i="2"/>
  <c r="C872" i="2"/>
  <c r="D893" i="2"/>
  <c r="C910" i="2"/>
  <c r="D924" i="2"/>
  <c r="C939" i="2"/>
  <c r="F939" i="2" s="1"/>
  <c r="G939" i="2" s="1"/>
  <c r="C953" i="2"/>
  <c r="C966" i="2"/>
  <c r="F966" i="2" s="1"/>
  <c r="G966" i="2" s="1"/>
  <c r="C977" i="2"/>
  <c r="E987" i="2"/>
  <c r="D998" i="2"/>
  <c r="C1009" i="2"/>
  <c r="E1019" i="2"/>
  <c r="D1030" i="2"/>
  <c r="C1041" i="2"/>
  <c r="E1051" i="2"/>
  <c r="D1062" i="2"/>
  <c r="C1073" i="2"/>
  <c r="E1083" i="2"/>
  <c r="D1094" i="2"/>
  <c r="C1105" i="2"/>
  <c r="E1115" i="2"/>
  <c r="D1126" i="2"/>
  <c r="C1137" i="2"/>
  <c r="F1137" i="2" s="1"/>
  <c r="G1137" i="2" s="1"/>
  <c r="E1147" i="2"/>
  <c r="D1158" i="2"/>
  <c r="C1169" i="2"/>
  <c r="E1179" i="2"/>
  <c r="D1190" i="2"/>
  <c r="C1201" i="2"/>
  <c r="F1201" i="2" s="1"/>
  <c r="G1201" i="2" s="1"/>
  <c r="E1211" i="2"/>
  <c r="D1222" i="2"/>
  <c r="D1230" i="2"/>
  <c r="C1238" i="2"/>
  <c r="D1243" i="2"/>
  <c r="E1248" i="2"/>
  <c r="C1254" i="2"/>
  <c r="F1254" i="2" s="1"/>
  <c r="G1254" i="2" s="1"/>
  <c r="D1259" i="2"/>
  <c r="E1264" i="2"/>
  <c r="E1269" i="2"/>
  <c r="C1274" i="2"/>
  <c r="D1277" i="2"/>
  <c r="E1280" i="2"/>
  <c r="E1284" i="2"/>
  <c r="C1288" i="2"/>
  <c r="F1288" i="2" s="1"/>
  <c r="D1291" i="2"/>
  <c r="E1294" i="2"/>
  <c r="E1297" i="2"/>
  <c r="D1300" i="2"/>
  <c r="C1303" i="2"/>
  <c r="E1305" i="2"/>
  <c r="D1308" i="2"/>
  <c r="C1311" i="2"/>
  <c r="F1311" i="2" s="1"/>
  <c r="E1313" i="2"/>
  <c r="D1316" i="2"/>
  <c r="C1319" i="2"/>
  <c r="F1319" i="2" s="1"/>
  <c r="G1319" i="2" s="1"/>
  <c r="E1321" i="2"/>
  <c r="D1324" i="2"/>
  <c r="C1327" i="2"/>
  <c r="E1329" i="2"/>
  <c r="D1332" i="2"/>
  <c r="C1335" i="2"/>
  <c r="F1335" i="2" s="1"/>
  <c r="E1337" i="2"/>
  <c r="D1340" i="2"/>
  <c r="C1343" i="2"/>
  <c r="E1345" i="2"/>
  <c r="D1348" i="2"/>
  <c r="C1351" i="2"/>
  <c r="E1353" i="2"/>
  <c r="D1356" i="2"/>
  <c r="C1359" i="2"/>
  <c r="E1361" i="2"/>
  <c r="D1364" i="2"/>
  <c r="C1367" i="2"/>
  <c r="E1369" i="2"/>
  <c r="D1372" i="2"/>
  <c r="C1375" i="2"/>
  <c r="F1375" i="2" s="1"/>
  <c r="E1377" i="2"/>
  <c r="D1380" i="2"/>
  <c r="C1383" i="2"/>
  <c r="E1385" i="2"/>
  <c r="D1388" i="2"/>
  <c r="C1391" i="2"/>
  <c r="F1391" i="2" s="1"/>
  <c r="E1393" i="2"/>
  <c r="D1396" i="2"/>
  <c r="C1399" i="2"/>
  <c r="F1399" i="2" s="1"/>
  <c r="E1401" i="2"/>
  <c r="D1404" i="2"/>
  <c r="C1407" i="2"/>
  <c r="E1409" i="2"/>
  <c r="D1412" i="2"/>
  <c r="C1415" i="2"/>
  <c r="E1417" i="2"/>
  <c r="D1420" i="2"/>
  <c r="C1423" i="2"/>
  <c r="E1425" i="2"/>
  <c r="D1428" i="2"/>
  <c r="C1431" i="2"/>
  <c r="E1433" i="2"/>
  <c r="D1436" i="2"/>
  <c r="C1439" i="2"/>
  <c r="F1439" i="2" s="1"/>
  <c r="E1441" i="2"/>
  <c r="D1444" i="2"/>
  <c r="C1447" i="2"/>
  <c r="F1447" i="2" s="1"/>
  <c r="E1449" i="2"/>
  <c r="D1452" i="2"/>
  <c r="C1455" i="2"/>
  <c r="F1455" i="2" s="1"/>
  <c r="E1457" i="2"/>
  <c r="D1460" i="2"/>
  <c r="C1463" i="2"/>
  <c r="F1463" i="2" s="1"/>
  <c r="E1465" i="2"/>
  <c r="D1468" i="2"/>
  <c r="C1471" i="2"/>
  <c r="E1473" i="2"/>
  <c r="D1476" i="2"/>
  <c r="C1479" i="2"/>
  <c r="E1481" i="2"/>
  <c r="D1484" i="2"/>
  <c r="C1487" i="2"/>
  <c r="E1489" i="2"/>
  <c r="D1492" i="2"/>
  <c r="C1495" i="2"/>
  <c r="E1497" i="2"/>
  <c r="D1500" i="2"/>
  <c r="C1442" i="2"/>
  <c r="F1442" i="2" s="1"/>
  <c r="D1447" i="2"/>
  <c r="E1452" i="2"/>
  <c r="C1458" i="2"/>
  <c r="F1458" i="2" s="1"/>
  <c r="D1463" i="2"/>
  <c r="E1468" i="2"/>
  <c r="D1471" i="2"/>
  <c r="E1476" i="2"/>
  <c r="C1482" i="2"/>
  <c r="F1482" i="2" s="1"/>
  <c r="G1482" i="2" s="1"/>
  <c r="D1487" i="2"/>
  <c r="C1490" i="2"/>
  <c r="C1498" i="2"/>
  <c r="F1498" i="2" s="1"/>
  <c r="G1498" i="2" s="1"/>
  <c r="C1493" i="2"/>
  <c r="E683" i="2"/>
  <c r="E859" i="2"/>
  <c r="D901" i="2"/>
  <c r="D931" i="2"/>
  <c r="E959" i="2"/>
  <c r="E992" i="2"/>
  <c r="D1035" i="2"/>
  <c r="E1056" i="2"/>
  <c r="E1088" i="2"/>
  <c r="C1110" i="2"/>
  <c r="C1174" i="2"/>
  <c r="E1245" i="2"/>
  <c r="E1261" i="2"/>
  <c r="E556" i="2"/>
  <c r="D662" i="2"/>
  <c r="E747" i="2"/>
  <c r="C817" i="2"/>
  <c r="D854" i="2"/>
  <c r="E875" i="2"/>
  <c r="E896" i="2"/>
  <c r="D913" i="2"/>
  <c r="C928" i="2"/>
  <c r="C942" i="2"/>
  <c r="C956" i="2"/>
  <c r="E968" i="2"/>
  <c r="D979" i="2"/>
  <c r="C990" i="2"/>
  <c r="E1000" i="2"/>
  <c r="D1011" i="2"/>
  <c r="C1022" i="2"/>
  <c r="E1032" i="2"/>
  <c r="D1043" i="2"/>
  <c r="C1054" i="2"/>
  <c r="E1064" i="2"/>
  <c r="D1075" i="2"/>
  <c r="C1086" i="2"/>
  <c r="E1096" i="2"/>
  <c r="D1107" i="2"/>
  <c r="C1118" i="2"/>
  <c r="E1128" i="2"/>
  <c r="D1139" i="2"/>
  <c r="C1150" i="2"/>
  <c r="F1150" i="2" s="1"/>
  <c r="E1160" i="2"/>
  <c r="D1171" i="2"/>
  <c r="C1182" i="2"/>
  <c r="E1192" i="2"/>
  <c r="D1203" i="2"/>
  <c r="C1214" i="2"/>
  <c r="E1224" i="2"/>
  <c r="E1231" i="2"/>
  <c r="D1238" i="2"/>
  <c r="E1243" i="2"/>
  <c r="C1249" i="2"/>
  <c r="F1249" i="2" s="1"/>
  <c r="G1249" i="2" s="1"/>
  <c r="D1254" i="2"/>
  <c r="E1259" i="2"/>
  <c r="C1265" i="2"/>
  <c r="C1270" i="2"/>
  <c r="D1274" i="2"/>
  <c r="E1277" i="2"/>
  <c r="C1281" i="2"/>
  <c r="F1281" i="2" s="1"/>
  <c r="C1285" i="2"/>
  <c r="F1285" i="2" s="1"/>
  <c r="D1288" i="2"/>
  <c r="E1291" i="2"/>
  <c r="D1295" i="2"/>
  <c r="C1298" i="2"/>
  <c r="E1300" i="2"/>
  <c r="D1303" i="2"/>
  <c r="C1306" i="2"/>
  <c r="F1306" i="2" s="1"/>
  <c r="G1306" i="2" s="1"/>
  <c r="E1308" i="2"/>
  <c r="D1311" i="2"/>
  <c r="C1314" i="2"/>
  <c r="F1314" i="2" s="1"/>
  <c r="G1314" i="2" s="1"/>
  <c r="E1316" i="2"/>
  <c r="D1319" i="2"/>
  <c r="C1322" i="2"/>
  <c r="F1322" i="2" s="1"/>
  <c r="G1322" i="2" s="1"/>
  <c r="E1324" i="2"/>
  <c r="D1327" i="2"/>
  <c r="C1330" i="2"/>
  <c r="F1330" i="2" s="1"/>
  <c r="G1330" i="2" s="1"/>
  <c r="E1332" i="2"/>
  <c r="D1335" i="2"/>
  <c r="C1338" i="2"/>
  <c r="E1340" i="2"/>
  <c r="D1343" i="2"/>
  <c r="C1346" i="2"/>
  <c r="E1348" i="2"/>
  <c r="D1351" i="2"/>
  <c r="C1354" i="2"/>
  <c r="E1356" i="2"/>
  <c r="D1359" i="2"/>
  <c r="C1362" i="2"/>
  <c r="E1364" i="2"/>
  <c r="D1367" i="2"/>
  <c r="C1370" i="2"/>
  <c r="F1370" i="2" s="1"/>
  <c r="G1370" i="2" s="1"/>
  <c r="E1372" i="2"/>
  <c r="D1375" i="2"/>
  <c r="C1378" i="2"/>
  <c r="F1378" i="2" s="1"/>
  <c r="G1378" i="2" s="1"/>
  <c r="E1380" i="2"/>
  <c r="D1383" i="2"/>
  <c r="C1386" i="2"/>
  <c r="F1386" i="2" s="1"/>
  <c r="G1386" i="2" s="1"/>
  <c r="E1388" i="2"/>
  <c r="D1391" i="2"/>
  <c r="C1394" i="2"/>
  <c r="F1394" i="2" s="1"/>
  <c r="G1394" i="2" s="1"/>
  <c r="E1396" i="2"/>
  <c r="D1399" i="2"/>
  <c r="C1402" i="2"/>
  <c r="E1404" i="2"/>
  <c r="D1407" i="2"/>
  <c r="C1410" i="2"/>
  <c r="E1412" i="2"/>
  <c r="D1415" i="2"/>
  <c r="C1418" i="2"/>
  <c r="E1420" i="2"/>
  <c r="D1423" i="2"/>
  <c r="C1426" i="2"/>
  <c r="E1428" i="2"/>
  <c r="D1431" i="2"/>
  <c r="C1434" i="2"/>
  <c r="F1434" i="2" s="1"/>
  <c r="E1436" i="2"/>
  <c r="D1439" i="2"/>
  <c r="E1444" i="2"/>
  <c r="C1450" i="2"/>
  <c r="D1455" i="2"/>
  <c r="E1460" i="2"/>
  <c r="C1466" i="2"/>
  <c r="C1474" i="2"/>
  <c r="F1474" i="2" s="1"/>
  <c r="G1474" i="2" s="1"/>
  <c r="D1479" i="2"/>
  <c r="E1484" i="2"/>
  <c r="E1492" i="2"/>
  <c r="D1495" i="2"/>
  <c r="E1500" i="2"/>
  <c r="E597" i="2"/>
  <c r="E827" i="2"/>
  <c r="D917" i="2"/>
  <c r="D945" i="2"/>
  <c r="C982" i="2"/>
  <c r="E1024" i="2"/>
  <c r="C1078" i="2"/>
  <c r="E1152" i="2"/>
  <c r="E1184" i="2"/>
  <c r="E1216" i="2"/>
  <c r="C1275" i="2"/>
  <c r="F1275" i="2" s="1"/>
  <c r="C1289" i="2"/>
  <c r="F1289" i="2" s="1"/>
  <c r="G1289" i="2" s="1"/>
  <c r="D1317" i="2"/>
  <c r="C1328" i="2"/>
  <c r="F1328" i="2" s="1"/>
  <c r="G1328" i="2" s="1"/>
  <c r="D1341" i="2"/>
  <c r="E1362" i="2"/>
  <c r="D1373" i="2"/>
  <c r="C1400" i="2"/>
  <c r="F1400" i="2" s="1"/>
  <c r="C1416" i="2"/>
  <c r="F1416" i="2" s="1"/>
  <c r="G1416" i="2" s="1"/>
  <c r="C1432" i="2"/>
  <c r="F1432" i="2" s="1"/>
  <c r="G1432" i="2" s="1"/>
  <c r="E1442" i="2"/>
  <c r="D1461" i="2"/>
  <c r="D1485" i="2"/>
  <c r="D686" i="2"/>
  <c r="E901" i="2"/>
  <c r="C960" i="2"/>
  <c r="F960" i="2" s="1"/>
  <c r="G960" i="2" s="1"/>
  <c r="E1035" i="2"/>
  <c r="E1067" i="2"/>
  <c r="D1110" i="2"/>
  <c r="D1174" i="2"/>
  <c r="C1217" i="2"/>
  <c r="D1251" i="2"/>
  <c r="D1267" i="2"/>
  <c r="E1282" i="2"/>
  <c r="D1304" i="2"/>
  <c r="C1331" i="2"/>
  <c r="F1331" i="2" s="1"/>
  <c r="E1341" i="2"/>
  <c r="E1357" i="2"/>
  <c r="E1373" i="2"/>
  <c r="C564" i="2"/>
  <c r="C665" i="2"/>
  <c r="F665" i="2" s="1"/>
  <c r="G665" i="2" s="1"/>
  <c r="D750" i="2"/>
  <c r="D819" i="2"/>
  <c r="C856" i="2"/>
  <c r="F856" i="2" s="1"/>
  <c r="G856" i="2" s="1"/>
  <c r="D877" i="2"/>
  <c r="C897" i="2"/>
  <c r="F897" i="2" s="1"/>
  <c r="E913" i="2"/>
  <c r="D928" i="2"/>
  <c r="D942" i="2"/>
  <c r="D956" i="2"/>
  <c r="C969" i="2"/>
  <c r="E979" i="2"/>
  <c r="D990" i="2"/>
  <c r="C1001" i="2"/>
  <c r="F1001" i="2" s="1"/>
  <c r="G1001" i="2" s="1"/>
  <c r="E1011" i="2"/>
  <c r="D1022" i="2"/>
  <c r="C1033" i="2"/>
  <c r="F1033" i="2" s="1"/>
  <c r="G1033" i="2" s="1"/>
  <c r="E1043" i="2"/>
  <c r="D1054" i="2"/>
  <c r="C1065" i="2"/>
  <c r="E1075" i="2"/>
  <c r="D1086" i="2"/>
  <c r="C1097" i="2"/>
  <c r="E1107" i="2"/>
  <c r="D1118" i="2"/>
  <c r="C1129" i="2"/>
  <c r="F1129" i="2" s="1"/>
  <c r="G1129" i="2" s="1"/>
  <c r="E1139" i="2"/>
  <c r="D1150" i="2"/>
  <c r="C1161" i="2"/>
  <c r="E1171" i="2"/>
  <c r="D1182" i="2"/>
  <c r="C1193" i="2"/>
  <c r="E1203" i="2"/>
  <c r="D1214" i="2"/>
  <c r="C1225" i="2"/>
  <c r="F1225" i="2" s="1"/>
  <c r="G1225" i="2" s="1"/>
  <c r="E1232" i="2"/>
  <c r="E1239" i="2"/>
  <c r="C1245" i="2"/>
  <c r="F1245" i="2" s="1"/>
  <c r="D1250" i="2"/>
  <c r="E1255" i="2"/>
  <c r="C1261" i="2"/>
  <c r="F1261" i="2" s="1"/>
  <c r="D1266" i="2"/>
  <c r="D1270" i="2"/>
  <c r="E1274" i="2"/>
  <c r="C1278" i="2"/>
  <c r="C1282" i="2"/>
  <c r="F1282" i="2" s="1"/>
  <c r="G1282" i="2" s="1"/>
  <c r="D1285" i="2"/>
  <c r="E1288" i="2"/>
  <c r="E1292" i="2"/>
  <c r="E1295" i="2"/>
  <c r="D1298" i="2"/>
  <c r="C1301" i="2"/>
  <c r="F1301" i="2" s="1"/>
  <c r="G1301" i="2" s="1"/>
  <c r="E1303" i="2"/>
  <c r="D1306" i="2"/>
  <c r="C1309" i="2"/>
  <c r="E1311" i="2"/>
  <c r="D1314" i="2"/>
  <c r="C1317" i="2"/>
  <c r="F1317" i="2" s="1"/>
  <c r="E1319" i="2"/>
  <c r="D1322" i="2"/>
  <c r="C1325" i="2"/>
  <c r="E1327" i="2"/>
  <c r="D1330" i="2"/>
  <c r="C1333" i="2"/>
  <c r="E1335" i="2"/>
  <c r="D1338" i="2"/>
  <c r="C1341" i="2"/>
  <c r="F1341" i="2" s="1"/>
  <c r="G1341" i="2" s="1"/>
  <c r="E1343" i="2"/>
  <c r="D1346" i="2"/>
  <c r="C1349" i="2"/>
  <c r="F1349" i="2" s="1"/>
  <c r="E1351" i="2"/>
  <c r="D1354" i="2"/>
  <c r="C1357" i="2"/>
  <c r="F1357" i="2" s="1"/>
  <c r="E1359" i="2"/>
  <c r="D1362" i="2"/>
  <c r="C1365" i="2"/>
  <c r="F1365" i="2" s="1"/>
  <c r="G1365" i="2" s="1"/>
  <c r="E1367" i="2"/>
  <c r="D1370" i="2"/>
  <c r="C1373" i="2"/>
  <c r="E1375" i="2"/>
  <c r="D1378" i="2"/>
  <c r="C1381" i="2"/>
  <c r="F1381" i="2" s="1"/>
  <c r="G1381" i="2" s="1"/>
  <c r="E1383" i="2"/>
  <c r="D1386" i="2"/>
  <c r="C1389" i="2"/>
  <c r="E1391" i="2"/>
  <c r="D1394" i="2"/>
  <c r="C1397" i="2"/>
  <c r="E1399" i="2"/>
  <c r="D1402" i="2"/>
  <c r="C1405" i="2"/>
  <c r="E1407" i="2"/>
  <c r="D1410" i="2"/>
  <c r="C1413" i="2"/>
  <c r="F1413" i="2" s="1"/>
  <c r="G1413" i="2" s="1"/>
  <c r="E1415" i="2"/>
  <c r="D1418" i="2"/>
  <c r="C1421" i="2"/>
  <c r="F1421" i="2" s="1"/>
  <c r="E1423" i="2"/>
  <c r="D1426" i="2"/>
  <c r="C1429" i="2"/>
  <c r="F1429" i="2" s="1"/>
  <c r="E1431" i="2"/>
  <c r="D1434" i="2"/>
  <c r="C1437" i="2"/>
  <c r="E1439" i="2"/>
  <c r="D1442" i="2"/>
  <c r="C1445" i="2"/>
  <c r="E1447" i="2"/>
  <c r="D1450" i="2"/>
  <c r="C1453" i="2"/>
  <c r="E1455" i="2"/>
  <c r="D1458" i="2"/>
  <c r="C1461" i="2"/>
  <c r="E1463" i="2"/>
  <c r="D1466" i="2"/>
  <c r="C1469" i="2"/>
  <c r="F1469" i="2" s="1"/>
  <c r="E1471" i="2"/>
  <c r="D1474" i="2"/>
  <c r="C1477" i="2"/>
  <c r="E1479" i="2"/>
  <c r="D1482" i="2"/>
  <c r="C1485" i="2"/>
  <c r="F1485" i="2" s="1"/>
  <c r="E1487" i="2"/>
  <c r="D1490" i="2"/>
  <c r="E1495" i="2"/>
  <c r="D1498" i="2"/>
  <c r="C769" i="2"/>
  <c r="F769" i="2" s="1"/>
  <c r="G769" i="2" s="1"/>
  <c r="C881" i="2"/>
  <c r="D971" i="2"/>
  <c r="D1003" i="2"/>
  <c r="C1014" i="2"/>
  <c r="C1046" i="2"/>
  <c r="D1067" i="2"/>
  <c r="D1099" i="2"/>
  <c r="D1131" i="2"/>
  <c r="C1206" i="2"/>
  <c r="F1206" i="2" s="1"/>
  <c r="C1233" i="2"/>
  <c r="D1256" i="2"/>
  <c r="E1271" i="2"/>
  <c r="C1304" i="2"/>
  <c r="F1304" i="2" s="1"/>
  <c r="G1304" i="2" s="1"/>
  <c r="D1309" i="2"/>
  <c r="D1333" i="2"/>
  <c r="E1354" i="2"/>
  <c r="D1365" i="2"/>
  <c r="E1386" i="2"/>
  <c r="D1397" i="2"/>
  <c r="E1434" i="2"/>
  <c r="D1453" i="2"/>
  <c r="E1466" i="2"/>
  <c r="D1477" i="2"/>
  <c r="E771" i="2"/>
  <c r="E931" i="2"/>
  <c r="C993" i="2"/>
  <c r="D1078" i="2"/>
  <c r="E1099" i="2"/>
  <c r="E1195" i="2"/>
  <c r="D1206" i="2"/>
  <c r="C1286" i="2"/>
  <c r="F1286" i="2" s="1"/>
  <c r="G1286" i="2" s="1"/>
  <c r="C1299" i="2"/>
  <c r="F1299" i="2" s="1"/>
  <c r="G1299" i="2" s="1"/>
  <c r="D1312" i="2"/>
  <c r="D1320" i="2"/>
  <c r="E1349" i="2"/>
  <c r="C1371" i="2"/>
  <c r="F1371" i="2" s="1"/>
  <c r="G1371" i="2" s="1"/>
  <c r="C1379" i="2"/>
  <c r="F1379" i="2" s="1"/>
  <c r="G1379" i="2" s="1"/>
  <c r="C1293" i="2"/>
  <c r="F1293" i="2" s="1"/>
  <c r="G1293" i="2" s="1"/>
  <c r="C1312" i="2"/>
  <c r="D1325" i="2"/>
  <c r="E1338" i="2"/>
  <c r="D1349" i="2"/>
  <c r="C1368" i="2"/>
  <c r="F1368" i="2" s="1"/>
  <c r="G1368" i="2" s="1"/>
  <c r="D1381" i="2"/>
  <c r="D1389" i="2"/>
  <c r="E1410" i="2"/>
  <c r="E1418" i="2"/>
  <c r="D1429" i="2"/>
  <c r="D1437" i="2"/>
  <c r="E1450" i="2"/>
  <c r="C1464" i="2"/>
  <c r="F1464" i="2" s="1"/>
  <c r="G1464" i="2" s="1"/>
  <c r="C1488" i="2"/>
  <c r="F1488" i="2" s="1"/>
  <c r="G1488" i="2" s="1"/>
  <c r="E1498" i="2"/>
  <c r="C830" i="2"/>
  <c r="F830" i="2" s="1"/>
  <c r="G830" i="2" s="1"/>
  <c r="E917" i="2"/>
  <c r="E971" i="2"/>
  <c r="D1014" i="2"/>
  <c r="D1046" i="2"/>
  <c r="E1131" i="2"/>
  <c r="C1153" i="2"/>
  <c r="F1153" i="2" s="1"/>
  <c r="G1153" i="2" s="1"/>
  <c r="D1234" i="2"/>
  <c r="C1246" i="2"/>
  <c r="F1246" i="2" s="1"/>
  <c r="G1246" i="2" s="1"/>
  <c r="E1256" i="2"/>
  <c r="D1275" i="2"/>
  <c r="D1296" i="2"/>
  <c r="C1307" i="2"/>
  <c r="E1317" i="2"/>
  <c r="D1328" i="2"/>
  <c r="D1336" i="2"/>
  <c r="D1352" i="2"/>
  <c r="D1368" i="2"/>
  <c r="D1376" i="2"/>
  <c r="E1381" i="2"/>
  <c r="C1403" i="2"/>
  <c r="D1424" i="2"/>
  <c r="E1445" i="2"/>
  <c r="C1467" i="2"/>
  <c r="D1488" i="2"/>
  <c r="C1411" i="2"/>
  <c r="F1411" i="2" s="1"/>
  <c r="G1411" i="2" s="1"/>
  <c r="C1475" i="2"/>
  <c r="F1475" i="2" s="1"/>
  <c r="G1475" i="2" s="1"/>
  <c r="D1400" i="2"/>
  <c r="D1464" i="2"/>
  <c r="D1384" i="2"/>
  <c r="E1405" i="2"/>
  <c r="C1427" i="2"/>
  <c r="F1427" i="2" s="1"/>
  <c r="G1427" i="2" s="1"/>
  <c r="D1448" i="2"/>
  <c r="E1469" i="2"/>
  <c r="C1491" i="2"/>
  <c r="F1491" i="2" s="1"/>
  <c r="G1491" i="2" s="1"/>
  <c r="E1453" i="2"/>
  <c r="C1483" i="2"/>
  <c r="E1485" i="2"/>
  <c r="C1387" i="2"/>
  <c r="F1387" i="2" s="1"/>
  <c r="G1387" i="2" s="1"/>
  <c r="D1408" i="2"/>
  <c r="E1429" i="2"/>
  <c r="C1451" i="2"/>
  <c r="F1451" i="2" s="1"/>
  <c r="D1472" i="2"/>
  <c r="E1493" i="2"/>
  <c r="D1432" i="2"/>
  <c r="D1496" i="2"/>
  <c r="C1443" i="2"/>
  <c r="F1443" i="2" s="1"/>
  <c r="E1389" i="2"/>
  <c r="D1392" i="2"/>
  <c r="E1413" i="2"/>
  <c r="C1435" i="2"/>
  <c r="F1435" i="2" s="1"/>
  <c r="G1435" i="2" s="1"/>
  <c r="D1456" i="2"/>
  <c r="E1477" i="2"/>
  <c r="C1499" i="2"/>
  <c r="F1499" i="2" s="1"/>
  <c r="D1480" i="2"/>
  <c r="C1419" i="2"/>
  <c r="F1419" i="2" s="1"/>
  <c r="G1419" i="2" s="1"/>
  <c r="D1440" i="2"/>
  <c r="E1421" i="2"/>
  <c r="C1395" i="2"/>
  <c r="F1395" i="2" s="1"/>
  <c r="D1416" i="2"/>
  <c r="E1437" i="2"/>
  <c r="C1459" i="2"/>
  <c r="F1459" i="2" s="1"/>
  <c r="G1459" i="2" s="1"/>
  <c r="E1397" i="2"/>
  <c r="E1461" i="2"/>
  <c r="F106" i="3"/>
  <c r="E113" i="3"/>
  <c r="E122" i="3" s="1"/>
  <c r="E98" i="3"/>
  <c r="E140" i="3" s="1"/>
  <c r="E91" i="3"/>
  <c r="E133" i="3" s="1"/>
  <c r="E89" i="3"/>
  <c r="E131" i="3" s="1"/>
  <c r="E99" i="3"/>
  <c r="E141" i="3" s="1"/>
  <c r="H121" i="3"/>
  <c r="F141" i="2"/>
  <c r="G141" i="2" s="1"/>
  <c r="F97" i="2"/>
  <c r="G97" i="2" s="1"/>
  <c r="F157" i="2"/>
  <c r="G157" i="2" s="1"/>
  <c r="F108" i="2"/>
  <c r="G108" i="2" s="1"/>
  <c r="F132" i="2"/>
  <c r="G132" i="2" s="1"/>
  <c r="F110" i="2"/>
  <c r="G110" i="2" s="1"/>
  <c r="F116" i="2"/>
  <c r="G116" i="2" s="1"/>
  <c r="F112" i="2"/>
  <c r="G112" i="2" s="1"/>
  <c r="F137" i="2"/>
  <c r="G137" i="2" s="1"/>
  <c r="F147" i="2"/>
  <c r="G147" i="2" s="1"/>
  <c r="F111" i="2"/>
  <c r="G111" i="2" s="1"/>
  <c r="F105" i="2"/>
  <c r="G105" i="2" s="1"/>
  <c r="F143" i="2"/>
  <c r="G143" i="2" s="1"/>
  <c r="F118" i="2"/>
  <c r="G118" i="2" s="1"/>
  <c r="F135" i="2"/>
  <c r="G135" i="2" s="1"/>
  <c r="F154" i="2"/>
  <c r="G154" i="2" s="1"/>
  <c r="F139" i="2"/>
  <c r="F162" i="2"/>
  <c r="G162" i="2" s="1"/>
  <c r="F160" i="2"/>
  <c r="G160" i="2" s="1"/>
  <c r="F130" i="2"/>
  <c r="G130" i="2" s="1"/>
  <c r="F152" i="2"/>
  <c r="G152" i="2" s="1"/>
  <c r="F146" i="2"/>
  <c r="G146" i="2" s="1"/>
  <c r="F107" i="2"/>
  <c r="G107" i="2" s="1"/>
  <c r="F109" i="2"/>
  <c r="G109" i="2" s="1"/>
  <c r="F144" i="2"/>
  <c r="G144" i="2" s="1"/>
  <c r="F138" i="2"/>
  <c r="G138" i="2" s="1"/>
  <c r="F156" i="2"/>
  <c r="G156" i="2" s="1"/>
  <c r="F131" i="2"/>
  <c r="G131" i="2" s="1"/>
  <c r="F122" i="2"/>
  <c r="G122" i="2" s="1"/>
  <c r="F148" i="2"/>
  <c r="G148" i="2" s="1"/>
  <c r="F113" i="2"/>
  <c r="G113" i="2" s="1"/>
  <c r="F126" i="2"/>
  <c r="G126" i="2" s="1"/>
  <c r="F128" i="2"/>
  <c r="G128" i="2" s="1"/>
  <c r="F149" i="2"/>
  <c r="G149" i="2" s="1"/>
  <c r="F129" i="2"/>
  <c r="G129" i="2" s="1"/>
  <c r="F145" i="2"/>
  <c r="G145" i="2" s="1"/>
  <c r="F140" i="2"/>
  <c r="G140" i="2" s="1"/>
  <c r="F136" i="2"/>
  <c r="G136" i="2" s="1"/>
  <c r="F150" i="2"/>
  <c r="G150" i="2" s="1"/>
  <c r="F127" i="2"/>
  <c r="G127" i="2" s="1"/>
  <c r="F99" i="2"/>
  <c r="G99" i="2" s="1"/>
  <c r="F101" i="2"/>
  <c r="G101" i="2" s="1"/>
  <c r="F103" i="2"/>
  <c r="G103" i="2" s="1"/>
  <c r="F98" i="2"/>
  <c r="G98" i="2" s="1"/>
  <c r="F123" i="2"/>
  <c r="G123" i="2" s="1"/>
  <c r="F125" i="2"/>
  <c r="G125" i="2" s="1"/>
  <c r="F124" i="2"/>
  <c r="G124" i="2" s="1"/>
  <c r="F158" i="2"/>
  <c r="G158" i="2" s="1"/>
  <c r="F142" i="2"/>
  <c r="G142" i="2" s="1"/>
  <c r="F104" i="2"/>
  <c r="G104" i="2" s="1"/>
  <c r="F163" i="2"/>
  <c r="G163" i="2" s="1"/>
  <c r="F159" i="2"/>
  <c r="G159" i="2" s="1"/>
  <c r="F153" i="2"/>
  <c r="G153" i="2" s="1"/>
  <c r="F100" i="2"/>
  <c r="G100" i="2" s="1"/>
  <c r="F102" i="2"/>
  <c r="G102" i="2" s="1"/>
  <c r="F120" i="2"/>
  <c r="G120" i="2" s="1"/>
  <c r="F133" i="2"/>
  <c r="G133" i="2" s="1"/>
  <c r="F134" i="2"/>
  <c r="G134" i="2" s="1"/>
  <c r="F155" i="2"/>
  <c r="F106" i="2"/>
  <c r="G106" i="2" s="1"/>
  <c r="F115" i="2"/>
  <c r="G115" i="2" s="1"/>
  <c r="F117" i="2"/>
  <c r="G117" i="2" s="1"/>
  <c r="F119" i="2"/>
  <c r="G119" i="2" s="1"/>
  <c r="F114" i="2"/>
  <c r="F161" i="2"/>
  <c r="G161" i="2" s="1"/>
  <c r="B10" i="5" a="1"/>
  <c r="F170" i="2"/>
  <c r="G170" i="2" s="1"/>
  <c r="F178" i="2"/>
  <c r="G178" i="2" s="1"/>
  <c r="F186" i="2"/>
  <c r="G186" i="2" s="1"/>
  <c r="F194" i="2"/>
  <c r="G194" i="2" s="1"/>
  <c r="F199" i="2"/>
  <c r="G199" i="2" s="1"/>
  <c r="F207" i="2"/>
  <c r="G207" i="2" s="1"/>
  <c r="F215" i="2"/>
  <c r="G215" i="2" s="1"/>
  <c r="F165" i="2"/>
  <c r="G165" i="2" s="1"/>
  <c r="F173" i="2"/>
  <c r="G173" i="2" s="1"/>
  <c r="F181" i="2"/>
  <c r="G181" i="2" s="1"/>
  <c r="F189" i="2"/>
  <c r="G189" i="2" s="1"/>
  <c r="F202" i="2"/>
  <c r="G202" i="2" s="1"/>
  <c r="F210" i="2"/>
  <c r="G210" i="2" s="1"/>
  <c r="F168" i="2"/>
  <c r="G168" i="2" s="1"/>
  <c r="F176" i="2"/>
  <c r="G176" i="2" s="1"/>
  <c r="F184" i="2"/>
  <c r="G184" i="2" s="1"/>
  <c r="F192" i="2"/>
  <c r="G192" i="2" s="1"/>
  <c r="F197" i="2"/>
  <c r="G197" i="2" s="1"/>
  <c r="F205" i="2"/>
  <c r="G205" i="2" s="1"/>
  <c r="F213" i="2"/>
  <c r="G213" i="2" s="1"/>
  <c r="F221" i="2"/>
  <c r="G221" i="2" s="1"/>
  <c r="F171" i="2"/>
  <c r="F179" i="2"/>
  <c r="G179" i="2" s="1"/>
  <c r="F187" i="2"/>
  <c r="F200" i="2"/>
  <c r="G200" i="2" s="1"/>
  <c r="F208" i="2"/>
  <c r="G208" i="2" s="1"/>
  <c r="F216" i="2"/>
  <c r="G216" i="2" s="1"/>
  <c r="F224" i="2"/>
  <c r="G224" i="2" s="1"/>
  <c r="F166" i="2"/>
  <c r="G166" i="2" s="1"/>
  <c r="F174" i="2"/>
  <c r="G174" i="2" s="1"/>
  <c r="F182" i="2"/>
  <c r="G182" i="2" s="1"/>
  <c r="F190" i="2"/>
  <c r="G190" i="2" s="1"/>
  <c r="F195" i="2"/>
  <c r="G195" i="2" s="1"/>
  <c r="F203" i="2"/>
  <c r="G203" i="2" s="1"/>
  <c r="F211" i="2"/>
  <c r="G211" i="2" s="1"/>
  <c r="F219" i="2"/>
  <c r="G219" i="2" s="1"/>
  <c r="F169" i="2"/>
  <c r="F177" i="2"/>
  <c r="G177" i="2" s="1"/>
  <c r="F185" i="2"/>
  <c r="G185" i="2" s="1"/>
  <c r="F193" i="2"/>
  <c r="G193" i="2" s="1"/>
  <c r="F198" i="2"/>
  <c r="G198" i="2" s="1"/>
  <c r="F206" i="2"/>
  <c r="G206" i="2" s="1"/>
  <c r="F172" i="2"/>
  <c r="G172" i="2" s="1"/>
  <c r="F188" i="2"/>
  <c r="G188" i="2" s="1"/>
  <c r="F209" i="2"/>
  <c r="G209" i="2" s="1"/>
  <c r="F175" i="2"/>
  <c r="G175" i="2" s="1"/>
  <c r="F196" i="2"/>
  <c r="G196" i="2" s="1"/>
  <c r="F220" i="2"/>
  <c r="G220" i="2" s="1"/>
  <c r="F229" i="2"/>
  <c r="G229" i="2" s="1"/>
  <c r="F237" i="2"/>
  <c r="G237" i="2" s="1"/>
  <c r="F245" i="2"/>
  <c r="G245" i="2" s="1"/>
  <c r="F253" i="2"/>
  <c r="G253" i="2" s="1"/>
  <c r="F261" i="2"/>
  <c r="G261" i="2" s="1"/>
  <c r="F269" i="2"/>
  <c r="G269" i="2" s="1"/>
  <c r="F277" i="2"/>
  <c r="G277" i="2" s="1"/>
  <c r="F290" i="2"/>
  <c r="G290" i="2" s="1"/>
  <c r="F295" i="2"/>
  <c r="G295" i="2" s="1"/>
  <c r="F303" i="2"/>
  <c r="G303" i="2" s="1"/>
  <c r="F311" i="2"/>
  <c r="G311" i="2" s="1"/>
  <c r="F324" i="2"/>
  <c r="G324" i="2" s="1"/>
  <c r="F329" i="2"/>
  <c r="F337" i="2"/>
  <c r="G337" i="2" s="1"/>
  <c r="F345" i="2"/>
  <c r="G345" i="2" s="1"/>
  <c r="F353" i="2"/>
  <c r="G353" i="2" s="1"/>
  <c r="F361" i="2"/>
  <c r="G361" i="2" s="1"/>
  <c r="F369" i="2"/>
  <c r="F377" i="2"/>
  <c r="G377" i="2" s="1"/>
  <c r="F385" i="2"/>
  <c r="G385" i="2" s="1"/>
  <c r="F393" i="2"/>
  <c r="G393" i="2" s="1"/>
  <c r="F414" i="2"/>
  <c r="G414" i="2" s="1"/>
  <c r="F422" i="2"/>
  <c r="G422" i="2" s="1"/>
  <c r="F430" i="2"/>
  <c r="G430" i="2" s="1"/>
  <c r="F438" i="2"/>
  <c r="G438" i="2" s="1"/>
  <c r="F214" i="2"/>
  <c r="G214" i="2" s="1"/>
  <c r="F232" i="2"/>
  <c r="G232" i="2" s="1"/>
  <c r="F240" i="2"/>
  <c r="G240" i="2" s="1"/>
  <c r="F248" i="2"/>
  <c r="G248" i="2" s="1"/>
  <c r="F256" i="2"/>
  <c r="G256" i="2" s="1"/>
  <c r="F264" i="2"/>
  <c r="G264" i="2" s="1"/>
  <c r="F272" i="2"/>
  <c r="G272" i="2" s="1"/>
  <c r="F280" i="2"/>
  <c r="G280" i="2" s="1"/>
  <c r="F285" i="2"/>
  <c r="G285" i="2" s="1"/>
  <c r="F298" i="2"/>
  <c r="G298" i="2" s="1"/>
  <c r="F306" i="2"/>
  <c r="G306" i="2" s="1"/>
  <c r="F314" i="2"/>
  <c r="G314" i="2" s="1"/>
  <c r="F322" i="2"/>
  <c r="G322" i="2" s="1"/>
  <c r="F332" i="2"/>
  <c r="G332" i="2" s="1"/>
  <c r="F340" i="2"/>
  <c r="G340" i="2" s="1"/>
  <c r="F348" i="2"/>
  <c r="G348" i="2" s="1"/>
  <c r="F356" i="2"/>
  <c r="G356" i="2" s="1"/>
  <c r="F364" i="2"/>
  <c r="G364" i="2" s="1"/>
  <c r="F372" i="2"/>
  <c r="G372" i="2" s="1"/>
  <c r="F380" i="2"/>
  <c r="G380" i="2" s="1"/>
  <c r="F388" i="2"/>
  <c r="G388" i="2" s="1"/>
  <c r="F396" i="2"/>
  <c r="G396" i="2" s="1"/>
  <c r="F409" i="2"/>
  <c r="G409" i="2" s="1"/>
  <c r="F417" i="2"/>
  <c r="G417" i="2" s="1"/>
  <c r="F425" i="2"/>
  <c r="G425" i="2" s="1"/>
  <c r="F227" i="2"/>
  <c r="G227" i="2" s="1"/>
  <c r="F235" i="2"/>
  <c r="G235" i="2" s="1"/>
  <c r="F243" i="2"/>
  <c r="G243" i="2" s="1"/>
  <c r="F251" i="2"/>
  <c r="G251" i="2" s="1"/>
  <c r="F259" i="2"/>
  <c r="G259" i="2" s="1"/>
  <c r="F267" i="2"/>
  <c r="F275" i="2"/>
  <c r="G275" i="2" s="1"/>
  <c r="F288" i="2"/>
  <c r="G288" i="2" s="1"/>
  <c r="F293" i="2"/>
  <c r="G293" i="2" s="1"/>
  <c r="F301" i="2"/>
  <c r="G301" i="2" s="1"/>
  <c r="F309" i="2"/>
  <c r="G309" i="2" s="1"/>
  <c r="F317" i="2"/>
  <c r="G317" i="2" s="1"/>
  <c r="F327" i="2"/>
  <c r="G327" i="2" s="1"/>
  <c r="F335" i="2"/>
  <c r="G335" i="2" s="1"/>
  <c r="F343" i="2"/>
  <c r="G343" i="2" s="1"/>
  <c r="F351" i="2"/>
  <c r="G351" i="2" s="1"/>
  <c r="F359" i="2"/>
  <c r="G359" i="2" s="1"/>
  <c r="F367" i="2"/>
  <c r="G367" i="2" s="1"/>
  <c r="F391" i="2"/>
  <c r="G391" i="2" s="1"/>
  <c r="F399" i="2"/>
  <c r="G399" i="2" s="1"/>
  <c r="F404" i="2"/>
  <c r="G404" i="2" s="1"/>
  <c r="F412" i="2"/>
  <c r="G412" i="2" s="1"/>
  <c r="F420" i="2"/>
  <c r="G420" i="2" s="1"/>
  <c r="F428" i="2"/>
  <c r="F230" i="2"/>
  <c r="G230" i="2" s="1"/>
  <c r="F238" i="2"/>
  <c r="G238" i="2" s="1"/>
  <c r="F246" i="2"/>
  <c r="G246" i="2" s="1"/>
  <c r="F254" i="2"/>
  <c r="G254" i="2" s="1"/>
  <c r="F262" i="2"/>
  <c r="G262" i="2" s="1"/>
  <c r="F270" i="2"/>
  <c r="G270" i="2" s="1"/>
  <c r="F278" i="2"/>
  <c r="G278" i="2" s="1"/>
  <c r="F283" i="2"/>
  <c r="G283" i="2" s="1"/>
  <c r="F291" i="2"/>
  <c r="G291" i="2" s="1"/>
  <c r="F296" i="2"/>
  <c r="G296" i="2" s="1"/>
  <c r="F304" i="2"/>
  <c r="G304" i="2" s="1"/>
  <c r="F312" i="2"/>
  <c r="G312" i="2" s="1"/>
  <c r="F320" i="2"/>
  <c r="G320" i="2" s="1"/>
  <c r="F330" i="2"/>
  <c r="G330" i="2" s="1"/>
  <c r="F338" i="2"/>
  <c r="G338" i="2" s="1"/>
  <c r="F346" i="2"/>
  <c r="G346" i="2" s="1"/>
  <c r="F354" i="2"/>
  <c r="G354" i="2" s="1"/>
  <c r="F362" i="2"/>
  <c r="G362" i="2" s="1"/>
  <c r="F370" i="2"/>
  <c r="G370" i="2" s="1"/>
  <c r="F378" i="2"/>
  <c r="G378" i="2" s="1"/>
  <c r="F386" i="2"/>
  <c r="G386" i="2" s="1"/>
  <c r="F394" i="2"/>
  <c r="G394" i="2" s="1"/>
  <c r="F402" i="2"/>
  <c r="G402" i="2" s="1"/>
  <c r="F423" i="2"/>
  <c r="G423" i="2" s="1"/>
  <c r="F431" i="2"/>
  <c r="G431" i="2" s="1"/>
  <c r="F439" i="2"/>
  <c r="G439" i="2" s="1"/>
  <c r="F452" i="2"/>
  <c r="G452" i="2" s="1"/>
  <c r="F222" i="2"/>
  <c r="G222" i="2" s="1"/>
  <c r="F225" i="2"/>
  <c r="G225" i="2" s="1"/>
  <c r="F233" i="2"/>
  <c r="G233" i="2" s="1"/>
  <c r="F241" i="2"/>
  <c r="G241" i="2" s="1"/>
  <c r="F249" i="2"/>
  <c r="G249" i="2" s="1"/>
  <c r="F265" i="2"/>
  <c r="G265" i="2" s="1"/>
  <c r="F273" i="2"/>
  <c r="G273" i="2" s="1"/>
  <c r="F281" i="2"/>
  <c r="G281" i="2" s="1"/>
  <c r="F286" i="2"/>
  <c r="G286" i="2" s="1"/>
  <c r="F299" i="2"/>
  <c r="G299" i="2" s="1"/>
  <c r="F307" i="2"/>
  <c r="G307" i="2" s="1"/>
  <c r="F315" i="2"/>
  <c r="G315" i="2" s="1"/>
  <c r="F325" i="2"/>
  <c r="G325" i="2" s="1"/>
  <c r="F333" i="2"/>
  <c r="G333" i="2" s="1"/>
  <c r="F341" i="2"/>
  <c r="G341" i="2" s="1"/>
  <c r="F349" i="2"/>
  <c r="G349" i="2" s="1"/>
  <c r="F357" i="2"/>
  <c r="G357" i="2" s="1"/>
  <c r="F365" i="2"/>
  <c r="G365" i="2" s="1"/>
  <c r="F373" i="2"/>
  <c r="G373" i="2" s="1"/>
  <c r="F381" i="2"/>
  <c r="G381" i="2" s="1"/>
  <c r="F389" i="2"/>
  <c r="G389" i="2" s="1"/>
  <c r="F397" i="2"/>
  <c r="G397" i="2" s="1"/>
  <c r="F418" i="2"/>
  <c r="G418" i="2" s="1"/>
  <c r="F426" i="2"/>
  <c r="G426" i="2" s="1"/>
  <c r="F228" i="2"/>
  <c r="G228" i="2" s="1"/>
  <c r="F236" i="2"/>
  <c r="G236" i="2" s="1"/>
  <c r="F244" i="2"/>
  <c r="G244" i="2" s="1"/>
  <c r="F252" i="2"/>
  <c r="G252" i="2" s="1"/>
  <c r="F260" i="2"/>
  <c r="G260" i="2" s="1"/>
  <c r="F268" i="2"/>
  <c r="G268" i="2" s="1"/>
  <c r="F276" i="2"/>
  <c r="G276" i="2" s="1"/>
  <c r="F302" i="2"/>
  <c r="G302" i="2" s="1"/>
  <c r="F310" i="2"/>
  <c r="G310" i="2" s="1"/>
  <c r="F318" i="2"/>
  <c r="G318" i="2" s="1"/>
  <c r="F323" i="2"/>
  <c r="G323" i="2" s="1"/>
  <c r="F328" i="2"/>
  <c r="G328" i="2" s="1"/>
  <c r="F336" i="2"/>
  <c r="G336" i="2" s="1"/>
  <c r="F344" i="2"/>
  <c r="G344" i="2" s="1"/>
  <c r="F352" i="2"/>
  <c r="G352" i="2" s="1"/>
  <c r="F360" i="2"/>
  <c r="G360" i="2" s="1"/>
  <c r="F368" i="2"/>
  <c r="G368" i="2" s="1"/>
  <c r="F376" i="2"/>
  <c r="F384" i="2"/>
  <c r="F239" i="2"/>
  <c r="G239" i="2" s="1"/>
  <c r="F247" i="2"/>
  <c r="G247" i="2" s="1"/>
  <c r="F263" i="2"/>
  <c r="G263" i="2" s="1"/>
  <c r="F284" i="2"/>
  <c r="G284" i="2" s="1"/>
  <c r="F305" i="2"/>
  <c r="F331" i="2"/>
  <c r="G331" i="2" s="1"/>
  <c r="F347" i="2"/>
  <c r="G347" i="2" s="1"/>
  <c r="F371" i="2"/>
  <c r="G371" i="2" s="1"/>
  <c r="F387" i="2"/>
  <c r="G387" i="2" s="1"/>
  <c r="F395" i="2"/>
  <c r="G395" i="2" s="1"/>
  <c r="F408" i="2"/>
  <c r="G408" i="2" s="1"/>
  <c r="F416" i="2"/>
  <c r="G416" i="2" s="1"/>
  <c r="F424" i="2"/>
  <c r="G424" i="2" s="1"/>
  <c r="F432" i="2"/>
  <c r="G432" i="2" s="1"/>
  <c r="F440" i="2"/>
  <c r="F429" i="2"/>
  <c r="G429" i="2" s="1"/>
  <c r="F446" i="2"/>
  <c r="G446" i="2" s="1"/>
  <c r="F449" i="2"/>
  <c r="G449" i="2" s="1"/>
  <c r="F461" i="2"/>
  <c r="G461" i="2" s="1"/>
  <c r="F477" i="2"/>
  <c r="G477" i="2" s="1"/>
  <c r="F485" i="2"/>
  <c r="F493" i="2"/>
  <c r="G493" i="2" s="1"/>
  <c r="F530" i="2"/>
  <c r="G530" i="2" s="1"/>
  <c r="F538" i="2"/>
  <c r="G538" i="2" s="1"/>
  <c r="F543" i="2"/>
  <c r="G543" i="2" s="1"/>
  <c r="F564" i="2"/>
  <c r="G564" i="2" s="1"/>
  <c r="F577" i="2"/>
  <c r="G577" i="2" s="1"/>
  <c r="F585" i="2"/>
  <c r="G585" i="2" s="1"/>
  <c r="F593" i="2"/>
  <c r="F601" i="2"/>
  <c r="G601" i="2" s="1"/>
  <c r="F609" i="2"/>
  <c r="G609" i="2" s="1"/>
  <c r="F617" i="2"/>
  <c r="F223" i="2"/>
  <c r="G223" i="2" s="1"/>
  <c r="F287" i="2"/>
  <c r="G287" i="2" s="1"/>
  <c r="F400" i="2"/>
  <c r="F421" i="2"/>
  <c r="G421" i="2" s="1"/>
  <c r="F435" i="2"/>
  <c r="G435" i="2" s="1"/>
  <c r="F464" i="2"/>
  <c r="G464" i="2" s="1"/>
  <c r="F472" i="2"/>
  <c r="F480" i="2"/>
  <c r="G480" i="2" s="1"/>
  <c r="F488" i="2"/>
  <c r="G488" i="2" s="1"/>
  <c r="F496" i="2"/>
  <c r="G496" i="2" s="1"/>
  <c r="F504" i="2"/>
  <c r="G504" i="2" s="1"/>
  <c r="F512" i="2"/>
  <c r="F520" i="2"/>
  <c r="G520" i="2" s="1"/>
  <c r="F525" i="2"/>
  <c r="G525" i="2" s="1"/>
  <c r="F533" i="2"/>
  <c r="G533" i="2" s="1"/>
  <c r="F551" i="2"/>
  <c r="G551" i="2" s="1"/>
  <c r="F559" i="2"/>
  <c r="F572" i="2"/>
  <c r="G572" i="2" s="1"/>
  <c r="F580" i="2"/>
  <c r="G580" i="2" s="1"/>
  <c r="F588" i="2"/>
  <c r="G588" i="2" s="1"/>
  <c r="F612" i="2"/>
  <c r="G612" i="2" s="1"/>
  <c r="F620" i="2"/>
  <c r="G620" i="2" s="1"/>
  <c r="F374" i="2"/>
  <c r="G374" i="2" s="1"/>
  <c r="F444" i="2"/>
  <c r="G444" i="2" s="1"/>
  <c r="F450" i="2"/>
  <c r="G450" i="2" s="1"/>
  <c r="F453" i="2"/>
  <c r="G453" i="2" s="1"/>
  <c r="F456" i="2"/>
  <c r="G456" i="2" s="1"/>
  <c r="F459" i="2"/>
  <c r="G459" i="2" s="1"/>
  <c r="F475" i="2"/>
  <c r="G475" i="2" s="1"/>
  <c r="F483" i="2"/>
  <c r="G483" i="2" s="1"/>
  <c r="F491" i="2"/>
  <c r="F499" i="2"/>
  <c r="G499" i="2" s="1"/>
  <c r="F507" i="2"/>
  <c r="G507" i="2" s="1"/>
  <c r="F515" i="2"/>
  <c r="G515" i="2" s="1"/>
  <c r="F536" i="2"/>
  <c r="F546" i="2"/>
  <c r="G546" i="2" s="1"/>
  <c r="F554" i="2"/>
  <c r="G554" i="2" s="1"/>
  <c r="F567" i="2"/>
  <c r="G567" i="2" s="1"/>
  <c r="F575" i="2"/>
  <c r="G575" i="2" s="1"/>
  <c r="F583" i="2"/>
  <c r="F591" i="2"/>
  <c r="G591" i="2" s="1"/>
  <c r="F607" i="2"/>
  <c r="G607" i="2" s="1"/>
  <c r="F615" i="2"/>
  <c r="G615" i="2" s="1"/>
  <c r="F623" i="2"/>
  <c r="G623" i="2" s="1"/>
  <c r="F392" i="2"/>
  <c r="F413" i="2"/>
  <c r="G413" i="2" s="1"/>
  <c r="F436" i="2"/>
  <c r="F462" i="2"/>
  <c r="G462" i="2" s="1"/>
  <c r="F470" i="2"/>
  <c r="G470" i="2" s="1"/>
  <c r="F478" i="2"/>
  <c r="G478" i="2" s="1"/>
  <c r="F486" i="2"/>
  <c r="G486" i="2" s="1"/>
  <c r="F494" i="2"/>
  <c r="G494" i="2" s="1"/>
  <c r="F502" i="2"/>
  <c r="G502" i="2" s="1"/>
  <c r="F510" i="2"/>
  <c r="G510" i="2" s="1"/>
  <c r="F518" i="2"/>
  <c r="G518" i="2" s="1"/>
  <c r="F531" i="2"/>
  <c r="G531" i="2" s="1"/>
  <c r="F544" i="2"/>
  <c r="G544" i="2" s="1"/>
  <c r="F549" i="2"/>
  <c r="G549" i="2" s="1"/>
  <c r="F557" i="2"/>
  <c r="G557" i="2" s="1"/>
  <c r="F274" i="2"/>
  <c r="G274" i="2" s="1"/>
  <c r="F437" i="2"/>
  <c r="G437" i="2" s="1"/>
  <c r="F465" i="2"/>
  <c r="G465" i="2" s="1"/>
  <c r="F473" i="2"/>
  <c r="G473" i="2" s="1"/>
  <c r="F481" i="2"/>
  <c r="G481" i="2" s="1"/>
  <c r="F489" i="2"/>
  <c r="G489" i="2" s="1"/>
  <c r="F505" i="2"/>
  <c r="G505" i="2" s="1"/>
  <c r="F513" i="2"/>
  <c r="G513" i="2" s="1"/>
  <c r="F521" i="2"/>
  <c r="F526" i="2"/>
  <c r="G526" i="2" s="1"/>
  <c r="F539" i="2"/>
  <c r="G539" i="2" s="1"/>
  <c r="F552" i="2"/>
  <c r="G552" i="2" s="1"/>
  <c r="F560" i="2"/>
  <c r="G560" i="2" s="1"/>
  <c r="F565" i="2"/>
  <c r="F573" i="2"/>
  <c r="G573" i="2" s="1"/>
  <c r="F589" i="2"/>
  <c r="G589" i="2" s="1"/>
  <c r="F597" i="2"/>
  <c r="F605" i="2"/>
  <c r="G605" i="2" s="1"/>
  <c r="F613" i="2"/>
  <c r="G613" i="2" s="1"/>
  <c r="F258" i="2"/>
  <c r="G258" i="2" s="1"/>
  <c r="F300" i="2"/>
  <c r="G300" i="2" s="1"/>
  <c r="F342" i="2"/>
  <c r="G342" i="2" s="1"/>
  <c r="F433" i="2"/>
  <c r="G433" i="2" s="1"/>
  <c r="F471" i="2"/>
  <c r="G471" i="2" s="1"/>
  <c r="F487" i="2"/>
  <c r="G487" i="2" s="1"/>
  <c r="F503" i="2"/>
  <c r="F511" i="2"/>
  <c r="G511" i="2" s="1"/>
  <c r="F519" i="2"/>
  <c r="F524" i="2"/>
  <c r="G524" i="2" s="1"/>
  <c r="F532" i="2"/>
  <c r="G532" i="2" s="1"/>
  <c r="F545" i="2"/>
  <c r="F550" i="2"/>
  <c r="G550" i="2" s="1"/>
  <c r="F558" i="2"/>
  <c r="G558" i="2" s="1"/>
  <c r="F571" i="2"/>
  <c r="G571" i="2" s="1"/>
  <c r="F579" i="2"/>
  <c r="G579" i="2" s="1"/>
  <c r="F366" i="2"/>
  <c r="G366" i="2" s="1"/>
  <c r="F443" i="2"/>
  <c r="G443" i="2" s="1"/>
  <c r="F455" i="2"/>
  <c r="G455" i="2" s="1"/>
  <c r="F458" i="2"/>
  <c r="G458" i="2" s="1"/>
  <c r="F466" i="2"/>
  <c r="G466" i="2" s="1"/>
  <c r="F474" i="2"/>
  <c r="G474" i="2" s="1"/>
  <c r="F482" i="2"/>
  <c r="G482" i="2" s="1"/>
  <c r="F498" i="2"/>
  <c r="G498" i="2" s="1"/>
  <c r="F527" i="2"/>
  <c r="G527" i="2" s="1"/>
  <c r="F540" i="2"/>
  <c r="F553" i="2"/>
  <c r="G553" i="2" s="1"/>
  <c r="F561" i="2"/>
  <c r="G561" i="2" s="1"/>
  <c r="F566" i="2"/>
  <c r="F234" i="2"/>
  <c r="G234" i="2" s="1"/>
  <c r="F448" i="2"/>
  <c r="G448" i="2" s="1"/>
  <c r="F492" i="2"/>
  <c r="G492" i="2" s="1"/>
  <c r="F555" i="2"/>
  <c r="G555" i="2" s="1"/>
  <c r="F610" i="2"/>
  <c r="G610" i="2" s="1"/>
  <c r="F631" i="2"/>
  <c r="G631" i="2" s="1"/>
  <c r="F647" i="2"/>
  <c r="G647" i="2" s="1"/>
  <c r="F655" i="2"/>
  <c r="G655" i="2" s="1"/>
  <c r="F676" i="2"/>
  <c r="G676" i="2" s="1"/>
  <c r="F684" i="2"/>
  <c r="F700" i="2"/>
  <c r="G700" i="2" s="1"/>
  <c r="F708" i="2"/>
  <c r="F716" i="2"/>
  <c r="G716" i="2" s="1"/>
  <c r="F721" i="2"/>
  <c r="F729" i="2"/>
  <c r="G729" i="2" s="1"/>
  <c r="F745" i="2"/>
  <c r="F750" i="2"/>
  <c r="G750" i="2" s="1"/>
  <c r="F758" i="2"/>
  <c r="G758" i="2" s="1"/>
  <c r="F766" i="2"/>
  <c r="G766" i="2" s="1"/>
  <c r="F405" i="2"/>
  <c r="G405" i="2" s="1"/>
  <c r="F516" i="2"/>
  <c r="G516" i="2" s="1"/>
  <c r="F537" i="2"/>
  <c r="G537" i="2" s="1"/>
  <c r="F616" i="2"/>
  <c r="F621" i="2"/>
  <c r="G621" i="2" s="1"/>
  <c r="F634" i="2"/>
  <c r="G634" i="2" s="1"/>
  <c r="F650" i="2"/>
  <c r="G650" i="2" s="1"/>
  <c r="F658" i="2"/>
  <c r="G658" i="2" s="1"/>
  <c r="F663" i="2"/>
  <c r="G663" i="2" s="1"/>
  <c r="F671" i="2"/>
  <c r="G671" i="2" s="1"/>
  <c r="F687" i="2"/>
  <c r="G687" i="2" s="1"/>
  <c r="F695" i="2"/>
  <c r="G695" i="2" s="1"/>
  <c r="F711" i="2"/>
  <c r="G711" i="2" s="1"/>
  <c r="F724" i="2"/>
  <c r="G724" i="2" s="1"/>
  <c r="F454" i="2"/>
  <c r="G454" i="2" s="1"/>
  <c r="F476" i="2"/>
  <c r="G476" i="2" s="1"/>
  <c r="F574" i="2"/>
  <c r="G574" i="2" s="1"/>
  <c r="F629" i="2"/>
  <c r="G629" i="2" s="1"/>
  <c r="F637" i="2"/>
  <c r="F645" i="2"/>
  <c r="G645" i="2" s="1"/>
  <c r="F653" i="2"/>
  <c r="G653" i="2" s="1"/>
  <c r="F674" i="2"/>
  <c r="G674" i="2" s="1"/>
  <c r="F682" i="2"/>
  <c r="G682" i="2" s="1"/>
  <c r="F690" i="2"/>
  <c r="G690" i="2" s="1"/>
  <c r="F698" i="2"/>
  <c r="G698" i="2" s="1"/>
  <c r="F706" i="2"/>
  <c r="G706" i="2" s="1"/>
  <c r="F714" i="2"/>
  <c r="G714" i="2" s="1"/>
  <c r="F719" i="2"/>
  <c r="G719" i="2" s="1"/>
  <c r="F727" i="2"/>
  <c r="G727" i="2" s="1"/>
  <c r="F735" i="2"/>
  <c r="G735" i="2" s="1"/>
  <c r="F748" i="2"/>
  <c r="F764" i="2"/>
  <c r="G764" i="2" s="1"/>
  <c r="F772" i="2"/>
  <c r="F780" i="2"/>
  <c r="G780" i="2" s="1"/>
  <c r="F785" i="2"/>
  <c r="F798" i="2"/>
  <c r="F500" i="2"/>
  <c r="F542" i="2"/>
  <c r="F582" i="2"/>
  <c r="G582" i="2" s="1"/>
  <c r="F606" i="2"/>
  <c r="F626" i="2"/>
  <c r="G626" i="2" s="1"/>
  <c r="F632" i="2"/>
  <c r="F640" i="2"/>
  <c r="F648" i="2"/>
  <c r="G648" i="2" s="1"/>
  <c r="F656" i="2"/>
  <c r="G656" i="2" s="1"/>
  <c r="F669" i="2"/>
  <c r="G669" i="2" s="1"/>
  <c r="F677" i="2"/>
  <c r="G677" i="2" s="1"/>
  <c r="F685" i="2"/>
  <c r="F693" i="2"/>
  <c r="F709" i="2"/>
  <c r="G709" i="2" s="1"/>
  <c r="F717" i="2"/>
  <c r="G717" i="2" s="1"/>
  <c r="F722" i="2"/>
  <c r="G722" i="2" s="1"/>
  <c r="F738" i="2"/>
  <c r="G738" i="2" s="1"/>
  <c r="F751" i="2"/>
  <c r="G751" i="2" s="1"/>
  <c r="F759" i="2"/>
  <c r="G759" i="2" s="1"/>
  <c r="F775" i="2"/>
  <c r="G775" i="2" s="1"/>
  <c r="F788" i="2"/>
  <c r="G788" i="2" s="1"/>
  <c r="F801" i="2"/>
  <c r="G801" i="2" s="1"/>
  <c r="F460" i="2"/>
  <c r="G460" i="2" s="1"/>
  <c r="F576" i="2"/>
  <c r="F590" i="2"/>
  <c r="G590" i="2" s="1"/>
  <c r="F618" i="2"/>
  <c r="G618" i="2" s="1"/>
  <c r="F651" i="2"/>
  <c r="G651" i="2" s="1"/>
  <c r="F672" i="2"/>
  <c r="G672" i="2" s="1"/>
  <c r="F680" i="2"/>
  <c r="F696" i="2"/>
  <c r="F704" i="2"/>
  <c r="F712" i="2"/>
  <c r="G712" i="2" s="1"/>
  <c r="F733" i="2"/>
  <c r="G733" i="2" s="1"/>
  <c r="F741" i="2"/>
  <c r="F746" i="2"/>
  <c r="G746" i="2" s="1"/>
  <c r="F754" i="2"/>
  <c r="G754" i="2" s="1"/>
  <c r="F762" i="2"/>
  <c r="G762" i="2" s="1"/>
  <c r="F770" i="2"/>
  <c r="G770" i="2" s="1"/>
  <c r="F778" i="2"/>
  <c r="G778" i="2" s="1"/>
  <c r="F783" i="2"/>
  <c r="G783" i="2" s="1"/>
  <c r="F791" i="2"/>
  <c r="G791" i="2" s="1"/>
  <c r="F804" i="2"/>
  <c r="G804" i="2" s="1"/>
  <c r="F547" i="2"/>
  <c r="F568" i="2"/>
  <c r="G568" i="2" s="1"/>
  <c r="F584" i="2"/>
  <c r="G584" i="2" s="1"/>
  <c r="F608" i="2"/>
  <c r="G608" i="2" s="1"/>
  <c r="F630" i="2"/>
  <c r="G630" i="2" s="1"/>
  <c r="F646" i="2"/>
  <c r="F667" i="2"/>
  <c r="G667" i="2" s="1"/>
  <c r="F675" i="2"/>
  <c r="F683" i="2"/>
  <c r="G683" i="2" s="1"/>
  <c r="F691" i="2"/>
  <c r="G691" i="2" s="1"/>
  <c r="F699" i="2"/>
  <c r="F715" i="2"/>
  <c r="G715" i="2" s="1"/>
  <c r="F720" i="2"/>
  <c r="G720" i="2" s="1"/>
  <c r="F736" i="2"/>
  <c r="G736" i="2" s="1"/>
  <c r="F744" i="2"/>
  <c r="F749" i="2"/>
  <c r="F757" i="2"/>
  <c r="G757" i="2" s="1"/>
  <c r="F773" i="2"/>
  <c r="G773" i="2" s="1"/>
  <c r="F786" i="2"/>
  <c r="G786" i="2" s="1"/>
  <c r="F799" i="2"/>
  <c r="G799" i="2" s="1"/>
  <c r="F578" i="2"/>
  <c r="G578" i="2" s="1"/>
  <c r="F592" i="2"/>
  <c r="G592" i="2" s="1"/>
  <c r="F619" i="2"/>
  <c r="G619" i="2" s="1"/>
  <c r="F627" i="2"/>
  <c r="G627" i="2" s="1"/>
  <c r="F633" i="2"/>
  <c r="G633" i="2" s="1"/>
  <c r="F649" i="2"/>
  <c r="G649" i="2" s="1"/>
  <c r="F657" i="2"/>
  <c r="F670" i="2"/>
  <c r="F678" i="2"/>
  <c r="G678" i="2" s="1"/>
  <c r="F686" i="2"/>
  <c r="G686" i="2" s="1"/>
  <c r="F694" i="2"/>
  <c r="G694" i="2" s="1"/>
  <c r="F731" i="2"/>
  <c r="F739" i="2"/>
  <c r="G739" i="2" s="1"/>
  <c r="F760" i="2"/>
  <c r="G760" i="2" s="1"/>
  <c r="F776" i="2"/>
  <c r="G776" i="2" s="1"/>
  <c r="F781" i="2"/>
  <c r="G781" i="2" s="1"/>
  <c r="F382" i="2"/>
  <c r="G382" i="2" s="1"/>
  <c r="F755" i="2"/>
  <c r="G755" i="2" s="1"/>
  <c r="F811" i="2"/>
  <c r="G811" i="2" s="1"/>
  <c r="F819" i="2"/>
  <c r="G819" i="2" s="1"/>
  <c r="F835" i="2"/>
  <c r="F859" i="2"/>
  <c r="F872" i="2"/>
  <c r="G872" i="2" s="1"/>
  <c r="F888" i="2"/>
  <c r="F912" i="2"/>
  <c r="G912" i="2" s="1"/>
  <c r="F928" i="2"/>
  <c r="F936" i="2"/>
  <c r="G936" i="2" s="1"/>
  <c r="F952" i="2"/>
  <c r="G952" i="2" s="1"/>
  <c r="F968" i="2"/>
  <c r="G968" i="2" s="1"/>
  <c r="F445" i="2"/>
  <c r="G445" i="2" s="1"/>
  <c r="F586" i="2"/>
  <c r="G586" i="2" s="1"/>
  <c r="F734" i="2"/>
  <c r="F803" i="2"/>
  <c r="G803" i="2" s="1"/>
  <c r="F806" i="2"/>
  <c r="G806" i="2" s="1"/>
  <c r="F846" i="2"/>
  <c r="G846" i="2" s="1"/>
  <c r="F854" i="2"/>
  <c r="G854" i="2" s="1"/>
  <c r="F862" i="2"/>
  <c r="F875" i="2"/>
  <c r="G875" i="2" s="1"/>
  <c r="F891" i="2"/>
  <c r="F899" i="2"/>
  <c r="G899" i="2" s="1"/>
  <c r="F907" i="2"/>
  <c r="G907" i="2" s="1"/>
  <c r="F915" i="2"/>
  <c r="F468" i="2"/>
  <c r="F747" i="2"/>
  <c r="G747" i="2" s="1"/>
  <c r="F809" i="2"/>
  <c r="F817" i="2"/>
  <c r="G817" i="2" s="1"/>
  <c r="F841" i="2"/>
  <c r="G841" i="2" s="1"/>
  <c r="F857" i="2"/>
  <c r="G857" i="2" s="1"/>
  <c r="F870" i="2"/>
  <c r="G870" i="2" s="1"/>
  <c r="F878" i="2"/>
  <c r="G878" i="2" s="1"/>
  <c r="F886" i="2"/>
  <c r="G886" i="2" s="1"/>
  <c r="F902" i="2"/>
  <c r="G902" i="2" s="1"/>
  <c r="F910" i="2"/>
  <c r="G910" i="2" s="1"/>
  <c r="F934" i="2"/>
  <c r="G934" i="2" s="1"/>
  <c r="F942" i="2"/>
  <c r="G942" i="2" s="1"/>
  <c r="F950" i="2"/>
  <c r="G950" i="2" s="1"/>
  <c r="F958" i="2"/>
  <c r="G958" i="2" s="1"/>
  <c r="F697" i="2"/>
  <c r="G697" i="2" s="1"/>
  <c r="F800" i="2"/>
  <c r="G800" i="2" s="1"/>
  <c r="F812" i="2"/>
  <c r="F820" i="2"/>
  <c r="G820" i="2" s="1"/>
  <c r="F828" i="2"/>
  <c r="G828" i="2" s="1"/>
  <c r="F836" i="2"/>
  <c r="F844" i="2"/>
  <c r="G844" i="2" s="1"/>
  <c r="F852" i="2"/>
  <c r="G852" i="2" s="1"/>
  <c r="F860" i="2"/>
  <c r="G860" i="2" s="1"/>
  <c r="F868" i="2"/>
  <c r="G868" i="2" s="1"/>
  <c r="F873" i="2"/>
  <c r="F881" i="2"/>
  <c r="G881" i="2" s="1"/>
  <c r="F889" i="2"/>
  <c r="G889" i="2" s="1"/>
  <c r="F795" i="2"/>
  <c r="G795" i="2" s="1"/>
  <c r="F807" i="2"/>
  <c r="G807" i="2" s="1"/>
  <c r="F815" i="2"/>
  <c r="G815" i="2" s="1"/>
  <c r="F823" i="2"/>
  <c r="G823" i="2" s="1"/>
  <c r="F839" i="2"/>
  <c r="G839" i="2" s="1"/>
  <c r="F847" i="2"/>
  <c r="G847" i="2" s="1"/>
  <c r="F855" i="2"/>
  <c r="G855" i="2" s="1"/>
  <c r="F863" i="2"/>
  <c r="G863" i="2" s="1"/>
  <c r="F876" i="2"/>
  <c r="G876" i="2" s="1"/>
  <c r="F892" i="2"/>
  <c r="G892" i="2" s="1"/>
  <c r="F900" i="2"/>
  <c r="F908" i="2"/>
  <c r="G908" i="2" s="1"/>
  <c r="F932" i="2"/>
  <c r="G932" i="2" s="1"/>
  <c r="F940" i="2"/>
  <c r="F956" i="2"/>
  <c r="G956" i="2" s="1"/>
  <c r="F964" i="2"/>
  <c r="F988" i="2"/>
  <c r="G988" i="2" s="1"/>
  <c r="F740" i="2"/>
  <c r="G740" i="2" s="1"/>
  <c r="F761" i="2"/>
  <c r="G761" i="2" s="1"/>
  <c r="F782" i="2"/>
  <c r="G782" i="2" s="1"/>
  <c r="F810" i="2"/>
  <c r="G810" i="2" s="1"/>
  <c r="F818" i="2"/>
  <c r="G818" i="2" s="1"/>
  <c r="F826" i="2"/>
  <c r="G826" i="2" s="1"/>
  <c r="F834" i="2"/>
  <c r="G834" i="2" s="1"/>
  <c r="F842" i="2"/>
  <c r="G842" i="2" s="1"/>
  <c r="F850" i="2"/>
  <c r="F866" i="2"/>
  <c r="F879" i="2"/>
  <c r="G879" i="2" s="1"/>
  <c r="F887" i="2"/>
  <c r="G887" i="2" s="1"/>
  <c r="F895" i="2"/>
  <c r="F903" i="2"/>
  <c r="G903" i="2" s="1"/>
  <c r="F911" i="2"/>
  <c r="G911" i="2" s="1"/>
  <c r="F919" i="2"/>
  <c r="G919" i="2" s="1"/>
  <c r="F927" i="2"/>
  <c r="G927" i="2" s="1"/>
  <c r="F935" i="2"/>
  <c r="F959" i="2"/>
  <c r="F967" i="2"/>
  <c r="G967" i="2" s="1"/>
  <c r="F614" i="2"/>
  <c r="G614" i="2" s="1"/>
  <c r="F705" i="2"/>
  <c r="G705" i="2" s="1"/>
  <c r="F742" i="2"/>
  <c r="G742" i="2" s="1"/>
  <c r="F784" i="2"/>
  <c r="G784" i="2" s="1"/>
  <c r="F797" i="2"/>
  <c r="G797" i="2" s="1"/>
  <c r="F802" i="2"/>
  <c r="G802" i="2" s="1"/>
  <c r="F805" i="2"/>
  <c r="F813" i="2"/>
  <c r="F808" i="2"/>
  <c r="F885" i="2"/>
  <c r="F954" i="2"/>
  <c r="F977" i="2"/>
  <c r="F981" i="2"/>
  <c r="F1002" i="2"/>
  <c r="G1002" i="2" s="1"/>
  <c r="F1010" i="2"/>
  <c r="G1010" i="2" s="1"/>
  <c r="F1018" i="2"/>
  <c r="G1018" i="2" s="1"/>
  <c r="F1026" i="2"/>
  <c r="G1026" i="2" s="1"/>
  <c r="F1042" i="2"/>
  <c r="F1050" i="2"/>
  <c r="G1050" i="2" s="1"/>
  <c r="F1071" i="2"/>
  <c r="G1071" i="2" s="1"/>
  <c r="F1079" i="2"/>
  <c r="G1079" i="2" s="1"/>
  <c r="F1087" i="2"/>
  <c r="G1087" i="2" s="1"/>
  <c r="F1095" i="2"/>
  <c r="F1100" i="2"/>
  <c r="F1116" i="2"/>
  <c r="G1116" i="2" s="1"/>
  <c r="F1124" i="2"/>
  <c r="G1124" i="2" s="1"/>
  <c r="F1132" i="2"/>
  <c r="G1132" i="2" s="1"/>
  <c r="F1140" i="2"/>
  <c r="F933" i="2"/>
  <c r="F949" i="2"/>
  <c r="F965" i="2"/>
  <c r="G965" i="2" s="1"/>
  <c r="F974" i="2"/>
  <c r="G974" i="2" s="1"/>
  <c r="F1021" i="2"/>
  <c r="G1021" i="2" s="1"/>
  <c r="F1029" i="2"/>
  <c r="G1029" i="2" s="1"/>
  <c r="F1037" i="2"/>
  <c r="F1045" i="2"/>
  <c r="G1045" i="2" s="1"/>
  <c r="F1066" i="2"/>
  <c r="G1066" i="2" s="1"/>
  <c r="F1074" i="2"/>
  <c r="G1074" i="2" s="1"/>
  <c r="F1082" i="2"/>
  <c r="G1082" i="2" s="1"/>
  <c r="F1090" i="2"/>
  <c r="G1090" i="2" s="1"/>
  <c r="F644" i="2"/>
  <c r="F824" i="2"/>
  <c r="F877" i="2"/>
  <c r="G877" i="2" s="1"/>
  <c r="F909" i="2"/>
  <c r="G909" i="2" s="1"/>
  <c r="F955" i="2"/>
  <c r="G955" i="2" s="1"/>
  <c r="F1024" i="2"/>
  <c r="F1032" i="2"/>
  <c r="F1040" i="2"/>
  <c r="G1040" i="2" s="1"/>
  <c r="F1048" i="2"/>
  <c r="G1048" i="2" s="1"/>
  <c r="F1061" i="2"/>
  <c r="F837" i="2"/>
  <c r="G837" i="2" s="1"/>
  <c r="F869" i="2"/>
  <c r="G869" i="2" s="1"/>
  <c r="F890" i="2"/>
  <c r="F929" i="2"/>
  <c r="G929" i="2" s="1"/>
  <c r="F945" i="2"/>
  <c r="G945" i="2" s="1"/>
  <c r="F961" i="2"/>
  <c r="G961" i="2" s="1"/>
  <c r="F971" i="2"/>
  <c r="F982" i="2"/>
  <c r="G982" i="2" s="1"/>
  <c r="F986" i="2"/>
  <c r="G986" i="2" s="1"/>
  <c r="F995" i="2"/>
  <c r="G995" i="2" s="1"/>
  <c r="F1027" i="2"/>
  <c r="G1027" i="2" s="1"/>
  <c r="F1035" i="2"/>
  <c r="F1043" i="2"/>
  <c r="F1051" i="2"/>
  <c r="F1064" i="2"/>
  <c r="F1088" i="2"/>
  <c r="G1088" i="2" s="1"/>
  <c r="F1096" i="2"/>
  <c r="F1101" i="2"/>
  <c r="F1109" i="2"/>
  <c r="F1149" i="2"/>
  <c r="G1149" i="2" s="1"/>
  <c r="F848" i="2"/>
  <c r="G848" i="2" s="1"/>
  <c r="F930" i="2"/>
  <c r="G930" i="2" s="1"/>
  <c r="F946" i="2"/>
  <c r="F979" i="2"/>
  <c r="F1014" i="2"/>
  <c r="G1014" i="2" s="1"/>
  <c r="F1022" i="2"/>
  <c r="F1030" i="2"/>
  <c r="G1030" i="2" s="1"/>
  <c r="F1038" i="2"/>
  <c r="G1038" i="2" s="1"/>
  <c r="F1046" i="2"/>
  <c r="G1046" i="2" s="1"/>
  <c r="F1054" i="2"/>
  <c r="G1054" i="2" s="1"/>
  <c r="F1091" i="2"/>
  <c r="G1091" i="2" s="1"/>
  <c r="F1099" i="2"/>
  <c r="G1099" i="2" s="1"/>
  <c r="F1104" i="2"/>
  <c r="F1112" i="2"/>
  <c r="G1112" i="2" s="1"/>
  <c r="F829" i="2"/>
  <c r="F882" i="2"/>
  <c r="F914" i="2"/>
  <c r="G914" i="2" s="1"/>
  <c r="F941" i="2"/>
  <c r="G941" i="2" s="1"/>
  <c r="F976" i="2"/>
  <c r="G976" i="2" s="1"/>
  <c r="F990" i="2"/>
  <c r="G990" i="2" s="1"/>
  <c r="F993" i="2"/>
  <c r="G993" i="2" s="1"/>
  <c r="F1009" i="2"/>
  <c r="G1009" i="2" s="1"/>
  <c r="F1041" i="2"/>
  <c r="F1057" i="2"/>
  <c r="G1057" i="2" s="1"/>
  <c r="F1062" i="2"/>
  <c r="F1078" i="2"/>
  <c r="F1086" i="2"/>
  <c r="F1094" i="2"/>
  <c r="G1094" i="2" s="1"/>
  <c r="F1107" i="2"/>
  <c r="G1107" i="2" s="1"/>
  <c r="F1115" i="2"/>
  <c r="F840" i="2"/>
  <c r="G840" i="2" s="1"/>
  <c r="F925" i="2"/>
  <c r="F947" i="2"/>
  <c r="G947" i="2" s="1"/>
  <c r="F1007" i="2"/>
  <c r="G1007" i="2" s="1"/>
  <c r="F1085" i="2"/>
  <c r="G1085" i="2" s="1"/>
  <c r="F1106" i="2"/>
  <c r="G1106" i="2" s="1"/>
  <c r="F1138" i="2"/>
  <c r="G1138" i="2" s="1"/>
  <c r="F1143" i="2"/>
  <c r="G1143" i="2" s="1"/>
  <c r="F1159" i="2"/>
  <c r="F1180" i="2"/>
  <c r="G1180" i="2" s="1"/>
  <c r="F1188" i="2"/>
  <c r="G1188" i="2" s="1"/>
  <c r="F1196" i="2"/>
  <c r="G1196" i="2" s="1"/>
  <c r="F1204" i="2"/>
  <c r="F1220" i="2"/>
  <c r="F1233" i="2"/>
  <c r="F1241" i="2"/>
  <c r="G1241" i="2" s="1"/>
  <c r="F1257" i="2"/>
  <c r="G1257" i="2" s="1"/>
  <c r="F1265" i="2"/>
  <c r="G1265" i="2" s="1"/>
  <c r="F1273" i="2"/>
  <c r="F1278" i="2"/>
  <c r="F1291" i="2"/>
  <c r="F1309" i="2"/>
  <c r="G1309" i="2" s="1"/>
  <c r="F1325" i="2"/>
  <c r="G1325" i="2" s="1"/>
  <c r="F1333" i="2"/>
  <c r="G1333" i="2" s="1"/>
  <c r="F1373" i="2"/>
  <c r="G1373" i="2" s="1"/>
  <c r="F1389" i="2"/>
  <c r="F1397" i="2"/>
  <c r="F1405" i="2"/>
  <c r="F1468" i="2"/>
  <c r="G1468" i="2" s="1"/>
  <c r="F1476" i="2"/>
  <c r="G1476" i="2" s="1"/>
  <c r="F1484" i="2"/>
  <c r="G1484" i="2" s="1"/>
  <c r="F1492" i="2"/>
  <c r="F1440" i="2"/>
  <c r="G1440" i="2" s="1"/>
  <c r="F1445" i="2"/>
  <c r="G1445" i="2" s="1"/>
  <c r="F1466" i="2"/>
  <c r="F953" i="2"/>
  <c r="F1031" i="2"/>
  <c r="F1154" i="2"/>
  <c r="G1154" i="2" s="1"/>
  <c r="F1157" i="2"/>
  <c r="G1157" i="2" s="1"/>
  <c r="F1167" i="2"/>
  <c r="F1183" i="2"/>
  <c r="F1199" i="2"/>
  <c r="G1199" i="2" s="1"/>
  <c r="F1207" i="2"/>
  <c r="G1207" i="2" s="1"/>
  <c r="F1215" i="2"/>
  <c r="G1215" i="2" s="1"/>
  <c r="F1223" i="2"/>
  <c r="F1228" i="2"/>
  <c r="F1244" i="2"/>
  <c r="G1244" i="2" s="1"/>
  <c r="F1252" i="2"/>
  <c r="G1252" i="2" s="1"/>
  <c r="F1260" i="2"/>
  <c r="G1260" i="2" s="1"/>
  <c r="F1268" i="2"/>
  <c r="F1307" i="2"/>
  <c r="G1307" i="2" s="1"/>
  <c r="F1312" i="2"/>
  <c r="G1312" i="2" s="1"/>
  <c r="F1336" i="2"/>
  <c r="F1352" i="2"/>
  <c r="G1352" i="2" s="1"/>
  <c r="F1376" i="2"/>
  <c r="G1376" i="2" s="1"/>
  <c r="F1408" i="2"/>
  <c r="F1424" i="2"/>
  <c r="G1424" i="2" s="1"/>
  <c r="F1437" i="2"/>
  <c r="G1437" i="2" s="1"/>
  <c r="F1471" i="2"/>
  <c r="F1479" i="2"/>
  <c r="G1479" i="2" s="1"/>
  <c r="F1487" i="2"/>
  <c r="F1495" i="2"/>
  <c r="F1403" i="2"/>
  <c r="F1490" i="2"/>
  <c r="F1076" i="2"/>
  <c r="G1076" i="2" s="1"/>
  <c r="F1151" i="2"/>
  <c r="G1151" i="2" s="1"/>
  <c r="F1170" i="2"/>
  <c r="G1170" i="2" s="1"/>
  <c r="F1178" i="2"/>
  <c r="G1178" i="2" s="1"/>
  <c r="F1194" i="2"/>
  <c r="G1194" i="2" s="1"/>
  <c r="F1202" i="2"/>
  <c r="G1202" i="2" s="1"/>
  <c r="F1210" i="2"/>
  <c r="G1210" i="2" s="1"/>
  <c r="F1218" i="2"/>
  <c r="G1218" i="2" s="1"/>
  <c r="F1247" i="2"/>
  <c r="G1247" i="2" s="1"/>
  <c r="F1263" i="2"/>
  <c r="F1271" i="2"/>
  <c r="F1276" i="2"/>
  <c r="F1339" i="2"/>
  <c r="F1363" i="2"/>
  <c r="G1363" i="2" s="1"/>
  <c r="F1450" i="2"/>
  <c r="G1450" i="2" s="1"/>
  <c r="F1015" i="2"/>
  <c r="G1015" i="2" s="1"/>
  <c r="F1121" i="2"/>
  <c r="G1121" i="2" s="1"/>
  <c r="F1135" i="2"/>
  <c r="G1135" i="2" s="1"/>
  <c r="F1155" i="2"/>
  <c r="F1160" i="2"/>
  <c r="F1165" i="2"/>
  <c r="F1173" i="2"/>
  <c r="G1173" i="2" s="1"/>
  <c r="F1213" i="2"/>
  <c r="G1213" i="2" s="1"/>
  <c r="F1221" i="2"/>
  <c r="G1221" i="2" s="1"/>
  <c r="F1226" i="2"/>
  <c r="G1226" i="2" s="1"/>
  <c r="F1242" i="2"/>
  <c r="G1242" i="2" s="1"/>
  <c r="F1258" i="2"/>
  <c r="G1258" i="2" s="1"/>
  <c r="F1266" i="2"/>
  <c r="G1266" i="2" s="1"/>
  <c r="F1279" i="2"/>
  <c r="G1279" i="2" s="1"/>
  <c r="F1305" i="2"/>
  <c r="F1310" i="2"/>
  <c r="F1318" i="2"/>
  <c r="F1326" i="2"/>
  <c r="F1334" i="2"/>
  <c r="G1334" i="2" s="1"/>
  <c r="F1350" i="2"/>
  <c r="G1350" i="2" s="1"/>
  <c r="F1374" i="2"/>
  <c r="F1382" i="2"/>
  <c r="F1390" i="2"/>
  <c r="F1398" i="2"/>
  <c r="G1398" i="2" s="1"/>
  <c r="F1453" i="2"/>
  <c r="F1461" i="2"/>
  <c r="F1477" i="2"/>
  <c r="G1477" i="2" s="1"/>
  <c r="F1493" i="2"/>
  <c r="G1493" i="2" s="1"/>
  <c r="F1105" i="2"/>
  <c r="F1193" i="2"/>
  <c r="G1193" i="2" s="1"/>
  <c r="F1217" i="2"/>
  <c r="G1217" i="2" s="1"/>
  <c r="F1270" i="2"/>
  <c r="F1039" i="2"/>
  <c r="F1145" i="2"/>
  <c r="G1145" i="2" s="1"/>
  <c r="F1152" i="2"/>
  <c r="G1152" i="2" s="1"/>
  <c r="F1163" i="2"/>
  <c r="G1163" i="2" s="1"/>
  <c r="F1168" i="2"/>
  <c r="F1176" i="2"/>
  <c r="F1200" i="2"/>
  <c r="G1200" i="2" s="1"/>
  <c r="F1216" i="2"/>
  <c r="F1224" i="2"/>
  <c r="G1224" i="2" s="1"/>
  <c r="F1229" i="2"/>
  <c r="F1274" i="2"/>
  <c r="F1287" i="2"/>
  <c r="F1300" i="2"/>
  <c r="F1313" i="2"/>
  <c r="F1321" i="2"/>
  <c r="G1321" i="2" s="1"/>
  <c r="F1329" i="2"/>
  <c r="G1329" i="2" s="1"/>
  <c r="F1337" i="2"/>
  <c r="G1337" i="2" s="1"/>
  <c r="F1369" i="2"/>
  <c r="F1377" i="2"/>
  <c r="F1385" i="2"/>
  <c r="G1385" i="2" s="1"/>
  <c r="F1393" i="2"/>
  <c r="G1393" i="2" s="1"/>
  <c r="F1409" i="2"/>
  <c r="G1409" i="2" s="1"/>
  <c r="F1433" i="2"/>
  <c r="F1438" i="2"/>
  <c r="F1456" i="2"/>
  <c r="F1480" i="2"/>
  <c r="G1480" i="2" s="1"/>
  <c r="F1496" i="2"/>
  <c r="G1496" i="2" s="1"/>
  <c r="F1169" i="2"/>
  <c r="F1230" i="2"/>
  <c r="G1230" i="2" s="1"/>
  <c r="F1171" i="2"/>
  <c r="F1179" i="2"/>
  <c r="G1179" i="2" s="1"/>
  <c r="F1203" i="2"/>
  <c r="F1219" i="2"/>
  <c r="F1272" i="2"/>
  <c r="G1272" i="2" s="1"/>
  <c r="F1290" i="2"/>
  <c r="G1290" i="2" s="1"/>
  <c r="F1303" i="2"/>
  <c r="G1303" i="2" s="1"/>
  <c r="F1308" i="2"/>
  <c r="F1316" i="2"/>
  <c r="G1316" i="2" s="1"/>
  <c r="F1356" i="2"/>
  <c r="F1364" i="2"/>
  <c r="F1372" i="2"/>
  <c r="F1380" i="2"/>
  <c r="G1380" i="2" s="1"/>
  <c r="F1388" i="2"/>
  <c r="G1388" i="2" s="1"/>
  <c r="F1420" i="2"/>
  <c r="F1428" i="2"/>
  <c r="F1436" i="2"/>
  <c r="F1441" i="2"/>
  <c r="F1446" i="2"/>
  <c r="F1467" i="2"/>
  <c r="F1483" i="2"/>
  <c r="F1238" i="2"/>
  <c r="G1238" i="2" s="1"/>
  <c r="F1023" i="2"/>
  <c r="G1023" i="2" s="1"/>
  <c r="F1093" i="2"/>
  <c r="G1093" i="2" s="1"/>
  <c r="F1156" i="2"/>
  <c r="F1166" i="2"/>
  <c r="G1166" i="2" s="1"/>
  <c r="F1174" i="2"/>
  <c r="G1174" i="2" s="1"/>
  <c r="F1198" i="2"/>
  <c r="G1198" i="2" s="1"/>
  <c r="F1214" i="2"/>
  <c r="F1227" i="2"/>
  <c r="G1227" i="2" s="1"/>
  <c r="F1235" i="2"/>
  <c r="F1259" i="2"/>
  <c r="G1259" i="2" s="1"/>
  <c r="F1280" i="2"/>
  <c r="F1298" i="2"/>
  <c r="F1327" i="2"/>
  <c r="F1343" i="2"/>
  <c r="F1359" i="2"/>
  <c r="F1367" i="2"/>
  <c r="G1367" i="2" s="1"/>
  <c r="F1383" i="2"/>
  <c r="F1407" i="2"/>
  <c r="F1423" i="2"/>
  <c r="F1431" i="2"/>
  <c r="G1431" i="2" s="1"/>
  <c r="F1454" i="2"/>
  <c r="F1462" i="2"/>
  <c r="F1068" i="2"/>
  <c r="G1068" i="2" s="1"/>
  <c r="F1146" i="2"/>
  <c r="G1146" i="2" s="1"/>
  <c r="F1338" i="2"/>
  <c r="F1402" i="2"/>
  <c r="G1402" i="2" s="1"/>
  <c r="F1444" i="2"/>
  <c r="F1362" i="2"/>
  <c r="G1362" i="2" s="1"/>
  <c r="F1426" i="2"/>
  <c r="G1426" i="2" s="1"/>
  <c r="F1457" i="2"/>
  <c r="G1457" i="2" s="1"/>
  <c r="F1489" i="2"/>
  <c r="F1418" i="2"/>
  <c r="G1418" i="2" s="1"/>
  <c r="F1481" i="2"/>
  <c r="A2" i="2" a="1"/>
  <c r="G1235" i="2" l="1"/>
  <c r="G1039" i="2"/>
  <c r="G1051" i="2"/>
  <c r="G1359" i="2"/>
  <c r="G1356" i="2"/>
  <c r="G1160" i="2"/>
  <c r="G1167" i="2"/>
  <c r="G1492" i="2"/>
  <c r="G1043" i="2"/>
  <c r="G866" i="2"/>
  <c r="G749" i="2"/>
  <c r="G685" i="2"/>
  <c r="G1331" i="2"/>
  <c r="G1285" i="2"/>
  <c r="G1463" i="2"/>
  <c r="G1335" i="2"/>
  <c r="G1355" i="2"/>
  <c r="G1360" i="2"/>
  <c r="G1425" i="2"/>
  <c r="G1361" i="2"/>
  <c r="G1297" i="2"/>
  <c r="G1269" i="2"/>
  <c r="G1392" i="2"/>
  <c r="G1070" i="2"/>
  <c r="G1211" i="2"/>
  <c r="G1147" i="2"/>
  <c r="G1208" i="2"/>
  <c r="G1080" i="2"/>
  <c r="G1016" i="2"/>
  <c r="G920" i="2"/>
  <c r="G1205" i="2"/>
  <c r="G1141" i="2"/>
  <c r="G1077" i="2"/>
  <c r="G1013" i="2"/>
  <c r="G880" i="2"/>
  <c r="G1186" i="2"/>
  <c r="G1255" i="2"/>
  <c r="G1191" i="2"/>
  <c r="G1127" i="2"/>
  <c r="G1063" i="2"/>
  <c r="G999" i="2"/>
  <c r="G1236" i="2"/>
  <c r="G1172" i="2"/>
  <c r="G1108" i="2"/>
  <c r="G980" i="2"/>
  <c r="G752" i="2"/>
  <c r="G688" i="2"/>
  <c r="G624" i="2"/>
  <c r="G725" i="2"/>
  <c r="G661" i="2"/>
  <c r="G596" i="2"/>
  <c r="G415" i="2"/>
  <c r="G858" i="2"/>
  <c r="G602" i="2"/>
  <c r="G639" i="2"/>
  <c r="G884" i="2"/>
  <c r="G756" i="2"/>
  <c r="G692" i="2"/>
  <c r="G628" i="2"/>
  <c r="G522" i="2"/>
  <c r="G451" i="2"/>
  <c r="G289" i="2"/>
  <c r="G1287" i="2"/>
  <c r="G1155" i="2"/>
  <c r="G1104" i="2"/>
  <c r="G1032" i="2"/>
  <c r="G954" i="2"/>
  <c r="G1469" i="2"/>
  <c r="G1281" i="2"/>
  <c r="G1442" i="2"/>
  <c r="G1439" i="2"/>
  <c r="G1375" i="2"/>
  <c r="G1311" i="2"/>
  <c r="G1288" i="2"/>
  <c r="G1237" i="2"/>
  <c r="G1470" i="2"/>
  <c r="G1059" i="2"/>
  <c r="G728" i="2"/>
  <c r="G664" i="2"/>
  <c r="G600" i="2"/>
  <c r="G427" i="2"/>
  <c r="G581" i="2"/>
  <c r="G517" i="2"/>
  <c r="G463" i="2"/>
  <c r="G257" i="2"/>
  <c r="G447" i="2"/>
  <c r="G457" i="2"/>
  <c r="G542" i="2"/>
  <c r="G1327" i="2"/>
  <c r="G1310" i="2"/>
  <c r="G1490" i="2"/>
  <c r="G1109" i="2"/>
  <c r="G890" i="2"/>
  <c r="G1420" i="2"/>
  <c r="G1176" i="2"/>
  <c r="G1024" i="2"/>
  <c r="G1456" i="2"/>
  <c r="G1423" i="2"/>
  <c r="G1298" i="2"/>
  <c r="G1171" i="2"/>
  <c r="G1438" i="2"/>
  <c r="G1276" i="2"/>
  <c r="G813" i="2"/>
  <c r="G1042" i="2"/>
  <c r="G1444" i="2"/>
  <c r="G808" i="2"/>
  <c r="G468" i="2"/>
  <c r="G1374" i="2"/>
  <c r="G1271" i="2"/>
  <c r="G1487" i="2"/>
  <c r="G1405" i="2"/>
  <c r="G882" i="2"/>
  <c r="G1489" i="2"/>
  <c r="G1216" i="2"/>
  <c r="G1291" i="2"/>
  <c r="G981" i="2"/>
  <c r="G1451" i="2"/>
  <c r="G1434" i="2"/>
  <c r="G1324" i="2"/>
  <c r="G1277" i="2"/>
  <c r="G1344" i="2"/>
  <c r="G1401" i="2"/>
  <c r="G1294" i="2"/>
  <c r="G1452" i="2"/>
  <c r="G1406" i="2"/>
  <c r="G1342" i="2"/>
  <c r="G1123" i="2"/>
  <c r="G1248" i="2"/>
  <c r="G1120" i="2"/>
  <c r="G1056" i="2"/>
  <c r="G992" i="2"/>
  <c r="G1181" i="2"/>
  <c r="G1162" i="2"/>
  <c r="G1098" i="2"/>
  <c r="G1034" i="2"/>
  <c r="G970" i="2"/>
  <c r="G944" i="2"/>
  <c r="G1295" i="2"/>
  <c r="G1231" i="2"/>
  <c r="G1103" i="2"/>
  <c r="G975" i="2"/>
  <c r="G1212" i="2"/>
  <c r="G1148" i="2"/>
  <c r="G1084" i="2"/>
  <c r="G407" i="2"/>
  <c r="G827" i="2"/>
  <c r="G763" i="2"/>
  <c r="G957" i="2"/>
  <c r="G893" i="2"/>
  <c r="G898" i="2"/>
  <c r="G642" i="2"/>
  <c r="G871" i="2"/>
  <c r="G743" i="2"/>
  <c r="G679" i="2"/>
  <c r="G796" i="2"/>
  <c r="G732" i="2"/>
  <c r="G668" i="2"/>
  <c r="G604" i="2"/>
  <c r="G570" i="2"/>
  <c r="G401" i="2"/>
  <c r="G469" i="2"/>
  <c r="G151" i="2"/>
  <c r="G587" i="2"/>
  <c r="G523" i="2"/>
  <c r="G1169" i="2"/>
  <c r="G644" i="2"/>
  <c r="G1203" i="2"/>
  <c r="G1453" i="2"/>
  <c r="G267" i="2"/>
  <c r="G566" i="2"/>
  <c r="G862" i="2"/>
  <c r="G897" i="2"/>
  <c r="G1397" i="2"/>
  <c r="G1338" i="2"/>
  <c r="G1305" i="2"/>
  <c r="G971" i="2"/>
  <c r="G708" i="2"/>
  <c r="G536" i="2"/>
  <c r="G1320" i="2"/>
  <c r="G1412" i="2"/>
  <c r="G1348" i="2"/>
  <c r="G1243" i="2"/>
  <c r="G998" i="2"/>
  <c r="G1460" i="2"/>
  <c r="G1430" i="2"/>
  <c r="G1366" i="2"/>
  <c r="G1302" i="2"/>
  <c r="G1083" i="2"/>
  <c r="G1019" i="2"/>
  <c r="G1144" i="2"/>
  <c r="G1250" i="2"/>
  <c r="G1122" i="2"/>
  <c r="G1058" i="2"/>
  <c r="G994" i="2"/>
  <c r="G556" i="2"/>
  <c r="G851" i="2"/>
  <c r="G787" i="2"/>
  <c r="G723" i="2"/>
  <c r="G659" i="2"/>
  <c r="G548" i="2"/>
  <c r="G816" i="2"/>
  <c r="G922" i="2"/>
  <c r="G794" i="2"/>
  <c r="G730" i="2"/>
  <c r="G666" i="2"/>
  <c r="G831" i="2"/>
  <c r="G767" i="2"/>
  <c r="G703" i="2"/>
  <c r="G217" i="2"/>
  <c r="G501" i="2"/>
  <c r="G1195" i="2"/>
  <c r="G1263" i="2"/>
  <c r="G1384" i="2"/>
  <c r="G1317" i="2"/>
  <c r="G1159" i="2"/>
  <c r="G940" i="2"/>
  <c r="G744" i="2"/>
  <c r="G680" i="2"/>
  <c r="G616" i="2"/>
  <c r="G684" i="2"/>
  <c r="G540" i="2"/>
  <c r="G1447" i="2"/>
  <c r="G1223" i="2"/>
  <c r="G500" i="2"/>
  <c r="G1315" i="2"/>
  <c r="G1017" i="2"/>
  <c r="G921" i="2"/>
  <c r="G1062" i="2"/>
  <c r="G1000" i="2"/>
  <c r="G748" i="2"/>
  <c r="G1190" i="2"/>
  <c r="G1168" i="2"/>
  <c r="G1461" i="2"/>
  <c r="G1037" i="2"/>
  <c r="G949" i="2"/>
  <c r="G1095" i="2"/>
  <c r="G657" i="2"/>
  <c r="G521" i="2"/>
  <c r="G512" i="2"/>
  <c r="G440" i="2"/>
  <c r="G376" i="2"/>
  <c r="G1383" i="2"/>
  <c r="G1245" i="2"/>
  <c r="G1389" i="2"/>
  <c r="G935" i="2"/>
  <c r="G547" i="2"/>
  <c r="G576" i="2"/>
  <c r="G593" i="2"/>
  <c r="G384" i="2"/>
  <c r="G1031" i="2"/>
  <c r="G400" i="2"/>
  <c r="G485" i="2"/>
  <c r="G1481" i="2"/>
  <c r="G1436" i="2"/>
  <c r="G1229" i="2"/>
  <c r="G731" i="2"/>
  <c r="G646" i="2"/>
  <c r="G741" i="2"/>
  <c r="G171" i="2"/>
  <c r="G1256" i="2"/>
  <c r="G1458" i="2"/>
  <c r="G1268" i="2"/>
  <c r="G1204" i="2"/>
  <c r="G1035" i="2"/>
  <c r="G805" i="2"/>
  <c r="G812" i="2"/>
  <c r="G896" i="2"/>
  <c r="G710" i="2"/>
  <c r="G721" i="2"/>
  <c r="G565" i="2"/>
  <c r="G392" i="2"/>
  <c r="G305" i="2"/>
  <c r="G428" i="2"/>
  <c r="G169" i="2"/>
  <c r="G1454" i="2"/>
  <c r="G1443" i="2"/>
  <c r="G1165" i="2"/>
  <c r="G1273" i="2"/>
  <c r="G1101" i="2"/>
  <c r="G1140" i="2"/>
  <c r="G888" i="2"/>
  <c r="G707" i="2"/>
  <c r="G785" i="2"/>
  <c r="G774" i="2"/>
  <c r="G503" i="2"/>
  <c r="G497" i="2"/>
  <c r="G559" i="2"/>
  <c r="G1429" i="2"/>
  <c r="G1339" i="2"/>
  <c r="G1471" i="2"/>
  <c r="G1408" i="2"/>
  <c r="G850" i="2"/>
  <c r="G734" i="2"/>
  <c r="G155" i="2"/>
  <c r="G923" i="2"/>
  <c r="G928" i="2"/>
  <c r="G1100" i="2"/>
  <c r="G977" i="2"/>
  <c r="G915" i="2"/>
  <c r="G772" i="2"/>
  <c r="G1499" i="2"/>
  <c r="G1485" i="2"/>
  <c r="G1421" i="2"/>
  <c r="G1357" i="2"/>
  <c r="G1150" i="2"/>
  <c r="G1455" i="2"/>
  <c r="G1391" i="2"/>
  <c r="G1404" i="2"/>
  <c r="G1340" i="2"/>
  <c r="G1417" i="2"/>
  <c r="G1353" i="2"/>
  <c r="G1253" i="2"/>
  <c r="G1500" i="2"/>
  <c r="G1422" i="2"/>
  <c r="G1358" i="2"/>
  <c r="G1139" i="2"/>
  <c r="G1075" i="2"/>
  <c r="G1011" i="2"/>
  <c r="G913" i="2"/>
  <c r="G1264" i="2"/>
  <c r="G1136" i="2"/>
  <c r="G1072" i="2"/>
  <c r="G1008" i="2"/>
  <c r="G1197" i="2"/>
  <c r="G1133" i="2"/>
  <c r="G1069" i="2"/>
  <c r="G1005" i="2"/>
  <c r="G904" i="2"/>
  <c r="G864" i="2"/>
  <c r="G1114" i="2"/>
  <c r="G1119" i="2"/>
  <c r="G1055" i="2"/>
  <c r="G991" i="2"/>
  <c r="G1292" i="2"/>
  <c r="G1164" i="2"/>
  <c r="G972" i="2"/>
  <c r="G918" i="2"/>
  <c r="G883" i="2"/>
  <c r="G843" i="2"/>
  <c r="G779" i="2"/>
  <c r="G1214" i="2"/>
  <c r="G606" i="2"/>
  <c r="G1041" i="2"/>
  <c r="G1022" i="2"/>
  <c r="G895" i="2"/>
  <c r="G765" i="2"/>
  <c r="G745" i="2"/>
  <c r="G491" i="2"/>
  <c r="G1462" i="2"/>
  <c r="G1467" i="2"/>
  <c r="G1233" i="2"/>
  <c r="G836" i="2"/>
  <c r="G835" i="2"/>
  <c r="G699" i="2"/>
  <c r="G637" i="2"/>
  <c r="G545" i="2"/>
  <c r="G569" i="2"/>
  <c r="G329" i="2"/>
  <c r="G114" i="2"/>
  <c r="G1096" i="2"/>
  <c r="G1061" i="2"/>
  <c r="G1275" i="2"/>
  <c r="G1219" i="2"/>
  <c r="G1261" i="2"/>
  <c r="G1105" i="2"/>
  <c r="G1403" i="2"/>
  <c r="G1183" i="2"/>
  <c r="G953" i="2"/>
  <c r="G1086" i="2"/>
  <c r="G885" i="2"/>
  <c r="G964" i="2"/>
  <c r="G900" i="2"/>
  <c r="G704" i="2"/>
  <c r="G643" i="2"/>
  <c r="G139" i="2"/>
  <c r="G1313" i="2"/>
  <c r="G1278" i="2"/>
  <c r="G829" i="2"/>
  <c r="G1125" i="2"/>
  <c r="G997" i="2"/>
  <c r="G891" i="2"/>
  <c r="G1308" i="2"/>
  <c r="G1326" i="2"/>
  <c r="G1189" i="2"/>
  <c r="G1466" i="2"/>
  <c r="G925" i="2"/>
  <c r="G809" i="2"/>
  <c r="G617" i="2"/>
  <c r="G1372" i="2"/>
  <c r="G1390" i="2"/>
  <c r="G1228" i="2"/>
  <c r="G824" i="2"/>
  <c r="G873" i="2"/>
  <c r="G670" i="2"/>
  <c r="G675" i="2"/>
  <c r="G701" i="2"/>
  <c r="G640" i="2"/>
  <c r="G798" i="2"/>
  <c r="G519" i="2"/>
  <c r="G436" i="2"/>
  <c r="G583" i="2"/>
  <c r="G472" i="2"/>
  <c r="G369" i="2"/>
  <c r="G1399" i="2"/>
  <c r="G1483" i="2"/>
  <c r="G1428" i="2"/>
  <c r="G1364" i="2"/>
  <c r="G1274" i="2"/>
  <c r="G1382" i="2"/>
  <c r="G1318" i="2"/>
  <c r="G1175" i="2"/>
  <c r="G1078" i="2"/>
  <c r="G187" i="2"/>
  <c r="G1187" i="2"/>
  <c r="G933" i="2"/>
  <c r="G534" i="2"/>
  <c r="G1156" i="2"/>
  <c r="G1377" i="2"/>
  <c r="G1400" i="2"/>
  <c r="G1336" i="2"/>
  <c r="G867" i="2"/>
  <c r="G597" i="2"/>
  <c r="G1433" i="2"/>
  <c r="G1369" i="2"/>
  <c r="G1300" i="2"/>
  <c r="G1184" i="2"/>
  <c r="G1115" i="2"/>
  <c r="G1067" i="2"/>
  <c r="G959" i="2"/>
  <c r="G859" i="2"/>
  <c r="G696" i="2"/>
  <c r="G635" i="2"/>
  <c r="G1343" i="2"/>
  <c r="G1446" i="2"/>
  <c r="G1220" i="2"/>
  <c r="G979" i="2"/>
  <c r="G1064" i="2"/>
  <c r="G1497" i="2"/>
  <c r="G1407" i="2"/>
  <c r="G1280" i="2"/>
  <c r="G1206" i="2"/>
  <c r="G1441" i="2"/>
  <c r="G1131" i="2"/>
  <c r="G1270" i="2"/>
  <c r="G1395" i="2"/>
  <c r="G1495" i="2"/>
  <c r="G1349" i="2"/>
  <c r="G946" i="2"/>
  <c r="G1117" i="2"/>
  <c r="G989" i="2"/>
  <c r="G1053" i="2"/>
  <c r="G693" i="2"/>
  <c r="G632" i="2"/>
  <c r="C25" i="2"/>
  <c r="E27" i="2"/>
  <c r="D30" i="2"/>
  <c r="C33" i="2"/>
  <c r="E35" i="2"/>
  <c r="D38" i="2"/>
  <c r="C41" i="2"/>
  <c r="E43" i="2"/>
  <c r="D46" i="2"/>
  <c r="C49" i="2"/>
  <c r="E51" i="2"/>
  <c r="D54" i="2"/>
  <c r="C57" i="2"/>
  <c r="E59" i="2"/>
  <c r="D62" i="2"/>
  <c r="C65" i="2"/>
  <c r="E67" i="2"/>
  <c r="D70" i="2"/>
  <c r="C73" i="2"/>
  <c r="E75" i="2"/>
  <c r="D78" i="2"/>
  <c r="C81" i="2"/>
  <c r="E83" i="2"/>
  <c r="D86" i="2"/>
  <c r="C89" i="2"/>
  <c r="E91" i="2"/>
  <c r="D94" i="2"/>
  <c r="D15" i="2"/>
  <c r="C18" i="2"/>
  <c r="E20" i="2"/>
  <c r="D23" i="2"/>
  <c r="C21" i="2"/>
  <c r="C23" i="2"/>
  <c r="D25" i="2"/>
  <c r="C28" i="2"/>
  <c r="E30" i="2"/>
  <c r="D33" i="2"/>
  <c r="C36" i="2"/>
  <c r="E38" i="2"/>
  <c r="D41" i="2"/>
  <c r="C44" i="2"/>
  <c r="E46" i="2"/>
  <c r="D49" i="2"/>
  <c r="C52" i="2"/>
  <c r="E54" i="2"/>
  <c r="D57" i="2"/>
  <c r="F57" i="2" s="1"/>
  <c r="C60" i="2"/>
  <c r="E62" i="2"/>
  <c r="D65" i="2"/>
  <c r="C68" i="2"/>
  <c r="E70" i="2"/>
  <c r="D73" i="2"/>
  <c r="C76" i="2"/>
  <c r="E78" i="2"/>
  <c r="D81" i="2"/>
  <c r="C84" i="2"/>
  <c r="E86" i="2"/>
  <c r="D89" i="2"/>
  <c r="C92" i="2"/>
  <c r="E94" i="2"/>
  <c r="E15" i="2"/>
  <c r="D18" i="2"/>
  <c r="E23" i="2"/>
  <c r="E25" i="2"/>
  <c r="D28" i="2"/>
  <c r="C31" i="2"/>
  <c r="E33" i="2"/>
  <c r="D36" i="2"/>
  <c r="C39" i="2"/>
  <c r="E41" i="2"/>
  <c r="D44" i="2"/>
  <c r="C47" i="2"/>
  <c r="E49" i="2"/>
  <c r="D52" i="2"/>
  <c r="C55" i="2"/>
  <c r="E57" i="2"/>
  <c r="D60" i="2"/>
  <c r="C63" i="2"/>
  <c r="E65" i="2"/>
  <c r="D68" i="2"/>
  <c r="C71" i="2"/>
  <c r="E73" i="2"/>
  <c r="D76" i="2"/>
  <c r="C79" i="2"/>
  <c r="E81" i="2"/>
  <c r="D84" i="2"/>
  <c r="C87" i="2"/>
  <c r="E89" i="2"/>
  <c r="D92" i="2"/>
  <c r="C95" i="2"/>
  <c r="C16" i="2"/>
  <c r="E18" i="2"/>
  <c r="D21" i="2"/>
  <c r="C24" i="2"/>
  <c r="D16" i="2"/>
  <c r="C19" i="2"/>
  <c r="E21" i="2"/>
  <c r="D24" i="2"/>
  <c r="C26" i="2"/>
  <c r="E28" i="2"/>
  <c r="D31" i="2"/>
  <c r="C34" i="2"/>
  <c r="E36" i="2"/>
  <c r="D39" i="2"/>
  <c r="C42" i="2"/>
  <c r="E44" i="2"/>
  <c r="D47" i="2"/>
  <c r="C50" i="2"/>
  <c r="E52" i="2"/>
  <c r="D55" i="2"/>
  <c r="C58" i="2"/>
  <c r="E60" i="2"/>
  <c r="D63" i="2"/>
  <c r="C66" i="2"/>
  <c r="E68" i="2"/>
  <c r="D71" i="2"/>
  <c r="C74" i="2"/>
  <c r="E76" i="2"/>
  <c r="D79" i="2"/>
  <c r="C82" i="2"/>
  <c r="E84" i="2"/>
  <c r="D87" i="2"/>
  <c r="C90" i="2"/>
  <c r="E92" i="2"/>
  <c r="D95" i="2"/>
  <c r="C14" i="2"/>
  <c r="D19" i="2"/>
  <c r="E24" i="2"/>
  <c r="C20" i="2"/>
  <c r="D26" i="2"/>
  <c r="C29" i="2"/>
  <c r="E31" i="2"/>
  <c r="D34" i="2"/>
  <c r="C37" i="2"/>
  <c r="E39" i="2"/>
  <c r="D42" i="2"/>
  <c r="C45" i="2"/>
  <c r="E47" i="2"/>
  <c r="D50" i="2"/>
  <c r="C53" i="2"/>
  <c r="E55" i="2"/>
  <c r="D58" i="2"/>
  <c r="C61" i="2"/>
  <c r="E63" i="2"/>
  <c r="D66" i="2"/>
  <c r="C69" i="2"/>
  <c r="E71" i="2"/>
  <c r="D74" i="2"/>
  <c r="C77" i="2"/>
  <c r="E79" i="2"/>
  <c r="D82" i="2"/>
  <c r="C85" i="2"/>
  <c r="E87" i="2"/>
  <c r="D90" i="2"/>
  <c r="C93" i="2"/>
  <c r="E95" i="2"/>
  <c r="E16" i="2"/>
  <c r="C22" i="2"/>
  <c r="E26" i="2"/>
  <c r="D29" i="2"/>
  <c r="C32" i="2"/>
  <c r="E34" i="2"/>
  <c r="D37" i="2"/>
  <c r="C40" i="2"/>
  <c r="E42" i="2"/>
  <c r="D45" i="2"/>
  <c r="C48" i="2"/>
  <c r="E50" i="2"/>
  <c r="D53" i="2"/>
  <c r="C56" i="2"/>
  <c r="E58" i="2"/>
  <c r="D61" i="2"/>
  <c r="C64" i="2"/>
  <c r="E66" i="2"/>
  <c r="D69" i="2"/>
  <c r="C72" i="2"/>
  <c r="E74" i="2"/>
  <c r="D77" i="2"/>
  <c r="C80" i="2"/>
  <c r="E82" i="2"/>
  <c r="D85" i="2"/>
  <c r="C88" i="2"/>
  <c r="E90" i="2"/>
  <c r="D93" i="2"/>
  <c r="D14" i="2"/>
  <c r="C17" i="2"/>
  <c r="E19" i="2"/>
  <c r="D22" i="2"/>
  <c r="D17" i="2"/>
  <c r="E22" i="2"/>
  <c r="C27" i="2"/>
  <c r="E29" i="2"/>
  <c r="D32" i="2"/>
  <c r="C35" i="2"/>
  <c r="E37" i="2"/>
  <c r="D40" i="2"/>
  <c r="C43" i="2"/>
  <c r="E45" i="2"/>
  <c r="D48" i="2"/>
  <c r="C51" i="2"/>
  <c r="E53" i="2"/>
  <c r="D56" i="2"/>
  <c r="C59" i="2"/>
  <c r="E61" i="2"/>
  <c r="D64" i="2"/>
  <c r="C67" i="2"/>
  <c r="E69" i="2"/>
  <c r="D72" i="2"/>
  <c r="C75" i="2"/>
  <c r="G75" i="2" s="1"/>
  <c r="E77" i="2"/>
  <c r="D80" i="2"/>
  <c r="C83" i="2"/>
  <c r="G83" i="2" s="1"/>
  <c r="E85" i="2"/>
  <c r="D88" i="2"/>
  <c r="C91" i="2"/>
  <c r="E93" i="2"/>
  <c r="E14" i="2"/>
  <c r="D27" i="2"/>
  <c r="C30" i="2"/>
  <c r="G30" i="2" s="1"/>
  <c r="E32" i="2"/>
  <c r="D35" i="2"/>
  <c r="C38" i="2"/>
  <c r="G38" i="2" s="1"/>
  <c r="E40" i="2"/>
  <c r="D43" i="2"/>
  <c r="C46" i="2"/>
  <c r="E48" i="2"/>
  <c r="D51" i="2"/>
  <c r="C54" i="2"/>
  <c r="E56" i="2"/>
  <c r="D59" i="2"/>
  <c r="C62" i="2"/>
  <c r="E64" i="2"/>
  <c r="D67" i="2"/>
  <c r="C70" i="2"/>
  <c r="E72" i="2"/>
  <c r="D75" i="2"/>
  <c r="C78" i="2"/>
  <c r="E80" i="2"/>
  <c r="D83" i="2"/>
  <c r="C86" i="2"/>
  <c r="E88" i="2"/>
  <c r="D91" i="2"/>
  <c r="C94" i="2"/>
  <c r="G94" i="2" s="1"/>
  <c r="C15" i="2"/>
  <c r="E17" i="2"/>
  <c r="D20" i="2"/>
  <c r="C12" i="2"/>
  <c r="E12" i="2"/>
  <c r="D11" i="2"/>
  <c r="D12" i="2"/>
  <c r="C11" i="2"/>
  <c r="C13" i="2"/>
  <c r="D13" i="2"/>
  <c r="E13" i="2"/>
  <c r="E11" i="2"/>
  <c r="F96" i="2"/>
  <c r="G96" i="2" s="1"/>
  <c r="G106" i="3"/>
  <c r="F113" i="3"/>
  <c r="F122" i="3" s="1"/>
  <c r="C36" i="5"/>
  <c r="D36" i="5"/>
  <c r="E36" i="5"/>
  <c r="F36" i="5"/>
  <c r="G36" i="5"/>
  <c r="G32" i="5"/>
  <c r="G35" i="5"/>
  <c r="G31" i="5"/>
  <c r="G33" i="5"/>
  <c r="G34" i="5"/>
  <c r="G28" i="5"/>
  <c r="G25" i="5"/>
  <c r="G29" i="5"/>
  <c r="G30" i="5"/>
  <c r="G27" i="5"/>
  <c r="G23" i="5"/>
  <c r="G26" i="5"/>
  <c r="G24" i="5"/>
  <c r="F91" i="3"/>
  <c r="F133" i="3" s="1"/>
  <c r="F99" i="3"/>
  <c r="F141" i="3" s="1"/>
  <c r="F98" i="3"/>
  <c r="F140" i="3" s="1"/>
  <c r="F89" i="3"/>
  <c r="F131" i="3" s="1"/>
  <c r="I121" i="3"/>
  <c r="G19" i="5"/>
  <c r="G20" i="5"/>
  <c r="G21" i="5"/>
  <c r="G22" i="5"/>
  <c r="G18" i="5"/>
  <c r="E25" i="5"/>
  <c r="C24" i="5"/>
  <c r="E35" i="5"/>
  <c r="F32" i="5"/>
  <c r="F25" i="5"/>
  <c r="F33" i="5"/>
  <c r="E28" i="5"/>
  <c r="D23" i="5"/>
  <c r="D31" i="5"/>
  <c r="C26" i="5"/>
  <c r="C34" i="5"/>
  <c r="F35" i="5"/>
  <c r="D25" i="5"/>
  <c r="C28" i="5"/>
  <c r="C30" i="5"/>
  <c r="F30" i="5"/>
  <c r="C23" i="5"/>
  <c r="E26" i="5"/>
  <c r="C32" i="5"/>
  <c r="F24" i="5"/>
  <c r="C33" i="5"/>
  <c r="F26" i="5"/>
  <c r="F34" i="5"/>
  <c r="E29" i="5"/>
  <c r="D24" i="5"/>
  <c r="D32" i="5"/>
  <c r="C27" i="5"/>
  <c r="C35" i="5"/>
  <c r="F27" i="5"/>
  <c r="E30" i="5"/>
  <c r="D33" i="5"/>
  <c r="C31" i="5"/>
  <c r="E34" i="5"/>
  <c r="D30" i="5"/>
  <c r="E33" i="5"/>
  <c r="F23" i="5"/>
  <c r="D29" i="5"/>
  <c r="E27" i="5"/>
  <c r="F28" i="5"/>
  <c r="E23" i="5"/>
  <c r="E31" i="5"/>
  <c r="D26" i="5"/>
  <c r="D34" i="5"/>
  <c r="C29" i="5"/>
  <c r="F29" i="5"/>
  <c r="E24" i="5"/>
  <c r="E32" i="5"/>
  <c r="D27" i="5"/>
  <c r="D35" i="5"/>
  <c r="D28" i="5"/>
  <c r="F31" i="5"/>
  <c r="C25" i="5"/>
  <c r="F18" i="5"/>
  <c r="D22" i="5"/>
  <c r="C20" i="5"/>
  <c r="F19" i="5"/>
  <c r="C21" i="5"/>
  <c r="F20" i="5"/>
  <c r="E18" i="5"/>
  <c r="C22" i="5"/>
  <c r="F21" i="5"/>
  <c r="E19" i="5"/>
  <c r="F22" i="5"/>
  <c r="E20" i="5"/>
  <c r="D18" i="5"/>
  <c r="E21" i="5"/>
  <c r="D19" i="5"/>
  <c r="E22" i="5"/>
  <c r="D20" i="5"/>
  <c r="C18" i="5"/>
  <c r="D21" i="5"/>
  <c r="C19" i="5"/>
  <c r="G16" i="5"/>
  <c r="G17" i="5"/>
  <c r="G11" i="5"/>
  <c r="G12" i="5"/>
  <c r="G13" i="5"/>
  <c r="G14" i="5"/>
  <c r="G15" i="5"/>
  <c r="F17" i="5"/>
  <c r="E17" i="5"/>
  <c r="D17" i="5"/>
  <c r="C17" i="5"/>
  <c r="D16" i="5"/>
  <c r="E16" i="5"/>
  <c r="C16" i="5"/>
  <c r="F12" i="5"/>
  <c r="E12" i="5"/>
  <c r="D12" i="5"/>
  <c r="C12" i="5"/>
  <c r="F13" i="5"/>
  <c r="E13" i="5"/>
  <c r="D13" i="5"/>
  <c r="C13" i="5"/>
  <c r="F14" i="5"/>
  <c r="E14" i="5"/>
  <c r="D14" i="5"/>
  <c r="C14" i="5"/>
  <c r="F15" i="5"/>
  <c r="E15" i="5"/>
  <c r="D15" i="5"/>
  <c r="C15" i="5"/>
  <c r="F16" i="5"/>
  <c r="F1012" i="2"/>
  <c r="G1012" i="2" s="1"/>
  <c r="F845" i="2"/>
  <c r="G845" i="2" s="1"/>
  <c r="F403" i="2"/>
  <c r="G403" i="2" s="1"/>
  <c r="F874" i="2"/>
  <c r="G874" i="2" s="1"/>
  <c r="F1240" i="2"/>
  <c r="G1240" i="2" s="1"/>
  <c r="F1113" i="2"/>
  <c r="G1113" i="2" s="1"/>
  <c r="F973" i="2"/>
  <c r="G973" i="2" s="1"/>
  <c r="F1185" i="2"/>
  <c r="G1185" i="2" s="1"/>
  <c r="F1134" i="2"/>
  <c r="G1134" i="2" s="1"/>
  <c r="F1028" i="2"/>
  <c r="G1028" i="2" s="1"/>
  <c r="F901" i="2"/>
  <c r="G901" i="2" s="1"/>
  <c r="F789" i="2"/>
  <c r="G789" i="2" s="1"/>
  <c r="F390" i="2"/>
  <c r="G390" i="2" s="1"/>
  <c r="F226" i="2"/>
  <c r="G226" i="2" s="1"/>
  <c r="F308" i="2"/>
  <c r="G308" i="2" s="1"/>
  <c r="F355" i="2"/>
  <c r="G355" i="2" s="1"/>
  <c r="F313" i="2"/>
  <c r="G313" i="2" s="1"/>
  <c r="F292" i="2"/>
  <c r="G292" i="2" s="1"/>
  <c r="F271" i="2"/>
  <c r="G271" i="2" s="1"/>
  <c r="F1296" i="2"/>
  <c r="G1296" i="2" s="1"/>
  <c r="F821" i="2"/>
  <c r="G821" i="2" s="1"/>
  <c r="F652" i="2"/>
  <c r="G652" i="2" s="1"/>
  <c r="F529" i="2"/>
  <c r="G529" i="2" s="1"/>
  <c r="F242" i="2"/>
  <c r="G242" i="2" s="1"/>
  <c r="F339" i="2"/>
  <c r="G339" i="2" s="1"/>
  <c r="F297" i="2"/>
  <c r="G297" i="2" s="1"/>
  <c r="F1052" i="2"/>
  <c r="G1052" i="2" s="1"/>
  <c r="F962" i="2"/>
  <c r="G962" i="2" s="1"/>
  <c r="F334" i="2"/>
  <c r="G334" i="2" s="1"/>
  <c r="F379" i="2"/>
  <c r="G379" i="2" s="1"/>
  <c r="F1473" i="2"/>
  <c r="G1473" i="2" s="1"/>
  <c r="F1415" i="2"/>
  <c r="G1415" i="2" s="1"/>
  <c r="F1351" i="2"/>
  <c r="G1351" i="2" s="1"/>
  <c r="F1267" i="2"/>
  <c r="G1267" i="2" s="1"/>
  <c r="F1182" i="2"/>
  <c r="G1182" i="2" s="1"/>
  <c r="F1161" i="2"/>
  <c r="G1161" i="2" s="1"/>
  <c r="F1130" i="2"/>
  <c r="G1130" i="2" s="1"/>
  <c r="F1110" i="2"/>
  <c r="G1110" i="2" s="1"/>
  <c r="F1089" i="2"/>
  <c r="G1089" i="2" s="1"/>
  <c r="F1004" i="2"/>
  <c r="G1004" i="2" s="1"/>
  <c r="F861" i="2"/>
  <c r="G861" i="2" s="1"/>
  <c r="F792" i="2"/>
  <c r="G792" i="2" s="1"/>
  <c r="F611" i="2"/>
  <c r="G611" i="2" s="1"/>
  <c r="F535" i="2"/>
  <c r="G535" i="2" s="1"/>
  <c r="F514" i="2"/>
  <c r="G514" i="2" s="1"/>
  <c r="F164" i="2"/>
  <c r="G164" i="2" s="1"/>
  <c r="F985" i="2"/>
  <c r="G985" i="2" s="1"/>
  <c r="F726" i="2"/>
  <c r="G726" i="2" s="1"/>
  <c r="F255" i="2"/>
  <c r="G255" i="2" s="1"/>
  <c r="F1346" i="2"/>
  <c r="G1346" i="2" s="1"/>
  <c r="F603" i="2"/>
  <c r="G603" i="2" s="1"/>
  <c r="F282" i="2"/>
  <c r="G282" i="2" s="1"/>
  <c r="F231" i="2"/>
  <c r="G231" i="2" s="1"/>
  <c r="F1262" i="2"/>
  <c r="G1262" i="2" s="1"/>
  <c r="F1177" i="2"/>
  <c r="G1177" i="2" s="1"/>
  <c r="F1092" i="2"/>
  <c r="G1092" i="2" s="1"/>
  <c r="F853" i="2"/>
  <c r="G853" i="2" s="1"/>
  <c r="F1065" i="2"/>
  <c r="G1065" i="2" s="1"/>
  <c r="F1044" i="2"/>
  <c r="G1044" i="2" s="1"/>
  <c r="F938" i="2"/>
  <c r="G938" i="2" s="1"/>
  <c r="F442" i="2"/>
  <c r="G442" i="2" s="1"/>
  <c r="F484" i="2"/>
  <c r="G484" i="2" s="1"/>
  <c r="F622" i="2"/>
  <c r="G622" i="2" s="1"/>
  <c r="F490" i="2"/>
  <c r="G490" i="2" s="1"/>
  <c r="F358" i="2"/>
  <c r="G358" i="2" s="1"/>
  <c r="F266" i="2"/>
  <c r="G266" i="2" s="1"/>
  <c r="F326" i="2"/>
  <c r="G326" i="2" s="1"/>
  <c r="F218" i="2"/>
  <c r="G218" i="2" s="1"/>
  <c r="F212" i="2"/>
  <c r="G212" i="2" s="1"/>
  <c r="F191" i="2"/>
  <c r="G191" i="2" s="1"/>
  <c r="F563" i="2"/>
  <c r="G563" i="2" s="1"/>
  <c r="F625" i="2"/>
  <c r="G625" i="2" s="1"/>
  <c r="F508" i="2"/>
  <c r="G508" i="2" s="1"/>
  <c r="F1232" i="2"/>
  <c r="G1232" i="2" s="1"/>
  <c r="F1126" i="2"/>
  <c r="G1126" i="2" s="1"/>
  <c r="F1020" i="2"/>
  <c r="G1020" i="2" s="1"/>
  <c r="F598" i="2"/>
  <c r="G598" i="2" s="1"/>
  <c r="F250" i="2"/>
  <c r="G250" i="2" s="1"/>
  <c r="F167" i="2"/>
  <c r="G167" i="2" s="1"/>
  <c r="F201" i="2"/>
  <c r="G201" i="2" s="1"/>
  <c r="F180" i="2"/>
  <c r="G180" i="2" s="1"/>
  <c r="F1486" i="2"/>
  <c r="G1486" i="2" s="1"/>
  <c r="F1118" i="2"/>
  <c r="G1118" i="2" s="1"/>
  <c r="F411" i="2"/>
  <c r="G411" i="2" s="1"/>
  <c r="F350" i="2"/>
  <c r="G350" i="2" s="1"/>
  <c r="F398" i="2"/>
  <c r="G398" i="2" s="1"/>
  <c r="F1410" i="2"/>
  <c r="G1410" i="2" s="1"/>
  <c r="F1102" i="2"/>
  <c r="G1102" i="2" s="1"/>
  <c r="F1081" i="2"/>
  <c r="G1081" i="2" s="1"/>
  <c r="F1060" i="2"/>
  <c r="G1060" i="2" s="1"/>
  <c r="F996" i="2"/>
  <c r="G996" i="2" s="1"/>
  <c r="F969" i="2"/>
  <c r="G969" i="2" s="1"/>
  <c r="F316" i="2"/>
  <c r="G316" i="2" s="1"/>
  <c r="F419" i="2"/>
  <c r="G419" i="2" s="1"/>
  <c r="F1465" i="2"/>
  <c r="G1465" i="2" s="1"/>
  <c r="F1047" i="2"/>
  <c r="G1047" i="2" s="1"/>
  <c r="F1097" i="2"/>
  <c r="G1097" i="2" s="1"/>
  <c r="F660" i="2"/>
  <c r="G660" i="2" s="1"/>
  <c r="F1073" i="2"/>
  <c r="G1073" i="2" s="1"/>
  <c r="F987" i="2"/>
  <c r="G987" i="2" s="1"/>
  <c r="F1449" i="2"/>
  <c r="G1449" i="2" s="1"/>
  <c r="F937" i="2"/>
  <c r="G937" i="2" s="1"/>
  <c r="F1354" i="2"/>
  <c r="G1354" i="2" s="1"/>
  <c r="F906" i="2"/>
  <c r="G906" i="2" s="1"/>
  <c r="F984" i="2"/>
  <c r="G984" i="2" s="1"/>
  <c r="F1142" i="2"/>
  <c r="G1142" i="2" s="1"/>
  <c r="F1036" i="2"/>
  <c r="G1036" i="2" s="1"/>
  <c r="F917" i="2"/>
  <c r="G917" i="2" s="1"/>
  <c r="F832" i="2"/>
  <c r="G832" i="2" s="1"/>
  <c r="F681" i="2"/>
  <c r="G681" i="2" s="1"/>
  <c r="F636" i="2"/>
  <c r="G636" i="2" s="1"/>
  <c r="F768" i="2"/>
  <c r="G768" i="2" s="1"/>
  <c r="F662" i="2"/>
  <c r="G662" i="2" s="1"/>
  <c r="F641" i="2"/>
  <c r="G641" i="2" s="1"/>
  <c r="F479" i="2"/>
  <c r="G479" i="2" s="1"/>
  <c r="F363" i="2"/>
  <c r="G363" i="2" s="1"/>
  <c r="F321" i="2"/>
  <c r="G321" i="2" s="1"/>
  <c r="F279" i="2"/>
  <c r="G279" i="2" s="1"/>
  <c r="F204" i="2"/>
  <c r="G204" i="2" s="1"/>
  <c r="F183" i="2"/>
  <c r="G183" i="2" s="1"/>
  <c r="B10" i="5"/>
  <c r="F11" i="5"/>
  <c r="E11" i="5"/>
  <c r="D11" i="5"/>
  <c r="C11" i="5"/>
  <c r="C3" i="2"/>
  <c r="E5" i="2"/>
  <c r="C8" i="2"/>
  <c r="E10" i="2"/>
  <c r="D3" i="2"/>
  <c r="C6" i="2"/>
  <c r="D8" i="2"/>
  <c r="E3" i="2"/>
  <c r="D6" i="2"/>
  <c r="E8" i="2"/>
  <c r="C4" i="2"/>
  <c r="E6" i="2"/>
  <c r="C9" i="2"/>
  <c r="D4" i="2"/>
  <c r="C7" i="2"/>
  <c r="D9" i="2"/>
  <c r="E4" i="2"/>
  <c r="D7" i="2"/>
  <c r="E9" i="2"/>
  <c r="C5" i="2"/>
  <c r="E7" i="2"/>
  <c r="C10" i="2"/>
  <c r="D5" i="2"/>
  <c r="D10" i="2"/>
  <c r="A2" i="2"/>
  <c r="G86" i="2" l="1"/>
  <c r="G67" i="2"/>
  <c r="G26" i="2"/>
  <c r="G27" i="2"/>
  <c r="G46" i="2"/>
  <c r="G91" i="2"/>
  <c r="G70" i="2"/>
  <c r="G51" i="2"/>
  <c r="G78" i="2"/>
  <c r="G59" i="2"/>
  <c r="G54" i="2"/>
  <c r="G79" i="2"/>
  <c r="F16" i="2"/>
  <c r="G16" i="2" s="1"/>
  <c r="F20" i="2"/>
  <c r="G20" i="2" s="1"/>
  <c r="F23" i="2"/>
  <c r="G23" i="2" s="1"/>
  <c r="G72" i="2"/>
  <c r="G85" i="2"/>
  <c r="G82" i="2"/>
  <c r="F19" i="2"/>
  <c r="G19" i="2" s="1"/>
  <c r="G47" i="2"/>
  <c r="G84" i="2"/>
  <c r="F21" i="2"/>
  <c r="G21" i="2" s="1"/>
  <c r="G65" i="2"/>
  <c r="G48" i="2"/>
  <c r="G61" i="2"/>
  <c r="G58" i="2"/>
  <c r="G87" i="2"/>
  <c r="F22" i="2"/>
  <c r="G22" i="2" s="1"/>
  <c r="F14" i="2"/>
  <c r="G14" i="2" s="1"/>
  <c r="F24" i="2"/>
  <c r="G24" i="2" s="1"/>
  <c r="F18" i="2"/>
  <c r="G18" i="2" s="1"/>
  <c r="F15" i="2"/>
  <c r="G15" i="2" s="1"/>
  <c r="F17" i="2"/>
  <c r="G17" i="2" s="1"/>
  <c r="F25" i="2"/>
  <c r="G62" i="2"/>
  <c r="G60" i="2"/>
  <c r="G41" i="2"/>
  <c r="G88" i="2"/>
  <c r="G63" i="2"/>
  <c r="G36" i="2"/>
  <c r="G81" i="2"/>
  <c r="G43" i="2"/>
  <c r="G64" i="2"/>
  <c r="G77" i="2"/>
  <c r="G74" i="2"/>
  <c r="G39" i="2"/>
  <c r="G76" i="2"/>
  <c r="G57" i="2"/>
  <c r="G40" i="2"/>
  <c r="G53" i="2"/>
  <c r="G50" i="2"/>
  <c r="G52" i="2"/>
  <c r="G80" i="2"/>
  <c r="G93" i="2"/>
  <c r="G29" i="2"/>
  <c r="G90" i="2"/>
  <c r="G55" i="2"/>
  <c r="G92" i="2"/>
  <c r="G28" i="2"/>
  <c r="G73" i="2"/>
  <c r="G56" i="2"/>
  <c r="G69" i="2"/>
  <c r="G66" i="2"/>
  <c r="G95" i="2"/>
  <c r="G31" i="2"/>
  <c r="G68" i="2"/>
  <c r="G45" i="2"/>
  <c r="G42" i="2"/>
  <c r="G71" i="2"/>
  <c r="G44" i="2"/>
  <c r="G89" i="2"/>
  <c r="F49" i="2"/>
  <c r="F33" i="2"/>
  <c r="G33" i="2" s="1"/>
  <c r="F37" i="2"/>
  <c r="G37" i="2" s="1"/>
  <c r="F35" i="2"/>
  <c r="G35" i="2" s="1"/>
  <c r="F34" i="2"/>
  <c r="G34" i="2" s="1"/>
  <c r="F32" i="2"/>
  <c r="H106" i="3"/>
  <c r="G113" i="3"/>
  <c r="G122" i="3" s="1"/>
  <c r="G13" i="2"/>
  <c r="AH151" i="8" s="1"/>
  <c r="AT796" i="8"/>
  <c r="AT744" i="8"/>
  <c r="AT720" i="8"/>
  <c r="AT706" i="8"/>
  <c r="AT690" i="8"/>
  <c r="AT679" i="8"/>
  <c r="AT604" i="8"/>
  <c r="AT600" i="8"/>
  <c r="AT787" i="8"/>
  <c r="AT758" i="8"/>
  <c r="AT745" i="8"/>
  <c r="AT743" i="8"/>
  <c r="AT717" i="8"/>
  <c r="AT716" i="8"/>
  <c r="AT714" i="8"/>
  <c r="AT705" i="8"/>
  <c r="AT689" i="8"/>
  <c r="AT688" i="8"/>
  <c r="AT666" i="8"/>
  <c r="AT824" i="8"/>
  <c r="AT795" i="8"/>
  <c r="AT742" i="8"/>
  <c r="AT740" i="8"/>
  <c r="AT730" i="8"/>
  <c r="AT687" i="8"/>
  <c r="AT678" i="8"/>
  <c r="AT674" i="8"/>
  <c r="AT668" i="8"/>
  <c r="AT596" i="8"/>
  <c r="AT826" i="8"/>
  <c r="AT741" i="8"/>
  <c r="AT731" i="8"/>
  <c r="AT729" i="8"/>
  <c r="AT728" i="8"/>
  <c r="AT726" i="8"/>
  <c r="AT713" i="8"/>
  <c r="AT698" i="8"/>
  <c r="AT697" i="8"/>
  <c r="AT696" i="8"/>
  <c r="AT677" i="8"/>
  <c r="AT609" i="8"/>
  <c r="AT802" i="8"/>
  <c r="AT756" i="8"/>
  <c r="AT754" i="8"/>
  <c r="AT748" i="8"/>
  <c r="AT734" i="8"/>
  <c r="AT727" i="8"/>
  <c r="AT725" i="8"/>
  <c r="AT711" i="8"/>
  <c r="AT710" i="8"/>
  <c r="AT700" i="8"/>
  <c r="AT699" i="8"/>
  <c r="AT695" i="8"/>
  <c r="AT686" i="8"/>
  <c r="AT672" i="8"/>
  <c r="AT606" i="8"/>
  <c r="AT602" i="8"/>
  <c r="AT598" i="8"/>
  <c r="AT810" i="8"/>
  <c r="AT791" i="8"/>
  <c r="AT757" i="8"/>
  <c r="AT755" i="8"/>
  <c r="AT753" i="8"/>
  <c r="AT752" i="8"/>
  <c r="AT750" i="8"/>
  <c r="AT749" i="8"/>
  <c r="AT739" i="8"/>
  <c r="AT724" i="8"/>
  <c r="AT722" i="8"/>
  <c r="AT712" i="8"/>
  <c r="AT702" i="8"/>
  <c r="AT701" i="8"/>
  <c r="AT685" i="8"/>
  <c r="AT684" i="8"/>
  <c r="AT683" i="8"/>
  <c r="AT592" i="8"/>
  <c r="AT586" i="8"/>
  <c r="AT747" i="8"/>
  <c r="AT709" i="8"/>
  <c r="AT814" i="8"/>
  <c r="AT785" i="8"/>
  <c r="AT761" i="8"/>
  <c r="AT693" i="8"/>
  <c r="AT681" i="8"/>
  <c r="AT670" i="8"/>
  <c r="AT377" i="8"/>
  <c r="AT359" i="8"/>
  <c r="AT351" i="8"/>
  <c r="AT818" i="8"/>
  <c r="AT736" i="8"/>
  <c r="AT721" i="8"/>
  <c r="AT694" i="8"/>
  <c r="AT682" i="8"/>
  <c r="AT588" i="8"/>
  <c r="AT575" i="8"/>
  <c r="AT571" i="8"/>
  <c r="AT567" i="8"/>
  <c r="AT517" i="8"/>
  <c r="AT430" i="8"/>
  <c r="AT352" i="8"/>
  <c r="AT322" i="8"/>
  <c r="AT578" i="8"/>
  <c r="AT531" i="8"/>
  <c r="AT737" i="8"/>
  <c r="AT723" i="8"/>
  <c r="AT577" i="8"/>
  <c r="AT552" i="8"/>
  <c r="AT519" i="8"/>
  <c r="AT374" i="8"/>
  <c r="AT355" i="8"/>
  <c r="AT350" i="8"/>
  <c r="AT347" i="8"/>
  <c r="AT341" i="8"/>
  <c r="AT812" i="8"/>
  <c r="AT738" i="8"/>
  <c r="AT718" i="8"/>
  <c r="AT707" i="8"/>
  <c r="AT703" i="8"/>
  <c r="AT691" i="8"/>
  <c r="AT594" i="8"/>
  <c r="AT590" i="8"/>
  <c r="AT584" i="8"/>
  <c r="AT551" i="8"/>
  <c r="AT550" i="8"/>
  <c r="AT548" i="8"/>
  <c r="AT540" i="8"/>
  <c r="AT348" i="8"/>
  <c r="AT346" i="8"/>
  <c r="AT345" i="8"/>
  <c r="AT816" i="8"/>
  <c r="AT751" i="8"/>
  <c r="AT573" i="8"/>
  <c r="AT569" i="8"/>
  <c r="AT509" i="8"/>
  <c r="AT357" i="8"/>
  <c r="AT361" i="8"/>
  <c r="AT266" i="8"/>
  <c r="AT240" i="8"/>
  <c r="AT196" i="8"/>
  <c r="AT192" i="8"/>
  <c r="AT184" i="8"/>
  <c r="AT174" i="8"/>
  <c r="AT154" i="8"/>
  <c r="AT153" i="8"/>
  <c r="AT152" i="8"/>
  <c r="AT746" i="8"/>
  <c r="AT371" i="8"/>
  <c r="AT353" i="8"/>
  <c r="AT349" i="8"/>
  <c r="AT344" i="8"/>
  <c r="AT202" i="8"/>
  <c r="AT186" i="8"/>
  <c r="AT378" i="8"/>
  <c r="AT365" i="8"/>
  <c r="AT305" i="8"/>
  <c r="AT287" i="8"/>
  <c r="AT264" i="8"/>
  <c r="AT244" i="8"/>
  <c r="AT176" i="8"/>
  <c r="AT161" i="8"/>
  <c r="AT157" i="8"/>
  <c r="AT432" i="8"/>
  <c r="AT297" i="8"/>
  <c r="AT269" i="8"/>
  <c r="AT268" i="8"/>
  <c r="AT213" i="8"/>
  <c r="AT149" i="8"/>
  <c r="AT369" i="8"/>
  <c r="AT278" i="8"/>
  <c r="AT248" i="8"/>
  <c r="AT246" i="8"/>
  <c r="AT242" i="8"/>
  <c r="AT194" i="8"/>
  <c r="AT719" i="8"/>
  <c r="AT680" i="8"/>
  <c r="AT363" i="8"/>
  <c r="AT301" i="8"/>
  <c r="AT299" i="8"/>
  <c r="AT250" i="8"/>
  <c r="AT204" i="8"/>
  <c r="AT173" i="8"/>
  <c r="AT167" i="8"/>
  <c r="AT164" i="8"/>
  <c r="AT166" i="8"/>
  <c r="AT165" i="8"/>
  <c r="AT141" i="8"/>
  <c r="AT134" i="8"/>
  <c r="AT129" i="8"/>
  <c r="AT125" i="8"/>
  <c r="AT110" i="8"/>
  <c r="AT515" i="8"/>
  <c r="AT112" i="8"/>
  <c r="AT182" i="8"/>
  <c r="AT163" i="8"/>
  <c r="AT332" i="8"/>
  <c r="AT126" i="8"/>
  <c r="AT97" i="8"/>
  <c r="AT373" i="8"/>
  <c r="AT156" i="8"/>
  <c r="AT765" i="8"/>
  <c r="AT206" i="8"/>
  <c r="AT172" i="8"/>
  <c r="AT116" i="8"/>
  <c r="AT99" i="8"/>
  <c r="AT820" i="8"/>
  <c r="AT155" i="8"/>
  <c r="AT103" i="8"/>
  <c r="AT162" i="8"/>
  <c r="AT151" i="8"/>
  <c r="AT123" i="8"/>
  <c r="AT115" i="8"/>
  <c r="AT109" i="8"/>
  <c r="AT708" i="8"/>
  <c r="AT303" i="8"/>
  <c r="AT148" i="8"/>
  <c r="AT147" i="8"/>
  <c r="AT142" i="8"/>
  <c r="AT138" i="8"/>
  <c r="AT135" i="8"/>
  <c r="AT122" i="8"/>
  <c r="AT95" i="8"/>
  <c r="AT692" i="8"/>
  <c r="AT367" i="8"/>
  <c r="AT139" i="8"/>
  <c r="AT136" i="8"/>
  <c r="AT128" i="8"/>
  <c r="AT121" i="8"/>
  <c r="AT113" i="8"/>
  <c r="AT281" i="8"/>
  <c r="AT83" i="8"/>
  <c r="AT4" i="8"/>
  <c r="AT243" i="8"/>
  <c r="AT263" i="8"/>
  <c r="AT171" i="8"/>
  <c r="AT230" i="8"/>
  <c r="AT467" i="8"/>
  <c r="AT315" i="8"/>
  <c r="AT650" i="8"/>
  <c r="AT333" i="8"/>
  <c r="AT421" i="8"/>
  <c r="AT585" i="8"/>
  <c r="AT614" i="8"/>
  <c r="AT658" i="8"/>
  <c r="AT620" i="8"/>
  <c r="AT667" i="8"/>
  <c r="AT764" i="8"/>
  <c r="AT593" i="8"/>
  <c r="AT665" i="8"/>
  <c r="AT603" i="8"/>
  <c r="AT662" i="8"/>
  <c r="AT298" i="8"/>
  <c r="AT52" i="8"/>
  <c r="AT58" i="8"/>
  <c r="AT296" i="8"/>
  <c r="AT187" i="8"/>
  <c r="AT529" i="8"/>
  <c r="AT234" i="8"/>
  <c r="AT475" i="8"/>
  <c r="AT656" i="8"/>
  <c r="AT340" i="8"/>
  <c r="AT436" i="8"/>
  <c r="AT429" i="8"/>
  <c r="AT618" i="8"/>
  <c r="AT831" i="8"/>
  <c r="AT628" i="8"/>
  <c r="AT732" i="8"/>
  <c r="AT612" i="8"/>
  <c r="AT321" i="8"/>
  <c r="AT64" i="8"/>
  <c r="AT249" i="8"/>
  <c r="AT50" i="8"/>
  <c r="AT317" i="8"/>
  <c r="AT283" i="8"/>
  <c r="AT370" i="8"/>
  <c r="AT542" i="8"/>
  <c r="AT589" i="8"/>
  <c r="AT664" i="8"/>
  <c r="AT566" i="8"/>
  <c r="AT827" i="8"/>
  <c r="AT624" i="8"/>
  <c r="AT354" i="8"/>
  <c r="AT473" i="8"/>
  <c r="AT319" i="8"/>
  <c r="AT626" i="8"/>
  <c r="AT601" i="8"/>
  <c r="AT789" i="8"/>
  <c r="AT636" i="8"/>
  <c r="AT622" i="8"/>
  <c r="AT762" i="8"/>
  <c r="AT366" i="8"/>
  <c r="AT251" i="8"/>
  <c r="AT415" i="8"/>
  <c r="AT597" i="8"/>
  <c r="AT356" i="8"/>
  <c r="AT417" i="8"/>
  <c r="AT807" i="8"/>
  <c r="AT632" i="8"/>
  <c r="AT376" i="8"/>
  <c r="AT570" i="8"/>
  <c r="AT481" i="8"/>
  <c r="AT335" i="8"/>
  <c r="AT434" i="8"/>
  <c r="AT537" i="8"/>
  <c r="AT634" i="8"/>
  <c r="AT605" i="8"/>
  <c r="AT646" i="8"/>
  <c r="AT821" i="8"/>
  <c r="AT630" i="8"/>
  <c r="AT804" i="8"/>
  <c r="AT616" i="8"/>
  <c r="AT69" i="8"/>
  <c r="AT87" i="8"/>
  <c r="AT360" i="8"/>
  <c r="AT419" i="8"/>
  <c r="AT279" i="8"/>
  <c r="AT372" i="8"/>
  <c r="AT338" i="8"/>
  <c r="AT423" i="8"/>
  <c r="AT399" i="8"/>
  <c r="AT425" i="8"/>
  <c r="AT576" i="8"/>
  <c r="AT337" i="8"/>
  <c r="AT579" i="8"/>
  <c r="AT438" i="8"/>
  <c r="AT562" i="8"/>
  <c r="AT792" i="8"/>
  <c r="AT379" i="8"/>
  <c r="AT574" i="8"/>
  <c r="AT339" i="8"/>
  <c r="AT541" i="8"/>
  <c r="AT613" i="8"/>
  <c r="AT805" i="8"/>
  <c r="AT642" i="8"/>
  <c r="AT809" i="8"/>
  <c r="AT823" i="8"/>
  <c r="AT22" i="8"/>
  <c r="AT15" i="8"/>
  <c r="AT89" i="8"/>
  <c r="AT294" i="8"/>
  <c r="AT427" i="8"/>
  <c r="AT358" i="8"/>
  <c r="AT304" i="8"/>
  <c r="AT218" i="8"/>
  <c r="AT300" i="8"/>
  <c r="AT407" i="8"/>
  <c r="AT825" i="8"/>
  <c r="AT431" i="8"/>
  <c r="AT518" i="8"/>
  <c r="AT471" i="8"/>
  <c r="AT564" i="8"/>
  <c r="AT403" i="8"/>
  <c r="AT587" i="8"/>
  <c r="AT405" i="8"/>
  <c r="AT676" i="8"/>
  <c r="AT652" i="8"/>
  <c r="AT595" i="8"/>
  <c r="AT660" i="8"/>
  <c r="AT829" i="8"/>
  <c r="AT648" i="8"/>
  <c r="AT57" i="8"/>
  <c r="AT247" i="8"/>
  <c r="AT232" i="8"/>
  <c r="AT191" i="8"/>
  <c r="AT362" i="8"/>
  <c r="AT336" i="8"/>
  <c r="AT216" i="8"/>
  <c r="AT302" i="8"/>
  <c r="AT568" i="8"/>
  <c r="AT469" i="8"/>
  <c r="AT581" i="8"/>
  <c r="AT401" i="8"/>
  <c r="AT644" i="8"/>
  <c r="AT479" i="8"/>
  <c r="AT320" i="8"/>
  <c r="AT411" i="8"/>
  <c r="AT413" i="8"/>
  <c r="AT608" i="8"/>
  <c r="AT583" i="8"/>
  <c r="AT21" i="8"/>
  <c r="AT45" i="8"/>
  <c r="AT62" i="8"/>
  <c r="AT2" i="8"/>
  <c r="AT368" i="8"/>
  <c r="AT553" i="8"/>
  <c r="AT220" i="8"/>
  <c r="AT49" i="8"/>
  <c r="AT73" i="8"/>
  <c r="AT35" i="8"/>
  <c r="AT26" i="8"/>
  <c r="AT28" i="8"/>
  <c r="AT572" i="8"/>
  <c r="AT10" i="8"/>
  <c r="AT77" i="8"/>
  <c r="AT3" i="8"/>
  <c r="AT790" i="8"/>
  <c r="AT591" i="8"/>
  <c r="AT11" i="8"/>
  <c r="AT34" i="8"/>
  <c r="AT33" i="8"/>
  <c r="AT51" i="8"/>
  <c r="AT46" i="8"/>
  <c r="AT245" i="8"/>
  <c r="AT477" i="8"/>
  <c r="AT61" i="8"/>
  <c r="AT364" i="8"/>
  <c r="AT599" i="8"/>
  <c r="AT9" i="8"/>
  <c r="AT39" i="8"/>
  <c r="AT71" i="8"/>
  <c r="AT14" i="8"/>
  <c r="AT23" i="8"/>
  <c r="AT409" i="8"/>
  <c r="AT102" i="8"/>
  <c r="AT181" i="8"/>
  <c r="AT375" i="8"/>
  <c r="AT539" i="8"/>
  <c r="AT654" i="8"/>
  <c r="AT37" i="8"/>
  <c r="AT27" i="8"/>
  <c r="AT16" i="8"/>
  <c r="AT59" i="8"/>
  <c r="AT13" i="8"/>
  <c r="AT96" i="8"/>
  <c r="AT38" i="8"/>
  <c r="AT76" i="8"/>
  <c r="AT63" i="8"/>
  <c r="AT40" i="8"/>
  <c r="AT100" i="8"/>
  <c r="AT185" i="8"/>
  <c r="AT82" i="8"/>
  <c r="AT84" i="8"/>
  <c r="AT25" i="8"/>
  <c r="AT193" i="8"/>
  <c r="AT211" i="8"/>
  <c r="AT70" i="8"/>
  <c r="AT86" i="8"/>
  <c r="AT205" i="8"/>
  <c r="AT108" i="8"/>
  <c r="AT177" i="8"/>
  <c r="AT47" i="8"/>
  <c r="AT74" i="8"/>
  <c r="AT90" i="8"/>
  <c r="AT207" i="8"/>
  <c r="AT195" i="8"/>
  <c r="AT175" i="8"/>
  <c r="AT214" i="8"/>
  <c r="AT224" i="8"/>
  <c r="AT197" i="8"/>
  <c r="AT221" i="8"/>
  <c r="AT226" i="8"/>
  <c r="AT203" i="8"/>
  <c r="AT217" i="8"/>
  <c r="AT201" i="8"/>
  <c r="AT235" i="8"/>
  <c r="AT223" i="8"/>
  <c r="AT227" i="8"/>
  <c r="AT261" i="8"/>
  <c r="AT258" i="8"/>
  <c r="AT183" i="8"/>
  <c r="AT215" i="8"/>
  <c r="AT219" i="8"/>
  <c r="AT260" i="8"/>
  <c r="AT229" i="8"/>
  <c r="AT262" i="8"/>
  <c r="AT265" i="8"/>
  <c r="AT231" i="8"/>
  <c r="AT314" i="8"/>
  <c r="AT282" i="8"/>
  <c r="AT284" i="8"/>
  <c r="AT233" i="8"/>
  <c r="AT225" i="8"/>
  <c r="AT276" i="8"/>
  <c r="AT318" i="8"/>
  <c r="AT285" i="8"/>
  <c r="AT323" i="8"/>
  <c r="AT381" i="8"/>
  <c r="AT385" i="8"/>
  <c r="AT212" i="8"/>
  <c r="AT280" i="8"/>
  <c r="AT334" i="8"/>
  <c r="AT222" i="8"/>
  <c r="AT286" i="8"/>
  <c r="AT312" i="8"/>
  <c r="AT228" i="8"/>
  <c r="AT267" i="8"/>
  <c r="AT316" i="8"/>
  <c r="AT382" i="8"/>
  <c r="AT387" i="8"/>
  <c r="AT420" i="8"/>
  <c r="AT428" i="8"/>
  <c r="AT383" i="8"/>
  <c r="AT390" i="8"/>
  <c r="AT389" i="8"/>
  <c r="AT396" i="8"/>
  <c r="AT404" i="8"/>
  <c r="AT412" i="8"/>
  <c r="AT435" i="8"/>
  <c r="AT463" i="8"/>
  <c r="AT440" i="8"/>
  <c r="AT453" i="8"/>
  <c r="AT391" i="8"/>
  <c r="AT422" i="8"/>
  <c r="AT444" i="8"/>
  <c r="AT433" i="8"/>
  <c r="AT508" i="8"/>
  <c r="AT460" i="8"/>
  <c r="AT388" i="8"/>
  <c r="AT393" i="8"/>
  <c r="AT398" i="8"/>
  <c r="AT397" i="8"/>
  <c r="AT406" i="8"/>
  <c r="AT414" i="8"/>
  <c r="AT451" i="8"/>
  <c r="AT445" i="8"/>
  <c r="AT457" i="8"/>
  <c r="AT330" i="8"/>
  <c r="AT384" i="8"/>
  <c r="AT395" i="8"/>
  <c r="AT380" i="8"/>
  <c r="AT400" i="8"/>
  <c r="AT408" i="8"/>
  <c r="AT455" i="8"/>
  <c r="AT447" i="8"/>
  <c r="AT461" i="8"/>
  <c r="AT394" i="8"/>
  <c r="AT418" i="8"/>
  <c r="AT426" i="8"/>
  <c r="AT437" i="8"/>
  <c r="AT439" i="8"/>
  <c r="AT386" i="8"/>
  <c r="AT392" i="8"/>
  <c r="AT402" i="8"/>
  <c r="AT410" i="8"/>
  <c r="AT459" i="8"/>
  <c r="AT449" i="8"/>
  <c r="AT465" i="8"/>
  <c r="AT443" i="8"/>
  <c r="AT454" i="8"/>
  <c r="AT416" i="8"/>
  <c r="AT452" i="8"/>
  <c r="AT530" i="8"/>
  <c r="AT424" i="8"/>
  <c r="AT492" i="8"/>
  <c r="AT456" i="8"/>
  <c r="AT470" i="8"/>
  <c r="AT478" i="8"/>
  <c r="AT487" i="8"/>
  <c r="AT496" i="8"/>
  <c r="AT484" i="8"/>
  <c r="AT504" i="8"/>
  <c r="AT458" i="8"/>
  <c r="AT493" i="8"/>
  <c r="AT485" i="8"/>
  <c r="AT507" i="8"/>
  <c r="AT462" i="8"/>
  <c r="AT472" i="8"/>
  <c r="AT480" i="8"/>
  <c r="AT495" i="8"/>
  <c r="AT490" i="8"/>
  <c r="AT561" i="8"/>
  <c r="AT464" i="8"/>
  <c r="AT497" i="8"/>
  <c r="AT489" i="8"/>
  <c r="AT491" i="8"/>
  <c r="AT526" i="8"/>
  <c r="AT442" i="8"/>
  <c r="AT446" i="8"/>
  <c r="AT466" i="8"/>
  <c r="AT474" i="8"/>
  <c r="AT482" i="8"/>
  <c r="AT494" i="8"/>
  <c r="AT498" i="8"/>
  <c r="AT520" i="8"/>
  <c r="AT448" i="8"/>
  <c r="AT499" i="8"/>
  <c r="AT528" i="8"/>
  <c r="AT559" i="8"/>
  <c r="AT441" i="8"/>
  <c r="AT450" i="8"/>
  <c r="AT468" i="8"/>
  <c r="AT476" i="8"/>
  <c r="AT486" i="8"/>
  <c r="AT483" i="8"/>
  <c r="AT506" i="8"/>
  <c r="AT488" i="8"/>
  <c r="AT580" i="8"/>
  <c r="AT640" i="8"/>
  <c r="AT563" i="8"/>
  <c r="AT607" i="8"/>
  <c r="AT617" i="8"/>
  <c r="AT625" i="8"/>
  <c r="AT633" i="8"/>
  <c r="AT647" i="8"/>
  <c r="AT655" i="8"/>
  <c r="AT663" i="8"/>
  <c r="AT619" i="8"/>
  <c r="AT627" i="8"/>
  <c r="AT635" i="8"/>
  <c r="AT637" i="8"/>
  <c r="AT641" i="8"/>
  <c r="AT649" i="8"/>
  <c r="AT657" i="8"/>
  <c r="AT611" i="8"/>
  <c r="AT610" i="8"/>
  <c r="AT621" i="8"/>
  <c r="AT629" i="8"/>
  <c r="AT643" i="8"/>
  <c r="AT651" i="8"/>
  <c r="AT659" i="8"/>
  <c r="AT645" i="8"/>
  <c r="AT669" i="8"/>
  <c r="AT653" i="8"/>
  <c r="AT582" i="8"/>
  <c r="AT615" i="8"/>
  <c r="AT675" i="8"/>
  <c r="AT704" i="8"/>
  <c r="AT623" i="8"/>
  <c r="AT673" i="8"/>
  <c r="AT631" i="8"/>
  <c r="AT661" i="8"/>
  <c r="AT671" i="8"/>
  <c r="AT733" i="8"/>
  <c r="AT639" i="8"/>
  <c r="AT638" i="8"/>
  <c r="AT735" i="8"/>
  <c r="AT759" i="8"/>
  <c r="AT771" i="8"/>
  <c r="AT773" i="8"/>
  <c r="AT768" i="8"/>
  <c r="AT799" i="8"/>
  <c r="AT811" i="8"/>
  <c r="AT819" i="8"/>
  <c r="AT834" i="8"/>
  <c r="AT806" i="8"/>
  <c r="AT784" i="8"/>
  <c r="AT769" i="8"/>
  <c r="AT815" i="8"/>
  <c r="AT808" i="8"/>
  <c r="AT774" i="8"/>
  <c r="AT770" i="8"/>
  <c r="AT783" i="8"/>
  <c r="AT797" i="8"/>
  <c r="AT767" i="8"/>
  <c r="AT786" i="8"/>
  <c r="AT775" i="8"/>
  <c r="AT772" i="8"/>
  <c r="AT778" i="8"/>
  <c r="AT822" i="8"/>
  <c r="AT833" i="8"/>
  <c r="AT777" i="8"/>
  <c r="AT801" i="8"/>
  <c r="AT760" i="8"/>
  <c r="AT779" i="8"/>
  <c r="AT782" i="8"/>
  <c r="AT798" i="8"/>
  <c r="AT830" i="8"/>
  <c r="AT835" i="8"/>
  <c r="AT780" i="8"/>
  <c r="AT793" i="8"/>
  <c r="AT788" i="8"/>
  <c r="AT794" i="8"/>
  <c r="AT800" i="8"/>
  <c r="AT828" i="8"/>
  <c r="AT766" i="8"/>
  <c r="AT817" i="8"/>
  <c r="AT763" i="8"/>
  <c r="AT776" i="8"/>
  <c r="AT781" i="8"/>
  <c r="AT832" i="8"/>
  <c r="AT803" i="8"/>
  <c r="AT813" i="8"/>
  <c r="AH785" i="8"/>
  <c r="G10" i="2"/>
  <c r="AH135" i="8" s="1"/>
  <c r="AH784" i="8"/>
  <c r="G9" i="2"/>
  <c r="AH57" i="8" s="1"/>
  <c r="G11" i="2"/>
  <c r="AH157" i="8" s="1"/>
  <c r="G3" i="2"/>
  <c r="AH76" i="8" s="1"/>
  <c r="G4" i="2"/>
  <c r="AH40" i="8" s="1"/>
  <c r="AT118" i="8"/>
  <c r="G5" i="2"/>
  <c r="AH104" i="8" s="1"/>
  <c r="G12" i="2"/>
  <c r="AH124" i="8" s="1"/>
  <c r="G25" i="2"/>
  <c r="G8" i="2"/>
  <c r="AH120" i="8" s="1"/>
  <c r="G7" i="2"/>
  <c r="AH43" i="8" s="1"/>
  <c r="G89" i="3"/>
  <c r="G131" i="3" s="1"/>
  <c r="G98" i="3"/>
  <c r="G140" i="3" s="1"/>
  <c r="G99" i="3"/>
  <c r="G141" i="3" s="1"/>
  <c r="G91" i="3"/>
  <c r="G133" i="3" s="1"/>
  <c r="J121" i="3"/>
  <c r="F10" i="5"/>
  <c r="G10" i="5"/>
  <c r="E10" i="5"/>
  <c r="D10" i="5"/>
  <c r="C10" i="5"/>
  <c r="E2" i="2"/>
  <c r="D2" i="2"/>
  <c r="C2" i="2"/>
  <c r="AT715" i="8" l="1"/>
  <c r="G49" i="2"/>
  <c r="AT236" i="8"/>
  <c r="BP236" i="8" s="1"/>
  <c r="G32" i="2"/>
  <c r="AH826" i="8"/>
  <c r="AL826" i="8" s="1"/>
  <c r="BE826" i="8" s="1"/>
  <c r="AH803" i="8"/>
  <c r="AO803" i="8" s="1"/>
  <c r="BH803" i="8" s="1"/>
  <c r="AH770" i="8"/>
  <c r="AM770" i="8" s="1"/>
  <c r="BF770" i="8" s="1"/>
  <c r="AT546" i="8"/>
  <c r="BO546" i="8" s="1"/>
  <c r="AH829" i="8"/>
  <c r="AJ829" i="8" s="1"/>
  <c r="BC829" i="8" s="1"/>
  <c r="AH727" i="8"/>
  <c r="AQ727" i="8" s="1"/>
  <c r="BJ727" i="8" s="1"/>
  <c r="AH821" i="8"/>
  <c r="AR821" i="8" s="1"/>
  <c r="BK821" i="8" s="1"/>
  <c r="AH744" i="8"/>
  <c r="AO744" i="8" s="1"/>
  <c r="BH744" i="8" s="1"/>
  <c r="AH818" i="8"/>
  <c r="AQ818" i="8" s="1"/>
  <c r="BJ818" i="8" s="1"/>
  <c r="AH792" i="8"/>
  <c r="AO792" i="8" s="1"/>
  <c r="BH792" i="8" s="1"/>
  <c r="AH780" i="8"/>
  <c r="AK780" i="8" s="1"/>
  <c r="BD780" i="8" s="1"/>
  <c r="AH777" i="8"/>
  <c r="AI777" i="8" s="1"/>
  <c r="I106" i="3"/>
  <c r="H113" i="3"/>
  <c r="H122" i="3" s="1"/>
  <c r="AH766" i="8"/>
  <c r="AP766" i="8" s="1"/>
  <c r="BI766" i="8" s="1"/>
  <c r="AH819" i="8"/>
  <c r="AI819" i="8" s="1"/>
  <c r="AT522" i="8"/>
  <c r="BS522" i="8" s="1"/>
  <c r="AH800" i="8"/>
  <c r="AL800" i="8" s="1"/>
  <c r="BE800" i="8" s="1"/>
  <c r="AH815" i="8"/>
  <c r="AR815" i="8" s="1"/>
  <c r="BK815" i="8" s="1"/>
  <c r="AH735" i="8"/>
  <c r="AJ735" i="8" s="1"/>
  <c r="BC735" i="8" s="1"/>
  <c r="AT325" i="8"/>
  <c r="BQ325" i="8" s="1"/>
  <c r="AH768" i="8"/>
  <c r="AN768" i="8" s="1"/>
  <c r="BG768" i="8" s="1"/>
  <c r="AH798" i="8"/>
  <c r="AJ798" i="8" s="1"/>
  <c r="BC798" i="8" s="1"/>
  <c r="AH776" i="8"/>
  <c r="AQ776" i="8" s="1"/>
  <c r="BJ776" i="8" s="1"/>
  <c r="AH782" i="8"/>
  <c r="AM782" i="8" s="1"/>
  <c r="BF782" i="8" s="1"/>
  <c r="AH778" i="8"/>
  <c r="AN778" i="8" s="1"/>
  <c r="BG778" i="8" s="1"/>
  <c r="AH799" i="8"/>
  <c r="AO799" i="8" s="1"/>
  <c r="BH799" i="8" s="1"/>
  <c r="AH13" i="8"/>
  <c r="AI13" i="8" s="1"/>
  <c r="AT513" i="8"/>
  <c r="BQ513" i="8" s="1"/>
  <c r="AH804" i="8"/>
  <c r="AK804" i="8" s="1"/>
  <c r="BD804" i="8" s="1"/>
  <c r="AH832" i="8"/>
  <c r="AJ832" i="8" s="1"/>
  <c r="BC832" i="8" s="1"/>
  <c r="AH772" i="8"/>
  <c r="AR772" i="8" s="1"/>
  <c r="BK772" i="8" s="1"/>
  <c r="AH774" i="8"/>
  <c r="AI774" i="8" s="1"/>
  <c r="AH764" i="8"/>
  <c r="AN764" i="8" s="1"/>
  <c r="BG764" i="8" s="1"/>
  <c r="AT500" i="8"/>
  <c r="BT500" i="8" s="1"/>
  <c r="AI784" i="8"/>
  <c r="AM784" i="8"/>
  <c r="BF784" i="8" s="1"/>
  <c r="AP784" i="8"/>
  <c r="BI784" i="8" s="1"/>
  <c r="AO784" i="8"/>
  <c r="BH784" i="8" s="1"/>
  <c r="AL784" i="8"/>
  <c r="BE784" i="8" s="1"/>
  <c r="AK784" i="8"/>
  <c r="BD784" i="8" s="1"/>
  <c r="AN784" i="8"/>
  <c r="BG784" i="8" s="1"/>
  <c r="AQ784" i="8"/>
  <c r="BJ784" i="8" s="1"/>
  <c r="AR784" i="8"/>
  <c r="BK784" i="8" s="1"/>
  <c r="AJ784" i="8"/>
  <c r="BC784" i="8" s="1"/>
  <c r="BO236" i="8"/>
  <c r="BQ236" i="8"/>
  <c r="AK785" i="8"/>
  <c r="BD785" i="8" s="1"/>
  <c r="AJ785" i="8"/>
  <c r="BC785" i="8" s="1"/>
  <c r="AR785" i="8"/>
  <c r="BK785" i="8" s="1"/>
  <c r="AL785" i="8"/>
  <c r="BE785" i="8" s="1"/>
  <c r="AI785" i="8"/>
  <c r="AM785" i="8"/>
  <c r="BF785" i="8" s="1"/>
  <c r="AN785" i="8"/>
  <c r="BG785" i="8" s="1"/>
  <c r="AP785" i="8"/>
  <c r="BI785" i="8" s="1"/>
  <c r="AO785" i="8"/>
  <c r="BH785" i="8" s="1"/>
  <c r="AQ785" i="8"/>
  <c r="BJ785" i="8" s="1"/>
  <c r="AK76" i="8"/>
  <c r="BD76" i="8" s="1"/>
  <c r="AR76" i="8"/>
  <c r="BK76" i="8" s="1"/>
  <c r="AJ76" i="8"/>
  <c r="BC76" i="8" s="1"/>
  <c r="AP76" i="8"/>
  <c r="BI76" i="8" s="1"/>
  <c r="AI76" i="8"/>
  <c r="AL76" i="8"/>
  <c r="BE76" i="8" s="1"/>
  <c r="AQ76" i="8"/>
  <c r="BJ76" i="8" s="1"/>
  <c r="AO76" i="8"/>
  <c r="BH76" i="8" s="1"/>
  <c r="AN76" i="8"/>
  <c r="BG76" i="8" s="1"/>
  <c r="AM76" i="8"/>
  <c r="BF76" i="8" s="1"/>
  <c r="AL124" i="8"/>
  <c r="BE124" i="8" s="1"/>
  <c r="AO124" i="8"/>
  <c r="BH124" i="8" s="1"/>
  <c r="AN124" i="8"/>
  <c r="BG124" i="8" s="1"/>
  <c r="AM124" i="8"/>
  <c r="BF124" i="8" s="1"/>
  <c r="AI124" i="8"/>
  <c r="AQ124" i="8"/>
  <c r="BJ124" i="8" s="1"/>
  <c r="AK124" i="8"/>
  <c r="BD124" i="8" s="1"/>
  <c r="AR124" i="8"/>
  <c r="BK124" i="8" s="1"/>
  <c r="AJ124" i="8"/>
  <c r="BC124" i="8" s="1"/>
  <c r="AP124" i="8"/>
  <c r="BI124" i="8" s="1"/>
  <c r="AJ43" i="8"/>
  <c r="BC43" i="8" s="1"/>
  <c r="AQ43" i="8"/>
  <c r="BJ43" i="8" s="1"/>
  <c r="AI43" i="8"/>
  <c r="AP43" i="8"/>
  <c r="BI43" i="8" s="1"/>
  <c r="AL43" i="8"/>
  <c r="BE43" i="8" s="1"/>
  <c r="AN43" i="8"/>
  <c r="BG43" i="8" s="1"/>
  <c r="AK43" i="8"/>
  <c r="BD43" i="8" s="1"/>
  <c r="AO43" i="8"/>
  <c r="BH43" i="8" s="1"/>
  <c r="AR43" i="8"/>
  <c r="BK43" i="8" s="1"/>
  <c r="AM43" i="8"/>
  <c r="BF43" i="8" s="1"/>
  <c r="AL104" i="8"/>
  <c r="BE104" i="8" s="1"/>
  <c r="AM104" i="8"/>
  <c r="BF104" i="8" s="1"/>
  <c r="AK104" i="8"/>
  <c r="BD104" i="8" s="1"/>
  <c r="AR104" i="8"/>
  <c r="BK104" i="8" s="1"/>
  <c r="AI104" i="8"/>
  <c r="AJ104" i="8"/>
  <c r="BC104" i="8" s="1"/>
  <c r="AN104" i="8"/>
  <c r="BG104" i="8" s="1"/>
  <c r="AO104" i="8"/>
  <c r="BH104" i="8" s="1"/>
  <c r="AQ104" i="8"/>
  <c r="BJ104" i="8" s="1"/>
  <c r="AP104" i="8"/>
  <c r="BI104" i="8" s="1"/>
  <c r="AQ157" i="8"/>
  <c r="BJ157" i="8" s="1"/>
  <c r="AM157" i="8"/>
  <c r="BF157" i="8" s="1"/>
  <c r="AL157" i="8"/>
  <c r="BE157" i="8" s="1"/>
  <c r="AI157" i="8"/>
  <c r="AP157" i="8"/>
  <c r="BI157" i="8" s="1"/>
  <c r="AJ157" i="8"/>
  <c r="BC157" i="8" s="1"/>
  <c r="AR157" i="8"/>
  <c r="BK157" i="8" s="1"/>
  <c r="AO157" i="8"/>
  <c r="BH157" i="8" s="1"/>
  <c r="AK157" i="8"/>
  <c r="BD157" i="8" s="1"/>
  <c r="AN157" i="8"/>
  <c r="BG157" i="8" s="1"/>
  <c r="AL120" i="8"/>
  <c r="BE120" i="8" s="1"/>
  <c r="AO120" i="8"/>
  <c r="BH120" i="8" s="1"/>
  <c r="AN120" i="8"/>
  <c r="BG120" i="8" s="1"/>
  <c r="AI120" i="8"/>
  <c r="AK120" i="8"/>
  <c r="BD120" i="8" s="1"/>
  <c r="AP120" i="8"/>
  <c r="BI120" i="8" s="1"/>
  <c r="AR120" i="8"/>
  <c r="BK120" i="8" s="1"/>
  <c r="AM120" i="8"/>
  <c r="BF120" i="8" s="1"/>
  <c r="AJ120" i="8"/>
  <c r="BC120" i="8" s="1"/>
  <c r="AQ120" i="8"/>
  <c r="BJ120" i="8" s="1"/>
  <c r="AK57" i="8"/>
  <c r="BD57" i="8" s="1"/>
  <c r="AO57" i="8"/>
  <c r="BH57" i="8" s="1"/>
  <c r="AR57" i="8"/>
  <c r="BK57" i="8" s="1"/>
  <c r="AJ57" i="8"/>
  <c r="BC57" i="8" s="1"/>
  <c r="AI57" i="8"/>
  <c r="AP57" i="8"/>
  <c r="BI57" i="8" s="1"/>
  <c r="AQ57" i="8"/>
  <c r="BJ57" i="8" s="1"/>
  <c r="AN57" i="8"/>
  <c r="BG57" i="8" s="1"/>
  <c r="AM57" i="8"/>
  <c r="BF57" i="8" s="1"/>
  <c r="AL57" i="8"/>
  <c r="BE57" i="8" s="1"/>
  <c r="BS118" i="8"/>
  <c r="BR118" i="8"/>
  <c r="BO118" i="8"/>
  <c r="BU118" i="8"/>
  <c r="BM118" i="8"/>
  <c r="BT118" i="8"/>
  <c r="BL118" i="8"/>
  <c r="BN118" i="8"/>
  <c r="BQ118" i="8"/>
  <c r="BP118" i="8"/>
  <c r="AI829" i="8"/>
  <c r="AL151" i="8"/>
  <c r="BE151" i="8" s="1"/>
  <c r="AP151" i="8"/>
  <c r="BI151" i="8" s="1"/>
  <c r="AM151" i="8"/>
  <c r="BF151" i="8" s="1"/>
  <c r="AI151" i="8"/>
  <c r="AO151" i="8"/>
  <c r="BH151" i="8" s="1"/>
  <c r="AN151" i="8"/>
  <c r="BG151" i="8" s="1"/>
  <c r="AR151" i="8"/>
  <c r="BK151" i="8" s="1"/>
  <c r="AJ151" i="8"/>
  <c r="BC151" i="8" s="1"/>
  <c r="AQ151" i="8"/>
  <c r="BJ151" i="8" s="1"/>
  <c r="AK151" i="8"/>
  <c r="BD151" i="8" s="1"/>
  <c r="AK40" i="8"/>
  <c r="BD40" i="8" s="1"/>
  <c r="AJ40" i="8"/>
  <c r="BC40" i="8" s="1"/>
  <c r="AI40" i="8"/>
  <c r="AP40" i="8"/>
  <c r="BI40" i="8" s="1"/>
  <c r="AQ40" i="8"/>
  <c r="BJ40" i="8" s="1"/>
  <c r="AO40" i="8"/>
  <c r="BH40" i="8" s="1"/>
  <c r="AN40" i="8"/>
  <c r="BG40" i="8" s="1"/>
  <c r="AM40" i="8"/>
  <c r="BF40" i="8" s="1"/>
  <c r="AL40" i="8"/>
  <c r="BE40" i="8" s="1"/>
  <c r="AR40" i="8"/>
  <c r="BK40" i="8" s="1"/>
  <c r="AL135" i="8"/>
  <c r="BE135" i="8" s="1"/>
  <c r="AM135" i="8"/>
  <c r="BF135" i="8" s="1"/>
  <c r="AP135" i="8"/>
  <c r="BI135" i="8" s="1"/>
  <c r="AQ135" i="8"/>
  <c r="BJ135" i="8" s="1"/>
  <c r="AI135" i="8"/>
  <c r="AO135" i="8"/>
  <c r="BH135" i="8" s="1"/>
  <c r="AK135" i="8"/>
  <c r="BD135" i="8" s="1"/>
  <c r="AN135" i="8"/>
  <c r="BG135" i="8" s="1"/>
  <c r="AR135" i="8"/>
  <c r="BK135" i="8" s="1"/>
  <c r="AJ135" i="8"/>
  <c r="BC135" i="8" s="1"/>
  <c r="BS833" i="8"/>
  <c r="BR833" i="8"/>
  <c r="BO833" i="8"/>
  <c r="BQ833" i="8"/>
  <c r="BU833" i="8"/>
  <c r="BM833" i="8"/>
  <c r="BN833" i="8"/>
  <c r="BT833" i="8"/>
  <c r="BL833" i="8"/>
  <c r="BP833" i="8"/>
  <c r="BL733" i="8"/>
  <c r="BU733" i="8"/>
  <c r="BS733" i="8"/>
  <c r="BQ733" i="8"/>
  <c r="BP733" i="8"/>
  <c r="BO733" i="8"/>
  <c r="BN733" i="8"/>
  <c r="BT733" i="8"/>
  <c r="BM733" i="8"/>
  <c r="BR733" i="8"/>
  <c r="BM619" i="8"/>
  <c r="BL619" i="8"/>
  <c r="BR619" i="8"/>
  <c r="BP619" i="8"/>
  <c r="BQ619" i="8"/>
  <c r="BN619" i="8"/>
  <c r="BU619" i="8"/>
  <c r="BT619" i="8"/>
  <c r="BO619" i="8"/>
  <c r="BS619" i="8"/>
  <c r="BM446" i="8"/>
  <c r="BT446" i="8"/>
  <c r="BL446" i="8"/>
  <c r="BR446" i="8"/>
  <c r="BN446" i="8"/>
  <c r="BO446" i="8"/>
  <c r="BU446" i="8"/>
  <c r="BS446" i="8"/>
  <c r="BQ446" i="8"/>
  <c r="BP446" i="8"/>
  <c r="BQ420" i="8"/>
  <c r="BS420" i="8"/>
  <c r="BP420" i="8"/>
  <c r="BR420" i="8"/>
  <c r="BO420" i="8"/>
  <c r="BU420" i="8"/>
  <c r="BM420" i="8"/>
  <c r="BT420" i="8"/>
  <c r="BN420" i="8"/>
  <c r="BL420" i="8"/>
  <c r="BN806" i="8"/>
  <c r="BQ806" i="8"/>
  <c r="BT806" i="8"/>
  <c r="BO806" i="8"/>
  <c r="BL806" i="8"/>
  <c r="BU806" i="8"/>
  <c r="BS806" i="8"/>
  <c r="BP806" i="8"/>
  <c r="BR806" i="8"/>
  <c r="BM806" i="8"/>
  <c r="BT645" i="8"/>
  <c r="BL645" i="8"/>
  <c r="BR645" i="8"/>
  <c r="BQ645" i="8"/>
  <c r="BP645" i="8"/>
  <c r="BS645" i="8"/>
  <c r="BU645" i="8"/>
  <c r="BM645" i="8"/>
  <c r="BN645" i="8"/>
  <c r="BO645" i="8"/>
  <c r="BN486" i="8"/>
  <c r="BT486" i="8"/>
  <c r="BL486" i="8"/>
  <c r="BQ486" i="8"/>
  <c r="BP486" i="8"/>
  <c r="BM486" i="8"/>
  <c r="BR486" i="8"/>
  <c r="BU486" i="8"/>
  <c r="BO486" i="8"/>
  <c r="BS486" i="8"/>
  <c r="BU490" i="8"/>
  <c r="BQ490" i="8"/>
  <c r="BR490" i="8"/>
  <c r="BM490" i="8"/>
  <c r="BO490" i="8"/>
  <c r="BT490" i="8"/>
  <c r="BP490" i="8"/>
  <c r="BN490" i="8"/>
  <c r="BL490" i="8"/>
  <c r="BS490" i="8"/>
  <c r="BM782" i="8"/>
  <c r="BP782" i="8"/>
  <c r="BR782" i="8"/>
  <c r="BQ782" i="8"/>
  <c r="BT782" i="8"/>
  <c r="BO782" i="8"/>
  <c r="BS782" i="8"/>
  <c r="BN782" i="8"/>
  <c r="BL782" i="8"/>
  <c r="BU782" i="8"/>
  <c r="BN615" i="8"/>
  <c r="BS615" i="8"/>
  <c r="BU615" i="8"/>
  <c r="BO615" i="8"/>
  <c r="BM615" i="8"/>
  <c r="BT615" i="8"/>
  <c r="BL615" i="8"/>
  <c r="BR615" i="8"/>
  <c r="BP615" i="8"/>
  <c r="BQ615" i="8"/>
  <c r="BP813" i="8"/>
  <c r="BL813" i="8"/>
  <c r="BU813" i="8"/>
  <c r="BT813" i="8"/>
  <c r="BR813" i="8"/>
  <c r="BO813" i="8"/>
  <c r="BS813" i="8"/>
  <c r="BQ813" i="8"/>
  <c r="BM813" i="8"/>
  <c r="BN813" i="8"/>
  <c r="BN788" i="8"/>
  <c r="BL788" i="8"/>
  <c r="BP788" i="8"/>
  <c r="BQ788" i="8"/>
  <c r="BU788" i="8"/>
  <c r="BO788" i="8"/>
  <c r="BM788" i="8"/>
  <c r="BS788" i="8"/>
  <c r="BR788" i="8"/>
  <c r="BT788" i="8"/>
  <c r="BN803" i="8"/>
  <c r="BP803" i="8"/>
  <c r="BM803" i="8"/>
  <c r="BU803" i="8"/>
  <c r="BR803" i="8"/>
  <c r="BL803" i="8"/>
  <c r="BT803" i="8"/>
  <c r="BO803" i="8"/>
  <c r="BQ803" i="8"/>
  <c r="BS803" i="8"/>
  <c r="AH790" i="8"/>
  <c r="BL793" i="8"/>
  <c r="BN793" i="8"/>
  <c r="BS793" i="8"/>
  <c r="BR793" i="8"/>
  <c r="BQ793" i="8"/>
  <c r="BO793" i="8"/>
  <c r="BM793" i="8"/>
  <c r="BT793" i="8"/>
  <c r="BP793" i="8"/>
  <c r="BU793" i="8"/>
  <c r="BL835" i="8"/>
  <c r="BS835" i="8"/>
  <c r="BR835" i="8"/>
  <c r="BO835" i="8"/>
  <c r="BQ835" i="8"/>
  <c r="BN835" i="8"/>
  <c r="BP835" i="8"/>
  <c r="BM835" i="8"/>
  <c r="BT835" i="8"/>
  <c r="BU835" i="8"/>
  <c r="BT760" i="8"/>
  <c r="BS760" i="8"/>
  <c r="BU760" i="8"/>
  <c r="BQ760" i="8"/>
  <c r="BM760" i="8"/>
  <c r="BP760" i="8"/>
  <c r="BO760" i="8"/>
  <c r="BN760" i="8"/>
  <c r="BL760" i="8"/>
  <c r="BR760" i="8"/>
  <c r="BR778" i="8"/>
  <c r="BQ778" i="8"/>
  <c r="BP778" i="8"/>
  <c r="BL778" i="8"/>
  <c r="BN778" i="8"/>
  <c r="BS778" i="8"/>
  <c r="BU778" i="8"/>
  <c r="BM778" i="8"/>
  <c r="BO778" i="8"/>
  <c r="BT778" i="8"/>
  <c r="AH822" i="8"/>
  <c r="BN770" i="8"/>
  <c r="BP770" i="8"/>
  <c r="BU770" i="8"/>
  <c r="BM770" i="8"/>
  <c r="BR770" i="8"/>
  <c r="BT770" i="8"/>
  <c r="BQ770" i="8"/>
  <c r="BS770" i="8"/>
  <c r="BO770" i="8"/>
  <c r="BL770" i="8"/>
  <c r="AH817" i="8"/>
  <c r="BR773" i="8"/>
  <c r="BL773" i="8"/>
  <c r="BP773" i="8"/>
  <c r="BQ773" i="8"/>
  <c r="BN773" i="8"/>
  <c r="BU773" i="8"/>
  <c r="BT773" i="8"/>
  <c r="BO773" i="8"/>
  <c r="BS773" i="8"/>
  <c r="BM773" i="8"/>
  <c r="BL653" i="8"/>
  <c r="BR653" i="8"/>
  <c r="BP653" i="8"/>
  <c r="BQ653" i="8"/>
  <c r="BO653" i="8"/>
  <c r="BS653" i="8"/>
  <c r="BN653" i="8"/>
  <c r="BM653" i="8"/>
  <c r="BT653" i="8"/>
  <c r="BU653" i="8"/>
  <c r="BM643" i="8"/>
  <c r="BT643" i="8"/>
  <c r="BL643" i="8"/>
  <c r="BS643" i="8"/>
  <c r="BR643" i="8"/>
  <c r="BN643" i="8"/>
  <c r="BQ643" i="8"/>
  <c r="BU643" i="8"/>
  <c r="BO643" i="8"/>
  <c r="BP643" i="8"/>
  <c r="BN637" i="8"/>
  <c r="BL637" i="8"/>
  <c r="BU637" i="8"/>
  <c r="BT637" i="8"/>
  <c r="BM637" i="8"/>
  <c r="BQ637" i="8"/>
  <c r="BR637" i="8"/>
  <c r="BS637" i="8"/>
  <c r="BP637" i="8"/>
  <c r="BO637" i="8"/>
  <c r="BP625" i="8"/>
  <c r="BS625" i="8"/>
  <c r="BO625" i="8"/>
  <c r="BR625" i="8"/>
  <c r="BN625" i="8"/>
  <c r="BQ625" i="8"/>
  <c r="BU625" i="8"/>
  <c r="BT625" i="8"/>
  <c r="BL625" i="8"/>
  <c r="BM625" i="8"/>
  <c r="BQ640" i="8"/>
  <c r="BP640" i="8"/>
  <c r="BN640" i="8"/>
  <c r="BO640" i="8"/>
  <c r="BU640" i="8"/>
  <c r="BS640" i="8"/>
  <c r="BL640" i="8"/>
  <c r="BM640" i="8"/>
  <c r="BR640" i="8"/>
  <c r="BT640" i="8"/>
  <c r="BP441" i="8"/>
  <c r="BO441" i="8"/>
  <c r="BN441" i="8"/>
  <c r="BU441" i="8"/>
  <c r="BS441" i="8"/>
  <c r="BL441" i="8"/>
  <c r="BM441" i="8"/>
  <c r="BR441" i="8"/>
  <c r="BT441" i="8"/>
  <c r="BQ441" i="8"/>
  <c r="BN482" i="8"/>
  <c r="BU482" i="8"/>
  <c r="BT482" i="8"/>
  <c r="BS482" i="8"/>
  <c r="BP482" i="8"/>
  <c r="BO482" i="8"/>
  <c r="BM482" i="8"/>
  <c r="BR482" i="8"/>
  <c r="BQ482" i="8"/>
  <c r="BL482" i="8"/>
  <c r="BO480" i="8"/>
  <c r="BQ480" i="8"/>
  <c r="BU480" i="8"/>
  <c r="BT480" i="8"/>
  <c r="BL480" i="8"/>
  <c r="BN480" i="8"/>
  <c r="BM480" i="8"/>
  <c r="BS480" i="8"/>
  <c r="BP480" i="8"/>
  <c r="BR480" i="8"/>
  <c r="BS487" i="8"/>
  <c r="BR487" i="8"/>
  <c r="BQ487" i="8"/>
  <c r="BP487" i="8"/>
  <c r="BM487" i="8"/>
  <c r="BO487" i="8"/>
  <c r="BU487" i="8"/>
  <c r="BN487" i="8"/>
  <c r="BT487" i="8"/>
  <c r="BL487" i="8"/>
  <c r="BM424" i="8"/>
  <c r="BT424" i="8"/>
  <c r="BL424" i="8"/>
  <c r="BQ424" i="8"/>
  <c r="BP424" i="8"/>
  <c r="BS424" i="8"/>
  <c r="BN424" i="8"/>
  <c r="BU424" i="8"/>
  <c r="BO424" i="8"/>
  <c r="BR424" i="8"/>
  <c r="BN443" i="8"/>
  <c r="BU443" i="8"/>
  <c r="BS443" i="8"/>
  <c r="BT443" i="8"/>
  <c r="BQ443" i="8"/>
  <c r="BL443" i="8"/>
  <c r="BM443" i="8"/>
  <c r="BP443" i="8"/>
  <c r="BO443" i="8"/>
  <c r="BR443" i="8"/>
  <c r="BU410" i="8"/>
  <c r="BM410" i="8"/>
  <c r="BT410" i="8"/>
  <c r="BQ410" i="8"/>
  <c r="BS410" i="8"/>
  <c r="BP410" i="8"/>
  <c r="BR410" i="8"/>
  <c r="BO410" i="8"/>
  <c r="BN410" i="8"/>
  <c r="BL410" i="8"/>
  <c r="BO414" i="8"/>
  <c r="BN414" i="8"/>
  <c r="BU414" i="8"/>
  <c r="BM414" i="8"/>
  <c r="BL414" i="8"/>
  <c r="BT414" i="8"/>
  <c r="BQ414" i="8"/>
  <c r="BS414" i="8"/>
  <c r="BP414" i="8"/>
  <c r="BR414" i="8"/>
  <c r="BP444" i="8"/>
  <c r="BU444" i="8"/>
  <c r="BN444" i="8"/>
  <c r="BQ444" i="8"/>
  <c r="BT444" i="8"/>
  <c r="BL444" i="8"/>
  <c r="BR444" i="8"/>
  <c r="BO444" i="8"/>
  <c r="BM444" i="8"/>
  <c r="BS444" i="8"/>
  <c r="BL383" i="8"/>
  <c r="BM383" i="8"/>
  <c r="BP383" i="8"/>
  <c r="BU383" i="8"/>
  <c r="BS383" i="8"/>
  <c r="BT383" i="8"/>
  <c r="BR383" i="8"/>
  <c r="BQ383" i="8"/>
  <c r="BO383" i="8"/>
  <c r="BN383" i="8"/>
  <c r="BM228" i="8"/>
  <c r="BT228" i="8"/>
  <c r="BL228" i="8"/>
  <c r="BR228" i="8"/>
  <c r="BQ228" i="8"/>
  <c r="BN228" i="8"/>
  <c r="BP228" i="8"/>
  <c r="BU228" i="8"/>
  <c r="BO228" i="8"/>
  <c r="BS228" i="8"/>
  <c r="AT292" i="8"/>
  <c r="BQ212" i="8"/>
  <c r="BN212" i="8"/>
  <c r="BM212" i="8"/>
  <c r="BS212" i="8"/>
  <c r="BP212" i="8"/>
  <c r="BT212" i="8"/>
  <c r="BO212" i="8"/>
  <c r="BL212" i="8"/>
  <c r="BR212" i="8"/>
  <c r="BU212" i="8"/>
  <c r="BQ285" i="8"/>
  <c r="BP285" i="8"/>
  <c r="BT285" i="8"/>
  <c r="BM285" i="8"/>
  <c r="BL285" i="8"/>
  <c r="BN285" i="8"/>
  <c r="BS285" i="8"/>
  <c r="BR285" i="8"/>
  <c r="BU285" i="8"/>
  <c r="BO285" i="8"/>
  <c r="AT238" i="8"/>
  <c r="BP260" i="8"/>
  <c r="BS260" i="8"/>
  <c r="BO260" i="8"/>
  <c r="BR260" i="8"/>
  <c r="BT260" i="8"/>
  <c r="BN260" i="8"/>
  <c r="BQ260" i="8"/>
  <c r="BU260" i="8"/>
  <c r="BM260" i="8"/>
  <c r="BL260" i="8"/>
  <c r="BR183" i="8"/>
  <c r="BN183" i="8"/>
  <c r="BL183" i="8"/>
  <c r="BP183" i="8"/>
  <c r="BS183" i="8"/>
  <c r="BO183" i="8"/>
  <c r="BQ183" i="8"/>
  <c r="BM183" i="8"/>
  <c r="BT183" i="8"/>
  <c r="BU183" i="8"/>
  <c r="BU74" i="8"/>
  <c r="BO74" i="8"/>
  <c r="BM74" i="8"/>
  <c r="BQ74" i="8"/>
  <c r="BT74" i="8"/>
  <c r="BL74" i="8"/>
  <c r="BR74" i="8"/>
  <c r="BS74" i="8"/>
  <c r="BN74" i="8"/>
  <c r="BP74" i="8"/>
  <c r="AT72" i="8"/>
  <c r="BM86" i="8"/>
  <c r="BT86" i="8"/>
  <c r="BL86" i="8"/>
  <c r="BR86" i="8"/>
  <c r="BP86" i="8"/>
  <c r="BN86" i="8"/>
  <c r="BU86" i="8"/>
  <c r="BS86" i="8"/>
  <c r="BO86" i="8"/>
  <c r="BQ86" i="8"/>
  <c r="AT68" i="8"/>
  <c r="AT36" i="8"/>
  <c r="AT78" i="8"/>
  <c r="BM96" i="8"/>
  <c r="BL96" i="8"/>
  <c r="BR96" i="8"/>
  <c r="BP96" i="8"/>
  <c r="BT96" i="8"/>
  <c r="BN96" i="8"/>
  <c r="BU96" i="8"/>
  <c r="BQ96" i="8"/>
  <c r="BO96" i="8"/>
  <c r="BS96" i="8"/>
  <c r="BT16" i="8"/>
  <c r="BM16" i="8"/>
  <c r="BL16" i="8"/>
  <c r="BS16" i="8"/>
  <c r="BR16" i="8"/>
  <c r="BP16" i="8"/>
  <c r="BQ16" i="8"/>
  <c r="BN16" i="8"/>
  <c r="BO16" i="8"/>
  <c r="BU16" i="8"/>
  <c r="AT310" i="8"/>
  <c r="BP39" i="8"/>
  <c r="BN39" i="8"/>
  <c r="BL39" i="8"/>
  <c r="BS39" i="8"/>
  <c r="BR39" i="8"/>
  <c r="BQ39" i="8"/>
  <c r="BO39" i="8"/>
  <c r="BM39" i="8"/>
  <c r="BU39" i="8"/>
  <c r="BT39" i="8"/>
  <c r="AT516" i="8"/>
  <c r="AH67" i="8"/>
  <c r="AT67" i="8"/>
  <c r="AH47" i="8"/>
  <c r="BN10" i="8"/>
  <c r="BM10" i="8"/>
  <c r="BT10" i="8"/>
  <c r="BU10" i="8"/>
  <c r="BL10" i="8"/>
  <c r="BS10" i="8"/>
  <c r="BR10" i="8"/>
  <c r="BQ10" i="8"/>
  <c r="BO10" i="8"/>
  <c r="BP10" i="8"/>
  <c r="BO28" i="8"/>
  <c r="BS28" i="8"/>
  <c r="BR28" i="8"/>
  <c r="BP28" i="8"/>
  <c r="BU28" i="8"/>
  <c r="BQ28" i="8"/>
  <c r="BM28" i="8"/>
  <c r="BT28" i="8"/>
  <c r="BL28" i="8"/>
  <c r="BN28" i="8"/>
  <c r="BS45" i="8"/>
  <c r="BR45" i="8"/>
  <c r="BU45" i="8"/>
  <c r="BQ45" i="8"/>
  <c r="BM45" i="8"/>
  <c r="BO45" i="8"/>
  <c r="BN45" i="8"/>
  <c r="BP45" i="8"/>
  <c r="BT45" i="8"/>
  <c r="BL45" i="8"/>
  <c r="BT413" i="8"/>
  <c r="BL413" i="8"/>
  <c r="BS413" i="8"/>
  <c r="BR413" i="8"/>
  <c r="BQ413" i="8"/>
  <c r="BP413" i="8"/>
  <c r="BU413" i="8"/>
  <c r="BO413" i="8"/>
  <c r="BM413" i="8"/>
  <c r="BN413" i="8"/>
  <c r="BQ479" i="8"/>
  <c r="BP479" i="8"/>
  <c r="BO479" i="8"/>
  <c r="BT479" i="8"/>
  <c r="BU479" i="8"/>
  <c r="BL479" i="8"/>
  <c r="BM479" i="8"/>
  <c r="BS479" i="8"/>
  <c r="BR479" i="8"/>
  <c r="BN479" i="8"/>
  <c r="AT521" i="8"/>
  <c r="BU216" i="8"/>
  <c r="BO216" i="8"/>
  <c r="BT216" i="8"/>
  <c r="BN216" i="8"/>
  <c r="BL216" i="8"/>
  <c r="BR216" i="8"/>
  <c r="BP216" i="8"/>
  <c r="BS216" i="8"/>
  <c r="BQ216" i="8"/>
  <c r="BM216" i="8"/>
  <c r="AH84" i="8"/>
  <c r="BS247" i="8"/>
  <c r="BP247" i="8"/>
  <c r="BO247" i="8"/>
  <c r="BU247" i="8"/>
  <c r="BM247" i="8"/>
  <c r="BT247" i="8"/>
  <c r="BR247" i="8"/>
  <c r="BQ247" i="8"/>
  <c r="BN247" i="8"/>
  <c r="BL247" i="8"/>
  <c r="AH833" i="8"/>
  <c r="AH830" i="8"/>
  <c r="BN587" i="8"/>
  <c r="BM587" i="8"/>
  <c r="BT587" i="8"/>
  <c r="BQ587" i="8"/>
  <c r="BR587" i="8"/>
  <c r="BL587" i="8"/>
  <c r="BS587" i="8"/>
  <c r="BP587" i="8"/>
  <c r="BO587" i="8"/>
  <c r="BU587" i="8"/>
  <c r="BU218" i="8"/>
  <c r="BP218" i="8"/>
  <c r="BN218" i="8"/>
  <c r="BM218" i="8"/>
  <c r="BO218" i="8"/>
  <c r="BT218" i="8"/>
  <c r="BL218" i="8"/>
  <c r="BS218" i="8"/>
  <c r="BR218" i="8"/>
  <c r="BQ218" i="8"/>
  <c r="AH53" i="8"/>
  <c r="BU541" i="8"/>
  <c r="BO541" i="8"/>
  <c r="BM541" i="8"/>
  <c r="BT541" i="8"/>
  <c r="BL541" i="8"/>
  <c r="BS541" i="8"/>
  <c r="BR541" i="8"/>
  <c r="BQ541" i="8"/>
  <c r="BN541" i="8"/>
  <c r="BP541" i="8"/>
  <c r="BL792" i="8"/>
  <c r="BU792" i="8"/>
  <c r="BM792" i="8"/>
  <c r="BS792" i="8"/>
  <c r="BT792" i="8"/>
  <c r="BR792" i="8"/>
  <c r="BO792" i="8"/>
  <c r="BQ792" i="8"/>
  <c r="BP792" i="8"/>
  <c r="BN792" i="8"/>
  <c r="BQ423" i="8"/>
  <c r="BP423" i="8"/>
  <c r="BU423" i="8"/>
  <c r="BO423" i="8"/>
  <c r="BM423" i="8"/>
  <c r="BN423" i="8"/>
  <c r="BT423" i="8"/>
  <c r="BL423" i="8"/>
  <c r="BS423" i="8"/>
  <c r="BR423" i="8"/>
  <c r="AH3" i="8"/>
  <c r="AH85" i="8"/>
  <c r="AT53" i="8"/>
  <c r="BO335" i="8"/>
  <c r="BR335" i="8"/>
  <c r="BN335" i="8"/>
  <c r="BU335" i="8"/>
  <c r="BM335" i="8"/>
  <c r="BS335" i="8"/>
  <c r="BT335" i="8"/>
  <c r="BL335" i="8"/>
  <c r="BQ335" i="8"/>
  <c r="BP335" i="8"/>
  <c r="AH835" i="8"/>
  <c r="AH796" i="8"/>
  <c r="AT54" i="8"/>
  <c r="AH86" i="8"/>
  <c r="BN622" i="8"/>
  <c r="BT622" i="8"/>
  <c r="BU622" i="8"/>
  <c r="BL622" i="8"/>
  <c r="BM622" i="8"/>
  <c r="BS622" i="8"/>
  <c r="BR622" i="8"/>
  <c r="BQ622" i="8"/>
  <c r="BP622" i="8"/>
  <c r="BO622" i="8"/>
  <c r="BQ624" i="8"/>
  <c r="BP624" i="8"/>
  <c r="BO624" i="8"/>
  <c r="BN624" i="8"/>
  <c r="BT624" i="8"/>
  <c r="BU624" i="8"/>
  <c r="BL624" i="8"/>
  <c r="BM624" i="8"/>
  <c r="BS624" i="8"/>
  <c r="BR624" i="8"/>
  <c r="BN589" i="8"/>
  <c r="BQ589" i="8"/>
  <c r="BR589" i="8"/>
  <c r="BM589" i="8"/>
  <c r="BP589" i="8"/>
  <c r="BO589" i="8"/>
  <c r="BU589" i="8"/>
  <c r="BT589" i="8"/>
  <c r="BL589" i="8"/>
  <c r="BS589" i="8"/>
  <c r="BS50" i="8"/>
  <c r="BP50" i="8"/>
  <c r="BN50" i="8"/>
  <c r="BO50" i="8"/>
  <c r="BU50" i="8"/>
  <c r="BM50" i="8"/>
  <c r="BT50" i="8"/>
  <c r="BQ50" i="8"/>
  <c r="BL50" i="8"/>
  <c r="BR50" i="8"/>
  <c r="BP732" i="8"/>
  <c r="BO732" i="8"/>
  <c r="BU732" i="8"/>
  <c r="BN732" i="8"/>
  <c r="BM732" i="8"/>
  <c r="BT732" i="8"/>
  <c r="BL732" i="8"/>
  <c r="BS732" i="8"/>
  <c r="BR732" i="8"/>
  <c r="BQ732" i="8"/>
  <c r="BQ436" i="8"/>
  <c r="BO436" i="8"/>
  <c r="BM436" i="8"/>
  <c r="BN436" i="8"/>
  <c r="BS436" i="8"/>
  <c r="BP436" i="8"/>
  <c r="BU436" i="8"/>
  <c r="BT436" i="8"/>
  <c r="BL436" i="8"/>
  <c r="BR436" i="8"/>
  <c r="BT187" i="8"/>
  <c r="BR187" i="8"/>
  <c r="BQ187" i="8"/>
  <c r="BP187" i="8"/>
  <c r="BO187" i="8"/>
  <c r="BU187" i="8"/>
  <c r="BL187" i="8"/>
  <c r="BM187" i="8"/>
  <c r="BS187" i="8"/>
  <c r="BN187" i="8"/>
  <c r="BQ298" i="8"/>
  <c r="BP298" i="8"/>
  <c r="BO298" i="8"/>
  <c r="BU298" i="8"/>
  <c r="BS298" i="8"/>
  <c r="BM298" i="8"/>
  <c r="BN298" i="8"/>
  <c r="BT298" i="8"/>
  <c r="BL298" i="8"/>
  <c r="BR298" i="8"/>
  <c r="BO585" i="8"/>
  <c r="BN585" i="8"/>
  <c r="BT585" i="8"/>
  <c r="BL585" i="8"/>
  <c r="BQ585" i="8"/>
  <c r="BP585" i="8"/>
  <c r="BU585" i="8"/>
  <c r="BM585" i="8"/>
  <c r="BS585" i="8"/>
  <c r="BR585" i="8"/>
  <c r="BO650" i="8"/>
  <c r="BR650" i="8"/>
  <c r="BQ650" i="8"/>
  <c r="BP650" i="8"/>
  <c r="BN650" i="8"/>
  <c r="BT650" i="8"/>
  <c r="BM650" i="8"/>
  <c r="BL650" i="8"/>
  <c r="BS650" i="8"/>
  <c r="BU650" i="8"/>
  <c r="AH90" i="8"/>
  <c r="AH68" i="8"/>
  <c r="AH123" i="8"/>
  <c r="AH174" i="8"/>
  <c r="AH137" i="8"/>
  <c r="AT132" i="8"/>
  <c r="AH145" i="8"/>
  <c r="AH136" i="8"/>
  <c r="AT127" i="8"/>
  <c r="AH163" i="8"/>
  <c r="BS155" i="8"/>
  <c r="BP155" i="8"/>
  <c r="BR155" i="8"/>
  <c r="BO155" i="8"/>
  <c r="BN155" i="8"/>
  <c r="BU155" i="8"/>
  <c r="BT155" i="8"/>
  <c r="BM155" i="8"/>
  <c r="BL155" i="8"/>
  <c r="BQ155" i="8"/>
  <c r="AT200" i="8"/>
  <c r="BO97" i="8"/>
  <c r="BT97" i="8"/>
  <c r="BM97" i="8"/>
  <c r="BL97" i="8"/>
  <c r="BP97" i="8"/>
  <c r="BU97" i="8"/>
  <c r="BS97" i="8"/>
  <c r="BR97" i="8"/>
  <c r="BQ97" i="8"/>
  <c r="BN97" i="8"/>
  <c r="AH164" i="8"/>
  <c r="AH165" i="8"/>
  <c r="BS112" i="8"/>
  <c r="BR112" i="8"/>
  <c r="BN112" i="8"/>
  <c r="BQ112" i="8"/>
  <c r="BO112" i="8"/>
  <c r="BP112" i="8"/>
  <c r="BM112" i="8"/>
  <c r="BU112" i="8"/>
  <c r="BT112" i="8"/>
  <c r="BL112" i="8"/>
  <c r="BS141" i="8"/>
  <c r="BR141" i="8"/>
  <c r="BM141" i="8"/>
  <c r="BT141" i="8"/>
  <c r="BL141" i="8"/>
  <c r="BQ141" i="8"/>
  <c r="BP141" i="8"/>
  <c r="BN141" i="8"/>
  <c r="BO141" i="8"/>
  <c r="BU141" i="8"/>
  <c r="AH166" i="8"/>
  <c r="BS363" i="8"/>
  <c r="BL363" i="8"/>
  <c r="BR363" i="8"/>
  <c r="BT363" i="8"/>
  <c r="BN363" i="8"/>
  <c r="BP363" i="8"/>
  <c r="BM363" i="8"/>
  <c r="BQ363" i="8"/>
  <c r="BU363" i="8"/>
  <c r="BO363" i="8"/>
  <c r="AH181" i="8"/>
  <c r="AH154" i="8"/>
  <c r="BN244" i="8"/>
  <c r="BO244" i="8"/>
  <c r="BU244" i="8"/>
  <c r="BR244" i="8"/>
  <c r="BS244" i="8"/>
  <c r="BL244" i="8"/>
  <c r="BP244" i="8"/>
  <c r="BQ244" i="8"/>
  <c r="BT244" i="8"/>
  <c r="BM244" i="8"/>
  <c r="BS365" i="8"/>
  <c r="BQ365" i="8"/>
  <c r="BM365" i="8"/>
  <c r="BO365" i="8"/>
  <c r="BU365" i="8"/>
  <c r="BR365" i="8"/>
  <c r="BN365" i="8"/>
  <c r="BP365" i="8"/>
  <c r="BL365" i="8"/>
  <c r="BT365" i="8"/>
  <c r="BU202" i="8"/>
  <c r="BP202" i="8"/>
  <c r="BQ202" i="8"/>
  <c r="BL202" i="8"/>
  <c r="BN202" i="8"/>
  <c r="BT202" i="8"/>
  <c r="BM202" i="8"/>
  <c r="BR202" i="8"/>
  <c r="BO202" i="8"/>
  <c r="BS202" i="8"/>
  <c r="AT343" i="8"/>
  <c r="BO152" i="8"/>
  <c r="BR152" i="8"/>
  <c r="BP152" i="8"/>
  <c r="BU152" i="8"/>
  <c r="BM152" i="8"/>
  <c r="BL152" i="8"/>
  <c r="BS152" i="8"/>
  <c r="BQ152" i="8"/>
  <c r="BT152" i="8"/>
  <c r="BN152" i="8"/>
  <c r="BU192" i="8"/>
  <c r="BP192" i="8"/>
  <c r="BQ192" i="8"/>
  <c r="BN192" i="8"/>
  <c r="BM192" i="8"/>
  <c r="BR192" i="8"/>
  <c r="BS192" i="8"/>
  <c r="BO192" i="8"/>
  <c r="BL192" i="8"/>
  <c r="BT192" i="8"/>
  <c r="BN550" i="8"/>
  <c r="BT550" i="8"/>
  <c r="BL550" i="8"/>
  <c r="BS550" i="8"/>
  <c r="BR550" i="8"/>
  <c r="BP550" i="8"/>
  <c r="BQ550" i="8"/>
  <c r="BO550" i="8"/>
  <c r="BU550" i="8"/>
  <c r="BM550" i="8"/>
  <c r="BU723" i="8"/>
  <c r="BN723" i="8"/>
  <c r="BS723" i="8"/>
  <c r="BP723" i="8"/>
  <c r="BQ723" i="8"/>
  <c r="BO723" i="8"/>
  <c r="BR723" i="8"/>
  <c r="BM723" i="8"/>
  <c r="BL723" i="8"/>
  <c r="BT723" i="8"/>
  <c r="AT557" i="8"/>
  <c r="BU322" i="8"/>
  <c r="BM322" i="8"/>
  <c r="BP322" i="8"/>
  <c r="BN322" i="8"/>
  <c r="BQ322" i="8"/>
  <c r="BS322" i="8"/>
  <c r="BO322" i="8"/>
  <c r="BT322" i="8"/>
  <c r="BL322" i="8"/>
  <c r="BR322" i="8"/>
  <c r="AT511" i="8"/>
  <c r="BR588" i="8"/>
  <c r="BQ588" i="8"/>
  <c r="BU588" i="8"/>
  <c r="BM588" i="8"/>
  <c r="BT588" i="8"/>
  <c r="BL588" i="8"/>
  <c r="BS588" i="8"/>
  <c r="BP588" i="8"/>
  <c r="BO588" i="8"/>
  <c r="BN588" i="8"/>
  <c r="BO818" i="8"/>
  <c r="BS818" i="8"/>
  <c r="BQ818" i="8"/>
  <c r="BP818" i="8"/>
  <c r="BL818" i="8"/>
  <c r="BT818" i="8"/>
  <c r="BU818" i="8"/>
  <c r="BR818" i="8"/>
  <c r="BM818" i="8"/>
  <c r="BN818" i="8"/>
  <c r="BR747" i="8"/>
  <c r="BN747" i="8"/>
  <c r="BT747" i="8"/>
  <c r="BL747" i="8"/>
  <c r="BS747" i="8"/>
  <c r="BQ747" i="8"/>
  <c r="BP747" i="8"/>
  <c r="BO747" i="8"/>
  <c r="BU747" i="8"/>
  <c r="BM747" i="8"/>
  <c r="BR683" i="8"/>
  <c r="BP683" i="8"/>
  <c r="BO683" i="8"/>
  <c r="BU683" i="8"/>
  <c r="BM683" i="8"/>
  <c r="BT683" i="8"/>
  <c r="BN683" i="8"/>
  <c r="BL683" i="8"/>
  <c r="BS683" i="8"/>
  <c r="BQ683" i="8"/>
  <c r="BU702" i="8"/>
  <c r="BN702" i="8"/>
  <c r="BR702" i="8"/>
  <c r="BL702" i="8"/>
  <c r="BT702" i="8"/>
  <c r="BM702" i="8"/>
  <c r="BP702" i="8"/>
  <c r="BS702" i="8"/>
  <c r="BO702" i="8"/>
  <c r="BQ702" i="8"/>
  <c r="BU753" i="8"/>
  <c r="BN753" i="8"/>
  <c r="BQ753" i="8"/>
  <c r="BO753" i="8"/>
  <c r="BR753" i="8"/>
  <c r="BT753" i="8"/>
  <c r="BP753" i="8"/>
  <c r="BS753" i="8"/>
  <c r="BL753" i="8"/>
  <c r="BM753" i="8"/>
  <c r="BM598" i="8"/>
  <c r="BN598" i="8"/>
  <c r="BR598" i="8"/>
  <c r="BT598" i="8"/>
  <c r="BL598" i="8"/>
  <c r="BS598" i="8"/>
  <c r="BQ598" i="8"/>
  <c r="BP598" i="8"/>
  <c r="BO598" i="8"/>
  <c r="BU598" i="8"/>
  <c r="BR695" i="8"/>
  <c r="BN695" i="8"/>
  <c r="BL695" i="8"/>
  <c r="BS695" i="8"/>
  <c r="BQ695" i="8"/>
  <c r="BP695" i="8"/>
  <c r="BO695" i="8"/>
  <c r="BU695" i="8"/>
  <c r="BM695" i="8"/>
  <c r="BT695" i="8"/>
  <c r="BU727" i="8"/>
  <c r="BN727" i="8"/>
  <c r="BO727" i="8"/>
  <c r="BQ727" i="8"/>
  <c r="BL727" i="8"/>
  <c r="BM727" i="8"/>
  <c r="BP727" i="8"/>
  <c r="BR727" i="8"/>
  <c r="BS727" i="8"/>
  <c r="BT727" i="8"/>
  <c r="BO802" i="8"/>
  <c r="BU802" i="8"/>
  <c r="BP802" i="8"/>
  <c r="BT802" i="8"/>
  <c r="BM802" i="8"/>
  <c r="BL802" i="8"/>
  <c r="BS802" i="8"/>
  <c r="BN802" i="8"/>
  <c r="BR802" i="8"/>
  <c r="BQ802" i="8"/>
  <c r="BO728" i="8"/>
  <c r="BN728" i="8"/>
  <c r="BU728" i="8"/>
  <c r="BM728" i="8"/>
  <c r="BT728" i="8"/>
  <c r="BR728" i="8"/>
  <c r="BL728" i="8"/>
  <c r="BQ728" i="8"/>
  <c r="BS728" i="8"/>
  <c r="BP728" i="8"/>
  <c r="AH831" i="8"/>
  <c r="AH745" i="8"/>
  <c r="BR688" i="8"/>
  <c r="BS688" i="8"/>
  <c r="BQ688" i="8"/>
  <c r="BP688" i="8"/>
  <c r="BO688" i="8"/>
  <c r="BU688" i="8"/>
  <c r="BM688" i="8"/>
  <c r="BN688" i="8"/>
  <c r="BT688" i="8"/>
  <c r="BL688" i="8"/>
  <c r="AH718" i="8"/>
  <c r="AH736" i="8"/>
  <c r="BN781" i="8"/>
  <c r="BL781" i="8"/>
  <c r="BP781" i="8"/>
  <c r="BS781" i="8"/>
  <c r="BT781" i="8"/>
  <c r="BM781" i="8"/>
  <c r="BU781" i="8"/>
  <c r="BO781" i="8"/>
  <c r="BR781" i="8"/>
  <c r="BQ781" i="8"/>
  <c r="BU808" i="8"/>
  <c r="BP808" i="8"/>
  <c r="BT808" i="8"/>
  <c r="BS808" i="8"/>
  <c r="BR808" i="8"/>
  <c r="BN808" i="8"/>
  <c r="BM808" i="8"/>
  <c r="BQ808" i="8"/>
  <c r="BO808" i="8"/>
  <c r="BL808" i="8"/>
  <c r="BQ508" i="8"/>
  <c r="BP508" i="8"/>
  <c r="BO508" i="8"/>
  <c r="BN508" i="8"/>
  <c r="BU508" i="8"/>
  <c r="BS508" i="8"/>
  <c r="BT508" i="8"/>
  <c r="BR508" i="8"/>
  <c r="BL508" i="8"/>
  <c r="BM508" i="8"/>
  <c r="BS815" i="8"/>
  <c r="BL815" i="8"/>
  <c r="BR815" i="8"/>
  <c r="BT815" i="8"/>
  <c r="BQ815" i="8"/>
  <c r="BP815" i="8"/>
  <c r="BN815" i="8"/>
  <c r="BO815" i="8"/>
  <c r="BU815" i="8"/>
  <c r="BM815" i="8"/>
  <c r="BT456" i="8"/>
  <c r="BL456" i="8"/>
  <c r="BQ456" i="8"/>
  <c r="BP456" i="8"/>
  <c r="BS456" i="8"/>
  <c r="BO456" i="8"/>
  <c r="BR456" i="8"/>
  <c r="BU456" i="8"/>
  <c r="BN456" i="8"/>
  <c r="BM456" i="8"/>
  <c r="BM832" i="8"/>
  <c r="BS832" i="8"/>
  <c r="BT832" i="8"/>
  <c r="BR832" i="8"/>
  <c r="BL832" i="8"/>
  <c r="BQ832" i="8"/>
  <c r="BP832" i="8"/>
  <c r="BN832" i="8"/>
  <c r="BU832" i="8"/>
  <c r="BO832" i="8"/>
  <c r="BR766" i="8"/>
  <c r="BP766" i="8"/>
  <c r="BO766" i="8"/>
  <c r="BT766" i="8"/>
  <c r="BS766" i="8"/>
  <c r="BU766" i="8"/>
  <c r="BL766" i="8"/>
  <c r="BM766" i="8"/>
  <c r="BN766" i="8"/>
  <c r="BQ766" i="8"/>
  <c r="BR780" i="8"/>
  <c r="BP780" i="8"/>
  <c r="BL780" i="8"/>
  <c r="BO780" i="8"/>
  <c r="BT780" i="8"/>
  <c r="BN780" i="8"/>
  <c r="BQ780" i="8"/>
  <c r="BU780" i="8"/>
  <c r="BM780" i="8"/>
  <c r="BS780" i="8"/>
  <c r="BS830" i="8"/>
  <c r="BT830" i="8"/>
  <c r="BQ830" i="8"/>
  <c r="BR830" i="8"/>
  <c r="BP830" i="8"/>
  <c r="BL830" i="8"/>
  <c r="BO830" i="8"/>
  <c r="BU830" i="8"/>
  <c r="BM830" i="8"/>
  <c r="BN830" i="8"/>
  <c r="BQ801" i="8"/>
  <c r="BL801" i="8"/>
  <c r="BU801" i="8"/>
  <c r="BS801" i="8"/>
  <c r="BP801" i="8"/>
  <c r="BR801" i="8"/>
  <c r="BN801" i="8"/>
  <c r="BM801" i="8"/>
  <c r="BO801" i="8"/>
  <c r="BT801" i="8"/>
  <c r="AH797" i="8"/>
  <c r="BO774" i="8"/>
  <c r="BP774" i="8"/>
  <c r="BN774" i="8"/>
  <c r="BL774" i="8"/>
  <c r="BU774" i="8"/>
  <c r="BM774" i="8"/>
  <c r="BR774" i="8"/>
  <c r="BS774" i="8"/>
  <c r="BQ774" i="8"/>
  <c r="BT774" i="8"/>
  <c r="BP811" i="8"/>
  <c r="BL811" i="8"/>
  <c r="BO811" i="8"/>
  <c r="BS811" i="8"/>
  <c r="BN811" i="8"/>
  <c r="BM811" i="8"/>
  <c r="BU811" i="8"/>
  <c r="BT811" i="8"/>
  <c r="BR811" i="8"/>
  <c r="BQ811" i="8"/>
  <c r="AH786" i="8"/>
  <c r="BU623" i="8"/>
  <c r="BM623" i="8"/>
  <c r="BP623" i="8"/>
  <c r="BT623" i="8"/>
  <c r="BL623" i="8"/>
  <c r="BS623" i="8"/>
  <c r="BR623" i="8"/>
  <c r="BO623" i="8"/>
  <c r="BQ623" i="8"/>
  <c r="BN623" i="8"/>
  <c r="BT669" i="8"/>
  <c r="BR669" i="8"/>
  <c r="BS669" i="8"/>
  <c r="BO669" i="8"/>
  <c r="BQ669" i="8"/>
  <c r="BN669" i="8"/>
  <c r="BP669" i="8"/>
  <c r="BM669" i="8"/>
  <c r="BU669" i="8"/>
  <c r="BL669" i="8"/>
  <c r="BO635" i="8"/>
  <c r="BR635" i="8"/>
  <c r="BU635" i="8"/>
  <c r="BT635" i="8"/>
  <c r="BL635" i="8"/>
  <c r="BN635" i="8"/>
  <c r="BM635" i="8"/>
  <c r="BS635" i="8"/>
  <c r="BQ635" i="8"/>
  <c r="BP635" i="8"/>
  <c r="BT617" i="8"/>
  <c r="BL617" i="8"/>
  <c r="BR617" i="8"/>
  <c r="BP617" i="8"/>
  <c r="BQ617" i="8"/>
  <c r="BU617" i="8"/>
  <c r="BO617" i="8"/>
  <c r="BM617" i="8"/>
  <c r="BS617" i="8"/>
  <c r="BN617" i="8"/>
  <c r="BU488" i="8"/>
  <c r="BR488" i="8"/>
  <c r="BQ488" i="8"/>
  <c r="BN488" i="8"/>
  <c r="BP488" i="8"/>
  <c r="BT488" i="8"/>
  <c r="BS488" i="8"/>
  <c r="BM488" i="8"/>
  <c r="BL488" i="8"/>
  <c r="BO488" i="8"/>
  <c r="BU559" i="8"/>
  <c r="BL559" i="8"/>
  <c r="BS559" i="8"/>
  <c r="BQ559" i="8"/>
  <c r="BP559" i="8"/>
  <c r="BM559" i="8"/>
  <c r="BR559" i="8"/>
  <c r="BT559" i="8"/>
  <c r="BO559" i="8"/>
  <c r="BN559" i="8"/>
  <c r="BR499" i="8"/>
  <c r="BL499" i="8"/>
  <c r="BT499" i="8"/>
  <c r="BO499" i="8"/>
  <c r="BQ499" i="8"/>
  <c r="BU499" i="8"/>
  <c r="BN499" i="8"/>
  <c r="BP499" i="8"/>
  <c r="BM499" i="8"/>
  <c r="BS499" i="8"/>
  <c r="BS474" i="8"/>
  <c r="BP474" i="8"/>
  <c r="BR474" i="8"/>
  <c r="BO474" i="8"/>
  <c r="BQ474" i="8"/>
  <c r="BU474" i="8"/>
  <c r="BM474" i="8"/>
  <c r="BT474" i="8"/>
  <c r="BN474" i="8"/>
  <c r="BL474" i="8"/>
  <c r="BU526" i="8"/>
  <c r="BM526" i="8"/>
  <c r="BT526" i="8"/>
  <c r="BL526" i="8"/>
  <c r="BO526" i="8"/>
  <c r="BR526" i="8"/>
  <c r="BN526" i="8"/>
  <c r="BQ526" i="8"/>
  <c r="BS526" i="8"/>
  <c r="BP526" i="8"/>
  <c r="BU464" i="8"/>
  <c r="BM464" i="8"/>
  <c r="BT464" i="8"/>
  <c r="BS464" i="8"/>
  <c r="BP464" i="8"/>
  <c r="BR464" i="8"/>
  <c r="BO464" i="8"/>
  <c r="BL464" i="8"/>
  <c r="BQ464" i="8"/>
  <c r="BN464" i="8"/>
  <c r="BO472" i="8"/>
  <c r="BU472" i="8"/>
  <c r="BM472" i="8"/>
  <c r="BS472" i="8"/>
  <c r="BR472" i="8"/>
  <c r="BQ472" i="8"/>
  <c r="BP472" i="8"/>
  <c r="BT472" i="8"/>
  <c r="BL472" i="8"/>
  <c r="BN472" i="8"/>
  <c r="AT505" i="8"/>
  <c r="BO465" i="8"/>
  <c r="BN465" i="8"/>
  <c r="BT465" i="8"/>
  <c r="BU465" i="8"/>
  <c r="BS465" i="8"/>
  <c r="BR465" i="8"/>
  <c r="BQ465" i="8"/>
  <c r="BL465" i="8"/>
  <c r="BP465" i="8"/>
  <c r="BM465" i="8"/>
  <c r="BO402" i="8"/>
  <c r="BN402" i="8"/>
  <c r="BU402" i="8"/>
  <c r="BT402" i="8"/>
  <c r="BL402" i="8"/>
  <c r="BQ402" i="8"/>
  <c r="BP402" i="8"/>
  <c r="BS402" i="8"/>
  <c r="BR402" i="8"/>
  <c r="BM402" i="8"/>
  <c r="BT439" i="8"/>
  <c r="BO439" i="8"/>
  <c r="BL439" i="8"/>
  <c r="BM439" i="8"/>
  <c r="BR439" i="8"/>
  <c r="BU439" i="8"/>
  <c r="BP439" i="8"/>
  <c r="BN439" i="8"/>
  <c r="BS439" i="8"/>
  <c r="BQ439" i="8"/>
  <c r="BL394" i="8"/>
  <c r="BS394" i="8"/>
  <c r="BR394" i="8"/>
  <c r="BP394" i="8"/>
  <c r="BQ394" i="8"/>
  <c r="BO394" i="8"/>
  <c r="BM394" i="8"/>
  <c r="BN394" i="8"/>
  <c r="BT394" i="8"/>
  <c r="BU394" i="8"/>
  <c r="BN455" i="8"/>
  <c r="BT455" i="8"/>
  <c r="BU455" i="8"/>
  <c r="BL455" i="8"/>
  <c r="BM455" i="8"/>
  <c r="BS455" i="8"/>
  <c r="BR455" i="8"/>
  <c r="BP455" i="8"/>
  <c r="BO455" i="8"/>
  <c r="BQ455" i="8"/>
  <c r="BP380" i="8"/>
  <c r="BO380" i="8"/>
  <c r="BN380" i="8"/>
  <c r="BM380" i="8"/>
  <c r="BT380" i="8"/>
  <c r="BL380" i="8"/>
  <c r="BR380" i="8"/>
  <c r="BS380" i="8"/>
  <c r="BQ380" i="8"/>
  <c r="BU380" i="8"/>
  <c r="BS330" i="8"/>
  <c r="BR330" i="8"/>
  <c r="BQ330" i="8"/>
  <c r="BO330" i="8"/>
  <c r="BN330" i="8"/>
  <c r="BM330" i="8"/>
  <c r="BT330" i="8"/>
  <c r="BP330" i="8"/>
  <c r="BL330" i="8"/>
  <c r="BU330" i="8"/>
  <c r="BQ406" i="8"/>
  <c r="BP406" i="8"/>
  <c r="BS406" i="8"/>
  <c r="BO406" i="8"/>
  <c r="BR406" i="8"/>
  <c r="BN406" i="8"/>
  <c r="BU406" i="8"/>
  <c r="BT406" i="8"/>
  <c r="BL406" i="8"/>
  <c r="BM406" i="8"/>
  <c r="BN387" i="8"/>
  <c r="BU387" i="8"/>
  <c r="BS387" i="8"/>
  <c r="BQ387" i="8"/>
  <c r="BT387" i="8"/>
  <c r="BO387" i="8"/>
  <c r="BR387" i="8"/>
  <c r="BP387" i="8"/>
  <c r="BM387" i="8"/>
  <c r="BL387" i="8"/>
  <c r="BR222" i="8"/>
  <c r="BQ222" i="8"/>
  <c r="BO222" i="8"/>
  <c r="BS222" i="8"/>
  <c r="BU222" i="8"/>
  <c r="BT222" i="8"/>
  <c r="BL222" i="8"/>
  <c r="BN222" i="8"/>
  <c r="BM222" i="8"/>
  <c r="BP222" i="8"/>
  <c r="BT385" i="8"/>
  <c r="BO385" i="8"/>
  <c r="BL385" i="8"/>
  <c r="BM385" i="8"/>
  <c r="BR385" i="8"/>
  <c r="BP385" i="8"/>
  <c r="BN385" i="8"/>
  <c r="BS385" i="8"/>
  <c r="BQ385" i="8"/>
  <c r="BU385" i="8"/>
  <c r="BL318" i="8"/>
  <c r="BS318" i="8"/>
  <c r="BR318" i="8"/>
  <c r="BU318" i="8"/>
  <c r="BQ318" i="8"/>
  <c r="BO318" i="8"/>
  <c r="BP318" i="8"/>
  <c r="BM318" i="8"/>
  <c r="BN318" i="8"/>
  <c r="BT318" i="8"/>
  <c r="AT308" i="8"/>
  <c r="BQ265" i="8"/>
  <c r="BO265" i="8"/>
  <c r="BP265" i="8"/>
  <c r="BN265" i="8"/>
  <c r="BM265" i="8"/>
  <c r="BL265" i="8"/>
  <c r="BU265" i="8"/>
  <c r="BT265" i="8"/>
  <c r="BR265" i="8"/>
  <c r="BS265" i="8"/>
  <c r="BP258" i="8"/>
  <c r="BR258" i="8"/>
  <c r="BO258" i="8"/>
  <c r="BQ258" i="8"/>
  <c r="BN258" i="8"/>
  <c r="BU258" i="8"/>
  <c r="BM258" i="8"/>
  <c r="BL258" i="8"/>
  <c r="BS258" i="8"/>
  <c r="BT258" i="8"/>
  <c r="BM235" i="8"/>
  <c r="BS235" i="8"/>
  <c r="BO235" i="8"/>
  <c r="BQ235" i="8"/>
  <c r="BP235" i="8"/>
  <c r="BT235" i="8"/>
  <c r="BL235" i="8"/>
  <c r="BN235" i="8"/>
  <c r="BU235" i="8"/>
  <c r="BR235" i="8"/>
  <c r="AH201" i="8"/>
  <c r="AT209" i="8"/>
  <c r="BN70" i="8"/>
  <c r="BO70" i="8"/>
  <c r="BU70" i="8"/>
  <c r="BQ70" i="8"/>
  <c r="BM70" i="8"/>
  <c r="BL70" i="8"/>
  <c r="BS70" i="8"/>
  <c r="BR70" i="8"/>
  <c r="BP70" i="8"/>
  <c r="BT70" i="8"/>
  <c r="AH211" i="8"/>
  <c r="AT80" i="8"/>
  <c r="BU40" i="8"/>
  <c r="BO40" i="8"/>
  <c r="BM40" i="8"/>
  <c r="BQ40" i="8"/>
  <c r="BT40" i="8"/>
  <c r="BL40" i="8"/>
  <c r="BR40" i="8"/>
  <c r="BN40" i="8"/>
  <c r="BP40" i="8"/>
  <c r="BS40" i="8"/>
  <c r="AT31" i="8"/>
  <c r="BO27" i="8"/>
  <c r="BT27" i="8"/>
  <c r="BS27" i="8"/>
  <c r="BQ27" i="8"/>
  <c r="BN27" i="8"/>
  <c r="BL27" i="8"/>
  <c r="BM27" i="8"/>
  <c r="BU27" i="8"/>
  <c r="BR27" i="8"/>
  <c r="BP27" i="8"/>
  <c r="BQ375" i="8"/>
  <c r="BT375" i="8"/>
  <c r="BO375" i="8"/>
  <c r="BM375" i="8"/>
  <c r="BU375" i="8"/>
  <c r="BL375" i="8"/>
  <c r="BP375" i="8"/>
  <c r="BS375" i="8"/>
  <c r="BR375" i="8"/>
  <c r="BN375" i="8"/>
  <c r="AH9" i="8"/>
  <c r="AH83" i="8"/>
  <c r="AH51" i="8"/>
  <c r="AH806" i="8"/>
  <c r="BQ51" i="8"/>
  <c r="BM51" i="8"/>
  <c r="BP51" i="8"/>
  <c r="BO51" i="8"/>
  <c r="BN51" i="8"/>
  <c r="BT51" i="8"/>
  <c r="BS51" i="8"/>
  <c r="BR51" i="8"/>
  <c r="BU51" i="8"/>
  <c r="BL51" i="8"/>
  <c r="BN591" i="8"/>
  <c r="BU591" i="8"/>
  <c r="BM591" i="8"/>
  <c r="BS591" i="8"/>
  <c r="BQ591" i="8"/>
  <c r="BP591" i="8"/>
  <c r="BO591" i="8"/>
  <c r="BT591" i="8"/>
  <c r="BL591" i="8"/>
  <c r="BR591" i="8"/>
  <c r="AH25" i="8"/>
  <c r="AT106" i="8"/>
  <c r="AH27" i="8"/>
  <c r="BT368" i="8"/>
  <c r="BL368" i="8"/>
  <c r="BS368" i="8"/>
  <c r="BR368" i="8"/>
  <c r="BO368" i="8"/>
  <c r="BQ368" i="8"/>
  <c r="BN368" i="8"/>
  <c r="BP368" i="8"/>
  <c r="BU368" i="8"/>
  <c r="BM368" i="8"/>
  <c r="BU21" i="8"/>
  <c r="BR21" i="8"/>
  <c r="BQ21" i="8"/>
  <c r="BP21" i="8"/>
  <c r="BM21" i="8"/>
  <c r="BO21" i="8"/>
  <c r="BN21" i="8"/>
  <c r="BL21" i="8"/>
  <c r="BS21" i="8"/>
  <c r="BT21" i="8"/>
  <c r="BO644" i="8"/>
  <c r="BR644" i="8"/>
  <c r="BQ644" i="8"/>
  <c r="BP644" i="8"/>
  <c r="BS644" i="8"/>
  <c r="BN644" i="8"/>
  <c r="BM644" i="8"/>
  <c r="BT644" i="8"/>
  <c r="BL644" i="8"/>
  <c r="BU644" i="8"/>
  <c r="BO336" i="8"/>
  <c r="BS336" i="8"/>
  <c r="BN336" i="8"/>
  <c r="BU336" i="8"/>
  <c r="BM336" i="8"/>
  <c r="BT336" i="8"/>
  <c r="BL336" i="8"/>
  <c r="BR336" i="8"/>
  <c r="BP336" i="8"/>
  <c r="BQ336" i="8"/>
  <c r="BS304" i="8"/>
  <c r="BR304" i="8"/>
  <c r="BQ304" i="8"/>
  <c r="BP304" i="8"/>
  <c r="BN304" i="8"/>
  <c r="BO304" i="8"/>
  <c r="BU304" i="8"/>
  <c r="BM304" i="8"/>
  <c r="BT304" i="8"/>
  <c r="BL304" i="8"/>
  <c r="AT535" i="8"/>
  <c r="AH81" i="8"/>
  <c r="AT41" i="8"/>
  <c r="AH820" i="8"/>
  <c r="BS562" i="8"/>
  <c r="BP562" i="8"/>
  <c r="BO562" i="8"/>
  <c r="BM562" i="8"/>
  <c r="BU562" i="8"/>
  <c r="BT562" i="8"/>
  <c r="BL562" i="8"/>
  <c r="BR562" i="8"/>
  <c r="BQ562" i="8"/>
  <c r="BN562" i="8"/>
  <c r="BR419" i="8"/>
  <c r="BQ419" i="8"/>
  <c r="BP419" i="8"/>
  <c r="BU419" i="8"/>
  <c r="BO419" i="8"/>
  <c r="BM419" i="8"/>
  <c r="BN419" i="8"/>
  <c r="BT419" i="8"/>
  <c r="BL419" i="8"/>
  <c r="BS419" i="8"/>
  <c r="AH37" i="8"/>
  <c r="BP821" i="8"/>
  <c r="BO821" i="8"/>
  <c r="BU821" i="8"/>
  <c r="BM821" i="8"/>
  <c r="BN821" i="8"/>
  <c r="BT821" i="8"/>
  <c r="BL821" i="8"/>
  <c r="BR821" i="8"/>
  <c r="BQ821" i="8"/>
  <c r="BS821" i="8"/>
  <c r="BN481" i="8"/>
  <c r="BO481" i="8"/>
  <c r="BR481" i="8"/>
  <c r="BM481" i="8"/>
  <c r="BL481" i="8"/>
  <c r="BT481" i="8"/>
  <c r="BS481" i="8"/>
  <c r="BQ481" i="8"/>
  <c r="BU481" i="8"/>
  <c r="BP481" i="8"/>
  <c r="BN356" i="8"/>
  <c r="BO356" i="8"/>
  <c r="BP356" i="8"/>
  <c r="BL356" i="8"/>
  <c r="BT356" i="8"/>
  <c r="BS356" i="8"/>
  <c r="BR356" i="8"/>
  <c r="BQ356" i="8"/>
  <c r="BU356" i="8"/>
  <c r="BM356" i="8"/>
  <c r="BN251" i="8"/>
  <c r="BQ251" i="8"/>
  <c r="BP251" i="8"/>
  <c r="BM251" i="8"/>
  <c r="BT251" i="8"/>
  <c r="BL251" i="8"/>
  <c r="BO251" i="8"/>
  <c r="BU251" i="8"/>
  <c r="BS251" i="8"/>
  <c r="BR251" i="8"/>
  <c r="AH816" i="8"/>
  <c r="BS542" i="8"/>
  <c r="BR542" i="8"/>
  <c r="BQ542" i="8"/>
  <c r="BP542" i="8"/>
  <c r="BU542" i="8"/>
  <c r="BO542" i="8"/>
  <c r="BM542" i="8"/>
  <c r="BN542" i="8"/>
  <c r="BT542" i="8"/>
  <c r="BL542" i="8"/>
  <c r="BR321" i="8"/>
  <c r="BP321" i="8"/>
  <c r="BL321" i="8"/>
  <c r="BO321" i="8"/>
  <c r="BU321" i="8"/>
  <c r="BT321" i="8"/>
  <c r="BS321" i="8"/>
  <c r="BQ321" i="8"/>
  <c r="BN321" i="8"/>
  <c r="BM321" i="8"/>
  <c r="BQ628" i="8"/>
  <c r="BP628" i="8"/>
  <c r="BO628" i="8"/>
  <c r="BN628" i="8"/>
  <c r="BT628" i="8"/>
  <c r="BU628" i="8"/>
  <c r="BL628" i="8"/>
  <c r="BM628" i="8"/>
  <c r="BS628" i="8"/>
  <c r="BR628" i="8"/>
  <c r="AT288" i="8"/>
  <c r="AT6" i="8"/>
  <c r="BQ667" i="8"/>
  <c r="BO667" i="8"/>
  <c r="BN667" i="8"/>
  <c r="BM667" i="8"/>
  <c r="BU667" i="8"/>
  <c r="BS667" i="8"/>
  <c r="BT667" i="8"/>
  <c r="BP667" i="8"/>
  <c r="BL667" i="8"/>
  <c r="BR667" i="8"/>
  <c r="BS421" i="8"/>
  <c r="BR421" i="8"/>
  <c r="BQ421" i="8"/>
  <c r="BP421" i="8"/>
  <c r="BU421" i="8"/>
  <c r="BO421" i="8"/>
  <c r="BM421" i="8"/>
  <c r="BN421" i="8"/>
  <c r="BT421" i="8"/>
  <c r="BL421" i="8"/>
  <c r="BQ315" i="8"/>
  <c r="BN315" i="8"/>
  <c r="BU315" i="8"/>
  <c r="BT315" i="8"/>
  <c r="BM315" i="8"/>
  <c r="BL315" i="8"/>
  <c r="BS315" i="8"/>
  <c r="BR315" i="8"/>
  <c r="BP315" i="8"/>
  <c r="BO315" i="8"/>
  <c r="BS171" i="8"/>
  <c r="BR171" i="8"/>
  <c r="BQ171" i="8"/>
  <c r="BT171" i="8"/>
  <c r="BP171" i="8"/>
  <c r="BN171" i="8"/>
  <c r="BU171" i="8"/>
  <c r="BO171" i="8"/>
  <c r="BM171" i="8"/>
  <c r="BL171" i="8"/>
  <c r="BN243" i="8"/>
  <c r="BS243" i="8"/>
  <c r="BM243" i="8"/>
  <c r="BT243" i="8"/>
  <c r="BR243" i="8"/>
  <c r="BQ243" i="8"/>
  <c r="BP243" i="8"/>
  <c r="BU243" i="8"/>
  <c r="BL243" i="8"/>
  <c r="BO243" i="8"/>
  <c r="BP281" i="8"/>
  <c r="BU281" i="8"/>
  <c r="BN281" i="8"/>
  <c r="BO281" i="8"/>
  <c r="BT281" i="8"/>
  <c r="BM281" i="8"/>
  <c r="BL281" i="8"/>
  <c r="BS281" i="8"/>
  <c r="BR281" i="8"/>
  <c r="BQ281" i="8"/>
  <c r="BS128" i="8"/>
  <c r="BR128" i="8"/>
  <c r="BN128" i="8"/>
  <c r="BO128" i="8"/>
  <c r="BQ128" i="8"/>
  <c r="BP128" i="8"/>
  <c r="BM128" i="8"/>
  <c r="BT128" i="8"/>
  <c r="BL128" i="8"/>
  <c r="BU128" i="8"/>
  <c r="AH175" i="8"/>
  <c r="AH153" i="8"/>
  <c r="AH133" i="8"/>
  <c r="AT146" i="8"/>
  <c r="AH147" i="8"/>
  <c r="AH128" i="8"/>
  <c r="AH173" i="8"/>
  <c r="BM820" i="8"/>
  <c r="BL820" i="8"/>
  <c r="BT820" i="8"/>
  <c r="BR820" i="8"/>
  <c r="BS820" i="8"/>
  <c r="BQ820" i="8"/>
  <c r="BP820" i="8"/>
  <c r="BN820" i="8"/>
  <c r="BU820" i="8"/>
  <c r="BO820" i="8"/>
  <c r="AT124" i="8"/>
  <c r="BU206" i="8"/>
  <c r="BQ206" i="8"/>
  <c r="BP206" i="8"/>
  <c r="BO206" i="8"/>
  <c r="BS206" i="8"/>
  <c r="BN206" i="8"/>
  <c r="BM206" i="8"/>
  <c r="BR206" i="8"/>
  <c r="BL206" i="8"/>
  <c r="BT206" i="8"/>
  <c r="AT105" i="8"/>
  <c r="AT130" i="8"/>
  <c r="AT168" i="8"/>
  <c r="AH138" i="8"/>
  <c r="AT119" i="8"/>
  <c r="AH142" i="8"/>
  <c r="BM167" i="8"/>
  <c r="BU167" i="8"/>
  <c r="BT167" i="8"/>
  <c r="BR167" i="8"/>
  <c r="BQ167" i="8"/>
  <c r="BP167" i="8"/>
  <c r="BN167" i="8"/>
  <c r="BO167" i="8"/>
  <c r="BL167" i="8"/>
  <c r="BS167" i="8"/>
  <c r="BN250" i="8"/>
  <c r="BO250" i="8"/>
  <c r="BP250" i="8"/>
  <c r="BQ250" i="8"/>
  <c r="BR250" i="8"/>
  <c r="BM250" i="8"/>
  <c r="BU250" i="8"/>
  <c r="BL250" i="8"/>
  <c r="BT250" i="8"/>
  <c r="BS250" i="8"/>
  <c r="AT188" i="8"/>
  <c r="BR157" i="8"/>
  <c r="BS157" i="8"/>
  <c r="BP157" i="8"/>
  <c r="BO157" i="8"/>
  <c r="BN157" i="8"/>
  <c r="BU157" i="8"/>
  <c r="BM157" i="8"/>
  <c r="BT157" i="8"/>
  <c r="BL157" i="8"/>
  <c r="BQ157" i="8"/>
  <c r="BP264" i="8"/>
  <c r="BO264" i="8"/>
  <c r="BR264" i="8"/>
  <c r="BQ264" i="8"/>
  <c r="BL264" i="8"/>
  <c r="BS264" i="8"/>
  <c r="BN264" i="8"/>
  <c r="BU264" i="8"/>
  <c r="BM264" i="8"/>
  <c r="BT264" i="8"/>
  <c r="BN378" i="8"/>
  <c r="BQ378" i="8"/>
  <c r="BS378" i="8"/>
  <c r="BR378" i="8"/>
  <c r="BP378" i="8"/>
  <c r="BU378" i="8"/>
  <c r="BT378" i="8"/>
  <c r="BL378" i="8"/>
  <c r="BM378" i="8"/>
  <c r="BO378" i="8"/>
  <c r="AT208" i="8"/>
  <c r="BO344" i="8"/>
  <c r="BN344" i="8"/>
  <c r="BM344" i="8"/>
  <c r="BR344" i="8"/>
  <c r="BS344" i="8"/>
  <c r="BU344" i="8"/>
  <c r="BL344" i="8"/>
  <c r="BQ344" i="8"/>
  <c r="BT344" i="8"/>
  <c r="BP344" i="8"/>
  <c r="BQ153" i="8"/>
  <c r="BT153" i="8"/>
  <c r="BL153" i="8"/>
  <c r="BP153" i="8"/>
  <c r="BN153" i="8"/>
  <c r="BS153" i="8"/>
  <c r="BR153" i="8"/>
  <c r="BO153" i="8"/>
  <c r="BU153" i="8"/>
  <c r="BM153" i="8"/>
  <c r="BU196" i="8"/>
  <c r="BP196" i="8"/>
  <c r="BO196" i="8"/>
  <c r="BT196" i="8"/>
  <c r="BS196" i="8"/>
  <c r="BQ196" i="8"/>
  <c r="BR196" i="8"/>
  <c r="BN196" i="8"/>
  <c r="BM196" i="8"/>
  <c r="BL196" i="8"/>
  <c r="BR569" i="8"/>
  <c r="BL569" i="8"/>
  <c r="BT569" i="8"/>
  <c r="BS569" i="8"/>
  <c r="BM569" i="8"/>
  <c r="BU569" i="8"/>
  <c r="BP569" i="8"/>
  <c r="BO569" i="8"/>
  <c r="BQ569" i="8"/>
  <c r="BN569" i="8"/>
  <c r="BU751" i="8"/>
  <c r="BN751" i="8"/>
  <c r="BO751" i="8"/>
  <c r="BL751" i="8"/>
  <c r="BS751" i="8"/>
  <c r="BT751" i="8"/>
  <c r="BP751" i="8"/>
  <c r="BR751" i="8"/>
  <c r="BM751" i="8"/>
  <c r="BQ751" i="8"/>
  <c r="BR551" i="8"/>
  <c r="BS551" i="8"/>
  <c r="BQ551" i="8"/>
  <c r="BN551" i="8"/>
  <c r="BT551" i="8"/>
  <c r="BL551" i="8"/>
  <c r="BP551" i="8"/>
  <c r="BM551" i="8"/>
  <c r="BO551" i="8"/>
  <c r="BU551" i="8"/>
  <c r="BS703" i="8"/>
  <c r="BO703" i="8"/>
  <c r="BM703" i="8"/>
  <c r="BU703" i="8"/>
  <c r="BN703" i="8"/>
  <c r="BQ703" i="8"/>
  <c r="BT703" i="8"/>
  <c r="BR703" i="8"/>
  <c r="BP703" i="8"/>
  <c r="BL703" i="8"/>
  <c r="BR341" i="8"/>
  <c r="BN341" i="8"/>
  <c r="BL341" i="8"/>
  <c r="BS341" i="8"/>
  <c r="BQ341" i="8"/>
  <c r="BP341" i="8"/>
  <c r="BO341" i="8"/>
  <c r="BU341" i="8"/>
  <c r="BM341" i="8"/>
  <c r="BT341" i="8"/>
  <c r="BN374" i="8"/>
  <c r="BR374" i="8"/>
  <c r="BT374" i="8"/>
  <c r="BM374" i="8"/>
  <c r="BL374" i="8"/>
  <c r="BO374" i="8"/>
  <c r="BU374" i="8"/>
  <c r="BQ374" i="8"/>
  <c r="BS374" i="8"/>
  <c r="BP374" i="8"/>
  <c r="BN737" i="8"/>
  <c r="BR737" i="8"/>
  <c r="BP737" i="8"/>
  <c r="BO737" i="8"/>
  <c r="BU737" i="8"/>
  <c r="BM737" i="8"/>
  <c r="BT737" i="8"/>
  <c r="BL737" i="8"/>
  <c r="BS737" i="8"/>
  <c r="BQ737" i="8"/>
  <c r="BR517" i="8"/>
  <c r="BP517" i="8"/>
  <c r="BO517" i="8"/>
  <c r="BN517" i="8"/>
  <c r="BU517" i="8"/>
  <c r="BM517" i="8"/>
  <c r="BT517" i="8"/>
  <c r="BL517" i="8"/>
  <c r="BQ517" i="8"/>
  <c r="BS517" i="8"/>
  <c r="AT342" i="8"/>
  <c r="BM377" i="8"/>
  <c r="BR377" i="8"/>
  <c r="BQ377" i="8"/>
  <c r="BN377" i="8"/>
  <c r="BS377" i="8"/>
  <c r="BU377" i="8"/>
  <c r="BT377" i="8"/>
  <c r="BL377" i="8"/>
  <c r="BP377" i="8"/>
  <c r="BO377" i="8"/>
  <c r="AT565" i="8"/>
  <c r="BS761" i="8"/>
  <c r="BR761" i="8"/>
  <c r="BU761" i="8"/>
  <c r="BQ761" i="8"/>
  <c r="BT761" i="8"/>
  <c r="BN761" i="8"/>
  <c r="BP761" i="8"/>
  <c r="BO761" i="8"/>
  <c r="BM761" i="8"/>
  <c r="BL761" i="8"/>
  <c r="BR684" i="8"/>
  <c r="BN684" i="8"/>
  <c r="BT684" i="8"/>
  <c r="BL684" i="8"/>
  <c r="BS684" i="8"/>
  <c r="BQ684" i="8"/>
  <c r="BP684" i="8"/>
  <c r="BO684" i="8"/>
  <c r="BU684" i="8"/>
  <c r="BM684" i="8"/>
  <c r="BU755" i="8"/>
  <c r="BN755" i="8"/>
  <c r="BP755" i="8"/>
  <c r="BR755" i="8"/>
  <c r="BS755" i="8"/>
  <c r="BQ755" i="8"/>
  <c r="BL755" i="8"/>
  <c r="BT755" i="8"/>
  <c r="BM755" i="8"/>
  <c r="BO755" i="8"/>
  <c r="BU602" i="8"/>
  <c r="BP602" i="8"/>
  <c r="BQ602" i="8"/>
  <c r="BO602" i="8"/>
  <c r="BL602" i="8"/>
  <c r="BN602" i="8"/>
  <c r="BS602" i="8"/>
  <c r="BT602" i="8"/>
  <c r="BM602" i="8"/>
  <c r="BR602" i="8"/>
  <c r="AH825" i="8"/>
  <c r="BR696" i="8"/>
  <c r="BS696" i="8"/>
  <c r="BN696" i="8"/>
  <c r="BQ696" i="8"/>
  <c r="BP696" i="8"/>
  <c r="BO696" i="8"/>
  <c r="BU696" i="8"/>
  <c r="BM696" i="8"/>
  <c r="BT696" i="8"/>
  <c r="BL696" i="8"/>
  <c r="BU729" i="8"/>
  <c r="BN729" i="8"/>
  <c r="BP729" i="8"/>
  <c r="BO729" i="8"/>
  <c r="BR729" i="8"/>
  <c r="BS729" i="8"/>
  <c r="BL729" i="8"/>
  <c r="BT729" i="8"/>
  <c r="BQ729" i="8"/>
  <c r="BM729" i="8"/>
  <c r="BR596" i="8"/>
  <c r="BL596" i="8"/>
  <c r="BU596" i="8"/>
  <c r="BM596" i="8"/>
  <c r="BT596" i="8"/>
  <c r="BS596" i="8"/>
  <c r="BQ596" i="8"/>
  <c r="BP596" i="8"/>
  <c r="BO596" i="8"/>
  <c r="BN596" i="8"/>
  <c r="BP795" i="8"/>
  <c r="BN795" i="8"/>
  <c r="BR795" i="8"/>
  <c r="BO795" i="8"/>
  <c r="BQ795" i="8"/>
  <c r="BM795" i="8"/>
  <c r="BL795" i="8"/>
  <c r="BU795" i="8"/>
  <c r="BT795" i="8"/>
  <c r="BS795" i="8"/>
  <c r="BR689" i="8"/>
  <c r="BT689" i="8"/>
  <c r="BL689" i="8"/>
  <c r="BS689" i="8"/>
  <c r="BQ689" i="8"/>
  <c r="BP689" i="8"/>
  <c r="BO689" i="8"/>
  <c r="BU689" i="8"/>
  <c r="BN689" i="8"/>
  <c r="BM689" i="8"/>
  <c r="BU600" i="8"/>
  <c r="BP600" i="8"/>
  <c r="BQ600" i="8"/>
  <c r="BL600" i="8"/>
  <c r="BO600" i="8"/>
  <c r="BT600" i="8"/>
  <c r="BS600" i="8"/>
  <c r="BN600" i="8"/>
  <c r="BR600" i="8"/>
  <c r="BM600" i="8"/>
  <c r="BR706" i="8"/>
  <c r="BO706" i="8"/>
  <c r="BT706" i="8"/>
  <c r="BL706" i="8"/>
  <c r="BS706" i="8"/>
  <c r="BN706" i="8"/>
  <c r="BQ706" i="8"/>
  <c r="BP706" i="8"/>
  <c r="BU706" i="8"/>
  <c r="BM706" i="8"/>
  <c r="BQ772" i="8"/>
  <c r="BO772" i="8"/>
  <c r="BP772" i="8"/>
  <c r="BR772" i="8"/>
  <c r="BN772" i="8"/>
  <c r="BL772" i="8"/>
  <c r="BU772" i="8"/>
  <c r="BM772" i="8"/>
  <c r="BT772" i="8"/>
  <c r="BS772" i="8"/>
  <c r="BN520" i="8"/>
  <c r="BU520" i="8"/>
  <c r="BM520" i="8"/>
  <c r="BT520" i="8"/>
  <c r="BL520" i="8"/>
  <c r="BP520" i="8"/>
  <c r="BS520" i="8"/>
  <c r="BO520" i="8"/>
  <c r="BR520" i="8"/>
  <c r="BQ520" i="8"/>
  <c r="BP470" i="8"/>
  <c r="BS470" i="8"/>
  <c r="BO470" i="8"/>
  <c r="BR470" i="8"/>
  <c r="BN470" i="8"/>
  <c r="BQ470" i="8"/>
  <c r="BU470" i="8"/>
  <c r="BM470" i="8"/>
  <c r="BL470" i="8"/>
  <c r="BT470" i="8"/>
  <c r="BM404" i="8"/>
  <c r="BT404" i="8"/>
  <c r="BL404" i="8"/>
  <c r="BP404" i="8"/>
  <c r="BS404" i="8"/>
  <c r="BO404" i="8"/>
  <c r="BR404" i="8"/>
  <c r="BQ404" i="8"/>
  <c r="BU404" i="8"/>
  <c r="BN404" i="8"/>
  <c r="BP822" i="8"/>
  <c r="BN822" i="8"/>
  <c r="BU822" i="8"/>
  <c r="BM822" i="8"/>
  <c r="BL822" i="8"/>
  <c r="BS822" i="8"/>
  <c r="BR822" i="8"/>
  <c r="BQ822" i="8"/>
  <c r="BO822" i="8"/>
  <c r="BT822" i="8"/>
  <c r="BL735" i="8"/>
  <c r="BU735" i="8"/>
  <c r="BS735" i="8"/>
  <c r="BQ735" i="8"/>
  <c r="BP735" i="8"/>
  <c r="BO735" i="8"/>
  <c r="BN735" i="8"/>
  <c r="BT735" i="8"/>
  <c r="BM735" i="8"/>
  <c r="BR735" i="8"/>
  <c r="BT493" i="8"/>
  <c r="BQ493" i="8"/>
  <c r="BP493" i="8"/>
  <c r="BO493" i="8"/>
  <c r="BM493" i="8"/>
  <c r="BN493" i="8"/>
  <c r="BL493" i="8"/>
  <c r="BR493" i="8"/>
  <c r="BU493" i="8"/>
  <c r="BS493" i="8"/>
  <c r="BT386" i="8"/>
  <c r="BL386" i="8"/>
  <c r="BR386" i="8"/>
  <c r="BS386" i="8"/>
  <c r="BQ386" i="8"/>
  <c r="BP386" i="8"/>
  <c r="BO386" i="8"/>
  <c r="BN386" i="8"/>
  <c r="BU386" i="8"/>
  <c r="BM386" i="8"/>
  <c r="AH807" i="8"/>
  <c r="AH793" i="8"/>
  <c r="BN828" i="8"/>
  <c r="BU828" i="8"/>
  <c r="BM828" i="8"/>
  <c r="BT828" i="8"/>
  <c r="BS828" i="8"/>
  <c r="BR828" i="8"/>
  <c r="BP828" i="8"/>
  <c r="BO828" i="8"/>
  <c r="BL828" i="8"/>
  <c r="BQ828" i="8"/>
  <c r="AH779" i="8"/>
  <c r="AH828" i="8"/>
  <c r="BO777" i="8"/>
  <c r="BM777" i="8"/>
  <c r="BL777" i="8"/>
  <c r="BQ777" i="8"/>
  <c r="BS777" i="8"/>
  <c r="BU777" i="8"/>
  <c r="BR777" i="8"/>
  <c r="BT777" i="8"/>
  <c r="BN777" i="8"/>
  <c r="BP777" i="8"/>
  <c r="AH783" i="8"/>
  <c r="AH834" i="8"/>
  <c r="AH801" i="8"/>
  <c r="BT771" i="8"/>
  <c r="BP771" i="8"/>
  <c r="BO771" i="8"/>
  <c r="BS771" i="8"/>
  <c r="BM771" i="8"/>
  <c r="BR771" i="8"/>
  <c r="BL771" i="8"/>
  <c r="BN771" i="8"/>
  <c r="BU771" i="8"/>
  <c r="BQ771" i="8"/>
  <c r="BU639" i="8"/>
  <c r="BQ639" i="8"/>
  <c r="BM639" i="8"/>
  <c r="BR639" i="8"/>
  <c r="BO639" i="8"/>
  <c r="BL639" i="8"/>
  <c r="BN639" i="8"/>
  <c r="BP639" i="8"/>
  <c r="BS639" i="8"/>
  <c r="BT639" i="8"/>
  <c r="BL704" i="8"/>
  <c r="BO704" i="8"/>
  <c r="BN704" i="8"/>
  <c r="BQ704" i="8"/>
  <c r="BS704" i="8"/>
  <c r="BP704" i="8"/>
  <c r="BR704" i="8"/>
  <c r="BM704" i="8"/>
  <c r="BT704" i="8"/>
  <c r="BU704" i="8"/>
  <c r="BN629" i="8"/>
  <c r="BU629" i="8"/>
  <c r="BM629" i="8"/>
  <c r="BL629" i="8"/>
  <c r="BS629" i="8"/>
  <c r="BP629" i="8"/>
  <c r="BR629" i="8"/>
  <c r="BO629" i="8"/>
  <c r="BT629" i="8"/>
  <c r="BQ629" i="8"/>
  <c r="BL611" i="8"/>
  <c r="BR611" i="8"/>
  <c r="BQ611" i="8"/>
  <c r="BN611" i="8"/>
  <c r="BO611" i="8"/>
  <c r="BU611" i="8"/>
  <c r="BT611" i="8"/>
  <c r="BS611" i="8"/>
  <c r="BP611" i="8"/>
  <c r="BM611" i="8"/>
  <c r="BL627" i="8"/>
  <c r="BP627" i="8"/>
  <c r="BS627" i="8"/>
  <c r="BN627" i="8"/>
  <c r="BQ627" i="8"/>
  <c r="BU627" i="8"/>
  <c r="BR627" i="8"/>
  <c r="BM627" i="8"/>
  <c r="BT627" i="8"/>
  <c r="BO627" i="8"/>
  <c r="BM607" i="8"/>
  <c r="BL607" i="8"/>
  <c r="BP607" i="8"/>
  <c r="BR607" i="8"/>
  <c r="BO607" i="8"/>
  <c r="BQ607" i="8"/>
  <c r="BN607" i="8"/>
  <c r="BU607" i="8"/>
  <c r="BT607" i="8"/>
  <c r="BS607" i="8"/>
  <c r="BU506" i="8"/>
  <c r="BM506" i="8"/>
  <c r="BT506" i="8"/>
  <c r="BR506" i="8"/>
  <c r="BL506" i="8"/>
  <c r="BQ506" i="8"/>
  <c r="BS506" i="8"/>
  <c r="BP506" i="8"/>
  <c r="BN506" i="8"/>
  <c r="BO506" i="8"/>
  <c r="BM528" i="8"/>
  <c r="BL528" i="8"/>
  <c r="BP528" i="8"/>
  <c r="BR528" i="8"/>
  <c r="BO528" i="8"/>
  <c r="BQ528" i="8"/>
  <c r="BN528" i="8"/>
  <c r="BU528" i="8"/>
  <c r="BT528" i="8"/>
  <c r="BS528" i="8"/>
  <c r="AT534" i="8"/>
  <c r="BT466" i="8"/>
  <c r="BL466" i="8"/>
  <c r="BS466" i="8"/>
  <c r="BO466" i="8"/>
  <c r="BQ466" i="8"/>
  <c r="BN466" i="8"/>
  <c r="BU466" i="8"/>
  <c r="BM466" i="8"/>
  <c r="BR466" i="8"/>
  <c r="BP466" i="8"/>
  <c r="AT525" i="8"/>
  <c r="BM561" i="8"/>
  <c r="BO561" i="8"/>
  <c r="BT561" i="8"/>
  <c r="BR561" i="8"/>
  <c r="BL561" i="8"/>
  <c r="BS561" i="8"/>
  <c r="BN561" i="8"/>
  <c r="BQ561" i="8"/>
  <c r="BU561" i="8"/>
  <c r="BP561" i="8"/>
  <c r="BT462" i="8"/>
  <c r="BL462" i="8"/>
  <c r="BS462" i="8"/>
  <c r="BO462" i="8"/>
  <c r="BQ462" i="8"/>
  <c r="BU462" i="8"/>
  <c r="BM462" i="8"/>
  <c r="BP462" i="8"/>
  <c r="BN462" i="8"/>
  <c r="BR462" i="8"/>
  <c r="BN478" i="8"/>
  <c r="BU478" i="8"/>
  <c r="BM478" i="8"/>
  <c r="BT478" i="8"/>
  <c r="BL478" i="8"/>
  <c r="BP478" i="8"/>
  <c r="BR478" i="8"/>
  <c r="BO478" i="8"/>
  <c r="BQ478" i="8"/>
  <c r="BS478" i="8"/>
  <c r="BU530" i="8"/>
  <c r="BM530" i="8"/>
  <c r="BT530" i="8"/>
  <c r="BS530" i="8"/>
  <c r="BP530" i="8"/>
  <c r="BR530" i="8"/>
  <c r="BO530" i="8"/>
  <c r="BQ530" i="8"/>
  <c r="BN530" i="8"/>
  <c r="BL530" i="8"/>
  <c r="BQ449" i="8"/>
  <c r="BP449" i="8"/>
  <c r="BO449" i="8"/>
  <c r="BT449" i="8"/>
  <c r="BU449" i="8"/>
  <c r="BL449" i="8"/>
  <c r="BM449" i="8"/>
  <c r="BS449" i="8"/>
  <c r="BR449" i="8"/>
  <c r="BN449" i="8"/>
  <c r="BL392" i="8"/>
  <c r="BS392" i="8"/>
  <c r="BR392" i="8"/>
  <c r="BP392" i="8"/>
  <c r="BQ392" i="8"/>
  <c r="BO392" i="8"/>
  <c r="BM392" i="8"/>
  <c r="BT392" i="8"/>
  <c r="BU392" i="8"/>
  <c r="BN392" i="8"/>
  <c r="BU437" i="8"/>
  <c r="BT437" i="8"/>
  <c r="BS437" i="8"/>
  <c r="BL437" i="8"/>
  <c r="BR437" i="8"/>
  <c r="BP437" i="8"/>
  <c r="BN437" i="8"/>
  <c r="BO437" i="8"/>
  <c r="BM437" i="8"/>
  <c r="BQ437" i="8"/>
  <c r="AT326" i="8"/>
  <c r="BP397" i="8"/>
  <c r="BO397" i="8"/>
  <c r="BL397" i="8"/>
  <c r="BN397" i="8"/>
  <c r="BM397" i="8"/>
  <c r="BT397" i="8"/>
  <c r="BU397" i="8"/>
  <c r="BQ397" i="8"/>
  <c r="BS397" i="8"/>
  <c r="BR397" i="8"/>
  <c r="BS460" i="8"/>
  <c r="BP460" i="8"/>
  <c r="BR460" i="8"/>
  <c r="BO460" i="8"/>
  <c r="BQ460" i="8"/>
  <c r="BN460" i="8"/>
  <c r="BU460" i="8"/>
  <c r="BT460" i="8"/>
  <c r="BL460" i="8"/>
  <c r="BM460" i="8"/>
  <c r="BL422" i="8"/>
  <c r="BQ422" i="8"/>
  <c r="BP422" i="8"/>
  <c r="BS422" i="8"/>
  <c r="BO422" i="8"/>
  <c r="BR422" i="8"/>
  <c r="BN422" i="8"/>
  <c r="BM422" i="8"/>
  <c r="BT422" i="8"/>
  <c r="BU422" i="8"/>
  <c r="BP412" i="8"/>
  <c r="BS412" i="8"/>
  <c r="BO412" i="8"/>
  <c r="BR412" i="8"/>
  <c r="BN412" i="8"/>
  <c r="BU412" i="8"/>
  <c r="BM412" i="8"/>
  <c r="BL412" i="8"/>
  <c r="BQ412" i="8"/>
  <c r="BT412" i="8"/>
  <c r="BO428" i="8"/>
  <c r="BN428" i="8"/>
  <c r="BU428" i="8"/>
  <c r="BT428" i="8"/>
  <c r="BL428" i="8"/>
  <c r="BQ428" i="8"/>
  <c r="BS428" i="8"/>
  <c r="BR428" i="8"/>
  <c r="BP428" i="8"/>
  <c r="BM428" i="8"/>
  <c r="BP382" i="8"/>
  <c r="BO382" i="8"/>
  <c r="BN382" i="8"/>
  <c r="BM382" i="8"/>
  <c r="BT382" i="8"/>
  <c r="BR382" i="8"/>
  <c r="BU382" i="8"/>
  <c r="BS382" i="8"/>
  <c r="BQ382" i="8"/>
  <c r="BL382" i="8"/>
  <c r="AH195" i="8"/>
  <c r="AT255" i="8"/>
  <c r="BS381" i="8"/>
  <c r="BQ381" i="8"/>
  <c r="BT381" i="8"/>
  <c r="BO381" i="8"/>
  <c r="BL381" i="8"/>
  <c r="BM381" i="8"/>
  <c r="BR381" i="8"/>
  <c r="BN381" i="8"/>
  <c r="BU381" i="8"/>
  <c r="BP381" i="8"/>
  <c r="BU276" i="8"/>
  <c r="BM276" i="8"/>
  <c r="BS276" i="8"/>
  <c r="BP276" i="8"/>
  <c r="BR276" i="8"/>
  <c r="BL276" i="8"/>
  <c r="BQ276" i="8"/>
  <c r="BO276" i="8"/>
  <c r="BN276" i="8"/>
  <c r="BT276" i="8"/>
  <c r="AT270" i="8"/>
  <c r="BP284" i="8"/>
  <c r="BL284" i="8"/>
  <c r="BO284" i="8"/>
  <c r="BN284" i="8"/>
  <c r="BM284" i="8"/>
  <c r="BT284" i="8"/>
  <c r="BR284" i="8"/>
  <c r="BS284" i="8"/>
  <c r="BQ284" i="8"/>
  <c r="BU284" i="8"/>
  <c r="AT290" i="8"/>
  <c r="BU201" i="8"/>
  <c r="BS201" i="8"/>
  <c r="BQ201" i="8"/>
  <c r="BT201" i="8"/>
  <c r="BP201" i="8"/>
  <c r="BL201" i="8"/>
  <c r="BO201" i="8"/>
  <c r="BN201" i="8"/>
  <c r="BM201" i="8"/>
  <c r="BR201" i="8"/>
  <c r="BQ197" i="8"/>
  <c r="BT197" i="8"/>
  <c r="BP197" i="8"/>
  <c r="BL197" i="8"/>
  <c r="BO197" i="8"/>
  <c r="BN197" i="8"/>
  <c r="BU197" i="8"/>
  <c r="BS197" i="8"/>
  <c r="BR197" i="8"/>
  <c r="BM197" i="8"/>
  <c r="BL214" i="8"/>
  <c r="BQ214" i="8"/>
  <c r="BS214" i="8"/>
  <c r="BP214" i="8"/>
  <c r="BO214" i="8"/>
  <c r="BT214" i="8"/>
  <c r="BR214" i="8"/>
  <c r="BN214" i="8"/>
  <c r="BM214" i="8"/>
  <c r="BU214" i="8"/>
  <c r="AH23" i="8"/>
  <c r="BL108" i="8"/>
  <c r="BN108" i="8"/>
  <c r="BM108" i="8"/>
  <c r="BU108" i="8"/>
  <c r="BS108" i="8"/>
  <c r="BP108" i="8"/>
  <c r="BO108" i="8"/>
  <c r="BT108" i="8"/>
  <c r="BR108" i="8"/>
  <c r="BQ108" i="8"/>
  <c r="BS211" i="8"/>
  <c r="BR211" i="8"/>
  <c r="BL211" i="8"/>
  <c r="BO211" i="8"/>
  <c r="BN211" i="8"/>
  <c r="BP211" i="8"/>
  <c r="BQ211" i="8"/>
  <c r="BM211" i="8"/>
  <c r="BT211" i="8"/>
  <c r="BU211" i="8"/>
  <c r="AH193" i="8"/>
  <c r="AT42" i="8"/>
  <c r="AH31" i="8"/>
  <c r="BQ13" i="8"/>
  <c r="BM13" i="8"/>
  <c r="BR13" i="8"/>
  <c r="BU13" i="8"/>
  <c r="BO13" i="8"/>
  <c r="BN13" i="8"/>
  <c r="BP13" i="8"/>
  <c r="BL13" i="8"/>
  <c r="BS13" i="8"/>
  <c r="BT13" i="8"/>
  <c r="AH65" i="8"/>
  <c r="BS181" i="8"/>
  <c r="BM181" i="8"/>
  <c r="BO181" i="8"/>
  <c r="BU181" i="8"/>
  <c r="BR181" i="8"/>
  <c r="BN181" i="8"/>
  <c r="BT181" i="8"/>
  <c r="BL181" i="8"/>
  <c r="BQ181" i="8"/>
  <c r="BP181" i="8"/>
  <c r="AT65" i="8"/>
  <c r="BU9" i="8"/>
  <c r="BN9" i="8"/>
  <c r="BQ9" i="8"/>
  <c r="BM9" i="8"/>
  <c r="BS9" i="8"/>
  <c r="BR9" i="8"/>
  <c r="BP9" i="8"/>
  <c r="BT9" i="8"/>
  <c r="BL9" i="8"/>
  <c r="BO9" i="8"/>
  <c r="BS364" i="8"/>
  <c r="BR364" i="8"/>
  <c r="BO364" i="8"/>
  <c r="BQ364" i="8"/>
  <c r="BN364" i="8"/>
  <c r="BP364" i="8"/>
  <c r="BU364" i="8"/>
  <c r="BM364" i="8"/>
  <c r="BL364" i="8"/>
  <c r="BT364" i="8"/>
  <c r="AH33" i="8"/>
  <c r="BQ33" i="8"/>
  <c r="BR33" i="8"/>
  <c r="BM33" i="8"/>
  <c r="BP33" i="8"/>
  <c r="BU33" i="8"/>
  <c r="BO33" i="8"/>
  <c r="BN33" i="8"/>
  <c r="BL33" i="8"/>
  <c r="BS33" i="8"/>
  <c r="BT33" i="8"/>
  <c r="AT331" i="8"/>
  <c r="AH106" i="8"/>
  <c r="AH94" i="8"/>
  <c r="AT524" i="8"/>
  <c r="AH69" i="8"/>
  <c r="BU2" i="8"/>
  <c r="BT2" i="8"/>
  <c r="BN2" i="8"/>
  <c r="BS2" i="8"/>
  <c r="BO2" i="8"/>
  <c r="BR2" i="8"/>
  <c r="BP2" i="8"/>
  <c r="BQ2" i="8"/>
  <c r="BM2" i="8"/>
  <c r="BL2" i="8"/>
  <c r="BS302" i="8"/>
  <c r="BT302" i="8"/>
  <c r="BL302" i="8"/>
  <c r="BR302" i="8"/>
  <c r="BQ302" i="8"/>
  <c r="BP302" i="8"/>
  <c r="BN302" i="8"/>
  <c r="BO302" i="8"/>
  <c r="BU302" i="8"/>
  <c r="BM302" i="8"/>
  <c r="BL362" i="8"/>
  <c r="BS362" i="8"/>
  <c r="BN362" i="8"/>
  <c r="BP362" i="8"/>
  <c r="BU362" i="8"/>
  <c r="BO362" i="8"/>
  <c r="BM362" i="8"/>
  <c r="BT362" i="8"/>
  <c r="BR362" i="8"/>
  <c r="BQ362" i="8"/>
  <c r="AT179" i="8"/>
  <c r="AH810" i="8"/>
  <c r="BU676" i="8"/>
  <c r="BS676" i="8"/>
  <c r="BM676" i="8"/>
  <c r="BR676" i="8"/>
  <c r="BT676" i="8"/>
  <c r="BL676" i="8"/>
  <c r="BP676" i="8"/>
  <c r="BO676" i="8"/>
  <c r="BQ676" i="8"/>
  <c r="BN676" i="8"/>
  <c r="BL403" i="8"/>
  <c r="BS403" i="8"/>
  <c r="BR403" i="8"/>
  <c r="BQ403" i="8"/>
  <c r="BP403" i="8"/>
  <c r="BU403" i="8"/>
  <c r="BO403" i="8"/>
  <c r="BM403" i="8"/>
  <c r="BN403" i="8"/>
  <c r="BT403" i="8"/>
  <c r="BN431" i="8"/>
  <c r="BM431" i="8"/>
  <c r="BT431" i="8"/>
  <c r="BU431" i="8"/>
  <c r="BL431" i="8"/>
  <c r="BS431" i="8"/>
  <c r="BP431" i="8"/>
  <c r="BR431" i="8"/>
  <c r="BQ431" i="8"/>
  <c r="BO431" i="8"/>
  <c r="AH808" i="8"/>
  <c r="BP15" i="8"/>
  <c r="BQ15" i="8"/>
  <c r="BO15" i="8"/>
  <c r="BN15" i="8"/>
  <c r="BT15" i="8"/>
  <c r="BL15" i="8"/>
  <c r="BM15" i="8"/>
  <c r="BR15" i="8"/>
  <c r="BU15" i="8"/>
  <c r="BS15" i="8"/>
  <c r="BO642" i="8"/>
  <c r="BS642" i="8"/>
  <c r="BR642" i="8"/>
  <c r="BQ642" i="8"/>
  <c r="BP642" i="8"/>
  <c r="BN642" i="8"/>
  <c r="BM642" i="8"/>
  <c r="BT642" i="8"/>
  <c r="BL642" i="8"/>
  <c r="BU642" i="8"/>
  <c r="BO339" i="8"/>
  <c r="BS339" i="8"/>
  <c r="BU339" i="8"/>
  <c r="BQ339" i="8"/>
  <c r="BP339" i="8"/>
  <c r="BN339" i="8"/>
  <c r="BM339" i="8"/>
  <c r="BT339" i="8"/>
  <c r="BL339" i="8"/>
  <c r="BR339" i="8"/>
  <c r="BS438" i="8"/>
  <c r="BM438" i="8"/>
  <c r="BO438" i="8"/>
  <c r="BQ438" i="8"/>
  <c r="BT438" i="8"/>
  <c r="BL438" i="8"/>
  <c r="BR438" i="8"/>
  <c r="BP438" i="8"/>
  <c r="BN438" i="8"/>
  <c r="BU438" i="8"/>
  <c r="AH190" i="8"/>
  <c r="AT60" i="8"/>
  <c r="AH89" i="8"/>
  <c r="AH22" i="8"/>
  <c r="BO646" i="8"/>
  <c r="BU646" i="8"/>
  <c r="BT646" i="8"/>
  <c r="BM646" i="8"/>
  <c r="BL646" i="8"/>
  <c r="BS646" i="8"/>
  <c r="BQ646" i="8"/>
  <c r="BP646" i="8"/>
  <c r="BN646" i="8"/>
  <c r="BR646" i="8"/>
  <c r="AH58" i="8"/>
  <c r="AH93" i="8"/>
  <c r="BM319" i="8"/>
  <c r="BL319" i="8"/>
  <c r="BU319" i="8"/>
  <c r="BT319" i="8"/>
  <c r="BP319" i="8"/>
  <c r="BS319" i="8"/>
  <c r="BO319" i="8"/>
  <c r="BR319" i="8"/>
  <c r="BQ319" i="8"/>
  <c r="BN319" i="8"/>
  <c r="BO827" i="8"/>
  <c r="BP827" i="8"/>
  <c r="BU827" i="8"/>
  <c r="BN827" i="8"/>
  <c r="BQ827" i="8"/>
  <c r="BM827" i="8"/>
  <c r="BT827" i="8"/>
  <c r="BL827" i="8"/>
  <c r="BS827" i="8"/>
  <c r="BR827" i="8"/>
  <c r="AT560" i="8"/>
  <c r="AT48" i="8"/>
  <c r="AT79" i="8"/>
  <c r="BT656" i="8"/>
  <c r="BU656" i="8"/>
  <c r="BL656" i="8"/>
  <c r="BM656" i="8"/>
  <c r="BS656" i="8"/>
  <c r="BR656" i="8"/>
  <c r="BP656" i="8"/>
  <c r="BO656" i="8"/>
  <c r="BQ656" i="8"/>
  <c r="BN656" i="8"/>
  <c r="BN475" i="8"/>
  <c r="BT475" i="8"/>
  <c r="BU475" i="8"/>
  <c r="BS475" i="8"/>
  <c r="BR475" i="8"/>
  <c r="BQ475" i="8"/>
  <c r="BP475" i="8"/>
  <c r="BO475" i="8"/>
  <c r="BM475" i="8"/>
  <c r="BL475" i="8"/>
  <c r="AH210" i="8"/>
  <c r="AH10" i="8"/>
  <c r="BO620" i="8"/>
  <c r="BS620" i="8"/>
  <c r="BN620" i="8"/>
  <c r="BU620" i="8"/>
  <c r="BT620" i="8"/>
  <c r="BM620" i="8"/>
  <c r="BL620" i="8"/>
  <c r="BR620" i="8"/>
  <c r="BQ620" i="8"/>
  <c r="BP620" i="8"/>
  <c r="AT239" i="8"/>
  <c r="BL263" i="8"/>
  <c r="BS263" i="8"/>
  <c r="BP263" i="8"/>
  <c r="BM263" i="8"/>
  <c r="BO263" i="8"/>
  <c r="BT263" i="8"/>
  <c r="BN263" i="8"/>
  <c r="BU263" i="8"/>
  <c r="BR263" i="8"/>
  <c r="BQ263" i="8"/>
  <c r="BO4" i="8"/>
  <c r="BQ4" i="8"/>
  <c r="BU4" i="8"/>
  <c r="BM4" i="8"/>
  <c r="BN4" i="8"/>
  <c r="BT4" i="8"/>
  <c r="BL4" i="8"/>
  <c r="BS4" i="8"/>
  <c r="BR4" i="8"/>
  <c r="BP4" i="8"/>
  <c r="AH129" i="8"/>
  <c r="AH823" i="8"/>
  <c r="BP135" i="8"/>
  <c r="BN135" i="8"/>
  <c r="BO135" i="8"/>
  <c r="BU135" i="8"/>
  <c r="BM135" i="8"/>
  <c r="BT135" i="8"/>
  <c r="BR135" i="8"/>
  <c r="BL135" i="8"/>
  <c r="BQ135" i="8"/>
  <c r="BS135" i="8"/>
  <c r="BT147" i="8"/>
  <c r="BL147" i="8"/>
  <c r="BQ147" i="8"/>
  <c r="BP147" i="8"/>
  <c r="BO147" i="8"/>
  <c r="BS147" i="8"/>
  <c r="BU147" i="8"/>
  <c r="BM147" i="8"/>
  <c r="BN147" i="8"/>
  <c r="BR147" i="8"/>
  <c r="AT291" i="8"/>
  <c r="AH141" i="8"/>
  <c r="AT91" i="8"/>
  <c r="AH111" i="8"/>
  <c r="AT178" i="8"/>
  <c r="AH132" i="8"/>
  <c r="BR182" i="8"/>
  <c r="BL182" i="8"/>
  <c r="BS182" i="8"/>
  <c r="BQ182" i="8"/>
  <c r="BN182" i="8"/>
  <c r="BP182" i="8"/>
  <c r="BO182" i="8"/>
  <c r="BU182" i="8"/>
  <c r="BM182" i="8"/>
  <c r="BT182" i="8"/>
  <c r="AH148" i="8"/>
  <c r="AH121" i="8"/>
  <c r="BU194" i="8"/>
  <c r="BP194" i="8"/>
  <c r="BO194" i="8"/>
  <c r="BL194" i="8"/>
  <c r="BT194" i="8"/>
  <c r="BS194" i="8"/>
  <c r="BQ194" i="8"/>
  <c r="BN194" i="8"/>
  <c r="BM194" i="8"/>
  <c r="BR194" i="8"/>
  <c r="AT311" i="8"/>
  <c r="BS149" i="8"/>
  <c r="BR149" i="8"/>
  <c r="BT149" i="8"/>
  <c r="BL149" i="8"/>
  <c r="BQ149" i="8"/>
  <c r="BP149" i="8"/>
  <c r="BN149" i="8"/>
  <c r="BO149" i="8"/>
  <c r="BU149" i="8"/>
  <c r="BM149" i="8"/>
  <c r="BR268" i="8"/>
  <c r="BP268" i="8"/>
  <c r="BT268" i="8"/>
  <c r="BO268" i="8"/>
  <c r="BQ268" i="8"/>
  <c r="BN268" i="8"/>
  <c r="BU268" i="8"/>
  <c r="BM268" i="8"/>
  <c r="BL268" i="8"/>
  <c r="BS268" i="8"/>
  <c r="BR349" i="8"/>
  <c r="BN349" i="8"/>
  <c r="BU349" i="8"/>
  <c r="BS349" i="8"/>
  <c r="BL349" i="8"/>
  <c r="BQ349" i="8"/>
  <c r="BP349" i="8"/>
  <c r="BO349" i="8"/>
  <c r="BM349" i="8"/>
  <c r="BT349" i="8"/>
  <c r="BS154" i="8"/>
  <c r="BN154" i="8"/>
  <c r="BO154" i="8"/>
  <c r="BR154" i="8"/>
  <c r="BL154" i="8"/>
  <c r="BT154" i="8"/>
  <c r="BQ154" i="8"/>
  <c r="BM154" i="8"/>
  <c r="BU154" i="8"/>
  <c r="BP154" i="8"/>
  <c r="BR240" i="8"/>
  <c r="BO240" i="8"/>
  <c r="BL240" i="8"/>
  <c r="BS240" i="8"/>
  <c r="BQ240" i="8"/>
  <c r="BP240" i="8"/>
  <c r="BN240" i="8"/>
  <c r="BU240" i="8"/>
  <c r="BM240" i="8"/>
  <c r="BT240" i="8"/>
  <c r="BR573" i="8"/>
  <c r="BL573" i="8"/>
  <c r="BT573" i="8"/>
  <c r="BP573" i="8"/>
  <c r="BO573" i="8"/>
  <c r="BQ573" i="8"/>
  <c r="BS573" i="8"/>
  <c r="BN573" i="8"/>
  <c r="BM573" i="8"/>
  <c r="BU573" i="8"/>
  <c r="BO816" i="8"/>
  <c r="BS816" i="8"/>
  <c r="BQ816" i="8"/>
  <c r="BP816" i="8"/>
  <c r="BT816" i="8"/>
  <c r="BR816" i="8"/>
  <c r="BU816" i="8"/>
  <c r="BN816" i="8"/>
  <c r="BM816" i="8"/>
  <c r="BL816" i="8"/>
  <c r="BL707" i="8"/>
  <c r="BS707" i="8"/>
  <c r="BQ707" i="8"/>
  <c r="BP707" i="8"/>
  <c r="BO707" i="8"/>
  <c r="BR707" i="8"/>
  <c r="BU707" i="8"/>
  <c r="BN707" i="8"/>
  <c r="BM707" i="8"/>
  <c r="BT707" i="8"/>
  <c r="BR577" i="8"/>
  <c r="BO577" i="8"/>
  <c r="BS577" i="8"/>
  <c r="BL577" i="8"/>
  <c r="BM577" i="8"/>
  <c r="BT577" i="8"/>
  <c r="BU577" i="8"/>
  <c r="BP577" i="8"/>
  <c r="BN577" i="8"/>
  <c r="BQ577" i="8"/>
  <c r="BO578" i="8"/>
  <c r="BM578" i="8"/>
  <c r="BR578" i="8"/>
  <c r="BQ578" i="8"/>
  <c r="BL578" i="8"/>
  <c r="BN578" i="8"/>
  <c r="BS578" i="8"/>
  <c r="BU578" i="8"/>
  <c r="BP578" i="8"/>
  <c r="BT578" i="8"/>
  <c r="BU352" i="8"/>
  <c r="BN352" i="8"/>
  <c r="BO352" i="8"/>
  <c r="BR352" i="8"/>
  <c r="BM352" i="8"/>
  <c r="BL352" i="8"/>
  <c r="BQ352" i="8"/>
  <c r="BT352" i="8"/>
  <c r="BS352" i="8"/>
  <c r="BP352" i="8"/>
  <c r="AT532" i="8"/>
  <c r="BR682" i="8"/>
  <c r="BN682" i="8"/>
  <c r="BL682" i="8"/>
  <c r="BS682" i="8"/>
  <c r="BQ682" i="8"/>
  <c r="BP682" i="8"/>
  <c r="BO682" i="8"/>
  <c r="BU682" i="8"/>
  <c r="BM682" i="8"/>
  <c r="BT682" i="8"/>
  <c r="BR670" i="8"/>
  <c r="BM670" i="8"/>
  <c r="BQ670" i="8"/>
  <c r="BT670" i="8"/>
  <c r="BS670" i="8"/>
  <c r="BO670" i="8"/>
  <c r="BP670" i="8"/>
  <c r="BU670" i="8"/>
  <c r="BN670" i="8"/>
  <c r="BL670" i="8"/>
  <c r="BN785" i="8"/>
  <c r="BU785" i="8"/>
  <c r="BS785" i="8"/>
  <c r="BM785" i="8"/>
  <c r="BT785" i="8"/>
  <c r="BL785" i="8"/>
  <c r="BQ785" i="8"/>
  <c r="BO785" i="8"/>
  <c r="BR785" i="8"/>
  <c r="BP785" i="8"/>
  <c r="AH791" i="8"/>
  <c r="BR685" i="8"/>
  <c r="BO685" i="8"/>
  <c r="BU685" i="8"/>
  <c r="BM685" i="8"/>
  <c r="BT685" i="8"/>
  <c r="BL685" i="8"/>
  <c r="BS685" i="8"/>
  <c r="BN685" i="8"/>
  <c r="BQ685" i="8"/>
  <c r="BP685" i="8"/>
  <c r="BR712" i="8"/>
  <c r="BN712" i="8"/>
  <c r="BO712" i="8"/>
  <c r="BU712" i="8"/>
  <c r="BM712" i="8"/>
  <c r="BT712" i="8"/>
  <c r="BL712" i="8"/>
  <c r="BS712" i="8"/>
  <c r="BQ712" i="8"/>
  <c r="BP712" i="8"/>
  <c r="BR739" i="8"/>
  <c r="BN739" i="8"/>
  <c r="BS739" i="8"/>
  <c r="BQ739" i="8"/>
  <c r="BP739" i="8"/>
  <c r="BO739" i="8"/>
  <c r="BU739" i="8"/>
  <c r="BM739" i="8"/>
  <c r="BL739" i="8"/>
  <c r="BT739" i="8"/>
  <c r="BU757" i="8"/>
  <c r="BN757" i="8"/>
  <c r="BM757" i="8"/>
  <c r="BP757" i="8"/>
  <c r="BO757" i="8"/>
  <c r="BR757" i="8"/>
  <c r="BQ757" i="8"/>
  <c r="BS757" i="8"/>
  <c r="BL757" i="8"/>
  <c r="BT757" i="8"/>
  <c r="BU606" i="8"/>
  <c r="BN606" i="8"/>
  <c r="BM606" i="8"/>
  <c r="BR606" i="8"/>
  <c r="BS606" i="8"/>
  <c r="BL606" i="8"/>
  <c r="BT606" i="8"/>
  <c r="BP606" i="8"/>
  <c r="BQ606" i="8"/>
  <c r="BO606" i="8"/>
  <c r="BQ699" i="8"/>
  <c r="BU699" i="8"/>
  <c r="BP699" i="8"/>
  <c r="BL699" i="8"/>
  <c r="BR699" i="8"/>
  <c r="BT699" i="8"/>
  <c r="BN699" i="8"/>
  <c r="BS699" i="8"/>
  <c r="BO699" i="8"/>
  <c r="BM699" i="8"/>
  <c r="BQ697" i="8"/>
  <c r="BS697" i="8"/>
  <c r="BN697" i="8"/>
  <c r="BO697" i="8"/>
  <c r="BM697" i="8"/>
  <c r="BP697" i="8"/>
  <c r="BL697" i="8"/>
  <c r="BU697" i="8"/>
  <c r="BT697" i="8"/>
  <c r="BR697" i="8"/>
  <c r="BU731" i="8"/>
  <c r="BO731" i="8"/>
  <c r="BN731" i="8"/>
  <c r="BS731" i="8"/>
  <c r="BP731" i="8"/>
  <c r="BT731" i="8"/>
  <c r="BL731" i="8"/>
  <c r="BQ731" i="8"/>
  <c r="BM731" i="8"/>
  <c r="BR731" i="8"/>
  <c r="AH805" i="8"/>
  <c r="BR743" i="8"/>
  <c r="BT743" i="8"/>
  <c r="BL743" i="8"/>
  <c r="BS743" i="8"/>
  <c r="BQ743" i="8"/>
  <c r="BP743" i="8"/>
  <c r="BO743" i="8"/>
  <c r="BU743" i="8"/>
  <c r="BM743" i="8"/>
  <c r="BN743" i="8"/>
  <c r="BU604" i="8"/>
  <c r="BS604" i="8"/>
  <c r="BL604" i="8"/>
  <c r="BR604" i="8"/>
  <c r="BT604" i="8"/>
  <c r="BP604" i="8"/>
  <c r="BQ604" i="8"/>
  <c r="BO604" i="8"/>
  <c r="BN604" i="8"/>
  <c r="BM604" i="8"/>
  <c r="BR800" i="8"/>
  <c r="BQ800" i="8"/>
  <c r="BP800" i="8"/>
  <c r="BO800" i="8"/>
  <c r="BL800" i="8"/>
  <c r="BU800" i="8"/>
  <c r="BS800" i="8"/>
  <c r="BM800" i="8"/>
  <c r="BN800" i="8"/>
  <c r="BT800" i="8"/>
  <c r="AT558" i="8"/>
  <c r="BU483" i="8"/>
  <c r="BN483" i="8"/>
  <c r="BT483" i="8"/>
  <c r="BR483" i="8"/>
  <c r="BS483" i="8"/>
  <c r="BO483" i="8"/>
  <c r="BQ483" i="8"/>
  <c r="BP483" i="8"/>
  <c r="BM483" i="8"/>
  <c r="BL483" i="8"/>
  <c r="BQ398" i="8"/>
  <c r="BS398" i="8"/>
  <c r="BP398" i="8"/>
  <c r="BR398" i="8"/>
  <c r="BO398" i="8"/>
  <c r="BN398" i="8"/>
  <c r="BU398" i="8"/>
  <c r="BT398" i="8"/>
  <c r="BM398" i="8"/>
  <c r="BL398" i="8"/>
  <c r="BR334" i="8"/>
  <c r="BO334" i="8"/>
  <c r="BQ334" i="8"/>
  <c r="BL334" i="8"/>
  <c r="BP334" i="8"/>
  <c r="BN334" i="8"/>
  <c r="BU334" i="8"/>
  <c r="BT334" i="8"/>
  <c r="BS334" i="8"/>
  <c r="BM334" i="8"/>
  <c r="BP282" i="8"/>
  <c r="BR282" i="8"/>
  <c r="BO282" i="8"/>
  <c r="BQ282" i="8"/>
  <c r="BN282" i="8"/>
  <c r="BM282" i="8"/>
  <c r="BL282" i="8"/>
  <c r="BT282" i="8"/>
  <c r="BU282" i="8"/>
  <c r="BS282" i="8"/>
  <c r="BU262" i="8"/>
  <c r="BT262" i="8"/>
  <c r="BN262" i="8"/>
  <c r="BM262" i="8"/>
  <c r="BS262" i="8"/>
  <c r="BQ262" i="8"/>
  <c r="BR262" i="8"/>
  <c r="BP262" i="8"/>
  <c r="BO262" i="8"/>
  <c r="BL262" i="8"/>
  <c r="BN219" i="8"/>
  <c r="BU219" i="8"/>
  <c r="BM219" i="8"/>
  <c r="BO219" i="8"/>
  <c r="BP219" i="8"/>
  <c r="BR219" i="8"/>
  <c r="BL219" i="8"/>
  <c r="BT219" i="8"/>
  <c r="BS219" i="8"/>
  <c r="BQ219" i="8"/>
  <c r="BQ261" i="8"/>
  <c r="BP261" i="8"/>
  <c r="BO261" i="8"/>
  <c r="BT261" i="8"/>
  <c r="BM261" i="8"/>
  <c r="BL261" i="8"/>
  <c r="BU261" i="8"/>
  <c r="BS261" i="8"/>
  <c r="BR261" i="8"/>
  <c r="BN261" i="8"/>
  <c r="BS217" i="8"/>
  <c r="BL217" i="8"/>
  <c r="BN217" i="8"/>
  <c r="BM217" i="8"/>
  <c r="BR217" i="8"/>
  <c r="BP217" i="8"/>
  <c r="BU217" i="8"/>
  <c r="BQ217" i="8"/>
  <c r="BO217" i="8"/>
  <c r="BT217" i="8"/>
  <c r="AH203" i="8"/>
  <c r="BU175" i="8"/>
  <c r="BT175" i="8"/>
  <c r="BS175" i="8"/>
  <c r="BN175" i="8"/>
  <c r="BL175" i="8"/>
  <c r="BQ175" i="8"/>
  <c r="BO175" i="8"/>
  <c r="BM175" i="8"/>
  <c r="BP175" i="8"/>
  <c r="BR175" i="8"/>
  <c r="AH12" i="8"/>
  <c r="AT92" i="8"/>
  <c r="BO193" i="8"/>
  <c r="BN193" i="8"/>
  <c r="BU193" i="8"/>
  <c r="BM193" i="8"/>
  <c r="BS193" i="8"/>
  <c r="BQ193" i="8"/>
  <c r="BL193" i="8"/>
  <c r="BP193" i="8"/>
  <c r="BT193" i="8"/>
  <c r="BR193" i="8"/>
  <c r="AT104" i="8"/>
  <c r="BR185" i="8"/>
  <c r="BU185" i="8"/>
  <c r="BT185" i="8"/>
  <c r="BQ185" i="8"/>
  <c r="BN185" i="8"/>
  <c r="BP185" i="8"/>
  <c r="BL185" i="8"/>
  <c r="BO185" i="8"/>
  <c r="BM185" i="8"/>
  <c r="BS185" i="8"/>
  <c r="AH59" i="8"/>
  <c r="BO37" i="8"/>
  <c r="BN37" i="8"/>
  <c r="BT37" i="8"/>
  <c r="BL37" i="8"/>
  <c r="BS37" i="8"/>
  <c r="BQ37" i="8"/>
  <c r="BM37" i="8"/>
  <c r="BP37" i="8"/>
  <c r="BR37" i="8"/>
  <c r="BU37" i="8"/>
  <c r="AT32" i="8"/>
  <c r="AH29" i="8"/>
  <c r="BL23" i="8"/>
  <c r="BS23" i="8"/>
  <c r="BU23" i="8"/>
  <c r="BR23" i="8"/>
  <c r="BQ23" i="8"/>
  <c r="BP23" i="8"/>
  <c r="BM23" i="8"/>
  <c r="BN23" i="8"/>
  <c r="BT23" i="8"/>
  <c r="BO23" i="8"/>
  <c r="AT18" i="8"/>
  <c r="AH98" i="8"/>
  <c r="BT477" i="8"/>
  <c r="BU477" i="8"/>
  <c r="BR477" i="8"/>
  <c r="BQ477" i="8"/>
  <c r="BP477" i="8"/>
  <c r="BM477" i="8"/>
  <c r="BL477" i="8"/>
  <c r="BS477" i="8"/>
  <c r="BO477" i="8"/>
  <c r="BN477" i="8"/>
  <c r="AT98" i="8"/>
  <c r="AH34" i="8"/>
  <c r="BT26" i="8"/>
  <c r="BQ26" i="8"/>
  <c r="BL26" i="8"/>
  <c r="BS26" i="8"/>
  <c r="BR26" i="8"/>
  <c r="BP26" i="8"/>
  <c r="BU26" i="8"/>
  <c r="BN26" i="8"/>
  <c r="BM26" i="8"/>
  <c r="BO26" i="8"/>
  <c r="BU220" i="8"/>
  <c r="BM220" i="8"/>
  <c r="BN220" i="8"/>
  <c r="BS220" i="8"/>
  <c r="BO220" i="8"/>
  <c r="BT220" i="8"/>
  <c r="BP220" i="8"/>
  <c r="BL220" i="8"/>
  <c r="BR220" i="8"/>
  <c r="BQ220" i="8"/>
  <c r="AH45" i="8"/>
  <c r="BQ62" i="8"/>
  <c r="BN62" i="8"/>
  <c r="BO62" i="8"/>
  <c r="BU62" i="8"/>
  <c r="BM62" i="8"/>
  <c r="BT62" i="8"/>
  <c r="BL62" i="8"/>
  <c r="BS62" i="8"/>
  <c r="BR62" i="8"/>
  <c r="BP62" i="8"/>
  <c r="AT30" i="8"/>
  <c r="BP608" i="8"/>
  <c r="BR608" i="8"/>
  <c r="BS608" i="8"/>
  <c r="BQ608" i="8"/>
  <c r="BO608" i="8"/>
  <c r="BN608" i="8"/>
  <c r="BT608" i="8"/>
  <c r="BL608" i="8"/>
  <c r="BM608" i="8"/>
  <c r="BU608" i="8"/>
  <c r="BT401" i="8"/>
  <c r="BL401" i="8"/>
  <c r="BS401" i="8"/>
  <c r="BR401" i="8"/>
  <c r="BQ401" i="8"/>
  <c r="BP401" i="8"/>
  <c r="BU401" i="8"/>
  <c r="BO401" i="8"/>
  <c r="BM401" i="8"/>
  <c r="BN401" i="8"/>
  <c r="AT44" i="8"/>
  <c r="BQ57" i="8"/>
  <c r="BM57" i="8"/>
  <c r="BO57" i="8"/>
  <c r="BT57" i="8"/>
  <c r="BL57" i="8"/>
  <c r="BR57" i="8"/>
  <c r="BP57" i="8"/>
  <c r="BS57" i="8"/>
  <c r="BU57" i="8"/>
  <c r="BN57" i="8"/>
  <c r="BO648" i="8"/>
  <c r="BT648" i="8"/>
  <c r="BM648" i="8"/>
  <c r="BL648" i="8"/>
  <c r="BS648" i="8"/>
  <c r="BR648" i="8"/>
  <c r="BQ648" i="8"/>
  <c r="BP648" i="8"/>
  <c r="BN648" i="8"/>
  <c r="BU648" i="8"/>
  <c r="AH824" i="8"/>
  <c r="BT825" i="8"/>
  <c r="BN825" i="8"/>
  <c r="BP825" i="8"/>
  <c r="BL825" i="8"/>
  <c r="BS825" i="8"/>
  <c r="BR825" i="8"/>
  <c r="BO825" i="8"/>
  <c r="BQ825" i="8"/>
  <c r="BU825" i="8"/>
  <c r="BM825" i="8"/>
  <c r="AH48" i="8"/>
  <c r="BM89" i="8"/>
  <c r="BP89" i="8"/>
  <c r="BT89" i="8"/>
  <c r="BR89" i="8"/>
  <c r="BQ89" i="8"/>
  <c r="BO89" i="8"/>
  <c r="BN89" i="8"/>
  <c r="BL89" i="8"/>
  <c r="BS89" i="8"/>
  <c r="BU89" i="8"/>
  <c r="AH8" i="8"/>
  <c r="BQ579" i="8"/>
  <c r="BR579" i="8"/>
  <c r="BN579" i="8"/>
  <c r="BP579" i="8"/>
  <c r="BL579" i="8"/>
  <c r="BU579" i="8"/>
  <c r="BO579" i="8"/>
  <c r="BM579" i="8"/>
  <c r="BS579" i="8"/>
  <c r="BT579" i="8"/>
  <c r="BL399" i="8"/>
  <c r="BS399" i="8"/>
  <c r="BR399" i="8"/>
  <c r="BQ399" i="8"/>
  <c r="BP399" i="8"/>
  <c r="BU399" i="8"/>
  <c r="BO399" i="8"/>
  <c r="BM399" i="8"/>
  <c r="BN399" i="8"/>
  <c r="BT399" i="8"/>
  <c r="AH56" i="8"/>
  <c r="AH802" i="8"/>
  <c r="AH794" i="8"/>
  <c r="BM570" i="8"/>
  <c r="BT570" i="8"/>
  <c r="BL570" i="8"/>
  <c r="BQ570" i="8"/>
  <c r="BP570" i="8"/>
  <c r="BO570" i="8"/>
  <c r="BN570" i="8"/>
  <c r="BU570" i="8"/>
  <c r="BS570" i="8"/>
  <c r="BR570" i="8"/>
  <c r="BN807" i="8"/>
  <c r="BR807" i="8"/>
  <c r="BL807" i="8"/>
  <c r="BP807" i="8"/>
  <c r="BU807" i="8"/>
  <c r="BT807" i="8"/>
  <c r="BS807" i="8"/>
  <c r="BQ807" i="8"/>
  <c r="BO807" i="8"/>
  <c r="BM807" i="8"/>
  <c r="BN597" i="8"/>
  <c r="BM597" i="8"/>
  <c r="BQ597" i="8"/>
  <c r="BR597" i="8"/>
  <c r="BO597" i="8"/>
  <c r="BU597" i="8"/>
  <c r="BT597" i="8"/>
  <c r="BL597" i="8"/>
  <c r="BS597" i="8"/>
  <c r="BP597" i="8"/>
  <c r="AH4" i="8"/>
  <c r="AH812" i="8"/>
  <c r="BS473" i="8"/>
  <c r="BR473" i="8"/>
  <c r="BQ473" i="8"/>
  <c r="BO473" i="8"/>
  <c r="BN473" i="8"/>
  <c r="BT473" i="8"/>
  <c r="BU473" i="8"/>
  <c r="BL473" i="8"/>
  <c r="BP473" i="8"/>
  <c r="BM473" i="8"/>
  <c r="BN566" i="8"/>
  <c r="BL566" i="8"/>
  <c r="BS566" i="8"/>
  <c r="BR566" i="8"/>
  <c r="BU566" i="8"/>
  <c r="BO566" i="8"/>
  <c r="BM566" i="8"/>
  <c r="BT566" i="8"/>
  <c r="BQ566" i="8"/>
  <c r="BP566" i="8"/>
  <c r="BN370" i="8"/>
  <c r="BP370" i="8"/>
  <c r="BU370" i="8"/>
  <c r="BL370" i="8"/>
  <c r="BS370" i="8"/>
  <c r="BR370" i="8"/>
  <c r="BQ370" i="8"/>
  <c r="BO370" i="8"/>
  <c r="BM370" i="8"/>
  <c r="BT370" i="8"/>
  <c r="BS249" i="8"/>
  <c r="BQ249" i="8"/>
  <c r="BP249" i="8"/>
  <c r="BO249" i="8"/>
  <c r="BN249" i="8"/>
  <c r="BU249" i="8"/>
  <c r="BM249" i="8"/>
  <c r="BT249" i="8"/>
  <c r="BL249" i="8"/>
  <c r="BR249" i="8"/>
  <c r="AT327" i="8"/>
  <c r="BR831" i="8"/>
  <c r="BO831" i="8"/>
  <c r="BQ831" i="8"/>
  <c r="BS831" i="8"/>
  <c r="BN831" i="8"/>
  <c r="BP831" i="8"/>
  <c r="BU831" i="8"/>
  <c r="BT831" i="8"/>
  <c r="BM831" i="8"/>
  <c r="BL831" i="8"/>
  <c r="AT512" i="8"/>
  <c r="BL296" i="8"/>
  <c r="BS296" i="8"/>
  <c r="BR296" i="8"/>
  <c r="BQ296" i="8"/>
  <c r="BN296" i="8"/>
  <c r="BP296" i="8"/>
  <c r="BO296" i="8"/>
  <c r="BU296" i="8"/>
  <c r="BM296" i="8"/>
  <c r="BT296" i="8"/>
  <c r="BQ58" i="8"/>
  <c r="BN58" i="8"/>
  <c r="BO58" i="8"/>
  <c r="BT58" i="8"/>
  <c r="BL58" i="8"/>
  <c r="BS58" i="8"/>
  <c r="BR58" i="8"/>
  <c r="BP58" i="8"/>
  <c r="BU58" i="8"/>
  <c r="BM58" i="8"/>
  <c r="BR662" i="8"/>
  <c r="BQ662" i="8"/>
  <c r="BP662" i="8"/>
  <c r="BO662" i="8"/>
  <c r="BT662" i="8"/>
  <c r="BU662" i="8"/>
  <c r="BL662" i="8"/>
  <c r="BM662" i="8"/>
  <c r="BS662" i="8"/>
  <c r="BN662" i="8"/>
  <c r="BL658" i="8"/>
  <c r="BM658" i="8"/>
  <c r="BS658" i="8"/>
  <c r="BR658" i="8"/>
  <c r="BQ658" i="8"/>
  <c r="BO658" i="8"/>
  <c r="BN658" i="8"/>
  <c r="BU658" i="8"/>
  <c r="BT658" i="8"/>
  <c r="BP658" i="8"/>
  <c r="BT467" i="8"/>
  <c r="BL467" i="8"/>
  <c r="BM467" i="8"/>
  <c r="BS467" i="8"/>
  <c r="BQ467" i="8"/>
  <c r="BP467" i="8"/>
  <c r="BO467" i="8"/>
  <c r="BR467" i="8"/>
  <c r="BN467" i="8"/>
  <c r="BU467" i="8"/>
  <c r="AH91" i="8"/>
  <c r="BO136" i="8"/>
  <c r="BR136" i="8"/>
  <c r="BQ136" i="8"/>
  <c r="BP136" i="8"/>
  <c r="BU136" i="8"/>
  <c r="BT136" i="8"/>
  <c r="BL136" i="8"/>
  <c r="BN136" i="8"/>
  <c r="BS136" i="8"/>
  <c r="BM136" i="8"/>
  <c r="AT307" i="8"/>
  <c r="AT93" i="8"/>
  <c r="AT137" i="8"/>
  <c r="BR148" i="8"/>
  <c r="BO148" i="8"/>
  <c r="BN148" i="8"/>
  <c r="BS148" i="8"/>
  <c r="BQ148" i="8"/>
  <c r="BP148" i="8"/>
  <c r="BU148" i="8"/>
  <c r="BM148" i="8"/>
  <c r="BT148" i="8"/>
  <c r="BL148" i="8"/>
  <c r="BO109" i="8"/>
  <c r="BR109" i="8"/>
  <c r="BQ109" i="8"/>
  <c r="BN109" i="8"/>
  <c r="BT109" i="8"/>
  <c r="BM109" i="8"/>
  <c r="BL109" i="8"/>
  <c r="BP109" i="8"/>
  <c r="BU109" i="8"/>
  <c r="BS109" i="8"/>
  <c r="AT143" i="8"/>
  <c r="AT256" i="8"/>
  <c r="AH95" i="8"/>
  <c r="AT144" i="8"/>
  <c r="BU765" i="8"/>
  <c r="BR765" i="8"/>
  <c r="BT765" i="8"/>
  <c r="BS765" i="8"/>
  <c r="BO765" i="8"/>
  <c r="BL765" i="8"/>
  <c r="BQ765" i="8"/>
  <c r="BP765" i="8"/>
  <c r="BN765" i="8"/>
  <c r="BM765" i="8"/>
  <c r="AT117" i="8"/>
  <c r="AT133" i="8"/>
  <c r="BM515" i="8"/>
  <c r="BP515" i="8"/>
  <c r="BO515" i="8"/>
  <c r="BS515" i="8"/>
  <c r="BQ515" i="8"/>
  <c r="BN515" i="8"/>
  <c r="BU515" i="8"/>
  <c r="BT515" i="8"/>
  <c r="BR515" i="8"/>
  <c r="BL515" i="8"/>
  <c r="BS125" i="8"/>
  <c r="BR125" i="8"/>
  <c r="BN125" i="8"/>
  <c r="BM125" i="8"/>
  <c r="BT125" i="8"/>
  <c r="BL125" i="8"/>
  <c r="BO125" i="8"/>
  <c r="BP125" i="8"/>
  <c r="BU125" i="8"/>
  <c r="BQ125" i="8"/>
  <c r="BO165" i="8"/>
  <c r="BN165" i="8"/>
  <c r="BS165" i="8"/>
  <c r="BR165" i="8"/>
  <c r="BM165" i="8"/>
  <c r="BQ165" i="8"/>
  <c r="BP165" i="8"/>
  <c r="BU165" i="8"/>
  <c r="BT165" i="8"/>
  <c r="BL165" i="8"/>
  <c r="AT169" i="8"/>
  <c r="BR299" i="8"/>
  <c r="BO299" i="8"/>
  <c r="BP299" i="8"/>
  <c r="BL299" i="8"/>
  <c r="BT299" i="8"/>
  <c r="BS299" i="8"/>
  <c r="BN299" i="8"/>
  <c r="BU299" i="8"/>
  <c r="BM299" i="8"/>
  <c r="BQ299" i="8"/>
  <c r="BR680" i="8"/>
  <c r="BS680" i="8"/>
  <c r="BQ680" i="8"/>
  <c r="BP680" i="8"/>
  <c r="BN680" i="8"/>
  <c r="BO680" i="8"/>
  <c r="BU680" i="8"/>
  <c r="BM680" i="8"/>
  <c r="BT680" i="8"/>
  <c r="BL680" i="8"/>
  <c r="BR242" i="8"/>
  <c r="BO242" i="8"/>
  <c r="BQ242" i="8"/>
  <c r="BP242" i="8"/>
  <c r="BU242" i="8"/>
  <c r="BM242" i="8"/>
  <c r="BT242" i="8"/>
  <c r="BN242" i="8"/>
  <c r="BL242" i="8"/>
  <c r="BS242" i="8"/>
  <c r="AH150" i="8"/>
  <c r="BU269" i="8"/>
  <c r="BO269" i="8"/>
  <c r="BN269" i="8"/>
  <c r="BP269" i="8"/>
  <c r="BQ269" i="8"/>
  <c r="BL269" i="8"/>
  <c r="BR269" i="8"/>
  <c r="BT269" i="8"/>
  <c r="BM269" i="8"/>
  <c r="BS269" i="8"/>
  <c r="BN432" i="8"/>
  <c r="BQ432" i="8"/>
  <c r="BP432" i="8"/>
  <c r="BS432" i="8"/>
  <c r="BT432" i="8"/>
  <c r="BU432" i="8"/>
  <c r="BL432" i="8"/>
  <c r="BR432" i="8"/>
  <c r="BO432" i="8"/>
  <c r="BM432" i="8"/>
  <c r="BQ161" i="8"/>
  <c r="BO161" i="8"/>
  <c r="BP161" i="8"/>
  <c r="BN161" i="8"/>
  <c r="BU161" i="8"/>
  <c r="BT161" i="8"/>
  <c r="BS161" i="8"/>
  <c r="BR161" i="8"/>
  <c r="BM161" i="8"/>
  <c r="BL161" i="8"/>
  <c r="BR287" i="8"/>
  <c r="BS287" i="8"/>
  <c r="BU287" i="8"/>
  <c r="BM287" i="8"/>
  <c r="BT287" i="8"/>
  <c r="BL287" i="8"/>
  <c r="BP287" i="8"/>
  <c r="BQ287" i="8"/>
  <c r="BO287" i="8"/>
  <c r="BN287" i="8"/>
  <c r="AT170" i="8"/>
  <c r="AT252" i="8"/>
  <c r="BR353" i="8"/>
  <c r="BP353" i="8"/>
  <c r="BO353" i="8"/>
  <c r="BM353" i="8"/>
  <c r="BT353" i="8"/>
  <c r="BL353" i="8"/>
  <c r="BS353" i="8"/>
  <c r="BQ353" i="8"/>
  <c r="BN353" i="8"/>
  <c r="BU353" i="8"/>
  <c r="AH155" i="8"/>
  <c r="BR357" i="8"/>
  <c r="BU357" i="8"/>
  <c r="BM357" i="8"/>
  <c r="BT357" i="8"/>
  <c r="BS357" i="8"/>
  <c r="BL357" i="8"/>
  <c r="BQ357" i="8"/>
  <c r="BP357" i="8"/>
  <c r="BO357" i="8"/>
  <c r="BN357" i="8"/>
  <c r="BR345" i="8"/>
  <c r="BQ345" i="8"/>
  <c r="BL345" i="8"/>
  <c r="BS345" i="8"/>
  <c r="BP345" i="8"/>
  <c r="BO345" i="8"/>
  <c r="BN345" i="8"/>
  <c r="BU345" i="8"/>
  <c r="BM345" i="8"/>
  <c r="BT345" i="8"/>
  <c r="BN718" i="8"/>
  <c r="BR718" i="8"/>
  <c r="BP718" i="8"/>
  <c r="BO718" i="8"/>
  <c r="BU718" i="8"/>
  <c r="BM718" i="8"/>
  <c r="BT718" i="8"/>
  <c r="BL718" i="8"/>
  <c r="BS718" i="8"/>
  <c r="BQ718" i="8"/>
  <c r="BR347" i="8"/>
  <c r="BP347" i="8"/>
  <c r="BO347" i="8"/>
  <c r="BM347" i="8"/>
  <c r="BT347" i="8"/>
  <c r="BL347" i="8"/>
  <c r="BS347" i="8"/>
  <c r="BQ347" i="8"/>
  <c r="BN347" i="8"/>
  <c r="BU347" i="8"/>
  <c r="AT514" i="8"/>
  <c r="BR694" i="8"/>
  <c r="BN694" i="8"/>
  <c r="BT694" i="8"/>
  <c r="BL694" i="8"/>
  <c r="BS694" i="8"/>
  <c r="BQ694" i="8"/>
  <c r="BP694" i="8"/>
  <c r="BO694" i="8"/>
  <c r="BU694" i="8"/>
  <c r="BM694" i="8"/>
  <c r="BR351" i="8"/>
  <c r="BO351" i="8"/>
  <c r="BN351" i="8"/>
  <c r="BT351" i="8"/>
  <c r="BS351" i="8"/>
  <c r="BL351" i="8"/>
  <c r="BQ351" i="8"/>
  <c r="BP351" i="8"/>
  <c r="BU351" i="8"/>
  <c r="BM351" i="8"/>
  <c r="AT538" i="8"/>
  <c r="BR681" i="8"/>
  <c r="BL681" i="8"/>
  <c r="BS681" i="8"/>
  <c r="BQ681" i="8"/>
  <c r="BP681" i="8"/>
  <c r="BO681" i="8"/>
  <c r="BU681" i="8"/>
  <c r="BN681" i="8"/>
  <c r="BM681" i="8"/>
  <c r="BT681" i="8"/>
  <c r="BO814" i="8"/>
  <c r="BS814" i="8"/>
  <c r="BQ814" i="8"/>
  <c r="BP814" i="8"/>
  <c r="BR814" i="8"/>
  <c r="BM814" i="8"/>
  <c r="BU814" i="8"/>
  <c r="BT814" i="8"/>
  <c r="BL814" i="8"/>
  <c r="BN814" i="8"/>
  <c r="AH809" i="8"/>
  <c r="BN791" i="8"/>
  <c r="BM791" i="8"/>
  <c r="BL791" i="8"/>
  <c r="BS791" i="8"/>
  <c r="BU791" i="8"/>
  <c r="BQ791" i="8"/>
  <c r="BT791" i="8"/>
  <c r="BO791" i="8"/>
  <c r="BP791" i="8"/>
  <c r="BR791" i="8"/>
  <c r="BU700" i="8"/>
  <c r="BS700" i="8"/>
  <c r="BM700" i="8"/>
  <c r="BO700" i="8"/>
  <c r="BQ700" i="8"/>
  <c r="BL700" i="8"/>
  <c r="BT700" i="8"/>
  <c r="BN700" i="8"/>
  <c r="BP700" i="8"/>
  <c r="BR700" i="8"/>
  <c r="BR734" i="8"/>
  <c r="BS734" i="8"/>
  <c r="BN734" i="8"/>
  <c r="BP734" i="8"/>
  <c r="BO734" i="8"/>
  <c r="BU734" i="8"/>
  <c r="BM734" i="8"/>
  <c r="BT734" i="8"/>
  <c r="BL734" i="8"/>
  <c r="BQ734" i="8"/>
  <c r="BS609" i="8"/>
  <c r="BO609" i="8"/>
  <c r="BN609" i="8"/>
  <c r="BQ609" i="8"/>
  <c r="BP609" i="8"/>
  <c r="BU609" i="8"/>
  <c r="BM609" i="8"/>
  <c r="BT609" i="8"/>
  <c r="BL609" i="8"/>
  <c r="BR609" i="8"/>
  <c r="BU698" i="8"/>
  <c r="BN698" i="8"/>
  <c r="BR698" i="8"/>
  <c r="BS698" i="8"/>
  <c r="BO698" i="8"/>
  <c r="BL698" i="8"/>
  <c r="BQ698" i="8"/>
  <c r="BT698" i="8"/>
  <c r="BP698" i="8"/>
  <c r="BM698" i="8"/>
  <c r="BR741" i="8"/>
  <c r="BM741" i="8"/>
  <c r="BT741" i="8"/>
  <c r="BL741" i="8"/>
  <c r="BN741" i="8"/>
  <c r="BS741" i="8"/>
  <c r="BQ741" i="8"/>
  <c r="BU741" i="8"/>
  <c r="BP741" i="8"/>
  <c r="BO741" i="8"/>
  <c r="AH811" i="8"/>
  <c r="BS705" i="8"/>
  <c r="BT705" i="8"/>
  <c r="BL705" i="8"/>
  <c r="BQ705" i="8"/>
  <c r="BR705" i="8"/>
  <c r="BP705" i="8"/>
  <c r="BO705" i="8"/>
  <c r="BN705" i="8"/>
  <c r="BU705" i="8"/>
  <c r="BM705" i="8"/>
  <c r="BR745" i="8"/>
  <c r="BN745" i="8"/>
  <c r="BL745" i="8"/>
  <c r="BS745" i="8"/>
  <c r="BQ745" i="8"/>
  <c r="BP745" i="8"/>
  <c r="BT745" i="8"/>
  <c r="BO745" i="8"/>
  <c r="BU745" i="8"/>
  <c r="BM745" i="8"/>
  <c r="BR679" i="8"/>
  <c r="BN679" i="8"/>
  <c r="BM679" i="8"/>
  <c r="BT679" i="8"/>
  <c r="BL679" i="8"/>
  <c r="BS679" i="8"/>
  <c r="BQ679" i="8"/>
  <c r="BP679" i="8"/>
  <c r="BO679" i="8"/>
  <c r="BU679" i="8"/>
  <c r="BP744" i="8"/>
  <c r="BN744" i="8"/>
  <c r="BO744" i="8"/>
  <c r="BU744" i="8"/>
  <c r="BM744" i="8"/>
  <c r="BT744" i="8"/>
  <c r="BL744" i="8"/>
  <c r="BS744" i="8"/>
  <c r="BQ744" i="8"/>
  <c r="BR744" i="8"/>
  <c r="BQ426" i="8"/>
  <c r="BP426" i="8"/>
  <c r="BS426" i="8"/>
  <c r="BO426" i="8"/>
  <c r="BR426" i="8"/>
  <c r="BU426" i="8"/>
  <c r="BT426" i="8"/>
  <c r="BL426" i="8"/>
  <c r="BN426" i="8"/>
  <c r="BM426" i="8"/>
  <c r="BO408" i="8"/>
  <c r="BR408" i="8"/>
  <c r="BN408" i="8"/>
  <c r="BU408" i="8"/>
  <c r="BM408" i="8"/>
  <c r="BT408" i="8"/>
  <c r="BQ408" i="8"/>
  <c r="BP408" i="8"/>
  <c r="BS408" i="8"/>
  <c r="BL408" i="8"/>
  <c r="BQ457" i="8"/>
  <c r="BP457" i="8"/>
  <c r="BO457" i="8"/>
  <c r="BN457" i="8"/>
  <c r="BT457" i="8"/>
  <c r="BU457" i="8"/>
  <c r="BS457" i="8"/>
  <c r="BR457" i="8"/>
  <c r="BL457" i="8"/>
  <c r="BM457" i="8"/>
  <c r="BR440" i="8"/>
  <c r="BU440" i="8"/>
  <c r="BQ440" i="8"/>
  <c r="BN440" i="8"/>
  <c r="BM440" i="8"/>
  <c r="BL440" i="8"/>
  <c r="BS440" i="8"/>
  <c r="BP440" i="8"/>
  <c r="BT440" i="8"/>
  <c r="BO440" i="8"/>
  <c r="BP396" i="8"/>
  <c r="BQ396" i="8"/>
  <c r="BO396" i="8"/>
  <c r="BM396" i="8"/>
  <c r="BN396" i="8"/>
  <c r="BT396" i="8"/>
  <c r="BS396" i="8"/>
  <c r="BL396" i="8"/>
  <c r="BR396" i="8"/>
  <c r="BU396" i="8"/>
  <c r="AT329" i="8"/>
  <c r="AT237" i="8"/>
  <c r="AT275" i="8"/>
  <c r="BM229" i="8"/>
  <c r="BT229" i="8"/>
  <c r="BS229" i="8"/>
  <c r="BO229" i="8"/>
  <c r="BQ229" i="8"/>
  <c r="BP229" i="8"/>
  <c r="BN229" i="8"/>
  <c r="BU229" i="8"/>
  <c r="BL229" i="8"/>
  <c r="BR229" i="8"/>
  <c r="BS215" i="8"/>
  <c r="BO215" i="8"/>
  <c r="BP215" i="8"/>
  <c r="BL215" i="8"/>
  <c r="BN215" i="8"/>
  <c r="BU215" i="8"/>
  <c r="BM215" i="8"/>
  <c r="BR215" i="8"/>
  <c r="BQ215" i="8"/>
  <c r="BT215" i="8"/>
  <c r="BN227" i="8"/>
  <c r="BM227" i="8"/>
  <c r="BS227" i="8"/>
  <c r="BL227" i="8"/>
  <c r="BR227" i="8"/>
  <c r="BT227" i="8"/>
  <c r="BU227" i="8"/>
  <c r="BO227" i="8"/>
  <c r="BQ227" i="8"/>
  <c r="BP227" i="8"/>
  <c r="BO203" i="8"/>
  <c r="BN203" i="8"/>
  <c r="BM203" i="8"/>
  <c r="BQ203" i="8"/>
  <c r="BT203" i="8"/>
  <c r="BP203" i="8"/>
  <c r="BU203" i="8"/>
  <c r="BS203" i="8"/>
  <c r="BL203" i="8"/>
  <c r="BR203" i="8"/>
  <c r="BR224" i="8"/>
  <c r="BN224" i="8"/>
  <c r="BS224" i="8"/>
  <c r="BM224" i="8"/>
  <c r="BT224" i="8"/>
  <c r="BO224" i="8"/>
  <c r="BU224" i="8"/>
  <c r="BL224" i="8"/>
  <c r="BQ224" i="8"/>
  <c r="BP224" i="8"/>
  <c r="BU195" i="8"/>
  <c r="BM195" i="8"/>
  <c r="BS195" i="8"/>
  <c r="BR195" i="8"/>
  <c r="BQ195" i="8"/>
  <c r="BT195" i="8"/>
  <c r="BO195" i="8"/>
  <c r="BN195" i="8"/>
  <c r="BL195" i="8"/>
  <c r="BP195" i="8"/>
  <c r="AT20" i="8"/>
  <c r="AH19" i="8"/>
  <c r="AT19" i="8"/>
  <c r="BS100" i="8"/>
  <c r="BQ100" i="8"/>
  <c r="BP100" i="8"/>
  <c r="BO100" i="8"/>
  <c r="BL100" i="8"/>
  <c r="BN100" i="8"/>
  <c r="BU100" i="8"/>
  <c r="BR100" i="8"/>
  <c r="BT100" i="8"/>
  <c r="BM100" i="8"/>
  <c r="BP63" i="8"/>
  <c r="BO63" i="8"/>
  <c r="BN63" i="8"/>
  <c r="BS63" i="8"/>
  <c r="BT63" i="8"/>
  <c r="BL63" i="8"/>
  <c r="BR63" i="8"/>
  <c r="BM63" i="8"/>
  <c r="BQ63" i="8"/>
  <c r="BU63" i="8"/>
  <c r="AT75" i="8"/>
  <c r="BO654" i="8"/>
  <c r="BL654" i="8"/>
  <c r="BS654" i="8"/>
  <c r="BR654" i="8"/>
  <c r="BQ654" i="8"/>
  <c r="BN654" i="8"/>
  <c r="BU654" i="8"/>
  <c r="BT654" i="8"/>
  <c r="BP654" i="8"/>
  <c r="BM654" i="8"/>
  <c r="AH71" i="8"/>
  <c r="BN14" i="8"/>
  <c r="BO14" i="8"/>
  <c r="BT14" i="8"/>
  <c r="BU14" i="8"/>
  <c r="BL14" i="8"/>
  <c r="BR14" i="8"/>
  <c r="BP14" i="8"/>
  <c r="BM14" i="8"/>
  <c r="BQ14" i="8"/>
  <c r="BS14" i="8"/>
  <c r="AH61" i="8"/>
  <c r="AH97" i="8"/>
  <c r="BN34" i="8"/>
  <c r="BQ34" i="8"/>
  <c r="BP34" i="8"/>
  <c r="BO34" i="8"/>
  <c r="BU34" i="8"/>
  <c r="BM34" i="8"/>
  <c r="BT34" i="8"/>
  <c r="BS34" i="8"/>
  <c r="BR34" i="8"/>
  <c r="BL34" i="8"/>
  <c r="BN790" i="8"/>
  <c r="BL790" i="8"/>
  <c r="BP790" i="8"/>
  <c r="BQ790" i="8"/>
  <c r="BO790" i="8"/>
  <c r="BU790" i="8"/>
  <c r="BM790" i="8"/>
  <c r="BR790" i="8"/>
  <c r="BS790" i="8"/>
  <c r="BT790" i="8"/>
  <c r="BL3" i="8"/>
  <c r="BU3" i="8"/>
  <c r="BS3" i="8"/>
  <c r="BP3" i="8"/>
  <c r="BQ3" i="8"/>
  <c r="BM3" i="8"/>
  <c r="BN3" i="8"/>
  <c r="BR3" i="8"/>
  <c r="BO3" i="8"/>
  <c r="BT3" i="8"/>
  <c r="BR572" i="8"/>
  <c r="BQ572" i="8"/>
  <c r="BM572" i="8"/>
  <c r="BT572" i="8"/>
  <c r="BL572" i="8"/>
  <c r="BS572" i="8"/>
  <c r="BP572" i="8"/>
  <c r="BO572" i="8"/>
  <c r="BN572" i="8"/>
  <c r="BU572" i="8"/>
  <c r="BP35" i="8"/>
  <c r="BU35" i="8"/>
  <c r="BO35" i="8"/>
  <c r="BN35" i="8"/>
  <c r="BT35" i="8"/>
  <c r="BS35" i="8"/>
  <c r="BL35" i="8"/>
  <c r="BQ35" i="8"/>
  <c r="BR35" i="8"/>
  <c r="BM35" i="8"/>
  <c r="AH110" i="8"/>
  <c r="BN581" i="8"/>
  <c r="BP581" i="8"/>
  <c r="BU581" i="8"/>
  <c r="BM581" i="8"/>
  <c r="BT581" i="8"/>
  <c r="BL581" i="8"/>
  <c r="BS581" i="8"/>
  <c r="BR581" i="8"/>
  <c r="BQ581" i="8"/>
  <c r="BO581" i="8"/>
  <c r="BL191" i="8"/>
  <c r="BT191" i="8"/>
  <c r="BS191" i="8"/>
  <c r="BR191" i="8"/>
  <c r="BN191" i="8"/>
  <c r="BQ191" i="8"/>
  <c r="BP191" i="8"/>
  <c r="BO191" i="8"/>
  <c r="BU191" i="8"/>
  <c r="BM191" i="8"/>
  <c r="AT85" i="8"/>
  <c r="AH41" i="8"/>
  <c r="BP829" i="8"/>
  <c r="BQ829" i="8"/>
  <c r="BO829" i="8"/>
  <c r="BR829" i="8"/>
  <c r="BU829" i="8"/>
  <c r="BN829" i="8"/>
  <c r="BM829" i="8"/>
  <c r="BT829" i="8"/>
  <c r="BL829" i="8"/>
  <c r="BS829" i="8"/>
  <c r="BN564" i="8"/>
  <c r="BM564" i="8"/>
  <c r="BT564" i="8"/>
  <c r="BR564" i="8"/>
  <c r="BO564" i="8"/>
  <c r="BU564" i="8"/>
  <c r="BL564" i="8"/>
  <c r="BS564" i="8"/>
  <c r="BQ564" i="8"/>
  <c r="BP564" i="8"/>
  <c r="BL427" i="8"/>
  <c r="BS427" i="8"/>
  <c r="BR427" i="8"/>
  <c r="BQ427" i="8"/>
  <c r="BP427" i="8"/>
  <c r="BU427" i="8"/>
  <c r="BO427" i="8"/>
  <c r="BM427" i="8"/>
  <c r="BN427" i="8"/>
  <c r="BT427" i="8"/>
  <c r="AH109" i="8"/>
  <c r="BU22" i="8"/>
  <c r="BN22" i="8"/>
  <c r="BM22" i="8"/>
  <c r="BT22" i="8"/>
  <c r="BQ22" i="8"/>
  <c r="BL22" i="8"/>
  <c r="BS22" i="8"/>
  <c r="BP22" i="8"/>
  <c r="BO22" i="8"/>
  <c r="BR22" i="8"/>
  <c r="BL338" i="8"/>
  <c r="BR338" i="8"/>
  <c r="BQ338" i="8"/>
  <c r="BP338" i="8"/>
  <c r="BN338" i="8"/>
  <c r="BU338" i="8"/>
  <c r="BO338" i="8"/>
  <c r="BT338" i="8"/>
  <c r="BM338" i="8"/>
  <c r="BS338" i="8"/>
  <c r="AH64" i="8"/>
  <c r="BU87" i="8"/>
  <c r="BM87" i="8"/>
  <c r="BQ87" i="8"/>
  <c r="BP87" i="8"/>
  <c r="BO87" i="8"/>
  <c r="BN87" i="8"/>
  <c r="BT87" i="8"/>
  <c r="BL87" i="8"/>
  <c r="BS87" i="8"/>
  <c r="BR87" i="8"/>
  <c r="BS616" i="8"/>
  <c r="BU616" i="8"/>
  <c r="BM616" i="8"/>
  <c r="BT616" i="8"/>
  <c r="BL616" i="8"/>
  <c r="BR616" i="8"/>
  <c r="BQ616" i="8"/>
  <c r="BP616" i="8"/>
  <c r="BN616" i="8"/>
  <c r="BO616" i="8"/>
  <c r="BM605" i="8"/>
  <c r="BP605" i="8"/>
  <c r="BR605" i="8"/>
  <c r="BN605" i="8"/>
  <c r="BU605" i="8"/>
  <c r="BT605" i="8"/>
  <c r="BL605" i="8"/>
  <c r="BS605" i="8"/>
  <c r="BQ605" i="8"/>
  <c r="BO605" i="8"/>
  <c r="AH70" i="8"/>
  <c r="AH17" i="8"/>
  <c r="BS636" i="8"/>
  <c r="BR636" i="8"/>
  <c r="BQ636" i="8"/>
  <c r="BP636" i="8"/>
  <c r="BO636" i="8"/>
  <c r="BN636" i="8"/>
  <c r="BT636" i="8"/>
  <c r="BU636" i="8"/>
  <c r="BL636" i="8"/>
  <c r="BM636" i="8"/>
  <c r="AH46" i="8"/>
  <c r="BS618" i="8"/>
  <c r="BU618" i="8"/>
  <c r="BT618" i="8"/>
  <c r="BM618" i="8"/>
  <c r="BL618" i="8"/>
  <c r="BR618" i="8"/>
  <c r="BQ618" i="8"/>
  <c r="BP618" i="8"/>
  <c r="BO618" i="8"/>
  <c r="BN618" i="8"/>
  <c r="BS340" i="8"/>
  <c r="BM340" i="8"/>
  <c r="BT340" i="8"/>
  <c r="BL340" i="8"/>
  <c r="BR340" i="8"/>
  <c r="BQ340" i="8"/>
  <c r="BO340" i="8"/>
  <c r="BP340" i="8"/>
  <c r="BN340" i="8"/>
  <c r="BU340" i="8"/>
  <c r="AH96" i="8"/>
  <c r="AH194" i="8"/>
  <c r="BQ603" i="8"/>
  <c r="BS603" i="8"/>
  <c r="BR603" i="8"/>
  <c r="BP603" i="8"/>
  <c r="BO603" i="8"/>
  <c r="BN603" i="8"/>
  <c r="BU603" i="8"/>
  <c r="BM603" i="8"/>
  <c r="BT603" i="8"/>
  <c r="BL603" i="8"/>
  <c r="AT253" i="8"/>
  <c r="AH52" i="8"/>
  <c r="AT158" i="8"/>
  <c r="BR139" i="8"/>
  <c r="BN139" i="8"/>
  <c r="BO139" i="8"/>
  <c r="BU139" i="8"/>
  <c r="BM139" i="8"/>
  <c r="BS139" i="8"/>
  <c r="BT139" i="8"/>
  <c r="BL139" i="8"/>
  <c r="BQ139" i="8"/>
  <c r="BP139" i="8"/>
  <c r="BS367" i="8"/>
  <c r="BL367" i="8"/>
  <c r="BT367" i="8"/>
  <c r="BQ367" i="8"/>
  <c r="BO367" i="8"/>
  <c r="BM367" i="8"/>
  <c r="BR367" i="8"/>
  <c r="BU367" i="8"/>
  <c r="BN367" i="8"/>
  <c r="BP367" i="8"/>
  <c r="AT114" i="8"/>
  <c r="BR138" i="8"/>
  <c r="BN138" i="8"/>
  <c r="BO138" i="8"/>
  <c r="BS138" i="8"/>
  <c r="BQ138" i="8"/>
  <c r="BU138" i="8"/>
  <c r="BP138" i="8"/>
  <c r="BM138" i="8"/>
  <c r="BT138" i="8"/>
  <c r="BL138" i="8"/>
  <c r="AH149" i="8"/>
  <c r="BS115" i="8"/>
  <c r="BR115" i="8"/>
  <c r="BQ115" i="8"/>
  <c r="BO115" i="8"/>
  <c r="BP115" i="8"/>
  <c r="BN115" i="8"/>
  <c r="BM115" i="8"/>
  <c r="BL115" i="8"/>
  <c r="BU115" i="8"/>
  <c r="BT115" i="8"/>
  <c r="AT145" i="8"/>
  <c r="BN99" i="8"/>
  <c r="BU99" i="8"/>
  <c r="BR99" i="8"/>
  <c r="BT99" i="8"/>
  <c r="BL99" i="8"/>
  <c r="BP99" i="8"/>
  <c r="BS99" i="8"/>
  <c r="BO99" i="8"/>
  <c r="BM99" i="8"/>
  <c r="BQ99" i="8"/>
  <c r="AT160" i="8"/>
  <c r="AT120" i="8"/>
  <c r="AH119" i="8"/>
  <c r="BT332" i="8"/>
  <c r="BL332" i="8"/>
  <c r="BR332" i="8"/>
  <c r="BS332" i="8"/>
  <c r="BN332" i="8"/>
  <c r="BO332" i="8"/>
  <c r="BM332" i="8"/>
  <c r="BQ332" i="8"/>
  <c r="BP332" i="8"/>
  <c r="BU332" i="8"/>
  <c r="AT101" i="8"/>
  <c r="AH134" i="8"/>
  <c r="AT5" i="8"/>
  <c r="BS129" i="8"/>
  <c r="BU129" i="8"/>
  <c r="BM129" i="8"/>
  <c r="BT129" i="8"/>
  <c r="BQ129" i="8"/>
  <c r="BR129" i="8"/>
  <c r="BO129" i="8"/>
  <c r="BL129" i="8"/>
  <c r="BP129" i="8"/>
  <c r="BN129" i="8"/>
  <c r="BO166" i="8"/>
  <c r="BU166" i="8"/>
  <c r="BQ166" i="8"/>
  <c r="BM166" i="8"/>
  <c r="BN166" i="8"/>
  <c r="BT166" i="8"/>
  <c r="BL166" i="8"/>
  <c r="BS166" i="8"/>
  <c r="BP166" i="8"/>
  <c r="BR166" i="8"/>
  <c r="BR301" i="8"/>
  <c r="BO301" i="8"/>
  <c r="BS301" i="8"/>
  <c r="BM301" i="8"/>
  <c r="BU301" i="8"/>
  <c r="BL301" i="8"/>
  <c r="BQ301" i="8"/>
  <c r="BN301" i="8"/>
  <c r="BP301" i="8"/>
  <c r="BT301" i="8"/>
  <c r="BR719" i="8"/>
  <c r="BS719" i="8"/>
  <c r="BQ719" i="8"/>
  <c r="BP719" i="8"/>
  <c r="BN719" i="8"/>
  <c r="BO719" i="8"/>
  <c r="BU719" i="8"/>
  <c r="BM719" i="8"/>
  <c r="BT719" i="8"/>
  <c r="BL719" i="8"/>
  <c r="AT159" i="8"/>
  <c r="AT272" i="8"/>
  <c r="BQ176" i="8"/>
  <c r="BP176" i="8"/>
  <c r="BU176" i="8"/>
  <c r="BO176" i="8"/>
  <c r="BM176" i="8"/>
  <c r="BR176" i="8"/>
  <c r="BL176" i="8"/>
  <c r="BT176" i="8"/>
  <c r="BS176" i="8"/>
  <c r="BN176" i="8"/>
  <c r="AH176" i="8"/>
  <c r="AT271" i="8"/>
  <c r="BS371" i="8"/>
  <c r="BL371" i="8"/>
  <c r="BT371" i="8"/>
  <c r="BR371" i="8"/>
  <c r="BM371" i="8"/>
  <c r="BN371" i="8"/>
  <c r="BP371" i="8"/>
  <c r="BU371" i="8"/>
  <c r="BQ371" i="8"/>
  <c r="BO371" i="8"/>
  <c r="AH167" i="8"/>
  <c r="BR266" i="8"/>
  <c r="BP266" i="8"/>
  <c r="BO266" i="8"/>
  <c r="BN266" i="8"/>
  <c r="BU266" i="8"/>
  <c r="BT266" i="8"/>
  <c r="BS266" i="8"/>
  <c r="BM266" i="8"/>
  <c r="BL266" i="8"/>
  <c r="BQ266" i="8"/>
  <c r="BR509" i="8"/>
  <c r="BS509" i="8"/>
  <c r="BN509" i="8"/>
  <c r="BL509" i="8"/>
  <c r="BT509" i="8"/>
  <c r="BM509" i="8"/>
  <c r="BU509" i="8"/>
  <c r="BQ509" i="8"/>
  <c r="BP509" i="8"/>
  <c r="BO509" i="8"/>
  <c r="BO346" i="8"/>
  <c r="BN346" i="8"/>
  <c r="BP346" i="8"/>
  <c r="BR346" i="8"/>
  <c r="BM346" i="8"/>
  <c r="BS346" i="8"/>
  <c r="BU346" i="8"/>
  <c r="BQ346" i="8"/>
  <c r="BL346" i="8"/>
  <c r="BT346" i="8"/>
  <c r="BS584" i="8"/>
  <c r="BP584" i="8"/>
  <c r="BU584" i="8"/>
  <c r="BM584" i="8"/>
  <c r="BT584" i="8"/>
  <c r="BL584" i="8"/>
  <c r="BQ584" i="8"/>
  <c r="BR584" i="8"/>
  <c r="BO584" i="8"/>
  <c r="BN584" i="8"/>
  <c r="BU350" i="8"/>
  <c r="BO350" i="8"/>
  <c r="BN350" i="8"/>
  <c r="BM350" i="8"/>
  <c r="BQ350" i="8"/>
  <c r="BS350" i="8"/>
  <c r="BP350" i="8"/>
  <c r="BL350" i="8"/>
  <c r="BR350" i="8"/>
  <c r="BT350" i="8"/>
  <c r="BR519" i="8"/>
  <c r="BQ519" i="8"/>
  <c r="BS519" i="8"/>
  <c r="BL519" i="8"/>
  <c r="BM519" i="8"/>
  <c r="BN519" i="8"/>
  <c r="BO519" i="8"/>
  <c r="BT519" i="8"/>
  <c r="BU519" i="8"/>
  <c r="BP519" i="8"/>
  <c r="BN531" i="8"/>
  <c r="BO531" i="8"/>
  <c r="BR531" i="8"/>
  <c r="BQ531" i="8"/>
  <c r="BS531" i="8"/>
  <c r="BL531" i="8"/>
  <c r="BT531" i="8"/>
  <c r="BM531" i="8"/>
  <c r="BP531" i="8"/>
  <c r="BU531" i="8"/>
  <c r="BS359" i="8"/>
  <c r="BL359" i="8"/>
  <c r="BM359" i="8"/>
  <c r="BU359" i="8"/>
  <c r="BQ359" i="8"/>
  <c r="BT359" i="8"/>
  <c r="BO359" i="8"/>
  <c r="BR359" i="8"/>
  <c r="BN359" i="8"/>
  <c r="BP359" i="8"/>
  <c r="BR586" i="8"/>
  <c r="BS586" i="8"/>
  <c r="BU586" i="8"/>
  <c r="BN586" i="8"/>
  <c r="BO586" i="8"/>
  <c r="BM586" i="8"/>
  <c r="BT586" i="8"/>
  <c r="BL586" i="8"/>
  <c r="BQ586" i="8"/>
  <c r="BP586" i="8"/>
  <c r="BN722" i="8"/>
  <c r="BU722" i="8"/>
  <c r="BM722" i="8"/>
  <c r="BT722" i="8"/>
  <c r="BL722" i="8"/>
  <c r="BR722" i="8"/>
  <c r="BQ722" i="8"/>
  <c r="BS722" i="8"/>
  <c r="BP722" i="8"/>
  <c r="BO722" i="8"/>
  <c r="BN710" i="8"/>
  <c r="BR710" i="8"/>
  <c r="BM710" i="8"/>
  <c r="BT710" i="8"/>
  <c r="BL710" i="8"/>
  <c r="BS710" i="8"/>
  <c r="BQ710" i="8"/>
  <c r="BP710" i="8"/>
  <c r="BO710" i="8"/>
  <c r="BU710" i="8"/>
  <c r="BR668" i="8"/>
  <c r="BN668" i="8"/>
  <c r="BL668" i="8"/>
  <c r="BS668" i="8"/>
  <c r="BQ668" i="8"/>
  <c r="BO668" i="8"/>
  <c r="BP668" i="8"/>
  <c r="BU668" i="8"/>
  <c r="BM668" i="8"/>
  <c r="BT668" i="8"/>
  <c r="BO730" i="8"/>
  <c r="BN730" i="8"/>
  <c r="BU730" i="8"/>
  <c r="BM730" i="8"/>
  <c r="BT730" i="8"/>
  <c r="BL730" i="8"/>
  <c r="BQ730" i="8"/>
  <c r="BS730" i="8"/>
  <c r="BR730" i="8"/>
  <c r="BP730" i="8"/>
  <c r="BP824" i="8"/>
  <c r="BO824" i="8"/>
  <c r="BN824" i="8"/>
  <c r="BU824" i="8"/>
  <c r="BT824" i="8"/>
  <c r="BM824" i="8"/>
  <c r="BQ824" i="8"/>
  <c r="BR824" i="8"/>
  <c r="BS824" i="8"/>
  <c r="BL824" i="8"/>
  <c r="BL715" i="8"/>
  <c r="BN715" i="8"/>
  <c r="BS715" i="8"/>
  <c r="BQ715" i="8"/>
  <c r="BP715" i="8"/>
  <c r="BO715" i="8"/>
  <c r="BU715" i="8"/>
  <c r="BM715" i="8"/>
  <c r="BR715" i="8"/>
  <c r="BT715" i="8"/>
  <c r="BO759" i="8"/>
  <c r="BM759" i="8"/>
  <c r="BL759" i="8"/>
  <c r="BQ759" i="8"/>
  <c r="BU759" i="8"/>
  <c r="BN759" i="8"/>
  <c r="BT759" i="8"/>
  <c r="BR759" i="8"/>
  <c r="BP759" i="8"/>
  <c r="BS759" i="8"/>
  <c r="AO768" i="8"/>
  <c r="BH768" i="8" s="1"/>
  <c r="BU657" i="8"/>
  <c r="BM657" i="8"/>
  <c r="BT657" i="8"/>
  <c r="BS657" i="8"/>
  <c r="BP657" i="8"/>
  <c r="BR657" i="8"/>
  <c r="BO657" i="8"/>
  <c r="BQ657" i="8"/>
  <c r="BN657" i="8"/>
  <c r="BL657" i="8"/>
  <c r="BN655" i="8"/>
  <c r="BM655" i="8"/>
  <c r="BL655" i="8"/>
  <c r="BS655" i="8"/>
  <c r="BP655" i="8"/>
  <c r="BO655" i="8"/>
  <c r="BU655" i="8"/>
  <c r="BR655" i="8"/>
  <c r="BQ655" i="8"/>
  <c r="BT655" i="8"/>
  <c r="BM580" i="8"/>
  <c r="BQ580" i="8"/>
  <c r="BO580" i="8"/>
  <c r="BN580" i="8"/>
  <c r="BU580" i="8"/>
  <c r="BT580" i="8"/>
  <c r="BR580" i="8"/>
  <c r="BS580" i="8"/>
  <c r="BL580" i="8"/>
  <c r="BP580" i="8"/>
  <c r="BO476" i="8"/>
  <c r="BR476" i="8"/>
  <c r="BN476" i="8"/>
  <c r="BQ476" i="8"/>
  <c r="BU476" i="8"/>
  <c r="BM476" i="8"/>
  <c r="BT476" i="8"/>
  <c r="BL476" i="8"/>
  <c r="BP476" i="8"/>
  <c r="BS476" i="8"/>
  <c r="BO448" i="8"/>
  <c r="BQ448" i="8"/>
  <c r="BN448" i="8"/>
  <c r="BU448" i="8"/>
  <c r="BT448" i="8"/>
  <c r="BL448" i="8"/>
  <c r="BP448" i="8"/>
  <c r="BM448" i="8"/>
  <c r="BS448" i="8"/>
  <c r="BR448" i="8"/>
  <c r="BU498" i="8"/>
  <c r="BP498" i="8"/>
  <c r="BR498" i="8"/>
  <c r="BL498" i="8"/>
  <c r="BQ498" i="8"/>
  <c r="BT498" i="8"/>
  <c r="BM498" i="8"/>
  <c r="BO498" i="8"/>
  <c r="BN498" i="8"/>
  <c r="BS498" i="8"/>
  <c r="BR489" i="8"/>
  <c r="BM489" i="8"/>
  <c r="BL489" i="8"/>
  <c r="BT489" i="8"/>
  <c r="BO489" i="8"/>
  <c r="BQ489" i="8"/>
  <c r="BN489" i="8"/>
  <c r="BS489" i="8"/>
  <c r="BU489" i="8"/>
  <c r="BP489" i="8"/>
  <c r="AT543" i="8"/>
  <c r="BL484" i="8"/>
  <c r="BU484" i="8"/>
  <c r="BT484" i="8"/>
  <c r="BS484" i="8"/>
  <c r="BR484" i="8"/>
  <c r="BQ484" i="8"/>
  <c r="BO484" i="8"/>
  <c r="BM484" i="8"/>
  <c r="BN484" i="8"/>
  <c r="BP484" i="8"/>
  <c r="AT502" i="8"/>
  <c r="BR459" i="8"/>
  <c r="BQ459" i="8"/>
  <c r="BP459" i="8"/>
  <c r="BN459" i="8"/>
  <c r="BL459" i="8"/>
  <c r="BM459" i="8"/>
  <c r="BS459" i="8"/>
  <c r="BT459" i="8"/>
  <c r="BO459" i="8"/>
  <c r="BU459" i="8"/>
  <c r="BM418" i="8"/>
  <c r="BT418" i="8"/>
  <c r="BL418" i="8"/>
  <c r="BP418" i="8"/>
  <c r="BS418" i="8"/>
  <c r="BN418" i="8"/>
  <c r="BU418" i="8"/>
  <c r="BQ418" i="8"/>
  <c r="BO418" i="8"/>
  <c r="BR418" i="8"/>
  <c r="BL400" i="8"/>
  <c r="BQ400" i="8"/>
  <c r="BP400" i="8"/>
  <c r="BS400" i="8"/>
  <c r="BO400" i="8"/>
  <c r="BR400" i="8"/>
  <c r="BN400" i="8"/>
  <c r="BM400" i="8"/>
  <c r="BT400" i="8"/>
  <c r="BU400" i="8"/>
  <c r="BR445" i="8"/>
  <c r="BQ445" i="8"/>
  <c r="BP445" i="8"/>
  <c r="BO445" i="8"/>
  <c r="BN445" i="8"/>
  <c r="BT445" i="8"/>
  <c r="BS445" i="8"/>
  <c r="BL445" i="8"/>
  <c r="BM445" i="8"/>
  <c r="BU445" i="8"/>
  <c r="BP393" i="8"/>
  <c r="BO393" i="8"/>
  <c r="BN393" i="8"/>
  <c r="BU393" i="8"/>
  <c r="BT393" i="8"/>
  <c r="BQ393" i="8"/>
  <c r="BS393" i="8"/>
  <c r="BR393" i="8"/>
  <c r="BL393" i="8"/>
  <c r="BM393" i="8"/>
  <c r="BL433" i="8"/>
  <c r="BO433" i="8"/>
  <c r="BM433" i="8"/>
  <c r="BP433" i="8"/>
  <c r="BN433" i="8"/>
  <c r="BU433" i="8"/>
  <c r="BR433" i="8"/>
  <c r="BT433" i="8"/>
  <c r="BQ433" i="8"/>
  <c r="BS433" i="8"/>
  <c r="BO463" i="8"/>
  <c r="BN463" i="8"/>
  <c r="BT463" i="8"/>
  <c r="BU463" i="8"/>
  <c r="BS463" i="8"/>
  <c r="BR463" i="8"/>
  <c r="BQ463" i="8"/>
  <c r="BL463" i="8"/>
  <c r="BP463" i="8"/>
  <c r="BM463" i="8"/>
  <c r="BN389" i="8"/>
  <c r="BM389" i="8"/>
  <c r="BT389" i="8"/>
  <c r="BU389" i="8"/>
  <c r="BS389" i="8"/>
  <c r="BR389" i="8"/>
  <c r="BL389" i="8"/>
  <c r="BP389" i="8"/>
  <c r="BO389" i="8"/>
  <c r="BQ389" i="8"/>
  <c r="BL316" i="8"/>
  <c r="BS316" i="8"/>
  <c r="BR316" i="8"/>
  <c r="BQ316" i="8"/>
  <c r="BP316" i="8"/>
  <c r="BU316" i="8"/>
  <c r="BN316" i="8"/>
  <c r="BT316" i="8"/>
  <c r="BO316" i="8"/>
  <c r="BM316" i="8"/>
  <c r="AH207" i="8"/>
  <c r="AT273" i="8"/>
  <c r="BL314" i="8"/>
  <c r="BS314" i="8"/>
  <c r="BR314" i="8"/>
  <c r="BP314" i="8"/>
  <c r="BM314" i="8"/>
  <c r="BO314" i="8"/>
  <c r="BU314" i="8"/>
  <c r="BN314" i="8"/>
  <c r="BT314" i="8"/>
  <c r="BQ314" i="8"/>
  <c r="AT259" i="8"/>
  <c r="BR226" i="8"/>
  <c r="BQ226" i="8"/>
  <c r="BO226" i="8"/>
  <c r="BS226" i="8"/>
  <c r="BU226" i="8"/>
  <c r="BM226" i="8"/>
  <c r="BT226" i="8"/>
  <c r="BN226" i="8"/>
  <c r="BL226" i="8"/>
  <c r="BP226" i="8"/>
  <c r="AH171" i="8"/>
  <c r="BR207" i="8"/>
  <c r="BQ207" i="8"/>
  <c r="BT207" i="8"/>
  <c r="BP207" i="8"/>
  <c r="BL207" i="8"/>
  <c r="BO207" i="8"/>
  <c r="BU207" i="8"/>
  <c r="BN207" i="8"/>
  <c r="BM207" i="8"/>
  <c r="BS207" i="8"/>
  <c r="BR47" i="8"/>
  <c r="BU47" i="8"/>
  <c r="BQ47" i="8"/>
  <c r="BM47" i="8"/>
  <c r="BP47" i="8"/>
  <c r="BO47" i="8"/>
  <c r="BN47" i="8"/>
  <c r="BL47" i="8"/>
  <c r="BT47" i="8"/>
  <c r="BS47" i="8"/>
  <c r="AH20" i="8"/>
  <c r="BP25" i="8"/>
  <c r="BM25" i="8"/>
  <c r="BO25" i="8"/>
  <c r="BN25" i="8"/>
  <c r="BT25" i="8"/>
  <c r="BL25" i="8"/>
  <c r="BQ25" i="8"/>
  <c r="BS25" i="8"/>
  <c r="BR25" i="8"/>
  <c r="BU25" i="8"/>
  <c r="BR82" i="8"/>
  <c r="BP82" i="8"/>
  <c r="BU82" i="8"/>
  <c r="BQ82" i="8"/>
  <c r="BL82" i="8"/>
  <c r="BN82" i="8"/>
  <c r="BM82" i="8"/>
  <c r="BS82" i="8"/>
  <c r="BO82" i="8"/>
  <c r="BT82" i="8"/>
  <c r="AH36" i="8"/>
  <c r="BT59" i="8"/>
  <c r="BS59" i="8"/>
  <c r="BQ59" i="8"/>
  <c r="BM59" i="8"/>
  <c r="BP59" i="8"/>
  <c r="BR59" i="8"/>
  <c r="BO59" i="8"/>
  <c r="BN59" i="8"/>
  <c r="BL59" i="8"/>
  <c r="BU59" i="8"/>
  <c r="AH55" i="8"/>
  <c r="AH32" i="8"/>
  <c r="AT29" i="8"/>
  <c r="AT12" i="8"/>
  <c r="BN61" i="8"/>
  <c r="BT61" i="8"/>
  <c r="BL61" i="8"/>
  <c r="BR61" i="8"/>
  <c r="BU61" i="8"/>
  <c r="BQ61" i="8"/>
  <c r="BM61" i="8"/>
  <c r="BP61" i="8"/>
  <c r="BO61" i="8"/>
  <c r="BS61" i="8"/>
  <c r="BS245" i="8"/>
  <c r="BR245" i="8"/>
  <c r="BL245" i="8"/>
  <c r="BQ245" i="8"/>
  <c r="BP245" i="8"/>
  <c r="BO245" i="8"/>
  <c r="BN245" i="8"/>
  <c r="BU245" i="8"/>
  <c r="BM245" i="8"/>
  <c r="BT245" i="8"/>
  <c r="BT11" i="8"/>
  <c r="BL11" i="8"/>
  <c r="BM11" i="8"/>
  <c r="BU11" i="8"/>
  <c r="BS11" i="8"/>
  <c r="BP11" i="8"/>
  <c r="BR11" i="8"/>
  <c r="BQ11" i="8"/>
  <c r="BO11" i="8"/>
  <c r="BN11" i="8"/>
  <c r="AH60" i="8"/>
  <c r="AH35" i="8"/>
  <c r="BO73" i="8"/>
  <c r="BT73" i="8"/>
  <c r="BS73" i="8"/>
  <c r="BR73" i="8"/>
  <c r="BU73" i="8"/>
  <c r="BN73" i="8"/>
  <c r="BL73" i="8"/>
  <c r="BM73" i="8"/>
  <c r="BQ73" i="8"/>
  <c r="BP73" i="8"/>
  <c r="AH11" i="8"/>
  <c r="AH814" i="8"/>
  <c r="AH795" i="8"/>
  <c r="BM411" i="8"/>
  <c r="BN411" i="8"/>
  <c r="BT411" i="8"/>
  <c r="BL411" i="8"/>
  <c r="BS411" i="8"/>
  <c r="BR411" i="8"/>
  <c r="BQ411" i="8"/>
  <c r="BP411" i="8"/>
  <c r="BU411" i="8"/>
  <c r="BO411" i="8"/>
  <c r="BS469" i="8"/>
  <c r="BP469" i="8"/>
  <c r="BO469" i="8"/>
  <c r="BN469" i="8"/>
  <c r="BR469" i="8"/>
  <c r="BQ469" i="8"/>
  <c r="BU469" i="8"/>
  <c r="BM469" i="8"/>
  <c r="BT469" i="8"/>
  <c r="BL469" i="8"/>
  <c r="BS232" i="8"/>
  <c r="BO232" i="8"/>
  <c r="BN232" i="8"/>
  <c r="BP232" i="8"/>
  <c r="BM232" i="8"/>
  <c r="BT232" i="8"/>
  <c r="BL232" i="8"/>
  <c r="BQ232" i="8"/>
  <c r="BU232" i="8"/>
  <c r="BR232" i="8"/>
  <c r="AH7" i="8"/>
  <c r="AH15" i="8"/>
  <c r="BQ660" i="8"/>
  <c r="BP660" i="8"/>
  <c r="BO660" i="8"/>
  <c r="BN660" i="8"/>
  <c r="BL660" i="8"/>
  <c r="BM660" i="8"/>
  <c r="BS660" i="8"/>
  <c r="BT660" i="8"/>
  <c r="BR660" i="8"/>
  <c r="BU660" i="8"/>
  <c r="BS405" i="8"/>
  <c r="BR405" i="8"/>
  <c r="BQ405" i="8"/>
  <c r="BP405" i="8"/>
  <c r="BU405" i="8"/>
  <c r="BO405" i="8"/>
  <c r="BM405" i="8"/>
  <c r="BN405" i="8"/>
  <c r="BT405" i="8"/>
  <c r="BL405" i="8"/>
  <c r="BO471" i="8"/>
  <c r="BN471" i="8"/>
  <c r="BT471" i="8"/>
  <c r="BU471" i="8"/>
  <c r="BS471" i="8"/>
  <c r="BR471" i="8"/>
  <c r="BQ471" i="8"/>
  <c r="BM471" i="8"/>
  <c r="BL471" i="8"/>
  <c r="BP471" i="8"/>
  <c r="AH196" i="8"/>
  <c r="AH72" i="8"/>
  <c r="BP823" i="8"/>
  <c r="BN823" i="8"/>
  <c r="BQ823" i="8"/>
  <c r="BO823" i="8"/>
  <c r="BU823" i="8"/>
  <c r="BL823" i="8"/>
  <c r="BM823" i="8"/>
  <c r="BR823" i="8"/>
  <c r="BT823" i="8"/>
  <c r="BS823" i="8"/>
  <c r="BQ805" i="8"/>
  <c r="BS805" i="8"/>
  <c r="BU805" i="8"/>
  <c r="BT805" i="8"/>
  <c r="BR805" i="8"/>
  <c r="BO805" i="8"/>
  <c r="BL805" i="8"/>
  <c r="BP805" i="8"/>
  <c r="BN805" i="8"/>
  <c r="BM805" i="8"/>
  <c r="BN574" i="8"/>
  <c r="BP574" i="8"/>
  <c r="BU574" i="8"/>
  <c r="BO574" i="8"/>
  <c r="BM574" i="8"/>
  <c r="BS574" i="8"/>
  <c r="BT574" i="8"/>
  <c r="BL574" i="8"/>
  <c r="BR574" i="8"/>
  <c r="BQ574" i="8"/>
  <c r="BS337" i="8"/>
  <c r="BO337" i="8"/>
  <c r="BR337" i="8"/>
  <c r="BQ337" i="8"/>
  <c r="BP337" i="8"/>
  <c r="BN337" i="8"/>
  <c r="BU337" i="8"/>
  <c r="BM337" i="8"/>
  <c r="BT337" i="8"/>
  <c r="BL337" i="8"/>
  <c r="AH200" i="8"/>
  <c r="BO360" i="8"/>
  <c r="BQ360" i="8"/>
  <c r="BN360" i="8"/>
  <c r="BP360" i="8"/>
  <c r="BU360" i="8"/>
  <c r="BM360" i="8"/>
  <c r="BT360" i="8"/>
  <c r="BL360" i="8"/>
  <c r="BS360" i="8"/>
  <c r="BR360" i="8"/>
  <c r="BO804" i="8"/>
  <c r="BN804" i="8"/>
  <c r="BT804" i="8"/>
  <c r="BL804" i="8"/>
  <c r="BQ804" i="8"/>
  <c r="BM804" i="8"/>
  <c r="BU804" i="8"/>
  <c r="BS804" i="8"/>
  <c r="BP804" i="8"/>
  <c r="BR804" i="8"/>
  <c r="BR634" i="8"/>
  <c r="BQ634" i="8"/>
  <c r="BP634" i="8"/>
  <c r="BO634" i="8"/>
  <c r="BN634" i="8"/>
  <c r="BT634" i="8"/>
  <c r="BU634" i="8"/>
  <c r="BL634" i="8"/>
  <c r="BM634" i="8"/>
  <c r="BS634" i="8"/>
  <c r="BL376" i="8"/>
  <c r="BU376" i="8"/>
  <c r="BS376" i="8"/>
  <c r="BR376" i="8"/>
  <c r="BQ376" i="8"/>
  <c r="BO376" i="8"/>
  <c r="BP376" i="8"/>
  <c r="BT376" i="8"/>
  <c r="BN376" i="8"/>
  <c r="BM376" i="8"/>
  <c r="BT417" i="8"/>
  <c r="BL417" i="8"/>
  <c r="BS417" i="8"/>
  <c r="BR417" i="8"/>
  <c r="BQ417" i="8"/>
  <c r="BP417" i="8"/>
  <c r="BU417" i="8"/>
  <c r="BO417" i="8"/>
  <c r="BM417" i="8"/>
  <c r="BN417" i="8"/>
  <c r="AH763" i="8"/>
  <c r="BP789" i="8"/>
  <c r="BM789" i="8"/>
  <c r="BU789" i="8"/>
  <c r="BO789" i="8"/>
  <c r="BN789" i="8"/>
  <c r="BT789" i="8"/>
  <c r="BR789" i="8"/>
  <c r="BL789" i="8"/>
  <c r="BS789" i="8"/>
  <c r="BQ789" i="8"/>
  <c r="BR664" i="8"/>
  <c r="BQ664" i="8"/>
  <c r="BT664" i="8"/>
  <c r="BP664" i="8"/>
  <c r="BL664" i="8"/>
  <c r="BO664" i="8"/>
  <c r="BM664" i="8"/>
  <c r="BU664" i="8"/>
  <c r="BN664" i="8"/>
  <c r="BS664" i="8"/>
  <c r="BS612" i="8"/>
  <c r="BU612" i="8"/>
  <c r="BM612" i="8"/>
  <c r="BT612" i="8"/>
  <c r="BL612" i="8"/>
  <c r="BR612" i="8"/>
  <c r="BQ612" i="8"/>
  <c r="BP612" i="8"/>
  <c r="BO612" i="8"/>
  <c r="BN612" i="8"/>
  <c r="AT277" i="8"/>
  <c r="BQ52" i="8"/>
  <c r="BT52" i="8"/>
  <c r="BL52" i="8"/>
  <c r="BS52" i="8"/>
  <c r="BR52" i="8"/>
  <c r="BP52" i="8"/>
  <c r="BO52" i="8"/>
  <c r="BN52" i="8"/>
  <c r="BU52" i="8"/>
  <c r="BM52" i="8"/>
  <c r="BS665" i="8"/>
  <c r="BP665" i="8"/>
  <c r="BR665" i="8"/>
  <c r="BO665" i="8"/>
  <c r="BQ665" i="8"/>
  <c r="BN665" i="8"/>
  <c r="BU665" i="8"/>
  <c r="BL665" i="8"/>
  <c r="BT665" i="8"/>
  <c r="BM665" i="8"/>
  <c r="BS614" i="8"/>
  <c r="BO614" i="8"/>
  <c r="BT614" i="8"/>
  <c r="BL614" i="8"/>
  <c r="BR614" i="8"/>
  <c r="BQ614" i="8"/>
  <c r="BP614" i="8"/>
  <c r="BN614" i="8"/>
  <c r="BU614" i="8"/>
  <c r="BM614" i="8"/>
  <c r="BS333" i="8"/>
  <c r="BO333" i="8"/>
  <c r="BT333" i="8"/>
  <c r="BP333" i="8"/>
  <c r="BQ333" i="8"/>
  <c r="BN333" i="8"/>
  <c r="BU333" i="8"/>
  <c r="BM333" i="8"/>
  <c r="BL333" i="8"/>
  <c r="BR333" i="8"/>
  <c r="AH206" i="8"/>
  <c r="AH80" i="8"/>
  <c r="AH108" i="8"/>
  <c r="BS113" i="8"/>
  <c r="BR113" i="8"/>
  <c r="BN113" i="8"/>
  <c r="BU113" i="8"/>
  <c r="BM113" i="8"/>
  <c r="BT113" i="8"/>
  <c r="BL113" i="8"/>
  <c r="BO113" i="8"/>
  <c r="BP113" i="8"/>
  <c r="BQ113" i="8"/>
  <c r="AH146" i="8"/>
  <c r="BR692" i="8"/>
  <c r="BN692" i="8"/>
  <c r="BT692" i="8"/>
  <c r="BL692" i="8"/>
  <c r="BS692" i="8"/>
  <c r="BQ692" i="8"/>
  <c r="BP692" i="8"/>
  <c r="BO692" i="8"/>
  <c r="BU692" i="8"/>
  <c r="BM692" i="8"/>
  <c r="AH116" i="8"/>
  <c r="BR142" i="8"/>
  <c r="BO142" i="8"/>
  <c r="BM142" i="8"/>
  <c r="BT142" i="8"/>
  <c r="BL142" i="8"/>
  <c r="BN142" i="8"/>
  <c r="BS142" i="8"/>
  <c r="BQ142" i="8"/>
  <c r="BP142" i="8"/>
  <c r="BU142" i="8"/>
  <c r="AT257" i="8"/>
  <c r="AH117" i="8"/>
  <c r="BP151" i="8"/>
  <c r="BN151" i="8"/>
  <c r="BO151" i="8"/>
  <c r="BU151" i="8"/>
  <c r="BM151" i="8"/>
  <c r="BT151" i="8"/>
  <c r="BL151" i="8"/>
  <c r="BQ151" i="8"/>
  <c r="BR151" i="8"/>
  <c r="BS151" i="8"/>
  <c r="AH103" i="8"/>
  <c r="AH170" i="8"/>
  <c r="BS126" i="8"/>
  <c r="BR126" i="8"/>
  <c r="BM126" i="8"/>
  <c r="BT126" i="8"/>
  <c r="BL126" i="8"/>
  <c r="BN126" i="8"/>
  <c r="BO126" i="8"/>
  <c r="BQ126" i="8"/>
  <c r="BP126" i="8"/>
  <c r="BU126" i="8"/>
  <c r="AT544" i="8"/>
  <c r="AH112" i="8"/>
  <c r="AH156" i="8"/>
  <c r="AT309" i="8"/>
  <c r="AT7" i="8"/>
  <c r="AT131" i="8"/>
  <c r="BN173" i="8"/>
  <c r="BO173" i="8"/>
  <c r="BL173" i="8"/>
  <c r="BQ173" i="8"/>
  <c r="BP173" i="8"/>
  <c r="BT173" i="8"/>
  <c r="BU173" i="8"/>
  <c r="BS173" i="8"/>
  <c r="BR173" i="8"/>
  <c r="BM173" i="8"/>
  <c r="BN246" i="8"/>
  <c r="BO246" i="8"/>
  <c r="BP246" i="8"/>
  <c r="BQ246" i="8"/>
  <c r="BL246" i="8"/>
  <c r="BM246" i="8"/>
  <c r="BT246" i="8"/>
  <c r="BU246" i="8"/>
  <c r="BR246" i="8"/>
  <c r="BS246" i="8"/>
  <c r="BS369" i="8"/>
  <c r="BU369" i="8"/>
  <c r="BN369" i="8"/>
  <c r="BP369" i="8"/>
  <c r="BL369" i="8"/>
  <c r="BQ369" i="8"/>
  <c r="BT369" i="8"/>
  <c r="BO369" i="8"/>
  <c r="BR369" i="8"/>
  <c r="BM369" i="8"/>
  <c r="AH160" i="8"/>
  <c r="AH813" i="8"/>
  <c r="AH191" i="8"/>
  <c r="AH186" i="8"/>
  <c r="AT274" i="8"/>
  <c r="BP174" i="8"/>
  <c r="BQ174" i="8"/>
  <c r="BO174" i="8"/>
  <c r="BN174" i="8"/>
  <c r="BU174" i="8"/>
  <c r="BM174" i="8"/>
  <c r="BT174" i="8"/>
  <c r="BL174" i="8"/>
  <c r="BS174" i="8"/>
  <c r="BR174" i="8"/>
  <c r="BO348" i="8"/>
  <c r="BN348" i="8"/>
  <c r="BL348" i="8"/>
  <c r="BP348" i="8"/>
  <c r="BT348" i="8"/>
  <c r="BR348" i="8"/>
  <c r="BM348" i="8"/>
  <c r="BQ348" i="8"/>
  <c r="BS348" i="8"/>
  <c r="BU348" i="8"/>
  <c r="BR540" i="8"/>
  <c r="BL540" i="8"/>
  <c r="BT540" i="8"/>
  <c r="BM540" i="8"/>
  <c r="BU540" i="8"/>
  <c r="BN540" i="8"/>
  <c r="BS540" i="8"/>
  <c r="BP540" i="8"/>
  <c r="BO540" i="8"/>
  <c r="BQ540" i="8"/>
  <c r="BR590" i="8"/>
  <c r="BL590" i="8"/>
  <c r="BO590" i="8"/>
  <c r="BU590" i="8"/>
  <c r="BM590" i="8"/>
  <c r="BT590" i="8"/>
  <c r="BS590" i="8"/>
  <c r="BQ590" i="8"/>
  <c r="BP590" i="8"/>
  <c r="BN590" i="8"/>
  <c r="BR738" i="8"/>
  <c r="BN738" i="8"/>
  <c r="BP738" i="8"/>
  <c r="BO738" i="8"/>
  <c r="BU738" i="8"/>
  <c r="BM738" i="8"/>
  <c r="BQ738" i="8"/>
  <c r="BT738" i="8"/>
  <c r="BL738" i="8"/>
  <c r="BS738" i="8"/>
  <c r="AT536" i="8"/>
  <c r="BN430" i="8"/>
  <c r="BQ430" i="8"/>
  <c r="BR430" i="8"/>
  <c r="BM430" i="8"/>
  <c r="BP430" i="8"/>
  <c r="BS430" i="8"/>
  <c r="BT430" i="8"/>
  <c r="BL430" i="8"/>
  <c r="BU430" i="8"/>
  <c r="BO430" i="8"/>
  <c r="BR567" i="8"/>
  <c r="BU567" i="8"/>
  <c r="BM567" i="8"/>
  <c r="BQ567" i="8"/>
  <c r="BS567" i="8"/>
  <c r="BP567" i="8"/>
  <c r="BO567" i="8"/>
  <c r="BN567" i="8"/>
  <c r="BT567" i="8"/>
  <c r="BL567" i="8"/>
  <c r="BR721" i="8"/>
  <c r="BN721" i="8"/>
  <c r="BL721" i="8"/>
  <c r="BS721" i="8"/>
  <c r="BQ721" i="8"/>
  <c r="BP721" i="8"/>
  <c r="BO721" i="8"/>
  <c r="BU721" i="8"/>
  <c r="BM721" i="8"/>
  <c r="BT721" i="8"/>
  <c r="AT545" i="8"/>
  <c r="BR693" i="8"/>
  <c r="BQ693" i="8"/>
  <c r="BN693" i="8"/>
  <c r="BP693" i="8"/>
  <c r="BO693" i="8"/>
  <c r="BU693" i="8"/>
  <c r="BM693" i="8"/>
  <c r="BT693" i="8"/>
  <c r="BL693" i="8"/>
  <c r="BS693" i="8"/>
  <c r="BR592" i="8"/>
  <c r="BS592" i="8"/>
  <c r="BU592" i="8"/>
  <c r="BM592" i="8"/>
  <c r="BT592" i="8"/>
  <c r="BL592" i="8"/>
  <c r="BQ592" i="8"/>
  <c r="BP592" i="8"/>
  <c r="BO592" i="8"/>
  <c r="BN592" i="8"/>
  <c r="BR724" i="8"/>
  <c r="BT724" i="8"/>
  <c r="BL724" i="8"/>
  <c r="BQ724" i="8"/>
  <c r="BS724" i="8"/>
  <c r="BP724" i="8"/>
  <c r="BO724" i="8"/>
  <c r="BN724" i="8"/>
  <c r="BU724" i="8"/>
  <c r="BM724" i="8"/>
  <c r="BR749" i="8"/>
  <c r="BU749" i="8"/>
  <c r="BM749" i="8"/>
  <c r="BL749" i="8"/>
  <c r="BS749" i="8"/>
  <c r="BN749" i="8"/>
  <c r="BT749" i="8"/>
  <c r="BQ749" i="8"/>
  <c r="BP749" i="8"/>
  <c r="BO749" i="8"/>
  <c r="BR810" i="8"/>
  <c r="BQ810" i="8"/>
  <c r="BP810" i="8"/>
  <c r="BS810" i="8"/>
  <c r="BO810" i="8"/>
  <c r="BN810" i="8"/>
  <c r="BM810" i="8"/>
  <c r="BU810" i="8"/>
  <c r="BT810" i="8"/>
  <c r="BL810" i="8"/>
  <c r="BS672" i="8"/>
  <c r="BP672" i="8"/>
  <c r="BN672" i="8"/>
  <c r="BQ672" i="8"/>
  <c r="BM672" i="8"/>
  <c r="BO672" i="8"/>
  <c r="BU672" i="8"/>
  <c r="BL672" i="8"/>
  <c r="BT672" i="8"/>
  <c r="BR672" i="8"/>
  <c r="BR711" i="8"/>
  <c r="BN711" i="8"/>
  <c r="BS711" i="8"/>
  <c r="BQ711" i="8"/>
  <c r="BP711" i="8"/>
  <c r="BO711" i="8"/>
  <c r="BU711" i="8"/>
  <c r="BM711" i="8"/>
  <c r="BT711" i="8"/>
  <c r="BL711" i="8"/>
  <c r="BR748" i="8"/>
  <c r="BT748" i="8"/>
  <c r="BL748" i="8"/>
  <c r="BN748" i="8"/>
  <c r="BP748" i="8"/>
  <c r="BS748" i="8"/>
  <c r="BQ748" i="8"/>
  <c r="BO748" i="8"/>
  <c r="BU748" i="8"/>
  <c r="BM748" i="8"/>
  <c r="BS677" i="8"/>
  <c r="BL677" i="8"/>
  <c r="BR677" i="8"/>
  <c r="BO677" i="8"/>
  <c r="BQ677" i="8"/>
  <c r="BP677" i="8"/>
  <c r="BU677" i="8"/>
  <c r="BN677" i="8"/>
  <c r="BM677" i="8"/>
  <c r="BT677" i="8"/>
  <c r="BR713" i="8"/>
  <c r="BN713" i="8"/>
  <c r="BP713" i="8"/>
  <c r="BO713" i="8"/>
  <c r="BU713" i="8"/>
  <c r="BM713" i="8"/>
  <c r="BT713" i="8"/>
  <c r="BL713" i="8"/>
  <c r="BS713" i="8"/>
  <c r="BQ713" i="8"/>
  <c r="AH787" i="8"/>
  <c r="BS674" i="8"/>
  <c r="BN674" i="8"/>
  <c r="BP674" i="8"/>
  <c r="BQ674" i="8"/>
  <c r="BT674" i="8"/>
  <c r="BO674" i="8"/>
  <c r="BM674" i="8"/>
  <c r="BU674" i="8"/>
  <c r="BL674" i="8"/>
  <c r="BR674" i="8"/>
  <c r="BR740" i="8"/>
  <c r="BT740" i="8"/>
  <c r="BN740" i="8"/>
  <c r="BL740" i="8"/>
  <c r="BQ740" i="8"/>
  <c r="BP740" i="8"/>
  <c r="BO740" i="8"/>
  <c r="BU740" i="8"/>
  <c r="BM740" i="8"/>
  <c r="BS740" i="8"/>
  <c r="BM666" i="8"/>
  <c r="BU666" i="8"/>
  <c r="BN666" i="8"/>
  <c r="BL666" i="8"/>
  <c r="BP666" i="8"/>
  <c r="BR666" i="8"/>
  <c r="BS666" i="8"/>
  <c r="BQ666" i="8"/>
  <c r="BO666" i="8"/>
  <c r="BT666" i="8"/>
  <c r="BR714" i="8"/>
  <c r="BQ714" i="8"/>
  <c r="BP714" i="8"/>
  <c r="BO714" i="8"/>
  <c r="BU714" i="8"/>
  <c r="BM714" i="8"/>
  <c r="BT714" i="8"/>
  <c r="BN714" i="8"/>
  <c r="BL714" i="8"/>
  <c r="BS714" i="8"/>
  <c r="BU758" i="8"/>
  <c r="BT758" i="8"/>
  <c r="BP758" i="8"/>
  <c r="BO758" i="8"/>
  <c r="BQ758" i="8"/>
  <c r="BN758" i="8"/>
  <c r="BM758" i="8"/>
  <c r="BL758" i="8"/>
  <c r="BR758" i="8"/>
  <c r="BS758" i="8"/>
  <c r="BR690" i="8"/>
  <c r="BN690" i="8"/>
  <c r="BU690" i="8"/>
  <c r="BM690" i="8"/>
  <c r="BT690" i="8"/>
  <c r="BL690" i="8"/>
  <c r="BS690" i="8"/>
  <c r="BQ690" i="8"/>
  <c r="BP690" i="8"/>
  <c r="BO690" i="8"/>
  <c r="BM799" i="8"/>
  <c r="BU799" i="8"/>
  <c r="BP799" i="8"/>
  <c r="BR799" i="8"/>
  <c r="BS799" i="8"/>
  <c r="BL799" i="8"/>
  <c r="BT799" i="8"/>
  <c r="BO799" i="8"/>
  <c r="BQ799" i="8"/>
  <c r="BN799" i="8"/>
  <c r="BP621" i="8"/>
  <c r="BS621" i="8"/>
  <c r="BO621" i="8"/>
  <c r="BR621" i="8"/>
  <c r="BN621" i="8"/>
  <c r="BQ621" i="8"/>
  <c r="BM621" i="8"/>
  <c r="BT621" i="8"/>
  <c r="BL621" i="8"/>
  <c r="BU621" i="8"/>
  <c r="BQ798" i="8"/>
  <c r="BP798" i="8"/>
  <c r="BN798" i="8"/>
  <c r="BO798" i="8"/>
  <c r="BM798" i="8"/>
  <c r="BR798" i="8"/>
  <c r="BU798" i="8"/>
  <c r="BT798" i="8"/>
  <c r="BS798" i="8"/>
  <c r="BL798" i="8"/>
  <c r="BU768" i="8"/>
  <c r="BM768" i="8"/>
  <c r="BR768" i="8"/>
  <c r="BT768" i="8"/>
  <c r="BP768" i="8"/>
  <c r="BO768" i="8"/>
  <c r="BL768" i="8"/>
  <c r="BN768" i="8"/>
  <c r="BQ768" i="8"/>
  <c r="BS768" i="8"/>
  <c r="BT663" i="8"/>
  <c r="BO663" i="8"/>
  <c r="BR663" i="8"/>
  <c r="BN663" i="8"/>
  <c r="BQ663" i="8"/>
  <c r="BL663" i="8"/>
  <c r="BS663" i="8"/>
  <c r="BU663" i="8"/>
  <c r="BM663" i="8"/>
  <c r="BP663" i="8"/>
  <c r="BN507" i="8"/>
  <c r="BP507" i="8"/>
  <c r="BU507" i="8"/>
  <c r="BM507" i="8"/>
  <c r="BT507" i="8"/>
  <c r="BL507" i="8"/>
  <c r="BQ507" i="8"/>
  <c r="BO507" i="8"/>
  <c r="BS507" i="8"/>
  <c r="BR507" i="8"/>
  <c r="BN452" i="8"/>
  <c r="BU452" i="8"/>
  <c r="BM452" i="8"/>
  <c r="BT452" i="8"/>
  <c r="BS452" i="8"/>
  <c r="BP452" i="8"/>
  <c r="BR452" i="8"/>
  <c r="BO452" i="8"/>
  <c r="BQ452" i="8"/>
  <c r="BL452" i="8"/>
  <c r="AH781" i="8"/>
  <c r="BO661" i="8"/>
  <c r="BR661" i="8"/>
  <c r="BN661" i="8"/>
  <c r="BQ661" i="8"/>
  <c r="BU661" i="8"/>
  <c r="BM661" i="8"/>
  <c r="BT661" i="8"/>
  <c r="BP661" i="8"/>
  <c r="BS661" i="8"/>
  <c r="BL661" i="8"/>
  <c r="BL763" i="8"/>
  <c r="BU763" i="8"/>
  <c r="BQ763" i="8"/>
  <c r="BT763" i="8"/>
  <c r="BN763" i="8"/>
  <c r="BP763" i="8"/>
  <c r="BS763" i="8"/>
  <c r="BO763" i="8"/>
  <c r="BM763" i="8"/>
  <c r="BR763" i="8"/>
  <c r="BO794" i="8"/>
  <c r="BT794" i="8"/>
  <c r="BM794" i="8"/>
  <c r="BL794" i="8"/>
  <c r="BR794" i="8"/>
  <c r="BU794" i="8"/>
  <c r="BQ794" i="8"/>
  <c r="BP794" i="8"/>
  <c r="BN794" i="8"/>
  <c r="BS794" i="8"/>
  <c r="BM786" i="8"/>
  <c r="BO786" i="8"/>
  <c r="BN786" i="8"/>
  <c r="BL786" i="8"/>
  <c r="BS786" i="8"/>
  <c r="BP786" i="8"/>
  <c r="BT786" i="8"/>
  <c r="BU786" i="8"/>
  <c r="BQ786" i="8"/>
  <c r="BR786" i="8"/>
  <c r="BS783" i="8"/>
  <c r="BT783" i="8"/>
  <c r="BR783" i="8"/>
  <c r="BO783" i="8"/>
  <c r="BQ783" i="8"/>
  <c r="BN783" i="8"/>
  <c r="BU783" i="8"/>
  <c r="BL783" i="8"/>
  <c r="BP783" i="8"/>
  <c r="BM783" i="8"/>
  <c r="BR769" i="8"/>
  <c r="BL769" i="8"/>
  <c r="BQ769" i="8"/>
  <c r="BN769" i="8"/>
  <c r="BU769" i="8"/>
  <c r="BT769" i="8"/>
  <c r="BP769" i="8"/>
  <c r="BO769" i="8"/>
  <c r="BS769" i="8"/>
  <c r="BM769" i="8"/>
  <c r="BU834" i="8"/>
  <c r="BM834" i="8"/>
  <c r="BS834" i="8"/>
  <c r="BT834" i="8"/>
  <c r="BR834" i="8"/>
  <c r="BL834" i="8"/>
  <c r="BQ834" i="8"/>
  <c r="BO834" i="8"/>
  <c r="BN834" i="8"/>
  <c r="BP834" i="8"/>
  <c r="BQ638" i="8"/>
  <c r="BM638" i="8"/>
  <c r="BN638" i="8"/>
  <c r="BL638" i="8"/>
  <c r="BU638" i="8"/>
  <c r="BT638" i="8"/>
  <c r="BS638" i="8"/>
  <c r="BP638" i="8"/>
  <c r="BR638" i="8"/>
  <c r="BO638" i="8"/>
  <c r="BL631" i="8"/>
  <c r="BP631" i="8"/>
  <c r="BS631" i="8"/>
  <c r="BO631" i="8"/>
  <c r="BR631" i="8"/>
  <c r="BN631" i="8"/>
  <c r="BQ631" i="8"/>
  <c r="BM631" i="8"/>
  <c r="BU631" i="8"/>
  <c r="BT631" i="8"/>
  <c r="BL582" i="8"/>
  <c r="BU582" i="8"/>
  <c r="BQ582" i="8"/>
  <c r="BP582" i="8"/>
  <c r="BO582" i="8"/>
  <c r="BN582" i="8"/>
  <c r="BM582" i="8"/>
  <c r="BS582" i="8"/>
  <c r="BT582" i="8"/>
  <c r="BR582" i="8"/>
  <c r="BO659" i="8"/>
  <c r="BR659" i="8"/>
  <c r="BN659" i="8"/>
  <c r="BQ659" i="8"/>
  <c r="BU659" i="8"/>
  <c r="BM659" i="8"/>
  <c r="BT659" i="8"/>
  <c r="BL659" i="8"/>
  <c r="BP659" i="8"/>
  <c r="BS659" i="8"/>
  <c r="AT554" i="8"/>
  <c r="BO649" i="8"/>
  <c r="BS649" i="8"/>
  <c r="BN649" i="8"/>
  <c r="BU649" i="8"/>
  <c r="BT649" i="8"/>
  <c r="BL649" i="8"/>
  <c r="BR649" i="8"/>
  <c r="BP649" i="8"/>
  <c r="BQ649" i="8"/>
  <c r="BM649" i="8"/>
  <c r="BP647" i="8"/>
  <c r="BR647" i="8"/>
  <c r="BN647" i="8"/>
  <c r="BS647" i="8"/>
  <c r="BM647" i="8"/>
  <c r="BT647" i="8"/>
  <c r="BO647" i="8"/>
  <c r="BU647" i="8"/>
  <c r="BL647" i="8"/>
  <c r="BQ647" i="8"/>
  <c r="BL468" i="8"/>
  <c r="BS468" i="8"/>
  <c r="BP468" i="8"/>
  <c r="BR468" i="8"/>
  <c r="BO468" i="8"/>
  <c r="BQ468" i="8"/>
  <c r="BN468" i="8"/>
  <c r="BM468" i="8"/>
  <c r="BU468" i="8"/>
  <c r="BT468" i="8"/>
  <c r="BQ494" i="8"/>
  <c r="BP494" i="8"/>
  <c r="BO494" i="8"/>
  <c r="BM494" i="8"/>
  <c r="BS494" i="8"/>
  <c r="BL494" i="8"/>
  <c r="BR494" i="8"/>
  <c r="BU494" i="8"/>
  <c r="BN494" i="8"/>
  <c r="BT494" i="8"/>
  <c r="BR442" i="8"/>
  <c r="BM442" i="8"/>
  <c r="BU442" i="8"/>
  <c r="BT442" i="8"/>
  <c r="BP442" i="8"/>
  <c r="BQ442" i="8"/>
  <c r="BN442" i="8"/>
  <c r="BO442" i="8"/>
  <c r="BL442" i="8"/>
  <c r="BS442" i="8"/>
  <c r="BM497" i="8"/>
  <c r="BS497" i="8"/>
  <c r="BR497" i="8"/>
  <c r="BT497" i="8"/>
  <c r="BO497" i="8"/>
  <c r="BQ497" i="8"/>
  <c r="BN497" i="8"/>
  <c r="BP497" i="8"/>
  <c r="BU497" i="8"/>
  <c r="BL497" i="8"/>
  <c r="BR495" i="8"/>
  <c r="BQ495" i="8"/>
  <c r="BP495" i="8"/>
  <c r="BL495" i="8"/>
  <c r="BO495" i="8"/>
  <c r="BU495" i="8"/>
  <c r="BT495" i="8"/>
  <c r="BS495" i="8"/>
  <c r="BM495" i="8"/>
  <c r="BN495" i="8"/>
  <c r="BR485" i="8"/>
  <c r="BM485" i="8"/>
  <c r="BL485" i="8"/>
  <c r="BU485" i="8"/>
  <c r="BS485" i="8"/>
  <c r="BQ485" i="8"/>
  <c r="BP485" i="8"/>
  <c r="BO485" i="8"/>
  <c r="BN485" i="8"/>
  <c r="BT485" i="8"/>
  <c r="AT503" i="8"/>
  <c r="BR492" i="8"/>
  <c r="BL492" i="8"/>
  <c r="BO492" i="8"/>
  <c r="BN492" i="8"/>
  <c r="BU492" i="8"/>
  <c r="BT492" i="8"/>
  <c r="BQ492" i="8"/>
  <c r="BP492" i="8"/>
  <c r="BS492" i="8"/>
  <c r="BM492" i="8"/>
  <c r="BO416" i="8"/>
  <c r="BR416" i="8"/>
  <c r="BN416" i="8"/>
  <c r="BU416" i="8"/>
  <c r="BM416" i="8"/>
  <c r="BT416" i="8"/>
  <c r="BQ416" i="8"/>
  <c r="BP416" i="8"/>
  <c r="BS416" i="8"/>
  <c r="BL416" i="8"/>
  <c r="BR461" i="8"/>
  <c r="BQ461" i="8"/>
  <c r="BP461" i="8"/>
  <c r="BN461" i="8"/>
  <c r="BL461" i="8"/>
  <c r="BM461" i="8"/>
  <c r="BS461" i="8"/>
  <c r="BT461" i="8"/>
  <c r="BO461" i="8"/>
  <c r="BU461" i="8"/>
  <c r="BN395" i="8"/>
  <c r="BU395" i="8"/>
  <c r="BT395" i="8"/>
  <c r="BQ395" i="8"/>
  <c r="BS395" i="8"/>
  <c r="BP395" i="8"/>
  <c r="BO395" i="8"/>
  <c r="BL395" i="8"/>
  <c r="BM395" i="8"/>
  <c r="BR395" i="8"/>
  <c r="BR451" i="8"/>
  <c r="BQ451" i="8"/>
  <c r="BU451" i="8"/>
  <c r="BP451" i="8"/>
  <c r="BO451" i="8"/>
  <c r="BT451" i="8"/>
  <c r="BN451" i="8"/>
  <c r="BL451" i="8"/>
  <c r="BM451" i="8"/>
  <c r="BS451" i="8"/>
  <c r="BS388" i="8"/>
  <c r="BR388" i="8"/>
  <c r="BM388" i="8"/>
  <c r="BU388" i="8"/>
  <c r="BP388" i="8"/>
  <c r="BQ388" i="8"/>
  <c r="BT388" i="8"/>
  <c r="BL388" i="8"/>
  <c r="BN388" i="8"/>
  <c r="BO388" i="8"/>
  <c r="BN390" i="8"/>
  <c r="BT390" i="8"/>
  <c r="BL390" i="8"/>
  <c r="BR390" i="8"/>
  <c r="BQ390" i="8"/>
  <c r="BU390" i="8"/>
  <c r="BP390" i="8"/>
  <c r="BS390" i="8"/>
  <c r="BM390" i="8"/>
  <c r="BO390" i="8"/>
  <c r="BQ267" i="8"/>
  <c r="BM267" i="8"/>
  <c r="BP267" i="8"/>
  <c r="BL267" i="8"/>
  <c r="BU267" i="8"/>
  <c r="BT267" i="8"/>
  <c r="BO267" i="8"/>
  <c r="BR267" i="8"/>
  <c r="BN267" i="8"/>
  <c r="BS267" i="8"/>
  <c r="BQ312" i="8"/>
  <c r="BP312" i="8"/>
  <c r="BU312" i="8"/>
  <c r="BL312" i="8"/>
  <c r="BO312" i="8"/>
  <c r="BM312" i="8"/>
  <c r="BN312" i="8"/>
  <c r="BT312" i="8"/>
  <c r="BS312" i="8"/>
  <c r="BR312" i="8"/>
  <c r="AT324" i="8"/>
  <c r="AT328" i="8"/>
  <c r="BP225" i="8"/>
  <c r="BN225" i="8"/>
  <c r="BU225" i="8"/>
  <c r="BM225" i="8"/>
  <c r="BT225" i="8"/>
  <c r="BS225" i="8"/>
  <c r="BR225" i="8"/>
  <c r="BO225" i="8"/>
  <c r="BL225" i="8"/>
  <c r="BQ225" i="8"/>
  <c r="AT293" i="8"/>
  <c r="AH187" i="8"/>
  <c r="AT254" i="8"/>
  <c r="AH197" i="8"/>
  <c r="AH177" i="8"/>
  <c r="BN177" i="8"/>
  <c r="BM177" i="8"/>
  <c r="BQ177" i="8"/>
  <c r="BU177" i="8"/>
  <c r="BO177" i="8"/>
  <c r="BR177" i="8"/>
  <c r="BS177" i="8"/>
  <c r="BL177" i="8"/>
  <c r="BP177" i="8"/>
  <c r="BT177" i="8"/>
  <c r="AH205" i="8"/>
  <c r="AT66" i="8"/>
  <c r="BU76" i="8"/>
  <c r="BO76" i="8"/>
  <c r="BM76" i="8"/>
  <c r="BQ76" i="8"/>
  <c r="BT76" i="8"/>
  <c r="BS76" i="8"/>
  <c r="BL76" i="8"/>
  <c r="BR76" i="8"/>
  <c r="BN76" i="8"/>
  <c r="BP76" i="8"/>
  <c r="AT43" i="8"/>
  <c r="AH39" i="8"/>
  <c r="BL71" i="8"/>
  <c r="BR71" i="8"/>
  <c r="BM71" i="8"/>
  <c r="BP71" i="8"/>
  <c r="BO71" i="8"/>
  <c r="BQ71" i="8"/>
  <c r="BN71" i="8"/>
  <c r="BT71" i="8"/>
  <c r="BS71" i="8"/>
  <c r="BU71" i="8"/>
  <c r="BO599" i="8"/>
  <c r="BQ599" i="8"/>
  <c r="BR599" i="8"/>
  <c r="BP599" i="8"/>
  <c r="BN599" i="8"/>
  <c r="BU599" i="8"/>
  <c r="BM599" i="8"/>
  <c r="BT599" i="8"/>
  <c r="BL599" i="8"/>
  <c r="BS599" i="8"/>
  <c r="AH21" i="8"/>
  <c r="BQ46" i="8"/>
  <c r="BN46" i="8"/>
  <c r="BO46" i="8"/>
  <c r="BU46" i="8"/>
  <c r="BM46" i="8"/>
  <c r="BT46" i="8"/>
  <c r="BL46" i="8"/>
  <c r="BS46" i="8"/>
  <c r="BR46" i="8"/>
  <c r="BP46" i="8"/>
  <c r="AH77" i="8"/>
  <c r="BS77" i="8"/>
  <c r="BQ77" i="8"/>
  <c r="BM77" i="8"/>
  <c r="BO77" i="8"/>
  <c r="BN77" i="8"/>
  <c r="BR77" i="8"/>
  <c r="BP77" i="8"/>
  <c r="BT77" i="8"/>
  <c r="BL77" i="8"/>
  <c r="BU77" i="8"/>
  <c r="BQ49" i="8"/>
  <c r="BM49" i="8"/>
  <c r="BP49" i="8"/>
  <c r="BO49" i="8"/>
  <c r="BL49" i="8"/>
  <c r="BN49" i="8"/>
  <c r="BT49" i="8"/>
  <c r="BS49" i="8"/>
  <c r="BR49" i="8"/>
  <c r="BU49" i="8"/>
  <c r="AH28" i="8"/>
  <c r="BU553" i="8"/>
  <c r="BT553" i="8"/>
  <c r="BP553" i="8"/>
  <c r="BL553" i="8"/>
  <c r="BM553" i="8"/>
  <c r="BQ553" i="8"/>
  <c r="BO553" i="8"/>
  <c r="BN553" i="8"/>
  <c r="BS553" i="8"/>
  <c r="BR553" i="8"/>
  <c r="AH73" i="8"/>
  <c r="BR320" i="8"/>
  <c r="BU320" i="8"/>
  <c r="BQ320" i="8"/>
  <c r="BP320" i="8"/>
  <c r="BO320" i="8"/>
  <c r="BT320" i="8"/>
  <c r="BN320" i="8"/>
  <c r="BL320" i="8"/>
  <c r="BS320" i="8"/>
  <c r="BM320" i="8"/>
  <c r="AT8" i="8"/>
  <c r="BN595" i="8"/>
  <c r="BO595" i="8"/>
  <c r="BU595" i="8"/>
  <c r="BL595" i="8"/>
  <c r="BQ595" i="8"/>
  <c r="BP595" i="8"/>
  <c r="BM595" i="8"/>
  <c r="BT595" i="8"/>
  <c r="BS595" i="8"/>
  <c r="BR595" i="8"/>
  <c r="AT527" i="8"/>
  <c r="BM407" i="8"/>
  <c r="BN407" i="8"/>
  <c r="BT407" i="8"/>
  <c r="BL407" i="8"/>
  <c r="BS407" i="8"/>
  <c r="BR407" i="8"/>
  <c r="BQ407" i="8"/>
  <c r="BP407" i="8"/>
  <c r="BU407" i="8"/>
  <c r="BO407" i="8"/>
  <c r="BS294" i="8"/>
  <c r="BN294" i="8"/>
  <c r="BM294" i="8"/>
  <c r="BT294" i="8"/>
  <c r="BL294" i="8"/>
  <c r="BR294" i="8"/>
  <c r="BQ294" i="8"/>
  <c r="BP294" i="8"/>
  <c r="BO294" i="8"/>
  <c r="BU294" i="8"/>
  <c r="AH44" i="8"/>
  <c r="BS613" i="8"/>
  <c r="BL613" i="8"/>
  <c r="BO613" i="8"/>
  <c r="BR613" i="8"/>
  <c r="BQ613" i="8"/>
  <c r="BP613" i="8"/>
  <c r="BN613" i="8"/>
  <c r="BU613" i="8"/>
  <c r="BM613" i="8"/>
  <c r="BT613" i="8"/>
  <c r="BT576" i="8"/>
  <c r="BL576" i="8"/>
  <c r="BQ576" i="8"/>
  <c r="BN576" i="8"/>
  <c r="BU576" i="8"/>
  <c r="BM576" i="8"/>
  <c r="BS576" i="8"/>
  <c r="BR576" i="8"/>
  <c r="BP576" i="8"/>
  <c r="BO576" i="8"/>
  <c r="BU372" i="8"/>
  <c r="BM372" i="8"/>
  <c r="BT372" i="8"/>
  <c r="BL372" i="8"/>
  <c r="BS372" i="8"/>
  <c r="BR372" i="8"/>
  <c r="BO372" i="8"/>
  <c r="BN372" i="8"/>
  <c r="BQ372" i="8"/>
  <c r="BP372" i="8"/>
  <c r="AH78" i="8"/>
  <c r="AH16" i="8"/>
  <c r="BP630" i="8"/>
  <c r="BO630" i="8"/>
  <c r="BN630" i="8"/>
  <c r="BT630" i="8"/>
  <c r="BU630" i="8"/>
  <c r="BL630" i="8"/>
  <c r="BM630" i="8"/>
  <c r="BS630" i="8"/>
  <c r="BR630" i="8"/>
  <c r="BQ630" i="8"/>
  <c r="BT537" i="8"/>
  <c r="BL537" i="8"/>
  <c r="BS537" i="8"/>
  <c r="BR537" i="8"/>
  <c r="BQ537" i="8"/>
  <c r="BN537" i="8"/>
  <c r="BP537" i="8"/>
  <c r="BU537" i="8"/>
  <c r="BO537" i="8"/>
  <c r="BM537" i="8"/>
  <c r="BS632" i="8"/>
  <c r="BR632" i="8"/>
  <c r="BQ632" i="8"/>
  <c r="BP632" i="8"/>
  <c r="BO632" i="8"/>
  <c r="BN632" i="8"/>
  <c r="BT632" i="8"/>
  <c r="BU632" i="8"/>
  <c r="BM632" i="8"/>
  <c r="BL632" i="8"/>
  <c r="BU415" i="8"/>
  <c r="BO415" i="8"/>
  <c r="BM415" i="8"/>
  <c r="BN415" i="8"/>
  <c r="BT415" i="8"/>
  <c r="BL415" i="8"/>
  <c r="BS415" i="8"/>
  <c r="BR415" i="8"/>
  <c r="BQ415" i="8"/>
  <c r="BP415" i="8"/>
  <c r="AH5" i="8"/>
  <c r="AH82" i="8"/>
  <c r="BL601" i="8"/>
  <c r="BN601" i="8"/>
  <c r="BO601" i="8"/>
  <c r="BU601" i="8"/>
  <c r="BM601" i="8"/>
  <c r="BT601" i="8"/>
  <c r="BS601" i="8"/>
  <c r="BR601" i="8"/>
  <c r="BQ601" i="8"/>
  <c r="BP601" i="8"/>
  <c r="BU283" i="8"/>
  <c r="BP283" i="8"/>
  <c r="BM283" i="8"/>
  <c r="BT283" i="8"/>
  <c r="BN283" i="8"/>
  <c r="BO283" i="8"/>
  <c r="BL283" i="8"/>
  <c r="BS283" i="8"/>
  <c r="BR283" i="8"/>
  <c r="BQ283" i="8"/>
  <c r="BQ317" i="8"/>
  <c r="BN317" i="8"/>
  <c r="BU317" i="8"/>
  <c r="BT317" i="8"/>
  <c r="BM317" i="8"/>
  <c r="BL317" i="8"/>
  <c r="BS317" i="8"/>
  <c r="BR317" i="8"/>
  <c r="BP317" i="8"/>
  <c r="BO317" i="8"/>
  <c r="BQ64" i="8"/>
  <c r="BN64" i="8"/>
  <c r="BO64" i="8"/>
  <c r="BU64" i="8"/>
  <c r="BT64" i="8"/>
  <c r="BR64" i="8"/>
  <c r="BP64" i="8"/>
  <c r="BM64" i="8"/>
  <c r="BL64" i="8"/>
  <c r="BS64" i="8"/>
  <c r="AH788" i="8"/>
  <c r="BU429" i="8"/>
  <c r="BS429" i="8"/>
  <c r="BR429" i="8"/>
  <c r="BQ429" i="8"/>
  <c r="BT429" i="8"/>
  <c r="BO429" i="8"/>
  <c r="BL429" i="8"/>
  <c r="BN429" i="8"/>
  <c r="BP429" i="8"/>
  <c r="BM429" i="8"/>
  <c r="BT234" i="8"/>
  <c r="BQ234" i="8"/>
  <c r="BS234" i="8"/>
  <c r="BO234" i="8"/>
  <c r="BP234" i="8"/>
  <c r="BN234" i="8"/>
  <c r="BU234" i="8"/>
  <c r="BM234" i="8"/>
  <c r="BL234" i="8"/>
  <c r="BR234" i="8"/>
  <c r="BN593" i="8"/>
  <c r="BL593" i="8"/>
  <c r="BO593" i="8"/>
  <c r="BP593" i="8"/>
  <c r="BU593" i="8"/>
  <c r="BM593" i="8"/>
  <c r="BT593" i="8"/>
  <c r="BS593" i="8"/>
  <c r="BR593" i="8"/>
  <c r="BQ593" i="8"/>
  <c r="AT313" i="8"/>
  <c r="BU83" i="8"/>
  <c r="BM83" i="8"/>
  <c r="BQ83" i="8"/>
  <c r="BP83" i="8"/>
  <c r="BO83" i="8"/>
  <c r="BN83" i="8"/>
  <c r="BT83" i="8"/>
  <c r="BL83" i="8"/>
  <c r="BR83" i="8"/>
  <c r="BS83" i="8"/>
  <c r="AH115" i="8"/>
  <c r="BN95" i="8"/>
  <c r="BU95" i="8"/>
  <c r="BS95" i="8"/>
  <c r="BM95" i="8"/>
  <c r="BR95" i="8"/>
  <c r="BL95" i="8"/>
  <c r="BP95" i="8"/>
  <c r="BO95" i="8"/>
  <c r="BQ95" i="8"/>
  <c r="BT95" i="8"/>
  <c r="BS122" i="8"/>
  <c r="BR122" i="8"/>
  <c r="BO122" i="8"/>
  <c r="BU122" i="8"/>
  <c r="BM122" i="8"/>
  <c r="BT122" i="8"/>
  <c r="BL122" i="8"/>
  <c r="BN122" i="8"/>
  <c r="BQ122" i="8"/>
  <c r="BP122" i="8"/>
  <c r="AH143" i="8"/>
  <c r="BR303" i="8"/>
  <c r="BO303" i="8"/>
  <c r="BL303" i="8"/>
  <c r="BN303" i="8"/>
  <c r="BS303" i="8"/>
  <c r="BT303" i="8"/>
  <c r="BM303" i="8"/>
  <c r="BP303" i="8"/>
  <c r="BU303" i="8"/>
  <c r="BQ303" i="8"/>
  <c r="BS123" i="8"/>
  <c r="BR123" i="8"/>
  <c r="BQ123" i="8"/>
  <c r="BO123" i="8"/>
  <c r="BP123" i="8"/>
  <c r="BN123" i="8"/>
  <c r="BM123" i="8"/>
  <c r="BU123" i="8"/>
  <c r="BT123" i="8"/>
  <c r="BL123" i="8"/>
  <c r="AH161" i="8"/>
  <c r="BN103" i="8"/>
  <c r="BU103" i="8"/>
  <c r="BR103" i="8"/>
  <c r="BQ103" i="8"/>
  <c r="BS103" i="8"/>
  <c r="BL103" i="8"/>
  <c r="BM103" i="8"/>
  <c r="BT103" i="8"/>
  <c r="BP103" i="8"/>
  <c r="BO103" i="8"/>
  <c r="AT107" i="8"/>
  <c r="BT172" i="8"/>
  <c r="BL172" i="8"/>
  <c r="BS172" i="8"/>
  <c r="BR172" i="8"/>
  <c r="BO172" i="8"/>
  <c r="BN172" i="8"/>
  <c r="BU172" i="8"/>
  <c r="BP172" i="8"/>
  <c r="BM172" i="8"/>
  <c r="BQ172" i="8"/>
  <c r="BS156" i="8"/>
  <c r="BO156" i="8"/>
  <c r="BN156" i="8"/>
  <c r="BL156" i="8"/>
  <c r="BT156" i="8"/>
  <c r="BR156" i="8"/>
  <c r="BQ156" i="8"/>
  <c r="BM156" i="8"/>
  <c r="BU156" i="8"/>
  <c r="BP156" i="8"/>
  <c r="AH130" i="8"/>
  <c r="BS110" i="8"/>
  <c r="BN110" i="8"/>
  <c r="BM110" i="8"/>
  <c r="BU110" i="8"/>
  <c r="BR110" i="8"/>
  <c r="BQ110" i="8"/>
  <c r="BO110" i="8"/>
  <c r="BP110" i="8"/>
  <c r="BT110" i="8"/>
  <c r="BL110" i="8"/>
  <c r="BR134" i="8"/>
  <c r="BO134" i="8"/>
  <c r="BS134" i="8"/>
  <c r="BQ134" i="8"/>
  <c r="BP134" i="8"/>
  <c r="BU134" i="8"/>
  <c r="BM134" i="8"/>
  <c r="BT134" i="8"/>
  <c r="BL134" i="8"/>
  <c r="BN134" i="8"/>
  <c r="BU204" i="8"/>
  <c r="BQ204" i="8"/>
  <c r="BP204" i="8"/>
  <c r="BO204" i="8"/>
  <c r="BS204" i="8"/>
  <c r="BN204" i="8"/>
  <c r="BR204" i="8"/>
  <c r="BT204" i="8"/>
  <c r="BL204" i="8"/>
  <c r="BM204" i="8"/>
  <c r="AH180" i="8"/>
  <c r="BN248" i="8"/>
  <c r="BO248" i="8"/>
  <c r="BP248" i="8"/>
  <c r="BQ248" i="8"/>
  <c r="BS248" i="8"/>
  <c r="BM248" i="8"/>
  <c r="BR248" i="8"/>
  <c r="BL248" i="8"/>
  <c r="BU248" i="8"/>
  <c r="BT248" i="8"/>
  <c r="AT501" i="8"/>
  <c r="BM213" i="8"/>
  <c r="BT213" i="8"/>
  <c r="BS213" i="8"/>
  <c r="BR213" i="8"/>
  <c r="BQ213" i="8"/>
  <c r="BN213" i="8"/>
  <c r="BP213" i="8"/>
  <c r="BL213" i="8"/>
  <c r="BU213" i="8"/>
  <c r="BO213" i="8"/>
  <c r="AT150" i="8"/>
  <c r="AT198" i="8"/>
  <c r="AT295" i="8"/>
  <c r="BS186" i="8"/>
  <c r="BQ186" i="8"/>
  <c r="BO186" i="8"/>
  <c r="BN186" i="8"/>
  <c r="BU186" i="8"/>
  <c r="BP186" i="8"/>
  <c r="BM186" i="8"/>
  <c r="BT186" i="8"/>
  <c r="BL186" i="8"/>
  <c r="BR186" i="8"/>
  <c r="AT289" i="8"/>
  <c r="AH184" i="8"/>
  <c r="BR548" i="8"/>
  <c r="BQ548" i="8"/>
  <c r="BL548" i="8"/>
  <c r="BS548" i="8"/>
  <c r="BN548" i="8"/>
  <c r="BP548" i="8"/>
  <c r="BO548" i="8"/>
  <c r="BU548" i="8"/>
  <c r="BM548" i="8"/>
  <c r="BT548" i="8"/>
  <c r="BR594" i="8"/>
  <c r="BT594" i="8"/>
  <c r="BP594" i="8"/>
  <c r="BU594" i="8"/>
  <c r="BM594" i="8"/>
  <c r="BL594" i="8"/>
  <c r="BS594" i="8"/>
  <c r="BQ594" i="8"/>
  <c r="BO594" i="8"/>
  <c r="BN594" i="8"/>
  <c r="BR355" i="8"/>
  <c r="BM355" i="8"/>
  <c r="BT355" i="8"/>
  <c r="BP355" i="8"/>
  <c r="BO355" i="8"/>
  <c r="BN355" i="8"/>
  <c r="BU355" i="8"/>
  <c r="BL355" i="8"/>
  <c r="BS355" i="8"/>
  <c r="BQ355" i="8"/>
  <c r="AT547" i="8"/>
  <c r="AH754" i="8"/>
  <c r="BR571" i="8"/>
  <c r="BU571" i="8"/>
  <c r="BO571" i="8"/>
  <c r="BL571" i="8"/>
  <c r="BN571" i="8"/>
  <c r="BP571" i="8"/>
  <c r="BQ571" i="8"/>
  <c r="BS571" i="8"/>
  <c r="BT571" i="8"/>
  <c r="BM571" i="8"/>
  <c r="BQ736" i="8"/>
  <c r="BR736" i="8"/>
  <c r="BP736" i="8"/>
  <c r="BN736" i="8"/>
  <c r="BO736" i="8"/>
  <c r="BU736" i="8"/>
  <c r="BM736" i="8"/>
  <c r="BT736" i="8"/>
  <c r="BL736" i="8"/>
  <c r="BS736" i="8"/>
  <c r="AH726" i="8"/>
  <c r="BP750" i="8"/>
  <c r="BO750" i="8"/>
  <c r="BN750" i="8"/>
  <c r="BU750" i="8"/>
  <c r="BM750" i="8"/>
  <c r="BT750" i="8"/>
  <c r="BQ750" i="8"/>
  <c r="BL750" i="8"/>
  <c r="BS750" i="8"/>
  <c r="BR750" i="8"/>
  <c r="AH827" i="8"/>
  <c r="BR754" i="8"/>
  <c r="BP754" i="8"/>
  <c r="BO754" i="8"/>
  <c r="BN754" i="8"/>
  <c r="BU754" i="8"/>
  <c r="BM754" i="8"/>
  <c r="BT754" i="8"/>
  <c r="BL754" i="8"/>
  <c r="BQ754" i="8"/>
  <c r="BS754" i="8"/>
  <c r="AH717" i="8"/>
  <c r="AH789" i="8"/>
  <c r="BO678" i="8"/>
  <c r="BN678" i="8"/>
  <c r="BU678" i="8"/>
  <c r="BM678" i="8"/>
  <c r="BT678" i="8"/>
  <c r="BR678" i="8"/>
  <c r="BL678" i="8"/>
  <c r="BS678" i="8"/>
  <c r="BQ678" i="8"/>
  <c r="BP678" i="8"/>
  <c r="BR742" i="8"/>
  <c r="BN742" i="8"/>
  <c r="BT742" i="8"/>
  <c r="BL742" i="8"/>
  <c r="BS742" i="8"/>
  <c r="BQ742" i="8"/>
  <c r="BP742" i="8"/>
  <c r="BO742" i="8"/>
  <c r="BU742" i="8"/>
  <c r="BM742" i="8"/>
  <c r="BR716" i="8"/>
  <c r="BP716" i="8"/>
  <c r="BO716" i="8"/>
  <c r="BU716" i="8"/>
  <c r="BM716" i="8"/>
  <c r="BT716" i="8"/>
  <c r="BN716" i="8"/>
  <c r="BL716" i="8"/>
  <c r="BS716" i="8"/>
  <c r="BQ716" i="8"/>
  <c r="BS787" i="8"/>
  <c r="BR787" i="8"/>
  <c r="BN787" i="8"/>
  <c r="BM787" i="8"/>
  <c r="BU787" i="8"/>
  <c r="BT787" i="8"/>
  <c r="BL787" i="8"/>
  <c r="BQ787" i="8"/>
  <c r="BO787" i="8"/>
  <c r="BP787" i="8"/>
  <c r="BR720" i="8"/>
  <c r="BN720" i="8"/>
  <c r="BQ720" i="8"/>
  <c r="BP720" i="8"/>
  <c r="BO720" i="8"/>
  <c r="BU720" i="8"/>
  <c r="BM720" i="8"/>
  <c r="BT720" i="8"/>
  <c r="BL720" i="8"/>
  <c r="BS720" i="8"/>
  <c r="BQ796" i="8"/>
  <c r="BP796" i="8"/>
  <c r="BL796" i="8"/>
  <c r="BN796" i="8"/>
  <c r="BT796" i="8"/>
  <c r="BU796" i="8"/>
  <c r="BM796" i="8"/>
  <c r="BR796" i="8"/>
  <c r="BO796" i="8"/>
  <c r="BS796" i="8"/>
  <c r="BP767" i="8"/>
  <c r="BS767" i="8"/>
  <c r="BO767" i="8"/>
  <c r="BR767" i="8"/>
  <c r="BM767" i="8"/>
  <c r="BQ767" i="8"/>
  <c r="BN767" i="8"/>
  <c r="BU767" i="8"/>
  <c r="BT767" i="8"/>
  <c r="BL767" i="8"/>
  <c r="BS675" i="8"/>
  <c r="BR675" i="8"/>
  <c r="BN675" i="8"/>
  <c r="BQ675" i="8"/>
  <c r="BM675" i="8"/>
  <c r="BP675" i="8"/>
  <c r="BU675" i="8"/>
  <c r="BT675" i="8"/>
  <c r="BO675" i="8"/>
  <c r="BL675" i="8"/>
  <c r="BR563" i="8"/>
  <c r="BQ563" i="8"/>
  <c r="BN563" i="8"/>
  <c r="BP563" i="8"/>
  <c r="BU563" i="8"/>
  <c r="BO563" i="8"/>
  <c r="BM563" i="8"/>
  <c r="BL563" i="8"/>
  <c r="BS563" i="8"/>
  <c r="BT563" i="8"/>
  <c r="BT491" i="8"/>
  <c r="BQ491" i="8"/>
  <c r="BP491" i="8"/>
  <c r="BN491" i="8"/>
  <c r="BL491" i="8"/>
  <c r="BS491" i="8"/>
  <c r="BO491" i="8"/>
  <c r="BR491" i="8"/>
  <c r="BM491" i="8"/>
  <c r="BU491" i="8"/>
  <c r="BR453" i="8"/>
  <c r="BQ453" i="8"/>
  <c r="BT453" i="8"/>
  <c r="BP453" i="8"/>
  <c r="BO453" i="8"/>
  <c r="BN453" i="8"/>
  <c r="BU453" i="8"/>
  <c r="BL453" i="8"/>
  <c r="BM453" i="8"/>
  <c r="BS453" i="8"/>
  <c r="BP776" i="8"/>
  <c r="BO776" i="8"/>
  <c r="BL776" i="8"/>
  <c r="BN776" i="8"/>
  <c r="BT776" i="8"/>
  <c r="BU776" i="8"/>
  <c r="BM776" i="8"/>
  <c r="BS776" i="8"/>
  <c r="BQ776" i="8"/>
  <c r="BR776" i="8"/>
  <c r="BM775" i="8"/>
  <c r="BR775" i="8"/>
  <c r="BU775" i="8"/>
  <c r="BN775" i="8"/>
  <c r="BT775" i="8"/>
  <c r="BS775" i="8"/>
  <c r="BQ775" i="8"/>
  <c r="BP775" i="8"/>
  <c r="BO775" i="8"/>
  <c r="BL775" i="8"/>
  <c r="BT671" i="8"/>
  <c r="BR671" i="8"/>
  <c r="BO671" i="8"/>
  <c r="BN671" i="8"/>
  <c r="BM671" i="8"/>
  <c r="BQ671" i="8"/>
  <c r="BU671" i="8"/>
  <c r="BP671" i="8"/>
  <c r="BS671" i="8"/>
  <c r="BL671" i="8"/>
  <c r="BN504" i="8"/>
  <c r="BM504" i="8"/>
  <c r="BS504" i="8"/>
  <c r="BR504" i="8"/>
  <c r="BO504" i="8"/>
  <c r="BQ504" i="8"/>
  <c r="BU504" i="8"/>
  <c r="BL504" i="8"/>
  <c r="BP504" i="8"/>
  <c r="BT504" i="8"/>
  <c r="BO797" i="8"/>
  <c r="BM797" i="8"/>
  <c r="BL797" i="8"/>
  <c r="BT797" i="8"/>
  <c r="BR797" i="8"/>
  <c r="BU797" i="8"/>
  <c r="BN797" i="8"/>
  <c r="BP797" i="8"/>
  <c r="BQ797" i="8"/>
  <c r="BS797" i="8"/>
  <c r="BM610" i="8"/>
  <c r="BT610" i="8"/>
  <c r="BO610" i="8"/>
  <c r="BL610" i="8"/>
  <c r="BS610" i="8"/>
  <c r="BR610" i="8"/>
  <c r="BP610" i="8"/>
  <c r="BQ610" i="8"/>
  <c r="BN610" i="8"/>
  <c r="BU610" i="8"/>
  <c r="BM817" i="8"/>
  <c r="BR817" i="8"/>
  <c r="BL817" i="8"/>
  <c r="BP817" i="8"/>
  <c r="BO817" i="8"/>
  <c r="BS817" i="8"/>
  <c r="BQ817" i="8"/>
  <c r="BN817" i="8"/>
  <c r="BU817" i="8"/>
  <c r="BT817" i="8"/>
  <c r="BT779" i="8"/>
  <c r="BS779" i="8"/>
  <c r="BU779" i="8"/>
  <c r="BR779" i="8"/>
  <c r="BP779" i="8"/>
  <c r="BQ779" i="8"/>
  <c r="BN779" i="8"/>
  <c r="BO779" i="8"/>
  <c r="BM779" i="8"/>
  <c r="BL779" i="8"/>
  <c r="BO784" i="8"/>
  <c r="BN784" i="8"/>
  <c r="BT784" i="8"/>
  <c r="BS784" i="8"/>
  <c r="BU784" i="8"/>
  <c r="BP784" i="8"/>
  <c r="BL784" i="8"/>
  <c r="BQ784" i="8"/>
  <c r="BM784" i="8"/>
  <c r="BR784" i="8"/>
  <c r="BS819" i="8"/>
  <c r="BP819" i="8"/>
  <c r="BU819" i="8"/>
  <c r="BO819" i="8"/>
  <c r="BT819" i="8"/>
  <c r="BL819" i="8"/>
  <c r="BQ819" i="8"/>
  <c r="BN819" i="8"/>
  <c r="BM819" i="8"/>
  <c r="BR819" i="8"/>
  <c r="AT555" i="8"/>
  <c r="BL673" i="8"/>
  <c r="BU673" i="8"/>
  <c r="BT673" i="8"/>
  <c r="BO673" i="8"/>
  <c r="BR673" i="8"/>
  <c r="BN673" i="8"/>
  <c r="BM673" i="8"/>
  <c r="BQ673" i="8"/>
  <c r="BP673" i="8"/>
  <c r="BS673" i="8"/>
  <c r="BL651" i="8"/>
  <c r="BU651" i="8"/>
  <c r="BP651" i="8"/>
  <c r="BR651" i="8"/>
  <c r="BO651" i="8"/>
  <c r="BQ651" i="8"/>
  <c r="BN651" i="8"/>
  <c r="BS651" i="8"/>
  <c r="BM651" i="8"/>
  <c r="BT651" i="8"/>
  <c r="BR641" i="8"/>
  <c r="BP641" i="8"/>
  <c r="BQ641" i="8"/>
  <c r="BN641" i="8"/>
  <c r="BO641" i="8"/>
  <c r="BM641" i="8"/>
  <c r="BT641" i="8"/>
  <c r="BL641" i="8"/>
  <c r="BS641" i="8"/>
  <c r="BU641" i="8"/>
  <c r="BN633" i="8"/>
  <c r="BQ633" i="8"/>
  <c r="BU633" i="8"/>
  <c r="BM633" i="8"/>
  <c r="BT633" i="8"/>
  <c r="BL633" i="8"/>
  <c r="BP633" i="8"/>
  <c r="BS633" i="8"/>
  <c r="BO633" i="8"/>
  <c r="BR633" i="8"/>
  <c r="BU450" i="8"/>
  <c r="BM450" i="8"/>
  <c r="BT450" i="8"/>
  <c r="BS450" i="8"/>
  <c r="BP450" i="8"/>
  <c r="BR450" i="8"/>
  <c r="BO450" i="8"/>
  <c r="BQ450" i="8"/>
  <c r="BN450" i="8"/>
  <c r="BL450" i="8"/>
  <c r="BT458" i="8"/>
  <c r="BL458" i="8"/>
  <c r="BP458" i="8"/>
  <c r="BS458" i="8"/>
  <c r="BO458" i="8"/>
  <c r="BR458" i="8"/>
  <c r="BU458" i="8"/>
  <c r="BM458" i="8"/>
  <c r="BN458" i="8"/>
  <c r="BQ458" i="8"/>
  <c r="BP496" i="8"/>
  <c r="BS496" i="8"/>
  <c r="BM496" i="8"/>
  <c r="BR496" i="8"/>
  <c r="BL496" i="8"/>
  <c r="BQ496" i="8"/>
  <c r="BO496" i="8"/>
  <c r="BU496" i="8"/>
  <c r="BT496" i="8"/>
  <c r="BN496" i="8"/>
  <c r="BM454" i="8"/>
  <c r="BT454" i="8"/>
  <c r="BL454" i="8"/>
  <c r="BO454" i="8"/>
  <c r="BR454" i="8"/>
  <c r="BP454" i="8"/>
  <c r="BS454" i="8"/>
  <c r="BN454" i="8"/>
  <c r="BQ454" i="8"/>
  <c r="BU454" i="8"/>
  <c r="BL447" i="8"/>
  <c r="BM447" i="8"/>
  <c r="BR447" i="8"/>
  <c r="BQ447" i="8"/>
  <c r="BO447" i="8"/>
  <c r="BU447" i="8"/>
  <c r="BT447" i="8"/>
  <c r="BS447" i="8"/>
  <c r="BP447" i="8"/>
  <c r="BN447" i="8"/>
  <c r="BT384" i="8"/>
  <c r="BL384" i="8"/>
  <c r="BR384" i="8"/>
  <c r="BU384" i="8"/>
  <c r="BS384" i="8"/>
  <c r="BP384" i="8"/>
  <c r="BO384" i="8"/>
  <c r="BN384" i="8"/>
  <c r="BM384" i="8"/>
  <c r="BQ384" i="8"/>
  <c r="BN391" i="8"/>
  <c r="BU391" i="8"/>
  <c r="BT391" i="8"/>
  <c r="BQ391" i="8"/>
  <c r="BS391" i="8"/>
  <c r="BP391" i="8"/>
  <c r="BO391" i="8"/>
  <c r="BL391" i="8"/>
  <c r="BM391" i="8"/>
  <c r="BR391" i="8"/>
  <c r="BL435" i="8"/>
  <c r="BU435" i="8"/>
  <c r="BS435" i="8"/>
  <c r="BP435" i="8"/>
  <c r="BN435" i="8"/>
  <c r="BR435" i="8"/>
  <c r="BO435" i="8"/>
  <c r="BT435" i="8"/>
  <c r="BM435" i="8"/>
  <c r="BQ435" i="8"/>
  <c r="BU286" i="8"/>
  <c r="BT286" i="8"/>
  <c r="BR286" i="8"/>
  <c r="BQ286" i="8"/>
  <c r="BP286" i="8"/>
  <c r="BL286" i="8"/>
  <c r="BM286" i="8"/>
  <c r="BS286" i="8"/>
  <c r="BO286" i="8"/>
  <c r="BN286" i="8"/>
  <c r="BM280" i="8"/>
  <c r="BQ280" i="8"/>
  <c r="BL280" i="8"/>
  <c r="BP280" i="8"/>
  <c r="BT280" i="8"/>
  <c r="BO280" i="8"/>
  <c r="BN280" i="8"/>
  <c r="BR280" i="8"/>
  <c r="BS280" i="8"/>
  <c r="BU280" i="8"/>
  <c r="BQ323" i="8"/>
  <c r="BP323" i="8"/>
  <c r="BO323" i="8"/>
  <c r="BU323" i="8"/>
  <c r="BL323" i="8"/>
  <c r="BS323" i="8"/>
  <c r="BR323" i="8"/>
  <c r="BN323" i="8"/>
  <c r="BM323" i="8"/>
  <c r="BT323" i="8"/>
  <c r="BP233" i="8"/>
  <c r="BN233" i="8"/>
  <c r="BU233" i="8"/>
  <c r="BS233" i="8"/>
  <c r="BM233" i="8"/>
  <c r="BT233" i="8"/>
  <c r="BR233" i="8"/>
  <c r="BL233" i="8"/>
  <c r="BQ233" i="8"/>
  <c r="BO233" i="8"/>
  <c r="BP231" i="8"/>
  <c r="BN231" i="8"/>
  <c r="BU231" i="8"/>
  <c r="BM231" i="8"/>
  <c r="BL231" i="8"/>
  <c r="BO231" i="8"/>
  <c r="BR231" i="8"/>
  <c r="BT231" i="8"/>
  <c r="BS231" i="8"/>
  <c r="BQ231" i="8"/>
  <c r="AH183" i="8"/>
  <c r="AT189" i="8"/>
  <c r="BM223" i="8"/>
  <c r="BT223" i="8"/>
  <c r="BS223" i="8"/>
  <c r="BO223" i="8"/>
  <c r="BQ223" i="8"/>
  <c r="BP223" i="8"/>
  <c r="BN223" i="8"/>
  <c r="BU223" i="8"/>
  <c r="BL223" i="8"/>
  <c r="BR223" i="8"/>
  <c r="BN221" i="8"/>
  <c r="BU221" i="8"/>
  <c r="BM221" i="8"/>
  <c r="BL221" i="8"/>
  <c r="BS221" i="8"/>
  <c r="BT221" i="8"/>
  <c r="BQ221" i="8"/>
  <c r="BP221" i="8"/>
  <c r="BR221" i="8"/>
  <c r="BO221" i="8"/>
  <c r="BR90" i="8"/>
  <c r="BQ90" i="8"/>
  <c r="BO90" i="8"/>
  <c r="BT90" i="8"/>
  <c r="BP90" i="8"/>
  <c r="BN90" i="8"/>
  <c r="BU90" i="8"/>
  <c r="BL90" i="8"/>
  <c r="BM90" i="8"/>
  <c r="BS90" i="8"/>
  <c r="AT88" i="8"/>
  <c r="BU205" i="8"/>
  <c r="BM205" i="8"/>
  <c r="BS205" i="8"/>
  <c r="BR205" i="8"/>
  <c r="BQ205" i="8"/>
  <c r="BL205" i="8"/>
  <c r="BO205" i="8"/>
  <c r="BN205" i="8"/>
  <c r="BP205" i="8"/>
  <c r="BT205" i="8"/>
  <c r="BT84" i="8"/>
  <c r="BS84" i="8"/>
  <c r="BP84" i="8"/>
  <c r="BN84" i="8"/>
  <c r="BO84" i="8"/>
  <c r="BL84" i="8"/>
  <c r="BR84" i="8"/>
  <c r="BQ84" i="8"/>
  <c r="BU84" i="8"/>
  <c r="BM84" i="8"/>
  <c r="AH185" i="8"/>
  <c r="AT199" i="8"/>
  <c r="BS38" i="8"/>
  <c r="BR38" i="8"/>
  <c r="BT38" i="8"/>
  <c r="BN38" i="8"/>
  <c r="BP38" i="8"/>
  <c r="BU38" i="8"/>
  <c r="BO38" i="8"/>
  <c r="BM38" i="8"/>
  <c r="BQ38" i="8"/>
  <c r="BL38" i="8"/>
  <c r="AH102" i="8"/>
  <c r="BU539" i="8"/>
  <c r="BO539" i="8"/>
  <c r="BR539" i="8"/>
  <c r="BT539" i="8"/>
  <c r="BL539" i="8"/>
  <c r="BS539" i="8"/>
  <c r="BQ539" i="8"/>
  <c r="BP539" i="8"/>
  <c r="BN539" i="8"/>
  <c r="BM539" i="8"/>
  <c r="BR102" i="8"/>
  <c r="BT102" i="8"/>
  <c r="BM102" i="8"/>
  <c r="BQ102" i="8"/>
  <c r="BO102" i="8"/>
  <c r="BN102" i="8"/>
  <c r="BU102" i="8"/>
  <c r="BL102" i="8"/>
  <c r="BS102" i="8"/>
  <c r="BP102" i="8"/>
  <c r="BU409" i="8"/>
  <c r="BO409" i="8"/>
  <c r="BM409" i="8"/>
  <c r="BN409" i="8"/>
  <c r="BT409" i="8"/>
  <c r="BL409" i="8"/>
  <c r="BS409" i="8"/>
  <c r="BR409" i="8"/>
  <c r="BQ409" i="8"/>
  <c r="BP409" i="8"/>
  <c r="AT55" i="8"/>
  <c r="AT24" i="8"/>
  <c r="AT17" i="8"/>
  <c r="AH24" i="8"/>
  <c r="AH63" i="8"/>
  <c r="AH49" i="8"/>
  <c r="AT94" i="8"/>
  <c r="BO583" i="8"/>
  <c r="BR583" i="8"/>
  <c r="BM583" i="8"/>
  <c r="BL583" i="8"/>
  <c r="BN583" i="8"/>
  <c r="BS583" i="8"/>
  <c r="BQ583" i="8"/>
  <c r="BP583" i="8"/>
  <c r="BU583" i="8"/>
  <c r="BT583" i="8"/>
  <c r="BN568" i="8"/>
  <c r="BP568" i="8"/>
  <c r="BU568" i="8"/>
  <c r="BO568" i="8"/>
  <c r="BL568" i="8"/>
  <c r="BM568" i="8"/>
  <c r="BT568" i="8"/>
  <c r="BS568" i="8"/>
  <c r="BR568" i="8"/>
  <c r="BQ568" i="8"/>
  <c r="AH204" i="8"/>
  <c r="BO652" i="8"/>
  <c r="BS652" i="8"/>
  <c r="BR652" i="8"/>
  <c r="BQ652" i="8"/>
  <c r="BP652" i="8"/>
  <c r="BU652" i="8"/>
  <c r="BT652" i="8"/>
  <c r="BM652" i="8"/>
  <c r="BL652" i="8"/>
  <c r="BN652" i="8"/>
  <c r="BN518" i="8"/>
  <c r="BU518" i="8"/>
  <c r="BO518" i="8"/>
  <c r="BM518" i="8"/>
  <c r="BT518" i="8"/>
  <c r="BL518" i="8"/>
  <c r="BS518" i="8"/>
  <c r="BR518" i="8"/>
  <c r="BQ518" i="8"/>
  <c r="BP518" i="8"/>
  <c r="BS300" i="8"/>
  <c r="BN300" i="8"/>
  <c r="BO300" i="8"/>
  <c r="BU300" i="8"/>
  <c r="BM300" i="8"/>
  <c r="BT300" i="8"/>
  <c r="BL300" i="8"/>
  <c r="BR300" i="8"/>
  <c r="BQ300" i="8"/>
  <c r="BP300" i="8"/>
  <c r="BN358" i="8"/>
  <c r="BU358" i="8"/>
  <c r="BM358" i="8"/>
  <c r="BT358" i="8"/>
  <c r="BL358" i="8"/>
  <c r="BS358" i="8"/>
  <c r="BR358" i="8"/>
  <c r="BO358" i="8"/>
  <c r="BQ358" i="8"/>
  <c r="BP358" i="8"/>
  <c r="AT81" i="8"/>
  <c r="AT56" i="8"/>
  <c r="BU809" i="8"/>
  <c r="BL809" i="8"/>
  <c r="BT809" i="8"/>
  <c r="BR809" i="8"/>
  <c r="BS809" i="8"/>
  <c r="BM809" i="8"/>
  <c r="BQ809" i="8"/>
  <c r="BP809" i="8"/>
  <c r="BO809" i="8"/>
  <c r="BN809" i="8"/>
  <c r="BT379" i="8"/>
  <c r="BO379" i="8"/>
  <c r="BL379" i="8"/>
  <c r="BN379" i="8"/>
  <c r="BR379" i="8"/>
  <c r="BP379" i="8"/>
  <c r="BM379" i="8"/>
  <c r="BU379" i="8"/>
  <c r="BQ379" i="8"/>
  <c r="BS379" i="8"/>
  <c r="BU425" i="8"/>
  <c r="BO425" i="8"/>
  <c r="BM425" i="8"/>
  <c r="BN425" i="8"/>
  <c r="BT425" i="8"/>
  <c r="BL425" i="8"/>
  <c r="BS425" i="8"/>
  <c r="BR425" i="8"/>
  <c r="BQ425" i="8"/>
  <c r="BP425" i="8"/>
  <c r="BU279" i="8"/>
  <c r="BO279" i="8"/>
  <c r="BR279" i="8"/>
  <c r="BQ279" i="8"/>
  <c r="BM279" i="8"/>
  <c r="BP279" i="8"/>
  <c r="BT279" i="8"/>
  <c r="BL279" i="8"/>
  <c r="BS279" i="8"/>
  <c r="BN279" i="8"/>
  <c r="BO69" i="8"/>
  <c r="BN69" i="8"/>
  <c r="BT69" i="8"/>
  <c r="BL69" i="8"/>
  <c r="BS69" i="8"/>
  <c r="BQ69" i="8"/>
  <c r="BM69" i="8"/>
  <c r="BP69" i="8"/>
  <c r="BR69" i="8"/>
  <c r="BU69" i="8"/>
  <c r="BQ434" i="8"/>
  <c r="BP434" i="8"/>
  <c r="BT434" i="8"/>
  <c r="BM434" i="8"/>
  <c r="BL434" i="8"/>
  <c r="BS434" i="8"/>
  <c r="BU434" i="8"/>
  <c r="BO434" i="8"/>
  <c r="BN434" i="8"/>
  <c r="BR434" i="8"/>
  <c r="AT533" i="8"/>
  <c r="AT549" i="8"/>
  <c r="AT241" i="8"/>
  <c r="BM366" i="8"/>
  <c r="BT366" i="8"/>
  <c r="BR366" i="8"/>
  <c r="BO366" i="8"/>
  <c r="BQ366" i="8"/>
  <c r="BN366" i="8"/>
  <c r="BU366" i="8"/>
  <c r="BL366" i="8"/>
  <c r="BS366" i="8"/>
  <c r="BP366" i="8"/>
  <c r="BQ762" i="8"/>
  <c r="BP762" i="8"/>
  <c r="BN762" i="8"/>
  <c r="BR762" i="8"/>
  <c r="BT762" i="8"/>
  <c r="BS762" i="8"/>
  <c r="BM762" i="8"/>
  <c r="BO762" i="8"/>
  <c r="BL762" i="8"/>
  <c r="BU762" i="8"/>
  <c r="BP626" i="8"/>
  <c r="BO626" i="8"/>
  <c r="BN626" i="8"/>
  <c r="BT626" i="8"/>
  <c r="BU626" i="8"/>
  <c r="BL626" i="8"/>
  <c r="BM626" i="8"/>
  <c r="BS626" i="8"/>
  <c r="BR626" i="8"/>
  <c r="BQ626" i="8"/>
  <c r="BN354" i="8"/>
  <c r="BM354" i="8"/>
  <c r="BT354" i="8"/>
  <c r="BR354" i="8"/>
  <c r="BQ354" i="8"/>
  <c r="BP354" i="8"/>
  <c r="BO354" i="8"/>
  <c r="BU354" i="8"/>
  <c r="BL354" i="8"/>
  <c r="BS354" i="8"/>
  <c r="BL529" i="8"/>
  <c r="BM529" i="8"/>
  <c r="BS529" i="8"/>
  <c r="BR529" i="8"/>
  <c r="BQ529" i="8"/>
  <c r="BP529" i="8"/>
  <c r="BO529" i="8"/>
  <c r="BN529" i="8"/>
  <c r="BT529" i="8"/>
  <c r="BU529" i="8"/>
  <c r="BT764" i="8"/>
  <c r="BS764" i="8"/>
  <c r="BQ764" i="8"/>
  <c r="BP764" i="8"/>
  <c r="BL764" i="8"/>
  <c r="BM764" i="8"/>
  <c r="BR764" i="8"/>
  <c r="BN764" i="8"/>
  <c r="BO764" i="8"/>
  <c r="BU764" i="8"/>
  <c r="BS230" i="8"/>
  <c r="BP230" i="8"/>
  <c r="BL230" i="8"/>
  <c r="BR230" i="8"/>
  <c r="BQ230" i="8"/>
  <c r="BO230" i="8"/>
  <c r="BN230" i="8"/>
  <c r="BU230" i="8"/>
  <c r="BM230" i="8"/>
  <c r="BT230" i="8"/>
  <c r="BS121" i="8"/>
  <c r="BR121" i="8"/>
  <c r="BN121" i="8"/>
  <c r="BU121" i="8"/>
  <c r="BM121" i="8"/>
  <c r="BT121" i="8"/>
  <c r="BL121" i="8"/>
  <c r="BO121" i="8"/>
  <c r="BP121" i="8"/>
  <c r="BQ121" i="8"/>
  <c r="BR708" i="8"/>
  <c r="BU708" i="8"/>
  <c r="BM708" i="8"/>
  <c r="BT708" i="8"/>
  <c r="BN708" i="8"/>
  <c r="BL708" i="8"/>
  <c r="BS708" i="8"/>
  <c r="BQ708" i="8"/>
  <c r="BP708" i="8"/>
  <c r="BO708" i="8"/>
  <c r="AH125" i="8"/>
  <c r="BO162" i="8"/>
  <c r="BT162" i="8"/>
  <c r="BL162" i="8"/>
  <c r="BP162" i="8"/>
  <c r="BR162" i="8"/>
  <c r="BS162" i="8"/>
  <c r="BN162" i="8"/>
  <c r="BQ162" i="8"/>
  <c r="BU162" i="8"/>
  <c r="BM162" i="8"/>
  <c r="AH122" i="8"/>
  <c r="BS116" i="8"/>
  <c r="BR116" i="8"/>
  <c r="BN116" i="8"/>
  <c r="BQ116" i="8"/>
  <c r="BO116" i="8"/>
  <c r="BP116" i="8"/>
  <c r="BM116" i="8"/>
  <c r="BU116" i="8"/>
  <c r="BT116" i="8"/>
  <c r="BL116" i="8"/>
  <c r="BS373" i="8"/>
  <c r="BQ373" i="8"/>
  <c r="BO373" i="8"/>
  <c r="BR373" i="8"/>
  <c r="BL373" i="8"/>
  <c r="BT373" i="8"/>
  <c r="BN373" i="8"/>
  <c r="BP373" i="8"/>
  <c r="BM373" i="8"/>
  <c r="BU373" i="8"/>
  <c r="AT140" i="8"/>
  <c r="AH107" i="8"/>
  <c r="BM163" i="8"/>
  <c r="BT163" i="8"/>
  <c r="BU163" i="8"/>
  <c r="BN163" i="8"/>
  <c r="BS163" i="8"/>
  <c r="BR163" i="8"/>
  <c r="BL163" i="8"/>
  <c r="BQ163" i="8"/>
  <c r="BO163" i="8"/>
  <c r="BP163" i="8"/>
  <c r="AH99" i="8"/>
  <c r="AT111" i="8"/>
  <c r="BL164" i="8"/>
  <c r="BT164" i="8"/>
  <c r="BS164" i="8"/>
  <c r="BR164" i="8"/>
  <c r="BO164" i="8"/>
  <c r="BN164" i="8"/>
  <c r="BQ164" i="8"/>
  <c r="BU164" i="8"/>
  <c r="BP164" i="8"/>
  <c r="BM164" i="8"/>
  <c r="AT180" i="8"/>
  <c r="BT278" i="8"/>
  <c r="BS278" i="8"/>
  <c r="BM278" i="8"/>
  <c r="BP278" i="8"/>
  <c r="BL278" i="8"/>
  <c r="BQ278" i="8"/>
  <c r="BO278" i="8"/>
  <c r="BR278" i="8"/>
  <c r="BN278" i="8"/>
  <c r="BU278" i="8"/>
  <c r="BR297" i="8"/>
  <c r="BO297" i="8"/>
  <c r="BS297" i="8"/>
  <c r="BQ297" i="8"/>
  <c r="BP297" i="8"/>
  <c r="BN297" i="8"/>
  <c r="BU297" i="8"/>
  <c r="BM297" i="8"/>
  <c r="BT297" i="8"/>
  <c r="BL297" i="8"/>
  <c r="AT210" i="8"/>
  <c r="BR305" i="8"/>
  <c r="BO305" i="8"/>
  <c r="BU305" i="8"/>
  <c r="BN305" i="8"/>
  <c r="BM305" i="8"/>
  <c r="BT305" i="8"/>
  <c r="BL305" i="8"/>
  <c r="BS305" i="8"/>
  <c r="BQ305" i="8"/>
  <c r="BP305" i="8"/>
  <c r="AT190" i="8"/>
  <c r="AT306" i="8"/>
  <c r="BR746" i="8"/>
  <c r="BN746" i="8"/>
  <c r="BQ746" i="8"/>
  <c r="BP746" i="8"/>
  <c r="BO746" i="8"/>
  <c r="BU746" i="8"/>
  <c r="BM746" i="8"/>
  <c r="BT746" i="8"/>
  <c r="BL746" i="8"/>
  <c r="BS746" i="8"/>
  <c r="BR184" i="8"/>
  <c r="BN184" i="8"/>
  <c r="BU184" i="8"/>
  <c r="BM184" i="8"/>
  <c r="BT184" i="8"/>
  <c r="BL184" i="8"/>
  <c r="BS184" i="8"/>
  <c r="BQ184" i="8"/>
  <c r="BP184" i="8"/>
  <c r="BO184" i="8"/>
  <c r="BS361" i="8"/>
  <c r="BN361" i="8"/>
  <c r="BP361" i="8"/>
  <c r="BM361" i="8"/>
  <c r="BU361" i="8"/>
  <c r="BQ361" i="8"/>
  <c r="BO361" i="8"/>
  <c r="BL361" i="8"/>
  <c r="BR361" i="8"/>
  <c r="BT361" i="8"/>
  <c r="AT523" i="8"/>
  <c r="BR691" i="8"/>
  <c r="BQ691" i="8"/>
  <c r="BP691" i="8"/>
  <c r="BO691" i="8"/>
  <c r="BU691" i="8"/>
  <c r="BM691" i="8"/>
  <c r="BT691" i="8"/>
  <c r="BL691" i="8"/>
  <c r="BN691" i="8"/>
  <c r="BS691" i="8"/>
  <c r="BQ812" i="8"/>
  <c r="BS812" i="8"/>
  <c r="BR812" i="8"/>
  <c r="BP812" i="8"/>
  <c r="BO812" i="8"/>
  <c r="BN812" i="8"/>
  <c r="BU812" i="8"/>
  <c r="BM812" i="8"/>
  <c r="BL812" i="8"/>
  <c r="BT812" i="8"/>
  <c r="BP552" i="8"/>
  <c r="BQ552" i="8"/>
  <c r="BN552" i="8"/>
  <c r="BU552" i="8"/>
  <c r="BO552" i="8"/>
  <c r="BR552" i="8"/>
  <c r="BS552" i="8"/>
  <c r="BL552" i="8"/>
  <c r="BM552" i="8"/>
  <c r="BT552" i="8"/>
  <c r="AT556" i="8"/>
  <c r="AH762" i="8"/>
  <c r="AT510" i="8"/>
  <c r="BR575" i="8"/>
  <c r="BO575" i="8"/>
  <c r="BN575" i="8"/>
  <c r="BP575" i="8"/>
  <c r="BL575" i="8"/>
  <c r="BM575" i="8"/>
  <c r="BU575" i="8"/>
  <c r="BQ575" i="8"/>
  <c r="BS575" i="8"/>
  <c r="BT575" i="8"/>
  <c r="AH753" i="8"/>
  <c r="BR709" i="8"/>
  <c r="BN709" i="8"/>
  <c r="BM709" i="8"/>
  <c r="BT709" i="8"/>
  <c r="BL709" i="8"/>
  <c r="BS709" i="8"/>
  <c r="BQ709" i="8"/>
  <c r="BP709" i="8"/>
  <c r="BO709" i="8"/>
  <c r="BU709" i="8"/>
  <c r="BQ701" i="8"/>
  <c r="BT701" i="8"/>
  <c r="BS701" i="8"/>
  <c r="BO701" i="8"/>
  <c r="BM701" i="8"/>
  <c r="BU701" i="8"/>
  <c r="BR701" i="8"/>
  <c r="BP701" i="8"/>
  <c r="BL701" i="8"/>
  <c r="BN701" i="8"/>
  <c r="BR752" i="8"/>
  <c r="BN752" i="8"/>
  <c r="BU752" i="8"/>
  <c r="BM752" i="8"/>
  <c r="BT752" i="8"/>
  <c r="BL752" i="8"/>
  <c r="BO752" i="8"/>
  <c r="BQ752" i="8"/>
  <c r="BS752" i="8"/>
  <c r="BP752" i="8"/>
  <c r="BR686" i="8"/>
  <c r="BN686" i="8"/>
  <c r="BL686" i="8"/>
  <c r="BS686" i="8"/>
  <c r="BQ686" i="8"/>
  <c r="BP686" i="8"/>
  <c r="BO686" i="8"/>
  <c r="BU686" i="8"/>
  <c r="BM686" i="8"/>
  <c r="BT686" i="8"/>
  <c r="BU725" i="8"/>
  <c r="BN725" i="8"/>
  <c r="BO725" i="8"/>
  <c r="BP725" i="8"/>
  <c r="BQ725" i="8"/>
  <c r="BL725" i="8"/>
  <c r="BT725" i="8"/>
  <c r="BS725" i="8"/>
  <c r="BR725" i="8"/>
  <c r="BM725" i="8"/>
  <c r="BL756" i="8"/>
  <c r="BQ756" i="8"/>
  <c r="BS756" i="8"/>
  <c r="BO756" i="8"/>
  <c r="BN756" i="8"/>
  <c r="BU756" i="8"/>
  <c r="BM756" i="8"/>
  <c r="BT756" i="8"/>
  <c r="BP756" i="8"/>
  <c r="BR756" i="8"/>
  <c r="BR726" i="8"/>
  <c r="BN726" i="8"/>
  <c r="BU726" i="8"/>
  <c r="BM726" i="8"/>
  <c r="BT726" i="8"/>
  <c r="BL726" i="8"/>
  <c r="BQ726" i="8"/>
  <c r="BS726" i="8"/>
  <c r="BP726" i="8"/>
  <c r="BO726" i="8"/>
  <c r="BR826" i="8"/>
  <c r="BT826" i="8"/>
  <c r="BS826" i="8"/>
  <c r="BM826" i="8"/>
  <c r="BQ826" i="8"/>
  <c r="BP826" i="8"/>
  <c r="BN826" i="8"/>
  <c r="BO826" i="8"/>
  <c r="BL826" i="8"/>
  <c r="BU826" i="8"/>
  <c r="BN687" i="8"/>
  <c r="BR687" i="8"/>
  <c r="BP687" i="8"/>
  <c r="BO687" i="8"/>
  <c r="BU687" i="8"/>
  <c r="BM687" i="8"/>
  <c r="BT687" i="8"/>
  <c r="BL687" i="8"/>
  <c r="BS687" i="8"/>
  <c r="BQ687" i="8"/>
  <c r="BR717" i="8"/>
  <c r="BN717" i="8"/>
  <c r="BP717" i="8"/>
  <c r="BO717" i="8"/>
  <c r="BU717" i="8"/>
  <c r="BM717" i="8"/>
  <c r="BT717" i="8"/>
  <c r="BL717" i="8"/>
  <c r="BS717" i="8"/>
  <c r="BQ717" i="8"/>
  <c r="AT401" i="1"/>
  <c r="BO401" i="1" s="1"/>
  <c r="G2" i="2"/>
  <c r="AH26" i="1" s="1"/>
  <c r="AT775" i="1"/>
  <c r="BT775" i="1" s="1"/>
  <c r="AH779" i="1"/>
  <c r="AQ779" i="1" s="1"/>
  <c r="BJ779" i="1" s="1"/>
  <c r="AT807" i="1"/>
  <c r="BU807" i="1" s="1"/>
  <c r="AH794" i="1"/>
  <c r="AH808" i="1"/>
  <c r="AT750" i="1"/>
  <c r="BU750" i="1" s="1"/>
  <c r="AH834" i="1"/>
  <c r="AT787" i="1"/>
  <c r="AT779" i="1"/>
  <c r="AT791" i="1"/>
  <c r="AT827" i="1"/>
  <c r="AT788" i="1"/>
  <c r="AH832" i="1"/>
  <c r="AT810" i="1"/>
  <c r="AT833" i="1"/>
  <c r="AH830" i="1"/>
  <c r="AT808" i="1"/>
  <c r="AH785" i="1"/>
  <c r="AT814" i="1"/>
  <c r="AT829" i="1"/>
  <c r="AH814" i="1"/>
  <c r="AH812" i="1"/>
  <c r="AT813" i="1"/>
  <c r="AT710" i="1"/>
  <c r="BL710" i="1" s="1"/>
  <c r="AH815" i="1"/>
  <c r="AH786" i="1"/>
  <c r="AT783" i="1"/>
  <c r="AH803" i="1"/>
  <c r="AH818" i="1"/>
  <c r="AT780" i="1"/>
  <c r="AH822" i="1"/>
  <c r="AT802" i="1"/>
  <c r="AT825" i="1"/>
  <c r="AH820" i="1"/>
  <c r="AT800" i="1"/>
  <c r="AH828" i="1"/>
  <c r="AT806" i="1"/>
  <c r="AT821" i="1"/>
  <c r="AH804" i="1"/>
  <c r="AT794" i="1"/>
  <c r="AH792" i="1"/>
  <c r="AH783" i="1"/>
  <c r="AT799" i="1"/>
  <c r="AH791" i="1"/>
  <c r="AH819" i="1"/>
  <c r="AT823" i="1"/>
  <c r="AT828" i="1"/>
  <c r="AH800" i="1"/>
  <c r="AT786" i="1"/>
  <c r="AT809" i="1"/>
  <c r="AH798" i="1"/>
  <c r="AT784" i="1"/>
  <c r="H35" i="5" s="1"/>
  <c r="AH806" i="1"/>
  <c r="AT790" i="1"/>
  <c r="AT805" i="1"/>
  <c r="AH782" i="1"/>
  <c r="AH833" i="1"/>
  <c r="AT798" i="1"/>
  <c r="AH778" i="1"/>
  <c r="AH811" i="1"/>
  <c r="AT803" i="1"/>
  <c r="AH810" i="1"/>
  <c r="AT831" i="1"/>
  <c r="AH813" i="1"/>
  <c r="AH790" i="1"/>
  <c r="AT778" i="1"/>
  <c r="H29" i="5" s="1"/>
  <c r="AT801" i="1"/>
  <c r="AH788" i="1"/>
  <c r="AT776" i="1"/>
  <c r="AH796" i="1"/>
  <c r="AT782" i="1"/>
  <c r="AT797" i="1"/>
  <c r="AH781" i="1"/>
  <c r="AH835" i="1"/>
  <c r="AT792" i="1"/>
  <c r="AH774" i="1"/>
  <c r="AJ774" i="1" s="1"/>
  <c r="BC774" i="1" s="1"/>
  <c r="AH807" i="1"/>
  <c r="AH787" i="1"/>
  <c r="AT835" i="1"/>
  <c r="AT795" i="1"/>
  <c r="AH827" i="1"/>
  <c r="AT820" i="1"/>
  <c r="AT834" i="1"/>
  <c r="AH821" i="1"/>
  <c r="AT793" i="1"/>
  <c r="AT832" i="1"/>
  <c r="AH829" i="1"/>
  <c r="AH784" i="1"/>
  <c r="AH825" i="1"/>
  <c r="AT789" i="1"/>
  <c r="AH780" i="1"/>
  <c r="AH795" i="1"/>
  <c r="AH816" i="1"/>
  <c r="AT765" i="1"/>
  <c r="BL765" i="1" s="1"/>
  <c r="AH799" i="1"/>
  <c r="AH826" i="1"/>
  <c r="AT819" i="1"/>
  <c r="AH823" i="1"/>
  <c r="AT804" i="1"/>
  <c r="AH801" i="1"/>
  <c r="AT826" i="1"/>
  <c r="AH809" i="1"/>
  <c r="AT785" i="1"/>
  <c r="H36" i="5" s="1"/>
  <c r="AT824" i="1"/>
  <c r="AH817" i="1"/>
  <c r="AT830" i="1"/>
  <c r="AH805" i="1"/>
  <c r="AT781" i="1"/>
  <c r="AH777" i="1"/>
  <c r="AT817" i="1"/>
  <c r="AT811" i="1"/>
  <c r="AT815" i="1"/>
  <c r="AH802" i="1"/>
  <c r="AH831" i="1"/>
  <c r="AT796" i="1"/>
  <c r="AT812" i="1"/>
  <c r="AT818" i="1"/>
  <c r="AH789" i="1"/>
  <c r="AT777" i="1"/>
  <c r="AT816" i="1"/>
  <c r="AH797" i="1"/>
  <c r="AT822" i="1"/>
  <c r="AH793" i="1"/>
  <c r="AH824" i="1"/>
  <c r="AH776" i="1"/>
  <c r="AT707" i="1"/>
  <c r="BL707" i="1" s="1"/>
  <c r="AT730" i="1"/>
  <c r="BU730" i="1" s="1"/>
  <c r="AT769" i="1"/>
  <c r="AT768" i="1"/>
  <c r="AT711" i="1"/>
  <c r="BQ711" i="1" s="1"/>
  <c r="AT729" i="1"/>
  <c r="BP729" i="1" s="1"/>
  <c r="AT767" i="1"/>
  <c r="AH768" i="1"/>
  <c r="AT738" i="1"/>
  <c r="BR738" i="1" s="1"/>
  <c r="AT770" i="1"/>
  <c r="AT774" i="1"/>
  <c r="AT772" i="1"/>
  <c r="AT719" i="1"/>
  <c r="BS719" i="1" s="1"/>
  <c r="AT746" i="1"/>
  <c r="BQ746" i="1" s="1"/>
  <c r="AT766" i="1"/>
  <c r="AT764" i="1"/>
  <c r="AH772" i="1"/>
  <c r="AH726" i="1"/>
  <c r="AO726" i="1" s="1"/>
  <c r="BH726" i="1" s="1"/>
  <c r="AH766" i="1"/>
  <c r="AH764" i="1"/>
  <c r="AT731" i="1"/>
  <c r="BP731" i="1" s="1"/>
  <c r="AH770" i="1"/>
  <c r="AT771" i="1"/>
  <c r="AT773" i="1"/>
  <c r="AT735" i="1"/>
  <c r="AT743" i="1"/>
  <c r="AT751" i="1"/>
  <c r="AT713" i="1"/>
  <c r="AT720" i="1"/>
  <c r="AT718" i="1"/>
  <c r="AT728" i="1"/>
  <c r="AT737" i="1"/>
  <c r="AH718" i="1"/>
  <c r="AT700" i="1"/>
  <c r="BP700" i="1" s="1"/>
  <c r="AT741" i="1"/>
  <c r="AH717" i="1"/>
  <c r="AT753" i="1"/>
  <c r="AT745" i="1"/>
  <c r="AT716" i="1"/>
  <c r="AT726" i="1"/>
  <c r="AT673" i="1"/>
  <c r="BL673" i="1" s="1"/>
  <c r="AH754" i="1"/>
  <c r="AT727" i="1"/>
  <c r="AT724" i="1"/>
  <c r="AT744" i="1"/>
  <c r="AH745" i="1"/>
  <c r="AT715" i="1"/>
  <c r="AT732" i="1"/>
  <c r="AT688" i="1"/>
  <c r="BM688" i="1" s="1"/>
  <c r="AT717" i="1"/>
  <c r="AT760" i="1"/>
  <c r="AT761" i="1"/>
  <c r="AT722" i="1"/>
  <c r="AT675" i="1"/>
  <c r="BS675" i="1" s="1"/>
  <c r="AT733" i="1"/>
  <c r="AH744" i="1"/>
  <c r="AT759" i="1"/>
  <c r="AT736" i="1"/>
  <c r="AT752" i="1"/>
  <c r="AT742" i="1"/>
  <c r="AT756" i="1"/>
  <c r="AT763" i="1"/>
  <c r="AT684" i="1"/>
  <c r="BS684" i="1" s="1"/>
  <c r="AH762" i="1"/>
  <c r="AT725" i="1"/>
  <c r="AH735" i="1"/>
  <c r="AH753" i="1"/>
  <c r="AT721" i="1"/>
  <c r="AH763" i="1"/>
  <c r="AT748" i="1"/>
  <c r="AT755" i="1"/>
  <c r="AT762" i="1"/>
  <c r="AT734" i="1"/>
  <c r="AT757" i="1"/>
  <c r="AH727" i="1"/>
  <c r="AT749" i="1"/>
  <c r="AH736" i="1"/>
  <c r="AT758" i="1"/>
  <c r="AT740" i="1"/>
  <c r="AT739" i="1"/>
  <c r="AT747" i="1"/>
  <c r="AT754" i="1"/>
  <c r="AT723" i="1"/>
  <c r="AT712" i="1"/>
  <c r="AT714" i="1"/>
  <c r="AT704" i="1"/>
  <c r="AT703" i="1"/>
  <c r="AT691" i="1"/>
  <c r="BN691" i="1" s="1"/>
  <c r="AT692" i="1"/>
  <c r="AT702" i="1"/>
  <c r="AT679" i="1"/>
  <c r="BR679" i="1" s="1"/>
  <c r="AT708" i="1"/>
  <c r="AT709" i="1"/>
  <c r="AT694" i="1"/>
  <c r="AT690" i="1"/>
  <c r="BN690" i="1" s="1"/>
  <c r="AT671" i="1"/>
  <c r="BN671" i="1" s="1"/>
  <c r="AT693" i="1"/>
  <c r="AT701" i="1"/>
  <c r="AT696" i="1"/>
  <c r="AT706" i="1"/>
  <c r="AT686" i="1"/>
  <c r="BP686" i="1" s="1"/>
  <c r="AT699" i="1"/>
  <c r="AT697" i="1"/>
  <c r="AT705" i="1"/>
  <c r="AT698" i="1"/>
  <c r="AT695" i="1"/>
  <c r="AT680" i="1"/>
  <c r="AT676" i="1"/>
  <c r="AT689" i="1"/>
  <c r="AT672" i="1"/>
  <c r="AT685" i="1"/>
  <c r="AT668" i="1"/>
  <c r="AT482" i="1"/>
  <c r="BM482" i="1" s="1"/>
  <c r="AT683" i="1"/>
  <c r="AT681" i="1"/>
  <c r="AT677" i="1"/>
  <c r="AT669" i="1"/>
  <c r="AT682" i="1"/>
  <c r="AT678" i="1"/>
  <c r="AT674" i="1"/>
  <c r="AT687" i="1"/>
  <c r="AT670" i="1"/>
  <c r="AT561" i="1"/>
  <c r="BO561" i="1" s="1"/>
  <c r="AT500" i="1"/>
  <c r="BR500" i="1" s="1"/>
  <c r="AT574" i="1"/>
  <c r="BL574" i="1" s="1"/>
  <c r="AT635" i="1"/>
  <c r="BQ635" i="1" s="1"/>
  <c r="AT642" i="1"/>
  <c r="BP642" i="1" s="1"/>
  <c r="AT588" i="1"/>
  <c r="BN588" i="1" s="1"/>
  <c r="AT594" i="1"/>
  <c r="BL594" i="1" s="1"/>
  <c r="AT270" i="1"/>
  <c r="BT270" i="1" s="1"/>
  <c r="AT605" i="1"/>
  <c r="BM605" i="1" s="1"/>
  <c r="AT603" i="1"/>
  <c r="BM603" i="1" s="1"/>
  <c r="AT644" i="1"/>
  <c r="BM644" i="1" s="1"/>
  <c r="AT641" i="1"/>
  <c r="BN641" i="1" s="1"/>
  <c r="AT577" i="1"/>
  <c r="BU577" i="1" s="1"/>
  <c r="AT616" i="1"/>
  <c r="BT616" i="1" s="1"/>
  <c r="AT655" i="1"/>
  <c r="BU655" i="1" s="1"/>
  <c r="AT591" i="1"/>
  <c r="BM591" i="1" s="1"/>
  <c r="AH52" i="1"/>
  <c r="AR52" i="1" s="1"/>
  <c r="BK52" i="1" s="1"/>
  <c r="AT638" i="1"/>
  <c r="BQ638" i="1" s="1"/>
  <c r="AT554" i="1"/>
  <c r="BU554" i="1" s="1"/>
  <c r="AT651" i="1"/>
  <c r="AT650" i="1"/>
  <c r="AT597" i="1"/>
  <c r="AT589" i="1"/>
  <c r="AT604" i="1"/>
  <c r="AT610" i="1"/>
  <c r="AT657" i="1"/>
  <c r="AT593" i="1"/>
  <c r="AT632" i="1"/>
  <c r="AT568" i="1"/>
  <c r="AT607" i="1"/>
  <c r="AT654" i="1"/>
  <c r="AT590" i="1"/>
  <c r="AT494" i="1"/>
  <c r="BT494" i="1" s="1"/>
  <c r="AT543" i="1"/>
  <c r="BR543" i="1" s="1"/>
  <c r="AT504" i="1"/>
  <c r="BP504" i="1" s="1"/>
  <c r="AT613" i="1"/>
  <c r="AT637" i="1"/>
  <c r="AT634" i="1"/>
  <c r="AT660" i="1"/>
  <c r="AT658" i="1"/>
  <c r="AT596" i="1"/>
  <c r="AT602" i="1"/>
  <c r="AT649" i="1"/>
  <c r="AT585" i="1"/>
  <c r="AT624" i="1"/>
  <c r="AT663" i="1"/>
  <c r="AT599" i="1"/>
  <c r="AT646" i="1"/>
  <c r="AT582" i="1"/>
  <c r="AT499" i="1"/>
  <c r="BM499" i="1" s="1"/>
  <c r="AT555" i="1"/>
  <c r="BL555" i="1" s="1"/>
  <c r="AT581" i="1"/>
  <c r="AT652" i="1"/>
  <c r="AT571" i="1"/>
  <c r="AT627" i="1"/>
  <c r="AT619" i="1"/>
  <c r="AT580" i="1"/>
  <c r="AT586" i="1"/>
  <c r="AT633" i="1"/>
  <c r="AT569" i="1"/>
  <c r="AT608" i="1"/>
  <c r="AT647" i="1"/>
  <c r="AT583" i="1"/>
  <c r="AT630" i="1"/>
  <c r="AT566" i="1"/>
  <c r="AT406" i="1"/>
  <c r="BL406" i="1" s="1"/>
  <c r="AT521" i="1"/>
  <c r="BP521" i="1" s="1"/>
  <c r="AT667" i="1"/>
  <c r="AT636" i="1"/>
  <c r="AT595" i="1"/>
  <c r="AT587" i="1"/>
  <c r="AT572" i="1"/>
  <c r="AT578" i="1"/>
  <c r="AT625" i="1"/>
  <c r="AT664" i="1"/>
  <c r="AT600" i="1"/>
  <c r="AT639" i="1"/>
  <c r="AT575" i="1"/>
  <c r="AT622" i="1"/>
  <c r="AT393" i="1"/>
  <c r="BS393" i="1" s="1"/>
  <c r="AT429" i="1"/>
  <c r="BU429" i="1" s="1"/>
  <c r="AT563" i="1"/>
  <c r="BT563" i="1" s="1"/>
  <c r="AT573" i="1"/>
  <c r="AT611" i="1"/>
  <c r="AT661" i="1"/>
  <c r="AT659" i="1"/>
  <c r="AT628" i="1"/>
  <c r="AT570" i="1"/>
  <c r="AT617" i="1"/>
  <c r="AT656" i="1"/>
  <c r="AT592" i="1"/>
  <c r="AT631" i="1"/>
  <c r="AT567" i="1"/>
  <c r="AT614" i="1"/>
  <c r="AT457" i="1"/>
  <c r="BL457" i="1" s="1"/>
  <c r="AT468" i="1"/>
  <c r="BO468" i="1" s="1"/>
  <c r="AT515" i="1"/>
  <c r="BO515" i="1" s="1"/>
  <c r="AT579" i="1"/>
  <c r="AT645" i="1"/>
  <c r="AT643" i="1"/>
  <c r="AT620" i="1"/>
  <c r="AT626" i="1"/>
  <c r="AT609" i="1"/>
  <c r="AT648" i="1"/>
  <c r="AT584" i="1"/>
  <c r="AT623" i="1"/>
  <c r="AT606" i="1"/>
  <c r="AT473" i="1"/>
  <c r="BO473" i="1" s="1"/>
  <c r="AT484" i="1"/>
  <c r="BM484" i="1" s="1"/>
  <c r="AT552" i="1"/>
  <c r="BL552" i="1" s="1"/>
  <c r="AT653" i="1"/>
  <c r="AT666" i="1"/>
  <c r="AT629" i="1"/>
  <c r="AT621" i="1"/>
  <c r="AT612" i="1"/>
  <c r="AT618" i="1"/>
  <c r="AT665" i="1"/>
  <c r="AT601" i="1"/>
  <c r="AT640" i="1"/>
  <c r="AT576" i="1"/>
  <c r="AT615" i="1"/>
  <c r="AT662" i="1"/>
  <c r="AT598" i="1"/>
  <c r="AT476" i="1"/>
  <c r="BN476" i="1" s="1"/>
  <c r="AT394" i="1"/>
  <c r="BS394" i="1" s="1"/>
  <c r="AT527" i="1"/>
  <c r="AT547" i="1"/>
  <c r="AT542" i="1"/>
  <c r="AT541" i="1"/>
  <c r="AT565" i="1"/>
  <c r="AT544" i="1"/>
  <c r="AT525" i="1"/>
  <c r="AT389" i="1"/>
  <c r="BS389" i="1" s="1"/>
  <c r="AT505" i="1"/>
  <c r="AT559" i="1"/>
  <c r="AT513" i="1"/>
  <c r="AT526" i="1"/>
  <c r="AT556" i="1"/>
  <c r="AT517" i="1"/>
  <c r="AT548" i="1"/>
  <c r="AT545" i="1"/>
  <c r="AT511" i="1"/>
  <c r="AT523" i="1"/>
  <c r="AT531" i="1"/>
  <c r="AT558" i="1"/>
  <c r="AT546" i="1"/>
  <c r="AT538" i="1"/>
  <c r="AT518" i="1"/>
  <c r="AT509" i="1"/>
  <c r="AT540" i="1"/>
  <c r="AT503" i="1"/>
  <c r="AT549" i="1"/>
  <c r="AT534" i="1"/>
  <c r="AT530" i="1"/>
  <c r="AT510" i="1"/>
  <c r="AT501" i="1"/>
  <c r="AT532" i="1"/>
  <c r="AT507" i="1"/>
  <c r="AT551" i="1"/>
  <c r="AT535" i="1"/>
  <c r="AT562" i="1"/>
  <c r="AT522" i="1"/>
  <c r="AT528" i="1"/>
  <c r="AT502" i="1"/>
  <c r="AT524" i="1"/>
  <c r="AT463" i="1"/>
  <c r="BR463" i="1" s="1"/>
  <c r="AT450" i="1"/>
  <c r="BT450" i="1" s="1"/>
  <c r="AT519" i="1"/>
  <c r="AT539" i="1"/>
  <c r="AT553" i="1"/>
  <c r="AT560" i="1"/>
  <c r="AT557" i="1"/>
  <c r="AT564" i="1"/>
  <c r="AT514" i="1"/>
  <c r="AT520" i="1"/>
  <c r="AT516" i="1"/>
  <c r="AT529" i="1"/>
  <c r="AT537" i="1"/>
  <c r="AT550" i="1"/>
  <c r="AT536" i="1"/>
  <c r="AT533" i="1"/>
  <c r="AT506" i="1"/>
  <c r="AT512" i="1"/>
  <c r="AT508" i="1"/>
  <c r="AT431" i="1"/>
  <c r="AT465" i="1"/>
  <c r="AT436" i="1"/>
  <c r="AT491" i="1"/>
  <c r="AT387" i="1"/>
  <c r="AT420" i="1"/>
  <c r="AT440" i="1"/>
  <c r="AT460" i="1"/>
  <c r="AT477" i="1"/>
  <c r="AT493" i="1"/>
  <c r="AT411" i="1"/>
  <c r="AT397" i="1"/>
  <c r="AT495" i="1"/>
  <c r="AT407" i="1"/>
  <c r="AT415" i="1"/>
  <c r="AT458" i="1"/>
  <c r="AT426" i="1"/>
  <c r="AT464" i="1"/>
  <c r="AT490" i="1"/>
  <c r="AT386" i="1"/>
  <c r="AT419" i="1"/>
  <c r="AT438" i="1"/>
  <c r="AT459" i="1"/>
  <c r="AT475" i="1"/>
  <c r="AT391" i="1"/>
  <c r="AT439" i="1"/>
  <c r="AT447" i="1"/>
  <c r="AT492" i="1"/>
  <c r="AT444" i="1"/>
  <c r="AT453" i="1"/>
  <c r="AT472" i="1"/>
  <c r="AT498" i="1"/>
  <c r="AT403" i="1"/>
  <c r="AT428" i="1"/>
  <c r="AT448" i="1"/>
  <c r="AT466" i="1"/>
  <c r="AT398" i="1"/>
  <c r="AT433" i="1"/>
  <c r="AT423" i="1"/>
  <c r="AT471" i="1"/>
  <c r="AT479" i="1"/>
  <c r="AT474" i="1"/>
  <c r="AT454" i="1"/>
  <c r="AT434" i="1"/>
  <c r="AT443" i="1"/>
  <c r="AT462" i="1"/>
  <c r="AT480" i="1"/>
  <c r="AT418" i="1"/>
  <c r="AT437" i="1"/>
  <c r="AT456" i="1"/>
  <c r="AT390" i="1"/>
  <c r="AT412" i="1"/>
  <c r="AT425" i="1"/>
  <c r="AT487" i="1"/>
  <c r="AT497" i="1"/>
  <c r="AT455" i="1"/>
  <c r="AT481" i="1"/>
  <c r="AT414" i="1"/>
  <c r="AT485" i="1"/>
  <c r="AT422" i="1"/>
  <c r="AT432" i="1"/>
  <c r="AT452" i="1"/>
  <c r="AT470" i="1"/>
  <c r="AT488" i="1"/>
  <c r="AT402" i="1"/>
  <c r="AT427" i="1"/>
  <c r="AT445" i="1"/>
  <c r="AT404" i="1"/>
  <c r="AT409" i="1"/>
  <c r="AT489" i="1"/>
  <c r="AT417" i="1"/>
  <c r="AT467" i="1"/>
  <c r="AT446" i="1"/>
  <c r="AT410" i="1"/>
  <c r="AT421" i="1"/>
  <c r="AT442" i="1"/>
  <c r="AT461" i="1"/>
  <c r="AT478" i="1"/>
  <c r="AT496" i="1"/>
  <c r="AT416" i="1"/>
  <c r="AT435" i="1"/>
  <c r="AT413" i="1"/>
  <c r="AT396" i="1"/>
  <c r="AT399" i="1"/>
  <c r="AT441" i="1"/>
  <c r="AT449" i="1"/>
  <c r="AT395" i="1"/>
  <c r="AT483" i="1"/>
  <c r="AT392" i="1"/>
  <c r="AT408" i="1"/>
  <c r="AT430" i="1"/>
  <c r="AT451" i="1"/>
  <c r="AT469" i="1"/>
  <c r="AT486" i="1"/>
  <c r="AT400" i="1"/>
  <c r="AT424" i="1"/>
  <c r="AT405" i="1"/>
  <c r="AT388" i="1"/>
  <c r="AT365" i="1"/>
  <c r="AT361" i="1"/>
  <c r="AT378" i="1"/>
  <c r="AT366" i="1"/>
  <c r="AT385" i="1"/>
  <c r="AT352" i="1"/>
  <c r="AT349" i="1"/>
  <c r="AT359" i="1"/>
  <c r="AT368" i="1"/>
  <c r="AT355" i="1"/>
  <c r="AT374" i="1"/>
  <c r="AT375" i="1"/>
  <c r="AT384" i="1"/>
  <c r="AT369" i="1"/>
  <c r="AT345" i="1"/>
  <c r="AT353" i="1"/>
  <c r="AT346" i="1"/>
  <c r="AT356" i="1"/>
  <c r="AT351" i="1"/>
  <c r="AT382" i="1"/>
  <c r="AT380" i="1"/>
  <c r="AT358" i="1"/>
  <c r="AT364" i="1"/>
  <c r="AT379" i="1"/>
  <c r="AT373" i="1"/>
  <c r="AT357" i="1"/>
  <c r="AT383" i="1"/>
  <c r="AT376" i="1"/>
  <c r="AT370" i="1"/>
  <c r="AT347" i="1"/>
  <c r="AT354" i="1"/>
  <c r="AT344" i="1"/>
  <c r="AT350" i="1"/>
  <c r="AT363" i="1"/>
  <c r="AT381" i="1"/>
  <c r="AT371" i="1"/>
  <c r="AT360" i="1"/>
  <c r="AT372" i="1"/>
  <c r="AT367" i="1"/>
  <c r="AT348" i="1"/>
  <c r="AT377" i="1"/>
  <c r="AT362" i="1"/>
  <c r="AT301" i="1"/>
  <c r="AT259" i="1"/>
  <c r="AT341" i="1"/>
  <c r="AT275" i="1"/>
  <c r="AT314" i="1"/>
  <c r="AT316" i="1"/>
  <c r="AT252" i="1"/>
  <c r="AT297" i="1"/>
  <c r="AT280" i="1"/>
  <c r="AT335" i="1"/>
  <c r="AT271" i="1"/>
  <c r="AT326" i="1"/>
  <c r="AT262" i="1"/>
  <c r="AT290" i="1"/>
  <c r="AT306" i="1"/>
  <c r="AT322" i="1"/>
  <c r="AT253" i="1"/>
  <c r="AT291" i="1"/>
  <c r="AT308" i="1"/>
  <c r="AT244" i="1"/>
  <c r="AT289" i="1"/>
  <c r="AT336" i="1"/>
  <c r="AT272" i="1"/>
  <c r="AT327" i="1"/>
  <c r="AT263" i="1"/>
  <c r="AT318" i="1"/>
  <c r="AT254" i="1"/>
  <c r="AT237" i="1"/>
  <c r="AT245" i="1"/>
  <c r="AT299" i="1"/>
  <c r="AT338" i="1"/>
  <c r="AT269" i="1"/>
  <c r="AT300" i="1"/>
  <c r="AT236" i="1"/>
  <c r="AT281" i="1"/>
  <c r="AT328" i="1"/>
  <c r="AT264" i="1"/>
  <c r="AT319" i="1"/>
  <c r="AT255" i="1"/>
  <c r="AT310" i="1"/>
  <c r="AT246" i="1"/>
  <c r="AT325" i="1"/>
  <c r="AT330" i="1"/>
  <c r="AT277" i="1"/>
  <c r="AT315" i="1"/>
  <c r="AT250" i="1"/>
  <c r="AT292" i="1"/>
  <c r="AT337" i="1"/>
  <c r="AT273" i="1"/>
  <c r="AT320" i="1"/>
  <c r="AT256" i="1"/>
  <c r="AT311" i="1"/>
  <c r="AT247" i="1"/>
  <c r="AT302" i="1"/>
  <c r="AT238" i="1"/>
  <c r="AT283" i="1"/>
  <c r="AT267" i="1"/>
  <c r="AT307" i="1"/>
  <c r="AT258" i="1"/>
  <c r="AT293" i="1"/>
  <c r="AT284" i="1"/>
  <c r="AT329" i="1"/>
  <c r="AT265" i="1"/>
  <c r="AT312" i="1"/>
  <c r="AT248" i="1"/>
  <c r="AT303" i="1"/>
  <c r="AT239" i="1"/>
  <c r="AT294" i="1"/>
  <c r="AT242" i="1"/>
  <c r="AT323" i="1"/>
  <c r="AT285" i="1"/>
  <c r="AT339" i="1"/>
  <c r="AT274" i="1"/>
  <c r="AT340" i="1"/>
  <c r="AT276" i="1"/>
  <c r="AT321" i="1"/>
  <c r="AT257" i="1"/>
  <c r="AT304" i="1"/>
  <c r="AT240" i="1"/>
  <c r="AT295" i="1"/>
  <c r="AT286" i="1"/>
  <c r="AT261" i="1"/>
  <c r="AT266" i="1"/>
  <c r="AT317" i="1"/>
  <c r="AT251" i="1"/>
  <c r="AT332" i="1"/>
  <c r="AT268" i="1"/>
  <c r="AT313" i="1"/>
  <c r="AT249" i="1"/>
  <c r="AT296" i="1"/>
  <c r="AT287" i="1"/>
  <c r="AT342" i="1"/>
  <c r="AT278" i="1"/>
  <c r="AT282" i="1"/>
  <c r="AT331" i="1"/>
  <c r="AT309" i="1"/>
  <c r="AT243" i="1"/>
  <c r="AT298" i="1"/>
  <c r="AT333" i="1"/>
  <c r="AT324" i="1"/>
  <c r="AT260" i="1"/>
  <c r="AT305" i="1"/>
  <c r="AT241" i="1"/>
  <c r="AT288" i="1"/>
  <c r="AT343" i="1"/>
  <c r="AT279" i="1"/>
  <c r="AT334" i="1"/>
  <c r="AT232" i="1"/>
  <c r="AH194" i="1"/>
  <c r="AT193" i="1"/>
  <c r="AT169" i="1"/>
  <c r="AT188" i="1"/>
  <c r="AH200" i="1"/>
  <c r="AT164" i="1"/>
  <c r="AT160" i="1"/>
  <c r="AT173" i="1"/>
  <c r="AT163" i="1"/>
  <c r="AH163" i="1"/>
  <c r="AT218" i="1"/>
  <c r="AT231" i="1"/>
  <c r="AT214" i="1"/>
  <c r="AH210" i="1"/>
  <c r="AT183" i="1"/>
  <c r="AH154" i="1"/>
  <c r="AH193" i="1"/>
  <c r="AH174" i="1"/>
  <c r="AT199" i="1"/>
  <c r="AT223" i="1"/>
  <c r="AH173" i="1"/>
  <c r="AT198" i="1"/>
  <c r="AT228" i="1"/>
  <c r="AT153" i="1"/>
  <c r="AT200" i="1"/>
  <c r="AH184" i="1"/>
  <c r="AT190" i="1"/>
  <c r="AT203" i="1"/>
  <c r="AT224" i="1"/>
  <c r="AT220" i="1"/>
  <c r="AT235" i="1"/>
  <c r="AT208" i="1"/>
  <c r="AT219" i="1"/>
  <c r="AT209" i="1"/>
  <c r="AH170" i="1"/>
  <c r="AH190" i="1"/>
  <c r="AT233" i="1"/>
  <c r="AT216" i="1"/>
  <c r="AT229" i="1"/>
  <c r="AT212" i="1"/>
  <c r="AH180" i="1"/>
  <c r="AT215" i="1"/>
  <c r="AT227" i="1"/>
  <c r="AT210" i="1"/>
  <c r="AT170" i="1"/>
  <c r="AT184" i="1"/>
  <c r="AT174" i="1"/>
  <c r="AT225" i="1"/>
  <c r="AT221" i="1"/>
  <c r="AH204" i="1"/>
  <c r="AT194" i="1"/>
  <c r="AT159" i="1"/>
  <c r="AT154" i="1"/>
  <c r="AT189" i="1"/>
  <c r="AH160" i="1"/>
  <c r="AT179" i="1"/>
  <c r="AT234" i="1"/>
  <c r="AT217" i="1"/>
  <c r="AT230" i="1"/>
  <c r="AT213" i="1"/>
  <c r="AH153" i="1"/>
  <c r="AH164" i="1"/>
  <c r="AT178" i="1"/>
  <c r="AT204" i="1"/>
  <c r="AH203" i="1"/>
  <c r="AT180" i="1"/>
  <c r="AT168" i="1"/>
  <c r="AH183" i="1"/>
  <c r="AT158" i="1"/>
  <c r="AT226" i="1"/>
  <c r="AT222" i="1"/>
  <c r="AT131" i="1"/>
  <c r="AT129" i="1"/>
  <c r="AT107" i="1"/>
  <c r="AH90" i="1"/>
  <c r="AH75" i="1"/>
  <c r="AH91" i="1"/>
  <c r="AH119" i="1"/>
  <c r="AT103" i="1"/>
  <c r="AT144" i="1"/>
  <c r="AT79" i="1"/>
  <c r="AT93" i="1"/>
  <c r="AT124" i="1"/>
  <c r="AT106" i="1"/>
  <c r="AH142" i="1"/>
  <c r="AH129" i="1"/>
  <c r="AT88" i="1"/>
  <c r="AH76" i="1"/>
  <c r="AT80" i="1"/>
  <c r="AT102" i="1"/>
  <c r="AT116" i="1"/>
  <c r="AT98" i="1"/>
  <c r="AH128" i="1"/>
  <c r="AT137" i="1"/>
  <c r="AH115" i="1"/>
  <c r="AH106" i="1"/>
  <c r="AT78" i="1"/>
  <c r="AT127" i="1"/>
  <c r="AT128" i="1"/>
  <c r="AT94" i="1"/>
  <c r="AT141" i="1"/>
  <c r="AH102" i="1"/>
  <c r="AT90" i="1"/>
  <c r="AH103" i="1"/>
  <c r="AT115" i="1"/>
  <c r="AT118" i="1"/>
  <c r="AH117" i="1"/>
  <c r="AH116" i="1"/>
  <c r="AT120" i="1"/>
  <c r="AT150" i="1"/>
  <c r="AT133" i="1"/>
  <c r="AT146" i="1"/>
  <c r="AH141" i="1"/>
  <c r="AH143" i="1"/>
  <c r="AT114" i="1"/>
  <c r="AH93" i="1"/>
  <c r="AT81" i="1"/>
  <c r="AT89" i="1"/>
  <c r="AH89" i="1"/>
  <c r="AT143" i="1"/>
  <c r="AT142" i="1"/>
  <c r="AT76" i="1"/>
  <c r="AT92" i="1"/>
  <c r="AT85" i="1"/>
  <c r="AT132" i="1"/>
  <c r="AH130" i="1"/>
  <c r="AT111" i="1"/>
  <c r="AT119" i="1"/>
  <c r="AT104" i="1"/>
  <c r="AT117" i="1"/>
  <c r="AT130" i="1"/>
  <c r="AT77" i="1"/>
  <c r="AH104" i="1"/>
  <c r="AH80" i="1"/>
  <c r="AT101" i="1"/>
  <c r="AH132" i="1"/>
  <c r="AT105" i="1"/>
  <c r="AT145" i="1"/>
  <c r="AH145" i="1"/>
  <c r="AT75" i="1"/>
  <c r="AT91" i="1"/>
  <c r="AT140" i="1"/>
  <c r="AH77" i="1"/>
  <c r="AH78" i="1"/>
  <c r="AT51" i="1"/>
  <c r="AH53" i="1"/>
  <c r="AT68" i="1"/>
  <c r="AH68" i="1"/>
  <c r="AT55" i="1"/>
  <c r="AT40" i="1"/>
  <c r="AT6" i="1"/>
  <c r="AT4" i="1"/>
  <c r="AH39" i="1"/>
  <c r="AH5" i="1"/>
  <c r="AH29" i="1"/>
  <c r="AT27" i="1"/>
  <c r="AT66" i="1"/>
  <c r="AH3" i="1"/>
  <c r="AT65" i="1"/>
  <c r="AT44" i="1"/>
  <c r="AT52" i="1"/>
  <c r="AT32" i="1"/>
  <c r="AH32" i="1"/>
  <c r="AH65" i="1"/>
  <c r="AT36" i="1"/>
  <c r="AT56" i="1"/>
  <c r="AT28" i="1"/>
  <c r="AT39" i="1"/>
  <c r="AT24" i="1"/>
  <c r="AT31" i="1"/>
  <c r="AH20" i="1"/>
  <c r="AH56" i="1"/>
  <c r="AH43" i="1"/>
  <c r="AT3" i="1"/>
  <c r="AH67" i="1"/>
  <c r="AT5" i="1"/>
  <c r="AT53" i="1"/>
  <c r="AT20" i="1"/>
  <c r="AH48" i="1"/>
  <c r="AT16" i="1"/>
  <c r="AH44" i="1"/>
  <c r="AH40" i="1"/>
  <c r="AH19" i="1"/>
  <c r="AH24" i="1"/>
  <c r="AH12" i="1"/>
  <c r="AT29" i="1"/>
  <c r="AH55" i="1"/>
  <c r="AT41" i="1"/>
  <c r="AH36" i="1"/>
  <c r="AT8" i="1"/>
  <c r="AT15" i="1"/>
  <c r="AH31" i="1"/>
  <c r="AH28" i="1"/>
  <c r="AH8" i="1"/>
  <c r="AH51" i="1"/>
  <c r="AT67" i="1"/>
  <c r="AH63" i="1"/>
  <c r="AT72" i="1"/>
  <c r="AH72" i="1"/>
  <c r="AT7" i="1"/>
  <c r="AT30" i="1"/>
  <c r="AH17" i="1"/>
  <c r="AH15" i="1"/>
  <c r="AH7" i="1"/>
  <c r="AT43" i="1"/>
  <c r="AT42" i="1"/>
  <c r="AH27" i="1"/>
  <c r="AT60" i="1"/>
  <c r="AT63" i="1"/>
  <c r="AH41" i="1"/>
  <c r="AH4" i="1"/>
  <c r="AH60" i="1"/>
  <c r="AH64" i="1"/>
  <c r="AT19" i="1"/>
  <c r="AT18" i="1"/>
  <c r="AT12" i="1"/>
  <c r="AT64" i="1"/>
  <c r="AT54" i="1"/>
  <c r="AT17" i="1"/>
  <c r="AT48" i="1"/>
  <c r="AH16" i="1"/>
  <c r="AH757" i="8"/>
  <c r="AH75" i="8"/>
  <c r="AH554" i="8"/>
  <c r="AJ554" i="8" s="1"/>
  <c r="BC554" i="8" s="1"/>
  <c r="AH101" i="1"/>
  <c r="AH85" i="1"/>
  <c r="AH430" i="8"/>
  <c r="G6" i="2"/>
  <c r="AH472" i="8"/>
  <c r="AH606" i="8"/>
  <c r="H99" i="3"/>
  <c r="H141" i="3" s="1"/>
  <c r="H98" i="3"/>
  <c r="H140" i="3" s="1"/>
  <c r="H91" i="3"/>
  <c r="H133" i="3" s="1"/>
  <c r="H89" i="3"/>
  <c r="H131" i="3" s="1"/>
  <c r="K121" i="3"/>
  <c r="L121" i="3"/>
  <c r="H34" i="5" l="1"/>
  <c r="AR770" i="8"/>
  <c r="BK770" i="8" s="1"/>
  <c r="AK826" i="8"/>
  <c r="BD826" i="8" s="1"/>
  <c r="BU236" i="8"/>
  <c r="BL236" i="8"/>
  <c r="BR236" i="8"/>
  <c r="AO770" i="8"/>
  <c r="BH770" i="8" s="1"/>
  <c r="AQ792" i="8"/>
  <c r="BJ792" i="8" s="1"/>
  <c r="AM792" i="8"/>
  <c r="BF792" i="8" s="1"/>
  <c r="AI803" i="8"/>
  <c r="BB803" i="8" s="1"/>
  <c r="AK821" i="8"/>
  <c r="BD821" i="8" s="1"/>
  <c r="BM236" i="8"/>
  <c r="AN821" i="8"/>
  <c r="BG821" i="8" s="1"/>
  <c r="AI821" i="8"/>
  <c r="BB821" i="8" s="1"/>
  <c r="BS236" i="8"/>
  <c r="AO780" i="8"/>
  <c r="BH780" i="8" s="1"/>
  <c r="BN236" i="8"/>
  <c r="AR818" i="8"/>
  <c r="BK818" i="8" s="1"/>
  <c r="BT236" i="8"/>
  <c r="AP770" i="8"/>
  <c r="BI770" i="8" s="1"/>
  <c r="AI780" i="8"/>
  <c r="BB780" i="8" s="1"/>
  <c r="AJ770" i="8"/>
  <c r="BC770" i="8" s="1"/>
  <c r="AI770" i="8"/>
  <c r="BB770" i="8" s="1"/>
  <c r="AK770" i="8"/>
  <c r="BD770" i="8" s="1"/>
  <c r="AL770" i="8"/>
  <c r="BE770" i="8" s="1"/>
  <c r="AQ770" i="8"/>
  <c r="BJ770" i="8" s="1"/>
  <c r="AN770" i="8"/>
  <c r="BG770" i="8" s="1"/>
  <c r="AM777" i="8"/>
  <c r="BF777" i="8" s="1"/>
  <c r="BQ546" i="8"/>
  <c r="AI792" i="8"/>
  <c r="BB792" i="8" s="1"/>
  <c r="AQ803" i="8"/>
  <c r="BJ803" i="8" s="1"/>
  <c r="BN546" i="8"/>
  <c r="AP777" i="8"/>
  <c r="BI777" i="8" s="1"/>
  <c r="BL546" i="8"/>
  <c r="AK792" i="8"/>
  <c r="BD792" i="8" s="1"/>
  <c r="AR803" i="8"/>
  <c r="BK803" i="8" s="1"/>
  <c r="BR546" i="8"/>
  <c r="BU546" i="8"/>
  <c r="AJ792" i="8"/>
  <c r="BC792" i="8" s="1"/>
  <c r="AK803" i="8"/>
  <c r="BD803" i="8" s="1"/>
  <c r="BS546" i="8"/>
  <c r="BM546" i="8"/>
  <c r="AL792" i="8"/>
  <c r="BE792" i="8" s="1"/>
  <c r="AJ803" i="8"/>
  <c r="BC803" i="8" s="1"/>
  <c r="BT546" i="8"/>
  <c r="AR792" i="8"/>
  <c r="BK792" i="8" s="1"/>
  <c r="AN803" i="8"/>
  <c r="BG803" i="8" s="1"/>
  <c r="BP546" i="8"/>
  <c r="AI764" i="8"/>
  <c r="BB764" i="8" s="1"/>
  <c r="AP792" i="8"/>
  <c r="BI792" i="8" s="1"/>
  <c r="AN780" i="8"/>
  <c r="BG780" i="8" s="1"/>
  <c r="AP780" i="8"/>
  <c r="BI780" i="8" s="1"/>
  <c r="AO821" i="8"/>
  <c r="BH821" i="8" s="1"/>
  <c r="AM821" i="8"/>
  <c r="BF821" i="8" s="1"/>
  <c r="AQ821" i="8"/>
  <c r="BJ821" i="8" s="1"/>
  <c r="AP821" i="8"/>
  <c r="BI821" i="8" s="1"/>
  <c r="AM766" i="8"/>
  <c r="BF766" i="8" s="1"/>
  <c r="AL821" i="8"/>
  <c r="AJ821" i="8"/>
  <c r="BC821" i="8" s="1"/>
  <c r="AH146" i="1"/>
  <c r="AN146" i="1" s="1"/>
  <c r="BG146" i="1" s="1"/>
  <c r="AQ744" i="8"/>
  <c r="BJ744" i="8" s="1"/>
  <c r="AH150" i="1"/>
  <c r="AN150" i="1" s="1"/>
  <c r="BG150" i="1" s="1"/>
  <c r="BR325" i="8"/>
  <c r="AJ799" i="8"/>
  <c r="BC799" i="8" s="1"/>
  <c r="AH133" i="1"/>
  <c r="AQ133" i="1" s="1"/>
  <c r="BJ133" i="1" s="1"/>
  <c r="AJ768" i="8"/>
  <c r="BC768" i="8" s="1"/>
  <c r="AR768" i="8"/>
  <c r="BK768" i="8" s="1"/>
  <c r="AP768" i="8"/>
  <c r="BI768" i="8" s="1"/>
  <c r="AK768" i="8"/>
  <c r="BD768" i="8" s="1"/>
  <c r="AH137" i="1"/>
  <c r="AM137" i="1" s="1"/>
  <c r="BF137" i="1" s="1"/>
  <c r="AQ768" i="8"/>
  <c r="BJ768" i="8" s="1"/>
  <c r="AL768" i="8"/>
  <c r="BE768" i="8" s="1"/>
  <c r="AM768" i="8"/>
  <c r="BF768" i="8" s="1"/>
  <c r="AI768" i="8"/>
  <c r="BB768" i="8" s="1"/>
  <c r="AO819" i="8"/>
  <c r="BH819" i="8" s="1"/>
  <c r="AN792" i="8"/>
  <c r="BG792" i="8" s="1"/>
  <c r="AM803" i="8"/>
  <c r="BF803" i="8" s="1"/>
  <c r="AI744" i="8"/>
  <c r="BB744" i="8" s="1"/>
  <c r="AJ780" i="8"/>
  <c r="BC780" i="8" s="1"/>
  <c r="AM819" i="8"/>
  <c r="BF819" i="8" s="1"/>
  <c r="AQ780" i="8"/>
  <c r="BJ780" i="8" s="1"/>
  <c r="AP803" i="8"/>
  <c r="BI803" i="8" s="1"/>
  <c r="AP727" i="8"/>
  <c r="BI727" i="8" s="1"/>
  <c r="AL780" i="8"/>
  <c r="BE780" i="8" s="1"/>
  <c r="AH124" i="1"/>
  <c r="AH120" i="1"/>
  <c r="AN120" i="1" s="1"/>
  <c r="BG120" i="1" s="1"/>
  <c r="AL818" i="8"/>
  <c r="BE818" i="8" s="1"/>
  <c r="AJ818" i="8"/>
  <c r="BC818" i="8" s="1"/>
  <c r="AM826" i="8"/>
  <c r="BF826" i="8" s="1"/>
  <c r="AM818" i="8"/>
  <c r="BF818" i="8" s="1"/>
  <c r="AK818" i="8"/>
  <c r="BD818" i="8" s="1"/>
  <c r="AO826" i="8"/>
  <c r="BH826" i="8" s="1"/>
  <c r="AO818" i="8"/>
  <c r="BH818" i="8" s="1"/>
  <c r="AQ826" i="8"/>
  <c r="BJ826" i="8" s="1"/>
  <c r="AH107" i="1"/>
  <c r="AQ107" i="1" s="1"/>
  <c r="BJ107" i="1" s="1"/>
  <c r="AH111" i="1"/>
  <c r="AJ111" i="1" s="1"/>
  <c r="BC111" i="1" s="1"/>
  <c r="AN818" i="8"/>
  <c r="BG818" i="8" s="1"/>
  <c r="AP826" i="8"/>
  <c r="BI826" i="8" s="1"/>
  <c r="AP818" i="8"/>
  <c r="BI818" i="8" s="1"/>
  <c r="AJ826" i="8"/>
  <c r="BC826" i="8" s="1"/>
  <c r="AN826" i="8"/>
  <c r="BG826" i="8" s="1"/>
  <c r="AI818" i="8"/>
  <c r="BB818" i="8" s="1"/>
  <c r="AR826" i="8"/>
  <c r="BK826" i="8" s="1"/>
  <c r="AI826" i="8"/>
  <c r="BB826" i="8" s="1"/>
  <c r="AP819" i="8"/>
  <c r="BI819" i="8" s="1"/>
  <c r="AJ744" i="8"/>
  <c r="BC744" i="8" s="1"/>
  <c r="AL744" i="8"/>
  <c r="BE744" i="8" s="1"/>
  <c r="AQ819" i="8"/>
  <c r="BJ819" i="8" s="1"/>
  <c r="AR744" i="8"/>
  <c r="BK744" i="8" s="1"/>
  <c r="AJ819" i="8"/>
  <c r="BC819" i="8" s="1"/>
  <c r="AP744" i="8"/>
  <c r="BI744" i="8" s="1"/>
  <c r="AM776" i="8"/>
  <c r="BF776" i="8" s="1"/>
  <c r="AK819" i="8"/>
  <c r="BD819" i="8" s="1"/>
  <c r="AK744" i="8"/>
  <c r="BD744" i="8" s="1"/>
  <c r="AH94" i="1"/>
  <c r="AM94" i="1" s="1"/>
  <c r="BF94" i="1" s="1"/>
  <c r="AR819" i="8"/>
  <c r="BK819" i="8" s="1"/>
  <c r="AM744" i="8"/>
  <c r="BF744" i="8" s="1"/>
  <c r="AL819" i="8"/>
  <c r="BE819" i="8" s="1"/>
  <c r="AN744" i="8"/>
  <c r="BG744" i="8" s="1"/>
  <c r="AH98" i="1"/>
  <c r="AL98" i="1" s="1"/>
  <c r="BE98" i="1" s="1"/>
  <c r="AN819" i="8"/>
  <c r="BG819" i="8" s="1"/>
  <c r="AH550" i="8"/>
  <c r="AP550" i="8" s="1"/>
  <c r="BI550" i="8" s="1"/>
  <c r="AJ727" i="8"/>
  <c r="BC727" i="8" s="1"/>
  <c r="AJ777" i="8"/>
  <c r="BC777" i="8" s="1"/>
  <c r="AH413" i="8"/>
  <c r="AJ413" i="8" s="1"/>
  <c r="BC413" i="8" s="1"/>
  <c r="AH668" i="1"/>
  <c r="AJ668" i="1" s="1"/>
  <c r="BC668" i="1" s="1"/>
  <c r="AH394" i="8"/>
  <c r="AP394" i="8" s="1"/>
  <c r="BI394" i="8" s="1"/>
  <c r="AH592" i="8"/>
  <c r="AK592" i="8" s="1"/>
  <c r="BD592" i="8" s="1"/>
  <c r="AR727" i="8"/>
  <c r="BK727" i="8" s="1"/>
  <c r="AR777" i="8"/>
  <c r="BK777" i="8" s="1"/>
  <c r="AN777" i="8"/>
  <c r="BG777" i="8" s="1"/>
  <c r="AH626" i="8"/>
  <c r="AH680" i="1"/>
  <c r="AH358" i="8"/>
  <c r="AI358" i="8" s="1"/>
  <c r="AH609" i="8"/>
  <c r="AJ609" i="8" s="1"/>
  <c r="BC609" i="8" s="1"/>
  <c r="AK727" i="8"/>
  <c r="BD727" i="8" s="1"/>
  <c r="AK777" i="8"/>
  <c r="BD777" i="8" s="1"/>
  <c r="AH707" i="1"/>
  <c r="AR707" i="1" s="1"/>
  <c r="BK707" i="1" s="1"/>
  <c r="AH451" i="8"/>
  <c r="AN451" i="8" s="1"/>
  <c r="BG451" i="8" s="1"/>
  <c r="AH660" i="8"/>
  <c r="AJ660" i="8" s="1"/>
  <c r="BC660" i="8" s="1"/>
  <c r="AL727" i="8"/>
  <c r="BE727" i="8" s="1"/>
  <c r="AO777" i="8"/>
  <c r="BH777" i="8" s="1"/>
  <c r="AH643" i="8"/>
  <c r="AI643" i="8" s="1"/>
  <c r="BB643" i="8" s="1"/>
  <c r="AH489" i="8"/>
  <c r="AK489" i="8" s="1"/>
  <c r="BD489" i="8" s="1"/>
  <c r="AH432" i="8"/>
  <c r="AM432" i="8" s="1"/>
  <c r="BF432" i="8" s="1"/>
  <c r="AI727" i="8"/>
  <c r="BB727" i="8" s="1"/>
  <c r="AM727" i="8"/>
  <c r="BF727" i="8" s="1"/>
  <c r="AL777" i="8"/>
  <c r="BE777" i="8" s="1"/>
  <c r="AH688" i="1"/>
  <c r="AL688" i="1" s="1"/>
  <c r="BE688" i="1" s="1"/>
  <c r="AO727" i="8"/>
  <c r="BH727" i="8" s="1"/>
  <c r="AN727" i="8"/>
  <c r="BG727" i="8" s="1"/>
  <c r="AQ777" i="8"/>
  <c r="BJ777" i="8" s="1"/>
  <c r="AH470" i="8"/>
  <c r="AH575" i="8"/>
  <c r="AO575" i="8" s="1"/>
  <c r="BH575" i="8" s="1"/>
  <c r="AH452" i="8"/>
  <c r="AN452" i="8" s="1"/>
  <c r="BG452" i="8" s="1"/>
  <c r="AH610" i="8"/>
  <c r="AR610" i="8" s="1"/>
  <c r="BK610" i="8" s="1"/>
  <c r="AH471" i="8"/>
  <c r="AI471" i="8" s="1"/>
  <c r="AH627" i="8"/>
  <c r="AL627" i="8" s="1"/>
  <c r="BE627" i="8" s="1"/>
  <c r="AH414" i="8"/>
  <c r="AH395" i="8"/>
  <c r="AN395" i="8" s="1"/>
  <c r="BG395" i="8" s="1"/>
  <c r="AH576" i="8"/>
  <c r="AN576" i="8" s="1"/>
  <c r="BG576" i="8" s="1"/>
  <c r="AH490" i="8"/>
  <c r="AK490" i="8" s="1"/>
  <c r="BD490" i="8" s="1"/>
  <c r="AH644" i="8"/>
  <c r="AN644" i="8" s="1"/>
  <c r="BG644" i="8" s="1"/>
  <c r="AH593" i="8"/>
  <c r="AI593" i="8" s="1"/>
  <c r="AH433" i="8"/>
  <c r="AM433" i="8" s="1"/>
  <c r="BF433" i="8" s="1"/>
  <c r="AH661" i="8"/>
  <c r="AH329" i="8"/>
  <c r="AP329" i="8" s="1"/>
  <c r="BI329" i="8" s="1"/>
  <c r="AJ800" i="8"/>
  <c r="BC800" i="8" s="1"/>
  <c r="AH594" i="8"/>
  <c r="AN594" i="8" s="1"/>
  <c r="BG594" i="8" s="1"/>
  <c r="AO829" i="8"/>
  <c r="BH829" i="8" s="1"/>
  <c r="AO800" i="8"/>
  <c r="BH800" i="8" s="1"/>
  <c r="AH434" i="8"/>
  <c r="AO434" i="8" s="1"/>
  <c r="BH434" i="8" s="1"/>
  <c r="AP829" i="8"/>
  <c r="BI829" i="8" s="1"/>
  <c r="AH577" i="8"/>
  <c r="AK577" i="8" s="1"/>
  <c r="BD577" i="8" s="1"/>
  <c r="AQ829" i="8"/>
  <c r="BJ829" i="8" s="1"/>
  <c r="AR778" i="8"/>
  <c r="BK778" i="8" s="1"/>
  <c r="AH611" i="8"/>
  <c r="AR611" i="8" s="1"/>
  <c r="BK611" i="8" s="1"/>
  <c r="AR829" i="8"/>
  <c r="BK829" i="8" s="1"/>
  <c r="AH662" i="8"/>
  <c r="AH645" i="8"/>
  <c r="AQ645" i="8" s="1"/>
  <c r="BJ645" i="8" s="1"/>
  <c r="AM829" i="8"/>
  <c r="BF829" i="8" s="1"/>
  <c r="AK829" i="8"/>
  <c r="BD829" i="8" s="1"/>
  <c r="AH491" i="8"/>
  <c r="AQ491" i="8" s="1"/>
  <c r="BJ491" i="8" s="1"/>
  <c r="AN829" i="8"/>
  <c r="BG829" i="8" s="1"/>
  <c r="AL829" i="8"/>
  <c r="BE829" i="8" s="1"/>
  <c r="AH453" i="8"/>
  <c r="AL453" i="8" s="1"/>
  <c r="BE453" i="8" s="1"/>
  <c r="AH415" i="8"/>
  <c r="AL415" i="8" s="1"/>
  <c r="BE415" i="8" s="1"/>
  <c r="AH628" i="8"/>
  <c r="AQ628" i="8" s="1"/>
  <c r="BJ628" i="8" s="1"/>
  <c r="AH396" i="8"/>
  <c r="AH663" i="8"/>
  <c r="AQ663" i="8" s="1"/>
  <c r="BJ663" i="8" s="1"/>
  <c r="AH416" i="8"/>
  <c r="AM416" i="8" s="1"/>
  <c r="BF416" i="8" s="1"/>
  <c r="AH473" i="8"/>
  <c r="AO473" i="8" s="1"/>
  <c r="BH473" i="8" s="1"/>
  <c r="AH560" i="8"/>
  <c r="AL560" i="8" s="1"/>
  <c r="BE560" i="8" s="1"/>
  <c r="AH259" i="8"/>
  <c r="AM259" i="8" s="1"/>
  <c r="BF259" i="8" s="1"/>
  <c r="AH241" i="8"/>
  <c r="AR241" i="8" s="1"/>
  <c r="BK241" i="8" s="1"/>
  <c r="AH578" i="8"/>
  <c r="AO578" i="8" s="1"/>
  <c r="BH578" i="8" s="1"/>
  <c r="AH538" i="8"/>
  <c r="AH454" i="8"/>
  <c r="AM454" i="8" s="1"/>
  <c r="BF454" i="8" s="1"/>
  <c r="AH612" i="8"/>
  <c r="AQ612" i="8" s="1"/>
  <c r="BJ612" i="8" s="1"/>
  <c r="AH331" i="8"/>
  <c r="AR331" i="8" s="1"/>
  <c r="BK331" i="8" s="1"/>
  <c r="AH277" i="8"/>
  <c r="AN277" i="8" s="1"/>
  <c r="BG277" i="8" s="1"/>
  <c r="AH549" i="8"/>
  <c r="AH295" i="8"/>
  <c r="AJ295" i="8" s="1"/>
  <c r="BC295" i="8" s="1"/>
  <c r="AH397" i="8"/>
  <c r="AJ397" i="8" s="1"/>
  <c r="BC397" i="8" s="1"/>
  <c r="AH629" i="8"/>
  <c r="AH527" i="8"/>
  <c r="AR527" i="8" s="1"/>
  <c r="BK527" i="8" s="1"/>
  <c r="AH595" i="8"/>
  <c r="AQ595" i="8" s="1"/>
  <c r="BJ595" i="8" s="1"/>
  <c r="AH435" i="8"/>
  <c r="AL435" i="8" s="1"/>
  <c r="BE435" i="8" s="1"/>
  <c r="AH505" i="8"/>
  <c r="AM505" i="8" s="1"/>
  <c r="BF505" i="8" s="1"/>
  <c r="AH516" i="8"/>
  <c r="AO516" i="8" s="1"/>
  <c r="BH516" i="8" s="1"/>
  <c r="AH492" i="8"/>
  <c r="AH81" i="1"/>
  <c r="AK81" i="1" s="1"/>
  <c r="BD81" i="1" s="1"/>
  <c r="AH313" i="8"/>
  <c r="AH646" i="8"/>
  <c r="AH114" i="1"/>
  <c r="AK114" i="1" s="1"/>
  <c r="BD114" i="1" s="1"/>
  <c r="AH647" i="8"/>
  <c r="AH242" i="8"/>
  <c r="AK242" i="8" s="1"/>
  <c r="BD242" i="8" s="1"/>
  <c r="AH314" i="8"/>
  <c r="AN314" i="8" s="1"/>
  <c r="BG314" i="8" s="1"/>
  <c r="AH528" i="8"/>
  <c r="AL528" i="8" s="1"/>
  <c r="BE528" i="8" s="1"/>
  <c r="AH140" i="8"/>
  <c r="AM140" i="8" s="1"/>
  <c r="BF140" i="8" s="1"/>
  <c r="AH664" i="8"/>
  <c r="AH617" i="8"/>
  <c r="AR617" i="8" s="1"/>
  <c r="BK617" i="8" s="1"/>
  <c r="AH140" i="1"/>
  <c r="AL140" i="1" s="1"/>
  <c r="BE140" i="1" s="1"/>
  <c r="AH596" i="8"/>
  <c r="AN596" i="8" s="1"/>
  <c r="BG596" i="8" s="1"/>
  <c r="AH260" i="8"/>
  <c r="AQ260" i="8" s="1"/>
  <c r="BJ260" i="8" s="1"/>
  <c r="AH579" i="8"/>
  <c r="AO579" i="8" s="1"/>
  <c r="BH579" i="8" s="1"/>
  <c r="AH278" i="8"/>
  <c r="AI278" i="8" s="1"/>
  <c r="AH566" i="8"/>
  <c r="AN566" i="8" s="1"/>
  <c r="BG566" i="8" s="1"/>
  <c r="AH600" i="8"/>
  <c r="AH127" i="8"/>
  <c r="AR127" i="8" s="1"/>
  <c r="BK127" i="8" s="1"/>
  <c r="AH101" i="8"/>
  <c r="AP101" i="8" s="1"/>
  <c r="BI101" i="8" s="1"/>
  <c r="AH634" i="8"/>
  <c r="AN634" i="8" s="1"/>
  <c r="BG634" i="8" s="1"/>
  <c r="AH88" i="1"/>
  <c r="AI88" i="1" s="1"/>
  <c r="AH613" i="8"/>
  <c r="AM613" i="8" s="1"/>
  <c r="BF613" i="8" s="1"/>
  <c r="AH88" i="8"/>
  <c r="AQ88" i="8" s="1"/>
  <c r="BJ88" i="8" s="1"/>
  <c r="AH651" i="8"/>
  <c r="AH127" i="1"/>
  <c r="AH506" i="8"/>
  <c r="AL506" i="8" s="1"/>
  <c r="BE506" i="8" s="1"/>
  <c r="AH561" i="8"/>
  <c r="AL561" i="8" s="1"/>
  <c r="BE561" i="8" s="1"/>
  <c r="AH583" i="8"/>
  <c r="AI583" i="8" s="1"/>
  <c r="AH296" i="8"/>
  <c r="AR296" i="8" s="1"/>
  <c r="BK296" i="8" s="1"/>
  <c r="AH332" i="8"/>
  <c r="AH213" i="8"/>
  <c r="AJ213" i="8" s="1"/>
  <c r="BC213" i="8" s="1"/>
  <c r="AH539" i="8"/>
  <c r="AQ539" i="8" s="1"/>
  <c r="BJ539" i="8" s="1"/>
  <c r="AH517" i="8"/>
  <c r="AH630" i="8"/>
  <c r="AH114" i="8"/>
  <c r="AH733" i="8"/>
  <c r="AP733" i="8" s="1"/>
  <c r="BI733" i="8" s="1"/>
  <c r="AH208" i="1"/>
  <c r="AN208" i="1" s="1"/>
  <c r="BG208" i="1" s="1"/>
  <c r="AH692" i="1"/>
  <c r="AP692" i="1" s="1"/>
  <c r="BI692" i="1" s="1"/>
  <c r="AH731" i="1"/>
  <c r="AO731" i="1" s="1"/>
  <c r="BH731" i="1" s="1"/>
  <c r="AH704" i="8"/>
  <c r="AJ704" i="8" s="1"/>
  <c r="BC704" i="8" s="1"/>
  <c r="AH698" i="8"/>
  <c r="AR698" i="8" s="1"/>
  <c r="BK698" i="8" s="1"/>
  <c r="AH684" i="8"/>
  <c r="AJ684" i="8" s="1"/>
  <c r="BC684" i="8" s="1"/>
  <c r="AH208" i="8"/>
  <c r="AN208" i="8" s="1"/>
  <c r="BG208" i="8" s="1"/>
  <c r="AH731" i="8"/>
  <c r="AR731" i="8" s="1"/>
  <c r="BK731" i="8" s="1"/>
  <c r="AH482" i="8"/>
  <c r="AM482" i="8" s="1"/>
  <c r="BF482" i="8" s="1"/>
  <c r="AH406" i="8"/>
  <c r="AJ406" i="8" s="1"/>
  <c r="BC406" i="8" s="1"/>
  <c r="AH493" i="8"/>
  <c r="AO493" i="8" s="1"/>
  <c r="BH493" i="8" s="1"/>
  <c r="AH455" i="8"/>
  <c r="AN455" i="8" s="1"/>
  <c r="BG455" i="8" s="1"/>
  <c r="AH188" i="1"/>
  <c r="AH168" i="1"/>
  <c r="AO168" i="1" s="1"/>
  <c r="BH168" i="1" s="1"/>
  <c r="AH684" i="1"/>
  <c r="AK684" i="1" s="1"/>
  <c r="BD684" i="1" s="1"/>
  <c r="AH704" i="1"/>
  <c r="AO704" i="1" s="1"/>
  <c r="BH704" i="1" s="1"/>
  <c r="AH713" i="1"/>
  <c r="AQ713" i="1" s="1"/>
  <c r="BJ713" i="1" s="1"/>
  <c r="AH722" i="1"/>
  <c r="AM722" i="1" s="1"/>
  <c r="BF722" i="1" s="1"/>
  <c r="AH749" i="1"/>
  <c r="AO749" i="1" s="1"/>
  <c r="BH749" i="1" s="1"/>
  <c r="AH676" i="8"/>
  <c r="AH444" i="8"/>
  <c r="AI444" i="8" s="1"/>
  <c r="AH668" i="8"/>
  <c r="AL668" i="8" s="1"/>
  <c r="BE668" i="8" s="1"/>
  <c r="AH297" i="8"/>
  <c r="AN297" i="8" s="1"/>
  <c r="BG297" i="8" s="1"/>
  <c r="AH692" i="8"/>
  <c r="AK692" i="8" s="1"/>
  <c r="BD692" i="8" s="1"/>
  <c r="AH567" i="8"/>
  <c r="AJ567" i="8" s="1"/>
  <c r="BC567" i="8" s="1"/>
  <c r="AH688" i="8"/>
  <c r="AK688" i="8" s="1"/>
  <c r="BD688" i="8" s="1"/>
  <c r="AH379" i="8"/>
  <c r="AM379" i="8" s="1"/>
  <c r="BF379" i="8" s="1"/>
  <c r="AH695" i="1"/>
  <c r="AQ695" i="1" s="1"/>
  <c r="BJ695" i="1" s="1"/>
  <c r="AH698" i="1"/>
  <c r="AH398" i="8"/>
  <c r="AL398" i="8" s="1"/>
  <c r="BE398" i="8" s="1"/>
  <c r="AH740" i="8"/>
  <c r="AN740" i="8" s="1"/>
  <c r="BG740" i="8" s="1"/>
  <c r="AH749" i="8"/>
  <c r="AI749" i="8" s="1"/>
  <c r="AH158" i="8"/>
  <c r="AJ158" i="8" s="1"/>
  <c r="BC158" i="8" s="1"/>
  <c r="AH279" i="8"/>
  <c r="AH417" i="8"/>
  <c r="AM417" i="8" s="1"/>
  <c r="BF417" i="8" s="1"/>
  <c r="AH188" i="8"/>
  <c r="AH333" i="8"/>
  <c r="AH243" i="8"/>
  <c r="AR243" i="8" s="1"/>
  <c r="BK243" i="8" s="1"/>
  <c r="AH713" i="8"/>
  <c r="AR713" i="8" s="1"/>
  <c r="BK713" i="8" s="1"/>
  <c r="AH601" i="8"/>
  <c r="AO601" i="8" s="1"/>
  <c r="BH601" i="8" s="1"/>
  <c r="AH168" i="8"/>
  <c r="AM168" i="8" s="1"/>
  <c r="BF168" i="8" s="1"/>
  <c r="AH597" i="8"/>
  <c r="AH315" i="8"/>
  <c r="AM315" i="8" s="1"/>
  <c r="BF315" i="8" s="1"/>
  <c r="AH652" i="8"/>
  <c r="AO652" i="8" s="1"/>
  <c r="BH652" i="8" s="1"/>
  <c r="AH707" i="8"/>
  <c r="AH178" i="8"/>
  <c r="AK178" i="8" s="1"/>
  <c r="BD178" i="8" s="1"/>
  <c r="AH198" i="8"/>
  <c r="AL198" i="8" s="1"/>
  <c r="BE198" i="8" s="1"/>
  <c r="AH261" i="8"/>
  <c r="AR261" i="8" s="1"/>
  <c r="BK261" i="8" s="1"/>
  <c r="AH436" i="8"/>
  <c r="AH584" i="8"/>
  <c r="AH198" i="1"/>
  <c r="AQ198" i="1" s="1"/>
  <c r="BJ198" i="1" s="1"/>
  <c r="AH158" i="1"/>
  <c r="AO158" i="1" s="1"/>
  <c r="BH158" i="1" s="1"/>
  <c r="AH178" i="1"/>
  <c r="AQ178" i="1" s="1"/>
  <c r="BJ178" i="1" s="1"/>
  <c r="AH672" i="1"/>
  <c r="AO672" i="1" s="1"/>
  <c r="BH672" i="1" s="1"/>
  <c r="AH740" i="1"/>
  <c r="AN740" i="1" s="1"/>
  <c r="BG740" i="1" s="1"/>
  <c r="AH758" i="1"/>
  <c r="AN758" i="1" s="1"/>
  <c r="BG758" i="1" s="1"/>
  <c r="AH695" i="8"/>
  <c r="AI695" i="8" s="1"/>
  <c r="AH701" i="8"/>
  <c r="AM701" i="8" s="1"/>
  <c r="BF701" i="8" s="1"/>
  <c r="AH665" i="8"/>
  <c r="AL665" i="8" s="1"/>
  <c r="BE665" i="8" s="1"/>
  <c r="AH474" i="8"/>
  <c r="AH631" i="8"/>
  <c r="AR631" i="8" s="1"/>
  <c r="BK631" i="8" s="1"/>
  <c r="AH425" i="8"/>
  <c r="AM425" i="8" s="1"/>
  <c r="BF425" i="8" s="1"/>
  <c r="AH372" i="8"/>
  <c r="AJ372" i="8" s="1"/>
  <c r="BC372" i="8" s="1"/>
  <c r="AH648" i="8"/>
  <c r="AH701" i="1"/>
  <c r="AL701" i="1" s="1"/>
  <c r="BE701" i="1" s="1"/>
  <c r="AH463" i="8"/>
  <c r="AI463" i="8" s="1"/>
  <c r="AH344" i="8"/>
  <c r="AN344" i="8" s="1"/>
  <c r="BG344" i="8" s="1"/>
  <c r="AH365" i="8"/>
  <c r="AH672" i="8"/>
  <c r="AK672" i="8" s="1"/>
  <c r="BD672" i="8" s="1"/>
  <c r="AH635" i="8"/>
  <c r="AP635" i="8" s="1"/>
  <c r="BI635" i="8" s="1"/>
  <c r="AH614" i="8"/>
  <c r="AI614" i="8" s="1"/>
  <c r="AH387" i="8"/>
  <c r="AH676" i="1"/>
  <c r="AL676" i="1" s="1"/>
  <c r="BE676" i="1" s="1"/>
  <c r="AH580" i="8"/>
  <c r="AN580" i="8" s="1"/>
  <c r="BG580" i="8" s="1"/>
  <c r="AH351" i="8"/>
  <c r="AO351" i="8" s="1"/>
  <c r="BH351" i="8" s="1"/>
  <c r="AH680" i="8"/>
  <c r="AN680" i="8" s="1"/>
  <c r="BG680" i="8" s="1"/>
  <c r="AH758" i="8"/>
  <c r="AH618" i="8"/>
  <c r="AJ618" i="8" s="1"/>
  <c r="BC618" i="8" s="1"/>
  <c r="AH722" i="8"/>
  <c r="AH159" i="1"/>
  <c r="AP159" i="1" s="1"/>
  <c r="BI159" i="1" s="1"/>
  <c r="AH280" i="8"/>
  <c r="AK280" i="8" s="1"/>
  <c r="BD280" i="8" s="1"/>
  <c r="AH598" i="8"/>
  <c r="AL598" i="8" s="1"/>
  <c r="BE598" i="8" s="1"/>
  <c r="AH373" i="8"/>
  <c r="AI373" i="8" s="1"/>
  <c r="AH316" i="8"/>
  <c r="AH366" i="8"/>
  <c r="AO366" i="8" s="1"/>
  <c r="BH366" i="8" s="1"/>
  <c r="AH615" i="8"/>
  <c r="AH189" i="8"/>
  <c r="AH262" i="8"/>
  <c r="AN262" i="8" s="1"/>
  <c r="BG262" i="8" s="1"/>
  <c r="AH209" i="8"/>
  <c r="AN209" i="8" s="1"/>
  <c r="BG209" i="8" s="1"/>
  <c r="AH464" i="8"/>
  <c r="AJ464" i="8" s="1"/>
  <c r="BC464" i="8" s="1"/>
  <c r="AH666" i="8"/>
  <c r="AM666" i="8" s="1"/>
  <c r="BF666" i="8" s="1"/>
  <c r="AR780" i="8"/>
  <c r="BK780" i="8" s="1"/>
  <c r="AM780" i="8"/>
  <c r="BF780" i="8" s="1"/>
  <c r="AH399" i="8"/>
  <c r="AI399" i="8" s="1"/>
  <c r="BB399" i="8" s="1"/>
  <c r="AH653" i="8"/>
  <c r="AH169" i="1"/>
  <c r="AL169" i="1" s="1"/>
  <c r="BE169" i="1" s="1"/>
  <c r="AH199" i="1"/>
  <c r="AM199" i="1" s="1"/>
  <c r="BF199" i="1" s="1"/>
  <c r="AH352" i="8"/>
  <c r="AH619" i="8"/>
  <c r="AI619" i="8" s="1"/>
  <c r="AH199" i="8"/>
  <c r="AL199" i="8" s="1"/>
  <c r="BE199" i="8" s="1"/>
  <c r="AH407" i="8"/>
  <c r="AP407" i="8" s="1"/>
  <c r="BI407" i="8" s="1"/>
  <c r="AH298" i="8"/>
  <c r="AO298" i="8" s="1"/>
  <c r="BH298" i="8" s="1"/>
  <c r="AH602" i="8"/>
  <c r="AM602" i="8" s="1"/>
  <c r="BF602" i="8" s="1"/>
  <c r="AH426" i="8"/>
  <c r="AH209" i="1"/>
  <c r="AO209" i="1" s="1"/>
  <c r="BH209" i="1" s="1"/>
  <c r="AH445" i="8"/>
  <c r="AI445" i="8" s="1"/>
  <c r="AH649" i="8"/>
  <c r="AQ649" i="8" s="1"/>
  <c r="BJ649" i="8" s="1"/>
  <c r="AH456" i="8"/>
  <c r="AO456" i="8" s="1"/>
  <c r="BH456" i="8" s="1"/>
  <c r="AH475" i="8"/>
  <c r="AH189" i="1"/>
  <c r="AL189" i="1" s="1"/>
  <c r="BE189" i="1" s="1"/>
  <c r="AH388" i="8"/>
  <c r="AL388" i="8" s="1"/>
  <c r="BE388" i="8" s="1"/>
  <c r="AH418" i="8"/>
  <c r="AP418" i="8" s="1"/>
  <c r="BI418" i="8" s="1"/>
  <c r="AH334" i="8"/>
  <c r="AN334" i="8" s="1"/>
  <c r="BG334" i="8" s="1"/>
  <c r="AH244" i="8"/>
  <c r="AR244" i="8" s="1"/>
  <c r="BK244" i="8" s="1"/>
  <c r="AH345" i="8"/>
  <c r="AL345" i="8" s="1"/>
  <c r="BE345" i="8" s="1"/>
  <c r="AH585" i="8"/>
  <c r="AN585" i="8" s="1"/>
  <c r="BG585" i="8" s="1"/>
  <c r="AH636" i="8"/>
  <c r="AN636" i="8" s="1"/>
  <c r="BG636" i="8" s="1"/>
  <c r="AH179" i="8"/>
  <c r="AN179" i="8" s="1"/>
  <c r="BG179" i="8" s="1"/>
  <c r="AH581" i="8"/>
  <c r="AI581" i="8" s="1"/>
  <c r="AH169" i="8"/>
  <c r="AJ169" i="8" s="1"/>
  <c r="BC169" i="8" s="1"/>
  <c r="AH437" i="8"/>
  <c r="AP437" i="8" s="1"/>
  <c r="BI437" i="8" s="1"/>
  <c r="AH632" i="8"/>
  <c r="AJ632" i="8" s="1"/>
  <c r="BC632" i="8" s="1"/>
  <c r="AH568" i="8"/>
  <c r="AM568" i="8" s="1"/>
  <c r="BF568" i="8" s="1"/>
  <c r="AH494" i="8"/>
  <c r="AR494" i="8" s="1"/>
  <c r="BK494" i="8" s="1"/>
  <c r="AH359" i="8"/>
  <c r="AH179" i="1"/>
  <c r="AO179" i="1" s="1"/>
  <c r="BH179" i="1" s="1"/>
  <c r="AH483" i="8"/>
  <c r="AM483" i="8" s="1"/>
  <c r="BF483" i="8" s="1"/>
  <c r="AH159" i="8"/>
  <c r="AJ159" i="8" s="1"/>
  <c r="BC159" i="8" s="1"/>
  <c r="AH380" i="8"/>
  <c r="AK380" i="8" s="1"/>
  <c r="BD380" i="8" s="1"/>
  <c r="AH693" i="1"/>
  <c r="AN693" i="1" s="1"/>
  <c r="BG693" i="1" s="1"/>
  <c r="AH681" i="8"/>
  <c r="AN681" i="8" s="1"/>
  <c r="BG681" i="8" s="1"/>
  <c r="AH677" i="8"/>
  <c r="AK677" i="8" s="1"/>
  <c r="BD677" i="8" s="1"/>
  <c r="AH480" i="8"/>
  <c r="AH367" i="8"/>
  <c r="AR367" i="8" s="1"/>
  <c r="BK367" i="8" s="1"/>
  <c r="AH317" i="8"/>
  <c r="AN317" i="8" s="1"/>
  <c r="BG317" i="8" s="1"/>
  <c r="AH353" i="8"/>
  <c r="AL353" i="8" s="1"/>
  <c r="BE353" i="8" s="1"/>
  <c r="AH374" i="8"/>
  <c r="AR374" i="8" s="1"/>
  <c r="BK374" i="8" s="1"/>
  <c r="AH400" i="8"/>
  <c r="AI400" i="8" s="1"/>
  <c r="AH263" i="8"/>
  <c r="AN263" i="8" s="1"/>
  <c r="BG263" i="8" s="1"/>
  <c r="AH357" i="8"/>
  <c r="AR357" i="8" s="1"/>
  <c r="BK357" i="8" s="1"/>
  <c r="AH281" i="8"/>
  <c r="AM281" i="8" s="1"/>
  <c r="BF281" i="8" s="1"/>
  <c r="AH732" i="8"/>
  <c r="AJ732" i="8" s="1"/>
  <c r="BC732" i="8" s="1"/>
  <c r="AH669" i="1"/>
  <c r="AN669" i="1" s="1"/>
  <c r="BG669" i="1" s="1"/>
  <c r="AH714" i="8"/>
  <c r="AR714" i="8" s="1"/>
  <c r="BK714" i="8" s="1"/>
  <c r="AH350" i="8"/>
  <c r="AM350" i="8" s="1"/>
  <c r="BF350" i="8" s="1"/>
  <c r="AH427" i="8"/>
  <c r="AN427" i="8" s="1"/>
  <c r="BG427" i="8" s="1"/>
  <c r="AH741" i="8"/>
  <c r="AO741" i="8" s="1"/>
  <c r="BH741" i="8" s="1"/>
  <c r="AH346" i="8"/>
  <c r="AH404" i="8"/>
  <c r="AH476" i="8"/>
  <c r="AP476" i="8" s="1"/>
  <c r="BI476" i="8" s="1"/>
  <c r="AH696" i="8"/>
  <c r="AL696" i="8" s="1"/>
  <c r="BE696" i="8" s="1"/>
  <c r="AH322" i="8"/>
  <c r="AR322" i="8" s="1"/>
  <c r="BK322" i="8" s="1"/>
  <c r="AH385" i="8"/>
  <c r="AO385" i="8" s="1"/>
  <c r="BH385" i="8" s="1"/>
  <c r="AH667" i="8"/>
  <c r="AK667" i="8" s="1"/>
  <c r="BD667" i="8" s="1"/>
  <c r="AH582" i="8"/>
  <c r="AH689" i="1"/>
  <c r="AM689" i="1" s="1"/>
  <c r="BF689" i="1" s="1"/>
  <c r="AH696" i="1"/>
  <c r="AH673" i="1"/>
  <c r="AP673" i="1" s="1"/>
  <c r="BI673" i="1" s="1"/>
  <c r="AH364" i="8"/>
  <c r="AM364" i="8" s="1"/>
  <c r="BF364" i="8" s="1"/>
  <c r="AH250" i="8"/>
  <c r="AQ250" i="8" s="1"/>
  <c r="BJ250" i="8" s="1"/>
  <c r="AH389" i="8"/>
  <c r="AK389" i="8" s="1"/>
  <c r="BD389" i="8" s="1"/>
  <c r="AH381" i="8"/>
  <c r="AR381" i="8" s="1"/>
  <c r="BK381" i="8" s="1"/>
  <c r="AH304" i="8"/>
  <c r="AQ304" i="8" s="1"/>
  <c r="BJ304" i="8" s="1"/>
  <c r="AH702" i="8"/>
  <c r="AL702" i="8" s="1"/>
  <c r="BE702" i="8" s="1"/>
  <c r="AH245" i="8"/>
  <c r="AH216" i="8"/>
  <c r="AP216" i="8" s="1"/>
  <c r="BI216" i="8" s="1"/>
  <c r="AH340" i="8"/>
  <c r="AQ340" i="8" s="1"/>
  <c r="BJ340" i="8" s="1"/>
  <c r="AH495" i="8"/>
  <c r="AQ495" i="8" s="1"/>
  <c r="BJ495" i="8" s="1"/>
  <c r="AH465" i="8"/>
  <c r="AJ465" i="8" s="1"/>
  <c r="BC465" i="8" s="1"/>
  <c r="AH699" i="1"/>
  <c r="AK699" i="1" s="1"/>
  <c r="BD699" i="1" s="1"/>
  <c r="AH732" i="1"/>
  <c r="AN732" i="1" s="1"/>
  <c r="BG732" i="1" s="1"/>
  <c r="AH750" i="1"/>
  <c r="AI750" i="1" s="1"/>
  <c r="AH408" i="8"/>
  <c r="AH212" i="8"/>
  <c r="AI212" i="8" s="1"/>
  <c r="AH268" i="8"/>
  <c r="AJ268" i="8" s="1"/>
  <c r="BC268" i="8" s="1"/>
  <c r="AH603" i="8"/>
  <c r="AP603" i="8" s="1"/>
  <c r="BI603" i="8" s="1"/>
  <c r="AH438" i="8"/>
  <c r="AI438" i="8" s="1"/>
  <c r="AH620" i="8"/>
  <c r="AH378" i="8"/>
  <c r="AK378" i="8" s="1"/>
  <c r="BD378" i="8" s="1"/>
  <c r="AH457" i="8"/>
  <c r="AR457" i="8" s="1"/>
  <c r="BK457" i="8" s="1"/>
  <c r="AH681" i="1"/>
  <c r="AH705" i="1"/>
  <c r="AN705" i="1" s="1"/>
  <c r="BG705" i="1" s="1"/>
  <c r="AH708" i="1"/>
  <c r="AO708" i="1" s="1"/>
  <c r="BH708" i="1" s="1"/>
  <c r="AH759" i="1"/>
  <c r="AM759" i="1" s="1"/>
  <c r="BF759" i="1" s="1"/>
  <c r="AH669" i="8"/>
  <c r="AQ669" i="8" s="1"/>
  <c r="BJ669" i="8" s="1"/>
  <c r="AH654" i="8"/>
  <c r="AI654" i="8" s="1"/>
  <c r="AH232" i="8"/>
  <c r="AL232" i="8" s="1"/>
  <c r="BE232" i="8" s="1"/>
  <c r="AH484" i="8"/>
  <c r="AR484" i="8" s="1"/>
  <c r="BK484" i="8" s="1"/>
  <c r="AH569" i="8"/>
  <c r="AH714" i="1"/>
  <c r="AQ714" i="1" s="1"/>
  <c r="BJ714" i="1" s="1"/>
  <c r="AH741" i="1"/>
  <c r="AR741" i="1" s="1"/>
  <c r="BK741" i="1" s="1"/>
  <c r="AH677" i="1"/>
  <c r="AP677" i="1" s="1"/>
  <c r="BI677" i="1" s="1"/>
  <c r="AH228" i="8"/>
  <c r="AM228" i="8" s="1"/>
  <c r="BF228" i="8" s="1"/>
  <c r="AH461" i="8"/>
  <c r="AR461" i="8" s="1"/>
  <c r="BK461" i="8" s="1"/>
  <c r="AH637" i="8"/>
  <c r="AO637" i="8" s="1"/>
  <c r="BH637" i="8" s="1"/>
  <c r="AH599" i="8"/>
  <c r="AP599" i="8" s="1"/>
  <c r="BI599" i="8" s="1"/>
  <c r="AH723" i="8"/>
  <c r="AH650" i="8"/>
  <c r="AN650" i="8" s="1"/>
  <c r="BG650" i="8" s="1"/>
  <c r="AH335" i="8"/>
  <c r="AL335" i="8" s="1"/>
  <c r="BE335" i="8" s="1"/>
  <c r="AH750" i="8"/>
  <c r="AI750" i="8" s="1"/>
  <c r="AH442" i="8"/>
  <c r="AJ442" i="8" s="1"/>
  <c r="BC442" i="8" s="1"/>
  <c r="AH702" i="1"/>
  <c r="AK702" i="1" s="1"/>
  <c r="BD702" i="1" s="1"/>
  <c r="AH419" i="8"/>
  <c r="AL419" i="8" s="1"/>
  <c r="BE419" i="8" s="1"/>
  <c r="AH586" i="8"/>
  <c r="AH360" i="8"/>
  <c r="AK360" i="8" s="1"/>
  <c r="BD360" i="8" s="1"/>
  <c r="AH685" i="8"/>
  <c r="AI685" i="8" s="1"/>
  <c r="AH299" i="8"/>
  <c r="AO299" i="8" s="1"/>
  <c r="BH299" i="8" s="1"/>
  <c r="AH673" i="8"/>
  <c r="AR673" i="8" s="1"/>
  <c r="BK673" i="8" s="1"/>
  <c r="AH224" i="8"/>
  <c r="AH446" i="8"/>
  <c r="AH685" i="1"/>
  <c r="AI685" i="1" s="1"/>
  <c r="AH723" i="1"/>
  <c r="AI723" i="1" s="1"/>
  <c r="AH689" i="8"/>
  <c r="AH423" i="8"/>
  <c r="AI423" i="8" s="1"/>
  <c r="AH499" i="8"/>
  <c r="AQ499" i="8" s="1"/>
  <c r="BJ499" i="8" s="1"/>
  <c r="AH699" i="8"/>
  <c r="AL699" i="8" s="1"/>
  <c r="BE699" i="8" s="1"/>
  <c r="AH286" i="8"/>
  <c r="AI286" i="8" s="1"/>
  <c r="AH759" i="8"/>
  <c r="AN759" i="8" s="1"/>
  <c r="BG759" i="8" s="1"/>
  <c r="AH705" i="8"/>
  <c r="AR705" i="8" s="1"/>
  <c r="BK705" i="8" s="1"/>
  <c r="AH708" i="8"/>
  <c r="AL708" i="8" s="1"/>
  <c r="BE708" i="8" s="1"/>
  <c r="AH633" i="8"/>
  <c r="AH220" i="8"/>
  <c r="AR220" i="8" s="1"/>
  <c r="BK220" i="8" s="1"/>
  <c r="AH616" i="8"/>
  <c r="AJ616" i="8" s="1"/>
  <c r="BC616" i="8" s="1"/>
  <c r="AH693" i="8"/>
  <c r="AH371" i="8"/>
  <c r="AH679" i="1"/>
  <c r="AO679" i="1" s="1"/>
  <c r="BH679" i="1" s="1"/>
  <c r="AH368" i="8"/>
  <c r="AK368" i="8" s="1"/>
  <c r="BD368" i="8" s="1"/>
  <c r="AH719" i="8"/>
  <c r="AK719" i="8" s="1"/>
  <c r="BD719" i="8" s="1"/>
  <c r="AH300" i="8"/>
  <c r="AN300" i="8" s="1"/>
  <c r="BG300" i="8" s="1"/>
  <c r="AH570" i="8"/>
  <c r="AI570" i="8" s="1"/>
  <c r="AH542" i="8"/>
  <c r="AR542" i="8" s="1"/>
  <c r="BK542" i="8" s="1"/>
  <c r="AH769" i="8"/>
  <c r="AQ769" i="8" s="1"/>
  <c r="BJ769" i="8" s="1"/>
  <c r="AH447" i="8"/>
  <c r="AO447" i="8" s="1"/>
  <c r="BH447" i="8" s="1"/>
  <c r="AH767" i="8"/>
  <c r="AR767" i="8" s="1"/>
  <c r="BK767" i="8" s="1"/>
  <c r="AH354" i="8"/>
  <c r="AH587" i="8"/>
  <c r="AH671" i="1"/>
  <c r="AL671" i="1" s="1"/>
  <c r="BE671" i="1" s="1"/>
  <c r="AH746" i="1"/>
  <c r="AL746" i="1" s="1"/>
  <c r="BE746" i="1" s="1"/>
  <c r="AH401" i="8"/>
  <c r="AK401" i="8" s="1"/>
  <c r="BD401" i="8" s="1"/>
  <c r="AH679" i="8"/>
  <c r="AK679" i="8" s="1"/>
  <c r="BD679" i="8" s="1"/>
  <c r="AH553" i="8"/>
  <c r="AN553" i="8" s="1"/>
  <c r="BG553" i="8" s="1"/>
  <c r="AH251" i="8"/>
  <c r="AK251" i="8" s="1"/>
  <c r="BD251" i="8" s="1"/>
  <c r="AH496" i="8"/>
  <c r="AL496" i="8" s="1"/>
  <c r="BE496" i="8" s="1"/>
  <c r="AH765" i="8"/>
  <c r="AO765" i="8" s="1"/>
  <c r="BH765" i="8" s="1"/>
  <c r="AH361" i="8"/>
  <c r="AH485" i="8"/>
  <c r="AI485" i="8" s="1"/>
  <c r="BB485" i="8" s="1"/>
  <c r="AH728" i="1"/>
  <c r="AK728" i="1" s="1"/>
  <c r="BD728" i="1" s="1"/>
  <c r="AH773" i="1"/>
  <c r="AL773" i="1" s="1"/>
  <c r="BE773" i="1" s="1"/>
  <c r="AH341" i="8"/>
  <c r="AO341" i="8" s="1"/>
  <c r="BH341" i="8" s="1"/>
  <c r="AH604" i="8"/>
  <c r="AQ604" i="8" s="1"/>
  <c r="BJ604" i="8" s="1"/>
  <c r="AH264" i="8"/>
  <c r="AN264" i="8" s="1"/>
  <c r="BG264" i="8" s="1"/>
  <c r="AH282" i="8"/>
  <c r="AK282" i="8" s="1"/>
  <c r="BD282" i="8" s="1"/>
  <c r="AH531" i="8"/>
  <c r="AQ531" i="8" s="1"/>
  <c r="BJ531" i="8" s="1"/>
  <c r="AH675" i="8"/>
  <c r="AP675" i="8" s="1"/>
  <c r="BI675" i="8" s="1"/>
  <c r="AH755" i="8"/>
  <c r="AH775" i="8"/>
  <c r="AH217" i="8"/>
  <c r="AH691" i="1"/>
  <c r="AP691" i="1" s="1"/>
  <c r="BI691" i="1" s="1"/>
  <c r="AH719" i="1"/>
  <c r="AM719" i="1" s="1"/>
  <c r="BF719" i="1" s="1"/>
  <c r="AH771" i="1"/>
  <c r="AK771" i="1" s="1"/>
  <c r="BD771" i="1" s="1"/>
  <c r="AH746" i="8"/>
  <c r="AH229" i="8"/>
  <c r="AR229" i="8" s="1"/>
  <c r="BK229" i="8" s="1"/>
  <c r="AH477" i="8"/>
  <c r="AO477" i="8" s="1"/>
  <c r="BH477" i="8" s="1"/>
  <c r="AH638" i="8"/>
  <c r="AL638" i="8" s="1"/>
  <c r="BE638" i="8" s="1"/>
  <c r="AH347" i="8"/>
  <c r="AN347" i="8" s="1"/>
  <c r="BG347" i="8" s="1"/>
  <c r="AH420" i="8"/>
  <c r="AK420" i="8" s="1"/>
  <c r="BD420" i="8" s="1"/>
  <c r="AH671" i="8"/>
  <c r="AR671" i="8" s="1"/>
  <c r="BK671" i="8" s="1"/>
  <c r="AH773" i="8"/>
  <c r="AH225" i="8"/>
  <c r="AH390" i="8"/>
  <c r="AH755" i="1"/>
  <c r="AQ755" i="1" s="1"/>
  <c r="BJ755" i="1" s="1"/>
  <c r="AH458" i="8"/>
  <c r="AJ458" i="8" s="1"/>
  <c r="BC458" i="8" s="1"/>
  <c r="AH269" i="8"/>
  <c r="AL269" i="8" s="1"/>
  <c r="BE269" i="8" s="1"/>
  <c r="AH336" i="8"/>
  <c r="AR336" i="8" s="1"/>
  <c r="BK336" i="8" s="1"/>
  <c r="AH323" i="8"/>
  <c r="AN323" i="8" s="1"/>
  <c r="BG323" i="8" s="1"/>
  <c r="AH687" i="1"/>
  <c r="AI687" i="1" s="1"/>
  <c r="AH710" i="1"/>
  <c r="AH767" i="1"/>
  <c r="AK767" i="1" s="1"/>
  <c r="BD767" i="1" s="1"/>
  <c r="AH765" i="1"/>
  <c r="AI765" i="1" s="1"/>
  <c r="AH691" i="8"/>
  <c r="AI691" i="8" s="1"/>
  <c r="AH409" i="8"/>
  <c r="AN409" i="8" s="1"/>
  <c r="BG409" i="8" s="1"/>
  <c r="AH318" i="8"/>
  <c r="AM318" i="8" s="1"/>
  <c r="BF318" i="8" s="1"/>
  <c r="AH305" i="8"/>
  <c r="AJ305" i="8" s="1"/>
  <c r="BC305" i="8" s="1"/>
  <c r="AH509" i="8"/>
  <c r="AM509" i="8" s="1"/>
  <c r="BF509" i="8" s="1"/>
  <c r="AH771" i="8"/>
  <c r="AN771" i="8" s="1"/>
  <c r="BG771" i="8" s="1"/>
  <c r="AH428" i="8"/>
  <c r="AI428" i="8" s="1"/>
  <c r="AH246" i="8"/>
  <c r="AO246" i="8" s="1"/>
  <c r="BH246" i="8" s="1"/>
  <c r="AH233" i="8"/>
  <c r="AK233" i="8" s="1"/>
  <c r="BD233" i="8" s="1"/>
  <c r="AL803" i="8"/>
  <c r="BE803" i="8" s="1"/>
  <c r="AH675" i="1"/>
  <c r="AN675" i="1" s="1"/>
  <c r="BG675" i="1" s="1"/>
  <c r="AH287" i="8"/>
  <c r="AQ287" i="8" s="1"/>
  <c r="BJ287" i="8" s="1"/>
  <c r="AH683" i="8"/>
  <c r="AP683" i="8" s="1"/>
  <c r="BI683" i="8" s="1"/>
  <c r="AH382" i="8"/>
  <c r="AQ382" i="8" s="1"/>
  <c r="BJ382" i="8" s="1"/>
  <c r="AH687" i="8"/>
  <c r="AN687" i="8" s="1"/>
  <c r="BG687" i="8" s="1"/>
  <c r="AH466" i="8"/>
  <c r="AL466" i="8" s="1"/>
  <c r="BE466" i="8" s="1"/>
  <c r="AH655" i="8"/>
  <c r="AL655" i="8" s="1"/>
  <c r="BE655" i="8" s="1"/>
  <c r="AH737" i="8"/>
  <c r="AN737" i="8" s="1"/>
  <c r="BG737" i="8" s="1"/>
  <c r="AH520" i="8"/>
  <c r="AH255" i="8"/>
  <c r="AQ255" i="8" s="1"/>
  <c r="BJ255" i="8" s="1"/>
  <c r="AH215" i="8"/>
  <c r="AK215" i="8" s="1"/>
  <c r="BD215" i="8" s="1"/>
  <c r="AH683" i="1"/>
  <c r="AQ683" i="1" s="1"/>
  <c r="BJ683" i="1" s="1"/>
  <c r="AH737" i="1"/>
  <c r="AM737" i="1" s="1"/>
  <c r="BF737" i="1" s="1"/>
  <c r="AH775" i="1"/>
  <c r="AI775" i="1" s="1"/>
  <c r="AH769" i="1"/>
  <c r="AM769" i="1" s="1"/>
  <c r="BF769" i="1" s="1"/>
  <c r="AH710" i="8"/>
  <c r="AI710" i="8" s="1"/>
  <c r="AH375" i="8"/>
  <c r="AH621" i="8"/>
  <c r="AL621" i="8" s="1"/>
  <c r="BE621" i="8" s="1"/>
  <c r="AH728" i="8"/>
  <c r="AL728" i="8" s="1"/>
  <c r="BE728" i="8" s="1"/>
  <c r="AH564" i="8"/>
  <c r="AH221" i="8"/>
  <c r="AM221" i="8" s="1"/>
  <c r="BF221" i="8" s="1"/>
  <c r="AH439" i="8"/>
  <c r="AQ439" i="8" s="1"/>
  <c r="BJ439" i="8" s="1"/>
  <c r="AH756" i="1"/>
  <c r="AR756" i="1" s="1"/>
  <c r="BK756" i="1" s="1"/>
  <c r="AH747" i="1"/>
  <c r="AL747" i="1" s="1"/>
  <c r="BE747" i="1" s="1"/>
  <c r="AH497" i="8"/>
  <c r="AH478" i="8"/>
  <c r="AL478" i="8" s="1"/>
  <c r="BE478" i="8" s="1"/>
  <c r="AH383" i="8"/>
  <c r="AH337" i="8"/>
  <c r="AP337" i="8" s="1"/>
  <c r="BI337" i="8" s="1"/>
  <c r="AH756" i="8"/>
  <c r="AO756" i="8" s="1"/>
  <c r="BH756" i="8" s="1"/>
  <c r="AH459" i="8"/>
  <c r="AJ459" i="8" s="1"/>
  <c r="BC459" i="8" s="1"/>
  <c r="AH376" i="8"/>
  <c r="AL376" i="8" s="1"/>
  <c r="BE376" i="8" s="1"/>
  <c r="AH720" i="1"/>
  <c r="AO720" i="1" s="1"/>
  <c r="BH720" i="1" s="1"/>
  <c r="AH214" i="8"/>
  <c r="AM214" i="8" s="1"/>
  <c r="BF214" i="8" s="1"/>
  <c r="AH402" i="8"/>
  <c r="AL402" i="8" s="1"/>
  <c r="BE402" i="8" s="1"/>
  <c r="AH348" i="8"/>
  <c r="AR348" i="8" s="1"/>
  <c r="BK348" i="8" s="1"/>
  <c r="AH421" i="8"/>
  <c r="AH355" i="8"/>
  <c r="AN355" i="8" s="1"/>
  <c r="BG355" i="8" s="1"/>
  <c r="AH288" i="8"/>
  <c r="AP288" i="8" s="1"/>
  <c r="BI288" i="8" s="1"/>
  <c r="AH391" i="8"/>
  <c r="AJ391" i="8" s="1"/>
  <c r="BC391" i="8" s="1"/>
  <c r="AH226" i="8"/>
  <c r="AI226" i="8" s="1"/>
  <c r="AH720" i="8"/>
  <c r="AL720" i="8" s="1"/>
  <c r="BE720" i="8" s="1"/>
  <c r="AH410" i="8"/>
  <c r="AJ410" i="8" s="1"/>
  <c r="BC410" i="8" s="1"/>
  <c r="AH711" i="1"/>
  <c r="AP711" i="1" s="1"/>
  <c r="BI711" i="1" s="1"/>
  <c r="AH234" i="8"/>
  <c r="AL234" i="8" s="1"/>
  <c r="BE234" i="8" s="1"/>
  <c r="AH440" i="8"/>
  <c r="AM440" i="8" s="1"/>
  <c r="BF440" i="8" s="1"/>
  <c r="AH324" i="8"/>
  <c r="AJ324" i="8" s="1"/>
  <c r="BC324" i="8" s="1"/>
  <c r="AH729" i="8"/>
  <c r="AL729" i="8" s="1"/>
  <c r="BE729" i="8" s="1"/>
  <c r="AH265" i="8"/>
  <c r="AP265" i="8" s="1"/>
  <c r="BI265" i="8" s="1"/>
  <c r="AH362" i="8"/>
  <c r="AH306" i="8"/>
  <c r="AQ306" i="8" s="1"/>
  <c r="BJ306" i="8" s="1"/>
  <c r="AH319" i="8"/>
  <c r="AH467" i="8"/>
  <c r="AM467" i="8" s="1"/>
  <c r="BF467" i="8" s="1"/>
  <c r="AH230" i="8"/>
  <c r="AH252" i="8"/>
  <c r="AO252" i="8" s="1"/>
  <c r="BH252" i="8" s="1"/>
  <c r="AH711" i="8"/>
  <c r="AN711" i="8" s="1"/>
  <c r="BG711" i="8" s="1"/>
  <c r="AH588" i="8"/>
  <c r="AO588" i="8" s="1"/>
  <c r="BH588" i="8" s="1"/>
  <c r="AH486" i="8"/>
  <c r="AH622" i="8"/>
  <c r="AM622" i="8" s="1"/>
  <c r="BF622" i="8" s="1"/>
  <c r="AH247" i="8"/>
  <c r="AH738" i="1"/>
  <c r="AP738" i="1" s="1"/>
  <c r="BI738" i="1" s="1"/>
  <c r="AH218" i="8"/>
  <c r="AO218" i="8" s="1"/>
  <c r="BH218" i="8" s="1"/>
  <c r="AH301" i="8"/>
  <c r="AQ301" i="8" s="1"/>
  <c r="BJ301" i="8" s="1"/>
  <c r="AH571" i="8"/>
  <c r="AI571" i="8" s="1"/>
  <c r="AH738" i="8"/>
  <c r="AN738" i="8" s="1"/>
  <c r="BG738" i="8" s="1"/>
  <c r="AH222" i="8"/>
  <c r="AR222" i="8" s="1"/>
  <c r="BK222" i="8" s="1"/>
  <c r="AH429" i="8"/>
  <c r="AJ429" i="8" s="1"/>
  <c r="BC429" i="8" s="1"/>
  <c r="AH270" i="8"/>
  <c r="AH729" i="1"/>
  <c r="AI729" i="1" s="1"/>
  <c r="AH639" i="8"/>
  <c r="AN639" i="8" s="1"/>
  <c r="BG639" i="8" s="1"/>
  <c r="AH656" i="8"/>
  <c r="AJ656" i="8" s="1"/>
  <c r="BC656" i="8" s="1"/>
  <c r="AH448" i="8"/>
  <c r="AH747" i="8"/>
  <c r="AH283" i="8"/>
  <c r="AJ283" i="8" s="1"/>
  <c r="BC283" i="8" s="1"/>
  <c r="AH369" i="8"/>
  <c r="AR369" i="8" s="1"/>
  <c r="BK369" i="8" s="1"/>
  <c r="AH342" i="8"/>
  <c r="AR342" i="8" s="1"/>
  <c r="BK342" i="8" s="1"/>
  <c r="AH605" i="8"/>
  <c r="AJ606" i="8"/>
  <c r="BC606" i="8" s="1"/>
  <c r="AI606" i="8"/>
  <c r="BB606" i="8" s="1"/>
  <c r="AN606" i="8"/>
  <c r="BG606" i="8" s="1"/>
  <c r="AP606" i="8"/>
  <c r="BI606" i="8" s="1"/>
  <c r="AO606" i="8"/>
  <c r="BH606" i="8" s="1"/>
  <c r="AM606" i="8"/>
  <c r="BF606" i="8" s="1"/>
  <c r="AL606" i="8"/>
  <c r="BE606" i="8" s="1"/>
  <c r="AK606" i="8"/>
  <c r="BD606" i="8" s="1"/>
  <c r="AR606" i="8"/>
  <c r="BK606" i="8" s="1"/>
  <c r="AQ606" i="8"/>
  <c r="BJ606" i="8" s="1"/>
  <c r="AP430" i="8"/>
  <c r="BI430" i="8" s="1"/>
  <c r="AQ430" i="8"/>
  <c r="BJ430" i="8" s="1"/>
  <c r="AN430" i="8"/>
  <c r="BG430" i="8" s="1"/>
  <c r="AO430" i="8"/>
  <c r="BH430" i="8" s="1"/>
  <c r="AM430" i="8"/>
  <c r="BF430" i="8" s="1"/>
  <c r="AL430" i="8"/>
  <c r="BE430" i="8" s="1"/>
  <c r="AK430" i="8"/>
  <c r="BD430" i="8" s="1"/>
  <c r="AI430" i="8"/>
  <c r="BB430" i="8" s="1"/>
  <c r="AJ430" i="8"/>
  <c r="BC430" i="8" s="1"/>
  <c r="AR430" i="8"/>
  <c r="BK430" i="8" s="1"/>
  <c r="AH686" i="1"/>
  <c r="AN686" i="1" s="1"/>
  <c r="BG686" i="1" s="1"/>
  <c r="AH690" i="1"/>
  <c r="AK690" i="1" s="1"/>
  <c r="BD690" i="1" s="1"/>
  <c r="AH733" i="1"/>
  <c r="AR733" i="1" s="1"/>
  <c r="BK733" i="1" s="1"/>
  <c r="AH384" i="8"/>
  <c r="AH703" i="8"/>
  <c r="AN703" i="8" s="1"/>
  <c r="BG703" i="8" s="1"/>
  <c r="AH498" i="8"/>
  <c r="AI498" i="8" s="1"/>
  <c r="AH715" i="8"/>
  <c r="AQ715" i="8" s="1"/>
  <c r="BJ715" i="8" s="1"/>
  <c r="AH248" i="8"/>
  <c r="AQ248" i="8" s="1"/>
  <c r="BJ248" i="8" s="1"/>
  <c r="AH657" i="8"/>
  <c r="AQ657" i="8" s="1"/>
  <c r="BJ657" i="8" s="1"/>
  <c r="AH521" i="8"/>
  <c r="AO521" i="8" s="1"/>
  <c r="BH521" i="8" s="1"/>
  <c r="AH721" i="8"/>
  <c r="AH501" i="8"/>
  <c r="AH674" i="1"/>
  <c r="AP674" i="1" s="1"/>
  <c r="BI674" i="1" s="1"/>
  <c r="AH682" i="1"/>
  <c r="AO682" i="1" s="1"/>
  <c r="BH682" i="1" s="1"/>
  <c r="AH678" i="1"/>
  <c r="AL678" i="1" s="1"/>
  <c r="BE678" i="1" s="1"/>
  <c r="AH748" i="8"/>
  <c r="AL748" i="8" s="1"/>
  <c r="BE748" i="8" s="1"/>
  <c r="AH356" i="8"/>
  <c r="AH514" i="8"/>
  <c r="AR514" i="8" s="1"/>
  <c r="BK514" i="8" s="1"/>
  <c r="AH751" i="8"/>
  <c r="AP751" i="8" s="1"/>
  <c r="BI751" i="8" s="1"/>
  <c r="AH532" i="8"/>
  <c r="AJ532" i="8" s="1"/>
  <c r="BC532" i="8" s="1"/>
  <c r="AH273" i="8"/>
  <c r="AJ273" i="8" s="1"/>
  <c r="BC273" i="8" s="1"/>
  <c r="AH686" i="8"/>
  <c r="AQ686" i="8" s="1"/>
  <c r="BJ686" i="8" s="1"/>
  <c r="AH302" i="8"/>
  <c r="AP302" i="8" s="1"/>
  <c r="BI302" i="8" s="1"/>
  <c r="AH275" i="8"/>
  <c r="AR275" i="8" s="1"/>
  <c r="BK275" i="8" s="1"/>
  <c r="AH411" i="8"/>
  <c r="AN411" i="8" s="1"/>
  <c r="BG411" i="8" s="1"/>
  <c r="AH219" i="8"/>
  <c r="AN219" i="8" s="1"/>
  <c r="BG219" i="8" s="1"/>
  <c r="AH556" i="8"/>
  <c r="AQ556" i="8" s="1"/>
  <c r="BJ556" i="8" s="1"/>
  <c r="AH547" i="8"/>
  <c r="AH724" i="1"/>
  <c r="AI724" i="1" s="1"/>
  <c r="AH739" i="8"/>
  <c r="AP739" i="8" s="1"/>
  <c r="BI739" i="8" s="1"/>
  <c r="AH235" i="8"/>
  <c r="AO235" i="8" s="1"/>
  <c r="BH235" i="8" s="1"/>
  <c r="AH742" i="8"/>
  <c r="AM742" i="8" s="1"/>
  <c r="BF742" i="8" s="1"/>
  <c r="AH307" i="8"/>
  <c r="AN307" i="8" s="1"/>
  <c r="BG307" i="8" s="1"/>
  <c r="AH343" i="8"/>
  <c r="AK343" i="8" s="1"/>
  <c r="BD343" i="8" s="1"/>
  <c r="AH370" i="8"/>
  <c r="AH253" i="8"/>
  <c r="AI253" i="8" s="1"/>
  <c r="AH558" i="8"/>
  <c r="AQ558" i="8" s="1"/>
  <c r="BJ558" i="8" s="1"/>
  <c r="AH503" i="8"/>
  <c r="AO503" i="8" s="1"/>
  <c r="BH503" i="8" s="1"/>
  <c r="AH694" i="8"/>
  <c r="AN694" i="8" s="1"/>
  <c r="BG694" i="8" s="1"/>
  <c r="AH487" i="8"/>
  <c r="AI487" i="8" s="1"/>
  <c r="AH760" i="8"/>
  <c r="AH700" i="1"/>
  <c r="AR700" i="1" s="1"/>
  <c r="BK700" i="1" s="1"/>
  <c r="AH751" i="1"/>
  <c r="AL751" i="1" s="1"/>
  <c r="BE751" i="1" s="1"/>
  <c r="AH284" i="8"/>
  <c r="AO284" i="8" s="1"/>
  <c r="BH284" i="8" s="1"/>
  <c r="AH311" i="8"/>
  <c r="AM311" i="8" s="1"/>
  <c r="BF311" i="8" s="1"/>
  <c r="AH309" i="8"/>
  <c r="AQ309" i="8" s="1"/>
  <c r="BJ309" i="8" s="1"/>
  <c r="AH320" i="8"/>
  <c r="AQ320" i="8" s="1"/>
  <c r="BJ320" i="8" s="1"/>
  <c r="AH266" i="8"/>
  <c r="AN266" i="8" s="1"/>
  <c r="BG266" i="8" s="1"/>
  <c r="AH231" i="8"/>
  <c r="AH223" i="8"/>
  <c r="AH697" i="1"/>
  <c r="AQ697" i="1" s="1"/>
  <c r="BJ697" i="1" s="1"/>
  <c r="AH706" i="1"/>
  <c r="AJ706" i="1" s="1"/>
  <c r="BC706" i="1" s="1"/>
  <c r="AH730" i="1"/>
  <c r="AK730" i="1" s="1"/>
  <c r="BD730" i="1" s="1"/>
  <c r="AH678" i="8"/>
  <c r="AQ678" i="8" s="1"/>
  <c r="BJ678" i="8" s="1"/>
  <c r="AH674" i="8"/>
  <c r="AL674" i="8" s="1"/>
  <c r="BE674" i="8" s="1"/>
  <c r="AH712" i="8"/>
  <c r="AO712" i="8" s="1"/>
  <c r="BH712" i="8" s="1"/>
  <c r="AH460" i="8"/>
  <c r="AR460" i="8" s="1"/>
  <c r="BK460" i="8" s="1"/>
  <c r="AH510" i="8"/>
  <c r="AL510" i="8" s="1"/>
  <c r="BE510" i="8" s="1"/>
  <c r="AH291" i="8"/>
  <c r="AR291" i="8" s="1"/>
  <c r="BK291" i="8" s="1"/>
  <c r="AH239" i="8"/>
  <c r="AH523" i="8"/>
  <c r="AK523" i="8" s="1"/>
  <c r="BD523" i="8" s="1"/>
  <c r="AH227" i="8"/>
  <c r="AO227" i="8" s="1"/>
  <c r="BH227" i="8" s="1"/>
  <c r="AH690" i="8"/>
  <c r="AI690" i="8" s="1"/>
  <c r="AH237" i="8"/>
  <c r="AN237" i="8" s="1"/>
  <c r="BG237" i="8" s="1"/>
  <c r="AH392" i="8"/>
  <c r="AM392" i="8" s="1"/>
  <c r="BF392" i="8" s="1"/>
  <c r="AH512" i="8"/>
  <c r="AJ512" i="8" s="1"/>
  <c r="BC512" i="8" s="1"/>
  <c r="AH565" i="8"/>
  <c r="AH715" i="1"/>
  <c r="AJ715" i="1" s="1"/>
  <c r="BC715" i="1" s="1"/>
  <c r="AH748" i="1"/>
  <c r="AR748" i="1" s="1"/>
  <c r="BK748" i="1" s="1"/>
  <c r="AH712" i="1"/>
  <c r="AK712" i="1" s="1"/>
  <c r="BD712" i="1" s="1"/>
  <c r="AH760" i="1"/>
  <c r="AL760" i="1" s="1"/>
  <c r="BE760" i="1" s="1"/>
  <c r="AH449" i="8"/>
  <c r="AN449" i="8" s="1"/>
  <c r="BG449" i="8" s="1"/>
  <c r="AH709" i="8"/>
  <c r="AH697" i="8"/>
  <c r="AO697" i="8" s="1"/>
  <c r="BH697" i="8" s="1"/>
  <c r="AH289" i="8"/>
  <c r="AR289" i="8" s="1"/>
  <c r="BK289" i="8" s="1"/>
  <c r="AH534" i="8"/>
  <c r="AH377" i="8"/>
  <c r="AI377" i="8" s="1"/>
  <c r="AH422" i="8"/>
  <c r="AM422" i="8" s="1"/>
  <c r="BF422" i="8" s="1"/>
  <c r="AH706" i="8"/>
  <c r="AR706" i="8" s="1"/>
  <c r="BK706" i="8" s="1"/>
  <c r="AH730" i="8"/>
  <c r="AQ730" i="8" s="1"/>
  <c r="BJ730" i="8" s="1"/>
  <c r="AH572" i="8"/>
  <c r="AL572" i="8" s="1"/>
  <c r="BE572" i="8" s="1"/>
  <c r="AH468" i="8"/>
  <c r="AO468" i="8" s="1"/>
  <c r="BH468" i="8" s="1"/>
  <c r="AH327" i="8"/>
  <c r="AR327" i="8" s="1"/>
  <c r="BK327" i="8" s="1"/>
  <c r="AH670" i="1"/>
  <c r="AM670" i="1" s="1"/>
  <c r="BF670" i="1" s="1"/>
  <c r="AH709" i="1"/>
  <c r="AI709" i="1" s="1"/>
  <c r="AH739" i="1"/>
  <c r="AR739" i="1" s="1"/>
  <c r="BK739" i="1" s="1"/>
  <c r="AH721" i="1"/>
  <c r="AL721" i="1" s="1"/>
  <c r="BE721" i="1" s="1"/>
  <c r="AH757" i="1"/>
  <c r="AL757" i="1" s="1"/>
  <c r="BE757" i="1" s="1"/>
  <c r="AH742" i="1"/>
  <c r="AN742" i="1" s="1"/>
  <c r="BG742" i="1" s="1"/>
  <c r="AH703" i="1"/>
  <c r="AP703" i="1" s="1"/>
  <c r="BI703" i="1" s="1"/>
  <c r="AH640" i="8"/>
  <c r="AO640" i="8" s="1"/>
  <c r="BH640" i="8" s="1"/>
  <c r="AH479" i="8"/>
  <c r="AH325" i="8"/>
  <c r="AI325" i="8" s="1"/>
  <c r="AH441" i="8"/>
  <c r="AL441" i="8" s="1"/>
  <c r="BE441" i="8" s="1"/>
  <c r="AH545" i="8"/>
  <c r="AI545" i="8" s="1"/>
  <c r="AH363" i="8"/>
  <c r="AQ363" i="8" s="1"/>
  <c r="BJ363" i="8" s="1"/>
  <c r="AH670" i="8"/>
  <c r="AM670" i="8" s="1"/>
  <c r="BF670" i="8" s="1"/>
  <c r="AH536" i="8"/>
  <c r="AL536" i="8" s="1"/>
  <c r="BE536" i="8" s="1"/>
  <c r="AH623" i="8"/>
  <c r="AJ623" i="8" s="1"/>
  <c r="BC623" i="8" s="1"/>
  <c r="AH543" i="8"/>
  <c r="AH525" i="8"/>
  <c r="AK525" i="8" s="1"/>
  <c r="BD525" i="8" s="1"/>
  <c r="AH293" i="8"/>
  <c r="AI293" i="8" s="1"/>
  <c r="AH682" i="8"/>
  <c r="AH694" i="1"/>
  <c r="AI694" i="1" s="1"/>
  <c r="AH724" i="8"/>
  <c r="AL724" i="8" s="1"/>
  <c r="BE724" i="8" s="1"/>
  <c r="AH700" i="8"/>
  <c r="AL700" i="8" s="1"/>
  <c r="BE700" i="8" s="1"/>
  <c r="AH257" i="8"/>
  <c r="AJ257" i="8" s="1"/>
  <c r="BC257" i="8" s="1"/>
  <c r="AH403" i="8"/>
  <c r="AI403" i="8" s="1"/>
  <c r="AH589" i="8"/>
  <c r="AQ589" i="8" s="1"/>
  <c r="BJ589" i="8" s="1"/>
  <c r="AH349" i="8"/>
  <c r="AL349" i="8" s="1"/>
  <c r="BE349" i="8" s="1"/>
  <c r="AH271" i="8"/>
  <c r="AR271" i="8" s="1"/>
  <c r="BK271" i="8" s="1"/>
  <c r="AH338" i="8"/>
  <c r="AO338" i="8" s="1"/>
  <c r="BH338" i="8" s="1"/>
  <c r="AQ764" i="8"/>
  <c r="BJ764" i="8" s="1"/>
  <c r="AJ778" i="8"/>
  <c r="BC778" i="8" s="1"/>
  <c r="AR766" i="8"/>
  <c r="BK766" i="8" s="1"/>
  <c r="AR764" i="8"/>
  <c r="BK764" i="8" s="1"/>
  <c r="AK778" i="8"/>
  <c r="BD778" i="8" s="1"/>
  <c r="AJ766" i="8"/>
  <c r="BC766" i="8" s="1"/>
  <c r="BO513" i="8"/>
  <c r="AP764" i="8"/>
  <c r="BI764" i="8" s="1"/>
  <c r="AJ764" i="8"/>
  <c r="BC764" i="8" s="1"/>
  <c r="AM778" i="8"/>
  <c r="BF778" i="8" s="1"/>
  <c r="AL778" i="8"/>
  <c r="BE778" i="8" s="1"/>
  <c r="AN766" i="8"/>
  <c r="BG766" i="8" s="1"/>
  <c r="AK764" i="8"/>
  <c r="BD764" i="8" s="1"/>
  <c r="AL764" i="8"/>
  <c r="BE764" i="8" s="1"/>
  <c r="AQ778" i="8"/>
  <c r="BJ778" i="8" s="1"/>
  <c r="AO778" i="8"/>
  <c r="BH778" i="8" s="1"/>
  <c r="AK766" i="8"/>
  <c r="BD766" i="8" s="1"/>
  <c r="AQ766" i="8"/>
  <c r="BJ766" i="8" s="1"/>
  <c r="AM764" i="8"/>
  <c r="BF764" i="8" s="1"/>
  <c r="AP778" i="8"/>
  <c r="BI778" i="8" s="1"/>
  <c r="AI766" i="8"/>
  <c r="BB766" i="8" s="1"/>
  <c r="AL766" i="8"/>
  <c r="BE766" i="8" s="1"/>
  <c r="AO764" i="8"/>
  <c r="BH764" i="8" s="1"/>
  <c r="AI778" i="8"/>
  <c r="BB778" i="8" s="1"/>
  <c r="AO766" i="8"/>
  <c r="BH766" i="8" s="1"/>
  <c r="AK735" i="8"/>
  <c r="BD735" i="8" s="1"/>
  <c r="AO776" i="8"/>
  <c r="BH776" i="8" s="1"/>
  <c r="AN800" i="8"/>
  <c r="BG800" i="8" s="1"/>
  <c r="AI800" i="8"/>
  <c r="BB800" i="8" s="1"/>
  <c r="AK800" i="8"/>
  <c r="BD800" i="8" s="1"/>
  <c r="AP800" i="8"/>
  <c r="BI800" i="8" s="1"/>
  <c r="AM800" i="8"/>
  <c r="BF800" i="8" s="1"/>
  <c r="AQ800" i="8"/>
  <c r="BJ800" i="8" s="1"/>
  <c r="AR800" i="8"/>
  <c r="BK800" i="8" s="1"/>
  <c r="AM798" i="8"/>
  <c r="BF798" i="8" s="1"/>
  <c r="AO554" i="8"/>
  <c r="BH554" i="8" s="1"/>
  <c r="BR522" i="8"/>
  <c r="AI804" i="8"/>
  <c r="BB804" i="8" s="1"/>
  <c r="AM804" i="8"/>
  <c r="BF804" i="8" s="1"/>
  <c r="AK815" i="8"/>
  <c r="BD815" i="8" s="1"/>
  <c r="AO804" i="8"/>
  <c r="BH804" i="8" s="1"/>
  <c r="AM815" i="8"/>
  <c r="BF815" i="8" s="1"/>
  <c r="AM13" i="8"/>
  <c r="BF13" i="8" s="1"/>
  <c r="AQ804" i="8"/>
  <c r="BJ804" i="8" s="1"/>
  <c r="AL832" i="8"/>
  <c r="BE832" i="8" s="1"/>
  <c r="AP798" i="8"/>
  <c r="BI798" i="8" s="1"/>
  <c r="AN798" i="8"/>
  <c r="BG798" i="8" s="1"/>
  <c r="AR798" i="8"/>
  <c r="BK798" i="8" s="1"/>
  <c r="BQ522" i="8"/>
  <c r="BL500" i="8"/>
  <c r="BM522" i="8"/>
  <c r="AK798" i="8"/>
  <c r="BD798" i="8" s="1"/>
  <c r="BM500" i="8"/>
  <c r="AL798" i="8"/>
  <c r="BE798" i="8" s="1"/>
  <c r="AQ798" i="8"/>
  <c r="BJ798" i="8" s="1"/>
  <c r="BN500" i="8"/>
  <c r="AO798" i="8"/>
  <c r="BH798" i="8" s="1"/>
  <c r="AI798" i="8"/>
  <c r="BB798" i="8" s="1"/>
  <c r="AK13" i="8"/>
  <c r="BD13" i="8" s="1"/>
  <c r="BU325" i="8"/>
  <c r="AM554" i="8"/>
  <c r="BF554" i="8" s="1"/>
  <c r="AK799" i="8"/>
  <c r="BD799" i="8" s="1"/>
  <c r="BP325" i="8"/>
  <c r="BT325" i="8"/>
  <c r="AR554" i="8"/>
  <c r="BK554" i="8" s="1"/>
  <c r="AQ799" i="8"/>
  <c r="BJ799" i="8" s="1"/>
  <c r="AR799" i="8"/>
  <c r="BK799" i="8" s="1"/>
  <c r="BL325" i="8"/>
  <c r="BN325" i="8"/>
  <c r="AK554" i="8"/>
  <c r="BD554" i="8" s="1"/>
  <c r="AI799" i="8"/>
  <c r="BB799" i="8" s="1"/>
  <c r="AL799" i="8"/>
  <c r="BE799" i="8" s="1"/>
  <c r="BO325" i="8"/>
  <c r="AL554" i="8"/>
  <c r="BE554" i="8" s="1"/>
  <c r="AN799" i="8"/>
  <c r="BG799" i="8" s="1"/>
  <c r="BS325" i="8"/>
  <c r="AR612" i="8"/>
  <c r="BK612" i="8" s="1"/>
  <c r="AN554" i="8"/>
  <c r="BG554" i="8" s="1"/>
  <c r="AP554" i="8"/>
  <c r="BI554" i="8" s="1"/>
  <c r="AM799" i="8"/>
  <c r="BF799" i="8" s="1"/>
  <c r="BM325" i="8"/>
  <c r="AQ554" i="8"/>
  <c r="BJ554" i="8" s="1"/>
  <c r="AI554" i="8"/>
  <c r="BB554" i="8" s="1"/>
  <c r="AP799" i="8"/>
  <c r="BI799" i="8" s="1"/>
  <c r="J106" i="3"/>
  <c r="I113" i="3"/>
  <c r="I122" i="3" s="1"/>
  <c r="AJ776" i="8"/>
  <c r="BC776" i="8" s="1"/>
  <c r="BO500" i="8"/>
  <c r="AR735" i="8"/>
  <c r="BK735" i="8" s="1"/>
  <c r="BL522" i="8"/>
  <c r="AL776" i="8"/>
  <c r="BE776" i="8" s="1"/>
  <c r="BR500" i="8"/>
  <c r="AL735" i="8"/>
  <c r="BE735" i="8" s="1"/>
  <c r="BO522" i="8"/>
  <c r="BN522" i="8"/>
  <c r="BP500" i="8"/>
  <c r="BU500" i="8"/>
  <c r="AM735" i="8"/>
  <c r="BF735" i="8" s="1"/>
  <c r="BP522" i="8"/>
  <c r="AP776" i="8"/>
  <c r="BI776" i="8" s="1"/>
  <c r="AQ735" i="8"/>
  <c r="BJ735" i="8" s="1"/>
  <c r="AO735" i="8"/>
  <c r="BH735" i="8" s="1"/>
  <c r="AK776" i="8"/>
  <c r="BD776" i="8" s="1"/>
  <c r="AN776" i="8"/>
  <c r="BG776" i="8" s="1"/>
  <c r="BQ500" i="8"/>
  <c r="AP735" i="8"/>
  <c r="BI735" i="8" s="1"/>
  <c r="AN735" i="8"/>
  <c r="BG735" i="8" s="1"/>
  <c r="BT522" i="8"/>
  <c r="AR776" i="8"/>
  <c r="BK776" i="8" s="1"/>
  <c r="AI776" i="8"/>
  <c r="BB776" i="8" s="1"/>
  <c r="BS500" i="8"/>
  <c r="AI735" i="8"/>
  <c r="BB735" i="8" s="1"/>
  <c r="BU522" i="8"/>
  <c r="AI772" i="8"/>
  <c r="BB772" i="8" s="1"/>
  <c r="AN772" i="8"/>
  <c r="BG772" i="8" s="1"/>
  <c r="AL772" i="8"/>
  <c r="BE772" i="8" s="1"/>
  <c r="AK782" i="8"/>
  <c r="BD782" i="8" s="1"/>
  <c r="AQ774" i="8"/>
  <c r="BJ774" i="8" s="1"/>
  <c r="AP782" i="8"/>
  <c r="BI782" i="8" s="1"/>
  <c r="AN774" i="8"/>
  <c r="BG774" i="8" s="1"/>
  <c r="AR832" i="8"/>
  <c r="BK832" i="8" s="1"/>
  <c r="AP832" i="8"/>
  <c r="BI832" i="8" s="1"/>
  <c r="AQ13" i="8"/>
  <c r="BJ13" i="8" s="1"/>
  <c r="AI815" i="8"/>
  <c r="BB815" i="8" s="1"/>
  <c r="AO782" i="8"/>
  <c r="BH782" i="8" s="1"/>
  <c r="AN832" i="8"/>
  <c r="BG832" i="8" s="1"/>
  <c r="AK832" i="8"/>
  <c r="BD832" i="8" s="1"/>
  <c r="AJ13" i="8"/>
  <c r="BC13" i="8" s="1"/>
  <c r="AK774" i="8"/>
  <c r="BD774" i="8" s="1"/>
  <c r="AL804" i="8"/>
  <c r="BE804" i="8" s="1"/>
  <c r="AN804" i="8"/>
  <c r="BG804" i="8" s="1"/>
  <c r="AN815" i="8"/>
  <c r="BG815" i="8" s="1"/>
  <c r="AJ782" i="8"/>
  <c r="BC782" i="8" s="1"/>
  <c r="AO832" i="8"/>
  <c r="BH832" i="8" s="1"/>
  <c r="AL13" i="8"/>
  <c r="BE13" i="8" s="1"/>
  <c r="AR13" i="8"/>
  <c r="BK13" i="8" s="1"/>
  <c r="AL774" i="8"/>
  <c r="BE774" i="8" s="1"/>
  <c r="AO815" i="8"/>
  <c r="BH815" i="8" s="1"/>
  <c r="AI782" i="8"/>
  <c r="BB782" i="8" s="1"/>
  <c r="AM832" i="8"/>
  <c r="BF832" i="8" s="1"/>
  <c r="AN13" i="8"/>
  <c r="BG13" i="8" s="1"/>
  <c r="AO774" i="8"/>
  <c r="BH774" i="8" s="1"/>
  <c r="AR804" i="8"/>
  <c r="BK804" i="8" s="1"/>
  <c r="AQ815" i="8"/>
  <c r="BJ815" i="8" s="1"/>
  <c r="AP815" i="8"/>
  <c r="BI815" i="8" s="1"/>
  <c r="AN782" i="8"/>
  <c r="BG782" i="8" s="1"/>
  <c r="AI832" i="8"/>
  <c r="BB832" i="8" s="1"/>
  <c r="AO13" i="8"/>
  <c r="BH13" i="8" s="1"/>
  <c r="AP774" i="8"/>
  <c r="BI774" i="8" s="1"/>
  <c r="AJ804" i="8"/>
  <c r="BC804" i="8" s="1"/>
  <c r="AL815" i="8"/>
  <c r="BE815" i="8" s="1"/>
  <c r="AJ815" i="8"/>
  <c r="BC815" i="8" s="1"/>
  <c r="AR782" i="8"/>
  <c r="BK782" i="8" s="1"/>
  <c r="AQ782" i="8"/>
  <c r="BJ782" i="8" s="1"/>
  <c r="AQ832" i="8"/>
  <c r="BJ832" i="8" s="1"/>
  <c r="AP13" i="8"/>
  <c r="BI13" i="8" s="1"/>
  <c r="AM774" i="8"/>
  <c r="BF774" i="8" s="1"/>
  <c r="AR774" i="8"/>
  <c r="BK774" i="8" s="1"/>
  <c r="AP804" i="8"/>
  <c r="BI804" i="8" s="1"/>
  <c r="AL782" i="8"/>
  <c r="BE782" i="8" s="1"/>
  <c r="AJ774" i="8"/>
  <c r="BC774" i="8" s="1"/>
  <c r="BU401" i="1"/>
  <c r="AQ772" i="8"/>
  <c r="BJ772" i="8" s="1"/>
  <c r="AM772" i="8"/>
  <c r="BF772" i="8" s="1"/>
  <c r="AK772" i="8"/>
  <c r="BD772" i="8" s="1"/>
  <c r="AO772" i="8"/>
  <c r="BH772" i="8" s="1"/>
  <c r="AJ772" i="8"/>
  <c r="BC772" i="8" s="1"/>
  <c r="AP772" i="8"/>
  <c r="BI772" i="8" s="1"/>
  <c r="BP401" i="1"/>
  <c r="BR513" i="8"/>
  <c r="BL513" i="8"/>
  <c r="BP513" i="8"/>
  <c r="BT513" i="8"/>
  <c r="AJ610" i="8"/>
  <c r="BC610" i="8" s="1"/>
  <c r="BS513" i="8"/>
  <c r="BM513" i="8"/>
  <c r="BU513" i="8"/>
  <c r="BN513" i="8"/>
  <c r="AH235" i="1"/>
  <c r="AM235" i="1" s="1"/>
  <c r="BF235" i="1" s="1"/>
  <c r="AH144" i="8"/>
  <c r="AH30" i="8"/>
  <c r="AH6" i="8"/>
  <c r="AH92" i="8"/>
  <c r="AH54" i="8"/>
  <c r="AH79" i="8"/>
  <c r="AH18" i="8"/>
  <c r="AH105" i="8"/>
  <c r="AH131" i="8"/>
  <c r="AH42" i="8"/>
  <c r="AH66" i="8"/>
  <c r="AH118" i="8"/>
  <c r="AH276" i="8"/>
  <c r="AH526" i="8"/>
  <c r="AH504" i="8"/>
  <c r="AH515" i="8"/>
  <c r="AH312" i="8"/>
  <c r="AH548" i="8"/>
  <c r="AH258" i="8"/>
  <c r="AH537" i="8"/>
  <c r="AH330" i="8"/>
  <c r="AH240" i="8"/>
  <c r="AH294" i="8"/>
  <c r="AH559" i="8"/>
  <c r="AR762" i="8"/>
  <c r="BK762" i="8" s="1"/>
  <c r="AP762" i="8"/>
  <c r="BI762" i="8" s="1"/>
  <c r="AN762" i="8"/>
  <c r="BG762" i="8" s="1"/>
  <c r="AJ762" i="8"/>
  <c r="BC762" i="8" s="1"/>
  <c r="AM762" i="8"/>
  <c r="BF762" i="8" s="1"/>
  <c r="AQ762" i="8"/>
  <c r="BJ762" i="8" s="1"/>
  <c r="AK762" i="8"/>
  <c r="BD762" i="8" s="1"/>
  <c r="AO762" i="8"/>
  <c r="BH762" i="8" s="1"/>
  <c r="AI762" i="8"/>
  <c r="AL762" i="8"/>
  <c r="BE762" i="8" s="1"/>
  <c r="BU306" i="8"/>
  <c r="BQ306" i="8"/>
  <c r="BP306" i="8"/>
  <c r="BO306" i="8"/>
  <c r="BN306" i="8"/>
  <c r="BT306" i="8"/>
  <c r="BM306" i="8"/>
  <c r="BR306" i="8"/>
  <c r="BS306" i="8"/>
  <c r="BL306" i="8"/>
  <c r="BS111" i="8"/>
  <c r="BR111" i="8"/>
  <c r="BQ111" i="8"/>
  <c r="BO111" i="8"/>
  <c r="BP111" i="8"/>
  <c r="BN111" i="8"/>
  <c r="BM111" i="8"/>
  <c r="BU111" i="8"/>
  <c r="BT111" i="8"/>
  <c r="BL111" i="8"/>
  <c r="BS549" i="8"/>
  <c r="BQ549" i="8"/>
  <c r="BP549" i="8"/>
  <c r="BO549" i="8"/>
  <c r="BU549" i="8"/>
  <c r="BR549" i="8"/>
  <c r="BT549" i="8"/>
  <c r="BN549" i="8"/>
  <c r="BL549" i="8"/>
  <c r="BM549" i="8"/>
  <c r="AQ24" i="8"/>
  <c r="BJ24" i="8" s="1"/>
  <c r="AI24" i="8"/>
  <c r="AP24" i="8"/>
  <c r="BI24" i="8" s="1"/>
  <c r="AK24" i="8"/>
  <c r="BD24" i="8" s="1"/>
  <c r="AN24" i="8"/>
  <c r="BG24" i="8" s="1"/>
  <c r="AO24" i="8"/>
  <c r="BH24" i="8" s="1"/>
  <c r="AL24" i="8"/>
  <c r="BE24" i="8" s="1"/>
  <c r="AM24" i="8"/>
  <c r="BF24" i="8" s="1"/>
  <c r="AR24" i="8"/>
  <c r="BK24" i="8" s="1"/>
  <c r="AJ24" i="8"/>
  <c r="BC24" i="8" s="1"/>
  <c r="AL461" i="8"/>
  <c r="BE461" i="8" s="1"/>
  <c r="AN676" i="8"/>
  <c r="BG676" i="8" s="1"/>
  <c r="BR295" i="8"/>
  <c r="BN295" i="8"/>
  <c r="BU295" i="8"/>
  <c r="BS295" i="8"/>
  <c r="BQ295" i="8"/>
  <c r="BO295" i="8"/>
  <c r="BP295" i="8"/>
  <c r="BM295" i="8"/>
  <c r="BT295" i="8"/>
  <c r="BL295" i="8"/>
  <c r="AL115" i="8"/>
  <c r="BE115" i="8" s="1"/>
  <c r="AN115" i="8"/>
  <c r="BG115" i="8" s="1"/>
  <c r="AK115" i="8"/>
  <c r="BD115" i="8" s="1"/>
  <c r="AM115" i="8"/>
  <c r="BF115" i="8" s="1"/>
  <c r="AR115" i="8"/>
  <c r="BK115" i="8" s="1"/>
  <c r="AI115" i="8"/>
  <c r="AJ115" i="8"/>
  <c r="BC115" i="8" s="1"/>
  <c r="AQ115" i="8"/>
  <c r="BJ115" i="8" s="1"/>
  <c r="AO115" i="8"/>
  <c r="BH115" i="8" s="1"/>
  <c r="AP115" i="8"/>
  <c r="BI115" i="8" s="1"/>
  <c r="AK82" i="8"/>
  <c r="BD82" i="8" s="1"/>
  <c r="AQ82" i="8"/>
  <c r="BJ82" i="8" s="1"/>
  <c r="AP82" i="8"/>
  <c r="BI82" i="8" s="1"/>
  <c r="AI82" i="8"/>
  <c r="AO82" i="8"/>
  <c r="BH82" i="8" s="1"/>
  <c r="AN82" i="8"/>
  <c r="BG82" i="8" s="1"/>
  <c r="AM82" i="8"/>
  <c r="BF82" i="8" s="1"/>
  <c r="AL82" i="8"/>
  <c r="BE82" i="8" s="1"/>
  <c r="AR82" i="8"/>
  <c r="BK82" i="8" s="1"/>
  <c r="AJ82" i="8"/>
  <c r="BC82" i="8" s="1"/>
  <c r="AJ28" i="8"/>
  <c r="BC28" i="8" s="1"/>
  <c r="AI28" i="8"/>
  <c r="AQ28" i="8"/>
  <c r="BJ28" i="8" s="1"/>
  <c r="AP28" i="8"/>
  <c r="BI28" i="8" s="1"/>
  <c r="AO28" i="8"/>
  <c r="BH28" i="8" s="1"/>
  <c r="AN28" i="8"/>
  <c r="BG28" i="8" s="1"/>
  <c r="AK28" i="8"/>
  <c r="BD28" i="8" s="1"/>
  <c r="AL28" i="8"/>
  <c r="BE28" i="8" s="1"/>
  <c r="AR28" i="8"/>
  <c r="BK28" i="8" s="1"/>
  <c r="AM28" i="8"/>
  <c r="BF28" i="8" s="1"/>
  <c r="AI77" i="8"/>
  <c r="AP77" i="8"/>
  <c r="BI77" i="8" s="1"/>
  <c r="AN77" i="8"/>
  <c r="BG77" i="8" s="1"/>
  <c r="AL77" i="8"/>
  <c r="BE77" i="8" s="1"/>
  <c r="AM77" i="8"/>
  <c r="BF77" i="8" s="1"/>
  <c r="AK77" i="8"/>
  <c r="BD77" i="8" s="1"/>
  <c r="AO77" i="8"/>
  <c r="BH77" i="8" s="1"/>
  <c r="AJ77" i="8"/>
  <c r="BC77" i="8" s="1"/>
  <c r="AR77" i="8"/>
  <c r="BK77" i="8" s="1"/>
  <c r="AQ77" i="8"/>
  <c r="BJ77" i="8" s="1"/>
  <c r="AN177" i="8"/>
  <c r="BG177" i="8" s="1"/>
  <c r="AM177" i="8"/>
  <c r="BF177" i="8" s="1"/>
  <c r="AK177" i="8"/>
  <c r="BD177" i="8" s="1"/>
  <c r="AP177" i="8"/>
  <c r="BI177" i="8" s="1"/>
  <c r="AQ177" i="8"/>
  <c r="BJ177" i="8" s="1"/>
  <c r="AR177" i="8"/>
  <c r="BK177" i="8" s="1"/>
  <c r="AO177" i="8"/>
  <c r="BH177" i="8" s="1"/>
  <c r="AJ177" i="8"/>
  <c r="BC177" i="8" s="1"/>
  <c r="AI177" i="8"/>
  <c r="AL177" i="8"/>
  <c r="BE177" i="8" s="1"/>
  <c r="BS328" i="8"/>
  <c r="BU328" i="8"/>
  <c r="BP328" i="8"/>
  <c r="BR328" i="8"/>
  <c r="BN328" i="8"/>
  <c r="BO328" i="8"/>
  <c r="BQ328" i="8"/>
  <c r="BT328" i="8"/>
  <c r="BM328" i="8"/>
  <c r="BL328" i="8"/>
  <c r="AN394" i="8"/>
  <c r="BG394" i="8" s="1"/>
  <c r="AR781" i="8"/>
  <c r="BK781" i="8" s="1"/>
  <c r="AQ781" i="8"/>
  <c r="BJ781" i="8" s="1"/>
  <c r="AN781" i="8"/>
  <c r="BG781" i="8" s="1"/>
  <c r="AM781" i="8"/>
  <c r="BF781" i="8" s="1"/>
  <c r="AJ781" i="8"/>
  <c r="BC781" i="8" s="1"/>
  <c r="AL781" i="8"/>
  <c r="BE781" i="8" s="1"/>
  <c r="AO781" i="8"/>
  <c r="BH781" i="8" s="1"/>
  <c r="AP781" i="8"/>
  <c r="BI781" i="8" s="1"/>
  <c r="AI781" i="8"/>
  <c r="AK781" i="8"/>
  <c r="BD781" i="8" s="1"/>
  <c r="AL787" i="8"/>
  <c r="BE787" i="8" s="1"/>
  <c r="AJ787" i="8"/>
  <c r="BC787" i="8" s="1"/>
  <c r="AI787" i="8"/>
  <c r="AN787" i="8"/>
  <c r="BG787" i="8" s="1"/>
  <c r="AM787" i="8"/>
  <c r="BF787" i="8" s="1"/>
  <c r="AK787" i="8"/>
  <c r="BD787" i="8" s="1"/>
  <c r="AQ787" i="8"/>
  <c r="BJ787" i="8" s="1"/>
  <c r="AP787" i="8"/>
  <c r="BI787" i="8" s="1"/>
  <c r="AO787" i="8"/>
  <c r="BH787" i="8" s="1"/>
  <c r="AR787" i="8"/>
  <c r="BK787" i="8" s="1"/>
  <c r="AK160" i="8"/>
  <c r="BD160" i="8" s="1"/>
  <c r="AI160" i="8"/>
  <c r="AJ160" i="8"/>
  <c r="BC160" i="8" s="1"/>
  <c r="AP160" i="8"/>
  <c r="BI160" i="8" s="1"/>
  <c r="AM160" i="8"/>
  <c r="BF160" i="8" s="1"/>
  <c r="AL160" i="8"/>
  <c r="BE160" i="8" s="1"/>
  <c r="AO160" i="8"/>
  <c r="BH160" i="8" s="1"/>
  <c r="AN160" i="8"/>
  <c r="BG160" i="8" s="1"/>
  <c r="AR160" i="8"/>
  <c r="BK160" i="8" s="1"/>
  <c r="AQ160" i="8"/>
  <c r="BJ160" i="8" s="1"/>
  <c r="AI156" i="8"/>
  <c r="AL156" i="8"/>
  <c r="BE156" i="8" s="1"/>
  <c r="AK156" i="8"/>
  <c r="BD156" i="8" s="1"/>
  <c r="AR156" i="8"/>
  <c r="BK156" i="8" s="1"/>
  <c r="AQ156" i="8"/>
  <c r="BJ156" i="8" s="1"/>
  <c r="AJ156" i="8"/>
  <c r="BC156" i="8" s="1"/>
  <c r="AO156" i="8"/>
  <c r="BH156" i="8" s="1"/>
  <c r="AP156" i="8"/>
  <c r="BI156" i="8" s="1"/>
  <c r="AN156" i="8"/>
  <c r="BG156" i="8" s="1"/>
  <c r="AM156" i="8"/>
  <c r="BF156" i="8" s="1"/>
  <c r="AL116" i="8"/>
  <c r="BE116" i="8" s="1"/>
  <c r="AO116" i="8"/>
  <c r="BH116" i="8" s="1"/>
  <c r="AN116" i="8"/>
  <c r="BG116" i="8" s="1"/>
  <c r="AM116" i="8"/>
  <c r="BF116" i="8" s="1"/>
  <c r="AI116" i="8"/>
  <c r="AQ116" i="8"/>
  <c r="BJ116" i="8" s="1"/>
  <c r="AK116" i="8"/>
  <c r="BD116" i="8" s="1"/>
  <c r="AR116" i="8"/>
  <c r="BK116" i="8" s="1"/>
  <c r="AJ116" i="8"/>
  <c r="BC116" i="8" s="1"/>
  <c r="AP116" i="8"/>
  <c r="BI116" i="8" s="1"/>
  <c r="AJ108" i="8"/>
  <c r="BC108" i="8" s="1"/>
  <c r="AQ108" i="8"/>
  <c r="BJ108" i="8" s="1"/>
  <c r="AP108" i="8"/>
  <c r="BI108" i="8" s="1"/>
  <c r="AO108" i="8"/>
  <c r="BH108" i="8" s="1"/>
  <c r="AM108" i="8"/>
  <c r="BF108" i="8" s="1"/>
  <c r="AK108" i="8"/>
  <c r="BD108" i="8" s="1"/>
  <c r="AR108" i="8"/>
  <c r="BK108" i="8" s="1"/>
  <c r="AN108" i="8"/>
  <c r="BG108" i="8" s="1"/>
  <c r="AL108" i="8"/>
  <c r="BE108" i="8" s="1"/>
  <c r="AI108" i="8"/>
  <c r="BN277" i="8"/>
  <c r="BM277" i="8"/>
  <c r="BU277" i="8"/>
  <c r="BP277" i="8"/>
  <c r="BO277" i="8"/>
  <c r="BT277" i="8"/>
  <c r="BL277" i="8"/>
  <c r="BS277" i="8"/>
  <c r="BR277" i="8"/>
  <c r="BQ277" i="8"/>
  <c r="AP200" i="8"/>
  <c r="BI200" i="8" s="1"/>
  <c r="AO200" i="8"/>
  <c r="BH200" i="8" s="1"/>
  <c r="AR200" i="8"/>
  <c r="BK200" i="8" s="1"/>
  <c r="AN200" i="8"/>
  <c r="BG200" i="8" s="1"/>
  <c r="AM200" i="8"/>
  <c r="BF200" i="8" s="1"/>
  <c r="AL200" i="8"/>
  <c r="BE200" i="8" s="1"/>
  <c r="AK200" i="8"/>
  <c r="BD200" i="8" s="1"/>
  <c r="AQ200" i="8"/>
  <c r="BJ200" i="8" s="1"/>
  <c r="AJ200" i="8"/>
  <c r="BC200" i="8" s="1"/>
  <c r="AI200" i="8"/>
  <c r="BP502" i="8"/>
  <c r="BQ502" i="8"/>
  <c r="BO502" i="8"/>
  <c r="BM502" i="8"/>
  <c r="BN502" i="8"/>
  <c r="BU502" i="8"/>
  <c r="BT502" i="8"/>
  <c r="BL502" i="8"/>
  <c r="BS502" i="8"/>
  <c r="BR502" i="8"/>
  <c r="BU271" i="8"/>
  <c r="BQ271" i="8"/>
  <c r="BP271" i="8"/>
  <c r="BO271" i="8"/>
  <c r="BN271" i="8"/>
  <c r="BR271" i="8"/>
  <c r="BL271" i="8"/>
  <c r="BT271" i="8"/>
  <c r="BM271" i="8"/>
  <c r="BS271" i="8"/>
  <c r="BT159" i="8"/>
  <c r="BU159" i="8"/>
  <c r="BN159" i="8"/>
  <c r="BM159" i="8"/>
  <c r="BL159" i="8"/>
  <c r="BS159" i="8"/>
  <c r="BR159" i="8"/>
  <c r="BQ159" i="8"/>
  <c r="BP159" i="8"/>
  <c r="BO159" i="8"/>
  <c r="BQ160" i="8"/>
  <c r="BP160" i="8"/>
  <c r="BS160" i="8"/>
  <c r="BR160" i="8"/>
  <c r="BO160" i="8"/>
  <c r="BU160" i="8"/>
  <c r="BM160" i="8"/>
  <c r="BT160" i="8"/>
  <c r="BL160" i="8"/>
  <c r="BN160" i="8"/>
  <c r="AM97" i="8"/>
  <c r="BF97" i="8" s="1"/>
  <c r="AL97" i="8"/>
  <c r="BE97" i="8" s="1"/>
  <c r="AK97" i="8"/>
  <c r="BD97" i="8" s="1"/>
  <c r="AQ97" i="8"/>
  <c r="BJ97" i="8" s="1"/>
  <c r="AI97" i="8"/>
  <c r="AN97" i="8"/>
  <c r="BG97" i="8" s="1"/>
  <c r="AR97" i="8"/>
  <c r="BK97" i="8" s="1"/>
  <c r="AJ97" i="8"/>
  <c r="BC97" i="8" s="1"/>
  <c r="AP97" i="8"/>
  <c r="BI97" i="8" s="1"/>
  <c r="AO97" i="8"/>
  <c r="BH97" i="8" s="1"/>
  <c r="BP237" i="8"/>
  <c r="BR237" i="8"/>
  <c r="BO237" i="8"/>
  <c r="BM237" i="8"/>
  <c r="BN237" i="8"/>
  <c r="BT237" i="8"/>
  <c r="BL237" i="8"/>
  <c r="BS237" i="8"/>
  <c r="BQ237" i="8"/>
  <c r="BU237" i="8"/>
  <c r="AQ155" i="8"/>
  <c r="BJ155" i="8" s="1"/>
  <c r="AM155" i="8"/>
  <c r="BF155" i="8" s="1"/>
  <c r="AL155" i="8"/>
  <c r="BE155" i="8" s="1"/>
  <c r="AR155" i="8"/>
  <c r="BK155" i="8" s="1"/>
  <c r="AK155" i="8"/>
  <c r="BD155" i="8" s="1"/>
  <c r="AP155" i="8"/>
  <c r="BI155" i="8" s="1"/>
  <c r="AJ155" i="8"/>
  <c r="BC155" i="8" s="1"/>
  <c r="AO155" i="8"/>
  <c r="BH155" i="8" s="1"/>
  <c r="AN155" i="8"/>
  <c r="BG155" i="8" s="1"/>
  <c r="AI155" i="8"/>
  <c r="BR133" i="8"/>
  <c r="BS133" i="8"/>
  <c r="BP133" i="8"/>
  <c r="BN133" i="8"/>
  <c r="BO133" i="8"/>
  <c r="BU133" i="8"/>
  <c r="BM133" i="8"/>
  <c r="BT133" i="8"/>
  <c r="BL133" i="8"/>
  <c r="BQ133" i="8"/>
  <c r="BR143" i="8"/>
  <c r="BS143" i="8"/>
  <c r="BN143" i="8"/>
  <c r="BO143" i="8"/>
  <c r="BU143" i="8"/>
  <c r="BT143" i="8"/>
  <c r="BL143" i="8"/>
  <c r="BQ143" i="8"/>
  <c r="BP143" i="8"/>
  <c r="BM143" i="8"/>
  <c r="BO93" i="8"/>
  <c r="BL93" i="8"/>
  <c r="BP93" i="8"/>
  <c r="BU93" i="8"/>
  <c r="BS93" i="8"/>
  <c r="BR93" i="8"/>
  <c r="BQ93" i="8"/>
  <c r="BT93" i="8"/>
  <c r="BN93" i="8"/>
  <c r="BM93" i="8"/>
  <c r="AM802" i="8"/>
  <c r="BF802" i="8" s="1"/>
  <c r="AK802" i="8"/>
  <c r="BD802" i="8" s="1"/>
  <c r="AR802" i="8"/>
  <c r="BK802" i="8" s="1"/>
  <c r="AI802" i="8"/>
  <c r="AJ802" i="8"/>
  <c r="BC802" i="8" s="1"/>
  <c r="AO802" i="8"/>
  <c r="BH802" i="8" s="1"/>
  <c r="AQ802" i="8"/>
  <c r="BJ802" i="8" s="1"/>
  <c r="AP802" i="8"/>
  <c r="BI802" i="8" s="1"/>
  <c r="AN802" i="8"/>
  <c r="BG802" i="8" s="1"/>
  <c r="AL802" i="8"/>
  <c r="BE802" i="8" s="1"/>
  <c r="AN98" i="8"/>
  <c r="BG98" i="8" s="1"/>
  <c r="AM98" i="8"/>
  <c r="BF98" i="8" s="1"/>
  <c r="AL98" i="8"/>
  <c r="BE98" i="8" s="1"/>
  <c r="AK98" i="8"/>
  <c r="BD98" i="8" s="1"/>
  <c r="AP98" i="8"/>
  <c r="BI98" i="8" s="1"/>
  <c r="AI98" i="8"/>
  <c r="AR98" i="8"/>
  <c r="BK98" i="8" s="1"/>
  <c r="AO98" i="8"/>
  <c r="BH98" i="8" s="1"/>
  <c r="AJ98" i="8"/>
  <c r="BC98" i="8" s="1"/>
  <c r="AQ98" i="8"/>
  <c r="BJ98" i="8" s="1"/>
  <c r="BB13" i="8"/>
  <c r="BP104" i="8"/>
  <c r="BQ104" i="8"/>
  <c r="BT104" i="8"/>
  <c r="BO104" i="8"/>
  <c r="BL104" i="8"/>
  <c r="BR104" i="8"/>
  <c r="BM104" i="8"/>
  <c r="BN104" i="8"/>
  <c r="BU104" i="8"/>
  <c r="BS104" i="8"/>
  <c r="BR558" i="8"/>
  <c r="BQ558" i="8"/>
  <c r="BU558" i="8"/>
  <c r="BN558" i="8"/>
  <c r="BM558" i="8"/>
  <c r="BT558" i="8"/>
  <c r="BO558" i="8"/>
  <c r="BL558" i="8"/>
  <c r="BS558" i="8"/>
  <c r="BP558" i="8"/>
  <c r="BR532" i="8"/>
  <c r="BS532" i="8"/>
  <c r="BL532" i="8"/>
  <c r="BT532" i="8"/>
  <c r="BN532" i="8"/>
  <c r="BM532" i="8"/>
  <c r="BU532" i="8"/>
  <c r="BQ532" i="8"/>
  <c r="BO532" i="8"/>
  <c r="BP532" i="8"/>
  <c r="AQ132" i="8"/>
  <c r="BJ132" i="8" s="1"/>
  <c r="AI132" i="8"/>
  <c r="AL132" i="8"/>
  <c r="BE132" i="8" s="1"/>
  <c r="AP132" i="8"/>
  <c r="BI132" i="8" s="1"/>
  <c r="AO132" i="8"/>
  <c r="BH132" i="8" s="1"/>
  <c r="AN132" i="8"/>
  <c r="BG132" i="8" s="1"/>
  <c r="AM132" i="8"/>
  <c r="BF132" i="8" s="1"/>
  <c r="AK132" i="8"/>
  <c r="BD132" i="8" s="1"/>
  <c r="AR132" i="8"/>
  <c r="BK132" i="8" s="1"/>
  <c r="AJ132" i="8"/>
  <c r="BC132" i="8" s="1"/>
  <c r="BU291" i="8"/>
  <c r="BQ291" i="8"/>
  <c r="BP291" i="8"/>
  <c r="BO291" i="8"/>
  <c r="BN291" i="8"/>
  <c r="BS291" i="8"/>
  <c r="BR291" i="8"/>
  <c r="BL291" i="8"/>
  <c r="BM291" i="8"/>
  <c r="BT291" i="8"/>
  <c r="AO277" i="8"/>
  <c r="BH277" i="8" s="1"/>
  <c r="AI277" i="8"/>
  <c r="BS239" i="8"/>
  <c r="BP239" i="8"/>
  <c r="BT239" i="8"/>
  <c r="BL239" i="8"/>
  <c r="BR239" i="8"/>
  <c r="BQ239" i="8"/>
  <c r="BO239" i="8"/>
  <c r="BN239" i="8"/>
  <c r="BU239" i="8"/>
  <c r="BM239" i="8"/>
  <c r="BU79" i="8"/>
  <c r="BM79" i="8"/>
  <c r="BQ79" i="8"/>
  <c r="BP79" i="8"/>
  <c r="BO79" i="8"/>
  <c r="BN79" i="8"/>
  <c r="BT79" i="8"/>
  <c r="BL79" i="8"/>
  <c r="BR79" i="8"/>
  <c r="BS79" i="8"/>
  <c r="AJ193" i="8"/>
  <c r="BC193" i="8" s="1"/>
  <c r="AQ193" i="8"/>
  <c r="BJ193" i="8" s="1"/>
  <c r="AI193" i="8"/>
  <c r="AO193" i="8"/>
  <c r="BH193" i="8" s="1"/>
  <c r="AM193" i="8"/>
  <c r="BF193" i="8" s="1"/>
  <c r="AK193" i="8"/>
  <c r="BD193" i="8" s="1"/>
  <c r="AR193" i="8"/>
  <c r="BK193" i="8" s="1"/>
  <c r="AP193" i="8"/>
  <c r="BI193" i="8" s="1"/>
  <c r="AL193" i="8"/>
  <c r="BE193" i="8" s="1"/>
  <c r="AN193" i="8"/>
  <c r="BG193" i="8" s="1"/>
  <c r="AI801" i="8"/>
  <c r="AR801" i="8"/>
  <c r="BK801" i="8" s="1"/>
  <c r="AQ801" i="8"/>
  <c r="BJ801" i="8" s="1"/>
  <c r="AL801" i="8"/>
  <c r="BE801" i="8" s="1"/>
  <c r="AM801" i="8"/>
  <c r="BF801" i="8" s="1"/>
  <c r="AK801" i="8"/>
  <c r="BD801" i="8" s="1"/>
  <c r="AO801" i="8"/>
  <c r="BH801" i="8" s="1"/>
  <c r="AN801" i="8"/>
  <c r="BG801" i="8" s="1"/>
  <c r="AP801" i="8"/>
  <c r="BI801" i="8" s="1"/>
  <c r="AJ801" i="8"/>
  <c r="BC801" i="8" s="1"/>
  <c r="AI779" i="8"/>
  <c r="AR779" i="8"/>
  <c r="BK779" i="8" s="1"/>
  <c r="AO779" i="8"/>
  <c r="BH779" i="8" s="1"/>
  <c r="AM779" i="8"/>
  <c r="BF779" i="8" s="1"/>
  <c r="AQ779" i="8"/>
  <c r="BJ779" i="8" s="1"/>
  <c r="AL779" i="8"/>
  <c r="BE779" i="8" s="1"/>
  <c r="AN779" i="8"/>
  <c r="BG779" i="8" s="1"/>
  <c r="AP779" i="8"/>
  <c r="BI779" i="8" s="1"/>
  <c r="AJ779" i="8"/>
  <c r="BC779" i="8" s="1"/>
  <c r="AK779" i="8"/>
  <c r="BD779" i="8" s="1"/>
  <c r="BO105" i="8"/>
  <c r="BQ105" i="8"/>
  <c r="BN105" i="8"/>
  <c r="BT105" i="8"/>
  <c r="BM105" i="8"/>
  <c r="BL105" i="8"/>
  <c r="BP105" i="8"/>
  <c r="BU105" i="8"/>
  <c r="BS105" i="8"/>
  <c r="BR105" i="8"/>
  <c r="AM173" i="8"/>
  <c r="BF173" i="8" s="1"/>
  <c r="AL173" i="8"/>
  <c r="BE173" i="8" s="1"/>
  <c r="AQ173" i="8"/>
  <c r="BJ173" i="8" s="1"/>
  <c r="AK173" i="8"/>
  <c r="BD173" i="8" s="1"/>
  <c r="AP173" i="8"/>
  <c r="BI173" i="8" s="1"/>
  <c r="AJ173" i="8"/>
  <c r="BC173" i="8" s="1"/>
  <c r="AN173" i="8"/>
  <c r="BG173" i="8" s="1"/>
  <c r="AI173" i="8"/>
  <c r="AR173" i="8"/>
  <c r="BK173" i="8" s="1"/>
  <c r="AO173" i="8"/>
  <c r="BH173" i="8" s="1"/>
  <c r="BN535" i="8"/>
  <c r="BT535" i="8"/>
  <c r="BU535" i="8"/>
  <c r="BL535" i="8"/>
  <c r="BM535" i="8"/>
  <c r="BS535" i="8"/>
  <c r="BR535" i="8"/>
  <c r="BQ535" i="8"/>
  <c r="BP535" i="8"/>
  <c r="BO535" i="8"/>
  <c r="AM27" i="8"/>
  <c r="BF27" i="8" s="1"/>
  <c r="AL27" i="8"/>
  <c r="BE27" i="8" s="1"/>
  <c r="AO27" i="8"/>
  <c r="BH27" i="8" s="1"/>
  <c r="AR27" i="8"/>
  <c r="BK27" i="8" s="1"/>
  <c r="AK27" i="8"/>
  <c r="BD27" i="8" s="1"/>
  <c r="AQ27" i="8"/>
  <c r="BJ27" i="8" s="1"/>
  <c r="AI27" i="8"/>
  <c r="AP27" i="8"/>
  <c r="BI27" i="8" s="1"/>
  <c r="AN27" i="8"/>
  <c r="BG27" i="8" s="1"/>
  <c r="AJ27" i="8"/>
  <c r="BC27" i="8" s="1"/>
  <c r="BU209" i="8"/>
  <c r="BM209" i="8"/>
  <c r="BS209" i="8"/>
  <c r="BR209" i="8"/>
  <c r="BQ209" i="8"/>
  <c r="BT209" i="8"/>
  <c r="BO209" i="8"/>
  <c r="BN209" i="8"/>
  <c r="BP209" i="8"/>
  <c r="BL209" i="8"/>
  <c r="AL736" i="8"/>
  <c r="BE736" i="8" s="1"/>
  <c r="AN736" i="8"/>
  <c r="BG736" i="8" s="1"/>
  <c r="AM736" i="8"/>
  <c r="BF736" i="8" s="1"/>
  <c r="AP736" i="8"/>
  <c r="BI736" i="8" s="1"/>
  <c r="AK736" i="8"/>
  <c r="BD736" i="8" s="1"/>
  <c r="AR736" i="8"/>
  <c r="BK736" i="8" s="1"/>
  <c r="AO736" i="8"/>
  <c r="BH736" i="8" s="1"/>
  <c r="AJ736" i="8"/>
  <c r="BC736" i="8" s="1"/>
  <c r="AQ736" i="8"/>
  <c r="BJ736" i="8" s="1"/>
  <c r="AI736" i="8"/>
  <c r="AR757" i="8"/>
  <c r="BK757" i="8" s="1"/>
  <c r="AJ757" i="8"/>
  <c r="BC757" i="8" s="1"/>
  <c r="AN757" i="8"/>
  <c r="BG757" i="8" s="1"/>
  <c r="AP757" i="8"/>
  <c r="BI757" i="8" s="1"/>
  <c r="AO757" i="8"/>
  <c r="BH757" i="8" s="1"/>
  <c r="AM757" i="8"/>
  <c r="BF757" i="8" s="1"/>
  <c r="AL757" i="8"/>
  <c r="BE757" i="8" s="1"/>
  <c r="AK757" i="8"/>
  <c r="BD757" i="8" s="1"/>
  <c r="AQ757" i="8"/>
  <c r="BJ757" i="8" s="1"/>
  <c r="AI757" i="8"/>
  <c r="AI181" i="8"/>
  <c r="AO181" i="8"/>
  <c r="BH181" i="8" s="1"/>
  <c r="AL181" i="8"/>
  <c r="BE181" i="8" s="1"/>
  <c r="AP181" i="8"/>
  <c r="BI181" i="8" s="1"/>
  <c r="AR181" i="8"/>
  <c r="BK181" i="8" s="1"/>
  <c r="AM181" i="8"/>
  <c r="BF181" i="8" s="1"/>
  <c r="AK181" i="8"/>
  <c r="BD181" i="8" s="1"/>
  <c r="AJ181" i="8"/>
  <c r="BC181" i="8" s="1"/>
  <c r="AQ181" i="8"/>
  <c r="BJ181" i="8" s="1"/>
  <c r="AN181" i="8"/>
  <c r="BG181" i="8" s="1"/>
  <c r="AO145" i="8"/>
  <c r="BH145" i="8" s="1"/>
  <c r="AN145" i="8"/>
  <c r="BG145" i="8" s="1"/>
  <c r="AK145" i="8"/>
  <c r="BD145" i="8" s="1"/>
  <c r="AR145" i="8"/>
  <c r="BK145" i="8" s="1"/>
  <c r="AJ145" i="8"/>
  <c r="BC145" i="8" s="1"/>
  <c r="AP145" i="8"/>
  <c r="BI145" i="8" s="1"/>
  <c r="AQ145" i="8"/>
  <c r="BJ145" i="8" s="1"/>
  <c r="AI145" i="8"/>
  <c r="AM145" i="8"/>
  <c r="BF145" i="8" s="1"/>
  <c r="AL145" i="8"/>
  <c r="BE145" i="8" s="1"/>
  <c r="AJ53" i="8"/>
  <c r="BC53" i="8" s="1"/>
  <c r="AQ53" i="8"/>
  <c r="BJ53" i="8" s="1"/>
  <c r="AI53" i="8"/>
  <c r="AP53" i="8"/>
  <c r="BI53" i="8" s="1"/>
  <c r="AN53" i="8"/>
  <c r="BG53" i="8" s="1"/>
  <c r="AK53" i="8"/>
  <c r="BD53" i="8" s="1"/>
  <c r="AO53" i="8"/>
  <c r="BH53" i="8" s="1"/>
  <c r="AR53" i="8"/>
  <c r="BK53" i="8" s="1"/>
  <c r="AL53" i="8"/>
  <c r="BE53" i="8" s="1"/>
  <c r="AM53" i="8"/>
  <c r="BF53" i="8" s="1"/>
  <c r="BO67" i="8"/>
  <c r="BN67" i="8"/>
  <c r="BT67" i="8"/>
  <c r="BL67" i="8"/>
  <c r="BS67" i="8"/>
  <c r="BQ67" i="8"/>
  <c r="BU67" i="8"/>
  <c r="BP67" i="8"/>
  <c r="BM67" i="8"/>
  <c r="BR67" i="8"/>
  <c r="BS310" i="8"/>
  <c r="BR310" i="8"/>
  <c r="BQ310" i="8"/>
  <c r="BP310" i="8"/>
  <c r="BN310" i="8"/>
  <c r="BO310" i="8"/>
  <c r="BU310" i="8"/>
  <c r="BM310" i="8"/>
  <c r="BT310" i="8"/>
  <c r="BL310" i="8"/>
  <c r="BP36" i="8"/>
  <c r="BO36" i="8"/>
  <c r="BU36" i="8"/>
  <c r="BN36" i="8"/>
  <c r="BQ36" i="8"/>
  <c r="BT36" i="8"/>
  <c r="BM36" i="8"/>
  <c r="BS36" i="8"/>
  <c r="BR36" i="8"/>
  <c r="BL36" i="8"/>
  <c r="AS157" i="8"/>
  <c r="BB157" i="8"/>
  <c r="AH412" i="8"/>
  <c r="AH431" i="8"/>
  <c r="AH529" i="8"/>
  <c r="AH540" i="8"/>
  <c r="AH488" i="8"/>
  <c r="AH393" i="8"/>
  <c r="AH469" i="8"/>
  <c r="AH518" i="8"/>
  <c r="AH450" i="8"/>
  <c r="AH551" i="8"/>
  <c r="AH507" i="8"/>
  <c r="AH562" i="8"/>
  <c r="AJ753" i="8"/>
  <c r="BC753" i="8" s="1"/>
  <c r="AQ753" i="8"/>
  <c r="BJ753" i="8" s="1"/>
  <c r="AO753" i="8"/>
  <c r="BH753" i="8" s="1"/>
  <c r="AI753" i="8"/>
  <c r="AP753" i="8"/>
  <c r="BI753" i="8" s="1"/>
  <c r="AN753" i="8"/>
  <c r="BG753" i="8" s="1"/>
  <c r="AM753" i="8"/>
  <c r="BF753" i="8" s="1"/>
  <c r="AL753" i="8"/>
  <c r="BE753" i="8" s="1"/>
  <c r="AK753" i="8"/>
  <c r="BD753" i="8" s="1"/>
  <c r="AR753" i="8"/>
  <c r="BK753" i="8" s="1"/>
  <c r="BO556" i="8"/>
  <c r="BR556" i="8"/>
  <c r="BQ556" i="8"/>
  <c r="BP556" i="8"/>
  <c r="BN556" i="8"/>
  <c r="BT556" i="8"/>
  <c r="BL556" i="8"/>
  <c r="BS556" i="8"/>
  <c r="BU556" i="8"/>
  <c r="BM556" i="8"/>
  <c r="BR190" i="8"/>
  <c r="BP190" i="8"/>
  <c r="BU190" i="8"/>
  <c r="BM190" i="8"/>
  <c r="BT190" i="8"/>
  <c r="BL190" i="8"/>
  <c r="BS190" i="8"/>
  <c r="BQ190" i="8"/>
  <c r="BO190" i="8"/>
  <c r="BN190" i="8"/>
  <c r="AQ99" i="8"/>
  <c r="BJ99" i="8" s="1"/>
  <c r="AO99" i="8"/>
  <c r="BH99" i="8" s="1"/>
  <c r="AL99" i="8"/>
  <c r="BE99" i="8" s="1"/>
  <c r="AI99" i="8"/>
  <c r="AP99" i="8"/>
  <c r="BI99" i="8" s="1"/>
  <c r="AM99" i="8"/>
  <c r="BF99" i="8" s="1"/>
  <c r="AR99" i="8"/>
  <c r="BK99" i="8" s="1"/>
  <c r="AN99" i="8"/>
  <c r="BG99" i="8" s="1"/>
  <c r="AJ99" i="8"/>
  <c r="BC99" i="8" s="1"/>
  <c r="AK99" i="8"/>
  <c r="BD99" i="8" s="1"/>
  <c r="AQ125" i="8"/>
  <c r="BJ125" i="8" s="1"/>
  <c r="AL125" i="8"/>
  <c r="BE125" i="8" s="1"/>
  <c r="AI125" i="8"/>
  <c r="AP125" i="8"/>
  <c r="BI125" i="8" s="1"/>
  <c r="AO125" i="8"/>
  <c r="BH125" i="8" s="1"/>
  <c r="AM125" i="8"/>
  <c r="BF125" i="8" s="1"/>
  <c r="AN125" i="8"/>
  <c r="BG125" i="8" s="1"/>
  <c r="AK125" i="8"/>
  <c r="BD125" i="8" s="1"/>
  <c r="AR125" i="8"/>
  <c r="BK125" i="8" s="1"/>
  <c r="AJ125" i="8"/>
  <c r="BC125" i="8" s="1"/>
  <c r="AO669" i="8"/>
  <c r="BH669" i="8" s="1"/>
  <c r="BS533" i="8"/>
  <c r="BR533" i="8"/>
  <c r="BQ533" i="8"/>
  <c r="BN533" i="8"/>
  <c r="BP533" i="8"/>
  <c r="BU533" i="8"/>
  <c r="BO533" i="8"/>
  <c r="BM533" i="8"/>
  <c r="BT533" i="8"/>
  <c r="BL533" i="8"/>
  <c r="BL17" i="8"/>
  <c r="BU17" i="8"/>
  <c r="BM17" i="8"/>
  <c r="BR17" i="8"/>
  <c r="BQ17" i="8"/>
  <c r="BP17" i="8"/>
  <c r="BS17" i="8"/>
  <c r="BN17" i="8"/>
  <c r="BO17" i="8"/>
  <c r="BT17" i="8"/>
  <c r="BS199" i="8"/>
  <c r="BR199" i="8"/>
  <c r="BQ199" i="8"/>
  <c r="BT199" i="8"/>
  <c r="BP199" i="8"/>
  <c r="BL199" i="8"/>
  <c r="BO199" i="8"/>
  <c r="BU199" i="8"/>
  <c r="BM199" i="8"/>
  <c r="BN199" i="8"/>
  <c r="BN88" i="8"/>
  <c r="BP88" i="8"/>
  <c r="BU88" i="8"/>
  <c r="BO88" i="8"/>
  <c r="BM88" i="8"/>
  <c r="BQ88" i="8"/>
  <c r="BT88" i="8"/>
  <c r="BL88" i="8"/>
  <c r="BS88" i="8"/>
  <c r="BR88" i="8"/>
  <c r="AL789" i="8"/>
  <c r="BE789" i="8" s="1"/>
  <c r="AJ789" i="8"/>
  <c r="BC789" i="8" s="1"/>
  <c r="AI789" i="8"/>
  <c r="AQ789" i="8"/>
  <c r="BJ789" i="8" s="1"/>
  <c r="AN789" i="8"/>
  <c r="BG789" i="8" s="1"/>
  <c r="AP789" i="8"/>
  <c r="BI789" i="8" s="1"/>
  <c r="AM789" i="8"/>
  <c r="BF789" i="8" s="1"/>
  <c r="AR789" i="8"/>
  <c r="BK789" i="8" s="1"/>
  <c r="AK789" i="8"/>
  <c r="BD789" i="8" s="1"/>
  <c r="AO789" i="8"/>
  <c r="BH789" i="8" s="1"/>
  <c r="AR827" i="8"/>
  <c r="BK827" i="8" s="1"/>
  <c r="AP827" i="8"/>
  <c r="BI827" i="8" s="1"/>
  <c r="AN827" i="8"/>
  <c r="BG827" i="8" s="1"/>
  <c r="AM827" i="8"/>
  <c r="BF827" i="8" s="1"/>
  <c r="AL827" i="8"/>
  <c r="BE827" i="8" s="1"/>
  <c r="AK827" i="8"/>
  <c r="BD827" i="8" s="1"/>
  <c r="AO827" i="8"/>
  <c r="BH827" i="8" s="1"/>
  <c r="AQ827" i="8"/>
  <c r="BJ827" i="8" s="1"/>
  <c r="AI827" i="8"/>
  <c r="AJ827" i="8"/>
  <c r="BC827" i="8" s="1"/>
  <c r="BU198" i="8"/>
  <c r="BP198" i="8"/>
  <c r="BN198" i="8"/>
  <c r="BR198" i="8"/>
  <c r="BO198" i="8"/>
  <c r="BL198" i="8"/>
  <c r="BS198" i="8"/>
  <c r="BT198" i="8"/>
  <c r="BM198" i="8"/>
  <c r="BQ198" i="8"/>
  <c r="AK143" i="8"/>
  <c r="BD143" i="8" s="1"/>
  <c r="AR143" i="8"/>
  <c r="BK143" i="8" s="1"/>
  <c r="AJ143" i="8"/>
  <c r="BC143" i="8" s="1"/>
  <c r="AQ143" i="8"/>
  <c r="BJ143" i="8" s="1"/>
  <c r="AI143" i="8"/>
  <c r="AO143" i="8"/>
  <c r="BH143" i="8" s="1"/>
  <c r="AL143" i="8"/>
  <c r="BE143" i="8" s="1"/>
  <c r="AN143" i="8"/>
  <c r="BG143" i="8" s="1"/>
  <c r="AM143" i="8"/>
  <c r="BF143" i="8" s="1"/>
  <c r="AP143" i="8"/>
  <c r="BI143" i="8" s="1"/>
  <c r="AL5" i="8"/>
  <c r="BE5" i="8" s="1"/>
  <c r="AO5" i="8"/>
  <c r="BH5" i="8" s="1"/>
  <c r="AM5" i="8"/>
  <c r="BF5" i="8" s="1"/>
  <c r="AK5" i="8"/>
  <c r="BD5" i="8" s="1"/>
  <c r="AR5" i="8"/>
  <c r="BK5" i="8" s="1"/>
  <c r="AJ5" i="8"/>
  <c r="BC5" i="8" s="1"/>
  <c r="AQ5" i="8"/>
  <c r="BJ5" i="8" s="1"/>
  <c r="AI5" i="8"/>
  <c r="AP5" i="8"/>
  <c r="BI5" i="8" s="1"/>
  <c r="AN5" i="8"/>
  <c r="BG5" i="8" s="1"/>
  <c r="AK197" i="8"/>
  <c r="BD197" i="8" s="1"/>
  <c r="AL197" i="8"/>
  <c r="BE197" i="8" s="1"/>
  <c r="AR197" i="8"/>
  <c r="BK197" i="8" s="1"/>
  <c r="AN197" i="8"/>
  <c r="BG197" i="8" s="1"/>
  <c r="AJ197" i="8"/>
  <c r="BC197" i="8" s="1"/>
  <c r="AI197" i="8"/>
  <c r="AP197" i="8"/>
  <c r="BI197" i="8" s="1"/>
  <c r="AO197" i="8"/>
  <c r="BH197" i="8" s="1"/>
  <c r="AM197" i="8"/>
  <c r="BF197" i="8" s="1"/>
  <c r="AQ197" i="8"/>
  <c r="BJ197" i="8" s="1"/>
  <c r="BP324" i="8"/>
  <c r="BL324" i="8"/>
  <c r="BR324" i="8"/>
  <c r="BU324" i="8"/>
  <c r="BQ324" i="8"/>
  <c r="BM324" i="8"/>
  <c r="BO324" i="8"/>
  <c r="BT324" i="8"/>
  <c r="BN324" i="8"/>
  <c r="BS324" i="8"/>
  <c r="BS554" i="8"/>
  <c r="BQ554" i="8"/>
  <c r="BP554" i="8"/>
  <c r="BN554" i="8"/>
  <c r="BU554" i="8"/>
  <c r="BL554" i="8"/>
  <c r="BR554" i="8"/>
  <c r="BM554" i="8"/>
  <c r="BT554" i="8"/>
  <c r="BO554" i="8"/>
  <c r="BM545" i="8"/>
  <c r="BR545" i="8"/>
  <c r="BT545" i="8"/>
  <c r="BL545" i="8"/>
  <c r="BQ545" i="8"/>
  <c r="BP545" i="8"/>
  <c r="BS545" i="8"/>
  <c r="BN545" i="8"/>
  <c r="BU545" i="8"/>
  <c r="BO545" i="8"/>
  <c r="AL112" i="8"/>
  <c r="BE112" i="8" s="1"/>
  <c r="AO112" i="8"/>
  <c r="BH112" i="8" s="1"/>
  <c r="AN112" i="8"/>
  <c r="BG112" i="8" s="1"/>
  <c r="AI112" i="8"/>
  <c r="AK112" i="8"/>
  <c r="BD112" i="8" s="1"/>
  <c r="AP112" i="8"/>
  <c r="BI112" i="8" s="1"/>
  <c r="AR112" i="8"/>
  <c r="BK112" i="8" s="1"/>
  <c r="AM112" i="8"/>
  <c r="BF112" i="8" s="1"/>
  <c r="AJ112" i="8"/>
  <c r="BC112" i="8" s="1"/>
  <c r="AQ112" i="8"/>
  <c r="BJ112" i="8" s="1"/>
  <c r="AK80" i="8"/>
  <c r="BD80" i="8" s="1"/>
  <c r="AL80" i="8"/>
  <c r="BE80" i="8" s="1"/>
  <c r="AR80" i="8"/>
  <c r="BK80" i="8" s="1"/>
  <c r="AQ80" i="8"/>
  <c r="BJ80" i="8" s="1"/>
  <c r="AP80" i="8"/>
  <c r="BI80" i="8" s="1"/>
  <c r="AO80" i="8"/>
  <c r="BH80" i="8" s="1"/>
  <c r="AN80" i="8"/>
  <c r="BG80" i="8" s="1"/>
  <c r="AM80" i="8"/>
  <c r="BF80" i="8" s="1"/>
  <c r="AJ80" i="8"/>
  <c r="BC80" i="8" s="1"/>
  <c r="AI80" i="8"/>
  <c r="AP15" i="8"/>
  <c r="BI15" i="8" s="1"/>
  <c r="AN15" i="8"/>
  <c r="BG15" i="8" s="1"/>
  <c r="AO15" i="8"/>
  <c r="BH15" i="8" s="1"/>
  <c r="AL15" i="8"/>
  <c r="BE15" i="8" s="1"/>
  <c r="AM15" i="8"/>
  <c r="BF15" i="8" s="1"/>
  <c r="AR15" i="8"/>
  <c r="BK15" i="8" s="1"/>
  <c r="AK15" i="8"/>
  <c r="BD15" i="8" s="1"/>
  <c r="AQ15" i="8"/>
  <c r="BJ15" i="8" s="1"/>
  <c r="AI15" i="8"/>
  <c r="AJ15" i="8"/>
  <c r="BC15" i="8" s="1"/>
  <c r="BL12" i="8"/>
  <c r="BS12" i="8"/>
  <c r="BR12" i="8"/>
  <c r="BQ12" i="8"/>
  <c r="BU12" i="8"/>
  <c r="BN12" i="8"/>
  <c r="BT12" i="8"/>
  <c r="BP12" i="8"/>
  <c r="BM12" i="8"/>
  <c r="BO12" i="8"/>
  <c r="AM171" i="8"/>
  <c r="BF171" i="8" s="1"/>
  <c r="AK171" i="8"/>
  <c r="BD171" i="8" s="1"/>
  <c r="AO171" i="8"/>
  <c r="BH171" i="8" s="1"/>
  <c r="AJ171" i="8"/>
  <c r="BC171" i="8" s="1"/>
  <c r="AI171" i="8"/>
  <c r="AL171" i="8"/>
  <c r="BE171" i="8" s="1"/>
  <c r="AN171" i="8"/>
  <c r="BG171" i="8" s="1"/>
  <c r="AQ171" i="8"/>
  <c r="BJ171" i="8" s="1"/>
  <c r="AP171" i="8"/>
  <c r="BI171" i="8" s="1"/>
  <c r="AR171" i="8"/>
  <c r="BK171" i="8" s="1"/>
  <c r="AO176" i="8"/>
  <c r="BH176" i="8" s="1"/>
  <c r="AI176" i="8"/>
  <c r="AR176" i="8"/>
  <c r="BK176" i="8" s="1"/>
  <c r="AQ176" i="8"/>
  <c r="BJ176" i="8" s="1"/>
  <c r="AL176" i="8"/>
  <c r="BE176" i="8" s="1"/>
  <c r="AJ176" i="8"/>
  <c r="BC176" i="8" s="1"/>
  <c r="AK176" i="8"/>
  <c r="BD176" i="8" s="1"/>
  <c r="AN176" i="8"/>
  <c r="BG176" i="8" s="1"/>
  <c r="AM176" i="8"/>
  <c r="BF176" i="8" s="1"/>
  <c r="AP176" i="8"/>
  <c r="BI176" i="8" s="1"/>
  <c r="AO134" i="8"/>
  <c r="BH134" i="8" s="1"/>
  <c r="AN134" i="8"/>
  <c r="BG134" i="8" s="1"/>
  <c r="AM134" i="8"/>
  <c r="BF134" i="8" s="1"/>
  <c r="AI134" i="8"/>
  <c r="AP134" i="8"/>
  <c r="BI134" i="8" s="1"/>
  <c r="AK134" i="8"/>
  <c r="BD134" i="8" s="1"/>
  <c r="AL134" i="8"/>
  <c r="BE134" i="8" s="1"/>
  <c r="AR134" i="8"/>
  <c r="BK134" i="8" s="1"/>
  <c r="AJ134" i="8"/>
  <c r="BC134" i="8" s="1"/>
  <c r="AQ134" i="8"/>
  <c r="BJ134" i="8" s="1"/>
  <c r="AP149" i="8"/>
  <c r="BI149" i="8" s="1"/>
  <c r="AM149" i="8"/>
  <c r="BF149" i="8" s="1"/>
  <c r="AL149" i="8"/>
  <c r="BE149" i="8" s="1"/>
  <c r="AQ149" i="8"/>
  <c r="BJ149" i="8" s="1"/>
  <c r="AI149" i="8"/>
  <c r="AO149" i="8"/>
  <c r="BH149" i="8" s="1"/>
  <c r="AN149" i="8"/>
  <c r="BG149" i="8" s="1"/>
  <c r="AK149" i="8"/>
  <c r="BD149" i="8" s="1"/>
  <c r="AR149" i="8"/>
  <c r="BK149" i="8" s="1"/>
  <c r="AJ149" i="8"/>
  <c r="BC149" i="8" s="1"/>
  <c r="AN41" i="8"/>
  <c r="BG41" i="8" s="1"/>
  <c r="AK41" i="8"/>
  <c r="BD41" i="8" s="1"/>
  <c r="AO41" i="8"/>
  <c r="BH41" i="8" s="1"/>
  <c r="AJ41" i="8"/>
  <c r="BC41" i="8" s="1"/>
  <c r="AQ41" i="8"/>
  <c r="BJ41" i="8" s="1"/>
  <c r="AL41" i="8"/>
  <c r="BE41" i="8" s="1"/>
  <c r="AR41" i="8"/>
  <c r="BK41" i="8" s="1"/>
  <c r="AI41" i="8"/>
  <c r="AP41" i="8"/>
  <c r="BI41" i="8" s="1"/>
  <c r="AM41" i="8"/>
  <c r="BF41" i="8" s="1"/>
  <c r="AJ61" i="8"/>
  <c r="BC61" i="8" s="1"/>
  <c r="AQ61" i="8"/>
  <c r="BJ61" i="8" s="1"/>
  <c r="AM61" i="8"/>
  <c r="BF61" i="8" s="1"/>
  <c r="AI61" i="8"/>
  <c r="AP61" i="8"/>
  <c r="BI61" i="8" s="1"/>
  <c r="AN61" i="8"/>
  <c r="BG61" i="8" s="1"/>
  <c r="AK61" i="8"/>
  <c r="BD61" i="8" s="1"/>
  <c r="AO61" i="8"/>
  <c r="BH61" i="8" s="1"/>
  <c r="AR61" i="8"/>
  <c r="BK61" i="8" s="1"/>
  <c r="AL61" i="8"/>
  <c r="BE61" i="8" s="1"/>
  <c r="BP75" i="8"/>
  <c r="BO75" i="8"/>
  <c r="BN75" i="8"/>
  <c r="BT75" i="8"/>
  <c r="BL75" i="8"/>
  <c r="BR75" i="8"/>
  <c r="BM75" i="8"/>
  <c r="BQ75" i="8"/>
  <c r="BU75" i="8"/>
  <c r="BS75" i="8"/>
  <c r="BR19" i="8"/>
  <c r="BU19" i="8"/>
  <c r="BP19" i="8"/>
  <c r="BS19" i="8"/>
  <c r="BO19" i="8"/>
  <c r="BN19" i="8"/>
  <c r="BT19" i="8"/>
  <c r="BQ19" i="8"/>
  <c r="BM19" i="8"/>
  <c r="BL19" i="8"/>
  <c r="BS117" i="8"/>
  <c r="BR117" i="8"/>
  <c r="BN117" i="8"/>
  <c r="BU117" i="8"/>
  <c r="BM117" i="8"/>
  <c r="BT117" i="8"/>
  <c r="BL117" i="8"/>
  <c r="BO117" i="8"/>
  <c r="BP117" i="8"/>
  <c r="BQ117" i="8"/>
  <c r="BR307" i="8"/>
  <c r="BP307" i="8"/>
  <c r="BO307" i="8"/>
  <c r="BU307" i="8"/>
  <c r="BN307" i="8"/>
  <c r="BM307" i="8"/>
  <c r="BT307" i="8"/>
  <c r="BL307" i="8"/>
  <c r="BS307" i="8"/>
  <c r="BQ307" i="8"/>
  <c r="AL611" i="8"/>
  <c r="BE611" i="8" s="1"/>
  <c r="AK611" i="8"/>
  <c r="BD611" i="8" s="1"/>
  <c r="AK56" i="8"/>
  <c r="BD56" i="8" s="1"/>
  <c r="AN56" i="8"/>
  <c r="BG56" i="8" s="1"/>
  <c r="AM56" i="8"/>
  <c r="BF56" i="8" s="1"/>
  <c r="AL56" i="8"/>
  <c r="BE56" i="8" s="1"/>
  <c r="AR56" i="8"/>
  <c r="BK56" i="8" s="1"/>
  <c r="AJ56" i="8"/>
  <c r="BC56" i="8" s="1"/>
  <c r="AQ56" i="8"/>
  <c r="BJ56" i="8" s="1"/>
  <c r="AP56" i="8"/>
  <c r="BI56" i="8" s="1"/>
  <c r="AI56" i="8"/>
  <c r="AO56" i="8"/>
  <c r="BH56" i="8" s="1"/>
  <c r="BQ18" i="8"/>
  <c r="BN18" i="8"/>
  <c r="BO18" i="8"/>
  <c r="BT18" i="8"/>
  <c r="BM18" i="8"/>
  <c r="BL18" i="8"/>
  <c r="BS18" i="8"/>
  <c r="BP18" i="8"/>
  <c r="BU18" i="8"/>
  <c r="BR18" i="8"/>
  <c r="AK203" i="8"/>
  <c r="BD203" i="8" s="1"/>
  <c r="AL203" i="8"/>
  <c r="BE203" i="8" s="1"/>
  <c r="AR203" i="8"/>
  <c r="BK203" i="8" s="1"/>
  <c r="AN203" i="8"/>
  <c r="BG203" i="8" s="1"/>
  <c r="AJ203" i="8"/>
  <c r="BC203" i="8" s="1"/>
  <c r="AQ203" i="8"/>
  <c r="BJ203" i="8" s="1"/>
  <c r="AI203" i="8"/>
  <c r="AO203" i="8"/>
  <c r="BH203" i="8" s="1"/>
  <c r="AM203" i="8"/>
  <c r="BF203" i="8" s="1"/>
  <c r="AP203" i="8"/>
  <c r="BI203" i="8" s="1"/>
  <c r="AQ129" i="8"/>
  <c r="BJ129" i="8" s="1"/>
  <c r="AP129" i="8"/>
  <c r="BI129" i="8" s="1"/>
  <c r="AM129" i="8"/>
  <c r="BF129" i="8" s="1"/>
  <c r="AL129" i="8"/>
  <c r="BE129" i="8" s="1"/>
  <c r="AI129" i="8"/>
  <c r="AO129" i="8"/>
  <c r="BH129" i="8" s="1"/>
  <c r="AN129" i="8"/>
  <c r="BG129" i="8" s="1"/>
  <c r="AK129" i="8"/>
  <c r="BD129" i="8" s="1"/>
  <c r="AR129" i="8"/>
  <c r="BK129" i="8" s="1"/>
  <c r="AJ129" i="8"/>
  <c r="BC129" i="8" s="1"/>
  <c r="BQ48" i="8"/>
  <c r="BL48" i="8"/>
  <c r="BS48" i="8"/>
  <c r="BR48" i="8"/>
  <c r="BP48" i="8"/>
  <c r="BN48" i="8"/>
  <c r="BU48" i="8"/>
  <c r="BM48" i="8"/>
  <c r="BT48" i="8"/>
  <c r="BO48" i="8"/>
  <c r="AL106" i="8"/>
  <c r="BE106" i="8" s="1"/>
  <c r="AK106" i="8"/>
  <c r="BD106" i="8" s="1"/>
  <c r="AI106" i="8"/>
  <c r="AP106" i="8"/>
  <c r="BI106" i="8" s="1"/>
  <c r="AR106" i="8"/>
  <c r="BK106" i="8" s="1"/>
  <c r="AO106" i="8"/>
  <c r="BH106" i="8" s="1"/>
  <c r="AJ106" i="8"/>
  <c r="BC106" i="8" s="1"/>
  <c r="AN106" i="8"/>
  <c r="BG106" i="8" s="1"/>
  <c r="AM106" i="8"/>
  <c r="BF106" i="8" s="1"/>
  <c r="AQ106" i="8"/>
  <c r="BJ106" i="8" s="1"/>
  <c r="AQ834" i="8"/>
  <c r="BJ834" i="8" s="1"/>
  <c r="AP834" i="8"/>
  <c r="BI834" i="8" s="1"/>
  <c r="AL834" i="8"/>
  <c r="BE834" i="8" s="1"/>
  <c r="AN834" i="8"/>
  <c r="BG834" i="8" s="1"/>
  <c r="AK834" i="8"/>
  <c r="BD834" i="8" s="1"/>
  <c r="AM834" i="8"/>
  <c r="BF834" i="8" s="1"/>
  <c r="AR834" i="8"/>
  <c r="BK834" i="8" s="1"/>
  <c r="AJ834" i="8"/>
  <c r="BC834" i="8" s="1"/>
  <c r="AI834" i="8"/>
  <c r="AO834" i="8"/>
  <c r="BH834" i="8" s="1"/>
  <c r="AK576" i="8"/>
  <c r="BD576" i="8" s="1"/>
  <c r="AI576" i="8"/>
  <c r="BR188" i="8"/>
  <c r="BQ188" i="8"/>
  <c r="BS188" i="8"/>
  <c r="BO188" i="8"/>
  <c r="BN188" i="8"/>
  <c r="BU188" i="8"/>
  <c r="BM188" i="8"/>
  <c r="BT188" i="8"/>
  <c r="BL188" i="8"/>
  <c r="BP188" i="8"/>
  <c r="AL142" i="8"/>
  <c r="BE142" i="8" s="1"/>
  <c r="AP142" i="8"/>
  <c r="BI142" i="8" s="1"/>
  <c r="AQ142" i="8"/>
  <c r="BJ142" i="8" s="1"/>
  <c r="AN142" i="8"/>
  <c r="BG142" i="8" s="1"/>
  <c r="AI142" i="8"/>
  <c r="AK142" i="8"/>
  <c r="BD142" i="8" s="1"/>
  <c r="AM142" i="8"/>
  <c r="BF142" i="8" s="1"/>
  <c r="AR142" i="8"/>
  <c r="BK142" i="8" s="1"/>
  <c r="AJ142" i="8"/>
  <c r="BC142" i="8" s="1"/>
  <c r="AO142" i="8"/>
  <c r="BH142" i="8" s="1"/>
  <c r="AP128" i="8"/>
  <c r="BI128" i="8" s="1"/>
  <c r="AM128" i="8"/>
  <c r="BF128" i="8" s="1"/>
  <c r="AQ128" i="8"/>
  <c r="BJ128" i="8" s="1"/>
  <c r="AL128" i="8"/>
  <c r="BE128" i="8" s="1"/>
  <c r="AI128" i="8"/>
  <c r="AO128" i="8"/>
  <c r="BH128" i="8" s="1"/>
  <c r="AN128" i="8"/>
  <c r="BG128" i="8" s="1"/>
  <c r="AK128" i="8"/>
  <c r="BD128" i="8" s="1"/>
  <c r="AR128" i="8"/>
  <c r="BK128" i="8" s="1"/>
  <c r="AJ128" i="8"/>
  <c r="BC128" i="8" s="1"/>
  <c r="BN106" i="8"/>
  <c r="BP106" i="8"/>
  <c r="BU106" i="8"/>
  <c r="BR106" i="8"/>
  <c r="BT106" i="8"/>
  <c r="BM106" i="8"/>
  <c r="BL106" i="8"/>
  <c r="BS106" i="8"/>
  <c r="BQ106" i="8"/>
  <c r="BO106" i="8"/>
  <c r="AR201" i="8"/>
  <c r="BK201" i="8" s="1"/>
  <c r="AN201" i="8"/>
  <c r="BG201" i="8" s="1"/>
  <c r="AJ201" i="8"/>
  <c r="BC201" i="8" s="1"/>
  <c r="AI201" i="8"/>
  <c r="AM201" i="8"/>
  <c r="BF201" i="8" s="1"/>
  <c r="AK201" i="8"/>
  <c r="BD201" i="8" s="1"/>
  <c r="AQ201" i="8"/>
  <c r="BJ201" i="8" s="1"/>
  <c r="AP201" i="8"/>
  <c r="BI201" i="8" s="1"/>
  <c r="AL201" i="8"/>
  <c r="BE201" i="8" s="1"/>
  <c r="AO201" i="8"/>
  <c r="BH201" i="8" s="1"/>
  <c r="AQ831" i="8"/>
  <c r="BJ831" i="8" s="1"/>
  <c r="AR831" i="8"/>
  <c r="BK831" i="8" s="1"/>
  <c r="AJ831" i="8"/>
  <c r="BC831" i="8" s="1"/>
  <c r="AP831" i="8"/>
  <c r="BI831" i="8" s="1"/>
  <c r="AK831" i="8"/>
  <c r="BD831" i="8" s="1"/>
  <c r="AI831" i="8"/>
  <c r="AL831" i="8"/>
  <c r="BE831" i="8" s="1"/>
  <c r="AM831" i="8"/>
  <c r="BF831" i="8" s="1"/>
  <c r="AO831" i="8"/>
  <c r="BH831" i="8" s="1"/>
  <c r="AN831" i="8"/>
  <c r="BG831" i="8" s="1"/>
  <c r="BR511" i="8"/>
  <c r="BQ511" i="8"/>
  <c r="BS511" i="8"/>
  <c r="BP511" i="8"/>
  <c r="BO511" i="8"/>
  <c r="BN511" i="8"/>
  <c r="BU511" i="8"/>
  <c r="BM511" i="8"/>
  <c r="BT511" i="8"/>
  <c r="BL511" i="8"/>
  <c r="BU200" i="8"/>
  <c r="BP200" i="8"/>
  <c r="BQ200" i="8"/>
  <c r="BN200" i="8"/>
  <c r="BM200" i="8"/>
  <c r="BR200" i="8"/>
  <c r="BO200" i="8"/>
  <c r="BL200" i="8"/>
  <c r="BT200" i="8"/>
  <c r="BS200" i="8"/>
  <c r="BR132" i="8"/>
  <c r="BO132" i="8"/>
  <c r="BT132" i="8"/>
  <c r="BL132" i="8"/>
  <c r="BN132" i="8"/>
  <c r="BS132" i="8"/>
  <c r="BQ132" i="8"/>
  <c r="BP132" i="8"/>
  <c r="BU132" i="8"/>
  <c r="BM132" i="8"/>
  <c r="BU68" i="8"/>
  <c r="BQ68" i="8"/>
  <c r="BT68" i="8"/>
  <c r="BS68" i="8"/>
  <c r="BR68" i="8"/>
  <c r="BN68" i="8"/>
  <c r="BM68" i="8"/>
  <c r="BP68" i="8"/>
  <c r="BO68" i="8"/>
  <c r="BL68" i="8"/>
  <c r="AS104" i="8"/>
  <c r="BB104" i="8"/>
  <c r="AH339" i="8"/>
  <c r="AH519" i="8"/>
  <c r="AH303" i="8"/>
  <c r="AH552" i="8"/>
  <c r="AH267" i="8"/>
  <c r="AH508" i="8"/>
  <c r="AH563" i="8"/>
  <c r="AH530" i="8"/>
  <c r="AH285" i="8"/>
  <c r="AH541" i="8"/>
  <c r="AH321" i="8"/>
  <c r="AH249" i="8"/>
  <c r="AH481" i="8"/>
  <c r="AH386" i="8"/>
  <c r="AH443" i="8"/>
  <c r="AH424" i="8"/>
  <c r="AH462" i="8"/>
  <c r="AH405" i="8"/>
  <c r="BT24" i="8"/>
  <c r="BQ24" i="8"/>
  <c r="BL24" i="8"/>
  <c r="BS24" i="8"/>
  <c r="BR24" i="8"/>
  <c r="BP24" i="8"/>
  <c r="BM24" i="8"/>
  <c r="BN24" i="8"/>
  <c r="BU24" i="8"/>
  <c r="BO24" i="8"/>
  <c r="AQ185" i="8"/>
  <c r="BJ185" i="8" s="1"/>
  <c r="AI185" i="8"/>
  <c r="AO185" i="8"/>
  <c r="BH185" i="8" s="1"/>
  <c r="AM185" i="8"/>
  <c r="BF185" i="8" s="1"/>
  <c r="AP185" i="8"/>
  <c r="BI185" i="8" s="1"/>
  <c r="AL185" i="8"/>
  <c r="BE185" i="8" s="1"/>
  <c r="AK185" i="8"/>
  <c r="BD185" i="8" s="1"/>
  <c r="AR185" i="8"/>
  <c r="BK185" i="8" s="1"/>
  <c r="AN185" i="8"/>
  <c r="BG185" i="8" s="1"/>
  <c r="AJ185" i="8"/>
  <c r="BC185" i="8" s="1"/>
  <c r="BT555" i="8"/>
  <c r="BN555" i="8"/>
  <c r="BO555" i="8"/>
  <c r="BU555" i="8"/>
  <c r="BL555" i="8"/>
  <c r="BM555" i="8"/>
  <c r="BS555" i="8"/>
  <c r="BQ555" i="8"/>
  <c r="BP555" i="8"/>
  <c r="BR555" i="8"/>
  <c r="AL717" i="8"/>
  <c r="BE717" i="8" s="1"/>
  <c r="AM717" i="8"/>
  <c r="BF717" i="8" s="1"/>
  <c r="AK717" i="8"/>
  <c r="BD717" i="8" s="1"/>
  <c r="AR717" i="8"/>
  <c r="BK717" i="8" s="1"/>
  <c r="AJ717" i="8"/>
  <c r="BC717" i="8" s="1"/>
  <c r="AQ717" i="8"/>
  <c r="BJ717" i="8" s="1"/>
  <c r="AI717" i="8"/>
  <c r="AO717" i="8"/>
  <c r="BH717" i="8" s="1"/>
  <c r="AP717" i="8"/>
  <c r="BI717" i="8" s="1"/>
  <c r="AN717" i="8"/>
  <c r="BG717" i="8" s="1"/>
  <c r="AK754" i="8"/>
  <c r="BD754" i="8" s="1"/>
  <c r="AL754" i="8"/>
  <c r="BE754" i="8" s="1"/>
  <c r="AP754" i="8"/>
  <c r="BI754" i="8" s="1"/>
  <c r="AQ754" i="8"/>
  <c r="BJ754" i="8" s="1"/>
  <c r="AJ754" i="8"/>
  <c r="BC754" i="8" s="1"/>
  <c r="AO754" i="8"/>
  <c r="BH754" i="8" s="1"/>
  <c r="AR754" i="8"/>
  <c r="BK754" i="8" s="1"/>
  <c r="AI754" i="8"/>
  <c r="AM754" i="8"/>
  <c r="BF754" i="8" s="1"/>
  <c r="AN754" i="8"/>
  <c r="BG754" i="8" s="1"/>
  <c r="BO150" i="8"/>
  <c r="BR150" i="8"/>
  <c r="BS150" i="8"/>
  <c r="BQ150" i="8"/>
  <c r="BP150" i="8"/>
  <c r="BU150" i="8"/>
  <c r="BM150" i="8"/>
  <c r="BT150" i="8"/>
  <c r="BL150" i="8"/>
  <c r="BN150" i="8"/>
  <c r="AI161" i="8"/>
  <c r="AQ161" i="8"/>
  <c r="BJ161" i="8" s="1"/>
  <c r="AK161" i="8"/>
  <c r="BD161" i="8" s="1"/>
  <c r="AP161" i="8"/>
  <c r="BI161" i="8" s="1"/>
  <c r="AR161" i="8"/>
  <c r="BK161" i="8" s="1"/>
  <c r="AJ161" i="8"/>
  <c r="BC161" i="8" s="1"/>
  <c r="AO161" i="8"/>
  <c r="BH161" i="8" s="1"/>
  <c r="AN161" i="8"/>
  <c r="BG161" i="8" s="1"/>
  <c r="AM161" i="8"/>
  <c r="BF161" i="8" s="1"/>
  <c r="AL161" i="8"/>
  <c r="BE161" i="8" s="1"/>
  <c r="AN75" i="8"/>
  <c r="BG75" i="8" s="1"/>
  <c r="AL75" i="8"/>
  <c r="BE75" i="8" s="1"/>
  <c r="AM75" i="8"/>
  <c r="BF75" i="8" s="1"/>
  <c r="AK75" i="8"/>
  <c r="BD75" i="8" s="1"/>
  <c r="AO75" i="8"/>
  <c r="BH75" i="8" s="1"/>
  <c r="AR75" i="8"/>
  <c r="BK75" i="8" s="1"/>
  <c r="AJ75" i="8"/>
  <c r="BC75" i="8" s="1"/>
  <c r="AQ75" i="8"/>
  <c r="BJ75" i="8" s="1"/>
  <c r="AI75" i="8"/>
  <c r="AP75" i="8"/>
  <c r="BI75" i="8" s="1"/>
  <c r="BM254" i="8"/>
  <c r="BL254" i="8"/>
  <c r="BP254" i="8"/>
  <c r="BR254" i="8"/>
  <c r="BO254" i="8"/>
  <c r="BQ254" i="8"/>
  <c r="BT254" i="8"/>
  <c r="BS254" i="8"/>
  <c r="BN254" i="8"/>
  <c r="BU254" i="8"/>
  <c r="BL544" i="8"/>
  <c r="BT544" i="8"/>
  <c r="BR544" i="8"/>
  <c r="BM544" i="8"/>
  <c r="BQ544" i="8"/>
  <c r="BU544" i="8"/>
  <c r="BP544" i="8"/>
  <c r="BS544" i="8"/>
  <c r="BN544" i="8"/>
  <c r="BO544" i="8"/>
  <c r="AR206" i="8"/>
  <c r="BK206" i="8" s="1"/>
  <c r="AQ206" i="8"/>
  <c r="BJ206" i="8" s="1"/>
  <c r="AI206" i="8"/>
  <c r="AP206" i="8"/>
  <c r="BI206" i="8" s="1"/>
  <c r="AO206" i="8"/>
  <c r="BH206" i="8" s="1"/>
  <c r="AN206" i="8"/>
  <c r="BG206" i="8" s="1"/>
  <c r="AJ206" i="8"/>
  <c r="BC206" i="8" s="1"/>
  <c r="AM206" i="8"/>
  <c r="BF206" i="8" s="1"/>
  <c r="AL206" i="8"/>
  <c r="BE206" i="8" s="1"/>
  <c r="AK206" i="8"/>
  <c r="BD206" i="8" s="1"/>
  <c r="AM7" i="8"/>
  <c r="BF7" i="8" s="1"/>
  <c r="AL7" i="8"/>
  <c r="BE7" i="8" s="1"/>
  <c r="AI7" i="8"/>
  <c r="AR7" i="8"/>
  <c r="BK7" i="8" s="1"/>
  <c r="AJ7" i="8"/>
  <c r="BC7" i="8" s="1"/>
  <c r="AK7" i="8"/>
  <c r="BD7" i="8" s="1"/>
  <c r="AO7" i="8"/>
  <c r="BH7" i="8" s="1"/>
  <c r="AQ7" i="8"/>
  <c r="BJ7" i="8" s="1"/>
  <c r="AP7" i="8"/>
  <c r="BI7" i="8" s="1"/>
  <c r="AN7" i="8"/>
  <c r="BG7" i="8" s="1"/>
  <c r="BM29" i="8"/>
  <c r="BR29" i="8"/>
  <c r="BU29" i="8"/>
  <c r="BP29" i="8"/>
  <c r="BQ29" i="8"/>
  <c r="BO29" i="8"/>
  <c r="BN29" i="8"/>
  <c r="BL29" i="8"/>
  <c r="BS29" i="8"/>
  <c r="BT29" i="8"/>
  <c r="AP20" i="8"/>
  <c r="BI20" i="8" s="1"/>
  <c r="AO20" i="8"/>
  <c r="BH20" i="8" s="1"/>
  <c r="AM20" i="8"/>
  <c r="BF20" i="8" s="1"/>
  <c r="AR20" i="8"/>
  <c r="BK20" i="8" s="1"/>
  <c r="AJ20" i="8"/>
  <c r="BC20" i="8" s="1"/>
  <c r="AK20" i="8"/>
  <c r="BD20" i="8" s="1"/>
  <c r="AN20" i="8"/>
  <c r="BG20" i="8" s="1"/>
  <c r="AQ20" i="8"/>
  <c r="BJ20" i="8" s="1"/>
  <c r="AI20" i="8"/>
  <c r="AL20" i="8"/>
  <c r="BE20" i="8" s="1"/>
  <c r="BO101" i="8"/>
  <c r="BN101" i="8"/>
  <c r="BT101" i="8"/>
  <c r="BM101" i="8"/>
  <c r="BL101" i="8"/>
  <c r="BP101" i="8"/>
  <c r="BU101" i="8"/>
  <c r="BS101" i="8"/>
  <c r="BR101" i="8"/>
  <c r="BQ101" i="8"/>
  <c r="BM85" i="8"/>
  <c r="BP85" i="8"/>
  <c r="BT85" i="8"/>
  <c r="BR85" i="8"/>
  <c r="BQ85" i="8"/>
  <c r="BO85" i="8"/>
  <c r="BN85" i="8"/>
  <c r="BL85" i="8"/>
  <c r="BS85" i="8"/>
  <c r="BU85" i="8"/>
  <c r="AQ19" i="8"/>
  <c r="BJ19" i="8" s="1"/>
  <c r="AI19" i="8"/>
  <c r="AL19" i="8"/>
  <c r="BE19" i="8" s="1"/>
  <c r="AP19" i="8"/>
  <c r="BI19" i="8" s="1"/>
  <c r="AN19" i="8"/>
  <c r="BG19" i="8" s="1"/>
  <c r="AO19" i="8"/>
  <c r="BH19" i="8" s="1"/>
  <c r="AR19" i="8"/>
  <c r="BK19" i="8" s="1"/>
  <c r="AK19" i="8"/>
  <c r="BD19" i="8" s="1"/>
  <c r="AJ19" i="8"/>
  <c r="BC19" i="8" s="1"/>
  <c r="AM19" i="8"/>
  <c r="BF19" i="8" s="1"/>
  <c r="AO150" i="8"/>
  <c r="BH150" i="8" s="1"/>
  <c r="AN150" i="8"/>
  <c r="BG150" i="8" s="1"/>
  <c r="AM150" i="8"/>
  <c r="BF150" i="8" s="1"/>
  <c r="AK150" i="8"/>
  <c r="BD150" i="8" s="1"/>
  <c r="AR150" i="8"/>
  <c r="BK150" i="8" s="1"/>
  <c r="AJ150" i="8"/>
  <c r="BC150" i="8" s="1"/>
  <c r="AI150" i="8"/>
  <c r="AP150" i="8"/>
  <c r="BI150" i="8" s="1"/>
  <c r="AQ150" i="8"/>
  <c r="BJ150" i="8" s="1"/>
  <c r="AL150" i="8"/>
  <c r="BE150" i="8" s="1"/>
  <c r="AR812" i="8"/>
  <c r="BK812" i="8" s="1"/>
  <c r="AM812" i="8"/>
  <c r="BF812" i="8" s="1"/>
  <c r="AL812" i="8"/>
  <c r="BE812" i="8" s="1"/>
  <c r="AJ812" i="8"/>
  <c r="BC812" i="8" s="1"/>
  <c r="AN812" i="8"/>
  <c r="BG812" i="8" s="1"/>
  <c r="AK812" i="8"/>
  <c r="BD812" i="8" s="1"/>
  <c r="AQ812" i="8"/>
  <c r="BJ812" i="8" s="1"/>
  <c r="AP812" i="8"/>
  <c r="BI812" i="8" s="1"/>
  <c r="AI812" i="8"/>
  <c r="AO812" i="8"/>
  <c r="BH812" i="8" s="1"/>
  <c r="AP594" i="8"/>
  <c r="BI594" i="8" s="1"/>
  <c r="AK594" i="8"/>
  <c r="BD594" i="8" s="1"/>
  <c r="AQ45" i="8"/>
  <c r="BJ45" i="8" s="1"/>
  <c r="AI45" i="8"/>
  <c r="AP45" i="8"/>
  <c r="BI45" i="8" s="1"/>
  <c r="AN45" i="8"/>
  <c r="BG45" i="8" s="1"/>
  <c r="AK45" i="8"/>
  <c r="BD45" i="8" s="1"/>
  <c r="AO45" i="8"/>
  <c r="BH45" i="8" s="1"/>
  <c r="AR45" i="8"/>
  <c r="BK45" i="8" s="1"/>
  <c r="AJ45" i="8"/>
  <c r="BC45" i="8" s="1"/>
  <c r="AL45" i="8"/>
  <c r="BE45" i="8" s="1"/>
  <c r="AM45" i="8"/>
  <c r="BF45" i="8" s="1"/>
  <c r="AL34" i="8"/>
  <c r="BE34" i="8" s="1"/>
  <c r="AR34" i="8"/>
  <c r="BK34" i="8" s="1"/>
  <c r="AJ34" i="8"/>
  <c r="BC34" i="8" s="1"/>
  <c r="AI34" i="8"/>
  <c r="AQ34" i="8"/>
  <c r="BJ34" i="8" s="1"/>
  <c r="AN34" i="8"/>
  <c r="BG34" i="8" s="1"/>
  <c r="AK34" i="8"/>
  <c r="BD34" i="8" s="1"/>
  <c r="AM34" i="8"/>
  <c r="BF34" i="8" s="1"/>
  <c r="AP34" i="8"/>
  <c r="BI34" i="8" s="1"/>
  <c r="AO34" i="8"/>
  <c r="BH34" i="8" s="1"/>
  <c r="AI59" i="8"/>
  <c r="AP59" i="8"/>
  <c r="BI59" i="8" s="1"/>
  <c r="AN59" i="8"/>
  <c r="BG59" i="8" s="1"/>
  <c r="AR59" i="8"/>
  <c r="BK59" i="8" s="1"/>
  <c r="AL59" i="8"/>
  <c r="BE59" i="8" s="1"/>
  <c r="AM59" i="8"/>
  <c r="BF59" i="8" s="1"/>
  <c r="AK59" i="8"/>
  <c r="BD59" i="8" s="1"/>
  <c r="AO59" i="8"/>
  <c r="BH59" i="8" s="1"/>
  <c r="AJ59" i="8"/>
  <c r="BC59" i="8" s="1"/>
  <c r="AQ59" i="8"/>
  <c r="BJ59" i="8" s="1"/>
  <c r="BB774" i="8"/>
  <c r="BO178" i="8"/>
  <c r="BR178" i="8"/>
  <c r="BQ178" i="8"/>
  <c r="BP178" i="8"/>
  <c r="BU178" i="8"/>
  <c r="BM178" i="8"/>
  <c r="BT178" i="8"/>
  <c r="BL178" i="8"/>
  <c r="BS178" i="8"/>
  <c r="BN178" i="8"/>
  <c r="BM560" i="8"/>
  <c r="BT560" i="8"/>
  <c r="BR560" i="8"/>
  <c r="BL560" i="8"/>
  <c r="BQ560" i="8"/>
  <c r="BS560" i="8"/>
  <c r="BP560" i="8"/>
  <c r="BO560" i="8"/>
  <c r="BN560" i="8"/>
  <c r="BU560" i="8"/>
  <c r="BS331" i="8"/>
  <c r="BN331" i="8"/>
  <c r="BT331" i="8"/>
  <c r="BU331" i="8"/>
  <c r="BM331" i="8"/>
  <c r="BL331" i="8"/>
  <c r="BO331" i="8"/>
  <c r="BP331" i="8"/>
  <c r="BR331" i="8"/>
  <c r="BQ331" i="8"/>
  <c r="AI65" i="8"/>
  <c r="AP65" i="8"/>
  <c r="BI65" i="8" s="1"/>
  <c r="AN65" i="8"/>
  <c r="BG65" i="8" s="1"/>
  <c r="AL65" i="8"/>
  <c r="BE65" i="8" s="1"/>
  <c r="AM65" i="8"/>
  <c r="BF65" i="8" s="1"/>
  <c r="AK65" i="8"/>
  <c r="BD65" i="8" s="1"/>
  <c r="AO65" i="8"/>
  <c r="BH65" i="8" s="1"/>
  <c r="AJ65" i="8"/>
  <c r="BC65" i="8" s="1"/>
  <c r="AQ65" i="8"/>
  <c r="BJ65" i="8" s="1"/>
  <c r="AR65" i="8"/>
  <c r="BK65" i="8" s="1"/>
  <c r="BP290" i="8"/>
  <c r="BO290" i="8"/>
  <c r="BN290" i="8"/>
  <c r="BT290" i="8"/>
  <c r="BU290" i="8"/>
  <c r="BL290" i="8"/>
  <c r="BS290" i="8"/>
  <c r="BR290" i="8"/>
  <c r="BQ290" i="8"/>
  <c r="BM290" i="8"/>
  <c r="BT534" i="8"/>
  <c r="BQ534" i="8"/>
  <c r="BO534" i="8"/>
  <c r="BR534" i="8"/>
  <c r="BN534" i="8"/>
  <c r="BL534" i="8"/>
  <c r="BS534" i="8"/>
  <c r="BU534" i="8"/>
  <c r="BM534" i="8"/>
  <c r="BP534" i="8"/>
  <c r="BS119" i="8"/>
  <c r="BR119" i="8"/>
  <c r="BQ119" i="8"/>
  <c r="BO119" i="8"/>
  <c r="BP119" i="8"/>
  <c r="BN119" i="8"/>
  <c r="BM119" i="8"/>
  <c r="BT119" i="8"/>
  <c r="BL119" i="8"/>
  <c r="BU119" i="8"/>
  <c r="AL147" i="8"/>
  <c r="BE147" i="8" s="1"/>
  <c r="AJ147" i="8"/>
  <c r="BC147" i="8" s="1"/>
  <c r="AQ147" i="8"/>
  <c r="BJ147" i="8" s="1"/>
  <c r="AI147" i="8"/>
  <c r="AM147" i="8"/>
  <c r="BF147" i="8" s="1"/>
  <c r="AO147" i="8"/>
  <c r="BH147" i="8" s="1"/>
  <c r="AN147" i="8"/>
  <c r="BG147" i="8" s="1"/>
  <c r="AK147" i="8"/>
  <c r="BD147" i="8" s="1"/>
  <c r="AR147" i="8"/>
  <c r="BK147" i="8" s="1"/>
  <c r="AP147" i="8"/>
  <c r="BI147" i="8" s="1"/>
  <c r="AQ806" i="8"/>
  <c r="BJ806" i="8" s="1"/>
  <c r="AL806" i="8"/>
  <c r="BE806" i="8" s="1"/>
  <c r="AK806" i="8"/>
  <c r="BD806" i="8" s="1"/>
  <c r="AI806" i="8"/>
  <c r="AP806" i="8"/>
  <c r="BI806" i="8" s="1"/>
  <c r="AN806" i="8"/>
  <c r="BG806" i="8" s="1"/>
  <c r="AM806" i="8"/>
  <c r="BF806" i="8" s="1"/>
  <c r="AR806" i="8"/>
  <c r="BK806" i="8" s="1"/>
  <c r="AJ806" i="8"/>
  <c r="BC806" i="8" s="1"/>
  <c r="AO806" i="8"/>
  <c r="BH806" i="8" s="1"/>
  <c r="BM80" i="8"/>
  <c r="BQ80" i="8"/>
  <c r="BT80" i="8"/>
  <c r="BL80" i="8"/>
  <c r="BS80" i="8"/>
  <c r="BN80" i="8"/>
  <c r="BP80" i="8"/>
  <c r="BU80" i="8"/>
  <c r="BO80" i="8"/>
  <c r="BR80" i="8"/>
  <c r="BU505" i="8"/>
  <c r="BS505" i="8"/>
  <c r="BM505" i="8"/>
  <c r="BT505" i="8"/>
  <c r="BR505" i="8"/>
  <c r="BQ505" i="8"/>
  <c r="BP505" i="8"/>
  <c r="BN505" i="8"/>
  <c r="BO505" i="8"/>
  <c r="BL505" i="8"/>
  <c r="AJ786" i="8"/>
  <c r="BC786" i="8" s="1"/>
  <c r="AK786" i="8"/>
  <c r="BD786" i="8" s="1"/>
  <c r="AI786" i="8"/>
  <c r="AM786" i="8"/>
  <c r="BF786" i="8" s="1"/>
  <c r="AL786" i="8"/>
  <c r="BE786" i="8" s="1"/>
  <c r="AO786" i="8"/>
  <c r="BH786" i="8" s="1"/>
  <c r="AQ786" i="8"/>
  <c r="BJ786" i="8" s="1"/>
  <c r="AP786" i="8"/>
  <c r="BI786" i="8" s="1"/>
  <c r="AN786" i="8"/>
  <c r="BG786" i="8" s="1"/>
  <c r="AR786" i="8"/>
  <c r="BK786" i="8" s="1"/>
  <c r="BN343" i="8"/>
  <c r="BR343" i="8"/>
  <c r="BU343" i="8"/>
  <c r="BS343" i="8"/>
  <c r="BP343" i="8"/>
  <c r="BO343" i="8"/>
  <c r="BM343" i="8"/>
  <c r="BT343" i="8"/>
  <c r="BL343" i="8"/>
  <c r="BQ343" i="8"/>
  <c r="AM137" i="8"/>
  <c r="BF137" i="8" s="1"/>
  <c r="AP137" i="8"/>
  <c r="BI137" i="8" s="1"/>
  <c r="AJ137" i="8"/>
  <c r="BC137" i="8" s="1"/>
  <c r="AQ137" i="8"/>
  <c r="BJ137" i="8" s="1"/>
  <c r="AO137" i="8"/>
  <c r="BH137" i="8" s="1"/>
  <c r="AN137" i="8"/>
  <c r="BG137" i="8" s="1"/>
  <c r="AK137" i="8"/>
  <c r="BD137" i="8" s="1"/>
  <c r="AR137" i="8"/>
  <c r="BK137" i="8" s="1"/>
  <c r="AL137" i="8"/>
  <c r="BE137" i="8" s="1"/>
  <c r="AI137" i="8"/>
  <c r="AN830" i="8"/>
  <c r="BG830" i="8" s="1"/>
  <c r="AL830" i="8"/>
  <c r="BE830" i="8" s="1"/>
  <c r="AO830" i="8"/>
  <c r="BH830" i="8" s="1"/>
  <c r="AM830" i="8"/>
  <c r="BF830" i="8" s="1"/>
  <c r="AK830" i="8"/>
  <c r="BD830" i="8" s="1"/>
  <c r="AQ830" i="8"/>
  <c r="BJ830" i="8" s="1"/>
  <c r="AR830" i="8"/>
  <c r="BK830" i="8" s="1"/>
  <c r="AJ830" i="8"/>
  <c r="BC830" i="8" s="1"/>
  <c r="AP830" i="8"/>
  <c r="BI830" i="8" s="1"/>
  <c r="AI830" i="8"/>
  <c r="AQ67" i="8"/>
  <c r="BJ67" i="8" s="1"/>
  <c r="AK67" i="8"/>
  <c r="BD67" i="8" s="1"/>
  <c r="AO67" i="8"/>
  <c r="BH67" i="8" s="1"/>
  <c r="AR67" i="8"/>
  <c r="BK67" i="8" s="1"/>
  <c r="AJ67" i="8"/>
  <c r="BC67" i="8" s="1"/>
  <c r="AI67" i="8"/>
  <c r="AP67" i="8"/>
  <c r="BI67" i="8" s="1"/>
  <c r="AN67" i="8"/>
  <c r="BG67" i="8" s="1"/>
  <c r="AL67" i="8"/>
  <c r="BE67" i="8" s="1"/>
  <c r="AM67" i="8"/>
  <c r="BF67" i="8" s="1"/>
  <c r="BL238" i="8"/>
  <c r="BM238" i="8"/>
  <c r="BS238" i="8"/>
  <c r="BR238" i="8"/>
  <c r="BQ238" i="8"/>
  <c r="BO238" i="8"/>
  <c r="BU238" i="8"/>
  <c r="BT238" i="8"/>
  <c r="BP238" i="8"/>
  <c r="BN238" i="8"/>
  <c r="BS292" i="8"/>
  <c r="BQ292" i="8"/>
  <c r="BR292" i="8"/>
  <c r="BL292" i="8"/>
  <c r="BP292" i="8"/>
  <c r="BN292" i="8"/>
  <c r="BM292" i="8"/>
  <c r="BT292" i="8"/>
  <c r="BO292" i="8"/>
  <c r="BU292" i="8"/>
  <c r="AJ817" i="8"/>
  <c r="BC817" i="8" s="1"/>
  <c r="AQ817" i="8"/>
  <c r="BJ817" i="8" s="1"/>
  <c r="AI817" i="8"/>
  <c r="AM817" i="8"/>
  <c r="BF817" i="8" s="1"/>
  <c r="AN817" i="8"/>
  <c r="BG817" i="8" s="1"/>
  <c r="AL817" i="8"/>
  <c r="BE817" i="8" s="1"/>
  <c r="AO817" i="8"/>
  <c r="BH817" i="8" s="1"/>
  <c r="AK817" i="8"/>
  <c r="BD817" i="8" s="1"/>
  <c r="AR817" i="8"/>
  <c r="BK817" i="8" s="1"/>
  <c r="AP817" i="8"/>
  <c r="BI817" i="8" s="1"/>
  <c r="BB40" i="8"/>
  <c r="AS40" i="8"/>
  <c r="BB120" i="8"/>
  <c r="AS120" i="8"/>
  <c r="AV120" i="8" s="1"/>
  <c r="BB43" i="8"/>
  <c r="AS43" i="8"/>
  <c r="AV43" i="8" s="1"/>
  <c r="AS76" i="8"/>
  <c r="BB76" i="8"/>
  <c r="BB785" i="8"/>
  <c r="AS785" i="8"/>
  <c r="AH590" i="8"/>
  <c r="AH573" i="8"/>
  <c r="AH607" i="8"/>
  <c r="AH624" i="8"/>
  <c r="AH658" i="8"/>
  <c r="AH641" i="8"/>
  <c r="AH511" i="8"/>
  <c r="AH555" i="8"/>
  <c r="AH290" i="8"/>
  <c r="AH522" i="8"/>
  <c r="AH500" i="8"/>
  <c r="AH544" i="8"/>
  <c r="AH272" i="8"/>
  <c r="AH326" i="8"/>
  <c r="AH308" i="8"/>
  <c r="AH533" i="8"/>
  <c r="AH236" i="8"/>
  <c r="AH254" i="8"/>
  <c r="BN55" i="8"/>
  <c r="BL55" i="8"/>
  <c r="BR55" i="8"/>
  <c r="BM55" i="8"/>
  <c r="BQ55" i="8"/>
  <c r="BU55" i="8"/>
  <c r="BT55" i="8"/>
  <c r="BS55" i="8"/>
  <c r="BP55" i="8"/>
  <c r="BO55" i="8"/>
  <c r="AO184" i="8"/>
  <c r="BH184" i="8" s="1"/>
  <c r="AR184" i="8"/>
  <c r="BK184" i="8" s="1"/>
  <c r="AQ184" i="8"/>
  <c r="BJ184" i="8" s="1"/>
  <c r="AM184" i="8"/>
  <c r="BF184" i="8" s="1"/>
  <c r="AL184" i="8"/>
  <c r="BE184" i="8" s="1"/>
  <c r="AK184" i="8"/>
  <c r="BD184" i="8" s="1"/>
  <c r="AJ184" i="8"/>
  <c r="BC184" i="8" s="1"/>
  <c r="AI184" i="8"/>
  <c r="AP184" i="8"/>
  <c r="BI184" i="8" s="1"/>
  <c r="AN184" i="8"/>
  <c r="BG184" i="8" s="1"/>
  <c r="AI296" i="8"/>
  <c r="AN296" i="8"/>
  <c r="BG296" i="8" s="1"/>
  <c r="AO180" i="8"/>
  <c r="BH180" i="8" s="1"/>
  <c r="AL180" i="8"/>
  <c r="BE180" i="8" s="1"/>
  <c r="AK180" i="8"/>
  <c r="BD180" i="8" s="1"/>
  <c r="AJ180" i="8"/>
  <c r="BC180" i="8" s="1"/>
  <c r="AI180" i="8"/>
  <c r="AR180" i="8"/>
  <c r="BK180" i="8" s="1"/>
  <c r="AM180" i="8"/>
  <c r="BF180" i="8" s="1"/>
  <c r="AQ180" i="8"/>
  <c r="BJ180" i="8" s="1"/>
  <c r="AP180" i="8"/>
  <c r="BI180" i="8" s="1"/>
  <c r="AN180" i="8"/>
  <c r="BG180" i="8" s="1"/>
  <c r="AQ788" i="8"/>
  <c r="BJ788" i="8" s="1"/>
  <c r="AK788" i="8"/>
  <c r="BD788" i="8" s="1"/>
  <c r="AR788" i="8"/>
  <c r="BK788" i="8" s="1"/>
  <c r="AP788" i="8"/>
  <c r="BI788" i="8" s="1"/>
  <c r="AJ788" i="8"/>
  <c r="BC788" i="8" s="1"/>
  <c r="AO788" i="8"/>
  <c r="BH788" i="8" s="1"/>
  <c r="AI788" i="8"/>
  <c r="AL788" i="8"/>
  <c r="BE788" i="8" s="1"/>
  <c r="AN788" i="8"/>
  <c r="BG788" i="8" s="1"/>
  <c r="AM788" i="8"/>
  <c r="BF788" i="8" s="1"/>
  <c r="AK44" i="8"/>
  <c r="BD44" i="8" s="1"/>
  <c r="AR44" i="8"/>
  <c r="BK44" i="8" s="1"/>
  <c r="AJ44" i="8"/>
  <c r="BC44" i="8" s="1"/>
  <c r="AQ44" i="8"/>
  <c r="BJ44" i="8" s="1"/>
  <c r="AP44" i="8"/>
  <c r="BI44" i="8" s="1"/>
  <c r="AI44" i="8"/>
  <c r="AO44" i="8"/>
  <c r="BH44" i="8" s="1"/>
  <c r="AN44" i="8"/>
  <c r="BG44" i="8" s="1"/>
  <c r="AM44" i="8"/>
  <c r="BF44" i="8" s="1"/>
  <c r="AL44" i="8"/>
  <c r="BE44" i="8" s="1"/>
  <c r="BP527" i="8"/>
  <c r="BO527" i="8"/>
  <c r="BN527" i="8"/>
  <c r="BT527" i="8"/>
  <c r="BU527" i="8"/>
  <c r="BL527" i="8"/>
  <c r="BM527" i="8"/>
  <c r="BS527" i="8"/>
  <c r="BR527" i="8"/>
  <c r="BQ527" i="8"/>
  <c r="BL66" i="8"/>
  <c r="BS66" i="8"/>
  <c r="BP66" i="8"/>
  <c r="BM66" i="8"/>
  <c r="BN66" i="8"/>
  <c r="BU66" i="8"/>
  <c r="BT66" i="8"/>
  <c r="BR66" i="8"/>
  <c r="BO66" i="8"/>
  <c r="BQ66" i="8"/>
  <c r="AI187" i="8"/>
  <c r="AO187" i="8"/>
  <c r="BH187" i="8" s="1"/>
  <c r="AM187" i="8"/>
  <c r="BF187" i="8" s="1"/>
  <c r="AL187" i="8"/>
  <c r="BE187" i="8" s="1"/>
  <c r="AK187" i="8"/>
  <c r="BD187" i="8" s="1"/>
  <c r="AP187" i="8"/>
  <c r="BI187" i="8" s="1"/>
  <c r="AJ187" i="8"/>
  <c r="BC187" i="8" s="1"/>
  <c r="AQ187" i="8"/>
  <c r="BJ187" i="8" s="1"/>
  <c r="AR187" i="8"/>
  <c r="BK187" i="8" s="1"/>
  <c r="AN187" i="8"/>
  <c r="BG187" i="8" s="1"/>
  <c r="BR274" i="8"/>
  <c r="BP274" i="8"/>
  <c r="BN274" i="8"/>
  <c r="BU274" i="8"/>
  <c r="BO274" i="8"/>
  <c r="BM274" i="8"/>
  <c r="BT274" i="8"/>
  <c r="BL274" i="8"/>
  <c r="BS274" i="8"/>
  <c r="BQ274" i="8"/>
  <c r="AL117" i="8"/>
  <c r="BE117" i="8" s="1"/>
  <c r="AP117" i="8"/>
  <c r="BI117" i="8" s="1"/>
  <c r="AO117" i="8"/>
  <c r="BH117" i="8" s="1"/>
  <c r="AM117" i="8"/>
  <c r="BF117" i="8" s="1"/>
  <c r="AN117" i="8"/>
  <c r="BG117" i="8" s="1"/>
  <c r="AK117" i="8"/>
  <c r="BD117" i="8" s="1"/>
  <c r="AQ117" i="8"/>
  <c r="BJ117" i="8" s="1"/>
  <c r="AR117" i="8"/>
  <c r="BK117" i="8" s="1"/>
  <c r="AI117" i="8"/>
  <c r="AJ117" i="8"/>
  <c r="BC117" i="8" s="1"/>
  <c r="AI32" i="8"/>
  <c r="AP32" i="8"/>
  <c r="BI32" i="8" s="1"/>
  <c r="AK32" i="8"/>
  <c r="BD32" i="8" s="1"/>
  <c r="AN32" i="8"/>
  <c r="BG32" i="8" s="1"/>
  <c r="AO32" i="8"/>
  <c r="BH32" i="8" s="1"/>
  <c r="AM32" i="8"/>
  <c r="BF32" i="8" s="1"/>
  <c r="AL32" i="8"/>
  <c r="BE32" i="8" s="1"/>
  <c r="AJ32" i="8"/>
  <c r="BC32" i="8" s="1"/>
  <c r="AQ32" i="8"/>
  <c r="BJ32" i="8" s="1"/>
  <c r="AR32" i="8"/>
  <c r="BK32" i="8" s="1"/>
  <c r="AL36" i="8"/>
  <c r="BE36" i="8" s="1"/>
  <c r="AR36" i="8"/>
  <c r="BK36" i="8" s="1"/>
  <c r="AP36" i="8"/>
  <c r="BI36" i="8" s="1"/>
  <c r="AJ36" i="8"/>
  <c r="BC36" i="8" s="1"/>
  <c r="AQ36" i="8"/>
  <c r="BJ36" i="8" s="1"/>
  <c r="AI36" i="8"/>
  <c r="AO36" i="8"/>
  <c r="BH36" i="8" s="1"/>
  <c r="AN36" i="8"/>
  <c r="BG36" i="8" s="1"/>
  <c r="AK36" i="8"/>
  <c r="BD36" i="8" s="1"/>
  <c r="AM36" i="8"/>
  <c r="BF36" i="8" s="1"/>
  <c r="BS273" i="8"/>
  <c r="BL273" i="8"/>
  <c r="BR273" i="8"/>
  <c r="BU273" i="8"/>
  <c r="BQ273" i="8"/>
  <c r="BT273" i="8"/>
  <c r="BO273" i="8"/>
  <c r="BN273" i="8"/>
  <c r="BP273" i="8"/>
  <c r="BM273" i="8"/>
  <c r="AQ389" i="8"/>
  <c r="BJ389" i="8" s="1"/>
  <c r="AO389" i="8"/>
  <c r="BH389" i="8" s="1"/>
  <c r="AK64" i="8"/>
  <c r="BD64" i="8" s="1"/>
  <c r="AP64" i="8"/>
  <c r="BI64" i="8" s="1"/>
  <c r="AI64" i="8"/>
  <c r="AO64" i="8"/>
  <c r="BH64" i="8" s="1"/>
  <c r="AN64" i="8"/>
  <c r="BG64" i="8" s="1"/>
  <c r="AM64" i="8"/>
  <c r="BF64" i="8" s="1"/>
  <c r="AL64" i="8"/>
  <c r="BE64" i="8" s="1"/>
  <c r="AR64" i="8"/>
  <c r="BK64" i="8" s="1"/>
  <c r="AJ64" i="8"/>
  <c r="BC64" i="8" s="1"/>
  <c r="AQ64" i="8"/>
  <c r="BJ64" i="8" s="1"/>
  <c r="BS20" i="8"/>
  <c r="BR20" i="8"/>
  <c r="BP20" i="8"/>
  <c r="BU20" i="8"/>
  <c r="BN20" i="8"/>
  <c r="BQ20" i="8"/>
  <c r="BT20" i="8"/>
  <c r="BL20" i="8"/>
  <c r="BM20" i="8"/>
  <c r="BO20" i="8"/>
  <c r="BO329" i="8"/>
  <c r="BN329" i="8"/>
  <c r="BU329" i="8"/>
  <c r="BT329" i="8"/>
  <c r="BS329" i="8"/>
  <c r="BR329" i="8"/>
  <c r="BM329" i="8"/>
  <c r="BQ329" i="8"/>
  <c r="BL329" i="8"/>
  <c r="BP329" i="8"/>
  <c r="AQ4" i="8"/>
  <c r="BJ4" i="8" s="1"/>
  <c r="AN4" i="8"/>
  <c r="BG4" i="8" s="1"/>
  <c r="AK4" i="8"/>
  <c r="BD4" i="8" s="1"/>
  <c r="AM4" i="8"/>
  <c r="BF4" i="8" s="1"/>
  <c r="AI4" i="8"/>
  <c r="AL4" i="8"/>
  <c r="BE4" i="8" s="1"/>
  <c r="AR4" i="8"/>
  <c r="BK4" i="8" s="1"/>
  <c r="AP4" i="8"/>
  <c r="BI4" i="8" s="1"/>
  <c r="AO4" i="8"/>
  <c r="BH4" i="8" s="1"/>
  <c r="AJ4" i="8"/>
  <c r="BC4" i="8" s="1"/>
  <c r="AQ8" i="8"/>
  <c r="BJ8" i="8" s="1"/>
  <c r="AL8" i="8"/>
  <c r="BE8" i="8" s="1"/>
  <c r="AK8" i="8"/>
  <c r="BD8" i="8" s="1"/>
  <c r="AP8" i="8"/>
  <c r="BI8" i="8" s="1"/>
  <c r="AO8" i="8"/>
  <c r="BH8" i="8" s="1"/>
  <c r="AN8" i="8"/>
  <c r="BG8" i="8" s="1"/>
  <c r="AI8" i="8"/>
  <c r="AM8" i="8"/>
  <c r="BF8" i="8" s="1"/>
  <c r="AR8" i="8"/>
  <c r="BK8" i="8" s="1"/>
  <c r="AJ8" i="8"/>
  <c r="BC8" i="8" s="1"/>
  <c r="AJ791" i="8"/>
  <c r="BC791" i="8" s="1"/>
  <c r="AO791" i="8"/>
  <c r="BH791" i="8" s="1"/>
  <c r="AN791" i="8"/>
  <c r="BG791" i="8" s="1"/>
  <c r="AL791" i="8"/>
  <c r="BE791" i="8" s="1"/>
  <c r="AM791" i="8"/>
  <c r="BF791" i="8" s="1"/>
  <c r="AK791" i="8"/>
  <c r="BD791" i="8" s="1"/>
  <c r="AP791" i="8"/>
  <c r="BI791" i="8" s="1"/>
  <c r="AQ791" i="8"/>
  <c r="BJ791" i="8" s="1"/>
  <c r="AI791" i="8"/>
  <c r="AR791" i="8"/>
  <c r="BK791" i="8" s="1"/>
  <c r="AL121" i="8"/>
  <c r="BE121" i="8" s="1"/>
  <c r="AO121" i="8"/>
  <c r="BH121" i="8" s="1"/>
  <c r="AN121" i="8"/>
  <c r="BG121" i="8" s="1"/>
  <c r="AK121" i="8"/>
  <c r="BD121" i="8" s="1"/>
  <c r="AR121" i="8"/>
  <c r="BK121" i="8" s="1"/>
  <c r="AI121" i="8"/>
  <c r="AP121" i="8"/>
  <c r="BI121" i="8" s="1"/>
  <c r="AJ121" i="8"/>
  <c r="BC121" i="8" s="1"/>
  <c r="AM121" i="8"/>
  <c r="BF121" i="8" s="1"/>
  <c r="AQ121" i="8"/>
  <c r="BJ121" i="8" s="1"/>
  <c r="AL111" i="8"/>
  <c r="BE111" i="8" s="1"/>
  <c r="AN111" i="8"/>
  <c r="BG111" i="8" s="1"/>
  <c r="AK111" i="8"/>
  <c r="BD111" i="8" s="1"/>
  <c r="AR111" i="8"/>
  <c r="BK111" i="8" s="1"/>
  <c r="AI111" i="8"/>
  <c r="AJ111" i="8"/>
  <c r="BC111" i="8" s="1"/>
  <c r="AP111" i="8"/>
  <c r="BI111" i="8" s="1"/>
  <c r="AM111" i="8"/>
  <c r="BF111" i="8" s="1"/>
  <c r="AO111" i="8"/>
  <c r="BH111" i="8" s="1"/>
  <c r="AQ111" i="8"/>
  <c r="BJ111" i="8" s="1"/>
  <c r="AK93" i="8"/>
  <c r="BD93" i="8" s="1"/>
  <c r="AL93" i="8"/>
  <c r="BE93" i="8" s="1"/>
  <c r="AQ93" i="8"/>
  <c r="BJ93" i="8" s="1"/>
  <c r="AN93" i="8"/>
  <c r="BG93" i="8" s="1"/>
  <c r="AR93" i="8"/>
  <c r="BK93" i="8" s="1"/>
  <c r="AJ93" i="8"/>
  <c r="BC93" i="8" s="1"/>
  <c r="AP93" i="8"/>
  <c r="BI93" i="8" s="1"/>
  <c r="AO93" i="8"/>
  <c r="BH93" i="8" s="1"/>
  <c r="AM93" i="8"/>
  <c r="BF93" i="8" s="1"/>
  <c r="AI93" i="8"/>
  <c r="AN22" i="8"/>
  <c r="BG22" i="8" s="1"/>
  <c r="AK22" i="8"/>
  <c r="BD22" i="8" s="1"/>
  <c r="AM22" i="8"/>
  <c r="BF22" i="8" s="1"/>
  <c r="AL22" i="8"/>
  <c r="BE22" i="8" s="1"/>
  <c r="AR22" i="8"/>
  <c r="BK22" i="8" s="1"/>
  <c r="AJ22" i="8"/>
  <c r="BC22" i="8" s="1"/>
  <c r="AI22" i="8"/>
  <c r="AP22" i="8"/>
  <c r="BI22" i="8" s="1"/>
  <c r="AO22" i="8"/>
  <c r="BH22" i="8" s="1"/>
  <c r="AQ22" i="8"/>
  <c r="BJ22" i="8" s="1"/>
  <c r="BP326" i="8"/>
  <c r="BS326" i="8"/>
  <c r="BN326" i="8"/>
  <c r="BR326" i="8"/>
  <c r="BL326" i="8"/>
  <c r="BU326" i="8"/>
  <c r="BM326" i="8"/>
  <c r="BO326" i="8"/>
  <c r="BQ326" i="8"/>
  <c r="BT326" i="8"/>
  <c r="AO482" i="8"/>
  <c r="BH482" i="8" s="1"/>
  <c r="AK482" i="8"/>
  <c r="BD482" i="8" s="1"/>
  <c r="AP783" i="8"/>
  <c r="BI783" i="8" s="1"/>
  <c r="AR783" i="8"/>
  <c r="BK783" i="8" s="1"/>
  <c r="AN783" i="8"/>
  <c r="BG783" i="8" s="1"/>
  <c r="AM783" i="8"/>
  <c r="BF783" i="8" s="1"/>
  <c r="AJ783" i="8"/>
  <c r="BC783" i="8" s="1"/>
  <c r="AL783" i="8"/>
  <c r="BE783" i="8" s="1"/>
  <c r="AK783" i="8"/>
  <c r="BD783" i="8" s="1"/>
  <c r="AO783" i="8"/>
  <c r="BH783" i="8" s="1"/>
  <c r="AI783" i="8"/>
  <c r="AQ783" i="8"/>
  <c r="BJ783" i="8" s="1"/>
  <c r="BR342" i="8"/>
  <c r="BN342" i="8"/>
  <c r="BU342" i="8"/>
  <c r="BP342" i="8"/>
  <c r="BO342" i="8"/>
  <c r="BM342" i="8"/>
  <c r="BT342" i="8"/>
  <c r="BL342" i="8"/>
  <c r="BS342" i="8"/>
  <c r="BQ342" i="8"/>
  <c r="BU208" i="8"/>
  <c r="BS208" i="8"/>
  <c r="BQ208" i="8"/>
  <c r="BO208" i="8"/>
  <c r="BP208" i="8"/>
  <c r="BN208" i="8"/>
  <c r="BM208" i="8"/>
  <c r="BR208" i="8"/>
  <c r="BL208" i="8"/>
  <c r="BT208" i="8"/>
  <c r="AI138" i="8"/>
  <c r="AN138" i="8"/>
  <c r="BG138" i="8" s="1"/>
  <c r="AL138" i="8"/>
  <c r="BE138" i="8" s="1"/>
  <c r="AM138" i="8"/>
  <c r="BF138" i="8" s="1"/>
  <c r="AK138" i="8"/>
  <c r="BD138" i="8" s="1"/>
  <c r="AR138" i="8"/>
  <c r="BK138" i="8" s="1"/>
  <c r="AJ138" i="8"/>
  <c r="BC138" i="8" s="1"/>
  <c r="AP138" i="8"/>
  <c r="BI138" i="8" s="1"/>
  <c r="AO138" i="8"/>
  <c r="BH138" i="8" s="1"/>
  <c r="AQ138" i="8"/>
  <c r="BJ138" i="8" s="1"/>
  <c r="BN146" i="8"/>
  <c r="BR146" i="8"/>
  <c r="BS146" i="8"/>
  <c r="BO146" i="8"/>
  <c r="BQ146" i="8"/>
  <c r="BP146" i="8"/>
  <c r="BU146" i="8"/>
  <c r="BM146" i="8"/>
  <c r="BT146" i="8"/>
  <c r="BL146" i="8"/>
  <c r="AP432" i="8"/>
  <c r="BI432" i="8" s="1"/>
  <c r="AO432" i="8"/>
  <c r="BH432" i="8" s="1"/>
  <c r="AN37" i="8"/>
  <c r="BG37" i="8" s="1"/>
  <c r="AL37" i="8"/>
  <c r="BE37" i="8" s="1"/>
  <c r="AM37" i="8"/>
  <c r="BF37" i="8" s="1"/>
  <c r="AK37" i="8"/>
  <c r="BD37" i="8" s="1"/>
  <c r="AO37" i="8"/>
  <c r="BH37" i="8" s="1"/>
  <c r="AR37" i="8"/>
  <c r="BK37" i="8" s="1"/>
  <c r="AJ37" i="8"/>
  <c r="BC37" i="8" s="1"/>
  <c r="AI37" i="8"/>
  <c r="AP37" i="8"/>
  <c r="BI37" i="8" s="1"/>
  <c r="AQ37" i="8"/>
  <c r="BJ37" i="8" s="1"/>
  <c r="AN25" i="8"/>
  <c r="BG25" i="8" s="1"/>
  <c r="AM25" i="8"/>
  <c r="BF25" i="8" s="1"/>
  <c r="AQ25" i="8"/>
  <c r="BJ25" i="8" s="1"/>
  <c r="AL25" i="8"/>
  <c r="BE25" i="8" s="1"/>
  <c r="AO25" i="8"/>
  <c r="BH25" i="8" s="1"/>
  <c r="AR25" i="8"/>
  <c r="BK25" i="8" s="1"/>
  <c r="AK25" i="8"/>
  <c r="BD25" i="8" s="1"/>
  <c r="AJ25" i="8"/>
  <c r="BC25" i="8" s="1"/>
  <c r="AI25" i="8"/>
  <c r="AP25" i="8"/>
  <c r="BI25" i="8" s="1"/>
  <c r="AR51" i="8"/>
  <c r="BK51" i="8" s="1"/>
  <c r="AN51" i="8"/>
  <c r="BG51" i="8" s="1"/>
  <c r="AJ51" i="8"/>
  <c r="BC51" i="8" s="1"/>
  <c r="AQ51" i="8"/>
  <c r="BJ51" i="8" s="1"/>
  <c r="AI51" i="8"/>
  <c r="AP51" i="8"/>
  <c r="BI51" i="8" s="1"/>
  <c r="AM51" i="8"/>
  <c r="BF51" i="8" s="1"/>
  <c r="AL51" i="8"/>
  <c r="BE51" i="8" s="1"/>
  <c r="AK51" i="8"/>
  <c r="BD51" i="8" s="1"/>
  <c r="AO51" i="8"/>
  <c r="BH51" i="8" s="1"/>
  <c r="AQ211" i="8"/>
  <c r="BJ211" i="8" s="1"/>
  <c r="AK211" i="8"/>
  <c r="BD211" i="8" s="1"/>
  <c r="AL211" i="8"/>
  <c r="BE211" i="8" s="1"/>
  <c r="AI211" i="8"/>
  <c r="AP211" i="8"/>
  <c r="BI211" i="8" s="1"/>
  <c r="AO211" i="8"/>
  <c r="BH211" i="8" s="1"/>
  <c r="AM211" i="8"/>
  <c r="BF211" i="8" s="1"/>
  <c r="AN211" i="8"/>
  <c r="BG211" i="8" s="1"/>
  <c r="AR211" i="8"/>
  <c r="BK211" i="8" s="1"/>
  <c r="AJ211" i="8"/>
  <c r="BC211" i="8" s="1"/>
  <c r="AN797" i="8"/>
  <c r="BG797" i="8" s="1"/>
  <c r="AJ797" i="8"/>
  <c r="BC797" i="8" s="1"/>
  <c r="AK797" i="8"/>
  <c r="BD797" i="8" s="1"/>
  <c r="AI797" i="8"/>
  <c r="AP797" i="8"/>
  <c r="BI797" i="8" s="1"/>
  <c r="AM797" i="8"/>
  <c r="BF797" i="8" s="1"/>
  <c r="AR797" i="8"/>
  <c r="BK797" i="8" s="1"/>
  <c r="AQ797" i="8"/>
  <c r="BJ797" i="8" s="1"/>
  <c r="AO797" i="8"/>
  <c r="BH797" i="8" s="1"/>
  <c r="AL797" i="8"/>
  <c r="BE797" i="8" s="1"/>
  <c r="AP718" i="8"/>
  <c r="BI718" i="8" s="1"/>
  <c r="AN718" i="8"/>
  <c r="BG718" i="8" s="1"/>
  <c r="AM718" i="8"/>
  <c r="BF718" i="8" s="1"/>
  <c r="AK718" i="8"/>
  <c r="BD718" i="8" s="1"/>
  <c r="AR718" i="8"/>
  <c r="BK718" i="8" s="1"/>
  <c r="AJ718" i="8"/>
  <c r="BC718" i="8" s="1"/>
  <c r="AQ718" i="8"/>
  <c r="BJ718" i="8" s="1"/>
  <c r="AI718" i="8"/>
  <c r="AL718" i="8"/>
  <c r="BE718" i="8" s="1"/>
  <c r="AO718" i="8"/>
  <c r="BH718" i="8" s="1"/>
  <c r="AI165" i="8"/>
  <c r="AQ165" i="8"/>
  <c r="BJ165" i="8" s="1"/>
  <c r="AK165" i="8"/>
  <c r="BD165" i="8" s="1"/>
  <c r="AP165" i="8"/>
  <c r="BI165" i="8" s="1"/>
  <c r="AR165" i="8"/>
  <c r="BK165" i="8" s="1"/>
  <c r="AJ165" i="8"/>
  <c r="BC165" i="8" s="1"/>
  <c r="AN165" i="8"/>
  <c r="BG165" i="8" s="1"/>
  <c r="AL165" i="8"/>
  <c r="BE165" i="8" s="1"/>
  <c r="AO165" i="8"/>
  <c r="BH165" i="8" s="1"/>
  <c r="AM165" i="8"/>
  <c r="BF165" i="8" s="1"/>
  <c r="AL174" i="8"/>
  <c r="BE174" i="8" s="1"/>
  <c r="AQ174" i="8"/>
  <c r="BJ174" i="8" s="1"/>
  <c r="AP174" i="8"/>
  <c r="BI174" i="8" s="1"/>
  <c r="AM174" i="8"/>
  <c r="BF174" i="8" s="1"/>
  <c r="AI174" i="8"/>
  <c r="AJ174" i="8"/>
  <c r="BC174" i="8" s="1"/>
  <c r="AK174" i="8"/>
  <c r="BD174" i="8" s="1"/>
  <c r="AO174" i="8"/>
  <c r="BH174" i="8" s="1"/>
  <c r="AN174" i="8"/>
  <c r="BG174" i="8" s="1"/>
  <c r="AR174" i="8"/>
  <c r="BK174" i="8" s="1"/>
  <c r="AK86" i="8"/>
  <c r="BD86" i="8" s="1"/>
  <c r="AQ86" i="8"/>
  <c r="BJ86" i="8" s="1"/>
  <c r="AP86" i="8"/>
  <c r="BI86" i="8" s="1"/>
  <c r="AI86" i="8"/>
  <c r="AO86" i="8"/>
  <c r="BH86" i="8" s="1"/>
  <c r="AN86" i="8"/>
  <c r="BG86" i="8" s="1"/>
  <c r="AM86" i="8"/>
  <c r="BF86" i="8" s="1"/>
  <c r="AL86" i="8"/>
  <c r="BE86" i="8" s="1"/>
  <c r="AR86" i="8"/>
  <c r="BK86" i="8" s="1"/>
  <c r="AJ86" i="8"/>
  <c r="BC86" i="8" s="1"/>
  <c r="BQ53" i="8"/>
  <c r="BM53" i="8"/>
  <c r="BP53" i="8"/>
  <c r="BO53" i="8"/>
  <c r="BN53" i="8"/>
  <c r="BT53" i="8"/>
  <c r="BS53" i="8"/>
  <c r="BR53" i="8"/>
  <c r="BU53" i="8"/>
  <c r="BL53" i="8"/>
  <c r="AO833" i="8"/>
  <c r="BH833" i="8" s="1"/>
  <c r="AN833" i="8"/>
  <c r="BG833" i="8" s="1"/>
  <c r="AJ833" i="8"/>
  <c r="BC833" i="8" s="1"/>
  <c r="AM833" i="8"/>
  <c r="BF833" i="8" s="1"/>
  <c r="AL833" i="8"/>
  <c r="BE833" i="8" s="1"/>
  <c r="AR833" i="8"/>
  <c r="BK833" i="8" s="1"/>
  <c r="AQ833" i="8"/>
  <c r="BJ833" i="8" s="1"/>
  <c r="AP833" i="8"/>
  <c r="BI833" i="8" s="1"/>
  <c r="AK833" i="8"/>
  <c r="BD833" i="8" s="1"/>
  <c r="AI833" i="8"/>
  <c r="BS521" i="8"/>
  <c r="BR521" i="8"/>
  <c r="BQ521" i="8"/>
  <c r="BP521" i="8"/>
  <c r="BU521" i="8"/>
  <c r="BO521" i="8"/>
  <c r="BM521" i="8"/>
  <c r="BN521" i="8"/>
  <c r="BT521" i="8"/>
  <c r="BL521" i="8"/>
  <c r="BS516" i="8"/>
  <c r="BU516" i="8"/>
  <c r="BM516" i="8"/>
  <c r="BT516" i="8"/>
  <c r="BL516" i="8"/>
  <c r="BN516" i="8"/>
  <c r="BR516" i="8"/>
  <c r="BQ516" i="8"/>
  <c r="BP516" i="8"/>
  <c r="BO516" i="8"/>
  <c r="AP221" i="8"/>
  <c r="BI221" i="8" s="1"/>
  <c r="BB151" i="8"/>
  <c r="AS151" i="8"/>
  <c r="BB777" i="8"/>
  <c r="AH292" i="8"/>
  <c r="AH513" i="8"/>
  <c r="AH524" i="8"/>
  <c r="AH310" i="8"/>
  <c r="AH502" i="8"/>
  <c r="AH274" i="8"/>
  <c r="AH256" i="8"/>
  <c r="AH238" i="8"/>
  <c r="AH535" i="8"/>
  <c r="AH328" i="8"/>
  <c r="AH557" i="8"/>
  <c r="AH546" i="8"/>
  <c r="AH625" i="8"/>
  <c r="AH642" i="8"/>
  <c r="AH608" i="8"/>
  <c r="AH574" i="8"/>
  <c r="AH591" i="8"/>
  <c r="AH659" i="8"/>
  <c r="AH725" i="1"/>
  <c r="AM725" i="1" s="1"/>
  <c r="BF725" i="1" s="1"/>
  <c r="AH734" i="8"/>
  <c r="AH743" i="8"/>
  <c r="AH716" i="8"/>
  <c r="AH725" i="8"/>
  <c r="AH752" i="8"/>
  <c r="AH761" i="8"/>
  <c r="BO180" i="8"/>
  <c r="BT180" i="8"/>
  <c r="BU180" i="8"/>
  <c r="BQ180" i="8"/>
  <c r="BM180" i="8"/>
  <c r="BL180" i="8"/>
  <c r="BR180" i="8"/>
  <c r="BS180" i="8"/>
  <c r="BN180" i="8"/>
  <c r="BP180" i="8"/>
  <c r="AI242" i="8"/>
  <c r="AL242" i="8"/>
  <c r="BE242" i="8" s="1"/>
  <c r="AM242" i="8"/>
  <c r="BF242" i="8" s="1"/>
  <c r="AR204" i="8"/>
  <c r="BK204" i="8" s="1"/>
  <c r="AO204" i="8"/>
  <c r="BH204" i="8" s="1"/>
  <c r="AJ204" i="8"/>
  <c r="BC204" i="8" s="1"/>
  <c r="AN204" i="8"/>
  <c r="BG204" i="8" s="1"/>
  <c r="AM204" i="8"/>
  <c r="BF204" i="8" s="1"/>
  <c r="AL204" i="8"/>
  <c r="BE204" i="8" s="1"/>
  <c r="AK204" i="8"/>
  <c r="BD204" i="8" s="1"/>
  <c r="AQ204" i="8"/>
  <c r="BJ204" i="8" s="1"/>
  <c r="AI204" i="8"/>
  <c r="AP204" i="8"/>
  <c r="BI204" i="8" s="1"/>
  <c r="BL94" i="8"/>
  <c r="BN94" i="8"/>
  <c r="BQ94" i="8"/>
  <c r="BO94" i="8"/>
  <c r="BU94" i="8"/>
  <c r="BM94" i="8"/>
  <c r="BP94" i="8"/>
  <c r="BS94" i="8"/>
  <c r="BR94" i="8"/>
  <c r="BT94" i="8"/>
  <c r="BQ189" i="8"/>
  <c r="BN189" i="8"/>
  <c r="BO189" i="8"/>
  <c r="BM189" i="8"/>
  <c r="BS189" i="8"/>
  <c r="BP189" i="8"/>
  <c r="BU189" i="8"/>
  <c r="BR189" i="8"/>
  <c r="BT189" i="8"/>
  <c r="BL189" i="8"/>
  <c r="AK695" i="8"/>
  <c r="BD695" i="8" s="1"/>
  <c r="AR695" i="8"/>
  <c r="BK695" i="8" s="1"/>
  <c r="BQ313" i="8"/>
  <c r="BU313" i="8"/>
  <c r="BT313" i="8"/>
  <c r="BM313" i="8"/>
  <c r="BL313" i="8"/>
  <c r="BS313" i="8"/>
  <c r="BR313" i="8"/>
  <c r="BP313" i="8"/>
  <c r="BO313" i="8"/>
  <c r="BN313" i="8"/>
  <c r="AJ73" i="8"/>
  <c r="BC73" i="8" s="1"/>
  <c r="AQ73" i="8"/>
  <c r="BJ73" i="8" s="1"/>
  <c r="AI73" i="8"/>
  <c r="AN73" i="8"/>
  <c r="BG73" i="8" s="1"/>
  <c r="AL73" i="8"/>
  <c r="BE73" i="8" s="1"/>
  <c r="AM73" i="8"/>
  <c r="BF73" i="8" s="1"/>
  <c r="AK73" i="8"/>
  <c r="BD73" i="8" s="1"/>
  <c r="AR73" i="8"/>
  <c r="BK73" i="8" s="1"/>
  <c r="AO73" i="8"/>
  <c r="BH73" i="8" s="1"/>
  <c r="AP73" i="8"/>
  <c r="BI73" i="8" s="1"/>
  <c r="AP21" i="8"/>
  <c r="BI21" i="8" s="1"/>
  <c r="AM21" i="8"/>
  <c r="BF21" i="8" s="1"/>
  <c r="AR21" i="8"/>
  <c r="BK21" i="8" s="1"/>
  <c r="AO21" i="8"/>
  <c r="BH21" i="8" s="1"/>
  <c r="AJ21" i="8"/>
  <c r="BC21" i="8" s="1"/>
  <c r="AN21" i="8"/>
  <c r="BG21" i="8" s="1"/>
  <c r="AK21" i="8"/>
  <c r="BD21" i="8" s="1"/>
  <c r="AQ21" i="8"/>
  <c r="BJ21" i="8" s="1"/>
  <c r="AI21" i="8"/>
  <c r="AL21" i="8"/>
  <c r="BE21" i="8" s="1"/>
  <c r="AI39" i="8"/>
  <c r="AP39" i="8"/>
  <c r="BI39" i="8" s="1"/>
  <c r="AN39" i="8"/>
  <c r="BG39" i="8" s="1"/>
  <c r="AK39" i="8"/>
  <c r="BD39" i="8" s="1"/>
  <c r="AO39" i="8"/>
  <c r="BH39" i="8" s="1"/>
  <c r="AR39" i="8"/>
  <c r="BK39" i="8" s="1"/>
  <c r="AQ39" i="8"/>
  <c r="BJ39" i="8" s="1"/>
  <c r="AM39" i="8"/>
  <c r="BF39" i="8" s="1"/>
  <c r="AL39" i="8"/>
  <c r="BE39" i="8" s="1"/>
  <c r="AJ39" i="8"/>
  <c r="BC39" i="8" s="1"/>
  <c r="AJ205" i="8"/>
  <c r="BC205" i="8" s="1"/>
  <c r="AQ205" i="8"/>
  <c r="BJ205" i="8" s="1"/>
  <c r="AI205" i="8"/>
  <c r="AO205" i="8"/>
  <c r="BH205" i="8" s="1"/>
  <c r="AM205" i="8"/>
  <c r="BF205" i="8" s="1"/>
  <c r="AN205" i="8"/>
  <c r="BG205" i="8" s="1"/>
  <c r="AK205" i="8"/>
  <c r="BD205" i="8" s="1"/>
  <c r="AP205" i="8"/>
  <c r="BI205" i="8" s="1"/>
  <c r="AL205" i="8"/>
  <c r="BE205" i="8" s="1"/>
  <c r="AR205" i="8"/>
  <c r="BK205" i="8" s="1"/>
  <c r="BQ293" i="8"/>
  <c r="BT293" i="8"/>
  <c r="BU293" i="8"/>
  <c r="BL293" i="8"/>
  <c r="BM293" i="8"/>
  <c r="BP293" i="8"/>
  <c r="BO293" i="8"/>
  <c r="BS293" i="8"/>
  <c r="BR293" i="8"/>
  <c r="BN293" i="8"/>
  <c r="AO186" i="8"/>
  <c r="BH186" i="8" s="1"/>
  <c r="AI186" i="8"/>
  <c r="AR186" i="8"/>
  <c r="BK186" i="8" s="1"/>
  <c r="AQ186" i="8"/>
  <c r="BJ186" i="8" s="1"/>
  <c r="AM186" i="8"/>
  <c r="BF186" i="8" s="1"/>
  <c r="AL186" i="8"/>
  <c r="BE186" i="8" s="1"/>
  <c r="AK186" i="8"/>
  <c r="BD186" i="8" s="1"/>
  <c r="AJ186" i="8"/>
  <c r="BC186" i="8" s="1"/>
  <c r="AP186" i="8"/>
  <c r="BI186" i="8" s="1"/>
  <c r="AN186" i="8"/>
  <c r="BG186" i="8" s="1"/>
  <c r="BT257" i="8"/>
  <c r="BL257" i="8"/>
  <c r="BQ257" i="8"/>
  <c r="BS257" i="8"/>
  <c r="BP257" i="8"/>
  <c r="BO257" i="8"/>
  <c r="BR257" i="8"/>
  <c r="BN257" i="8"/>
  <c r="BU257" i="8"/>
  <c r="BM257" i="8"/>
  <c r="AQ146" i="8"/>
  <c r="BJ146" i="8" s="1"/>
  <c r="AP146" i="8"/>
  <c r="BI146" i="8" s="1"/>
  <c r="AK146" i="8"/>
  <c r="BD146" i="8" s="1"/>
  <c r="AR146" i="8"/>
  <c r="BK146" i="8" s="1"/>
  <c r="AJ146" i="8"/>
  <c r="BC146" i="8" s="1"/>
  <c r="AO146" i="8"/>
  <c r="BH146" i="8" s="1"/>
  <c r="AI146" i="8"/>
  <c r="AM146" i="8"/>
  <c r="BF146" i="8" s="1"/>
  <c r="AN146" i="8"/>
  <c r="BG146" i="8" s="1"/>
  <c r="AL146" i="8"/>
  <c r="BE146" i="8" s="1"/>
  <c r="AK207" i="8"/>
  <c r="BD207" i="8" s="1"/>
  <c r="AL207" i="8"/>
  <c r="BE207" i="8" s="1"/>
  <c r="AR207" i="8"/>
  <c r="BK207" i="8" s="1"/>
  <c r="AN207" i="8"/>
  <c r="BG207" i="8" s="1"/>
  <c r="AJ207" i="8"/>
  <c r="BC207" i="8" s="1"/>
  <c r="AQ207" i="8"/>
  <c r="BJ207" i="8" s="1"/>
  <c r="AI207" i="8"/>
  <c r="AO207" i="8"/>
  <c r="BH207" i="8" s="1"/>
  <c r="AP207" i="8"/>
  <c r="BI207" i="8" s="1"/>
  <c r="AM207" i="8"/>
  <c r="BF207" i="8" s="1"/>
  <c r="AQ167" i="8"/>
  <c r="BJ167" i="8" s="1"/>
  <c r="AO167" i="8"/>
  <c r="BH167" i="8" s="1"/>
  <c r="AN167" i="8"/>
  <c r="BG167" i="8" s="1"/>
  <c r="AL167" i="8"/>
  <c r="BE167" i="8" s="1"/>
  <c r="AJ167" i="8"/>
  <c r="BC167" i="8" s="1"/>
  <c r="AI167" i="8"/>
  <c r="AP167" i="8"/>
  <c r="BI167" i="8" s="1"/>
  <c r="AM167" i="8"/>
  <c r="BF167" i="8" s="1"/>
  <c r="AK167" i="8"/>
  <c r="BD167" i="8" s="1"/>
  <c r="AR167" i="8"/>
  <c r="BK167" i="8" s="1"/>
  <c r="BS158" i="8"/>
  <c r="BO158" i="8"/>
  <c r="BN158" i="8"/>
  <c r="BM158" i="8"/>
  <c r="BP158" i="8"/>
  <c r="BU158" i="8"/>
  <c r="BR158" i="8"/>
  <c r="BL158" i="8"/>
  <c r="BQ158" i="8"/>
  <c r="BT158" i="8"/>
  <c r="AR194" i="8"/>
  <c r="BK194" i="8" s="1"/>
  <c r="AP194" i="8"/>
  <c r="BI194" i="8" s="1"/>
  <c r="AJ194" i="8"/>
  <c r="BC194" i="8" s="1"/>
  <c r="AO194" i="8"/>
  <c r="BH194" i="8" s="1"/>
  <c r="AN194" i="8"/>
  <c r="BG194" i="8" s="1"/>
  <c r="AM194" i="8"/>
  <c r="BF194" i="8" s="1"/>
  <c r="AL194" i="8"/>
  <c r="BE194" i="8" s="1"/>
  <c r="AK194" i="8"/>
  <c r="BD194" i="8" s="1"/>
  <c r="AQ194" i="8"/>
  <c r="BJ194" i="8" s="1"/>
  <c r="AI194" i="8"/>
  <c r="BQ252" i="8"/>
  <c r="BS252" i="8"/>
  <c r="BP252" i="8"/>
  <c r="BR252" i="8"/>
  <c r="BO252" i="8"/>
  <c r="BN252" i="8"/>
  <c r="BU252" i="8"/>
  <c r="BM252" i="8"/>
  <c r="BT252" i="8"/>
  <c r="BL252" i="8"/>
  <c r="BQ327" i="8"/>
  <c r="BP327" i="8"/>
  <c r="BU327" i="8"/>
  <c r="BR327" i="8"/>
  <c r="BO327" i="8"/>
  <c r="BT327" i="8"/>
  <c r="BN327" i="8"/>
  <c r="BL327" i="8"/>
  <c r="BM327" i="8"/>
  <c r="BS327" i="8"/>
  <c r="AN824" i="8"/>
  <c r="BG824" i="8" s="1"/>
  <c r="AL824" i="8"/>
  <c r="BE824" i="8" s="1"/>
  <c r="AQ824" i="8"/>
  <c r="BJ824" i="8" s="1"/>
  <c r="AI824" i="8"/>
  <c r="AP824" i="8"/>
  <c r="BI824" i="8" s="1"/>
  <c r="AO824" i="8"/>
  <c r="BH824" i="8" s="1"/>
  <c r="AK824" i="8"/>
  <c r="BD824" i="8" s="1"/>
  <c r="AM824" i="8"/>
  <c r="BF824" i="8" s="1"/>
  <c r="AR824" i="8"/>
  <c r="BK824" i="8" s="1"/>
  <c r="AJ824" i="8"/>
  <c r="BC824" i="8" s="1"/>
  <c r="BQ44" i="8"/>
  <c r="BS44" i="8"/>
  <c r="BR44" i="8"/>
  <c r="BP44" i="8"/>
  <c r="BN44" i="8"/>
  <c r="BO44" i="8"/>
  <c r="BU44" i="8"/>
  <c r="BM44" i="8"/>
  <c r="BT44" i="8"/>
  <c r="BL44" i="8"/>
  <c r="BQ98" i="8"/>
  <c r="BL98" i="8"/>
  <c r="BO98" i="8"/>
  <c r="BN98" i="8"/>
  <c r="BP98" i="8"/>
  <c r="BU98" i="8"/>
  <c r="BT98" i="8"/>
  <c r="BM98" i="8"/>
  <c r="BS98" i="8"/>
  <c r="BR98" i="8"/>
  <c r="BP92" i="8"/>
  <c r="BQ92" i="8"/>
  <c r="BT92" i="8"/>
  <c r="BO92" i="8"/>
  <c r="BL92" i="8"/>
  <c r="BR92" i="8"/>
  <c r="BN92" i="8"/>
  <c r="BU92" i="8"/>
  <c r="BS92" i="8"/>
  <c r="BM92" i="8"/>
  <c r="AK158" i="8"/>
  <c r="BD158" i="8" s="1"/>
  <c r="AR158" i="8"/>
  <c r="BK158" i="8" s="1"/>
  <c r="BU311" i="8"/>
  <c r="BN311" i="8"/>
  <c r="BQ311" i="8"/>
  <c r="BP311" i="8"/>
  <c r="BO311" i="8"/>
  <c r="BS311" i="8"/>
  <c r="BR311" i="8"/>
  <c r="BL311" i="8"/>
  <c r="BT311" i="8"/>
  <c r="BM311" i="8"/>
  <c r="AQ148" i="8"/>
  <c r="BJ148" i="8" s="1"/>
  <c r="AL148" i="8"/>
  <c r="BE148" i="8" s="1"/>
  <c r="AK148" i="8"/>
  <c r="BD148" i="8" s="1"/>
  <c r="AR148" i="8"/>
  <c r="BK148" i="8" s="1"/>
  <c r="AJ148" i="8"/>
  <c r="BC148" i="8" s="1"/>
  <c r="AO148" i="8"/>
  <c r="BH148" i="8" s="1"/>
  <c r="AN148" i="8"/>
  <c r="BG148" i="8" s="1"/>
  <c r="AI148" i="8"/>
  <c r="AP148" i="8"/>
  <c r="BI148" i="8" s="1"/>
  <c r="AM148" i="8"/>
  <c r="BF148" i="8" s="1"/>
  <c r="AJ58" i="8"/>
  <c r="BC58" i="8" s="1"/>
  <c r="AQ58" i="8"/>
  <c r="BJ58" i="8" s="1"/>
  <c r="AK58" i="8"/>
  <c r="BD58" i="8" s="1"/>
  <c r="AI58" i="8"/>
  <c r="AP58" i="8"/>
  <c r="BI58" i="8" s="1"/>
  <c r="AO58" i="8"/>
  <c r="BH58" i="8" s="1"/>
  <c r="AN58" i="8"/>
  <c r="BG58" i="8" s="1"/>
  <c r="AM58" i="8"/>
  <c r="BF58" i="8" s="1"/>
  <c r="AL58" i="8"/>
  <c r="BE58" i="8" s="1"/>
  <c r="AR58" i="8"/>
  <c r="BK58" i="8" s="1"/>
  <c r="AO89" i="8"/>
  <c r="BH89" i="8" s="1"/>
  <c r="AN89" i="8"/>
  <c r="BG89" i="8" s="1"/>
  <c r="AK89" i="8"/>
  <c r="BD89" i="8" s="1"/>
  <c r="AR89" i="8"/>
  <c r="BK89" i="8" s="1"/>
  <c r="AJ89" i="8"/>
  <c r="BC89" i="8" s="1"/>
  <c r="AQ89" i="8"/>
  <c r="BJ89" i="8" s="1"/>
  <c r="AI89" i="8"/>
  <c r="AL89" i="8"/>
  <c r="BE89" i="8" s="1"/>
  <c r="AP89" i="8"/>
  <c r="BI89" i="8" s="1"/>
  <c r="AM89" i="8"/>
  <c r="BF89" i="8" s="1"/>
  <c r="AO808" i="8"/>
  <c r="BH808" i="8" s="1"/>
  <c r="AQ808" i="8"/>
  <c r="BJ808" i="8" s="1"/>
  <c r="AM808" i="8"/>
  <c r="BF808" i="8" s="1"/>
  <c r="AJ808" i="8"/>
  <c r="BC808" i="8" s="1"/>
  <c r="AK808" i="8"/>
  <c r="BD808" i="8" s="1"/>
  <c r="AL808" i="8"/>
  <c r="BE808" i="8" s="1"/>
  <c r="AP808" i="8"/>
  <c r="BI808" i="8" s="1"/>
  <c r="AI808" i="8"/>
  <c r="AN808" i="8"/>
  <c r="BG808" i="8" s="1"/>
  <c r="AR808" i="8"/>
  <c r="BK808" i="8" s="1"/>
  <c r="AR618" i="8"/>
  <c r="BK618" i="8" s="1"/>
  <c r="AO793" i="8"/>
  <c r="BH793" i="8" s="1"/>
  <c r="AL793" i="8"/>
  <c r="BE793" i="8" s="1"/>
  <c r="AJ793" i="8"/>
  <c r="BC793" i="8" s="1"/>
  <c r="AN793" i="8"/>
  <c r="BG793" i="8" s="1"/>
  <c r="AR793" i="8"/>
  <c r="BK793" i="8" s="1"/>
  <c r="AM793" i="8"/>
  <c r="BF793" i="8" s="1"/>
  <c r="AP793" i="8"/>
  <c r="BI793" i="8" s="1"/>
  <c r="AQ793" i="8"/>
  <c r="BJ793" i="8" s="1"/>
  <c r="AI793" i="8"/>
  <c r="AK793" i="8"/>
  <c r="BD793" i="8" s="1"/>
  <c r="BQ168" i="8"/>
  <c r="BM168" i="8"/>
  <c r="BT168" i="8"/>
  <c r="BP168" i="8"/>
  <c r="BL168" i="8"/>
  <c r="BS168" i="8"/>
  <c r="BR168" i="8"/>
  <c r="BO168" i="8"/>
  <c r="BN168" i="8"/>
  <c r="BU168" i="8"/>
  <c r="BS124" i="8"/>
  <c r="BR124" i="8"/>
  <c r="BN124" i="8"/>
  <c r="BQ124" i="8"/>
  <c r="BO124" i="8"/>
  <c r="BP124" i="8"/>
  <c r="BM124" i="8"/>
  <c r="BU124" i="8"/>
  <c r="BT124" i="8"/>
  <c r="BL124" i="8"/>
  <c r="AP133" i="8"/>
  <c r="BI133" i="8" s="1"/>
  <c r="AM133" i="8"/>
  <c r="BF133" i="8" s="1"/>
  <c r="AL133" i="8"/>
  <c r="BE133" i="8" s="1"/>
  <c r="AQ133" i="8"/>
  <c r="BJ133" i="8" s="1"/>
  <c r="AI133" i="8"/>
  <c r="AO133" i="8"/>
  <c r="BH133" i="8" s="1"/>
  <c r="AN133" i="8"/>
  <c r="BG133" i="8" s="1"/>
  <c r="AK133" i="8"/>
  <c r="BD133" i="8" s="1"/>
  <c r="AR133" i="8"/>
  <c r="BK133" i="8" s="1"/>
  <c r="AJ133" i="8"/>
  <c r="BC133" i="8" s="1"/>
  <c r="BO6" i="8"/>
  <c r="BQ6" i="8"/>
  <c r="BM6" i="8"/>
  <c r="BT6" i="8"/>
  <c r="BL6" i="8"/>
  <c r="BS6" i="8"/>
  <c r="BR6" i="8"/>
  <c r="BP6" i="8"/>
  <c r="BN6" i="8"/>
  <c r="BU6" i="8"/>
  <c r="AK816" i="8"/>
  <c r="BD816" i="8" s="1"/>
  <c r="AR816" i="8"/>
  <c r="BK816" i="8" s="1"/>
  <c r="AJ816" i="8"/>
  <c r="BC816" i="8" s="1"/>
  <c r="AQ816" i="8"/>
  <c r="BJ816" i="8" s="1"/>
  <c r="AI816" i="8"/>
  <c r="AP816" i="8"/>
  <c r="BI816" i="8" s="1"/>
  <c r="AO816" i="8"/>
  <c r="BH816" i="8" s="1"/>
  <c r="AN816" i="8"/>
  <c r="BG816" i="8" s="1"/>
  <c r="AM816" i="8"/>
  <c r="BF816" i="8" s="1"/>
  <c r="AL816" i="8"/>
  <c r="BE816" i="8" s="1"/>
  <c r="AO567" i="8"/>
  <c r="BH567" i="8" s="1"/>
  <c r="AR567" i="8"/>
  <c r="BK567" i="8" s="1"/>
  <c r="AQ577" i="8"/>
  <c r="BJ577" i="8" s="1"/>
  <c r="BP308" i="8"/>
  <c r="BU308" i="8"/>
  <c r="BO308" i="8"/>
  <c r="BM308" i="8"/>
  <c r="BN308" i="8"/>
  <c r="BT308" i="8"/>
  <c r="BL308" i="8"/>
  <c r="BR308" i="8"/>
  <c r="BQ308" i="8"/>
  <c r="BS308" i="8"/>
  <c r="AL626" i="8"/>
  <c r="BE626" i="8" s="1"/>
  <c r="AI154" i="8"/>
  <c r="AM154" i="8"/>
  <c r="BF154" i="8" s="1"/>
  <c r="AK154" i="8"/>
  <c r="BD154" i="8" s="1"/>
  <c r="AL154" i="8"/>
  <c r="BE154" i="8" s="1"/>
  <c r="AQ154" i="8"/>
  <c r="BJ154" i="8" s="1"/>
  <c r="AR154" i="8"/>
  <c r="BK154" i="8" s="1"/>
  <c r="AJ154" i="8"/>
  <c r="BC154" i="8" s="1"/>
  <c r="AO154" i="8"/>
  <c r="BH154" i="8" s="1"/>
  <c r="AN154" i="8"/>
  <c r="BG154" i="8" s="1"/>
  <c r="AP154" i="8"/>
  <c r="BI154" i="8" s="1"/>
  <c r="AL166" i="8"/>
  <c r="BE166" i="8" s="1"/>
  <c r="AQ166" i="8"/>
  <c r="BJ166" i="8" s="1"/>
  <c r="AM166" i="8"/>
  <c r="BF166" i="8" s="1"/>
  <c r="AJ166" i="8"/>
  <c r="BC166" i="8" s="1"/>
  <c r="AP166" i="8"/>
  <c r="BI166" i="8" s="1"/>
  <c r="AI166" i="8"/>
  <c r="AN166" i="8"/>
  <c r="BG166" i="8" s="1"/>
  <c r="AK166" i="8"/>
  <c r="BD166" i="8" s="1"/>
  <c r="AR166" i="8"/>
  <c r="BK166" i="8" s="1"/>
  <c r="AO166" i="8"/>
  <c r="BH166" i="8" s="1"/>
  <c r="AK127" i="8"/>
  <c r="BD127" i="8" s="1"/>
  <c r="AL123" i="8"/>
  <c r="BE123" i="8" s="1"/>
  <c r="AN123" i="8"/>
  <c r="BG123" i="8" s="1"/>
  <c r="AK123" i="8"/>
  <c r="BD123" i="8" s="1"/>
  <c r="AM123" i="8"/>
  <c r="BF123" i="8" s="1"/>
  <c r="AR123" i="8"/>
  <c r="BK123" i="8" s="1"/>
  <c r="AI123" i="8"/>
  <c r="AJ123" i="8"/>
  <c r="BC123" i="8" s="1"/>
  <c r="AQ123" i="8"/>
  <c r="BJ123" i="8" s="1"/>
  <c r="AO123" i="8"/>
  <c r="BH123" i="8" s="1"/>
  <c r="AP123" i="8"/>
  <c r="BI123" i="8" s="1"/>
  <c r="BQ54" i="8"/>
  <c r="BN54" i="8"/>
  <c r="BO54" i="8"/>
  <c r="BU54" i="8"/>
  <c r="BM54" i="8"/>
  <c r="BT54" i="8"/>
  <c r="BL54" i="8"/>
  <c r="BS54" i="8"/>
  <c r="BR54" i="8"/>
  <c r="BP54" i="8"/>
  <c r="AO85" i="8"/>
  <c r="BH85" i="8" s="1"/>
  <c r="AL85" i="8"/>
  <c r="BE85" i="8" s="1"/>
  <c r="AM85" i="8"/>
  <c r="BF85" i="8" s="1"/>
  <c r="AR85" i="8"/>
  <c r="BK85" i="8" s="1"/>
  <c r="AJ85" i="8"/>
  <c r="BC85" i="8" s="1"/>
  <c r="AQ85" i="8"/>
  <c r="BJ85" i="8" s="1"/>
  <c r="AI85" i="8"/>
  <c r="AP85" i="8"/>
  <c r="BI85" i="8" s="1"/>
  <c r="AK85" i="8"/>
  <c r="BD85" i="8" s="1"/>
  <c r="AN85" i="8"/>
  <c r="BG85" i="8" s="1"/>
  <c r="AO380" i="8"/>
  <c r="BH380" i="8" s="1"/>
  <c r="AR380" i="8"/>
  <c r="BK380" i="8" s="1"/>
  <c r="AR790" i="8"/>
  <c r="BK790" i="8" s="1"/>
  <c r="AL790" i="8"/>
  <c r="BE790" i="8" s="1"/>
  <c r="AJ790" i="8"/>
  <c r="BC790" i="8" s="1"/>
  <c r="AK790" i="8"/>
  <c r="BD790" i="8" s="1"/>
  <c r="AQ790" i="8"/>
  <c r="BJ790" i="8" s="1"/>
  <c r="AI790" i="8"/>
  <c r="AO790" i="8"/>
  <c r="BH790" i="8" s="1"/>
  <c r="AP790" i="8"/>
  <c r="BI790" i="8" s="1"/>
  <c r="AN790" i="8"/>
  <c r="BG790" i="8" s="1"/>
  <c r="AM790" i="8"/>
  <c r="BF790" i="8" s="1"/>
  <c r="AS124" i="8"/>
  <c r="BB124" i="8"/>
  <c r="BU210" i="8"/>
  <c r="BO210" i="8"/>
  <c r="BS210" i="8"/>
  <c r="BQ210" i="8"/>
  <c r="BP210" i="8"/>
  <c r="BL210" i="8"/>
  <c r="BT210" i="8"/>
  <c r="BN210" i="8"/>
  <c r="BM210" i="8"/>
  <c r="BR210" i="8"/>
  <c r="AQ107" i="8"/>
  <c r="BJ107" i="8" s="1"/>
  <c r="AI107" i="8"/>
  <c r="AO107" i="8"/>
  <c r="BH107" i="8" s="1"/>
  <c r="AL107" i="8"/>
  <c r="BE107" i="8" s="1"/>
  <c r="AM107" i="8"/>
  <c r="BF107" i="8" s="1"/>
  <c r="AP107" i="8"/>
  <c r="BI107" i="8" s="1"/>
  <c r="AN107" i="8"/>
  <c r="BG107" i="8" s="1"/>
  <c r="AR107" i="8"/>
  <c r="BK107" i="8" s="1"/>
  <c r="AK107" i="8"/>
  <c r="BD107" i="8" s="1"/>
  <c r="AJ107" i="8"/>
  <c r="BC107" i="8" s="1"/>
  <c r="AL122" i="8"/>
  <c r="BE122" i="8" s="1"/>
  <c r="AI122" i="8"/>
  <c r="AM122" i="8"/>
  <c r="BF122" i="8" s="1"/>
  <c r="AK122" i="8"/>
  <c r="BD122" i="8" s="1"/>
  <c r="AR122" i="8"/>
  <c r="BK122" i="8" s="1"/>
  <c r="AQ122" i="8"/>
  <c r="BJ122" i="8" s="1"/>
  <c r="AJ122" i="8"/>
  <c r="BC122" i="8" s="1"/>
  <c r="AO122" i="8"/>
  <c r="BH122" i="8" s="1"/>
  <c r="AN122" i="8"/>
  <c r="BG122" i="8" s="1"/>
  <c r="AP122" i="8"/>
  <c r="BI122" i="8" s="1"/>
  <c r="AR102" i="8"/>
  <c r="BK102" i="8" s="1"/>
  <c r="AO102" i="8"/>
  <c r="BH102" i="8" s="1"/>
  <c r="AN102" i="8"/>
  <c r="BG102" i="8" s="1"/>
  <c r="AL102" i="8"/>
  <c r="BE102" i="8" s="1"/>
  <c r="AK102" i="8"/>
  <c r="BD102" i="8" s="1"/>
  <c r="AJ102" i="8"/>
  <c r="BC102" i="8" s="1"/>
  <c r="AM102" i="8"/>
  <c r="BF102" i="8" s="1"/>
  <c r="AI102" i="8"/>
  <c r="AP102" i="8"/>
  <c r="BI102" i="8" s="1"/>
  <c r="AQ102" i="8"/>
  <c r="BJ102" i="8" s="1"/>
  <c r="AL183" i="8"/>
  <c r="BE183" i="8" s="1"/>
  <c r="AN183" i="8"/>
  <c r="BG183" i="8" s="1"/>
  <c r="AK183" i="8"/>
  <c r="BD183" i="8" s="1"/>
  <c r="AM183" i="8"/>
  <c r="BF183" i="8" s="1"/>
  <c r="AR183" i="8"/>
  <c r="BK183" i="8" s="1"/>
  <c r="AP183" i="8"/>
  <c r="BI183" i="8" s="1"/>
  <c r="AJ183" i="8"/>
  <c r="BC183" i="8" s="1"/>
  <c r="AI183" i="8"/>
  <c r="AO183" i="8"/>
  <c r="BH183" i="8" s="1"/>
  <c r="AQ183" i="8"/>
  <c r="BJ183" i="8" s="1"/>
  <c r="AK726" i="8"/>
  <c r="BD726" i="8" s="1"/>
  <c r="AL726" i="8"/>
  <c r="BE726" i="8" s="1"/>
  <c r="AM726" i="8"/>
  <c r="BF726" i="8" s="1"/>
  <c r="AN726" i="8"/>
  <c r="BG726" i="8" s="1"/>
  <c r="AO726" i="8"/>
  <c r="BH726" i="8" s="1"/>
  <c r="AJ726" i="8"/>
  <c r="BC726" i="8" s="1"/>
  <c r="AI726" i="8"/>
  <c r="AR726" i="8"/>
  <c r="BK726" i="8" s="1"/>
  <c r="AP726" i="8"/>
  <c r="BI726" i="8" s="1"/>
  <c r="AQ726" i="8"/>
  <c r="BJ726" i="8" s="1"/>
  <c r="BS547" i="8"/>
  <c r="BO547" i="8"/>
  <c r="BN547" i="8"/>
  <c r="BR547" i="8"/>
  <c r="BM547" i="8"/>
  <c r="BT547" i="8"/>
  <c r="BL547" i="8"/>
  <c r="BQ547" i="8"/>
  <c r="BP547" i="8"/>
  <c r="BU547" i="8"/>
  <c r="BN289" i="8"/>
  <c r="BQ289" i="8"/>
  <c r="BS289" i="8"/>
  <c r="BO289" i="8"/>
  <c r="BU289" i="8"/>
  <c r="BM289" i="8"/>
  <c r="BT289" i="8"/>
  <c r="BL289" i="8"/>
  <c r="BP289" i="8"/>
  <c r="BR289" i="8"/>
  <c r="AJ286" i="8"/>
  <c r="BC286" i="8" s="1"/>
  <c r="AN398" i="8"/>
  <c r="BG398" i="8" s="1"/>
  <c r="AI334" i="8"/>
  <c r="AQ334" i="8"/>
  <c r="BJ334" i="8" s="1"/>
  <c r="BO503" i="8"/>
  <c r="BM503" i="8"/>
  <c r="BN503" i="8"/>
  <c r="BU503" i="8"/>
  <c r="BT503" i="8"/>
  <c r="BP503" i="8"/>
  <c r="BS503" i="8"/>
  <c r="BR503" i="8"/>
  <c r="BL503" i="8"/>
  <c r="BQ503" i="8"/>
  <c r="BN536" i="8"/>
  <c r="BO536" i="8"/>
  <c r="BP536" i="8"/>
  <c r="BQ536" i="8"/>
  <c r="BT536" i="8"/>
  <c r="BM536" i="8"/>
  <c r="BU536" i="8"/>
  <c r="BR536" i="8"/>
  <c r="BS536" i="8"/>
  <c r="BL536" i="8"/>
  <c r="AM191" i="8"/>
  <c r="BF191" i="8" s="1"/>
  <c r="AL191" i="8"/>
  <c r="BE191" i="8" s="1"/>
  <c r="AK191" i="8"/>
  <c r="BD191" i="8" s="1"/>
  <c r="AP191" i="8"/>
  <c r="BI191" i="8" s="1"/>
  <c r="AR191" i="8"/>
  <c r="BK191" i="8" s="1"/>
  <c r="AN191" i="8"/>
  <c r="BG191" i="8" s="1"/>
  <c r="AJ191" i="8"/>
  <c r="BC191" i="8" s="1"/>
  <c r="AQ191" i="8"/>
  <c r="BJ191" i="8" s="1"/>
  <c r="AI191" i="8"/>
  <c r="AO191" i="8"/>
  <c r="BH191" i="8" s="1"/>
  <c r="BN131" i="8"/>
  <c r="BO131" i="8"/>
  <c r="BR131" i="8"/>
  <c r="BU131" i="8"/>
  <c r="BM131" i="8"/>
  <c r="BL131" i="8"/>
  <c r="BP131" i="8"/>
  <c r="BS131" i="8"/>
  <c r="BT131" i="8"/>
  <c r="BQ131" i="8"/>
  <c r="AR763" i="8"/>
  <c r="BK763" i="8" s="1"/>
  <c r="AN763" i="8"/>
  <c r="BG763" i="8" s="1"/>
  <c r="AI763" i="8"/>
  <c r="AK763" i="8"/>
  <c r="BD763" i="8" s="1"/>
  <c r="AO763" i="8"/>
  <c r="BH763" i="8" s="1"/>
  <c r="AQ763" i="8"/>
  <c r="BJ763" i="8" s="1"/>
  <c r="AP763" i="8"/>
  <c r="BI763" i="8" s="1"/>
  <c r="AM763" i="8"/>
  <c r="BF763" i="8" s="1"/>
  <c r="AL763" i="8"/>
  <c r="BE763" i="8" s="1"/>
  <c r="AJ763" i="8"/>
  <c r="BC763" i="8" s="1"/>
  <c r="AK72" i="8"/>
  <c r="BD72" i="8" s="1"/>
  <c r="AJ72" i="8"/>
  <c r="BC72" i="8" s="1"/>
  <c r="AQ72" i="8"/>
  <c r="BJ72" i="8" s="1"/>
  <c r="AO72" i="8"/>
  <c r="BH72" i="8" s="1"/>
  <c r="AN72" i="8"/>
  <c r="BG72" i="8" s="1"/>
  <c r="AM72" i="8"/>
  <c r="BF72" i="8" s="1"/>
  <c r="AL72" i="8"/>
  <c r="BE72" i="8" s="1"/>
  <c r="AR72" i="8"/>
  <c r="BK72" i="8" s="1"/>
  <c r="AI72" i="8"/>
  <c r="AP72" i="8"/>
  <c r="BI72" i="8" s="1"/>
  <c r="AJ795" i="8"/>
  <c r="BC795" i="8" s="1"/>
  <c r="AM795" i="8"/>
  <c r="BF795" i="8" s="1"/>
  <c r="AO795" i="8"/>
  <c r="BH795" i="8" s="1"/>
  <c r="AN795" i="8"/>
  <c r="BG795" i="8" s="1"/>
  <c r="AL795" i="8"/>
  <c r="BE795" i="8" s="1"/>
  <c r="AP795" i="8"/>
  <c r="BI795" i="8" s="1"/>
  <c r="AK795" i="8"/>
  <c r="BD795" i="8" s="1"/>
  <c r="AR795" i="8"/>
  <c r="BK795" i="8" s="1"/>
  <c r="AI795" i="8"/>
  <c r="AQ795" i="8"/>
  <c r="BJ795" i="8" s="1"/>
  <c r="AN55" i="8"/>
  <c r="BG55" i="8" s="1"/>
  <c r="AL55" i="8"/>
  <c r="BE55" i="8" s="1"/>
  <c r="AM55" i="8"/>
  <c r="BF55" i="8" s="1"/>
  <c r="AK55" i="8"/>
  <c r="BD55" i="8" s="1"/>
  <c r="AO55" i="8"/>
  <c r="BH55" i="8" s="1"/>
  <c r="AJ55" i="8"/>
  <c r="BC55" i="8" s="1"/>
  <c r="AQ55" i="8"/>
  <c r="BJ55" i="8" s="1"/>
  <c r="AR55" i="8"/>
  <c r="BK55" i="8" s="1"/>
  <c r="AI55" i="8"/>
  <c r="AP55" i="8"/>
  <c r="BI55" i="8" s="1"/>
  <c r="BU543" i="8"/>
  <c r="BM543" i="8"/>
  <c r="BQ543" i="8"/>
  <c r="BP543" i="8"/>
  <c r="BO543" i="8"/>
  <c r="BN543" i="8"/>
  <c r="BT543" i="8"/>
  <c r="BL543" i="8"/>
  <c r="BS543" i="8"/>
  <c r="BR543" i="8"/>
  <c r="BS145" i="8"/>
  <c r="BP145" i="8"/>
  <c r="BN145" i="8"/>
  <c r="BO145" i="8"/>
  <c r="BR145" i="8"/>
  <c r="BM145" i="8"/>
  <c r="BU145" i="8"/>
  <c r="BT145" i="8"/>
  <c r="BL145" i="8"/>
  <c r="BQ145" i="8"/>
  <c r="BS114" i="8"/>
  <c r="BR114" i="8"/>
  <c r="BO114" i="8"/>
  <c r="BU114" i="8"/>
  <c r="BM114" i="8"/>
  <c r="BT114" i="8"/>
  <c r="BL114" i="8"/>
  <c r="BN114" i="8"/>
  <c r="BQ114" i="8"/>
  <c r="BP114" i="8"/>
  <c r="AK52" i="8"/>
  <c r="BD52" i="8" s="1"/>
  <c r="AM52" i="8"/>
  <c r="BF52" i="8" s="1"/>
  <c r="AL52" i="8"/>
  <c r="BE52" i="8" s="1"/>
  <c r="AR52" i="8"/>
  <c r="BK52" i="8" s="1"/>
  <c r="AJ52" i="8"/>
  <c r="BC52" i="8" s="1"/>
  <c r="AQ52" i="8"/>
  <c r="BJ52" i="8" s="1"/>
  <c r="AP52" i="8"/>
  <c r="BI52" i="8" s="1"/>
  <c r="AI52" i="8"/>
  <c r="AO52" i="8"/>
  <c r="BH52" i="8" s="1"/>
  <c r="AN52" i="8"/>
  <c r="BG52" i="8" s="1"/>
  <c r="AQ96" i="8"/>
  <c r="BJ96" i="8" s="1"/>
  <c r="AO96" i="8"/>
  <c r="BH96" i="8" s="1"/>
  <c r="AM96" i="8"/>
  <c r="BF96" i="8" s="1"/>
  <c r="AK96" i="8"/>
  <c r="BD96" i="8" s="1"/>
  <c r="AR96" i="8"/>
  <c r="BK96" i="8" s="1"/>
  <c r="AI96" i="8"/>
  <c r="AJ96" i="8"/>
  <c r="BC96" i="8" s="1"/>
  <c r="AN96" i="8"/>
  <c r="BG96" i="8" s="1"/>
  <c r="AP96" i="8"/>
  <c r="BI96" i="8" s="1"/>
  <c r="AL96" i="8"/>
  <c r="BE96" i="8" s="1"/>
  <c r="AQ17" i="8"/>
  <c r="BJ17" i="8" s="1"/>
  <c r="AI17" i="8"/>
  <c r="AP17" i="8"/>
  <c r="BI17" i="8" s="1"/>
  <c r="AN17" i="8"/>
  <c r="BG17" i="8" s="1"/>
  <c r="AM17" i="8"/>
  <c r="BF17" i="8" s="1"/>
  <c r="AR17" i="8"/>
  <c r="BK17" i="8" s="1"/>
  <c r="AK17" i="8"/>
  <c r="BD17" i="8" s="1"/>
  <c r="AL17" i="8"/>
  <c r="BE17" i="8" s="1"/>
  <c r="AJ17" i="8"/>
  <c r="BC17" i="8" s="1"/>
  <c r="AO17" i="8"/>
  <c r="BH17" i="8" s="1"/>
  <c r="AK71" i="8"/>
  <c r="BD71" i="8" s="1"/>
  <c r="AO71" i="8"/>
  <c r="BH71" i="8" s="1"/>
  <c r="AR71" i="8"/>
  <c r="BK71" i="8" s="1"/>
  <c r="AJ71" i="8"/>
  <c r="BC71" i="8" s="1"/>
  <c r="AI71" i="8"/>
  <c r="AP71" i="8"/>
  <c r="BI71" i="8" s="1"/>
  <c r="AQ71" i="8"/>
  <c r="BJ71" i="8" s="1"/>
  <c r="AN71" i="8"/>
  <c r="BG71" i="8" s="1"/>
  <c r="AM71" i="8"/>
  <c r="BF71" i="8" s="1"/>
  <c r="AL71" i="8"/>
  <c r="BE71" i="8" s="1"/>
  <c r="AO809" i="8"/>
  <c r="BH809" i="8" s="1"/>
  <c r="AN809" i="8"/>
  <c r="BG809" i="8" s="1"/>
  <c r="AM809" i="8"/>
  <c r="BF809" i="8" s="1"/>
  <c r="AL809" i="8"/>
  <c r="BE809" i="8" s="1"/>
  <c r="AI809" i="8"/>
  <c r="AK809" i="8"/>
  <c r="BD809" i="8" s="1"/>
  <c r="AQ809" i="8"/>
  <c r="BJ809" i="8" s="1"/>
  <c r="AR809" i="8"/>
  <c r="BK809" i="8" s="1"/>
  <c r="AJ809" i="8"/>
  <c r="BC809" i="8" s="1"/>
  <c r="AP809" i="8"/>
  <c r="BI809" i="8" s="1"/>
  <c r="BR538" i="8"/>
  <c r="BU538" i="8"/>
  <c r="BN538" i="8"/>
  <c r="BS538" i="8"/>
  <c r="BO538" i="8"/>
  <c r="BL538" i="8"/>
  <c r="BT538" i="8"/>
  <c r="BM538" i="8"/>
  <c r="BQ538" i="8"/>
  <c r="BP538" i="8"/>
  <c r="BO170" i="8"/>
  <c r="BS170" i="8"/>
  <c r="BP170" i="8"/>
  <c r="BN170" i="8"/>
  <c r="BR170" i="8"/>
  <c r="BU170" i="8"/>
  <c r="BM170" i="8"/>
  <c r="BT170" i="8"/>
  <c r="BQ170" i="8"/>
  <c r="BL170" i="8"/>
  <c r="BO169" i="8"/>
  <c r="BU169" i="8"/>
  <c r="BT169" i="8"/>
  <c r="BS169" i="8"/>
  <c r="BR169" i="8"/>
  <c r="BN169" i="8"/>
  <c r="BM169" i="8"/>
  <c r="BL169" i="8"/>
  <c r="BQ169" i="8"/>
  <c r="BP169" i="8"/>
  <c r="BT144" i="8"/>
  <c r="BL144" i="8"/>
  <c r="BN144" i="8"/>
  <c r="BS144" i="8"/>
  <c r="BQ144" i="8"/>
  <c r="BP144" i="8"/>
  <c r="BU144" i="8"/>
  <c r="BM144" i="8"/>
  <c r="BO144" i="8"/>
  <c r="BR144" i="8"/>
  <c r="AQ91" i="8"/>
  <c r="BJ91" i="8" s="1"/>
  <c r="AI91" i="8"/>
  <c r="AO91" i="8"/>
  <c r="BH91" i="8" s="1"/>
  <c r="AL91" i="8"/>
  <c r="BE91" i="8" s="1"/>
  <c r="AM91" i="8"/>
  <c r="BF91" i="8" s="1"/>
  <c r="AP91" i="8"/>
  <c r="BI91" i="8" s="1"/>
  <c r="AJ91" i="8"/>
  <c r="BC91" i="8" s="1"/>
  <c r="AK91" i="8"/>
  <c r="BD91" i="8" s="1"/>
  <c r="AN91" i="8"/>
  <c r="BG91" i="8" s="1"/>
  <c r="AR91" i="8"/>
  <c r="BK91" i="8" s="1"/>
  <c r="AM29" i="8"/>
  <c r="BF29" i="8" s="1"/>
  <c r="AL29" i="8"/>
  <c r="BE29" i="8" s="1"/>
  <c r="AK29" i="8"/>
  <c r="BD29" i="8" s="1"/>
  <c r="AR29" i="8"/>
  <c r="BK29" i="8" s="1"/>
  <c r="AO29" i="8"/>
  <c r="BH29" i="8" s="1"/>
  <c r="AJ29" i="8"/>
  <c r="BC29" i="8" s="1"/>
  <c r="AQ29" i="8"/>
  <c r="BJ29" i="8" s="1"/>
  <c r="AI29" i="8"/>
  <c r="AP29" i="8"/>
  <c r="BI29" i="8" s="1"/>
  <c r="AN29" i="8"/>
  <c r="BG29" i="8" s="1"/>
  <c r="AO12" i="8"/>
  <c r="BH12" i="8" s="1"/>
  <c r="AN12" i="8"/>
  <c r="BG12" i="8" s="1"/>
  <c r="AK12" i="8"/>
  <c r="BD12" i="8" s="1"/>
  <c r="AL12" i="8"/>
  <c r="BE12" i="8" s="1"/>
  <c r="AR12" i="8"/>
  <c r="BK12" i="8" s="1"/>
  <c r="AP12" i="8"/>
  <c r="BI12" i="8" s="1"/>
  <c r="AM12" i="8"/>
  <c r="BF12" i="8" s="1"/>
  <c r="AJ12" i="8"/>
  <c r="BC12" i="8" s="1"/>
  <c r="AQ12" i="8"/>
  <c r="BJ12" i="8" s="1"/>
  <c r="AI12" i="8"/>
  <c r="BN91" i="8"/>
  <c r="BU91" i="8"/>
  <c r="BS91" i="8"/>
  <c r="BT91" i="8"/>
  <c r="BM91" i="8"/>
  <c r="BL91" i="8"/>
  <c r="BP91" i="8"/>
  <c r="BR91" i="8"/>
  <c r="BO91" i="8"/>
  <c r="BQ91" i="8"/>
  <c r="BQ60" i="8"/>
  <c r="BU60" i="8"/>
  <c r="BM60" i="8"/>
  <c r="BL60" i="8"/>
  <c r="BT60" i="8"/>
  <c r="BS60" i="8"/>
  <c r="BR60" i="8"/>
  <c r="BP60" i="8"/>
  <c r="BO60" i="8"/>
  <c r="BN60" i="8"/>
  <c r="AI69" i="8"/>
  <c r="AP69" i="8"/>
  <c r="BI69" i="8" s="1"/>
  <c r="AN69" i="8"/>
  <c r="BG69" i="8" s="1"/>
  <c r="AL69" i="8"/>
  <c r="BE69" i="8" s="1"/>
  <c r="AM69" i="8"/>
  <c r="BF69" i="8" s="1"/>
  <c r="AK69" i="8"/>
  <c r="BD69" i="8" s="1"/>
  <c r="AO69" i="8"/>
  <c r="BH69" i="8" s="1"/>
  <c r="AJ69" i="8"/>
  <c r="BC69" i="8" s="1"/>
  <c r="AQ69" i="8"/>
  <c r="BJ69" i="8" s="1"/>
  <c r="AR69" i="8"/>
  <c r="BK69" i="8" s="1"/>
  <c r="BN255" i="8"/>
  <c r="BU255" i="8"/>
  <c r="BM255" i="8"/>
  <c r="BS255" i="8"/>
  <c r="BT255" i="8"/>
  <c r="BR255" i="8"/>
  <c r="BL255" i="8"/>
  <c r="BP255" i="8"/>
  <c r="BO255" i="8"/>
  <c r="BQ255" i="8"/>
  <c r="BB819" i="8"/>
  <c r="AQ737" i="8"/>
  <c r="BJ737" i="8" s="1"/>
  <c r="AR825" i="8"/>
  <c r="BK825" i="8" s="1"/>
  <c r="AP825" i="8"/>
  <c r="BI825" i="8" s="1"/>
  <c r="AJ825" i="8"/>
  <c r="BC825" i="8" s="1"/>
  <c r="AQ825" i="8"/>
  <c r="BJ825" i="8" s="1"/>
  <c r="AI825" i="8"/>
  <c r="AO825" i="8"/>
  <c r="BH825" i="8" s="1"/>
  <c r="AN825" i="8"/>
  <c r="BG825" i="8" s="1"/>
  <c r="AM825" i="8"/>
  <c r="BF825" i="8" s="1"/>
  <c r="AL825" i="8"/>
  <c r="BE825" i="8" s="1"/>
  <c r="AK825" i="8"/>
  <c r="BD825" i="8" s="1"/>
  <c r="BU130" i="8"/>
  <c r="BM130" i="8"/>
  <c r="BT130" i="8"/>
  <c r="BL130" i="8"/>
  <c r="BR130" i="8"/>
  <c r="BS130" i="8"/>
  <c r="BO130" i="8"/>
  <c r="BN130" i="8"/>
  <c r="BQ130" i="8"/>
  <c r="BP130" i="8"/>
  <c r="AP153" i="8"/>
  <c r="BI153" i="8" s="1"/>
  <c r="AM153" i="8"/>
  <c r="BF153" i="8" s="1"/>
  <c r="AN153" i="8"/>
  <c r="BG153" i="8" s="1"/>
  <c r="AK153" i="8"/>
  <c r="BD153" i="8" s="1"/>
  <c r="AR153" i="8"/>
  <c r="BK153" i="8" s="1"/>
  <c r="AQ153" i="8"/>
  <c r="BJ153" i="8" s="1"/>
  <c r="AI153" i="8"/>
  <c r="AO153" i="8"/>
  <c r="BH153" i="8" s="1"/>
  <c r="AJ153" i="8"/>
  <c r="BC153" i="8" s="1"/>
  <c r="AL153" i="8"/>
  <c r="BE153" i="8" s="1"/>
  <c r="BN288" i="8"/>
  <c r="BT288" i="8"/>
  <c r="BR288" i="8"/>
  <c r="BQ288" i="8"/>
  <c r="BU288" i="8"/>
  <c r="BP288" i="8"/>
  <c r="BO288" i="8"/>
  <c r="BL288" i="8"/>
  <c r="BM288" i="8"/>
  <c r="BS288" i="8"/>
  <c r="AN437" i="8"/>
  <c r="BG437" i="8" s="1"/>
  <c r="AR437" i="8"/>
  <c r="BK437" i="8" s="1"/>
  <c r="AQ820" i="8"/>
  <c r="BJ820" i="8" s="1"/>
  <c r="AJ820" i="8"/>
  <c r="BC820" i="8" s="1"/>
  <c r="AL820" i="8"/>
  <c r="BE820" i="8" s="1"/>
  <c r="AP820" i="8"/>
  <c r="BI820" i="8" s="1"/>
  <c r="AR820" i="8"/>
  <c r="BK820" i="8" s="1"/>
  <c r="AO820" i="8"/>
  <c r="BH820" i="8" s="1"/>
  <c r="AI820" i="8"/>
  <c r="AM820" i="8"/>
  <c r="BF820" i="8" s="1"/>
  <c r="AN820" i="8"/>
  <c r="BG820" i="8" s="1"/>
  <c r="AK820" i="8"/>
  <c r="BD820" i="8" s="1"/>
  <c r="AJ83" i="8"/>
  <c r="BC83" i="8" s="1"/>
  <c r="AQ83" i="8"/>
  <c r="BJ83" i="8" s="1"/>
  <c r="AI83" i="8"/>
  <c r="AM83" i="8"/>
  <c r="BF83" i="8" s="1"/>
  <c r="AP83" i="8"/>
  <c r="BI83" i="8" s="1"/>
  <c r="AN83" i="8"/>
  <c r="BG83" i="8" s="1"/>
  <c r="AL83" i="8"/>
  <c r="BE83" i="8" s="1"/>
  <c r="AK83" i="8"/>
  <c r="BD83" i="8" s="1"/>
  <c r="AO83" i="8"/>
  <c r="BH83" i="8" s="1"/>
  <c r="AR83" i="8"/>
  <c r="BK83" i="8" s="1"/>
  <c r="BR557" i="8"/>
  <c r="BQ557" i="8"/>
  <c r="BP557" i="8"/>
  <c r="BO557" i="8"/>
  <c r="BN557" i="8"/>
  <c r="BU557" i="8"/>
  <c r="BT557" i="8"/>
  <c r="BM557" i="8"/>
  <c r="BL557" i="8"/>
  <c r="BS557" i="8"/>
  <c r="AL164" i="8"/>
  <c r="BE164" i="8" s="1"/>
  <c r="AJ164" i="8"/>
  <c r="BC164" i="8" s="1"/>
  <c r="AI164" i="8"/>
  <c r="AM164" i="8"/>
  <c r="BF164" i="8" s="1"/>
  <c r="AK164" i="8"/>
  <c r="BD164" i="8" s="1"/>
  <c r="AP164" i="8"/>
  <c r="BI164" i="8" s="1"/>
  <c r="AO164" i="8"/>
  <c r="BH164" i="8" s="1"/>
  <c r="AN164" i="8"/>
  <c r="BG164" i="8" s="1"/>
  <c r="AR164" i="8"/>
  <c r="BK164" i="8" s="1"/>
  <c r="AQ164" i="8"/>
  <c r="BJ164" i="8" s="1"/>
  <c r="AQ163" i="8"/>
  <c r="BJ163" i="8" s="1"/>
  <c r="AO163" i="8"/>
  <c r="BH163" i="8" s="1"/>
  <c r="AN163" i="8"/>
  <c r="BG163" i="8" s="1"/>
  <c r="AM163" i="8"/>
  <c r="BF163" i="8" s="1"/>
  <c r="AK163" i="8"/>
  <c r="BD163" i="8" s="1"/>
  <c r="AL163" i="8"/>
  <c r="BE163" i="8" s="1"/>
  <c r="AR163" i="8"/>
  <c r="BK163" i="8" s="1"/>
  <c r="AP163" i="8"/>
  <c r="BI163" i="8" s="1"/>
  <c r="AJ163" i="8"/>
  <c r="BC163" i="8" s="1"/>
  <c r="AI163" i="8"/>
  <c r="AK68" i="8"/>
  <c r="BD68" i="8" s="1"/>
  <c r="AQ68" i="8"/>
  <c r="BJ68" i="8" s="1"/>
  <c r="AP68" i="8"/>
  <c r="BI68" i="8" s="1"/>
  <c r="AI68" i="8"/>
  <c r="AN68" i="8"/>
  <c r="BG68" i="8" s="1"/>
  <c r="AO68" i="8"/>
  <c r="BH68" i="8" s="1"/>
  <c r="AM68" i="8"/>
  <c r="BF68" i="8" s="1"/>
  <c r="AL68" i="8"/>
  <c r="BE68" i="8" s="1"/>
  <c r="AR68" i="8"/>
  <c r="BK68" i="8" s="1"/>
  <c r="AJ68" i="8"/>
  <c r="BC68" i="8" s="1"/>
  <c r="AR796" i="8"/>
  <c r="BK796" i="8" s="1"/>
  <c r="AN796" i="8"/>
  <c r="BG796" i="8" s="1"/>
  <c r="AM796" i="8"/>
  <c r="BF796" i="8" s="1"/>
  <c r="AJ796" i="8"/>
  <c r="BC796" i="8" s="1"/>
  <c r="AI796" i="8"/>
  <c r="AL796" i="8"/>
  <c r="BE796" i="8" s="1"/>
  <c r="AK796" i="8"/>
  <c r="BD796" i="8" s="1"/>
  <c r="AP796" i="8"/>
  <c r="BI796" i="8" s="1"/>
  <c r="AO796" i="8"/>
  <c r="BH796" i="8" s="1"/>
  <c r="AQ796" i="8"/>
  <c r="BJ796" i="8" s="1"/>
  <c r="AO3" i="8"/>
  <c r="BH3" i="8" s="1"/>
  <c r="AI3" i="8"/>
  <c r="AN3" i="8"/>
  <c r="BG3" i="8" s="1"/>
  <c r="AL3" i="8"/>
  <c r="BE3" i="8" s="1"/>
  <c r="AR3" i="8"/>
  <c r="BK3" i="8" s="1"/>
  <c r="AJ3" i="8"/>
  <c r="BC3" i="8" s="1"/>
  <c r="AP3" i="8"/>
  <c r="BI3" i="8" s="1"/>
  <c r="AM3" i="8"/>
  <c r="BF3" i="8" s="1"/>
  <c r="AK3" i="8"/>
  <c r="BD3" i="8" s="1"/>
  <c r="AQ3" i="8"/>
  <c r="BJ3" i="8" s="1"/>
  <c r="BT72" i="8"/>
  <c r="BS72" i="8"/>
  <c r="BP72" i="8"/>
  <c r="BN72" i="8"/>
  <c r="BO72" i="8"/>
  <c r="BU72" i="8"/>
  <c r="BM72" i="8"/>
  <c r="BL72" i="8"/>
  <c r="BQ72" i="8"/>
  <c r="BR72" i="8"/>
  <c r="AP385" i="8"/>
  <c r="BI385" i="8" s="1"/>
  <c r="AQ385" i="8"/>
  <c r="BJ385" i="8" s="1"/>
  <c r="AI385" i="8"/>
  <c r="AL385" i="8"/>
  <c r="BE385" i="8" s="1"/>
  <c r="AJ628" i="8"/>
  <c r="BC628" i="8" s="1"/>
  <c r="AR660" i="8"/>
  <c r="BK660" i="8" s="1"/>
  <c r="BB57" i="8"/>
  <c r="AS57" i="8"/>
  <c r="AS784" i="8"/>
  <c r="BB784" i="8"/>
  <c r="AH182" i="8"/>
  <c r="AH162" i="8"/>
  <c r="AH152" i="8"/>
  <c r="AH100" i="8"/>
  <c r="AH14" i="8"/>
  <c r="AH139" i="8"/>
  <c r="AH172" i="8"/>
  <c r="AH74" i="8"/>
  <c r="AH202" i="8"/>
  <c r="AH192" i="8"/>
  <c r="AH2" i="8"/>
  <c r="AH38" i="8"/>
  <c r="AH50" i="8"/>
  <c r="AH113" i="8"/>
  <c r="AH126" i="8"/>
  <c r="AH62" i="8"/>
  <c r="AH26" i="8"/>
  <c r="AH87" i="8"/>
  <c r="BR523" i="8"/>
  <c r="BS523" i="8"/>
  <c r="BN523" i="8"/>
  <c r="BL523" i="8"/>
  <c r="BM523" i="8"/>
  <c r="BT523" i="8"/>
  <c r="BU523" i="8"/>
  <c r="BO523" i="8"/>
  <c r="BP523" i="8"/>
  <c r="BQ523" i="8"/>
  <c r="BU140" i="8"/>
  <c r="BM140" i="8"/>
  <c r="BT140" i="8"/>
  <c r="BL140" i="8"/>
  <c r="BO140" i="8"/>
  <c r="BR140" i="8"/>
  <c r="BS140" i="8"/>
  <c r="BQ140" i="8"/>
  <c r="BP140" i="8"/>
  <c r="BN140" i="8"/>
  <c r="BQ56" i="8"/>
  <c r="BM56" i="8"/>
  <c r="BT56" i="8"/>
  <c r="BL56" i="8"/>
  <c r="BS56" i="8"/>
  <c r="BN56" i="8"/>
  <c r="BU56" i="8"/>
  <c r="BR56" i="8"/>
  <c r="BP56" i="8"/>
  <c r="BO56" i="8"/>
  <c r="AL49" i="8"/>
  <c r="BE49" i="8" s="1"/>
  <c r="AM49" i="8"/>
  <c r="BF49" i="8" s="1"/>
  <c r="AK49" i="8"/>
  <c r="BD49" i="8" s="1"/>
  <c r="AO49" i="8"/>
  <c r="BH49" i="8" s="1"/>
  <c r="AR49" i="8"/>
  <c r="BK49" i="8" s="1"/>
  <c r="AJ49" i="8"/>
  <c r="BC49" i="8" s="1"/>
  <c r="AQ49" i="8"/>
  <c r="BJ49" i="8" s="1"/>
  <c r="AI49" i="8"/>
  <c r="AP49" i="8"/>
  <c r="BI49" i="8" s="1"/>
  <c r="AN49" i="8"/>
  <c r="BG49" i="8" s="1"/>
  <c r="AN384" i="8"/>
  <c r="BG384" i="8" s="1"/>
  <c r="AL751" i="8"/>
  <c r="BE751" i="8" s="1"/>
  <c r="BN107" i="8"/>
  <c r="BU107" i="8"/>
  <c r="BS107" i="8"/>
  <c r="BT107" i="8"/>
  <c r="BM107" i="8"/>
  <c r="BL107" i="8"/>
  <c r="BP107" i="8"/>
  <c r="BR107" i="8"/>
  <c r="BO107" i="8"/>
  <c r="BQ107" i="8"/>
  <c r="AL16" i="8"/>
  <c r="BE16" i="8" s="1"/>
  <c r="AR16" i="8"/>
  <c r="BK16" i="8" s="1"/>
  <c r="AJ16" i="8"/>
  <c r="BC16" i="8" s="1"/>
  <c r="AI16" i="8"/>
  <c r="AP16" i="8"/>
  <c r="BI16" i="8" s="1"/>
  <c r="AQ16" i="8"/>
  <c r="BJ16" i="8" s="1"/>
  <c r="AN16" i="8"/>
  <c r="BG16" i="8" s="1"/>
  <c r="AM16" i="8"/>
  <c r="BF16" i="8" s="1"/>
  <c r="AO16" i="8"/>
  <c r="BH16" i="8" s="1"/>
  <c r="AK16" i="8"/>
  <c r="BD16" i="8" s="1"/>
  <c r="BT43" i="8"/>
  <c r="BL43" i="8"/>
  <c r="BS43" i="8"/>
  <c r="BR43" i="8"/>
  <c r="BM43" i="8"/>
  <c r="BQ43" i="8"/>
  <c r="BU43" i="8"/>
  <c r="BO43" i="8"/>
  <c r="BN43" i="8"/>
  <c r="BP43" i="8"/>
  <c r="AL813" i="8"/>
  <c r="BE813" i="8" s="1"/>
  <c r="AM813" i="8"/>
  <c r="BF813" i="8" s="1"/>
  <c r="AK813" i="8"/>
  <c r="BD813" i="8" s="1"/>
  <c r="AR813" i="8"/>
  <c r="BK813" i="8" s="1"/>
  <c r="AI813" i="8"/>
  <c r="AJ813" i="8"/>
  <c r="BC813" i="8" s="1"/>
  <c r="AN813" i="8"/>
  <c r="BG813" i="8" s="1"/>
  <c r="AQ813" i="8"/>
  <c r="BJ813" i="8" s="1"/>
  <c r="AP813" i="8"/>
  <c r="BI813" i="8" s="1"/>
  <c r="AO813" i="8"/>
  <c r="BH813" i="8" s="1"/>
  <c r="BU7" i="8"/>
  <c r="BR7" i="8"/>
  <c r="BS7" i="8"/>
  <c r="BM7" i="8"/>
  <c r="BQ7" i="8"/>
  <c r="BP7" i="8"/>
  <c r="BO7" i="8"/>
  <c r="BN7" i="8"/>
  <c r="BT7" i="8"/>
  <c r="BL7" i="8"/>
  <c r="AL170" i="8"/>
  <c r="BE170" i="8" s="1"/>
  <c r="AQ170" i="8"/>
  <c r="BJ170" i="8" s="1"/>
  <c r="AP170" i="8"/>
  <c r="BI170" i="8" s="1"/>
  <c r="AJ170" i="8"/>
  <c r="BC170" i="8" s="1"/>
  <c r="AM170" i="8"/>
  <c r="BF170" i="8" s="1"/>
  <c r="AI170" i="8"/>
  <c r="AR170" i="8"/>
  <c r="BK170" i="8" s="1"/>
  <c r="AK170" i="8"/>
  <c r="BD170" i="8" s="1"/>
  <c r="AO170" i="8"/>
  <c r="BH170" i="8" s="1"/>
  <c r="AN170" i="8"/>
  <c r="BG170" i="8" s="1"/>
  <c r="AK196" i="8"/>
  <c r="BD196" i="8" s="1"/>
  <c r="AQ196" i="8"/>
  <c r="BJ196" i="8" s="1"/>
  <c r="AI196" i="8"/>
  <c r="AP196" i="8"/>
  <c r="BI196" i="8" s="1"/>
  <c r="AN196" i="8"/>
  <c r="BG196" i="8" s="1"/>
  <c r="AJ196" i="8"/>
  <c r="BC196" i="8" s="1"/>
  <c r="AO196" i="8"/>
  <c r="BH196" i="8" s="1"/>
  <c r="AM196" i="8"/>
  <c r="BF196" i="8" s="1"/>
  <c r="AL196" i="8"/>
  <c r="BE196" i="8" s="1"/>
  <c r="AR196" i="8"/>
  <c r="BK196" i="8" s="1"/>
  <c r="AK814" i="8"/>
  <c r="BD814" i="8" s="1"/>
  <c r="AM814" i="8"/>
  <c r="BF814" i="8" s="1"/>
  <c r="AQ814" i="8"/>
  <c r="BJ814" i="8" s="1"/>
  <c r="AJ814" i="8"/>
  <c r="BC814" i="8" s="1"/>
  <c r="AR814" i="8"/>
  <c r="BK814" i="8" s="1"/>
  <c r="AI814" i="8"/>
  <c r="AP814" i="8"/>
  <c r="BI814" i="8" s="1"/>
  <c r="AO814" i="8"/>
  <c r="BH814" i="8" s="1"/>
  <c r="AN814" i="8"/>
  <c r="BG814" i="8" s="1"/>
  <c r="AL814" i="8"/>
  <c r="BE814" i="8" s="1"/>
  <c r="AR35" i="8"/>
  <c r="BK35" i="8" s="1"/>
  <c r="AK35" i="8"/>
  <c r="BD35" i="8" s="1"/>
  <c r="AJ35" i="8"/>
  <c r="BC35" i="8" s="1"/>
  <c r="AQ35" i="8"/>
  <c r="BJ35" i="8" s="1"/>
  <c r="AI35" i="8"/>
  <c r="AP35" i="8"/>
  <c r="BI35" i="8" s="1"/>
  <c r="AM35" i="8"/>
  <c r="BF35" i="8" s="1"/>
  <c r="AL35" i="8"/>
  <c r="BE35" i="8" s="1"/>
  <c r="AO35" i="8"/>
  <c r="BH35" i="8" s="1"/>
  <c r="AN35" i="8"/>
  <c r="BG35" i="8" s="1"/>
  <c r="BT259" i="8"/>
  <c r="BU259" i="8"/>
  <c r="BL259" i="8"/>
  <c r="BM259" i="8"/>
  <c r="BS259" i="8"/>
  <c r="BR259" i="8"/>
  <c r="BQ259" i="8"/>
  <c r="BO259" i="8"/>
  <c r="BN259" i="8"/>
  <c r="BP259" i="8"/>
  <c r="AL119" i="8"/>
  <c r="BE119" i="8" s="1"/>
  <c r="AN119" i="8"/>
  <c r="BG119" i="8" s="1"/>
  <c r="AK119" i="8"/>
  <c r="BD119" i="8" s="1"/>
  <c r="AR119" i="8"/>
  <c r="BK119" i="8" s="1"/>
  <c r="AI119" i="8"/>
  <c r="AJ119" i="8"/>
  <c r="BC119" i="8" s="1"/>
  <c r="AP119" i="8"/>
  <c r="BI119" i="8" s="1"/>
  <c r="AM119" i="8"/>
  <c r="BF119" i="8" s="1"/>
  <c r="AO119" i="8"/>
  <c r="BH119" i="8" s="1"/>
  <c r="AQ119" i="8"/>
  <c r="BJ119" i="8" s="1"/>
  <c r="BN253" i="8"/>
  <c r="BP253" i="8"/>
  <c r="BU253" i="8"/>
  <c r="BO253" i="8"/>
  <c r="BM253" i="8"/>
  <c r="BT253" i="8"/>
  <c r="BL253" i="8"/>
  <c r="BS253" i="8"/>
  <c r="BR253" i="8"/>
  <c r="BQ253" i="8"/>
  <c r="AP46" i="8"/>
  <c r="BI46" i="8" s="1"/>
  <c r="AI46" i="8"/>
  <c r="AK46" i="8"/>
  <c r="BD46" i="8" s="1"/>
  <c r="AJ46" i="8"/>
  <c r="BC46" i="8" s="1"/>
  <c r="AQ46" i="8"/>
  <c r="BJ46" i="8" s="1"/>
  <c r="AO46" i="8"/>
  <c r="BH46" i="8" s="1"/>
  <c r="AN46" i="8"/>
  <c r="BG46" i="8" s="1"/>
  <c r="AM46" i="8"/>
  <c r="BF46" i="8" s="1"/>
  <c r="AL46" i="8"/>
  <c r="BE46" i="8" s="1"/>
  <c r="AR46" i="8"/>
  <c r="BK46" i="8" s="1"/>
  <c r="AQ70" i="8"/>
  <c r="BJ70" i="8" s="1"/>
  <c r="AO70" i="8"/>
  <c r="BH70" i="8" s="1"/>
  <c r="AN70" i="8"/>
  <c r="BG70" i="8" s="1"/>
  <c r="AM70" i="8"/>
  <c r="BF70" i="8" s="1"/>
  <c r="AK70" i="8"/>
  <c r="BD70" i="8" s="1"/>
  <c r="AL70" i="8"/>
  <c r="BE70" i="8" s="1"/>
  <c r="AR70" i="8"/>
  <c r="BK70" i="8" s="1"/>
  <c r="AJ70" i="8"/>
  <c r="BC70" i="8" s="1"/>
  <c r="AI70" i="8"/>
  <c r="AP70" i="8"/>
  <c r="BI70" i="8" s="1"/>
  <c r="AN109" i="8"/>
  <c r="BG109" i="8" s="1"/>
  <c r="AQ109" i="8"/>
  <c r="BJ109" i="8" s="1"/>
  <c r="AO109" i="8"/>
  <c r="BH109" i="8" s="1"/>
  <c r="AM109" i="8"/>
  <c r="BF109" i="8" s="1"/>
  <c r="AL109" i="8"/>
  <c r="BE109" i="8" s="1"/>
  <c r="AK109" i="8"/>
  <c r="BD109" i="8" s="1"/>
  <c r="AI109" i="8"/>
  <c r="AR109" i="8"/>
  <c r="BK109" i="8" s="1"/>
  <c r="AJ109" i="8"/>
  <c r="BC109" i="8" s="1"/>
  <c r="AP109" i="8"/>
  <c r="BI109" i="8" s="1"/>
  <c r="BU275" i="8"/>
  <c r="BQ275" i="8"/>
  <c r="BT275" i="8"/>
  <c r="BP275" i="8"/>
  <c r="BS275" i="8"/>
  <c r="BO275" i="8"/>
  <c r="BR275" i="8"/>
  <c r="BM275" i="8"/>
  <c r="BL275" i="8"/>
  <c r="BN275" i="8"/>
  <c r="AQ811" i="8"/>
  <c r="BJ811" i="8" s="1"/>
  <c r="AO811" i="8"/>
  <c r="BH811" i="8" s="1"/>
  <c r="AI811" i="8"/>
  <c r="AP811" i="8"/>
  <c r="BI811" i="8" s="1"/>
  <c r="AK811" i="8"/>
  <c r="BD811" i="8" s="1"/>
  <c r="AR811" i="8"/>
  <c r="BK811" i="8" s="1"/>
  <c r="AN811" i="8"/>
  <c r="BG811" i="8" s="1"/>
  <c r="AJ811" i="8"/>
  <c r="BC811" i="8" s="1"/>
  <c r="AM811" i="8"/>
  <c r="BF811" i="8" s="1"/>
  <c r="AL811" i="8"/>
  <c r="BE811" i="8" s="1"/>
  <c r="AM589" i="8"/>
  <c r="BF589" i="8" s="1"/>
  <c r="AQ95" i="8"/>
  <c r="BJ95" i="8" s="1"/>
  <c r="AO95" i="8"/>
  <c r="BH95" i="8" s="1"/>
  <c r="AL95" i="8"/>
  <c r="BE95" i="8" s="1"/>
  <c r="AI95" i="8"/>
  <c r="AP95" i="8"/>
  <c r="BI95" i="8" s="1"/>
  <c r="AM95" i="8"/>
  <c r="BF95" i="8" s="1"/>
  <c r="AN95" i="8"/>
  <c r="BG95" i="8" s="1"/>
  <c r="AR95" i="8"/>
  <c r="BK95" i="8" s="1"/>
  <c r="AJ95" i="8"/>
  <c r="BC95" i="8" s="1"/>
  <c r="AK95" i="8"/>
  <c r="BD95" i="8" s="1"/>
  <c r="BQ30" i="8"/>
  <c r="BT30" i="8"/>
  <c r="BM30" i="8"/>
  <c r="BS30" i="8"/>
  <c r="BR30" i="8"/>
  <c r="BU30" i="8"/>
  <c r="BN30" i="8"/>
  <c r="BP30" i="8"/>
  <c r="BO30" i="8"/>
  <c r="BL30" i="8"/>
  <c r="BN32" i="8"/>
  <c r="BU32" i="8"/>
  <c r="BP32" i="8"/>
  <c r="BS32" i="8"/>
  <c r="BR32" i="8"/>
  <c r="BO32" i="8"/>
  <c r="BM32" i="8"/>
  <c r="BQ32" i="8"/>
  <c r="BT32" i="8"/>
  <c r="BL32" i="8"/>
  <c r="AR10" i="8"/>
  <c r="BK10" i="8" s="1"/>
  <c r="AJ10" i="8"/>
  <c r="BC10" i="8" s="1"/>
  <c r="AO10" i="8"/>
  <c r="BH10" i="8" s="1"/>
  <c r="AP10" i="8"/>
  <c r="BI10" i="8" s="1"/>
  <c r="AK10" i="8"/>
  <c r="BD10" i="8" s="1"/>
  <c r="AN10" i="8"/>
  <c r="BG10" i="8" s="1"/>
  <c r="AI10" i="8"/>
  <c r="AL10" i="8"/>
  <c r="BE10" i="8" s="1"/>
  <c r="AQ10" i="8"/>
  <c r="BJ10" i="8" s="1"/>
  <c r="AM10" i="8"/>
  <c r="BF10" i="8" s="1"/>
  <c r="AO190" i="8"/>
  <c r="BH190" i="8" s="1"/>
  <c r="AL190" i="8"/>
  <c r="BE190" i="8" s="1"/>
  <c r="AN190" i="8"/>
  <c r="BG190" i="8" s="1"/>
  <c r="AJ190" i="8"/>
  <c r="BC190" i="8" s="1"/>
  <c r="AM190" i="8"/>
  <c r="BF190" i="8" s="1"/>
  <c r="AQ190" i="8"/>
  <c r="BJ190" i="8" s="1"/>
  <c r="AI190" i="8"/>
  <c r="AP190" i="8"/>
  <c r="BI190" i="8" s="1"/>
  <c r="AR190" i="8"/>
  <c r="BK190" i="8" s="1"/>
  <c r="AK190" i="8"/>
  <c r="BD190" i="8" s="1"/>
  <c r="AR810" i="8"/>
  <c r="BK810" i="8" s="1"/>
  <c r="AJ810" i="8"/>
  <c r="BC810" i="8" s="1"/>
  <c r="AM810" i="8"/>
  <c r="BF810" i="8" s="1"/>
  <c r="AK810" i="8"/>
  <c r="BD810" i="8" s="1"/>
  <c r="AL810" i="8"/>
  <c r="BE810" i="8" s="1"/>
  <c r="AN810" i="8"/>
  <c r="BG810" i="8" s="1"/>
  <c r="AQ810" i="8"/>
  <c r="BJ810" i="8" s="1"/>
  <c r="AI810" i="8"/>
  <c r="AP810" i="8"/>
  <c r="BI810" i="8" s="1"/>
  <c r="AO810" i="8"/>
  <c r="BH810" i="8" s="1"/>
  <c r="BM524" i="8"/>
  <c r="BT524" i="8"/>
  <c r="BL524" i="8"/>
  <c r="BS524" i="8"/>
  <c r="BR524" i="8"/>
  <c r="BQ524" i="8"/>
  <c r="BN524" i="8"/>
  <c r="BP524" i="8"/>
  <c r="BU524" i="8"/>
  <c r="BO524" i="8"/>
  <c r="BP65" i="8"/>
  <c r="BO65" i="8"/>
  <c r="BN65" i="8"/>
  <c r="BS65" i="8"/>
  <c r="BT65" i="8"/>
  <c r="BL65" i="8"/>
  <c r="BR65" i="8"/>
  <c r="BU65" i="8"/>
  <c r="BQ65" i="8"/>
  <c r="BM65" i="8"/>
  <c r="AR31" i="8"/>
  <c r="BK31" i="8" s="1"/>
  <c r="AK31" i="8"/>
  <c r="BD31" i="8" s="1"/>
  <c r="AQ31" i="8"/>
  <c r="BJ31" i="8" s="1"/>
  <c r="AP31" i="8"/>
  <c r="BI31" i="8" s="1"/>
  <c r="AN31" i="8"/>
  <c r="BG31" i="8" s="1"/>
  <c r="AL31" i="8"/>
  <c r="BE31" i="8" s="1"/>
  <c r="AJ31" i="8"/>
  <c r="BC31" i="8" s="1"/>
  <c r="AM31" i="8"/>
  <c r="BF31" i="8" s="1"/>
  <c r="AO31" i="8"/>
  <c r="BH31" i="8" s="1"/>
  <c r="AI31" i="8"/>
  <c r="AR23" i="8"/>
  <c r="BK23" i="8" s="1"/>
  <c r="AK23" i="8"/>
  <c r="BD23" i="8" s="1"/>
  <c r="AJ23" i="8"/>
  <c r="BC23" i="8" s="1"/>
  <c r="AQ23" i="8"/>
  <c r="BJ23" i="8" s="1"/>
  <c r="AI23" i="8"/>
  <c r="AP23" i="8"/>
  <c r="BI23" i="8" s="1"/>
  <c r="AM23" i="8"/>
  <c r="BF23" i="8" s="1"/>
  <c r="AL23" i="8"/>
  <c r="BE23" i="8" s="1"/>
  <c r="AO23" i="8"/>
  <c r="BH23" i="8" s="1"/>
  <c r="AN23" i="8"/>
  <c r="BG23" i="8" s="1"/>
  <c r="BU270" i="8"/>
  <c r="BQ270" i="8"/>
  <c r="BT270" i="8"/>
  <c r="BP270" i="8"/>
  <c r="BS270" i="8"/>
  <c r="BO270" i="8"/>
  <c r="BR270" i="8"/>
  <c r="BM270" i="8"/>
  <c r="BL270" i="8"/>
  <c r="BN270" i="8"/>
  <c r="BT525" i="8"/>
  <c r="BL525" i="8"/>
  <c r="BQ525" i="8"/>
  <c r="BP525" i="8"/>
  <c r="BS525" i="8"/>
  <c r="BO525" i="8"/>
  <c r="BR525" i="8"/>
  <c r="BU525" i="8"/>
  <c r="BM525" i="8"/>
  <c r="BN525" i="8"/>
  <c r="AO730" i="8"/>
  <c r="BH730" i="8" s="1"/>
  <c r="AM730" i="8"/>
  <c r="BF730" i="8" s="1"/>
  <c r="AI140" i="8"/>
  <c r="AP175" i="8"/>
  <c r="BI175" i="8" s="1"/>
  <c r="AO175" i="8"/>
  <c r="BH175" i="8" s="1"/>
  <c r="AK175" i="8"/>
  <c r="BD175" i="8" s="1"/>
  <c r="AN175" i="8"/>
  <c r="BG175" i="8" s="1"/>
  <c r="AR175" i="8"/>
  <c r="BK175" i="8" s="1"/>
  <c r="AM175" i="8"/>
  <c r="BF175" i="8" s="1"/>
  <c r="AJ175" i="8"/>
  <c r="BC175" i="8" s="1"/>
  <c r="AI175" i="8"/>
  <c r="AL175" i="8"/>
  <c r="BE175" i="8" s="1"/>
  <c r="AQ175" i="8"/>
  <c r="BJ175" i="8" s="1"/>
  <c r="BQ41" i="8"/>
  <c r="BM41" i="8"/>
  <c r="BP41" i="8"/>
  <c r="BO41" i="8"/>
  <c r="BN41" i="8"/>
  <c r="BT41" i="8"/>
  <c r="BS41" i="8"/>
  <c r="BR41" i="8"/>
  <c r="BU41" i="8"/>
  <c r="BL41" i="8"/>
  <c r="AL260" i="8"/>
  <c r="BE260" i="8" s="1"/>
  <c r="AJ260" i="8"/>
  <c r="BC260" i="8" s="1"/>
  <c r="BS31" i="8"/>
  <c r="BN31" i="8"/>
  <c r="BQ31" i="8"/>
  <c r="BM31" i="8"/>
  <c r="BU31" i="8"/>
  <c r="BR31" i="8"/>
  <c r="BP31" i="8"/>
  <c r="BT31" i="8"/>
  <c r="BL31" i="8"/>
  <c r="BO31" i="8"/>
  <c r="BS127" i="8"/>
  <c r="BR127" i="8"/>
  <c r="BO127" i="8"/>
  <c r="BP127" i="8"/>
  <c r="BN127" i="8"/>
  <c r="BM127" i="8"/>
  <c r="BU127" i="8"/>
  <c r="BT127" i="8"/>
  <c r="BL127" i="8"/>
  <c r="BQ127" i="8"/>
  <c r="AK90" i="8"/>
  <c r="BD90" i="8" s="1"/>
  <c r="AO90" i="8"/>
  <c r="BH90" i="8" s="1"/>
  <c r="AN90" i="8"/>
  <c r="BG90" i="8" s="1"/>
  <c r="AQ90" i="8"/>
  <c r="BJ90" i="8" s="1"/>
  <c r="AI90" i="8"/>
  <c r="AP90" i="8"/>
  <c r="BI90" i="8" s="1"/>
  <c r="AM90" i="8"/>
  <c r="BF90" i="8" s="1"/>
  <c r="AL90" i="8"/>
  <c r="BE90" i="8" s="1"/>
  <c r="AR90" i="8"/>
  <c r="BK90" i="8" s="1"/>
  <c r="AJ90" i="8"/>
  <c r="BC90" i="8" s="1"/>
  <c r="AJ47" i="8"/>
  <c r="BC47" i="8" s="1"/>
  <c r="AQ47" i="8"/>
  <c r="BJ47" i="8" s="1"/>
  <c r="AI47" i="8"/>
  <c r="AP47" i="8"/>
  <c r="BI47" i="8" s="1"/>
  <c r="AN47" i="8"/>
  <c r="BG47" i="8" s="1"/>
  <c r="AK47" i="8"/>
  <c r="BD47" i="8" s="1"/>
  <c r="AO47" i="8"/>
  <c r="BH47" i="8" s="1"/>
  <c r="AR47" i="8"/>
  <c r="BK47" i="8" s="1"/>
  <c r="AM47" i="8"/>
  <c r="BF47" i="8" s="1"/>
  <c r="AL47" i="8"/>
  <c r="BE47" i="8" s="1"/>
  <c r="AJ434" i="8"/>
  <c r="BC434" i="8" s="1"/>
  <c r="AR434" i="8"/>
  <c r="BK434" i="8" s="1"/>
  <c r="AL457" i="8"/>
  <c r="BE457" i="8" s="1"/>
  <c r="AS135" i="8"/>
  <c r="BB135" i="8"/>
  <c r="BB829" i="8"/>
  <c r="BN510" i="8"/>
  <c r="BO510" i="8"/>
  <c r="BR510" i="8"/>
  <c r="BM510" i="8"/>
  <c r="BU510" i="8"/>
  <c r="BP510" i="8"/>
  <c r="BQ510" i="8"/>
  <c r="BL510" i="8"/>
  <c r="BS510" i="8"/>
  <c r="BT510" i="8"/>
  <c r="BQ241" i="8"/>
  <c r="BN241" i="8"/>
  <c r="BM241" i="8"/>
  <c r="BT241" i="8"/>
  <c r="BL241" i="8"/>
  <c r="BS241" i="8"/>
  <c r="BR241" i="8"/>
  <c r="BP241" i="8"/>
  <c r="BO241" i="8"/>
  <c r="BU241" i="8"/>
  <c r="BM81" i="8"/>
  <c r="BP81" i="8"/>
  <c r="BT81" i="8"/>
  <c r="BL81" i="8"/>
  <c r="BS81" i="8"/>
  <c r="BR81" i="8"/>
  <c r="BQ81" i="8"/>
  <c r="BO81" i="8"/>
  <c r="BN81" i="8"/>
  <c r="BU81" i="8"/>
  <c r="AI63" i="8"/>
  <c r="AP63" i="8"/>
  <c r="BI63" i="8" s="1"/>
  <c r="AN63" i="8"/>
  <c r="BG63" i="8" s="1"/>
  <c r="AL63" i="8"/>
  <c r="BE63" i="8" s="1"/>
  <c r="AM63" i="8"/>
  <c r="BF63" i="8" s="1"/>
  <c r="AK63" i="8"/>
  <c r="BD63" i="8" s="1"/>
  <c r="AO63" i="8"/>
  <c r="BH63" i="8" s="1"/>
  <c r="AJ63" i="8"/>
  <c r="BC63" i="8" s="1"/>
  <c r="AQ63" i="8"/>
  <c r="BJ63" i="8" s="1"/>
  <c r="AR63" i="8"/>
  <c r="BK63" i="8" s="1"/>
  <c r="AQ350" i="8"/>
  <c r="BJ350" i="8" s="1"/>
  <c r="AN350" i="8"/>
  <c r="BG350" i="8" s="1"/>
  <c r="BM501" i="8"/>
  <c r="BT501" i="8"/>
  <c r="BL501" i="8"/>
  <c r="BS501" i="8"/>
  <c r="BQ501" i="8"/>
  <c r="BR501" i="8"/>
  <c r="BP501" i="8"/>
  <c r="BN501" i="8"/>
  <c r="BU501" i="8"/>
  <c r="BO501" i="8"/>
  <c r="AQ130" i="8"/>
  <c r="BJ130" i="8" s="1"/>
  <c r="AP130" i="8"/>
  <c r="BI130" i="8" s="1"/>
  <c r="AN130" i="8"/>
  <c r="BG130" i="8" s="1"/>
  <c r="AM130" i="8"/>
  <c r="BF130" i="8" s="1"/>
  <c r="AR130" i="8"/>
  <c r="BK130" i="8" s="1"/>
  <c r="AL130" i="8"/>
  <c r="BE130" i="8" s="1"/>
  <c r="AK130" i="8"/>
  <c r="BD130" i="8" s="1"/>
  <c r="AJ130" i="8"/>
  <c r="BC130" i="8" s="1"/>
  <c r="AO130" i="8"/>
  <c r="BH130" i="8" s="1"/>
  <c r="AI130" i="8"/>
  <c r="AL78" i="8"/>
  <c r="BE78" i="8" s="1"/>
  <c r="AJ78" i="8"/>
  <c r="BC78" i="8" s="1"/>
  <c r="AQ78" i="8"/>
  <c r="BJ78" i="8" s="1"/>
  <c r="AP78" i="8"/>
  <c r="BI78" i="8" s="1"/>
  <c r="AI78" i="8"/>
  <c r="AO78" i="8"/>
  <c r="BH78" i="8" s="1"/>
  <c r="AN78" i="8"/>
  <c r="BG78" i="8" s="1"/>
  <c r="AR78" i="8"/>
  <c r="BK78" i="8" s="1"/>
  <c r="AK78" i="8"/>
  <c r="BD78" i="8" s="1"/>
  <c r="AM78" i="8"/>
  <c r="BF78" i="8" s="1"/>
  <c r="BM8" i="8"/>
  <c r="BN8" i="8"/>
  <c r="BU8" i="8"/>
  <c r="BT8" i="8"/>
  <c r="BQ8" i="8"/>
  <c r="BL8" i="8"/>
  <c r="BS8" i="8"/>
  <c r="BP8" i="8"/>
  <c r="BO8" i="8"/>
  <c r="BR8" i="8"/>
  <c r="BR309" i="8"/>
  <c r="BS309" i="8"/>
  <c r="BP309" i="8"/>
  <c r="BL309" i="8"/>
  <c r="BT309" i="8"/>
  <c r="BN309" i="8"/>
  <c r="BO309" i="8"/>
  <c r="BM309" i="8"/>
  <c r="BU309" i="8"/>
  <c r="BQ309" i="8"/>
  <c r="AQ103" i="8"/>
  <c r="BJ103" i="8" s="1"/>
  <c r="AO103" i="8"/>
  <c r="BH103" i="8" s="1"/>
  <c r="AL103" i="8"/>
  <c r="BE103" i="8" s="1"/>
  <c r="AI103" i="8"/>
  <c r="AR103" i="8"/>
  <c r="BK103" i="8" s="1"/>
  <c r="AP103" i="8"/>
  <c r="BI103" i="8" s="1"/>
  <c r="AJ103" i="8"/>
  <c r="BC103" i="8" s="1"/>
  <c r="AK103" i="8"/>
  <c r="BD103" i="8" s="1"/>
  <c r="AM103" i="8"/>
  <c r="BF103" i="8" s="1"/>
  <c r="AN103" i="8"/>
  <c r="BG103" i="8" s="1"/>
  <c r="AO11" i="8"/>
  <c r="BH11" i="8" s="1"/>
  <c r="AL11" i="8"/>
  <c r="BE11" i="8" s="1"/>
  <c r="AM11" i="8"/>
  <c r="BF11" i="8" s="1"/>
  <c r="AR11" i="8"/>
  <c r="BK11" i="8" s="1"/>
  <c r="AK11" i="8"/>
  <c r="BD11" i="8" s="1"/>
  <c r="AJ11" i="8"/>
  <c r="BC11" i="8" s="1"/>
  <c r="AQ11" i="8"/>
  <c r="BJ11" i="8" s="1"/>
  <c r="AP11" i="8"/>
  <c r="BI11" i="8" s="1"/>
  <c r="AN11" i="8"/>
  <c r="BG11" i="8" s="1"/>
  <c r="AI11" i="8"/>
  <c r="AK60" i="8"/>
  <c r="BD60" i="8" s="1"/>
  <c r="AO60" i="8"/>
  <c r="BH60" i="8" s="1"/>
  <c r="AN60" i="8"/>
  <c r="BG60" i="8" s="1"/>
  <c r="AM60" i="8"/>
  <c r="BF60" i="8" s="1"/>
  <c r="AL60" i="8"/>
  <c r="BE60" i="8" s="1"/>
  <c r="AR60" i="8"/>
  <c r="BK60" i="8" s="1"/>
  <c r="AJ60" i="8"/>
  <c r="BC60" i="8" s="1"/>
  <c r="AQ60" i="8"/>
  <c r="BJ60" i="8" s="1"/>
  <c r="AP60" i="8"/>
  <c r="BI60" i="8" s="1"/>
  <c r="AI60" i="8"/>
  <c r="AL445" i="8"/>
  <c r="BE445" i="8" s="1"/>
  <c r="AJ652" i="8"/>
  <c r="BC652" i="8" s="1"/>
  <c r="AR593" i="8"/>
  <c r="BK593" i="8" s="1"/>
  <c r="BS272" i="8"/>
  <c r="BR272" i="8"/>
  <c r="BO272" i="8"/>
  <c r="BL272" i="8"/>
  <c r="BN272" i="8"/>
  <c r="BU272" i="8"/>
  <c r="BM272" i="8"/>
  <c r="BT272" i="8"/>
  <c r="BQ272" i="8"/>
  <c r="BP272" i="8"/>
  <c r="BU5" i="8"/>
  <c r="BS5" i="8"/>
  <c r="BM5" i="8"/>
  <c r="BQ5" i="8"/>
  <c r="BR5" i="8"/>
  <c r="BP5" i="8"/>
  <c r="BO5" i="8"/>
  <c r="BN5" i="8"/>
  <c r="BT5" i="8"/>
  <c r="BL5" i="8"/>
  <c r="BS120" i="8"/>
  <c r="BR120" i="8"/>
  <c r="BN120" i="8"/>
  <c r="BQ120" i="8"/>
  <c r="BO120" i="8"/>
  <c r="BP120" i="8"/>
  <c r="BM120" i="8"/>
  <c r="BU120" i="8"/>
  <c r="BT120" i="8"/>
  <c r="BL120" i="8"/>
  <c r="AO110" i="8"/>
  <c r="BH110" i="8" s="1"/>
  <c r="AM110" i="8"/>
  <c r="BF110" i="8" s="1"/>
  <c r="AL110" i="8"/>
  <c r="BE110" i="8" s="1"/>
  <c r="AI110" i="8"/>
  <c r="AK110" i="8"/>
  <c r="BD110" i="8" s="1"/>
  <c r="AQ110" i="8"/>
  <c r="BJ110" i="8" s="1"/>
  <c r="AR110" i="8"/>
  <c r="BK110" i="8" s="1"/>
  <c r="AP110" i="8"/>
  <c r="BI110" i="8" s="1"/>
  <c r="AJ110" i="8"/>
  <c r="BC110" i="8" s="1"/>
  <c r="AN110" i="8"/>
  <c r="BG110" i="8" s="1"/>
  <c r="BR514" i="8"/>
  <c r="BS514" i="8"/>
  <c r="BN514" i="8"/>
  <c r="BL514" i="8"/>
  <c r="BM514" i="8"/>
  <c r="BT514" i="8"/>
  <c r="BU514" i="8"/>
  <c r="BO514" i="8"/>
  <c r="BP514" i="8"/>
  <c r="BQ514" i="8"/>
  <c r="AQ374" i="8"/>
  <c r="BJ374" i="8" s="1"/>
  <c r="AO374" i="8"/>
  <c r="BH374" i="8" s="1"/>
  <c r="AI374" i="8"/>
  <c r="AL374" i="8"/>
  <c r="BE374" i="8" s="1"/>
  <c r="BN256" i="8"/>
  <c r="BO256" i="8"/>
  <c r="BR256" i="8"/>
  <c r="BP256" i="8"/>
  <c r="BM256" i="8"/>
  <c r="BU256" i="8"/>
  <c r="BQ256" i="8"/>
  <c r="BL256" i="8"/>
  <c r="BT256" i="8"/>
  <c r="BS256" i="8"/>
  <c r="BN137" i="8"/>
  <c r="BO137" i="8"/>
  <c r="BR137" i="8"/>
  <c r="BU137" i="8"/>
  <c r="BT137" i="8"/>
  <c r="BP137" i="8"/>
  <c r="BS137" i="8"/>
  <c r="BM137" i="8"/>
  <c r="BL137" i="8"/>
  <c r="BQ137" i="8"/>
  <c r="BU512" i="8"/>
  <c r="BN512" i="8"/>
  <c r="BT512" i="8"/>
  <c r="BL512" i="8"/>
  <c r="BS512" i="8"/>
  <c r="BR512" i="8"/>
  <c r="BM512" i="8"/>
  <c r="BQ512" i="8"/>
  <c r="BP512" i="8"/>
  <c r="BO512" i="8"/>
  <c r="AK794" i="8"/>
  <c r="BD794" i="8" s="1"/>
  <c r="AN794" i="8"/>
  <c r="BG794" i="8" s="1"/>
  <c r="AL794" i="8"/>
  <c r="BE794" i="8" s="1"/>
  <c r="AP794" i="8"/>
  <c r="BI794" i="8" s="1"/>
  <c r="AO794" i="8"/>
  <c r="BH794" i="8" s="1"/>
  <c r="AM794" i="8"/>
  <c r="BF794" i="8" s="1"/>
  <c r="AR794" i="8"/>
  <c r="BK794" i="8" s="1"/>
  <c r="AI794" i="8"/>
  <c r="AJ794" i="8"/>
  <c r="BC794" i="8" s="1"/>
  <c r="AQ794" i="8"/>
  <c r="BJ794" i="8" s="1"/>
  <c r="AK48" i="8"/>
  <c r="BD48" i="8" s="1"/>
  <c r="AL48" i="8"/>
  <c r="BE48" i="8" s="1"/>
  <c r="AR48" i="8"/>
  <c r="BK48" i="8" s="1"/>
  <c r="AJ48" i="8"/>
  <c r="BC48" i="8" s="1"/>
  <c r="AQ48" i="8"/>
  <c r="BJ48" i="8" s="1"/>
  <c r="AP48" i="8"/>
  <c r="BI48" i="8" s="1"/>
  <c r="AI48" i="8"/>
  <c r="AO48" i="8"/>
  <c r="BH48" i="8" s="1"/>
  <c r="AN48" i="8"/>
  <c r="BG48" i="8" s="1"/>
  <c r="AM48" i="8"/>
  <c r="BF48" i="8" s="1"/>
  <c r="AK805" i="8"/>
  <c r="BD805" i="8" s="1"/>
  <c r="AP805" i="8"/>
  <c r="BI805" i="8" s="1"/>
  <c r="AQ805" i="8"/>
  <c r="BJ805" i="8" s="1"/>
  <c r="AO805" i="8"/>
  <c r="BH805" i="8" s="1"/>
  <c r="AL805" i="8"/>
  <c r="BE805" i="8" s="1"/>
  <c r="AR805" i="8"/>
  <c r="BK805" i="8" s="1"/>
  <c r="AN805" i="8"/>
  <c r="BG805" i="8" s="1"/>
  <c r="AJ805" i="8"/>
  <c r="BC805" i="8" s="1"/>
  <c r="AI805" i="8"/>
  <c r="AM805" i="8"/>
  <c r="BF805" i="8" s="1"/>
  <c r="AP141" i="8"/>
  <c r="BI141" i="8" s="1"/>
  <c r="AM141" i="8"/>
  <c r="BF141" i="8" s="1"/>
  <c r="AL141" i="8"/>
  <c r="BE141" i="8" s="1"/>
  <c r="AN141" i="8"/>
  <c r="BG141" i="8" s="1"/>
  <c r="AK141" i="8"/>
  <c r="BD141" i="8" s="1"/>
  <c r="AR141" i="8"/>
  <c r="BK141" i="8" s="1"/>
  <c r="AJ141" i="8"/>
  <c r="BC141" i="8" s="1"/>
  <c r="AQ141" i="8"/>
  <c r="BJ141" i="8" s="1"/>
  <c r="AI141" i="8"/>
  <c r="AO141" i="8"/>
  <c r="BH141" i="8" s="1"/>
  <c r="AR823" i="8"/>
  <c r="BK823" i="8" s="1"/>
  <c r="AP823" i="8"/>
  <c r="BI823" i="8" s="1"/>
  <c r="AJ823" i="8"/>
  <c r="BC823" i="8" s="1"/>
  <c r="AQ823" i="8"/>
  <c r="BJ823" i="8" s="1"/>
  <c r="AI823" i="8"/>
  <c r="AO823" i="8"/>
  <c r="BH823" i="8" s="1"/>
  <c r="AN823" i="8"/>
  <c r="BG823" i="8" s="1"/>
  <c r="AM823" i="8"/>
  <c r="BF823" i="8" s="1"/>
  <c r="AL823" i="8"/>
  <c r="BE823" i="8" s="1"/>
  <c r="AK823" i="8"/>
  <c r="BD823" i="8" s="1"/>
  <c r="AK210" i="8"/>
  <c r="BD210" i="8" s="1"/>
  <c r="AQ210" i="8"/>
  <c r="BJ210" i="8" s="1"/>
  <c r="AJ210" i="8"/>
  <c r="BC210" i="8" s="1"/>
  <c r="AI210" i="8"/>
  <c r="AP210" i="8"/>
  <c r="BI210" i="8" s="1"/>
  <c r="AO210" i="8"/>
  <c r="BH210" i="8" s="1"/>
  <c r="AN210" i="8"/>
  <c r="BG210" i="8" s="1"/>
  <c r="AM210" i="8"/>
  <c r="BF210" i="8" s="1"/>
  <c r="AR210" i="8"/>
  <c r="BK210" i="8" s="1"/>
  <c r="AL210" i="8"/>
  <c r="BE210" i="8" s="1"/>
  <c r="AQ472" i="8"/>
  <c r="BJ472" i="8" s="1"/>
  <c r="AI472" i="8"/>
  <c r="AO472" i="8"/>
  <c r="BH472" i="8" s="1"/>
  <c r="AN472" i="8"/>
  <c r="BG472" i="8" s="1"/>
  <c r="AM472" i="8"/>
  <c r="BF472" i="8" s="1"/>
  <c r="AR472" i="8"/>
  <c r="BK472" i="8" s="1"/>
  <c r="AJ472" i="8"/>
  <c r="BC472" i="8" s="1"/>
  <c r="AP472" i="8"/>
  <c r="BI472" i="8" s="1"/>
  <c r="AL472" i="8"/>
  <c r="BE472" i="8" s="1"/>
  <c r="AK472" i="8"/>
  <c r="BD472" i="8" s="1"/>
  <c r="BN179" i="8"/>
  <c r="BU179" i="8"/>
  <c r="BT179" i="8"/>
  <c r="BS179" i="8"/>
  <c r="BO179" i="8"/>
  <c r="BR179" i="8"/>
  <c r="BM179" i="8"/>
  <c r="BL179" i="8"/>
  <c r="BQ179" i="8"/>
  <c r="BP179" i="8"/>
  <c r="AR528" i="8"/>
  <c r="BK528" i="8" s="1"/>
  <c r="AI94" i="8"/>
  <c r="AR94" i="8"/>
  <c r="BK94" i="8" s="1"/>
  <c r="AO94" i="8"/>
  <c r="BH94" i="8" s="1"/>
  <c r="AN94" i="8"/>
  <c r="BG94" i="8" s="1"/>
  <c r="AM94" i="8"/>
  <c r="BF94" i="8" s="1"/>
  <c r="AP94" i="8"/>
  <c r="BI94" i="8" s="1"/>
  <c r="AQ94" i="8"/>
  <c r="BJ94" i="8" s="1"/>
  <c r="AL94" i="8"/>
  <c r="BE94" i="8" s="1"/>
  <c r="AK94" i="8"/>
  <c r="BD94" i="8" s="1"/>
  <c r="AJ94" i="8"/>
  <c r="BC94" i="8" s="1"/>
  <c r="AL33" i="8"/>
  <c r="BE33" i="8" s="1"/>
  <c r="AO33" i="8"/>
  <c r="BH33" i="8" s="1"/>
  <c r="AP33" i="8"/>
  <c r="BI33" i="8" s="1"/>
  <c r="AQ33" i="8"/>
  <c r="BJ33" i="8" s="1"/>
  <c r="AI33" i="8"/>
  <c r="AN33" i="8"/>
  <c r="BG33" i="8" s="1"/>
  <c r="AM33" i="8"/>
  <c r="BF33" i="8" s="1"/>
  <c r="AK33" i="8"/>
  <c r="BD33" i="8" s="1"/>
  <c r="AR33" i="8"/>
  <c r="BK33" i="8" s="1"/>
  <c r="AJ33" i="8"/>
  <c r="BC33" i="8" s="1"/>
  <c r="BP42" i="8"/>
  <c r="BN42" i="8"/>
  <c r="BO42" i="8"/>
  <c r="BU42" i="8"/>
  <c r="BQ42" i="8"/>
  <c r="BM42" i="8"/>
  <c r="BT42" i="8"/>
  <c r="BS42" i="8"/>
  <c r="BR42" i="8"/>
  <c r="BL42" i="8"/>
  <c r="AR195" i="8"/>
  <c r="BK195" i="8" s="1"/>
  <c r="AN195" i="8"/>
  <c r="BG195" i="8" s="1"/>
  <c r="AJ195" i="8"/>
  <c r="BC195" i="8" s="1"/>
  <c r="AQ195" i="8"/>
  <c r="BJ195" i="8" s="1"/>
  <c r="AI195" i="8"/>
  <c r="AP195" i="8"/>
  <c r="BI195" i="8" s="1"/>
  <c r="AO195" i="8"/>
  <c r="BH195" i="8" s="1"/>
  <c r="AM195" i="8"/>
  <c r="BF195" i="8" s="1"/>
  <c r="AK195" i="8"/>
  <c r="BD195" i="8" s="1"/>
  <c r="AL195" i="8"/>
  <c r="BE195" i="8" s="1"/>
  <c r="AI828" i="8"/>
  <c r="AP828" i="8"/>
  <c r="BI828" i="8" s="1"/>
  <c r="AO828" i="8"/>
  <c r="BH828" i="8" s="1"/>
  <c r="AM828" i="8"/>
  <c r="BF828" i="8" s="1"/>
  <c r="AN828" i="8"/>
  <c r="BG828" i="8" s="1"/>
  <c r="AK828" i="8"/>
  <c r="BD828" i="8" s="1"/>
  <c r="AL828" i="8"/>
  <c r="BE828" i="8" s="1"/>
  <c r="AJ828" i="8"/>
  <c r="BC828" i="8" s="1"/>
  <c r="AQ828" i="8"/>
  <c r="BJ828" i="8" s="1"/>
  <c r="AR828" i="8"/>
  <c r="BK828" i="8" s="1"/>
  <c r="AI807" i="8"/>
  <c r="AL807" i="8"/>
  <c r="BE807" i="8" s="1"/>
  <c r="AR807" i="8"/>
  <c r="BK807" i="8" s="1"/>
  <c r="AP807" i="8"/>
  <c r="BI807" i="8" s="1"/>
  <c r="AJ807" i="8"/>
  <c r="BC807" i="8" s="1"/>
  <c r="AN807" i="8"/>
  <c r="BG807" i="8" s="1"/>
  <c r="AM807" i="8"/>
  <c r="BF807" i="8" s="1"/>
  <c r="AO807" i="8"/>
  <c r="BH807" i="8" s="1"/>
  <c r="AQ807" i="8"/>
  <c r="BJ807" i="8" s="1"/>
  <c r="AK807" i="8"/>
  <c r="BD807" i="8" s="1"/>
  <c r="BR565" i="8"/>
  <c r="BQ565" i="8"/>
  <c r="BS565" i="8"/>
  <c r="BP565" i="8"/>
  <c r="BO565" i="8"/>
  <c r="BM565" i="8"/>
  <c r="BN565" i="8"/>
  <c r="BU565" i="8"/>
  <c r="BT565" i="8"/>
  <c r="BL565" i="8"/>
  <c r="AI756" i="8"/>
  <c r="AO81" i="8"/>
  <c r="BH81" i="8" s="1"/>
  <c r="AK81" i="8"/>
  <c r="BD81" i="8" s="1"/>
  <c r="AJ81" i="8"/>
  <c r="BC81" i="8" s="1"/>
  <c r="AQ81" i="8"/>
  <c r="BJ81" i="8" s="1"/>
  <c r="AI81" i="8"/>
  <c r="AP81" i="8"/>
  <c r="BI81" i="8" s="1"/>
  <c r="AN81" i="8"/>
  <c r="BG81" i="8" s="1"/>
  <c r="AL81" i="8"/>
  <c r="BE81" i="8" s="1"/>
  <c r="AR81" i="8"/>
  <c r="BK81" i="8" s="1"/>
  <c r="AM81" i="8"/>
  <c r="BF81" i="8" s="1"/>
  <c r="AI9" i="8"/>
  <c r="AN9" i="8"/>
  <c r="BG9" i="8" s="1"/>
  <c r="AL9" i="8"/>
  <c r="BE9" i="8" s="1"/>
  <c r="AO9" i="8"/>
  <c r="BH9" i="8" s="1"/>
  <c r="AR9" i="8"/>
  <c r="BK9" i="8" s="1"/>
  <c r="AM9" i="8"/>
  <c r="BF9" i="8" s="1"/>
  <c r="AJ9" i="8"/>
  <c r="BC9" i="8" s="1"/>
  <c r="AQ9" i="8"/>
  <c r="BJ9" i="8" s="1"/>
  <c r="AP9" i="8"/>
  <c r="BI9" i="8" s="1"/>
  <c r="AK9" i="8"/>
  <c r="BD9" i="8" s="1"/>
  <c r="AL209" i="8"/>
  <c r="BE209" i="8" s="1"/>
  <c r="AR209" i="8"/>
  <c r="BK209" i="8" s="1"/>
  <c r="AM209" i="8"/>
  <c r="BF209" i="8" s="1"/>
  <c r="AJ438" i="8"/>
  <c r="BC438" i="8" s="1"/>
  <c r="AM438" i="8"/>
  <c r="BF438" i="8" s="1"/>
  <c r="AR438" i="8"/>
  <c r="BK438" i="8" s="1"/>
  <c r="AJ745" i="8"/>
  <c r="BC745" i="8" s="1"/>
  <c r="AQ745" i="8"/>
  <c r="BJ745" i="8" s="1"/>
  <c r="AO745" i="8"/>
  <c r="BH745" i="8" s="1"/>
  <c r="AN745" i="8"/>
  <c r="BG745" i="8" s="1"/>
  <c r="AM745" i="8"/>
  <c r="BF745" i="8" s="1"/>
  <c r="AK745" i="8"/>
  <c r="BD745" i="8" s="1"/>
  <c r="AR745" i="8"/>
  <c r="BK745" i="8" s="1"/>
  <c r="AI745" i="8"/>
  <c r="AP745" i="8"/>
  <c r="BI745" i="8" s="1"/>
  <c r="AL745" i="8"/>
  <c r="BE745" i="8" s="1"/>
  <c r="AO585" i="8"/>
  <c r="BH585" i="8" s="1"/>
  <c r="AP136" i="8"/>
  <c r="BI136" i="8" s="1"/>
  <c r="AO136" i="8"/>
  <c r="BH136" i="8" s="1"/>
  <c r="AN136" i="8"/>
  <c r="BG136" i="8" s="1"/>
  <c r="AQ136" i="8"/>
  <c r="BJ136" i="8" s="1"/>
  <c r="AL136" i="8"/>
  <c r="BE136" i="8" s="1"/>
  <c r="AM136" i="8"/>
  <c r="BF136" i="8" s="1"/>
  <c r="AI136" i="8"/>
  <c r="AK136" i="8"/>
  <c r="BD136" i="8" s="1"/>
  <c r="AR136" i="8"/>
  <c r="BK136" i="8" s="1"/>
  <c r="AJ136" i="8"/>
  <c r="BC136" i="8" s="1"/>
  <c r="AR835" i="8"/>
  <c r="BK835" i="8" s="1"/>
  <c r="AJ835" i="8"/>
  <c r="BC835" i="8" s="1"/>
  <c r="AK835" i="8"/>
  <c r="BD835" i="8" s="1"/>
  <c r="AQ835" i="8"/>
  <c r="BJ835" i="8" s="1"/>
  <c r="AI835" i="8"/>
  <c r="AP835" i="8"/>
  <c r="BI835" i="8" s="1"/>
  <c r="AL835" i="8"/>
  <c r="BE835" i="8" s="1"/>
  <c r="AO835" i="8"/>
  <c r="BH835" i="8" s="1"/>
  <c r="AN835" i="8"/>
  <c r="BG835" i="8" s="1"/>
  <c r="AM835" i="8"/>
  <c r="BF835" i="8" s="1"/>
  <c r="AI645" i="8"/>
  <c r="AK84" i="8"/>
  <c r="BD84" i="8" s="1"/>
  <c r="AM84" i="8"/>
  <c r="BF84" i="8" s="1"/>
  <c r="AL84" i="8"/>
  <c r="BE84" i="8" s="1"/>
  <c r="AJ84" i="8"/>
  <c r="BC84" i="8" s="1"/>
  <c r="AP84" i="8"/>
  <c r="BI84" i="8" s="1"/>
  <c r="AO84" i="8"/>
  <c r="BH84" i="8" s="1"/>
  <c r="AN84" i="8"/>
  <c r="BG84" i="8" s="1"/>
  <c r="AR84" i="8"/>
  <c r="BK84" i="8" s="1"/>
  <c r="AQ84" i="8"/>
  <c r="BJ84" i="8" s="1"/>
  <c r="AI84" i="8"/>
  <c r="AK657" i="8"/>
  <c r="BD657" i="8" s="1"/>
  <c r="BL78" i="8"/>
  <c r="BS78" i="8"/>
  <c r="BR78" i="8"/>
  <c r="BN78" i="8"/>
  <c r="BP78" i="8"/>
  <c r="BM78" i="8"/>
  <c r="BQ78" i="8"/>
  <c r="BT78" i="8"/>
  <c r="BO78" i="8"/>
  <c r="BU78" i="8"/>
  <c r="AM338" i="8"/>
  <c r="BF338" i="8" s="1"/>
  <c r="AI338" i="8"/>
  <c r="AJ484" i="8"/>
  <c r="BC484" i="8" s="1"/>
  <c r="AL494" i="8"/>
  <c r="BE494" i="8" s="1"/>
  <c r="AQ822" i="8"/>
  <c r="BJ822" i="8" s="1"/>
  <c r="AN822" i="8"/>
  <c r="BG822" i="8" s="1"/>
  <c r="AJ822" i="8"/>
  <c r="BC822" i="8" s="1"/>
  <c r="AM822" i="8"/>
  <c r="BF822" i="8" s="1"/>
  <c r="AL822" i="8"/>
  <c r="BE822" i="8" s="1"/>
  <c r="AK822" i="8"/>
  <c r="BD822" i="8" s="1"/>
  <c r="AI822" i="8"/>
  <c r="AR822" i="8"/>
  <c r="BK822" i="8" s="1"/>
  <c r="AP822" i="8"/>
  <c r="BI822" i="8" s="1"/>
  <c r="AO822" i="8"/>
  <c r="BH822" i="8" s="1"/>
  <c r="H28" i="5"/>
  <c r="H33" i="5"/>
  <c r="H30" i="5"/>
  <c r="H31" i="5"/>
  <c r="H32" i="5"/>
  <c r="BN401" i="1"/>
  <c r="BM401" i="1"/>
  <c r="BL401" i="1"/>
  <c r="BR401" i="1"/>
  <c r="BQ401" i="1"/>
  <c r="BT401" i="1"/>
  <c r="BS401" i="1"/>
  <c r="AL779" i="1"/>
  <c r="BE779" i="1" s="1"/>
  <c r="H25" i="5"/>
  <c r="H27" i="5"/>
  <c r="H23" i="5"/>
  <c r="H24" i="5"/>
  <c r="H26" i="5"/>
  <c r="H11" i="5"/>
  <c r="BR775" i="1"/>
  <c r="BQ775" i="1"/>
  <c r="BP775" i="1"/>
  <c r="BS775" i="1"/>
  <c r="BN775" i="1"/>
  <c r="BM775" i="1"/>
  <c r="BL775" i="1"/>
  <c r="BU775" i="1"/>
  <c r="BO775" i="1"/>
  <c r="AO779" i="1"/>
  <c r="BH779" i="1" s="1"/>
  <c r="AP779" i="1"/>
  <c r="BI779" i="1" s="1"/>
  <c r="P30" i="5" s="1"/>
  <c r="AN779" i="1"/>
  <c r="BG779" i="1" s="1"/>
  <c r="AJ779" i="1"/>
  <c r="BC779" i="1" s="1"/>
  <c r="AM779" i="1"/>
  <c r="BF779" i="1" s="1"/>
  <c r="AI779" i="1"/>
  <c r="BS270" i="1"/>
  <c r="AR779" i="1"/>
  <c r="BK779" i="1" s="1"/>
  <c r="AK779" i="1"/>
  <c r="BD779" i="1" s="1"/>
  <c r="BO710" i="1"/>
  <c r="H12" i="5"/>
  <c r="BP746" i="1"/>
  <c r="BR765" i="1"/>
  <c r="H16" i="5"/>
  <c r="BR476" i="1"/>
  <c r="BQ765" i="1"/>
  <c r="BS807" i="1"/>
  <c r="BS746" i="1"/>
  <c r="BT807" i="1"/>
  <c r="BL746" i="1"/>
  <c r="BR807" i="1"/>
  <c r="BM746" i="1"/>
  <c r="BO807" i="1"/>
  <c r="BR746" i="1"/>
  <c r="BN746" i="1"/>
  <c r="BM707" i="1"/>
  <c r="BT746" i="1"/>
  <c r="BS707" i="1"/>
  <c r="BO746" i="1"/>
  <c r="BQ807" i="1"/>
  <c r="BM700" i="1"/>
  <c r="BM807" i="1"/>
  <c r="BR394" i="1"/>
  <c r="BP807" i="1"/>
  <c r="BO543" i="1"/>
  <c r="BN521" i="1"/>
  <c r="BT603" i="1"/>
  <c r="BT406" i="1"/>
  <c r="BO406" i="1"/>
  <c r="BP500" i="1"/>
  <c r="BN406" i="1"/>
  <c r="BT393" i="1"/>
  <c r="BN500" i="1"/>
  <c r="BR270" i="1"/>
  <c r="BT707" i="1"/>
  <c r="BN707" i="1"/>
  <c r="BO270" i="1"/>
  <c r="BR707" i="1"/>
  <c r="BQ270" i="1"/>
  <c r="BL679" i="1"/>
  <c r="BQ707" i="1"/>
  <c r="BQ719" i="1"/>
  <c r="BP270" i="1"/>
  <c r="BP707" i="1"/>
  <c r="BU270" i="1"/>
  <c r="BN270" i="1"/>
  <c r="BO707" i="1"/>
  <c r="BL270" i="1"/>
  <c r="BM270" i="1"/>
  <c r="BU707" i="1"/>
  <c r="BP641" i="1"/>
  <c r="BO731" i="1"/>
  <c r="BP644" i="1"/>
  <c r="BL731" i="1"/>
  <c r="BN807" i="1"/>
  <c r="BL807" i="1"/>
  <c r="BN731" i="1"/>
  <c r="BR473" i="1"/>
  <c r="BT731" i="1"/>
  <c r="BT473" i="1"/>
  <c r="BQ473" i="1"/>
  <c r="BN738" i="1"/>
  <c r="BO765" i="1"/>
  <c r="BN473" i="1"/>
  <c r="BS750" i="1"/>
  <c r="BM765" i="1"/>
  <c r="BM473" i="1"/>
  <c r="BT765" i="1"/>
  <c r="BU473" i="1"/>
  <c r="BP473" i="1"/>
  <c r="BU673" i="1"/>
  <c r="BT688" i="1"/>
  <c r="BS473" i="1"/>
  <c r="BL473" i="1"/>
  <c r="BS673" i="1"/>
  <c r="BL688" i="1"/>
  <c r="BQ730" i="1"/>
  <c r="BP765" i="1"/>
  <c r="BM673" i="1"/>
  <c r="BU765" i="1"/>
  <c r="BN765" i="1"/>
  <c r="BS765" i="1"/>
  <c r="BO750" i="1"/>
  <c r="BL738" i="1"/>
  <c r="BT750" i="1"/>
  <c r="BQ750" i="1"/>
  <c r="BP750" i="1"/>
  <c r="BS738" i="1"/>
  <c r="BM750" i="1"/>
  <c r="BL750" i="1"/>
  <c r="BP738" i="1"/>
  <c r="BR750" i="1"/>
  <c r="BO738" i="1"/>
  <c r="AO771" i="1"/>
  <c r="BH771" i="1" s="1"/>
  <c r="BN750" i="1"/>
  <c r="BT738" i="1"/>
  <c r="BQ738" i="1"/>
  <c r="AQ726" i="1"/>
  <c r="BJ726" i="1" s="1"/>
  <c r="AK726" i="1"/>
  <c r="BD726" i="1" s="1"/>
  <c r="AR726" i="1"/>
  <c r="BK726" i="1" s="1"/>
  <c r="BR635" i="1"/>
  <c r="AL726" i="1"/>
  <c r="BE726" i="1" s="1"/>
  <c r="BS482" i="1"/>
  <c r="BR482" i="1"/>
  <c r="BN482" i="1"/>
  <c r="AI726" i="1"/>
  <c r="BB726" i="1" s="1"/>
  <c r="BM738" i="1"/>
  <c r="BT729" i="1"/>
  <c r="BU738" i="1"/>
  <c r="BM393" i="1"/>
  <c r="BT499" i="1"/>
  <c r="BM679" i="1"/>
  <c r="BU684" i="1"/>
  <c r="BL393" i="1"/>
  <c r="BL499" i="1"/>
  <c r="BT684" i="1"/>
  <c r="BR393" i="1"/>
  <c r="BP393" i="1"/>
  <c r="BR684" i="1"/>
  <c r="BQ393" i="1"/>
  <c r="BN393" i="1"/>
  <c r="BP684" i="1"/>
  <c r="BO393" i="1"/>
  <c r="BM684" i="1"/>
  <c r="BU393" i="1"/>
  <c r="BL684" i="1"/>
  <c r="BP675" i="1"/>
  <c r="BT476" i="1"/>
  <c r="BR499" i="1"/>
  <c r="BO499" i="1"/>
  <c r="BN729" i="1"/>
  <c r="BU476" i="1"/>
  <c r="BS499" i="1"/>
  <c r="BQ476" i="1"/>
  <c r="BN499" i="1"/>
  <c r="BQ729" i="1"/>
  <c r="BP476" i="1"/>
  <c r="BU499" i="1"/>
  <c r="BS729" i="1"/>
  <c r="BM476" i="1"/>
  <c r="BP499" i="1"/>
  <c r="BL476" i="1"/>
  <c r="BQ499" i="1"/>
  <c r="BP574" i="1"/>
  <c r="BQ684" i="1"/>
  <c r="BM729" i="1"/>
  <c r="BO684" i="1"/>
  <c r="AH761" i="1"/>
  <c r="AP761" i="1" s="1"/>
  <c r="BI761" i="1" s="1"/>
  <c r="BU729" i="1"/>
  <c r="BO729" i="1"/>
  <c r="BN684" i="1"/>
  <c r="BR729" i="1"/>
  <c r="BL729" i="1"/>
  <c r="AH752" i="1"/>
  <c r="AM752" i="1" s="1"/>
  <c r="BF752" i="1" s="1"/>
  <c r="BU746" i="1"/>
  <c r="BS476" i="1"/>
  <c r="AH716" i="1"/>
  <c r="AR716" i="1" s="1"/>
  <c r="BK716" i="1" s="1"/>
  <c r="BO476" i="1"/>
  <c r="BQ686" i="1"/>
  <c r="AH743" i="1"/>
  <c r="AQ743" i="1" s="1"/>
  <c r="BJ743" i="1" s="1"/>
  <c r="BQ561" i="1"/>
  <c r="BU605" i="1"/>
  <c r="AH734" i="1"/>
  <c r="AI734" i="1" s="1"/>
  <c r="AL52" i="1"/>
  <c r="BE52" i="1" s="1"/>
  <c r="BR561" i="1"/>
  <c r="BP605" i="1"/>
  <c r="AI52" i="1"/>
  <c r="BB52" i="1" s="1"/>
  <c r="BL561" i="1"/>
  <c r="BS563" i="1"/>
  <c r="BO605" i="1"/>
  <c r="AJ52" i="1"/>
  <c r="BC52" i="1" s="1"/>
  <c r="BS521" i="1"/>
  <c r="BM394" i="1"/>
  <c r="BR406" i="1"/>
  <c r="BU641" i="1"/>
  <c r="BM635" i="1"/>
  <c r="BS731" i="1"/>
  <c r="BP406" i="1"/>
  <c r="BM406" i="1"/>
  <c r="BM521" i="1"/>
  <c r="BR641" i="1"/>
  <c r="BS635" i="1"/>
  <c r="BU679" i="1"/>
  <c r="BQ731" i="1"/>
  <c r="BS406" i="1"/>
  <c r="BU521" i="1"/>
  <c r="BL641" i="1"/>
  <c r="BO577" i="1"/>
  <c r="BT635" i="1"/>
  <c r="BO679" i="1"/>
  <c r="BM731" i="1"/>
  <c r="BQ406" i="1"/>
  <c r="BR521" i="1"/>
  <c r="BO641" i="1"/>
  <c r="BO690" i="1"/>
  <c r="BN679" i="1"/>
  <c r="BR731" i="1"/>
  <c r="BU406" i="1"/>
  <c r="BT521" i="1"/>
  <c r="BS641" i="1"/>
  <c r="BQ641" i="1"/>
  <c r="BT641" i="1"/>
  <c r="BM641" i="1"/>
  <c r="BN394" i="1"/>
  <c r="BO521" i="1"/>
  <c r="BM691" i="1"/>
  <c r="BU731" i="1"/>
  <c r="AM774" i="1"/>
  <c r="BF774" i="1" s="1"/>
  <c r="BM574" i="1"/>
  <c r="BO686" i="1"/>
  <c r="BU690" i="1"/>
  <c r="BM690" i="1"/>
  <c r="BU394" i="1"/>
  <c r="BN494" i="1"/>
  <c r="BU482" i="1"/>
  <c r="BP561" i="1"/>
  <c r="BR574" i="1"/>
  <c r="BR605" i="1"/>
  <c r="BL605" i="1"/>
  <c r="BN686" i="1"/>
  <c r="BR673" i="1"/>
  <c r="BT690" i="1"/>
  <c r="BL690" i="1"/>
  <c r="BQ679" i="1"/>
  <c r="AP726" i="1"/>
  <c r="BI726" i="1" s="1"/>
  <c r="AN726" i="1"/>
  <c r="BG726" i="1" s="1"/>
  <c r="AK774" i="1"/>
  <c r="BD774" i="1" s="1"/>
  <c r="BQ394" i="1"/>
  <c r="BO482" i="1"/>
  <c r="BM561" i="1"/>
  <c r="BQ605" i="1"/>
  <c r="BU635" i="1"/>
  <c r="BU686" i="1"/>
  <c r="BM686" i="1"/>
  <c r="BQ673" i="1"/>
  <c r="BS690" i="1"/>
  <c r="BP679" i="1"/>
  <c r="AM726" i="1"/>
  <c r="BF726" i="1" s="1"/>
  <c r="AJ726" i="1"/>
  <c r="BC726" i="1" s="1"/>
  <c r="AI774" i="1"/>
  <c r="BB774" i="1" s="1"/>
  <c r="BL394" i="1"/>
  <c r="BQ482" i="1"/>
  <c r="BU561" i="1"/>
  <c r="BO574" i="1"/>
  <c r="BR644" i="1"/>
  <c r="BS605" i="1"/>
  <c r="BT686" i="1"/>
  <c r="BL686" i="1"/>
  <c r="BP673" i="1"/>
  <c r="BR690" i="1"/>
  <c r="BP711" i="1"/>
  <c r="AR774" i="1"/>
  <c r="BK774" i="1" s="1"/>
  <c r="BT394" i="1"/>
  <c r="BL450" i="1"/>
  <c r="BT482" i="1"/>
  <c r="BT561" i="1"/>
  <c r="BU504" i="1"/>
  <c r="BT574" i="1"/>
  <c r="BS644" i="1"/>
  <c r="BN605" i="1"/>
  <c r="BS686" i="1"/>
  <c r="BO673" i="1"/>
  <c r="BQ690" i="1"/>
  <c r="AP774" i="1"/>
  <c r="BI774" i="1" s="1"/>
  <c r="BO394" i="1"/>
  <c r="BP394" i="1"/>
  <c r="BM450" i="1"/>
  <c r="BP482" i="1"/>
  <c r="BN561" i="1"/>
  <c r="BS554" i="1"/>
  <c r="BU574" i="1"/>
  <c r="BT644" i="1"/>
  <c r="BT605" i="1"/>
  <c r="BR686" i="1"/>
  <c r="BN673" i="1"/>
  <c r="BP690" i="1"/>
  <c r="AN774" i="1"/>
  <c r="BG774" i="1" s="1"/>
  <c r="AQ774" i="1"/>
  <c r="BJ774" i="1" s="1"/>
  <c r="AL774" i="1"/>
  <c r="BE774" i="1" s="1"/>
  <c r="BL482" i="1"/>
  <c r="BS561" i="1"/>
  <c r="BQ574" i="1"/>
  <c r="BL644" i="1"/>
  <c r="BN635" i="1"/>
  <c r="BT673" i="1"/>
  <c r="AO774" i="1"/>
  <c r="BH774" i="1" s="1"/>
  <c r="BT500" i="1"/>
  <c r="BR591" i="1"/>
  <c r="BR675" i="1"/>
  <c r="BT671" i="1"/>
  <c r="BS700" i="1"/>
  <c r="BN710" i="1"/>
  <c r="BS711" i="1"/>
  <c r="AM793" i="1"/>
  <c r="BF793" i="1" s="1"/>
  <c r="AP793" i="1"/>
  <c r="BI793" i="1" s="1"/>
  <c r="AJ793" i="1"/>
  <c r="BC793" i="1" s="1"/>
  <c r="AO793" i="1"/>
  <c r="BH793" i="1" s="1"/>
  <c r="AR793" i="1"/>
  <c r="BK793" i="1" s="1"/>
  <c r="AI793" i="1"/>
  <c r="AL793" i="1"/>
  <c r="BE793" i="1" s="1"/>
  <c r="AQ793" i="1"/>
  <c r="BJ793" i="1" s="1"/>
  <c r="AK793" i="1"/>
  <c r="BD793" i="1" s="1"/>
  <c r="AN793" i="1"/>
  <c r="BG793" i="1" s="1"/>
  <c r="BL796" i="1"/>
  <c r="BO796" i="1"/>
  <c r="BQ796" i="1"/>
  <c r="BS796" i="1"/>
  <c r="BU796" i="1"/>
  <c r="BM796" i="1"/>
  <c r="BR796" i="1"/>
  <c r="BP796" i="1"/>
  <c r="BT796" i="1"/>
  <c r="BN796" i="1"/>
  <c r="BO785" i="1"/>
  <c r="BQ785" i="1"/>
  <c r="BL785" i="1"/>
  <c r="BN785" i="1"/>
  <c r="BP785" i="1"/>
  <c r="BR785" i="1"/>
  <c r="BM785" i="1"/>
  <c r="BS785" i="1"/>
  <c r="BU785" i="1"/>
  <c r="BT785" i="1"/>
  <c r="AI799" i="1"/>
  <c r="AK799" i="1"/>
  <c r="BD799" i="1" s="1"/>
  <c r="AM799" i="1"/>
  <c r="BF799" i="1" s="1"/>
  <c r="AO799" i="1"/>
  <c r="BH799" i="1" s="1"/>
  <c r="AQ799" i="1"/>
  <c r="BJ799" i="1" s="1"/>
  <c r="AL799" i="1"/>
  <c r="BE799" i="1" s="1"/>
  <c r="AN799" i="1"/>
  <c r="BG799" i="1" s="1"/>
  <c r="AP799" i="1"/>
  <c r="BI799" i="1" s="1"/>
  <c r="AR799" i="1"/>
  <c r="BK799" i="1" s="1"/>
  <c r="AJ799" i="1"/>
  <c r="BC799" i="1" s="1"/>
  <c r="AI829" i="1"/>
  <c r="AN829" i="1"/>
  <c r="BG829" i="1" s="1"/>
  <c r="AQ829" i="1"/>
  <c r="BJ829" i="1" s="1"/>
  <c r="AK829" i="1"/>
  <c r="BD829" i="1" s="1"/>
  <c r="AP829" i="1"/>
  <c r="BI829" i="1" s="1"/>
  <c r="AJ829" i="1"/>
  <c r="BC829" i="1" s="1"/>
  <c r="AM829" i="1"/>
  <c r="BF829" i="1" s="1"/>
  <c r="AR829" i="1"/>
  <c r="BK829" i="1" s="1"/>
  <c r="AL829" i="1"/>
  <c r="BE829" i="1" s="1"/>
  <c r="AO829" i="1"/>
  <c r="BH829" i="1" s="1"/>
  <c r="BM835" i="1"/>
  <c r="BL835" i="1"/>
  <c r="BN835" i="1"/>
  <c r="BP835" i="1"/>
  <c r="BR835" i="1"/>
  <c r="BT835" i="1"/>
  <c r="BU835" i="1"/>
  <c r="BQ835" i="1"/>
  <c r="BO835" i="1"/>
  <c r="BS835" i="1"/>
  <c r="BM782" i="1"/>
  <c r="BO782" i="1"/>
  <c r="BQ782" i="1"/>
  <c r="BS782" i="1"/>
  <c r="BL782" i="1"/>
  <c r="BU782" i="1"/>
  <c r="BN782" i="1"/>
  <c r="BR782" i="1"/>
  <c r="BT782" i="1"/>
  <c r="BP782" i="1"/>
  <c r="BM831" i="1"/>
  <c r="BL831" i="1"/>
  <c r="BO831" i="1"/>
  <c r="BQ831" i="1"/>
  <c r="BS831" i="1"/>
  <c r="BU831" i="1"/>
  <c r="BR831" i="1"/>
  <c r="BT831" i="1"/>
  <c r="BP831" i="1"/>
  <c r="BN831" i="1"/>
  <c r="AI782" i="1"/>
  <c r="AK782" i="1"/>
  <c r="BD782" i="1" s="1"/>
  <c r="AM782" i="1"/>
  <c r="BF782" i="1" s="1"/>
  <c r="AO782" i="1"/>
  <c r="BH782" i="1" s="1"/>
  <c r="AQ782" i="1"/>
  <c r="BJ782" i="1" s="1"/>
  <c r="AP782" i="1"/>
  <c r="BI782" i="1" s="1"/>
  <c r="AJ782" i="1"/>
  <c r="BC782" i="1" s="1"/>
  <c r="AR782" i="1"/>
  <c r="BK782" i="1" s="1"/>
  <c r="AL782" i="1"/>
  <c r="BE782" i="1" s="1"/>
  <c r="AN782" i="1"/>
  <c r="BG782" i="1" s="1"/>
  <c r="AJ800" i="1"/>
  <c r="BC800" i="1" s="1"/>
  <c r="AO800" i="1"/>
  <c r="BH800" i="1" s="1"/>
  <c r="AR800" i="1"/>
  <c r="BK800" i="1" s="1"/>
  <c r="AI800" i="1"/>
  <c r="AL800" i="1"/>
  <c r="BE800" i="1" s="1"/>
  <c r="AQ800" i="1"/>
  <c r="BJ800" i="1" s="1"/>
  <c r="AK800" i="1"/>
  <c r="BD800" i="1" s="1"/>
  <c r="AN800" i="1"/>
  <c r="BG800" i="1" s="1"/>
  <c r="AM800" i="1"/>
  <c r="BF800" i="1" s="1"/>
  <c r="AP800" i="1"/>
  <c r="BI800" i="1" s="1"/>
  <c r="BL794" i="1"/>
  <c r="BM794" i="1"/>
  <c r="BN794" i="1"/>
  <c r="BP794" i="1"/>
  <c r="BR794" i="1"/>
  <c r="BQ794" i="1"/>
  <c r="BU794" i="1"/>
  <c r="BO794" i="1"/>
  <c r="BT794" i="1"/>
  <c r="BS794" i="1"/>
  <c r="AL820" i="1"/>
  <c r="BE820" i="1" s="1"/>
  <c r="AO820" i="1"/>
  <c r="BH820" i="1" s="1"/>
  <c r="AI820" i="1"/>
  <c r="AN820" i="1"/>
  <c r="BG820" i="1" s="1"/>
  <c r="AQ820" i="1"/>
  <c r="BJ820" i="1" s="1"/>
  <c r="AK820" i="1"/>
  <c r="BD820" i="1" s="1"/>
  <c r="AP820" i="1"/>
  <c r="BI820" i="1" s="1"/>
  <c r="AJ820" i="1"/>
  <c r="BC820" i="1" s="1"/>
  <c r="AM820" i="1"/>
  <c r="BF820" i="1" s="1"/>
  <c r="AR820" i="1"/>
  <c r="BK820" i="1" s="1"/>
  <c r="AJ786" i="1"/>
  <c r="BC786" i="1" s="1"/>
  <c r="AL786" i="1"/>
  <c r="BE786" i="1" s="1"/>
  <c r="AN786" i="1"/>
  <c r="BG786" i="1" s="1"/>
  <c r="AP786" i="1"/>
  <c r="BI786" i="1" s="1"/>
  <c r="AR786" i="1"/>
  <c r="BK786" i="1" s="1"/>
  <c r="AI786" i="1"/>
  <c r="AQ786" i="1"/>
  <c r="BJ786" i="1" s="1"/>
  <c r="AK786" i="1"/>
  <c r="BD786" i="1" s="1"/>
  <c r="AM786" i="1"/>
  <c r="BF786" i="1" s="1"/>
  <c r="AO786" i="1"/>
  <c r="BH786" i="1" s="1"/>
  <c r="BM814" i="1"/>
  <c r="BO814" i="1"/>
  <c r="BQ814" i="1"/>
  <c r="BL814" i="1"/>
  <c r="BU814" i="1"/>
  <c r="BP814" i="1"/>
  <c r="BT814" i="1"/>
  <c r="BN814" i="1"/>
  <c r="BR814" i="1"/>
  <c r="BS814" i="1"/>
  <c r="BL827" i="1"/>
  <c r="BM827" i="1"/>
  <c r="BN827" i="1"/>
  <c r="BP827" i="1"/>
  <c r="BR827" i="1"/>
  <c r="BT827" i="1"/>
  <c r="BS827" i="1"/>
  <c r="BO827" i="1"/>
  <c r="BU827" i="1"/>
  <c r="BQ827" i="1"/>
  <c r="BR563" i="1"/>
  <c r="BQ675" i="1"/>
  <c r="BS671" i="1"/>
  <c r="BU700" i="1"/>
  <c r="BS710" i="1"/>
  <c r="BO711" i="1"/>
  <c r="BM822" i="1"/>
  <c r="BL822" i="1"/>
  <c r="BO822" i="1"/>
  <c r="BQ822" i="1"/>
  <c r="BN822" i="1"/>
  <c r="BT822" i="1"/>
  <c r="BR822" i="1"/>
  <c r="BS822" i="1"/>
  <c r="BP822" i="1"/>
  <c r="BU822" i="1"/>
  <c r="AI831" i="1"/>
  <c r="AK831" i="1"/>
  <c r="BD831" i="1" s="1"/>
  <c r="AM831" i="1"/>
  <c r="BF831" i="1" s="1"/>
  <c r="AO831" i="1"/>
  <c r="BH831" i="1" s="1"/>
  <c r="AQ831" i="1"/>
  <c r="BJ831" i="1" s="1"/>
  <c r="AL831" i="1"/>
  <c r="BE831" i="1" s="1"/>
  <c r="AN831" i="1"/>
  <c r="BG831" i="1" s="1"/>
  <c r="AP831" i="1"/>
  <c r="BI831" i="1" s="1"/>
  <c r="AR831" i="1"/>
  <c r="BK831" i="1" s="1"/>
  <c r="AJ831" i="1"/>
  <c r="BC831" i="1" s="1"/>
  <c r="AI809" i="1"/>
  <c r="AL809" i="1"/>
  <c r="BE809" i="1" s="1"/>
  <c r="AQ809" i="1"/>
  <c r="BJ809" i="1" s="1"/>
  <c r="AK809" i="1"/>
  <c r="BD809" i="1" s="1"/>
  <c r="AN809" i="1"/>
  <c r="BG809" i="1" s="1"/>
  <c r="AM809" i="1"/>
  <c r="BF809" i="1" s="1"/>
  <c r="AP809" i="1"/>
  <c r="BI809" i="1" s="1"/>
  <c r="AO809" i="1"/>
  <c r="BH809" i="1" s="1"/>
  <c r="AR809" i="1"/>
  <c r="BK809" i="1" s="1"/>
  <c r="AJ809" i="1"/>
  <c r="BC809" i="1" s="1"/>
  <c r="BM832" i="1"/>
  <c r="BN832" i="1"/>
  <c r="BP832" i="1"/>
  <c r="BR832" i="1"/>
  <c r="BT832" i="1"/>
  <c r="BL832" i="1"/>
  <c r="BO832" i="1"/>
  <c r="BS832" i="1"/>
  <c r="BQ832" i="1"/>
  <c r="BU832" i="1"/>
  <c r="AJ787" i="1"/>
  <c r="BC787" i="1" s="1"/>
  <c r="AL787" i="1"/>
  <c r="BE787" i="1" s="1"/>
  <c r="AN787" i="1"/>
  <c r="BG787" i="1" s="1"/>
  <c r="AP787" i="1"/>
  <c r="BI787" i="1" s="1"/>
  <c r="AR787" i="1"/>
  <c r="BK787" i="1" s="1"/>
  <c r="AI787" i="1"/>
  <c r="AQ787" i="1"/>
  <c r="BJ787" i="1" s="1"/>
  <c r="AK787" i="1"/>
  <c r="BD787" i="1" s="1"/>
  <c r="AM787" i="1"/>
  <c r="BF787" i="1" s="1"/>
  <c r="AO787" i="1"/>
  <c r="BH787" i="1" s="1"/>
  <c r="AI796" i="1"/>
  <c r="AN796" i="1"/>
  <c r="BG796" i="1" s="1"/>
  <c r="AQ796" i="1"/>
  <c r="BJ796" i="1" s="1"/>
  <c r="AK796" i="1"/>
  <c r="BD796" i="1" s="1"/>
  <c r="AP796" i="1"/>
  <c r="BI796" i="1" s="1"/>
  <c r="AJ796" i="1"/>
  <c r="BC796" i="1" s="1"/>
  <c r="AM796" i="1"/>
  <c r="BF796" i="1" s="1"/>
  <c r="AR796" i="1"/>
  <c r="BK796" i="1" s="1"/>
  <c r="AL796" i="1"/>
  <c r="BE796" i="1" s="1"/>
  <c r="AO796" i="1"/>
  <c r="BH796" i="1" s="1"/>
  <c r="AJ810" i="1"/>
  <c r="BC810" i="1" s="1"/>
  <c r="AL810" i="1"/>
  <c r="BE810" i="1" s="1"/>
  <c r="AN810" i="1"/>
  <c r="BG810" i="1" s="1"/>
  <c r="AP810" i="1"/>
  <c r="BI810" i="1" s="1"/>
  <c r="AR810" i="1"/>
  <c r="BK810" i="1" s="1"/>
  <c r="AO810" i="1"/>
  <c r="BH810" i="1" s="1"/>
  <c r="AI810" i="1"/>
  <c r="AQ810" i="1"/>
  <c r="BJ810" i="1" s="1"/>
  <c r="AK810" i="1"/>
  <c r="BD810" i="1" s="1"/>
  <c r="AM810" i="1"/>
  <c r="BF810" i="1" s="1"/>
  <c r="BN805" i="1"/>
  <c r="BP805" i="1"/>
  <c r="BO805" i="1"/>
  <c r="BQ805" i="1"/>
  <c r="BM805" i="1"/>
  <c r="BL805" i="1"/>
  <c r="BU805" i="1"/>
  <c r="BT805" i="1"/>
  <c r="BR805" i="1"/>
  <c r="BS805" i="1"/>
  <c r="BL828" i="1"/>
  <c r="BO828" i="1"/>
  <c r="BQ828" i="1"/>
  <c r="BS828" i="1"/>
  <c r="BU828" i="1"/>
  <c r="BM828" i="1"/>
  <c r="BN828" i="1"/>
  <c r="BP828" i="1"/>
  <c r="BR828" i="1"/>
  <c r="BT828" i="1"/>
  <c r="BO825" i="1"/>
  <c r="BQ825" i="1"/>
  <c r="BM825" i="1"/>
  <c r="BN825" i="1"/>
  <c r="BP825" i="1"/>
  <c r="BU825" i="1"/>
  <c r="BL825" i="1"/>
  <c r="BT825" i="1"/>
  <c r="BR825" i="1"/>
  <c r="BS825" i="1"/>
  <c r="AI815" i="1"/>
  <c r="AK815" i="1"/>
  <c r="BD815" i="1" s="1"/>
  <c r="AM815" i="1"/>
  <c r="BF815" i="1" s="1"/>
  <c r="AO815" i="1"/>
  <c r="BH815" i="1" s="1"/>
  <c r="AQ815" i="1"/>
  <c r="BJ815" i="1" s="1"/>
  <c r="AP815" i="1"/>
  <c r="BI815" i="1" s="1"/>
  <c r="AJ815" i="1"/>
  <c r="BC815" i="1" s="1"/>
  <c r="AR815" i="1"/>
  <c r="BK815" i="1" s="1"/>
  <c r="AL815" i="1"/>
  <c r="BE815" i="1" s="1"/>
  <c r="AN815" i="1"/>
  <c r="BG815" i="1" s="1"/>
  <c r="AK785" i="1"/>
  <c r="BD785" i="1" s="1"/>
  <c r="K36" i="5" s="1"/>
  <c r="AN785" i="1"/>
  <c r="BG785" i="1" s="1"/>
  <c r="N36" i="5" s="1"/>
  <c r="AM785" i="1"/>
  <c r="BF785" i="1" s="1"/>
  <c r="M36" i="5" s="1"/>
  <c r="AP785" i="1"/>
  <c r="BI785" i="1" s="1"/>
  <c r="P36" i="5" s="1"/>
  <c r="AJ785" i="1"/>
  <c r="BC785" i="1" s="1"/>
  <c r="J36" i="5" s="1"/>
  <c r="AO785" i="1"/>
  <c r="BH785" i="1" s="1"/>
  <c r="O36" i="5" s="1"/>
  <c r="AR785" i="1"/>
  <c r="BK785" i="1" s="1"/>
  <c r="R36" i="5" s="1"/>
  <c r="AQ785" i="1"/>
  <c r="BJ785" i="1" s="1"/>
  <c r="Q36" i="5" s="1"/>
  <c r="AI785" i="1"/>
  <c r="AL785" i="1"/>
  <c r="BE785" i="1" s="1"/>
  <c r="L36" i="5" s="1"/>
  <c r="BL791" i="1"/>
  <c r="BO791" i="1"/>
  <c r="BQ791" i="1"/>
  <c r="BS791" i="1"/>
  <c r="BU791" i="1"/>
  <c r="BP791" i="1"/>
  <c r="BT791" i="1"/>
  <c r="BM791" i="1"/>
  <c r="BR791" i="1"/>
  <c r="BN791" i="1"/>
  <c r="AJ802" i="1"/>
  <c r="BC802" i="1" s="1"/>
  <c r="AL802" i="1"/>
  <c r="BE802" i="1" s="1"/>
  <c r="AN802" i="1"/>
  <c r="BG802" i="1" s="1"/>
  <c r="AP802" i="1"/>
  <c r="BI802" i="1" s="1"/>
  <c r="AR802" i="1"/>
  <c r="BK802" i="1" s="1"/>
  <c r="AM802" i="1"/>
  <c r="BF802" i="1" s="1"/>
  <c r="AO802" i="1"/>
  <c r="BH802" i="1" s="1"/>
  <c r="AI802" i="1"/>
  <c r="AQ802" i="1"/>
  <c r="BJ802" i="1" s="1"/>
  <c r="AK802" i="1"/>
  <c r="BD802" i="1" s="1"/>
  <c r="AI777" i="1"/>
  <c r="AL777" i="1"/>
  <c r="BE777" i="1" s="1"/>
  <c r="AQ777" i="1"/>
  <c r="BJ777" i="1" s="1"/>
  <c r="AK777" i="1"/>
  <c r="BD777" i="1" s="1"/>
  <c r="AN777" i="1"/>
  <c r="BG777" i="1" s="1"/>
  <c r="AM777" i="1"/>
  <c r="BF777" i="1" s="1"/>
  <c r="AP777" i="1"/>
  <c r="BI777" i="1" s="1"/>
  <c r="AJ777" i="1"/>
  <c r="BC777" i="1" s="1"/>
  <c r="AO777" i="1"/>
  <c r="BH777" i="1" s="1"/>
  <c r="AR777" i="1"/>
  <c r="BK777" i="1" s="1"/>
  <c r="BL826" i="1"/>
  <c r="BM826" i="1"/>
  <c r="BN826" i="1"/>
  <c r="BP826" i="1"/>
  <c r="BR826" i="1"/>
  <c r="BO826" i="1"/>
  <c r="BU826" i="1"/>
  <c r="BS826" i="1"/>
  <c r="BT826" i="1"/>
  <c r="BQ826" i="1"/>
  <c r="AK816" i="1"/>
  <c r="BD816" i="1" s="1"/>
  <c r="AN816" i="1"/>
  <c r="BG816" i="1" s="1"/>
  <c r="AM816" i="1"/>
  <c r="BF816" i="1" s="1"/>
  <c r="AP816" i="1"/>
  <c r="BI816" i="1" s="1"/>
  <c r="AJ816" i="1"/>
  <c r="BC816" i="1" s="1"/>
  <c r="AO816" i="1"/>
  <c r="BH816" i="1" s="1"/>
  <c r="AR816" i="1"/>
  <c r="BK816" i="1" s="1"/>
  <c r="AI816" i="1"/>
  <c r="AL816" i="1"/>
  <c r="BE816" i="1" s="1"/>
  <c r="AQ816" i="1"/>
  <c r="BJ816" i="1" s="1"/>
  <c r="BO793" i="1"/>
  <c r="BQ793" i="1"/>
  <c r="BM793" i="1"/>
  <c r="BN793" i="1"/>
  <c r="BP793" i="1"/>
  <c r="BL793" i="1"/>
  <c r="BR793" i="1"/>
  <c r="BU793" i="1"/>
  <c r="BT793" i="1"/>
  <c r="BS793" i="1"/>
  <c r="AI807" i="1"/>
  <c r="AK807" i="1"/>
  <c r="BD807" i="1" s="1"/>
  <c r="AM807" i="1"/>
  <c r="BF807" i="1" s="1"/>
  <c r="AO807" i="1"/>
  <c r="BH807" i="1" s="1"/>
  <c r="AQ807" i="1"/>
  <c r="BJ807" i="1" s="1"/>
  <c r="AN807" i="1"/>
  <c r="BG807" i="1" s="1"/>
  <c r="AP807" i="1"/>
  <c r="BI807" i="1" s="1"/>
  <c r="AJ807" i="1"/>
  <c r="BC807" i="1" s="1"/>
  <c r="AR807" i="1"/>
  <c r="BK807" i="1" s="1"/>
  <c r="AL807" i="1"/>
  <c r="BE807" i="1" s="1"/>
  <c r="BM776" i="1"/>
  <c r="BL776" i="1"/>
  <c r="BP776" i="1"/>
  <c r="BR776" i="1"/>
  <c r="BT776" i="1"/>
  <c r="BN776" i="1"/>
  <c r="BQ776" i="1"/>
  <c r="BS776" i="1"/>
  <c r="BU776" i="1"/>
  <c r="BO776" i="1"/>
  <c r="BM803" i="1"/>
  <c r="BL803" i="1"/>
  <c r="BN803" i="1"/>
  <c r="BP803" i="1"/>
  <c r="BR803" i="1"/>
  <c r="BT803" i="1"/>
  <c r="BO803" i="1"/>
  <c r="BU803" i="1"/>
  <c r="BQ803" i="1"/>
  <c r="BS803" i="1"/>
  <c r="BM790" i="1"/>
  <c r="BL790" i="1"/>
  <c r="BO790" i="1"/>
  <c r="BQ790" i="1"/>
  <c r="BP790" i="1"/>
  <c r="BT790" i="1"/>
  <c r="BN790" i="1"/>
  <c r="BS790" i="1"/>
  <c r="BR790" i="1"/>
  <c r="BU790" i="1"/>
  <c r="BL823" i="1"/>
  <c r="BO823" i="1"/>
  <c r="BQ823" i="1"/>
  <c r="BS823" i="1"/>
  <c r="BU823" i="1"/>
  <c r="BN823" i="1"/>
  <c r="BT823" i="1"/>
  <c r="BR823" i="1"/>
  <c r="BM823" i="1"/>
  <c r="BP823" i="1"/>
  <c r="BL802" i="1"/>
  <c r="BN802" i="1"/>
  <c r="BP802" i="1"/>
  <c r="BR802" i="1"/>
  <c r="BU802" i="1"/>
  <c r="BT802" i="1"/>
  <c r="BQ802" i="1"/>
  <c r="BO802" i="1"/>
  <c r="BS802" i="1"/>
  <c r="BM802" i="1"/>
  <c r="BM808" i="1"/>
  <c r="BL808" i="1"/>
  <c r="BN808" i="1"/>
  <c r="BP808" i="1"/>
  <c r="BR808" i="1"/>
  <c r="BT808" i="1"/>
  <c r="BO808" i="1"/>
  <c r="BS808" i="1"/>
  <c r="BU808" i="1"/>
  <c r="BQ808" i="1"/>
  <c r="BL779" i="1"/>
  <c r="BP779" i="1"/>
  <c r="BR779" i="1"/>
  <c r="BT779" i="1"/>
  <c r="BN779" i="1"/>
  <c r="BM779" i="1"/>
  <c r="BO779" i="1"/>
  <c r="BQ779" i="1"/>
  <c r="BS779" i="1"/>
  <c r="BU779" i="1"/>
  <c r="AI797" i="1"/>
  <c r="AN797" i="1"/>
  <c r="BG797" i="1" s="1"/>
  <c r="AQ797" i="1"/>
  <c r="BJ797" i="1" s="1"/>
  <c r="AK797" i="1"/>
  <c r="BD797" i="1" s="1"/>
  <c r="AP797" i="1"/>
  <c r="BI797" i="1" s="1"/>
  <c r="AJ797" i="1"/>
  <c r="BC797" i="1" s="1"/>
  <c r="AM797" i="1"/>
  <c r="BF797" i="1" s="1"/>
  <c r="AR797" i="1"/>
  <c r="BK797" i="1" s="1"/>
  <c r="AO797" i="1"/>
  <c r="BH797" i="1" s="1"/>
  <c r="AL797" i="1"/>
  <c r="BE797" i="1" s="1"/>
  <c r="BN463" i="1"/>
  <c r="BN563" i="1"/>
  <c r="BM555" i="1"/>
  <c r="BL603" i="1"/>
  <c r="BO675" i="1"/>
  <c r="BP671" i="1"/>
  <c r="BL700" i="1"/>
  <c r="BM710" i="1"/>
  <c r="BT710" i="1"/>
  <c r="BR711" i="1"/>
  <c r="BM816" i="1"/>
  <c r="BL816" i="1"/>
  <c r="BN816" i="1"/>
  <c r="BP816" i="1"/>
  <c r="BR816" i="1"/>
  <c r="BT816" i="1"/>
  <c r="BQ816" i="1"/>
  <c r="BU816" i="1"/>
  <c r="BS816" i="1"/>
  <c r="BO816" i="1"/>
  <c r="BM815" i="1"/>
  <c r="BO815" i="1"/>
  <c r="BQ815" i="1"/>
  <c r="BS815" i="1"/>
  <c r="BU815" i="1"/>
  <c r="BL815" i="1"/>
  <c r="BP815" i="1"/>
  <c r="BT815" i="1"/>
  <c r="BN815" i="1"/>
  <c r="BR815" i="1"/>
  <c r="BN781" i="1"/>
  <c r="BP781" i="1"/>
  <c r="BR781" i="1"/>
  <c r="BM781" i="1"/>
  <c r="BO781" i="1"/>
  <c r="BQ781" i="1"/>
  <c r="BL781" i="1"/>
  <c r="BT781" i="1"/>
  <c r="BU781" i="1"/>
  <c r="BS781" i="1"/>
  <c r="AJ801" i="1"/>
  <c r="BC801" i="1" s="1"/>
  <c r="AO801" i="1"/>
  <c r="BH801" i="1" s="1"/>
  <c r="AR801" i="1"/>
  <c r="BK801" i="1" s="1"/>
  <c r="AI801" i="1"/>
  <c r="AL801" i="1"/>
  <c r="BE801" i="1" s="1"/>
  <c r="AQ801" i="1"/>
  <c r="BJ801" i="1" s="1"/>
  <c r="AK801" i="1"/>
  <c r="BD801" i="1" s="1"/>
  <c r="AN801" i="1"/>
  <c r="BG801" i="1" s="1"/>
  <c r="AM801" i="1"/>
  <c r="BF801" i="1" s="1"/>
  <c r="AP801" i="1"/>
  <c r="BI801" i="1" s="1"/>
  <c r="AJ795" i="1"/>
  <c r="BC795" i="1" s="1"/>
  <c r="AL795" i="1"/>
  <c r="BE795" i="1" s="1"/>
  <c r="AN795" i="1"/>
  <c r="BG795" i="1" s="1"/>
  <c r="AP795" i="1"/>
  <c r="BI795" i="1" s="1"/>
  <c r="AR795" i="1"/>
  <c r="BK795" i="1" s="1"/>
  <c r="AK795" i="1"/>
  <c r="BD795" i="1" s="1"/>
  <c r="AM795" i="1"/>
  <c r="BF795" i="1" s="1"/>
  <c r="AO795" i="1"/>
  <c r="BH795" i="1" s="1"/>
  <c r="AQ795" i="1"/>
  <c r="BJ795" i="1" s="1"/>
  <c r="AI795" i="1"/>
  <c r="AL821" i="1"/>
  <c r="BE821" i="1" s="1"/>
  <c r="AO821" i="1"/>
  <c r="BH821" i="1" s="1"/>
  <c r="AI821" i="1"/>
  <c r="AN821" i="1"/>
  <c r="BG821" i="1" s="1"/>
  <c r="AQ821" i="1"/>
  <c r="BJ821" i="1" s="1"/>
  <c r="AK821" i="1"/>
  <c r="BD821" i="1" s="1"/>
  <c r="AP821" i="1"/>
  <c r="BI821" i="1" s="1"/>
  <c r="AR821" i="1"/>
  <c r="BK821" i="1" s="1"/>
  <c r="AJ821" i="1"/>
  <c r="BC821" i="1" s="1"/>
  <c r="AM821" i="1"/>
  <c r="BF821" i="1" s="1"/>
  <c r="AL788" i="1"/>
  <c r="BE788" i="1" s="1"/>
  <c r="AO788" i="1"/>
  <c r="BH788" i="1" s="1"/>
  <c r="AI788" i="1"/>
  <c r="AN788" i="1"/>
  <c r="BG788" i="1" s="1"/>
  <c r="AQ788" i="1"/>
  <c r="BJ788" i="1" s="1"/>
  <c r="AK788" i="1"/>
  <c r="BD788" i="1" s="1"/>
  <c r="AP788" i="1"/>
  <c r="BI788" i="1" s="1"/>
  <c r="AJ788" i="1"/>
  <c r="BC788" i="1" s="1"/>
  <c r="AM788" i="1"/>
  <c r="BF788" i="1" s="1"/>
  <c r="AR788" i="1"/>
  <c r="BK788" i="1" s="1"/>
  <c r="AJ811" i="1"/>
  <c r="BC811" i="1" s="1"/>
  <c r="AL811" i="1"/>
  <c r="BE811" i="1" s="1"/>
  <c r="AN811" i="1"/>
  <c r="BG811" i="1" s="1"/>
  <c r="AP811" i="1"/>
  <c r="BI811" i="1" s="1"/>
  <c r="AR811" i="1"/>
  <c r="BK811" i="1" s="1"/>
  <c r="AO811" i="1"/>
  <c r="BH811" i="1" s="1"/>
  <c r="AI811" i="1"/>
  <c r="AQ811" i="1"/>
  <c r="BJ811" i="1" s="1"/>
  <c r="AK811" i="1"/>
  <c r="BD811" i="1" s="1"/>
  <c r="AM811" i="1"/>
  <c r="BF811" i="1" s="1"/>
  <c r="AI806" i="1"/>
  <c r="AK806" i="1"/>
  <c r="BD806" i="1" s="1"/>
  <c r="AM806" i="1"/>
  <c r="BF806" i="1" s="1"/>
  <c r="AO806" i="1"/>
  <c r="BH806" i="1" s="1"/>
  <c r="AQ806" i="1"/>
  <c r="BJ806" i="1" s="1"/>
  <c r="AN806" i="1"/>
  <c r="BG806" i="1" s="1"/>
  <c r="AP806" i="1"/>
  <c r="BI806" i="1" s="1"/>
  <c r="AJ806" i="1"/>
  <c r="BC806" i="1" s="1"/>
  <c r="AR806" i="1"/>
  <c r="BK806" i="1" s="1"/>
  <c r="AL806" i="1"/>
  <c r="BE806" i="1" s="1"/>
  <c r="AJ819" i="1"/>
  <c r="BC819" i="1" s="1"/>
  <c r="AL819" i="1"/>
  <c r="BE819" i="1" s="1"/>
  <c r="AN819" i="1"/>
  <c r="BG819" i="1" s="1"/>
  <c r="AP819" i="1"/>
  <c r="BI819" i="1" s="1"/>
  <c r="AR819" i="1"/>
  <c r="BK819" i="1" s="1"/>
  <c r="AI819" i="1"/>
  <c r="AQ819" i="1"/>
  <c r="BJ819" i="1" s="1"/>
  <c r="AK819" i="1"/>
  <c r="BD819" i="1" s="1"/>
  <c r="AM819" i="1"/>
  <c r="BF819" i="1" s="1"/>
  <c r="AO819" i="1"/>
  <c r="BH819" i="1" s="1"/>
  <c r="AK804" i="1"/>
  <c r="BD804" i="1" s="1"/>
  <c r="AP804" i="1"/>
  <c r="BI804" i="1" s="1"/>
  <c r="AJ804" i="1"/>
  <c r="BC804" i="1" s="1"/>
  <c r="AM804" i="1"/>
  <c r="BF804" i="1" s="1"/>
  <c r="AR804" i="1"/>
  <c r="BK804" i="1" s="1"/>
  <c r="AL804" i="1"/>
  <c r="BE804" i="1" s="1"/>
  <c r="AO804" i="1"/>
  <c r="BH804" i="1" s="1"/>
  <c r="AI804" i="1"/>
  <c r="AN804" i="1"/>
  <c r="BG804" i="1" s="1"/>
  <c r="AQ804" i="1"/>
  <c r="BJ804" i="1" s="1"/>
  <c r="AI822" i="1"/>
  <c r="AK822" i="1"/>
  <c r="BD822" i="1" s="1"/>
  <c r="AM822" i="1"/>
  <c r="BF822" i="1" s="1"/>
  <c r="AO822" i="1"/>
  <c r="BH822" i="1" s="1"/>
  <c r="AQ822" i="1"/>
  <c r="BJ822" i="1" s="1"/>
  <c r="AJ822" i="1"/>
  <c r="BC822" i="1" s="1"/>
  <c r="AR822" i="1"/>
  <c r="BK822" i="1" s="1"/>
  <c r="AL822" i="1"/>
  <c r="BE822" i="1" s="1"/>
  <c r="AN822" i="1"/>
  <c r="BG822" i="1" s="1"/>
  <c r="AP822" i="1"/>
  <c r="BI822" i="1" s="1"/>
  <c r="AI830" i="1"/>
  <c r="AK830" i="1"/>
  <c r="BD830" i="1" s="1"/>
  <c r="AM830" i="1"/>
  <c r="BF830" i="1" s="1"/>
  <c r="AO830" i="1"/>
  <c r="BH830" i="1" s="1"/>
  <c r="AQ830" i="1"/>
  <c r="BJ830" i="1" s="1"/>
  <c r="AL830" i="1"/>
  <c r="BE830" i="1" s="1"/>
  <c r="AN830" i="1"/>
  <c r="BG830" i="1" s="1"/>
  <c r="AP830" i="1"/>
  <c r="BI830" i="1" s="1"/>
  <c r="AJ830" i="1"/>
  <c r="BC830" i="1" s="1"/>
  <c r="AR830" i="1"/>
  <c r="BK830" i="1" s="1"/>
  <c r="BL787" i="1"/>
  <c r="BN787" i="1"/>
  <c r="BP787" i="1"/>
  <c r="BR787" i="1"/>
  <c r="BT787" i="1"/>
  <c r="BM787" i="1"/>
  <c r="BO787" i="1"/>
  <c r="BS787" i="1"/>
  <c r="BU787" i="1"/>
  <c r="BQ787" i="1"/>
  <c r="BN675" i="1"/>
  <c r="BL671" i="1"/>
  <c r="BO700" i="1"/>
  <c r="BR700" i="1"/>
  <c r="BU710" i="1"/>
  <c r="BP710" i="1"/>
  <c r="BT711" i="1"/>
  <c r="BN711" i="1"/>
  <c r="BO777" i="1"/>
  <c r="BQ777" i="1"/>
  <c r="BL777" i="1"/>
  <c r="BP777" i="1"/>
  <c r="BR777" i="1"/>
  <c r="BN777" i="1"/>
  <c r="BS777" i="1"/>
  <c r="BU777" i="1"/>
  <c r="BM777" i="1"/>
  <c r="BT777" i="1"/>
  <c r="BL811" i="1"/>
  <c r="BN811" i="1"/>
  <c r="BP811" i="1"/>
  <c r="BR811" i="1"/>
  <c r="BT811" i="1"/>
  <c r="BM811" i="1"/>
  <c r="BQ811" i="1"/>
  <c r="BO811" i="1"/>
  <c r="BS811" i="1"/>
  <c r="BU811" i="1"/>
  <c r="AK805" i="1"/>
  <c r="BD805" i="1" s="1"/>
  <c r="AP805" i="1"/>
  <c r="BI805" i="1" s="1"/>
  <c r="AJ805" i="1"/>
  <c r="BC805" i="1" s="1"/>
  <c r="AM805" i="1"/>
  <c r="BF805" i="1" s="1"/>
  <c r="AR805" i="1"/>
  <c r="BK805" i="1" s="1"/>
  <c r="AL805" i="1"/>
  <c r="BE805" i="1" s="1"/>
  <c r="AO805" i="1"/>
  <c r="BH805" i="1" s="1"/>
  <c r="AN805" i="1"/>
  <c r="BG805" i="1" s="1"/>
  <c r="AQ805" i="1"/>
  <c r="BJ805" i="1" s="1"/>
  <c r="AI805" i="1"/>
  <c r="BL804" i="1"/>
  <c r="BO804" i="1"/>
  <c r="BQ804" i="1"/>
  <c r="BS804" i="1"/>
  <c r="BU804" i="1"/>
  <c r="BM804" i="1"/>
  <c r="BN804" i="1"/>
  <c r="BT804" i="1"/>
  <c r="BP804" i="1"/>
  <c r="BR804" i="1"/>
  <c r="AJ780" i="1"/>
  <c r="BC780" i="1" s="1"/>
  <c r="AM780" i="1"/>
  <c r="BF780" i="1" s="1"/>
  <c r="AR780" i="1"/>
  <c r="BK780" i="1" s="1"/>
  <c r="AL780" i="1"/>
  <c r="BE780" i="1" s="1"/>
  <c r="AO780" i="1"/>
  <c r="BH780" i="1" s="1"/>
  <c r="AI780" i="1"/>
  <c r="AN780" i="1"/>
  <c r="BG780" i="1" s="1"/>
  <c r="AQ780" i="1"/>
  <c r="BJ780" i="1" s="1"/>
  <c r="AK780" i="1"/>
  <c r="BD780" i="1" s="1"/>
  <c r="K31" i="5" s="1"/>
  <c r="AP780" i="1"/>
  <c r="BI780" i="1" s="1"/>
  <c r="BL834" i="1"/>
  <c r="BN834" i="1"/>
  <c r="BP834" i="1"/>
  <c r="BR834" i="1"/>
  <c r="BQ834" i="1"/>
  <c r="BT834" i="1"/>
  <c r="BO834" i="1"/>
  <c r="BU834" i="1"/>
  <c r="BS834" i="1"/>
  <c r="BM834" i="1"/>
  <c r="BM792" i="1"/>
  <c r="BN792" i="1"/>
  <c r="BP792" i="1"/>
  <c r="BR792" i="1"/>
  <c r="BT792" i="1"/>
  <c r="BL792" i="1"/>
  <c r="BQ792" i="1"/>
  <c r="BO792" i="1"/>
  <c r="BU792" i="1"/>
  <c r="BS792" i="1"/>
  <c r="BO801" i="1"/>
  <c r="BQ801" i="1"/>
  <c r="BN801" i="1"/>
  <c r="BP801" i="1"/>
  <c r="BL801" i="1"/>
  <c r="BT801" i="1"/>
  <c r="BS801" i="1"/>
  <c r="BM801" i="1"/>
  <c r="BR801" i="1"/>
  <c r="BU801" i="1"/>
  <c r="AJ778" i="1"/>
  <c r="BC778" i="1" s="1"/>
  <c r="AL778" i="1"/>
  <c r="BE778" i="1" s="1"/>
  <c r="AN778" i="1"/>
  <c r="BG778" i="1" s="1"/>
  <c r="AP778" i="1"/>
  <c r="BI778" i="1" s="1"/>
  <c r="AR778" i="1"/>
  <c r="BK778" i="1" s="1"/>
  <c r="AO778" i="1"/>
  <c r="BH778" i="1" s="1"/>
  <c r="AI778" i="1"/>
  <c r="AQ778" i="1"/>
  <c r="BJ778" i="1" s="1"/>
  <c r="AK778" i="1"/>
  <c r="BD778" i="1" s="1"/>
  <c r="AM778" i="1"/>
  <c r="BF778" i="1" s="1"/>
  <c r="BM784" i="1"/>
  <c r="BL784" i="1"/>
  <c r="BN784" i="1"/>
  <c r="BP784" i="1"/>
  <c r="BR784" i="1"/>
  <c r="BT784" i="1"/>
  <c r="BO784" i="1"/>
  <c r="BU784" i="1"/>
  <c r="BS784" i="1"/>
  <c r="BQ784" i="1"/>
  <c r="AI791" i="1"/>
  <c r="AK791" i="1"/>
  <c r="BD791" i="1" s="1"/>
  <c r="AM791" i="1"/>
  <c r="BF791" i="1" s="1"/>
  <c r="AO791" i="1"/>
  <c r="BH791" i="1" s="1"/>
  <c r="AQ791" i="1"/>
  <c r="BJ791" i="1" s="1"/>
  <c r="AJ791" i="1"/>
  <c r="BC791" i="1" s="1"/>
  <c r="AR791" i="1"/>
  <c r="BK791" i="1" s="1"/>
  <c r="AL791" i="1"/>
  <c r="BE791" i="1" s="1"/>
  <c r="AN791" i="1"/>
  <c r="BG791" i="1" s="1"/>
  <c r="AP791" i="1"/>
  <c r="BI791" i="1" s="1"/>
  <c r="BN821" i="1"/>
  <c r="BP821" i="1"/>
  <c r="BL821" i="1"/>
  <c r="BO821" i="1"/>
  <c r="BQ821" i="1"/>
  <c r="BT821" i="1"/>
  <c r="BR821" i="1"/>
  <c r="BM821" i="1"/>
  <c r="BS821" i="1"/>
  <c r="BU821" i="1"/>
  <c r="BL780" i="1"/>
  <c r="BN780" i="1"/>
  <c r="BO780" i="1"/>
  <c r="BQ780" i="1"/>
  <c r="BS780" i="1"/>
  <c r="BU780" i="1"/>
  <c r="BM780" i="1"/>
  <c r="BT780" i="1"/>
  <c r="BR780" i="1"/>
  <c r="BP780" i="1"/>
  <c r="BN813" i="1"/>
  <c r="BP813" i="1"/>
  <c r="BM813" i="1"/>
  <c r="BO813" i="1"/>
  <c r="BQ813" i="1"/>
  <c r="BL813" i="1"/>
  <c r="BT813" i="1"/>
  <c r="BR813" i="1"/>
  <c r="BU813" i="1"/>
  <c r="BS813" i="1"/>
  <c r="BO833" i="1"/>
  <c r="BQ833" i="1"/>
  <c r="BN833" i="1"/>
  <c r="BP833" i="1"/>
  <c r="BL833" i="1"/>
  <c r="BR833" i="1"/>
  <c r="BT833" i="1"/>
  <c r="BS833" i="1"/>
  <c r="BM833" i="1"/>
  <c r="BU833" i="1"/>
  <c r="AJ834" i="1"/>
  <c r="BC834" i="1" s="1"/>
  <c r="AL834" i="1"/>
  <c r="BE834" i="1" s="1"/>
  <c r="AN834" i="1"/>
  <c r="BG834" i="1" s="1"/>
  <c r="AP834" i="1"/>
  <c r="BI834" i="1" s="1"/>
  <c r="AR834" i="1"/>
  <c r="BK834" i="1" s="1"/>
  <c r="AM834" i="1"/>
  <c r="BF834" i="1" s="1"/>
  <c r="AO834" i="1"/>
  <c r="BH834" i="1" s="1"/>
  <c r="AI834" i="1"/>
  <c r="AQ834" i="1"/>
  <c r="BJ834" i="1" s="1"/>
  <c r="AK834" i="1"/>
  <c r="BD834" i="1" s="1"/>
  <c r="BQ671" i="1"/>
  <c r="BU675" i="1"/>
  <c r="BM675" i="1"/>
  <c r="BU691" i="1"/>
  <c r="BQ700" i="1"/>
  <c r="BN700" i="1"/>
  <c r="BQ710" i="1"/>
  <c r="BM711" i="1"/>
  <c r="BL711" i="1"/>
  <c r="AL789" i="1"/>
  <c r="BE789" i="1" s="1"/>
  <c r="AO789" i="1"/>
  <c r="BH789" i="1" s="1"/>
  <c r="AI789" i="1"/>
  <c r="AN789" i="1"/>
  <c r="BG789" i="1" s="1"/>
  <c r="AQ789" i="1"/>
  <c r="BJ789" i="1" s="1"/>
  <c r="AK789" i="1"/>
  <c r="BD789" i="1" s="1"/>
  <c r="AP789" i="1"/>
  <c r="BI789" i="1" s="1"/>
  <c r="AR789" i="1"/>
  <c r="BK789" i="1" s="1"/>
  <c r="AJ789" i="1"/>
  <c r="BC789" i="1" s="1"/>
  <c r="AM789" i="1"/>
  <c r="BF789" i="1" s="1"/>
  <c r="BM830" i="1"/>
  <c r="BO830" i="1"/>
  <c r="BQ830" i="1"/>
  <c r="BP830" i="1"/>
  <c r="BS830" i="1"/>
  <c r="BN830" i="1"/>
  <c r="BR830" i="1"/>
  <c r="BU830" i="1"/>
  <c r="BL830" i="1"/>
  <c r="BT830" i="1"/>
  <c r="AI823" i="1"/>
  <c r="AK823" i="1"/>
  <c r="BD823" i="1" s="1"/>
  <c r="AM823" i="1"/>
  <c r="BF823" i="1" s="1"/>
  <c r="AO823" i="1"/>
  <c r="BH823" i="1" s="1"/>
  <c r="AQ823" i="1"/>
  <c r="BJ823" i="1" s="1"/>
  <c r="AJ823" i="1"/>
  <c r="BC823" i="1" s="1"/>
  <c r="AR823" i="1"/>
  <c r="BK823" i="1" s="1"/>
  <c r="AL823" i="1"/>
  <c r="BE823" i="1" s="1"/>
  <c r="AN823" i="1"/>
  <c r="BG823" i="1" s="1"/>
  <c r="AP823" i="1"/>
  <c r="BI823" i="1" s="1"/>
  <c r="BN789" i="1"/>
  <c r="BP789" i="1"/>
  <c r="BR789" i="1"/>
  <c r="BL789" i="1"/>
  <c r="BO789" i="1"/>
  <c r="BQ789" i="1"/>
  <c r="BT789" i="1"/>
  <c r="BM789" i="1"/>
  <c r="BS789" i="1"/>
  <c r="BU789" i="1"/>
  <c r="BL820" i="1"/>
  <c r="BM820" i="1"/>
  <c r="BO820" i="1"/>
  <c r="BQ820" i="1"/>
  <c r="BS820" i="1"/>
  <c r="BU820" i="1"/>
  <c r="BR820" i="1"/>
  <c r="BN820" i="1"/>
  <c r="BP820" i="1"/>
  <c r="BT820" i="1"/>
  <c r="AJ835" i="1"/>
  <c r="BC835" i="1" s="1"/>
  <c r="AL835" i="1"/>
  <c r="BE835" i="1" s="1"/>
  <c r="AN835" i="1"/>
  <c r="BG835" i="1" s="1"/>
  <c r="AP835" i="1"/>
  <c r="BI835" i="1" s="1"/>
  <c r="AR835" i="1"/>
  <c r="BK835" i="1" s="1"/>
  <c r="AM835" i="1"/>
  <c r="BF835" i="1" s="1"/>
  <c r="AO835" i="1"/>
  <c r="BH835" i="1" s="1"/>
  <c r="AI835" i="1"/>
  <c r="AQ835" i="1"/>
  <c r="BJ835" i="1" s="1"/>
  <c r="AK835" i="1"/>
  <c r="BD835" i="1" s="1"/>
  <c r="BL778" i="1"/>
  <c r="BM778" i="1"/>
  <c r="BP778" i="1"/>
  <c r="BR778" i="1"/>
  <c r="BN778" i="1"/>
  <c r="BT778" i="1"/>
  <c r="BQ778" i="1"/>
  <c r="BS778" i="1"/>
  <c r="BU778" i="1"/>
  <c r="BO778" i="1"/>
  <c r="AI798" i="1"/>
  <c r="AK798" i="1"/>
  <c r="BD798" i="1" s="1"/>
  <c r="AM798" i="1"/>
  <c r="BF798" i="1" s="1"/>
  <c r="AO798" i="1"/>
  <c r="BH798" i="1" s="1"/>
  <c r="AQ798" i="1"/>
  <c r="BJ798" i="1" s="1"/>
  <c r="AL798" i="1"/>
  <c r="BE798" i="1" s="1"/>
  <c r="AN798" i="1"/>
  <c r="BG798" i="1" s="1"/>
  <c r="AP798" i="1"/>
  <c r="BI798" i="1" s="1"/>
  <c r="AJ798" i="1"/>
  <c r="BC798" i="1" s="1"/>
  <c r="AR798" i="1"/>
  <c r="BK798" i="1" s="1"/>
  <c r="BM799" i="1"/>
  <c r="BL799" i="1"/>
  <c r="BO799" i="1"/>
  <c r="BQ799" i="1"/>
  <c r="BS799" i="1"/>
  <c r="BU799" i="1"/>
  <c r="BN799" i="1"/>
  <c r="BT799" i="1"/>
  <c r="BR799" i="1"/>
  <c r="BP799" i="1"/>
  <c r="BM806" i="1"/>
  <c r="BL806" i="1"/>
  <c r="BO806" i="1"/>
  <c r="BQ806" i="1"/>
  <c r="BR806" i="1"/>
  <c r="BS806" i="1"/>
  <c r="BN806" i="1"/>
  <c r="BU806" i="1"/>
  <c r="BP806" i="1"/>
  <c r="BT806" i="1"/>
  <c r="AJ818" i="1"/>
  <c r="BC818" i="1" s="1"/>
  <c r="AL818" i="1"/>
  <c r="BE818" i="1" s="1"/>
  <c r="AN818" i="1"/>
  <c r="BG818" i="1" s="1"/>
  <c r="AP818" i="1"/>
  <c r="BI818" i="1" s="1"/>
  <c r="AR818" i="1"/>
  <c r="BK818" i="1" s="1"/>
  <c r="AI818" i="1"/>
  <c r="AQ818" i="1"/>
  <c r="BJ818" i="1" s="1"/>
  <c r="AK818" i="1"/>
  <c r="BD818" i="1" s="1"/>
  <c r="AM818" i="1"/>
  <c r="BF818" i="1" s="1"/>
  <c r="AO818" i="1"/>
  <c r="BH818" i="1" s="1"/>
  <c r="AJ812" i="1"/>
  <c r="BC812" i="1" s="1"/>
  <c r="AM812" i="1"/>
  <c r="BF812" i="1" s="1"/>
  <c r="AR812" i="1"/>
  <c r="BK812" i="1" s="1"/>
  <c r="AL812" i="1"/>
  <c r="BE812" i="1" s="1"/>
  <c r="AO812" i="1"/>
  <c r="BH812" i="1" s="1"/>
  <c r="AI812" i="1"/>
  <c r="AN812" i="1"/>
  <c r="BG812" i="1" s="1"/>
  <c r="AQ812" i="1"/>
  <c r="BJ812" i="1" s="1"/>
  <c r="AK812" i="1"/>
  <c r="BD812" i="1" s="1"/>
  <c r="AP812" i="1"/>
  <c r="BI812" i="1" s="1"/>
  <c r="BL810" i="1"/>
  <c r="BM810" i="1"/>
  <c r="BN810" i="1"/>
  <c r="BP810" i="1"/>
  <c r="BR810" i="1"/>
  <c r="BT810" i="1"/>
  <c r="BQ810" i="1"/>
  <c r="BO810" i="1"/>
  <c r="BS810" i="1"/>
  <c r="BU810" i="1"/>
  <c r="BT675" i="1"/>
  <c r="BL675" i="1"/>
  <c r="BT700" i="1"/>
  <c r="BR710" i="1"/>
  <c r="BU711" i="1"/>
  <c r="AI776" i="1"/>
  <c r="AL776" i="1"/>
  <c r="BE776" i="1" s="1"/>
  <c r="AQ776" i="1"/>
  <c r="BJ776" i="1" s="1"/>
  <c r="AK776" i="1"/>
  <c r="BD776" i="1" s="1"/>
  <c r="AN776" i="1"/>
  <c r="BG776" i="1" s="1"/>
  <c r="AM776" i="1"/>
  <c r="BF776" i="1" s="1"/>
  <c r="AP776" i="1"/>
  <c r="BI776" i="1" s="1"/>
  <c r="AJ776" i="1"/>
  <c r="BC776" i="1" s="1"/>
  <c r="AO776" i="1"/>
  <c r="BH776" i="1" s="1"/>
  <c r="AR776" i="1"/>
  <c r="BK776" i="1" s="1"/>
  <c r="BL818" i="1"/>
  <c r="BN818" i="1"/>
  <c r="BP818" i="1"/>
  <c r="BR818" i="1"/>
  <c r="BM818" i="1"/>
  <c r="BS818" i="1"/>
  <c r="BQ818" i="1"/>
  <c r="BU818" i="1"/>
  <c r="BO818" i="1"/>
  <c r="BT818" i="1"/>
  <c r="BO817" i="1"/>
  <c r="BQ817" i="1"/>
  <c r="BL817" i="1"/>
  <c r="BN817" i="1"/>
  <c r="BP817" i="1"/>
  <c r="BM817" i="1"/>
  <c r="BS817" i="1"/>
  <c r="BU817" i="1"/>
  <c r="BR817" i="1"/>
  <c r="BT817" i="1"/>
  <c r="AK817" i="1"/>
  <c r="BD817" i="1" s="1"/>
  <c r="AN817" i="1"/>
  <c r="BG817" i="1" s="1"/>
  <c r="AM817" i="1"/>
  <c r="BF817" i="1" s="1"/>
  <c r="AP817" i="1"/>
  <c r="BI817" i="1" s="1"/>
  <c r="AJ817" i="1"/>
  <c r="BC817" i="1" s="1"/>
  <c r="AO817" i="1"/>
  <c r="BH817" i="1" s="1"/>
  <c r="AR817" i="1"/>
  <c r="BK817" i="1" s="1"/>
  <c r="AI817" i="1"/>
  <c r="AL817" i="1"/>
  <c r="BE817" i="1" s="1"/>
  <c r="AQ817" i="1"/>
  <c r="BJ817" i="1" s="1"/>
  <c r="BL819" i="1"/>
  <c r="BN819" i="1"/>
  <c r="BP819" i="1"/>
  <c r="BR819" i="1"/>
  <c r="BT819" i="1"/>
  <c r="BM819" i="1"/>
  <c r="BS819" i="1"/>
  <c r="BQ819" i="1"/>
  <c r="BU819" i="1"/>
  <c r="BO819" i="1"/>
  <c r="AM825" i="1"/>
  <c r="BF825" i="1" s="1"/>
  <c r="AP825" i="1"/>
  <c r="BI825" i="1" s="1"/>
  <c r="AJ825" i="1"/>
  <c r="BC825" i="1" s="1"/>
  <c r="AO825" i="1"/>
  <c r="BH825" i="1" s="1"/>
  <c r="AR825" i="1"/>
  <c r="BK825" i="1" s="1"/>
  <c r="AI825" i="1"/>
  <c r="AL825" i="1"/>
  <c r="BE825" i="1" s="1"/>
  <c r="AQ825" i="1"/>
  <c r="BJ825" i="1" s="1"/>
  <c r="AK825" i="1"/>
  <c r="BD825" i="1" s="1"/>
  <c r="AN825" i="1"/>
  <c r="BG825" i="1" s="1"/>
  <c r="AJ827" i="1"/>
  <c r="BC827" i="1" s="1"/>
  <c r="AL827" i="1"/>
  <c r="BE827" i="1" s="1"/>
  <c r="AN827" i="1"/>
  <c r="BG827" i="1" s="1"/>
  <c r="AP827" i="1"/>
  <c r="BI827" i="1" s="1"/>
  <c r="AR827" i="1"/>
  <c r="BK827" i="1" s="1"/>
  <c r="AK827" i="1"/>
  <c r="BD827" i="1" s="1"/>
  <c r="AM827" i="1"/>
  <c r="BF827" i="1" s="1"/>
  <c r="AO827" i="1"/>
  <c r="BH827" i="1" s="1"/>
  <c r="AI827" i="1"/>
  <c r="AQ827" i="1"/>
  <c r="BJ827" i="1" s="1"/>
  <c r="AJ781" i="1"/>
  <c r="BC781" i="1" s="1"/>
  <c r="AM781" i="1"/>
  <c r="BF781" i="1" s="1"/>
  <c r="AR781" i="1"/>
  <c r="BK781" i="1" s="1"/>
  <c r="AL781" i="1"/>
  <c r="BE781" i="1" s="1"/>
  <c r="AO781" i="1"/>
  <c r="BH781" i="1" s="1"/>
  <c r="AI781" i="1"/>
  <c r="AN781" i="1"/>
  <c r="BG781" i="1" s="1"/>
  <c r="AQ781" i="1"/>
  <c r="BJ781" i="1" s="1"/>
  <c r="AK781" i="1"/>
  <c r="BD781" i="1" s="1"/>
  <c r="AP781" i="1"/>
  <c r="BI781" i="1" s="1"/>
  <c r="AI790" i="1"/>
  <c r="AK790" i="1"/>
  <c r="BD790" i="1" s="1"/>
  <c r="AM790" i="1"/>
  <c r="BF790" i="1" s="1"/>
  <c r="AO790" i="1"/>
  <c r="BH790" i="1" s="1"/>
  <c r="AQ790" i="1"/>
  <c r="BJ790" i="1" s="1"/>
  <c r="AJ790" i="1"/>
  <c r="BC790" i="1" s="1"/>
  <c r="AR790" i="1"/>
  <c r="BK790" i="1" s="1"/>
  <c r="AL790" i="1"/>
  <c r="BE790" i="1" s="1"/>
  <c r="AN790" i="1"/>
  <c r="BG790" i="1" s="1"/>
  <c r="AP790" i="1"/>
  <c r="BI790" i="1" s="1"/>
  <c r="BM798" i="1"/>
  <c r="BL798" i="1"/>
  <c r="BO798" i="1"/>
  <c r="BQ798" i="1"/>
  <c r="BS798" i="1"/>
  <c r="BR798" i="1"/>
  <c r="BT798" i="1"/>
  <c r="BP798" i="1"/>
  <c r="BU798" i="1"/>
  <c r="BN798" i="1"/>
  <c r="BO809" i="1"/>
  <c r="BQ809" i="1"/>
  <c r="BL809" i="1"/>
  <c r="BN809" i="1"/>
  <c r="BP809" i="1"/>
  <c r="BT809" i="1"/>
  <c r="BR809" i="1"/>
  <c r="BS809" i="1"/>
  <c r="BM809" i="1"/>
  <c r="BU809" i="1"/>
  <c r="AI783" i="1"/>
  <c r="AK783" i="1"/>
  <c r="BD783" i="1" s="1"/>
  <c r="AM783" i="1"/>
  <c r="BF783" i="1" s="1"/>
  <c r="AO783" i="1"/>
  <c r="BH783" i="1" s="1"/>
  <c r="AQ783" i="1"/>
  <c r="BJ783" i="1" s="1"/>
  <c r="AP783" i="1"/>
  <c r="BI783" i="1" s="1"/>
  <c r="AJ783" i="1"/>
  <c r="BC783" i="1" s="1"/>
  <c r="AR783" i="1"/>
  <c r="BK783" i="1" s="1"/>
  <c r="AL783" i="1"/>
  <c r="BE783" i="1" s="1"/>
  <c r="AN783" i="1"/>
  <c r="BG783" i="1" s="1"/>
  <c r="AI828" i="1"/>
  <c r="AN828" i="1"/>
  <c r="BG828" i="1" s="1"/>
  <c r="AQ828" i="1"/>
  <c r="BJ828" i="1" s="1"/>
  <c r="AK828" i="1"/>
  <c r="BD828" i="1" s="1"/>
  <c r="AP828" i="1"/>
  <c r="BI828" i="1" s="1"/>
  <c r="AJ828" i="1"/>
  <c r="BC828" i="1" s="1"/>
  <c r="AM828" i="1"/>
  <c r="BF828" i="1" s="1"/>
  <c r="AR828" i="1"/>
  <c r="BK828" i="1" s="1"/>
  <c r="AL828" i="1"/>
  <c r="BE828" i="1" s="1"/>
  <c r="AO828" i="1"/>
  <c r="BH828" i="1" s="1"/>
  <c r="AJ803" i="1"/>
  <c r="BC803" i="1" s="1"/>
  <c r="AL803" i="1"/>
  <c r="BE803" i="1" s="1"/>
  <c r="AN803" i="1"/>
  <c r="BG803" i="1" s="1"/>
  <c r="AP803" i="1"/>
  <c r="BI803" i="1" s="1"/>
  <c r="AR803" i="1"/>
  <c r="BK803" i="1" s="1"/>
  <c r="AM803" i="1"/>
  <c r="BF803" i="1" s="1"/>
  <c r="AO803" i="1"/>
  <c r="BH803" i="1" s="1"/>
  <c r="AI803" i="1"/>
  <c r="AQ803" i="1"/>
  <c r="BJ803" i="1" s="1"/>
  <c r="AK803" i="1"/>
  <c r="BD803" i="1" s="1"/>
  <c r="AI814" i="1"/>
  <c r="AK814" i="1"/>
  <c r="BD814" i="1" s="1"/>
  <c r="AM814" i="1"/>
  <c r="BF814" i="1" s="1"/>
  <c r="AO814" i="1"/>
  <c r="BH814" i="1" s="1"/>
  <c r="AQ814" i="1"/>
  <c r="BJ814" i="1" s="1"/>
  <c r="AP814" i="1"/>
  <c r="BI814" i="1" s="1"/>
  <c r="AJ814" i="1"/>
  <c r="BC814" i="1" s="1"/>
  <c r="AR814" i="1"/>
  <c r="BK814" i="1" s="1"/>
  <c r="AL814" i="1"/>
  <c r="BE814" i="1" s="1"/>
  <c r="AN814" i="1"/>
  <c r="BG814" i="1" s="1"/>
  <c r="AJ832" i="1"/>
  <c r="BC832" i="1" s="1"/>
  <c r="AO832" i="1"/>
  <c r="BH832" i="1" s="1"/>
  <c r="AR832" i="1"/>
  <c r="BK832" i="1" s="1"/>
  <c r="AI832" i="1"/>
  <c r="AL832" i="1"/>
  <c r="BE832" i="1" s="1"/>
  <c r="AQ832" i="1"/>
  <c r="BJ832" i="1" s="1"/>
  <c r="AK832" i="1"/>
  <c r="BD832" i="1" s="1"/>
  <c r="AN832" i="1"/>
  <c r="BG832" i="1" s="1"/>
  <c r="AM832" i="1"/>
  <c r="BF832" i="1" s="1"/>
  <c r="AP832" i="1"/>
  <c r="BI832" i="1" s="1"/>
  <c r="AI808" i="1"/>
  <c r="AL808" i="1"/>
  <c r="BE808" i="1" s="1"/>
  <c r="AQ808" i="1"/>
  <c r="BJ808" i="1" s="1"/>
  <c r="AK808" i="1"/>
  <c r="BD808" i="1" s="1"/>
  <c r="AN808" i="1"/>
  <c r="BG808" i="1" s="1"/>
  <c r="AM808" i="1"/>
  <c r="BF808" i="1" s="1"/>
  <c r="AP808" i="1"/>
  <c r="BI808" i="1" s="1"/>
  <c r="AJ808" i="1"/>
  <c r="BC808" i="1" s="1"/>
  <c r="AO808" i="1"/>
  <c r="BH808" i="1" s="1"/>
  <c r="AR808" i="1"/>
  <c r="BK808" i="1" s="1"/>
  <c r="BU671" i="1"/>
  <c r="AM824" i="1"/>
  <c r="BF824" i="1" s="1"/>
  <c r="AP824" i="1"/>
  <c r="BI824" i="1" s="1"/>
  <c r="AJ824" i="1"/>
  <c r="BC824" i="1" s="1"/>
  <c r="AO824" i="1"/>
  <c r="BH824" i="1" s="1"/>
  <c r="AR824" i="1"/>
  <c r="BK824" i="1" s="1"/>
  <c r="AI824" i="1"/>
  <c r="AL824" i="1"/>
  <c r="BE824" i="1" s="1"/>
  <c r="AQ824" i="1"/>
  <c r="BJ824" i="1" s="1"/>
  <c r="AK824" i="1"/>
  <c r="BD824" i="1" s="1"/>
  <c r="AN824" i="1"/>
  <c r="BG824" i="1" s="1"/>
  <c r="BL812" i="1"/>
  <c r="BO812" i="1"/>
  <c r="BQ812" i="1"/>
  <c r="BS812" i="1"/>
  <c r="BU812" i="1"/>
  <c r="BM812" i="1"/>
  <c r="BP812" i="1"/>
  <c r="BT812" i="1"/>
  <c r="BR812" i="1"/>
  <c r="BN812" i="1"/>
  <c r="BM824" i="1"/>
  <c r="BN824" i="1"/>
  <c r="BP824" i="1"/>
  <c r="BR824" i="1"/>
  <c r="BT824" i="1"/>
  <c r="BL824" i="1"/>
  <c r="BQ824" i="1"/>
  <c r="BS824" i="1"/>
  <c r="BO824" i="1"/>
  <c r="BU824" i="1"/>
  <c r="AJ826" i="1"/>
  <c r="BC826" i="1" s="1"/>
  <c r="AL826" i="1"/>
  <c r="BE826" i="1" s="1"/>
  <c r="AN826" i="1"/>
  <c r="BG826" i="1" s="1"/>
  <c r="AP826" i="1"/>
  <c r="BI826" i="1" s="1"/>
  <c r="AR826" i="1"/>
  <c r="BK826" i="1" s="1"/>
  <c r="AK826" i="1"/>
  <c r="BD826" i="1" s="1"/>
  <c r="AM826" i="1"/>
  <c r="BF826" i="1" s="1"/>
  <c r="AO826" i="1"/>
  <c r="BH826" i="1" s="1"/>
  <c r="AI826" i="1"/>
  <c r="AQ826" i="1"/>
  <c r="BJ826" i="1" s="1"/>
  <c r="AK784" i="1"/>
  <c r="BD784" i="1" s="1"/>
  <c r="K35" i="5" s="1"/>
  <c r="AN784" i="1"/>
  <c r="BG784" i="1" s="1"/>
  <c r="N35" i="5" s="1"/>
  <c r="AM784" i="1"/>
  <c r="BF784" i="1" s="1"/>
  <c r="M35" i="5" s="1"/>
  <c r="AP784" i="1"/>
  <c r="BI784" i="1" s="1"/>
  <c r="P35" i="5" s="1"/>
  <c r="AJ784" i="1"/>
  <c r="BC784" i="1" s="1"/>
  <c r="J35" i="5" s="1"/>
  <c r="AO784" i="1"/>
  <c r="BH784" i="1" s="1"/>
  <c r="O35" i="5" s="1"/>
  <c r="AR784" i="1"/>
  <c r="BK784" i="1" s="1"/>
  <c r="R35" i="5" s="1"/>
  <c r="AI784" i="1"/>
  <c r="AL784" i="1"/>
  <c r="BE784" i="1" s="1"/>
  <c r="L35" i="5" s="1"/>
  <c r="AQ784" i="1"/>
  <c r="BJ784" i="1" s="1"/>
  <c r="Q35" i="5" s="1"/>
  <c r="BL795" i="1"/>
  <c r="BM795" i="1"/>
  <c r="BN795" i="1"/>
  <c r="BP795" i="1"/>
  <c r="BR795" i="1"/>
  <c r="BT795" i="1"/>
  <c r="BS795" i="1"/>
  <c r="BQ795" i="1"/>
  <c r="BU795" i="1"/>
  <c r="BO795" i="1"/>
  <c r="BN797" i="1"/>
  <c r="BP797" i="1"/>
  <c r="BL797" i="1"/>
  <c r="BO797" i="1"/>
  <c r="BQ797" i="1"/>
  <c r="BS797" i="1"/>
  <c r="BR797" i="1"/>
  <c r="BU797" i="1"/>
  <c r="BM797" i="1"/>
  <c r="BT797" i="1"/>
  <c r="AJ813" i="1"/>
  <c r="BC813" i="1" s="1"/>
  <c r="AM813" i="1"/>
  <c r="BF813" i="1" s="1"/>
  <c r="AR813" i="1"/>
  <c r="BK813" i="1" s="1"/>
  <c r="AL813" i="1"/>
  <c r="BE813" i="1" s="1"/>
  <c r="AO813" i="1"/>
  <c r="BH813" i="1" s="1"/>
  <c r="AI813" i="1"/>
  <c r="AN813" i="1"/>
  <c r="BG813" i="1" s="1"/>
  <c r="AQ813" i="1"/>
  <c r="BJ813" i="1" s="1"/>
  <c r="AK813" i="1"/>
  <c r="BD813" i="1" s="1"/>
  <c r="AP813" i="1"/>
  <c r="BI813" i="1" s="1"/>
  <c r="AJ833" i="1"/>
  <c r="BC833" i="1" s="1"/>
  <c r="AO833" i="1"/>
  <c r="BH833" i="1" s="1"/>
  <c r="AR833" i="1"/>
  <c r="BK833" i="1" s="1"/>
  <c r="AI833" i="1"/>
  <c r="AL833" i="1"/>
  <c r="BE833" i="1" s="1"/>
  <c r="AQ833" i="1"/>
  <c r="BJ833" i="1" s="1"/>
  <c r="AK833" i="1"/>
  <c r="BD833" i="1" s="1"/>
  <c r="AN833" i="1"/>
  <c r="BG833" i="1" s="1"/>
  <c r="AM833" i="1"/>
  <c r="BF833" i="1" s="1"/>
  <c r="AP833" i="1"/>
  <c r="BI833" i="1" s="1"/>
  <c r="BL786" i="1"/>
  <c r="BN786" i="1"/>
  <c r="BP786" i="1"/>
  <c r="BR786" i="1"/>
  <c r="BM786" i="1"/>
  <c r="BO786" i="1"/>
  <c r="BS786" i="1"/>
  <c r="BU786" i="1"/>
  <c r="BQ786" i="1"/>
  <c r="BT786" i="1"/>
  <c r="AM792" i="1"/>
  <c r="BF792" i="1" s="1"/>
  <c r="AP792" i="1"/>
  <c r="BI792" i="1" s="1"/>
  <c r="AJ792" i="1"/>
  <c r="BC792" i="1" s="1"/>
  <c r="AO792" i="1"/>
  <c r="BH792" i="1" s="1"/>
  <c r="AR792" i="1"/>
  <c r="BK792" i="1" s="1"/>
  <c r="AI792" i="1"/>
  <c r="AL792" i="1"/>
  <c r="BE792" i="1" s="1"/>
  <c r="AQ792" i="1"/>
  <c r="BJ792" i="1" s="1"/>
  <c r="AK792" i="1"/>
  <c r="BD792" i="1" s="1"/>
  <c r="AN792" i="1"/>
  <c r="BG792" i="1" s="1"/>
  <c r="BM800" i="1"/>
  <c r="BN800" i="1"/>
  <c r="BP800" i="1"/>
  <c r="BR800" i="1"/>
  <c r="BT800" i="1"/>
  <c r="BL800" i="1"/>
  <c r="BQ800" i="1"/>
  <c r="BS800" i="1"/>
  <c r="BU800" i="1"/>
  <c r="BO800" i="1"/>
  <c r="BM783" i="1"/>
  <c r="BO783" i="1"/>
  <c r="BQ783" i="1"/>
  <c r="BS783" i="1"/>
  <c r="BU783" i="1"/>
  <c r="BL783" i="1"/>
  <c r="BP783" i="1"/>
  <c r="BN783" i="1"/>
  <c r="BR783" i="1"/>
  <c r="BT783" i="1"/>
  <c r="BN829" i="1"/>
  <c r="BP829" i="1"/>
  <c r="BO829" i="1"/>
  <c r="BQ829" i="1"/>
  <c r="BS829" i="1"/>
  <c r="BU829" i="1"/>
  <c r="BL829" i="1"/>
  <c r="BM829" i="1"/>
  <c r="BR829" i="1"/>
  <c r="BT829" i="1"/>
  <c r="BL788" i="1"/>
  <c r="BM788" i="1"/>
  <c r="BO788" i="1"/>
  <c r="BQ788" i="1"/>
  <c r="BS788" i="1"/>
  <c r="BU788" i="1"/>
  <c r="BP788" i="1"/>
  <c r="BN788" i="1"/>
  <c r="BT788" i="1"/>
  <c r="BR788" i="1"/>
  <c r="AJ794" i="1"/>
  <c r="BC794" i="1" s="1"/>
  <c r="AL794" i="1"/>
  <c r="BE794" i="1" s="1"/>
  <c r="AN794" i="1"/>
  <c r="BG794" i="1" s="1"/>
  <c r="AP794" i="1"/>
  <c r="BI794" i="1" s="1"/>
  <c r="AR794" i="1"/>
  <c r="BK794" i="1" s="1"/>
  <c r="AK794" i="1"/>
  <c r="BD794" i="1" s="1"/>
  <c r="AM794" i="1"/>
  <c r="BF794" i="1" s="1"/>
  <c r="AO794" i="1"/>
  <c r="BH794" i="1" s="1"/>
  <c r="AI794" i="1"/>
  <c r="AQ794" i="1"/>
  <c r="BJ794" i="1" s="1"/>
  <c r="BO504" i="1"/>
  <c r="BS688" i="1"/>
  <c r="BM719" i="1"/>
  <c r="BM730" i="1"/>
  <c r="BL772" i="1"/>
  <c r="BN772" i="1"/>
  <c r="BP772" i="1"/>
  <c r="BR772" i="1"/>
  <c r="BT772" i="1"/>
  <c r="BM772" i="1"/>
  <c r="BO772" i="1"/>
  <c r="BQ772" i="1"/>
  <c r="BS772" i="1"/>
  <c r="BU772" i="1"/>
  <c r="AI770" i="1"/>
  <c r="AK770" i="1"/>
  <c r="BD770" i="1" s="1"/>
  <c r="AM770" i="1"/>
  <c r="BF770" i="1" s="1"/>
  <c r="AO770" i="1"/>
  <c r="BH770" i="1" s="1"/>
  <c r="AQ770" i="1"/>
  <c r="BJ770" i="1" s="1"/>
  <c r="AJ770" i="1"/>
  <c r="BC770" i="1" s="1"/>
  <c r="AL770" i="1"/>
  <c r="BE770" i="1" s="1"/>
  <c r="AN770" i="1"/>
  <c r="BG770" i="1" s="1"/>
  <c r="AP770" i="1"/>
  <c r="BI770" i="1" s="1"/>
  <c r="AR770" i="1"/>
  <c r="BK770" i="1" s="1"/>
  <c r="BQ504" i="1"/>
  <c r="BR688" i="1"/>
  <c r="BT679" i="1"/>
  <c r="BO671" i="1"/>
  <c r="BO719" i="1"/>
  <c r="BO730" i="1"/>
  <c r="BR730" i="1"/>
  <c r="AJ764" i="1"/>
  <c r="BC764" i="1" s="1"/>
  <c r="AL764" i="1"/>
  <c r="BE764" i="1" s="1"/>
  <c r="AN764" i="1"/>
  <c r="BG764" i="1" s="1"/>
  <c r="AP764" i="1"/>
  <c r="BI764" i="1" s="1"/>
  <c r="AR764" i="1"/>
  <c r="BK764" i="1" s="1"/>
  <c r="AI764" i="1"/>
  <c r="AK764" i="1"/>
  <c r="BD764" i="1" s="1"/>
  <c r="AM764" i="1"/>
  <c r="BF764" i="1" s="1"/>
  <c r="AO764" i="1"/>
  <c r="BH764" i="1" s="1"/>
  <c r="AQ764" i="1"/>
  <c r="BJ764" i="1" s="1"/>
  <c r="BL774" i="1"/>
  <c r="BN774" i="1"/>
  <c r="BP774" i="1"/>
  <c r="BR774" i="1"/>
  <c r="BT774" i="1"/>
  <c r="BM774" i="1"/>
  <c r="BO774" i="1"/>
  <c r="BQ774" i="1"/>
  <c r="BS774" i="1"/>
  <c r="BU774" i="1"/>
  <c r="BL767" i="1"/>
  <c r="BN767" i="1"/>
  <c r="BP767" i="1"/>
  <c r="BR767" i="1"/>
  <c r="BT767" i="1"/>
  <c r="BO767" i="1"/>
  <c r="BU767" i="1"/>
  <c r="BQ767" i="1"/>
  <c r="BM767" i="1"/>
  <c r="BS767" i="1"/>
  <c r="BT504" i="1"/>
  <c r="BM504" i="1"/>
  <c r="BU591" i="1"/>
  <c r="BQ688" i="1"/>
  <c r="BS679" i="1"/>
  <c r="BM671" i="1"/>
  <c r="BP719" i="1"/>
  <c r="BT730" i="1"/>
  <c r="BN730" i="1"/>
  <c r="AJ766" i="1"/>
  <c r="BC766" i="1" s="1"/>
  <c r="AL766" i="1"/>
  <c r="BE766" i="1" s="1"/>
  <c r="AN766" i="1"/>
  <c r="BG766" i="1" s="1"/>
  <c r="AP766" i="1"/>
  <c r="BI766" i="1" s="1"/>
  <c r="AR766" i="1"/>
  <c r="BK766" i="1" s="1"/>
  <c r="AI766" i="1"/>
  <c r="AK766" i="1"/>
  <c r="BD766" i="1" s="1"/>
  <c r="AM766" i="1"/>
  <c r="BF766" i="1" s="1"/>
  <c r="AO766" i="1"/>
  <c r="BH766" i="1" s="1"/>
  <c r="AQ766" i="1"/>
  <c r="BJ766" i="1" s="1"/>
  <c r="BM770" i="1"/>
  <c r="BO770" i="1"/>
  <c r="BQ770" i="1"/>
  <c r="BS770" i="1"/>
  <c r="BU770" i="1"/>
  <c r="BL770" i="1"/>
  <c r="BN770" i="1"/>
  <c r="BP770" i="1"/>
  <c r="BR770" i="1"/>
  <c r="BT770" i="1"/>
  <c r="BN504" i="1"/>
  <c r="BL504" i="1"/>
  <c r="BQ616" i="1"/>
  <c r="BP688" i="1"/>
  <c r="BL719" i="1"/>
  <c r="BR719" i="1"/>
  <c r="BP730" i="1"/>
  <c r="BL764" i="1"/>
  <c r="BN764" i="1"/>
  <c r="BP764" i="1"/>
  <c r="BR764" i="1"/>
  <c r="BT764" i="1"/>
  <c r="BM764" i="1"/>
  <c r="BO764" i="1"/>
  <c r="BQ764" i="1"/>
  <c r="BS764" i="1"/>
  <c r="BU764" i="1"/>
  <c r="BS504" i="1"/>
  <c r="BP588" i="1"/>
  <c r="BO688" i="1"/>
  <c r="BU719" i="1"/>
  <c r="BN719" i="1"/>
  <c r="BL730" i="1"/>
  <c r="BL766" i="1"/>
  <c r="BN766" i="1"/>
  <c r="BP766" i="1"/>
  <c r="BR766" i="1"/>
  <c r="BT766" i="1"/>
  <c r="BM766" i="1"/>
  <c r="BO766" i="1"/>
  <c r="BQ766" i="1"/>
  <c r="BS766" i="1"/>
  <c r="BU766" i="1"/>
  <c r="BR504" i="1"/>
  <c r="BN688" i="1"/>
  <c r="BT719" i="1"/>
  <c r="BS730" i="1"/>
  <c r="BL773" i="1"/>
  <c r="BN773" i="1"/>
  <c r="BP773" i="1"/>
  <c r="BR773" i="1"/>
  <c r="BT773" i="1"/>
  <c r="BM773" i="1"/>
  <c r="BO773" i="1"/>
  <c r="BQ773" i="1"/>
  <c r="BS773" i="1"/>
  <c r="BU773" i="1"/>
  <c r="BM768" i="1"/>
  <c r="BO768" i="1"/>
  <c r="BQ768" i="1"/>
  <c r="BS768" i="1"/>
  <c r="BU768" i="1"/>
  <c r="BL768" i="1"/>
  <c r="BN768" i="1"/>
  <c r="BP768" i="1"/>
  <c r="BR768" i="1"/>
  <c r="BT768" i="1"/>
  <c r="BU688" i="1"/>
  <c r="BR671" i="1"/>
  <c r="BM771" i="1"/>
  <c r="BO771" i="1"/>
  <c r="BQ771" i="1"/>
  <c r="BS771" i="1"/>
  <c r="BU771" i="1"/>
  <c r="BT771" i="1"/>
  <c r="BP771" i="1"/>
  <c r="BR771" i="1"/>
  <c r="BL771" i="1"/>
  <c r="BN771" i="1"/>
  <c r="AJ772" i="1"/>
  <c r="BC772" i="1" s="1"/>
  <c r="AL772" i="1"/>
  <c r="BE772" i="1" s="1"/>
  <c r="AN772" i="1"/>
  <c r="BG772" i="1" s="1"/>
  <c r="AP772" i="1"/>
  <c r="BI772" i="1" s="1"/>
  <c r="AR772" i="1"/>
  <c r="BK772" i="1" s="1"/>
  <c r="AI772" i="1"/>
  <c r="AK772" i="1"/>
  <c r="BD772" i="1" s="1"/>
  <c r="AM772" i="1"/>
  <c r="BF772" i="1" s="1"/>
  <c r="AO772" i="1"/>
  <c r="BH772" i="1" s="1"/>
  <c r="AQ772" i="1"/>
  <c r="BJ772" i="1" s="1"/>
  <c r="AI768" i="1"/>
  <c r="AK768" i="1"/>
  <c r="BD768" i="1" s="1"/>
  <c r="AM768" i="1"/>
  <c r="BF768" i="1" s="1"/>
  <c r="AO768" i="1"/>
  <c r="BH768" i="1" s="1"/>
  <c r="AQ768" i="1"/>
  <c r="BJ768" i="1" s="1"/>
  <c r="AJ768" i="1"/>
  <c r="BC768" i="1" s="1"/>
  <c r="AL768" i="1"/>
  <c r="BE768" i="1" s="1"/>
  <c r="AN768" i="1"/>
  <c r="BG768" i="1" s="1"/>
  <c r="AP768" i="1"/>
  <c r="BI768" i="1" s="1"/>
  <c r="AR768" i="1"/>
  <c r="BK768" i="1" s="1"/>
  <c r="BM769" i="1"/>
  <c r="BO769" i="1"/>
  <c r="BQ769" i="1"/>
  <c r="BS769" i="1"/>
  <c r="BU769" i="1"/>
  <c r="BL769" i="1"/>
  <c r="BN769" i="1"/>
  <c r="BP769" i="1"/>
  <c r="BR769" i="1"/>
  <c r="BT769" i="1"/>
  <c r="AP723" i="1"/>
  <c r="BI723" i="1" s="1"/>
  <c r="BL724" i="1"/>
  <c r="BO724" i="1"/>
  <c r="BS724" i="1"/>
  <c r="BN724" i="1"/>
  <c r="BR724" i="1"/>
  <c r="BP724" i="1"/>
  <c r="BU724" i="1"/>
  <c r="BM724" i="1"/>
  <c r="BQ724" i="1"/>
  <c r="BT724" i="1"/>
  <c r="AL717" i="1"/>
  <c r="BE717" i="1" s="1"/>
  <c r="AP717" i="1"/>
  <c r="BI717" i="1" s="1"/>
  <c r="AK717" i="1"/>
  <c r="BD717" i="1" s="1"/>
  <c r="AO717" i="1"/>
  <c r="BH717" i="1" s="1"/>
  <c r="AI717" i="1"/>
  <c r="AQ717" i="1"/>
  <c r="BJ717" i="1" s="1"/>
  <c r="AJ717" i="1"/>
  <c r="BC717" i="1" s="1"/>
  <c r="AR717" i="1"/>
  <c r="BK717" i="1" s="1"/>
  <c r="AN717" i="1"/>
  <c r="BG717" i="1" s="1"/>
  <c r="AM717" i="1"/>
  <c r="BF717" i="1" s="1"/>
  <c r="BU543" i="1"/>
  <c r="BP555" i="1"/>
  <c r="BO555" i="1"/>
  <c r="BS515" i="1"/>
  <c r="BQ577" i="1"/>
  <c r="BN642" i="1"/>
  <c r="BN754" i="1"/>
  <c r="BR754" i="1"/>
  <c r="BM754" i="1"/>
  <c r="BQ754" i="1"/>
  <c r="BU754" i="1"/>
  <c r="BS754" i="1"/>
  <c r="BT754" i="1"/>
  <c r="BO754" i="1"/>
  <c r="BL754" i="1"/>
  <c r="BP754" i="1"/>
  <c r="BM749" i="1"/>
  <c r="BQ749" i="1"/>
  <c r="BU749" i="1"/>
  <c r="BO749" i="1"/>
  <c r="BN749" i="1"/>
  <c r="BR749" i="1"/>
  <c r="BL749" i="1"/>
  <c r="BP749" i="1"/>
  <c r="BS749" i="1"/>
  <c r="BT749" i="1"/>
  <c r="BN762" i="1"/>
  <c r="BR762" i="1"/>
  <c r="BM762" i="1"/>
  <c r="BQ762" i="1"/>
  <c r="BU762" i="1"/>
  <c r="BO762" i="1"/>
  <c r="BS762" i="1"/>
  <c r="BL762" i="1"/>
  <c r="BP762" i="1"/>
  <c r="BT762" i="1"/>
  <c r="AI735" i="1"/>
  <c r="AM735" i="1"/>
  <c r="BF735" i="1" s="1"/>
  <c r="AQ735" i="1"/>
  <c r="BJ735" i="1" s="1"/>
  <c r="AL735" i="1"/>
  <c r="BE735" i="1" s="1"/>
  <c r="AP735" i="1"/>
  <c r="BI735" i="1" s="1"/>
  <c r="AN735" i="1"/>
  <c r="BG735" i="1" s="1"/>
  <c r="AO735" i="1"/>
  <c r="BH735" i="1" s="1"/>
  <c r="AR735" i="1"/>
  <c r="BK735" i="1" s="1"/>
  <c r="AK735" i="1"/>
  <c r="BD735" i="1" s="1"/>
  <c r="AJ735" i="1"/>
  <c r="BC735" i="1" s="1"/>
  <c r="BN759" i="1"/>
  <c r="BR759" i="1"/>
  <c r="BL759" i="1"/>
  <c r="BP759" i="1"/>
  <c r="BO759" i="1"/>
  <c r="BM759" i="1"/>
  <c r="BQ759" i="1"/>
  <c r="BS759" i="1"/>
  <c r="BT759" i="1"/>
  <c r="BU759" i="1"/>
  <c r="BN727" i="1"/>
  <c r="BR727" i="1"/>
  <c r="BP727" i="1"/>
  <c r="BL727" i="1"/>
  <c r="BO727" i="1"/>
  <c r="BT727" i="1"/>
  <c r="BU727" i="1"/>
  <c r="BS727" i="1"/>
  <c r="BM727" i="1"/>
  <c r="BQ727" i="1"/>
  <c r="BP726" i="1"/>
  <c r="BT726" i="1"/>
  <c r="BL726" i="1"/>
  <c r="BO726" i="1"/>
  <c r="BS726" i="1"/>
  <c r="BN726" i="1"/>
  <c r="BR726" i="1"/>
  <c r="BU726" i="1"/>
  <c r="BM726" i="1"/>
  <c r="BQ726" i="1"/>
  <c r="BM741" i="1"/>
  <c r="BQ741" i="1"/>
  <c r="BU741" i="1"/>
  <c r="BO741" i="1"/>
  <c r="BN741" i="1"/>
  <c r="BR741" i="1"/>
  <c r="BP741" i="1"/>
  <c r="BS741" i="1"/>
  <c r="BT741" i="1"/>
  <c r="BL741" i="1"/>
  <c r="BL720" i="1"/>
  <c r="BM720" i="1"/>
  <c r="BQ720" i="1"/>
  <c r="BU720" i="1"/>
  <c r="BP720" i="1"/>
  <c r="BT720" i="1"/>
  <c r="BO720" i="1"/>
  <c r="BS720" i="1"/>
  <c r="BR720" i="1"/>
  <c r="BN720" i="1"/>
  <c r="BP734" i="1"/>
  <c r="BT734" i="1"/>
  <c r="BL734" i="1"/>
  <c r="BO734" i="1"/>
  <c r="BS734" i="1"/>
  <c r="BQ734" i="1"/>
  <c r="BM734" i="1"/>
  <c r="BN734" i="1"/>
  <c r="BR734" i="1"/>
  <c r="BU734" i="1"/>
  <c r="BM717" i="1"/>
  <c r="BQ717" i="1"/>
  <c r="BU717" i="1"/>
  <c r="BO717" i="1"/>
  <c r="BS717" i="1"/>
  <c r="BL717" i="1"/>
  <c r="BN717" i="1"/>
  <c r="BR717" i="1"/>
  <c r="BT717" i="1"/>
  <c r="BP717" i="1"/>
  <c r="BP718" i="1"/>
  <c r="BT718" i="1"/>
  <c r="BO718" i="1"/>
  <c r="BS718" i="1"/>
  <c r="BL718" i="1"/>
  <c r="BM718" i="1"/>
  <c r="BQ718" i="1"/>
  <c r="BU718" i="1"/>
  <c r="BN718" i="1"/>
  <c r="BR718" i="1"/>
  <c r="BQ543" i="1"/>
  <c r="BR555" i="1"/>
  <c r="BN555" i="1"/>
  <c r="BM515" i="1"/>
  <c r="BT577" i="1"/>
  <c r="BM577" i="1"/>
  <c r="BM655" i="1"/>
  <c r="BS591" i="1"/>
  <c r="BO642" i="1"/>
  <c r="BL747" i="1"/>
  <c r="BP747" i="1"/>
  <c r="BT747" i="1"/>
  <c r="BN747" i="1"/>
  <c r="BR747" i="1"/>
  <c r="BM747" i="1"/>
  <c r="BQ747" i="1"/>
  <c r="BS747" i="1"/>
  <c r="BO747" i="1"/>
  <c r="BU747" i="1"/>
  <c r="AI727" i="1"/>
  <c r="AM727" i="1"/>
  <c r="BF727" i="1" s="1"/>
  <c r="AQ727" i="1"/>
  <c r="BJ727" i="1" s="1"/>
  <c r="AL727" i="1"/>
  <c r="BE727" i="1" s="1"/>
  <c r="AP727" i="1"/>
  <c r="BI727" i="1" s="1"/>
  <c r="AJ727" i="1"/>
  <c r="BC727" i="1" s="1"/>
  <c r="AR727" i="1"/>
  <c r="BK727" i="1" s="1"/>
  <c r="AK727" i="1"/>
  <c r="BD727" i="1" s="1"/>
  <c r="AO727" i="1"/>
  <c r="BH727" i="1" s="1"/>
  <c r="AN727" i="1"/>
  <c r="BG727" i="1" s="1"/>
  <c r="BL755" i="1"/>
  <c r="BP755" i="1"/>
  <c r="BT755" i="1"/>
  <c r="BN755" i="1"/>
  <c r="BR755" i="1"/>
  <c r="BM755" i="1"/>
  <c r="BQ755" i="1"/>
  <c r="BO755" i="1"/>
  <c r="BS755" i="1"/>
  <c r="BU755" i="1"/>
  <c r="BM725" i="1"/>
  <c r="BQ725" i="1"/>
  <c r="BU725" i="1"/>
  <c r="BL725" i="1"/>
  <c r="BO725" i="1"/>
  <c r="BS725" i="1"/>
  <c r="BN725" i="1"/>
  <c r="BR725" i="1"/>
  <c r="BP725" i="1"/>
  <c r="BT725" i="1"/>
  <c r="AK744" i="1"/>
  <c r="BD744" i="1" s="1"/>
  <c r="AO744" i="1"/>
  <c r="BH744" i="1" s="1"/>
  <c r="AL744" i="1"/>
  <c r="BE744" i="1" s="1"/>
  <c r="AP744" i="1"/>
  <c r="BI744" i="1" s="1"/>
  <c r="AN744" i="1"/>
  <c r="BG744" i="1" s="1"/>
  <c r="AI744" i="1"/>
  <c r="AQ744" i="1"/>
  <c r="BJ744" i="1" s="1"/>
  <c r="AJ744" i="1"/>
  <c r="BC744" i="1" s="1"/>
  <c r="AR744" i="1"/>
  <c r="BK744" i="1" s="1"/>
  <c r="AM744" i="1"/>
  <c r="BF744" i="1" s="1"/>
  <c r="AR757" i="1"/>
  <c r="BK757" i="1" s="1"/>
  <c r="BL732" i="1"/>
  <c r="BO732" i="1"/>
  <c r="BS732" i="1"/>
  <c r="BN732" i="1"/>
  <c r="BR732" i="1"/>
  <c r="BQ732" i="1"/>
  <c r="BP732" i="1"/>
  <c r="BT732" i="1"/>
  <c r="BU732" i="1"/>
  <c r="BM732" i="1"/>
  <c r="AL754" i="1"/>
  <c r="BE754" i="1" s="1"/>
  <c r="AP754" i="1"/>
  <c r="BI754" i="1" s="1"/>
  <c r="AI754" i="1"/>
  <c r="AM754" i="1"/>
  <c r="BF754" i="1" s="1"/>
  <c r="AQ754" i="1"/>
  <c r="BJ754" i="1" s="1"/>
  <c r="AO754" i="1"/>
  <c r="BH754" i="1" s="1"/>
  <c r="AJ754" i="1"/>
  <c r="BC754" i="1" s="1"/>
  <c r="AR754" i="1"/>
  <c r="BK754" i="1" s="1"/>
  <c r="AK754" i="1"/>
  <c r="BD754" i="1" s="1"/>
  <c r="AN754" i="1"/>
  <c r="BG754" i="1" s="1"/>
  <c r="BL716" i="1"/>
  <c r="BO716" i="1"/>
  <c r="BS716" i="1"/>
  <c r="BN716" i="1"/>
  <c r="BR716" i="1"/>
  <c r="BM716" i="1"/>
  <c r="BQ716" i="1"/>
  <c r="BT716" i="1"/>
  <c r="BU716" i="1"/>
  <c r="BP716" i="1"/>
  <c r="AJ733" i="1"/>
  <c r="BC733" i="1" s="1"/>
  <c r="BO713" i="1"/>
  <c r="BS713" i="1"/>
  <c r="BM713" i="1"/>
  <c r="BQ713" i="1"/>
  <c r="BP713" i="1"/>
  <c r="BU713" i="1"/>
  <c r="BN713" i="1"/>
  <c r="BT713" i="1"/>
  <c r="BL713" i="1"/>
  <c r="BR713" i="1"/>
  <c r="BL515" i="1"/>
  <c r="BP723" i="1"/>
  <c r="BT723" i="1"/>
  <c r="BL723" i="1"/>
  <c r="BN723" i="1"/>
  <c r="BR723" i="1"/>
  <c r="BM723" i="1"/>
  <c r="BQ723" i="1"/>
  <c r="BU723" i="1"/>
  <c r="BO723" i="1"/>
  <c r="BS723" i="1"/>
  <c r="BM543" i="1"/>
  <c r="BU555" i="1"/>
  <c r="BR515" i="1"/>
  <c r="BN577" i="1"/>
  <c r="BO591" i="1"/>
  <c r="BP739" i="1"/>
  <c r="BT739" i="1"/>
  <c r="BN739" i="1"/>
  <c r="BR739" i="1"/>
  <c r="BM739" i="1"/>
  <c r="BQ739" i="1"/>
  <c r="BU739" i="1"/>
  <c r="BO739" i="1"/>
  <c r="BL739" i="1"/>
  <c r="BS739" i="1"/>
  <c r="BM757" i="1"/>
  <c r="BQ757" i="1"/>
  <c r="BU757" i="1"/>
  <c r="BO757" i="1"/>
  <c r="BN757" i="1"/>
  <c r="BR757" i="1"/>
  <c r="BS757" i="1"/>
  <c r="BT757" i="1"/>
  <c r="BL757" i="1"/>
  <c r="BP757" i="1"/>
  <c r="BO748" i="1"/>
  <c r="BS748" i="1"/>
  <c r="BN748" i="1"/>
  <c r="BR748" i="1"/>
  <c r="BL748" i="1"/>
  <c r="BP748" i="1"/>
  <c r="BM748" i="1"/>
  <c r="BU748" i="1"/>
  <c r="BQ748" i="1"/>
  <c r="BT748" i="1"/>
  <c r="AL762" i="1"/>
  <c r="BE762" i="1" s="1"/>
  <c r="AP762" i="1"/>
  <c r="BI762" i="1" s="1"/>
  <c r="AI762" i="1"/>
  <c r="AM762" i="1"/>
  <c r="BF762" i="1" s="1"/>
  <c r="AQ762" i="1"/>
  <c r="BJ762" i="1" s="1"/>
  <c r="AK762" i="1"/>
  <c r="BD762" i="1" s="1"/>
  <c r="AN762" i="1"/>
  <c r="BG762" i="1" s="1"/>
  <c r="AO762" i="1"/>
  <c r="BH762" i="1" s="1"/>
  <c r="AJ762" i="1"/>
  <c r="BC762" i="1" s="1"/>
  <c r="AR762" i="1"/>
  <c r="BK762" i="1" s="1"/>
  <c r="AI713" i="1"/>
  <c r="AM713" i="1"/>
  <c r="BF713" i="1" s="1"/>
  <c r="AL711" i="1"/>
  <c r="BE711" i="1" s="1"/>
  <c r="BP715" i="1"/>
  <c r="BT715" i="1"/>
  <c r="BL715" i="1"/>
  <c r="BN715" i="1"/>
  <c r="BR715" i="1"/>
  <c r="BM715" i="1"/>
  <c r="BQ715" i="1"/>
  <c r="BO715" i="1"/>
  <c r="BS715" i="1"/>
  <c r="BU715" i="1"/>
  <c r="AN747" i="1"/>
  <c r="BG747" i="1" s="1"/>
  <c r="BM736" i="1"/>
  <c r="BQ736" i="1"/>
  <c r="BU736" i="1"/>
  <c r="BP736" i="1"/>
  <c r="BT736" i="1"/>
  <c r="BL736" i="1"/>
  <c r="BO736" i="1"/>
  <c r="BN736" i="1"/>
  <c r="BS736" i="1"/>
  <c r="BR736" i="1"/>
  <c r="BT543" i="1"/>
  <c r="BP543" i="1"/>
  <c r="BT555" i="1"/>
  <c r="BN515" i="1"/>
  <c r="BS577" i="1"/>
  <c r="BN591" i="1"/>
  <c r="BL740" i="1"/>
  <c r="BO740" i="1"/>
  <c r="BS740" i="1"/>
  <c r="BN740" i="1"/>
  <c r="BR740" i="1"/>
  <c r="BT740" i="1"/>
  <c r="BM740" i="1"/>
  <c r="BQ740" i="1"/>
  <c r="BU740" i="1"/>
  <c r="BP740" i="1"/>
  <c r="AK763" i="1"/>
  <c r="BD763" i="1" s="1"/>
  <c r="AO763" i="1"/>
  <c r="BH763" i="1" s="1"/>
  <c r="AJ763" i="1"/>
  <c r="BC763" i="1" s="1"/>
  <c r="AN763" i="1"/>
  <c r="BG763" i="1" s="1"/>
  <c r="AR763" i="1"/>
  <c r="BK763" i="1" s="1"/>
  <c r="AL763" i="1"/>
  <c r="BE763" i="1" s="1"/>
  <c r="AM763" i="1"/>
  <c r="BF763" i="1" s="1"/>
  <c r="AQ763" i="1"/>
  <c r="BJ763" i="1" s="1"/>
  <c r="AP763" i="1"/>
  <c r="BI763" i="1" s="1"/>
  <c r="AI763" i="1"/>
  <c r="BL763" i="1"/>
  <c r="BP763" i="1"/>
  <c r="BT763" i="1"/>
  <c r="BN763" i="1"/>
  <c r="BR763" i="1"/>
  <c r="BM763" i="1"/>
  <c r="BQ763" i="1"/>
  <c r="BU763" i="1"/>
  <c r="BO763" i="1"/>
  <c r="BS763" i="1"/>
  <c r="BM733" i="1"/>
  <c r="BQ733" i="1"/>
  <c r="BU733" i="1"/>
  <c r="BL733" i="1"/>
  <c r="BO733" i="1"/>
  <c r="BS733" i="1"/>
  <c r="BN733" i="1"/>
  <c r="BR733" i="1"/>
  <c r="BP733" i="1"/>
  <c r="BT733" i="1"/>
  <c r="BO761" i="1"/>
  <c r="BS761" i="1"/>
  <c r="BM761" i="1"/>
  <c r="BQ761" i="1"/>
  <c r="BL761" i="1"/>
  <c r="BP761" i="1"/>
  <c r="BU761" i="1"/>
  <c r="BR761" i="1"/>
  <c r="BT761" i="1"/>
  <c r="BN761" i="1"/>
  <c r="AJ718" i="1"/>
  <c r="BC718" i="1" s="1"/>
  <c r="AN718" i="1"/>
  <c r="BG718" i="1" s="1"/>
  <c r="AR718" i="1"/>
  <c r="BK718" i="1" s="1"/>
  <c r="AK718" i="1"/>
  <c r="BD718" i="1" s="1"/>
  <c r="AO718" i="1"/>
  <c r="BH718" i="1" s="1"/>
  <c r="AM718" i="1"/>
  <c r="BF718" i="1" s="1"/>
  <c r="AP718" i="1"/>
  <c r="BI718" i="1" s="1"/>
  <c r="AI718" i="1"/>
  <c r="AQ718" i="1"/>
  <c r="BJ718" i="1" s="1"/>
  <c r="AL718" i="1"/>
  <c r="BE718" i="1" s="1"/>
  <c r="BN751" i="1"/>
  <c r="BR751" i="1"/>
  <c r="BL751" i="1"/>
  <c r="BP751" i="1"/>
  <c r="BO751" i="1"/>
  <c r="BU751" i="1"/>
  <c r="BQ751" i="1"/>
  <c r="BT751" i="1"/>
  <c r="BS751" i="1"/>
  <c r="BM751" i="1"/>
  <c r="BS543" i="1"/>
  <c r="BL543" i="1"/>
  <c r="BQ555" i="1"/>
  <c r="BU515" i="1"/>
  <c r="BP577" i="1"/>
  <c r="BO721" i="1"/>
  <c r="BS721" i="1"/>
  <c r="BM721" i="1"/>
  <c r="BQ721" i="1"/>
  <c r="BP721" i="1"/>
  <c r="BR721" i="1"/>
  <c r="BL721" i="1"/>
  <c r="BN721" i="1"/>
  <c r="BT721" i="1"/>
  <c r="BU721" i="1"/>
  <c r="BO756" i="1"/>
  <c r="BS756" i="1"/>
  <c r="BN756" i="1"/>
  <c r="BR756" i="1"/>
  <c r="BQ756" i="1"/>
  <c r="BM756" i="1"/>
  <c r="BT756" i="1"/>
  <c r="BL756" i="1"/>
  <c r="BP756" i="1"/>
  <c r="BU756" i="1"/>
  <c r="BO745" i="1"/>
  <c r="BS745" i="1"/>
  <c r="BM745" i="1"/>
  <c r="BQ745" i="1"/>
  <c r="BL745" i="1"/>
  <c r="BP745" i="1"/>
  <c r="BN745" i="1"/>
  <c r="BR745" i="1"/>
  <c r="BT745" i="1"/>
  <c r="BU745" i="1"/>
  <c r="AP750" i="1"/>
  <c r="BI750" i="1" s="1"/>
  <c r="BN743" i="1"/>
  <c r="BR743" i="1"/>
  <c r="BL743" i="1"/>
  <c r="BP743" i="1"/>
  <c r="BO743" i="1"/>
  <c r="BS743" i="1"/>
  <c r="BT743" i="1"/>
  <c r="BM743" i="1"/>
  <c r="BQ743" i="1"/>
  <c r="BU743" i="1"/>
  <c r="BN543" i="1"/>
  <c r="BS555" i="1"/>
  <c r="BQ515" i="1"/>
  <c r="BR577" i="1"/>
  <c r="BL714" i="1"/>
  <c r="BN714" i="1"/>
  <c r="BR714" i="1"/>
  <c r="BM714" i="1"/>
  <c r="BQ714" i="1"/>
  <c r="BU714" i="1"/>
  <c r="BO714" i="1"/>
  <c r="BT714" i="1"/>
  <c r="BS714" i="1"/>
  <c r="BP714" i="1"/>
  <c r="BL758" i="1"/>
  <c r="BP758" i="1"/>
  <c r="BT758" i="1"/>
  <c r="BO758" i="1"/>
  <c r="BS758" i="1"/>
  <c r="BM758" i="1"/>
  <c r="BQ758" i="1"/>
  <c r="BN758" i="1"/>
  <c r="BR758" i="1"/>
  <c r="BU758" i="1"/>
  <c r="AJ753" i="1"/>
  <c r="BC753" i="1" s="1"/>
  <c r="AN753" i="1"/>
  <c r="BG753" i="1" s="1"/>
  <c r="AR753" i="1"/>
  <c r="BK753" i="1" s="1"/>
  <c r="AI753" i="1"/>
  <c r="AM753" i="1"/>
  <c r="BF753" i="1" s="1"/>
  <c r="AQ753" i="1"/>
  <c r="BJ753" i="1" s="1"/>
  <c r="AK753" i="1"/>
  <c r="BD753" i="1" s="1"/>
  <c r="AL753" i="1"/>
  <c r="BE753" i="1" s="1"/>
  <c r="AP753" i="1"/>
  <c r="BI753" i="1" s="1"/>
  <c r="AO753" i="1"/>
  <c r="BH753" i="1" s="1"/>
  <c r="BL742" i="1"/>
  <c r="BP742" i="1"/>
  <c r="BT742" i="1"/>
  <c r="BO742" i="1"/>
  <c r="BS742" i="1"/>
  <c r="BR742" i="1"/>
  <c r="BM742" i="1"/>
  <c r="BQ742" i="1"/>
  <c r="BU742" i="1"/>
  <c r="BN742" i="1"/>
  <c r="BM760" i="1"/>
  <c r="BQ760" i="1"/>
  <c r="BU760" i="1"/>
  <c r="BL760" i="1"/>
  <c r="BP760" i="1"/>
  <c r="BT760" i="1"/>
  <c r="BO760" i="1"/>
  <c r="BS760" i="1"/>
  <c r="BN760" i="1"/>
  <c r="BR760" i="1"/>
  <c r="AJ745" i="1"/>
  <c r="BC745" i="1" s="1"/>
  <c r="AN745" i="1"/>
  <c r="BG745" i="1" s="1"/>
  <c r="AR745" i="1"/>
  <c r="BK745" i="1" s="1"/>
  <c r="AI745" i="1"/>
  <c r="AM745" i="1"/>
  <c r="BF745" i="1" s="1"/>
  <c r="AQ745" i="1"/>
  <c r="BJ745" i="1" s="1"/>
  <c r="AO745" i="1"/>
  <c r="BH745" i="1" s="1"/>
  <c r="AP745" i="1"/>
  <c r="BI745" i="1" s="1"/>
  <c r="AL745" i="1"/>
  <c r="BE745" i="1" s="1"/>
  <c r="AK745" i="1"/>
  <c r="BD745" i="1" s="1"/>
  <c r="BO753" i="1"/>
  <c r="BS753" i="1"/>
  <c r="BM753" i="1"/>
  <c r="BQ753" i="1"/>
  <c r="BL753" i="1"/>
  <c r="BP753" i="1"/>
  <c r="BT753" i="1"/>
  <c r="BU753" i="1"/>
  <c r="BN753" i="1"/>
  <c r="BR753" i="1"/>
  <c r="BO737" i="1"/>
  <c r="BS737" i="1"/>
  <c r="BM737" i="1"/>
  <c r="BQ737" i="1"/>
  <c r="BP737" i="1"/>
  <c r="BU737" i="1"/>
  <c r="BL737" i="1"/>
  <c r="BN737" i="1"/>
  <c r="BR737" i="1"/>
  <c r="BT737" i="1"/>
  <c r="BS642" i="1"/>
  <c r="BT515" i="1"/>
  <c r="BL577" i="1"/>
  <c r="BP591" i="1"/>
  <c r="BR642" i="1"/>
  <c r="BM712" i="1"/>
  <c r="BQ712" i="1"/>
  <c r="BU712" i="1"/>
  <c r="BP712" i="1"/>
  <c r="BT712" i="1"/>
  <c r="BS712" i="1"/>
  <c r="BO712" i="1"/>
  <c r="BN712" i="1"/>
  <c r="BL712" i="1"/>
  <c r="BR712" i="1"/>
  <c r="AK736" i="1"/>
  <c r="BD736" i="1" s="1"/>
  <c r="AO736" i="1"/>
  <c r="BH736" i="1" s="1"/>
  <c r="AL736" i="1"/>
  <c r="BE736" i="1" s="1"/>
  <c r="AP736" i="1"/>
  <c r="BI736" i="1" s="1"/>
  <c r="AJ736" i="1"/>
  <c r="BC736" i="1" s="1"/>
  <c r="AR736" i="1"/>
  <c r="BK736" i="1" s="1"/>
  <c r="AM736" i="1"/>
  <c r="BF736" i="1" s="1"/>
  <c r="AN736" i="1"/>
  <c r="BG736" i="1" s="1"/>
  <c r="AI736" i="1"/>
  <c r="AQ736" i="1"/>
  <c r="BJ736" i="1" s="1"/>
  <c r="AK720" i="1"/>
  <c r="BD720" i="1" s="1"/>
  <c r="AN720" i="1"/>
  <c r="BG720" i="1" s="1"/>
  <c r="BM752" i="1"/>
  <c r="BQ752" i="1"/>
  <c r="BU752" i="1"/>
  <c r="BL752" i="1"/>
  <c r="BP752" i="1"/>
  <c r="BT752" i="1"/>
  <c r="BN752" i="1"/>
  <c r="BR752" i="1"/>
  <c r="BO752" i="1"/>
  <c r="BS752" i="1"/>
  <c r="BN722" i="1"/>
  <c r="BR722" i="1"/>
  <c r="BM722" i="1"/>
  <c r="BQ722" i="1"/>
  <c r="BU722" i="1"/>
  <c r="BL722" i="1"/>
  <c r="BO722" i="1"/>
  <c r="BP722" i="1"/>
  <c r="BS722" i="1"/>
  <c r="BT722" i="1"/>
  <c r="AQ751" i="1"/>
  <c r="BJ751" i="1" s="1"/>
  <c r="BM744" i="1"/>
  <c r="BQ744" i="1"/>
  <c r="BU744" i="1"/>
  <c r="BL744" i="1"/>
  <c r="BP744" i="1"/>
  <c r="BT744" i="1"/>
  <c r="BR744" i="1"/>
  <c r="BS744" i="1"/>
  <c r="BO744" i="1"/>
  <c r="BN744" i="1"/>
  <c r="BM728" i="1"/>
  <c r="BQ728" i="1"/>
  <c r="BU728" i="1"/>
  <c r="BP728" i="1"/>
  <c r="BT728" i="1"/>
  <c r="BS728" i="1"/>
  <c r="BL728" i="1"/>
  <c r="BN728" i="1"/>
  <c r="BR728" i="1"/>
  <c r="BO728" i="1"/>
  <c r="BN735" i="1"/>
  <c r="BR735" i="1"/>
  <c r="BP735" i="1"/>
  <c r="BL735" i="1"/>
  <c r="BO735" i="1"/>
  <c r="BM735" i="1"/>
  <c r="BQ735" i="1"/>
  <c r="BU735" i="1"/>
  <c r="BS735" i="1"/>
  <c r="BT735" i="1"/>
  <c r="BO706" i="1"/>
  <c r="BS706" i="1"/>
  <c r="BU706" i="1"/>
  <c r="BP706" i="1"/>
  <c r="BQ706" i="1"/>
  <c r="BR706" i="1"/>
  <c r="BT706" i="1"/>
  <c r="BL706" i="1"/>
  <c r="BM706" i="1"/>
  <c r="BN706" i="1"/>
  <c r="AK701" i="1"/>
  <c r="BD701" i="1" s="1"/>
  <c r="AO701" i="1"/>
  <c r="BH701" i="1" s="1"/>
  <c r="AM701" i="1"/>
  <c r="BF701" i="1" s="1"/>
  <c r="AN701" i="1"/>
  <c r="BG701" i="1" s="1"/>
  <c r="BS450" i="1"/>
  <c r="BM563" i="1"/>
  <c r="BM554" i="1"/>
  <c r="BQ591" i="1"/>
  <c r="BL591" i="1"/>
  <c r="BT691" i="1"/>
  <c r="BL691" i="1"/>
  <c r="BL696" i="1"/>
  <c r="BP696" i="1"/>
  <c r="BT696" i="1"/>
  <c r="BQ696" i="1"/>
  <c r="BR696" i="1"/>
  <c r="BS696" i="1"/>
  <c r="BM696" i="1"/>
  <c r="BN696" i="1"/>
  <c r="BO696" i="1"/>
  <c r="BU696" i="1"/>
  <c r="BN450" i="1"/>
  <c r="BQ563" i="1"/>
  <c r="BO563" i="1"/>
  <c r="BP554" i="1"/>
  <c r="BT594" i="1"/>
  <c r="BS691" i="1"/>
  <c r="AP695" i="1"/>
  <c r="BI695" i="1" s="1"/>
  <c r="BM694" i="1"/>
  <c r="BQ694" i="1"/>
  <c r="BR694" i="1"/>
  <c r="BS694" i="1"/>
  <c r="BT694" i="1"/>
  <c r="BN694" i="1"/>
  <c r="BO694" i="1"/>
  <c r="BP694" i="1"/>
  <c r="BU694" i="1"/>
  <c r="BL694" i="1"/>
  <c r="BU594" i="1"/>
  <c r="BR691" i="1"/>
  <c r="BQ695" i="1"/>
  <c r="BR695" i="1"/>
  <c r="BS695" i="1"/>
  <c r="BT695" i="1"/>
  <c r="BM695" i="1"/>
  <c r="BN695" i="1"/>
  <c r="BO695" i="1"/>
  <c r="BP695" i="1"/>
  <c r="BU695" i="1"/>
  <c r="BL695" i="1"/>
  <c r="AM697" i="1"/>
  <c r="BF697" i="1" s="1"/>
  <c r="AK697" i="1"/>
  <c r="BD697" i="1" s="1"/>
  <c r="BN701" i="1"/>
  <c r="BO701" i="1"/>
  <c r="BP701" i="1"/>
  <c r="BQ701" i="1"/>
  <c r="BS701" i="1"/>
  <c r="BL701" i="1"/>
  <c r="BM701" i="1"/>
  <c r="BU701" i="1"/>
  <c r="BT701" i="1"/>
  <c r="BR701" i="1"/>
  <c r="BB694" i="1"/>
  <c r="BM702" i="1"/>
  <c r="BQ702" i="1"/>
  <c r="BR702" i="1"/>
  <c r="BS702" i="1"/>
  <c r="BT702" i="1"/>
  <c r="BN702" i="1"/>
  <c r="BO702" i="1"/>
  <c r="BP702" i="1"/>
  <c r="BL702" i="1"/>
  <c r="BU702" i="1"/>
  <c r="BU563" i="1"/>
  <c r="BQ521" i="1"/>
  <c r="BL521" i="1"/>
  <c r="BM594" i="1"/>
  <c r="BT591" i="1"/>
  <c r="BQ691" i="1"/>
  <c r="BO698" i="1"/>
  <c r="BS698" i="1"/>
  <c r="BL698" i="1"/>
  <c r="BM698" i="1"/>
  <c r="BU698" i="1"/>
  <c r="BT698" i="1"/>
  <c r="BN698" i="1"/>
  <c r="BP698" i="1"/>
  <c r="BQ698" i="1"/>
  <c r="BR698" i="1"/>
  <c r="BR693" i="1"/>
  <c r="BS693" i="1"/>
  <c r="BT693" i="1"/>
  <c r="BN693" i="1"/>
  <c r="BO693" i="1"/>
  <c r="BP693" i="1"/>
  <c r="BQ693" i="1"/>
  <c r="BU693" i="1"/>
  <c r="BL693" i="1"/>
  <c r="BM693" i="1"/>
  <c r="BL709" i="1"/>
  <c r="BM709" i="1"/>
  <c r="BO709" i="1"/>
  <c r="BU709" i="1"/>
  <c r="BN709" i="1"/>
  <c r="BQ709" i="1"/>
  <c r="BT709" i="1"/>
  <c r="BR709" i="1"/>
  <c r="BS709" i="1"/>
  <c r="BP709" i="1"/>
  <c r="BN692" i="1"/>
  <c r="BR692" i="1"/>
  <c r="BO692" i="1"/>
  <c r="BP692" i="1"/>
  <c r="BQ692" i="1"/>
  <c r="BU692" i="1"/>
  <c r="BL692" i="1"/>
  <c r="BM692" i="1"/>
  <c r="BS692" i="1"/>
  <c r="BT692" i="1"/>
  <c r="BL704" i="1"/>
  <c r="BP704" i="1"/>
  <c r="BQ704" i="1"/>
  <c r="BR704" i="1"/>
  <c r="BS704" i="1"/>
  <c r="BT704" i="1"/>
  <c r="BM704" i="1"/>
  <c r="BN704" i="1"/>
  <c r="BO704" i="1"/>
  <c r="BU704" i="1"/>
  <c r="BP552" i="1"/>
  <c r="BP563" i="1"/>
  <c r="BO594" i="1"/>
  <c r="BP691" i="1"/>
  <c r="BP705" i="1"/>
  <c r="BQ705" i="1"/>
  <c r="BR705" i="1"/>
  <c r="BS705" i="1"/>
  <c r="BT705" i="1"/>
  <c r="BL705" i="1"/>
  <c r="BM705" i="1"/>
  <c r="BN705" i="1"/>
  <c r="BO705" i="1"/>
  <c r="BU705" i="1"/>
  <c r="BM699" i="1"/>
  <c r="BO699" i="1"/>
  <c r="BQ699" i="1"/>
  <c r="BS699" i="1"/>
  <c r="BT699" i="1"/>
  <c r="BP699" i="1"/>
  <c r="BR699" i="1"/>
  <c r="BN699" i="1"/>
  <c r="BL699" i="1"/>
  <c r="BU699" i="1"/>
  <c r="BR468" i="1"/>
  <c r="BR552" i="1"/>
  <c r="BL563" i="1"/>
  <c r="BP594" i="1"/>
  <c r="BO691" i="1"/>
  <c r="BT697" i="1"/>
  <c r="BP697" i="1"/>
  <c r="BQ697" i="1"/>
  <c r="BR697" i="1"/>
  <c r="BS697" i="1"/>
  <c r="BL697" i="1"/>
  <c r="BM697" i="1"/>
  <c r="BN697" i="1"/>
  <c r="BO697" i="1"/>
  <c r="BU697" i="1"/>
  <c r="BN708" i="1"/>
  <c r="BR708" i="1"/>
  <c r="BU708" i="1"/>
  <c r="BP708" i="1"/>
  <c r="BO708" i="1"/>
  <c r="BQ708" i="1"/>
  <c r="BM708" i="1"/>
  <c r="BS708" i="1"/>
  <c r="BT708" i="1"/>
  <c r="BL708" i="1"/>
  <c r="BQ703" i="1"/>
  <c r="BR703" i="1"/>
  <c r="BS703" i="1"/>
  <c r="BT703" i="1"/>
  <c r="BM703" i="1"/>
  <c r="BN703" i="1"/>
  <c r="BO703" i="1"/>
  <c r="BP703" i="1"/>
  <c r="BL703" i="1"/>
  <c r="BU703" i="1"/>
  <c r="BO450" i="1"/>
  <c r="BT468" i="1"/>
  <c r="BQ655" i="1"/>
  <c r="BP463" i="1"/>
  <c r="BQ500" i="1"/>
  <c r="BN554" i="1"/>
  <c r="BU603" i="1"/>
  <c r="BP603" i="1"/>
  <c r="BO655" i="1"/>
  <c r="BL672" i="1"/>
  <c r="BM672" i="1"/>
  <c r="BN672" i="1"/>
  <c r="BO672" i="1"/>
  <c r="BP672" i="1"/>
  <c r="BQ672" i="1"/>
  <c r="BR672" i="1"/>
  <c r="BS672" i="1"/>
  <c r="BT672" i="1"/>
  <c r="BU672" i="1"/>
  <c r="AP687" i="1"/>
  <c r="BI687" i="1" s="1"/>
  <c r="BO463" i="1"/>
  <c r="BU500" i="1"/>
  <c r="BO500" i="1"/>
  <c r="BT554" i="1"/>
  <c r="BR594" i="1"/>
  <c r="BO603" i="1"/>
  <c r="BN603" i="1"/>
  <c r="BS655" i="1"/>
  <c r="BO635" i="1"/>
  <c r="BL642" i="1"/>
  <c r="AL689" i="1"/>
  <c r="BE689" i="1" s="1"/>
  <c r="BL689" i="1"/>
  <c r="BM689" i="1"/>
  <c r="BN689" i="1"/>
  <c r="BO689" i="1"/>
  <c r="BP689" i="1"/>
  <c r="BQ689" i="1"/>
  <c r="BR689" i="1"/>
  <c r="BS689" i="1"/>
  <c r="BT689" i="1"/>
  <c r="BU689" i="1"/>
  <c r="BL680" i="1"/>
  <c r="BM680" i="1"/>
  <c r="BN680" i="1"/>
  <c r="BO680" i="1"/>
  <c r="BP680" i="1"/>
  <c r="BQ680" i="1"/>
  <c r="BR680" i="1"/>
  <c r="BS680" i="1"/>
  <c r="BT680" i="1"/>
  <c r="BU680" i="1"/>
  <c r="BL682" i="1"/>
  <c r="BM682" i="1"/>
  <c r="BN682" i="1"/>
  <c r="BO682" i="1"/>
  <c r="BP682" i="1"/>
  <c r="BQ682" i="1"/>
  <c r="BR682" i="1"/>
  <c r="BS682" i="1"/>
  <c r="BT682" i="1"/>
  <c r="BU682" i="1"/>
  <c r="AO674" i="1"/>
  <c r="BH674" i="1" s="1"/>
  <c r="BL500" i="1"/>
  <c r="BQ554" i="1"/>
  <c r="BS594" i="1"/>
  <c r="BR603" i="1"/>
  <c r="BN655" i="1"/>
  <c r="BL635" i="1"/>
  <c r="BQ642" i="1"/>
  <c r="BL677" i="1"/>
  <c r="BM677" i="1"/>
  <c r="BN677" i="1"/>
  <c r="BO677" i="1"/>
  <c r="BP677" i="1"/>
  <c r="BQ677" i="1"/>
  <c r="BR677" i="1"/>
  <c r="BS677" i="1"/>
  <c r="BT677" i="1"/>
  <c r="BU677" i="1"/>
  <c r="BM500" i="1"/>
  <c r="BO554" i="1"/>
  <c r="BN594" i="1"/>
  <c r="BQ603" i="1"/>
  <c r="BT655" i="1"/>
  <c r="BU642" i="1"/>
  <c r="BL670" i="1"/>
  <c r="BM670" i="1"/>
  <c r="BN670" i="1"/>
  <c r="BO670" i="1"/>
  <c r="BP670" i="1"/>
  <c r="BQ670" i="1"/>
  <c r="BR670" i="1"/>
  <c r="BS670" i="1"/>
  <c r="BT670" i="1"/>
  <c r="BU670" i="1"/>
  <c r="BL687" i="1"/>
  <c r="BM687" i="1"/>
  <c r="BN687" i="1"/>
  <c r="BO687" i="1"/>
  <c r="BP687" i="1"/>
  <c r="BQ687" i="1"/>
  <c r="BR687" i="1"/>
  <c r="BS687" i="1"/>
  <c r="BT687" i="1"/>
  <c r="BU687" i="1"/>
  <c r="AJ676" i="1"/>
  <c r="BC676" i="1" s="1"/>
  <c r="AK676" i="1"/>
  <c r="BD676" i="1" s="1"/>
  <c r="AR676" i="1"/>
  <c r="BK676" i="1" s="1"/>
  <c r="BL668" i="1"/>
  <c r="BM668" i="1"/>
  <c r="BN668" i="1"/>
  <c r="BO668" i="1"/>
  <c r="BP668" i="1"/>
  <c r="BQ668" i="1"/>
  <c r="BR668" i="1"/>
  <c r="BS668" i="1"/>
  <c r="BT668" i="1"/>
  <c r="BU668" i="1"/>
  <c r="BS500" i="1"/>
  <c r="BR554" i="1"/>
  <c r="BL554" i="1"/>
  <c r="BS603" i="1"/>
  <c r="BR655" i="1"/>
  <c r="BL669" i="1"/>
  <c r="BM669" i="1"/>
  <c r="BN669" i="1"/>
  <c r="BO669" i="1"/>
  <c r="BP669" i="1"/>
  <c r="BQ669" i="1"/>
  <c r="BR669" i="1"/>
  <c r="BS669" i="1"/>
  <c r="BT669" i="1"/>
  <c r="BU669" i="1"/>
  <c r="BL681" i="1"/>
  <c r="BM681" i="1"/>
  <c r="BN681" i="1"/>
  <c r="BO681" i="1"/>
  <c r="BP681" i="1"/>
  <c r="BQ681" i="1"/>
  <c r="BR681" i="1"/>
  <c r="BS681" i="1"/>
  <c r="BT681" i="1"/>
  <c r="BU681" i="1"/>
  <c r="BL685" i="1"/>
  <c r="BM685" i="1"/>
  <c r="BN685" i="1"/>
  <c r="BO685" i="1"/>
  <c r="BP685" i="1"/>
  <c r="BQ685" i="1"/>
  <c r="BR685" i="1"/>
  <c r="BS685" i="1"/>
  <c r="BT685" i="1"/>
  <c r="BU685" i="1"/>
  <c r="BL676" i="1"/>
  <c r="BM676" i="1"/>
  <c r="BN676" i="1"/>
  <c r="BO676" i="1"/>
  <c r="BP676" i="1"/>
  <c r="BQ676" i="1"/>
  <c r="BR676" i="1"/>
  <c r="BS676" i="1"/>
  <c r="BT676" i="1"/>
  <c r="BU676" i="1"/>
  <c r="BL463" i="1"/>
  <c r="BQ594" i="1"/>
  <c r="BP655" i="1"/>
  <c r="BP635" i="1"/>
  <c r="BL674" i="1"/>
  <c r="BM674" i="1"/>
  <c r="BN674" i="1"/>
  <c r="BO674" i="1"/>
  <c r="BP674" i="1"/>
  <c r="BQ674" i="1"/>
  <c r="BR674" i="1"/>
  <c r="BS674" i="1"/>
  <c r="BT674" i="1"/>
  <c r="BU674" i="1"/>
  <c r="BL678" i="1"/>
  <c r="BM678" i="1"/>
  <c r="BN678" i="1"/>
  <c r="BO678" i="1"/>
  <c r="BP678" i="1"/>
  <c r="BQ678" i="1"/>
  <c r="BR678" i="1"/>
  <c r="BS678" i="1"/>
  <c r="BT678" i="1"/>
  <c r="BU678" i="1"/>
  <c r="BL683" i="1"/>
  <c r="BM683" i="1"/>
  <c r="BN683" i="1"/>
  <c r="BO683" i="1"/>
  <c r="BP683" i="1"/>
  <c r="BQ683" i="1"/>
  <c r="BR683" i="1"/>
  <c r="BS683" i="1"/>
  <c r="BT683" i="1"/>
  <c r="BU683" i="1"/>
  <c r="BP515" i="1"/>
  <c r="BS574" i="1"/>
  <c r="BN574" i="1"/>
  <c r="BO644" i="1"/>
  <c r="BL655" i="1"/>
  <c r="BM642" i="1"/>
  <c r="BU644" i="1"/>
  <c r="BQ644" i="1"/>
  <c r="BN644" i="1"/>
  <c r="BT642" i="1"/>
  <c r="BM429" i="1"/>
  <c r="BU616" i="1"/>
  <c r="BT588" i="1"/>
  <c r="BR616" i="1"/>
  <c r="BO588" i="1"/>
  <c r="BM616" i="1"/>
  <c r="BL588" i="1"/>
  <c r="BS616" i="1"/>
  <c r="BN616" i="1"/>
  <c r="BU588" i="1"/>
  <c r="BQ588" i="1"/>
  <c r="BU457" i="1"/>
  <c r="BP616" i="1"/>
  <c r="BO616" i="1"/>
  <c r="BR588" i="1"/>
  <c r="BM588" i="1"/>
  <c r="BN484" i="1"/>
  <c r="BQ389" i="1"/>
  <c r="BL616" i="1"/>
  <c r="BS588" i="1"/>
  <c r="BL484" i="1"/>
  <c r="BR389" i="1"/>
  <c r="BT463" i="1"/>
  <c r="BM463" i="1"/>
  <c r="BU463" i="1"/>
  <c r="BQ463" i="1"/>
  <c r="BS463" i="1"/>
  <c r="BP450" i="1"/>
  <c r="BO638" i="1"/>
  <c r="BR450" i="1"/>
  <c r="BU450" i="1"/>
  <c r="BQ450" i="1"/>
  <c r="BP638" i="1"/>
  <c r="BM638" i="1"/>
  <c r="BN638" i="1"/>
  <c r="BR638" i="1"/>
  <c r="BS638" i="1"/>
  <c r="BU638" i="1"/>
  <c r="AP52" i="1"/>
  <c r="BI52" i="1" s="1"/>
  <c r="BQ457" i="1"/>
  <c r="BP457" i="1"/>
  <c r="BS484" i="1"/>
  <c r="BT429" i="1"/>
  <c r="BO494" i="1"/>
  <c r="BO389" i="1"/>
  <c r="BQ468" i="1"/>
  <c r="BL468" i="1"/>
  <c r="BO552" i="1"/>
  <c r="BT638" i="1"/>
  <c r="BM457" i="1"/>
  <c r="BQ484" i="1"/>
  <c r="BO484" i="1"/>
  <c r="BO429" i="1"/>
  <c r="BR494" i="1"/>
  <c r="BT389" i="1"/>
  <c r="BN389" i="1"/>
  <c r="AN52" i="1"/>
  <c r="BG52" i="1" s="1"/>
  <c r="AO52" i="1"/>
  <c r="BH52" i="1" s="1"/>
  <c r="BS457" i="1"/>
  <c r="BR484" i="1"/>
  <c r="BS429" i="1"/>
  <c r="BR429" i="1"/>
  <c r="BQ494" i="1"/>
  <c r="BL494" i="1"/>
  <c r="BP389" i="1"/>
  <c r="BU468" i="1"/>
  <c r="BU552" i="1"/>
  <c r="BL638" i="1"/>
  <c r="AM52" i="1"/>
  <c r="BF52" i="1" s="1"/>
  <c r="BT457" i="1"/>
  <c r="BU484" i="1"/>
  <c r="BQ429" i="1"/>
  <c r="BN429" i="1"/>
  <c r="BP494" i="1"/>
  <c r="BM494" i="1"/>
  <c r="BU389" i="1"/>
  <c r="BM468" i="1"/>
  <c r="BN552" i="1"/>
  <c r="AK52" i="1"/>
  <c r="BD52" i="1" s="1"/>
  <c r="BN457" i="1"/>
  <c r="BT484" i="1"/>
  <c r="BP429" i="1"/>
  <c r="BS494" i="1"/>
  <c r="BM389" i="1"/>
  <c r="BP468" i="1"/>
  <c r="BQ552" i="1"/>
  <c r="AQ52" i="1"/>
  <c r="BJ52" i="1" s="1"/>
  <c r="BO457" i="1"/>
  <c r="BP484" i="1"/>
  <c r="BL429" i="1"/>
  <c r="BU494" i="1"/>
  <c r="BL389" i="1"/>
  <c r="BS468" i="1"/>
  <c r="BT552" i="1"/>
  <c r="BM552" i="1"/>
  <c r="BR457" i="1"/>
  <c r="BN468" i="1"/>
  <c r="BS552" i="1"/>
  <c r="BO576" i="1"/>
  <c r="BN576" i="1"/>
  <c r="BR576" i="1"/>
  <c r="BM576" i="1"/>
  <c r="BQ576" i="1"/>
  <c r="BL576" i="1"/>
  <c r="BP576" i="1"/>
  <c r="BU576" i="1"/>
  <c r="BT576" i="1"/>
  <c r="BS576" i="1"/>
  <c r="BO600" i="1"/>
  <c r="BN600" i="1"/>
  <c r="BM600" i="1"/>
  <c r="BQ600" i="1"/>
  <c r="BR600" i="1"/>
  <c r="BL600" i="1"/>
  <c r="BU600" i="1"/>
  <c r="BT600" i="1"/>
  <c r="BP600" i="1"/>
  <c r="BS600" i="1"/>
  <c r="BL634" i="1"/>
  <c r="BP634" i="1"/>
  <c r="BO634" i="1"/>
  <c r="BN634" i="1"/>
  <c r="BS634" i="1"/>
  <c r="BQ634" i="1"/>
  <c r="BR634" i="1"/>
  <c r="BU634" i="1"/>
  <c r="BM634" i="1"/>
  <c r="BT634" i="1"/>
  <c r="AH570" i="1"/>
  <c r="AH584" i="1"/>
  <c r="AH627" i="1"/>
  <c r="AH618" i="1"/>
  <c r="AH609" i="1"/>
  <c r="AH610" i="1"/>
  <c r="AH593" i="1"/>
  <c r="AH601" i="1"/>
  <c r="AH662" i="1"/>
  <c r="AH592" i="1"/>
  <c r="AH613" i="1"/>
  <c r="AH573" i="1"/>
  <c r="AH597" i="1"/>
  <c r="AH578" i="1"/>
  <c r="AH569" i="1"/>
  <c r="AH639" i="1"/>
  <c r="AH630" i="1"/>
  <c r="AH619" i="1"/>
  <c r="AH622" i="1"/>
  <c r="AH603" i="1"/>
  <c r="AH626" i="1"/>
  <c r="AH611" i="1"/>
  <c r="AH623" i="1"/>
  <c r="AH652" i="1"/>
  <c r="AH575" i="1"/>
  <c r="AH624" i="1"/>
  <c r="AH620" i="1"/>
  <c r="AH589" i="1"/>
  <c r="AH636" i="1"/>
  <c r="AH586" i="1"/>
  <c r="AH577" i="1"/>
  <c r="AH648" i="1"/>
  <c r="AH640" i="1"/>
  <c r="AH631" i="1"/>
  <c r="AH632" i="1"/>
  <c r="AH615" i="1"/>
  <c r="AH654" i="1"/>
  <c r="AH638" i="1"/>
  <c r="AH647" i="1"/>
  <c r="AH616" i="1"/>
  <c r="AH637" i="1"/>
  <c r="AH596" i="1"/>
  <c r="AH645" i="1"/>
  <c r="AH667" i="1"/>
  <c r="AH614" i="1"/>
  <c r="AH605" i="1"/>
  <c r="AH571" i="1"/>
  <c r="AH585" i="1"/>
  <c r="AH657" i="1"/>
  <c r="AH649" i="1"/>
  <c r="AH641" i="1"/>
  <c r="AH642" i="1"/>
  <c r="AH625" i="1"/>
  <c r="AH602" i="1"/>
  <c r="AH663" i="1"/>
  <c r="AH644" i="1"/>
  <c r="AH594" i="1"/>
  <c r="AH581" i="1"/>
  <c r="AH653" i="1"/>
  <c r="AH628" i="1"/>
  <c r="AH595" i="1"/>
  <c r="AH659" i="1"/>
  <c r="AH646" i="1"/>
  <c r="AH579" i="1"/>
  <c r="AH582" i="1"/>
  <c r="AH666" i="1"/>
  <c r="AH658" i="1"/>
  <c r="AH650" i="1"/>
  <c r="AH651" i="1"/>
  <c r="AH635" i="1"/>
  <c r="AH633" i="1"/>
  <c r="AH567" i="1"/>
  <c r="AH612" i="1"/>
  <c r="AH588" i="1"/>
  <c r="AH572" i="1"/>
  <c r="AH583" i="1"/>
  <c r="AH566" i="1"/>
  <c r="AH656" i="1"/>
  <c r="AH568" i="1"/>
  <c r="AH607" i="1"/>
  <c r="AH598" i="1"/>
  <c r="AH587" i="1"/>
  <c r="AH590" i="1"/>
  <c r="AH591" i="1"/>
  <c r="AH655" i="1"/>
  <c r="AH606" i="1"/>
  <c r="AH643" i="1"/>
  <c r="AH621" i="1"/>
  <c r="AH660" i="1"/>
  <c r="AH629" i="1"/>
  <c r="AH576" i="1"/>
  <c r="AH617" i="1"/>
  <c r="AH608" i="1"/>
  <c r="AH599" i="1"/>
  <c r="AH600" i="1"/>
  <c r="AH574" i="1"/>
  <c r="AH664" i="1"/>
  <c r="AH634" i="1"/>
  <c r="AH665" i="1"/>
  <c r="AH661" i="1"/>
  <c r="AH604" i="1"/>
  <c r="AH580" i="1"/>
  <c r="BO640" i="1"/>
  <c r="BN640" i="1"/>
  <c r="BM640" i="1"/>
  <c r="BQ640" i="1"/>
  <c r="BL640" i="1"/>
  <c r="BR640" i="1"/>
  <c r="BP640" i="1"/>
  <c r="BU640" i="1"/>
  <c r="BT640" i="1"/>
  <c r="BS640" i="1"/>
  <c r="BL653" i="1"/>
  <c r="BO653" i="1"/>
  <c r="BM653" i="1"/>
  <c r="BU653" i="1"/>
  <c r="BP653" i="1"/>
  <c r="BT653" i="1"/>
  <c r="BN653" i="1"/>
  <c r="BS653" i="1"/>
  <c r="BQ653" i="1"/>
  <c r="BR653" i="1"/>
  <c r="BL623" i="1"/>
  <c r="BP623" i="1"/>
  <c r="BM623" i="1"/>
  <c r="BU623" i="1"/>
  <c r="BT623" i="1"/>
  <c r="BN623" i="1"/>
  <c r="BO623" i="1"/>
  <c r="BQ623" i="1"/>
  <c r="BS623" i="1"/>
  <c r="BR623" i="1"/>
  <c r="BN579" i="1"/>
  <c r="BR579" i="1"/>
  <c r="BO579" i="1"/>
  <c r="BS579" i="1"/>
  <c r="BL579" i="1"/>
  <c r="BM579" i="1"/>
  <c r="BP579" i="1"/>
  <c r="BQ579" i="1"/>
  <c r="BT579" i="1"/>
  <c r="BU579" i="1"/>
  <c r="BL567" i="1"/>
  <c r="BP567" i="1"/>
  <c r="BN567" i="1"/>
  <c r="BQ567" i="1"/>
  <c r="BU567" i="1"/>
  <c r="BO567" i="1"/>
  <c r="BT567" i="1"/>
  <c r="BR567" i="1"/>
  <c r="BM567" i="1"/>
  <c r="BS567" i="1"/>
  <c r="BO661" i="1"/>
  <c r="BQ661" i="1"/>
  <c r="BL661" i="1"/>
  <c r="BT661" i="1"/>
  <c r="BS661" i="1"/>
  <c r="BM661" i="1"/>
  <c r="BU661" i="1"/>
  <c r="BP661" i="1"/>
  <c r="BR661" i="1"/>
  <c r="BN661" i="1"/>
  <c r="BO664" i="1"/>
  <c r="BN664" i="1"/>
  <c r="BM664" i="1"/>
  <c r="BQ664" i="1"/>
  <c r="BR664" i="1"/>
  <c r="BL664" i="1"/>
  <c r="BU664" i="1"/>
  <c r="BT664" i="1"/>
  <c r="BP664" i="1"/>
  <c r="BS664" i="1"/>
  <c r="BL583" i="1"/>
  <c r="BP583" i="1"/>
  <c r="BN583" i="1"/>
  <c r="BQ583" i="1"/>
  <c r="BU583" i="1"/>
  <c r="BO583" i="1"/>
  <c r="BT583" i="1"/>
  <c r="BR583" i="1"/>
  <c r="BM583" i="1"/>
  <c r="BS583" i="1"/>
  <c r="BN627" i="1"/>
  <c r="BO627" i="1"/>
  <c r="BS627" i="1"/>
  <c r="BM627" i="1"/>
  <c r="BR627" i="1"/>
  <c r="BL627" i="1"/>
  <c r="BP627" i="1"/>
  <c r="BQ627" i="1"/>
  <c r="BT627" i="1"/>
  <c r="BU627" i="1"/>
  <c r="BO624" i="1"/>
  <c r="BN624" i="1"/>
  <c r="BM624" i="1"/>
  <c r="BQ624" i="1"/>
  <c r="BR624" i="1"/>
  <c r="BL624" i="1"/>
  <c r="BP624" i="1"/>
  <c r="BU624" i="1"/>
  <c r="BT624" i="1"/>
  <c r="BS624" i="1"/>
  <c r="BL637" i="1"/>
  <c r="BO637" i="1"/>
  <c r="BM637" i="1"/>
  <c r="BP637" i="1"/>
  <c r="BT637" i="1"/>
  <c r="BN637" i="1"/>
  <c r="BS637" i="1"/>
  <c r="BQ637" i="1"/>
  <c r="BR637" i="1"/>
  <c r="BU637" i="1"/>
  <c r="BM593" i="1"/>
  <c r="BQ593" i="1"/>
  <c r="BO593" i="1"/>
  <c r="BL593" i="1"/>
  <c r="BR593" i="1"/>
  <c r="BP593" i="1"/>
  <c r="BU593" i="1"/>
  <c r="BS593" i="1"/>
  <c r="BN593" i="1"/>
  <c r="BT593" i="1"/>
  <c r="BL645" i="1"/>
  <c r="BO645" i="1"/>
  <c r="BQ645" i="1"/>
  <c r="BT645" i="1"/>
  <c r="BS645" i="1"/>
  <c r="BM645" i="1"/>
  <c r="BP645" i="1"/>
  <c r="BR645" i="1"/>
  <c r="BN645" i="1"/>
  <c r="BU645" i="1"/>
  <c r="BL663" i="1"/>
  <c r="BP663" i="1"/>
  <c r="BN663" i="1"/>
  <c r="BQ663" i="1"/>
  <c r="BU663" i="1"/>
  <c r="BO663" i="1"/>
  <c r="BT663" i="1"/>
  <c r="BM663" i="1"/>
  <c r="BS663" i="1"/>
  <c r="BR663" i="1"/>
  <c r="BM601" i="1"/>
  <c r="BQ601" i="1"/>
  <c r="BS601" i="1"/>
  <c r="BN601" i="1"/>
  <c r="BR601" i="1"/>
  <c r="BL601" i="1"/>
  <c r="BU601" i="1"/>
  <c r="BO601" i="1"/>
  <c r="BT601" i="1"/>
  <c r="BP601" i="1"/>
  <c r="BO584" i="1"/>
  <c r="BN584" i="1"/>
  <c r="BR584" i="1"/>
  <c r="BM584" i="1"/>
  <c r="BQ584" i="1"/>
  <c r="BU584" i="1"/>
  <c r="BL584" i="1"/>
  <c r="BT584" i="1"/>
  <c r="BP584" i="1"/>
  <c r="BS584" i="1"/>
  <c r="BL631" i="1"/>
  <c r="BP631" i="1"/>
  <c r="BN631" i="1"/>
  <c r="BQ631" i="1"/>
  <c r="BU631" i="1"/>
  <c r="BO631" i="1"/>
  <c r="BT631" i="1"/>
  <c r="BR631" i="1"/>
  <c r="BM631" i="1"/>
  <c r="BS631" i="1"/>
  <c r="BN611" i="1"/>
  <c r="BQ611" i="1"/>
  <c r="BO611" i="1"/>
  <c r="BS611" i="1"/>
  <c r="BM611" i="1"/>
  <c r="BR611" i="1"/>
  <c r="BP611" i="1"/>
  <c r="BU611" i="1"/>
  <c r="BL611" i="1"/>
  <c r="BT611" i="1"/>
  <c r="BM625" i="1"/>
  <c r="BQ625" i="1"/>
  <c r="BO625" i="1"/>
  <c r="BR625" i="1"/>
  <c r="BL625" i="1"/>
  <c r="BP625" i="1"/>
  <c r="BU625" i="1"/>
  <c r="BS625" i="1"/>
  <c r="BN625" i="1"/>
  <c r="BT625" i="1"/>
  <c r="BL647" i="1"/>
  <c r="BP647" i="1"/>
  <c r="BN647" i="1"/>
  <c r="BQ647" i="1"/>
  <c r="BU647" i="1"/>
  <c r="BO647" i="1"/>
  <c r="BT647" i="1"/>
  <c r="BR647" i="1"/>
  <c r="BM647" i="1"/>
  <c r="BS647" i="1"/>
  <c r="BN571" i="1"/>
  <c r="BR571" i="1"/>
  <c r="BP571" i="1"/>
  <c r="BS571" i="1"/>
  <c r="BQ571" i="1"/>
  <c r="BL571" i="1"/>
  <c r="BO571" i="1"/>
  <c r="BU571" i="1"/>
  <c r="BM571" i="1"/>
  <c r="BT571" i="1"/>
  <c r="BM585" i="1"/>
  <c r="BQ585" i="1"/>
  <c r="BS585" i="1"/>
  <c r="BN585" i="1"/>
  <c r="BU585" i="1"/>
  <c r="BL585" i="1"/>
  <c r="BO585" i="1"/>
  <c r="BP585" i="1"/>
  <c r="BR585" i="1"/>
  <c r="BT585" i="1"/>
  <c r="BL613" i="1"/>
  <c r="BO613" i="1"/>
  <c r="BQ613" i="1"/>
  <c r="BU613" i="1"/>
  <c r="BT613" i="1"/>
  <c r="BS613" i="1"/>
  <c r="BM613" i="1"/>
  <c r="BN613" i="1"/>
  <c r="BP613" i="1"/>
  <c r="BR613" i="1"/>
  <c r="BM657" i="1"/>
  <c r="BQ657" i="1"/>
  <c r="BO657" i="1"/>
  <c r="BL657" i="1"/>
  <c r="BS657" i="1"/>
  <c r="BR657" i="1"/>
  <c r="BP657" i="1"/>
  <c r="BU657" i="1"/>
  <c r="BN657" i="1"/>
  <c r="BT657" i="1"/>
  <c r="BN659" i="1"/>
  <c r="BL659" i="1"/>
  <c r="BO659" i="1"/>
  <c r="BS659" i="1"/>
  <c r="BM659" i="1"/>
  <c r="BR659" i="1"/>
  <c r="BP659" i="1"/>
  <c r="BT659" i="1"/>
  <c r="BU659" i="1"/>
  <c r="BQ659" i="1"/>
  <c r="BM665" i="1"/>
  <c r="BQ665" i="1"/>
  <c r="BP665" i="1"/>
  <c r="BN665" i="1"/>
  <c r="BR665" i="1"/>
  <c r="BL665" i="1"/>
  <c r="BU665" i="1"/>
  <c r="BO665" i="1"/>
  <c r="BS665" i="1"/>
  <c r="BT665" i="1"/>
  <c r="BO648" i="1"/>
  <c r="BN648" i="1"/>
  <c r="BM648" i="1"/>
  <c r="BQ648" i="1"/>
  <c r="BR648" i="1"/>
  <c r="BU648" i="1"/>
  <c r="BL648" i="1"/>
  <c r="BT648" i="1"/>
  <c r="BP648" i="1"/>
  <c r="BS648" i="1"/>
  <c r="BO592" i="1"/>
  <c r="BN592" i="1"/>
  <c r="BR592" i="1"/>
  <c r="BM592" i="1"/>
  <c r="BQ592" i="1"/>
  <c r="BP592" i="1"/>
  <c r="BU592" i="1"/>
  <c r="BT592" i="1"/>
  <c r="BL592" i="1"/>
  <c r="BS592" i="1"/>
  <c r="BL573" i="1"/>
  <c r="BO573" i="1"/>
  <c r="BM573" i="1"/>
  <c r="BR573" i="1"/>
  <c r="BP573" i="1"/>
  <c r="BT573" i="1"/>
  <c r="BN573" i="1"/>
  <c r="BS573" i="1"/>
  <c r="BQ573" i="1"/>
  <c r="BU573" i="1"/>
  <c r="BL578" i="1"/>
  <c r="BP578" i="1"/>
  <c r="BO578" i="1"/>
  <c r="BN578" i="1"/>
  <c r="BR578" i="1"/>
  <c r="BS578" i="1"/>
  <c r="BM578" i="1"/>
  <c r="BU578" i="1"/>
  <c r="BQ578" i="1"/>
  <c r="BT578" i="1"/>
  <c r="BO608" i="1"/>
  <c r="BN608" i="1"/>
  <c r="BM608" i="1"/>
  <c r="BQ608" i="1"/>
  <c r="BR608" i="1"/>
  <c r="BP608" i="1"/>
  <c r="BU608" i="1"/>
  <c r="BL608" i="1"/>
  <c r="BT608" i="1"/>
  <c r="BS608" i="1"/>
  <c r="BM652" i="1"/>
  <c r="BQ652" i="1"/>
  <c r="BL652" i="1"/>
  <c r="BP652" i="1"/>
  <c r="BO652" i="1"/>
  <c r="BT652" i="1"/>
  <c r="BN652" i="1"/>
  <c r="BS652" i="1"/>
  <c r="BR652" i="1"/>
  <c r="BU652" i="1"/>
  <c r="BM649" i="1"/>
  <c r="BQ649" i="1"/>
  <c r="BN649" i="1"/>
  <c r="BR649" i="1"/>
  <c r="BU649" i="1"/>
  <c r="BL649" i="1"/>
  <c r="BO649" i="1"/>
  <c r="BT649" i="1"/>
  <c r="BS649" i="1"/>
  <c r="BP649" i="1"/>
  <c r="BL610" i="1"/>
  <c r="BP610" i="1"/>
  <c r="BO610" i="1"/>
  <c r="BN610" i="1"/>
  <c r="BS610" i="1"/>
  <c r="BM610" i="1"/>
  <c r="BR610" i="1"/>
  <c r="BU610" i="1"/>
  <c r="BQ610" i="1"/>
  <c r="BT610" i="1"/>
  <c r="BL666" i="1"/>
  <c r="BP666" i="1"/>
  <c r="BO666" i="1"/>
  <c r="BN666" i="1"/>
  <c r="BS666" i="1"/>
  <c r="BQ666" i="1"/>
  <c r="BR666" i="1"/>
  <c r="BU666" i="1"/>
  <c r="BM666" i="1"/>
  <c r="BT666" i="1"/>
  <c r="BN667" i="1"/>
  <c r="BP667" i="1"/>
  <c r="BT667" i="1"/>
  <c r="BS667" i="1"/>
  <c r="BQ667" i="1"/>
  <c r="BR667" i="1"/>
  <c r="BL667" i="1"/>
  <c r="BM667" i="1"/>
  <c r="BO667" i="1"/>
  <c r="BU667" i="1"/>
  <c r="BN630" i="1"/>
  <c r="BM630" i="1"/>
  <c r="BQ630" i="1"/>
  <c r="BL630" i="1"/>
  <c r="BP630" i="1"/>
  <c r="BU630" i="1"/>
  <c r="BO630" i="1"/>
  <c r="BT630" i="1"/>
  <c r="BS630" i="1"/>
  <c r="BR630" i="1"/>
  <c r="BL618" i="1"/>
  <c r="BP618" i="1"/>
  <c r="BO618" i="1"/>
  <c r="BN618" i="1"/>
  <c r="BS618" i="1"/>
  <c r="BQ618" i="1"/>
  <c r="BR618" i="1"/>
  <c r="BU618" i="1"/>
  <c r="BM618" i="1"/>
  <c r="BT618" i="1"/>
  <c r="BM609" i="1"/>
  <c r="BQ609" i="1"/>
  <c r="BO609" i="1"/>
  <c r="BR609" i="1"/>
  <c r="BP609" i="1"/>
  <c r="BU609" i="1"/>
  <c r="BL609" i="1"/>
  <c r="BN609" i="1"/>
  <c r="BT609" i="1"/>
  <c r="BS609" i="1"/>
  <c r="BO656" i="1"/>
  <c r="BN656" i="1"/>
  <c r="BM656" i="1"/>
  <c r="BQ656" i="1"/>
  <c r="BR656" i="1"/>
  <c r="BP656" i="1"/>
  <c r="BU656" i="1"/>
  <c r="BT656" i="1"/>
  <c r="BL656" i="1"/>
  <c r="BS656" i="1"/>
  <c r="BM572" i="1"/>
  <c r="BQ572" i="1"/>
  <c r="BL572" i="1"/>
  <c r="BP572" i="1"/>
  <c r="BO572" i="1"/>
  <c r="BT572" i="1"/>
  <c r="BN572" i="1"/>
  <c r="BS572" i="1"/>
  <c r="BR572" i="1"/>
  <c r="BU572" i="1"/>
  <c r="BM569" i="1"/>
  <c r="BQ569" i="1"/>
  <c r="BP569" i="1"/>
  <c r="BN569" i="1"/>
  <c r="BU569" i="1"/>
  <c r="BO569" i="1"/>
  <c r="BR569" i="1"/>
  <c r="BT569" i="1"/>
  <c r="BL569" i="1"/>
  <c r="BS569" i="1"/>
  <c r="BL581" i="1"/>
  <c r="BO581" i="1"/>
  <c r="BQ581" i="1"/>
  <c r="BN581" i="1"/>
  <c r="BU581" i="1"/>
  <c r="BT581" i="1"/>
  <c r="BR581" i="1"/>
  <c r="BS581" i="1"/>
  <c r="BM581" i="1"/>
  <c r="BP581" i="1"/>
  <c r="BL602" i="1"/>
  <c r="BP602" i="1"/>
  <c r="BO602" i="1"/>
  <c r="BN602" i="1"/>
  <c r="BS602" i="1"/>
  <c r="BQ602" i="1"/>
  <c r="BR602" i="1"/>
  <c r="BU602" i="1"/>
  <c r="BM602" i="1"/>
  <c r="BT602" i="1"/>
  <c r="BN590" i="1"/>
  <c r="BR590" i="1"/>
  <c r="BM590" i="1"/>
  <c r="BQ590" i="1"/>
  <c r="BL590" i="1"/>
  <c r="BP590" i="1"/>
  <c r="BU590" i="1"/>
  <c r="BT590" i="1"/>
  <c r="BS590" i="1"/>
  <c r="BO590" i="1"/>
  <c r="BM604" i="1"/>
  <c r="BQ604" i="1"/>
  <c r="BL604" i="1"/>
  <c r="BP604" i="1"/>
  <c r="BO604" i="1"/>
  <c r="BT604" i="1"/>
  <c r="BN604" i="1"/>
  <c r="BS604" i="1"/>
  <c r="BR604" i="1"/>
  <c r="BU604" i="1"/>
  <c r="BN619" i="1"/>
  <c r="BP619" i="1"/>
  <c r="BT619" i="1"/>
  <c r="BL619" i="1"/>
  <c r="BS619" i="1"/>
  <c r="BQ619" i="1"/>
  <c r="BR619" i="1"/>
  <c r="BO619" i="1"/>
  <c r="BU619" i="1"/>
  <c r="BM619" i="1"/>
  <c r="BN598" i="1"/>
  <c r="BM598" i="1"/>
  <c r="BQ598" i="1"/>
  <c r="BL598" i="1"/>
  <c r="BP598" i="1"/>
  <c r="BU598" i="1"/>
  <c r="BO598" i="1"/>
  <c r="BT598" i="1"/>
  <c r="BS598" i="1"/>
  <c r="BR598" i="1"/>
  <c r="BM612" i="1"/>
  <c r="BQ612" i="1"/>
  <c r="BL612" i="1"/>
  <c r="BP612" i="1"/>
  <c r="BO612" i="1"/>
  <c r="BT612" i="1"/>
  <c r="BS612" i="1"/>
  <c r="BR612" i="1"/>
  <c r="BN612" i="1"/>
  <c r="BU612" i="1"/>
  <c r="BL626" i="1"/>
  <c r="BP626" i="1"/>
  <c r="BO626" i="1"/>
  <c r="BN626" i="1"/>
  <c r="BS626" i="1"/>
  <c r="BM626" i="1"/>
  <c r="BR626" i="1"/>
  <c r="BU626" i="1"/>
  <c r="BQ626" i="1"/>
  <c r="BT626" i="1"/>
  <c r="BM617" i="1"/>
  <c r="BQ617" i="1"/>
  <c r="BL617" i="1"/>
  <c r="BP617" i="1"/>
  <c r="BN617" i="1"/>
  <c r="BR617" i="1"/>
  <c r="BU617" i="1"/>
  <c r="BO617" i="1"/>
  <c r="BT617" i="1"/>
  <c r="BS617" i="1"/>
  <c r="BN622" i="1"/>
  <c r="BM622" i="1"/>
  <c r="BQ622" i="1"/>
  <c r="BL622" i="1"/>
  <c r="BP622" i="1"/>
  <c r="BU622" i="1"/>
  <c r="BT622" i="1"/>
  <c r="BS622" i="1"/>
  <c r="BO622" i="1"/>
  <c r="BR622" i="1"/>
  <c r="BN587" i="1"/>
  <c r="BR587" i="1"/>
  <c r="BP587" i="1"/>
  <c r="BT587" i="1"/>
  <c r="BS587" i="1"/>
  <c r="BQ587" i="1"/>
  <c r="BM587" i="1"/>
  <c r="BL587" i="1"/>
  <c r="BO587" i="1"/>
  <c r="BU587" i="1"/>
  <c r="BM633" i="1"/>
  <c r="BQ633" i="1"/>
  <c r="BS633" i="1"/>
  <c r="BN633" i="1"/>
  <c r="BR633" i="1"/>
  <c r="BU633" i="1"/>
  <c r="BO633" i="1"/>
  <c r="BP633" i="1"/>
  <c r="BT633" i="1"/>
  <c r="BL633" i="1"/>
  <c r="BN582" i="1"/>
  <c r="BR582" i="1"/>
  <c r="BM582" i="1"/>
  <c r="BQ582" i="1"/>
  <c r="BL582" i="1"/>
  <c r="BP582" i="1"/>
  <c r="BU582" i="1"/>
  <c r="BO582" i="1"/>
  <c r="BT582" i="1"/>
  <c r="BS582" i="1"/>
  <c r="BM596" i="1"/>
  <c r="BQ596" i="1"/>
  <c r="BL596" i="1"/>
  <c r="BP596" i="1"/>
  <c r="BO596" i="1"/>
  <c r="BT596" i="1"/>
  <c r="BS596" i="1"/>
  <c r="BR596" i="1"/>
  <c r="BN596" i="1"/>
  <c r="BU596" i="1"/>
  <c r="BN654" i="1"/>
  <c r="BM654" i="1"/>
  <c r="BQ654" i="1"/>
  <c r="BL654" i="1"/>
  <c r="BP654" i="1"/>
  <c r="BU654" i="1"/>
  <c r="BT654" i="1"/>
  <c r="BS654" i="1"/>
  <c r="BO654" i="1"/>
  <c r="BR654" i="1"/>
  <c r="BL589" i="1"/>
  <c r="BO589" i="1"/>
  <c r="BM589" i="1"/>
  <c r="BP589" i="1"/>
  <c r="BT589" i="1"/>
  <c r="BN589" i="1"/>
  <c r="BS589" i="1"/>
  <c r="BQ589" i="1"/>
  <c r="BR589" i="1"/>
  <c r="BU589" i="1"/>
  <c r="BN606" i="1"/>
  <c r="BM606" i="1"/>
  <c r="BQ606" i="1"/>
  <c r="BL606" i="1"/>
  <c r="BP606" i="1"/>
  <c r="BU606" i="1"/>
  <c r="BT606" i="1"/>
  <c r="BS606" i="1"/>
  <c r="BO606" i="1"/>
  <c r="BR606" i="1"/>
  <c r="BO632" i="1"/>
  <c r="BN632" i="1"/>
  <c r="BM632" i="1"/>
  <c r="BQ632" i="1"/>
  <c r="BR632" i="1"/>
  <c r="BU632" i="1"/>
  <c r="BT632" i="1"/>
  <c r="BL632" i="1"/>
  <c r="BP632" i="1"/>
  <c r="BS632" i="1"/>
  <c r="BN662" i="1"/>
  <c r="BM662" i="1"/>
  <c r="BQ662" i="1"/>
  <c r="BL662" i="1"/>
  <c r="BP662" i="1"/>
  <c r="BU662" i="1"/>
  <c r="BO662" i="1"/>
  <c r="BT662" i="1"/>
  <c r="BS662" i="1"/>
  <c r="BR662" i="1"/>
  <c r="BL621" i="1"/>
  <c r="BO621" i="1"/>
  <c r="BM621" i="1"/>
  <c r="BP621" i="1"/>
  <c r="BT621" i="1"/>
  <c r="BN621" i="1"/>
  <c r="BS621" i="1"/>
  <c r="BQ621" i="1"/>
  <c r="BR621" i="1"/>
  <c r="BU621" i="1"/>
  <c r="BM620" i="1"/>
  <c r="BQ620" i="1"/>
  <c r="BL620" i="1"/>
  <c r="BP620" i="1"/>
  <c r="BO620" i="1"/>
  <c r="BT620" i="1"/>
  <c r="BN620" i="1"/>
  <c r="BS620" i="1"/>
  <c r="BR620" i="1"/>
  <c r="BU620" i="1"/>
  <c r="BL570" i="1"/>
  <c r="BP570" i="1"/>
  <c r="BO570" i="1"/>
  <c r="BN570" i="1"/>
  <c r="BR570" i="1"/>
  <c r="BS570" i="1"/>
  <c r="BQ570" i="1"/>
  <c r="BU570" i="1"/>
  <c r="BM570" i="1"/>
  <c r="BT570" i="1"/>
  <c r="BL575" i="1"/>
  <c r="BP575" i="1"/>
  <c r="BR575" i="1"/>
  <c r="BO575" i="1"/>
  <c r="BM575" i="1"/>
  <c r="BU575" i="1"/>
  <c r="BT575" i="1"/>
  <c r="BN575" i="1"/>
  <c r="BQ575" i="1"/>
  <c r="BS575" i="1"/>
  <c r="BN595" i="1"/>
  <c r="BL595" i="1"/>
  <c r="BO595" i="1"/>
  <c r="BS595" i="1"/>
  <c r="BM595" i="1"/>
  <c r="BR595" i="1"/>
  <c r="BP595" i="1"/>
  <c r="BU595" i="1"/>
  <c r="BQ595" i="1"/>
  <c r="BT595" i="1"/>
  <c r="BL586" i="1"/>
  <c r="BP586" i="1"/>
  <c r="BO586" i="1"/>
  <c r="BN586" i="1"/>
  <c r="BR586" i="1"/>
  <c r="BS586" i="1"/>
  <c r="BQ586" i="1"/>
  <c r="BU586" i="1"/>
  <c r="BM586" i="1"/>
  <c r="BT586" i="1"/>
  <c r="BN646" i="1"/>
  <c r="BM646" i="1"/>
  <c r="BQ646" i="1"/>
  <c r="BL646" i="1"/>
  <c r="BP646" i="1"/>
  <c r="BU646" i="1"/>
  <c r="BO646" i="1"/>
  <c r="BT646" i="1"/>
  <c r="BS646" i="1"/>
  <c r="BR646" i="1"/>
  <c r="BL658" i="1"/>
  <c r="BP658" i="1"/>
  <c r="BO658" i="1"/>
  <c r="BN658" i="1"/>
  <c r="BS658" i="1"/>
  <c r="BM658" i="1"/>
  <c r="BR658" i="1"/>
  <c r="BU658" i="1"/>
  <c r="BQ658" i="1"/>
  <c r="BT658" i="1"/>
  <c r="BL607" i="1"/>
  <c r="BP607" i="1"/>
  <c r="BO607" i="1"/>
  <c r="BR607" i="1"/>
  <c r="BM607" i="1"/>
  <c r="BU607" i="1"/>
  <c r="BT607" i="1"/>
  <c r="BN607" i="1"/>
  <c r="BQ607" i="1"/>
  <c r="BS607" i="1"/>
  <c r="BL597" i="1"/>
  <c r="BO597" i="1"/>
  <c r="BQ597" i="1"/>
  <c r="BT597" i="1"/>
  <c r="BS597" i="1"/>
  <c r="BM597" i="1"/>
  <c r="BP597" i="1"/>
  <c r="BR597" i="1"/>
  <c r="BN597" i="1"/>
  <c r="BU597" i="1"/>
  <c r="BN614" i="1"/>
  <c r="BM614" i="1"/>
  <c r="BQ614" i="1"/>
  <c r="BL614" i="1"/>
  <c r="BP614" i="1"/>
  <c r="BU614" i="1"/>
  <c r="BO614" i="1"/>
  <c r="BT614" i="1"/>
  <c r="BS614" i="1"/>
  <c r="BR614" i="1"/>
  <c r="BN651" i="1"/>
  <c r="BP651" i="1"/>
  <c r="BM651" i="1"/>
  <c r="BS651" i="1"/>
  <c r="BQ651" i="1"/>
  <c r="BR651" i="1"/>
  <c r="BL651" i="1"/>
  <c r="BO651" i="1"/>
  <c r="BU651" i="1"/>
  <c r="BT651" i="1"/>
  <c r="BL615" i="1"/>
  <c r="BP615" i="1"/>
  <c r="BN615" i="1"/>
  <c r="BQ615" i="1"/>
  <c r="BU615" i="1"/>
  <c r="BO615" i="1"/>
  <c r="BT615" i="1"/>
  <c r="BM615" i="1"/>
  <c r="BS615" i="1"/>
  <c r="BR615" i="1"/>
  <c r="BL629" i="1"/>
  <c r="BO629" i="1"/>
  <c r="BQ629" i="1"/>
  <c r="BN629" i="1"/>
  <c r="BT629" i="1"/>
  <c r="BS629" i="1"/>
  <c r="BM629" i="1"/>
  <c r="BU629" i="1"/>
  <c r="BP629" i="1"/>
  <c r="BR629" i="1"/>
  <c r="BN643" i="1"/>
  <c r="BO643" i="1"/>
  <c r="BS643" i="1"/>
  <c r="BL643" i="1"/>
  <c r="BM643" i="1"/>
  <c r="BR643" i="1"/>
  <c r="BP643" i="1"/>
  <c r="BU643" i="1"/>
  <c r="BQ643" i="1"/>
  <c r="BT643" i="1"/>
  <c r="BM628" i="1"/>
  <c r="BQ628" i="1"/>
  <c r="BL628" i="1"/>
  <c r="BP628" i="1"/>
  <c r="BO628" i="1"/>
  <c r="BT628" i="1"/>
  <c r="BS628" i="1"/>
  <c r="BR628" i="1"/>
  <c r="BN628" i="1"/>
  <c r="BU628" i="1"/>
  <c r="BL639" i="1"/>
  <c r="BP639" i="1"/>
  <c r="BR639" i="1"/>
  <c r="BM639" i="1"/>
  <c r="BU639" i="1"/>
  <c r="BT639" i="1"/>
  <c r="BN639" i="1"/>
  <c r="BQ639" i="1"/>
  <c r="BS639" i="1"/>
  <c r="BO639" i="1"/>
  <c r="BM636" i="1"/>
  <c r="BQ636" i="1"/>
  <c r="BL636" i="1"/>
  <c r="BP636" i="1"/>
  <c r="BO636" i="1"/>
  <c r="BT636" i="1"/>
  <c r="BN636" i="1"/>
  <c r="BS636" i="1"/>
  <c r="BR636" i="1"/>
  <c r="BU636" i="1"/>
  <c r="BN566" i="1"/>
  <c r="BR566" i="1"/>
  <c r="BM566" i="1"/>
  <c r="BQ566" i="1"/>
  <c r="BL566" i="1"/>
  <c r="BP566" i="1"/>
  <c r="BU566" i="1"/>
  <c r="BO566" i="1"/>
  <c r="BT566" i="1"/>
  <c r="BS566" i="1"/>
  <c r="BM580" i="1"/>
  <c r="BQ580" i="1"/>
  <c r="BL580" i="1"/>
  <c r="BP580" i="1"/>
  <c r="BO580" i="1"/>
  <c r="BT580" i="1"/>
  <c r="BR580" i="1"/>
  <c r="BS580" i="1"/>
  <c r="BN580" i="1"/>
  <c r="BU580" i="1"/>
  <c r="BL599" i="1"/>
  <c r="BP599" i="1"/>
  <c r="BN599" i="1"/>
  <c r="BQ599" i="1"/>
  <c r="BU599" i="1"/>
  <c r="BO599" i="1"/>
  <c r="BT599" i="1"/>
  <c r="BR599" i="1"/>
  <c r="BM599" i="1"/>
  <c r="BS599" i="1"/>
  <c r="BM660" i="1"/>
  <c r="BQ660" i="1"/>
  <c r="BL660" i="1"/>
  <c r="BP660" i="1"/>
  <c r="BO660" i="1"/>
  <c r="BT660" i="1"/>
  <c r="BS660" i="1"/>
  <c r="BR660" i="1"/>
  <c r="BN660" i="1"/>
  <c r="BU660" i="1"/>
  <c r="BO568" i="1"/>
  <c r="BN568" i="1"/>
  <c r="BR568" i="1"/>
  <c r="BM568" i="1"/>
  <c r="BQ568" i="1"/>
  <c r="BU568" i="1"/>
  <c r="BT568" i="1"/>
  <c r="BL568" i="1"/>
  <c r="BP568" i="1"/>
  <c r="BS568" i="1"/>
  <c r="BL650" i="1"/>
  <c r="BP650" i="1"/>
  <c r="BO650" i="1"/>
  <c r="BN650" i="1"/>
  <c r="BS650" i="1"/>
  <c r="BQ650" i="1"/>
  <c r="BR650" i="1"/>
  <c r="BU650" i="1"/>
  <c r="BM650" i="1"/>
  <c r="BT650" i="1"/>
  <c r="BL528" i="1"/>
  <c r="BM528" i="1"/>
  <c r="BQ528" i="1"/>
  <c r="BN528" i="1"/>
  <c r="BU528" i="1"/>
  <c r="BO528" i="1"/>
  <c r="BP528" i="1"/>
  <c r="BR528" i="1"/>
  <c r="BS528" i="1"/>
  <c r="BT528" i="1"/>
  <c r="BM565" i="1"/>
  <c r="BQ565" i="1"/>
  <c r="BN565" i="1"/>
  <c r="BL565" i="1"/>
  <c r="BR565" i="1"/>
  <c r="BS565" i="1"/>
  <c r="BT565" i="1"/>
  <c r="BO565" i="1"/>
  <c r="BU565" i="1"/>
  <c r="BP565" i="1"/>
  <c r="BL536" i="1"/>
  <c r="BM536" i="1"/>
  <c r="BQ536" i="1"/>
  <c r="BP536" i="1"/>
  <c r="BU536" i="1"/>
  <c r="BN536" i="1"/>
  <c r="BR536" i="1"/>
  <c r="BO536" i="1"/>
  <c r="BS536" i="1"/>
  <c r="BT536" i="1"/>
  <c r="BM557" i="1"/>
  <c r="BQ557" i="1"/>
  <c r="BN557" i="1"/>
  <c r="BL557" i="1"/>
  <c r="BR557" i="1"/>
  <c r="BO557" i="1"/>
  <c r="BP557" i="1"/>
  <c r="BS557" i="1"/>
  <c r="BT557" i="1"/>
  <c r="BU557" i="1"/>
  <c r="BO522" i="1"/>
  <c r="BL522" i="1"/>
  <c r="BP522" i="1"/>
  <c r="BQ522" i="1"/>
  <c r="BT522" i="1"/>
  <c r="BR522" i="1"/>
  <c r="BU522" i="1"/>
  <c r="BM522" i="1"/>
  <c r="BN522" i="1"/>
  <c r="BS522" i="1"/>
  <c r="BN532" i="1"/>
  <c r="BO532" i="1"/>
  <c r="BL532" i="1"/>
  <c r="BQ532" i="1"/>
  <c r="BM532" i="1"/>
  <c r="BR532" i="1"/>
  <c r="BS532" i="1"/>
  <c r="BT532" i="1"/>
  <c r="BP532" i="1"/>
  <c r="BU532" i="1"/>
  <c r="BN540" i="1"/>
  <c r="BO540" i="1"/>
  <c r="BS540" i="1"/>
  <c r="BL540" i="1"/>
  <c r="BT540" i="1"/>
  <c r="BM540" i="1"/>
  <c r="BP540" i="1"/>
  <c r="BQ540" i="1"/>
  <c r="BU540" i="1"/>
  <c r="BR540" i="1"/>
  <c r="BL511" i="1"/>
  <c r="BP511" i="1"/>
  <c r="BM511" i="1"/>
  <c r="BO511" i="1"/>
  <c r="BQ511" i="1"/>
  <c r="BU511" i="1"/>
  <c r="BN511" i="1"/>
  <c r="BR511" i="1"/>
  <c r="BS511" i="1"/>
  <c r="BT511" i="1"/>
  <c r="BO505" i="1"/>
  <c r="BL505" i="1"/>
  <c r="BP505" i="1"/>
  <c r="BN505" i="1"/>
  <c r="BT505" i="1"/>
  <c r="BU505" i="1"/>
  <c r="BQ505" i="1"/>
  <c r="BM505" i="1"/>
  <c r="BS505" i="1"/>
  <c r="BR505" i="1"/>
  <c r="BM541" i="1"/>
  <c r="BQ541" i="1"/>
  <c r="BN541" i="1"/>
  <c r="BL541" i="1"/>
  <c r="BO541" i="1"/>
  <c r="BR541" i="1"/>
  <c r="BS541" i="1"/>
  <c r="BT541" i="1"/>
  <c r="BP541" i="1"/>
  <c r="BU541" i="1"/>
  <c r="BN523" i="1"/>
  <c r="BR523" i="1"/>
  <c r="BO523" i="1"/>
  <c r="BM523" i="1"/>
  <c r="BS523" i="1"/>
  <c r="BQ523" i="1"/>
  <c r="BT523" i="1"/>
  <c r="BL523" i="1"/>
  <c r="BU523" i="1"/>
  <c r="BP523" i="1"/>
  <c r="BM550" i="1"/>
  <c r="BN550" i="1"/>
  <c r="BR550" i="1"/>
  <c r="BS550" i="1"/>
  <c r="BO550" i="1"/>
  <c r="BP550" i="1"/>
  <c r="BQ550" i="1"/>
  <c r="BT550" i="1"/>
  <c r="BL550" i="1"/>
  <c r="BU550" i="1"/>
  <c r="BL560" i="1"/>
  <c r="BM560" i="1"/>
  <c r="BQ560" i="1"/>
  <c r="BU560" i="1"/>
  <c r="BP560" i="1"/>
  <c r="BR560" i="1"/>
  <c r="BN560" i="1"/>
  <c r="BO560" i="1"/>
  <c r="BS560" i="1"/>
  <c r="BT560" i="1"/>
  <c r="BL562" i="1"/>
  <c r="BP562" i="1"/>
  <c r="BT562" i="1"/>
  <c r="BU562" i="1"/>
  <c r="BM562" i="1"/>
  <c r="BN562" i="1"/>
  <c r="BO562" i="1"/>
  <c r="BQ562" i="1"/>
  <c r="BR562" i="1"/>
  <c r="BS562" i="1"/>
  <c r="BM501" i="1"/>
  <c r="BQ501" i="1"/>
  <c r="BN501" i="1"/>
  <c r="BL501" i="1"/>
  <c r="BP501" i="1"/>
  <c r="BR501" i="1"/>
  <c r="BS501" i="1"/>
  <c r="BT501" i="1"/>
  <c r="BO501" i="1"/>
  <c r="BU501" i="1"/>
  <c r="BM509" i="1"/>
  <c r="BQ509" i="1"/>
  <c r="BN509" i="1"/>
  <c r="BL509" i="1"/>
  <c r="BR509" i="1"/>
  <c r="BO509" i="1"/>
  <c r="BS509" i="1"/>
  <c r="BP509" i="1"/>
  <c r="BT509" i="1"/>
  <c r="BU509" i="1"/>
  <c r="BO545" i="1"/>
  <c r="BL545" i="1"/>
  <c r="BN545" i="1"/>
  <c r="BP545" i="1"/>
  <c r="BT545" i="1"/>
  <c r="BQ545" i="1"/>
  <c r="BU545" i="1"/>
  <c r="BM545" i="1"/>
  <c r="BR545" i="1"/>
  <c r="BS545" i="1"/>
  <c r="BM542" i="1"/>
  <c r="BN542" i="1"/>
  <c r="BO542" i="1"/>
  <c r="BR542" i="1"/>
  <c r="BS542" i="1"/>
  <c r="BL542" i="1"/>
  <c r="BP542" i="1"/>
  <c r="BU542" i="1"/>
  <c r="BT542" i="1"/>
  <c r="BQ542" i="1"/>
  <c r="BN564" i="1"/>
  <c r="BO564" i="1"/>
  <c r="BQ564" i="1"/>
  <c r="BS564" i="1"/>
  <c r="BT564" i="1"/>
  <c r="BL564" i="1"/>
  <c r="BM564" i="1"/>
  <c r="BP564" i="1"/>
  <c r="BR564" i="1"/>
  <c r="BU564" i="1"/>
  <c r="AH504" i="1"/>
  <c r="AH538" i="1"/>
  <c r="AH541" i="1"/>
  <c r="AH552" i="1"/>
  <c r="AH531" i="1"/>
  <c r="AH519" i="1"/>
  <c r="AH561" i="1"/>
  <c r="AH551" i="1"/>
  <c r="AH511" i="1"/>
  <c r="AH503" i="1"/>
  <c r="AH506" i="1"/>
  <c r="AH550" i="1"/>
  <c r="AH562" i="1"/>
  <c r="AH564" i="1"/>
  <c r="AH513" i="1"/>
  <c r="AH500" i="1"/>
  <c r="AH529" i="1"/>
  <c r="AH545" i="1"/>
  <c r="AH540" i="1"/>
  <c r="AH560" i="1"/>
  <c r="AH501" i="1"/>
  <c r="AH544" i="1"/>
  <c r="AH556" i="1"/>
  <c r="AH532" i="1"/>
  <c r="AH516" i="1"/>
  <c r="AH553" i="1"/>
  <c r="AH505" i="1"/>
  <c r="AH502" i="1"/>
  <c r="AH518" i="1"/>
  <c r="AH509" i="1"/>
  <c r="AH510" i="1"/>
  <c r="AH543" i="1"/>
  <c r="AH521" i="1"/>
  <c r="AH524" i="1"/>
  <c r="AH527" i="1"/>
  <c r="AH525" i="1"/>
  <c r="AH530" i="1"/>
  <c r="AH520" i="1"/>
  <c r="AH558" i="1"/>
  <c r="AH537" i="1"/>
  <c r="AH555" i="1"/>
  <c r="AH536" i="1"/>
  <c r="AH517" i="1"/>
  <c r="AH554" i="1"/>
  <c r="AH534" i="1"/>
  <c r="AH533" i="1"/>
  <c r="AH522" i="1"/>
  <c r="AH508" i="1"/>
  <c r="AH523" i="1"/>
  <c r="AH539" i="1"/>
  <c r="AH557" i="1"/>
  <c r="AH549" i="1"/>
  <c r="AH512" i="1"/>
  <c r="AH528" i="1"/>
  <c r="AH565" i="1"/>
  <c r="AH546" i="1"/>
  <c r="AH535" i="1"/>
  <c r="AH559" i="1"/>
  <c r="AH547" i="1"/>
  <c r="AH507" i="1"/>
  <c r="AH526" i="1"/>
  <c r="AH514" i="1"/>
  <c r="AH542" i="1"/>
  <c r="AH548" i="1"/>
  <c r="AH563" i="1"/>
  <c r="AH515" i="1"/>
  <c r="BO537" i="1"/>
  <c r="BL537" i="1"/>
  <c r="BN537" i="1"/>
  <c r="BT537" i="1"/>
  <c r="BM537" i="1"/>
  <c r="BP537" i="1"/>
  <c r="BU537" i="1"/>
  <c r="BQ537" i="1"/>
  <c r="BS537" i="1"/>
  <c r="BR537" i="1"/>
  <c r="BO553" i="1"/>
  <c r="BL553" i="1"/>
  <c r="BN553" i="1"/>
  <c r="BM553" i="1"/>
  <c r="BT553" i="1"/>
  <c r="BU553" i="1"/>
  <c r="BR553" i="1"/>
  <c r="BP553" i="1"/>
  <c r="BS553" i="1"/>
  <c r="BQ553" i="1"/>
  <c r="BL535" i="1"/>
  <c r="BP535" i="1"/>
  <c r="BM535" i="1"/>
  <c r="BU535" i="1"/>
  <c r="BN535" i="1"/>
  <c r="BQ535" i="1"/>
  <c r="BR535" i="1"/>
  <c r="BS535" i="1"/>
  <c r="BO535" i="1"/>
  <c r="BT535" i="1"/>
  <c r="BM510" i="1"/>
  <c r="BN510" i="1"/>
  <c r="BR510" i="1"/>
  <c r="BL510" i="1"/>
  <c r="BO510" i="1"/>
  <c r="BS510" i="1"/>
  <c r="BP510" i="1"/>
  <c r="BT510" i="1"/>
  <c r="BQ510" i="1"/>
  <c r="BU510" i="1"/>
  <c r="BM518" i="1"/>
  <c r="BN518" i="1"/>
  <c r="BR518" i="1"/>
  <c r="BL518" i="1"/>
  <c r="BS518" i="1"/>
  <c r="BO518" i="1"/>
  <c r="BQ518" i="1"/>
  <c r="BP518" i="1"/>
  <c r="BT518" i="1"/>
  <c r="BU518" i="1"/>
  <c r="BN548" i="1"/>
  <c r="BO548" i="1"/>
  <c r="BS548" i="1"/>
  <c r="BP548" i="1"/>
  <c r="BT548" i="1"/>
  <c r="BQ548" i="1"/>
  <c r="BL548" i="1"/>
  <c r="BR548" i="1"/>
  <c r="BM548" i="1"/>
  <c r="BU548" i="1"/>
  <c r="BN547" i="1"/>
  <c r="BO547" i="1"/>
  <c r="BM547" i="1"/>
  <c r="BS547" i="1"/>
  <c r="BP547" i="1"/>
  <c r="BT547" i="1"/>
  <c r="BQ547" i="1"/>
  <c r="BU547" i="1"/>
  <c r="BL547" i="1"/>
  <c r="BR547" i="1"/>
  <c r="BM533" i="1"/>
  <c r="BQ533" i="1"/>
  <c r="BN533" i="1"/>
  <c r="BL533" i="1"/>
  <c r="BR533" i="1"/>
  <c r="BS533" i="1"/>
  <c r="BO533" i="1"/>
  <c r="BT533" i="1"/>
  <c r="BU533" i="1"/>
  <c r="BP533" i="1"/>
  <c r="BL559" i="1"/>
  <c r="BP559" i="1"/>
  <c r="BM559" i="1"/>
  <c r="BU559" i="1"/>
  <c r="BR559" i="1"/>
  <c r="BN559" i="1"/>
  <c r="BO559" i="1"/>
  <c r="BQ559" i="1"/>
  <c r="BS559" i="1"/>
  <c r="BT559" i="1"/>
  <c r="BO529" i="1"/>
  <c r="BL529" i="1"/>
  <c r="BN529" i="1"/>
  <c r="BT529" i="1"/>
  <c r="BU529" i="1"/>
  <c r="BP529" i="1"/>
  <c r="BS529" i="1"/>
  <c r="BQ529" i="1"/>
  <c r="BM529" i="1"/>
  <c r="BR529" i="1"/>
  <c r="BN539" i="1"/>
  <c r="BR539" i="1"/>
  <c r="BO539" i="1"/>
  <c r="BM539" i="1"/>
  <c r="BS539" i="1"/>
  <c r="BL539" i="1"/>
  <c r="BT539" i="1"/>
  <c r="BP539" i="1"/>
  <c r="BU539" i="1"/>
  <c r="BQ539" i="1"/>
  <c r="BL551" i="1"/>
  <c r="BP551" i="1"/>
  <c r="BM551" i="1"/>
  <c r="BN551" i="1"/>
  <c r="BU551" i="1"/>
  <c r="BR551" i="1"/>
  <c r="BS551" i="1"/>
  <c r="BO551" i="1"/>
  <c r="BQ551" i="1"/>
  <c r="BT551" i="1"/>
  <c r="BO530" i="1"/>
  <c r="BL530" i="1"/>
  <c r="BP530" i="1"/>
  <c r="BM530" i="1"/>
  <c r="BR530" i="1"/>
  <c r="BN530" i="1"/>
  <c r="BT530" i="1"/>
  <c r="BU530" i="1"/>
  <c r="BQ530" i="1"/>
  <c r="BS530" i="1"/>
  <c r="BO538" i="1"/>
  <c r="BL538" i="1"/>
  <c r="BP538" i="1"/>
  <c r="BT538" i="1"/>
  <c r="BM538" i="1"/>
  <c r="BU538" i="1"/>
  <c r="BN538" i="1"/>
  <c r="BQ538" i="1"/>
  <c r="BR538" i="1"/>
  <c r="BS538" i="1"/>
  <c r="BM517" i="1"/>
  <c r="BQ517" i="1"/>
  <c r="BN517" i="1"/>
  <c r="BL517" i="1"/>
  <c r="BS517" i="1"/>
  <c r="BP517" i="1"/>
  <c r="BO517" i="1"/>
  <c r="BT517" i="1"/>
  <c r="BR517" i="1"/>
  <c r="BU517" i="1"/>
  <c r="BL527" i="1"/>
  <c r="BP527" i="1"/>
  <c r="BM527" i="1"/>
  <c r="BU527" i="1"/>
  <c r="BO527" i="1"/>
  <c r="BQ527" i="1"/>
  <c r="BS527" i="1"/>
  <c r="BT527" i="1"/>
  <c r="BR527" i="1"/>
  <c r="BN527" i="1"/>
  <c r="BN508" i="1"/>
  <c r="BO508" i="1"/>
  <c r="BM508" i="1"/>
  <c r="BS508" i="1"/>
  <c r="BT508" i="1"/>
  <c r="BP508" i="1"/>
  <c r="BQ508" i="1"/>
  <c r="BU508" i="1"/>
  <c r="BL508" i="1"/>
  <c r="BR508" i="1"/>
  <c r="BN516" i="1"/>
  <c r="BO516" i="1"/>
  <c r="BS516" i="1"/>
  <c r="BL516" i="1"/>
  <c r="BP516" i="1"/>
  <c r="BM516" i="1"/>
  <c r="BT516" i="1"/>
  <c r="BQ516" i="1"/>
  <c r="BR516" i="1"/>
  <c r="BU516" i="1"/>
  <c r="BL519" i="1"/>
  <c r="BP519" i="1"/>
  <c r="BM519" i="1"/>
  <c r="BU519" i="1"/>
  <c r="BN519" i="1"/>
  <c r="BS519" i="1"/>
  <c r="BO519" i="1"/>
  <c r="BQ519" i="1"/>
  <c r="BT519" i="1"/>
  <c r="BR519" i="1"/>
  <c r="BN507" i="1"/>
  <c r="BR507" i="1"/>
  <c r="BO507" i="1"/>
  <c r="BM507" i="1"/>
  <c r="BS507" i="1"/>
  <c r="BT507" i="1"/>
  <c r="BP507" i="1"/>
  <c r="BU507" i="1"/>
  <c r="BL507" i="1"/>
  <c r="BQ507" i="1"/>
  <c r="BM534" i="1"/>
  <c r="BN534" i="1"/>
  <c r="BR534" i="1"/>
  <c r="BP534" i="1"/>
  <c r="BL534" i="1"/>
  <c r="BQ534" i="1"/>
  <c r="BS534" i="1"/>
  <c r="BO534" i="1"/>
  <c r="BT534" i="1"/>
  <c r="BU534" i="1"/>
  <c r="BO546" i="1"/>
  <c r="BL546" i="1"/>
  <c r="BP546" i="1"/>
  <c r="BT546" i="1"/>
  <c r="BQ546" i="1"/>
  <c r="BU546" i="1"/>
  <c r="BM546" i="1"/>
  <c r="BS546" i="1"/>
  <c r="BN546" i="1"/>
  <c r="BR546" i="1"/>
  <c r="BN556" i="1"/>
  <c r="BO556" i="1"/>
  <c r="BP556" i="1"/>
  <c r="BL556" i="1"/>
  <c r="BS556" i="1"/>
  <c r="BM556" i="1"/>
  <c r="BQ556" i="1"/>
  <c r="BT556" i="1"/>
  <c r="BU556" i="1"/>
  <c r="BR556" i="1"/>
  <c r="BL512" i="1"/>
  <c r="BM512" i="1"/>
  <c r="BQ512" i="1"/>
  <c r="BU512" i="1"/>
  <c r="BN512" i="1"/>
  <c r="BR512" i="1"/>
  <c r="BO512" i="1"/>
  <c r="BS512" i="1"/>
  <c r="BT512" i="1"/>
  <c r="BP512" i="1"/>
  <c r="BL520" i="1"/>
  <c r="BM520" i="1"/>
  <c r="BQ520" i="1"/>
  <c r="BR520" i="1"/>
  <c r="BU520" i="1"/>
  <c r="BN520" i="1"/>
  <c r="BP520" i="1"/>
  <c r="BS520" i="1"/>
  <c r="BO520" i="1"/>
  <c r="BT520" i="1"/>
  <c r="BN524" i="1"/>
  <c r="BO524" i="1"/>
  <c r="BP524" i="1"/>
  <c r="BS524" i="1"/>
  <c r="BQ524" i="1"/>
  <c r="BR524" i="1"/>
  <c r="BT524" i="1"/>
  <c r="BL524" i="1"/>
  <c r="BM524" i="1"/>
  <c r="BU524" i="1"/>
  <c r="BM549" i="1"/>
  <c r="BQ549" i="1"/>
  <c r="BN549" i="1"/>
  <c r="BL549" i="1"/>
  <c r="BR549" i="1"/>
  <c r="BS549" i="1"/>
  <c r="BP549" i="1"/>
  <c r="BO549" i="1"/>
  <c r="BT549" i="1"/>
  <c r="BU549" i="1"/>
  <c r="BM558" i="1"/>
  <c r="BN558" i="1"/>
  <c r="BR558" i="1"/>
  <c r="BL558" i="1"/>
  <c r="BO558" i="1"/>
  <c r="BP558" i="1"/>
  <c r="BQ558" i="1"/>
  <c r="BS558" i="1"/>
  <c r="BT558" i="1"/>
  <c r="BU558" i="1"/>
  <c r="BM526" i="1"/>
  <c r="BN526" i="1"/>
  <c r="BR526" i="1"/>
  <c r="BO526" i="1"/>
  <c r="BP526" i="1"/>
  <c r="BQ526" i="1"/>
  <c r="BS526" i="1"/>
  <c r="BL526" i="1"/>
  <c r="BT526" i="1"/>
  <c r="BU526" i="1"/>
  <c r="BM525" i="1"/>
  <c r="BQ525" i="1"/>
  <c r="BN525" i="1"/>
  <c r="BL525" i="1"/>
  <c r="BO525" i="1"/>
  <c r="BP525" i="1"/>
  <c r="BS525" i="1"/>
  <c r="BR525" i="1"/>
  <c r="BT525" i="1"/>
  <c r="BU525" i="1"/>
  <c r="BO506" i="1"/>
  <c r="BL506" i="1"/>
  <c r="BP506" i="1"/>
  <c r="BN506" i="1"/>
  <c r="BT506" i="1"/>
  <c r="BU506" i="1"/>
  <c r="BQ506" i="1"/>
  <c r="BR506" i="1"/>
  <c r="BM506" i="1"/>
  <c r="BS506" i="1"/>
  <c r="BO514" i="1"/>
  <c r="BL514" i="1"/>
  <c r="BP514" i="1"/>
  <c r="BT514" i="1"/>
  <c r="BM514" i="1"/>
  <c r="BQ514" i="1"/>
  <c r="BN514" i="1"/>
  <c r="BU514" i="1"/>
  <c r="BR514" i="1"/>
  <c r="BS514" i="1"/>
  <c r="BM502" i="1"/>
  <c r="BN502" i="1"/>
  <c r="BR502" i="1"/>
  <c r="BP502" i="1"/>
  <c r="BQ502" i="1"/>
  <c r="BS502" i="1"/>
  <c r="BL502" i="1"/>
  <c r="BT502" i="1"/>
  <c r="BU502" i="1"/>
  <c r="BO502" i="1"/>
  <c r="BL503" i="1"/>
  <c r="BP503" i="1"/>
  <c r="BM503" i="1"/>
  <c r="BO503" i="1"/>
  <c r="BU503" i="1"/>
  <c r="BQ503" i="1"/>
  <c r="BR503" i="1"/>
  <c r="BS503" i="1"/>
  <c r="BN503" i="1"/>
  <c r="BT503" i="1"/>
  <c r="BN531" i="1"/>
  <c r="BR531" i="1"/>
  <c r="BO531" i="1"/>
  <c r="BM531" i="1"/>
  <c r="BS531" i="1"/>
  <c r="BT531" i="1"/>
  <c r="BP531" i="1"/>
  <c r="BU531" i="1"/>
  <c r="BQ531" i="1"/>
  <c r="BL531" i="1"/>
  <c r="BO513" i="1"/>
  <c r="BL513" i="1"/>
  <c r="BN513" i="1"/>
  <c r="BP513" i="1"/>
  <c r="BT513" i="1"/>
  <c r="BM513" i="1"/>
  <c r="BQ513" i="1"/>
  <c r="BU513" i="1"/>
  <c r="BR513" i="1"/>
  <c r="BS513" i="1"/>
  <c r="BL544" i="1"/>
  <c r="BM544" i="1"/>
  <c r="BQ544" i="1"/>
  <c r="BU544" i="1"/>
  <c r="BO544" i="1"/>
  <c r="BR544" i="1"/>
  <c r="BN544" i="1"/>
  <c r="BT544" i="1"/>
  <c r="BS544" i="1"/>
  <c r="BP544" i="1"/>
  <c r="BL424" i="1"/>
  <c r="BO424" i="1"/>
  <c r="BQ424" i="1"/>
  <c r="BN424" i="1"/>
  <c r="BM424" i="1"/>
  <c r="BP424" i="1"/>
  <c r="BS424" i="1"/>
  <c r="BR424" i="1"/>
  <c r="BT424" i="1"/>
  <c r="BU424" i="1"/>
  <c r="BM422" i="1"/>
  <c r="BN422" i="1"/>
  <c r="BR422" i="1"/>
  <c r="BO422" i="1"/>
  <c r="BP422" i="1"/>
  <c r="BQ422" i="1"/>
  <c r="BS422" i="1"/>
  <c r="BL422" i="1"/>
  <c r="BT422" i="1"/>
  <c r="BU422" i="1"/>
  <c r="BQ447" i="1"/>
  <c r="BL447" i="1"/>
  <c r="BN447" i="1"/>
  <c r="BP447" i="1"/>
  <c r="BM447" i="1"/>
  <c r="BO447" i="1"/>
  <c r="BT447" i="1"/>
  <c r="BU447" i="1"/>
  <c r="BR447" i="1"/>
  <c r="BS447" i="1"/>
  <c r="BL464" i="1"/>
  <c r="BQ464" i="1"/>
  <c r="BN464" i="1"/>
  <c r="BT464" i="1"/>
  <c r="BR464" i="1"/>
  <c r="BO464" i="1"/>
  <c r="BP464" i="1"/>
  <c r="BS464" i="1"/>
  <c r="BM464" i="1"/>
  <c r="BU464" i="1"/>
  <c r="BN493" i="1"/>
  <c r="BR493" i="1"/>
  <c r="BM493" i="1"/>
  <c r="BT493" i="1"/>
  <c r="BU493" i="1"/>
  <c r="BP493" i="1"/>
  <c r="BQ493" i="1"/>
  <c r="BL493" i="1"/>
  <c r="BO493" i="1"/>
  <c r="BS493" i="1"/>
  <c r="BM465" i="1"/>
  <c r="BP465" i="1"/>
  <c r="BT465" i="1"/>
  <c r="BQ465" i="1"/>
  <c r="BR465" i="1"/>
  <c r="BL465" i="1"/>
  <c r="BN465" i="1"/>
  <c r="BO465" i="1"/>
  <c r="BU465" i="1"/>
  <c r="BS465" i="1"/>
  <c r="BL400" i="1"/>
  <c r="BO400" i="1"/>
  <c r="BQ400" i="1"/>
  <c r="BN400" i="1"/>
  <c r="BS400" i="1"/>
  <c r="BT400" i="1"/>
  <c r="BR400" i="1"/>
  <c r="BM400" i="1"/>
  <c r="BP400" i="1"/>
  <c r="BU400" i="1"/>
  <c r="BM395" i="1"/>
  <c r="BO395" i="1"/>
  <c r="BS395" i="1"/>
  <c r="BL395" i="1"/>
  <c r="BP395" i="1"/>
  <c r="BR395" i="1"/>
  <c r="BU395" i="1"/>
  <c r="BN395" i="1"/>
  <c r="BT395" i="1"/>
  <c r="BQ395" i="1"/>
  <c r="BL496" i="1"/>
  <c r="BQ496" i="1"/>
  <c r="BN496" i="1"/>
  <c r="BO496" i="1"/>
  <c r="BP496" i="1"/>
  <c r="BS496" i="1"/>
  <c r="BR496" i="1"/>
  <c r="BT496" i="1"/>
  <c r="BM496" i="1"/>
  <c r="BU496" i="1"/>
  <c r="BP417" i="1"/>
  <c r="BM417" i="1"/>
  <c r="BL417" i="1"/>
  <c r="BR417" i="1"/>
  <c r="BT417" i="1"/>
  <c r="BN417" i="1"/>
  <c r="BU417" i="1"/>
  <c r="BQ417" i="1"/>
  <c r="BO417" i="1"/>
  <c r="BS417" i="1"/>
  <c r="BL445" i="1"/>
  <c r="BN445" i="1"/>
  <c r="BR445" i="1"/>
  <c r="BT445" i="1"/>
  <c r="BM445" i="1"/>
  <c r="BO445" i="1"/>
  <c r="BU445" i="1"/>
  <c r="BS445" i="1"/>
  <c r="BP445" i="1"/>
  <c r="BQ445" i="1"/>
  <c r="BN485" i="1"/>
  <c r="BR485" i="1"/>
  <c r="BP485" i="1"/>
  <c r="BQ485" i="1"/>
  <c r="BO485" i="1"/>
  <c r="BT485" i="1"/>
  <c r="BU485" i="1"/>
  <c r="BL485" i="1"/>
  <c r="BM485" i="1"/>
  <c r="BS485" i="1"/>
  <c r="BL480" i="1"/>
  <c r="BM480" i="1"/>
  <c r="BQ480" i="1"/>
  <c r="BN480" i="1"/>
  <c r="BS480" i="1"/>
  <c r="BR480" i="1"/>
  <c r="BO480" i="1"/>
  <c r="BP480" i="1"/>
  <c r="BU480" i="1"/>
  <c r="BT480" i="1"/>
  <c r="BM423" i="1"/>
  <c r="BL423" i="1"/>
  <c r="BQ423" i="1"/>
  <c r="BN423" i="1"/>
  <c r="BO423" i="1"/>
  <c r="BP423" i="1"/>
  <c r="BS423" i="1"/>
  <c r="BR423" i="1"/>
  <c r="BT423" i="1"/>
  <c r="BU423" i="1"/>
  <c r="BL428" i="1"/>
  <c r="BM428" i="1"/>
  <c r="BO428" i="1"/>
  <c r="BS428" i="1"/>
  <c r="BP428" i="1"/>
  <c r="BN428" i="1"/>
  <c r="BR428" i="1"/>
  <c r="BT428" i="1"/>
  <c r="BU428" i="1"/>
  <c r="BQ428" i="1"/>
  <c r="BQ439" i="1"/>
  <c r="BM439" i="1"/>
  <c r="BN439" i="1"/>
  <c r="BR439" i="1"/>
  <c r="BT439" i="1"/>
  <c r="BP439" i="1"/>
  <c r="BU439" i="1"/>
  <c r="BL439" i="1"/>
  <c r="BS439" i="1"/>
  <c r="BO439" i="1"/>
  <c r="BM426" i="1"/>
  <c r="BN426" i="1"/>
  <c r="BP426" i="1"/>
  <c r="BT426" i="1"/>
  <c r="BL426" i="1"/>
  <c r="BQ426" i="1"/>
  <c r="BU426" i="1"/>
  <c r="BO426" i="1"/>
  <c r="BS426" i="1"/>
  <c r="BR426" i="1"/>
  <c r="BL477" i="1"/>
  <c r="BN477" i="1"/>
  <c r="BR477" i="1"/>
  <c r="BS477" i="1"/>
  <c r="BM477" i="1"/>
  <c r="BP477" i="1"/>
  <c r="BQ477" i="1"/>
  <c r="BU477" i="1"/>
  <c r="BO477" i="1"/>
  <c r="BT477" i="1"/>
  <c r="BQ431" i="1"/>
  <c r="BN431" i="1"/>
  <c r="BM431" i="1"/>
  <c r="BS431" i="1"/>
  <c r="BR431" i="1"/>
  <c r="BO431" i="1"/>
  <c r="BT431" i="1"/>
  <c r="BP431" i="1"/>
  <c r="BL431" i="1"/>
  <c r="BU431" i="1"/>
  <c r="BL416" i="1"/>
  <c r="BO416" i="1"/>
  <c r="BM416" i="1"/>
  <c r="BQ416" i="1"/>
  <c r="BN416" i="1"/>
  <c r="BR416" i="1"/>
  <c r="BS416" i="1"/>
  <c r="BP416" i="1"/>
  <c r="BU416" i="1"/>
  <c r="BT416" i="1"/>
  <c r="BL404" i="1"/>
  <c r="BO404" i="1"/>
  <c r="BS404" i="1"/>
  <c r="BP404" i="1"/>
  <c r="BU404" i="1"/>
  <c r="BT404" i="1"/>
  <c r="BN404" i="1"/>
  <c r="BQ404" i="1"/>
  <c r="BM404" i="1"/>
  <c r="BR404" i="1"/>
  <c r="BM486" i="1"/>
  <c r="BN486" i="1"/>
  <c r="BR486" i="1"/>
  <c r="BO486" i="1"/>
  <c r="BS486" i="1"/>
  <c r="BP486" i="1"/>
  <c r="BQ486" i="1"/>
  <c r="BT486" i="1"/>
  <c r="BU486" i="1"/>
  <c r="BL486" i="1"/>
  <c r="BP449" i="1"/>
  <c r="BM449" i="1"/>
  <c r="BL449" i="1"/>
  <c r="BR449" i="1"/>
  <c r="BS449" i="1"/>
  <c r="BQ449" i="1"/>
  <c r="BO449" i="1"/>
  <c r="BT449" i="1"/>
  <c r="BN449" i="1"/>
  <c r="BU449" i="1"/>
  <c r="BM478" i="1"/>
  <c r="BL478" i="1"/>
  <c r="BN478" i="1"/>
  <c r="BR478" i="1"/>
  <c r="BO478" i="1"/>
  <c r="BS478" i="1"/>
  <c r="BP478" i="1"/>
  <c r="BQ478" i="1"/>
  <c r="BU478" i="1"/>
  <c r="BT478" i="1"/>
  <c r="BP489" i="1"/>
  <c r="BL489" i="1"/>
  <c r="BQ489" i="1"/>
  <c r="BS489" i="1"/>
  <c r="BO489" i="1"/>
  <c r="BT489" i="1"/>
  <c r="BU489" i="1"/>
  <c r="BM489" i="1"/>
  <c r="BN489" i="1"/>
  <c r="BR489" i="1"/>
  <c r="BM427" i="1"/>
  <c r="BO427" i="1"/>
  <c r="BS427" i="1"/>
  <c r="BL427" i="1"/>
  <c r="BR427" i="1"/>
  <c r="BT427" i="1"/>
  <c r="BU427" i="1"/>
  <c r="BQ427" i="1"/>
  <c r="BP427" i="1"/>
  <c r="BN427" i="1"/>
  <c r="BM414" i="1"/>
  <c r="BL414" i="1"/>
  <c r="BN414" i="1"/>
  <c r="BR414" i="1"/>
  <c r="BO414" i="1"/>
  <c r="BS414" i="1"/>
  <c r="BP414" i="1"/>
  <c r="BQ414" i="1"/>
  <c r="BU414" i="1"/>
  <c r="BT414" i="1"/>
  <c r="BM462" i="1"/>
  <c r="BL462" i="1"/>
  <c r="BN462" i="1"/>
  <c r="BR462" i="1"/>
  <c r="BO462" i="1"/>
  <c r="BP462" i="1"/>
  <c r="BQ462" i="1"/>
  <c r="BS462" i="1"/>
  <c r="BU462" i="1"/>
  <c r="BT462" i="1"/>
  <c r="BM433" i="1"/>
  <c r="BP433" i="1"/>
  <c r="BN433" i="1"/>
  <c r="BS433" i="1"/>
  <c r="BO433" i="1"/>
  <c r="BR433" i="1"/>
  <c r="BQ433" i="1"/>
  <c r="BL433" i="1"/>
  <c r="BT433" i="1"/>
  <c r="BU433" i="1"/>
  <c r="BO403" i="1"/>
  <c r="BS403" i="1"/>
  <c r="BL403" i="1"/>
  <c r="BU403" i="1"/>
  <c r="BT403" i="1"/>
  <c r="BQ403" i="1"/>
  <c r="BM403" i="1"/>
  <c r="BP403" i="1"/>
  <c r="BN403" i="1"/>
  <c r="BR403" i="1"/>
  <c r="BM391" i="1"/>
  <c r="BL391" i="1"/>
  <c r="BQ391" i="1"/>
  <c r="BN391" i="1"/>
  <c r="BT391" i="1"/>
  <c r="BS391" i="1"/>
  <c r="BO391" i="1"/>
  <c r="BR391" i="1"/>
  <c r="BU391" i="1"/>
  <c r="BP391" i="1"/>
  <c r="BO475" i="1"/>
  <c r="BM475" i="1"/>
  <c r="BN475" i="1"/>
  <c r="BQ475" i="1"/>
  <c r="BU475" i="1"/>
  <c r="BL475" i="1"/>
  <c r="BP475" i="1"/>
  <c r="BT475" i="1"/>
  <c r="BR475" i="1"/>
  <c r="BS475" i="1"/>
  <c r="BM458" i="1"/>
  <c r="BN458" i="1"/>
  <c r="BP458" i="1"/>
  <c r="BT458" i="1"/>
  <c r="BL458" i="1"/>
  <c r="BQ458" i="1"/>
  <c r="BS458" i="1"/>
  <c r="BU458" i="1"/>
  <c r="BO458" i="1"/>
  <c r="BR458" i="1"/>
  <c r="BL460" i="1"/>
  <c r="BM460" i="1"/>
  <c r="BO460" i="1"/>
  <c r="BS460" i="1"/>
  <c r="BP460" i="1"/>
  <c r="BQ460" i="1"/>
  <c r="BR460" i="1"/>
  <c r="BU460" i="1"/>
  <c r="BN460" i="1"/>
  <c r="BT460" i="1"/>
  <c r="BM418" i="1"/>
  <c r="BN418" i="1"/>
  <c r="BP418" i="1"/>
  <c r="BT418" i="1"/>
  <c r="BQ418" i="1"/>
  <c r="BU418" i="1"/>
  <c r="BL418" i="1"/>
  <c r="BR418" i="1"/>
  <c r="BS418" i="1"/>
  <c r="BO418" i="1"/>
  <c r="BM469" i="1"/>
  <c r="BN469" i="1"/>
  <c r="BR469" i="1"/>
  <c r="BL469" i="1"/>
  <c r="BS469" i="1"/>
  <c r="BU469" i="1"/>
  <c r="BT469" i="1"/>
  <c r="BP469" i="1"/>
  <c r="BQ469" i="1"/>
  <c r="BO469" i="1"/>
  <c r="BL441" i="1"/>
  <c r="BP441" i="1"/>
  <c r="BM441" i="1"/>
  <c r="BS441" i="1"/>
  <c r="BR441" i="1"/>
  <c r="BN441" i="1"/>
  <c r="BQ441" i="1"/>
  <c r="BT441" i="1"/>
  <c r="BO441" i="1"/>
  <c r="BU441" i="1"/>
  <c r="BN461" i="1"/>
  <c r="BR461" i="1"/>
  <c r="BM461" i="1"/>
  <c r="BP461" i="1"/>
  <c r="BQ461" i="1"/>
  <c r="BO461" i="1"/>
  <c r="BS461" i="1"/>
  <c r="BU461" i="1"/>
  <c r="BL461" i="1"/>
  <c r="BT461" i="1"/>
  <c r="BL409" i="1"/>
  <c r="BP409" i="1"/>
  <c r="BM409" i="1"/>
  <c r="BN409" i="1"/>
  <c r="BQ409" i="1"/>
  <c r="BS409" i="1"/>
  <c r="BT409" i="1"/>
  <c r="BR409" i="1"/>
  <c r="BO409" i="1"/>
  <c r="BU409" i="1"/>
  <c r="BM402" i="1"/>
  <c r="BN402" i="1"/>
  <c r="BL402" i="1"/>
  <c r="BP402" i="1"/>
  <c r="BT402" i="1"/>
  <c r="BQ402" i="1"/>
  <c r="BU402" i="1"/>
  <c r="BO402" i="1"/>
  <c r="BS402" i="1"/>
  <c r="BR402" i="1"/>
  <c r="BP481" i="1"/>
  <c r="BM481" i="1"/>
  <c r="BL481" i="1"/>
  <c r="BR481" i="1"/>
  <c r="BT481" i="1"/>
  <c r="BN481" i="1"/>
  <c r="BS481" i="1"/>
  <c r="BU481" i="1"/>
  <c r="BQ481" i="1"/>
  <c r="BO481" i="1"/>
  <c r="BO443" i="1"/>
  <c r="BM443" i="1"/>
  <c r="BL443" i="1"/>
  <c r="BU443" i="1"/>
  <c r="BS443" i="1"/>
  <c r="BR443" i="1"/>
  <c r="BN443" i="1"/>
  <c r="BQ443" i="1"/>
  <c r="BP443" i="1"/>
  <c r="BT443" i="1"/>
  <c r="BM498" i="1"/>
  <c r="BN498" i="1"/>
  <c r="BL498" i="1"/>
  <c r="BP498" i="1"/>
  <c r="BT498" i="1"/>
  <c r="BQ498" i="1"/>
  <c r="BU498" i="1"/>
  <c r="BO498" i="1"/>
  <c r="BS498" i="1"/>
  <c r="BR498" i="1"/>
  <c r="BM459" i="1"/>
  <c r="BO459" i="1"/>
  <c r="BL459" i="1"/>
  <c r="BP459" i="1"/>
  <c r="BR459" i="1"/>
  <c r="BS459" i="1"/>
  <c r="BU459" i="1"/>
  <c r="BN459" i="1"/>
  <c r="BT459" i="1"/>
  <c r="BQ459" i="1"/>
  <c r="BQ415" i="1"/>
  <c r="BL415" i="1"/>
  <c r="BN415" i="1"/>
  <c r="BM415" i="1"/>
  <c r="BS415" i="1"/>
  <c r="BO415" i="1"/>
  <c r="BP415" i="1"/>
  <c r="BU415" i="1"/>
  <c r="BR415" i="1"/>
  <c r="BT415" i="1"/>
  <c r="BL440" i="1"/>
  <c r="BO440" i="1"/>
  <c r="BQ440" i="1"/>
  <c r="BM440" i="1"/>
  <c r="BN440" i="1"/>
  <c r="BS440" i="1"/>
  <c r="BR440" i="1"/>
  <c r="BT440" i="1"/>
  <c r="BP440" i="1"/>
  <c r="BU440" i="1"/>
  <c r="BL483" i="1"/>
  <c r="BO483" i="1"/>
  <c r="BM483" i="1"/>
  <c r="BT483" i="1"/>
  <c r="BU483" i="1"/>
  <c r="BR483" i="1"/>
  <c r="BN483" i="1"/>
  <c r="BP483" i="1"/>
  <c r="BQ483" i="1"/>
  <c r="BS483" i="1"/>
  <c r="BQ471" i="1"/>
  <c r="BM471" i="1"/>
  <c r="BN471" i="1"/>
  <c r="BL471" i="1"/>
  <c r="BO471" i="1"/>
  <c r="BP471" i="1"/>
  <c r="BR471" i="1"/>
  <c r="BS471" i="1"/>
  <c r="BT471" i="1"/>
  <c r="BU471" i="1"/>
  <c r="BL451" i="1"/>
  <c r="BO451" i="1"/>
  <c r="BM451" i="1"/>
  <c r="BN451" i="1"/>
  <c r="BU451" i="1"/>
  <c r="BQ451" i="1"/>
  <c r="BR451" i="1"/>
  <c r="BS451" i="1"/>
  <c r="BP451" i="1"/>
  <c r="BT451" i="1"/>
  <c r="BQ399" i="1"/>
  <c r="BN399" i="1"/>
  <c r="BM399" i="1"/>
  <c r="BS399" i="1"/>
  <c r="BT399" i="1"/>
  <c r="BR399" i="1"/>
  <c r="BP399" i="1"/>
  <c r="BL399" i="1"/>
  <c r="BU399" i="1"/>
  <c r="BO399" i="1"/>
  <c r="BM442" i="1"/>
  <c r="BN442" i="1"/>
  <c r="BP442" i="1"/>
  <c r="BT442" i="1"/>
  <c r="BQ442" i="1"/>
  <c r="BL442" i="1"/>
  <c r="BO442" i="1"/>
  <c r="BU442" i="1"/>
  <c r="BS442" i="1"/>
  <c r="BR442" i="1"/>
  <c r="BL488" i="1"/>
  <c r="BQ488" i="1"/>
  <c r="BN488" i="1"/>
  <c r="BS488" i="1"/>
  <c r="BO488" i="1"/>
  <c r="BP488" i="1"/>
  <c r="BM488" i="1"/>
  <c r="BR488" i="1"/>
  <c r="BT488" i="1"/>
  <c r="BU488" i="1"/>
  <c r="BM455" i="1"/>
  <c r="BL455" i="1"/>
  <c r="BQ455" i="1"/>
  <c r="BN455" i="1"/>
  <c r="BT455" i="1"/>
  <c r="BR455" i="1"/>
  <c r="BS455" i="1"/>
  <c r="BU455" i="1"/>
  <c r="BO455" i="1"/>
  <c r="BP455" i="1"/>
  <c r="BL412" i="1"/>
  <c r="BM412" i="1"/>
  <c r="BO412" i="1"/>
  <c r="BS412" i="1"/>
  <c r="BP412" i="1"/>
  <c r="BN412" i="1"/>
  <c r="BQ412" i="1"/>
  <c r="BU412" i="1"/>
  <c r="BT412" i="1"/>
  <c r="BR412" i="1"/>
  <c r="BM434" i="1"/>
  <c r="BN434" i="1"/>
  <c r="BL434" i="1"/>
  <c r="BP434" i="1"/>
  <c r="BT434" i="1"/>
  <c r="BQ434" i="1"/>
  <c r="BU434" i="1"/>
  <c r="BS434" i="1"/>
  <c r="BO434" i="1"/>
  <c r="BR434" i="1"/>
  <c r="BL472" i="1"/>
  <c r="BQ472" i="1"/>
  <c r="BM472" i="1"/>
  <c r="BN472" i="1"/>
  <c r="BT472" i="1"/>
  <c r="BO472" i="1"/>
  <c r="BP472" i="1"/>
  <c r="BR472" i="1"/>
  <c r="BS472" i="1"/>
  <c r="BU472" i="1"/>
  <c r="BM438" i="1"/>
  <c r="BN438" i="1"/>
  <c r="BR438" i="1"/>
  <c r="BL438" i="1"/>
  <c r="BO438" i="1"/>
  <c r="BT438" i="1"/>
  <c r="BP438" i="1"/>
  <c r="BQ438" i="1"/>
  <c r="BU438" i="1"/>
  <c r="BS438" i="1"/>
  <c r="BQ407" i="1"/>
  <c r="BM407" i="1"/>
  <c r="BN407" i="1"/>
  <c r="BP407" i="1"/>
  <c r="BR407" i="1"/>
  <c r="BO407" i="1"/>
  <c r="BU407" i="1"/>
  <c r="BT407" i="1"/>
  <c r="BL407" i="1"/>
  <c r="BS407" i="1"/>
  <c r="BL420" i="1"/>
  <c r="BO420" i="1"/>
  <c r="BS420" i="1"/>
  <c r="BM420" i="1"/>
  <c r="BP420" i="1"/>
  <c r="BT420" i="1"/>
  <c r="BU420" i="1"/>
  <c r="BR420" i="1"/>
  <c r="BN420" i="1"/>
  <c r="BQ420" i="1"/>
  <c r="AH390" i="1"/>
  <c r="AH388" i="1"/>
  <c r="AH469" i="1"/>
  <c r="AH460" i="1"/>
  <c r="AH451" i="1"/>
  <c r="AH442" i="1"/>
  <c r="AH421" i="1"/>
  <c r="AH397" i="1"/>
  <c r="AH486" i="1"/>
  <c r="AH467" i="1"/>
  <c r="AH409" i="1"/>
  <c r="AH401" i="1"/>
  <c r="AH431" i="1"/>
  <c r="AH391" i="1"/>
  <c r="AH398" i="1"/>
  <c r="AH396" i="1"/>
  <c r="AH480" i="1"/>
  <c r="AH470" i="1"/>
  <c r="AH461" i="1"/>
  <c r="AH452" i="1"/>
  <c r="AH432" i="1"/>
  <c r="AH412" i="1"/>
  <c r="AH498" i="1"/>
  <c r="AH477" i="1"/>
  <c r="AH386" i="1"/>
  <c r="AH399" i="1"/>
  <c r="AH457" i="1"/>
  <c r="AH387" i="1"/>
  <c r="AH389" i="1"/>
  <c r="AH445" i="1"/>
  <c r="AH489" i="1"/>
  <c r="AH455" i="1"/>
  <c r="AH392" i="1"/>
  <c r="AH405" i="1"/>
  <c r="AH491" i="1"/>
  <c r="AH482" i="1"/>
  <c r="AH472" i="1"/>
  <c r="AH462" i="1"/>
  <c r="AH443" i="1"/>
  <c r="AH422" i="1"/>
  <c r="AH403" i="1"/>
  <c r="AH488" i="1"/>
  <c r="AH414" i="1"/>
  <c r="AH465" i="1"/>
  <c r="AH425" i="1"/>
  <c r="AH448" i="1"/>
  <c r="AH420" i="1"/>
  <c r="AH466" i="1"/>
  <c r="AH407" i="1"/>
  <c r="AH400" i="1"/>
  <c r="AH416" i="1"/>
  <c r="AH406" i="1"/>
  <c r="AH492" i="1"/>
  <c r="AH483" i="1"/>
  <c r="AH474" i="1"/>
  <c r="AH453" i="1"/>
  <c r="AH434" i="1"/>
  <c r="AH413" i="1"/>
  <c r="AH499" i="1"/>
  <c r="AH436" i="1"/>
  <c r="AH449" i="1"/>
  <c r="AH393" i="1"/>
  <c r="AH394" i="1"/>
  <c r="AH427" i="1"/>
  <c r="AH418" i="1"/>
  <c r="AH408" i="1"/>
  <c r="AH493" i="1"/>
  <c r="AH484" i="1"/>
  <c r="AH464" i="1"/>
  <c r="AH444" i="1"/>
  <c r="AH424" i="1"/>
  <c r="AH446" i="1"/>
  <c r="AH404" i="1"/>
  <c r="AH479" i="1"/>
  <c r="AH471" i="1"/>
  <c r="AH429" i="1"/>
  <c r="AH495" i="1"/>
  <c r="AH402" i="1"/>
  <c r="AH437" i="1"/>
  <c r="AH428" i="1"/>
  <c r="AH419" i="1"/>
  <c r="AH410" i="1"/>
  <c r="AH494" i="1"/>
  <c r="AH475" i="1"/>
  <c r="AH454" i="1"/>
  <c r="AH435" i="1"/>
  <c r="AH458" i="1"/>
  <c r="AH490" i="1"/>
  <c r="AH426" i="1"/>
  <c r="AH447" i="1"/>
  <c r="AH439" i="1"/>
  <c r="AH417" i="1"/>
  <c r="AH487" i="1"/>
  <c r="AH395" i="1"/>
  <c r="AH459" i="1"/>
  <c r="AH450" i="1"/>
  <c r="AH440" i="1"/>
  <c r="AH430" i="1"/>
  <c r="AH411" i="1"/>
  <c r="AH496" i="1"/>
  <c r="AH476" i="1"/>
  <c r="AH456" i="1"/>
  <c r="AH478" i="1"/>
  <c r="AH497" i="1"/>
  <c r="AH441" i="1"/>
  <c r="AH481" i="1"/>
  <c r="AH433" i="1"/>
  <c r="AH463" i="1"/>
  <c r="AH423" i="1"/>
  <c r="AH438" i="1"/>
  <c r="AH485" i="1"/>
  <c r="AH468" i="1"/>
  <c r="AH415" i="1"/>
  <c r="AH473" i="1"/>
  <c r="BM430" i="1"/>
  <c r="BL430" i="1"/>
  <c r="BN430" i="1"/>
  <c r="BR430" i="1"/>
  <c r="BO430" i="1"/>
  <c r="BT430" i="1"/>
  <c r="BU430" i="1"/>
  <c r="BP430" i="1"/>
  <c r="BQ430" i="1"/>
  <c r="BS430" i="1"/>
  <c r="BL396" i="1"/>
  <c r="BN396" i="1"/>
  <c r="BM396" i="1"/>
  <c r="BO396" i="1"/>
  <c r="BS396" i="1"/>
  <c r="BP396" i="1"/>
  <c r="BQ396" i="1"/>
  <c r="BR396" i="1"/>
  <c r="BU396" i="1"/>
  <c r="BT396" i="1"/>
  <c r="BN421" i="1"/>
  <c r="BR421" i="1"/>
  <c r="BO421" i="1"/>
  <c r="BP421" i="1"/>
  <c r="BQ421" i="1"/>
  <c r="BS421" i="1"/>
  <c r="BL421" i="1"/>
  <c r="BM421" i="1"/>
  <c r="BT421" i="1"/>
  <c r="BU421" i="1"/>
  <c r="BM470" i="1"/>
  <c r="BN470" i="1"/>
  <c r="BR470" i="1"/>
  <c r="BL470" i="1"/>
  <c r="BO470" i="1"/>
  <c r="BS470" i="1"/>
  <c r="BU470" i="1"/>
  <c r="BP470" i="1"/>
  <c r="BQ470" i="1"/>
  <c r="BT470" i="1"/>
  <c r="BM497" i="1"/>
  <c r="BP497" i="1"/>
  <c r="BL497" i="1"/>
  <c r="BN497" i="1"/>
  <c r="BO497" i="1"/>
  <c r="BS497" i="1"/>
  <c r="BR497" i="1"/>
  <c r="BQ497" i="1"/>
  <c r="BT497" i="1"/>
  <c r="BU497" i="1"/>
  <c r="BM390" i="1"/>
  <c r="BR390" i="1"/>
  <c r="BN390" i="1"/>
  <c r="BO390" i="1"/>
  <c r="BT390" i="1"/>
  <c r="BS390" i="1"/>
  <c r="BL390" i="1"/>
  <c r="BU390" i="1"/>
  <c r="BP390" i="1"/>
  <c r="BQ390" i="1"/>
  <c r="BM454" i="1"/>
  <c r="BN454" i="1"/>
  <c r="BR454" i="1"/>
  <c r="BO454" i="1"/>
  <c r="BT454" i="1"/>
  <c r="BL454" i="1"/>
  <c r="BS454" i="1"/>
  <c r="BU454" i="1"/>
  <c r="BP454" i="1"/>
  <c r="BQ454" i="1"/>
  <c r="BN453" i="1"/>
  <c r="BR453" i="1"/>
  <c r="BL453" i="1"/>
  <c r="BM453" i="1"/>
  <c r="BS453" i="1"/>
  <c r="BU453" i="1"/>
  <c r="BP453" i="1"/>
  <c r="BQ453" i="1"/>
  <c r="BO453" i="1"/>
  <c r="BT453" i="1"/>
  <c r="BL419" i="1"/>
  <c r="BO419" i="1"/>
  <c r="BS419" i="1"/>
  <c r="BM419" i="1"/>
  <c r="BT419" i="1"/>
  <c r="BU419" i="1"/>
  <c r="BR419" i="1"/>
  <c r="BN419" i="1"/>
  <c r="BQ419" i="1"/>
  <c r="BP419" i="1"/>
  <c r="BQ495" i="1"/>
  <c r="BN495" i="1"/>
  <c r="BM495" i="1"/>
  <c r="BS495" i="1"/>
  <c r="BR495" i="1"/>
  <c r="BT495" i="1"/>
  <c r="BU495" i="1"/>
  <c r="BL495" i="1"/>
  <c r="BO495" i="1"/>
  <c r="BP495" i="1"/>
  <c r="BL387" i="1"/>
  <c r="BN387" i="1"/>
  <c r="BO387" i="1"/>
  <c r="BS387" i="1"/>
  <c r="BM387" i="1"/>
  <c r="BU387" i="1"/>
  <c r="BQ387" i="1"/>
  <c r="BR387" i="1"/>
  <c r="BP387" i="1"/>
  <c r="BT387" i="1"/>
  <c r="BO467" i="1"/>
  <c r="BL467" i="1"/>
  <c r="BS467" i="1"/>
  <c r="BU467" i="1"/>
  <c r="BT467" i="1"/>
  <c r="BQ467" i="1"/>
  <c r="BP467" i="1"/>
  <c r="BN467" i="1"/>
  <c r="BR467" i="1"/>
  <c r="BM467" i="1"/>
  <c r="BL448" i="1"/>
  <c r="BO448" i="1"/>
  <c r="BM448" i="1"/>
  <c r="BQ448" i="1"/>
  <c r="BN448" i="1"/>
  <c r="BP448" i="1"/>
  <c r="BT448" i="1"/>
  <c r="BR448" i="1"/>
  <c r="BU448" i="1"/>
  <c r="BS448" i="1"/>
  <c r="BL388" i="1"/>
  <c r="BN388" i="1"/>
  <c r="BO388" i="1"/>
  <c r="BS388" i="1"/>
  <c r="BM388" i="1"/>
  <c r="BP388" i="1"/>
  <c r="BU388" i="1"/>
  <c r="BQ388" i="1"/>
  <c r="BR388" i="1"/>
  <c r="BT388" i="1"/>
  <c r="BL408" i="1"/>
  <c r="BO408" i="1"/>
  <c r="BQ408" i="1"/>
  <c r="BM408" i="1"/>
  <c r="BN408" i="1"/>
  <c r="BT408" i="1"/>
  <c r="BP408" i="1"/>
  <c r="BR408" i="1"/>
  <c r="BS408" i="1"/>
  <c r="BU408" i="1"/>
  <c r="BL413" i="1"/>
  <c r="BN413" i="1"/>
  <c r="BR413" i="1"/>
  <c r="BO413" i="1"/>
  <c r="BM413" i="1"/>
  <c r="BS413" i="1"/>
  <c r="BP413" i="1"/>
  <c r="BQ413" i="1"/>
  <c r="BU413" i="1"/>
  <c r="BT413" i="1"/>
  <c r="BM410" i="1"/>
  <c r="BN410" i="1"/>
  <c r="BP410" i="1"/>
  <c r="BT410" i="1"/>
  <c r="BQ410" i="1"/>
  <c r="BU410" i="1"/>
  <c r="BS410" i="1"/>
  <c r="BR410" i="1"/>
  <c r="BO410" i="1"/>
  <c r="BL410" i="1"/>
  <c r="BL452" i="1"/>
  <c r="BO452" i="1"/>
  <c r="BS452" i="1"/>
  <c r="BM452" i="1"/>
  <c r="BP452" i="1"/>
  <c r="BN452" i="1"/>
  <c r="BU452" i="1"/>
  <c r="BQ452" i="1"/>
  <c r="BR452" i="1"/>
  <c r="BT452" i="1"/>
  <c r="BM487" i="1"/>
  <c r="BL487" i="1"/>
  <c r="BQ487" i="1"/>
  <c r="BN487" i="1"/>
  <c r="BS487" i="1"/>
  <c r="BO487" i="1"/>
  <c r="BP487" i="1"/>
  <c r="BR487" i="1"/>
  <c r="BT487" i="1"/>
  <c r="BU487" i="1"/>
  <c r="BL456" i="1"/>
  <c r="BQ456" i="1"/>
  <c r="BN456" i="1"/>
  <c r="BT456" i="1"/>
  <c r="BM456" i="1"/>
  <c r="BO456" i="1"/>
  <c r="BR456" i="1"/>
  <c r="BS456" i="1"/>
  <c r="BU456" i="1"/>
  <c r="BP456" i="1"/>
  <c r="BM474" i="1"/>
  <c r="BN474" i="1"/>
  <c r="BP474" i="1"/>
  <c r="BT474" i="1"/>
  <c r="BQ474" i="1"/>
  <c r="BU474" i="1"/>
  <c r="BL474" i="1"/>
  <c r="BO474" i="1"/>
  <c r="BR474" i="1"/>
  <c r="BS474" i="1"/>
  <c r="BM398" i="1"/>
  <c r="BL398" i="1"/>
  <c r="BN398" i="1"/>
  <c r="BR398" i="1"/>
  <c r="BO398" i="1"/>
  <c r="BP398" i="1"/>
  <c r="BQ398" i="1"/>
  <c r="BU398" i="1"/>
  <c r="BT398" i="1"/>
  <c r="BS398" i="1"/>
  <c r="BL444" i="1"/>
  <c r="BM444" i="1"/>
  <c r="BO444" i="1"/>
  <c r="BS444" i="1"/>
  <c r="BP444" i="1"/>
  <c r="BU444" i="1"/>
  <c r="BT444" i="1"/>
  <c r="BR444" i="1"/>
  <c r="BN444" i="1"/>
  <c r="BQ444" i="1"/>
  <c r="BM386" i="1"/>
  <c r="BP386" i="1"/>
  <c r="BT386" i="1"/>
  <c r="BQ386" i="1"/>
  <c r="BL386" i="1"/>
  <c r="BU386" i="1"/>
  <c r="BN386" i="1"/>
  <c r="BR386" i="1"/>
  <c r="BO386" i="1"/>
  <c r="BS386" i="1"/>
  <c r="BN397" i="1"/>
  <c r="BR397" i="1"/>
  <c r="BM397" i="1"/>
  <c r="BO397" i="1"/>
  <c r="BP397" i="1"/>
  <c r="BQ397" i="1"/>
  <c r="BL397" i="1"/>
  <c r="BU397" i="1"/>
  <c r="BS397" i="1"/>
  <c r="BT397" i="1"/>
  <c r="BM491" i="1"/>
  <c r="BO491" i="1"/>
  <c r="BL491" i="1"/>
  <c r="BR491" i="1"/>
  <c r="BT491" i="1"/>
  <c r="BU491" i="1"/>
  <c r="BQ491" i="1"/>
  <c r="BP491" i="1"/>
  <c r="BN491" i="1"/>
  <c r="BS491" i="1"/>
  <c r="BM405" i="1"/>
  <c r="BN405" i="1"/>
  <c r="BR405" i="1"/>
  <c r="BL405" i="1"/>
  <c r="BO405" i="1"/>
  <c r="BU405" i="1"/>
  <c r="BS405" i="1"/>
  <c r="BT405" i="1"/>
  <c r="BP405" i="1"/>
  <c r="BQ405" i="1"/>
  <c r="BL392" i="1"/>
  <c r="BO392" i="1"/>
  <c r="BQ392" i="1"/>
  <c r="BM392" i="1"/>
  <c r="BN392" i="1"/>
  <c r="BT392" i="1"/>
  <c r="BS392" i="1"/>
  <c r="BP392" i="1"/>
  <c r="BR392" i="1"/>
  <c r="BU392" i="1"/>
  <c r="BO435" i="1"/>
  <c r="BL435" i="1"/>
  <c r="BQ435" i="1"/>
  <c r="BP435" i="1"/>
  <c r="BU435" i="1"/>
  <c r="BN435" i="1"/>
  <c r="BS435" i="1"/>
  <c r="BM435" i="1"/>
  <c r="BR435" i="1"/>
  <c r="BT435" i="1"/>
  <c r="BM446" i="1"/>
  <c r="BL446" i="1"/>
  <c r="BN446" i="1"/>
  <c r="BR446" i="1"/>
  <c r="BO446" i="1"/>
  <c r="BP446" i="1"/>
  <c r="BQ446" i="1"/>
  <c r="BT446" i="1"/>
  <c r="BU446" i="1"/>
  <c r="BS446" i="1"/>
  <c r="BL432" i="1"/>
  <c r="BO432" i="1"/>
  <c r="BQ432" i="1"/>
  <c r="BN432" i="1"/>
  <c r="BP432" i="1"/>
  <c r="BS432" i="1"/>
  <c r="BR432" i="1"/>
  <c r="BM432" i="1"/>
  <c r="BT432" i="1"/>
  <c r="BU432" i="1"/>
  <c r="BP425" i="1"/>
  <c r="BL425" i="1"/>
  <c r="BO425" i="1"/>
  <c r="BQ425" i="1"/>
  <c r="BM425" i="1"/>
  <c r="BS425" i="1"/>
  <c r="BT425" i="1"/>
  <c r="BU425" i="1"/>
  <c r="BN425" i="1"/>
  <c r="BR425" i="1"/>
  <c r="BM437" i="1"/>
  <c r="BN437" i="1"/>
  <c r="BR437" i="1"/>
  <c r="BL437" i="1"/>
  <c r="BO437" i="1"/>
  <c r="BT437" i="1"/>
  <c r="BP437" i="1"/>
  <c r="BQ437" i="1"/>
  <c r="BU437" i="1"/>
  <c r="BS437" i="1"/>
  <c r="BQ479" i="1"/>
  <c r="BL479" i="1"/>
  <c r="BN479" i="1"/>
  <c r="BS479" i="1"/>
  <c r="BM479" i="1"/>
  <c r="BO479" i="1"/>
  <c r="BP479" i="1"/>
  <c r="BU479" i="1"/>
  <c r="BR479" i="1"/>
  <c r="BT479" i="1"/>
  <c r="BM466" i="1"/>
  <c r="BN466" i="1"/>
  <c r="BL466" i="1"/>
  <c r="BP466" i="1"/>
  <c r="BT466" i="1"/>
  <c r="BQ466" i="1"/>
  <c r="BU466" i="1"/>
  <c r="BR466" i="1"/>
  <c r="BS466" i="1"/>
  <c r="BO466" i="1"/>
  <c r="BL492" i="1"/>
  <c r="BM492" i="1"/>
  <c r="BO492" i="1"/>
  <c r="BS492" i="1"/>
  <c r="BP492" i="1"/>
  <c r="BN492" i="1"/>
  <c r="BR492" i="1"/>
  <c r="BT492" i="1"/>
  <c r="BU492" i="1"/>
  <c r="BQ492" i="1"/>
  <c r="BM490" i="1"/>
  <c r="BN490" i="1"/>
  <c r="BP490" i="1"/>
  <c r="BT490" i="1"/>
  <c r="BL490" i="1"/>
  <c r="BQ490" i="1"/>
  <c r="BU490" i="1"/>
  <c r="BS490" i="1"/>
  <c r="BO490" i="1"/>
  <c r="BR490" i="1"/>
  <c r="BO411" i="1"/>
  <c r="BS411" i="1"/>
  <c r="BL411" i="1"/>
  <c r="BN411" i="1"/>
  <c r="BQ411" i="1"/>
  <c r="BU411" i="1"/>
  <c r="BP411" i="1"/>
  <c r="BT411" i="1"/>
  <c r="BR411" i="1"/>
  <c r="BM411" i="1"/>
  <c r="BL436" i="1"/>
  <c r="BO436" i="1"/>
  <c r="BS436" i="1"/>
  <c r="BP436" i="1"/>
  <c r="BT436" i="1"/>
  <c r="BQ436" i="1"/>
  <c r="BU436" i="1"/>
  <c r="BN436" i="1"/>
  <c r="BM436" i="1"/>
  <c r="BR436" i="1"/>
  <c r="BQ348" i="1"/>
  <c r="BU348" i="1"/>
  <c r="BN348" i="1"/>
  <c r="BL348" i="1"/>
  <c r="BM348" i="1"/>
  <c r="BR348" i="1"/>
  <c r="BO348" i="1"/>
  <c r="BS348" i="1"/>
  <c r="BP348" i="1"/>
  <c r="BT348" i="1"/>
  <c r="BO344" i="1"/>
  <c r="BS344" i="1"/>
  <c r="BL344" i="1"/>
  <c r="BP344" i="1"/>
  <c r="BT344" i="1"/>
  <c r="BQ344" i="1"/>
  <c r="BU344" i="1"/>
  <c r="BM344" i="1"/>
  <c r="BN344" i="1"/>
  <c r="BR344" i="1"/>
  <c r="BL379" i="1"/>
  <c r="BM379" i="1"/>
  <c r="BR379" i="1"/>
  <c r="BN379" i="1"/>
  <c r="BO379" i="1"/>
  <c r="BS379" i="1"/>
  <c r="BP379" i="1"/>
  <c r="BT379" i="1"/>
  <c r="BU379" i="1"/>
  <c r="BQ379" i="1"/>
  <c r="BL353" i="1"/>
  <c r="BO353" i="1"/>
  <c r="BS353" i="1"/>
  <c r="BP353" i="1"/>
  <c r="BT353" i="1"/>
  <c r="BM353" i="1"/>
  <c r="BN353" i="1"/>
  <c r="BQ353" i="1"/>
  <c r="BU353" i="1"/>
  <c r="BR353" i="1"/>
  <c r="BL359" i="1"/>
  <c r="BM359" i="1"/>
  <c r="BO359" i="1"/>
  <c r="BN359" i="1"/>
  <c r="BP359" i="1"/>
  <c r="BT359" i="1"/>
  <c r="BQ359" i="1"/>
  <c r="BU359" i="1"/>
  <c r="BR359" i="1"/>
  <c r="BS359" i="1"/>
  <c r="BL367" i="1"/>
  <c r="BM367" i="1"/>
  <c r="BP367" i="1"/>
  <c r="BT367" i="1"/>
  <c r="BO367" i="1"/>
  <c r="BN367" i="1"/>
  <c r="BQ367" i="1"/>
  <c r="BU367" i="1"/>
  <c r="BR367" i="1"/>
  <c r="BS367" i="1"/>
  <c r="BR354" i="1"/>
  <c r="BO354" i="1"/>
  <c r="BS354" i="1"/>
  <c r="BP354" i="1"/>
  <c r="BT354" i="1"/>
  <c r="BL354" i="1"/>
  <c r="BM354" i="1"/>
  <c r="BN354" i="1"/>
  <c r="BQ354" i="1"/>
  <c r="BU354" i="1"/>
  <c r="BQ364" i="1"/>
  <c r="BU364" i="1"/>
  <c r="BR364" i="1"/>
  <c r="BO364" i="1"/>
  <c r="BS364" i="1"/>
  <c r="BN364" i="1"/>
  <c r="BL364" i="1"/>
  <c r="BM364" i="1"/>
  <c r="BP364" i="1"/>
  <c r="BT364" i="1"/>
  <c r="BL345" i="1"/>
  <c r="BO345" i="1"/>
  <c r="BS345" i="1"/>
  <c r="BN345" i="1"/>
  <c r="BM345" i="1"/>
  <c r="BP345" i="1"/>
  <c r="BT345" i="1"/>
  <c r="BQ345" i="1"/>
  <c r="BU345" i="1"/>
  <c r="BR345" i="1"/>
  <c r="BM349" i="1"/>
  <c r="BN349" i="1"/>
  <c r="BQ349" i="1"/>
  <c r="BU349" i="1"/>
  <c r="BP349" i="1"/>
  <c r="BL349" i="1"/>
  <c r="BR349" i="1"/>
  <c r="BO349" i="1"/>
  <c r="BS349" i="1"/>
  <c r="BT349" i="1"/>
  <c r="BQ372" i="1"/>
  <c r="BU372" i="1"/>
  <c r="BR372" i="1"/>
  <c r="BL372" i="1"/>
  <c r="BM372" i="1"/>
  <c r="BN372" i="1"/>
  <c r="BO372" i="1"/>
  <c r="BS372" i="1"/>
  <c r="BP372" i="1"/>
  <c r="BT372" i="1"/>
  <c r="BN347" i="1"/>
  <c r="BL347" i="1"/>
  <c r="BM347" i="1"/>
  <c r="BR347" i="1"/>
  <c r="BO347" i="1"/>
  <c r="BS347" i="1"/>
  <c r="BP347" i="1"/>
  <c r="BT347" i="1"/>
  <c r="BQ347" i="1"/>
  <c r="BU347" i="1"/>
  <c r="BN358" i="1"/>
  <c r="BP358" i="1"/>
  <c r="BT358" i="1"/>
  <c r="BM358" i="1"/>
  <c r="BL358" i="1"/>
  <c r="BQ358" i="1"/>
  <c r="BU358" i="1"/>
  <c r="BR358" i="1"/>
  <c r="BO358" i="1"/>
  <c r="BS358" i="1"/>
  <c r="BL369" i="1"/>
  <c r="BM369" i="1"/>
  <c r="BN369" i="1"/>
  <c r="BO369" i="1"/>
  <c r="BS369" i="1"/>
  <c r="BP369" i="1"/>
  <c r="BT369" i="1"/>
  <c r="BQ369" i="1"/>
  <c r="BU369" i="1"/>
  <c r="BR369" i="1"/>
  <c r="BO352" i="1"/>
  <c r="BS352" i="1"/>
  <c r="BP352" i="1"/>
  <c r="BT352" i="1"/>
  <c r="BM352" i="1"/>
  <c r="BN352" i="1"/>
  <c r="BQ352" i="1"/>
  <c r="BU352" i="1"/>
  <c r="BL352" i="1"/>
  <c r="BR352" i="1"/>
  <c r="BO360" i="1"/>
  <c r="BS360" i="1"/>
  <c r="BM360" i="1"/>
  <c r="BN360" i="1"/>
  <c r="BP360" i="1"/>
  <c r="BT360" i="1"/>
  <c r="BL360" i="1"/>
  <c r="BQ360" i="1"/>
  <c r="BU360" i="1"/>
  <c r="BR360" i="1"/>
  <c r="BR370" i="1"/>
  <c r="BL370" i="1"/>
  <c r="BM370" i="1"/>
  <c r="BN370" i="1"/>
  <c r="BO370" i="1"/>
  <c r="BS370" i="1"/>
  <c r="BP370" i="1"/>
  <c r="BT370" i="1"/>
  <c r="BQ370" i="1"/>
  <c r="BU370" i="1"/>
  <c r="BQ380" i="1"/>
  <c r="BU380" i="1"/>
  <c r="BL380" i="1"/>
  <c r="BM380" i="1"/>
  <c r="BR380" i="1"/>
  <c r="BN380" i="1"/>
  <c r="BO380" i="1"/>
  <c r="BS380" i="1"/>
  <c r="BP380" i="1"/>
  <c r="BT380" i="1"/>
  <c r="BO384" i="1"/>
  <c r="BS384" i="1"/>
  <c r="BP384" i="1"/>
  <c r="BT384" i="1"/>
  <c r="BM384" i="1"/>
  <c r="BQ384" i="1"/>
  <c r="BU384" i="1"/>
  <c r="BL384" i="1"/>
  <c r="BN384" i="1"/>
  <c r="BR384" i="1"/>
  <c r="BL385" i="1"/>
  <c r="BO385" i="1"/>
  <c r="BS385" i="1"/>
  <c r="BN385" i="1"/>
  <c r="BP385" i="1"/>
  <c r="BT385" i="1"/>
  <c r="BM385" i="1"/>
  <c r="BQ385" i="1"/>
  <c r="BU385" i="1"/>
  <c r="BR385" i="1"/>
  <c r="BR371" i="1"/>
  <c r="BL371" i="1"/>
  <c r="BM371" i="1"/>
  <c r="BN371" i="1"/>
  <c r="BO371" i="1"/>
  <c r="BS371" i="1"/>
  <c r="BP371" i="1"/>
  <c r="BT371" i="1"/>
  <c r="BU371" i="1"/>
  <c r="BQ371" i="1"/>
  <c r="BO376" i="1"/>
  <c r="BS376" i="1"/>
  <c r="BL376" i="1"/>
  <c r="BP376" i="1"/>
  <c r="BT376" i="1"/>
  <c r="BQ376" i="1"/>
  <c r="BU376" i="1"/>
  <c r="BM376" i="1"/>
  <c r="BR376" i="1"/>
  <c r="BN376" i="1"/>
  <c r="BP382" i="1"/>
  <c r="BT382" i="1"/>
  <c r="BQ382" i="1"/>
  <c r="BU382" i="1"/>
  <c r="BM382" i="1"/>
  <c r="BL382" i="1"/>
  <c r="BN382" i="1"/>
  <c r="BR382" i="1"/>
  <c r="BO382" i="1"/>
  <c r="BS382" i="1"/>
  <c r="BL375" i="1"/>
  <c r="BM375" i="1"/>
  <c r="BP375" i="1"/>
  <c r="BT375" i="1"/>
  <c r="BO375" i="1"/>
  <c r="BQ375" i="1"/>
  <c r="BU375" i="1"/>
  <c r="BR375" i="1"/>
  <c r="BN375" i="1"/>
  <c r="BS375" i="1"/>
  <c r="BL366" i="1"/>
  <c r="BP366" i="1"/>
  <c r="BT366" i="1"/>
  <c r="BM366" i="1"/>
  <c r="BQ366" i="1"/>
  <c r="BU366" i="1"/>
  <c r="BR366" i="1"/>
  <c r="BN366" i="1"/>
  <c r="BO366" i="1"/>
  <c r="BS366" i="1"/>
  <c r="BM381" i="1"/>
  <c r="BN381" i="1"/>
  <c r="BQ381" i="1"/>
  <c r="BU381" i="1"/>
  <c r="BP381" i="1"/>
  <c r="BL381" i="1"/>
  <c r="BR381" i="1"/>
  <c r="BO381" i="1"/>
  <c r="BS381" i="1"/>
  <c r="BT381" i="1"/>
  <c r="BL383" i="1"/>
  <c r="BM383" i="1"/>
  <c r="BP383" i="1"/>
  <c r="BT383" i="1"/>
  <c r="BQ383" i="1"/>
  <c r="BU383" i="1"/>
  <c r="BN383" i="1"/>
  <c r="BR383" i="1"/>
  <c r="BO383" i="1"/>
  <c r="BS383" i="1"/>
  <c r="BL351" i="1"/>
  <c r="BM351" i="1"/>
  <c r="BP351" i="1"/>
  <c r="BT351" i="1"/>
  <c r="BO351" i="1"/>
  <c r="BN351" i="1"/>
  <c r="BQ351" i="1"/>
  <c r="BU351" i="1"/>
  <c r="BR351" i="1"/>
  <c r="BS351" i="1"/>
  <c r="BP374" i="1"/>
  <c r="BT374" i="1"/>
  <c r="BQ374" i="1"/>
  <c r="BU374" i="1"/>
  <c r="BR374" i="1"/>
  <c r="BM374" i="1"/>
  <c r="BN374" i="1"/>
  <c r="BL374" i="1"/>
  <c r="BO374" i="1"/>
  <c r="BS374" i="1"/>
  <c r="BL378" i="1"/>
  <c r="BM378" i="1"/>
  <c r="BR378" i="1"/>
  <c r="BN378" i="1"/>
  <c r="BO378" i="1"/>
  <c r="BS378" i="1"/>
  <c r="BP378" i="1"/>
  <c r="BT378" i="1"/>
  <c r="BQ378" i="1"/>
  <c r="BU378" i="1"/>
  <c r="BR362" i="1"/>
  <c r="BO362" i="1"/>
  <c r="BS362" i="1"/>
  <c r="BL362" i="1"/>
  <c r="BM362" i="1"/>
  <c r="BN362" i="1"/>
  <c r="BP362" i="1"/>
  <c r="BT362" i="1"/>
  <c r="BQ362" i="1"/>
  <c r="BU362" i="1"/>
  <c r="BN363" i="1"/>
  <c r="BR363" i="1"/>
  <c r="BQ363" i="1"/>
  <c r="BO363" i="1"/>
  <c r="BS363" i="1"/>
  <c r="BL363" i="1"/>
  <c r="BM363" i="1"/>
  <c r="BP363" i="1"/>
  <c r="BT363" i="1"/>
  <c r="BU363" i="1"/>
  <c r="BM357" i="1"/>
  <c r="BN357" i="1"/>
  <c r="BL357" i="1"/>
  <c r="BQ357" i="1"/>
  <c r="BU357" i="1"/>
  <c r="BP357" i="1"/>
  <c r="BR357" i="1"/>
  <c r="BO357" i="1"/>
  <c r="BS357" i="1"/>
  <c r="BT357" i="1"/>
  <c r="BL356" i="1"/>
  <c r="BM356" i="1"/>
  <c r="BQ356" i="1"/>
  <c r="BU356" i="1"/>
  <c r="BN356" i="1"/>
  <c r="BR356" i="1"/>
  <c r="BO356" i="1"/>
  <c r="BS356" i="1"/>
  <c r="BP356" i="1"/>
  <c r="BT356" i="1"/>
  <c r="BN355" i="1"/>
  <c r="BQ355" i="1"/>
  <c r="BR355" i="1"/>
  <c r="BL355" i="1"/>
  <c r="BO355" i="1"/>
  <c r="BS355" i="1"/>
  <c r="BP355" i="1"/>
  <c r="BT355" i="1"/>
  <c r="BM355" i="1"/>
  <c r="BU355" i="1"/>
  <c r="BL361" i="1"/>
  <c r="BO361" i="1"/>
  <c r="BS361" i="1"/>
  <c r="BM361" i="1"/>
  <c r="BN361" i="1"/>
  <c r="BP361" i="1"/>
  <c r="BT361" i="1"/>
  <c r="BQ361" i="1"/>
  <c r="BU361" i="1"/>
  <c r="BR361" i="1"/>
  <c r="AH348" i="1"/>
  <c r="AH364" i="1"/>
  <c r="AH353" i="1"/>
  <c r="AH374" i="1"/>
  <c r="AH350" i="1"/>
  <c r="AH362" i="1"/>
  <c r="AH359" i="1"/>
  <c r="AH352" i="1"/>
  <c r="AH358" i="1"/>
  <c r="AH380" i="1"/>
  <c r="AH347" i="1"/>
  <c r="AH371" i="1"/>
  <c r="AH349" i="1"/>
  <c r="AH376" i="1"/>
  <c r="AH346" i="1"/>
  <c r="AH365" i="1"/>
  <c r="AH363" i="1"/>
  <c r="AH369" i="1"/>
  <c r="AH360" i="1"/>
  <c r="AH384" i="1"/>
  <c r="AH361" i="1"/>
  <c r="AH354" i="1"/>
  <c r="AH345" i="1"/>
  <c r="AH379" i="1"/>
  <c r="AH385" i="1"/>
  <c r="AH370" i="1"/>
  <c r="AH367" i="1"/>
  <c r="AH344" i="1"/>
  <c r="AH357" i="1"/>
  <c r="AH366" i="1"/>
  <c r="AH373" i="1"/>
  <c r="AH382" i="1"/>
  <c r="AH383" i="1"/>
  <c r="AH377" i="1"/>
  <c r="AH355" i="1"/>
  <c r="AH356" i="1"/>
  <c r="AH368" i="1"/>
  <c r="AH381" i="1"/>
  <c r="AH372" i="1"/>
  <c r="AH378" i="1"/>
  <c r="AH375" i="1"/>
  <c r="AH351" i="1"/>
  <c r="BL377" i="1"/>
  <c r="BN377" i="1"/>
  <c r="BO377" i="1"/>
  <c r="BS377" i="1"/>
  <c r="BM377" i="1"/>
  <c r="BP377" i="1"/>
  <c r="BT377" i="1"/>
  <c r="BQ377" i="1"/>
  <c r="BU377" i="1"/>
  <c r="BR377" i="1"/>
  <c r="BP350" i="1"/>
  <c r="BT350" i="1"/>
  <c r="BN350" i="1"/>
  <c r="BQ350" i="1"/>
  <c r="BU350" i="1"/>
  <c r="BM350" i="1"/>
  <c r="BL350" i="1"/>
  <c r="BR350" i="1"/>
  <c r="BO350" i="1"/>
  <c r="BS350" i="1"/>
  <c r="BM373" i="1"/>
  <c r="BN373" i="1"/>
  <c r="BQ373" i="1"/>
  <c r="BU373" i="1"/>
  <c r="BP373" i="1"/>
  <c r="BR373" i="1"/>
  <c r="BL373" i="1"/>
  <c r="BO373" i="1"/>
  <c r="BS373" i="1"/>
  <c r="BT373" i="1"/>
  <c r="BL346" i="1"/>
  <c r="BM346" i="1"/>
  <c r="BN346" i="1"/>
  <c r="BR346" i="1"/>
  <c r="BO346" i="1"/>
  <c r="BS346" i="1"/>
  <c r="BP346" i="1"/>
  <c r="BT346" i="1"/>
  <c r="BQ346" i="1"/>
  <c r="BU346" i="1"/>
  <c r="BM368" i="1"/>
  <c r="BN368" i="1"/>
  <c r="BO368" i="1"/>
  <c r="BS368" i="1"/>
  <c r="BL368" i="1"/>
  <c r="BP368" i="1"/>
  <c r="BT368" i="1"/>
  <c r="BQ368" i="1"/>
  <c r="BU368" i="1"/>
  <c r="BR368" i="1"/>
  <c r="BM365" i="1"/>
  <c r="BN365" i="1"/>
  <c r="BP365" i="1"/>
  <c r="BQ365" i="1"/>
  <c r="BU365" i="1"/>
  <c r="BL365" i="1"/>
  <c r="BR365" i="1"/>
  <c r="BO365" i="1"/>
  <c r="BS365" i="1"/>
  <c r="BT365" i="1"/>
  <c r="AH236" i="1"/>
  <c r="AH237" i="1"/>
  <c r="AH301" i="1"/>
  <c r="AH279" i="1"/>
  <c r="AH264" i="1"/>
  <c r="AH289" i="1"/>
  <c r="AH275" i="1"/>
  <c r="AH319" i="1"/>
  <c r="AH304" i="1"/>
  <c r="AH327" i="1"/>
  <c r="AH308" i="1"/>
  <c r="AH318" i="1"/>
  <c r="AH306" i="1"/>
  <c r="AH244" i="1"/>
  <c r="AH245" i="1"/>
  <c r="AH309" i="1"/>
  <c r="AH287" i="1"/>
  <c r="AH272" i="1"/>
  <c r="AH297" i="1"/>
  <c r="AH283" i="1"/>
  <c r="AH328" i="1"/>
  <c r="AH321" i="1"/>
  <c r="AH336" i="1"/>
  <c r="AH335" i="1"/>
  <c r="AH324" i="1"/>
  <c r="AH254" i="1"/>
  <c r="AH294" i="1"/>
  <c r="AH252" i="1"/>
  <c r="AH253" i="1"/>
  <c r="AH317" i="1"/>
  <c r="AH295" i="1"/>
  <c r="AH280" i="1"/>
  <c r="AH305" i="1"/>
  <c r="AH291" i="1"/>
  <c r="AH337" i="1"/>
  <c r="AH330" i="1"/>
  <c r="AH274" i="1"/>
  <c r="AH323" i="1"/>
  <c r="AH314" i="1"/>
  <c r="AH342" i="1"/>
  <c r="AH249" i="1"/>
  <c r="AH260" i="1"/>
  <c r="AH261" i="1"/>
  <c r="AH239" i="1"/>
  <c r="AH303" i="1"/>
  <c r="AH288" i="1"/>
  <c r="AH313" i="1"/>
  <c r="AH299" i="1"/>
  <c r="AH250" i="1"/>
  <c r="AH339" i="1"/>
  <c r="AH325" i="1"/>
  <c r="AH312" i="1"/>
  <c r="AH343" i="1"/>
  <c r="AH310" i="1"/>
  <c r="AH258" i="1"/>
  <c r="AH268" i="1"/>
  <c r="AH269" i="1"/>
  <c r="AH247" i="1"/>
  <c r="AH311" i="1"/>
  <c r="AH257" i="1"/>
  <c r="AH243" i="1"/>
  <c r="AH307" i="1"/>
  <c r="AH300" i="1"/>
  <c r="AH331" i="1"/>
  <c r="AH282" i="1"/>
  <c r="AH334" i="1"/>
  <c r="AH246" i="1"/>
  <c r="AH278" i="1"/>
  <c r="AH276" i="1"/>
  <c r="AH277" i="1"/>
  <c r="AH255" i="1"/>
  <c r="AH240" i="1"/>
  <c r="AH265" i="1"/>
  <c r="AH251" i="1"/>
  <c r="AH315" i="1"/>
  <c r="AH320" i="1"/>
  <c r="AH340" i="1"/>
  <c r="AH332" i="1"/>
  <c r="AH270" i="1"/>
  <c r="AH322" i="1"/>
  <c r="AH266" i="1"/>
  <c r="AH284" i="1"/>
  <c r="AH285" i="1"/>
  <c r="AH263" i="1"/>
  <c r="AH248" i="1"/>
  <c r="AH273" i="1"/>
  <c r="AH259" i="1"/>
  <c r="AH242" i="1"/>
  <c r="AH329" i="1"/>
  <c r="AH296" i="1"/>
  <c r="AH290" i="1"/>
  <c r="AH326" i="1"/>
  <c r="AH302" i="1"/>
  <c r="AH286" i="1"/>
  <c r="AH292" i="1"/>
  <c r="AH293" i="1"/>
  <c r="AH271" i="1"/>
  <c r="AH256" i="1"/>
  <c r="AH281" i="1"/>
  <c r="AH267" i="1"/>
  <c r="AH298" i="1"/>
  <c r="AH338" i="1"/>
  <c r="AH316" i="1"/>
  <c r="AH333" i="1"/>
  <c r="AH341" i="1"/>
  <c r="AH262" i="1"/>
  <c r="AH238" i="1"/>
  <c r="AH241" i="1"/>
  <c r="BM260" i="1"/>
  <c r="BO260" i="1"/>
  <c r="BL260" i="1"/>
  <c r="BN260" i="1"/>
  <c r="BQ260" i="1"/>
  <c r="BS260" i="1"/>
  <c r="BP260" i="1"/>
  <c r="BT260" i="1"/>
  <c r="BR260" i="1"/>
  <c r="BU260" i="1"/>
  <c r="BO278" i="1"/>
  <c r="BR278" i="1"/>
  <c r="BS278" i="1"/>
  <c r="BL278" i="1"/>
  <c r="BT278" i="1"/>
  <c r="BN278" i="1"/>
  <c r="BM278" i="1"/>
  <c r="BP278" i="1"/>
  <c r="BQ278" i="1"/>
  <c r="BU278" i="1"/>
  <c r="BL251" i="1"/>
  <c r="BO251" i="1"/>
  <c r="BP251" i="1"/>
  <c r="BT251" i="1"/>
  <c r="BU251" i="1"/>
  <c r="BN251" i="1"/>
  <c r="BQ251" i="1"/>
  <c r="BR251" i="1"/>
  <c r="BM251" i="1"/>
  <c r="BS251" i="1"/>
  <c r="BO257" i="1"/>
  <c r="BP257" i="1"/>
  <c r="BR257" i="1"/>
  <c r="BT257" i="1"/>
  <c r="BS257" i="1"/>
  <c r="BM257" i="1"/>
  <c r="BN257" i="1"/>
  <c r="BQ257" i="1"/>
  <c r="BL257" i="1"/>
  <c r="BU257" i="1"/>
  <c r="BU242" i="1"/>
  <c r="BM242" i="1"/>
  <c r="BT242" i="1"/>
  <c r="BP242" i="1"/>
  <c r="BO242" i="1"/>
  <c r="BN242" i="1"/>
  <c r="BS242" i="1"/>
  <c r="BQ242" i="1"/>
  <c r="BR242" i="1"/>
  <c r="BL242" i="1"/>
  <c r="BM284" i="1"/>
  <c r="BO284" i="1"/>
  <c r="BL284" i="1"/>
  <c r="BN284" i="1"/>
  <c r="BQ284" i="1"/>
  <c r="BS284" i="1"/>
  <c r="BP284" i="1"/>
  <c r="BU284" i="1"/>
  <c r="BT284" i="1"/>
  <c r="BR284" i="1"/>
  <c r="BN247" i="1"/>
  <c r="BO247" i="1"/>
  <c r="BL247" i="1"/>
  <c r="BR247" i="1"/>
  <c r="BS247" i="1"/>
  <c r="BT247" i="1"/>
  <c r="BP247" i="1"/>
  <c r="BQ247" i="1"/>
  <c r="BM247" i="1"/>
  <c r="BU247" i="1"/>
  <c r="BL315" i="1"/>
  <c r="BP315" i="1"/>
  <c r="BT315" i="1"/>
  <c r="BU315" i="1"/>
  <c r="BM315" i="1"/>
  <c r="BQ315" i="1"/>
  <c r="BR315" i="1"/>
  <c r="BN315" i="1"/>
  <c r="BS315" i="1"/>
  <c r="BO315" i="1"/>
  <c r="BL264" i="1"/>
  <c r="BN264" i="1"/>
  <c r="BM264" i="1"/>
  <c r="BO264" i="1"/>
  <c r="BP264" i="1"/>
  <c r="BR264" i="1"/>
  <c r="BS264" i="1"/>
  <c r="BU264" i="1"/>
  <c r="BT264" i="1"/>
  <c r="BQ264" i="1"/>
  <c r="BQ245" i="1"/>
  <c r="BS245" i="1"/>
  <c r="BN245" i="1"/>
  <c r="BM245" i="1"/>
  <c r="BU245" i="1"/>
  <c r="BL245" i="1"/>
  <c r="BT245" i="1"/>
  <c r="BR245" i="1"/>
  <c r="BO245" i="1"/>
  <c r="BP245" i="1"/>
  <c r="BO289" i="1"/>
  <c r="BP289" i="1"/>
  <c r="BR289" i="1"/>
  <c r="BT289" i="1"/>
  <c r="BN289" i="1"/>
  <c r="BS289" i="1"/>
  <c r="BL289" i="1"/>
  <c r="BQ289" i="1"/>
  <c r="BM289" i="1"/>
  <c r="BU289" i="1"/>
  <c r="BL262" i="1"/>
  <c r="BN262" i="1"/>
  <c r="BP262" i="1"/>
  <c r="BQ262" i="1"/>
  <c r="BT262" i="1"/>
  <c r="BO262" i="1"/>
  <c r="BM262" i="1"/>
  <c r="BU262" i="1"/>
  <c r="BR262" i="1"/>
  <c r="BS262" i="1"/>
  <c r="BL314" i="1"/>
  <c r="BM314" i="1"/>
  <c r="BP314" i="1"/>
  <c r="BT314" i="1"/>
  <c r="BU314" i="1"/>
  <c r="BQ314" i="1"/>
  <c r="BR314" i="1"/>
  <c r="BO314" i="1"/>
  <c r="BN314" i="1"/>
  <c r="BS314" i="1"/>
  <c r="BM324" i="1"/>
  <c r="BL324" i="1"/>
  <c r="BN324" i="1"/>
  <c r="BQ324" i="1"/>
  <c r="BS324" i="1"/>
  <c r="BP324" i="1"/>
  <c r="BO324" i="1"/>
  <c r="BT324" i="1"/>
  <c r="BR324" i="1"/>
  <c r="BU324" i="1"/>
  <c r="BR342" i="1"/>
  <c r="BT342" i="1"/>
  <c r="BM342" i="1"/>
  <c r="BS342" i="1"/>
  <c r="BP342" i="1"/>
  <c r="BQ342" i="1"/>
  <c r="BN342" i="1"/>
  <c r="BO342" i="1"/>
  <c r="BU342" i="1"/>
  <c r="BL342" i="1"/>
  <c r="BQ317" i="1"/>
  <c r="BS317" i="1"/>
  <c r="BN317" i="1"/>
  <c r="BM317" i="1"/>
  <c r="BP317" i="1"/>
  <c r="BT317" i="1"/>
  <c r="BL317" i="1"/>
  <c r="BO317" i="1"/>
  <c r="BR317" i="1"/>
  <c r="BU317" i="1"/>
  <c r="BO321" i="1"/>
  <c r="BP321" i="1"/>
  <c r="BR321" i="1"/>
  <c r="BT321" i="1"/>
  <c r="BL321" i="1"/>
  <c r="BS321" i="1"/>
  <c r="BN321" i="1"/>
  <c r="BM321" i="1"/>
  <c r="BQ321" i="1"/>
  <c r="BU321" i="1"/>
  <c r="BL294" i="1"/>
  <c r="BO294" i="1"/>
  <c r="BP294" i="1"/>
  <c r="BQ294" i="1"/>
  <c r="BN294" i="1"/>
  <c r="BM294" i="1"/>
  <c r="BR294" i="1"/>
  <c r="BT294" i="1"/>
  <c r="BS294" i="1"/>
  <c r="BU294" i="1"/>
  <c r="BL293" i="1"/>
  <c r="BM293" i="1"/>
  <c r="BQ293" i="1"/>
  <c r="BS293" i="1"/>
  <c r="BP293" i="1"/>
  <c r="BN293" i="1"/>
  <c r="BR293" i="1"/>
  <c r="BU293" i="1"/>
  <c r="BT293" i="1"/>
  <c r="BO293" i="1"/>
  <c r="BN311" i="1"/>
  <c r="BO311" i="1"/>
  <c r="BM311" i="1"/>
  <c r="BR311" i="1"/>
  <c r="BS311" i="1"/>
  <c r="BT311" i="1"/>
  <c r="BP311" i="1"/>
  <c r="BL311" i="1"/>
  <c r="BQ311" i="1"/>
  <c r="BU311" i="1"/>
  <c r="BQ277" i="1"/>
  <c r="BS277" i="1"/>
  <c r="BL277" i="1"/>
  <c r="BT277" i="1"/>
  <c r="BN277" i="1"/>
  <c r="BU277" i="1"/>
  <c r="BO277" i="1"/>
  <c r="BM277" i="1"/>
  <c r="BP277" i="1"/>
  <c r="BR277" i="1"/>
  <c r="BL328" i="1"/>
  <c r="BN328" i="1"/>
  <c r="BM328" i="1"/>
  <c r="BO328" i="1"/>
  <c r="BP328" i="1"/>
  <c r="BR328" i="1"/>
  <c r="BS328" i="1"/>
  <c r="BU328" i="1"/>
  <c r="BQ328" i="1"/>
  <c r="BT328" i="1"/>
  <c r="BN237" i="1"/>
  <c r="BO237" i="1"/>
  <c r="BQ237" i="1"/>
  <c r="BS237" i="1"/>
  <c r="BU237" i="1"/>
  <c r="BR237" i="1"/>
  <c r="BL237" i="1"/>
  <c r="BM237" i="1"/>
  <c r="BP237" i="1"/>
  <c r="BT237" i="1"/>
  <c r="BM244" i="1"/>
  <c r="BO244" i="1"/>
  <c r="BL244" i="1"/>
  <c r="BN244" i="1"/>
  <c r="BQ244" i="1"/>
  <c r="BS244" i="1"/>
  <c r="BU244" i="1"/>
  <c r="BT244" i="1"/>
  <c r="BR244" i="1"/>
  <c r="BP244" i="1"/>
  <c r="BL326" i="1"/>
  <c r="BM326" i="1"/>
  <c r="BP326" i="1"/>
  <c r="BQ326" i="1"/>
  <c r="BO326" i="1"/>
  <c r="BT326" i="1"/>
  <c r="BN326" i="1"/>
  <c r="BR326" i="1"/>
  <c r="BS326" i="1"/>
  <c r="BU326" i="1"/>
  <c r="BN275" i="1"/>
  <c r="BU275" i="1"/>
  <c r="BP275" i="1"/>
  <c r="BO275" i="1"/>
  <c r="BT275" i="1"/>
  <c r="BL275" i="1"/>
  <c r="BM275" i="1"/>
  <c r="BS275" i="1"/>
  <c r="BQ275" i="1"/>
  <c r="BR275" i="1"/>
  <c r="BM334" i="1"/>
  <c r="BN334" i="1"/>
  <c r="BO334" i="1"/>
  <c r="BP334" i="1"/>
  <c r="BQ334" i="1"/>
  <c r="BL334" i="1"/>
  <c r="BR334" i="1"/>
  <c r="BT334" i="1"/>
  <c r="BS334" i="1"/>
  <c r="BU334" i="1"/>
  <c r="BN333" i="1"/>
  <c r="BQ333" i="1"/>
  <c r="BS333" i="1"/>
  <c r="BL333" i="1"/>
  <c r="BR333" i="1"/>
  <c r="BT333" i="1"/>
  <c r="BO333" i="1"/>
  <c r="BP333" i="1"/>
  <c r="BM333" i="1"/>
  <c r="BU333" i="1"/>
  <c r="BN287" i="1"/>
  <c r="BT287" i="1"/>
  <c r="BM287" i="1"/>
  <c r="BL287" i="1"/>
  <c r="BQ287" i="1"/>
  <c r="BR287" i="1"/>
  <c r="BO287" i="1"/>
  <c r="BU287" i="1"/>
  <c r="BP287" i="1"/>
  <c r="BS287" i="1"/>
  <c r="BS266" i="1"/>
  <c r="BU266" i="1"/>
  <c r="BO266" i="1"/>
  <c r="BL266" i="1"/>
  <c r="BQ266" i="1"/>
  <c r="BR266" i="1"/>
  <c r="BT266" i="1"/>
  <c r="BM266" i="1"/>
  <c r="BN266" i="1"/>
  <c r="BP266" i="1"/>
  <c r="BM276" i="1"/>
  <c r="BO276" i="1"/>
  <c r="BL276" i="1"/>
  <c r="BN276" i="1"/>
  <c r="BQ276" i="1"/>
  <c r="BS276" i="1"/>
  <c r="BU276" i="1"/>
  <c r="BR276" i="1"/>
  <c r="BP276" i="1"/>
  <c r="BT276" i="1"/>
  <c r="BL239" i="1"/>
  <c r="BM239" i="1"/>
  <c r="BO239" i="1"/>
  <c r="BP239" i="1"/>
  <c r="BQ239" i="1"/>
  <c r="BR239" i="1"/>
  <c r="BS239" i="1"/>
  <c r="BU239" i="1"/>
  <c r="BT239" i="1"/>
  <c r="BN239" i="1"/>
  <c r="BN258" i="1"/>
  <c r="BO258" i="1"/>
  <c r="BQ258" i="1"/>
  <c r="BR258" i="1"/>
  <c r="BU258" i="1"/>
  <c r="BS258" i="1"/>
  <c r="BM258" i="1"/>
  <c r="BL258" i="1"/>
  <c r="BP258" i="1"/>
  <c r="BT258" i="1"/>
  <c r="BL256" i="1"/>
  <c r="BN256" i="1"/>
  <c r="BM256" i="1"/>
  <c r="BO256" i="1"/>
  <c r="BP256" i="1"/>
  <c r="BR256" i="1"/>
  <c r="BS256" i="1"/>
  <c r="BQ256" i="1"/>
  <c r="BT256" i="1"/>
  <c r="BU256" i="1"/>
  <c r="BO330" i="1"/>
  <c r="BN330" i="1"/>
  <c r="BS330" i="1"/>
  <c r="BU330" i="1"/>
  <c r="BM330" i="1"/>
  <c r="BL330" i="1"/>
  <c r="BQ330" i="1"/>
  <c r="BR330" i="1"/>
  <c r="BT330" i="1"/>
  <c r="BP330" i="1"/>
  <c r="BM281" i="1"/>
  <c r="BN281" i="1"/>
  <c r="BP281" i="1"/>
  <c r="BR281" i="1"/>
  <c r="BT281" i="1"/>
  <c r="BO281" i="1"/>
  <c r="BQ281" i="1"/>
  <c r="BL281" i="1"/>
  <c r="BS281" i="1"/>
  <c r="BU281" i="1"/>
  <c r="BM254" i="1"/>
  <c r="BO254" i="1"/>
  <c r="BL254" i="1"/>
  <c r="BR254" i="1"/>
  <c r="BS254" i="1"/>
  <c r="BQ254" i="1"/>
  <c r="BN254" i="1"/>
  <c r="BU254" i="1"/>
  <c r="BT254" i="1"/>
  <c r="BP254" i="1"/>
  <c r="BM308" i="1"/>
  <c r="BO308" i="1"/>
  <c r="BL308" i="1"/>
  <c r="BN308" i="1"/>
  <c r="BQ308" i="1"/>
  <c r="BS308" i="1"/>
  <c r="BU308" i="1"/>
  <c r="BT308" i="1"/>
  <c r="BR308" i="1"/>
  <c r="BP308" i="1"/>
  <c r="BL271" i="1"/>
  <c r="BM271" i="1"/>
  <c r="BP271" i="1"/>
  <c r="BQ271" i="1"/>
  <c r="BO271" i="1"/>
  <c r="BR271" i="1"/>
  <c r="BS271" i="1"/>
  <c r="BT271" i="1"/>
  <c r="BN271" i="1"/>
  <c r="BU271" i="1"/>
  <c r="BQ341" i="1"/>
  <c r="BS341" i="1"/>
  <c r="BT341" i="1"/>
  <c r="BM341" i="1"/>
  <c r="BN341" i="1"/>
  <c r="BP341" i="1"/>
  <c r="BO341" i="1"/>
  <c r="BU341" i="1"/>
  <c r="BL341" i="1"/>
  <c r="BR341" i="1"/>
  <c r="BN279" i="1"/>
  <c r="BO279" i="1"/>
  <c r="BR279" i="1"/>
  <c r="BS279" i="1"/>
  <c r="BL279" i="1"/>
  <c r="BT279" i="1"/>
  <c r="BM279" i="1"/>
  <c r="BP279" i="1"/>
  <c r="BQ279" i="1"/>
  <c r="BU279" i="1"/>
  <c r="BS298" i="1"/>
  <c r="BU298" i="1"/>
  <c r="BM298" i="1"/>
  <c r="BT298" i="1"/>
  <c r="BO298" i="1"/>
  <c r="BN298" i="1"/>
  <c r="BQ298" i="1"/>
  <c r="BR298" i="1"/>
  <c r="BL298" i="1"/>
  <c r="BP298" i="1"/>
  <c r="BL296" i="1"/>
  <c r="BN296" i="1"/>
  <c r="BM296" i="1"/>
  <c r="BO296" i="1"/>
  <c r="BP296" i="1"/>
  <c r="BR296" i="1"/>
  <c r="BT296" i="1"/>
  <c r="BS296" i="1"/>
  <c r="BU296" i="1"/>
  <c r="BQ296" i="1"/>
  <c r="BL261" i="1"/>
  <c r="BM261" i="1"/>
  <c r="BQ261" i="1"/>
  <c r="BS261" i="1"/>
  <c r="BN261" i="1"/>
  <c r="BP261" i="1"/>
  <c r="BT261" i="1"/>
  <c r="BR261" i="1"/>
  <c r="BU261" i="1"/>
  <c r="BO261" i="1"/>
  <c r="BM340" i="1"/>
  <c r="BL340" i="1"/>
  <c r="BN340" i="1"/>
  <c r="BQ340" i="1"/>
  <c r="BO340" i="1"/>
  <c r="BS340" i="1"/>
  <c r="BU340" i="1"/>
  <c r="BR340" i="1"/>
  <c r="BT340" i="1"/>
  <c r="BP340" i="1"/>
  <c r="BL303" i="1"/>
  <c r="BM303" i="1"/>
  <c r="BN303" i="1"/>
  <c r="BP303" i="1"/>
  <c r="BQ303" i="1"/>
  <c r="BR303" i="1"/>
  <c r="BS303" i="1"/>
  <c r="BU303" i="1"/>
  <c r="BT303" i="1"/>
  <c r="BO303" i="1"/>
  <c r="BO307" i="1"/>
  <c r="BL307" i="1"/>
  <c r="BU307" i="1"/>
  <c r="BT307" i="1"/>
  <c r="BN307" i="1"/>
  <c r="BP307" i="1"/>
  <c r="BM307" i="1"/>
  <c r="BS307" i="1"/>
  <c r="BR307" i="1"/>
  <c r="BQ307" i="1"/>
  <c r="BL320" i="1"/>
  <c r="BN320" i="1"/>
  <c r="BM320" i="1"/>
  <c r="BO320" i="1"/>
  <c r="BP320" i="1"/>
  <c r="BR320" i="1"/>
  <c r="BS320" i="1"/>
  <c r="BQ320" i="1"/>
  <c r="BT320" i="1"/>
  <c r="BU320" i="1"/>
  <c r="BL325" i="1"/>
  <c r="BM325" i="1"/>
  <c r="BQ325" i="1"/>
  <c r="BS325" i="1"/>
  <c r="BP325" i="1"/>
  <c r="BO325" i="1"/>
  <c r="BT325" i="1"/>
  <c r="BR325" i="1"/>
  <c r="BN325" i="1"/>
  <c r="BU325" i="1"/>
  <c r="BM236" i="1"/>
  <c r="BO236" i="1"/>
  <c r="BL236" i="1"/>
  <c r="BN236" i="1"/>
  <c r="BP236" i="1"/>
  <c r="BQ236" i="1"/>
  <c r="BS236" i="1"/>
  <c r="BR236" i="1"/>
  <c r="BU236" i="1"/>
  <c r="BT236" i="1"/>
  <c r="BN318" i="1"/>
  <c r="BO318" i="1"/>
  <c r="BR318" i="1"/>
  <c r="BS318" i="1"/>
  <c r="BL318" i="1"/>
  <c r="BM318" i="1"/>
  <c r="BQ318" i="1"/>
  <c r="BT318" i="1"/>
  <c r="BU318" i="1"/>
  <c r="BP318" i="1"/>
  <c r="BM291" i="1"/>
  <c r="BN291" i="1"/>
  <c r="BL291" i="1"/>
  <c r="BQ291" i="1"/>
  <c r="BR291" i="1"/>
  <c r="BU291" i="1"/>
  <c r="BS291" i="1"/>
  <c r="BO291" i="1"/>
  <c r="BP291" i="1"/>
  <c r="BT291" i="1"/>
  <c r="BL335" i="1"/>
  <c r="BM335" i="1"/>
  <c r="BO335" i="1"/>
  <c r="BP335" i="1"/>
  <c r="BQ335" i="1"/>
  <c r="BN335" i="1"/>
  <c r="BR335" i="1"/>
  <c r="BT335" i="1"/>
  <c r="BU335" i="1"/>
  <c r="BS335" i="1"/>
  <c r="BM259" i="1"/>
  <c r="BN259" i="1"/>
  <c r="BT259" i="1"/>
  <c r="BQ259" i="1"/>
  <c r="BR259" i="1"/>
  <c r="BU259" i="1"/>
  <c r="BS259" i="1"/>
  <c r="BL259" i="1"/>
  <c r="BP259" i="1"/>
  <c r="BO259" i="1"/>
  <c r="BN343" i="1"/>
  <c r="BR343" i="1"/>
  <c r="BT343" i="1"/>
  <c r="BM343" i="1"/>
  <c r="BS343" i="1"/>
  <c r="BL343" i="1"/>
  <c r="BO343" i="1"/>
  <c r="BP343" i="1"/>
  <c r="BQ343" i="1"/>
  <c r="BU343" i="1"/>
  <c r="BU243" i="1"/>
  <c r="BM243" i="1"/>
  <c r="BT243" i="1"/>
  <c r="BP243" i="1"/>
  <c r="BN243" i="1"/>
  <c r="BQ243" i="1"/>
  <c r="BS243" i="1"/>
  <c r="BR243" i="1"/>
  <c r="BL243" i="1"/>
  <c r="BO243" i="1"/>
  <c r="BM249" i="1"/>
  <c r="BN249" i="1"/>
  <c r="BP249" i="1"/>
  <c r="BR249" i="1"/>
  <c r="BT249" i="1"/>
  <c r="BL249" i="1"/>
  <c r="BQ249" i="1"/>
  <c r="BS249" i="1"/>
  <c r="BO249" i="1"/>
  <c r="BU249" i="1"/>
  <c r="BT286" i="1"/>
  <c r="BM286" i="1"/>
  <c r="BR286" i="1"/>
  <c r="BS286" i="1"/>
  <c r="BN286" i="1"/>
  <c r="BQ286" i="1"/>
  <c r="BO286" i="1"/>
  <c r="BU286" i="1"/>
  <c r="BP286" i="1"/>
  <c r="BL286" i="1"/>
  <c r="BN274" i="1"/>
  <c r="BU274" i="1"/>
  <c r="BP274" i="1"/>
  <c r="BM274" i="1"/>
  <c r="BL274" i="1"/>
  <c r="BS274" i="1"/>
  <c r="BO274" i="1"/>
  <c r="BR274" i="1"/>
  <c r="BT274" i="1"/>
  <c r="BQ274" i="1"/>
  <c r="BL248" i="1"/>
  <c r="BN248" i="1"/>
  <c r="BM248" i="1"/>
  <c r="BO248" i="1"/>
  <c r="BP248" i="1"/>
  <c r="BR248" i="1"/>
  <c r="BQ248" i="1"/>
  <c r="BS248" i="1"/>
  <c r="BU248" i="1"/>
  <c r="BT248" i="1"/>
  <c r="BO267" i="1"/>
  <c r="BM267" i="1"/>
  <c r="BS267" i="1"/>
  <c r="BU267" i="1"/>
  <c r="BL267" i="1"/>
  <c r="BQ267" i="1"/>
  <c r="BT267" i="1"/>
  <c r="BN267" i="1"/>
  <c r="BP267" i="1"/>
  <c r="BR267" i="1"/>
  <c r="BL273" i="1"/>
  <c r="BP273" i="1"/>
  <c r="BR273" i="1"/>
  <c r="BT273" i="1"/>
  <c r="BM273" i="1"/>
  <c r="BQ273" i="1"/>
  <c r="BN273" i="1"/>
  <c r="BO273" i="1"/>
  <c r="BS273" i="1"/>
  <c r="BU273" i="1"/>
  <c r="BO246" i="1"/>
  <c r="BR246" i="1"/>
  <c r="BS246" i="1"/>
  <c r="BN246" i="1"/>
  <c r="BP246" i="1"/>
  <c r="BQ246" i="1"/>
  <c r="BL246" i="1"/>
  <c r="BT246" i="1"/>
  <c r="BU246" i="1"/>
  <c r="BM246" i="1"/>
  <c r="BM300" i="1"/>
  <c r="BO300" i="1"/>
  <c r="BL300" i="1"/>
  <c r="BN300" i="1"/>
  <c r="BQ300" i="1"/>
  <c r="BS300" i="1"/>
  <c r="BR300" i="1"/>
  <c r="BU300" i="1"/>
  <c r="BP300" i="1"/>
  <c r="BT300" i="1"/>
  <c r="BL263" i="1"/>
  <c r="BN263" i="1"/>
  <c r="BP263" i="1"/>
  <c r="BQ263" i="1"/>
  <c r="BO263" i="1"/>
  <c r="BR263" i="1"/>
  <c r="BM263" i="1"/>
  <c r="BU263" i="1"/>
  <c r="BS263" i="1"/>
  <c r="BT263" i="1"/>
  <c r="BQ253" i="1"/>
  <c r="BS253" i="1"/>
  <c r="BO253" i="1"/>
  <c r="BL253" i="1"/>
  <c r="BP253" i="1"/>
  <c r="BT253" i="1"/>
  <c r="BU253" i="1"/>
  <c r="BM253" i="1"/>
  <c r="BR253" i="1"/>
  <c r="BN253" i="1"/>
  <c r="BL280" i="1"/>
  <c r="BN280" i="1"/>
  <c r="BM280" i="1"/>
  <c r="BO280" i="1"/>
  <c r="BP280" i="1"/>
  <c r="BR280" i="1"/>
  <c r="BQ280" i="1"/>
  <c r="BS280" i="1"/>
  <c r="BT280" i="1"/>
  <c r="BU280" i="1"/>
  <c r="BN301" i="1"/>
  <c r="BO301" i="1"/>
  <c r="BQ301" i="1"/>
  <c r="BS301" i="1"/>
  <c r="BR301" i="1"/>
  <c r="BM301" i="1"/>
  <c r="BU301" i="1"/>
  <c r="BL301" i="1"/>
  <c r="BP301" i="1"/>
  <c r="BT301" i="1"/>
  <c r="BL288" i="1"/>
  <c r="BN288" i="1"/>
  <c r="BM288" i="1"/>
  <c r="BO288" i="1"/>
  <c r="BP288" i="1"/>
  <c r="BR288" i="1"/>
  <c r="BS288" i="1"/>
  <c r="BT288" i="1"/>
  <c r="BQ288" i="1"/>
  <c r="BU288" i="1"/>
  <c r="BQ309" i="1"/>
  <c r="BS309" i="1"/>
  <c r="BO309" i="1"/>
  <c r="BL309" i="1"/>
  <c r="BU309" i="1"/>
  <c r="BM309" i="1"/>
  <c r="BP309" i="1"/>
  <c r="BR309" i="1"/>
  <c r="BT309" i="1"/>
  <c r="BN309" i="1"/>
  <c r="BM313" i="1"/>
  <c r="BN313" i="1"/>
  <c r="BP313" i="1"/>
  <c r="BR313" i="1"/>
  <c r="BT313" i="1"/>
  <c r="BQ313" i="1"/>
  <c r="BO313" i="1"/>
  <c r="BS313" i="1"/>
  <c r="BL313" i="1"/>
  <c r="BU313" i="1"/>
  <c r="BT295" i="1"/>
  <c r="BO295" i="1"/>
  <c r="BL295" i="1"/>
  <c r="BP295" i="1"/>
  <c r="BQ295" i="1"/>
  <c r="BM295" i="1"/>
  <c r="BR295" i="1"/>
  <c r="BN295" i="1"/>
  <c r="BS295" i="1"/>
  <c r="BU295" i="1"/>
  <c r="BO339" i="1"/>
  <c r="BM339" i="1"/>
  <c r="BS339" i="1"/>
  <c r="BU339" i="1"/>
  <c r="BL339" i="1"/>
  <c r="BP339" i="1"/>
  <c r="BT339" i="1"/>
  <c r="BQ339" i="1"/>
  <c r="BN339" i="1"/>
  <c r="BR339" i="1"/>
  <c r="BL312" i="1"/>
  <c r="BN312" i="1"/>
  <c r="BM312" i="1"/>
  <c r="BO312" i="1"/>
  <c r="BP312" i="1"/>
  <c r="BR312" i="1"/>
  <c r="BQ312" i="1"/>
  <c r="BS312" i="1"/>
  <c r="BU312" i="1"/>
  <c r="BT312" i="1"/>
  <c r="BL283" i="1"/>
  <c r="BM283" i="1"/>
  <c r="BP283" i="1"/>
  <c r="BU283" i="1"/>
  <c r="BO283" i="1"/>
  <c r="BQ283" i="1"/>
  <c r="BR283" i="1"/>
  <c r="BN283" i="1"/>
  <c r="BS283" i="1"/>
  <c r="BT283" i="1"/>
  <c r="BL337" i="1"/>
  <c r="BP337" i="1"/>
  <c r="BR337" i="1"/>
  <c r="BT337" i="1"/>
  <c r="BO337" i="1"/>
  <c r="BN337" i="1"/>
  <c r="BQ337" i="1"/>
  <c r="BM337" i="1"/>
  <c r="BS337" i="1"/>
  <c r="BU337" i="1"/>
  <c r="BO310" i="1"/>
  <c r="BM310" i="1"/>
  <c r="BR310" i="1"/>
  <c r="BS310" i="1"/>
  <c r="BL310" i="1"/>
  <c r="BP310" i="1"/>
  <c r="BQ310" i="1"/>
  <c r="BN310" i="1"/>
  <c r="BU310" i="1"/>
  <c r="BT310" i="1"/>
  <c r="BN269" i="1"/>
  <c r="BO269" i="1"/>
  <c r="BQ269" i="1"/>
  <c r="BS269" i="1"/>
  <c r="BM269" i="1"/>
  <c r="BR269" i="1"/>
  <c r="BT269" i="1"/>
  <c r="BU269" i="1"/>
  <c r="BP269" i="1"/>
  <c r="BL269" i="1"/>
  <c r="BM327" i="1"/>
  <c r="BP327" i="1"/>
  <c r="BQ327" i="1"/>
  <c r="BN327" i="1"/>
  <c r="BO327" i="1"/>
  <c r="BS327" i="1"/>
  <c r="BL327" i="1"/>
  <c r="BR327" i="1"/>
  <c r="BT327" i="1"/>
  <c r="BU327" i="1"/>
  <c r="BN322" i="1"/>
  <c r="BO322" i="1"/>
  <c r="BQ322" i="1"/>
  <c r="BR322" i="1"/>
  <c r="BU322" i="1"/>
  <c r="BL322" i="1"/>
  <c r="BS322" i="1"/>
  <c r="BP322" i="1"/>
  <c r="BM322" i="1"/>
  <c r="BT322" i="1"/>
  <c r="BP297" i="1"/>
  <c r="BR297" i="1"/>
  <c r="BT297" i="1"/>
  <c r="BM297" i="1"/>
  <c r="BO297" i="1"/>
  <c r="BL297" i="1"/>
  <c r="BS297" i="1"/>
  <c r="BU297" i="1"/>
  <c r="BQ297" i="1"/>
  <c r="BN297" i="1"/>
  <c r="BL241" i="1"/>
  <c r="BP241" i="1"/>
  <c r="BR241" i="1"/>
  <c r="BT241" i="1"/>
  <c r="BM241" i="1"/>
  <c r="BO241" i="1"/>
  <c r="BQ241" i="1"/>
  <c r="BS241" i="1"/>
  <c r="BU241" i="1"/>
  <c r="BN241" i="1"/>
  <c r="BO331" i="1"/>
  <c r="BN331" i="1"/>
  <c r="BS331" i="1"/>
  <c r="BU331" i="1"/>
  <c r="BL331" i="1"/>
  <c r="BM331" i="1"/>
  <c r="BR331" i="1"/>
  <c r="BP331" i="1"/>
  <c r="BQ331" i="1"/>
  <c r="BT331" i="1"/>
  <c r="BM268" i="1"/>
  <c r="BO268" i="1"/>
  <c r="BL268" i="1"/>
  <c r="BN268" i="1"/>
  <c r="BQ268" i="1"/>
  <c r="BS268" i="1"/>
  <c r="BR268" i="1"/>
  <c r="BT268" i="1"/>
  <c r="BU268" i="1"/>
  <c r="BP268" i="1"/>
  <c r="BL240" i="1"/>
  <c r="BN240" i="1"/>
  <c r="BM240" i="1"/>
  <c r="BO240" i="1"/>
  <c r="BP240" i="1"/>
  <c r="BR240" i="1"/>
  <c r="BT240" i="1"/>
  <c r="BQ240" i="1"/>
  <c r="BU240" i="1"/>
  <c r="BS240" i="1"/>
  <c r="BQ285" i="1"/>
  <c r="BS285" i="1"/>
  <c r="BM285" i="1"/>
  <c r="BO285" i="1"/>
  <c r="BP285" i="1"/>
  <c r="BU285" i="1"/>
  <c r="BN285" i="1"/>
  <c r="BL285" i="1"/>
  <c r="BR285" i="1"/>
  <c r="BT285" i="1"/>
  <c r="BP265" i="1"/>
  <c r="BR265" i="1"/>
  <c r="BT265" i="1"/>
  <c r="BO265" i="1"/>
  <c r="BL265" i="1"/>
  <c r="BN265" i="1"/>
  <c r="BM265" i="1"/>
  <c r="BS265" i="1"/>
  <c r="BU265" i="1"/>
  <c r="BQ265" i="1"/>
  <c r="BM238" i="1"/>
  <c r="BN238" i="1"/>
  <c r="BO238" i="1"/>
  <c r="BP238" i="1"/>
  <c r="BQ238" i="1"/>
  <c r="BR238" i="1"/>
  <c r="BS238" i="1"/>
  <c r="BL238" i="1"/>
  <c r="BT238" i="1"/>
  <c r="BU238" i="1"/>
  <c r="BM292" i="1"/>
  <c r="BO292" i="1"/>
  <c r="BL292" i="1"/>
  <c r="BN292" i="1"/>
  <c r="BQ292" i="1"/>
  <c r="BS292" i="1"/>
  <c r="BP292" i="1"/>
  <c r="BR292" i="1"/>
  <c r="BU292" i="1"/>
  <c r="BT292" i="1"/>
  <c r="BM255" i="1"/>
  <c r="BO255" i="1"/>
  <c r="BN255" i="1"/>
  <c r="BL255" i="1"/>
  <c r="BU255" i="1"/>
  <c r="BP255" i="1"/>
  <c r="BQ255" i="1"/>
  <c r="BS255" i="1"/>
  <c r="BT255" i="1"/>
  <c r="BR255" i="1"/>
  <c r="BU338" i="1"/>
  <c r="BL338" i="1"/>
  <c r="BP338" i="1"/>
  <c r="BO338" i="1"/>
  <c r="BM338" i="1"/>
  <c r="BT338" i="1"/>
  <c r="BN338" i="1"/>
  <c r="BR338" i="1"/>
  <c r="BS338" i="1"/>
  <c r="BQ338" i="1"/>
  <c r="BL272" i="1"/>
  <c r="BN272" i="1"/>
  <c r="BM272" i="1"/>
  <c r="BO272" i="1"/>
  <c r="BP272" i="1"/>
  <c r="BR272" i="1"/>
  <c r="BQ272" i="1"/>
  <c r="BU272" i="1"/>
  <c r="BS272" i="1"/>
  <c r="BT272" i="1"/>
  <c r="BL306" i="1"/>
  <c r="BU306" i="1"/>
  <c r="BT306" i="1"/>
  <c r="BN306" i="1"/>
  <c r="BP306" i="1"/>
  <c r="BS306" i="1"/>
  <c r="BO306" i="1"/>
  <c r="BM306" i="1"/>
  <c r="BR306" i="1"/>
  <c r="BQ306" i="1"/>
  <c r="BM252" i="1"/>
  <c r="BO252" i="1"/>
  <c r="BL252" i="1"/>
  <c r="BN252" i="1"/>
  <c r="BQ252" i="1"/>
  <c r="BS252" i="1"/>
  <c r="BP252" i="1"/>
  <c r="BT252" i="1"/>
  <c r="BU252" i="1"/>
  <c r="BR252" i="1"/>
  <c r="BL305" i="1"/>
  <c r="BP305" i="1"/>
  <c r="BR305" i="1"/>
  <c r="BT305" i="1"/>
  <c r="BN305" i="1"/>
  <c r="BQ305" i="1"/>
  <c r="BO305" i="1"/>
  <c r="BS305" i="1"/>
  <c r="BU305" i="1"/>
  <c r="BM305" i="1"/>
  <c r="BL282" i="1"/>
  <c r="BM282" i="1"/>
  <c r="BP282" i="1"/>
  <c r="BU282" i="1"/>
  <c r="BO282" i="1"/>
  <c r="BQ282" i="1"/>
  <c r="BR282" i="1"/>
  <c r="BN282" i="1"/>
  <c r="BS282" i="1"/>
  <c r="BT282" i="1"/>
  <c r="BM332" i="1"/>
  <c r="BL332" i="1"/>
  <c r="BN332" i="1"/>
  <c r="BQ332" i="1"/>
  <c r="BR332" i="1"/>
  <c r="BT332" i="1"/>
  <c r="BS332" i="1"/>
  <c r="BU332" i="1"/>
  <c r="BO332" i="1"/>
  <c r="BP332" i="1"/>
  <c r="BL304" i="1"/>
  <c r="BN304" i="1"/>
  <c r="BM304" i="1"/>
  <c r="BO304" i="1"/>
  <c r="BP304" i="1"/>
  <c r="BR304" i="1"/>
  <c r="BT304" i="1"/>
  <c r="BQ304" i="1"/>
  <c r="BU304" i="1"/>
  <c r="BS304" i="1"/>
  <c r="BM323" i="1"/>
  <c r="BN323" i="1"/>
  <c r="BO323" i="1"/>
  <c r="BT323" i="1"/>
  <c r="BQ323" i="1"/>
  <c r="BR323" i="1"/>
  <c r="BU323" i="1"/>
  <c r="BL323" i="1"/>
  <c r="BS323" i="1"/>
  <c r="BP323" i="1"/>
  <c r="BP329" i="1"/>
  <c r="BR329" i="1"/>
  <c r="BT329" i="1"/>
  <c r="BM329" i="1"/>
  <c r="BN329" i="1"/>
  <c r="BO329" i="1"/>
  <c r="BS329" i="1"/>
  <c r="BL329" i="1"/>
  <c r="BQ329" i="1"/>
  <c r="BU329" i="1"/>
  <c r="BM302" i="1"/>
  <c r="BN302" i="1"/>
  <c r="BP302" i="1"/>
  <c r="BQ302" i="1"/>
  <c r="BR302" i="1"/>
  <c r="BS302" i="1"/>
  <c r="BT302" i="1"/>
  <c r="BL302" i="1"/>
  <c r="BU302" i="1"/>
  <c r="BO302" i="1"/>
  <c r="BL250" i="1"/>
  <c r="BM250" i="1"/>
  <c r="BP250" i="1"/>
  <c r="BT250" i="1"/>
  <c r="BU250" i="1"/>
  <c r="BN250" i="1"/>
  <c r="BQ250" i="1"/>
  <c r="BR250" i="1"/>
  <c r="BO250" i="1"/>
  <c r="BS250" i="1"/>
  <c r="BL319" i="1"/>
  <c r="BN319" i="1"/>
  <c r="BO319" i="1"/>
  <c r="BR319" i="1"/>
  <c r="BM319" i="1"/>
  <c r="BQ319" i="1"/>
  <c r="BT319" i="1"/>
  <c r="BU319" i="1"/>
  <c r="BP319" i="1"/>
  <c r="BS319" i="1"/>
  <c r="BO299" i="1"/>
  <c r="BS299" i="1"/>
  <c r="BU299" i="1"/>
  <c r="BM299" i="1"/>
  <c r="BT299" i="1"/>
  <c r="BN299" i="1"/>
  <c r="BR299" i="1"/>
  <c r="BL299" i="1"/>
  <c r="BQ299" i="1"/>
  <c r="BP299" i="1"/>
  <c r="BL336" i="1"/>
  <c r="BN336" i="1"/>
  <c r="BM336" i="1"/>
  <c r="BO336" i="1"/>
  <c r="BP336" i="1"/>
  <c r="BR336" i="1"/>
  <c r="BQ336" i="1"/>
  <c r="BU336" i="1"/>
  <c r="BS336" i="1"/>
  <c r="BT336" i="1"/>
  <c r="BN290" i="1"/>
  <c r="BO290" i="1"/>
  <c r="BL290" i="1"/>
  <c r="BQ290" i="1"/>
  <c r="BR290" i="1"/>
  <c r="BU290" i="1"/>
  <c r="BS290" i="1"/>
  <c r="BT290" i="1"/>
  <c r="BP290" i="1"/>
  <c r="BM290" i="1"/>
  <c r="BM316" i="1"/>
  <c r="BO316" i="1"/>
  <c r="BL316" i="1"/>
  <c r="BN316" i="1"/>
  <c r="BQ316" i="1"/>
  <c r="BS316" i="1"/>
  <c r="BP316" i="1"/>
  <c r="BT316" i="1"/>
  <c r="BU316" i="1"/>
  <c r="BR316" i="1"/>
  <c r="AH79" i="1"/>
  <c r="AI79" i="1" s="1"/>
  <c r="AH131" i="1"/>
  <c r="AL131" i="1" s="1"/>
  <c r="BE131" i="1" s="1"/>
  <c r="AH105" i="1"/>
  <c r="AR105" i="1" s="1"/>
  <c r="BK105" i="1" s="1"/>
  <c r="AH6" i="1"/>
  <c r="AN6" i="1" s="1"/>
  <c r="BG6" i="1" s="1"/>
  <c r="AH18" i="1"/>
  <c r="AL18" i="1" s="1"/>
  <c r="BE18" i="1" s="1"/>
  <c r="AH30" i="1"/>
  <c r="AJ30" i="1" s="1"/>
  <c r="BC30" i="1" s="1"/>
  <c r="AH42" i="1"/>
  <c r="AJ42" i="1" s="1"/>
  <c r="BC42" i="1" s="1"/>
  <c r="AH118" i="1"/>
  <c r="AR118" i="1" s="1"/>
  <c r="BK118" i="1" s="1"/>
  <c r="AH92" i="1"/>
  <c r="AI92" i="1" s="1"/>
  <c r="AH144" i="1"/>
  <c r="AO144" i="1" s="1"/>
  <c r="BH144" i="1" s="1"/>
  <c r="AH66" i="1"/>
  <c r="AI66" i="1" s="1"/>
  <c r="AH54" i="1"/>
  <c r="AK54" i="1" s="1"/>
  <c r="BD54" i="1" s="1"/>
  <c r="AH212" i="1"/>
  <c r="AJ212" i="1" s="1"/>
  <c r="BC212" i="1" s="1"/>
  <c r="AH206" i="1"/>
  <c r="AP206" i="1" s="1"/>
  <c r="BI206" i="1" s="1"/>
  <c r="AH224" i="1"/>
  <c r="AP224" i="1" s="1"/>
  <c r="BI224" i="1" s="1"/>
  <c r="AH187" i="1"/>
  <c r="AJ187" i="1" s="1"/>
  <c r="BC187" i="1" s="1"/>
  <c r="AH175" i="1"/>
  <c r="AJ175" i="1" s="1"/>
  <c r="BC175" i="1" s="1"/>
  <c r="AT186" i="1"/>
  <c r="BS186" i="1" s="1"/>
  <c r="AH152" i="1"/>
  <c r="AK152" i="1" s="1"/>
  <c r="BD152" i="1" s="1"/>
  <c r="AH218" i="1"/>
  <c r="AI218" i="1" s="1"/>
  <c r="AT177" i="1"/>
  <c r="BS177" i="1" s="1"/>
  <c r="AH230" i="1"/>
  <c r="AI230" i="1" s="1"/>
  <c r="AH197" i="1"/>
  <c r="AR197" i="1" s="1"/>
  <c r="BK197" i="1" s="1"/>
  <c r="AH229" i="1"/>
  <c r="AM229" i="1" s="1"/>
  <c r="BF229" i="1" s="1"/>
  <c r="AT181" i="1"/>
  <c r="BL181" i="1" s="1"/>
  <c r="AH201" i="1"/>
  <c r="AQ201" i="1" s="1"/>
  <c r="BJ201" i="1" s="1"/>
  <c r="AT176" i="1"/>
  <c r="BP176" i="1" s="1"/>
  <c r="AT187" i="1"/>
  <c r="BR187" i="1" s="1"/>
  <c r="AT175" i="1"/>
  <c r="BL175" i="1" s="1"/>
  <c r="AT195" i="1"/>
  <c r="BQ195" i="1" s="1"/>
  <c r="AT191" i="1"/>
  <c r="BO191" i="1" s="1"/>
  <c r="AT157" i="1"/>
  <c r="BN157" i="1" s="1"/>
  <c r="AH167" i="1"/>
  <c r="AK167" i="1" s="1"/>
  <c r="BD167" i="1" s="1"/>
  <c r="AT167" i="1"/>
  <c r="BP167" i="1" s="1"/>
  <c r="AT206" i="1"/>
  <c r="BO206" i="1" s="1"/>
  <c r="AH166" i="1"/>
  <c r="AI166" i="1" s="1"/>
  <c r="AT161" i="1"/>
  <c r="BQ161" i="1" s="1"/>
  <c r="AT196" i="1"/>
  <c r="BR196" i="1" s="1"/>
  <c r="AH228" i="1"/>
  <c r="AI228" i="1" s="1"/>
  <c r="AH181" i="1"/>
  <c r="AM181" i="1" s="1"/>
  <c r="BF181" i="1" s="1"/>
  <c r="AH195" i="1"/>
  <c r="AL195" i="1" s="1"/>
  <c r="BE195" i="1" s="1"/>
  <c r="AH191" i="1"/>
  <c r="AJ191" i="1" s="1"/>
  <c r="BC191" i="1" s="1"/>
  <c r="AT202" i="1"/>
  <c r="BQ202" i="1" s="1"/>
  <c r="AH226" i="1"/>
  <c r="AI226" i="1" s="1"/>
  <c r="AH217" i="1"/>
  <c r="AM217" i="1" s="1"/>
  <c r="BF217" i="1" s="1"/>
  <c r="AT152" i="1"/>
  <c r="BP152" i="1" s="1"/>
  <c r="AH219" i="1"/>
  <c r="AP219" i="1" s="1"/>
  <c r="BI219" i="1" s="1"/>
  <c r="AH225" i="1"/>
  <c r="AN225" i="1" s="1"/>
  <c r="BG225" i="1" s="1"/>
  <c r="AH216" i="1"/>
  <c r="AJ216" i="1" s="1"/>
  <c r="BC216" i="1" s="1"/>
  <c r="AT197" i="1"/>
  <c r="BR197" i="1" s="1"/>
  <c r="AH172" i="1"/>
  <c r="AN172" i="1" s="1"/>
  <c r="BG172" i="1" s="1"/>
  <c r="AT205" i="1"/>
  <c r="BL205" i="1" s="1"/>
  <c r="AT207" i="1"/>
  <c r="BM207" i="1" s="1"/>
  <c r="AH157" i="1"/>
  <c r="AP157" i="1" s="1"/>
  <c r="BI157" i="1" s="1"/>
  <c r="AH234" i="1"/>
  <c r="AL234" i="1" s="1"/>
  <c r="BE234" i="1" s="1"/>
  <c r="AH196" i="1"/>
  <c r="AQ196" i="1" s="1"/>
  <c r="BJ196" i="1" s="1"/>
  <c r="AH233" i="1"/>
  <c r="AN233" i="1" s="1"/>
  <c r="BG233" i="1" s="1"/>
  <c r="AH215" i="1"/>
  <c r="AK215" i="1" s="1"/>
  <c r="BD215" i="1" s="1"/>
  <c r="AH227" i="1"/>
  <c r="AK227" i="1" s="1"/>
  <c r="BD227" i="1" s="1"/>
  <c r="AH223" i="1"/>
  <c r="AI223" i="1" s="1"/>
  <c r="AT182" i="1"/>
  <c r="BL182" i="1" s="1"/>
  <c r="AH185" i="1"/>
  <c r="AK185" i="1" s="1"/>
  <c r="BD185" i="1" s="1"/>
  <c r="AH207" i="1"/>
  <c r="AO207" i="1" s="1"/>
  <c r="BH207" i="1" s="1"/>
  <c r="AT201" i="1"/>
  <c r="BN201" i="1" s="1"/>
  <c r="AH155" i="1"/>
  <c r="AQ155" i="1" s="1"/>
  <c r="BJ155" i="1" s="1"/>
  <c r="AH205" i="1"/>
  <c r="AI205" i="1" s="1"/>
  <c r="AH220" i="1"/>
  <c r="AM220" i="1" s="1"/>
  <c r="BF220" i="1" s="1"/>
  <c r="AH232" i="1"/>
  <c r="AM232" i="1" s="1"/>
  <c r="BF232" i="1" s="1"/>
  <c r="AH211" i="1"/>
  <c r="AR211" i="1" s="1"/>
  <c r="BK211" i="1" s="1"/>
  <c r="AH214" i="1"/>
  <c r="AO214" i="1" s="1"/>
  <c r="BH214" i="1" s="1"/>
  <c r="AH165" i="1"/>
  <c r="AR165" i="1" s="1"/>
  <c r="BK165" i="1" s="1"/>
  <c r="AH186" i="1"/>
  <c r="AM186" i="1" s="1"/>
  <c r="BF186" i="1" s="1"/>
  <c r="AT155" i="1"/>
  <c r="BO155" i="1" s="1"/>
  <c r="AT172" i="1"/>
  <c r="BL172" i="1" s="1"/>
  <c r="AH182" i="1"/>
  <c r="AK182" i="1" s="1"/>
  <c r="BD182" i="1" s="1"/>
  <c r="AH171" i="1"/>
  <c r="AN171" i="1" s="1"/>
  <c r="BG171" i="1" s="1"/>
  <c r="AT185" i="1"/>
  <c r="BL185" i="1" s="1"/>
  <c r="AH202" i="1"/>
  <c r="AJ202" i="1" s="1"/>
  <c r="BC202" i="1" s="1"/>
  <c r="AT192" i="1"/>
  <c r="BM192" i="1" s="1"/>
  <c r="AH231" i="1"/>
  <c r="AK231" i="1" s="1"/>
  <c r="BD231" i="1" s="1"/>
  <c r="AH161" i="1"/>
  <c r="AM161" i="1" s="1"/>
  <c r="BF161" i="1" s="1"/>
  <c r="AH176" i="1"/>
  <c r="AM176" i="1" s="1"/>
  <c r="BF176" i="1" s="1"/>
  <c r="AH192" i="1"/>
  <c r="AQ192" i="1" s="1"/>
  <c r="BJ192" i="1" s="1"/>
  <c r="AT162" i="1"/>
  <c r="BS162" i="1" s="1"/>
  <c r="AT156" i="1"/>
  <c r="BP156" i="1" s="1"/>
  <c r="AT171" i="1"/>
  <c r="BS171" i="1" s="1"/>
  <c r="AT166" i="1"/>
  <c r="BL166" i="1" s="1"/>
  <c r="AH162" i="1"/>
  <c r="AL162" i="1" s="1"/>
  <c r="BE162" i="1" s="1"/>
  <c r="AT211" i="1"/>
  <c r="BP211" i="1" s="1"/>
  <c r="AH222" i="1"/>
  <c r="AI222" i="1" s="1"/>
  <c r="AH177" i="1"/>
  <c r="AI177" i="1" s="1"/>
  <c r="AH213" i="1"/>
  <c r="AO213" i="1" s="1"/>
  <c r="BH213" i="1" s="1"/>
  <c r="AT165" i="1"/>
  <c r="BM165" i="1" s="1"/>
  <c r="AH221" i="1"/>
  <c r="AJ221" i="1" s="1"/>
  <c r="BC221" i="1" s="1"/>
  <c r="AH156" i="1"/>
  <c r="AN156" i="1" s="1"/>
  <c r="BG156" i="1" s="1"/>
  <c r="AT70" i="1"/>
  <c r="BR70" i="1" s="1"/>
  <c r="AH126" i="1"/>
  <c r="AQ126" i="1" s="1"/>
  <c r="BJ126" i="1" s="1"/>
  <c r="AH113" i="1"/>
  <c r="AI113" i="1" s="1"/>
  <c r="AT97" i="1"/>
  <c r="BO97" i="1" s="1"/>
  <c r="AH108" i="1"/>
  <c r="AQ108" i="1" s="1"/>
  <c r="BJ108" i="1" s="1"/>
  <c r="AH125" i="1"/>
  <c r="AJ125" i="1" s="1"/>
  <c r="BC125" i="1" s="1"/>
  <c r="AT82" i="1"/>
  <c r="BU82" i="1" s="1"/>
  <c r="AH83" i="1"/>
  <c r="AP83" i="1" s="1"/>
  <c r="BI83" i="1" s="1"/>
  <c r="AT112" i="1"/>
  <c r="BM112" i="1" s="1"/>
  <c r="AT83" i="1"/>
  <c r="BT83" i="1" s="1"/>
  <c r="AH151" i="1"/>
  <c r="AQ151" i="1" s="1"/>
  <c r="BJ151" i="1" s="1"/>
  <c r="AT113" i="1"/>
  <c r="BN113" i="1" s="1"/>
  <c r="AH87" i="1"/>
  <c r="AJ87" i="1" s="1"/>
  <c r="BC87" i="1" s="1"/>
  <c r="AH100" i="1"/>
  <c r="AJ100" i="1" s="1"/>
  <c r="BC100" i="1" s="1"/>
  <c r="AT110" i="1"/>
  <c r="BS110" i="1" s="1"/>
  <c r="AH148" i="1"/>
  <c r="AO148" i="1" s="1"/>
  <c r="BH148" i="1" s="1"/>
  <c r="AT151" i="1"/>
  <c r="BR151" i="1" s="1"/>
  <c r="AH138" i="1"/>
  <c r="AO138" i="1" s="1"/>
  <c r="BH138" i="1" s="1"/>
  <c r="AH112" i="1"/>
  <c r="AI112" i="1" s="1"/>
  <c r="AH99" i="1"/>
  <c r="AQ99" i="1" s="1"/>
  <c r="BJ99" i="1" s="1"/>
  <c r="AT108" i="1"/>
  <c r="BS108" i="1" s="1"/>
  <c r="AH122" i="1"/>
  <c r="AN122" i="1" s="1"/>
  <c r="BG122" i="1" s="1"/>
  <c r="AT147" i="1"/>
  <c r="BN147" i="1" s="1"/>
  <c r="AT149" i="1"/>
  <c r="BS149" i="1" s="1"/>
  <c r="AH139" i="1"/>
  <c r="AN139" i="1" s="1"/>
  <c r="BG139" i="1" s="1"/>
  <c r="AT123" i="1"/>
  <c r="BO123" i="1" s="1"/>
  <c r="AT109" i="1"/>
  <c r="BM109" i="1" s="1"/>
  <c r="AH147" i="1"/>
  <c r="AI147" i="1" s="1"/>
  <c r="AT37" i="1"/>
  <c r="BR37" i="1" s="1"/>
  <c r="AT126" i="1"/>
  <c r="BU126" i="1" s="1"/>
  <c r="AT138" i="1"/>
  <c r="BO138" i="1" s="1"/>
  <c r="AH84" i="1"/>
  <c r="AI84" i="1" s="1"/>
  <c r="AT100" i="1"/>
  <c r="BL100" i="1" s="1"/>
  <c r="AT74" i="1"/>
  <c r="BM74" i="1" s="1"/>
  <c r="AH95" i="1"/>
  <c r="AL95" i="1" s="1"/>
  <c r="BE95" i="1" s="1"/>
  <c r="AT134" i="1"/>
  <c r="BU134" i="1" s="1"/>
  <c r="AH57" i="1"/>
  <c r="AR57" i="1" s="1"/>
  <c r="BK57" i="1" s="1"/>
  <c r="AT96" i="1"/>
  <c r="BM96" i="1" s="1"/>
  <c r="AH136" i="1"/>
  <c r="AJ136" i="1" s="1"/>
  <c r="BC136" i="1" s="1"/>
  <c r="AH82" i="1"/>
  <c r="AO82" i="1" s="1"/>
  <c r="BH82" i="1" s="1"/>
  <c r="AT95" i="1"/>
  <c r="BQ95" i="1" s="1"/>
  <c r="AH134" i="1"/>
  <c r="AP134" i="1" s="1"/>
  <c r="BI134" i="1" s="1"/>
  <c r="AT87" i="1"/>
  <c r="BR87" i="1" s="1"/>
  <c r="AH97" i="1"/>
  <c r="AM97" i="1" s="1"/>
  <c r="BF97" i="1" s="1"/>
  <c r="AH149" i="1"/>
  <c r="AI149" i="1" s="1"/>
  <c r="AH121" i="1"/>
  <c r="AP121" i="1" s="1"/>
  <c r="BI121" i="1" s="1"/>
  <c r="AH110" i="1"/>
  <c r="AQ110" i="1" s="1"/>
  <c r="BJ110" i="1" s="1"/>
  <c r="AT135" i="1"/>
  <c r="BM135" i="1" s="1"/>
  <c r="AT136" i="1"/>
  <c r="BM136" i="1" s="1"/>
  <c r="AH74" i="1"/>
  <c r="AK74" i="1" s="1"/>
  <c r="BD74" i="1" s="1"/>
  <c r="AT84" i="1"/>
  <c r="BL84" i="1" s="1"/>
  <c r="AT122" i="1"/>
  <c r="BO122" i="1" s="1"/>
  <c r="AH96" i="1"/>
  <c r="AL96" i="1" s="1"/>
  <c r="BE96" i="1" s="1"/>
  <c r="AT148" i="1"/>
  <c r="BP148" i="1" s="1"/>
  <c r="AT121" i="1"/>
  <c r="BQ121" i="1" s="1"/>
  <c r="AH135" i="1"/>
  <c r="AI135" i="1" s="1"/>
  <c r="AT125" i="1"/>
  <c r="BT125" i="1" s="1"/>
  <c r="AT139" i="1"/>
  <c r="BL139" i="1" s="1"/>
  <c r="AT86" i="1"/>
  <c r="BT86" i="1" s="1"/>
  <c r="AH109" i="1"/>
  <c r="AJ109" i="1" s="1"/>
  <c r="BC109" i="1" s="1"/>
  <c r="AH123" i="1"/>
  <c r="AK123" i="1" s="1"/>
  <c r="BD123" i="1" s="1"/>
  <c r="AH86" i="1"/>
  <c r="AI86" i="1" s="1"/>
  <c r="AT99" i="1"/>
  <c r="BN99" i="1" s="1"/>
  <c r="AT47" i="1"/>
  <c r="BN47" i="1" s="1"/>
  <c r="AH59" i="1"/>
  <c r="AL59" i="1" s="1"/>
  <c r="BE59" i="1" s="1"/>
  <c r="AH71" i="1"/>
  <c r="AI71" i="1" s="1"/>
  <c r="AH21" i="1"/>
  <c r="AP21" i="1" s="1"/>
  <c r="BI21" i="1" s="1"/>
  <c r="AT59" i="1"/>
  <c r="BS59" i="1" s="1"/>
  <c r="AH10" i="1"/>
  <c r="AO10" i="1" s="1"/>
  <c r="BH10" i="1" s="1"/>
  <c r="AH11" i="1"/>
  <c r="AL11" i="1" s="1"/>
  <c r="BE11" i="1" s="1"/>
  <c r="AH61" i="1"/>
  <c r="AO61" i="1" s="1"/>
  <c r="BH61" i="1" s="1"/>
  <c r="AT57" i="1"/>
  <c r="BN57" i="1" s="1"/>
  <c r="AH45" i="1"/>
  <c r="AJ45" i="1" s="1"/>
  <c r="BC45" i="1" s="1"/>
  <c r="AH25" i="1"/>
  <c r="AO25" i="1" s="1"/>
  <c r="BH25" i="1" s="1"/>
  <c r="AT71" i="1"/>
  <c r="BT71" i="1" s="1"/>
  <c r="AH34" i="1"/>
  <c r="AR34" i="1" s="1"/>
  <c r="BK34" i="1" s="1"/>
  <c r="AT9" i="1"/>
  <c r="H13" i="5" s="1"/>
  <c r="AT50" i="1"/>
  <c r="BQ50" i="1" s="1"/>
  <c r="AT69" i="1"/>
  <c r="BO69" i="1" s="1"/>
  <c r="AH35" i="1"/>
  <c r="AL35" i="1" s="1"/>
  <c r="BE35" i="1" s="1"/>
  <c r="AT61" i="1"/>
  <c r="BL61" i="1" s="1"/>
  <c r="AT25" i="1"/>
  <c r="BR25" i="1" s="1"/>
  <c r="AT38" i="1"/>
  <c r="BQ38" i="1" s="1"/>
  <c r="AH9" i="1"/>
  <c r="AL9" i="1" s="1"/>
  <c r="BE9" i="1" s="1"/>
  <c r="AT26" i="1"/>
  <c r="BP26" i="1" s="1"/>
  <c r="AH70" i="1"/>
  <c r="AQ70" i="1" s="1"/>
  <c r="BJ70" i="1" s="1"/>
  <c r="AH49" i="1"/>
  <c r="AK49" i="1" s="1"/>
  <c r="BD49" i="1" s="1"/>
  <c r="AH58" i="1"/>
  <c r="AM58" i="1" s="1"/>
  <c r="BF58" i="1" s="1"/>
  <c r="AH13" i="1"/>
  <c r="AP13" i="1" s="1"/>
  <c r="BI13" i="1" s="1"/>
  <c r="AH37" i="1"/>
  <c r="AN37" i="1" s="1"/>
  <c r="BG37" i="1" s="1"/>
  <c r="AH23" i="1"/>
  <c r="AK23" i="1" s="1"/>
  <c r="BD23" i="1" s="1"/>
  <c r="AH50" i="1"/>
  <c r="AN50" i="1" s="1"/>
  <c r="BG50" i="1" s="1"/>
  <c r="AH62" i="1"/>
  <c r="AR62" i="1" s="1"/>
  <c r="BK62" i="1" s="1"/>
  <c r="AT49" i="1"/>
  <c r="BS49" i="1" s="1"/>
  <c r="AT14" i="1"/>
  <c r="BR14" i="1" s="1"/>
  <c r="AT33" i="1"/>
  <c r="BQ33" i="1" s="1"/>
  <c r="AT35" i="1"/>
  <c r="BN35" i="1" s="1"/>
  <c r="AT45" i="1"/>
  <c r="BO45" i="1" s="1"/>
  <c r="AH22" i="1"/>
  <c r="AK22" i="1" s="1"/>
  <c r="BD22" i="1" s="1"/>
  <c r="AH69" i="1"/>
  <c r="AT73" i="1"/>
  <c r="BR73" i="1" s="1"/>
  <c r="AT21" i="1"/>
  <c r="BL21" i="1" s="1"/>
  <c r="AT10" i="1"/>
  <c r="H14" i="5" s="1"/>
  <c r="AT46" i="1"/>
  <c r="BL46" i="1" s="1"/>
  <c r="AT13" i="1"/>
  <c r="H22" i="5" s="1"/>
  <c r="AH14" i="1"/>
  <c r="AK14" i="1" s="1"/>
  <c r="BD14" i="1" s="1"/>
  <c r="AT62" i="1"/>
  <c r="BL62" i="1" s="1"/>
  <c r="AH46" i="1"/>
  <c r="AR46" i="1" s="1"/>
  <c r="BK46" i="1" s="1"/>
  <c r="AT58" i="1"/>
  <c r="AH47" i="1"/>
  <c r="AO47" i="1" s="1"/>
  <c r="BH47" i="1" s="1"/>
  <c r="AT22" i="1"/>
  <c r="BL22" i="1" s="1"/>
  <c r="AT11" i="1"/>
  <c r="H20" i="5" s="1"/>
  <c r="AH38" i="1"/>
  <c r="AR38" i="1" s="1"/>
  <c r="BK38" i="1" s="1"/>
  <c r="AT23" i="1"/>
  <c r="BO23" i="1" s="1"/>
  <c r="AH73" i="1"/>
  <c r="AR73" i="1" s="1"/>
  <c r="BK73" i="1" s="1"/>
  <c r="AH33" i="1"/>
  <c r="AL33" i="1" s="1"/>
  <c r="BE33" i="1" s="1"/>
  <c r="AT34" i="1"/>
  <c r="BN178" i="1"/>
  <c r="BP178" i="1"/>
  <c r="BR178" i="1"/>
  <c r="BT178" i="1"/>
  <c r="BL178" i="1"/>
  <c r="BM178" i="1"/>
  <c r="BO178" i="1"/>
  <c r="BQ178" i="1"/>
  <c r="BS178" i="1"/>
  <c r="BU178" i="1"/>
  <c r="AP188" i="1"/>
  <c r="BI188" i="1" s="1"/>
  <c r="BP170" i="1"/>
  <c r="BR170" i="1"/>
  <c r="BT170" i="1"/>
  <c r="BN170" i="1"/>
  <c r="BL170" i="1"/>
  <c r="BM170" i="1"/>
  <c r="BQ170" i="1"/>
  <c r="BS170" i="1"/>
  <c r="BU170" i="1"/>
  <c r="BO170" i="1"/>
  <c r="AO199" i="1"/>
  <c r="BH199" i="1" s="1"/>
  <c r="AQ199" i="1"/>
  <c r="BJ199" i="1" s="1"/>
  <c r="AR199" i="1"/>
  <c r="BK199" i="1" s="1"/>
  <c r="BL200" i="1"/>
  <c r="BO200" i="1"/>
  <c r="BQ200" i="1"/>
  <c r="BS200" i="1"/>
  <c r="BU200" i="1"/>
  <c r="BN200" i="1"/>
  <c r="BP200" i="1"/>
  <c r="BR200" i="1"/>
  <c r="BT200" i="1"/>
  <c r="BM200" i="1"/>
  <c r="AJ193" i="1"/>
  <c r="BC193" i="1" s="1"/>
  <c r="AL193" i="1"/>
  <c r="BE193" i="1" s="1"/>
  <c r="AN193" i="1"/>
  <c r="BG193" i="1" s="1"/>
  <c r="AK193" i="1"/>
  <c r="BD193" i="1" s="1"/>
  <c r="AO193" i="1"/>
  <c r="BH193" i="1" s="1"/>
  <c r="AQ193" i="1"/>
  <c r="BJ193" i="1" s="1"/>
  <c r="AM193" i="1"/>
  <c r="BF193" i="1" s="1"/>
  <c r="AI193" i="1"/>
  <c r="AP193" i="1"/>
  <c r="BI193" i="1" s="1"/>
  <c r="AR193" i="1"/>
  <c r="BK193" i="1" s="1"/>
  <c r="BL214" i="1"/>
  <c r="BM214" i="1"/>
  <c r="BN214" i="1"/>
  <c r="BO214" i="1"/>
  <c r="BP214" i="1"/>
  <c r="BQ214" i="1"/>
  <c r="BR214" i="1"/>
  <c r="BS214" i="1"/>
  <c r="BT214" i="1"/>
  <c r="BU214" i="1"/>
  <c r="AK208" i="1"/>
  <c r="BD208" i="1" s="1"/>
  <c r="AM208" i="1"/>
  <c r="BF208" i="1" s="1"/>
  <c r="AJ208" i="1"/>
  <c r="BC208" i="1" s="1"/>
  <c r="BM169" i="1"/>
  <c r="BO169" i="1"/>
  <c r="BL169" i="1"/>
  <c r="BN169" i="1"/>
  <c r="BQ169" i="1"/>
  <c r="BS169" i="1"/>
  <c r="BU169" i="1"/>
  <c r="BR169" i="1"/>
  <c r="BT169" i="1"/>
  <c r="BP169" i="1"/>
  <c r="BP217" i="1"/>
  <c r="BS217" i="1"/>
  <c r="BN217" i="1"/>
  <c r="BQ217" i="1"/>
  <c r="BL217" i="1"/>
  <c r="BT217" i="1"/>
  <c r="BO217" i="1"/>
  <c r="BR217" i="1"/>
  <c r="BM217" i="1"/>
  <c r="BU217" i="1"/>
  <c r="AJ204" i="1"/>
  <c r="BC204" i="1" s="1"/>
  <c r="AL204" i="1"/>
  <c r="BE204" i="1" s="1"/>
  <c r="AK204" i="1"/>
  <c r="BD204" i="1" s="1"/>
  <c r="AP204" i="1"/>
  <c r="BI204" i="1" s="1"/>
  <c r="AR204" i="1"/>
  <c r="BK204" i="1" s="1"/>
  <c r="AM204" i="1"/>
  <c r="BF204" i="1" s="1"/>
  <c r="AN204" i="1"/>
  <c r="BG204" i="1" s="1"/>
  <c r="AO204" i="1"/>
  <c r="BH204" i="1" s="1"/>
  <c r="AQ204" i="1"/>
  <c r="BJ204" i="1" s="1"/>
  <c r="AI204" i="1"/>
  <c r="AJ180" i="1"/>
  <c r="BC180" i="1" s="1"/>
  <c r="AL180" i="1"/>
  <c r="BE180" i="1" s="1"/>
  <c r="AN180" i="1"/>
  <c r="BG180" i="1" s="1"/>
  <c r="AP180" i="1"/>
  <c r="BI180" i="1" s="1"/>
  <c r="AR180" i="1"/>
  <c r="BK180" i="1" s="1"/>
  <c r="AK180" i="1"/>
  <c r="BD180" i="1" s="1"/>
  <c r="AM180" i="1"/>
  <c r="BF180" i="1" s="1"/>
  <c r="AO180" i="1"/>
  <c r="BH180" i="1" s="1"/>
  <c r="AQ180" i="1"/>
  <c r="BJ180" i="1" s="1"/>
  <c r="AI180" i="1"/>
  <c r="BL228" i="1"/>
  <c r="BM228" i="1"/>
  <c r="BN228" i="1"/>
  <c r="BO228" i="1"/>
  <c r="BP228" i="1"/>
  <c r="BQ228" i="1"/>
  <c r="BR228" i="1"/>
  <c r="BS228" i="1"/>
  <c r="BT228" i="1"/>
  <c r="BU228" i="1"/>
  <c r="BL223" i="1"/>
  <c r="BM223" i="1"/>
  <c r="BN223" i="1"/>
  <c r="BO223" i="1"/>
  <c r="BP223" i="1"/>
  <c r="BQ223" i="1"/>
  <c r="BR223" i="1"/>
  <c r="BS223" i="1"/>
  <c r="BT223" i="1"/>
  <c r="BU223" i="1"/>
  <c r="AJ154" i="1"/>
  <c r="BC154" i="1" s="1"/>
  <c r="AL154" i="1"/>
  <c r="BE154" i="1" s="1"/>
  <c r="AK154" i="1"/>
  <c r="BD154" i="1" s="1"/>
  <c r="AQ154" i="1"/>
  <c r="BJ154" i="1" s="1"/>
  <c r="AN154" i="1"/>
  <c r="BG154" i="1" s="1"/>
  <c r="AP154" i="1"/>
  <c r="BI154" i="1" s="1"/>
  <c r="AO154" i="1"/>
  <c r="BH154" i="1" s="1"/>
  <c r="AM154" i="1"/>
  <c r="BF154" i="1" s="1"/>
  <c r="AI154" i="1"/>
  <c r="AR154" i="1"/>
  <c r="BK154" i="1" s="1"/>
  <c r="BL231" i="1"/>
  <c r="BM231" i="1"/>
  <c r="BN231" i="1"/>
  <c r="BO231" i="1"/>
  <c r="BP231" i="1"/>
  <c r="BQ231" i="1"/>
  <c r="BR231" i="1"/>
  <c r="BS231" i="1"/>
  <c r="BT231" i="1"/>
  <c r="BU231" i="1"/>
  <c r="BL222" i="1"/>
  <c r="BM222" i="1"/>
  <c r="BN222" i="1"/>
  <c r="BO222" i="1"/>
  <c r="BP222" i="1"/>
  <c r="BQ222" i="1"/>
  <c r="BR222" i="1"/>
  <c r="BS222" i="1"/>
  <c r="BT222" i="1"/>
  <c r="BU222" i="1"/>
  <c r="BQ158" i="1"/>
  <c r="BS158" i="1"/>
  <c r="BU158" i="1"/>
  <c r="BM158" i="1"/>
  <c r="BO158" i="1"/>
  <c r="BP158" i="1"/>
  <c r="BR158" i="1"/>
  <c r="BT158" i="1"/>
  <c r="BL158" i="1"/>
  <c r="BN158" i="1"/>
  <c r="AJ164" i="1"/>
  <c r="BC164" i="1" s="1"/>
  <c r="AL164" i="1"/>
  <c r="BE164" i="1" s="1"/>
  <c r="AN164" i="1"/>
  <c r="BG164" i="1" s="1"/>
  <c r="AK164" i="1"/>
  <c r="BD164" i="1" s="1"/>
  <c r="AP164" i="1"/>
  <c r="BI164" i="1" s="1"/>
  <c r="AR164" i="1"/>
  <c r="BK164" i="1" s="1"/>
  <c r="AI164" i="1"/>
  <c r="AQ164" i="1"/>
  <c r="BJ164" i="1" s="1"/>
  <c r="AM164" i="1"/>
  <c r="BF164" i="1" s="1"/>
  <c r="AO164" i="1"/>
  <c r="BH164" i="1" s="1"/>
  <c r="BL234" i="1"/>
  <c r="BM234" i="1"/>
  <c r="BN234" i="1"/>
  <c r="BO234" i="1"/>
  <c r="BP234" i="1"/>
  <c r="BQ234" i="1"/>
  <c r="BR234" i="1"/>
  <c r="BS234" i="1"/>
  <c r="BT234" i="1"/>
  <c r="BU234" i="1"/>
  <c r="BP210" i="1"/>
  <c r="BR210" i="1"/>
  <c r="BT210" i="1"/>
  <c r="BN210" i="1"/>
  <c r="BO210" i="1"/>
  <c r="BQ210" i="1"/>
  <c r="BS210" i="1"/>
  <c r="BU210" i="1"/>
  <c r="BL210" i="1"/>
  <c r="BM210" i="1"/>
  <c r="BL212" i="1"/>
  <c r="BM212" i="1"/>
  <c r="BN212" i="1"/>
  <c r="BO212" i="1"/>
  <c r="BP212" i="1"/>
  <c r="BQ212" i="1"/>
  <c r="BR212" i="1"/>
  <c r="BS212" i="1"/>
  <c r="BT212" i="1"/>
  <c r="BU212" i="1"/>
  <c r="AI209" i="1"/>
  <c r="AM209" i="1"/>
  <c r="BF209" i="1" s="1"/>
  <c r="BL208" i="1"/>
  <c r="BN208" i="1"/>
  <c r="BO208" i="1"/>
  <c r="BQ208" i="1"/>
  <c r="BS208" i="1"/>
  <c r="BU208" i="1"/>
  <c r="BM208" i="1"/>
  <c r="BP208" i="1"/>
  <c r="BR208" i="1"/>
  <c r="BT208" i="1"/>
  <c r="BL160" i="1"/>
  <c r="BN160" i="1"/>
  <c r="BQ160" i="1"/>
  <c r="BS160" i="1"/>
  <c r="BU160" i="1"/>
  <c r="BM160" i="1"/>
  <c r="BO160" i="1"/>
  <c r="BP160" i="1"/>
  <c r="BR160" i="1"/>
  <c r="BT160" i="1"/>
  <c r="BM193" i="1"/>
  <c r="BL193" i="1"/>
  <c r="BO193" i="1"/>
  <c r="BQ193" i="1"/>
  <c r="BS193" i="1"/>
  <c r="BU193" i="1"/>
  <c r="BN193" i="1"/>
  <c r="BR193" i="1"/>
  <c r="BP193" i="1"/>
  <c r="BT193" i="1"/>
  <c r="AI183" i="1"/>
  <c r="AO183" i="1"/>
  <c r="BH183" i="1" s="1"/>
  <c r="AQ183" i="1"/>
  <c r="BJ183" i="1" s="1"/>
  <c r="AL183" i="1"/>
  <c r="BE183" i="1" s="1"/>
  <c r="AK183" i="1"/>
  <c r="BD183" i="1" s="1"/>
  <c r="AN183" i="1"/>
  <c r="BG183" i="1" s="1"/>
  <c r="AP183" i="1"/>
  <c r="BI183" i="1" s="1"/>
  <c r="AM183" i="1"/>
  <c r="BF183" i="1" s="1"/>
  <c r="AR183" i="1"/>
  <c r="BK183" i="1" s="1"/>
  <c r="AJ183" i="1"/>
  <c r="BC183" i="1" s="1"/>
  <c r="AJ153" i="1"/>
  <c r="BC153" i="1" s="1"/>
  <c r="AL153" i="1"/>
  <c r="BE153" i="1" s="1"/>
  <c r="AN153" i="1"/>
  <c r="BG153" i="1" s="1"/>
  <c r="AK153" i="1"/>
  <c r="BD153" i="1" s="1"/>
  <c r="AQ153" i="1"/>
  <c r="BJ153" i="1" s="1"/>
  <c r="AI153" i="1"/>
  <c r="AO153" i="1"/>
  <c r="BH153" i="1" s="1"/>
  <c r="AP153" i="1"/>
  <c r="BI153" i="1" s="1"/>
  <c r="AM153" i="1"/>
  <c r="BF153" i="1" s="1"/>
  <c r="AR153" i="1"/>
  <c r="BK153" i="1" s="1"/>
  <c r="BM154" i="1"/>
  <c r="BP154" i="1"/>
  <c r="BR154" i="1"/>
  <c r="BT154" i="1"/>
  <c r="BL154" i="1"/>
  <c r="BN154" i="1"/>
  <c r="BO154" i="1"/>
  <c r="BQ154" i="1"/>
  <c r="BS154" i="1"/>
  <c r="BU154" i="1"/>
  <c r="BL221" i="1"/>
  <c r="BM221" i="1"/>
  <c r="BN221" i="1"/>
  <c r="BO221" i="1"/>
  <c r="BP221" i="1"/>
  <c r="BQ221" i="1"/>
  <c r="BR221" i="1"/>
  <c r="BS221" i="1"/>
  <c r="BT221" i="1"/>
  <c r="BU221" i="1"/>
  <c r="BL229" i="1"/>
  <c r="BM229" i="1"/>
  <c r="BN229" i="1"/>
  <c r="BO229" i="1"/>
  <c r="BP229" i="1"/>
  <c r="BQ229" i="1"/>
  <c r="BR229" i="1"/>
  <c r="BS229" i="1"/>
  <c r="BT229" i="1"/>
  <c r="BU229" i="1"/>
  <c r="AJ170" i="1"/>
  <c r="BC170" i="1" s="1"/>
  <c r="AL170" i="1"/>
  <c r="BE170" i="1" s="1"/>
  <c r="AI170" i="1"/>
  <c r="AN170" i="1"/>
  <c r="BG170" i="1" s="1"/>
  <c r="AK170" i="1"/>
  <c r="BD170" i="1" s="1"/>
  <c r="AM170" i="1"/>
  <c r="BF170" i="1" s="1"/>
  <c r="AQ170" i="1"/>
  <c r="BJ170" i="1" s="1"/>
  <c r="AO170" i="1"/>
  <c r="BH170" i="1" s="1"/>
  <c r="AR170" i="1"/>
  <c r="BK170" i="1" s="1"/>
  <c r="AP170" i="1"/>
  <c r="BI170" i="1" s="1"/>
  <c r="BL235" i="1"/>
  <c r="BM235" i="1"/>
  <c r="BN235" i="1"/>
  <c r="BO235" i="1"/>
  <c r="BP235" i="1"/>
  <c r="BQ235" i="1"/>
  <c r="BR235" i="1"/>
  <c r="BS235" i="1"/>
  <c r="BT235" i="1"/>
  <c r="BU235" i="1"/>
  <c r="BL203" i="1"/>
  <c r="BM203" i="1"/>
  <c r="BP203" i="1"/>
  <c r="BR203" i="1"/>
  <c r="BT203" i="1"/>
  <c r="BO203" i="1"/>
  <c r="BQ203" i="1"/>
  <c r="BS203" i="1"/>
  <c r="BU203" i="1"/>
  <c r="BN203" i="1"/>
  <c r="AP189" i="1"/>
  <c r="BI189" i="1" s="1"/>
  <c r="BL218" i="1"/>
  <c r="BM218" i="1"/>
  <c r="BN218" i="1"/>
  <c r="BO218" i="1"/>
  <c r="BP218" i="1"/>
  <c r="BQ218" i="1"/>
  <c r="BR218" i="1"/>
  <c r="BS218" i="1"/>
  <c r="BT218" i="1"/>
  <c r="BU218" i="1"/>
  <c r="BO164" i="1"/>
  <c r="BL164" i="1"/>
  <c r="BP164" i="1"/>
  <c r="BR164" i="1"/>
  <c r="BT164" i="1"/>
  <c r="BN164" i="1"/>
  <c r="BQ164" i="1"/>
  <c r="BS164" i="1"/>
  <c r="BU164" i="1"/>
  <c r="BM164" i="1"/>
  <c r="AJ194" i="1"/>
  <c r="BC194" i="1" s="1"/>
  <c r="AL194" i="1"/>
  <c r="BE194" i="1" s="1"/>
  <c r="AK194" i="1"/>
  <c r="BD194" i="1" s="1"/>
  <c r="AO194" i="1"/>
  <c r="BH194" i="1" s="1"/>
  <c r="AQ194" i="1"/>
  <c r="BJ194" i="1" s="1"/>
  <c r="AN194" i="1"/>
  <c r="BG194" i="1" s="1"/>
  <c r="AM194" i="1"/>
  <c r="BF194" i="1" s="1"/>
  <c r="AI194" i="1"/>
  <c r="AP194" i="1"/>
  <c r="BI194" i="1" s="1"/>
  <c r="AR194" i="1"/>
  <c r="BK194" i="1" s="1"/>
  <c r="BL168" i="1"/>
  <c r="BQ168" i="1"/>
  <c r="BS168" i="1"/>
  <c r="BU168" i="1"/>
  <c r="BM168" i="1"/>
  <c r="BO168" i="1"/>
  <c r="BP168" i="1"/>
  <c r="BR168" i="1"/>
  <c r="BT168" i="1"/>
  <c r="BN168" i="1"/>
  <c r="BN179" i="1"/>
  <c r="BP179" i="1"/>
  <c r="BR179" i="1"/>
  <c r="BT179" i="1"/>
  <c r="BL179" i="1"/>
  <c r="BM179" i="1"/>
  <c r="BO179" i="1"/>
  <c r="BQ179" i="1"/>
  <c r="BS179" i="1"/>
  <c r="BU179" i="1"/>
  <c r="BQ159" i="1"/>
  <c r="BS159" i="1"/>
  <c r="BU159" i="1"/>
  <c r="BM159" i="1"/>
  <c r="BN159" i="1"/>
  <c r="BO159" i="1"/>
  <c r="BP159" i="1"/>
  <c r="BR159" i="1"/>
  <c r="BT159" i="1"/>
  <c r="BL159" i="1"/>
  <c r="BM174" i="1"/>
  <c r="BQ174" i="1"/>
  <c r="BS174" i="1"/>
  <c r="BU174" i="1"/>
  <c r="BO174" i="1"/>
  <c r="BN174" i="1"/>
  <c r="BP174" i="1"/>
  <c r="BR174" i="1"/>
  <c r="BT174" i="1"/>
  <c r="BL174" i="1"/>
  <c r="BL220" i="1"/>
  <c r="BM220" i="1"/>
  <c r="BN220" i="1"/>
  <c r="BO220" i="1"/>
  <c r="BP220" i="1"/>
  <c r="BQ220" i="1"/>
  <c r="BR220" i="1"/>
  <c r="BS220" i="1"/>
  <c r="BT220" i="1"/>
  <c r="BU220" i="1"/>
  <c r="BO198" i="1"/>
  <c r="BQ198" i="1"/>
  <c r="BS198" i="1"/>
  <c r="BU198" i="1"/>
  <c r="BN198" i="1"/>
  <c r="BP198" i="1"/>
  <c r="BR198" i="1"/>
  <c r="BT198" i="1"/>
  <c r="BM198" i="1"/>
  <c r="BL198" i="1"/>
  <c r="BO199" i="1"/>
  <c r="BQ199" i="1"/>
  <c r="BS199" i="1"/>
  <c r="BU199" i="1"/>
  <c r="BN199" i="1"/>
  <c r="BP199" i="1"/>
  <c r="BR199" i="1"/>
  <c r="BT199" i="1"/>
  <c r="BL199" i="1"/>
  <c r="BM199" i="1"/>
  <c r="AP163" i="1"/>
  <c r="BI163" i="1" s="1"/>
  <c r="AR163" i="1"/>
  <c r="BK163" i="1" s="1"/>
  <c r="AJ163" i="1"/>
  <c r="BC163" i="1" s="1"/>
  <c r="AN163" i="1"/>
  <c r="BG163" i="1" s="1"/>
  <c r="AI163" i="1"/>
  <c r="AL163" i="1"/>
  <c r="BE163" i="1" s="1"/>
  <c r="AQ163" i="1"/>
  <c r="BJ163" i="1" s="1"/>
  <c r="AK163" i="1"/>
  <c r="BD163" i="1" s="1"/>
  <c r="AM163" i="1"/>
  <c r="BF163" i="1" s="1"/>
  <c r="AO163" i="1"/>
  <c r="BH163" i="1" s="1"/>
  <c r="AI200" i="1"/>
  <c r="AK200" i="1"/>
  <c r="BD200" i="1" s="1"/>
  <c r="AM200" i="1"/>
  <c r="BF200" i="1" s="1"/>
  <c r="AJ200" i="1"/>
  <c r="BC200" i="1" s="1"/>
  <c r="AO200" i="1"/>
  <c r="BH200" i="1" s="1"/>
  <c r="AQ200" i="1"/>
  <c r="BJ200" i="1" s="1"/>
  <c r="AN200" i="1"/>
  <c r="BG200" i="1" s="1"/>
  <c r="AL200" i="1"/>
  <c r="BE200" i="1" s="1"/>
  <c r="AP200" i="1"/>
  <c r="BI200" i="1" s="1"/>
  <c r="AR200" i="1"/>
  <c r="BK200" i="1" s="1"/>
  <c r="BL232" i="1"/>
  <c r="BM232" i="1"/>
  <c r="BN232" i="1"/>
  <c r="BO232" i="1"/>
  <c r="BP232" i="1"/>
  <c r="BQ232" i="1"/>
  <c r="BR232" i="1"/>
  <c r="BS232" i="1"/>
  <c r="BT232" i="1"/>
  <c r="BU232" i="1"/>
  <c r="BL226" i="1"/>
  <c r="BM226" i="1"/>
  <c r="BN226" i="1"/>
  <c r="BO226" i="1"/>
  <c r="BP226" i="1"/>
  <c r="BQ226" i="1"/>
  <c r="BR226" i="1"/>
  <c r="BS226" i="1"/>
  <c r="BT226" i="1"/>
  <c r="BU226" i="1"/>
  <c r="BN180" i="1"/>
  <c r="BP180" i="1"/>
  <c r="BR180" i="1"/>
  <c r="BT180" i="1"/>
  <c r="BL180" i="1"/>
  <c r="BM180" i="1"/>
  <c r="BO180" i="1"/>
  <c r="BQ180" i="1"/>
  <c r="BS180" i="1"/>
  <c r="BU180" i="1"/>
  <c r="AI160" i="1"/>
  <c r="AK160" i="1"/>
  <c r="BD160" i="1" s="1"/>
  <c r="AM160" i="1"/>
  <c r="BF160" i="1" s="1"/>
  <c r="AJ160" i="1"/>
  <c r="BC160" i="1" s="1"/>
  <c r="AN160" i="1"/>
  <c r="BG160" i="1" s="1"/>
  <c r="AQ160" i="1"/>
  <c r="BJ160" i="1" s="1"/>
  <c r="AL160" i="1"/>
  <c r="BE160" i="1" s="1"/>
  <c r="AO160" i="1"/>
  <c r="BH160" i="1" s="1"/>
  <c r="AP160" i="1"/>
  <c r="BI160" i="1" s="1"/>
  <c r="AR160" i="1"/>
  <c r="BK160" i="1" s="1"/>
  <c r="BP194" i="1"/>
  <c r="BR194" i="1"/>
  <c r="BT194" i="1"/>
  <c r="BM194" i="1"/>
  <c r="BL194" i="1"/>
  <c r="BO194" i="1"/>
  <c r="BQ194" i="1"/>
  <c r="BS194" i="1"/>
  <c r="BU194" i="1"/>
  <c r="BN194" i="1"/>
  <c r="BL227" i="1"/>
  <c r="BM227" i="1"/>
  <c r="BN227" i="1"/>
  <c r="BO227" i="1"/>
  <c r="BP227" i="1"/>
  <c r="BQ227" i="1"/>
  <c r="BR227" i="1"/>
  <c r="BS227" i="1"/>
  <c r="BT227" i="1"/>
  <c r="BU227" i="1"/>
  <c r="BL216" i="1"/>
  <c r="BM216" i="1"/>
  <c r="BN216" i="1"/>
  <c r="BO216" i="1"/>
  <c r="BP216" i="1"/>
  <c r="BQ216" i="1"/>
  <c r="BR216" i="1"/>
  <c r="BS216" i="1"/>
  <c r="BT216" i="1"/>
  <c r="BU216" i="1"/>
  <c r="AL168" i="1"/>
  <c r="BE168" i="1" s="1"/>
  <c r="BM209" i="1"/>
  <c r="BL209" i="1"/>
  <c r="BT209" i="1"/>
  <c r="BN209" i="1"/>
  <c r="BO209" i="1"/>
  <c r="BQ209" i="1"/>
  <c r="BS209" i="1"/>
  <c r="BU209" i="1"/>
  <c r="BP209" i="1"/>
  <c r="BR209" i="1"/>
  <c r="AI173" i="1"/>
  <c r="AK173" i="1"/>
  <c r="BD173" i="1" s="1"/>
  <c r="AM173" i="1"/>
  <c r="BF173" i="1" s="1"/>
  <c r="AO173" i="1"/>
  <c r="BH173" i="1" s="1"/>
  <c r="AL173" i="1"/>
  <c r="BE173" i="1" s="1"/>
  <c r="AN173" i="1"/>
  <c r="BG173" i="1" s="1"/>
  <c r="AP173" i="1"/>
  <c r="BI173" i="1" s="1"/>
  <c r="AR173" i="1"/>
  <c r="BK173" i="1" s="1"/>
  <c r="AJ173" i="1"/>
  <c r="BC173" i="1" s="1"/>
  <c r="AQ173" i="1"/>
  <c r="BJ173" i="1" s="1"/>
  <c r="BM183" i="1"/>
  <c r="BO183" i="1"/>
  <c r="BQ183" i="1"/>
  <c r="BS183" i="1"/>
  <c r="BU183" i="1"/>
  <c r="BN183" i="1"/>
  <c r="BL183" i="1"/>
  <c r="BP183" i="1"/>
  <c r="BR183" i="1"/>
  <c r="BT183" i="1"/>
  <c r="BL163" i="1"/>
  <c r="BP163" i="1"/>
  <c r="BR163" i="1"/>
  <c r="BT163" i="1"/>
  <c r="BN163" i="1"/>
  <c r="BQ163" i="1"/>
  <c r="BS163" i="1"/>
  <c r="BU163" i="1"/>
  <c r="BM163" i="1"/>
  <c r="BO163" i="1"/>
  <c r="BL188" i="1"/>
  <c r="BN188" i="1"/>
  <c r="BP188" i="1"/>
  <c r="BR188" i="1"/>
  <c r="BT188" i="1"/>
  <c r="BM188" i="1"/>
  <c r="BO188" i="1"/>
  <c r="BQ188" i="1"/>
  <c r="BS188" i="1"/>
  <c r="BU188" i="1"/>
  <c r="AK203" i="1"/>
  <c r="BD203" i="1" s="1"/>
  <c r="AP203" i="1"/>
  <c r="BI203" i="1" s="1"/>
  <c r="AR203" i="1"/>
  <c r="BK203" i="1" s="1"/>
  <c r="AJ203" i="1"/>
  <c r="BC203" i="1" s="1"/>
  <c r="AM203" i="1"/>
  <c r="BF203" i="1" s="1"/>
  <c r="AN203" i="1"/>
  <c r="BG203" i="1" s="1"/>
  <c r="AO203" i="1"/>
  <c r="BH203" i="1" s="1"/>
  <c r="AQ203" i="1"/>
  <c r="BJ203" i="1" s="1"/>
  <c r="AI203" i="1"/>
  <c r="AL203" i="1"/>
  <c r="BE203" i="1" s="1"/>
  <c r="BL213" i="1"/>
  <c r="BM213" i="1"/>
  <c r="BN213" i="1"/>
  <c r="BO213" i="1"/>
  <c r="BP213" i="1"/>
  <c r="BQ213" i="1"/>
  <c r="BR213" i="1"/>
  <c r="BS213" i="1"/>
  <c r="BT213" i="1"/>
  <c r="BU213" i="1"/>
  <c r="BL189" i="1"/>
  <c r="BN189" i="1"/>
  <c r="BO189" i="1"/>
  <c r="BP189" i="1"/>
  <c r="BR189" i="1"/>
  <c r="BT189" i="1"/>
  <c r="BQ189" i="1"/>
  <c r="BU189" i="1"/>
  <c r="BM189" i="1"/>
  <c r="BS189" i="1"/>
  <c r="BM225" i="1"/>
  <c r="BU225" i="1"/>
  <c r="BP225" i="1"/>
  <c r="BS225" i="1"/>
  <c r="BN225" i="1"/>
  <c r="BQ225" i="1"/>
  <c r="BL225" i="1"/>
  <c r="BT225" i="1"/>
  <c r="BO225" i="1"/>
  <c r="BR225" i="1"/>
  <c r="BL184" i="1"/>
  <c r="BM184" i="1"/>
  <c r="BO184" i="1"/>
  <c r="BQ184" i="1"/>
  <c r="BS184" i="1"/>
  <c r="BU184" i="1"/>
  <c r="BN184" i="1"/>
  <c r="BP184" i="1"/>
  <c r="BR184" i="1"/>
  <c r="BT184" i="1"/>
  <c r="BR233" i="1"/>
  <c r="BM233" i="1"/>
  <c r="BU233" i="1"/>
  <c r="BP233" i="1"/>
  <c r="BS233" i="1"/>
  <c r="BN233" i="1"/>
  <c r="BQ233" i="1"/>
  <c r="BL233" i="1"/>
  <c r="BT233" i="1"/>
  <c r="BO233" i="1"/>
  <c r="BL219" i="1"/>
  <c r="BM219" i="1"/>
  <c r="BN219" i="1"/>
  <c r="BO219" i="1"/>
  <c r="BP219" i="1"/>
  <c r="BQ219" i="1"/>
  <c r="BR219" i="1"/>
  <c r="BS219" i="1"/>
  <c r="BT219" i="1"/>
  <c r="BU219" i="1"/>
  <c r="BO190" i="1"/>
  <c r="BQ190" i="1"/>
  <c r="BS190" i="1"/>
  <c r="BU190" i="1"/>
  <c r="BL190" i="1"/>
  <c r="BN190" i="1"/>
  <c r="BP190" i="1"/>
  <c r="BR190" i="1"/>
  <c r="BT190" i="1"/>
  <c r="BM190" i="1"/>
  <c r="BM153" i="1"/>
  <c r="BO153" i="1"/>
  <c r="BL153" i="1"/>
  <c r="BN153" i="1"/>
  <c r="BQ153" i="1"/>
  <c r="BS153" i="1"/>
  <c r="BU153" i="1"/>
  <c r="BP153" i="1"/>
  <c r="BR153" i="1"/>
  <c r="BT153" i="1"/>
  <c r="AI174" i="1"/>
  <c r="AK174" i="1"/>
  <c r="BD174" i="1" s="1"/>
  <c r="AJ174" i="1"/>
  <c r="BC174" i="1" s="1"/>
  <c r="AL174" i="1"/>
  <c r="BE174" i="1" s="1"/>
  <c r="AN174" i="1"/>
  <c r="BG174" i="1" s="1"/>
  <c r="AP174" i="1"/>
  <c r="BI174" i="1" s="1"/>
  <c r="AR174" i="1"/>
  <c r="BK174" i="1" s="1"/>
  <c r="AQ174" i="1"/>
  <c r="BJ174" i="1" s="1"/>
  <c r="AM174" i="1"/>
  <c r="BF174" i="1" s="1"/>
  <c r="AO174" i="1"/>
  <c r="BH174" i="1" s="1"/>
  <c r="AJ210" i="1"/>
  <c r="BC210" i="1" s="1"/>
  <c r="AI210" i="1"/>
  <c r="AM210" i="1"/>
  <c r="BF210" i="1" s="1"/>
  <c r="AN210" i="1"/>
  <c r="BG210" i="1" s="1"/>
  <c r="AO210" i="1"/>
  <c r="BH210" i="1" s="1"/>
  <c r="AQ210" i="1"/>
  <c r="BJ210" i="1" s="1"/>
  <c r="AK210" i="1"/>
  <c r="BD210" i="1" s="1"/>
  <c r="AL210" i="1"/>
  <c r="BE210" i="1" s="1"/>
  <c r="AR210" i="1"/>
  <c r="BK210" i="1" s="1"/>
  <c r="AP210" i="1"/>
  <c r="BI210" i="1" s="1"/>
  <c r="BL204" i="1"/>
  <c r="BM204" i="1"/>
  <c r="BP204" i="1"/>
  <c r="BR204" i="1"/>
  <c r="BT204" i="1"/>
  <c r="BO204" i="1"/>
  <c r="BQ204" i="1"/>
  <c r="BS204" i="1"/>
  <c r="BU204" i="1"/>
  <c r="BN204" i="1"/>
  <c r="BL230" i="1"/>
  <c r="BM230" i="1"/>
  <c r="BN230" i="1"/>
  <c r="BO230" i="1"/>
  <c r="BP230" i="1"/>
  <c r="BQ230" i="1"/>
  <c r="BR230" i="1"/>
  <c r="BS230" i="1"/>
  <c r="BT230" i="1"/>
  <c r="BU230" i="1"/>
  <c r="AL158" i="1"/>
  <c r="BE158" i="1" s="1"/>
  <c r="BL215" i="1"/>
  <c r="BM215" i="1"/>
  <c r="BN215" i="1"/>
  <c r="BO215" i="1"/>
  <c r="BP215" i="1"/>
  <c r="BQ215" i="1"/>
  <c r="BR215" i="1"/>
  <c r="BS215" i="1"/>
  <c r="BT215" i="1"/>
  <c r="BU215" i="1"/>
  <c r="AI190" i="1"/>
  <c r="AK190" i="1"/>
  <c r="BD190" i="1" s="1"/>
  <c r="AN190" i="1"/>
  <c r="BG190" i="1" s="1"/>
  <c r="AJ190" i="1"/>
  <c r="BC190" i="1" s="1"/>
  <c r="AM190" i="1"/>
  <c r="BF190" i="1" s="1"/>
  <c r="AP190" i="1"/>
  <c r="BI190" i="1" s="1"/>
  <c r="AR190" i="1"/>
  <c r="BK190" i="1" s="1"/>
  <c r="AL190" i="1"/>
  <c r="BE190" i="1" s="1"/>
  <c r="AQ190" i="1"/>
  <c r="BJ190" i="1" s="1"/>
  <c r="AO190" i="1"/>
  <c r="BH190" i="1" s="1"/>
  <c r="BL224" i="1"/>
  <c r="BM224" i="1"/>
  <c r="BN224" i="1"/>
  <c r="BO224" i="1"/>
  <c r="BP224" i="1"/>
  <c r="BQ224" i="1"/>
  <c r="BR224" i="1"/>
  <c r="BS224" i="1"/>
  <c r="BT224" i="1"/>
  <c r="BU224" i="1"/>
  <c r="AI184" i="1"/>
  <c r="AK184" i="1"/>
  <c r="BD184" i="1" s="1"/>
  <c r="AM184" i="1"/>
  <c r="BF184" i="1" s="1"/>
  <c r="AO184" i="1"/>
  <c r="BH184" i="1" s="1"/>
  <c r="AQ184" i="1"/>
  <c r="BJ184" i="1" s="1"/>
  <c r="AL184" i="1"/>
  <c r="BE184" i="1" s="1"/>
  <c r="AN184" i="1"/>
  <c r="BG184" i="1" s="1"/>
  <c r="AP184" i="1"/>
  <c r="BI184" i="1" s="1"/>
  <c r="AR184" i="1"/>
  <c r="BK184" i="1" s="1"/>
  <c r="AJ184" i="1"/>
  <c r="BC184" i="1" s="1"/>
  <c r="BL173" i="1"/>
  <c r="BN173" i="1"/>
  <c r="BO173" i="1"/>
  <c r="BM173" i="1"/>
  <c r="BQ173" i="1"/>
  <c r="BP173" i="1"/>
  <c r="BR173" i="1"/>
  <c r="BT173" i="1"/>
  <c r="BS173" i="1"/>
  <c r="BU173" i="1"/>
  <c r="BN88" i="1"/>
  <c r="BR88" i="1"/>
  <c r="BM88" i="1"/>
  <c r="BQ88" i="1"/>
  <c r="BU88" i="1"/>
  <c r="BL88" i="1"/>
  <c r="BP88" i="1"/>
  <c r="BT88" i="1"/>
  <c r="BO88" i="1"/>
  <c r="BS88" i="1"/>
  <c r="AI85" i="1"/>
  <c r="AM85" i="1"/>
  <c r="BF85" i="1" s="1"/>
  <c r="AQ85" i="1"/>
  <c r="BJ85" i="1" s="1"/>
  <c r="AJ85" i="1"/>
  <c r="BC85" i="1" s="1"/>
  <c r="AN85" i="1"/>
  <c r="BG85" i="1" s="1"/>
  <c r="AL85" i="1"/>
  <c r="BE85" i="1" s="1"/>
  <c r="AK85" i="1"/>
  <c r="BD85" i="1" s="1"/>
  <c r="AR85" i="1"/>
  <c r="BK85" i="1" s="1"/>
  <c r="AP85" i="1"/>
  <c r="BI85" i="1" s="1"/>
  <c r="AO85" i="1"/>
  <c r="BH85" i="1" s="1"/>
  <c r="AL75" i="1"/>
  <c r="BE75" i="1" s="1"/>
  <c r="AP75" i="1"/>
  <c r="BI75" i="1" s="1"/>
  <c r="AI75" i="1"/>
  <c r="AJ75" i="1"/>
  <c r="BC75" i="1" s="1"/>
  <c r="AK75" i="1"/>
  <c r="BD75" i="1" s="1"/>
  <c r="AM75" i="1"/>
  <c r="BF75" i="1" s="1"/>
  <c r="AN75" i="1"/>
  <c r="BG75" i="1" s="1"/>
  <c r="AO75" i="1"/>
  <c r="BH75" i="1" s="1"/>
  <c r="AQ75" i="1"/>
  <c r="BJ75" i="1" s="1"/>
  <c r="AR75" i="1"/>
  <c r="BK75" i="1" s="1"/>
  <c r="AI132" i="1"/>
  <c r="AM132" i="1"/>
  <c r="BF132" i="1" s="1"/>
  <c r="AL132" i="1"/>
  <c r="BE132" i="1" s="1"/>
  <c r="AQ132" i="1"/>
  <c r="BJ132" i="1" s="1"/>
  <c r="AJ132" i="1"/>
  <c r="BC132" i="1" s="1"/>
  <c r="AP132" i="1"/>
  <c r="BI132" i="1" s="1"/>
  <c r="AO132" i="1"/>
  <c r="BH132" i="1" s="1"/>
  <c r="AR132" i="1"/>
  <c r="BK132" i="1" s="1"/>
  <c r="AN132" i="1"/>
  <c r="BG132" i="1" s="1"/>
  <c r="AK132" i="1"/>
  <c r="BD132" i="1" s="1"/>
  <c r="BL132" i="1"/>
  <c r="BP132" i="1"/>
  <c r="BT132" i="1"/>
  <c r="BO132" i="1"/>
  <c r="BS132" i="1"/>
  <c r="BN132" i="1"/>
  <c r="BR132" i="1"/>
  <c r="BU132" i="1"/>
  <c r="BQ132" i="1"/>
  <c r="BM132" i="1"/>
  <c r="BO89" i="1"/>
  <c r="BS89" i="1"/>
  <c r="BN89" i="1"/>
  <c r="BR89" i="1"/>
  <c r="BM89" i="1"/>
  <c r="BQ89" i="1"/>
  <c r="BU89" i="1"/>
  <c r="BT89" i="1"/>
  <c r="BP89" i="1"/>
  <c r="BL89" i="1"/>
  <c r="BO114" i="1"/>
  <c r="BS114" i="1"/>
  <c r="BN114" i="1"/>
  <c r="BR114" i="1"/>
  <c r="BM114" i="1"/>
  <c r="BQ114" i="1"/>
  <c r="BU114" i="1"/>
  <c r="BT114" i="1"/>
  <c r="BP114" i="1"/>
  <c r="BL114" i="1"/>
  <c r="AI116" i="1"/>
  <c r="AM116" i="1"/>
  <c r="BF116" i="1" s="1"/>
  <c r="AL116" i="1"/>
  <c r="BE116" i="1" s="1"/>
  <c r="AP116" i="1"/>
  <c r="BI116" i="1" s="1"/>
  <c r="AQ116" i="1"/>
  <c r="BJ116" i="1" s="1"/>
  <c r="AK116" i="1"/>
  <c r="BD116" i="1" s="1"/>
  <c r="AR116" i="1"/>
  <c r="BK116" i="1" s="1"/>
  <c r="AJ116" i="1"/>
  <c r="BC116" i="1" s="1"/>
  <c r="AO116" i="1"/>
  <c r="BH116" i="1" s="1"/>
  <c r="AN116" i="1"/>
  <c r="BG116" i="1" s="1"/>
  <c r="AK129" i="1"/>
  <c r="BD129" i="1" s="1"/>
  <c r="AO129" i="1"/>
  <c r="BH129" i="1" s="1"/>
  <c r="AI129" i="1"/>
  <c r="AJ129" i="1"/>
  <c r="BC129" i="1" s="1"/>
  <c r="AR129" i="1"/>
  <c r="BK129" i="1" s="1"/>
  <c r="AP129" i="1"/>
  <c r="BI129" i="1" s="1"/>
  <c r="AQ129" i="1"/>
  <c r="BJ129" i="1" s="1"/>
  <c r="AN129" i="1"/>
  <c r="BG129" i="1" s="1"/>
  <c r="AM129" i="1"/>
  <c r="BF129" i="1" s="1"/>
  <c r="AL129" i="1"/>
  <c r="BE129" i="1" s="1"/>
  <c r="AL90" i="1"/>
  <c r="BE90" i="1" s="1"/>
  <c r="AP90" i="1"/>
  <c r="BI90" i="1" s="1"/>
  <c r="AK90" i="1"/>
  <c r="BD90" i="1" s="1"/>
  <c r="AO90" i="1"/>
  <c r="BH90" i="1" s="1"/>
  <c r="AI90" i="1"/>
  <c r="AJ90" i="1"/>
  <c r="BC90" i="1" s="1"/>
  <c r="AQ90" i="1"/>
  <c r="BJ90" i="1" s="1"/>
  <c r="AR90" i="1"/>
  <c r="BK90" i="1" s="1"/>
  <c r="AN90" i="1"/>
  <c r="BG90" i="1" s="1"/>
  <c r="AM90" i="1"/>
  <c r="BF90" i="1" s="1"/>
  <c r="AK89" i="1"/>
  <c r="BD89" i="1" s="1"/>
  <c r="AO89" i="1"/>
  <c r="BH89" i="1" s="1"/>
  <c r="AI89" i="1"/>
  <c r="AJ89" i="1"/>
  <c r="BC89" i="1" s="1"/>
  <c r="AL89" i="1"/>
  <c r="BE89" i="1" s="1"/>
  <c r="AM89" i="1"/>
  <c r="BF89" i="1" s="1"/>
  <c r="AN89" i="1"/>
  <c r="BG89" i="1" s="1"/>
  <c r="AR89" i="1"/>
  <c r="BK89" i="1" s="1"/>
  <c r="AP89" i="1"/>
  <c r="BI89" i="1" s="1"/>
  <c r="AQ89" i="1"/>
  <c r="BJ89" i="1" s="1"/>
  <c r="BL91" i="1"/>
  <c r="BP91" i="1"/>
  <c r="BT91" i="1"/>
  <c r="BO91" i="1"/>
  <c r="BS91" i="1"/>
  <c r="BN91" i="1"/>
  <c r="BR91" i="1"/>
  <c r="BQ91" i="1"/>
  <c r="BM91" i="1"/>
  <c r="BU91" i="1"/>
  <c r="BM101" i="1"/>
  <c r="BQ101" i="1"/>
  <c r="BU101" i="1"/>
  <c r="BL101" i="1"/>
  <c r="BP101" i="1"/>
  <c r="BT101" i="1"/>
  <c r="BO101" i="1"/>
  <c r="BS101" i="1"/>
  <c r="BN101" i="1"/>
  <c r="BR101" i="1"/>
  <c r="BM117" i="1"/>
  <c r="BQ117" i="1"/>
  <c r="BU117" i="1"/>
  <c r="BL117" i="1"/>
  <c r="BP117" i="1"/>
  <c r="BT117" i="1"/>
  <c r="BO117" i="1"/>
  <c r="BS117" i="1"/>
  <c r="BR117" i="1"/>
  <c r="BN117" i="1"/>
  <c r="AQ81" i="1"/>
  <c r="BJ81" i="1" s="1"/>
  <c r="BM133" i="1"/>
  <c r="BQ133" i="1"/>
  <c r="BU133" i="1"/>
  <c r="BL133" i="1"/>
  <c r="BP133" i="1"/>
  <c r="BT133" i="1"/>
  <c r="BO133" i="1"/>
  <c r="BS133" i="1"/>
  <c r="BN133" i="1"/>
  <c r="BR133" i="1"/>
  <c r="AI117" i="1"/>
  <c r="AM117" i="1"/>
  <c r="BF117" i="1" s="1"/>
  <c r="AQ117" i="1"/>
  <c r="BJ117" i="1" s="1"/>
  <c r="AJ117" i="1"/>
  <c r="BC117" i="1" s="1"/>
  <c r="AK117" i="1"/>
  <c r="BD117" i="1" s="1"/>
  <c r="AL117" i="1"/>
  <c r="BE117" i="1" s="1"/>
  <c r="AP117" i="1"/>
  <c r="BI117" i="1" s="1"/>
  <c r="AR117" i="1"/>
  <c r="BK117" i="1" s="1"/>
  <c r="AO117" i="1"/>
  <c r="BH117" i="1" s="1"/>
  <c r="AN117" i="1"/>
  <c r="BG117" i="1" s="1"/>
  <c r="BM118" i="1"/>
  <c r="BQ118" i="1"/>
  <c r="BU118" i="1"/>
  <c r="BL118" i="1"/>
  <c r="BP118" i="1"/>
  <c r="BT118" i="1"/>
  <c r="BO118" i="1"/>
  <c r="BS118" i="1"/>
  <c r="BR118" i="1"/>
  <c r="BN118" i="1"/>
  <c r="BM141" i="1"/>
  <c r="BQ141" i="1"/>
  <c r="BU141" i="1"/>
  <c r="BL141" i="1"/>
  <c r="BP141" i="1"/>
  <c r="BT141" i="1"/>
  <c r="BO141" i="1"/>
  <c r="BS141" i="1"/>
  <c r="BR141" i="1"/>
  <c r="BN141" i="1"/>
  <c r="AL106" i="1"/>
  <c r="BE106" i="1" s="1"/>
  <c r="AP106" i="1"/>
  <c r="BI106" i="1" s="1"/>
  <c r="AK106" i="1"/>
  <c r="BD106" i="1" s="1"/>
  <c r="AO106" i="1"/>
  <c r="BH106" i="1" s="1"/>
  <c r="AI106" i="1"/>
  <c r="AJ106" i="1"/>
  <c r="BC106" i="1" s="1"/>
  <c r="AN106" i="1"/>
  <c r="BG106" i="1" s="1"/>
  <c r="AQ106" i="1"/>
  <c r="BJ106" i="1" s="1"/>
  <c r="AR106" i="1"/>
  <c r="BK106" i="1" s="1"/>
  <c r="AM106" i="1"/>
  <c r="BF106" i="1" s="1"/>
  <c r="BO137" i="1"/>
  <c r="BS137" i="1"/>
  <c r="BN137" i="1"/>
  <c r="BR137" i="1"/>
  <c r="BM137" i="1"/>
  <c r="BQ137" i="1"/>
  <c r="BU137" i="1"/>
  <c r="BP137" i="1"/>
  <c r="BL137" i="1"/>
  <c r="BT137" i="1"/>
  <c r="BM102" i="1"/>
  <c r="BQ102" i="1"/>
  <c r="BU102" i="1"/>
  <c r="BL102" i="1"/>
  <c r="BP102" i="1"/>
  <c r="BT102" i="1"/>
  <c r="BO102" i="1"/>
  <c r="BS102" i="1"/>
  <c r="BN102" i="1"/>
  <c r="BR102" i="1"/>
  <c r="AJ142" i="1"/>
  <c r="BC142" i="1" s="1"/>
  <c r="AN142" i="1"/>
  <c r="BG142" i="1" s="1"/>
  <c r="AI142" i="1"/>
  <c r="AM142" i="1"/>
  <c r="BF142" i="1" s="1"/>
  <c r="AR142" i="1"/>
  <c r="BK142" i="1" s="1"/>
  <c r="AK142" i="1"/>
  <c r="BD142" i="1" s="1"/>
  <c r="AL142" i="1"/>
  <c r="BE142" i="1" s="1"/>
  <c r="AQ142" i="1"/>
  <c r="BJ142" i="1" s="1"/>
  <c r="AO142" i="1"/>
  <c r="BH142" i="1" s="1"/>
  <c r="AP142" i="1"/>
  <c r="BI142" i="1" s="1"/>
  <c r="BN79" i="1"/>
  <c r="BR79" i="1"/>
  <c r="BM79" i="1"/>
  <c r="BQ79" i="1"/>
  <c r="BU79" i="1"/>
  <c r="BL79" i="1"/>
  <c r="BP79" i="1"/>
  <c r="BT79" i="1"/>
  <c r="BS79" i="1"/>
  <c r="BO79" i="1"/>
  <c r="BL92" i="1"/>
  <c r="BP92" i="1"/>
  <c r="BT92" i="1"/>
  <c r="BO92" i="1"/>
  <c r="BS92" i="1"/>
  <c r="BN92" i="1"/>
  <c r="BR92" i="1"/>
  <c r="BQ92" i="1"/>
  <c r="BM92" i="1"/>
  <c r="BU92" i="1"/>
  <c r="AN124" i="1"/>
  <c r="BG124" i="1" s="1"/>
  <c r="AO124" i="1"/>
  <c r="BH124" i="1" s="1"/>
  <c r="AJ124" i="1"/>
  <c r="BC124" i="1" s="1"/>
  <c r="BL140" i="1"/>
  <c r="BP140" i="1"/>
  <c r="BT140" i="1"/>
  <c r="BO140" i="1"/>
  <c r="BS140" i="1"/>
  <c r="BN140" i="1"/>
  <c r="BR140" i="1"/>
  <c r="BU140" i="1"/>
  <c r="BM140" i="1"/>
  <c r="BQ140" i="1"/>
  <c r="BL75" i="1"/>
  <c r="BP75" i="1"/>
  <c r="BT75" i="1"/>
  <c r="BO75" i="1"/>
  <c r="BS75" i="1"/>
  <c r="BN75" i="1"/>
  <c r="BR75" i="1"/>
  <c r="BU75" i="1"/>
  <c r="BQ75" i="1"/>
  <c r="BM75" i="1"/>
  <c r="BL76" i="1"/>
  <c r="BP76" i="1"/>
  <c r="BT76" i="1"/>
  <c r="BO76" i="1"/>
  <c r="BS76" i="1"/>
  <c r="BN76" i="1"/>
  <c r="BR76" i="1"/>
  <c r="BU76" i="1"/>
  <c r="BQ76" i="1"/>
  <c r="BM76" i="1"/>
  <c r="BO81" i="1"/>
  <c r="BS81" i="1"/>
  <c r="BN81" i="1"/>
  <c r="BR81" i="1"/>
  <c r="BM81" i="1"/>
  <c r="BQ81" i="1"/>
  <c r="BU81" i="1"/>
  <c r="BT81" i="1"/>
  <c r="BP81" i="1"/>
  <c r="BL81" i="1"/>
  <c r="BL115" i="1"/>
  <c r="BP115" i="1"/>
  <c r="BT115" i="1"/>
  <c r="BO115" i="1"/>
  <c r="BS115" i="1"/>
  <c r="BN115" i="1"/>
  <c r="BR115" i="1"/>
  <c r="BM115" i="1"/>
  <c r="BU115" i="1"/>
  <c r="BQ115" i="1"/>
  <c r="BM94" i="1"/>
  <c r="BQ94" i="1"/>
  <c r="BU94" i="1"/>
  <c r="BL94" i="1"/>
  <c r="BP94" i="1"/>
  <c r="BT94" i="1"/>
  <c r="BO94" i="1"/>
  <c r="BS94" i="1"/>
  <c r="BR94" i="1"/>
  <c r="BN94" i="1"/>
  <c r="AK128" i="1"/>
  <c r="BD128" i="1" s="1"/>
  <c r="AO128" i="1"/>
  <c r="BH128" i="1" s="1"/>
  <c r="AJ128" i="1"/>
  <c r="BC128" i="1" s="1"/>
  <c r="AN128" i="1"/>
  <c r="BG128" i="1" s="1"/>
  <c r="AI128" i="1"/>
  <c r="AL128" i="1"/>
  <c r="BE128" i="1" s="1"/>
  <c r="AM128" i="1"/>
  <c r="BF128" i="1" s="1"/>
  <c r="AR128" i="1"/>
  <c r="BK128" i="1" s="1"/>
  <c r="AQ128" i="1"/>
  <c r="BJ128" i="1" s="1"/>
  <c r="AP128" i="1"/>
  <c r="BI128" i="1" s="1"/>
  <c r="BN144" i="1"/>
  <c r="BR144" i="1"/>
  <c r="BM144" i="1"/>
  <c r="BQ144" i="1"/>
  <c r="BU144" i="1"/>
  <c r="BL144" i="1"/>
  <c r="BP144" i="1"/>
  <c r="BT144" i="1"/>
  <c r="BO144" i="1"/>
  <c r="BS144" i="1"/>
  <c r="BL107" i="1"/>
  <c r="BP107" i="1"/>
  <c r="BT107" i="1"/>
  <c r="BO107" i="1"/>
  <c r="BS107" i="1"/>
  <c r="BN107" i="1"/>
  <c r="BR107" i="1"/>
  <c r="BU107" i="1"/>
  <c r="BQ107" i="1"/>
  <c r="BM107" i="1"/>
  <c r="AK145" i="1"/>
  <c r="BD145" i="1" s="1"/>
  <c r="AO145" i="1"/>
  <c r="BH145" i="1" s="1"/>
  <c r="AI145" i="1"/>
  <c r="AJ145" i="1"/>
  <c r="BC145" i="1" s="1"/>
  <c r="AR145" i="1"/>
  <c r="BK145" i="1" s="1"/>
  <c r="AN145" i="1"/>
  <c r="BG145" i="1" s="1"/>
  <c r="AM145" i="1"/>
  <c r="BF145" i="1" s="1"/>
  <c r="AP145" i="1"/>
  <c r="BI145" i="1" s="1"/>
  <c r="AQ145" i="1"/>
  <c r="BJ145" i="1" s="1"/>
  <c r="AL145" i="1"/>
  <c r="BE145" i="1" s="1"/>
  <c r="AK80" i="1"/>
  <c r="BD80" i="1" s="1"/>
  <c r="AO80" i="1"/>
  <c r="BH80" i="1" s="1"/>
  <c r="AJ80" i="1"/>
  <c r="BC80" i="1" s="1"/>
  <c r="AN80" i="1"/>
  <c r="BG80" i="1" s="1"/>
  <c r="AP80" i="1"/>
  <c r="BI80" i="1" s="1"/>
  <c r="AM80" i="1"/>
  <c r="BF80" i="1" s="1"/>
  <c r="AQ80" i="1"/>
  <c r="BJ80" i="1" s="1"/>
  <c r="AL80" i="1"/>
  <c r="BE80" i="1" s="1"/>
  <c r="AR80" i="1"/>
  <c r="BK80" i="1" s="1"/>
  <c r="AI80" i="1"/>
  <c r="BM142" i="1"/>
  <c r="BQ142" i="1"/>
  <c r="BU142" i="1"/>
  <c r="BL142" i="1"/>
  <c r="BP142" i="1"/>
  <c r="BT142" i="1"/>
  <c r="BO142" i="1"/>
  <c r="BS142" i="1"/>
  <c r="BR142" i="1"/>
  <c r="BN142" i="1"/>
  <c r="AI93" i="1"/>
  <c r="AM93" i="1"/>
  <c r="BF93" i="1" s="1"/>
  <c r="AQ93" i="1"/>
  <c r="BJ93" i="1" s="1"/>
  <c r="AK93" i="1"/>
  <c r="BD93" i="1" s="1"/>
  <c r="AP93" i="1"/>
  <c r="BI93" i="1" s="1"/>
  <c r="AJ93" i="1"/>
  <c r="BC93" i="1" s="1"/>
  <c r="AO93" i="1"/>
  <c r="BH93" i="1" s="1"/>
  <c r="AR93" i="1"/>
  <c r="BK93" i="1" s="1"/>
  <c r="AL93" i="1"/>
  <c r="BE93" i="1" s="1"/>
  <c r="AN93" i="1"/>
  <c r="BG93" i="1" s="1"/>
  <c r="AI101" i="1"/>
  <c r="AM101" i="1"/>
  <c r="BF101" i="1" s="1"/>
  <c r="AJ101" i="1"/>
  <c r="BC101" i="1" s="1"/>
  <c r="AK101" i="1"/>
  <c r="BD101" i="1" s="1"/>
  <c r="AL101" i="1"/>
  <c r="BE101" i="1" s="1"/>
  <c r="AQ101" i="1"/>
  <c r="BJ101" i="1" s="1"/>
  <c r="AR101" i="1"/>
  <c r="BK101" i="1" s="1"/>
  <c r="AP101" i="1"/>
  <c r="BI101" i="1" s="1"/>
  <c r="AO101" i="1"/>
  <c r="BH101" i="1" s="1"/>
  <c r="AN101" i="1"/>
  <c r="BG101" i="1" s="1"/>
  <c r="BM150" i="1"/>
  <c r="BQ150" i="1"/>
  <c r="BU150" i="1"/>
  <c r="BL150" i="1"/>
  <c r="BP150" i="1"/>
  <c r="BT150" i="1"/>
  <c r="BO150" i="1"/>
  <c r="BS150" i="1"/>
  <c r="BR150" i="1"/>
  <c r="BN150" i="1"/>
  <c r="AJ103" i="1"/>
  <c r="BC103" i="1" s="1"/>
  <c r="AN103" i="1"/>
  <c r="BG103" i="1" s="1"/>
  <c r="AI103" i="1"/>
  <c r="AR103" i="1"/>
  <c r="BK103" i="1" s="1"/>
  <c r="AK103" i="1"/>
  <c r="BD103" i="1" s="1"/>
  <c r="AL103" i="1"/>
  <c r="BE103" i="1" s="1"/>
  <c r="AM103" i="1"/>
  <c r="BF103" i="1" s="1"/>
  <c r="AQ103" i="1"/>
  <c r="BJ103" i="1" s="1"/>
  <c r="AP103" i="1"/>
  <c r="BI103" i="1" s="1"/>
  <c r="AO103" i="1"/>
  <c r="BH103" i="1" s="1"/>
  <c r="AJ88" i="1"/>
  <c r="BC88" i="1" s="1"/>
  <c r="AN88" i="1"/>
  <c r="BG88" i="1" s="1"/>
  <c r="BO106" i="1"/>
  <c r="BS106" i="1"/>
  <c r="BN106" i="1"/>
  <c r="BR106" i="1"/>
  <c r="BM106" i="1"/>
  <c r="BQ106" i="1"/>
  <c r="BU106" i="1"/>
  <c r="BP106" i="1"/>
  <c r="BL106" i="1"/>
  <c r="BT106" i="1"/>
  <c r="BN103" i="1"/>
  <c r="BR103" i="1"/>
  <c r="BM103" i="1"/>
  <c r="BQ103" i="1"/>
  <c r="BU103" i="1"/>
  <c r="BL103" i="1"/>
  <c r="BP103" i="1"/>
  <c r="BT103" i="1"/>
  <c r="BS103" i="1"/>
  <c r="BO103" i="1"/>
  <c r="BO129" i="1"/>
  <c r="BS129" i="1"/>
  <c r="BN129" i="1"/>
  <c r="BR129" i="1"/>
  <c r="BM129" i="1"/>
  <c r="BQ129" i="1"/>
  <c r="BU129" i="1"/>
  <c r="BL129" i="1"/>
  <c r="BT129" i="1"/>
  <c r="BP129" i="1"/>
  <c r="AN133" i="1"/>
  <c r="BG133" i="1" s="1"/>
  <c r="AO133" i="1"/>
  <c r="BH133" i="1" s="1"/>
  <c r="BO145" i="1"/>
  <c r="BS145" i="1"/>
  <c r="BN145" i="1"/>
  <c r="BR145" i="1"/>
  <c r="BM145" i="1"/>
  <c r="BQ145" i="1"/>
  <c r="BU145" i="1"/>
  <c r="BT145" i="1"/>
  <c r="BP145" i="1"/>
  <c r="BL145" i="1"/>
  <c r="AK104" i="1"/>
  <c r="BD104" i="1" s="1"/>
  <c r="AO104" i="1"/>
  <c r="BH104" i="1" s="1"/>
  <c r="AJ104" i="1"/>
  <c r="BC104" i="1" s="1"/>
  <c r="AN104" i="1"/>
  <c r="BG104" i="1" s="1"/>
  <c r="AI104" i="1"/>
  <c r="AQ104" i="1"/>
  <c r="BJ104" i="1" s="1"/>
  <c r="AM104" i="1"/>
  <c r="BF104" i="1" s="1"/>
  <c r="AR104" i="1"/>
  <c r="BK104" i="1" s="1"/>
  <c r="AL104" i="1"/>
  <c r="BE104" i="1" s="1"/>
  <c r="AP104" i="1"/>
  <c r="BI104" i="1" s="1"/>
  <c r="BN104" i="1"/>
  <c r="BR104" i="1"/>
  <c r="BM104" i="1"/>
  <c r="BQ104" i="1"/>
  <c r="BU104" i="1"/>
  <c r="BL104" i="1"/>
  <c r="BP104" i="1"/>
  <c r="BT104" i="1"/>
  <c r="BS104" i="1"/>
  <c r="BO104" i="1"/>
  <c r="AI146" i="1"/>
  <c r="AJ143" i="1"/>
  <c r="BC143" i="1" s="1"/>
  <c r="AN143" i="1"/>
  <c r="BG143" i="1" s="1"/>
  <c r="AI143" i="1"/>
  <c r="AR143" i="1"/>
  <c r="BK143" i="1" s="1"/>
  <c r="AQ143" i="1"/>
  <c r="BJ143" i="1" s="1"/>
  <c r="AM143" i="1"/>
  <c r="BF143" i="1" s="1"/>
  <c r="AP143" i="1"/>
  <c r="BI143" i="1" s="1"/>
  <c r="AL143" i="1"/>
  <c r="BE143" i="1" s="1"/>
  <c r="AK143" i="1"/>
  <c r="BD143" i="1" s="1"/>
  <c r="AO143" i="1"/>
  <c r="BH143" i="1" s="1"/>
  <c r="BN120" i="1"/>
  <c r="BR120" i="1"/>
  <c r="BM120" i="1"/>
  <c r="BQ120" i="1"/>
  <c r="BU120" i="1"/>
  <c r="BL120" i="1"/>
  <c r="BP120" i="1"/>
  <c r="BT120" i="1"/>
  <c r="BO120" i="1"/>
  <c r="BS120" i="1"/>
  <c r="BN128" i="1"/>
  <c r="BR128" i="1"/>
  <c r="BM128" i="1"/>
  <c r="BQ128" i="1"/>
  <c r="BU128" i="1"/>
  <c r="BL128" i="1"/>
  <c r="BP128" i="1"/>
  <c r="BT128" i="1"/>
  <c r="BS128" i="1"/>
  <c r="BO128" i="1"/>
  <c r="AL115" i="1"/>
  <c r="BE115" i="1" s="1"/>
  <c r="AP115" i="1"/>
  <c r="BI115" i="1" s="1"/>
  <c r="AI115" i="1"/>
  <c r="AJ115" i="1"/>
  <c r="BC115" i="1" s="1"/>
  <c r="AK115" i="1"/>
  <c r="BD115" i="1" s="1"/>
  <c r="AQ115" i="1"/>
  <c r="BJ115" i="1" s="1"/>
  <c r="AR115" i="1"/>
  <c r="BK115" i="1" s="1"/>
  <c r="AO115" i="1"/>
  <c r="BH115" i="1" s="1"/>
  <c r="AN115" i="1"/>
  <c r="BG115" i="1" s="1"/>
  <c r="AM115" i="1"/>
  <c r="BF115" i="1" s="1"/>
  <c r="BO98" i="1"/>
  <c r="BS98" i="1"/>
  <c r="BN98" i="1"/>
  <c r="BR98" i="1"/>
  <c r="BM98" i="1"/>
  <c r="BQ98" i="1"/>
  <c r="BU98" i="1"/>
  <c r="BL98" i="1"/>
  <c r="BT98" i="1"/>
  <c r="BP98" i="1"/>
  <c r="AJ119" i="1"/>
  <c r="BC119" i="1" s="1"/>
  <c r="AN119" i="1"/>
  <c r="BG119" i="1" s="1"/>
  <c r="AO119" i="1"/>
  <c r="BH119" i="1" s="1"/>
  <c r="AP119" i="1"/>
  <c r="BI119" i="1" s="1"/>
  <c r="AR119" i="1"/>
  <c r="BK119" i="1" s="1"/>
  <c r="AQ119" i="1"/>
  <c r="BJ119" i="1" s="1"/>
  <c r="AL119" i="1"/>
  <c r="BE119" i="1" s="1"/>
  <c r="AK119" i="1"/>
  <c r="BD119" i="1" s="1"/>
  <c r="AM119" i="1"/>
  <c r="BF119" i="1" s="1"/>
  <c r="AI119" i="1"/>
  <c r="AJ78" i="1"/>
  <c r="BC78" i="1" s="1"/>
  <c r="AN78" i="1"/>
  <c r="BG78" i="1" s="1"/>
  <c r="AI78" i="1"/>
  <c r="AM78" i="1"/>
  <c r="BF78" i="1" s="1"/>
  <c r="AR78" i="1"/>
  <c r="BK78" i="1" s="1"/>
  <c r="AK78" i="1"/>
  <c r="BD78" i="1" s="1"/>
  <c r="AL78" i="1"/>
  <c r="BE78" i="1" s="1"/>
  <c r="AQ78" i="1"/>
  <c r="BJ78" i="1" s="1"/>
  <c r="AP78" i="1"/>
  <c r="BI78" i="1" s="1"/>
  <c r="AO78" i="1"/>
  <c r="BH78" i="1" s="1"/>
  <c r="BM77" i="1"/>
  <c r="BQ77" i="1"/>
  <c r="BU77" i="1"/>
  <c r="BL77" i="1"/>
  <c r="BP77" i="1"/>
  <c r="BT77" i="1"/>
  <c r="BO77" i="1"/>
  <c r="BS77" i="1"/>
  <c r="BR77" i="1"/>
  <c r="BN77" i="1"/>
  <c r="BN119" i="1"/>
  <c r="BR119" i="1"/>
  <c r="BM119" i="1"/>
  <c r="BQ119" i="1"/>
  <c r="BU119" i="1"/>
  <c r="BL119" i="1"/>
  <c r="BP119" i="1"/>
  <c r="BT119" i="1"/>
  <c r="BO119" i="1"/>
  <c r="BS119" i="1"/>
  <c r="AM140" i="1"/>
  <c r="BF140" i="1" s="1"/>
  <c r="BM85" i="1"/>
  <c r="BQ85" i="1"/>
  <c r="BU85" i="1"/>
  <c r="BL85" i="1"/>
  <c r="BP85" i="1"/>
  <c r="BT85" i="1"/>
  <c r="BO85" i="1"/>
  <c r="BS85" i="1"/>
  <c r="BR85" i="1"/>
  <c r="BN85" i="1"/>
  <c r="AI141" i="1"/>
  <c r="AM141" i="1"/>
  <c r="BF141" i="1" s="1"/>
  <c r="AQ141" i="1"/>
  <c r="BJ141" i="1" s="1"/>
  <c r="AP141" i="1"/>
  <c r="BI141" i="1" s="1"/>
  <c r="AL141" i="1"/>
  <c r="BE141" i="1" s="1"/>
  <c r="AR141" i="1"/>
  <c r="BK141" i="1" s="1"/>
  <c r="AK141" i="1"/>
  <c r="BD141" i="1" s="1"/>
  <c r="AJ141" i="1"/>
  <c r="BC141" i="1" s="1"/>
  <c r="AN141" i="1"/>
  <c r="BG141" i="1" s="1"/>
  <c r="AO141" i="1"/>
  <c r="BH141" i="1" s="1"/>
  <c r="BO90" i="1"/>
  <c r="BS90" i="1"/>
  <c r="BN90" i="1"/>
  <c r="BR90" i="1"/>
  <c r="BM90" i="1"/>
  <c r="BQ90" i="1"/>
  <c r="BU90" i="1"/>
  <c r="BT90" i="1"/>
  <c r="BL90" i="1"/>
  <c r="BP90" i="1"/>
  <c r="BN127" i="1"/>
  <c r="BR127" i="1"/>
  <c r="BM127" i="1"/>
  <c r="BQ127" i="1"/>
  <c r="BU127" i="1"/>
  <c r="BL127" i="1"/>
  <c r="BP127" i="1"/>
  <c r="BT127" i="1"/>
  <c r="BS127" i="1"/>
  <c r="BO127" i="1"/>
  <c r="AP107" i="1"/>
  <c r="BI107" i="1" s="1"/>
  <c r="AR107" i="1"/>
  <c r="BK107" i="1" s="1"/>
  <c r="AJ107" i="1"/>
  <c r="BC107" i="1" s="1"/>
  <c r="BN80" i="1"/>
  <c r="BR80" i="1"/>
  <c r="BM80" i="1"/>
  <c r="BQ80" i="1"/>
  <c r="BU80" i="1"/>
  <c r="BL80" i="1"/>
  <c r="BP80" i="1"/>
  <c r="BT80" i="1"/>
  <c r="BO80" i="1"/>
  <c r="BS80" i="1"/>
  <c r="BL124" i="1"/>
  <c r="BP124" i="1"/>
  <c r="BT124" i="1"/>
  <c r="BO124" i="1"/>
  <c r="BS124" i="1"/>
  <c r="BN124" i="1"/>
  <c r="BR124" i="1"/>
  <c r="BQ124" i="1"/>
  <c r="BM124" i="1"/>
  <c r="BU124" i="1"/>
  <c r="AL91" i="1"/>
  <c r="BE91" i="1" s="1"/>
  <c r="AP91" i="1"/>
  <c r="BI91" i="1" s="1"/>
  <c r="AJ91" i="1"/>
  <c r="BC91" i="1" s="1"/>
  <c r="AO91" i="1"/>
  <c r="BH91" i="1" s="1"/>
  <c r="AQ91" i="1"/>
  <c r="BJ91" i="1" s="1"/>
  <c r="AR91" i="1"/>
  <c r="BK91" i="1" s="1"/>
  <c r="AI91" i="1"/>
  <c r="AN91" i="1"/>
  <c r="BG91" i="1" s="1"/>
  <c r="AM91" i="1"/>
  <c r="BF91" i="1" s="1"/>
  <c r="AK91" i="1"/>
  <c r="BD91" i="1" s="1"/>
  <c r="AI77" i="1"/>
  <c r="AM77" i="1"/>
  <c r="BF77" i="1" s="1"/>
  <c r="AQ77" i="1"/>
  <c r="BJ77" i="1" s="1"/>
  <c r="AL77" i="1"/>
  <c r="BE77" i="1" s="1"/>
  <c r="AR77" i="1"/>
  <c r="BK77" i="1" s="1"/>
  <c r="AK77" i="1"/>
  <c r="BD77" i="1" s="1"/>
  <c r="AP77" i="1"/>
  <c r="BI77" i="1" s="1"/>
  <c r="AJ77" i="1"/>
  <c r="BC77" i="1" s="1"/>
  <c r="AO77" i="1"/>
  <c r="BH77" i="1" s="1"/>
  <c r="AN77" i="1"/>
  <c r="BG77" i="1" s="1"/>
  <c r="BO105" i="1"/>
  <c r="BS105" i="1"/>
  <c r="BN105" i="1"/>
  <c r="BR105" i="1"/>
  <c r="BM105" i="1"/>
  <c r="BQ105" i="1"/>
  <c r="BU105" i="1"/>
  <c r="BP105" i="1"/>
  <c r="BL105" i="1"/>
  <c r="BT105" i="1"/>
  <c r="BO130" i="1"/>
  <c r="BS130" i="1"/>
  <c r="BN130" i="1"/>
  <c r="BR130" i="1"/>
  <c r="BM130" i="1"/>
  <c r="BQ130" i="1"/>
  <c r="BU130" i="1"/>
  <c r="BL130" i="1"/>
  <c r="BP130" i="1"/>
  <c r="BT130" i="1"/>
  <c r="BN111" i="1"/>
  <c r="BR111" i="1"/>
  <c r="BM111" i="1"/>
  <c r="BQ111" i="1"/>
  <c r="BU111" i="1"/>
  <c r="BL111" i="1"/>
  <c r="BP111" i="1"/>
  <c r="BT111" i="1"/>
  <c r="BS111" i="1"/>
  <c r="BO111" i="1"/>
  <c r="AL130" i="1"/>
  <c r="BE130" i="1" s="1"/>
  <c r="AK130" i="1"/>
  <c r="BD130" i="1" s="1"/>
  <c r="AO130" i="1"/>
  <c r="BH130" i="1" s="1"/>
  <c r="AP130" i="1"/>
  <c r="BI130" i="1" s="1"/>
  <c r="AJ130" i="1"/>
  <c r="BC130" i="1" s="1"/>
  <c r="AQ130" i="1"/>
  <c r="BJ130" i="1" s="1"/>
  <c r="AR130" i="1"/>
  <c r="BK130" i="1" s="1"/>
  <c r="AI130" i="1"/>
  <c r="AN130" i="1"/>
  <c r="BG130" i="1" s="1"/>
  <c r="AM130" i="1"/>
  <c r="BF130" i="1" s="1"/>
  <c r="BN143" i="1"/>
  <c r="BR143" i="1"/>
  <c r="BM143" i="1"/>
  <c r="BQ143" i="1"/>
  <c r="BU143" i="1"/>
  <c r="BL143" i="1"/>
  <c r="BP143" i="1"/>
  <c r="BT143" i="1"/>
  <c r="BS143" i="1"/>
  <c r="BO143" i="1"/>
  <c r="BO146" i="1"/>
  <c r="BS146" i="1"/>
  <c r="BN146" i="1"/>
  <c r="BR146" i="1"/>
  <c r="BM146" i="1"/>
  <c r="BQ146" i="1"/>
  <c r="BU146" i="1"/>
  <c r="BT146" i="1"/>
  <c r="BP146" i="1"/>
  <c r="BL146" i="1"/>
  <c r="AJ102" i="1"/>
  <c r="BC102" i="1" s="1"/>
  <c r="AN102" i="1"/>
  <c r="BG102" i="1" s="1"/>
  <c r="AI102" i="1"/>
  <c r="AM102" i="1"/>
  <c r="BF102" i="1" s="1"/>
  <c r="AR102" i="1"/>
  <c r="BK102" i="1" s="1"/>
  <c r="AL102" i="1"/>
  <c r="BE102" i="1" s="1"/>
  <c r="AK102" i="1"/>
  <c r="BD102" i="1" s="1"/>
  <c r="AP102" i="1"/>
  <c r="BI102" i="1" s="1"/>
  <c r="AO102" i="1"/>
  <c r="BH102" i="1" s="1"/>
  <c r="AQ102" i="1"/>
  <c r="BJ102" i="1" s="1"/>
  <c r="BM78" i="1"/>
  <c r="BQ78" i="1"/>
  <c r="BU78" i="1"/>
  <c r="BL78" i="1"/>
  <c r="BP78" i="1"/>
  <c r="BT78" i="1"/>
  <c r="BO78" i="1"/>
  <c r="BS78" i="1"/>
  <c r="BR78" i="1"/>
  <c r="BN78" i="1"/>
  <c r="BL116" i="1"/>
  <c r="BP116" i="1"/>
  <c r="BT116" i="1"/>
  <c r="BO116" i="1"/>
  <c r="BS116" i="1"/>
  <c r="BN116" i="1"/>
  <c r="BR116" i="1"/>
  <c r="BM116" i="1"/>
  <c r="BQ116" i="1"/>
  <c r="BU116" i="1"/>
  <c r="AI76" i="1"/>
  <c r="AM76" i="1"/>
  <c r="BF76" i="1" s="1"/>
  <c r="AL76" i="1"/>
  <c r="BE76" i="1" s="1"/>
  <c r="AP76" i="1"/>
  <c r="BI76" i="1" s="1"/>
  <c r="AQ76" i="1"/>
  <c r="BJ76" i="1" s="1"/>
  <c r="AJ76" i="1"/>
  <c r="BC76" i="1" s="1"/>
  <c r="AK76" i="1"/>
  <c r="BD76" i="1" s="1"/>
  <c r="AR76" i="1"/>
  <c r="BK76" i="1" s="1"/>
  <c r="AO76" i="1"/>
  <c r="BH76" i="1" s="1"/>
  <c r="AN76" i="1"/>
  <c r="BG76" i="1" s="1"/>
  <c r="BM93" i="1"/>
  <c r="BQ93" i="1"/>
  <c r="BU93" i="1"/>
  <c r="BL93" i="1"/>
  <c r="BP93" i="1"/>
  <c r="BT93" i="1"/>
  <c r="BO93" i="1"/>
  <c r="BS93" i="1"/>
  <c r="BR93" i="1"/>
  <c r="BN93" i="1"/>
  <c r="BL131" i="1"/>
  <c r="BP131" i="1"/>
  <c r="BT131" i="1"/>
  <c r="BO131" i="1"/>
  <c r="BS131" i="1"/>
  <c r="BN131" i="1"/>
  <c r="BR131" i="1"/>
  <c r="BU131" i="1"/>
  <c r="BQ131" i="1"/>
  <c r="BM131" i="1"/>
  <c r="AK24" i="1"/>
  <c r="BD24" i="1" s="1"/>
  <c r="AN24" i="1"/>
  <c r="BG24" i="1" s="1"/>
  <c r="AM24" i="1"/>
  <c r="BF24" i="1" s="1"/>
  <c r="AL24" i="1"/>
  <c r="BE24" i="1" s="1"/>
  <c r="AI24" i="1"/>
  <c r="AQ24" i="1"/>
  <c r="BJ24" i="1" s="1"/>
  <c r="AO24" i="1"/>
  <c r="BH24" i="1" s="1"/>
  <c r="AJ24" i="1"/>
  <c r="BC24" i="1" s="1"/>
  <c r="AR24" i="1"/>
  <c r="BK24" i="1" s="1"/>
  <c r="AP24" i="1"/>
  <c r="BI24" i="1" s="1"/>
  <c r="AN43" i="1"/>
  <c r="BG43" i="1" s="1"/>
  <c r="AI43" i="1"/>
  <c r="AQ43" i="1"/>
  <c r="BJ43" i="1" s="1"/>
  <c r="AP43" i="1"/>
  <c r="BI43" i="1" s="1"/>
  <c r="AK43" i="1"/>
  <c r="BD43" i="1" s="1"/>
  <c r="AM43" i="1"/>
  <c r="BF43" i="1" s="1"/>
  <c r="AO43" i="1"/>
  <c r="BH43" i="1" s="1"/>
  <c r="AJ43" i="1"/>
  <c r="BC43" i="1" s="1"/>
  <c r="AL43" i="1"/>
  <c r="BE43" i="1" s="1"/>
  <c r="AR43" i="1"/>
  <c r="BK43" i="1" s="1"/>
  <c r="BQ31" i="1"/>
  <c r="BN31" i="1"/>
  <c r="BM31" i="1"/>
  <c r="BL31" i="1"/>
  <c r="BT31" i="1"/>
  <c r="BS31" i="1"/>
  <c r="BR31" i="1"/>
  <c r="BU31" i="1"/>
  <c r="BO31" i="1"/>
  <c r="BP31" i="1"/>
  <c r="BR32" i="1"/>
  <c r="BO32" i="1"/>
  <c r="BN32" i="1"/>
  <c r="BM32" i="1"/>
  <c r="BL32" i="1"/>
  <c r="BT32" i="1"/>
  <c r="BQ32" i="1"/>
  <c r="BU32" i="1"/>
  <c r="BP32" i="1"/>
  <c r="BS32" i="1"/>
  <c r="BT66" i="1"/>
  <c r="BQ66" i="1"/>
  <c r="BL66" i="1"/>
  <c r="BP66" i="1"/>
  <c r="BO66" i="1"/>
  <c r="BN66" i="1"/>
  <c r="BM66" i="1"/>
  <c r="BR66" i="1"/>
  <c r="BU66" i="1"/>
  <c r="BS66" i="1"/>
  <c r="BN68" i="1"/>
  <c r="BS68" i="1"/>
  <c r="BQ68" i="1"/>
  <c r="BL68" i="1"/>
  <c r="BP68" i="1"/>
  <c r="BO68" i="1"/>
  <c r="BU68" i="1"/>
  <c r="BM68" i="1"/>
  <c r="BT68" i="1"/>
  <c r="BR68" i="1"/>
  <c r="AL41" i="1"/>
  <c r="BE41" i="1" s="1"/>
  <c r="AO41" i="1"/>
  <c r="BH41" i="1" s="1"/>
  <c r="AN41" i="1"/>
  <c r="BG41" i="1" s="1"/>
  <c r="AR41" i="1"/>
  <c r="BK41" i="1" s="1"/>
  <c r="AP41" i="1"/>
  <c r="BI41" i="1" s="1"/>
  <c r="AI41" i="1"/>
  <c r="AK41" i="1"/>
  <c r="BD41" i="1" s="1"/>
  <c r="AM41" i="1"/>
  <c r="BF41" i="1" s="1"/>
  <c r="AJ41" i="1"/>
  <c r="BC41" i="1" s="1"/>
  <c r="AQ41" i="1"/>
  <c r="BJ41" i="1" s="1"/>
  <c r="BN12" i="1"/>
  <c r="BM12" i="1"/>
  <c r="BS12" i="1"/>
  <c r="BR12" i="1"/>
  <c r="BL12" i="1"/>
  <c r="BQ12" i="1"/>
  <c r="BP12" i="1"/>
  <c r="BT12" i="1"/>
  <c r="BO12" i="1"/>
  <c r="BU12" i="1"/>
  <c r="AK64" i="1"/>
  <c r="BD64" i="1" s="1"/>
  <c r="AN64" i="1"/>
  <c r="BG64" i="1" s="1"/>
  <c r="AM64" i="1"/>
  <c r="BF64" i="1" s="1"/>
  <c r="AJ64" i="1"/>
  <c r="BC64" i="1" s="1"/>
  <c r="AQ64" i="1"/>
  <c r="BJ64" i="1" s="1"/>
  <c r="AL64" i="1"/>
  <c r="BE64" i="1" s="1"/>
  <c r="AI64" i="1"/>
  <c r="AP64" i="1"/>
  <c r="BI64" i="1" s="1"/>
  <c r="AO64" i="1"/>
  <c r="BH64" i="1" s="1"/>
  <c r="AR64" i="1"/>
  <c r="BK64" i="1" s="1"/>
  <c r="BQ63" i="1"/>
  <c r="BN63" i="1"/>
  <c r="BM63" i="1"/>
  <c r="BT63" i="1"/>
  <c r="BS63" i="1"/>
  <c r="BL63" i="1"/>
  <c r="BP63" i="1"/>
  <c r="BR63" i="1"/>
  <c r="BU63" i="1"/>
  <c r="BO63" i="1"/>
  <c r="BL43" i="1"/>
  <c r="BM43" i="1"/>
  <c r="BR43" i="1"/>
  <c r="BQ43" i="1"/>
  <c r="BP43" i="1"/>
  <c r="BO43" i="1"/>
  <c r="BN43" i="1"/>
  <c r="BS43" i="1"/>
  <c r="BU43" i="1"/>
  <c r="BT43" i="1"/>
  <c r="AN51" i="1"/>
  <c r="BG51" i="1" s="1"/>
  <c r="AI51" i="1"/>
  <c r="AP51" i="1"/>
  <c r="BI51" i="1" s="1"/>
  <c r="AJ51" i="1"/>
  <c r="BC51" i="1" s="1"/>
  <c r="AL51" i="1"/>
  <c r="BE51" i="1" s="1"/>
  <c r="AQ51" i="1"/>
  <c r="BJ51" i="1" s="1"/>
  <c r="AK51" i="1"/>
  <c r="BD51" i="1" s="1"/>
  <c r="AM51" i="1"/>
  <c r="BF51" i="1" s="1"/>
  <c r="AO51" i="1"/>
  <c r="BH51" i="1" s="1"/>
  <c r="AR51" i="1"/>
  <c r="BK51" i="1" s="1"/>
  <c r="BR8" i="1"/>
  <c r="BO8" i="1"/>
  <c r="BN8" i="1"/>
  <c r="BT8" i="1"/>
  <c r="BS8" i="1"/>
  <c r="BQ8" i="1"/>
  <c r="BU8" i="1"/>
  <c r="BM8" i="1"/>
  <c r="BP8" i="1"/>
  <c r="BL8" i="1"/>
  <c r="AK40" i="1"/>
  <c r="BD40" i="1" s="1"/>
  <c r="AN40" i="1"/>
  <c r="BG40" i="1" s="1"/>
  <c r="AM40" i="1"/>
  <c r="BF40" i="1" s="1"/>
  <c r="AO40" i="1"/>
  <c r="BH40" i="1" s="1"/>
  <c r="AJ40" i="1"/>
  <c r="BC40" i="1" s="1"/>
  <c r="AQ40" i="1"/>
  <c r="BJ40" i="1" s="1"/>
  <c r="AP40" i="1"/>
  <c r="BI40" i="1" s="1"/>
  <c r="AI40" i="1"/>
  <c r="AR40" i="1"/>
  <c r="BK40" i="1" s="1"/>
  <c r="AL40" i="1"/>
  <c r="BE40" i="1" s="1"/>
  <c r="BO5" i="1"/>
  <c r="BT5" i="1"/>
  <c r="BM5" i="1"/>
  <c r="BR5" i="1"/>
  <c r="BQ5" i="1"/>
  <c r="BU5" i="1"/>
  <c r="BS5" i="1"/>
  <c r="BP5" i="1"/>
  <c r="BL5" i="1"/>
  <c r="BN5" i="1"/>
  <c r="BR24" i="1"/>
  <c r="BO24" i="1"/>
  <c r="BN24" i="1"/>
  <c r="BM24" i="1"/>
  <c r="BT24" i="1"/>
  <c r="BS24" i="1"/>
  <c r="BL24" i="1"/>
  <c r="BP24" i="1"/>
  <c r="BU24" i="1"/>
  <c r="BQ24" i="1"/>
  <c r="BM27" i="1"/>
  <c r="BR27" i="1"/>
  <c r="BQ27" i="1"/>
  <c r="BP27" i="1"/>
  <c r="BO27" i="1"/>
  <c r="BS27" i="1"/>
  <c r="BT27" i="1"/>
  <c r="BL27" i="1"/>
  <c r="BN27" i="1"/>
  <c r="BU27" i="1"/>
  <c r="AM26" i="1"/>
  <c r="BF26" i="1" s="1"/>
  <c r="AP26" i="1"/>
  <c r="BI26" i="1" s="1"/>
  <c r="AO26" i="1"/>
  <c r="BH26" i="1" s="1"/>
  <c r="AJ26" i="1"/>
  <c r="BC26" i="1" s="1"/>
  <c r="AL26" i="1"/>
  <c r="BE26" i="1" s="1"/>
  <c r="AR26" i="1"/>
  <c r="BK26" i="1" s="1"/>
  <c r="AI26" i="1"/>
  <c r="AK26" i="1"/>
  <c r="BD26" i="1" s="1"/>
  <c r="AQ26" i="1"/>
  <c r="BJ26" i="1" s="1"/>
  <c r="AN26" i="1"/>
  <c r="BG26" i="1" s="1"/>
  <c r="BT42" i="1"/>
  <c r="BQ42" i="1"/>
  <c r="BP42" i="1"/>
  <c r="BO42" i="1"/>
  <c r="BN42" i="1"/>
  <c r="BR42" i="1"/>
  <c r="BL42" i="1"/>
  <c r="BM42" i="1"/>
  <c r="BS42" i="1"/>
  <c r="BU42" i="1"/>
  <c r="BO53" i="1"/>
  <c r="BT53" i="1"/>
  <c r="BR53" i="1"/>
  <c r="BQ53" i="1"/>
  <c r="BN53" i="1"/>
  <c r="BU53" i="1"/>
  <c r="BS53" i="1"/>
  <c r="BL53" i="1"/>
  <c r="BP53" i="1"/>
  <c r="BM53" i="1"/>
  <c r="AJ7" i="1"/>
  <c r="BC7" i="1" s="1"/>
  <c r="AM7" i="1"/>
  <c r="BF7" i="1" s="1"/>
  <c r="AL7" i="1"/>
  <c r="BE7" i="1" s="1"/>
  <c r="AI7" i="1"/>
  <c r="AK7" i="1"/>
  <c r="BD7" i="1" s="1"/>
  <c r="AO7" i="1"/>
  <c r="BH7" i="1" s="1"/>
  <c r="AQ7" i="1"/>
  <c r="BJ7" i="1" s="1"/>
  <c r="AR7" i="1"/>
  <c r="BK7" i="1" s="1"/>
  <c r="AP7" i="1"/>
  <c r="BI7" i="1" s="1"/>
  <c r="AN7" i="1"/>
  <c r="BG7" i="1" s="1"/>
  <c r="AO36" i="1"/>
  <c r="BH36" i="1" s="1"/>
  <c r="AJ36" i="1"/>
  <c r="BC36" i="1" s="1"/>
  <c r="AI36" i="1"/>
  <c r="AL36" i="1"/>
  <c r="BE36" i="1" s="1"/>
  <c r="AN36" i="1"/>
  <c r="BG36" i="1" s="1"/>
  <c r="AP36" i="1"/>
  <c r="BI36" i="1" s="1"/>
  <c r="AR36" i="1"/>
  <c r="BK36" i="1" s="1"/>
  <c r="AK36" i="1"/>
  <c r="BD36" i="1" s="1"/>
  <c r="AM36" i="1"/>
  <c r="BF36" i="1" s="1"/>
  <c r="AQ36" i="1"/>
  <c r="BJ36" i="1" s="1"/>
  <c r="AO44" i="1"/>
  <c r="BH44" i="1" s="1"/>
  <c r="AJ44" i="1"/>
  <c r="BC44" i="1" s="1"/>
  <c r="AI44" i="1"/>
  <c r="AK44" i="1"/>
  <c r="BD44" i="1" s="1"/>
  <c r="AM44" i="1"/>
  <c r="BF44" i="1" s="1"/>
  <c r="AR44" i="1"/>
  <c r="BK44" i="1" s="1"/>
  <c r="AQ44" i="1"/>
  <c r="BJ44" i="1" s="1"/>
  <c r="AL44" i="1"/>
  <c r="BE44" i="1" s="1"/>
  <c r="AN44" i="1"/>
  <c r="BG44" i="1" s="1"/>
  <c r="AP44" i="1"/>
  <c r="BI44" i="1" s="1"/>
  <c r="BL52" i="1"/>
  <c r="BN52" i="1"/>
  <c r="BS52" i="1"/>
  <c r="BQ52" i="1"/>
  <c r="BP52" i="1"/>
  <c r="BO52" i="1"/>
  <c r="BT52" i="1"/>
  <c r="BM52" i="1"/>
  <c r="BR52" i="1"/>
  <c r="BU52" i="1"/>
  <c r="AP29" i="1"/>
  <c r="BI29" i="1" s="1"/>
  <c r="AK29" i="1"/>
  <c r="BD29" i="1" s="1"/>
  <c r="AJ29" i="1"/>
  <c r="BC29" i="1" s="1"/>
  <c r="AM29" i="1"/>
  <c r="BF29" i="1" s="1"/>
  <c r="AO29" i="1"/>
  <c r="BH29" i="1" s="1"/>
  <c r="AL29" i="1"/>
  <c r="BE29" i="1" s="1"/>
  <c r="AN29" i="1"/>
  <c r="BG29" i="1" s="1"/>
  <c r="AR29" i="1"/>
  <c r="BK29" i="1" s="1"/>
  <c r="AI29" i="1"/>
  <c r="AQ29" i="1"/>
  <c r="BJ29" i="1" s="1"/>
  <c r="BR40" i="1"/>
  <c r="BO40" i="1"/>
  <c r="BN40" i="1"/>
  <c r="BL40" i="1"/>
  <c r="BM40" i="1"/>
  <c r="BT40" i="1"/>
  <c r="BP40" i="1"/>
  <c r="BS40" i="1"/>
  <c r="BQ40" i="1"/>
  <c r="BU40" i="1"/>
  <c r="AP53" i="1"/>
  <c r="BI53" i="1" s="1"/>
  <c r="AK53" i="1"/>
  <c r="BD53" i="1" s="1"/>
  <c r="AJ53" i="1"/>
  <c r="BC53" i="1" s="1"/>
  <c r="AL53" i="1"/>
  <c r="BE53" i="1" s="1"/>
  <c r="AN53" i="1"/>
  <c r="BG53" i="1" s="1"/>
  <c r="AR53" i="1"/>
  <c r="BK53" i="1" s="1"/>
  <c r="AI53" i="1"/>
  <c r="AQ53" i="1"/>
  <c r="BJ53" i="1" s="1"/>
  <c r="AO53" i="1"/>
  <c r="BH53" i="1" s="1"/>
  <c r="AM53" i="1"/>
  <c r="BF53" i="1" s="1"/>
  <c r="BR64" i="1"/>
  <c r="BO64" i="1"/>
  <c r="BN64" i="1"/>
  <c r="BM64" i="1"/>
  <c r="BT64" i="1"/>
  <c r="BL64" i="1"/>
  <c r="BP64" i="1"/>
  <c r="BU64" i="1"/>
  <c r="BQ64" i="1"/>
  <c r="BS64" i="1"/>
  <c r="AJ15" i="1"/>
  <c r="BC15" i="1" s="1"/>
  <c r="AM15" i="1"/>
  <c r="BF15" i="1" s="1"/>
  <c r="AL15" i="1"/>
  <c r="BE15" i="1" s="1"/>
  <c r="AO15" i="1"/>
  <c r="BH15" i="1" s="1"/>
  <c r="AN15" i="1"/>
  <c r="BG15" i="1" s="1"/>
  <c r="AP15" i="1"/>
  <c r="BI15" i="1" s="1"/>
  <c r="AQ15" i="1"/>
  <c r="BJ15" i="1" s="1"/>
  <c r="AI15" i="1"/>
  <c r="AK15" i="1"/>
  <c r="BD15" i="1" s="1"/>
  <c r="AR15" i="1"/>
  <c r="BK15" i="1" s="1"/>
  <c r="BR72" i="1"/>
  <c r="BO72" i="1"/>
  <c r="BN72" i="1"/>
  <c r="BM72" i="1"/>
  <c r="BT72" i="1"/>
  <c r="BS72" i="1"/>
  <c r="BL72" i="1"/>
  <c r="BU72" i="1"/>
  <c r="BP72" i="1"/>
  <c r="BQ72" i="1"/>
  <c r="AN19" i="1"/>
  <c r="BG19" i="1" s="1"/>
  <c r="AI19" i="1"/>
  <c r="AQ19" i="1"/>
  <c r="BJ19" i="1" s="1"/>
  <c r="AP19" i="1"/>
  <c r="BI19" i="1" s="1"/>
  <c r="AK19" i="1"/>
  <c r="BD19" i="1" s="1"/>
  <c r="AM19" i="1"/>
  <c r="BF19" i="1" s="1"/>
  <c r="AJ19" i="1"/>
  <c r="BC19" i="1" s="1"/>
  <c r="AL19" i="1"/>
  <c r="BE19" i="1" s="1"/>
  <c r="AO19" i="1"/>
  <c r="BH19" i="1" s="1"/>
  <c r="AR19" i="1"/>
  <c r="BK19" i="1" s="1"/>
  <c r="BQ39" i="1"/>
  <c r="BN39" i="1"/>
  <c r="BL39" i="1"/>
  <c r="BM39" i="1"/>
  <c r="BT39" i="1"/>
  <c r="BS39" i="1"/>
  <c r="BP39" i="1"/>
  <c r="BU39" i="1"/>
  <c r="BO39" i="1"/>
  <c r="BR39" i="1"/>
  <c r="BR48" i="1"/>
  <c r="BO48" i="1"/>
  <c r="BL48" i="1"/>
  <c r="BN48" i="1"/>
  <c r="BM48" i="1"/>
  <c r="BT48" i="1"/>
  <c r="BU48" i="1"/>
  <c r="BP48" i="1"/>
  <c r="BQ48" i="1"/>
  <c r="BS48" i="1"/>
  <c r="BN60" i="1"/>
  <c r="BS60" i="1"/>
  <c r="BQ60" i="1"/>
  <c r="BP60" i="1"/>
  <c r="BM60" i="1"/>
  <c r="BT60" i="1"/>
  <c r="BR60" i="1"/>
  <c r="BU60" i="1"/>
  <c r="BO60" i="1"/>
  <c r="BL60" i="1"/>
  <c r="AL17" i="1"/>
  <c r="BE17" i="1" s="1"/>
  <c r="AO17" i="1"/>
  <c r="BH17" i="1" s="1"/>
  <c r="AN17" i="1"/>
  <c r="BG17" i="1" s="1"/>
  <c r="AM17" i="1"/>
  <c r="BF17" i="1" s="1"/>
  <c r="AR17" i="1"/>
  <c r="BK17" i="1" s="1"/>
  <c r="AJ17" i="1"/>
  <c r="BC17" i="1" s="1"/>
  <c r="AP17" i="1"/>
  <c r="BI17" i="1" s="1"/>
  <c r="AQ17" i="1"/>
  <c r="BJ17" i="1" s="1"/>
  <c r="AI17" i="1"/>
  <c r="AK17" i="1"/>
  <c r="BD17" i="1" s="1"/>
  <c r="AJ63" i="1"/>
  <c r="BC63" i="1" s="1"/>
  <c r="AM63" i="1"/>
  <c r="BF63" i="1" s="1"/>
  <c r="AL63" i="1"/>
  <c r="BE63" i="1" s="1"/>
  <c r="AI63" i="1"/>
  <c r="AP63" i="1"/>
  <c r="BI63" i="1" s="1"/>
  <c r="AK63" i="1"/>
  <c r="BD63" i="1" s="1"/>
  <c r="AO63" i="1"/>
  <c r="BH63" i="1" s="1"/>
  <c r="AR63" i="1"/>
  <c r="BK63" i="1" s="1"/>
  <c r="AQ63" i="1"/>
  <c r="BJ63" i="1" s="1"/>
  <c r="AN63" i="1"/>
  <c r="BG63" i="1" s="1"/>
  <c r="AK8" i="1"/>
  <c r="BD8" i="1" s="1"/>
  <c r="AN8" i="1"/>
  <c r="BG8" i="1" s="1"/>
  <c r="AM8" i="1"/>
  <c r="BF8" i="1" s="1"/>
  <c r="AP8" i="1"/>
  <c r="BI8" i="1" s="1"/>
  <c r="AI8" i="1"/>
  <c r="AO8" i="1"/>
  <c r="BH8" i="1" s="1"/>
  <c r="AJ8" i="1"/>
  <c r="BC8" i="1" s="1"/>
  <c r="AL8" i="1"/>
  <c r="BE8" i="1" s="1"/>
  <c r="AQ8" i="1"/>
  <c r="BJ8" i="1" s="1"/>
  <c r="AR8" i="1"/>
  <c r="BK8" i="1" s="1"/>
  <c r="BS41" i="1"/>
  <c r="BP41" i="1"/>
  <c r="BO41" i="1"/>
  <c r="BN41" i="1"/>
  <c r="BL41" i="1"/>
  <c r="BM41" i="1"/>
  <c r="BQ41" i="1"/>
  <c r="BU41" i="1"/>
  <c r="BR41" i="1"/>
  <c r="BT41" i="1"/>
  <c r="AN67" i="1"/>
  <c r="BG67" i="1" s="1"/>
  <c r="AI67" i="1"/>
  <c r="AP67" i="1"/>
  <c r="BI67" i="1" s="1"/>
  <c r="AO67" i="1"/>
  <c r="BH67" i="1" s="1"/>
  <c r="AJ67" i="1"/>
  <c r="BC67" i="1" s="1"/>
  <c r="AL67" i="1"/>
  <c r="BE67" i="1" s="1"/>
  <c r="AQ67" i="1"/>
  <c r="BJ67" i="1" s="1"/>
  <c r="AM67" i="1"/>
  <c r="BF67" i="1" s="1"/>
  <c r="AK67" i="1"/>
  <c r="BD67" i="1" s="1"/>
  <c r="AR67" i="1"/>
  <c r="BK67" i="1" s="1"/>
  <c r="AL65" i="1"/>
  <c r="BE65" i="1" s="1"/>
  <c r="AO65" i="1"/>
  <c r="BH65" i="1" s="1"/>
  <c r="AN65" i="1"/>
  <c r="BG65" i="1" s="1"/>
  <c r="AR65" i="1"/>
  <c r="BK65" i="1" s="1"/>
  <c r="AJ65" i="1"/>
  <c r="BC65" i="1" s="1"/>
  <c r="AQ65" i="1"/>
  <c r="BJ65" i="1" s="1"/>
  <c r="AI65" i="1"/>
  <c r="AK65" i="1"/>
  <c r="BD65" i="1" s="1"/>
  <c r="AP65" i="1"/>
  <c r="BI65" i="1" s="1"/>
  <c r="AM65" i="1"/>
  <c r="BF65" i="1" s="1"/>
  <c r="BN44" i="1"/>
  <c r="BS44" i="1"/>
  <c r="BQ44" i="1"/>
  <c r="BP44" i="1"/>
  <c r="BT44" i="1"/>
  <c r="BR44" i="1"/>
  <c r="BL44" i="1"/>
  <c r="BM44" i="1"/>
  <c r="BO44" i="1"/>
  <c r="BU44" i="1"/>
  <c r="AP5" i="1"/>
  <c r="BI5" i="1" s="1"/>
  <c r="AK5" i="1"/>
  <c r="BD5" i="1" s="1"/>
  <c r="AJ5" i="1"/>
  <c r="BC5" i="1" s="1"/>
  <c r="AM5" i="1"/>
  <c r="BF5" i="1" s="1"/>
  <c r="AO5" i="1"/>
  <c r="BH5" i="1" s="1"/>
  <c r="AQ5" i="1"/>
  <c r="BJ5" i="1" s="1"/>
  <c r="AR5" i="1"/>
  <c r="BK5" i="1" s="1"/>
  <c r="AL5" i="1"/>
  <c r="BE5" i="1" s="1"/>
  <c r="AN5" i="1"/>
  <c r="BG5" i="1" s="1"/>
  <c r="AI5" i="1"/>
  <c r="BM51" i="1"/>
  <c r="BR51" i="1"/>
  <c r="BQ51" i="1"/>
  <c r="BP51" i="1"/>
  <c r="BO51" i="1"/>
  <c r="BS51" i="1"/>
  <c r="BT51" i="1"/>
  <c r="BL51" i="1"/>
  <c r="BU51" i="1"/>
  <c r="BN51" i="1"/>
  <c r="AK16" i="1"/>
  <c r="BD16" i="1" s="1"/>
  <c r="AN16" i="1"/>
  <c r="BG16" i="1" s="1"/>
  <c r="AM16" i="1"/>
  <c r="BF16" i="1" s="1"/>
  <c r="AO16" i="1"/>
  <c r="BH16" i="1" s="1"/>
  <c r="AL16" i="1"/>
  <c r="BE16" i="1" s="1"/>
  <c r="AP16" i="1"/>
  <c r="BI16" i="1" s="1"/>
  <c r="AQ16" i="1"/>
  <c r="BJ16" i="1" s="1"/>
  <c r="AI16" i="1"/>
  <c r="AR16" i="1"/>
  <c r="BK16" i="1" s="1"/>
  <c r="AJ16" i="1"/>
  <c r="BC16" i="1" s="1"/>
  <c r="BM15" i="1"/>
  <c r="BQ15" i="1"/>
  <c r="BN15" i="1"/>
  <c r="BT15" i="1"/>
  <c r="BS15" i="1"/>
  <c r="BL15" i="1"/>
  <c r="BU15" i="1"/>
  <c r="BR15" i="1"/>
  <c r="BP15" i="1"/>
  <c r="BO15" i="1"/>
  <c r="BS17" i="1"/>
  <c r="BP17" i="1"/>
  <c r="BO17" i="1"/>
  <c r="BN17" i="1"/>
  <c r="BM17" i="1"/>
  <c r="BL17" i="1"/>
  <c r="BT17" i="1"/>
  <c r="BQ17" i="1"/>
  <c r="BU17" i="1"/>
  <c r="BR17" i="1"/>
  <c r="BM18" i="1"/>
  <c r="BT18" i="1"/>
  <c r="BQ18" i="1"/>
  <c r="BP18" i="1"/>
  <c r="BO18" i="1"/>
  <c r="BN18" i="1"/>
  <c r="BL18" i="1"/>
  <c r="BU18" i="1"/>
  <c r="BR18" i="1"/>
  <c r="BS18" i="1"/>
  <c r="AO60" i="1"/>
  <c r="BH60" i="1" s="1"/>
  <c r="AJ60" i="1"/>
  <c r="BC60" i="1" s="1"/>
  <c r="AI60" i="1"/>
  <c r="AP60" i="1"/>
  <c r="BI60" i="1" s="1"/>
  <c r="AK60" i="1"/>
  <c r="BD60" i="1" s="1"/>
  <c r="AM60" i="1"/>
  <c r="BF60" i="1" s="1"/>
  <c r="AR60" i="1"/>
  <c r="BK60" i="1" s="1"/>
  <c r="AQ60" i="1"/>
  <c r="BJ60" i="1" s="1"/>
  <c r="AL60" i="1"/>
  <c r="BE60" i="1" s="1"/>
  <c r="AN60" i="1"/>
  <c r="BG60" i="1" s="1"/>
  <c r="BL30" i="1"/>
  <c r="BP30" i="1"/>
  <c r="BM30" i="1"/>
  <c r="BS30" i="1"/>
  <c r="BR30" i="1"/>
  <c r="BN30" i="1"/>
  <c r="BT30" i="1"/>
  <c r="BU30" i="1"/>
  <c r="BO30" i="1"/>
  <c r="BQ30" i="1"/>
  <c r="AO28" i="1"/>
  <c r="BH28" i="1" s="1"/>
  <c r="AJ28" i="1"/>
  <c r="BC28" i="1" s="1"/>
  <c r="AI28" i="1"/>
  <c r="AL28" i="1"/>
  <c r="BE28" i="1" s="1"/>
  <c r="AN28" i="1"/>
  <c r="BG28" i="1" s="1"/>
  <c r="AR28" i="1"/>
  <c r="BK28" i="1" s="1"/>
  <c r="AP28" i="1"/>
  <c r="BI28" i="1" s="1"/>
  <c r="AQ28" i="1"/>
  <c r="BJ28" i="1" s="1"/>
  <c r="AK28" i="1"/>
  <c r="BD28" i="1" s="1"/>
  <c r="AM28" i="1"/>
  <c r="BF28" i="1" s="1"/>
  <c r="AJ55" i="1"/>
  <c r="BC55" i="1" s="1"/>
  <c r="AM55" i="1"/>
  <c r="BF55" i="1" s="1"/>
  <c r="AL55" i="1"/>
  <c r="BE55" i="1" s="1"/>
  <c r="AO55" i="1"/>
  <c r="BH55" i="1" s="1"/>
  <c r="AN55" i="1"/>
  <c r="BG55" i="1" s="1"/>
  <c r="AP55" i="1"/>
  <c r="BI55" i="1" s="1"/>
  <c r="AI55" i="1"/>
  <c r="AR55" i="1"/>
  <c r="BK55" i="1" s="1"/>
  <c r="AQ55" i="1"/>
  <c r="BJ55" i="1" s="1"/>
  <c r="AK55" i="1"/>
  <c r="BD55" i="1" s="1"/>
  <c r="BL16" i="1"/>
  <c r="BR16" i="1"/>
  <c r="BO16" i="1"/>
  <c r="BN16" i="1"/>
  <c r="BM16" i="1"/>
  <c r="BT16" i="1"/>
  <c r="BP16" i="1"/>
  <c r="BQ16" i="1"/>
  <c r="BU16" i="1"/>
  <c r="BS16" i="1"/>
  <c r="BU3" i="1"/>
  <c r="BM3" i="1"/>
  <c r="BR3" i="1"/>
  <c r="BQ3" i="1"/>
  <c r="BL3" i="1"/>
  <c r="BP3" i="1"/>
  <c r="BO3" i="1"/>
  <c r="BS3" i="1"/>
  <c r="BT3" i="1"/>
  <c r="BN3" i="1"/>
  <c r="BN28" i="1"/>
  <c r="BL28" i="1"/>
  <c r="BS28" i="1"/>
  <c r="BR28" i="1"/>
  <c r="BQ28" i="1"/>
  <c r="BP28" i="1"/>
  <c r="BT28" i="1"/>
  <c r="BO28" i="1"/>
  <c r="BM28" i="1"/>
  <c r="BU28" i="1"/>
  <c r="BS65" i="1"/>
  <c r="BL65" i="1"/>
  <c r="BP65" i="1"/>
  <c r="BO65" i="1"/>
  <c r="BN65" i="1"/>
  <c r="BM65" i="1"/>
  <c r="BT65" i="1"/>
  <c r="BR65" i="1"/>
  <c r="BU65" i="1"/>
  <c r="BQ65" i="1"/>
  <c r="AJ39" i="1"/>
  <c r="BC39" i="1" s="1"/>
  <c r="AM39" i="1"/>
  <c r="BF39" i="1" s="1"/>
  <c r="AL39" i="1"/>
  <c r="BE39" i="1" s="1"/>
  <c r="AQ39" i="1"/>
  <c r="BJ39" i="1" s="1"/>
  <c r="AN39" i="1"/>
  <c r="BG39" i="1" s="1"/>
  <c r="AP39" i="1"/>
  <c r="BI39" i="1" s="1"/>
  <c r="AI39" i="1"/>
  <c r="AK39" i="1"/>
  <c r="BD39" i="1" s="1"/>
  <c r="AR39" i="1"/>
  <c r="BK39" i="1" s="1"/>
  <c r="AO39" i="1"/>
  <c r="BH39" i="1" s="1"/>
  <c r="BL19" i="1"/>
  <c r="BR19" i="1"/>
  <c r="BQ19" i="1"/>
  <c r="BP19" i="1"/>
  <c r="BO19" i="1"/>
  <c r="BS19" i="1"/>
  <c r="BM19" i="1"/>
  <c r="BN19" i="1"/>
  <c r="BT19" i="1"/>
  <c r="BU19" i="1"/>
  <c r="AO4" i="1"/>
  <c r="BH4" i="1" s="1"/>
  <c r="AJ4" i="1"/>
  <c r="BC4" i="1" s="1"/>
  <c r="AI4" i="1"/>
  <c r="AQ4" i="1"/>
  <c r="BJ4" i="1" s="1"/>
  <c r="AK4" i="1"/>
  <c r="BD4" i="1" s="1"/>
  <c r="AM4" i="1"/>
  <c r="BF4" i="1" s="1"/>
  <c r="AR4" i="1"/>
  <c r="BK4" i="1" s="1"/>
  <c r="AL4" i="1"/>
  <c r="BE4" i="1" s="1"/>
  <c r="AN4" i="1"/>
  <c r="BG4" i="1" s="1"/>
  <c r="AP4" i="1"/>
  <c r="BI4" i="1" s="1"/>
  <c r="AN27" i="1"/>
  <c r="BG27" i="1" s="1"/>
  <c r="AI27" i="1"/>
  <c r="AQ27" i="1"/>
  <c r="BJ27" i="1" s="1"/>
  <c r="AP27" i="1"/>
  <c r="BI27" i="1" s="1"/>
  <c r="AK27" i="1"/>
  <c r="BD27" i="1" s="1"/>
  <c r="AM27" i="1"/>
  <c r="BF27" i="1" s="1"/>
  <c r="AL27" i="1"/>
  <c r="BE27" i="1" s="1"/>
  <c r="AO27" i="1"/>
  <c r="BH27" i="1" s="1"/>
  <c r="AJ27" i="1"/>
  <c r="BC27" i="1" s="1"/>
  <c r="AR27" i="1"/>
  <c r="BK27" i="1" s="1"/>
  <c r="BM7" i="1"/>
  <c r="BL7" i="1"/>
  <c r="BQ7" i="1"/>
  <c r="BN7" i="1"/>
  <c r="BT7" i="1"/>
  <c r="BS7" i="1"/>
  <c r="BR7" i="1"/>
  <c r="BO7" i="1"/>
  <c r="BU7" i="1"/>
  <c r="BP7" i="1"/>
  <c r="AJ31" i="1"/>
  <c r="BC31" i="1" s="1"/>
  <c r="AM31" i="1"/>
  <c r="BF31" i="1" s="1"/>
  <c r="AL31" i="1"/>
  <c r="BE31" i="1" s="1"/>
  <c r="AK31" i="1"/>
  <c r="BD31" i="1" s="1"/>
  <c r="AQ31" i="1"/>
  <c r="BJ31" i="1" s="1"/>
  <c r="AN31" i="1"/>
  <c r="BG31" i="1" s="1"/>
  <c r="AP31" i="1"/>
  <c r="BI31" i="1" s="1"/>
  <c r="AR31" i="1"/>
  <c r="BK31" i="1" s="1"/>
  <c r="AI31" i="1"/>
  <c r="AO31" i="1"/>
  <c r="BH31" i="1" s="1"/>
  <c r="BO29" i="1"/>
  <c r="BT29" i="1"/>
  <c r="BL29" i="1"/>
  <c r="BR29" i="1"/>
  <c r="BQ29" i="1"/>
  <c r="BU29" i="1"/>
  <c r="BP29" i="1"/>
  <c r="BM29" i="1"/>
  <c r="BS29" i="1"/>
  <c r="BN29" i="1"/>
  <c r="AK48" i="1"/>
  <c r="BD48" i="1" s="1"/>
  <c r="AN48" i="1"/>
  <c r="BG48" i="1" s="1"/>
  <c r="AM48" i="1"/>
  <c r="BF48" i="1" s="1"/>
  <c r="AQ48" i="1"/>
  <c r="BJ48" i="1" s="1"/>
  <c r="AP48" i="1"/>
  <c r="BI48" i="1" s="1"/>
  <c r="AO48" i="1"/>
  <c r="BH48" i="1" s="1"/>
  <c r="AJ48" i="1"/>
  <c r="BC48" i="1" s="1"/>
  <c r="AR48" i="1"/>
  <c r="BK48" i="1" s="1"/>
  <c r="AI48" i="1"/>
  <c r="AL48" i="1"/>
  <c r="BE48" i="1" s="1"/>
  <c r="AK56" i="1"/>
  <c r="BD56" i="1" s="1"/>
  <c r="AN56" i="1"/>
  <c r="BG56" i="1" s="1"/>
  <c r="AM56" i="1"/>
  <c r="BF56" i="1" s="1"/>
  <c r="AQ56" i="1"/>
  <c r="BJ56" i="1" s="1"/>
  <c r="AJ56" i="1"/>
  <c r="BC56" i="1" s="1"/>
  <c r="AL56" i="1"/>
  <c r="BE56" i="1" s="1"/>
  <c r="AP56" i="1"/>
  <c r="BI56" i="1" s="1"/>
  <c r="AO56" i="1"/>
  <c r="BH56" i="1" s="1"/>
  <c r="AR56" i="1"/>
  <c r="BK56" i="1" s="1"/>
  <c r="AI56" i="1"/>
  <c r="BR56" i="1"/>
  <c r="BL56" i="1"/>
  <c r="BO56" i="1"/>
  <c r="BN56" i="1"/>
  <c r="BM56" i="1"/>
  <c r="BT56" i="1"/>
  <c r="BQ56" i="1"/>
  <c r="BS56" i="1"/>
  <c r="BU56" i="1"/>
  <c r="BP56" i="1"/>
  <c r="AK32" i="1"/>
  <c r="BD32" i="1" s="1"/>
  <c r="AN32" i="1"/>
  <c r="BG32" i="1" s="1"/>
  <c r="AM32" i="1"/>
  <c r="BF32" i="1" s="1"/>
  <c r="AI32" i="1"/>
  <c r="AO32" i="1"/>
  <c r="BH32" i="1" s="1"/>
  <c r="AJ32" i="1"/>
  <c r="BC32" i="1" s="1"/>
  <c r="AL32" i="1"/>
  <c r="BE32" i="1" s="1"/>
  <c r="AP32" i="1"/>
  <c r="BI32" i="1" s="1"/>
  <c r="AQ32" i="1"/>
  <c r="BJ32" i="1" s="1"/>
  <c r="AR32" i="1"/>
  <c r="BK32" i="1" s="1"/>
  <c r="BN4" i="1"/>
  <c r="BS4" i="1"/>
  <c r="BM4" i="1"/>
  <c r="BR4" i="1"/>
  <c r="BQ4" i="1"/>
  <c r="BL4" i="1"/>
  <c r="BP4" i="1"/>
  <c r="BO4" i="1"/>
  <c r="BT4" i="1"/>
  <c r="BU4" i="1"/>
  <c r="BQ55" i="1"/>
  <c r="BN55" i="1"/>
  <c r="BM55" i="1"/>
  <c r="BT55" i="1"/>
  <c r="BS55" i="1"/>
  <c r="BU55" i="1"/>
  <c r="BO55" i="1"/>
  <c r="BL55" i="1"/>
  <c r="BP55" i="1"/>
  <c r="BR55" i="1"/>
  <c r="BL54" i="1"/>
  <c r="BP54" i="1"/>
  <c r="BM54" i="1"/>
  <c r="BS54" i="1"/>
  <c r="BR54" i="1"/>
  <c r="BQ54" i="1"/>
  <c r="BN54" i="1"/>
  <c r="BU54" i="1"/>
  <c r="BO54" i="1"/>
  <c r="BT54" i="1"/>
  <c r="AK72" i="1"/>
  <c r="BD72" i="1" s="1"/>
  <c r="AN72" i="1"/>
  <c r="BG72" i="1" s="1"/>
  <c r="AM72" i="1"/>
  <c r="BF72" i="1" s="1"/>
  <c r="AQ72" i="1"/>
  <c r="BJ72" i="1" s="1"/>
  <c r="AI72" i="1"/>
  <c r="AO72" i="1"/>
  <c r="BH72" i="1" s="1"/>
  <c r="AJ72" i="1"/>
  <c r="BC72" i="1" s="1"/>
  <c r="AL72" i="1"/>
  <c r="BE72" i="1" s="1"/>
  <c r="AR72" i="1"/>
  <c r="BK72" i="1" s="1"/>
  <c r="AP72" i="1"/>
  <c r="BI72" i="1" s="1"/>
  <c r="BM67" i="1"/>
  <c r="BR67" i="1"/>
  <c r="BQ67" i="1"/>
  <c r="BL67" i="1"/>
  <c r="BP67" i="1"/>
  <c r="BO67" i="1"/>
  <c r="BS67" i="1"/>
  <c r="BT67" i="1"/>
  <c r="BN67" i="1"/>
  <c r="BU67" i="1"/>
  <c r="AO12" i="1"/>
  <c r="BH12" i="1" s="1"/>
  <c r="AJ12" i="1"/>
  <c r="BC12" i="1" s="1"/>
  <c r="AI12" i="1"/>
  <c r="AQ12" i="1"/>
  <c r="BJ12" i="1" s="1"/>
  <c r="AL12" i="1"/>
  <c r="BE12" i="1" s="1"/>
  <c r="AN12" i="1"/>
  <c r="BG12" i="1" s="1"/>
  <c r="AR12" i="1"/>
  <c r="BK12" i="1" s="1"/>
  <c r="AK12" i="1"/>
  <c r="BD12" i="1" s="1"/>
  <c r="AM12" i="1"/>
  <c r="BF12" i="1" s="1"/>
  <c r="AP12" i="1"/>
  <c r="BI12" i="1" s="1"/>
  <c r="BN20" i="1"/>
  <c r="BS20" i="1"/>
  <c r="BL20" i="1"/>
  <c r="BR20" i="1"/>
  <c r="BQ20" i="1"/>
  <c r="BP20" i="1"/>
  <c r="BM20" i="1"/>
  <c r="BU20" i="1"/>
  <c r="BT20" i="1"/>
  <c r="BO20" i="1"/>
  <c r="AO20" i="1"/>
  <c r="BH20" i="1" s="1"/>
  <c r="AJ20" i="1"/>
  <c r="BC20" i="1" s="1"/>
  <c r="AI20" i="1"/>
  <c r="AQ20" i="1"/>
  <c r="BJ20" i="1" s="1"/>
  <c r="AR20" i="1"/>
  <c r="BK20" i="1" s="1"/>
  <c r="AL20" i="1"/>
  <c r="BE20" i="1" s="1"/>
  <c r="AN20" i="1"/>
  <c r="BG20" i="1" s="1"/>
  <c r="AM20" i="1"/>
  <c r="BF20" i="1" s="1"/>
  <c r="AP20" i="1"/>
  <c r="BI20" i="1" s="1"/>
  <c r="AK20" i="1"/>
  <c r="BD20" i="1" s="1"/>
  <c r="BN36" i="1"/>
  <c r="BS36" i="1"/>
  <c r="BQ36" i="1"/>
  <c r="BP36" i="1"/>
  <c r="BL36" i="1"/>
  <c r="BM36" i="1"/>
  <c r="BO36" i="1"/>
  <c r="BT36" i="1"/>
  <c r="BU36" i="1"/>
  <c r="BR36" i="1"/>
  <c r="AN3" i="1"/>
  <c r="BG3" i="1" s="1"/>
  <c r="AI3" i="1"/>
  <c r="AQ3" i="1"/>
  <c r="BJ3" i="1" s="1"/>
  <c r="AP3" i="1"/>
  <c r="BI3" i="1" s="1"/>
  <c r="AO3" i="1"/>
  <c r="BH3" i="1" s="1"/>
  <c r="AJ3" i="1"/>
  <c r="BC3" i="1" s="1"/>
  <c r="AL3" i="1"/>
  <c r="BE3" i="1" s="1"/>
  <c r="AM3" i="1"/>
  <c r="BF3" i="1" s="1"/>
  <c r="AK3" i="1"/>
  <c r="BD3" i="1" s="1"/>
  <c r="AR3" i="1"/>
  <c r="BK3" i="1" s="1"/>
  <c r="BL6" i="1"/>
  <c r="BP6" i="1"/>
  <c r="BS6" i="1"/>
  <c r="BM6" i="1"/>
  <c r="BR6" i="1"/>
  <c r="BO6" i="1"/>
  <c r="BU6" i="1"/>
  <c r="BT6" i="1"/>
  <c r="BQ6" i="1"/>
  <c r="BN6" i="1"/>
  <c r="AO68" i="1"/>
  <c r="BH68" i="1" s="1"/>
  <c r="AJ68" i="1"/>
  <c r="BC68" i="1" s="1"/>
  <c r="AI68" i="1"/>
  <c r="AK68" i="1"/>
  <c r="BD68" i="1" s="1"/>
  <c r="AM68" i="1"/>
  <c r="BF68" i="1" s="1"/>
  <c r="AR68" i="1"/>
  <c r="BK68" i="1" s="1"/>
  <c r="AL68" i="1"/>
  <c r="BE68" i="1" s="1"/>
  <c r="AN68" i="1"/>
  <c r="BG68" i="1" s="1"/>
  <c r="AQ68" i="1"/>
  <c r="BJ68" i="1" s="1"/>
  <c r="AP68" i="1"/>
  <c r="BI68" i="1" s="1"/>
  <c r="I91" i="3"/>
  <c r="I133" i="3" s="1"/>
  <c r="I98" i="3"/>
  <c r="I140" i="3" s="1"/>
  <c r="I99" i="3"/>
  <c r="I141" i="3" s="1"/>
  <c r="I89" i="3"/>
  <c r="I131" i="3" s="1"/>
  <c r="AT2" i="1"/>
  <c r="AO491" i="8" l="1"/>
  <c r="BH491" i="8" s="1"/>
  <c r="AO595" i="8"/>
  <c r="BH595" i="8" s="1"/>
  <c r="AQ712" i="1"/>
  <c r="BJ712" i="1" s="1"/>
  <c r="AR416" i="8"/>
  <c r="BK416" i="8" s="1"/>
  <c r="AN609" i="8"/>
  <c r="BG609" i="8" s="1"/>
  <c r="AO329" i="8"/>
  <c r="BH329" i="8" s="1"/>
  <c r="AL394" i="8"/>
  <c r="BE394" i="8" s="1"/>
  <c r="AK721" i="1"/>
  <c r="BD721" i="1" s="1"/>
  <c r="AO137" i="1"/>
  <c r="BH137" i="1" s="1"/>
  <c r="AJ120" i="1"/>
  <c r="BC120" i="1" s="1"/>
  <c r="AM179" i="1"/>
  <c r="BF179" i="1" s="1"/>
  <c r="AJ705" i="1"/>
  <c r="BC705" i="1" s="1"/>
  <c r="AN527" i="8"/>
  <c r="BG527" i="8" s="1"/>
  <c r="AI229" i="8"/>
  <c r="BB229" i="8" s="1"/>
  <c r="AM218" i="8"/>
  <c r="BF218" i="8" s="1"/>
  <c r="AO120" i="1"/>
  <c r="BH120" i="1" s="1"/>
  <c r="AQ168" i="1"/>
  <c r="BJ168" i="1" s="1"/>
  <c r="AR189" i="1"/>
  <c r="BK189" i="1" s="1"/>
  <c r="AI737" i="1"/>
  <c r="AK527" i="8"/>
  <c r="BD527" i="8" s="1"/>
  <c r="AK229" i="8"/>
  <c r="BD229" i="8" s="1"/>
  <c r="AO724" i="1"/>
  <c r="BH724" i="1" s="1"/>
  <c r="AO423" i="8"/>
  <c r="BH423" i="8" s="1"/>
  <c r="AL178" i="8"/>
  <c r="BE178" i="8" s="1"/>
  <c r="AM570" i="8"/>
  <c r="BF570" i="8" s="1"/>
  <c r="AR685" i="8"/>
  <c r="BK685" i="8" s="1"/>
  <c r="AR684" i="8"/>
  <c r="BK684" i="8" s="1"/>
  <c r="AM398" i="8"/>
  <c r="BF398" i="8" s="1"/>
  <c r="AM506" i="8"/>
  <c r="BF506" i="8" s="1"/>
  <c r="AI454" i="8"/>
  <c r="BB454" i="8" s="1"/>
  <c r="AK635" i="8"/>
  <c r="BD635" i="8" s="1"/>
  <c r="AP150" i="1"/>
  <c r="BI150" i="1" s="1"/>
  <c r="AQ668" i="1"/>
  <c r="BJ668" i="1" s="1"/>
  <c r="AM358" i="8"/>
  <c r="BF358" i="8" s="1"/>
  <c r="AO150" i="1"/>
  <c r="BH150" i="1" s="1"/>
  <c r="AP668" i="1"/>
  <c r="BI668" i="1" s="1"/>
  <c r="AO627" i="8"/>
  <c r="BH627" i="8" s="1"/>
  <c r="AO650" i="8"/>
  <c r="BH650" i="8" s="1"/>
  <c r="AP639" i="8"/>
  <c r="BI639" i="8" s="1"/>
  <c r="AO273" i="8"/>
  <c r="BH273" i="8" s="1"/>
  <c r="AK243" i="8"/>
  <c r="BD243" i="8" s="1"/>
  <c r="AP137" i="1"/>
  <c r="BI137" i="1" s="1"/>
  <c r="AJ150" i="1"/>
  <c r="BC150" i="1" s="1"/>
  <c r="AI668" i="1"/>
  <c r="AJ709" i="1"/>
  <c r="BC709" i="1" s="1"/>
  <c r="AN525" i="8"/>
  <c r="BG525" i="8" s="1"/>
  <c r="AR627" i="8"/>
  <c r="BK627" i="8" s="1"/>
  <c r="AK663" i="8"/>
  <c r="BD663" i="8" s="1"/>
  <c r="AP425" i="8"/>
  <c r="BI425" i="8" s="1"/>
  <c r="AN212" i="8"/>
  <c r="BG212" i="8" s="1"/>
  <c r="AN668" i="8"/>
  <c r="BG668" i="8" s="1"/>
  <c r="AL137" i="1"/>
  <c r="BE137" i="1" s="1"/>
  <c r="AR120" i="1"/>
  <c r="BK120" i="1" s="1"/>
  <c r="AJ179" i="1"/>
  <c r="BC179" i="1" s="1"/>
  <c r="AN672" i="1"/>
  <c r="BG672" i="1" s="1"/>
  <c r="AQ730" i="1"/>
  <c r="BJ730" i="1" s="1"/>
  <c r="AN748" i="1"/>
  <c r="BG748" i="1" s="1"/>
  <c r="AI767" i="1"/>
  <c r="AM617" i="8"/>
  <c r="BF617" i="8" s="1"/>
  <c r="AM627" i="8"/>
  <c r="BF627" i="8" s="1"/>
  <c r="AR668" i="8"/>
  <c r="BK668" i="8" s="1"/>
  <c r="AQ489" i="8"/>
  <c r="BJ489" i="8" s="1"/>
  <c r="AJ737" i="8"/>
  <c r="BC737" i="8" s="1"/>
  <c r="AM226" i="8"/>
  <c r="BF226" i="8" s="1"/>
  <c r="R32" i="5"/>
  <c r="AN759" i="1"/>
  <c r="BG759" i="1" s="1"/>
  <c r="AO760" i="1"/>
  <c r="BH760" i="1" s="1"/>
  <c r="AK694" i="1"/>
  <c r="BD694" i="1" s="1"/>
  <c r="AL694" i="1"/>
  <c r="BE694" i="1" s="1"/>
  <c r="AR395" i="8"/>
  <c r="BK395" i="8" s="1"/>
  <c r="AK704" i="1"/>
  <c r="BD704" i="1" s="1"/>
  <c r="AN694" i="1"/>
  <c r="BG694" i="1" s="1"/>
  <c r="AI720" i="1"/>
  <c r="AR747" i="1"/>
  <c r="BK747" i="1" s="1"/>
  <c r="AQ757" i="1"/>
  <c r="BJ757" i="1" s="1"/>
  <c r="AQ694" i="1"/>
  <c r="BJ694" i="1" s="1"/>
  <c r="AK714" i="8"/>
  <c r="BD714" i="8" s="1"/>
  <c r="AI759" i="1"/>
  <c r="BB759" i="1" s="1"/>
  <c r="P34" i="5"/>
  <c r="AR169" i="8"/>
  <c r="BK169" i="8" s="1"/>
  <c r="AL714" i="8"/>
  <c r="BE714" i="8" s="1"/>
  <c r="AI489" i="8"/>
  <c r="AQ571" i="8"/>
  <c r="BJ571" i="8" s="1"/>
  <c r="J33" i="5"/>
  <c r="AK262" i="8"/>
  <c r="BD262" i="8" s="1"/>
  <c r="AM473" i="8"/>
  <c r="BF473" i="8" s="1"/>
  <c r="AJ331" i="8"/>
  <c r="BC331" i="8" s="1"/>
  <c r="AK159" i="1"/>
  <c r="BD159" i="1" s="1"/>
  <c r="AP169" i="1"/>
  <c r="BI169" i="1" s="1"/>
  <c r="AP331" i="8"/>
  <c r="BI331" i="8" s="1"/>
  <c r="AN601" i="8"/>
  <c r="BG601" i="8" s="1"/>
  <c r="AI98" i="1"/>
  <c r="AJ169" i="1"/>
  <c r="BC169" i="1" s="1"/>
  <c r="AM583" i="8"/>
  <c r="BF583" i="8" s="1"/>
  <c r="AO773" i="1"/>
  <c r="BH773" i="1" s="1"/>
  <c r="AM692" i="8"/>
  <c r="BF692" i="8" s="1"/>
  <c r="AQ583" i="8"/>
  <c r="BJ583" i="8" s="1"/>
  <c r="AN592" i="8"/>
  <c r="BG592" i="8" s="1"/>
  <c r="AK261" i="8"/>
  <c r="BD261" i="8" s="1"/>
  <c r="AM758" i="1"/>
  <c r="BF758" i="1" s="1"/>
  <c r="AJ773" i="1"/>
  <c r="BC773" i="1" s="1"/>
  <c r="AI418" i="8"/>
  <c r="BB418" i="8" s="1"/>
  <c r="AR435" i="8"/>
  <c r="BK435" i="8" s="1"/>
  <c r="AI673" i="8"/>
  <c r="BB673" i="8" s="1"/>
  <c r="AL749" i="8"/>
  <c r="BE749" i="8" s="1"/>
  <c r="AQ733" i="8"/>
  <c r="BJ733" i="8" s="1"/>
  <c r="AP111" i="1"/>
  <c r="BI111" i="1" s="1"/>
  <c r="AM760" i="1"/>
  <c r="BF760" i="1" s="1"/>
  <c r="AN756" i="1"/>
  <c r="BG756" i="1" s="1"/>
  <c r="AJ758" i="1"/>
  <c r="BC758" i="1" s="1"/>
  <c r="AK673" i="8"/>
  <c r="BD673" i="8" s="1"/>
  <c r="AQ749" i="8"/>
  <c r="BJ749" i="8" s="1"/>
  <c r="AI733" i="8"/>
  <c r="AI212" i="1"/>
  <c r="AQ427" i="8"/>
  <c r="BJ427" i="8" s="1"/>
  <c r="AL133" i="1"/>
  <c r="BE133" i="1" s="1"/>
  <c r="AN209" i="1"/>
  <c r="BG209" i="1" s="1"/>
  <c r="AI208" i="1"/>
  <c r="BB208" i="1" s="1"/>
  <c r="AQ676" i="1"/>
  <c r="BJ676" i="1" s="1"/>
  <c r="AI676" i="1"/>
  <c r="AM691" i="1"/>
  <c r="BF691" i="1" s="1"/>
  <c r="AJ701" i="1"/>
  <c r="BC701" i="1" s="1"/>
  <c r="AM720" i="1"/>
  <c r="BF720" i="1" s="1"/>
  <c r="AJ747" i="1"/>
  <c r="BC747" i="1" s="1"/>
  <c r="AI722" i="1"/>
  <c r="AR713" i="1"/>
  <c r="BK713" i="1" s="1"/>
  <c r="AN757" i="1"/>
  <c r="BG757" i="1" s="1"/>
  <c r="AR338" i="8"/>
  <c r="BK338" i="8" s="1"/>
  <c r="AO438" i="8"/>
  <c r="BH438" i="8" s="1"/>
  <c r="AP209" i="8"/>
  <c r="BI209" i="8" s="1"/>
  <c r="AK209" i="8"/>
  <c r="BD209" i="8" s="1"/>
  <c r="AO265" i="8"/>
  <c r="BH265" i="8" s="1"/>
  <c r="AN374" i="8"/>
  <c r="BG374" i="8" s="1"/>
  <c r="AP283" i="8"/>
  <c r="BI283" i="8" s="1"/>
  <c r="AK350" i="8"/>
  <c r="BD350" i="8" s="1"/>
  <c r="AR260" i="8"/>
  <c r="BK260" i="8" s="1"/>
  <c r="AL406" i="8"/>
  <c r="BE406" i="8" s="1"/>
  <c r="AI427" i="8"/>
  <c r="AM385" i="8"/>
  <c r="BF385" i="8" s="1"/>
  <c r="AI437" i="8"/>
  <c r="AI553" i="8"/>
  <c r="BB553" i="8" s="1"/>
  <c r="AL334" i="8"/>
  <c r="BE334" i="8" s="1"/>
  <c r="AR286" i="8"/>
  <c r="BK286" i="8" s="1"/>
  <c r="AQ380" i="8"/>
  <c r="BJ380" i="8" s="1"/>
  <c r="AP567" i="8"/>
  <c r="BI567" i="8" s="1"/>
  <c r="AL158" i="8"/>
  <c r="BE158" i="8" s="1"/>
  <c r="AP695" i="8"/>
  <c r="BI695" i="8" s="1"/>
  <c r="AN242" i="8"/>
  <c r="BG242" i="8" s="1"/>
  <c r="AQ242" i="8"/>
  <c r="BJ242" i="8" s="1"/>
  <c r="AQ432" i="8"/>
  <c r="BJ432" i="8" s="1"/>
  <c r="AP482" i="8"/>
  <c r="BI482" i="8" s="1"/>
  <c r="AP389" i="8"/>
  <c r="BI389" i="8" s="1"/>
  <c r="AO598" i="8"/>
  <c r="BH598" i="8" s="1"/>
  <c r="AQ296" i="8"/>
  <c r="BJ296" i="8" s="1"/>
  <c r="AO594" i="8"/>
  <c r="BH594" i="8" s="1"/>
  <c r="AL576" i="8"/>
  <c r="BE576" i="8" s="1"/>
  <c r="AN611" i="8"/>
  <c r="BG611" i="8" s="1"/>
  <c r="AM406" i="8"/>
  <c r="BF406" i="8" s="1"/>
  <c r="AR88" i="1"/>
  <c r="BK88" i="1" s="1"/>
  <c r="AR133" i="1"/>
  <c r="BK133" i="1" s="1"/>
  <c r="AI133" i="1"/>
  <c r="AL88" i="1"/>
  <c r="BE88" i="1" s="1"/>
  <c r="AK88" i="1"/>
  <c r="BD88" i="1" s="1"/>
  <c r="AP209" i="1"/>
  <c r="BI209" i="1" s="1"/>
  <c r="AL209" i="1"/>
  <c r="BE209" i="1" s="1"/>
  <c r="AP208" i="1"/>
  <c r="BI208" i="1" s="1"/>
  <c r="AP199" i="1"/>
  <c r="BI199" i="1" s="1"/>
  <c r="AP676" i="1"/>
  <c r="BI676" i="1" s="1"/>
  <c r="AI701" i="1"/>
  <c r="AR720" i="1"/>
  <c r="BK720" i="1" s="1"/>
  <c r="AI747" i="1"/>
  <c r="AO747" i="1"/>
  <c r="BH747" i="1" s="1"/>
  <c r="AK713" i="1"/>
  <c r="BD713" i="1" s="1"/>
  <c r="AN713" i="1"/>
  <c r="BG713" i="1" s="1"/>
  <c r="AM757" i="1"/>
  <c r="BF757" i="1" s="1"/>
  <c r="AK487" i="8"/>
  <c r="BD487" i="8" s="1"/>
  <c r="AK338" i="8"/>
  <c r="BD338" i="8" s="1"/>
  <c r="AP438" i="8"/>
  <c r="BI438" i="8" s="1"/>
  <c r="AO209" i="8"/>
  <c r="BH209" i="8" s="1"/>
  <c r="AK265" i="8"/>
  <c r="BD265" i="8" s="1"/>
  <c r="AP374" i="8"/>
  <c r="BI374" i="8" s="1"/>
  <c r="AN283" i="8"/>
  <c r="BG283" i="8" s="1"/>
  <c r="AL350" i="8"/>
  <c r="BE350" i="8" s="1"/>
  <c r="AN420" i="8"/>
  <c r="BG420" i="8" s="1"/>
  <c r="AM260" i="8"/>
  <c r="BF260" i="8" s="1"/>
  <c r="AP248" i="8"/>
  <c r="BI248" i="8" s="1"/>
  <c r="AJ449" i="8"/>
  <c r="BC449" i="8" s="1"/>
  <c r="AJ385" i="8"/>
  <c r="BC385" i="8" s="1"/>
  <c r="AL437" i="8"/>
  <c r="BE437" i="8" s="1"/>
  <c r="AQ553" i="8"/>
  <c r="BJ553" i="8" s="1"/>
  <c r="AO334" i="8"/>
  <c r="BH334" i="8" s="1"/>
  <c r="AM286" i="8"/>
  <c r="BF286" i="8" s="1"/>
  <c r="AK567" i="8"/>
  <c r="BD567" i="8" s="1"/>
  <c r="AI567" i="8"/>
  <c r="AM158" i="8"/>
  <c r="BF158" i="8" s="1"/>
  <c r="AP712" i="8"/>
  <c r="BI712" i="8" s="1"/>
  <c r="AO242" i="8"/>
  <c r="BH242" i="8" s="1"/>
  <c r="AK432" i="8"/>
  <c r="BD432" i="8" s="1"/>
  <c r="AI432" i="8"/>
  <c r="BB432" i="8" s="1"/>
  <c r="AQ482" i="8"/>
  <c r="BJ482" i="8" s="1"/>
  <c r="AI389" i="8"/>
  <c r="BB389" i="8" s="1"/>
  <c r="AM296" i="8"/>
  <c r="BF296" i="8" s="1"/>
  <c r="AQ594" i="8"/>
  <c r="BJ594" i="8" s="1"/>
  <c r="AI594" i="8"/>
  <c r="AO576" i="8"/>
  <c r="BH576" i="8" s="1"/>
  <c r="AK400" i="8"/>
  <c r="BD400" i="8" s="1"/>
  <c r="AJ280" i="8"/>
  <c r="BC280" i="8" s="1"/>
  <c r="AM133" i="1"/>
  <c r="BF133" i="1" s="1"/>
  <c r="AO88" i="1"/>
  <c r="BH88" i="1" s="1"/>
  <c r="AR208" i="1"/>
  <c r="BK208" i="1" s="1"/>
  <c r="AK199" i="1"/>
  <c r="BD199" i="1" s="1"/>
  <c r="AJ199" i="1"/>
  <c r="BC199" i="1" s="1"/>
  <c r="AJ133" i="1"/>
  <c r="BC133" i="1" s="1"/>
  <c r="AP88" i="1"/>
  <c r="BI88" i="1" s="1"/>
  <c r="AR209" i="1"/>
  <c r="BK209" i="1" s="1"/>
  <c r="AJ209" i="1"/>
  <c r="BC209" i="1" s="1"/>
  <c r="AL208" i="1"/>
  <c r="BE208" i="1" s="1"/>
  <c r="AL199" i="1"/>
  <c r="BE199" i="1" s="1"/>
  <c r="AO676" i="1"/>
  <c r="BH676" i="1" s="1"/>
  <c r="AR701" i="1"/>
  <c r="BK701" i="1" s="1"/>
  <c r="AJ720" i="1"/>
  <c r="BC720" i="1" s="1"/>
  <c r="AP747" i="1"/>
  <c r="BI747" i="1" s="1"/>
  <c r="AK747" i="1"/>
  <c r="BD747" i="1" s="1"/>
  <c r="AL713" i="1"/>
  <c r="BE713" i="1" s="1"/>
  <c r="AJ713" i="1"/>
  <c r="BC713" i="1" s="1"/>
  <c r="AO757" i="1"/>
  <c r="BH757" i="1" s="1"/>
  <c r="AR694" i="1"/>
  <c r="BK694" i="1" s="1"/>
  <c r="AN487" i="8"/>
  <c r="BG487" i="8" s="1"/>
  <c r="AQ438" i="8"/>
  <c r="BJ438" i="8" s="1"/>
  <c r="AI209" i="8"/>
  <c r="BB209" i="8" s="1"/>
  <c r="AL265" i="8"/>
  <c r="BE265" i="8" s="1"/>
  <c r="AN363" i="8"/>
  <c r="BG363" i="8" s="1"/>
  <c r="AI269" i="8"/>
  <c r="BB269" i="8" s="1"/>
  <c r="AM374" i="8"/>
  <c r="BF374" i="8" s="1"/>
  <c r="AN318" i="8"/>
  <c r="BG318" i="8" s="1"/>
  <c r="AJ350" i="8"/>
  <c r="BC350" i="8" s="1"/>
  <c r="AO350" i="8"/>
  <c r="BH350" i="8" s="1"/>
  <c r="AK464" i="8"/>
  <c r="BD464" i="8" s="1"/>
  <c r="AN260" i="8"/>
  <c r="BG260" i="8" s="1"/>
  <c r="AJ248" i="8"/>
  <c r="BC248" i="8" s="1"/>
  <c r="AI738" i="8"/>
  <c r="BB738" i="8" s="1"/>
  <c r="AR449" i="8"/>
  <c r="BK449" i="8" s="1"/>
  <c r="AR385" i="8"/>
  <c r="BK385" i="8" s="1"/>
  <c r="AK437" i="8"/>
  <c r="BD437" i="8" s="1"/>
  <c r="AO437" i="8"/>
  <c r="BH437" i="8" s="1"/>
  <c r="AJ553" i="8"/>
  <c r="BC553" i="8" s="1"/>
  <c r="AP334" i="8"/>
  <c r="BI334" i="8" s="1"/>
  <c r="AL580" i="8"/>
  <c r="BE580" i="8" s="1"/>
  <c r="AM567" i="8"/>
  <c r="BF567" i="8" s="1"/>
  <c r="AL567" i="8"/>
  <c r="BE567" i="8" s="1"/>
  <c r="AI158" i="8"/>
  <c r="AN613" i="8"/>
  <c r="BG613" i="8" s="1"/>
  <c r="AN695" i="8"/>
  <c r="BG695" i="8" s="1"/>
  <c r="AP242" i="8"/>
  <c r="BI242" i="8" s="1"/>
  <c r="AQ347" i="8"/>
  <c r="BJ347" i="8" s="1"/>
  <c r="AJ432" i="8"/>
  <c r="BC432" i="8" s="1"/>
  <c r="AN432" i="8"/>
  <c r="BG432" i="8" s="1"/>
  <c r="AL482" i="8"/>
  <c r="BE482" i="8" s="1"/>
  <c r="AJ296" i="8"/>
  <c r="BC296" i="8" s="1"/>
  <c r="AJ594" i="8"/>
  <c r="BC594" i="8" s="1"/>
  <c r="AL594" i="8"/>
  <c r="BE594" i="8" s="1"/>
  <c r="AQ654" i="8"/>
  <c r="BJ654" i="8" s="1"/>
  <c r="AN168" i="8"/>
  <c r="BG168" i="8" s="1"/>
  <c r="AQ445" i="8"/>
  <c r="BJ445" i="8" s="1"/>
  <c r="AK209" i="1"/>
  <c r="BD209" i="1" s="1"/>
  <c r="AQ208" i="1"/>
  <c r="BJ208" i="1" s="1"/>
  <c r="AI199" i="1"/>
  <c r="AN676" i="1"/>
  <c r="BG676" i="1" s="1"/>
  <c r="AJ699" i="1"/>
  <c r="BC699" i="1" s="1"/>
  <c r="AR702" i="1"/>
  <c r="BK702" i="1" s="1"/>
  <c r="AM693" i="1"/>
  <c r="BF693" i="1" s="1"/>
  <c r="AQ701" i="1"/>
  <c r="BJ701" i="1" s="1"/>
  <c r="AP720" i="1"/>
  <c r="BI720" i="1" s="1"/>
  <c r="AQ747" i="1"/>
  <c r="BJ747" i="1" s="1"/>
  <c r="AP713" i="1"/>
  <c r="BI713" i="1" s="1"/>
  <c r="AK757" i="1"/>
  <c r="BD757" i="1" s="1"/>
  <c r="AL487" i="8"/>
  <c r="BE487" i="8" s="1"/>
  <c r="AL438" i="8"/>
  <c r="BE438" i="8" s="1"/>
  <c r="AQ209" i="8"/>
  <c r="BJ209" i="8" s="1"/>
  <c r="AI265" i="8"/>
  <c r="BB265" i="8" s="1"/>
  <c r="AL363" i="8"/>
  <c r="BE363" i="8" s="1"/>
  <c r="AJ269" i="8"/>
  <c r="BC269" i="8" s="1"/>
  <c r="AK374" i="8"/>
  <c r="BD374" i="8" s="1"/>
  <c r="AR350" i="8"/>
  <c r="BK350" i="8" s="1"/>
  <c r="AI350" i="8"/>
  <c r="BB350" i="8" s="1"/>
  <c r="AP260" i="8"/>
  <c r="BI260" i="8" s="1"/>
  <c r="AO260" i="8"/>
  <c r="BH260" i="8" s="1"/>
  <c r="AN336" i="8"/>
  <c r="BG336" i="8" s="1"/>
  <c r="AQ738" i="8"/>
  <c r="BJ738" i="8" s="1"/>
  <c r="AO460" i="8"/>
  <c r="BH460" i="8" s="1"/>
  <c r="AK385" i="8"/>
  <c r="BD385" i="8" s="1"/>
  <c r="AJ437" i="8"/>
  <c r="BC437" i="8" s="1"/>
  <c r="AQ437" i="8"/>
  <c r="BJ437" i="8" s="1"/>
  <c r="AR553" i="8"/>
  <c r="BK553" i="8" s="1"/>
  <c r="AJ334" i="8"/>
  <c r="BC334" i="8" s="1"/>
  <c r="AI341" i="8"/>
  <c r="BB341" i="8" s="1"/>
  <c r="AP380" i="8"/>
  <c r="BI380" i="8" s="1"/>
  <c r="AN567" i="8"/>
  <c r="BG567" i="8" s="1"/>
  <c r="AN158" i="8"/>
  <c r="BG158" i="8" s="1"/>
  <c r="AQ158" i="8"/>
  <c r="BJ158" i="8" s="1"/>
  <c r="AO409" i="8"/>
  <c r="BH409" i="8" s="1"/>
  <c r="AO695" i="8"/>
  <c r="BH695" i="8" s="1"/>
  <c r="AJ242" i="8"/>
  <c r="BC242" i="8" s="1"/>
  <c r="AJ347" i="8"/>
  <c r="BC347" i="8" s="1"/>
  <c r="AL432" i="8"/>
  <c r="BE432" i="8" s="1"/>
  <c r="AI482" i="8"/>
  <c r="AK296" i="8"/>
  <c r="BD296" i="8" s="1"/>
  <c r="AR594" i="8"/>
  <c r="BK594" i="8" s="1"/>
  <c r="AI168" i="8"/>
  <c r="BB168" i="8" s="1"/>
  <c r="AR505" i="8"/>
  <c r="BK505" i="8" s="1"/>
  <c r="AP133" i="1"/>
  <c r="BI133" i="1" s="1"/>
  <c r="AM88" i="1"/>
  <c r="BF88" i="1" s="1"/>
  <c r="AQ209" i="1"/>
  <c r="BJ209" i="1" s="1"/>
  <c r="AO208" i="1"/>
  <c r="BH208" i="1" s="1"/>
  <c r="AN199" i="1"/>
  <c r="BG199" i="1" s="1"/>
  <c r="AM676" i="1"/>
  <c r="BF676" i="1" s="1"/>
  <c r="AL692" i="1"/>
  <c r="BE692" i="1" s="1"/>
  <c r="AP701" i="1"/>
  <c r="BI701" i="1" s="1"/>
  <c r="AL720" i="1"/>
  <c r="BE720" i="1" s="1"/>
  <c r="AM742" i="1"/>
  <c r="BF742" i="1" s="1"/>
  <c r="AM747" i="1"/>
  <c r="BF747" i="1" s="1"/>
  <c r="AO713" i="1"/>
  <c r="BH713" i="1" s="1"/>
  <c r="AI757" i="1"/>
  <c r="AP757" i="1"/>
  <c r="BI757" i="1" s="1"/>
  <c r="AJ392" i="8"/>
  <c r="BC392" i="8" s="1"/>
  <c r="AI222" i="8"/>
  <c r="BB222" i="8" s="1"/>
  <c r="AN438" i="8"/>
  <c r="BG438" i="8" s="1"/>
  <c r="AJ209" i="8"/>
  <c r="BC209" i="8" s="1"/>
  <c r="AN265" i="8"/>
  <c r="BG265" i="8" s="1"/>
  <c r="AP269" i="8"/>
  <c r="BI269" i="8" s="1"/>
  <c r="AJ374" i="8"/>
  <c r="BC374" i="8" s="1"/>
  <c r="AP350" i="8"/>
  <c r="BI350" i="8" s="1"/>
  <c r="AI260" i="8"/>
  <c r="BB260" i="8" s="1"/>
  <c r="AK260" i="8"/>
  <c r="BD260" i="8" s="1"/>
  <c r="AK336" i="8"/>
  <c r="BD336" i="8" s="1"/>
  <c r="AJ314" i="8"/>
  <c r="BC314" i="8" s="1"/>
  <c r="AN385" i="8"/>
  <c r="BG385" i="8" s="1"/>
  <c r="AM437" i="8"/>
  <c r="BF437" i="8" s="1"/>
  <c r="AP737" i="8"/>
  <c r="BI737" i="8" s="1"/>
  <c r="AK226" i="8"/>
  <c r="BD226" i="8" s="1"/>
  <c r="AR334" i="8"/>
  <c r="BK334" i="8" s="1"/>
  <c r="AQ341" i="8"/>
  <c r="BJ341" i="8" s="1"/>
  <c r="AL380" i="8"/>
  <c r="BE380" i="8" s="1"/>
  <c r="AQ567" i="8"/>
  <c r="BJ567" i="8" s="1"/>
  <c r="AO158" i="8"/>
  <c r="BH158" i="8" s="1"/>
  <c r="AP158" i="8"/>
  <c r="BI158" i="8" s="1"/>
  <c r="AJ409" i="8"/>
  <c r="BC409" i="8" s="1"/>
  <c r="AQ695" i="8"/>
  <c r="BJ695" i="8" s="1"/>
  <c r="AR242" i="8"/>
  <c r="BK242" i="8" s="1"/>
  <c r="AL347" i="8"/>
  <c r="BE347" i="8" s="1"/>
  <c r="AR432" i="8"/>
  <c r="BK432" i="8" s="1"/>
  <c r="AJ482" i="8"/>
  <c r="BC482" i="8" s="1"/>
  <c r="AP296" i="8"/>
  <c r="BI296" i="8" s="1"/>
  <c r="AM594" i="8"/>
  <c r="BF594" i="8" s="1"/>
  <c r="AN505" i="8"/>
  <c r="BG505" i="8" s="1"/>
  <c r="AK244" i="8"/>
  <c r="BD244" i="8" s="1"/>
  <c r="AK133" i="1"/>
  <c r="BD133" i="1" s="1"/>
  <c r="AQ88" i="1"/>
  <c r="BJ88" i="1" s="1"/>
  <c r="AN679" i="1"/>
  <c r="BG679" i="1" s="1"/>
  <c r="AQ720" i="1"/>
  <c r="BJ720" i="1" s="1"/>
  <c r="AJ742" i="1"/>
  <c r="BC742" i="1" s="1"/>
  <c r="AJ757" i="1"/>
  <c r="BC757" i="1" s="1"/>
  <c r="AJ694" i="1"/>
  <c r="BC694" i="1" s="1"/>
  <c r="AN392" i="8"/>
  <c r="BG392" i="8" s="1"/>
  <c r="AL657" i="8"/>
  <c r="BE657" i="8" s="1"/>
  <c r="AK438" i="8"/>
  <c r="BD438" i="8" s="1"/>
  <c r="AK269" i="8"/>
  <c r="BD269" i="8" s="1"/>
  <c r="AI314" i="8"/>
  <c r="BB314" i="8" s="1"/>
  <c r="AI737" i="8"/>
  <c r="AJ226" i="8"/>
  <c r="BC226" i="8" s="1"/>
  <c r="AM334" i="8"/>
  <c r="BF334" i="8" s="1"/>
  <c r="AR341" i="8"/>
  <c r="BK341" i="8" s="1"/>
  <c r="AJ380" i="8"/>
  <c r="BC380" i="8" s="1"/>
  <c r="AP670" i="8"/>
  <c r="BI670" i="8" s="1"/>
  <c r="AJ695" i="8"/>
  <c r="BC695" i="8" s="1"/>
  <c r="AN482" i="8"/>
  <c r="BG482" i="8" s="1"/>
  <c r="AL296" i="8"/>
  <c r="BE296" i="8" s="1"/>
  <c r="AQ228" i="8"/>
  <c r="BJ228" i="8" s="1"/>
  <c r="AI611" i="8"/>
  <c r="AK560" i="8"/>
  <c r="BD560" i="8" s="1"/>
  <c r="AM219" i="8"/>
  <c r="BF219" i="8" s="1"/>
  <c r="AK263" i="8"/>
  <c r="BD263" i="8" s="1"/>
  <c r="AJ304" i="8"/>
  <c r="BC304" i="8" s="1"/>
  <c r="AI451" i="8"/>
  <c r="BB451" i="8" s="1"/>
  <c r="AP344" i="8"/>
  <c r="BI344" i="8" s="1"/>
  <c r="AM705" i="8"/>
  <c r="BF705" i="8" s="1"/>
  <c r="AR373" i="8"/>
  <c r="BK373" i="8" s="1"/>
  <c r="AJ287" i="8"/>
  <c r="BC287" i="8" s="1"/>
  <c r="AP756" i="8"/>
  <c r="BI756" i="8" s="1"/>
  <c r="AR650" i="8"/>
  <c r="BK650" i="8" s="1"/>
  <c r="AN425" i="8"/>
  <c r="BG425" i="8" s="1"/>
  <c r="AK273" i="8"/>
  <c r="BD273" i="8" s="1"/>
  <c r="AL212" i="8"/>
  <c r="BE212" i="8" s="1"/>
  <c r="AK684" i="8"/>
  <c r="BD684" i="8" s="1"/>
  <c r="AL684" i="8"/>
  <c r="BE684" i="8" s="1"/>
  <c r="AP398" i="8"/>
  <c r="BI398" i="8" s="1"/>
  <c r="AQ506" i="8"/>
  <c r="BJ506" i="8" s="1"/>
  <c r="AN127" i="8"/>
  <c r="BG127" i="8" s="1"/>
  <c r="AI577" i="8"/>
  <c r="BB577" i="8" s="1"/>
  <c r="AQ454" i="8"/>
  <c r="BJ454" i="8" s="1"/>
  <c r="AK618" i="8"/>
  <c r="BD618" i="8" s="1"/>
  <c r="AJ687" i="8"/>
  <c r="BC687" i="8" s="1"/>
  <c r="AJ635" i="8"/>
  <c r="BC635" i="8" s="1"/>
  <c r="AL218" i="8"/>
  <c r="BE218" i="8" s="1"/>
  <c r="AN358" i="8"/>
  <c r="BG358" i="8" s="1"/>
  <c r="AN221" i="8"/>
  <c r="BG221" i="8" s="1"/>
  <c r="AL243" i="8"/>
  <c r="BE243" i="8" s="1"/>
  <c r="AO668" i="8"/>
  <c r="BH668" i="8" s="1"/>
  <c r="AR440" i="8"/>
  <c r="BK440" i="8" s="1"/>
  <c r="AJ298" i="8"/>
  <c r="BC298" i="8" s="1"/>
  <c r="AL179" i="8"/>
  <c r="BE179" i="8" s="1"/>
  <c r="AN675" i="8"/>
  <c r="BG675" i="8" s="1"/>
  <c r="AQ705" i="1"/>
  <c r="BJ705" i="1" s="1"/>
  <c r="AR737" i="1"/>
  <c r="BK737" i="1" s="1"/>
  <c r="AM746" i="1"/>
  <c r="BF746" i="1" s="1"/>
  <c r="AI525" i="8"/>
  <c r="BB525" i="8" s="1"/>
  <c r="AQ137" i="1"/>
  <c r="BJ137" i="1" s="1"/>
  <c r="AK137" i="1"/>
  <c r="BD137" i="1" s="1"/>
  <c r="AR150" i="1"/>
  <c r="BK150" i="1" s="1"/>
  <c r="AQ120" i="1"/>
  <c r="BJ120" i="1" s="1"/>
  <c r="AK120" i="1"/>
  <c r="BD120" i="1" s="1"/>
  <c r="AM168" i="1"/>
  <c r="BF168" i="1" s="1"/>
  <c r="AJ189" i="1"/>
  <c r="BC189" i="1" s="1"/>
  <c r="AK179" i="1"/>
  <c r="BD179" i="1" s="1"/>
  <c r="AO668" i="1"/>
  <c r="BH668" i="1" s="1"/>
  <c r="AM674" i="1"/>
  <c r="BF674" i="1" s="1"/>
  <c r="AL672" i="1"/>
  <c r="BE672" i="1" s="1"/>
  <c r="AM709" i="1"/>
  <c r="BF709" i="1" s="1"/>
  <c r="AP705" i="1"/>
  <c r="BI705" i="1" s="1"/>
  <c r="AM705" i="1"/>
  <c r="BF705" i="1" s="1"/>
  <c r="AI730" i="1"/>
  <c r="BB730" i="1" s="1"/>
  <c r="AO737" i="1"/>
  <c r="BH737" i="1" s="1"/>
  <c r="AN737" i="1"/>
  <c r="BG737" i="1" s="1"/>
  <c r="AR724" i="1"/>
  <c r="BK724" i="1" s="1"/>
  <c r="AQ748" i="1"/>
  <c r="BJ748" i="1" s="1"/>
  <c r="AP767" i="1"/>
  <c r="BI767" i="1" s="1"/>
  <c r="AI673" i="1"/>
  <c r="BB673" i="1" s="1"/>
  <c r="AN673" i="1"/>
  <c r="BG673" i="1" s="1"/>
  <c r="AK746" i="1"/>
  <c r="BD746" i="1" s="1"/>
  <c r="AQ746" i="1"/>
  <c r="BJ746" i="1" s="1"/>
  <c r="AO746" i="1"/>
  <c r="BH746" i="1" s="1"/>
  <c r="AN714" i="1"/>
  <c r="BG714" i="1" s="1"/>
  <c r="AJ714" i="1"/>
  <c r="BC714" i="1" s="1"/>
  <c r="AQ525" i="8"/>
  <c r="BJ525" i="8" s="1"/>
  <c r="AP525" i="8"/>
  <c r="BI525" i="8" s="1"/>
  <c r="AK617" i="8"/>
  <c r="BD617" i="8" s="1"/>
  <c r="AP627" i="8"/>
  <c r="BI627" i="8" s="1"/>
  <c r="AN627" i="8"/>
  <c r="BG627" i="8" s="1"/>
  <c r="AN756" i="8"/>
  <c r="BG756" i="8" s="1"/>
  <c r="AJ423" i="8"/>
  <c r="BC423" i="8" s="1"/>
  <c r="AO527" i="8"/>
  <c r="BH527" i="8" s="1"/>
  <c r="AK650" i="8"/>
  <c r="BD650" i="8" s="1"/>
  <c r="AJ650" i="8"/>
  <c r="BC650" i="8" s="1"/>
  <c r="AN229" i="8"/>
  <c r="BG229" i="8" s="1"/>
  <c r="AN178" i="8"/>
  <c r="BG178" i="8" s="1"/>
  <c r="AQ178" i="8"/>
  <c r="BJ178" i="8" s="1"/>
  <c r="AK589" i="8"/>
  <c r="BD589" i="8" s="1"/>
  <c r="AK570" i="8"/>
  <c r="BD570" i="8" s="1"/>
  <c r="AL685" i="8"/>
  <c r="BE685" i="8" s="1"/>
  <c r="AM663" i="8"/>
  <c r="BF663" i="8" s="1"/>
  <c r="AR639" i="8"/>
  <c r="BK639" i="8" s="1"/>
  <c r="AI425" i="8"/>
  <c r="BB425" i="8" s="1"/>
  <c r="AQ273" i="8"/>
  <c r="BJ273" i="8" s="1"/>
  <c r="AJ212" i="8"/>
  <c r="BC212" i="8" s="1"/>
  <c r="AM684" i="8"/>
  <c r="BF684" i="8" s="1"/>
  <c r="AP684" i="8"/>
  <c r="BI684" i="8" s="1"/>
  <c r="AQ398" i="8"/>
  <c r="BJ398" i="8" s="1"/>
  <c r="AO506" i="8"/>
  <c r="BH506" i="8" s="1"/>
  <c r="AM127" i="8"/>
  <c r="BF127" i="8" s="1"/>
  <c r="AM577" i="8"/>
  <c r="BF577" i="8" s="1"/>
  <c r="AJ454" i="8"/>
  <c r="BC454" i="8" s="1"/>
  <c r="AM618" i="8"/>
  <c r="BF618" i="8" s="1"/>
  <c r="AQ523" i="8"/>
  <c r="BJ523" i="8" s="1"/>
  <c r="AM687" i="8"/>
  <c r="BF687" i="8" s="1"/>
  <c r="AL635" i="8"/>
  <c r="BE635" i="8" s="1"/>
  <c r="AP218" i="8"/>
  <c r="BI218" i="8" s="1"/>
  <c r="AP358" i="8"/>
  <c r="BI358" i="8" s="1"/>
  <c r="AQ221" i="8"/>
  <c r="BJ221" i="8" s="1"/>
  <c r="AJ476" i="8"/>
  <c r="BC476" i="8" s="1"/>
  <c r="AN243" i="8"/>
  <c r="BG243" i="8" s="1"/>
  <c r="AM243" i="8"/>
  <c r="BF243" i="8" s="1"/>
  <c r="AI668" i="8"/>
  <c r="AL298" i="8"/>
  <c r="BE298" i="8" s="1"/>
  <c r="AP179" i="8"/>
  <c r="BI179" i="8" s="1"/>
  <c r="AM730" i="1"/>
  <c r="BF730" i="1" s="1"/>
  <c r="AL714" i="1"/>
  <c r="BE714" i="1" s="1"/>
  <c r="AP714" i="1"/>
  <c r="BI714" i="1" s="1"/>
  <c r="AI617" i="8"/>
  <c r="BB617" i="8" s="1"/>
  <c r="AP650" i="8"/>
  <c r="BI650" i="8" s="1"/>
  <c r="AL229" i="8"/>
  <c r="BE229" i="8" s="1"/>
  <c r="AP685" i="8"/>
  <c r="BI685" i="8" s="1"/>
  <c r="AQ639" i="8"/>
  <c r="BJ639" i="8" s="1"/>
  <c r="AI137" i="1"/>
  <c r="BB137" i="1" s="1"/>
  <c r="AL150" i="1"/>
  <c r="BE150" i="1" s="1"/>
  <c r="AL120" i="1"/>
  <c r="BE120" i="1" s="1"/>
  <c r="AN168" i="1"/>
  <c r="BG168" i="1" s="1"/>
  <c r="AK168" i="1"/>
  <c r="BD168" i="1" s="1"/>
  <c r="AN189" i="1"/>
  <c r="BG189" i="1" s="1"/>
  <c r="AL179" i="1"/>
  <c r="BE179" i="1" s="1"/>
  <c r="AR179" i="1"/>
  <c r="BK179" i="1" s="1"/>
  <c r="AN668" i="1"/>
  <c r="BG668" i="1" s="1"/>
  <c r="AL674" i="1"/>
  <c r="BE674" i="1" s="1"/>
  <c r="AK672" i="1"/>
  <c r="BD672" i="1" s="1"/>
  <c r="AP709" i="1"/>
  <c r="BI709" i="1" s="1"/>
  <c r="AO705" i="1"/>
  <c r="BH705" i="1" s="1"/>
  <c r="AI705" i="1"/>
  <c r="AR730" i="1"/>
  <c r="BK730" i="1" s="1"/>
  <c r="AP730" i="1"/>
  <c r="BI730" i="1" s="1"/>
  <c r="AP737" i="1"/>
  <c r="BI737" i="1" s="1"/>
  <c r="AJ737" i="1"/>
  <c r="BC737" i="1" s="1"/>
  <c r="AN724" i="1"/>
  <c r="BG724" i="1" s="1"/>
  <c r="AO748" i="1"/>
  <c r="BH748" i="1" s="1"/>
  <c r="AM748" i="1"/>
  <c r="BF748" i="1" s="1"/>
  <c r="AN767" i="1"/>
  <c r="BG767" i="1" s="1"/>
  <c r="AQ673" i="1"/>
  <c r="BJ673" i="1" s="1"/>
  <c r="AJ746" i="1"/>
  <c r="BC746" i="1" s="1"/>
  <c r="AI714" i="1"/>
  <c r="BB714" i="1" s="1"/>
  <c r="AJ525" i="8"/>
  <c r="BC525" i="8" s="1"/>
  <c r="AN617" i="8"/>
  <c r="BG617" i="8" s="1"/>
  <c r="AL617" i="8"/>
  <c r="BE617" i="8" s="1"/>
  <c r="AI627" i="8"/>
  <c r="AM756" i="8"/>
  <c r="BF756" i="8" s="1"/>
  <c r="AL756" i="8"/>
  <c r="BE756" i="8" s="1"/>
  <c r="AN423" i="8"/>
  <c r="BG423" i="8" s="1"/>
  <c r="AM527" i="8"/>
  <c r="BF527" i="8" s="1"/>
  <c r="AI650" i="8"/>
  <c r="BB650" i="8" s="1"/>
  <c r="AM229" i="8"/>
  <c r="BF229" i="8" s="1"/>
  <c r="AP178" i="8"/>
  <c r="BI178" i="8" s="1"/>
  <c r="AO178" i="8"/>
  <c r="BH178" i="8" s="1"/>
  <c r="AO589" i="8"/>
  <c r="BH589" i="8" s="1"/>
  <c r="AL570" i="8"/>
  <c r="BE570" i="8" s="1"/>
  <c r="AK685" i="8"/>
  <c r="BD685" i="8" s="1"/>
  <c r="AN663" i="8"/>
  <c r="BG663" i="8" s="1"/>
  <c r="AJ639" i="8"/>
  <c r="BC639" i="8" s="1"/>
  <c r="AO425" i="8"/>
  <c r="BH425" i="8" s="1"/>
  <c r="AN672" i="8"/>
  <c r="BG672" i="8" s="1"/>
  <c r="AP212" i="8"/>
  <c r="BI212" i="8" s="1"/>
  <c r="AM212" i="8"/>
  <c r="BF212" i="8" s="1"/>
  <c r="AN684" i="8"/>
  <c r="BG684" i="8" s="1"/>
  <c r="AK398" i="8"/>
  <c r="BD398" i="8" s="1"/>
  <c r="AP506" i="8"/>
  <c r="BI506" i="8" s="1"/>
  <c r="AQ127" i="8"/>
  <c r="BJ127" i="8" s="1"/>
  <c r="AO454" i="8"/>
  <c r="BH454" i="8" s="1"/>
  <c r="AN454" i="8"/>
  <c r="BG454" i="8" s="1"/>
  <c r="AL618" i="8"/>
  <c r="BE618" i="8" s="1"/>
  <c r="AN523" i="8"/>
  <c r="BG523" i="8" s="1"/>
  <c r="AO687" i="8"/>
  <c r="BH687" i="8" s="1"/>
  <c r="AR635" i="8"/>
  <c r="BK635" i="8" s="1"/>
  <c r="AQ358" i="8"/>
  <c r="BJ358" i="8" s="1"/>
  <c r="AM216" i="8"/>
  <c r="BF216" i="8" s="1"/>
  <c r="AI476" i="8"/>
  <c r="BB476" i="8" s="1"/>
  <c r="AO243" i="8"/>
  <c r="BH243" i="8" s="1"/>
  <c r="AP243" i="8"/>
  <c r="BI243" i="8" s="1"/>
  <c r="AQ668" i="8"/>
  <c r="BJ668" i="8" s="1"/>
  <c r="AN367" i="8"/>
  <c r="BG367" i="8" s="1"/>
  <c r="AN428" i="8"/>
  <c r="BG428" i="8" s="1"/>
  <c r="AL724" i="1"/>
  <c r="BE724" i="1" s="1"/>
  <c r="AO525" i="8"/>
  <c r="BH525" i="8" s="1"/>
  <c r="AQ423" i="8"/>
  <c r="BJ423" i="8" s="1"/>
  <c r="AL527" i="8"/>
  <c r="BE527" i="8" s="1"/>
  <c r="AM178" i="8"/>
  <c r="BF178" i="8" s="1"/>
  <c r="AI589" i="8"/>
  <c r="AN570" i="8"/>
  <c r="BG570" i="8" s="1"/>
  <c r="AJ663" i="8"/>
  <c r="BC663" i="8" s="1"/>
  <c r="AJ137" i="1"/>
  <c r="BC137" i="1" s="1"/>
  <c r="AK150" i="1"/>
  <c r="BD150" i="1" s="1"/>
  <c r="AM120" i="1"/>
  <c r="BF120" i="1" s="1"/>
  <c r="AR168" i="1"/>
  <c r="BK168" i="1" s="1"/>
  <c r="AI168" i="1"/>
  <c r="BB168" i="1" s="1"/>
  <c r="AM189" i="1"/>
  <c r="BF189" i="1" s="1"/>
  <c r="AN179" i="1"/>
  <c r="BG179" i="1" s="1"/>
  <c r="AP179" i="1"/>
  <c r="BI179" i="1" s="1"/>
  <c r="AM668" i="1"/>
  <c r="BF668" i="1" s="1"/>
  <c r="AK674" i="1"/>
  <c r="BD674" i="1" s="1"/>
  <c r="AR672" i="1"/>
  <c r="BK672" i="1" s="1"/>
  <c r="AJ672" i="1"/>
  <c r="BC672" i="1" s="1"/>
  <c r="AL709" i="1"/>
  <c r="BE709" i="1" s="1"/>
  <c r="AL705" i="1"/>
  <c r="BE705" i="1" s="1"/>
  <c r="AJ730" i="1"/>
  <c r="BC730" i="1" s="1"/>
  <c r="AL730" i="1"/>
  <c r="BE730" i="1" s="1"/>
  <c r="AL737" i="1"/>
  <c r="BE737" i="1" s="1"/>
  <c r="AJ724" i="1"/>
  <c r="BC724" i="1" s="1"/>
  <c r="AL748" i="1"/>
  <c r="BE748" i="1" s="1"/>
  <c r="AI748" i="1"/>
  <c r="AQ767" i="1"/>
  <c r="BJ767" i="1" s="1"/>
  <c r="AL767" i="1"/>
  <c r="BE767" i="1" s="1"/>
  <c r="AO673" i="1"/>
  <c r="BH673" i="1" s="1"/>
  <c r="AP746" i="1"/>
  <c r="BI746" i="1" s="1"/>
  <c r="AM714" i="1"/>
  <c r="BF714" i="1" s="1"/>
  <c r="AR714" i="1"/>
  <c r="BK714" i="1" s="1"/>
  <c r="AL525" i="8"/>
  <c r="BE525" i="8" s="1"/>
  <c r="AO617" i="8"/>
  <c r="BH617" i="8" s="1"/>
  <c r="AQ617" i="8"/>
  <c r="BJ617" i="8" s="1"/>
  <c r="AQ627" i="8"/>
  <c r="BJ627" i="8" s="1"/>
  <c r="AR756" i="8"/>
  <c r="BK756" i="8" s="1"/>
  <c r="AK756" i="8"/>
  <c r="BD756" i="8" s="1"/>
  <c r="AL423" i="8"/>
  <c r="BE423" i="8" s="1"/>
  <c r="AR423" i="8"/>
  <c r="BK423" i="8" s="1"/>
  <c r="AI527" i="8"/>
  <c r="BB527" i="8" s="1"/>
  <c r="AM650" i="8"/>
  <c r="BF650" i="8" s="1"/>
  <c r="AO229" i="8"/>
  <c r="BH229" i="8" s="1"/>
  <c r="AR178" i="8"/>
  <c r="BK178" i="8" s="1"/>
  <c r="AR589" i="8"/>
  <c r="BK589" i="8" s="1"/>
  <c r="AR570" i="8"/>
  <c r="BK570" i="8" s="1"/>
  <c r="AM685" i="8"/>
  <c r="BF685" i="8" s="1"/>
  <c r="AL663" i="8"/>
  <c r="BE663" i="8" s="1"/>
  <c r="AO663" i="8"/>
  <c r="BH663" i="8" s="1"/>
  <c r="AL425" i="8"/>
  <c r="BE425" i="8" s="1"/>
  <c r="AQ425" i="8"/>
  <c r="BJ425" i="8" s="1"/>
  <c r="AQ212" i="8"/>
  <c r="BJ212" i="8" s="1"/>
  <c r="AO212" i="8"/>
  <c r="BH212" i="8" s="1"/>
  <c r="AO684" i="8"/>
  <c r="BH684" i="8" s="1"/>
  <c r="AJ398" i="8"/>
  <c r="BC398" i="8" s="1"/>
  <c r="AR506" i="8"/>
  <c r="BK506" i="8" s="1"/>
  <c r="AO127" i="8"/>
  <c r="BH127" i="8" s="1"/>
  <c r="AL127" i="8"/>
  <c r="BE127" i="8" s="1"/>
  <c r="AP454" i="8"/>
  <c r="BI454" i="8" s="1"/>
  <c r="AK454" i="8"/>
  <c r="BD454" i="8" s="1"/>
  <c r="AQ618" i="8"/>
  <c r="BJ618" i="8" s="1"/>
  <c r="AO618" i="8"/>
  <c r="BH618" i="8" s="1"/>
  <c r="AL523" i="8"/>
  <c r="BE523" i="8" s="1"/>
  <c r="AI687" i="8"/>
  <c r="AM635" i="8"/>
  <c r="BF635" i="8" s="1"/>
  <c r="AK358" i="8"/>
  <c r="BD358" i="8" s="1"/>
  <c r="AN216" i="8"/>
  <c r="BG216" i="8" s="1"/>
  <c r="AQ476" i="8"/>
  <c r="BJ476" i="8" s="1"/>
  <c r="AI243" i="8"/>
  <c r="AO355" i="8"/>
  <c r="BH355" i="8" s="1"/>
  <c r="AK668" i="8"/>
  <c r="BD668" i="8" s="1"/>
  <c r="AJ367" i="8"/>
  <c r="BC367" i="8" s="1"/>
  <c r="AP220" i="8"/>
  <c r="BI220" i="8" s="1"/>
  <c r="AL558" i="8"/>
  <c r="BE558" i="8" s="1"/>
  <c r="AR399" i="8"/>
  <c r="BK399" i="8" s="1"/>
  <c r="AN674" i="1"/>
  <c r="BG674" i="1" s="1"/>
  <c r="AM672" i="1"/>
  <c r="BF672" i="1" s="1"/>
  <c r="AN709" i="1"/>
  <c r="BG709" i="1" s="1"/>
  <c r="AJ748" i="1"/>
  <c r="BC748" i="1" s="1"/>
  <c r="AR767" i="1"/>
  <c r="BK767" i="1" s="1"/>
  <c r="AR137" i="1"/>
  <c r="BK137" i="1" s="1"/>
  <c r="AM150" i="1"/>
  <c r="BF150" i="1" s="1"/>
  <c r="AI120" i="1"/>
  <c r="BB120" i="1" s="1"/>
  <c r="AP168" i="1"/>
  <c r="BI168" i="1" s="1"/>
  <c r="AO189" i="1"/>
  <c r="BH189" i="1" s="1"/>
  <c r="AK189" i="1"/>
  <c r="BD189" i="1" s="1"/>
  <c r="AI179" i="1"/>
  <c r="BB179" i="1" s="1"/>
  <c r="AL668" i="1"/>
  <c r="BE668" i="1" s="1"/>
  <c r="AR674" i="1"/>
  <c r="BK674" i="1" s="1"/>
  <c r="AJ674" i="1"/>
  <c r="BC674" i="1" s="1"/>
  <c r="AQ672" i="1"/>
  <c r="BJ672" i="1" s="1"/>
  <c r="AI672" i="1"/>
  <c r="AR709" i="1"/>
  <c r="BK709" i="1" s="1"/>
  <c r="AO709" i="1"/>
  <c r="BH709" i="1" s="1"/>
  <c r="AK705" i="1"/>
  <c r="BD705" i="1" s="1"/>
  <c r="AO730" i="1"/>
  <c r="BH730" i="1" s="1"/>
  <c r="AK737" i="1"/>
  <c r="BD737" i="1" s="1"/>
  <c r="AQ724" i="1"/>
  <c r="BJ724" i="1" s="1"/>
  <c r="AK748" i="1"/>
  <c r="BD748" i="1" s="1"/>
  <c r="AO767" i="1"/>
  <c r="BH767" i="1" s="1"/>
  <c r="AJ767" i="1"/>
  <c r="BC767" i="1" s="1"/>
  <c r="AJ673" i="1"/>
  <c r="BC673" i="1" s="1"/>
  <c r="AL673" i="1"/>
  <c r="BE673" i="1" s="1"/>
  <c r="AR746" i="1"/>
  <c r="BK746" i="1" s="1"/>
  <c r="AR525" i="8"/>
  <c r="BK525" i="8" s="1"/>
  <c r="AP617" i="8"/>
  <c r="BI617" i="8" s="1"/>
  <c r="AK627" i="8"/>
  <c r="BD627" i="8" s="1"/>
  <c r="AJ756" i="8"/>
  <c r="BC756" i="8" s="1"/>
  <c r="AM423" i="8"/>
  <c r="BF423" i="8" s="1"/>
  <c r="AK423" i="8"/>
  <c r="BD423" i="8" s="1"/>
  <c r="AQ527" i="8"/>
  <c r="BJ527" i="8" s="1"/>
  <c r="AL650" i="8"/>
  <c r="BE650" i="8" s="1"/>
  <c r="AP229" i="8"/>
  <c r="BI229" i="8" s="1"/>
  <c r="AI178" i="8"/>
  <c r="BB178" i="8" s="1"/>
  <c r="AJ570" i="8"/>
  <c r="BC570" i="8" s="1"/>
  <c r="AQ570" i="8"/>
  <c r="BJ570" i="8" s="1"/>
  <c r="AN685" i="8"/>
  <c r="BG685" i="8" s="1"/>
  <c r="AI663" i="8"/>
  <c r="BB663" i="8" s="1"/>
  <c r="AP663" i="8"/>
  <c r="BI663" i="8" s="1"/>
  <c r="AR425" i="8"/>
  <c r="BK425" i="8" s="1"/>
  <c r="AJ425" i="8"/>
  <c r="BC425" i="8" s="1"/>
  <c r="AR212" i="8"/>
  <c r="BK212" i="8" s="1"/>
  <c r="AI684" i="8"/>
  <c r="BB684" i="8" s="1"/>
  <c r="AO398" i="8"/>
  <c r="BH398" i="8" s="1"/>
  <c r="AK506" i="8"/>
  <c r="BD506" i="8" s="1"/>
  <c r="AP127" i="8"/>
  <c r="BI127" i="8" s="1"/>
  <c r="AI127" i="8"/>
  <c r="BB127" i="8" s="1"/>
  <c r="AL577" i="8"/>
  <c r="BE577" i="8" s="1"/>
  <c r="AR454" i="8"/>
  <c r="BK454" i="8" s="1"/>
  <c r="AP618" i="8"/>
  <c r="BI618" i="8" s="1"/>
  <c r="AN618" i="8"/>
  <c r="BG618" i="8" s="1"/>
  <c r="AL687" i="8"/>
  <c r="BE687" i="8" s="1"/>
  <c r="AN635" i="8"/>
  <c r="BG635" i="8" s="1"/>
  <c r="AL358" i="8"/>
  <c r="BE358" i="8" s="1"/>
  <c r="AI216" i="8"/>
  <c r="BB216" i="8" s="1"/>
  <c r="AR476" i="8"/>
  <c r="BK476" i="8" s="1"/>
  <c r="AQ243" i="8"/>
  <c r="BJ243" i="8" s="1"/>
  <c r="AM355" i="8"/>
  <c r="BF355" i="8" s="1"/>
  <c r="AP668" i="8"/>
  <c r="BI668" i="8" s="1"/>
  <c r="AM367" i="8"/>
  <c r="BF367" i="8" s="1"/>
  <c r="AR732" i="8"/>
  <c r="BK732" i="8" s="1"/>
  <c r="AI150" i="1"/>
  <c r="AP120" i="1"/>
  <c r="BI120" i="1" s="1"/>
  <c r="AJ168" i="1"/>
  <c r="BC168" i="1" s="1"/>
  <c r="AQ189" i="1"/>
  <c r="BJ189" i="1" s="1"/>
  <c r="AI189" i="1"/>
  <c r="BB189" i="1" s="1"/>
  <c r="AQ179" i="1"/>
  <c r="BJ179" i="1" s="1"/>
  <c r="AK668" i="1"/>
  <c r="BD668" i="1" s="1"/>
  <c r="AQ674" i="1"/>
  <c r="BJ674" i="1" s="1"/>
  <c r="AI674" i="1"/>
  <c r="AP672" i="1"/>
  <c r="BI672" i="1" s="1"/>
  <c r="AQ709" i="1"/>
  <c r="BJ709" i="1" s="1"/>
  <c r="AK709" i="1"/>
  <c r="BD709" i="1" s="1"/>
  <c r="AR705" i="1"/>
  <c r="BK705" i="1" s="1"/>
  <c r="AN730" i="1"/>
  <c r="BG730" i="1" s="1"/>
  <c r="AQ737" i="1"/>
  <c r="BJ737" i="1" s="1"/>
  <c r="AK724" i="1"/>
  <c r="BD724" i="1" s="1"/>
  <c r="AM724" i="1"/>
  <c r="BF724" i="1" s="1"/>
  <c r="AP748" i="1"/>
  <c r="BI748" i="1" s="1"/>
  <c r="AM767" i="1"/>
  <c r="BF767" i="1" s="1"/>
  <c r="AR673" i="1"/>
  <c r="BK673" i="1" s="1"/>
  <c r="AO714" i="1"/>
  <c r="BH714" i="1" s="1"/>
  <c r="AM525" i="8"/>
  <c r="BF525" i="8" s="1"/>
  <c r="AJ617" i="8"/>
  <c r="BC617" i="8" s="1"/>
  <c r="AJ627" i="8"/>
  <c r="BC627" i="8" s="1"/>
  <c r="AQ756" i="8"/>
  <c r="BJ756" i="8" s="1"/>
  <c r="AP423" i="8"/>
  <c r="BI423" i="8" s="1"/>
  <c r="AJ527" i="8"/>
  <c r="BC527" i="8" s="1"/>
  <c r="AQ650" i="8"/>
  <c r="BJ650" i="8" s="1"/>
  <c r="AJ229" i="8"/>
  <c r="BC229" i="8" s="1"/>
  <c r="AJ178" i="8"/>
  <c r="BC178" i="8" s="1"/>
  <c r="AO570" i="8"/>
  <c r="BH570" i="8" s="1"/>
  <c r="AP570" i="8"/>
  <c r="BI570" i="8" s="1"/>
  <c r="AQ685" i="8"/>
  <c r="BJ685" i="8" s="1"/>
  <c r="AO685" i="8"/>
  <c r="BH685" i="8" s="1"/>
  <c r="AR663" i="8"/>
  <c r="BK663" i="8" s="1"/>
  <c r="AK425" i="8"/>
  <c r="BD425" i="8" s="1"/>
  <c r="AR273" i="8"/>
  <c r="BK273" i="8" s="1"/>
  <c r="AK212" i="8"/>
  <c r="BD212" i="8" s="1"/>
  <c r="AQ684" i="8"/>
  <c r="BJ684" i="8" s="1"/>
  <c r="AR398" i="8"/>
  <c r="BK398" i="8" s="1"/>
  <c r="AN506" i="8"/>
  <c r="BG506" i="8" s="1"/>
  <c r="AI506" i="8"/>
  <c r="BB506" i="8" s="1"/>
  <c r="AJ127" i="8"/>
  <c r="BC127" i="8" s="1"/>
  <c r="AO577" i="8"/>
  <c r="BH577" i="8" s="1"/>
  <c r="AL454" i="8"/>
  <c r="BE454" i="8" s="1"/>
  <c r="AI618" i="8"/>
  <c r="AI635" i="8"/>
  <c r="AO635" i="8"/>
  <c r="BH635" i="8" s="1"/>
  <c r="AJ358" i="8"/>
  <c r="BC358" i="8" s="1"/>
  <c r="AO358" i="8"/>
  <c r="BH358" i="8" s="1"/>
  <c r="AR377" i="8"/>
  <c r="BK377" i="8" s="1"/>
  <c r="AR216" i="8"/>
  <c r="BK216" i="8" s="1"/>
  <c r="AJ243" i="8"/>
  <c r="BC243" i="8" s="1"/>
  <c r="AK355" i="8"/>
  <c r="BD355" i="8" s="1"/>
  <c r="AJ668" i="8"/>
  <c r="BC668" i="8" s="1"/>
  <c r="AP367" i="8"/>
  <c r="BI367" i="8" s="1"/>
  <c r="AN137" i="1"/>
  <c r="BG137" i="1" s="1"/>
  <c r="AQ150" i="1"/>
  <c r="BJ150" i="1" s="1"/>
  <c r="AR668" i="1"/>
  <c r="BK668" i="1" s="1"/>
  <c r="AP724" i="1"/>
  <c r="BI724" i="1" s="1"/>
  <c r="AK673" i="1"/>
  <c r="BD673" i="1" s="1"/>
  <c r="AM673" i="1"/>
  <c r="BF673" i="1" s="1"/>
  <c r="AN746" i="1"/>
  <c r="BG746" i="1" s="1"/>
  <c r="AI746" i="1"/>
  <c r="BB746" i="1" s="1"/>
  <c r="AK714" i="1"/>
  <c r="BD714" i="1" s="1"/>
  <c r="AP527" i="8"/>
  <c r="BI527" i="8" s="1"/>
  <c r="AQ229" i="8"/>
  <c r="BJ229" i="8" s="1"/>
  <c r="AJ685" i="8"/>
  <c r="BC685" i="8" s="1"/>
  <c r="AK639" i="8"/>
  <c r="BD639" i="8" s="1"/>
  <c r="AN273" i="8"/>
  <c r="BG273" i="8" s="1"/>
  <c r="AI398" i="8"/>
  <c r="AJ506" i="8"/>
  <c r="BC506" i="8" s="1"/>
  <c r="AP577" i="8"/>
  <c r="BI577" i="8" s="1"/>
  <c r="AQ635" i="8"/>
  <c r="BJ635" i="8" s="1"/>
  <c r="AI218" i="8"/>
  <c r="AR358" i="8"/>
  <c r="BK358" i="8" s="1"/>
  <c r="AO221" i="8"/>
  <c r="BH221" i="8" s="1"/>
  <c r="AL377" i="8"/>
  <c r="BE377" i="8" s="1"/>
  <c r="AK216" i="8"/>
  <c r="BD216" i="8" s="1"/>
  <c r="AQ325" i="8"/>
  <c r="BJ325" i="8" s="1"/>
  <c r="AM668" i="8"/>
  <c r="BF668" i="8" s="1"/>
  <c r="AO675" i="8"/>
  <c r="BH675" i="8" s="1"/>
  <c r="AR708" i="1"/>
  <c r="BK708" i="1" s="1"/>
  <c r="AM669" i="1"/>
  <c r="BF669" i="1" s="1"/>
  <c r="AI669" i="1"/>
  <c r="BB669" i="1" s="1"/>
  <c r="AR268" i="8"/>
  <c r="BK268" i="8" s="1"/>
  <c r="AO416" i="8"/>
  <c r="BH416" i="8" s="1"/>
  <c r="AK416" i="8"/>
  <c r="BD416" i="8" s="1"/>
  <c r="AI609" i="8"/>
  <c r="BB609" i="8" s="1"/>
  <c r="AQ609" i="8"/>
  <c r="BJ609" i="8" s="1"/>
  <c r="AJ595" i="8"/>
  <c r="BC595" i="8" s="1"/>
  <c r="AR329" i="8"/>
  <c r="BK329" i="8" s="1"/>
  <c r="AI329" i="8"/>
  <c r="BB329" i="8" s="1"/>
  <c r="AM561" i="8"/>
  <c r="BF561" i="8" s="1"/>
  <c r="AQ394" i="8"/>
  <c r="BJ394" i="8" s="1"/>
  <c r="AK439" i="8"/>
  <c r="BD439" i="8" s="1"/>
  <c r="AO612" i="8"/>
  <c r="BH612" i="8" s="1"/>
  <c r="AP491" i="8"/>
  <c r="BI491" i="8" s="1"/>
  <c r="AM491" i="8"/>
  <c r="BF491" i="8" s="1"/>
  <c r="AR491" i="8"/>
  <c r="BK491" i="8" s="1"/>
  <c r="AQ114" i="1"/>
  <c r="BJ114" i="1" s="1"/>
  <c r="AK708" i="1"/>
  <c r="BD708" i="1" s="1"/>
  <c r="AP669" i="1"/>
  <c r="BI669" i="1" s="1"/>
  <c r="AN696" i="8"/>
  <c r="BG696" i="8" s="1"/>
  <c r="AM401" i="8"/>
  <c r="BF401" i="8" s="1"/>
  <c r="AP416" i="8"/>
  <c r="BI416" i="8" s="1"/>
  <c r="AN416" i="8"/>
  <c r="BG416" i="8" s="1"/>
  <c r="AM609" i="8"/>
  <c r="BF609" i="8" s="1"/>
  <c r="AO372" i="8"/>
  <c r="BH372" i="8" s="1"/>
  <c r="AL595" i="8"/>
  <c r="BE595" i="8" s="1"/>
  <c r="AK329" i="8"/>
  <c r="BD329" i="8" s="1"/>
  <c r="AK394" i="8"/>
  <c r="BD394" i="8" s="1"/>
  <c r="AN612" i="8"/>
  <c r="BG612" i="8" s="1"/>
  <c r="AN107" i="1"/>
  <c r="BG107" i="1" s="1"/>
  <c r="AI107" i="1"/>
  <c r="BB107" i="1" s="1"/>
  <c r="AO107" i="1"/>
  <c r="BH107" i="1" s="1"/>
  <c r="AP114" i="1"/>
  <c r="BI114" i="1" s="1"/>
  <c r="AK682" i="1"/>
  <c r="BD682" i="1" s="1"/>
  <c r="AI416" i="8"/>
  <c r="AL609" i="8"/>
  <c r="BE609" i="8" s="1"/>
  <c r="AR595" i="8"/>
  <c r="BK595" i="8" s="1"/>
  <c r="AK595" i="8"/>
  <c r="BD595" i="8" s="1"/>
  <c r="AM329" i="8"/>
  <c r="BF329" i="8" s="1"/>
  <c r="AJ394" i="8"/>
  <c r="BC394" i="8" s="1"/>
  <c r="AP612" i="8"/>
  <c r="BI612" i="8" s="1"/>
  <c r="AN491" i="8"/>
  <c r="BG491" i="8" s="1"/>
  <c r="AI755" i="1"/>
  <c r="AQ416" i="8"/>
  <c r="BJ416" i="8" s="1"/>
  <c r="AK609" i="8"/>
  <c r="BD609" i="8" s="1"/>
  <c r="AP595" i="8"/>
  <c r="BI595" i="8" s="1"/>
  <c r="AI595" i="8"/>
  <c r="BB595" i="8" s="1"/>
  <c r="AJ329" i="8"/>
  <c r="BC329" i="8" s="1"/>
  <c r="AO394" i="8"/>
  <c r="BH394" i="8" s="1"/>
  <c r="AM612" i="8"/>
  <c r="BF612" i="8" s="1"/>
  <c r="AK491" i="8"/>
  <c r="BD491" i="8" s="1"/>
  <c r="AJ491" i="8"/>
  <c r="BC491" i="8" s="1"/>
  <c r="AK107" i="1"/>
  <c r="BD107" i="1" s="1"/>
  <c r="AL107" i="1"/>
  <c r="BE107" i="1" s="1"/>
  <c r="AR684" i="1"/>
  <c r="BK684" i="1" s="1"/>
  <c r="AL669" i="1"/>
  <c r="BE669" i="1" s="1"/>
  <c r="AR765" i="1"/>
  <c r="BK765" i="1" s="1"/>
  <c r="AJ416" i="8"/>
  <c r="BC416" i="8" s="1"/>
  <c r="AP609" i="8"/>
  <c r="BI609" i="8" s="1"/>
  <c r="AM595" i="8"/>
  <c r="BF595" i="8" s="1"/>
  <c r="AI101" i="8"/>
  <c r="AS101" i="8" s="1"/>
  <c r="AN329" i="8"/>
  <c r="BG329" i="8" s="1"/>
  <c r="AR394" i="8"/>
  <c r="BK394" i="8" s="1"/>
  <c r="AL612" i="8"/>
  <c r="BE612" i="8" s="1"/>
  <c r="AM107" i="1"/>
  <c r="BF107" i="1" s="1"/>
  <c r="AP140" i="1"/>
  <c r="BI140" i="1" s="1"/>
  <c r="AJ684" i="1"/>
  <c r="BC684" i="1" s="1"/>
  <c r="AK775" i="1"/>
  <c r="BD775" i="1" s="1"/>
  <c r="AL416" i="8"/>
  <c r="BE416" i="8" s="1"/>
  <c r="AO609" i="8"/>
  <c r="BH609" i="8" s="1"/>
  <c r="AN595" i="8"/>
  <c r="BG595" i="8" s="1"/>
  <c r="AL329" i="8"/>
  <c r="BE329" i="8" s="1"/>
  <c r="AM394" i="8"/>
  <c r="BF394" i="8" s="1"/>
  <c r="AL491" i="8"/>
  <c r="BE491" i="8" s="1"/>
  <c r="AJ728" i="1"/>
  <c r="BC728" i="1" s="1"/>
  <c r="AJ740" i="1"/>
  <c r="BC740" i="1" s="1"/>
  <c r="AQ299" i="8"/>
  <c r="BJ299" i="8" s="1"/>
  <c r="AM388" i="8"/>
  <c r="BF388" i="8" s="1"/>
  <c r="AR609" i="8"/>
  <c r="BK609" i="8" s="1"/>
  <c r="AQ329" i="8"/>
  <c r="BJ329" i="8" s="1"/>
  <c r="AI394" i="8"/>
  <c r="BB394" i="8" s="1"/>
  <c r="AK612" i="8"/>
  <c r="BD612" i="8" s="1"/>
  <c r="AI491" i="8"/>
  <c r="BB491" i="8" s="1"/>
  <c r="AM694" i="1"/>
  <c r="BF694" i="1" s="1"/>
  <c r="AJ487" i="8"/>
  <c r="BC487" i="8" s="1"/>
  <c r="AJ338" i="8"/>
  <c r="BC338" i="8" s="1"/>
  <c r="AQ265" i="8"/>
  <c r="BJ265" i="8" s="1"/>
  <c r="AJ363" i="8"/>
  <c r="BC363" i="8" s="1"/>
  <c r="AM269" i="8"/>
  <c r="BF269" i="8" s="1"/>
  <c r="AO248" i="8"/>
  <c r="BH248" i="8" s="1"/>
  <c r="AI730" i="8"/>
  <c r="AO738" i="8"/>
  <c r="BH738" i="8" s="1"/>
  <c r="AI449" i="8"/>
  <c r="BB449" i="8" s="1"/>
  <c r="AO737" i="8"/>
  <c r="BH737" i="8" s="1"/>
  <c r="AP553" i="8"/>
  <c r="BI553" i="8" s="1"/>
  <c r="AO553" i="8"/>
  <c r="BH553" i="8" s="1"/>
  <c r="AQ226" i="8"/>
  <c r="BJ226" i="8" s="1"/>
  <c r="AK286" i="8"/>
  <c r="BD286" i="8" s="1"/>
  <c r="AL341" i="8"/>
  <c r="BE341" i="8" s="1"/>
  <c r="AJ341" i="8"/>
  <c r="BC341" i="8" s="1"/>
  <c r="AM380" i="8"/>
  <c r="BF380" i="8" s="1"/>
  <c r="AI409" i="8"/>
  <c r="BB409" i="8" s="1"/>
  <c r="AR347" i="8"/>
  <c r="BK347" i="8" s="1"/>
  <c r="AN389" i="8"/>
  <c r="BG389" i="8" s="1"/>
  <c r="AO266" i="8"/>
  <c r="BH266" i="8" s="1"/>
  <c r="AR228" i="8"/>
  <c r="BK228" i="8" s="1"/>
  <c r="AR576" i="8"/>
  <c r="BK576" i="8" s="1"/>
  <c r="AR168" i="8"/>
  <c r="BK168" i="8" s="1"/>
  <c r="AQ611" i="8"/>
  <c r="BJ611" i="8" s="1"/>
  <c r="AM669" i="8"/>
  <c r="BF669" i="8" s="1"/>
  <c r="AP277" i="8"/>
  <c r="BI277" i="8" s="1"/>
  <c r="AI505" i="8"/>
  <c r="BB505" i="8" s="1"/>
  <c r="AO280" i="8"/>
  <c r="BH280" i="8" s="1"/>
  <c r="AR442" i="8"/>
  <c r="BK442" i="8" s="1"/>
  <c r="AQ465" i="8"/>
  <c r="BJ465" i="8" s="1"/>
  <c r="AL228" i="8"/>
  <c r="BE228" i="8" s="1"/>
  <c r="AP669" i="8"/>
  <c r="BI669" i="8" s="1"/>
  <c r="AK505" i="8"/>
  <c r="BD505" i="8" s="1"/>
  <c r="AP280" i="8"/>
  <c r="BI280" i="8" s="1"/>
  <c r="AI442" i="8"/>
  <c r="BB442" i="8" s="1"/>
  <c r="AP465" i="8"/>
  <c r="BI465" i="8" s="1"/>
  <c r="AM487" i="8"/>
  <c r="BF487" i="8" s="1"/>
  <c r="AP338" i="8"/>
  <c r="BI338" i="8" s="1"/>
  <c r="AM265" i="8"/>
  <c r="BF265" i="8" s="1"/>
  <c r="AJ265" i="8"/>
  <c r="BC265" i="8" s="1"/>
  <c r="AR363" i="8"/>
  <c r="BK363" i="8" s="1"/>
  <c r="AO363" i="8"/>
  <c r="BH363" i="8" s="1"/>
  <c r="AN269" i="8"/>
  <c r="BG269" i="8" s="1"/>
  <c r="AQ269" i="8"/>
  <c r="BJ269" i="8" s="1"/>
  <c r="AR248" i="8"/>
  <c r="BK248" i="8" s="1"/>
  <c r="AN730" i="8"/>
  <c r="BG730" i="8" s="1"/>
  <c r="AP738" i="8"/>
  <c r="BI738" i="8" s="1"/>
  <c r="AJ738" i="8"/>
  <c r="BC738" i="8" s="1"/>
  <c r="AK449" i="8"/>
  <c r="BD449" i="8" s="1"/>
  <c r="AL737" i="8"/>
  <c r="BE737" i="8" s="1"/>
  <c r="AK553" i="8"/>
  <c r="BD553" i="8" s="1"/>
  <c r="AP226" i="8"/>
  <c r="BI226" i="8" s="1"/>
  <c r="AR226" i="8"/>
  <c r="BK226" i="8" s="1"/>
  <c r="AK334" i="8"/>
  <c r="BD334" i="8" s="1"/>
  <c r="AL286" i="8"/>
  <c r="BE286" i="8" s="1"/>
  <c r="AP341" i="8"/>
  <c r="BI341" i="8" s="1"/>
  <c r="AN380" i="8"/>
  <c r="BG380" i="8" s="1"/>
  <c r="AK409" i="8"/>
  <c r="BD409" i="8" s="1"/>
  <c r="AM695" i="8"/>
  <c r="BF695" i="8" s="1"/>
  <c r="AL695" i="8"/>
  <c r="BE695" i="8" s="1"/>
  <c r="AO347" i="8"/>
  <c r="BH347" i="8" s="1"/>
  <c r="AM347" i="8"/>
  <c r="BF347" i="8" s="1"/>
  <c r="AR482" i="8"/>
  <c r="BK482" i="8" s="1"/>
  <c r="AM389" i="8"/>
  <c r="BF389" i="8" s="1"/>
  <c r="AO296" i="8"/>
  <c r="BH296" i="8" s="1"/>
  <c r="AR748" i="8"/>
  <c r="BK748" i="8" s="1"/>
  <c r="AK228" i="8"/>
  <c r="BD228" i="8" s="1"/>
  <c r="AJ576" i="8"/>
  <c r="BC576" i="8" s="1"/>
  <c r="AM576" i="8"/>
  <c r="BF576" i="8" s="1"/>
  <c r="AP168" i="8"/>
  <c r="BI168" i="8" s="1"/>
  <c r="AM611" i="8"/>
  <c r="BF611" i="8" s="1"/>
  <c r="AO611" i="8"/>
  <c r="BH611" i="8" s="1"/>
  <c r="AI669" i="8"/>
  <c r="BB669" i="8" s="1"/>
  <c r="AJ277" i="8"/>
  <c r="BC277" i="8" s="1"/>
  <c r="AR277" i="8"/>
  <c r="BK277" i="8" s="1"/>
  <c r="AL505" i="8"/>
  <c r="BE505" i="8" s="1"/>
  <c r="AO505" i="8"/>
  <c r="BH505" i="8" s="1"/>
  <c r="AM280" i="8"/>
  <c r="BF280" i="8" s="1"/>
  <c r="AJ560" i="8"/>
  <c r="BC560" i="8" s="1"/>
  <c r="AO694" i="1"/>
  <c r="BH694" i="1" s="1"/>
  <c r="AP487" i="8"/>
  <c r="BI487" i="8" s="1"/>
  <c r="AL338" i="8"/>
  <c r="BE338" i="8" s="1"/>
  <c r="AR265" i="8"/>
  <c r="BK265" i="8" s="1"/>
  <c r="AK363" i="8"/>
  <c r="BD363" i="8" s="1"/>
  <c r="AM363" i="8"/>
  <c r="BF363" i="8" s="1"/>
  <c r="AO269" i="8"/>
  <c r="BH269" i="8" s="1"/>
  <c r="AR269" i="8"/>
  <c r="BK269" i="8" s="1"/>
  <c r="AK248" i="8"/>
  <c r="BD248" i="8" s="1"/>
  <c r="AP730" i="8"/>
  <c r="BI730" i="8" s="1"/>
  <c r="AL730" i="8"/>
  <c r="BE730" i="8" s="1"/>
  <c r="AM738" i="8"/>
  <c r="BF738" i="8" s="1"/>
  <c r="AL738" i="8"/>
  <c r="BE738" i="8" s="1"/>
  <c r="AL449" i="8"/>
  <c r="BE449" i="8" s="1"/>
  <c r="AR737" i="8"/>
  <c r="BK737" i="8" s="1"/>
  <c r="AL553" i="8"/>
  <c r="BE553" i="8" s="1"/>
  <c r="AL226" i="8"/>
  <c r="BE226" i="8" s="1"/>
  <c r="AO286" i="8"/>
  <c r="BH286" i="8" s="1"/>
  <c r="AK341" i="8"/>
  <c r="BD341" i="8" s="1"/>
  <c r="AI380" i="8"/>
  <c r="BB380" i="8" s="1"/>
  <c r="AQ409" i="8"/>
  <c r="BJ409" i="8" s="1"/>
  <c r="AL409" i="8"/>
  <c r="BE409" i="8" s="1"/>
  <c r="AK347" i="8"/>
  <c r="BD347" i="8" s="1"/>
  <c r="AJ389" i="8"/>
  <c r="BC389" i="8" s="1"/>
  <c r="AN228" i="8"/>
  <c r="BG228" i="8" s="1"/>
  <c r="AQ576" i="8"/>
  <c r="BJ576" i="8" s="1"/>
  <c r="AP576" i="8"/>
  <c r="BI576" i="8" s="1"/>
  <c r="AJ168" i="8"/>
  <c r="BC168" i="8" s="1"/>
  <c r="AP611" i="8"/>
  <c r="BI611" i="8" s="1"/>
  <c r="AL669" i="8"/>
  <c r="BE669" i="8" s="1"/>
  <c r="AK277" i="8"/>
  <c r="BD277" i="8" s="1"/>
  <c r="AQ277" i="8"/>
  <c r="BJ277" i="8" s="1"/>
  <c r="AJ505" i="8"/>
  <c r="BC505" i="8" s="1"/>
  <c r="AL280" i="8"/>
  <c r="BE280" i="8" s="1"/>
  <c r="AQ560" i="8"/>
  <c r="BJ560" i="8" s="1"/>
  <c r="AR487" i="8"/>
  <c r="BK487" i="8" s="1"/>
  <c r="AO487" i="8"/>
  <c r="BH487" i="8" s="1"/>
  <c r="AN338" i="8"/>
  <c r="BG338" i="8" s="1"/>
  <c r="AP363" i="8"/>
  <c r="BI363" i="8" s="1"/>
  <c r="AL248" i="8"/>
  <c r="BE248" i="8" s="1"/>
  <c r="AR730" i="8"/>
  <c r="BK730" i="8" s="1"/>
  <c r="AK730" i="8"/>
  <c r="BD730" i="8" s="1"/>
  <c r="AR738" i="8"/>
  <c r="BK738" i="8" s="1"/>
  <c r="AQ449" i="8"/>
  <c r="BJ449" i="8" s="1"/>
  <c r="AO449" i="8"/>
  <c r="BH449" i="8" s="1"/>
  <c r="AK737" i="8"/>
  <c r="BD737" i="8" s="1"/>
  <c r="AM553" i="8"/>
  <c r="BF553" i="8" s="1"/>
  <c r="AN226" i="8"/>
  <c r="BG226" i="8" s="1"/>
  <c r="AN286" i="8"/>
  <c r="BG286" i="8" s="1"/>
  <c r="AP286" i="8"/>
  <c r="BI286" i="8" s="1"/>
  <c r="AM341" i="8"/>
  <c r="BF341" i="8" s="1"/>
  <c r="AR409" i="8"/>
  <c r="BK409" i="8" s="1"/>
  <c r="AM409" i="8"/>
  <c r="BF409" i="8" s="1"/>
  <c r="AI347" i="8"/>
  <c r="BB347" i="8" s="1"/>
  <c r="AR389" i="8"/>
  <c r="BK389" i="8" s="1"/>
  <c r="AO228" i="8"/>
  <c r="BH228" i="8" s="1"/>
  <c r="AK168" i="8"/>
  <c r="BD168" i="8" s="1"/>
  <c r="AJ611" i="8"/>
  <c r="BC611" i="8" s="1"/>
  <c r="AN669" i="8"/>
  <c r="BG669" i="8" s="1"/>
  <c r="AL277" i="8"/>
  <c r="BE277" i="8" s="1"/>
  <c r="AP505" i="8"/>
  <c r="BI505" i="8" s="1"/>
  <c r="AN280" i="8"/>
  <c r="BG280" i="8" s="1"/>
  <c r="AK442" i="8"/>
  <c r="BD442" i="8" s="1"/>
  <c r="AP560" i="8"/>
  <c r="BI560" i="8" s="1"/>
  <c r="AQ487" i="8"/>
  <c r="BJ487" i="8" s="1"/>
  <c r="AQ338" i="8"/>
  <c r="BJ338" i="8" s="1"/>
  <c r="AI363" i="8"/>
  <c r="BB363" i="8" s="1"/>
  <c r="AM248" i="8"/>
  <c r="BF248" i="8" s="1"/>
  <c r="AI248" i="8"/>
  <c r="BB248" i="8" s="1"/>
  <c r="AJ730" i="8"/>
  <c r="BC730" i="8" s="1"/>
  <c r="AK738" i="8"/>
  <c r="BD738" i="8" s="1"/>
  <c r="AP449" i="8"/>
  <c r="BI449" i="8" s="1"/>
  <c r="AM449" i="8"/>
  <c r="BF449" i="8" s="1"/>
  <c r="AM737" i="8"/>
  <c r="BF737" i="8" s="1"/>
  <c r="AO226" i="8"/>
  <c r="BH226" i="8" s="1"/>
  <c r="AQ286" i="8"/>
  <c r="BJ286" i="8" s="1"/>
  <c r="AN341" i="8"/>
  <c r="BG341" i="8" s="1"/>
  <c r="AP409" i="8"/>
  <c r="BI409" i="8" s="1"/>
  <c r="AP347" i="8"/>
  <c r="BI347" i="8" s="1"/>
  <c r="AL389" i="8"/>
  <c r="BE389" i="8" s="1"/>
  <c r="AP228" i="8"/>
  <c r="BI228" i="8" s="1"/>
  <c r="AJ228" i="8"/>
  <c r="BC228" i="8" s="1"/>
  <c r="AQ168" i="8"/>
  <c r="BJ168" i="8" s="1"/>
  <c r="AL168" i="8"/>
  <c r="BE168" i="8" s="1"/>
  <c r="AS770" i="8"/>
  <c r="AW770" i="8" s="1"/>
  <c r="AM277" i="8"/>
  <c r="BF277" i="8" s="1"/>
  <c r="AQ505" i="8"/>
  <c r="BJ505" i="8" s="1"/>
  <c r="AP442" i="8"/>
  <c r="BI442" i="8" s="1"/>
  <c r="AN560" i="8"/>
  <c r="BG560" i="8" s="1"/>
  <c r="AP694" i="1"/>
  <c r="BI694" i="1" s="1"/>
  <c r="AN248" i="8"/>
  <c r="BG248" i="8" s="1"/>
  <c r="AI228" i="8"/>
  <c r="BB228" i="8" s="1"/>
  <c r="AO168" i="8"/>
  <c r="BH168" i="8" s="1"/>
  <c r="AP685" i="1"/>
  <c r="BI685" i="1" s="1"/>
  <c r="AR255" i="8"/>
  <c r="BK255" i="8" s="1"/>
  <c r="AP697" i="8"/>
  <c r="BI697" i="8" s="1"/>
  <c r="AN510" i="8"/>
  <c r="BG510" i="8" s="1"/>
  <c r="AO263" i="8"/>
  <c r="BH263" i="8" s="1"/>
  <c r="AL305" i="8"/>
  <c r="BE305" i="8" s="1"/>
  <c r="AQ665" i="8"/>
  <c r="BJ665" i="8" s="1"/>
  <c r="AN369" i="8"/>
  <c r="BG369" i="8" s="1"/>
  <c r="AO649" i="8"/>
  <c r="BH649" i="8" s="1"/>
  <c r="AJ232" i="8"/>
  <c r="BC232" i="8" s="1"/>
  <c r="AQ510" i="8"/>
  <c r="BJ510" i="8" s="1"/>
  <c r="AM343" i="8"/>
  <c r="BF343" i="8" s="1"/>
  <c r="AJ649" i="8"/>
  <c r="BC649" i="8" s="1"/>
  <c r="AJ493" i="8"/>
  <c r="BC493" i="8" s="1"/>
  <c r="AJ378" i="8"/>
  <c r="BC378" i="8" s="1"/>
  <c r="AM415" i="8"/>
  <c r="BF415" i="8" s="1"/>
  <c r="AR213" i="8"/>
  <c r="BK213" i="8" s="1"/>
  <c r="AR493" i="8"/>
  <c r="BK493" i="8" s="1"/>
  <c r="AR198" i="1"/>
  <c r="BK198" i="1" s="1"/>
  <c r="AJ732" i="1"/>
  <c r="BC732" i="1" s="1"/>
  <c r="AN378" i="8"/>
  <c r="BG378" i="8" s="1"/>
  <c r="AR306" i="8"/>
  <c r="BK306" i="8" s="1"/>
  <c r="AP468" i="8"/>
  <c r="BI468" i="8" s="1"/>
  <c r="AJ345" i="8"/>
  <c r="BC345" i="8" s="1"/>
  <c r="AP644" i="8"/>
  <c r="BI644" i="8" s="1"/>
  <c r="AI429" i="8"/>
  <c r="AR719" i="1"/>
  <c r="BK719" i="1" s="1"/>
  <c r="AP731" i="1"/>
  <c r="BI731" i="1" s="1"/>
  <c r="AS792" i="8"/>
  <c r="AW792" i="8" s="1"/>
  <c r="AP315" i="8"/>
  <c r="BI315" i="8" s="1"/>
  <c r="AJ306" i="8"/>
  <c r="BC306" i="8" s="1"/>
  <c r="AM345" i="8"/>
  <c r="BF345" i="8" s="1"/>
  <c r="AQ644" i="8"/>
  <c r="BJ644" i="8" s="1"/>
  <c r="AQ278" i="8"/>
  <c r="BJ278" i="8" s="1"/>
  <c r="AN666" i="8"/>
  <c r="BG666" i="8" s="1"/>
  <c r="AJ619" i="8"/>
  <c r="BC619" i="8" s="1"/>
  <c r="AJ622" i="8"/>
  <c r="BC622" i="8" s="1"/>
  <c r="AJ568" i="8"/>
  <c r="BC568" i="8" s="1"/>
  <c r="AJ419" i="8"/>
  <c r="BC419" i="8" s="1"/>
  <c r="AP94" i="1"/>
  <c r="BI94" i="1" s="1"/>
  <c r="AI719" i="1"/>
  <c r="AK731" i="1"/>
  <c r="BD731" i="1" s="1"/>
  <c r="AK749" i="1"/>
  <c r="BD749" i="1" s="1"/>
  <c r="AJ496" i="8"/>
  <c r="BC496" i="8" s="1"/>
  <c r="AJ741" i="8"/>
  <c r="BC741" i="8" s="1"/>
  <c r="AR637" i="8"/>
  <c r="BK637" i="8" s="1"/>
  <c r="AK264" i="8"/>
  <c r="BD264" i="8" s="1"/>
  <c r="AO666" i="8"/>
  <c r="BH666" i="8" s="1"/>
  <c r="AJ621" i="8"/>
  <c r="BC621" i="8" s="1"/>
  <c r="AR295" i="8"/>
  <c r="BK295" i="8" s="1"/>
  <c r="AI379" i="8"/>
  <c r="BB379" i="8" s="1"/>
  <c r="AJ88" i="8"/>
  <c r="BC88" i="8" s="1"/>
  <c r="AI94" i="1"/>
  <c r="BB94" i="1" s="1"/>
  <c r="AQ700" i="1"/>
  <c r="BJ700" i="1" s="1"/>
  <c r="AJ528" i="8"/>
  <c r="BC528" i="8" s="1"/>
  <c r="AL241" i="8"/>
  <c r="BE241" i="8" s="1"/>
  <c r="AK219" i="8"/>
  <c r="BD219" i="8" s="1"/>
  <c r="AJ451" i="8"/>
  <c r="BC451" i="8" s="1"/>
  <c r="AK705" i="8"/>
  <c r="BD705" i="8" s="1"/>
  <c r="AJ373" i="8"/>
  <c r="BC373" i="8" s="1"/>
  <c r="AO681" i="8"/>
  <c r="BH681" i="8" s="1"/>
  <c r="AP452" i="8"/>
  <c r="BI452" i="8" s="1"/>
  <c r="AI344" i="8"/>
  <c r="BB344" i="8" s="1"/>
  <c r="AK534" i="8"/>
  <c r="BD534" i="8" s="1"/>
  <c r="AP534" i="8"/>
  <c r="BI534" i="8" s="1"/>
  <c r="AK564" i="8"/>
  <c r="BD564" i="8" s="1"/>
  <c r="AR564" i="8"/>
  <c r="BK564" i="8" s="1"/>
  <c r="AP564" i="8"/>
  <c r="BI564" i="8" s="1"/>
  <c r="AJ564" i="8"/>
  <c r="BC564" i="8" s="1"/>
  <c r="AO564" i="8"/>
  <c r="BH564" i="8" s="1"/>
  <c r="AQ564" i="8"/>
  <c r="BJ564" i="8" s="1"/>
  <c r="AI564" i="8"/>
  <c r="BB564" i="8" s="1"/>
  <c r="AN564" i="8"/>
  <c r="BG564" i="8" s="1"/>
  <c r="AM564" i="8"/>
  <c r="BF564" i="8" s="1"/>
  <c r="AN361" i="8"/>
  <c r="BG361" i="8" s="1"/>
  <c r="AJ361" i="8"/>
  <c r="BC361" i="8" s="1"/>
  <c r="AK361" i="8"/>
  <c r="BD361" i="8" s="1"/>
  <c r="AQ361" i="8"/>
  <c r="BJ361" i="8" s="1"/>
  <c r="AR361" i="8"/>
  <c r="BK361" i="8" s="1"/>
  <c r="AI361" i="8"/>
  <c r="BB361" i="8" s="1"/>
  <c r="AP361" i="8"/>
  <c r="BI361" i="8" s="1"/>
  <c r="AM361" i="8"/>
  <c r="BF361" i="8" s="1"/>
  <c r="AO361" i="8"/>
  <c r="BH361" i="8" s="1"/>
  <c r="AL681" i="1"/>
  <c r="BE681" i="1" s="1"/>
  <c r="AM681" i="1"/>
  <c r="BF681" i="1" s="1"/>
  <c r="AN681" i="1"/>
  <c r="BG681" i="1" s="1"/>
  <c r="AO681" i="1"/>
  <c r="BH681" i="1" s="1"/>
  <c r="AP681" i="1"/>
  <c r="BI681" i="1" s="1"/>
  <c r="AI681" i="1"/>
  <c r="BB681" i="1" s="1"/>
  <c r="AQ681" i="1"/>
  <c r="BJ681" i="1" s="1"/>
  <c r="AJ681" i="1"/>
  <c r="BC681" i="1" s="1"/>
  <c r="AR681" i="1"/>
  <c r="BK681" i="1" s="1"/>
  <c r="AP480" i="8"/>
  <c r="BI480" i="8" s="1"/>
  <c r="AO480" i="8"/>
  <c r="BH480" i="8" s="1"/>
  <c r="AM480" i="8"/>
  <c r="BF480" i="8" s="1"/>
  <c r="AR480" i="8"/>
  <c r="BK480" i="8" s="1"/>
  <c r="AQ480" i="8"/>
  <c r="BJ480" i="8" s="1"/>
  <c r="AL480" i="8"/>
  <c r="BE480" i="8" s="1"/>
  <c r="AN480" i="8"/>
  <c r="BG480" i="8" s="1"/>
  <c r="AJ480" i="8"/>
  <c r="BC480" i="8" s="1"/>
  <c r="AK480" i="8"/>
  <c r="BD480" i="8" s="1"/>
  <c r="AN758" i="8"/>
  <c r="BG758" i="8" s="1"/>
  <c r="AO758" i="8"/>
  <c r="BH758" i="8" s="1"/>
  <c r="AP758" i="8"/>
  <c r="BI758" i="8" s="1"/>
  <c r="AQ758" i="8"/>
  <c r="BJ758" i="8" s="1"/>
  <c r="AR758" i="8"/>
  <c r="BK758" i="8" s="1"/>
  <c r="AJ758" i="8"/>
  <c r="BC758" i="8" s="1"/>
  <c r="AM758" i="8"/>
  <c r="BF758" i="8" s="1"/>
  <c r="AL758" i="8"/>
  <c r="BE758" i="8" s="1"/>
  <c r="AK758" i="8"/>
  <c r="BD758" i="8" s="1"/>
  <c r="AL698" i="1"/>
  <c r="BE698" i="1" s="1"/>
  <c r="AK698" i="1"/>
  <c r="BD698" i="1" s="1"/>
  <c r="AP698" i="1"/>
  <c r="BI698" i="1" s="1"/>
  <c r="AO698" i="1"/>
  <c r="BH698" i="1" s="1"/>
  <c r="AI698" i="1"/>
  <c r="BB698" i="1" s="1"/>
  <c r="AM698" i="1"/>
  <c r="BF698" i="1" s="1"/>
  <c r="AQ698" i="1"/>
  <c r="BJ698" i="1" s="1"/>
  <c r="AJ698" i="1"/>
  <c r="BC698" i="1" s="1"/>
  <c r="AN698" i="1"/>
  <c r="BG698" i="1" s="1"/>
  <c r="AQ517" i="8"/>
  <c r="BJ517" i="8" s="1"/>
  <c r="AI517" i="8"/>
  <c r="BB517" i="8" s="1"/>
  <c r="AN517" i="8"/>
  <c r="BG517" i="8" s="1"/>
  <c r="AP517" i="8"/>
  <c r="BI517" i="8" s="1"/>
  <c r="AK517" i="8"/>
  <c r="BD517" i="8" s="1"/>
  <c r="AO517" i="8"/>
  <c r="BH517" i="8" s="1"/>
  <c r="AM517" i="8"/>
  <c r="BF517" i="8" s="1"/>
  <c r="AR517" i="8"/>
  <c r="BK517" i="8" s="1"/>
  <c r="AL517" i="8"/>
  <c r="BE517" i="8" s="1"/>
  <c r="AI600" i="8"/>
  <c r="BB600" i="8" s="1"/>
  <c r="AM600" i="8"/>
  <c r="BF600" i="8" s="1"/>
  <c r="AL600" i="8"/>
  <c r="BE600" i="8" s="1"/>
  <c r="AR600" i="8"/>
  <c r="BK600" i="8" s="1"/>
  <c r="AJ600" i="8"/>
  <c r="BC600" i="8" s="1"/>
  <c r="AQ600" i="8"/>
  <c r="BJ600" i="8" s="1"/>
  <c r="AK600" i="8"/>
  <c r="BD600" i="8" s="1"/>
  <c r="AP600" i="8"/>
  <c r="BI600" i="8" s="1"/>
  <c r="AO313" i="8"/>
  <c r="BH313" i="8" s="1"/>
  <c r="AQ313" i="8"/>
  <c r="BJ313" i="8" s="1"/>
  <c r="AM313" i="8"/>
  <c r="BF313" i="8" s="1"/>
  <c r="AK313" i="8"/>
  <c r="BD313" i="8" s="1"/>
  <c r="AL313" i="8"/>
  <c r="BE313" i="8" s="1"/>
  <c r="AJ313" i="8"/>
  <c r="BC313" i="8" s="1"/>
  <c r="AI313" i="8"/>
  <c r="BB313" i="8" s="1"/>
  <c r="AP313" i="8"/>
  <c r="BI313" i="8" s="1"/>
  <c r="AP629" i="8"/>
  <c r="BI629" i="8" s="1"/>
  <c r="AQ629" i="8"/>
  <c r="BJ629" i="8" s="1"/>
  <c r="AO629" i="8"/>
  <c r="BH629" i="8" s="1"/>
  <c r="AN629" i="8"/>
  <c r="BG629" i="8" s="1"/>
  <c r="AM629" i="8"/>
  <c r="BF629" i="8" s="1"/>
  <c r="AR629" i="8"/>
  <c r="BK629" i="8" s="1"/>
  <c r="AL629" i="8"/>
  <c r="BE629" i="8" s="1"/>
  <c r="AJ629" i="8"/>
  <c r="BC629" i="8" s="1"/>
  <c r="AK538" i="8"/>
  <c r="BD538" i="8" s="1"/>
  <c r="AM538" i="8"/>
  <c r="BF538" i="8" s="1"/>
  <c r="AQ538" i="8"/>
  <c r="BJ538" i="8" s="1"/>
  <c r="AR538" i="8"/>
  <c r="BK538" i="8" s="1"/>
  <c r="AI538" i="8"/>
  <c r="BB538" i="8" s="1"/>
  <c r="AJ538" i="8"/>
  <c r="BC538" i="8" s="1"/>
  <c r="AP538" i="8"/>
  <c r="BI538" i="8" s="1"/>
  <c r="AO538" i="8"/>
  <c r="BH538" i="8" s="1"/>
  <c r="AL538" i="8"/>
  <c r="BE538" i="8" s="1"/>
  <c r="AM124" i="1"/>
  <c r="BF124" i="1" s="1"/>
  <c r="AK124" i="1"/>
  <c r="BD124" i="1" s="1"/>
  <c r="AQ124" i="1"/>
  <c r="BJ124" i="1" s="1"/>
  <c r="AI664" i="8"/>
  <c r="BB664" i="8" s="1"/>
  <c r="AM664" i="8"/>
  <c r="BF664" i="8" s="1"/>
  <c r="AO664" i="8"/>
  <c r="BH664" i="8" s="1"/>
  <c r="AL664" i="8"/>
  <c r="BE664" i="8" s="1"/>
  <c r="AN664" i="8"/>
  <c r="BG664" i="8" s="1"/>
  <c r="AK664" i="8"/>
  <c r="BD664" i="8" s="1"/>
  <c r="AJ664" i="8"/>
  <c r="BC664" i="8" s="1"/>
  <c r="AP664" i="8"/>
  <c r="BI664" i="8" s="1"/>
  <c r="AK681" i="1"/>
  <c r="BD681" i="1" s="1"/>
  <c r="AR698" i="1"/>
  <c r="BK698" i="1" s="1"/>
  <c r="AI480" i="8"/>
  <c r="BB480" i="8" s="1"/>
  <c r="AM382" i="8"/>
  <c r="BF382" i="8" s="1"/>
  <c r="AN531" i="8"/>
  <c r="BG531" i="8" s="1"/>
  <c r="AP239" i="8"/>
  <c r="BI239" i="8" s="1"/>
  <c r="AO239" i="8"/>
  <c r="BH239" i="8" s="1"/>
  <c r="AN239" i="8"/>
  <c r="BG239" i="8" s="1"/>
  <c r="AM239" i="8"/>
  <c r="BF239" i="8" s="1"/>
  <c r="AL239" i="8"/>
  <c r="BE239" i="8" s="1"/>
  <c r="AJ239" i="8"/>
  <c r="BC239" i="8" s="1"/>
  <c r="AK239" i="8"/>
  <c r="BD239" i="8" s="1"/>
  <c r="AQ239" i="8"/>
  <c r="BJ239" i="8" s="1"/>
  <c r="AR239" i="8"/>
  <c r="BK239" i="8" s="1"/>
  <c r="AM384" i="8"/>
  <c r="BF384" i="8" s="1"/>
  <c r="AQ384" i="8"/>
  <c r="BJ384" i="8" s="1"/>
  <c r="AR384" i="8"/>
  <c r="BK384" i="8" s="1"/>
  <c r="AO384" i="8"/>
  <c r="BH384" i="8" s="1"/>
  <c r="AK384" i="8"/>
  <c r="BD384" i="8" s="1"/>
  <c r="AJ384" i="8"/>
  <c r="BC384" i="8" s="1"/>
  <c r="AI384" i="8"/>
  <c r="BB384" i="8" s="1"/>
  <c r="AP384" i="8"/>
  <c r="BI384" i="8" s="1"/>
  <c r="AL384" i="8"/>
  <c r="BE384" i="8" s="1"/>
  <c r="AI421" i="8"/>
  <c r="BB421" i="8" s="1"/>
  <c r="AL421" i="8"/>
  <c r="BE421" i="8" s="1"/>
  <c r="AR421" i="8"/>
  <c r="BK421" i="8" s="1"/>
  <c r="AK421" i="8"/>
  <c r="BD421" i="8" s="1"/>
  <c r="AQ421" i="8"/>
  <c r="BJ421" i="8" s="1"/>
  <c r="AO421" i="8"/>
  <c r="BH421" i="8" s="1"/>
  <c r="AN421" i="8"/>
  <c r="BG421" i="8" s="1"/>
  <c r="AP421" i="8"/>
  <c r="BI421" i="8" s="1"/>
  <c r="AM421" i="8"/>
  <c r="BF421" i="8" s="1"/>
  <c r="AQ225" i="8"/>
  <c r="BJ225" i="8" s="1"/>
  <c r="AL225" i="8"/>
  <c r="BE225" i="8" s="1"/>
  <c r="AI225" i="8"/>
  <c r="BB225" i="8" s="1"/>
  <c r="AP225" i="8"/>
  <c r="BI225" i="8" s="1"/>
  <c r="AO225" i="8"/>
  <c r="BH225" i="8" s="1"/>
  <c r="AM225" i="8"/>
  <c r="BF225" i="8" s="1"/>
  <c r="AL633" i="8"/>
  <c r="BE633" i="8" s="1"/>
  <c r="AJ633" i="8"/>
  <c r="BC633" i="8" s="1"/>
  <c r="AK633" i="8"/>
  <c r="BD633" i="8" s="1"/>
  <c r="AP633" i="8"/>
  <c r="BI633" i="8" s="1"/>
  <c r="AQ633" i="8"/>
  <c r="BJ633" i="8" s="1"/>
  <c r="AO633" i="8"/>
  <c r="BH633" i="8" s="1"/>
  <c r="AI633" i="8"/>
  <c r="BB633" i="8" s="1"/>
  <c r="AN633" i="8"/>
  <c r="BG633" i="8" s="1"/>
  <c r="AM633" i="8"/>
  <c r="BF633" i="8" s="1"/>
  <c r="AK404" i="8"/>
  <c r="BD404" i="8" s="1"/>
  <c r="AM404" i="8"/>
  <c r="BF404" i="8" s="1"/>
  <c r="AR404" i="8"/>
  <c r="BK404" i="8" s="1"/>
  <c r="AL404" i="8"/>
  <c r="BE404" i="8" s="1"/>
  <c r="AJ404" i="8"/>
  <c r="BC404" i="8" s="1"/>
  <c r="AQ404" i="8"/>
  <c r="BJ404" i="8" s="1"/>
  <c r="AO404" i="8"/>
  <c r="BH404" i="8" s="1"/>
  <c r="AI404" i="8"/>
  <c r="BB404" i="8" s="1"/>
  <c r="AK475" i="8"/>
  <c r="BD475" i="8" s="1"/>
  <c r="AQ475" i="8"/>
  <c r="BJ475" i="8" s="1"/>
  <c r="AP475" i="8"/>
  <c r="BI475" i="8" s="1"/>
  <c r="AM475" i="8"/>
  <c r="BF475" i="8" s="1"/>
  <c r="AJ475" i="8"/>
  <c r="BC475" i="8" s="1"/>
  <c r="AL475" i="8"/>
  <c r="BE475" i="8" s="1"/>
  <c r="AN475" i="8"/>
  <c r="BG475" i="8" s="1"/>
  <c r="AO475" i="8"/>
  <c r="BH475" i="8" s="1"/>
  <c r="AI475" i="8"/>
  <c r="BB475" i="8" s="1"/>
  <c r="AR475" i="8"/>
  <c r="BK475" i="8" s="1"/>
  <c r="AI707" i="8"/>
  <c r="AO707" i="8"/>
  <c r="BH707" i="8" s="1"/>
  <c r="AN707" i="8"/>
  <c r="BG707" i="8" s="1"/>
  <c r="AM707" i="8"/>
  <c r="BF707" i="8" s="1"/>
  <c r="AL707" i="8"/>
  <c r="BE707" i="8" s="1"/>
  <c r="AK707" i="8"/>
  <c r="BD707" i="8" s="1"/>
  <c r="AP707" i="8"/>
  <c r="BI707" i="8" s="1"/>
  <c r="AR707" i="8"/>
  <c r="BK707" i="8" s="1"/>
  <c r="AL188" i="1"/>
  <c r="BE188" i="1" s="1"/>
  <c r="AN188" i="1"/>
  <c r="BG188" i="1" s="1"/>
  <c r="AM188" i="1"/>
  <c r="BF188" i="1" s="1"/>
  <c r="AR188" i="1"/>
  <c r="BK188" i="1" s="1"/>
  <c r="AI188" i="1"/>
  <c r="AO188" i="1"/>
  <c r="BH188" i="1" s="1"/>
  <c r="AQ188" i="1"/>
  <c r="BJ188" i="1" s="1"/>
  <c r="AN680" i="1"/>
  <c r="BG680" i="1" s="1"/>
  <c r="AK680" i="1"/>
  <c r="BD680" i="1" s="1"/>
  <c r="AP680" i="1"/>
  <c r="BI680" i="1" s="1"/>
  <c r="AL680" i="1"/>
  <c r="BE680" i="1" s="1"/>
  <c r="AQ680" i="1"/>
  <c r="BJ680" i="1" s="1"/>
  <c r="AR680" i="1"/>
  <c r="BK680" i="1" s="1"/>
  <c r="AJ680" i="1"/>
  <c r="BC680" i="1" s="1"/>
  <c r="AI680" i="1"/>
  <c r="BB680" i="1" s="1"/>
  <c r="AM680" i="1"/>
  <c r="BF680" i="1" s="1"/>
  <c r="AJ188" i="1"/>
  <c r="BC188" i="1" s="1"/>
  <c r="AP124" i="1"/>
  <c r="BI124" i="1" s="1"/>
  <c r="AK178" i="1"/>
  <c r="BD178" i="1" s="1"/>
  <c r="AI758" i="8"/>
  <c r="AL564" i="8"/>
  <c r="BE564" i="8" s="1"/>
  <c r="AL337" i="8"/>
  <c r="BE337" i="8" s="1"/>
  <c r="AN225" i="8"/>
  <c r="BG225" i="8" s="1"/>
  <c r="AP543" i="8"/>
  <c r="BI543" i="8" s="1"/>
  <c r="AI543" i="8"/>
  <c r="BB543" i="8" s="1"/>
  <c r="AJ543" i="8"/>
  <c r="BC543" i="8" s="1"/>
  <c r="AN253" i="8"/>
  <c r="BG253" i="8" s="1"/>
  <c r="AP253" i="8"/>
  <c r="BI253" i="8" s="1"/>
  <c r="AM253" i="8"/>
  <c r="BF253" i="8" s="1"/>
  <c r="AL253" i="8"/>
  <c r="BE253" i="8" s="1"/>
  <c r="AK253" i="8"/>
  <c r="BD253" i="8" s="1"/>
  <c r="AR253" i="8"/>
  <c r="BK253" i="8" s="1"/>
  <c r="AO253" i="8"/>
  <c r="BH253" i="8" s="1"/>
  <c r="AJ253" i="8"/>
  <c r="BC253" i="8" s="1"/>
  <c r="AI738" i="1"/>
  <c r="BB738" i="1" s="1"/>
  <c r="AM738" i="1"/>
  <c r="BF738" i="1" s="1"/>
  <c r="AQ738" i="1"/>
  <c r="BJ738" i="1" s="1"/>
  <c r="AO738" i="1"/>
  <c r="BH738" i="1" s="1"/>
  <c r="AJ738" i="1"/>
  <c r="BC738" i="1" s="1"/>
  <c r="AR738" i="1"/>
  <c r="BK738" i="1" s="1"/>
  <c r="AL738" i="1"/>
  <c r="BE738" i="1" s="1"/>
  <c r="AK738" i="1"/>
  <c r="BD738" i="1" s="1"/>
  <c r="AJ710" i="1"/>
  <c r="BC710" i="1" s="1"/>
  <c r="AM710" i="1"/>
  <c r="BF710" i="1" s="1"/>
  <c r="M29" i="5" s="1"/>
  <c r="AN710" i="1"/>
  <c r="BG710" i="1" s="1"/>
  <c r="AP710" i="1"/>
  <c r="BI710" i="1" s="1"/>
  <c r="AR710" i="1"/>
  <c r="BK710" i="1" s="1"/>
  <c r="AK710" i="1"/>
  <c r="BD710" i="1" s="1"/>
  <c r="K29" i="5" s="1"/>
  <c r="AO710" i="1"/>
  <c r="BH710" i="1" s="1"/>
  <c r="O29" i="5" s="1"/>
  <c r="AI710" i="1"/>
  <c r="BB710" i="1" s="1"/>
  <c r="AQ710" i="1"/>
  <c r="BJ710" i="1" s="1"/>
  <c r="AJ689" i="8"/>
  <c r="BC689" i="8" s="1"/>
  <c r="AP689" i="8"/>
  <c r="BI689" i="8" s="1"/>
  <c r="AQ689" i="8"/>
  <c r="BJ689" i="8" s="1"/>
  <c r="AI689" i="8"/>
  <c r="BB689" i="8" s="1"/>
  <c r="AO689" i="8"/>
  <c r="BH689" i="8" s="1"/>
  <c r="AN689" i="8"/>
  <c r="BG689" i="8" s="1"/>
  <c r="AM689" i="8"/>
  <c r="BF689" i="8" s="1"/>
  <c r="AK689" i="8"/>
  <c r="BD689" i="8" s="1"/>
  <c r="AR696" i="1"/>
  <c r="BK696" i="1" s="1"/>
  <c r="AK696" i="1"/>
  <c r="BD696" i="1" s="1"/>
  <c r="AO696" i="1"/>
  <c r="BH696" i="1" s="1"/>
  <c r="AI696" i="1"/>
  <c r="AP696" i="1"/>
  <c r="BI696" i="1" s="1"/>
  <c r="AM696" i="1"/>
  <c r="BF696" i="1" s="1"/>
  <c r="AL696" i="1"/>
  <c r="BE696" i="1" s="1"/>
  <c r="AQ696" i="1"/>
  <c r="BJ696" i="1" s="1"/>
  <c r="AJ696" i="1"/>
  <c r="BC696" i="1" s="1"/>
  <c r="AP636" i="8"/>
  <c r="BI636" i="8" s="1"/>
  <c r="AM636" i="8"/>
  <c r="BF636" i="8" s="1"/>
  <c r="AL636" i="8"/>
  <c r="BE636" i="8" s="1"/>
  <c r="AK636" i="8"/>
  <c r="BD636" i="8" s="1"/>
  <c r="AO636" i="8"/>
  <c r="BH636" i="8" s="1"/>
  <c r="AR636" i="8"/>
  <c r="BK636" i="8" s="1"/>
  <c r="AQ636" i="8"/>
  <c r="BJ636" i="8" s="1"/>
  <c r="AJ636" i="8"/>
  <c r="BC636" i="8" s="1"/>
  <c r="AI636" i="8"/>
  <c r="AJ672" i="8"/>
  <c r="BC672" i="8" s="1"/>
  <c r="AR672" i="8"/>
  <c r="BK672" i="8" s="1"/>
  <c r="AP672" i="8"/>
  <c r="BI672" i="8" s="1"/>
  <c r="AM672" i="8"/>
  <c r="BF672" i="8" s="1"/>
  <c r="AQ672" i="8"/>
  <c r="BJ672" i="8" s="1"/>
  <c r="AI672" i="8"/>
  <c r="BB672" i="8" s="1"/>
  <c r="AL672" i="8"/>
  <c r="BE672" i="8" s="1"/>
  <c r="AO672" i="8"/>
  <c r="BH672" i="8" s="1"/>
  <c r="AM333" i="8"/>
  <c r="BF333" i="8" s="1"/>
  <c r="AK333" i="8"/>
  <c r="BD333" i="8" s="1"/>
  <c r="AL333" i="8"/>
  <c r="BE333" i="8" s="1"/>
  <c r="AP333" i="8"/>
  <c r="BI333" i="8" s="1"/>
  <c r="AN333" i="8"/>
  <c r="BG333" i="8" s="1"/>
  <c r="AQ333" i="8"/>
  <c r="BJ333" i="8" s="1"/>
  <c r="AO333" i="8"/>
  <c r="BH333" i="8" s="1"/>
  <c r="AJ333" i="8"/>
  <c r="BC333" i="8" s="1"/>
  <c r="AI333" i="8"/>
  <c r="BB333" i="8" s="1"/>
  <c r="AL127" i="1"/>
  <c r="BE127" i="1" s="1"/>
  <c r="AJ127" i="1"/>
  <c r="BC127" i="1" s="1"/>
  <c r="AK127" i="1"/>
  <c r="BD127" i="1" s="1"/>
  <c r="AR127" i="1"/>
  <c r="BK127" i="1" s="1"/>
  <c r="AQ127" i="1"/>
  <c r="BJ127" i="1" s="1"/>
  <c r="AO127" i="1"/>
  <c r="BH127" i="1" s="1"/>
  <c r="AI127" i="1"/>
  <c r="AL124" i="1"/>
  <c r="BE124" i="1" s="1"/>
  <c r="AN538" i="8"/>
  <c r="BG538" i="8" s="1"/>
  <c r="AR313" i="8"/>
  <c r="BK313" i="8" s="1"/>
  <c r="AR333" i="8"/>
  <c r="BK333" i="8" s="1"/>
  <c r="AR633" i="8"/>
  <c r="BK633" i="8" s="1"/>
  <c r="AQ479" i="8"/>
  <c r="BJ479" i="8" s="1"/>
  <c r="AI479" i="8"/>
  <c r="BB479" i="8" s="1"/>
  <c r="AM479" i="8"/>
  <c r="BF479" i="8" s="1"/>
  <c r="AO479" i="8"/>
  <c r="BH479" i="8" s="1"/>
  <c r="AL479" i="8"/>
  <c r="BE479" i="8" s="1"/>
  <c r="AK479" i="8"/>
  <c r="BD479" i="8" s="1"/>
  <c r="AN479" i="8"/>
  <c r="BG479" i="8" s="1"/>
  <c r="AR479" i="8"/>
  <c r="BK479" i="8" s="1"/>
  <c r="AP479" i="8"/>
  <c r="BI479" i="8" s="1"/>
  <c r="AL284" i="8"/>
  <c r="BE284" i="8" s="1"/>
  <c r="AQ284" i="8"/>
  <c r="BJ284" i="8" s="1"/>
  <c r="AM284" i="8"/>
  <c r="BF284" i="8" s="1"/>
  <c r="AN284" i="8"/>
  <c r="BG284" i="8" s="1"/>
  <c r="AR284" i="8"/>
  <c r="BK284" i="8" s="1"/>
  <c r="AK284" i="8"/>
  <c r="BD284" i="8" s="1"/>
  <c r="AJ284" i="8"/>
  <c r="BC284" i="8" s="1"/>
  <c r="AI284" i="8"/>
  <c r="BB284" i="8" s="1"/>
  <c r="AP284" i="8"/>
  <c r="BI284" i="8" s="1"/>
  <c r="AM729" i="1"/>
  <c r="BF729" i="1" s="1"/>
  <c r="AQ729" i="1"/>
  <c r="BJ729" i="1" s="1"/>
  <c r="AO729" i="1"/>
  <c r="BH729" i="1" s="1"/>
  <c r="AP729" i="1"/>
  <c r="BI729" i="1" s="1"/>
  <c r="AJ729" i="1"/>
  <c r="BC729" i="1" s="1"/>
  <c r="AK729" i="1"/>
  <c r="BD729" i="1" s="1"/>
  <c r="AN729" i="1"/>
  <c r="BG729" i="1" s="1"/>
  <c r="AL729" i="1"/>
  <c r="BE729" i="1" s="1"/>
  <c r="AR729" i="1"/>
  <c r="BK729" i="1" s="1"/>
  <c r="AJ337" i="8"/>
  <c r="BC337" i="8" s="1"/>
  <c r="AN337" i="8"/>
  <c r="BG337" i="8" s="1"/>
  <c r="AI337" i="8"/>
  <c r="BB337" i="8" s="1"/>
  <c r="AR337" i="8"/>
  <c r="BK337" i="8" s="1"/>
  <c r="AQ337" i="8"/>
  <c r="BJ337" i="8" s="1"/>
  <c r="AM337" i="8"/>
  <c r="BF337" i="8" s="1"/>
  <c r="AO337" i="8"/>
  <c r="BH337" i="8" s="1"/>
  <c r="AK337" i="8"/>
  <c r="BD337" i="8" s="1"/>
  <c r="AJ746" i="8"/>
  <c r="BC746" i="8" s="1"/>
  <c r="AQ746" i="8"/>
  <c r="BJ746" i="8" s="1"/>
  <c r="AI746" i="8"/>
  <c r="BB746" i="8" s="1"/>
  <c r="AO746" i="8"/>
  <c r="BH746" i="8" s="1"/>
  <c r="AN746" i="8"/>
  <c r="BG746" i="8" s="1"/>
  <c r="AM746" i="8"/>
  <c r="BF746" i="8" s="1"/>
  <c r="AL746" i="8"/>
  <c r="BE746" i="8" s="1"/>
  <c r="AP746" i="8"/>
  <c r="BI746" i="8" s="1"/>
  <c r="AO360" i="8"/>
  <c r="BH360" i="8" s="1"/>
  <c r="AJ360" i="8"/>
  <c r="BC360" i="8" s="1"/>
  <c r="AM360" i="8"/>
  <c r="BF360" i="8" s="1"/>
  <c r="AR360" i="8"/>
  <c r="BK360" i="8" s="1"/>
  <c r="AP360" i="8"/>
  <c r="BI360" i="8" s="1"/>
  <c r="AL360" i="8"/>
  <c r="BE360" i="8" s="1"/>
  <c r="AQ360" i="8"/>
  <c r="BJ360" i="8" s="1"/>
  <c r="AN360" i="8"/>
  <c r="BG360" i="8" s="1"/>
  <c r="AK245" i="8"/>
  <c r="BD245" i="8" s="1"/>
  <c r="AP245" i="8"/>
  <c r="BI245" i="8" s="1"/>
  <c r="AL245" i="8"/>
  <c r="BE245" i="8" s="1"/>
  <c r="AI245" i="8"/>
  <c r="BB245" i="8" s="1"/>
  <c r="AM245" i="8"/>
  <c r="BF245" i="8" s="1"/>
  <c r="AQ245" i="8"/>
  <c r="BJ245" i="8" s="1"/>
  <c r="AN245" i="8"/>
  <c r="BG245" i="8" s="1"/>
  <c r="AO245" i="8"/>
  <c r="BH245" i="8" s="1"/>
  <c r="AJ245" i="8"/>
  <c r="BC245" i="8" s="1"/>
  <c r="AM366" i="8"/>
  <c r="BF366" i="8" s="1"/>
  <c r="AI366" i="8"/>
  <c r="BB366" i="8" s="1"/>
  <c r="AK366" i="8"/>
  <c r="BD366" i="8" s="1"/>
  <c r="AP366" i="8"/>
  <c r="BI366" i="8" s="1"/>
  <c r="AL366" i="8"/>
  <c r="BE366" i="8" s="1"/>
  <c r="AQ366" i="8"/>
  <c r="BJ366" i="8" s="1"/>
  <c r="AN366" i="8"/>
  <c r="BG366" i="8" s="1"/>
  <c r="AR366" i="8"/>
  <c r="BK366" i="8" s="1"/>
  <c r="AJ366" i="8"/>
  <c r="BC366" i="8" s="1"/>
  <c r="AL631" i="8"/>
  <c r="BE631" i="8" s="1"/>
  <c r="AJ631" i="8"/>
  <c r="BC631" i="8" s="1"/>
  <c r="AK631" i="8"/>
  <c r="BD631" i="8" s="1"/>
  <c r="AQ631" i="8"/>
  <c r="BJ631" i="8" s="1"/>
  <c r="AI631" i="8"/>
  <c r="BB631" i="8" s="1"/>
  <c r="AN631" i="8"/>
  <c r="BG631" i="8" s="1"/>
  <c r="AP631" i="8"/>
  <c r="BI631" i="8" s="1"/>
  <c r="AM631" i="8"/>
  <c r="BF631" i="8" s="1"/>
  <c r="AO631" i="8"/>
  <c r="BH631" i="8" s="1"/>
  <c r="AP444" i="8"/>
  <c r="BI444" i="8" s="1"/>
  <c r="AM444" i="8"/>
  <c r="BF444" i="8" s="1"/>
  <c r="AN444" i="8"/>
  <c r="BG444" i="8" s="1"/>
  <c r="AL444" i="8"/>
  <c r="BE444" i="8" s="1"/>
  <c r="AO444" i="8"/>
  <c r="BH444" i="8" s="1"/>
  <c r="AQ444" i="8"/>
  <c r="BJ444" i="8" s="1"/>
  <c r="AR444" i="8"/>
  <c r="BK444" i="8" s="1"/>
  <c r="AK444" i="8"/>
  <c r="BD444" i="8" s="1"/>
  <c r="AJ444" i="8"/>
  <c r="BC444" i="8" s="1"/>
  <c r="AN471" i="8"/>
  <c r="BG471" i="8" s="1"/>
  <c r="AM471" i="8"/>
  <c r="BF471" i="8" s="1"/>
  <c r="AP471" i="8"/>
  <c r="BI471" i="8" s="1"/>
  <c r="AO471" i="8"/>
  <c r="BH471" i="8" s="1"/>
  <c r="AQ471" i="8"/>
  <c r="BJ471" i="8" s="1"/>
  <c r="AL471" i="8"/>
  <c r="BE471" i="8" s="1"/>
  <c r="AK471" i="8"/>
  <c r="BD471" i="8" s="1"/>
  <c r="AR471" i="8"/>
  <c r="BK471" i="8" s="1"/>
  <c r="AJ471" i="8"/>
  <c r="BC471" i="8" s="1"/>
  <c r="AI124" i="1"/>
  <c r="BB124" i="1" s="1"/>
  <c r="AP127" i="1"/>
  <c r="BI127" i="1" s="1"/>
  <c r="AN313" i="8"/>
  <c r="BG313" i="8" s="1"/>
  <c r="AN403" i="8"/>
  <c r="BG403" i="8" s="1"/>
  <c r="AP403" i="8"/>
  <c r="BI403" i="8" s="1"/>
  <c r="AM403" i="8"/>
  <c r="BF403" i="8" s="1"/>
  <c r="AK403" i="8"/>
  <c r="BD403" i="8" s="1"/>
  <c r="AL403" i="8"/>
  <c r="BE403" i="8" s="1"/>
  <c r="AR403" i="8"/>
  <c r="BK403" i="8" s="1"/>
  <c r="AQ403" i="8"/>
  <c r="BJ403" i="8" s="1"/>
  <c r="AJ403" i="8"/>
  <c r="BC403" i="8" s="1"/>
  <c r="AO403" i="8"/>
  <c r="BH403" i="8" s="1"/>
  <c r="AN706" i="1"/>
  <c r="BG706" i="1" s="1"/>
  <c r="AR706" i="1"/>
  <c r="BK706" i="1" s="1"/>
  <c r="AL706" i="1"/>
  <c r="BE706" i="1" s="1"/>
  <c r="AO706" i="1"/>
  <c r="BH706" i="1" s="1"/>
  <c r="AP706" i="1"/>
  <c r="BI706" i="1" s="1"/>
  <c r="AK706" i="1"/>
  <c r="BD706" i="1" s="1"/>
  <c r="AI706" i="1"/>
  <c r="AM706" i="1"/>
  <c r="BF706" i="1" s="1"/>
  <c r="AQ706" i="1"/>
  <c r="BJ706" i="1" s="1"/>
  <c r="AL683" i="1"/>
  <c r="BE683" i="1" s="1"/>
  <c r="AO683" i="1"/>
  <c r="BH683" i="1" s="1"/>
  <c r="AM683" i="1"/>
  <c r="BF683" i="1" s="1"/>
  <c r="AJ683" i="1"/>
  <c r="BC683" i="1" s="1"/>
  <c r="AP683" i="1"/>
  <c r="BI683" i="1" s="1"/>
  <c r="AR683" i="1"/>
  <c r="BK683" i="1" s="1"/>
  <c r="AK683" i="1"/>
  <c r="BD683" i="1" s="1"/>
  <c r="AN683" i="1"/>
  <c r="BG683" i="1" s="1"/>
  <c r="AI683" i="1"/>
  <c r="BB683" i="1" s="1"/>
  <c r="AM671" i="1"/>
  <c r="BF671" i="1" s="1"/>
  <c r="AN671" i="1"/>
  <c r="BG671" i="1" s="1"/>
  <c r="AO671" i="1"/>
  <c r="BH671" i="1" s="1"/>
  <c r="AP671" i="1"/>
  <c r="BI671" i="1" s="1"/>
  <c r="AI671" i="1"/>
  <c r="AQ671" i="1"/>
  <c r="BJ671" i="1" s="1"/>
  <c r="AJ671" i="1"/>
  <c r="BC671" i="1" s="1"/>
  <c r="AR671" i="1"/>
  <c r="BK671" i="1" s="1"/>
  <c r="AK671" i="1"/>
  <c r="BD671" i="1" s="1"/>
  <c r="AN408" i="8"/>
  <c r="BG408" i="8" s="1"/>
  <c r="AP408" i="8"/>
  <c r="BI408" i="8" s="1"/>
  <c r="AK408" i="8"/>
  <c r="BD408" i="8" s="1"/>
  <c r="AM408" i="8"/>
  <c r="BF408" i="8" s="1"/>
  <c r="AR408" i="8"/>
  <c r="BK408" i="8" s="1"/>
  <c r="AL408" i="8"/>
  <c r="BE408" i="8" s="1"/>
  <c r="AJ408" i="8"/>
  <c r="BC408" i="8" s="1"/>
  <c r="AQ408" i="8"/>
  <c r="BJ408" i="8" s="1"/>
  <c r="AI281" i="8"/>
  <c r="BB281" i="8" s="1"/>
  <c r="AK281" i="8"/>
  <c r="BD281" i="8" s="1"/>
  <c r="AR281" i="8"/>
  <c r="BK281" i="8" s="1"/>
  <c r="AN281" i="8"/>
  <c r="BG281" i="8" s="1"/>
  <c r="AL281" i="8"/>
  <c r="BE281" i="8" s="1"/>
  <c r="AQ281" i="8"/>
  <c r="BJ281" i="8" s="1"/>
  <c r="AO281" i="8"/>
  <c r="BH281" i="8" s="1"/>
  <c r="AP281" i="8"/>
  <c r="BI281" i="8" s="1"/>
  <c r="AM407" i="8"/>
  <c r="BF407" i="8" s="1"/>
  <c r="AL407" i="8"/>
  <c r="BE407" i="8" s="1"/>
  <c r="AR407" i="8"/>
  <c r="BK407" i="8" s="1"/>
  <c r="AQ407" i="8"/>
  <c r="BJ407" i="8" s="1"/>
  <c r="AJ407" i="8"/>
  <c r="BC407" i="8" s="1"/>
  <c r="AO407" i="8"/>
  <c r="BH407" i="8" s="1"/>
  <c r="AK407" i="8"/>
  <c r="BD407" i="8" s="1"/>
  <c r="AI407" i="8"/>
  <c r="BB407" i="8" s="1"/>
  <c r="AN407" i="8"/>
  <c r="BG407" i="8" s="1"/>
  <c r="AM178" i="1"/>
  <c r="BF178" i="1" s="1"/>
  <c r="AO178" i="1"/>
  <c r="BH178" i="1" s="1"/>
  <c r="AI178" i="1"/>
  <c r="AN178" i="1"/>
  <c r="BG178" i="1" s="1"/>
  <c r="AJ178" i="1"/>
  <c r="BC178" i="1" s="1"/>
  <c r="AP178" i="1"/>
  <c r="BI178" i="1" s="1"/>
  <c r="AL178" i="1"/>
  <c r="BE178" i="1" s="1"/>
  <c r="AR178" i="1"/>
  <c r="BK178" i="1" s="1"/>
  <c r="AL698" i="8"/>
  <c r="BE698" i="8" s="1"/>
  <c r="AP698" i="8"/>
  <c r="BI698" i="8" s="1"/>
  <c r="AI698" i="8"/>
  <c r="AM698" i="8"/>
  <c r="BF698" i="8" s="1"/>
  <c r="AQ698" i="8"/>
  <c r="BJ698" i="8" s="1"/>
  <c r="AN698" i="8"/>
  <c r="BG698" i="8" s="1"/>
  <c r="AK698" i="8"/>
  <c r="BD698" i="8" s="1"/>
  <c r="AJ698" i="8"/>
  <c r="BC698" i="8" s="1"/>
  <c r="AM688" i="1"/>
  <c r="BF688" i="1" s="1"/>
  <c r="AN688" i="1"/>
  <c r="BG688" i="1" s="1"/>
  <c r="AO688" i="1"/>
  <c r="BH688" i="1" s="1"/>
  <c r="AP688" i="1"/>
  <c r="BI688" i="1" s="1"/>
  <c r="AI688" i="1"/>
  <c r="AQ688" i="1"/>
  <c r="BJ688" i="1" s="1"/>
  <c r="AJ688" i="1"/>
  <c r="BC688" i="1" s="1"/>
  <c r="AR688" i="1"/>
  <c r="BK688" i="1" s="1"/>
  <c r="AK688" i="1"/>
  <c r="BD688" i="1" s="1"/>
  <c r="AM127" i="1"/>
  <c r="BF127" i="1" s="1"/>
  <c r="AN696" i="1"/>
  <c r="BG696" i="1" s="1"/>
  <c r="AK629" i="8"/>
  <c r="BD629" i="8" s="1"/>
  <c r="AR245" i="8"/>
  <c r="BK245" i="8" s="1"/>
  <c r="AJ421" i="8"/>
  <c r="BC421" i="8" s="1"/>
  <c r="AR664" i="8"/>
  <c r="BK664" i="8" s="1"/>
  <c r="AN600" i="8"/>
  <c r="BG600" i="8" s="1"/>
  <c r="AK746" i="8"/>
  <c r="BD746" i="8" s="1"/>
  <c r="AO698" i="8"/>
  <c r="BH698" i="8" s="1"/>
  <c r="AR225" i="8"/>
  <c r="BK225" i="8" s="1"/>
  <c r="AN670" i="1"/>
  <c r="BG670" i="1" s="1"/>
  <c r="AO670" i="1"/>
  <c r="BH670" i="1" s="1"/>
  <c r="AP670" i="1"/>
  <c r="BI670" i="1" s="1"/>
  <c r="AI670" i="1"/>
  <c r="AQ670" i="1"/>
  <c r="BJ670" i="1" s="1"/>
  <c r="AJ670" i="1"/>
  <c r="BC670" i="1" s="1"/>
  <c r="AR670" i="1"/>
  <c r="BK670" i="1" s="1"/>
  <c r="AK670" i="1"/>
  <c r="BD670" i="1" s="1"/>
  <c r="AL670" i="1"/>
  <c r="BE670" i="1" s="1"/>
  <c r="AP467" i="8"/>
  <c r="BI467" i="8" s="1"/>
  <c r="AR467" i="8"/>
  <c r="BK467" i="8" s="1"/>
  <c r="AO467" i="8"/>
  <c r="BH467" i="8" s="1"/>
  <c r="AN467" i="8"/>
  <c r="BG467" i="8" s="1"/>
  <c r="AL467" i="8"/>
  <c r="BE467" i="8" s="1"/>
  <c r="AK467" i="8"/>
  <c r="BD467" i="8" s="1"/>
  <c r="AQ467" i="8"/>
  <c r="BJ467" i="8" s="1"/>
  <c r="AI467" i="8"/>
  <c r="BB467" i="8" s="1"/>
  <c r="AJ467" i="8"/>
  <c r="BC467" i="8" s="1"/>
  <c r="AO382" i="8"/>
  <c r="BH382" i="8" s="1"/>
  <c r="AR382" i="8"/>
  <c r="BK382" i="8" s="1"/>
  <c r="AK382" i="8"/>
  <c r="BD382" i="8" s="1"/>
  <c r="AJ382" i="8"/>
  <c r="BC382" i="8" s="1"/>
  <c r="AI382" i="8"/>
  <c r="AP382" i="8"/>
  <c r="BI382" i="8" s="1"/>
  <c r="AL382" i="8"/>
  <c r="BE382" i="8" s="1"/>
  <c r="AN382" i="8"/>
  <c r="BG382" i="8" s="1"/>
  <c r="AI531" i="8"/>
  <c r="BB531" i="8" s="1"/>
  <c r="AL531" i="8"/>
  <c r="BE531" i="8" s="1"/>
  <c r="AK531" i="8"/>
  <c r="BD531" i="8" s="1"/>
  <c r="AO531" i="8"/>
  <c r="BH531" i="8" s="1"/>
  <c r="AJ531" i="8"/>
  <c r="BC531" i="8" s="1"/>
  <c r="AR531" i="8"/>
  <c r="BK531" i="8" s="1"/>
  <c r="AP531" i="8"/>
  <c r="BI531" i="8" s="1"/>
  <c r="AM531" i="8"/>
  <c r="BF531" i="8" s="1"/>
  <c r="AM723" i="8"/>
  <c r="BF723" i="8" s="1"/>
  <c r="AL723" i="8"/>
  <c r="BE723" i="8" s="1"/>
  <c r="AK723" i="8"/>
  <c r="BD723" i="8" s="1"/>
  <c r="AP723" i="8"/>
  <c r="BI723" i="8" s="1"/>
  <c r="AQ723" i="8"/>
  <c r="BJ723" i="8" s="1"/>
  <c r="AR723" i="8"/>
  <c r="BK723" i="8" s="1"/>
  <c r="AO723" i="8"/>
  <c r="BH723" i="8" s="1"/>
  <c r="AJ723" i="8"/>
  <c r="BC723" i="8" s="1"/>
  <c r="AI723" i="8"/>
  <c r="BB723" i="8" s="1"/>
  <c r="AN127" i="1"/>
  <c r="BG127" i="1" s="1"/>
  <c r="AO680" i="1"/>
  <c r="BH680" i="1" s="1"/>
  <c r="AI629" i="8"/>
  <c r="BB629" i="8" s="1"/>
  <c r="AJ707" i="8"/>
  <c r="BC707" i="8" s="1"/>
  <c r="AP404" i="8"/>
  <c r="BI404" i="8" s="1"/>
  <c r="AI408" i="8"/>
  <c r="AR689" i="8"/>
  <c r="BK689" i="8" s="1"/>
  <c r="AQ664" i="8"/>
  <c r="BJ664" i="8" s="1"/>
  <c r="AO600" i="8"/>
  <c r="BH600" i="8" s="1"/>
  <c r="AR746" i="8"/>
  <c r="BK746" i="8" s="1"/>
  <c r="AN715" i="1"/>
  <c r="BG715" i="1" s="1"/>
  <c r="AR715" i="1"/>
  <c r="BK715" i="1" s="1"/>
  <c r="AL715" i="1"/>
  <c r="BE715" i="1" s="1"/>
  <c r="AM715" i="1"/>
  <c r="BF715" i="1" s="1"/>
  <c r="AP715" i="1"/>
  <c r="BI715" i="1" s="1"/>
  <c r="AK715" i="1"/>
  <c r="BD715" i="1" s="1"/>
  <c r="AI715" i="1"/>
  <c r="BB715" i="1" s="1"/>
  <c r="AO715" i="1"/>
  <c r="BH715" i="1" s="1"/>
  <c r="AQ715" i="1"/>
  <c r="BJ715" i="1" s="1"/>
  <c r="AL532" i="8"/>
  <c r="BE532" i="8" s="1"/>
  <c r="AK532" i="8"/>
  <c r="BD532" i="8" s="1"/>
  <c r="AM532" i="8"/>
  <c r="BF532" i="8" s="1"/>
  <c r="AR532" i="8"/>
  <c r="BK532" i="8" s="1"/>
  <c r="AN532" i="8"/>
  <c r="BG532" i="8" s="1"/>
  <c r="AP532" i="8"/>
  <c r="BI532" i="8" s="1"/>
  <c r="AO532" i="8"/>
  <c r="BH532" i="8" s="1"/>
  <c r="AI532" i="8"/>
  <c r="BB532" i="8" s="1"/>
  <c r="AQ532" i="8"/>
  <c r="BJ532" i="8" s="1"/>
  <c r="AQ234" i="8"/>
  <c r="BJ234" i="8" s="1"/>
  <c r="AJ234" i="8"/>
  <c r="BC234" i="8" s="1"/>
  <c r="AM234" i="8"/>
  <c r="BF234" i="8" s="1"/>
  <c r="AK234" i="8"/>
  <c r="BD234" i="8" s="1"/>
  <c r="AI234" i="8"/>
  <c r="AP234" i="8"/>
  <c r="BI234" i="8" s="1"/>
  <c r="AO234" i="8"/>
  <c r="BH234" i="8" s="1"/>
  <c r="AR234" i="8"/>
  <c r="BK234" i="8" s="1"/>
  <c r="AN234" i="8"/>
  <c r="BG234" i="8" s="1"/>
  <c r="AL771" i="8"/>
  <c r="BE771" i="8" s="1"/>
  <c r="AM771" i="8"/>
  <c r="BF771" i="8" s="1"/>
  <c r="AI771" i="8"/>
  <c r="BB771" i="8" s="1"/>
  <c r="AJ771" i="8"/>
  <c r="BC771" i="8" s="1"/>
  <c r="AK771" i="8"/>
  <c r="BD771" i="8" s="1"/>
  <c r="AP771" i="8"/>
  <c r="BI771" i="8" s="1"/>
  <c r="AO771" i="8"/>
  <c r="BH771" i="8" s="1"/>
  <c r="AR771" i="8"/>
  <c r="BK771" i="8" s="1"/>
  <c r="AQ771" i="8"/>
  <c r="BJ771" i="8" s="1"/>
  <c r="AJ300" i="8"/>
  <c r="BC300" i="8" s="1"/>
  <c r="AR300" i="8"/>
  <c r="BK300" i="8" s="1"/>
  <c r="AO300" i="8"/>
  <c r="BH300" i="8" s="1"/>
  <c r="AP300" i="8"/>
  <c r="BI300" i="8" s="1"/>
  <c r="AI300" i="8"/>
  <c r="BB300" i="8" s="1"/>
  <c r="AM300" i="8"/>
  <c r="BF300" i="8" s="1"/>
  <c r="AL300" i="8"/>
  <c r="BE300" i="8" s="1"/>
  <c r="AQ300" i="8"/>
  <c r="BJ300" i="8" s="1"/>
  <c r="AK300" i="8"/>
  <c r="BD300" i="8" s="1"/>
  <c r="AQ433" i="8"/>
  <c r="BJ433" i="8" s="1"/>
  <c r="AJ433" i="8"/>
  <c r="BC433" i="8" s="1"/>
  <c r="AL433" i="8"/>
  <c r="BE433" i="8" s="1"/>
  <c r="AP433" i="8"/>
  <c r="BI433" i="8" s="1"/>
  <c r="AI433" i="8"/>
  <c r="BB433" i="8" s="1"/>
  <c r="AO433" i="8"/>
  <c r="BH433" i="8" s="1"/>
  <c r="AK433" i="8"/>
  <c r="BD433" i="8" s="1"/>
  <c r="AN433" i="8"/>
  <c r="BG433" i="8" s="1"/>
  <c r="AR433" i="8"/>
  <c r="BK433" i="8" s="1"/>
  <c r="AR124" i="1"/>
  <c r="BK124" i="1" s="1"/>
  <c r="AK188" i="1"/>
  <c r="BD188" i="1" s="1"/>
  <c r="AL710" i="1"/>
  <c r="BE710" i="1" s="1"/>
  <c r="L29" i="5" s="1"/>
  <c r="AN738" i="1"/>
  <c r="BG738" i="1" s="1"/>
  <c r="AQ707" i="8"/>
  <c r="BJ707" i="8" s="1"/>
  <c r="AN404" i="8"/>
  <c r="BG404" i="8" s="1"/>
  <c r="AJ517" i="8"/>
  <c r="BC517" i="8" s="1"/>
  <c r="AL361" i="8"/>
  <c r="BE361" i="8" s="1"/>
  <c r="AQ253" i="8"/>
  <c r="BJ253" i="8" s="1"/>
  <c r="AN723" i="8"/>
  <c r="BG723" i="8" s="1"/>
  <c r="AI239" i="8"/>
  <c r="BB239" i="8" s="1"/>
  <c r="AO408" i="8"/>
  <c r="BH408" i="8" s="1"/>
  <c r="AL689" i="8"/>
  <c r="BE689" i="8" s="1"/>
  <c r="AJ281" i="8"/>
  <c r="BC281" i="8" s="1"/>
  <c r="AJ479" i="8"/>
  <c r="BC479" i="8" s="1"/>
  <c r="AI360" i="8"/>
  <c r="BB360" i="8" s="1"/>
  <c r="AL589" i="8"/>
  <c r="BE589" i="8" s="1"/>
  <c r="AJ589" i="8"/>
  <c r="BC589" i="8" s="1"/>
  <c r="AI639" i="8"/>
  <c r="BB639" i="8" s="1"/>
  <c r="AO639" i="8"/>
  <c r="BH639" i="8" s="1"/>
  <c r="AI273" i="8"/>
  <c r="AM273" i="8"/>
  <c r="BF273" i="8" s="1"/>
  <c r="AO523" i="8"/>
  <c r="BH523" i="8" s="1"/>
  <c r="AQ687" i="8"/>
  <c r="BJ687" i="8" s="1"/>
  <c r="AN218" i="8"/>
  <c r="BG218" i="8" s="1"/>
  <c r="AR218" i="8"/>
  <c r="BK218" i="8" s="1"/>
  <c r="AK221" i="8"/>
  <c r="BD221" i="8" s="1"/>
  <c r="AO377" i="8"/>
  <c r="BH377" i="8" s="1"/>
  <c r="AQ216" i="8"/>
  <c r="BJ216" i="8" s="1"/>
  <c r="AK325" i="8"/>
  <c r="BD325" i="8" s="1"/>
  <c r="AL476" i="8"/>
  <c r="BE476" i="8" s="1"/>
  <c r="AL355" i="8"/>
  <c r="BE355" i="8" s="1"/>
  <c r="AO440" i="8"/>
  <c r="BH440" i="8" s="1"/>
  <c r="AN440" i="8"/>
  <c r="BG440" i="8" s="1"/>
  <c r="AK367" i="8"/>
  <c r="BD367" i="8" s="1"/>
  <c r="AL428" i="8"/>
  <c r="BE428" i="8" s="1"/>
  <c r="AQ428" i="8"/>
  <c r="BJ428" i="8" s="1"/>
  <c r="AJ220" i="8"/>
  <c r="BC220" i="8" s="1"/>
  <c r="AO558" i="8"/>
  <c r="BH558" i="8" s="1"/>
  <c r="AM298" i="8"/>
  <c r="BF298" i="8" s="1"/>
  <c r="AR179" i="8"/>
  <c r="BK179" i="8" s="1"/>
  <c r="AR703" i="8"/>
  <c r="BK703" i="8" s="1"/>
  <c r="AP399" i="8"/>
  <c r="BI399" i="8" s="1"/>
  <c r="AO399" i="8"/>
  <c r="BH399" i="8" s="1"/>
  <c r="AK732" i="8"/>
  <c r="BD732" i="8" s="1"/>
  <c r="AK675" i="8"/>
  <c r="BD675" i="8" s="1"/>
  <c r="AJ675" i="8"/>
  <c r="BC675" i="8" s="1"/>
  <c r="AJ377" i="8"/>
  <c r="BC377" i="8" s="1"/>
  <c r="AM325" i="8"/>
  <c r="BF325" i="8" s="1"/>
  <c r="AI440" i="8"/>
  <c r="BB440" i="8" s="1"/>
  <c r="AP440" i="8"/>
  <c r="BI440" i="8" s="1"/>
  <c r="AR428" i="8"/>
  <c r="BK428" i="8" s="1"/>
  <c r="AQ220" i="8"/>
  <c r="BJ220" i="8" s="1"/>
  <c r="AK220" i="8"/>
  <c r="BD220" i="8" s="1"/>
  <c r="AR558" i="8"/>
  <c r="BK558" i="8" s="1"/>
  <c r="AO179" i="8"/>
  <c r="BH179" i="8" s="1"/>
  <c r="AL703" i="8"/>
  <c r="BE703" i="8" s="1"/>
  <c r="AK399" i="8"/>
  <c r="BD399" i="8" s="1"/>
  <c r="AR675" i="8"/>
  <c r="BK675" i="8" s="1"/>
  <c r="AP485" i="8"/>
  <c r="BI485" i="8" s="1"/>
  <c r="AK485" i="8"/>
  <c r="BD485" i="8" s="1"/>
  <c r="AN589" i="8"/>
  <c r="BG589" i="8" s="1"/>
  <c r="AM639" i="8"/>
  <c r="BF639" i="8" s="1"/>
  <c r="AL273" i="8"/>
  <c r="BE273" i="8" s="1"/>
  <c r="AP523" i="8"/>
  <c r="BI523" i="8" s="1"/>
  <c r="AR687" i="8"/>
  <c r="BK687" i="8" s="1"/>
  <c r="AP687" i="8"/>
  <c r="BI687" i="8" s="1"/>
  <c r="AJ218" i="8"/>
  <c r="BC218" i="8" s="1"/>
  <c r="AJ221" i="8"/>
  <c r="BC221" i="8" s="1"/>
  <c r="AP377" i="8"/>
  <c r="BI377" i="8" s="1"/>
  <c r="AO216" i="8"/>
  <c r="BH216" i="8" s="1"/>
  <c r="AJ216" i="8"/>
  <c r="BC216" i="8" s="1"/>
  <c r="AN325" i="8"/>
  <c r="BG325" i="8" s="1"/>
  <c r="AK476" i="8"/>
  <c r="BD476" i="8" s="1"/>
  <c r="AM476" i="8"/>
  <c r="BF476" i="8" s="1"/>
  <c r="AR355" i="8"/>
  <c r="BK355" i="8" s="1"/>
  <c r="AJ440" i="8"/>
  <c r="BC440" i="8" s="1"/>
  <c r="AO367" i="8"/>
  <c r="BH367" i="8" s="1"/>
  <c r="AI367" i="8"/>
  <c r="BB367" i="8" s="1"/>
  <c r="AM428" i="8"/>
  <c r="BF428" i="8" s="1"/>
  <c r="AM220" i="8"/>
  <c r="BF220" i="8" s="1"/>
  <c r="AL220" i="8"/>
  <c r="BE220" i="8" s="1"/>
  <c r="AR298" i="8"/>
  <c r="BK298" i="8" s="1"/>
  <c r="AK179" i="8"/>
  <c r="BD179" i="8" s="1"/>
  <c r="AO703" i="8"/>
  <c r="BH703" i="8" s="1"/>
  <c r="AO485" i="8"/>
  <c r="BH485" i="8" s="1"/>
  <c r="AL732" i="8"/>
  <c r="BE732" i="8" s="1"/>
  <c r="AP589" i="8"/>
  <c r="BI589" i="8" s="1"/>
  <c r="AL639" i="8"/>
  <c r="BE639" i="8" s="1"/>
  <c r="AP273" i="8"/>
  <c r="BI273" i="8" s="1"/>
  <c r="AR523" i="8"/>
  <c r="BK523" i="8" s="1"/>
  <c r="AM523" i="8"/>
  <c r="BF523" i="8" s="1"/>
  <c r="AK687" i="8"/>
  <c r="BD687" i="8" s="1"/>
  <c r="AQ218" i="8"/>
  <c r="BJ218" i="8" s="1"/>
  <c r="AR221" i="8"/>
  <c r="BK221" i="8" s="1"/>
  <c r="AK377" i="8"/>
  <c r="BD377" i="8" s="1"/>
  <c r="AL216" i="8"/>
  <c r="BE216" i="8" s="1"/>
  <c r="AO325" i="8"/>
  <c r="BH325" i="8" s="1"/>
  <c r="AO476" i="8"/>
  <c r="BH476" i="8" s="1"/>
  <c r="AN476" i="8"/>
  <c r="BG476" i="8" s="1"/>
  <c r="AJ355" i="8"/>
  <c r="BC355" i="8" s="1"/>
  <c r="AK440" i="8"/>
  <c r="BD440" i="8" s="1"/>
  <c r="AQ367" i="8"/>
  <c r="BJ367" i="8" s="1"/>
  <c r="AK428" i="8"/>
  <c r="BD428" i="8" s="1"/>
  <c r="AN220" i="8"/>
  <c r="BG220" i="8" s="1"/>
  <c r="AK298" i="8"/>
  <c r="BD298" i="8" s="1"/>
  <c r="AQ179" i="8"/>
  <c r="BJ179" i="8" s="1"/>
  <c r="AM179" i="8"/>
  <c r="BF179" i="8" s="1"/>
  <c r="AK703" i="8"/>
  <c r="BD703" i="8" s="1"/>
  <c r="AL399" i="8"/>
  <c r="BE399" i="8" s="1"/>
  <c r="AM399" i="8"/>
  <c r="BF399" i="8" s="1"/>
  <c r="AM732" i="8"/>
  <c r="BF732" i="8" s="1"/>
  <c r="AN732" i="8"/>
  <c r="BG732" i="8" s="1"/>
  <c r="AJ523" i="8"/>
  <c r="BC523" i="8" s="1"/>
  <c r="AK218" i="8"/>
  <c r="BD218" i="8" s="1"/>
  <c r="AL221" i="8"/>
  <c r="BE221" i="8" s="1"/>
  <c r="AM377" i="8"/>
  <c r="BF377" i="8" s="1"/>
  <c r="AQ377" i="8"/>
  <c r="BJ377" i="8" s="1"/>
  <c r="AP325" i="8"/>
  <c r="BI325" i="8" s="1"/>
  <c r="AP355" i="8"/>
  <c r="BI355" i="8" s="1"/>
  <c r="AQ355" i="8"/>
  <c r="BJ355" i="8" s="1"/>
  <c r="AQ440" i="8"/>
  <c r="BJ440" i="8" s="1"/>
  <c r="AL367" i="8"/>
  <c r="BE367" i="8" s="1"/>
  <c r="AO428" i="8"/>
  <c r="BH428" i="8" s="1"/>
  <c r="AI220" i="8"/>
  <c r="AM558" i="8"/>
  <c r="BF558" i="8" s="1"/>
  <c r="AP298" i="8"/>
  <c r="BI298" i="8" s="1"/>
  <c r="AI179" i="8"/>
  <c r="BB179" i="8" s="1"/>
  <c r="AJ399" i="8"/>
  <c r="BC399" i="8" s="1"/>
  <c r="AM485" i="8"/>
  <c r="BF485" i="8" s="1"/>
  <c r="AQ485" i="8"/>
  <c r="BJ485" i="8" s="1"/>
  <c r="AJ485" i="8"/>
  <c r="BC485" i="8" s="1"/>
  <c r="AI523" i="8"/>
  <c r="AN377" i="8"/>
  <c r="BG377" i="8" s="1"/>
  <c r="AL325" i="8"/>
  <c r="BE325" i="8" s="1"/>
  <c r="AR325" i="8"/>
  <c r="BK325" i="8" s="1"/>
  <c r="AI355" i="8"/>
  <c r="BB355" i="8" s="1"/>
  <c r="AL440" i="8"/>
  <c r="BE440" i="8" s="1"/>
  <c r="AP428" i="8"/>
  <c r="BI428" i="8" s="1"/>
  <c r="AO220" i="8"/>
  <c r="BH220" i="8" s="1"/>
  <c r="AK558" i="8"/>
  <c r="BD558" i="8" s="1"/>
  <c r="AI298" i="8"/>
  <c r="BB298" i="8" s="1"/>
  <c r="AN298" i="8"/>
  <c r="BG298" i="8" s="1"/>
  <c r="AJ179" i="8"/>
  <c r="BC179" i="8" s="1"/>
  <c r="AP311" i="8"/>
  <c r="BI311" i="8" s="1"/>
  <c r="AQ703" i="8"/>
  <c r="BJ703" i="8" s="1"/>
  <c r="AQ399" i="8"/>
  <c r="BJ399" i="8" s="1"/>
  <c r="AQ732" i="8"/>
  <c r="BJ732" i="8" s="1"/>
  <c r="AR485" i="8"/>
  <c r="BK485" i="8" s="1"/>
  <c r="AI732" i="8"/>
  <c r="BB732" i="8" s="1"/>
  <c r="AI221" i="8"/>
  <c r="BB221" i="8" s="1"/>
  <c r="AJ325" i="8"/>
  <c r="BC325" i="8" s="1"/>
  <c r="AJ428" i="8"/>
  <c r="BC428" i="8" s="1"/>
  <c r="AP558" i="8"/>
  <c r="BI558" i="8" s="1"/>
  <c r="AQ298" i="8"/>
  <c r="BJ298" i="8" s="1"/>
  <c r="AL311" i="8"/>
  <c r="BE311" i="8" s="1"/>
  <c r="AM703" i="8"/>
  <c r="BF703" i="8" s="1"/>
  <c r="AN399" i="8"/>
  <c r="BG399" i="8" s="1"/>
  <c r="AO732" i="8"/>
  <c r="BH732" i="8" s="1"/>
  <c r="AP732" i="8"/>
  <c r="BI732" i="8" s="1"/>
  <c r="AM679" i="1"/>
  <c r="BF679" i="1" s="1"/>
  <c r="AO691" i="1"/>
  <c r="BH691" i="1" s="1"/>
  <c r="AR691" i="1"/>
  <c r="BK691" i="1" s="1"/>
  <c r="AR692" i="1"/>
  <c r="BK692" i="1" s="1"/>
  <c r="AO692" i="1"/>
  <c r="BH692" i="1" s="1"/>
  <c r="AQ699" i="1"/>
  <c r="BJ699" i="1" s="1"/>
  <c r="AI702" i="1"/>
  <c r="BB702" i="1" s="1"/>
  <c r="AN702" i="1"/>
  <c r="BG702" i="1" s="1"/>
  <c r="AJ693" i="1"/>
  <c r="BC693" i="1" s="1"/>
  <c r="AL742" i="1"/>
  <c r="BE742" i="1" s="1"/>
  <c r="AN722" i="1"/>
  <c r="BG722" i="1" s="1"/>
  <c r="AP722" i="1"/>
  <c r="BI722" i="1" s="1"/>
  <c r="AL686" i="1"/>
  <c r="BE686" i="1" s="1"/>
  <c r="AP686" i="1"/>
  <c r="BI686" i="1" s="1"/>
  <c r="AK392" i="8"/>
  <c r="BD392" i="8" s="1"/>
  <c r="AP392" i="8"/>
  <c r="BI392" i="8" s="1"/>
  <c r="AM222" i="8"/>
  <c r="BF222" i="8" s="1"/>
  <c r="AO657" i="8"/>
  <c r="BH657" i="8" s="1"/>
  <c r="AJ657" i="8"/>
  <c r="BC657" i="8" s="1"/>
  <c r="AP318" i="8"/>
  <c r="BI318" i="8" s="1"/>
  <c r="AJ445" i="8"/>
  <c r="BC445" i="8" s="1"/>
  <c r="AQ283" i="8"/>
  <c r="BJ283" i="8" s="1"/>
  <c r="AO283" i="8"/>
  <c r="BH283" i="8" s="1"/>
  <c r="AI420" i="8"/>
  <c r="BB420" i="8" s="1"/>
  <c r="AO420" i="8"/>
  <c r="BH420" i="8" s="1"/>
  <c r="AL464" i="8"/>
  <c r="BE464" i="8" s="1"/>
  <c r="AK406" i="8"/>
  <c r="BD406" i="8" s="1"/>
  <c r="AR406" i="8"/>
  <c r="BK406" i="8" s="1"/>
  <c r="AI336" i="8"/>
  <c r="AJ427" i="8"/>
  <c r="BC427" i="8" s="1"/>
  <c r="AO427" i="8"/>
  <c r="BH427" i="8" s="1"/>
  <c r="AP460" i="8"/>
  <c r="BI460" i="8" s="1"/>
  <c r="AO314" i="8"/>
  <c r="BH314" i="8" s="1"/>
  <c r="AM244" i="8"/>
  <c r="BF244" i="8" s="1"/>
  <c r="AO720" i="8"/>
  <c r="BH720" i="8" s="1"/>
  <c r="AR613" i="8"/>
  <c r="BK613" i="8" s="1"/>
  <c r="AI598" i="8"/>
  <c r="AI688" i="8"/>
  <c r="BB688" i="8" s="1"/>
  <c r="AL679" i="1"/>
  <c r="BE679" i="1" s="1"/>
  <c r="AL691" i="1"/>
  <c r="BE691" i="1" s="1"/>
  <c r="AJ691" i="1"/>
  <c r="BC691" i="1" s="1"/>
  <c r="AN692" i="1"/>
  <c r="BG692" i="1" s="1"/>
  <c r="AK692" i="1"/>
  <c r="BD692" i="1" s="1"/>
  <c r="AM699" i="1"/>
  <c r="BF699" i="1" s="1"/>
  <c r="AQ675" i="1"/>
  <c r="BJ675" i="1" s="1"/>
  <c r="AL675" i="1"/>
  <c r="BE675" i="1" s="1"/>
  <c r="AQ702" i="1"/>
  <c r="BJ702" i="1" s="1"/>
  <c r="AJ702" i="1"/>
  <c r="BC702" i="1" s="1"/>
  <c r="AI693" i="1"/>
  <c r="BB693" i="1" s="1"/>
  <c r="AQ742" i="1"/>
  <c r="BJ742" i="1" s="1"/>
  <c r="AK722" i="1"/>
  <c r="BD722" i="1" s="1"/>
  <c r="AL722" i="1"/>
  <c r="BE722" i="1" s="1"/>
  <c r="AL392" i="8"/>
  <c r="BE392" i="8" s="1"/>
  <c r="AN222" i="8"/>
  <c r="BG222" i="8" s="1"/>
  <c r="AR657" i="8"/>
  <c r="BK657" i="8" s="1"/>
  <c r="AQ318" i="8"/>
  <c r="BJ318" i="8" s="1"/>
  <c r="AR445" i="8"/>
  <c r="BK445" i="8" s="1"/>
  <c r="AP259" i="8"/>
  <c r="BI259" i="8" s="1"/>
  <c r="AR283" i="8"/>
  <c r="BK283" i="8" s="1"/>
  <c r="AQ420" i="8"/>
  <c r="BJ420" i="8" s="1"/>
  <c r="AP420" i="8"/>
  <c r="BI420" i="8" s="1"/>
  <c r="AR464" i="8"/>
  <c r="BK464" i="8" s="1"/>
  <c r="AN406" i="8"/>
  <c r="BG406" i="8" s="1"/>
  <c r="AM336" i="8"/>
  <c r="BF336" i="8" s="1"/>
  <c r="AI307" i="8"/>
  <c r="BB307" i="8" s="1"/>
  <c r="AL427" i="8"/>
  <c r="BE427" i="8" s="1"/>
  <c r="AP453" i="8"/>
  <c r="BI453" i="8" s="1"/>
  <c r="AM314" i="8"/>
  <c r="BF314" i="8" s="1"/>
  <c r="AO244" i="8"/>
  <c r="BH244" i="8" s="1"/>
  <c r="AI720" i="8"/>
  <c r="BB720" i="8" s="1"/>
  <c r="AK613" i="8"/>
  <c r="BD613" i="8" s="1"/>
  <c r="AQ667" i="8"/>
  <c r="BJ667" i="8" s="1"/>
  <c r="AJ667" i="8"/>
  <c r="BC667" i="8" s="1"/>
  <c r="AK679" i="1"/>
  <c r="BD679" i="1" s="1"/>
  <c r="AQ691" i="1"/>
  <c r="BJ691" i="1" s="1"/>
  <c r="AJ692" i="1"/>
  <c r="BC692" i="1" s="1"/>
  <c r="AI699" i="1"/>
  <c r="AI675" i="1"/>
  <c r="AM702" i="1"/>
  <c r="BF702" i="1" s="1"/>
  <c r="AP693" i="1"/>
  <c r="BI693" i="1" s="1"/>
  <c r="AI742" i="1"/>
  <c r="AR722" i="1"/>
  <c r="BK722" i="1" s="1"/>
  <c r="AM686" i="1"/>
  <c r="BF686" i="1" s="1"/>
  <c r="AJ686" i="1"/>
  <c r="BC686" i="1" s="1"/>
  <c r="AK686" i="1"/>
  <c r="BD686" i="1" s="1"/>
  <c r="AI392" i="8"/>
  <c r="BB392" i="8" s="1"/>
  <c r="AO222" i="8"/>
  <c r="BH222" i="8" s="1"/>
  <c r="AM657" i="8"/>
  <c r="BF657" i="8" s="1"/>
  <c r="AO318" i="8"/>
  <c r="BH318" i="8" s="1"/>
  <c r="AK445" i="8"/>
  <c r="BD445" i="8" s="1"/>
  <c r="AK283" i="8"/>
  <c r="BD283" i="8" s="1"/>
  <c r="AJ420" i="8"/>
  <c r="BC420" i="8" s="1"/>
  <c r="AM464" i="8"/>
  <c r="BF464" i="8" s="1"/>
  <c r="AO406" i="8"/>
  <c r="BH406" i="8" s="1"/>
  <c r="AP336" i="8"/>
  <c r="BI336" i="8" s="1"/>
  <c r="AQ307" i="8"/>
  <c r="BJ307" i="8" s="1"/>
  <c r="AR427" i="8"/>
  <c r="BK427" i="8" s="1"/>
  <c r="AP314" i="8"/>
  <c r="BI314" i="8" s="1"/>
  <c r="AQ244" i="8"/>
  <c r="BJ244" i="8" s="1"/>
  <c r="AP463" i="8"/>
  <c r="BI463" i="8" s="1"/>
  <c r="AI613" i="8"/>
  <c r="AR679" i="1"/>
  <c r="BK679" i="1" s="1"/>
  <c r="AJ679" i="1"/>
  <c r="BC679" i="1" s="1"/>
  <c r="AI691" i="1"/>
  <c r="BB691" i="1" s="1"/>
  <c r="AQ692" i="1"/>
  <c r="BJ692" i="1" s="1"/>
  <c r="AO699" i="1"/>
  <c r="BH699" i="1" s="1"/>
  <c r="AP699" i="1"/>
  <c r="BI699" i="1" s="1"/>
  <c r="AP702" i="1"/>
  <c r="BI702" i="1" s="1"/>
  <c r="AL693" i="1"/>
  <c r="BE693" i="1" s="1"/>
  <c r="AP675" i="1"/>
  <c r="BI675" i="1" s="1"/>
  <c r="AO742" i="1"/>
  <c r="BH742" i="1" s="1"/>
  <c r="AJ722" i="1"/>
  <c r="BC722" i="1" s="1"/>
  <c r="AO686" i="1"/>
  <c r="BH686" i="1" s="1"/>
  <c r="AQ392" i="8"/>
  <c r="BJ392" i="8" s="1"/>
  <c r="AP222" i="8"/>
  <c r="BI222" i="8" s="1"/>
  <c r="AN657" i="8"/>
  <c r="BG657" i="8" s="1"/>
  <c r="AJ318" i="8"/>
  <c r="BC318" i="8" s="1"/>
  <c r="AN445" i="8"/>
  <c r="BG445" i="8" s="1"/>
  <c r="AL283" i="8"/>
  <c r="BE283" i="8" s="1"/>
  <c r="AL420" i="8"/>
  <c r="BE420" i="8" s="1"/>
  <c r="AO464" i="8"/>
  <c r="BH464" i="8" s="1"/>
  <c r="AP406" i="8"/>
  <c r="BI406" i="8" s="1"/>
  <c r="AQ336" i="8"/>
  <c r="BJ336" i="8" s="1"/>
  <c r="AP307" i="8"/>
  <c r="BI307" i="8" s="1"/>
  <c r="AK427" i="8"/>
  <c r="BD427" i="8" s="1"/>
  <c r="AP575" i="8"/>
  <c r="BI575" i="8" s="1"/>
  <c r="AK314" i="8"/>
  <c r="BD314" i="8" s="1"/>
  <c r="AM572" i="8"/>
  <c r="BF572" i="8" s="1"/>
  <c r="AM381" i="8"/>
  <c r="BF381" i="8" s="1"/>
  <c r="AQ463" i="8"/>
  <c r="BJ463" i="8" s="1"/>
  <c r="AN724" i="8"/>
  <c r="BG724" i="8" s="1"/>
  <c r="AP604" i="8"/>
  <c r="BI604" i="8" s="1"/>
  <c r="AQ679" i="1"/>
  <c r="BJ679" i="1" s="1"/>
  <c r="AI679" i="1"/>
  <c r="AN691" i="1"/>
  <c r="BG691" i="1" s="1"/>
  <c r="AM692" i="1"/>
  <c r="BF692" i="1" s="1"/>
  <c r="AN699" i="1"/>
  <c r="BG699" i="1" s="1"/>
  <c r="AL699" i="1"/>
  <c r="BE699" i="1" s="1"/>
  <c r="AO675" i="1"/>
  <c r="BH675" i="1" s="1"/>
  <c r="AL702" i="1"/>
  <c r="BE702" i="1" s="1"/>
  <c r="AR693" i="1"/>
  <c r="BK693" i="1" s="1"/>
  <c r="AO693" i="1"/>
  <c r="BH693" i="1" s="1"/>
  <c r="AR675" i="1"/>
  <c r="BK675" i="1" s="1"/>
  <c r="AK742" i="1"/>
  <c r="BD742" i="1" s="1"/>
  <c r="AO722" i="1"/>
  <c r="BH722" i="1" s="1"/>
  <c r="AI686" i="1"/>
  <c r="BB686" i="1" s="1"/>
  <c r="AK675" i="1"/>
  <c r="BD675" i="1" s="1"/>
  <c r="AO392" i="8"/>
  <c r="BH392" i="8" s="1"/>
  <c r="AJ222" i="8"/>
  <c r="BC222" i="8" s="1"/>
  <c r="AP657" i="8"/>
  <c r="BI657" i="8" s="1"/>
  <c r="AI318" i="8"/>
  <c r="BB318" i="8" s="1"/>
  <c r="AK318" i="8"/>
  <c r="BD318" i="8" s="1"/>
  <c r="AM445" i="8"/>
  <c r="BF445" i="8" s="1"/>
  <c r="AI283" i="8"/>
  <c r="BB283" i="8" s="1"/>
  <c r="AR420" i="8"/>
  <c r="BK420" i="8" s="1"/>
  <c r="AQ464" i="8"/>
  <c r="BJ464" i="8" s="1"/>
  <c r="AP464" i="8"/>
  <c r="BI464" i="8" s="1"/>
  <c r="AI406" i="8"/>
  <c r="AO336" i="8"/>
  <c r="BH336" i="8" s="1"/>
  <c r="AO307" i="8"/>
  <c r="BH307" i="8" s="1"/>
  <c r="AM427" i="8"/>
  <c r="BF427" i="8" s="1"/>
  <c r="AM460" i="8"/>
  <c r="BF460" i="8" s="1"/>
  <c r="AR314" i="8"/>
  <c r="BK314" i="8" s="1"/>
  <c r="AO572" i="8"/>
  <c r="BH572" i="8" s="1"/>
  <c r="AQ381" i="8"/>
  <c r="BJ381" i="8" s="1"/>
  <c r="AJ580" i="8"/>
  <c r="BC580" i="8" s="1"/>
  <c r="AN463" i="8"/>
  <c r="BG463" i="8" s="1"/>
  <c r="AI724" i="8"/>
  <c r="BB724" i="8" s="1"/>
  <c r="AL701" i="8"/>
  <c r="BE701" i="8" s="1"/>
  <c r="AQ251" i="8"/>
  <c r="BJ251" i="8" s="1"/>
  <c r="AL632" i="8"/>
  <c r="BE632" i="8" s="1"/>
  <c r="AP679" i="1"/>
  <c r="BI679" i="1" s="1"/>
  <c r="AK691" i="1"/>
  <c r="BD691" i="1" s="1"/>
  <c r="AI692" i="1"/>
  <c r="BB692" i="1" s="1"/>
  <c r="AR699" i="1"/>
  <c r="BK699" i="1" s="1"/>
  <c r="AO707" i="1"/>
  <c r="BH707" i="1" s="1"/>
  <c r="AO702" i="1"/>
  <c r="BH702" i="1" s="1"/>
  <c r="AQ693" i="1"/>
  <c r="BJ693" i="1" s="1"/>
  <c r="AK693" i="1"/>
  <c r="BD693" i="1" s="1"/>
  <c r="AR742" i="1"/>
  <c r="BK742" i="1" s="1"/>
  <c r="AQ722" i="1"/>
  <c r="BJ722" i="1" s="1"/>
  <c r="AR686" i="1"/>
  <c r="BK686" i="1" s="1"/>
  <c r="AQ686" i="1"/>
  <c r="BJ686" i="1" s="1"/>
  <c r="AR392" i="8"/>
  <c r="BK392" i="8" s="1"/>
  <c r="AK222" i="8"/>
  <c r="BD222" i="8" s="1"/>
  <c r="AQ222" i="8"/>
  <c r="BJ222" i="8" s="1"/>
  <c r="AI657" i="8"/>
  <c r="BB657" i="8" s="1"/>
  <c r="AL318" i="8"/>
  <c r="BE318" i="8" s="1"/>
  <c r="AR318" i="8"/>
  <c r="BK318" i="8" s="1"/>
  <c r="AP445" i="8"/>
  <c r="BI445" i="8" s="1"/>
  <c r="AM283" i="8"/>
  <c r="BF283" i="8" s="1"/>
  <c r="AM420" i="8"/>
  <c r="BF420" i="8" s="1"/>
  <c r="AN464" i="8"/>
  <c r="BG464" i="8" s="1"/>
  <c r="AI464" i="8"/>
  <c r="BB464" i="8" s="1"/>
  <c r="AQ406" i="8"/>
  <c r="BJ406" i="8" s="1"/>
  <c r="AJ336" i="8"/>
  <c r="BC336" i="8" s="1"/>
  <c r="AL307" i="8"/>
  <c r="BE307" i="8" s="1"/>
  <c r="AP427" i="8"/>
  <c r="BI427" i="8" s="1"/>
  <c r="AI460" i="8"/>
  <c r="BB460" i="8" s="1"/>
  <c r="AL314" i="8"/>
  <c r="BE314" i="8" s="1"/>
  <c r="AK572" i="8"/>
  <c r="BD572" i="8" s="1"/>
  <c r="AJ381" i="8"/>
  <c r="BC381" i="8" s="1"/>
  <c r="AK580" i="8"/>
  <c r="BD580" i="8" s="1"/>
  <c r="AO463" i="8"/>
  <c r="BH463" i="8" s="1"/>
  <c r="AK670" i="8"/>
  <c r="BD670" i="8" s="1"/>
  <c r="AJ701" i="8"/>
  <c r="BC701" i="8" s="1"/>
  <c r="AJ654" i="8"/>
  <c r="BC654" i="8" s="1"/>
  <c r="AO632" i="8"/>
  <c r="BH632" i="8" s="1"/>
  <c r="AJ675" i="1"/>
  <c r="BC675" i="1" s="1"/>
  <c r="AP742" i="1"/>
  <c r="BI742" i="1" s="1"/>
  <c r="AM675" i="1"/>
  <c r="BF675" i="1" s="1"/>
  <c r="AL222" i="8"/>
  <c r="BE222" i="8" s="1"/>
  <c r="AO445" i="8"/>
  <c r="BH445" i="8" s="1"/>
  <c r="AL336" i="8"/>
  <c r="BE336" i="8" s="1"/>
  <c r="AN460" i="8"/>
  <c r="BG460" i="8" s="1"/>
  <c r="AQ314" i="8"/>
  <c r="BJ314" i="8" s="1"/>
  <c r="AQ706" i="8"/>
  <c r="BJ706" i="8" s="1"/>
  <c r="AM638" i="8"/>
  <c r="BF638" i="8" s="1"/>
  <c r="AN357" i="8"/>
  <c r="BG357" i="8" s="1"/>
  <c r="AO282" i="8"/>
  <c r="BH282" i="8" s="1"/>
  <c r="AM327" i="8"/>
  <c r="BF327" i="8" s="1"/>
  <c r="AR397" i="8"/>
  <c r="BK397" i="8" s="1"/>
  <c r="AM282" i="8"/>
  <c r="BF282" i="8" s="1"/>
  <c r="AR683" i="8"/>
  <c r="BK683" i="8" s="1"/>
  <c r="AR556" i="8"/>
  <c r="BK556" i="8" s="1"/>
  <c r="AQ702" i="8"/>
  <c r="BJ702" i="8" s="1"/>
  <c r="AI291" i="8"/>
  <c r="BB291" i="8" s="1"/>
  <c r="AM623" i="8"/>
  <c r="BF623" i="8" s="1"/>
  <c r="AK640" i="8"/>
  <c r="BD640" i="8" s="1"/>
  <c r="AN728" i="8"/>
  <c r="BG728" i="8" s="1"/>
  <c r="AO599" i="8"/>
  <c r="BH599" i="8" s="1"/>
  <c r="AK291" i="8"/>
  <c r="BD291" i="8" s="1"/>
  <c r="AL623" i="8"/>
  <c r="BE623" i="8" s="1"/>
  <c r="AM257" i="8"/>
  <c r="BF257" i="8" s="1"/>
  <c r="AN640" i="8"/>
  <c r="BG640" i="8" s="1"/>
  <c r="AK728" i="8"/>
  <c r="BD728" i="8" s="1"/>
  <c r="AR719" i="8"/>
  <c r="BK719" i="8" s="1"/>
  <c r="AN342" i="8"/>
  <c r="BG342" i="8" s="1"/>
  <c r="AP289" i="8"/>
  <c r="BI289" i="8" s="1"/>
  <c r="AR257" i="8"/>
  <c r="BK257" i="8" s="1"/>
  <c r="AP456" i="8"/>
  <c r="BI456" i="8" s="1"/>
  <c r="AR215" i="8"/>
  <c r="BK215" i="8" s="1"/>
  <c r="AI751" i="8"/>
  <c r="BB751" i="8" s="1"/>
  <c r="AO708" i="8"/>
  <c r="BH708" i="8" s="1"/>
  <c r="AI383" i="8"/>
  <c r="AJ383" i="8"/>
  <c r="BC383" i="8" s="1"/>
  <c r="AR383" i="8"/>
  <c r="BK383" i="8" s="1"/>
  <c r="AO383" i="8"/>
  <c r="BH383" i="8" s="1"/>
  <c r="AP383" i="8"/>
  <c r="BI383" i="8" s="1"/>
  <c r="AM383" i="8"/>
  <c r="BF383" i="8" s="1"/>
  <c r="AQ383" i="8"/>
  <c r="BJ383" i="8" s="1"/>
  <c r="AK383" i="8"/>
  <c r="BD383" i="8" s="1"/>
  <c r="AJ773" i="8"/>
  <c r="BC773" i="8" s="1"/>
  <c r="AL773" i="8"/>
  <c r="BE773" i="8" s="1"/>
  <c r="AP773" i="8"/>
  <c r="BI773" i="8" s="1"/>
  <c r="AR773" i="8"/>
  <c r="BK773" i="8" s="1"/>
  <c r="AQ773" i="8"/>
  <c r="BJ773" i="8" s="1"/>
  <c r="AK773" i="8"/>
  <c r="BD773" i="8" s="1"/>
  <c r="AI773" i="8"/>
  <c r="BB773" i="8" s="1"/>
  <c r="AN773" i="8"/>
  <c r="BG773" i="8" s="1"/>
  <c r="AL586" i="8"/>
  <c r="BE586" i="8" s="1"/>
  <c r="AM586" i="8"/>
  <c r="BF586" i="8" s="1"/>
  <c r="AR586" i="8"/>
  <c r="BK586" i="8" s="1"/>
  <c r="AK586" i="8"/>
  <c r="BD586" i="8" s="1"/>
  <c r="AO586" i="8"/>
  <c r="BH586" i="8" s="1"/>
  <c r="AP586" i="8"/>
  <c r="BI586" i="8" s="1"/>
  <c r="AO346" i="8"/>
  <c r="BH346" i="8" s="1"/>
  <c r="AN346" i="8"/>
  <c r="BG346" i="8" s="1"/>
  <c r="AM346" i="8"/>
  <c r="BF346" i="8" s="1"/>
  <c r="AP346" i="8"/>
  <c r="BI346" i="8" s="1"/>
  <c r="AL346" i="8"/>
  <c r="BE346" i="8" s="1"/>
  <c r="AR346" i="8"/>
  <c r="BK346" i="8" s="1"/>
  <c r="AK346" i="8"/>
  <c r="BD346" i="8" s="1"/>
  <c r="AJ346" i="8"/>
  <c r="BC346" i="8" s="1"/>
  <c r="AL316" i="8"/>
  <c r="BE316" i="8" s="1"/>
  <c r="AM316" i="8"/>
  <c r="BF316" i="8" s="1"/>
  <c r="AJ316" i="8"/>
  <c r="BC316" i="8" s="1"/>
  <c r="AR316" i="8"/>
  <c r="BK316" i="8" s="1"/>
  <c r="AO316" i="8"/>
  <c r="BH316" i="8" s="1"/>
  <c r="AK316" i="8"/>
  <c r="BD316" i="8" s="1"/>
  <c r="AQ316" i="8"/>
  <c r="BJ316" i="8" s="1"/>
  <c r="AP316" i="8"/>
  <c r="BI316" i="8" s="1"/>
  <c r="AL566" i="8"/>
  <c r="BE566" i="8" s="1"/>
  <c r="AQ566" i="8"/>
  <c r="BJ566" i="8" s="1"/>
  <c r="AK566" i="8"/>
  <c r="BD566" i="8" s="1"/>
  <c r="AR566" i="8"/>
  <c r="BK566" i="8" s="1"/>
  <c r="AO566" i="8"/>
  <c r="BH566" i="8" s="1"/>
  <c r="AI566" i="8"/>
  <c r="BB566" i="8" s="1"/>
  <c r="AM566" i="8"/>
  <c r="BF566" i="8" s="1"/>
  <c r="AP771" i="1"/>
  <c r="BI771" i="1" s="1"/>
  <c r="AI771" i="1"/>
  <c r="BB771" i="1" s="1"/>
  <c r="AJ494" i="8"/>
  <c r="BC494" i="8" s="1"/>
  <c r="AP484" i="8"/>
  <c r="BI484" i="8" s="1"/>
  <c r="AR645" i="8"/>
  <c r="BK645" i="8" s="1"/>
  <c r="AR585" i="8"/>
  <c r="BK585" i="8" s="1"/>
  <c r="AI585" i="8"/>
  <c r="BB585" i="8" s="1"/>
  <c r="AJ289" i="8"/>
  <c r="BC289" i="8" s="1"/>
  <c r="AQ593" i="8"/>
  <c r="BJ593" i="8" s="1"/>
  <c r="AL593" i="8"/>
  <c r="BE593" i="8" s="1"/>
  <c r="AR652" i="8"/>
  <c r="BK652" i="8" s="1"/>
  <c r="AQ291" i="8"/>
  <c r="BJ291" i="8" s="1"/>
  <c r="AO457" i="8"/>
  <c r="BH457" i="8" s="1"/>
  <c r="AI434" i="8"/>
  <c r="BB434" i="8" s="1"/>
  <c r="AN623" i="8"/>
  <c r="BG623" i="8" s="1"/>
  <c r="AL140" i="8"/>
  <c r="BE140" i="8" s="1"/>
  <c r="AP282" i="8"/>
  <c r="BI282" i="8" s="1"/>
  <c r="AQ215" i="8"/>
  <c r="BJ215" i="8" s="1"/>
  <c r="AM215" i="8"/>
  <c r="BF215" i="8" s="1"/>
  <c r="AN257" i="8"/>
  <c r="BG257" i="8" s="1"/>
  <c r="AL257" i="8"/>
  <c r="BE257" i="8" s="1"/>
  <c r="AK683" i="8"/>
  <c r="BD683" i="8" s="1"/>
  <c r="AI640" i="8"/>
  <c r="BB640" i="8" s="1"/>
  <c r="AQ640" i="8"/>
  <c r="BJ640" i="8" s="1"/>
  <c r="AN751" i="8"/>
  <c r="BG751" i="8" s="1"/>
  <c r="AM751" i="8"/>
  <c r="BF751" i="8" s="1"/>
  <c r="AL660" i="8"/>
  <c r="BE660" i="8" s="1"/>
  <c r="AN660" i="8"/>
  <c r="BG660" i="8" s="1"/>
  <c r="AK628" i="8"/>
  <c r="BD628" i="8" s="1"/>
  <c r="AO728" i="8"/>
  <c r="BH728" i="8" s="1"/>
  <c r="AK556" i="8"/>
  <c r="BD556" i="8" s="1"/>
  <c r="AO704" i="8"/>
  <c r="BH704" i="8" s="1"/>
  <c r="AM702" i="8"/>
  <c r="BF702" i="8" s="1"/>
  <c r="AK456" i="8"/>
  <c r="BD456" i="8" s="1"/>
  <c r="AM539" i="8"/>
  <c r="BF539" i="8" s="1"/>
  <c r="AP566" i="8"/>
  <c r="BI566" i="8" s="1"/>
  <c r="AQ370" i="8"/>
  <c r="BJ370" i="8" s="1"/>
  <c r="AR370" i="8"/>
  <c r="BK370" i="8" s="1"/>
  <c r="AK370" i="8"/>
  <c r="BD370" i="8" s="1"/>
  <c r="AP370" i="8"/>
  <c r="BI370" i="8" s="1"/>
  <c r="AL370" i="8"/>
  <c r="BE370" i="8" s="1"/>
  <c r="AN370" i="8"/>
  <c r="BG370" i="8" s="1"/>
  <c r="AI370" i="8"/>
  <c r="BB370" i="8" s="1"/>
  <c r="AJ370" i="8"/>
  <c r="BC370" i="8" s="1"/>
  <c r="AL342" i="8"/>
  <c r="BE342" i="8" s="1"/>
  <c r="AQ342" i="8"/>
  <c r="BJ342" i="8" s="1"/>
  <c r="AK342" i="8"/>
  <c r="BD342" i="8" s="1"/>
  <c r="AI342" i="8"/>
  <c r="BB342" i="8" s="1"/>
  <c r="AO342" i="8"/>
  <c r="BH342" i="8" s="1"/>
  <c r="AQ719" i="8"/>
  <c r="BJ719" i="8" s="1"/>
  <c r="AO719" i="8"/>
  <c r="BH719" i="8" s="1"/>
  <c r="AI719" i="8"/>
  <c r="AM719" i="8"/>
  <c r="BF719" i="8" s="1"/>
  <c r="AL719" i="8"/>
  <c r="BE719" i="8" s="1"/>
  <c r="AP680" i="8"/>
  <c r="BI680" i="8" s="1"/>
  <c r="AR680" i="8"/>
  <c r="BK680" i="8" s="1"/>
  <c r="AL680" i="8"/>
  <c r="BE680" i="8" s="1"/>
  <c r="AJ680" i="8"/>
  <c r="BC680" i="8" s="1"/>
  <c r="AQ680" i="8"/>
  <c r="BJ680" i="8" s="1"/>
  <c r="AM680" i="8"/>
  <c r="BF680" i="8" s="1"/>
  <c r="AO680" i="8"/>
  <c r="BH680" i="8" s="1"/>
  <c r="AI676" i="8"/>
  <c r="BB676" i="8" s="1"/>
  <c r="AP676" i="8"/>
  <c r="BI676" i="8" s="1"/>
  <c r="AJ676" i="8"/>
  <c r="BC676" i="8" s="1"/>
  <c r="AO676" i="8"/>
  <c r="BH676" i="8" s="1"/>
  <c r="AL676" i="8"/>
  <c r="BE676" i="8" s="1"/>
  <c r="AM676" i="8"/>
  <c r="BF676" i="8" s="1"/>
  <c r="AQ676" i="8"/>
  <c r="BJ676" i="8" s="1"/>
  <c r="AK676" i="8"/>
  <c r="BD676" i="8" s="1"/>
  <c r="AI697" i="1"/>
  <c r="BB697" i="1" s="1"/>
  <c r="AR623" i="8"/>
  <c r="BK623" i="8" s="1"/>
  <c r="AR81" i="1"/>
  <c r="BK81" i="1" s="1"/>
  <c r="AR689" i="1"/>
  <c r="BK689" i="1" s="1"/>
  <c r="AJ689" i="1"/>
  <c r="BC689" i="1" s="1"/>
  <c r="AN687" i="1"/>
  <c r="BG687" i="1" s="1"/>
  <c r="AP697" i="1"/>
  <c r="BI697" i="1" s="1"/>
  <c r="AK695" i="1"/>
  <c r="BD695" i="1" s="1"/>
  <c r="AK751" i="1"/>
  <c r="BD751" i="1" s="1"/>
  <c r="AI751" i="1"/>
  <c r="BB751" i="1" s="1"/>
  <c r="AO750" i="1"/>
  <c r="BH750" i="1" s="1"/>
  <c r="AN711" i="1"/>
  <c r="BG711" i="1" s="1"/>
  <c r="N30" i="5" s="1"/>
  <c r="AM711" i="1"/>
  <c r="BF711" i="1" s="1"/>
  <c r="AI733" i="1"/>
  <c r="AN723" i="1"/>
  <c r="BG723" i="1" s="1"/>
  <c r="AR771" i="1"/>
  <c r="BK771" i="1" s="1"/>
  <c r="AM494" i="8"/>
  <c r="BF494" i="8" s="1"/>
  <c r="AK484" i="8"/>
  <c r="BD484" i="8" s="1"/>
  <c r="AK645" i="8"/>
  <c r="BD645" i="8" s="1"/>
  <c r="AQ585" i="8"/>
  <c r="BJ585" i="8" s="1"/>
  <c r="AP585" i="8"/>
  <c r="BI585" i="8" s="1"/>
  <c r="AI289" i="8"/>
  <c r="AJ593" i="8"/>
  <c r="BC593" i="8" s="1"/>
  <c r="AK593" i="8"/>
  <c r="BD593" i="8" s="1"/>
  <c r="AK652" i="8"/>
  <c r="BD652" i="8" s="1"/>
  <c r="AL291" i="8"/>
  <c r="BE291" i="8" s="1"/>
  <c r="AM457" i="8"/>
  <c r="BF457" i="8" s="1"/>
  <c r="AQ434" i="8"/>
  <c r="BJ434" i="8" s="1"/>
  <c r="AO623" i="8"/>
  <c r="BH623" i="8" s="1"/>
  <c r="AN140" i="8"/>
  <c r="BG140" i="8" s="1"/>
  <c r="AP140" i="8"/>
  <c r="BI140" i="8" s="1"/>
  <c r="AL282" i="8"/>
  <c r="BE282" i="8" s="1"/>
  <c r="AN215" i="8"/>
  <c r="BG215" i="8" s="1"/>
  <c r="AI215" i="8"/>
  <c r="BB215" i="8" s="1"/>
  <c r="AQ257" i="8"/>
  <c r="BJ257" i="8" s="1"/>
  <c r="AL683" i="8"/>
  <c r="BE683" i="8" s="1"/>
  <c r="AP640" i="8"/>
  <c r="BI640" i="8" s="1"/>
  <c r="AO751" i="8"/>
  <c r="BH751" i="8" s="1"/>
  <c r="AO660" i="8"/>
  <c r="BH660" i="8" s="1"/>
  <c r="AK660" i="8"/>
  <c r="BD660" i="8" s="1"/>
  <c r="AL628" i="8"/>
  <c r="BE628" i="8" s="1"/>
  <c r="AI728" i="8"/>
  <c r="BB728" i="8" s="1"/>
  <c r="AM556" i="8"/>
  <c r="BF556" i="8" s="1"/>
  <c r="AN719" i="8"/>
  <c r="BG719" i="8" s="1"/>
  <c r="AI702" i="8"/>
  <c r="BB702" i="8" s="1"/>
  <c r="AP342" i="8"/>
  <c r="BI342" i="8" s="1"/>
  <c r="AQ509" i="8"/>
  <c r="BJ509" i="8" s="1"/>
  <c r="AL383" i="8"/>
  <c r="BE383" i="8" s="1"/>
  <c r="AI680" i="8"/>
  <c r="BB680" i="8" s="1"/>
  <c r="AO724" i="8"/>
  <c r="BH724" i="8" s="1"/>
  <c r="AM724" i="8"/>
  <c r="BF724" i="8" s="1"/>
  <c r="AR724" i="8"/>
  <c r="BK724" i="8" s="1"/>
  <c r="AK724" i="8"/>
  <c r="BD724" i="8" s="1"/>
  <c r="AQ724" i="8"/>
  <c r="BJ724" i="8" s="1"/>
  <c r="AI670" i="8"/>
  <c r="AQ670" i="8"/>
  <c r="BJ670" i="8" s="1"/>
  <c r="AN670" i="8"/>
  <c r="BG670" i="8" s="1"/>
  <c r="AJ670" i="8"/>
  <c r="BC670" i="8" s="1"/>
  <c r="AR709" i="8"/>
  <c r="BK709" i="8" s="1"/>
  <c r="AJ709" i="8"/>
  <c r="BC709" i="8" s="1"/>
  <c r="AQ709" i="8"/>
  <c r="BJ709" i="8" s="1"/>
  <c r="AI709" i="8"/>
  <c r="AO709" i="8"/>
  <c r="BH709" i="8" s="1"/>
  <c r="AL709" i="8"/>
  <c r="BE709" i="8" s="1"/>
  <c r="AM709" i="8"/>
  <c r="BF709" i="8" s="1"/>
  <c r="AQ231" i="8"/>
  <c r="BJ231" i="8" s="1"/>
  <c r="AL231" i="8"/>
  <c r="BE231" i="8" s="1"/>
  <c r="AR231" i="8"/>
  <c r="BK231" i="8" s="1"/>
  <c r="AN231" i="8"/>
  <c r="BG231" i="8" s="1"/>
  <c r="AK760" i="8"/>
  <c r="BD760" i="8" s="1"/>
  <c r="AR760" i="8"/>
  <c r="BK760" i="8" s="1"/>
  <c r="AQ760" i="8"/>
  <c r="BJ760" i="8" s="1"/>
  <c r="AL411" i="8"/>
  <c r="BE411" i="8" s="1"/>
  <c r="AK411" i="8"/>
  <c r="BD411" i="8" s="1"/>
  <c r="AJ411" i="8"/>
  <c r="BC411" i="8" s="1"/>
  <c r="AR411" i="8"/>
  <c r="BK411" i="8" s="1"/>
  <c r="AQ411" i="8"/>
  <c r="BJ411" i="8" s="1"/>
  <c r="AP411" i="8"/>
  <c r="BI411" i="8" s="1"/>
  <c r="AO356" i="8"/>
  <c r="BH356" i="8" s="1"/>
  <c r="AN356" i="8"/>
  <c r="BG356" i="8" s="1"/>
  <c r="AK356" i="8"/>
  <c r="BD356" i="8" s="1"/>
  <c r="AM356" i="8"/>
  <c r="BF356" i="8" s="1"/>
  <c r="AR356" i="8"/>
  <c r="BK356" i="8" s="1"/>
  <c r="AM486" i="8"/>
  <c r="BF486" i="8" s="1"/>
  <c r="AJ486" i="8"/>
  <c r="BC486" i="8" s="1"/>
  <c r="AK486" i="8"/>
  <c r="BD486" i="8" s="1"/>
  <c r="AL486" i="8"/>
  <c r="BE486" i="8" s="1"/>
  <c r="AQ486" i="8"/>
  <c r="BJ486" i="8" s="1"/>
  <c r="AO486" i="8"/>
  <c r="BH486" i="8" s="1"/>
  <c r="AI486" i="8"/>
  <c r="BB486" i="8" s="1"/>
  <c r="AO362" i="8"/>
  <c r="BH362" i="8" s="1"/>
  <c r="AQ362" i="8"/>
  <c r="BJ362" i="8" s="1"/>
  <c r="AM362" i="8"/>
  <c r="BF362" i="8" s="1"/>
  <c r="AJ362" i="8"/>
  <c r="BC362" i="8" s="1"/>
  <c r="AP362" i="8"/>
  <c r="BI362" i="8" s="1"/>
  <c r="AI362" i="8"/>
  <c r="BB362" i="8" s="1"/>
  <c r="AR362" i="8"/>
  <c r="BK362" i="8" s="1"/>
  <c r="AN362" i="8"/>
  <c r="BG362" i="8" s="1"/>
  <c r="AN720" i="8"/>
  <c r="BG720" i="8" s="1"/>
  <c r="AM720" i="8"/>
  <c r="BF720" i="8" s="1"/>
  <c r="AK720" i="8"/>
  <c r="BD720" i="8" s="1"/>
  <c r="AQ720" i="8"/>
  <c r="BJ720" i="8" s="1"/>
  <c r="AR720" i="8"/>
  <c r="BK720" i="8" s="1"/>
  <c r="AN214" i="8"/>
  <c r="BG214" i="8" s="1"/>
  <c r="AK214" i="8"/>
  <c r="BD214" i="8" s="1"/>
  <c r="AL214" i="8"/>
  <c r="BE214" i="8" s="1"/>
  <c r="AO214" i="8"/>
  <c r="BH214" i="8" s="1"/>
  <c r="AQ214" i="8"/>
  <c r="BJ214" i="8" s="1"/>
  <c r="AM497" i="8"/>
  <c r="BF497" i="8" s="1"/>
  <c r="AI497" i="8"/>
  <c r="BB497" i="8" s="1"/>
  <c r="AN497" i="8"/>
  <c r="BG497" i="8" s="1"/>
  <c r="AP497" i="8"/>
  <c r="BI497" i="8" s="1"/>
  <c r="AO497" i="8"/>
  <c r="BH497" i="8" s="1"/>
  <c r="AP375" i="8"/>
  <c r="BI375" i="8" s="1"/>
  <c r="AR375" i="8"/>
  <c r="BK375" i="8" s="1"/>
  <c r="AO375" i="8"/>
  <c r="BH375" i="8" s="1"/>
  <c r="AI375" i="8"/>
  <c r="BB375" i="8" s="1"/>
  <c r="AM375" i="8"/>
  <c r="BF375" i="8" s="1"/>
  <c r="AL375" i="8"/>
  <c r="BE375" i="8" s="1"/>
  <c r="AN375" i="8"/>
  <c r="BG375" i="8" s="1"/>
  <c r="AJ375" i="8"/>
  <c r="BC375" i="8" s="1"/>
  <c r="AL520" i="8"/>
  <c r="BE520" i="8" s="1"/>
  <c r="AJ520" i="8"/>
  <c r="BC520" i="8" s="1"/>
  <c r="AQ520" i="8"/>
  <c r="BJ520" i="8" s="1"/>
  <c r="AI520" i="8"/>
  <c r="BB520" i="8" s="1"/>
  <c r="AN520" i="8"/>
  <c r="BG520" i="8" s="1"/>
  <c r="AP520" i="8"/>
  <c r="BI520" i="8" s="1"/>
  <c r="AM520" i="8"/>
  <c r="BF520" i="8" s="1"/>
  <c r="AM604" i="8"/>
  <c r="BF604" i="8" s="1"/>
  <c r="AO604" i="8"/>
  <c r="BH604" i="8" s="1"/>
  <c r="AJ604" i="8"/>
  <c r="BC604" i="8" s="1"/>
  <c r="AN604" i="8"/>
  <c r="BG604" i="8" s="1"/>
  <c r="AL604" i="8"/>
  <c r="BE604" i="8" s="1"/>
  <c r="AK604" i="8"/>
  <c r="BD604" i="8" s="1"/>
  <c r="AR604" i="8"/>
  <c r="BK604" i="8" s="1"/>
  <c r="AI604" i="8"/>
  <c r="BB604" i="8" s="1"/>
  <c r="AO251" i="8"/>
  <c r="BH251" i="8" s="1"/>
  <c r="AI251" i="8"/>
  <c r="BB251" i="8" s="1"/>
  <c r="AN251" i="8"/>
  <c r="BG251" i="8" s="1"/>
  <c r="AP251" i="8"/>
  <c r="BI251" i="8" s="1"/>
  <c r="AM251" i="8"/>
  <c r="BF251" i="8" s="1"/>
  <c r="AL251" i="8"/>
  <c r="BE251" i="8" s="1"/>
  <c r="AR251" i="8"/>
  <c r="BK251" i="8" s="1"/>
  <c r="AJ251" i="8"/>
  <c r="BC251" i="8" s="1"/>
  <c r="AJ767" i="8"/>
  <c r="BC767" i="8" s="1"/>
  <c r="AN767" i="8"/>
  <c r="BG767" i="8" s="1"/>
  <c r="AI767" i="8"/>
  <c r="BB767" i="8" s="1"/>
  <c r="AQ767" i="8"/>
  <c r="BJ767" i="8" s="1"/>
  <c r="AO767" i="8"/>
  <c r="BH767" i="8" s="1"/>
  <c r="AK767" i="8"/>
  <c r="BD767" i="8" s="1"/>
  <c r="AM767" i="8"/>
  <c r="BF767" i="8" s="1"/>
  <c r="AL767" i="8"/>
  <c r="BE767" i="8" s="1"/>
  <c r="AR759" i="8"/>
  <c r="BK759" i="8" s="1"/>
  <c r="AM759" i="8"/>
  <c r="BF759" i="8" s="1"/>
  <c r="AL759" i="8"/>
  <c r="BE759" i="8" s="1"/>
  <c r="AO759" i="8"/>
  <c r="BH759" i="8" s="1"/>
  <c r="AJ461" i="8"/>
  <c r="BC461" i="8" s="1"/>
  <c r="AP461" i="8"/>
  <c r="BI461" i="8" s="1"/>
  <c r="AQ461" i="8"/>
  <c r="BJ461" i="8" s="1"/>
  <c r="AN461" i="8"/>
  <c r="BG461" i="8" s="1"/>
  <c r="AI461" i="8"/>
  <c r="BB461" i="8" s="1"/>
  <c r="AM461" i="8"/>
  <c r="BF461" i="8" s="1"/>
  <c r="AO461" i="8"/>
  <c r="BH461" i="8" s="1"/>
  <c r="AK461" i="8"/>
  <c r="BD461" i="8" s="1"/>
  <c r="AL654" i="8"/>
  <c r="BE654" i="8" s="1"/>
  <c r="AK654" i="8"/>
  <c r="BD654" i="8" s="1"/>
  <c r="AR654" i="8"/>
  <c r="BK654" i="8" s="1"/>
  <c r="AP654" i="8"/>
  <c r="BI654" i="8" s="1"/>
  <c r="AN654" i="8"/>
  <c r="BG654" i="8" s="1"/>
  <c r="AO654" i="8"/>
  <c r="BH654" i="8" s="1"/>
  <c r="AM654" i="8"/>
  <c r="BF654" i="8" s="1"/>
  <c r="AK620" i="8"/>
  <c r="BD620" i="8" s="1"/>
  <c r="AP620" i="8"/>
  <c r="BI620" i="8" s="1"/>
  <c r="AQ620" i="8"/>
  <c r="BJ620" i="8" s="1"/>
  <c r="AN620" i="8"/>
  <c r="BG620" i="8" s="1"/>
  <c r="AI620" i="8"/>
  <c r="BB620" i="8" s="1"/>
  <c r="AO620" i="8"/>
  <c r="BH620" i="8" s="1"/>
  <c r="AL620" i="8"/>
  <c r="BE620" i="8" s="1"/>
  <c r="AR620" i="8"/>
  <c r="BK620" i="8" s="1"/>
  <c r="AO381" i="8"/>
  <c r="BH381" i="8" s="1"/>
  <c r="AN381" i="8"/>
  <c r="BG381" i="8" s="1"/>
  <c r="AL381" i="8"/>
  <c r="BE381" i="8" s="1"/>
  <c r="AI381" i="8"/>
  <c r="AN667" i="8"/>
  <c r="BG667" i="8" s="1"/>
  <c r="AP667" i="8"/>
  <c r="BI667" i="8" s="1"/>
  <c r="AI667" i="8"/>
  <c r="BB667" i="8" s="1"/>
  <c r="AR667" i="8"/>
  <c r="BK667" i="8" s="1"/>
  <c r="AL667" i="8"/>
  <c r="BE667" i="8" s="1"/>
  <c r="AO667" i="8"/>
  <c r="BH667" i="8" s="1"/>
  <c r="AM400" i="8"/>
  <c r="BF400" i="8" s="1"/>
  <c r="AN400" i="8"/>
  <c r="BG400" i="8" s="1"/>
  <c r="AR400" i="8"/>
  <c r="BK400" i="8" s="1"/>
  <c r="AL400" i="8"/>
  <c r="BE400" i="8" s="1"/>
  <c r="AJ400" i="8"/>
  <c r="BC400" i="8" s="1"/>
  <c r="AQ400" i="8"/>
  <c r="BJ400" i="8" s="1"/>
  <c r="AP400" i="8"/>
  <c r="BI400" i="8" s="1"/>
  <c r="AQ632" i="8"/>
  <c r="BJ632" i="8" s="1"/>
  <c r="AR632" i="8"/>
  <c r="BK632" i="8" s="1"/>
  <c r="AI632" i="8"/>
  <c r="AN632" i="8"/>
  <c r="BG632" i="8" s="1"/>
  <c r="AP632" i="8"/>
  <c r="BI632" i="8" s="1"/>
  <c r="AM632" i="8"/>
  <c r="BF632" i="8" s="1"/>
  <c r="AK632" i="8"/>
  <c r="BD632" i="8" s="1"/>
  <c r="AJ244" i="8"/>
  <c r="BC244" i="8" s="1"/>
  <c r="AL244" i="8"/>
  <c r="BE244" i="8" s="1"/>
  <c r="AI244" i="8"/>
  <c r="AN244" i="8"/>
  <c r="BG244" i="8" s="1"/>
  <c r="AQ352" i="8"/>
  <c r="BJ352" i="8" s="1"/>
  <c r="AO352" i="8"/>
  <c r="BH352" i="8" s="1"/>
  <c r="AJ352" i="8"/>
  <c r="BC352" i="8" s="1"/>
  <c r="AN352" i="8"/>
  <c r="BG352" i="8" s="1"/>
  <c r="AI352" i="8"/>
  <c r="BB352" i="8" s="1"/>
  <c r="AM352" i="8"/>
  <c r="BF352" i="8" s="1"/>
  <c r="AL352" i="8"/>
  <c r="BE352" i="8" s="1"/>
  <c r="AR352" i="8"/>
  <c r="BK352" i="8" s="1"/>
  <c r="AJ598" i="8"/>
  <c r="BC598" i="8" s="1"/>
  <c r="AM598" i="8"/>
  <c r="BF598" i="8" s="1"/>
  <c r="AQ598" i="8"/>
  <c r="BJ598" i="8" s="1"/>
  <c r="AN598" i="8"/>
  <c r="BG598" i="8" s="1"/>
  <c r="AK598" i="8"/>
  <c r="BD598" i="8" s="1"/>
  <c r="AR598" i="8"/>
  <c r="BK598" i="8" s="1"/>
  <c r="AP598" i="8"/>
  <c r="BI598" i="8" s="1"/>
  <c r="AP580" i="8"/>
  <c r="BI580" i="8" s="1"/>
  <c r="AM580" i="8"/>
  <c r="BF580" i="8" s="1"/>
  <c r="AR580" i="8"/>
  <c r="BK580" i="8" s="1"/>
  <c r="AQ580" i="8"/>
  <c r="BJ580" i="8" s="1"/>
  <c r="AO580" i="8"/>
  <c r="BH580" i="8" s="1"/>
  <c r="AI580" i="8"/>
  <c r="BB580" i="8" s="1"/>
  <c r="AK463" i="8"/>
  <c r="BD463" i="8" s="1"/>
  <c r="AR463" i="8"/>
  <c r="BK463" i="8" s="1"/>
  <c r="AL463" i="8"/>
  <c r="BE463" i="8" s="1"/>
  <c r="AJ463" i="8"/>
  <c r="BC463" i="8" s="1"/>
  <c r="AK701" i="8"/>
  <c r="BD701" i="8" s="1"/>
  <c r="AN701" i="8"/>
  <c r="BG701" i="8" s="1"/>
  <c r="AI701" i="8"/>
  <c r="BB701" i="8" s="1"/>
  <c r="AP701" i="8"/>
  <c r="BI701" i="8" s="1"/>
  <c r="AQ701" i="8"/>
  <c r="BJ701" i="8" s="1"/>
  <c r="AO701" i="8"/>
  <c r="BH701" i="8" s="1"/>
  <c r="AN279" i="8"/>
  <c r="BG279" i="8" s="1"/>
  <c r="AM279" i="8"/>
  <c r="BF279" i="8" s="1"/>
  <c r="AR279" i="8"/>
  <c r="BK279" i="8" s="1"/>
  <c r="AI279" i="8"/>
  <c r="BB279" i="8" s="1"/>
  <c r="AQ279" i="8"/>
  <c r="BJ279" i="8" s="1"/>
  <c r="AL279" i="8"/>
  <c r="BE279" i="8" s="1"/>
  <c r="AJ279" i="8"/>
  <c r="BC279" i="8" s="1"/>
  <c r="AO279" i="8"/>
  <c r="BH279" i="8" s="1"/>
  <c r="AP688" i="8"/>
  <c r="BI688" i="8" s="1"/>
  <c r="AR688" i="8"/>
  <c r="BK688" i="8" s="1"/>
  <c r="AJ688" i="8"/>
  <c r="BC688" i="8" s="1"/>
  <c r="AQ688" i="8"/>
  <c r="BJ688" i="8" s="1"/>
  <c r="AL688" i="8"/>
  <c r="BE688" i="8" s="1"/>
  <c r="AM688" i="8"/>
  <c r="BF688" i="8" s="1"/>
  <c r="AO688" i="8"/>
  <c r="BH688" i="8" s="1"/>
  <c r="AR332" i="8"/>
  <c r="BK332" i="8" s="1"/>
  <c r="AN332" i="8"/>
  <c r="BG332" i="8" s="1"/>
  <c r="AJ332" i="8"/>
  <c r="BC332" i="8" s="1"/>
  <c r="AQ332" i="8"/>
  <c r="BJ332" i="8" s="1"/>
  <c r="AP332" i="8"/>
  <c r="BI332" i="8" s="1"/>
  <c r="AL332" i="8"/>
  <c r="BE332" i="8" s="1"/>
  <c r="AM332" i="8"/>
  <c r="BF332" i="8" s="1"/>
  <c r="AI332" i="8"/>
  <c r="BB332" i="8" s="1"/>
  <c r="AP613" i="8"/>
  <c r="BI613" i="8" s="1"/>
  <c r="AO613" i="8"/>
  <c r="BH613" i="8" s="1"/>
  <c r="AJ613" i="8"/>
  <c r="BC613" i="8" s="1"/>
  <c r="AQ613" i="8"/>
  <c r="BJ613" i="8" s="1"/>
  <c r="AL613" i="8"/>
  <c r="BE613" i="8" s="1"/>
  <c r="AR579" i="8"/>
  <c r="BK579" i="8" s="1"/>
  <c r="AI579" i="8"/>
  <c r="BB579" i="8" s="1"/>
  <c r="AM579" i="8"/>
  <c r="BF579" i="8" s="1"/>
  <c r="AJ579" i="8"/>
  <c r="BC579" i="8" s="1"/>
  <c r="AP579" i="8"/>
  <c r="BI579" i="8" s="1"/>
  <c r="AQ579" i="8"/>
  <c r="BJ579" i="8" s="1"/>
  <c r="AL579" i="8"/>
  <c r="BE579" i="8" s="1"/>
  <c r="AN579" i="8"/>
  <c r="BG579" i="8" s="1"/>
  <c r="AK579" i="8"/>
  <c r="BD579" i="8" s="1"/>
  <c r="BE821" i="8"/>
  <c r="AS821" i="8"/>
  <c r="AX821" i="8" s="1"/>
  <c r="AQ474" i="8"/>
  <c r="BJ474" i="8" s="1"/>
  <c r="AI474" i="8"/>
  <c r="AP474" i="8"/>
  <c r="BI474" i="8" s="1"/>
  <c r="AO474" i="8"/>
  <c r="BH474" i="8" s="1"/>
  <c r="AJ474" i="8"/>
  <c r="BC474" i="8" s="1"/>
  <c r="AN474" i="8"/>
  <c r="BG474" i="8" s="1"/>
  <c r="AK474" i="8"/>
  <c r="BD474" i="8" s="1"/>
  <c r="AR474" i="8"/>
  <c r="BK474" i="8" s="1"/>
  <c r="AP704" i="8"/>
  <c r="BI704" i="8" s="1"/>
  <c r="AK704" i="8"/>
  <c r="BD704" i="8" s="1"/>
  <c r="AR704" i="8"/>
  <c r="BK704" i="8" s="1"/>
  <c r="AL704" i="8"/>
  <c r="BE704" i="8" s="1"/>
  <c r="AQ578" i="8"/>
  <c r="BJ578" i="8" s="1"/>
  <c r="AP578" i="8"/>
  <c r="BI578" i="8" s="1"/>
  <c r="AM578" i="8"/>
  <c r="BF578" i="8" s="1"/>
  <c r="AR578" i="8"/>
  <c r="BK578" i="8" s="1"/>
  <c r="AI578" i="8"/>
  <c r="BB578" i="8" s="1"/>
  <c r="AJ578" i="8"/>
  <c r="BC578" i="8" s="1"/>
  <c r="AK578" i="8"/>
  <c r="BD578" i="8" s="1"/>
  <c r="AL578" i="8"/>
  <c r="BE578" i="8" s="1"/>
  <c r="AK626" i="8"/>
  <c r="BD626" i="8" s="1"/>
  <c r="AI626" i="8"/>
  <c r="BB626" i="8" s="1"/>
  <c r="AR626" i="8"/>
  <c r="BK626" i="8" s="1"/>
  <c r="AQ626" i="8"/>
  <c r="BJ626" i="8" s="1"/>
  <c r="AN626" i="8"/>
  <c r="BG626" i="8" s="1"/>
  <c r="AN158" i="1"/>
  <c r="BG158" i="1" s="1"/>
  <c r="AO695" i="1"/>
  <c r="BH695" i="1" s="1"/>
  <c r="AQ711" i="1"/>
  <c r="BJ711" i="1" s="1"/>
  <c r="Q30" i="5" s="1"/>
  <c r="AQ733" i="1"/>
  <c r="BJ733" i="1" s="1"/>
  <c r="AO146" i="1"/>
  <c r="BH146" i="1" s="1"/>
  <c r="AJ158" i="1"/>
  <c r="BC158" i="1" s="1"/>
  <c r="AJ146" i="1"/>
  <c r="BC146" i="1" s="1"/>
  <c r="AK146" i="1"/>
  <c r="BD146" i="1" s="1"/>
  <c r="AJ81" i="1"/>
  <c r="BC81" i="1" s="1"/>
  <c r="AQ158" i="1"/>
  <c r="BJ158" i="1" s="1"/>
  <c r="AQ689" i="1"/>
  <c r="BJ689" i="1" s="1"/>
  <c r="AI689" i="1"/>
  <c r="BB689" i="1" s="1"/>
  <c r="AM687" i="1"/>
  <c r="BF687" i="1" s="1"/>
  <c r="AO697" i="1"/>
  <c r="BH697" i="1" s="1"/>
  <c r="AR695" i="1"/>
  <c r="BK695" i="1" s="1"/>
  <c r="AR751" i="1"/>
  <c r="BK751" i="1" s="1"/>
  <c r="AK750" i="1"/>
  <c r="BD750" i="1" s="1"/>
  <c r="AO711" i="1"/>
  <c r="BH711" i="1" s="1"/>
  <c r="AI711" i="1"/>
  <c r="BB711" i="1" s="1"/>
  <c r="AO733" i="1"/>
  <c r="BH733" i="1" s="1"/>
  <c r="AJ723" i="1"/>
  <c r="BC723" i="1" s="1"/>
  <c r="AQ771" i="1"/>
  <c r="BJ771" i="1" s="1"/>
  <c r="AL771" i="1"/>
  <c r="BE771" i="1" s="1"/>
  <c r="AI494" i="8"/>
  <c r="AK494" i="8"/>
  <c r="BD494" i="8" s="1"/>
  <c r="AL484" i="8"/>
  <c r="BE484" i="8" s="1"/>
  <c r="AL645" i="8"/>
  <c r="BE645" i="8" s="1"/>
  <c r="AK585" i="8"/>
  <c r="BD585" i="8" s="1"/>
  <c r="AQ289" i="8"/>
  <c r="BJ289" i="8" s="1"/>
  <c r="AM593" i="8"/>
  <c r="BF593" i="8" s="1"/>
  <c r="AL652" i="8"/>
  <c r="BE652" i="8" s="1"/>
  <c r="AM291" i="8"/>
  <c r="BF291" i="8" s="1"/>
  <c r="AP457" i="8"/>
  <c r="BI457" i="8" s="1"/>
  <c r="AK434" i="8"/>
  <c r="BD434" i="8" s="1"/>
  <c r="AP623" i="8"/>
  <c r="BI623" i="8" s="1"/>
  <c r="AO140" i="8"/>
  <c r="BH140" i="8" s="1"/>
  <c r="AQ140" i="8"/>
  <c r="BJ140" i="8" s="1"/>
  <c r="AI282" i="8"/>
  <c r="BB282" i="8" s="1"/>
  <c r="AJ307" i="8"/>
  <c r="BC307" i="8" s="1"/>
  <c r="AL215" i="8"/>
  <c r="BE215" i="8" s="1"/>
  <c r="AK257" i="8"/>
  <c r="BD257" i="8" s="1"/>
  <c r="AM683" i="8"/>
  <c r="BF683" i="8" s="1"/>
  <c r="AJ640" i="8"/>
  <c r="BC640" i="8" s="1"/>
  <c r="AQ460" i="8"/>
  <c r="BJ460" i="8" s="1"/>
  <c r="AQ751" i="8"/>
  <c r="BJ751" i="8" s="1"/>
  <c r="AM660" i="8"/>
  <c r="BF660" i="8" s="1"/>
  <c r="AN628" i="8"/>
  <c r="BG628" i="8" s="1"/>
  <c r="AO628" i="8"/>
  <c r="BH628" i="8" s="1"/>
  <c r="AR728" i="8"/>
  <c r="BK728" i="8" s="1"/>
  <c r="AO556" i="8"/>
  <c r="BH556" i="8" s="1"/>
  <c r="AQ572" i="8"/>
  <c r="BJ572" i="8" s="1"/>
  <c r="AM411" i="8"/>
  <c r="BF411" i="8" s="1"/>
  <c r="AK497" i="8"/>
  <c r="BD497" i="8" s="1"/>
  <c r="AR214" i="8"/>
  <c r="BK214" i="8" s="1"/>
  <c r="AM704" i="8"/>
  <c r="BF704" i="8" s="1"/>
  <c r="AL356" i="8"/>
  <c r="BE356" i="8" s="1"/>
  <c r="AO670" i="8"/>
  <c r="BH670" i="8" s="1"/>
  <c r="AJ759" i="8"/>
  <c r="BC759" i="8" s="1"/>
  <c r="AM773" i="8"/>
  <c r="BF773" i="8" s="1"/>
  <c r="AN509" i="8"/>
  <c r="BG509" i="8" s="1"/>
  <c r="AQ375" i="8"/>
  <c r="BJ375" i="8" s="1"/>
  <c r="AN383" i="8"/>
  <c r="BG383" i="8" s="1"/>
  <c r="AI346" i="8"/>
  <c r="BB346" i="8" s="1"/>
  <c r="AN688" i="8"/>
  <c r="BG688" i="8" s="1"/>
  <c r="AR486" i="8"/>
  <c r="BK486" i="8" s="1"/>
  <c r="AM231" i="8"/>
  <c r="BF231" i="8" s="1"/>
  <c r="AK680" i="8"/>
  <c r="BD680" i="8" s="1"/>
  <c r="AK599" i="8"/>
  <c r="BD599" i="8" s="1"/>
  <c r="AR599" i="8"/>
  <c r="BK599" i="8" s="1"/>
  <c r="AM599" i="8"/>
  <c r="BF599" i="8" s="1"/>
  <c r="AN599" i="8"/>
  <c r="BG599" i="8" s="1"/>
  <c r="AI599" i="8"/>
  <c r="AQ599" i="8"/>
  <c r="BJ599" i="8" s="1"/>
  <c r="AL599" i="8"/>
  <c r="BE599" i="8" s="1"/>
  <c r="AJ599" i="8"/>
  <c r="BC599" i="8" s="1"/>
  <c r="AI357" i="8"/>
  <c r="BB357" i="8" s="1"/>
  <c r="AQ357" i="8"/>
  <c r="BJ357" i="8" s="1"/>
  <c r="AP357" i="8"/>
  <c r="BI357" i="8" s="1"/>
  <c r="AM357" i="8"/>
  <c r="BF357" i="8" s="1"/>
  <c r="AO357" i="8"/>
  <c r="BH357" i="8" s="1"/>
  <c r="AL357" i="8"/>
  <c r="BE357" i="8" s="1"/>
  <c r="AK357" i="8"/>
  <c r="BD357" i="8" s="1"/>
  <c r="AJ357" i="8"/>
  <c r="BC357" i="8" s="1"/>
  <c r="AR455" i="8"/>
  <c r="BK455" i="8" s="1"/>
  <c r="AM455" i="8"/>
  <c r="BF455" i="8" s="1"/>
  <c r="AK455" i="8"/>
  <c r="BD455" i="8" s="1"/>
  <c r="AJ455" i="8"/>
  <c r="BC455" i="8" s="1"/>
  <c r="AP455" i="8"/>
  <c r="BI455" i="8" s="1"/>
  <c r="AO455" i="8"/>
  <c r="BH455" i="8" s="1"/>
  <c r="AI455" i="8"/>
  <c r="BB455" i="8" s="1"/>
  <c r="AN397" i="8"/>
  <c r="BG397" i="8" s="1"/>
  <c r="AK397" i="8"/>
  <c r="BD397" i="8" s="1"/>
  <c r="AM397" i="8"/>
  <c r="BF397" i="8" s="1"/>
  <c r="AO397" i="8"/>
  <c r="BH397" i="8" s="1"/>
  <c r="AL397" i="8"/>
  <c r="BE397" i="8" s="1"/>
  <c r="AP397" i="8"/>
  <c r="BI397" i="8" s="1"/>
  <c r="AQ397" i="8"/>
  <c r="BJ397" i="8" s="1"/>
  <c r="AJ751" i="1"/>
  <c r="BC751" i="1" s="1"/>
  <c r="AM750" i="1"/>
  <c r="BF750" i="1" s="1"/>
  <c r="AR723" i="1"/>
  <c r="BK723" i="1" s="1"/>
  <c r="AI158" i="1"/>
  <c r="BB158" i="1" s="1"/>
  <c r="AR146" i="1"/>
  <c r="BK146" i="1" s="1"/>
  <c r="AL146" i="1"/>
  <c r="BE146" i="1" s="1"/>
  <c r="AI81" i="1"/>
  <c r="AR158" i="1"/>
  <c r="BK158" i="1" s="1"/>
  <c r="AP689" i="1"/>
  <c r="BI689" i="1" s="1"/>
  <c r="AL687" i="1"/>
  <c r="BE687" i="1" s="1"/>
  <c r="AR697" i="1"/>
  <c r="BK697" i="1" s="1"/>
  <c r="AM695" i="1"/>
  <c r="BF695" i="1" s="1"/>
  <c r="AN695" i="1"/>
  <c r="BG695" i="1" s="1"/>
  <c r="AO751" i="1"/>
  <c r="BH751" i="1" s="1"/>
  <c r="AR750" i="1"/>
  <c r="BK750" i="1" s="1"/>
  <c r="AK711" i="1"/>
  <c r="BD711" i="1" s="1"/>
  <c r="AK733" i="1"/>
  <c r="BD733" i="1" s="1"/>
  <c r="AL723" i="1"/>
  <c r="BE723" i="1" s="1"/>
  <c r="AO723" i="1"/>
  <c r="BH723" i="1" s="1"/>
  <c r="AO494" i="8"/>
  <c r="BH494" i="8" s="1"/>
  <c r="AN494" i="8"/>
  <c r="BG494" i="8" s="1"/>
  <c r="AM484" i="8"/>
  <c r="BF484" i="8" s="1"/>
  <c r="AN645" i="8"/>
  <c r="BG645" i="8" s="1"/>
  <c r="AL585" i="8"/>
  <c r="BE585" i="8" s="1"/>
  <c r="AK289" i="8"/>
  <c r="BD289" i="8" s="1"/>
  <c r="AP593" i="8"/>
  <c r="BI593" i="8" s="1"/>
  <c r="AQ652" i="8"/>
  <c r="BJ652" i="8" s="1"/>
  <c r="AI652" i="8"/>
  <c r="BB652" i="8" s="1"/>
  <c r="AN291" i="8"/>
  <c r="BG291" i="8" s="1"/>
  <c r="AN457" i="8"/>
  <c r="BG457" i="8" s="1"/>
  <c r="AM434" i="8"/>
  <c r="BF434" i="8" s="1"/>
  <c r="AI623" i="8"/>
  <c r="AJ140" i="8"/>
  <c r="BC140" i="8" s="1"/>
  <c r="AQ282" i="8"/>
  <c r="BJ282" i="8" s="1"/>
  <c r="AR307" i="8"/>
  <c r="BK307" i="8" s="1"/>
  <c r="AO215" i="8"/>
  <c r="BH215" i="8" s="1"/>
  <c r="AO257" i="8"/>
  <c r="BH257" i="8" s="1"/>
  <c r="AN683" i="8"/>
  <c r="BG683" i="8" s="1"/>
  <c r="AR640" i="8"/>
  <c r="BK640" i="8" s="1"/>
  <c r="AJ460" i="8"/>
  <c r="BC460" i="8" s="1"/>
  <c r="AJ751" i="8"/>
  <c r="BC751" i="8" s="1"/>
  <c r="AI660" i="8"/>
  <c r="BB660" i="8" s="1"/>
  <c r="AP628" i="8"/>
  <c r="BI628" i="8" s="1"/>
  <c r="AM628" i="8"/>
  <c r="BF628" i="8" s="1"/>
  <c r="AQ728" i="8"/>
  <c r="BJ728" i="8" s="1"/>
  <c r="AI556" i="8"/>
  <c r="AN572" i="8"/>
  <c r="BG572" i="8" s="1"/>
  <c r="AI572" i="8"/>
  <c r="AI411" i="8"/>
  <c r="BB411" i="8" s="1"/>
  <c r="AQ497" i="8"/>
  <c r="BJ497" i="8" s="1"/>
  <c r="AI214" i="8"/>
  <c r="BB214" i="8" s="1"/>
  <c r="AQ704" i="8"/>
  <c r="BJ704" i="8" s="1"/>
  <c r="AI356" i="8"/>
  <c r="BB356" i="8" s="1"/>
  <c r="AO626" i="8"/>
  <c r="BH626" i="8" s="1"/>
  <c r="AL670" i="8"/>
  <c r="BE670" i="8" s="1"/>
  <c r="AQ708" i="8"/>
  <c r="BJ708" i="8" s="1"/>
  <c r="AK759" i="8"/>
  <c r="BD759" i="8" s="1"/>
  <c r="AN586" i="8"/>
  <c r="BG586" i="8" s="1"/>
  <c r="AO773" i="8"/>
  <c r="BH773" i="8" s="1"/>
  <c r="AK375" i="8"/>
  <c r="BD375" i="8" s="1"/>
  <c r="AQ346" i="8"/>
  <c r="BJ346" i="8" s="1"/>
  <c r="AN486" i="8"/>
  <c r="BG486" i="8" s="1"/>
  <c r="AP231" i="8"/>
  <c r="BI231" i="8" s="1"/>
  <c r="AL474" i="8"/>
  <c r="BE474" i="8" s="1"/>
  <c r="AN677" i="8"/>
  <c r="BG677" i="8" s="1"/>
  <c r="AP767" i="8"/>
  <c r="BI767" i="8" s="1"/>
  <c r="AL455" i="8"/>
  <c r="BE455" i="8" s="1"/>
  <c r="AI348" i="8"/>
  <c r="AM348" i="8"/>
  <c r="BF348" i="8" s="1"/>
  <c r="AO348" i="8"/>
  <c r="BH348" i="8" s="1"/>
  <c r="AP348" i="8"/>
  <c r="BI348" i="8" s="1"/>
  <c r="AN348" i="8"/>
  <c r="BG348" i="8" s="1"/>
  <c r="AQ348" i="8"/>
  <c r="BJ348" i="8" s="1"/>
  <c r="AJ348" i="8"/>
  <c r="BC348" i="8" s="1"/>
  <c r="AK348" i="8"/>
  <c r="BD348" i="8" s="1"/>
  <c r="AQ199" i="8"/>
  <c r="BJ199" i="8" s="1"/>
  <c r="AJ199" i="8"/>
  <c r="BC199" i="8" s="1"/>
  <c r="AI199" i="8"/>
  <c r="BB199" i="8" s="1"/>
  <c r="AK199" i="8"/>
  <c r="BD199" i="8" s="1"/>
  <c r="AP199" i="8"/>
  <c r="BI199" i="8" s="1"/>
  <c r="AO199" i="8"/>
  <c r="BH199" i="8" s="1"/>
  <c r="AM199" i="8"/>
  <c r="BF199" i="8" s="1"/>
  <c r="AN199" i="8"/>
  <c r="BG199" i="8" s="1"/>
  <c r="AP610" i="8"/>
  <c r="BI610" i="8" s="1"/>
  <c r="AN610" i="8"/>
  <c r="BG610" i="8" s="1"/>
  <c r="AQ610" i="8"/>
  <c r="BJ610" i="8" s="1"/>
  <c r="AO610" i="8"/>
  <c r="BH610" i="8" s="1"/>
  <c r="AM610" i="8"/>
  <c r="BF610" i="8" s="1"/>
  <c r="AK610" i="8"/>
  <c r="BD610" i="8" s="1"/>
  <c r="AI610" i="8"/>
  <c r="BB610" i="8" s="1"/>
  <c r="AL610" i="8"/>
  <c r="BE610" i="8" s="1"/>
  <c r="AO687" i="1"/>
  <c r="BH687" i="1" s="1"/>
  <c r="AL697" i="1"/>
  <c r="BE697" i="1" s="1"/>
  <c r="AQ146" i="1"/>
  <c r="BJ146" i="1" s="1"/>
  <c r="AP81" i="1"/>
  <c r="BI81" i="1" s="1"/>
  <c r="AP158" i="1"/>
  <c r="BI158" i="1" s="1"/>
  <c r="AO689" i="1"/>
  <c r="BH689" i="1" s="1"/>
  <c r="AK687" i="1"/>
  <c r="BD687" i="1" s="1"/>
  <c r="AN697" i="1"/>
  <c r="BG697" i="1" s="1"/>
  <c r="AL695" i="1"/>
  <c r="BE695" i="1" s="1"/>
  <c r="AJ695" i="1"/>
  <c r="BC695" i="1" s="1"/>
  <c r="AN751" i="1"/>
  <c r="BG751" i="1" s="1"/>
  <c r="AL750" i="1"/>
  <c r="BE750" i="1" s="1"/>
  <c r="AN750" i="1"/>
  <c r="BG750" i="1" s="1"/>
  <c r="AR711" i="1"/>
  <c r="BK711" i="1" s="1"/>
  <c r="AM733" i="1"/>
  <c r="BF733" i="1" s="1"/>
  <c r="AP733" i="1"/>
  <c r="BI733" i="1" s="1"/>
  <c r="AM723" i="1"/>
  <c r="BF723" i="1" s="1"/>
  <c r="AK723" i="1"/>
  <c r="BD723" i="1" s="1"/>
  <c r="AM771" i="1"/>
  <c r="BF771" i="1" s="1"/>
  <c r="AN771" i="1"/>
  <c r="BG771" i="1" s="1"/>
  <c r="AP494" i="8"/>
  <c r="BI494" i="8" s="1"/>
  <c r="AI484" i="8"/>
  <c r="BB484" i="8" s="1"/>
  <c r="AN484" i="8"/>
  <c r="BG484" i="8" s="1"/>
  <c r="AO645" i="8"/>
  <c r="BH645" i="8" s="1"/>
  <c r="AM585" i="8"/>
  <c r="BF585" i="8" s="1"/>
  <c r="AM289" i="8"/>
  <c r="BF289" i="8" s="1"/>
  <c r="AN593" i="8"/>
  <c r="BG593" i="8" s="1"/>
  <c r="AN652" i="8"/>
  <c r="BG652" i="8" s="1"/>
  <c r="AM652" i="8"/>
  <c r="BF652" i="8" s="1"/>
  <c r="AJ291" i="8"/>
  <c r="BC291" i="8" s="1"/>
  <c r="AK457" i="8"/>
  <c r="BD457" i="8" s="1"/>
  <c r="AI457" i="8"/>
  <c r="AL434" i="8"/>
  <c r="BE434" i="8" s="1"/>
  <c r="AQ623" i="8"/>
  <c r="BJ623" i="8" s="1"/>
  <c r="AR140" i="8"/>
  <c r="BK140" i="8" s="1"/>
  <c r="AJ282" i="8"/>
  <c r="BC282" i="8" s="1"/>
  <c r="AK307" i="8"/>
  <c r="BD307" i="8" s="1"/>
  <c r="AP215" i="8"/>
  <c r="BI215" i="8" s="1"/>
  <c r="AP257" i="8"/>
  <c r="BI257" i="8" s="1"/>
  <c r="AO683" i="8"/>
  <c r="BH683" i="8" s="1"/>
  <c r="AM640" i="8"/>
  <c r="BF640" i="8" s="1"/>
  <c r="AK460" i="8"/>
  <c r="BD460" i="8" s="1"/>
  <c r="AR751" i="8"/>
  <c r="BK751" i="8" s="1"/>
  <c r="AQ660" i="8"/>
  <c r="BJ660" i="8" s="1"/>
  <c r="AI628" i="8"/>
  <c r="AP728" i="8"/>
  <c r="BI728" i="8" s="1"/>
  <c r="AP556" i="8"/>
  <c r="BI556" i="8" s="1"/>
  <c r="AR572" i="8"/>
  <c r="BK572" i="8" s="1"/>
  <c r="AP572" i="8"/>
  <c r="BI572" i="8" s="1"/>
  <c r="AO411" i="8"/>
  <c r="BH411" i="8" s="1"/>
  <c r="AR497" i="8"/>
  <c r="BK497" i="8" s="1"/>
  <c r="AJ214" i="8"/>
  <c r="BC214" i="8" s="1"/>
  <c r="AI704" i="8"/>
  <c r="AJ356" i="8"/>
  <c r="BC356" i="8" s="1"/>
  <c r="AM626" i="8"/>
  <c r="BF626" i="8" s="1"/>
  <c r="AR670" i="8"/>
  <c r="BK670" i="8" s="1"/>
  <c r="AR708" i="8"/>
  <c r="BK708" i="8" s="1"/>
  <c r="AQ759" i="8"/>
  <c r="BJ759" i="8" s="1"/>
  <c r="AI586" i="8"/>
  <c r="BB586" i="8" s="1"/>
  <c r="AO520" i="8"/>
  <c r="BH520" i="8" s="1"/>
  <c r="AK709" i="8"/>
  <c r="BD709" i="8" s="1"/>
  <c r="AR199" i="8"/>
  <c r="BK199" i="8" s="1"/>
  <c r="AP352" i="8"/>
  <c r="BI352" i="8" s="1"/>
  <c r="AL348" i="8"/>
  <c r="BE348" i="8" s="1"/>
  <c r="AM370" i="8"/>
  <c r="BF370" i="8" s="1"/>
  <c r="AO332" i="8"/>
  <c r="BH332" i="8" s="1"/>
  <c r="AK362" i="8"/>
  <c r="BD362" i="8" s="1"/>
  <c r="AP486" i="8"/>
  <c r="BI486" i="8" s="1"/>
  <c r="AP279" i="8"/>
  <c r="BI279" i="8" s="1"/>
  <c r="AM474" i="8"/>
  <c r="BF474" i="8" s="1"/>
  <c r="AJ327" i="8"/>
  <c r="BC327" i="8" s="1"/>
  <c r="AQ327" i="8"/>
  <c r="BJ327" i="8" s="1"/>
  <c r="AP327" i="8"/>
  <c r="BI327" i="8" s="1"/>
  <c r="AN327" i="8"/>
  <c r="BG327" i="8" s="1"/>
  <c r="AL327" i="8"/>
  <c r="BE327" i="8" s="1"/>
  <c r="AK327" i="8"/>
  <c r="BD327" i="8" s="1"/>
  <c r="AI327" i="8"/>
  <c r="AR319" i="8"/>
  <c r="BK319" i="8" s="1"/>
  <c r="AP319" i="8"/>
  <c r="BI319" i="8" s="1"/>
  <c r="AJ319" i="8"/>
  <c r="BC319" i="8" s="1"/>
  <c r="AI319" i="8"/>
  <c r="BB319" i="8" s="1"/>
  <c r="AO319" i="8"/>
  <c r="BH319" i="8" s="1"/>
  <c r="AN319" i="8"/>
  <c r="BG319" i="8" s="1"/>
  <c r="AM319" i="8"/>
  <c r="BF319" i="8" s="1"/>
  <c r="AL319" i="8"/>
  <c r="BE319" i="8" s="1"/>
  <c r="AK319" i="8"/>
  <c r="BD319" i="8" s="1"/>
  <c r="AO509" i="8"/>
  <c r="BH509" i="8" s="1"/>
  <c r="AJ509" i="8"/>
  <c r="BC509" i="8" s="1"/>
  <c r="AI509" i="8"/>
  <c r="BB509" i="8" s="1"/>
  <c r="AR509" i="8"/>
  <c r="BK509" i="8" s="1"/>
  <c r="AL509" i="8"/>
  <c r="BE509" i="8" s="1"/>
  <c r="AK509" i="8"/>
  <c r="BD509" i="8" s="1"/>
  <c r="AP509" i="8"/>
  <c r="BI509" i="8" s="1"/>
  <c r="AL765" i="8"/>
  <c r="BE765" i="8" s="1"/>
  <c r="AK765" i="8"/>
  <c r="BD765" i="8" s="1"/>
  <c r="AR765" i="8"/>
  <c r="BK765" i="8" s="1"/>
  <c r="AJ765" i="8"/>
  <c r="BC765" i="8" s="1"/>
  <c r="AP765" i="8"/>
  <c r="BI765" i="8" s="1"/>
  <c r="AI765" i="8"/>
  <c r="BB765" i="8" s="1"/>
  <c r="AQ765" i="8"/>
  <c r="BJ765" i="8" s="1"/>
  <c r="AL677" i="8"/>
  <c r="BE677" i="8" s="1"/>
  <c r="AR677" i="8"/>
  <c r="BK677" i="8" s="1"/>
  <c r="AJ677" i="8"/>
  <c r="BC677" i="8" s="1"/>
  <c r="AO677" i="8"/>
  <c r="BH677" i="8" s="1"/>
  <c r="AQ677" i="8"/>
  <c r="BJ677" i="8" s="1"/>
  <c r="AM677" i="8"/>
  <c r="BF677" i="8" s="1"/>
  <c r="AI677" i="8"/>
  <c r="BB677" i="8" s="1"/>
  <c r="AR365" i="8"/>
  <c r="BK365" i="8" s="1"/>
  <c r="AJ365" i="8"/>
  <c r="BC365" i="8" s="1"/>
  <c r="AP365" i="8"/>
  <c r="BI365" i="8" s="1"/>
  <c r="AQ365" i="8"/>
  <c r="BJ365" i="8" s="1"/>
  <c r="AO365" i="8"/>
  <c r="BH365" i="8" s="1"/>
  <c r="AI365" i="8"/>
  <c r="AM365" i="8"/>
  <c r="BF365" i="8" s="1"/>
  <c r="AL365" i="8"/>
  <c r="BE365" i="8" s="1"/>
  <c r="AP539" i="8"/>
  <c r="BI539" i="8" s="1"/>
  <c r="AO539" i="8"/>
  <c r="BH539" i="8" s="1"/>
  <c r="AR539" i="8"/>
  <c r="BK539" i="8" s="1"/>
  <c r="AN539" i="8"/>
  <c r="BG539" i="8" s="1"/>
  <c r="AK539" i="8"/>
  <c r="BD539" i="8" s="1"/>
  <c r="AL539" i="8"/>
  <c r="BE539" i="8" s="1"/>
  <c r="AI539" i="8"/>
  <c r="BB539" i="8" s="1"/>
  <c r="AJ539" i="8"/>
  <c r="BC539" i="8" s="1"/>
  <c r="AP146" i="1"/>
  <c r="BI146" i="1" s="1"/>
  <c r="AM81" i="1"/>
  <c r="BF81" i="1" s="1"/>
  <c r="AK158" i="1"/>
  <c r="BD158" i="1" s="1"/>
  <c r="AK689" i="1"/>
  <c r="BD689" i="1" s="1"/>
  <c r="AO81" i="1"/>
  <c r="BH81" i="1" s="1"/>
  <c r="AN689" i="1"/>
  <c r="BG689" i="1" s="1"/>
  <c r="AR687" i="1"/>
  <c r="BK687" i="1" s="1"/>
  <c r="AJ687" i="1"/>
  <c r="BC687" i="1" s="1"/>
  <c r="AJ697" i="1"/>
  <c r="BC697" i="1" s="1"/>
  <c r="AI695" i="1"/>
  <c r="AP751" i="1"/>
  <c r="BI751" i="1" s="1"/>
  <c r="AQ750" i="1"/>
  <c r="BJ750" i="1" s="1"/>
  <c r="AJ750" i="1"/>
  <c r="BC750" i="1" s="1"/>
  <c r="AJ711" i="1"/>
  <c r="BC711" i="1" s="1"/>
  <c r="J30" i="5" s="1"/>
  <c r="AN733" i="1"/>
  <c r="BG733" i="1" s="1"/>
  <c r="AL733" i="1"/>
  <c r="BE733" i="1" s="1"/>
  <c r="AQ723" i="1"/>
  <c r="BJ723" i="1" s="1"/>
  <c r="AQ494" i="8"/>
  <c r="BJ494" i="8" s="1"/>
  <c r="AQ484" i="8"/>
  <c r="BJ484" i="8" s="1"/>
  <c r="AO484" i="8"/>
  <c r="BH484" i="8" s="1"/>
  <c r="AP645" i="8"/>
  <c r="BI645" i="8" s="1"/>
  <c r="AM645" i="8"/>
  <c r="BF645" i="8" s="1"/>
  <c r="AJ585" i="8"/>
  <c r="BC585" i="8" s="1"/>
  <c r="AN289" i="8"/>
  <c r="BG289" i="8" s="1"/>
  <c r="AL289" i="8"/>
  <c r="BE289" i="8" s="1"/>
  <c r="AO593" i="8"/>
  <c r="BH593" i="8" s="1"/>
  <c r="AP652" i="8"/>
  <c r="BI652" i="8" s="1"/>
  <c r="AP291" i="8"/>
  <c r="BI291" i="8" s="1"/>
  <c r="AJ457" i="8"/>
  <c r="BC457" i="8" s="1"/>
  <c r="AQ457" i="8"/>
  <c r="BJ457" i="8" s="1"/>
  <c r="AN434" i="8"/>
  <c r="BG434" i="8" s="1"/>
  <c r="AK623" i="8"/>
  <c r="BD623" i="8" s="1"/>
  <c r="AK140" i="8"/>
  <c r="BD140" i="8" s="1"/>
  <c r="AN282" i="8"/>
  <c r="BG282" i="8" s="1"/>
  <c r="AM307" i="8"/>
  <c r="BF307" i="8" s="1"/>
  <c r="AJ215" i="8"/>
  <c r="BC215" i="8" s="1"/>
  <c r="AI257" i="8"/>
  <c r="BB257" i="8" s="1"/>
  <c r="AQ683" i="8"/>
  <c r="BJ683" i="8" s="1"/>
  <c r="AI683" i="8"/>
  <c r="BB683" i="8" s="1"/>
  <c r="AL640" i="8"/>
  <c r="BE640" i="8" s="1"/>
  <c r="AL460" i="8"/>
  <c r="BE460" i="8" s="1"/>
  <c r="AK751" i="8"/>
  <c r="BD751" i="8" s="1"/>
  <c r="AP660" i="8"/>
  <c r="BI660" i="8" s="1"/>
  <c r="AR628" i="8"/>
  <c r="BK628" i="8" s="1"/>
  <c r="AM728" i="8"/>
  <c r="BF728" i="8" s="1"/>
  <c r="AN556" i="8"/>
  <c r="BG556" i="8" s="1"/>
  <c r="AL556" i="8"/>
  <c r="BE556" i="8" s="1"/>
  <c r="AJ572" i="8"/>
  <c r="BC572" i="8" s="1"/>
  <c r="AP244" i="8"/>
  <c r="BI244" i="8" s="1"/>
  <c r="AK381" i="8"/>
  <c r="BD381" i="8" s="1"/>
  <c r="AP719" i="8"/>
  <c r="BI719" i="8" s="1"/>
  <c r="AL497" i="8"/>
  <c r="BE497" i="8" s="1"/>
  <c r="AM463" i="8"/>
  <c r="BF463" i="8" s="1"/>
  <c r="AP214" i="8"/>
  <c r="BI214" i="8" s="1"/>
  <c r="AN704" i="8"/>
  <c r="BG704" i="8" s="1"/>
  <c r="AJ724" i="8"/>
  <c r="BC724" i="8" s="1"/>
  <c r="AQ356" i="8"/>
  <c r="BJ356" i="8" s="1"/>
  <c r="AP626" i="8"/>
  <c r="BI626" i="8" s="1"/>
  <c r="AJ720" i="8"/>
  <c r="BC720" i="8" s="1"/>
  <c r="AJ342" i="8"/>
  <c r="BC342" i="8" s="1"/>
  <c r="AR701" i="8"/>
  <c r="BK701" i="8" s="1"/>
  <c r="AP759" i="8"/>
  <c r="BI759" i="8" s="1"/>
  <c r="AQ586" i="8"/>
  <c r="BJ586" i="8" s="1"/>
  <c r="AR520" i="8"/>
  <c r="BK520" i="8" s="1"/>
  <c r="AN765" i="8"/>
  <c r="BG765" i="8" s="1"/>
  <c r="AN709" i="8"/>
  <c r="BG709" i="8" s="1"/>
  <c r="AK352" i="8"/>
  <c r="BD352" i="8" s="1"/>
  <c r="AO370" i="8"/>
  <c r="BH370" i="8" s="1"/>
  <c r="AK332" i="8"/>
  <c r="BD332" i="8" s="1"/>
  <c r="AL362" i="8"/>
  <c r="BE362" i="8" s="1"/>
  <c r="AJ620" i="8"/>
  <c r="BC620" i="8" s="1"/>
  <c r="AK279" i="8"/>
  <c r="BD279" i="8" s="1"/>
  <c r="AN316" i="8"/>
  <c r="BG316" i="8" s="1"/>
  <c r="AK365" i="8"/>
  <c r="BD365" i="8" s="1"/>
  <c r="AP677" i="8"/>
  <c r="BI677" i="8" s="1"/>
  <c r="AM760" i="8"/>
  <c r="BF760" i="8" s="1"/>
  <c r="AQ455" i="8"/>
  <c r="BJ455" i="8" s="1"/>
  <c r="AQ319" i="8"/>
  <c r="BJ319" i="8" s="1"/>
  <c r="AM708" i="8"/>
  <c r="BF708" i="8" s="1"/>
  <c r="AK708" i="8"/>
  <c r="BD708" i="8" s="1"/>
  <c r="AJ708" i="8"/>
  <c r="BC708" i="8" s="1"/>
  <c r="AI708" i="8"/>
  <c r="AP708" i="8"/>
  <c r="BI708" i="8" s="1"/>
  <c r="AK702" i="8"/>
  <c r="BD702" i="8" s="1"/>
  <c r="AO702" i="8"/>
  <c r="BH702" i="8" s="1"/>
  <c r="AP702" i="8"/>
  <c r="BI702" i="8" s="1"/>
  <c r="AJ702" i="8"/>
  <c r="BC702" i="8" s="1"/>
  <c r="AR702" i="8"/>
  <c r="BK702" i="8" s="1"/>
  <c r="AN456" i="8"/>
  <c r="BG456" i="8" s="1"/>
  <c r="AL456" i="8"/>
  <c r="BE456" i="8" s="1"/>
  <c r="AM456" i="8"/>
  <c r="BF456" i="8" s="1"/>
  <c r="AJ456" i="8"/>
  <c r="BC456" i="8" s="1"/>
  <c r="AQ456" i="8"/>
  <c r="BJ456" i="8" s="1"/>
  <c r="AI456" i="8"/>
  <c r="AR456" i="8"/>
  <c r="BK456" i="8" s="1"/>
  <c r="AM751" i="1"/>
  <c r="BF751" i="1" s="1"/>
  <c r="AM146" i="1"/>
  <c r="BF146" i="1" s="1"/>
  <c r="AN81" i="1"/>
  <c r="BG81" i="1" s="1"/>
  <c r="AM158" i="1"/>
  <c r="BF158" i="1" s="1"/>
  <c r="AL81" i="1"/>
  <c r="BE81" i="1" s="1"/>
  <c r="AQ687" i="1"/>
  <c r="BJ687" i="1" s="1"/>
  <c r="AJ771" i="1"/>
  <c r="BC771" i="1" s="1"/>
  <c r="AJ645" i="8"/>
  <c r="BC645" i="8" s="1"/>
  <c r="AO289" i="8"/>
  <c r="BH289" i="8" s="1"/>
  <c r="AO291" i="8"/>
  <c r="BH291" i="8" s="1"/>
  <c r="AP434" i="8"/>
  <c r="BI434" i="8" s="1"/>
  <c r="AR282" i="8"/>
  <c r="BK282" i="8" s="1"/>
  <c r="AJ683" i="8"/>
  <c r="BC683" i="8" s="1"/>
  <c r="AJ728" i="8"/>
  <c r="BC728" i="8" s="1"/>
  <c r="AJ556" i="8"/>
  <c r="BC556" i="8" s="1"/>
  <c r="AP381" i="8"/>
  <c r="BI381" i="8" s="1"/>
  <c r="AJ719" i="8"/>
  <c r="BC719" i="8" s="1"/>
  <c r="AJ497" i="8"/>
  <c r="BC497" i="8" s="1"/>
  <c r="AP724" i="8"/>
  <c r="BI724" i="8" s="1"/>
  <c r="AP356" i="8"/>
  <c r="BI356" i="8" s="1"/>
  <c r="AN702" i="8"/>
  <c r="BG702" i="8" s="1"/>
  <c r="AJ626" i="8"/>
  <c r="BC626" i="8" s="1"/>
  <c r="AP720" i="8"/>
  <c r="BI720" i="8" s="1"/>
  <c r="AM342" i="8"/>
  <c r="BF342" i="8" s="1"/>
  <c r="AN708" i="8"/>
  <c r="BG708" i="8" s="1"/>
  <c r="AI759" i="8"/>
  <c r="BB759" i="8" s="1"/>
  <c r="AJ586" i="8"/>
  <c r="BC586" i="8" s="1"/>
  <c r="AO327" i="8"/>
  <c r="BH327" i="8" s="1"/>
  <c r="AK520" i="8"/>
  <c r="BD520" i="8" s="1"/>
  <c r="AM765" i="8"/>
  <c r="BF765" i="8" s="1"/>
  <c r="AP709" i="8"/>
  <c r="BI709" i="8" s="1"/>
  <c r="AS780" i="8"/>
  <c r="AV780" i="8" s="1"/>
  <c r="AI397" i="8"/>
  <c r="BB397" i="8" s="1"/>
  <c r="AJ566" i="8"/>
  <c r="BC566" i="8" s="1"/>
  <c r="AM620" i="8"/>
  <c r="BF620" i="8" s="1"/>
  <c r="AO400" i="8"/>
  <c r="BH400" i="8" s="1"/>
  <c r="AN578" i="8"/>
  <c r="BG578" i="8" s="1"/>
  <c r="AI316" i="8"/>
  <c r="BB316" i="8" s="1"/>
  <c r="AN365" i="8"/>
  <c r="BG365" i="8" s="1"/>
  <c r="AR676" i="8"/>
  <c r="BK676" i="8" s="1"/>
  <c r="AM667" i="8"/>
  <c r="BF667" i="8" s="1"/>
  <c r="AL94" i="1"/>
  <c r="BE94" i="1" s="1"/>
  <c r="AN94" i="1"/>
  <c r="BG94" i="1" s="1"/>
  <c r="AP198" i="1"/>
  <c r="BI198" i="1" s="1"/>
  <c r="AO685" i="1"/>
  <c r="BH685" i="1" s="1"/>
  <c r="AM700" i="1"/>
  <c r="BF700" i="1" s="1"/>
  <c r="AQ732" i="1"/>
  <c r="BJ732" i="1" s="1"/>
  <c r="AJ719" i="1"/>
  <c r="BC719" i="1" s="1"/>
  <c r="AQ731" i="1"/>
  <c r="BJ731" i="1" s="1"/>
  <c r="AN749" i="1"/>
  <c r="BG749" i="1" s="1"/>
  <c r="AP749" i="1"/>
  <c r="BI749" i="1" s="1"/>
  <c r="AN690" i="1"/>
  <c r="BG690" i="1" s="1"/>
  <c r="AO690" i="1"/>
  <c r="BH690" i="1" s="1"/>
  <c r="AL703" i="1"/>
  <c r="BE703" i="1" s="1"/>
  <c r="AR378" i="8"/>
  <c r="BK378" i="8" s="1"/>
  <c r="AQ378" i="8"/>
  <c r="BJ378" i="8" s="1"/>
  <c r="AN255" i="8"/>
  <c r="BG255" i="8" s="1"/>
  <c r="AR496" i="8"/>
  <c r="BK496" i="8" s="1"/>
  <c r="AK528" i="8"/>
  <c r="BD528" i="8" s="1"/>
  <c r="AI528" i="8"/>
  <c r="BB528" i="8" s="1"/>
  <c r="AN241" i="8"/>
  <c r="BG241" i="8" s="1"/>
  <c r="AI697" i="8"/>
  <c r="BB697" i="8" s="1"/>
  <c r="AN315" i="8"/>
  <c r="BG315" i="8" s="1"/>
  <c r="AI315" i="8"/>
  <c r="BB315" i="8" s="1"/>
  <c r="AN232" i="8"/>
  <c r="BG232" i="8" s="1"/>
  <c r="AI219" i="8"/>
  <c r="BB219" i="8" s="1"/>
  <c r="AQ219" i="8"/>
  <c r="BJ219" i="8" s="1"/>
  <c r="AR741" i="8"/>
  <c r="BK741" i="8" s="1"/>
  <c r="AM510" i="8"/>
  <c r="BF510" i="8" s="1"/>
  <c r="AP510" i="8"/>
  <c r="BI510" i="8" s="1"/>
  <c r="AP637" i="8"/>
  <c r="BI637" i="8" s="1"/>
  <c r="AK451" i="8"/>
  <c r="BD451" i="8" s="1"/>
  <c r="AQ451" i="8"/>
  <c r="BJ451" i="8" s="1"/>
  <c r="AL306" i="8"/>
  <c r="BE306" i="8" s="1"/>
  <c r="AP306" i="8"/>
  <c r="BI306" i="8" s="1"/>
  <c r="AI263" i="8"/>
  <c r="BB263" i="8" s="1"/>
  <c r="AP263" i="8"/>
  <c r="BI263" i="8" s="1"/>
  <c r="AQ468" i="8"/>
  <c r="BJ468" i="8" s="1"/>
  <c r="AR305" i="8"/>
  <c r="BK305" i="8" s="1"/>
  <c r="AO345" i="8"/>
  <c r="BH345" i="8" s="1"/>
  <c r="AI264" i="8"/>
  <c r="BB264" i="8" s="1"/>
  <c r="AN665" i="8"/>
  <c r="BG665" i="8" s="1"/>
  <c r="AJ665" i="8"/>
  <c r="BC665" i="8" s="1"/>
  <c r="AR644" i="8"/>
  <c r="BK644" i="8" s="1"/>
  <c r="AL278" i="8"/>
  <c r="BE278" i="8" s="1"/>
  <c r="AP415" i="8"/>
  <c r="BI415" i="8" s="1"/>
  <c r="AI213" i="8"/>
  <c r="BB213" i="8" s="1"/>
  <c r="AN343" i="8"/>
  <c r="BG343" i="8" s="1"/>
  <c r="AN705" i="8"/>
  <c r="BG705" i="8" s="1"/>
  <c r="AP705" i="8"/>
  <c r="BI705" i="8" s="1"/>
  <c r="AR429" i="8"/>
  <c r="BK429" i="8" s="1"/>
  <c r="AO369" i="8"/>
  <c r="BH369" i="8" s="1"/>
  <c r="AK373" i="8"/>
  <c r="BD373" i="8" s="1"/>
  <c r="AK287" i="8"/>
  <c r="BD287" i="8" s="1"/>
  <c r="AR287" i="8"/>
  <c r="BK287" i="8" s="1"/>
  <c r="AI681" i="8"/>
  <c r="BB681" i="8" s="1"/>
  <c r="AP666" i="8"/>
  <c r="BI666" i="8" s="1"/>
  <c r="AN621" i="8"/>
  <c r="BG621" i="8" s="1"/>
  <c r="AR649" i="8"/>
  <c r="BK649" i="8" s="1"/>
  <c r="AK619" i="8"/>
  <c r="BD619" i="8" s="1"/>
  <c r="AR619" i="8"/>
  <c r="BK619" i="8" s="1"/>
  <c r="AK295" i="8"/>
  <c r="BD295" i="8" s="1"/>
  <c r="AK622" i="8"/>
  <c r="BD622" i="8" s="1"/>
  <c r="AI568" i="8"/>
  <c r="BB568" i="8" s="1"/>
  <c r="AI493" i="8"/>
  <c r="BB493" i="8" s="1"/>
  <c r="AL493" i="8"/>
  <c r="BE493" i="8" s="1"/>
  <c r="AI304" i="8"/>
  <c r="AI452" i="8"/>
  <c r="BB452" i="8" s="1"/>
  <c r="AJ344" i="8"/>
  <c r="BC344" i="8" s="1"/>
  <c r="AQ379" i="8"/>
  <c r="BJ379" i="8" s="1"/>
  <c r="AO379" i="8"/>
  <c r="BH379" i="8" s="1"/>
  <c r="AJ558" i="8"/>
  <c r="BC558" i="8" s="1"/>
  <c r="AO478" i="8"/>
  <c r="BH478" i="8" s="1"/>
  <c r="AL88" i="8"/>
  <c r="BE88" i="8" s="1"/>
  <c r="AI311" i="8"/>
  <c r="AJ703" i="8"/>
  <c r="BC703" i="8" s="1"/>
  <c r="AQ94" i="1"/>
  <c r="BJ94" i="1" s="1"/>
  <c r="AJ94" i="1"/>
  <c r="BC94" i="1" s="1"/>
  <c r="AL198" i="1"/>
  <c r="BE198" i="1" s="1"/>
  <c r="AN685" i="1"/>
  <c r="BG685" i="1" s="1"/>
  <c r="AI700" i="1"/>
  <c r="AO732" i="1"/>
  <c r="BH732" i="1" s="1"/>
  <c r="AM732" i="1"/>
  <c r="BF732" i="1" s="1"/>
  <c r="AO719" i="1"/>
  <c r="BH719" i="1" s="1"/>
  <c r="AM731" i="1"/>
  <c r="BF731" i="1" s="1"/>
  <c r="AM749" i="1"/>
  <c r="BF749" i="1" s="1"/>
  <c r="AL749" i="1"/>
  <c r="BE749" i="1" s="1"/>
  <c r="AR690" i="1"/>
  <c r="BK690" i="1" s="1"/>
  <c r="AK703" i="1"/>
  <c r="BD703" i="1" s="1"/>
  <c r="AL690" i="1"/>
  <c r="BE690" i="1" s="1"/>
  <c r="AO378" i="8"/>
  <c r="BH378" i="8" s="1"/>
  <c r="AL255" i="8"/>
  <c r="BE255" i="8" s="1"/>
  <c r="AK496" i="8"/>
  <c r="BD496" i="8" s="1"/>
  <c r="AM528" i="8"/>
  <c r="BF528" i="8" s="1"/>
  <c r="AO241" i="8"/>
  <c r="BH241" i="8" s="1"/>
  <c r="AM241" i="8"/>
  <c r="BF241" i="8" s="1"/>
  <c r="AQ697" i="8"/>
  <c r="BJ697" i="8" s="1"/>
  <c r="AO315" i="8"/>
  <c r="BH315" i="8" s="1"/>
  <c r="AQ315" i="8"/>
  <c r="BJ315" i="8" s="1"/>
  <c r="AK232" i="8"/>
  <c r="BD232" i="8" s="1"/>
  <c r="AR232" i="8"/>
  <c r="BK232" i="8" s="1"/>
  <c r="AL219" i="8"/>
  <c r="BE219" i="8" s="1"/>
  <c r="AK741" i="8"/>
  <c r="BD741" i="8" s="1"/>
  <c r="AK510" i="8"/>
  <c r="BD510" i="8" s="1"/>
  <c r="AN637" i="8"/>
  <c r="BG637" i="8" s="1"/>
  <c r="AR451" i="8"/>
  <c r="BK451" i="8" s="1"/>
  <c r="AK306" i="8"/>
  <c r="BD306" i="8" s="1"/>
  <c r="AM263" i="8"/>
  <c r="BF263" i="8" s="1"/>
  <c r="AK468" i="8"/>
  <c r="BD468" i="8" s="1"/>
  <c r="AK305" i="8"/>
  <c r="BD305" i="8" s="1"/>
  <c r="AQ345" i="8"/>
  <c r="BJ345" i="8" s="1"/>
  <c r="AO264" i="8"/>
  <c r="BH264" i="8" s="1"/>
  <c r="AR665" i="8"/>
  <c r="BK665" i="8" s="1"/>
  <c r="AP665" i="8"/>
  <c r="BI665" i="8" s="1"/>
  <c r="AK644" i="8"/>
  <c r="BD644" i="8" s="1"/>
  <c r="AM278" i="8"/>
  <c r="BF278" i="8" s="1"/>
  <c r="AN415" i="8"/>
  <c r="BG415" i="8" s="1"/>
  <c r="AP213" i="8"/>
  <c r="BI213" i="8" s="1"/>
  <c r="AK213" i="8"/>
  <c r="BD213" i="8" s="1"/>
  <c r="AO343" i="8"/>
  <c r="BH343" i="8" s="1"/>
  <c r="AO705" i="8"/>
  <c r="BH705" i="8" s="1"/>
  <c r="AK429" i="8"/>
  <c r="BD429" i="8" s="1"/>
  <c r="AP369" i="8"/>
  <c r="BI369" i="8" s="1"/>
  <c r="AL373" i="8"/>
  <c r="BE373" i="8" s="1"/>
  <c r="AL287" i="8"/>
  <c r="BE287" i="8" s="1"/>
  <c r="AM287" i="8"/>
  <c r="BF287" i="8" s="1"/>
  <c r="AQ681" i="8"/>
  <c r="BJ681" i="8" s="1"/>
  <c r="AR666" i="8"/>
  <c r="BK666" i="8" s="1"/>
  <c r="AL649" i="8"/>
  <c r="BE649" i="8" s="1"/>
  <c r="AL619" i="8"/>
  <c r="BE619" i="8" s="1"/>
  <c r="AQ619" i="8"/>
  <c r="BJ619" i="8" s="1"/>
  <c r="AI295" i="8"/>
  <c r="BB295" i="8" s="1"/>
  <c r="AN568" i="8"/>
  <c r="BG568" i="8" s="1"/>
  <c r="AM493" i="8"/>
  <c r="BF493" i="8" s="1"/>
  <c r="AL304" i="8"/>
  <c r="BE304" i="8" s="1"/>
  <c r="AQ452" i="8"/>
  <c r="BJ452" i="8" s="1"/>
  <c r="AQ344" i="8"/>
  <c r="BJ344" i="8" s="1"/>
  <c r="AJ379" i="8"/>
  <c r="BC379" i="8" s="1"/>
  <c r="AP379" i="8"/>
  <c r="BI379" i="8" s="1"/>
  <c r="AN558" i="8"/>
  <c r="BG558" i="8" s="1"/>
  <c r="AR88" i="8"/>
  <c r="BK88" i="8" s="1"/>
  <c r="AQ311" i="8"/>
  <c r="BJ311" i="8" s="1"/>
  <c r="AN351" i="8"/>
  <c r="BG351" i="8" s="1"/>
  <c r="AP703" i="8"/>
  <c r="BI703" i="8" s="1"/>
  <c r="AK94" i="1"/>
  <c r="BD94" i="1" s="1"/>
  <c r="AN198" i="1"/>
  <c r="BG198" i="1" s="1"/>
  <c r="AM685" i="1"/>
  <c r="BF685" i="1" s="1"/>
  <c r="AP700" i="1"/>
  <c r="BI700" i="1" s="1"/>
  <c r="AL732" i="1"/>
  <c r="BE732" i="1" s="1"/>
  <c r="AI732" i="1"/>
  <c r="BB732" i="1" s="1"/>
  <c r="AN719" i="1"/>
  <c r="BG719" i="1" s="1"/>
  <c r="AL731" i="1"/>
  <c r="BE731" i="1" s="1"/>
  <c r="AR749" i="1"/>
  <c r="BK749" i="1" s="1"/>
  <c r="AQ690" i="1"/>
  <c r="BJ690" i="1" s="1"/>
  <c r="AI690" i="1"/>
  <c r="AO703" i="1"/>
  <c r="BH703" i="1" s="1"/>
  <c r="AI378" i="8"/>
  <c r="BB378" i="8" s="1"/>
  <c r="AO255" i="8"/>
  <c r="BH255" i="8" s="1"/>
  <c r="AP496" i="8"/>
  <c r="BI496" i="8" s="1"/>
  <c r="AN528" i="8"/>
  <c r="BG528" i="8" s="1"/>
  <c r="AI241" i="8"/>
  <c r="BB241" i="8" s="1"/>
  <c r="AP241" i="8"/>
  <c r="BI241" i="8" s="1"/>
  <c r="AR697" i="8"/>
  <c r="BK697" i="8" s="1"/>
  <c r="AJ697" i="8"/>
  <c r="BC697" i="8" s="1"/>
  <c r="AJ315" i="8"/>
  <c r="BC315" i="8" s="1"/>
  <c r="AO232" i="8"/>
  <c r="BH232" i="8" s="1"/>
  <c r="AM232" i="8"/>
  <c r="BF232" i="8" s="1"/>
  <c r="AO219" i="8"/>
  <c r="BH219" i="8" s="1"/>
  <c r="AM741" i="8"/>
  <c r="BF741" i="8" s="1"/>
  <c r="AR510" i="8"/>
  <c r="BK510" i="8" s="1"/>
  <c r="AI637" i="8"/>
  <c r="AL451" i="8"/>
  <c r="BE451" i="8" s="1"/>
  <c r="AM306" i="8"/>
  <c r="BF306" i="8" s="1"/>
  <c r="AQ263" i="8"/>
  <c r="BJ263" i="8" s="1"/>
  <c r="AJ468" i="8"/>
  <c r="BC468" i="8" s="1"/>
  <c r="AP305" i="8"/>
  <c r="BI305" i="8" s="1"/>
  <c r="AM305" i="8"/>
  <c r="BF305" i="8" s="1"/>
  <c r="AK345" i="8"/>
  <c r="BD345" i="8" s="1"/>
  <c r="AP264" i="8"/>
  <c r="BI264" i="8" s="1"/>
  <c r="AI665" i="8"/>
  <c r="BB665" i="8" s="1"/>
  <c r="AI644" i="8"/>
  <c r="BB644" i="8" s="1"/>
  <c r="AJ278" i="8"/>
  <c r="BC278" i="8" s="1"/>
  <c r="AN278" i="8"/>
  <c r="BG278" i="8" s="1"/>
  <c r="AI415" i="8"/>
  <c r="BB415" i="8" s="1"/>
  <c r="AN213" i="8"/>
  <c r="BG213" i="8" s="1"/>
  <c r="AQ213" i="8"/>
  <c r="BJ213" i="8" s="1"/>
  <c r="AJ343" i="8"/>
  <c r="BC343" i="8" s="1"/>
  <c r="AL705" i="8"/>
  <c r="BE705" i="8" s="1"/>
  <c r="AP429" i="8"/>
  <c r="BI429" i="8" s="1"/>
  <c r="AN429" i="8"/>
  <c r="BG429" i="8" s="1"/>
  <c r="AQ369" i="8"/>
  <c r="BJ369" i="8" s="1"/>
  <c r="AN373" i="8"/>
  <c r="BG373" i="8" s="1"/>
  <c r="AN287" i="8"/>
  <c r="BG287" i="8" s="1"/>
  <c r="AR681" i="8"/>
  <c r="BK681" i="8" s="1"/>
  <c r="AJ681" i="8"/>
  <c r="BC681" i="8" s="1"/>
  <c r="AQ666" i="8"/>
  <c r="BJ666" i="8" s="1"/>
  <c r="AN649" i="8"/>
  <c r="BG649" i="8" s="1"/>
  <c r="AM619" i="8"/>
  <c r="BF619" i="8" s="1"/>
  <c r="AM295" i="8"/>
  <c r="BF295" i="8" s="1"/>
  <c r="AL295" i="8"/>
  <c r="BE295" i="8" s="1"/>
  <c r="AL368" i="8"/>
  <c r="BE368" i="8" s="1"/>
  <c r="AK568" i="8"/>
  <c r="BD568" i="8" s="1"/>
  <c r="AP493" i="8"/>
  <c r="BI493" i="8" s="1"/>
  <c r="AO304" i="8"/>
  <c r="BH304" i="8" s="1"/>
  <c r="AK452" i="8"/>
  <c r="BD452" i="8" s="1"/>
  <c r="AR344" i="8"/>
  <c r="BK344" i="8" s="1"/>
  <c r="AR379" i="8"/>
  <c r="BK379" i="8" s="1"/>
  <c r="AN410" i="8"/>
  <c r="BG410" i="8" s="1"/>
  <c r="AM88" i="8"/>
  <c r="BF88" i="8" s="1"/>
  <c r="AJ311" i="8"/>
  <c r="BC311" i="8" s="1"/>
  <c r="AI351" i="8"/>
  <c r="AR94" i="1"/>
  <c r="BK94" i="1" s="1"/>
  <c r="AM198" i="1"/>
  <c r="BF198" i="1" s="1"/>
  <c r="AL685" i="1"/>
  <c r="BE685" i="1" s="1"/>
  <c r="AL700" i="1"/>
  <c r="BE700" i="1" s="1"/>
  <c r="AK732" i="1"/>
  <c r="BD732" i="1" s="1"/>
  <c r="AP719" i="1"/>
  <c r="BI719" i="1" s="1"/>
  <c r="AR731" i="1"/>
  <c r="BK731" i="1" s="1"/>
  <c r="AJ749" i="1"/>
  <c r="BC749" i="1" s="1"/>
  <c r="AR703" i="1"/>
  <c r="BK703" i="1" s="1"/>
  <c r="AJ690" i="1"/>
  <c r="BC690" i="1" s="1"/>
  <c r="AM703" i="1"/>
  <c r="BF703" i="1" s="1"/>
  <c r="AL378" i="8"/>
  <c r="BE378" i="8" s="1"/>
  <c r="AM255" i="8"/>
  <c r="BF255" i="8" s="1"/>
  <c r="AI496" i="8"/>
  <c r="BB496" i="8" s="1"/>
  <c r="AO528" i="8"/>
  <c r="BH528" i="8" s="1"/>
  <c r="AK241" i="8"/>
  <c r="BD241" i="8" s="1"/>
  <c r="AK697" i="8"/>
  <c r="BD697" i="8" s="1"/>
  <c r="AL697" i="8"/>
  <c r="BE697" i="8" s="1"/>
  <c r="AR315" i="8"/>
  <c r="BK315" i="8" s="1"/>
  <c r="AP232" i="8"/>
  <c r="BI232" i="8" s="1"/>
  <c r="AP219" i="8"/>
  <c r="BI219" i="8" s="1"/>
  <c r="AL741" i="8"/>
  <c r="BE741" i="8" s="1"/>
  <c r="AJ510" i="8"/>
  <c r="BC510" i="8" s="1"/>
  <c r="AJ637" i="8"/>
  <c r="BC637" i="8" s="1"/>
  <c r="AO451" i="8"/>
  <c r="BH451" i="8" s="1"/>
  <c r="AN306" i="8"/>
  <c r="BG306" i="8" s="1"/>
  <c r="AR263" i="8"/>
  <c r="BK263" i="8" s="1"/>
  <c r="AM468" i="8"/>
  <c r="BF468" i="8" s="1"/>
  <c r="AL468" i="8"/>
  <c r="BE468" i="8" s="1"/>
  <c r="AO305" i="8"/>
  <c r="BH305" i="8" s="1"/>
  <c r="AN305" i="8"/>
  <c r="BG305" i="8" s="1"/>
  <c r="AI345" i="8"/>
  <c r="AJ264" i="8"/>
  <c r="BC264" i="8" s="1"/>
  <c r="AK665" i="8"/>
  <c r="BD665" i="8" s="1"/>
  <c r="AL644" i="8"/>
  <c r="BE644" i="8" s="1"/>
  <c r="AR278" i="8"/>
  <c r="BK278" i="8" s="1"/>
  <c r="AK278" i="8"/>
  <c r="BD278" i="8" s="1"/>
  <c r="AJ415" i="8"/>
  <c r="BC415" i="8" s="1"/>
  <c r="AO415" i="8"/>
  <c r="BH415" i="8" s="1"/>
  <c r="AM213" i="8"/>
  <c r="BF213" i="8" s="1"/>
  <c r="AL343" i="8"/>
  <c r="BE343" i="8" s="1"/>
  <c r="AR343" i="8"/>
  <c r="BK343" i="8" s="1"/>
  <c r="AI705" i="8"/>
  <c r="BB705" i="8" s="1"/>
  <c r="AM429" i="8"/>
  <c r="BF429" i="8" s="1"/>
  <c r="AL429" i="8"/>
  <c r="BE429" i="8" s="1"/>
  <c r="AM373" i="8"/>
  <c r="BF373" i="8" s="1"/>
  <c r="AO287" i="8"/>
  <c r="BH287" i="8" s="1"/>
  <c r="AK681" i="8"/>
  <c r="BD681" i="8" s="1"/>
  <c r="AL681" i="8"/>
  <c r="BE681" i="8" s="1"/>
  <c r="AI666" i="8"/>
  <c r="BB666" i="8" s="1"/>
  <c r="AM536" i="8"/>
  <c r="BF536" i="8" s="1"/>
  <c r="AM649" i="8"/>
  <c r="BF649" i="8" s="1"/>
  <c r="AN619" i="8"/>
  <c r="BG619" i="8" s="1"/>
  <c r="AN295" i="8"/>
  <c r="BG295" i="8" s="1"/>
  <c r="AQ295" i="8"/>
  <c r="BJ295" i="8" s="1"/>
  <c r="AI368" i="8"/>
  <c r="AS744" i="8"/>
  <c r="AZ744" i="8" s="1"/>
  <c r="AQ671" i="8"/>
  <c r="BJ671" i="8" s="1"/>
  <c r="AL568" i="8"/>
  <c r="BE568" i="8" s="1"/>
  <c r="AK493" i="8"/>
  <c r="BD493" i="8" s="1"/>
  <c r="AK304" i="8"/>
  <c r="BD304" i="8" s="1"/>
  <c r="AM304" i="8"/>
  <c r="BF304" i="8" s="1"/>
  <c r="AL452" i="8"/>
  <c r="BE452" i="8" s="1"/>
  <c r="AJ514" i="8"/>
  <c r="BC514" i="8" s="1"/>
  <c r="AK344" i="8"/>
  <c r="BD344" i="8" s="1"/>
  <c r="AK379" i="8"/>
  <c r="BD379" i="8" s="1"/>
  <c r="AP410" i="8"/>
  <c r="BI410" i="8" s="1"/>
  <c r="AO88" i="8"/>
  <c r="BH88" i="8" s="1"/>
  <c r="AN88" i="8"/>
  <c r="BG88" i="8" s="1"/>
  <c r="AR311" i="8"/>
  <c r="BK311" i="8" s="1"/>
  <c r="AP351" i="8"/>
  <c r="BI351" i="8" s="1"/>
  <c r="AR417" i="8"/>
  <c r="BK417" i="8" s="1"/>
  <c r="AO417" i="8"/>
  <c r="BH417" i="8" s="1"/>
  <c r="AK685" i="1"/>
  <c r="BD685" i="1" s="1"/>
  <c r="AN700" i="1"/>
  <c r="BG700" i="1" s="1"/>
  <c r="AO700" i="1"/>
  <c r="BH700" i="1" s="1"/>
  <c r="AP732" i="1"/>
  <c r="BI732" i="1" s="1"/>
  <c r="AL719" i="1"/>
  <c r="BE719" i="1" s="1"/>
  <c r="AN731" i="1"/>
  <c r="BG731" i="1" s="1"/>
  <c r="AQ749" i="1"/>
  <c r="BJ749" i="1" s="1"/>
  <c r="AN703" i="1"/>
  <c r="BG703" i="1" s="1"/>
  <c r="AP690" i="1"/>
  <c r="BI690" i="1" s="1"/>
  <c r="AP378" i="8"/>
  <c r="BI378" i="8" s="1"/>
  <c r="AP255" i="8"/>
  <c r="BI255" i="8" s="1"/>
  <c r="AQ496" i="8"/>
  <c r="BJ496" i="8" s="1"/>
  <c r="AP528" i="8"/>
  <c r="BI528" i="8" s="1"/>
  <c r="AQ241" i="8"/>
  <c r="BJ241" i="8" s="1"/>
  <c r="AM697" i="8"/>
  <c r="BF697" i="8" s="1"/>
  <c r="AL315" i="8"/>
  <c r="BE315" i="8" s="1"/>
  <c r="AI232" i="8"/>
  <c r="BB232" i="8" s="1"/>
  <c r="AJ219" i="8"/>
  <c r="BC219" i="8" s="1"/>
  <c r="AN741" i="8"/>
  <c r="BG741" i="8" s="1"/>
  <c r="AO510" i="8"/>
  <c r="BH510" i="8" s="1"/>
  <c r="AM637" i="8"/>
  <c r="BF637" i="8" s="1"/>
  <c r="AM451" i="8"/>
  <c r="BF451" i="8" s="1"/>
  <c r="AO306" i="8"/>
  <c r="BH306" i="8" s="1"/>
  <c r="AJ263" i="8"/>
  <c r="BC263" i="8" s="1"/>
  <c r="AI468" i="8"/>
  <c r="BB468" i="8" s="1"/>
  <c r="AR468" i="8"/>
  <c r="BK468" i="8" s="1"/>
  <c r="AI305" i="8"/>
  <c r="BB305" i="8" s="1"/>
  <c r="AP345" i="8"/>
  <c r="BI345" i="8" s="1"/>
  <c r="AL264" i="8"/>
  <c r="BE264" i="8" s="1"/>
  <c r="AM264" i="8"/>
  <c r="BF264" i="8" s="1"/>
  <c r="AO665" i="8"/>
  <c r="BH665" i="8" s="1"/>
  <c r="AJ644" i="8"/>
  <c r="BC644" i="8" s="1"/>
  <c r="AO278" i="8"/>
  <c r="BH278" i="8" s="1"/>
  <c r="AR415" i="8"/>
  <c r="BK415" i="8" s="1"/>
  <c r="AQ415" i="8"/>
  <c r="BJ415" i="8" s="1"/>
  <c r="AO213" i="8"/>
  <c r="BH213" i="8" s="1"/>
  <c r="AI343" i="8"/>
  <c r="AP343" i="8"/>
  <c r="BI343" i="8" s="1"/>
  <c r="AQ705" i="8"/>
  <c r="BJ705" i="8" s="1"/>
  <c r="AO429" i="8"/>
  <c r="BH429" i="8" s="1"/>
  <c r="AO373" i="8"/>
  <c r="BH373" i="8" s="1"/>
  <c r="AP287" i="8"/>
  <c r="BI287" i="8" s="1"/>
  <c r="AM681" i="8"/>
  <c r="BF681" i="8" s="1"/>
  <c r="AK666" i="8"/>
  <c r="BD666" i="8" s="1"/>
  <c r="AJ536" i="8"/>
  <c r="BC536" i="8" s="1"/>
  <c r="AP649" i="8"/>
  <c r="BI649" i="8" s="1"/>
  <c r="AO619" i="8"/>
  <c r="BH619" i="8" s="1"/>
  <c r="AO295" i="8"/>
  <c r="BH295" i="8" s="1"/>
  <c r="AJ700" i="8"/>
  <c r="BC700" i="8" s="1"/>
  <c r="AR368" i="8"/>
  <c r="BK368" i="8" s="1"/>
  <c r="AJ671" i="8"/>
  <c r="BC671" i="8" s="1"/>
  <c r="AR568" i="8"/>
  <c r="BK568" i="8" s="1"/>
  <c r="AO568" i="8"/>
  <c r="BH568" i="8" s="1"/>
  <c r="AQ493" i="8"/>
  <c r="BJ493" i="8" s="1"/>
  <c r="AN304" i="8"/>
  <c r="BG304" i="8" s="1"/>
  <c r="AP304" i="8"/>
  <c r="BI304" i="8" s="1"/>
  <c r="AR452" i="8"/>
  <c r="BK452" i="8" s="1"/>
  <c r="AN514" i="8"/>
  <c r="BG514" i="8" s="1"/>
  <c r="AL344" i="8"/>
  <c r="BE344" i="8" s="1"/>
  <c r="AP419" i="8"/>
  <c r="BI419" i="8" s="1"/>
  <c r="AN379" i="8"/>
  <c r="BG379" i="8" s="1"/>
  <c r="AP88" i="8"/>
  <c r="BI88" i="8" s="1"/>
  <c r="AK88" i="8"/>
  <c r="BD88" i="8" s="1"/>
  <c r="AM351" i="8"/>
  <c r="BF351" i="8" s="1"/>
  <c r="AO198" i="1"/>
  <c r="BH198" i="1" s="1"/>
  <c r="AK198" i="1"/>
  <c r="BD198" i="1" s="1"/>
  <c r="AO94" i="1"/>
  <c r="BH94" i="1" s="1"/>
  <c r="AJ198" i="1"/>
  <c r="BC198" i="1" s="1"/>
  <c r="AI198" i="1"/>
  <c r="BB198" i="1" s="1"/>
  <c r="AR685" i="1"/>
  <c r="BK685" i="1" s="1"/>
  <c r="AJ685" i="1"/>
  <c r="BC685" i="1" s="1"/>
  <c r="AJ700" i="1"/>
  <c r="BC700" i="1" s="1"/>
  <c r="AK700" i="1"/>
  <c r="BD700" i="1" s="1"/>
  <c r="AR732" i="1"/>
  <c r="BK732" i="1" s="1"/>
  <c r="AQ719" i="1"/>
  <c r="BJ719" i="1" s="1"/>
  <c r="AJ731" i="1"/>
  <c r="BC731" i="1" s="1"/>
  <c r="AI749" i="1"/>
  <c r="AM690" i="1"/>
  <c r="BF690" i="1" s="1"/>
  <c r="AJ703" i="1"/>
  <c r="BC703" i="1" s="1"/>
  <c r="AI703" i="1"/>
  <c r="BB703" i="1" s="1"/>
  <c r="AM378" i="8"/>
  <c r="BF378" i="8" s="1"/>
  <c r="AK255" i="8"/>
  <c r="BD255" i="8" s="1"/>
  <c r="AI255" i="8"/>
  <c r="BB255" i="8" s="1"/>
  <c r="AO496" i="8"/>
  <c r="BH496" i="8" s="1"/>
  <c r="AN496" i="8"/>
  <c r="BG496" i="8" s="1"/>
  <c r="AQ528" i="8"/>
  <c r="BJ528" i="8" s="1"/>
  <c r="AJ241" i="8"/>
  <c r="BC241" i="8" s="1"/>
  <c r="AN697" i="8"/>
  <c r="BG697" i="8" s="1"/>
  <c r="AK315" i="8"/>
  <c r="BD315" i="8" s="1"/>
  <c r="AQ232" i="8"/>
  <c r="BJ232" i="8" s="1"/>
  <c r="AR219" i="8"/>
  <c r="BK219" i="8" s="1"/>
  <c r="AI741" i="8"/>
  <c r="BB741" i="8" s="1"/>
  <c r="AP741" i="8"/>
  <c r="BI741" i="8" s="1"/>
  <c r="AI510" i="8"/>
  <c r="BB510" i="8" s="1"/>
  <c r="AK637" i="8"/>
  <c r="BD637" i="8" s="1"/>
  <c r="AL637" i="8"/>
  <c r="BE637" i="8" s="1"/>
  <c r="AP451" i="8"/>
  <c r="BI451" i="8" s="1"/>
  <c r="AI306" i="8"/>
  <c r="BB306" i="8" s="1"/>
  <c r="AL263" i="8"/>
  <c r="BE263" i="8" s="1"/>
  <c r="AN468" i="8"/>
  <c r="BG468" i="8" s="1"/>
  <c r="AQ305" i="8"/>
  <c r="BJ305" i="8" s="1"/>
  <c r="AN345" i="8"/>
  <c r="BG345" i="8" s="1"/>
  <c r="AR264" i="8"/>
  <c r="BK264" i="8" s="1"/>
  <c r="AQ264" i="8"/>
  <c r="BJ264" i="8" s="1"/>
  <c r="AM665" i="8"/>
  <c r="BF665" i="8" s="1"/>
  <c r="AM644" i="8"/>
  <c r="BF644" i="8" s="1"/>
  <c r="AP278" i="8"/>
  <c r="BI278" i="8" s="1"/>
  <c r="AK415" i="8"/>
  <c r="BD415" i="8" s="1"/>
  <c r="AL213" i="8"/>
  <c r="BE213" i="8" s="1"/>
  <c r="AQ343" i="8"/>
  <c r="BJ343" i="8" s="1"/>
  <c r="AJ705" i="8"/>
  <c r="BC705" i="8" s="1"/>
  <c r="AQ429" i="8"/>
  <c r="BJ429" i="8" s="1"/>
  <c r="AI369" i="8"/>
  <c r="BB369" i="8" s="1"/>
  <c r="AP373" i="8"/>
  <c r="BI373" i="8" s="1"/>
  <c r="AI287" i="8"/>
  <c r="AP681" i="8"/>
  <c r="BI681" i="8" s="1"/>
  <c r="AL666" i="8"/>
  <c r="BE666" i="8" s="1"/>
  <c r="AP621" i="8"/>
  <c r="BI621" i="8" s="1"/>
  <c r="AI649" i="8"/>
  <c r="AP619" i="8"/>
  <c r="BI619" i="8" s="1"/>
  <c r="AP295" i="8"/>
  <c r="BI295" i="8" s="1"/>
  <c r="AN700" i="8"/>
  <c r="BG700" i="8" s="1"/>
  <c r="AQ368" i="8"/>
  <c r="BJ368" i="8" s="1"/>
  <c r="AN671" i="8"/>
  <c r="BG671" i="8" s="1"/>
  <c r="AQ568" i="8"/>
  <c r="BJ568" i="8" s="1"/>
  <c r="AP568" i="8"/>
  <c r="BI568" i="8" s="1"/>
  <c r="AN493" i="8"/>
  <c r="BG493" i="8" s="1"/>
  <c r="AR304" i="8"/>
  <c r="BK304" i="8" s="1"/>
  <c r="AO452" i="8"/>
  <c r="BH452" i="8" s="1"/>
  <c r="AM452" i="8"/>
  <c r="BF452" i="8" s="1"/>
  <c r="AK402" i="8"/>
  <c r="BD402" i="8" s="1"/>
  <c r="AL514" i="8"/>
  <c r="BE514" i="8" s="1"/>
  <c r="AM344" i="8"/>
  <c r="BF344" i="8" s="1"/>
  <c r="AN419" i="8"/>
  <c r="BG419" i="8" s="1"/>
  <c r="AL379" i="8"/>
  <c r="BE379" i="8" s="1"/>
  <c r="AI558" i="8"/>
  <c r="AI88" i="8"/>
  <c r="AS88" i="8" s="1"/>
  <c r="AN311" i="8"/>
  <c r="BG311" i="8" s="1"/>
  <c r="AK311" i="8"/>
  <c r="BD311" i="8" s="1"/>
  <c r="AI703" i="8"/>
  <c r="AN417" i="8"/>
  <c r="BG417" i="8" s="1"/>
  <c r="AQ685" i="1"/>
  <c r="BJ685" i="1" s="1"/>
  <c r="AK719" i="1"/>
  <c r="BD719" i="1" s="1"/>
  <c r="AI731" i="1"/>
  <c r="BB731" i="1" s="1"/>
  <c r="AQ703" i="1"/>
  <c r="BJ703" i="1" s="1"/>
  <c r="AJ255" i="8"/>
  <c r="BC255" i="8" s="1"/>
  <c r="AM496" i="8"/>
  <c r="BF496" i="8" s="1"/>
  <c r="AQ741" i="8"/>
  <c r="BJ741" i="8" s="1"/>
  <c r="AQ637" i="8"/>
  <c r="BJ637" i="8" s="1"/>
  <c r="AR345" i="8"/>
  <c r="BK345" i="8" s="1"/>
  <c r="AO644" i="8"/>
  <c r="BH644" i="8" s="1"/>
  <c r="AJ369" i="8"/>
  <c r="BC369" i="8" s="1"/>
  <c r="AQ373" i="8"/>
  <c r="BJ373" i="8" s="1"/>
  <c r="AJ666" i="8"/>
  <c r="BC666" i="8" s="1"/>
  <c r="AQ621" i="8"/>
  <c r="BJ621" i="8" s="1"/>
  <c r="AK649" i="8"/>
  <c r="BD649" i="8" s="1"/>
  <c r="AN622" i="8"/>
  <c r="BG622" i="8" s="1"/>
  <c r="AP671" i="8"/>
  <c r="BI671" i="8" s="1"/>
  <c r="AJ452" i="8"/>
  <c r="BC452" i="8" s="1"/>
  <c r="AO402" i="8"/>
  <c r="BH402" i="8" s="1"/>
  <c r="AO344" i="8"/>
  <c r="BH344" i="8" s="1"/>
  <c r="AO419" i="8"/>
  <c r="BH419" i="8" s="1"/>
  <c r="AO311" i="8"/>
  <c r="BH311" i="8" s="1"/>
  <c r="AQ442" i="8"/>
  <c r="BJ442" i="8" s="1"/>
  <c r="AN748" i="8"/>
  <c r="BG748" i="8" s="1"/>
  <c r="AQ588" i="8"/>
  <c r="BJ588" i="8" s="1"/>
  <c r="AJ669" i="8"/>
  <c r="BC669" i="8" s="1"/>
  <c r="AJ231" i="8"/>
  <c r="BC231" i="8" s="1"/>
  <c r="AI280" i="8"/>
  <c r="BB280" i="8" s="1"/>
  <c r="AI760" i="8"/>
  <c r="BB760" i="8" s="1"/>
  <c r="AM442" i="8"/>
  <c r="BF442" i="8" s="1"/>
  <c r="AM465" i="8"/>
  <c r="BF465" i="8" s="1"/>
  <c r="AK465" i="8"/>
  <c r="BD465" i="8" s="1"/>
  <c r="AJ742" i="8"/>
  <c r="BC742" i="8" s="1"/>
  <c r="AJ748" i="8"/>
  <c r="BC748" i="8" s="1"/>
  <c r="AN588" i="8"/>
  <c r="BG588" i="8" s="1"/>
  <c r="AR669" i="8"/>
  <c r="BK669" i="8" s="1"/>
  <c r="AO231" i="8"/>
  <c r="BH231" i="8" s="1"/>
  <c r="AQ280" i="8"/>
  <c r="BJ280" i="8" s="1"/>
  <c r="AP760" i="8"/>
  <c r="BI760" i="8" s="1"/>
  <c r="AO442" i="8"/>
  <c r="BH442" i="8" s="1"/>
  <c r="AL465" i="8"/>
  <c r="BE465" i="8" s="1"/>
  <c r="AN742" i="8"/>
  <c r="BG742" i="8" s="1"/>
  <c r="AN447" i="8"/>
  <c r="BG447" i="8" s="1"/>
  <c r="AJ760" i="8"/>
  <c r="BC760" i="8" s="1"/>
  <c r="AL760" i="8"/>
  <c r="BE760" i="8" s="1"/>
  <c r="AN760" i="8"/>
  <c r="BG760" i="8" s="1"/>
  <c r="AL442" i="8"/>
  <c r="BE442" i="8" s="1"/>
  <c r="AR465" i="8"/>
  <c r="BK465" i="8" s="1"/>
  <c r="AK550" i="8"/>
  <c r="BD550" i="8" s="1"/>
  <c r="AK275" i="8"/>
  <c r="BD275" i="8" s="1"/>
  <c r="AK669" i="8"/>
  <c r="BD669" i="8" s="1"/>
  <c r="AK231" i="8"/>
  <c r="BD231" i="8" s="1"/>
  <c r="AQ710" i="8"/>
  <c r="BJ710" i="8" s="1"/>
  <c r="AR280" i="8"/>
  <c r="BK280" i="8" s="1"/>
  <c r="AN442" i="8"/>
  <c r="BG442" i="8" s="1"/>
  <c r="AN465" i="8"/>
  <c r="BG465" i="8" s="1"/>
  <c r="AK712" i="8"/>
  <c r="BD712" i="8" s="1"/>
  <c r="AP237" i="8"/>
  <c r="BI237" i="8" s="1"/>
  <c r="AI231" i="8"/>
  <c r="BB231" i="8" s="1"/>
  <c r="AI465" i="8"/>
  <c r="BB465" i="8" s="1"/>
  <c r="AO465" i="8"/>
  <c r="BH465" i="8" s="1"/>
  <c r="AO111" i="1"/>
  <c r="BH111" i="1" s="1"/>
  <c r="AN140" i="1"/>
  <c r="BG140" i="1" s="1"/>
  <c r="AI140" i="1"/>
  <c r="AJ98" i="1"/>
  <c r="BC98" i="1" s="1"/>
  <c r="AR114" i="1"/>
  <c r="BK114" i="1" s="1"/>
  <c r="AL114" i="1"/>
  <c r="BE114" i="1" s="1"/>
  <c r="AQ684" i="1"/>
  <c r="BJ684" i="1" s="1"/>
  <c r="AI684" i="1"/>
  <c r="AN708" i="1"/>
  <c r="BG708" i="1" s="1"/>
  <c r="AP682" i="1"/>
  <c r="BI682" i="1" s="1"/>
  <c r="AM682" i="1"/>
  <c r="BF682" i="1" s="1"/>
  <c r="AQ728" i="1"/>
  <c r="BJ728" i="1" s="1"/>
  <c r="AQ669" i="1"/>
  <c r="BJ669" i="1" s="1"/>
  <c r="AP755" i="1"/>
  <c r="BI755" i="1" s="1"/>
  <c r="AP739" i="1"/>
  <c r="BI739" i="1" s="1"/>
  <c r="AO712" i="1"/>
  <c r="BH712" i="1" s="1"/>
  <c r="O31" i="5" s="1"/>
  <c r="AQ740" i="1"/>
  <c r="BJ740" i="1" s="1"/>
  <c r="AP765" i="1"/>
  <c r="BI765" i="1" s="1"/>
  <c r="AR775" i="1"/>
  <c r="BK775" i="1" s="1"/>
  <c r="AJ741" i="1"/>
  <c r="BC741" i="1" s="1"/>
  <c r="AN435" i="8"/>
  <c r="BG435" i="8" s="1"/>
  <c r="AO696" i="8"/>
  <c r="BH696" i="8" s="1"/>
  <c r="AJ301" i="8"/>
  <c r="BC301" i="8" s="1"/>
  <c r="AQ268" i="8"/>
  <c r="BJ268" i="8" s="1"/>
  <c r="AR739" i="8"/>
  <c r="BK739" i="8" s="1"/>
  <c r="AQ388" i="8"/>
  <c r="BJ388" i="8" s="1"/>
  <c r="AR466" i="8"/>
  <c r="BK466" i="8" s="1"/>
  <c r="AO489" i="8"/>
  <c r="BH489" i="8" s="1"/>
  <c r="AS819" i="8"/>
  <c r="AI459" i="8"/>
  <c r="AI473" i="8"/>
  <c r="BB473" i="8" s="1"/>
  <c r="AP252" i="8"/>
  <c r="BI252" i="8" s="1"/>
  <c r="AI331" i="8"/>
  <c r="BB331" i="8" s="1"/>
  <c r="AQ395" i="8"/>
  <c r="BJ395" i="8" s="1"/>
  <c r="AM372" i="8"/>
  <c r="BF372" i="8" s="1"/>
  <c r="AO592" i="8"/>
  <c r="BH592" i="8" s="1"/>
  <c r="AM592" i="8"/>
  <c r="BF592" i="8" s="1"/>
  <c r="AR101" i="8"/>
  <c r="BK101" i="8" s="1"/>
  <c r="AS768" i="8"/>
  <c r="AY768" i="8" s="1"/>
  <c r="AJ561" i="8"/>
  <c r="BC561" i="8" s="1"/>
  <c r="AQ561" i="8"/>
  <c r="BJ561" i="8" s="1"/>
  <c r="AR111" i="1"/>
  <c r="BK111" i="1" s="1"/>
  <c r="AO140" i="1"/>
  <c r="BH140" i="1" s="1"/>
  <c r="AN98" i="1"/>
  <c r="BG98" i="1" s="1"/>
  <c r="AN114" i="1"/>
  <c r="BG114" i="1" s="1"/>
  <c r="AP684" i="1"/>
  <c r="BI684" i="1" s="1"/>
  <c r="AQ708" i="1"/>
  <c r="BJ708" i="1" s="1"/>
  <c r="AI682" i="1"/>
  <c r="BB682" i="1" s="1"/>
  <c r="AI728" i="1"/>
  <c r="BB728" i="1" s="1"/>
  <c r="AR755" i="1"/>
  <c r="BK755" i="1" s="1"/>
  <c r="AN739" i="1"/>
  <c r="BG739" i="1" s="1"/>
  <c r="AK740" i="1"/>
  <c r="BD740" i="1" s="1"/>
  <c r="AM740" i="1"/>
  <c r="BF740" i="1" s="1"/>
  <c r="AN765" i="1"/>
  <c r="BG765" i="1" s="1"/>
  <c r="AP775" i="1"/>
  <c r="BI775" i="1" s="1"/>
  <c r="AP741" i="1"/>
  <c r="BI741" i="1" s="1"/>
  <c r="AM741" i="1"/>
  <c r="BF741" i="1" s="1"/>
  <c r="AQ435" i="8"/>
  <c r="BJ435" i="8" s="1"/>
  <c r="AN388" i="8"/>
  <c r="BG388" i="8" s="1"/>
  <c r="AL489" i="8"/>
  <c r="BE489" i="8" s="1"/>
  <c r="AK335" i="8"/>
  <c r="BD335" i="8" s="1"/>
  <c r="AR459" i="8"/>
  <c r="BK459" i="8" s="1"/>
  <c r="AO297" i="8"/>
  <c r="BH297" i="8" s="1"/>
  <c r="AP473" i="8"/>
  <c r="BI473" i="8" s="1"/>
  <c r="AQ473" i="8"/>
  <c r="BJ473" i="8" s="1"/>
  <c r="AK331" i="8"/>
  <c r="BD331" i="8" s="1"/>
  <c r="AO364" i="8"/>
  <c r="BH364" i="8" s="1"/>
  <c r="AJ395" i="8"/>
  <c r="BC395" i="8" s="1"/>
  <c r="AL592" i="8"/>
  <c r="BE592" i="8" s="1"/>
  <c r="AQ592" i="8"/>
  <c r="BJ592" i="8" s="1"/>
  <c r="AO740" i="8"/>
  <c r="BH740" i="8" s="1"/>
  <c r="AI288" i="8"/>
  <c r="BB288" i="8" s="1"/>
  <c r="AN101" i="8"/>
  <c r="BG101" i="8" s="1"/>
  <c r="AK422" i="8"/>
  <c r="BD422" i="8" s="1"/>
  <c r="AR561" i="8"/>
  <c r="BK561" i="8" s="1"/>
  <c r="AI561" i="8"/>
  <c r="BB561" i="8" s="1"/>
  <c r="AO208" i="8"/>
  <c r="BH208" i="8" s="1"/>
  <c r="AO684" i="1"/>
  <c r="BH684" i="1" s="1"/>
  <c r="AM708" i="1"/>
  <c r="BF708" i="1" s="1"/>
  <c r="AQ682" i="1"/>
  <c r="BJ682" i="1" s="1"/>
  <c r="AN728" i="1"/>
  <c r="BG728" i="1" s="1"/>
  <c r="AN755" i="1"/>
  <c r="BG755" i="1" s="1"/>
  <c r="AJ739" i="1"/>
  <c r="BC739" i="1" s="1"/>
  <c r="AP740" i="1"/>
  <c r="BI740" i="1" s="1"/>
  <c r="AI740" i="1"/>
  <c r="AQ765" i="1"/>
  <c r="BJ765" i="1" s="1"/>
  <c r="AL765" i="1"/>
  <c r="BE765" i="1" s="1"/>
  <c r="AL775" i="1"/>
  <c r="BE775" i="1" s="1"/>
  <c r="AI741" i="1"/>
  <c r="BB741" i="1" s="1"/>
  <c r="AP435" i="8"/>
  <c r="BI435" i="8" s="1"/>
  <c r="AP388" i="8"/>
  <c r="BI388" i="8" s="1"/>
  <c r="AP489" i="8"/>
  <c r="BI489" i="8" s="1"/>
  <c r="AM441" i="8"/>
  <c r="BF441" i="8" s="1"/>
  <c r="AR473" i="8"/>
  <c r="BK473" i="8" s="1"/>
  <c r="AJ473" i="8"/>
  <c r="BC473" i="8" s="1"/>
  <c r="AM331" i="8"/>
  <c r="BF331" i="8" s="1"/>
  <c r="AK364" i="8"/>
  <c r="BD364" i="8" s="1"/>
  <c r="AL395" i="8"/>
  <c r="BE395" i="8" s="1"/>
  <c r="AP592" i="8"/>
  <c r="BI592" i="8" s="1"/>
  <c r="AQ101" i="8"/>
  <c r="BJ101" i="8" s="1"/>
  <c r="AN561" i="8"/>
  <c r="BG561" i="8" s="1"/>
  <c r="AL111" i="1"/>
  <c r="BE111" i="1" s="1"/>
  <c r="AK140" i="1"/>
  <c r="BD140" i="1" s="1"/>
  <c r="AO98" i="1"/>
  <c r="BH98" i="1" s="1"/>
  <c r="AJ114" i="1"/>
  <c r="BC114" i="1" s="1"/>
  <c r="AN684" i="1"/>
  <c r="BG684" i="1" s="1"/>
  <c r="AI708" i="1"/>
  <c r="BB708" i="1" s="1"/>
  <c r="AJ682" i="1"/>
  <c r="BC682" i="1" s="1"/>
  <c r="AL682" i="1"/>
  <c r="BE682" i="1" s="1"/>
  <c r="AP728" i="1"/>
  <c r="BI728" i="1" s="1"/>
  <c r="AJ755" i="1"/>
  <c r="BC755" i="1" s="1"/>
  <c r="AK669" i="1"/>
  <c r="BD669" i="1" s="1"/>
  <c r="AO740" i="1"/>
  <c r="BH740" i="1" s="1"/>
  <c r="AO765" i="1"/>
  <c r="BH765" i="1" s="1"/>
  <c r="AJ765" i="1"/>
  <c r="BC765" i="1" s="1"/>
  <c r="AJ775" i="1"/>
  <c r="BC775" i="1" s="1"/>
  <c r="AO741" i="1"/>
  <c r="BH741" i="1" s="1"/>
  <c r="AO435" i="8"/>
  <c r="BH435" i="8" s="1"/>
  <c r="AL542" i="8"/>
  <c r="BE542" i="8" s="1"/>
  <c r="AR489" i="8"/>
  <c r="BK489" i="8" s="1"/>
  <c r="AM678" i="8"/>
  <c r="BF678" i="8" s="1"/>
  <c r="AP317" i="8"/>
  <c r="BI317" i="8" s="1"/>
  <c r="AK473" i="8"/>
  <c r="BD473" i="8" s="1"/>
  <c r="AQ246" i="8"/>
  <c r="BJ246" i="8" s="1"/>
  <c r="AK713" i="8"/>
  <c r="BD713" i="8" s="1"/>
  <c r="AL331" i="8"/>
  <c r="BE331" i="8" s="1"/>
  <c r="AK395" i="8"/>
  <c r="BD395" i="8" s="1"/>
  <c r="AI592" i="8"/>
  <c r="BB592" i="8" s="1"/>
  <c r="AK101" i="8"/>
  <c r="BD101" i="8" s="1"/>
  <c r="AO561" i="8"/>
  <c r="BH561" i="8" s="1"/>
  <c r="AL439" i="8"/>
  <c r="BE439" i="8" s="1"/>
  <c r="AM111" i="1"/>
  <c r="BF111" i="1" s="1"/>
  <c r="AR140" i="1"/>
  <c r="BK140" i="1" s="1"/>
  <c r="AM114" i="1"/>
  <c r="BF114" i="1" s="1"/>
  <c r="AK111" i="1"/>
  <c r="BD111" i="1" s="1"/>
  <c r="AJ140" i="1"/>
  <c r="BC140" i="1" s="1"/>
  <c r="AK98" i="1"/>
  <c r="BD98" i="1" s="1"/>
  <c r="AI114" i="1"/>
  <c r="AM684" i="1"/>
  <c r="BF684" i="1" s="1"/>
  <c r="AP708" i="1"/>
  <c r="BI708" i="1" s="1"/>
  <c r="AR682" i="1"/>
  <c r="BK682" i="1" s="1"/>
  <c r="AL728" i="1"/>
  <c r="BE728" i="1" s="1"/>
  <c r="AL755" i="1"/>
  <c r="BE755" i="1" s="1"/>
  <c r="AO755" i="1"/>
  <c r="BH755" i="1" s="1"/>
  <c r="AL740" i="1"/>
  <c r="BE740" i="1" s="1"/>
  <c r="AM765" i="1"/>
  <c r="BF765" i="1" s="1"/>
  <c r="AQ775" i="1"/>
  <c r="BJ775" i="1" s="1"/>
  <c r="AN741" i="1"/>
  <c r="BG741" i="1" s="1"/>
  <c r="AI435" i="8"/>
  <c r="AQ696" i="8"/>
  <c r="BJ696" i="8" s="1"/>
  <c r="AN299" i="8"/>
  <c r="BG299" i="8" s="1"/>
  <c r="AN293" i="8"/>
  <c r="BG293" i="8" s="1"/>
  <c r="AJ489" i="8"/>
  <c r="BC489" i="8" s="1"/>
  <c r="AO498" i="8"/>
  <c r="BH498" i="8" s="1"/>
  <c r="AK581" i="8"/>
  <c r="BD581" i="8" s="1"/>
  <c r="AN602" i="8"/>
  <c r="BG602" i="8" s="1"/>
  <c r="AP686" i="8"/>
  <c r="BI686" i="8" s="1"/>
  <c r="AN473" i="8"/>
  <c r="BG473" i="8" s="1"/>
  <c r="AN331" i="8"/>
  <c r="BG331" i="8" s="1"/>
  <c r="AM395" i="8"/>
  <c r="BF395" i="8" s="1"/>
  <c r="AJ592" i="8"/>
  <c r="BC592" i="8" s="1"/>
  <c r="AL101" i="8"/>
  <c r="BE101" i="8" s="1"/>
  <c r="AJ227" i="8"/>
  <c r="BC227" i="8" s="1"/>
  <c r="AP324" i="8"/>
  <c r="BI324" i="8" s="1"/>
  <c r="AP561" i="8"/>
  <c r="BI561" i="8" s="1"/>
  <c r="AM198" i="8"/>
  <c r="BF198" i="8" s="1"/>
  <c r="AI111" i="1"/>
  <c r="BB111" i="1" s="1"/>
  <c r="AN111" i="1"/>
  <c r="BG111" i="1" s="1"/>
  <c r="AQ140" i="1"/>
  <c r="BJ140" i="1" s="1"/>
  <c r="AQ98" i="1"/>
  <c r="BJ98" i="1" s="1"/>
  <c r="AP98" i="1"/>
  <c r="BI98" i="1" s="1"/>
  <c r="AO114" i="1"/>
  <c r="BH114" i="1" s="1"/>
  <c r="AL684" i="1"/>
  <c r="BE684" i="1" s="1"/>
  <c r="AL708" i="1"/>
  <c r="BE708" i="1" s="1"/>
  <c r="AM728" i="1"/>
  <c r="BF728" i="1" s="1"/>
  <c r="AO728" i="1"/>
  <c r="BH728" i="1" s="1"/>
  <c r="AJ669" i="1"/>
  <c r="BC669" i="1" s="1"/>
  <c r="AM755" i="1"/>
  <c r="BF755" i="1" s="1"/>
  <c r="AK755" i="1"/>
  <c r="BD755" i="1" s="1"/>
  <c r="AM712" i="1"/>
  <c r="BF712" i="1" s="1"/>
  <c r="M31" i="5" s="1"/>
  <c r="AR740" i="1"/>
  <c r="BK740" i="1" s="1"/>
  <c r="AK765" i="1"/>
  <c r="BD765" i="1" s="1"/>
  <c r="AO775" i="1"/>
  <c r="BH775" i="1" s="1"/>
  <c r="AM435" i="8"/>
  <c r="BF435" i="8" s="1"/>
  <c r="AK435" i="8"/>
  <c r="BD435" i="8" s="1"/>
  <c r="AJ696" i="8"/>
  <c r="BC696" i="8" s="1"/>
  <c r="AP299" i="8"/>
  <c r="BI299" i="8" s="1"/>
  <c r="AP268" i="8"/>
  <c r="BI268" i="8" s="1"/>
  <c r="AM489" i="8"/>
  <c r="BF489" i="8" s="1"/>
  <c r="AO309" i="8"/>
  <c r="BH309" i="8" s="1"/>
  <c r="AO340" i="8"/>
  <c r="BH340" i="8" s="1"/>
  <c r="AL686" i="8"/>
  <c r="BE686" i="8" s="1"/>
  <c r="AL473" i="8"/>
  <c r="BE473" i="8" s="1"/>
  <c r="AQ331" i="8"/>
  <c r="BJ331" i="8" s="1"/>
  <c r="AP395" i="8"/>
  <c r="BI395" i="8" s="1"/>
  <c r="AO395" i="8"/>
  <c r="BH395" i="8" s="1"/>
  <c r="AK614" i="8"/>
  <c r="BD614" i="8" s="1"/>
  <c r="AR592" i="8"/>
  <c r="BK592" i="8" s="1"/>
  <c r="AO101" i="8"/>
  <c r="BH101" i="8" s="1"/>
  <c r="AM101" i="8"/>
  <c r="BF101" i="8" s="1"/>
  <c r="AM324" i="8"/>
  <c r="BF324" i="8" s="1"/>
  <c r="AK561" i="8"/>
  <c r="BD561" i="8" s="1"/>
  <c r="AP477" i="8"/>
  <c r="BI477" i="8" s="1"/>
  <c r="AM98" i="1"/>
  <c r="BF98" i="1" s="1"/>
  <c r="AQ111" i="1"/>
  <c r="BJ111" i="1" s="1"/>
  <c r="AR98" i="1"/>
  <c r="BK98" i="1" s="1"/>
  <c r="AJ708" i="1"/>
  <c r="BC708" i="1" s="1"/>
  <c r="AN682" i="1"/>
  <c r="BG682" i="1" s="1"/>
  <c r="AO669" i="1"/>
  <c r="BH669" i="1" s="1"/>
  <c r="AR728" i="1"/>
  <c r="BK728" i="1" s="1"/>
  <c r="AR669" i="1"/>
  <c r="BK669" i="1" s="1"/>
  <c r="AJ712" i="1"/>
  <c r="BC712" i="1" s="1"/>
  <c r="J31" i="5" s="1"/>
  <c r="AM775" i="1"/>
  <c r="BF775" i="1" s="1"/>
  <c r="AQ741" i="1"/>
  <c r="BJ741" i="1" s="1"/>
  <c r="AJ435" i="8"/>
  <c r="BC435" i="8" s="1"/>
  <c r="AK696" i="8"/>
  <c r="BD696" i="8" s="1"/>
  <c r="AJ299" i="8"/>
  <c r="BC299" i="8" s="1"/>
  <c r="AO268" i="8"/>
  <c r="BH268" i="8" s="1"/>
  <c r="AN499" i="8"/>
  <c r="BG499" i="8" s="1"/>
  <c r="AN489" i="8"/>
  <c r="BG489" i="8" s="1"/>
  <c r="AK309" i="8"/>
  <c r="BD309" i="8" s="1"/>
  <c r="AL503" i="8"/>
  <c r="BE503" i="8" s="1"/>
  <c r="AO331" i="8"/>
  <c r="BH331" i="8" s="1"/>
  <c r="AI395" i="8"/>
  <c r="BB395" i="8" s="1"/>
  <c r="AO614" i="8"/>
  <c r="BH614" i="8" s="1"/>
  <c r="AJ101" i="8"/>
  <c r="BC101" i="8" s="1"/>
  <c r="AM477" i="8"/>
  <c r="BF477" i="8" s="1"/>
  <c r="AL483" i="8"/>
  <c r="BE483" i="8" s="1"/>
  <c r="AM159" i="1"/>
  <c r="BF159" i="1" s="1"/>
  <c r="AR169" i="1"/>
  <c r="BK169" i="1" s="1"/>
  <c r="AN707" i="1"/>
  <c r="BG707" i="1" s="1"/>
  <c r="AR704" i="1"/>
  <c r="BK704" i="1" s="1"/>
  <c r="AR760" i="1"/>
  <c r="BK760" i="1" s="1"/>
  <c r="AK760" i="1"/>
  <c r="BD760" i="1" s="1"/>
  <c r="AJ756" i="1"/>
  <c r="BC756" i="1" s="1"/>
  <c r="AK759" i="1"/>
  <c r="BD759" i="1" s="1"/>
  <c r="AL758" i="1"/>
  <c r="BE758" i="1" s="1"/>
  <c r="AQ721" i="1"/>
  <c r="BJ721" i="1" s="1"/>
  <c r="AM773" i="1"/>
  <c r="BF773" i="1" s="1"/>
  <c r="AO769" i="1"/>
  <c r="BH769" i="1" s="1"/>
  <c r="AQ418" i="8"/>
  <c r="BJ418" i="8" s="1"/>
  <c r="AP169" i="8"/>
  <c r="BI169" i="8" s="1"/>
  <c r="AI711" i="8"/>
  <c r="BB711" i="8" s="1"/>
  <c r="AO673" i="8"/>
  <c r="BH673" i="8" s="1"/>
  <c r="AJ749" i="8"/>
  <c r="BC749" i="8" s="1"/>
  <c r="AO262" i="8"/>
  <c r="BH262" i="8" s="1"/>
  <c r="AP262" i="8"/>
  <c r="BI262" i="8" s="1"/>
  <c r="AN259" i="8"/>
  <c r="BG259" i="8" s="1"/>
  <c r="AM714" i="8"/>
  <c r="BF714" i="8" s="1"/>
  <c r="AP714" i="8"/>
  <c r="BI714" i="8" s="1"/>
  <c r="AS829" i="8"/>
  <c r="AW829" i="8" s="1"/>
  <c r="AJ733" i="8"/>
  <c r="BC733" i="8" s="1"/>
  <c r="AN692" i="8"/>
  <c r="BG692" i="8" s="1"/>
  <c r="AN583" i="8"/>
  <c r="BG583" i="8" s="1"/>
  <c r="AP583" i="8"/>
  <c r="BI583" i="8" s="1"/>
  <c r="AN453" i="8"/>
  <c r="BG453" i="8" s="1"/>
  <c r="AI575" i="8"/>
  <c r="AJ302" i="8"/>
  <c r="BC302" i="8" s="1"/>
  <c r="AL271" i="8"/>
  <c r="BE271" i="8" s="1"/>
  <c r="AQ638" i="8"/>
  <c r="BJ638" i="8" s="1"/>
  <c r="AI550" i="8"/>
  <c r="AO159" i="1"/>
  <c r="BH159" i="1" s="1"/>
  <c r="AO169" i="1"/>
  <c r="BH169" i="1" s="1"/>
  <c r="AQ707" i="1"/>
  <c r="BJ707" i="1" s="1"/>
  <c r="AN704" i="1"/>
  <c r="BG704" i="1" s="1"/>
  <c r="AJ760" i="1"/>
  <c r="BC760" i="1" s="1"/>
  <c r="AQ756" i="1"/>
  <c r="BJ756" i="1" s="1"/>
  <c r="AR759" i="1"/>
  <c r="BK759" i="1" s="1"/>
  <c r="AQ758" i="1"/>
  <c r="BJ758" i="1" s="1"/>
  <c r="AM721" i="1"/>
  <c r="BF721" i="1" s="1"/>
  <c r="AK773" i="1"/>
  <c r="BD773" i="1" s="1"/>
  <c r="AJ769" i="1"/>
  <c r="BC769" i="1" s="1"/>
  <c r="AI769" i="1"/>
  <c r="AJ418" i="8"/>
  <c r="BC418" i="8" s="1"/>
  <c r="AK169" i="8"/>
  <c r="BD169" i="8" s="1"/>
  <c r="AP711" i="8"/>
  <c r="BI711" i="8" s="1"/>
  <c r="AQ673" i="8"/>
  <c r="BJ673" i="8" s="1"/>
  <c r="AR749" i="8"/>
  <c r="BK749" i="8" s="1"/>
  <c r="AQ262" i="8"/>
  <c r="BJ262" i="8" s="1"/>
  <c r="AI262" i="8"/>
  <c r="BB262" i="8" s="1"/>
  <c r="AK259" i="8"/>
  <c r="BD259" i="8" s="1"/>
  <c r="AI259" i="8"/>
  <c r="BB259" i="8" s="1"/>
  <c r="AN714" i="8"/>
  <c r="BG714" i="8" s="1"/>
  <c r="AK733" i="8"/>
  <c r="BD733" i="8" s="1"/>
  <c r="AO692" i="8"/>
  <c r="BH692" i="8" s="1"/>
  <c r="AL692" i="8"/>
  <c r="BE692" i="8" s="1"/>
  <c r="AO583" i="8"/>
  <c r="BH583" i="8" s="1"/>
  <c r="AM453" i="8"/>
  <c r="BF453" i="8" s="1"/>
  <c r="AQ575" i="8"/>
  <c r="BJ575" i="8" s="1"/>
  <c r="AQ690" i="8"/>
  <c r="BJ690" i="8" s="1"/>
  <c r="AM391" i="8"/>
  <c r="BF391" i="8" s="1"/>
  <c r="AJ691" i="8"/>
  <c r="BC691" i="8" s="1"/>
  <c r="AR159" i="8"/>
  <c r="BK159" i="8" s="1"/>
  <c r="AJ550" i="8"/>
  <c r="BC550" i="8" s="1"/>
  <c r="AQ550" i="8"/>
  <c r="BJ550" i="8" s="1"/>
  <c r="AQ169" i="1"/>
  <c r="BJ169" i="1" s="1"/>
  <c r="AM707" i="1"/>
  <c r="BF707" i="1" s="1"/>
  <c r="AJ704" i="1"/>
  <c r="BC704" i="1" s="1"/>
  <c r="AQ760" i="1"/>
  <c r="BJ760" i="1" s="1"/>
  <c r="AK756" i="1"/>
  <c r="BD756" i="1" s="1"/>
  <c r="AM756" i="1"/>
  <c r="BF756" i="1" s="1"/>
  <c r="AJ759" i="1"/>
  <c r="BC759" i="1" s="1"/>
  <c r="AI758" i="1"/>
  <c r="BB758" i="1" s="1"/>
  <c r="AI721" i="1"/>
  <c r="AI773" i="1"/>
  <c r="BB773" i="1" s="1"/>
  <c r="AP769" i="1"/>
  <c r="BI769" i="1" s="1"/>
  <c r="AK769" i="1"/>
  <c r="BD769" i="1" s="1"/>
  <c r="AL418" i="8"/>
  <c r="BE418" i="8" s="1"/>
  <c r="AL169" i="8"/>
  <c r="BE169" i="8" s="1"/>
  <c r="AQ169" i="8"/>
  <c r="BJ169" i="8" s="1"/>
  <c r="AQ711" i="8"/>
  <c r="BJ711" i="8" s="1"/>
  <c r="AJ673" i="8"/>
  <c r="BC673" i="8" s="1"/>
  <c r="AK749" i="8"/>
  <c r="BD749" i="8" s="1"/>
  <c r="AJ262" i="8"/>
  <c r="BC262" i="8" s="1"/>
  <c r="AJ259" i="8"/>
  <c r="BC259" i="8" s="1"/>
  <c r="AQ259" i="8"/>
  <c r="BJ259" i="8" s="1"/>
  <c r="AO714" i="8"/>
  <c r="BH714" i="8" s="1"/>
  <c r="AS818" i="8"/>
  <c r="AZ818" i="8" s="1"/>
  <c r="AL733" i="8"/>
  <c r="BE733" i="8" s="1"/>
  <c r="AI692" i="8"/>
  <c r="BB692" i="8" s="1"/>
  <c r="AP692" i="8"/>
  <c r="BI692" i="8" s="1"/>
  <c r="AR583" i="8"/>
  <c r="BK583" i="8" s="1"/>
  <c r="AI453" i="8"/>
  <c r="BB453" i="8" s="1"/>
  <c r="AJ575" i="8"/>
  <c r="BC575" i="8" s="1"/>
  <c r="AR699" i="8"/>
  <c r="BK699" i="8" s="1"/>
  <c r="AJ690" i="8"/>
  <c r="BC690" i="8" s="1"/>
  <c r="AR391" i="8"/>
  <c r="BK391" i="8" s="1"/>
  <c r="AQ353" i="8"/>
  <c r="BJ353" i="8" s="1"/>
  <c r="AQ691" i="8"/>
  <c r="BJ691" i="8" s="1"/>
  <c r="AN320" i="8"/>
  <c r="BG320" i="8" s="1"/>
  <c r="AM655" i="8"/>
  <c r="BF655" i="8" s="1"/>
  <c r="AK731" i="8"/>
  <c r="BD731" i="8" s="1"/>
  <c r="AL550" i="8"/>
  <c r="BE550" i="8" s="1"/>
  <c r="AO550" i="8"/>
  <c r="BH550" i="8" s="1"/>
  <c r="AL159" i="1"/>
  <c r="BE159" i="1" s="1"/>
  <c r="AI159" i="1"/>
  <c r="BB159" i="1" s="1"/>
  <c r="AM169" i="1"/>
  <c r="BF169" i="1" s="1"/>
  <c r="AI707" i="1"/>
  <c r="BB707" i="1" s="1"/>
  <c r="AQ704" i="1"/>
  <c r="BJ704" i="1" s="1"/>
  <c r="AI760" i="1"/>
  <c r="BB760" i="1" s="1"/>
  <c r="AP756" i="1"/>
  <c r="BI756" i="1" s="1"/>
  <c r="AI756" i="1"/>
  <c r="BB756" i="1" s="1"/>
  <c r="AP759" i="1"/>
  <c r="BI759" i="1" s="1"/>
  <c r="AO758" i="1"/>
  <c r="BH758" i="1" s="1"/>
  <c r="AR721" i="1"/>
  <c r="BK721" i="1" s="1"/>
  <c r="AR773" i="1"/>
  <c r="BK773" i="1" s="1"/>
  <c r="AQ769" i="1"/>
  <c r="BJ769" i="1" s="1"/>
  <c r="AN769" i="1"/>
  <c r="BG769" i="1" s="1"/>
  <c r="AR418" i="8"/>
  <c r="BK418" i="8" s="1"/>
  <c r="AM169" i="8"/>
  <c r="BF169" i="8" s="1"/>
  <c r="AI169" i="8"/>
  <c r="BB169" i="8" s="1"/>
  <c r="AM673" i="8"/>
  <c r="BF673" i="8" s="1"/>
  <c r="AM749" i="8"/>
  <c r="BF749" i="8" s="1"/>
  <c r="AL262" i="8"/>
  <c r="BE262" i="8" s="1"/>
  <c r="AR259" i="8"/>
  <c r="BK259" i="8" s="1"/>
  <c r="AI714" i="8"/>
  <c r="BB714" i="8" s="1"/>
  <c r="AM733" i="8"/>
  <c r="BF733" i="8" s="1"/>
  <c r="AQ692" i="8"/>
  <c r="BJ692" i="8" s="1"/>
  <c r="AK583" i="8"/>
  <c r="BD583" i="8" s="1"/>
  <c r="AQ453" i="8"/>
  <c r="BJ453" i="8" s="1"/>
  <c r="AR575" i="8"/>
  <c r="BK575" i="8" s="1"/>
  <c r="AJ699" i="8"/>
  <c r="BC699" i="8" s="1"/>
  <c r="AQ235" i="8"/>
  <c r="BJ235" i="8" s="1"/>
  <c r="AM353" i="8"/>
  <c r="BF353" i="8" s="1"/>
  <c r="AJ516" i="8"/>
  <c r="BC516" i="8" s="1"/>
  <c r="AQ603" i="8"/>
  <c r="BJ603" i="8" s="1"/>
  <c r="AO596" i="8"/>
  <c r="BH596" i="8" s="1"/>
  <c r="AJ750" i="8"/>
  <c r="BC750" i="8" s="1"/>
  <c r="AJ731" i="8"/>
  <c r="BC731" i="8" s="1"/>
  <c r="AL458" i="8"/>
  <c r="BE458" i="8" s="1"/>
  <c r="AJ376" i="8"/>
  <c r="BC376" i="8" s="1"/>
  <c r="AM550" i="8"/>
  <c r="BF550" i="8" s="1"/>
  <c r="AJ159" i="1"/>
  <c r="BC159" i="1" s="1"/>
  <c r="AQ159" i="1"/>
  <c r="BJ159" i="1" s="1"/>
  <c r="AK169" i="1"/>
  <c r="BD169" i="1" s="1"/>
  <c r="AK707" i="1"/>
  <c r="BD707" i="1" s="1"/>
  <c r="AP707" i="1"/>
  <c r="BI707" i="1" s="1"/>
  <c r="AP704" i="1"/>
  <c r="BI704" i="1" s="1"/>
  <c r="AM704" i="1"/>
  <c r="BF704" i="1" s="1"/>
  <c r="AN760" i="1"/>
  <c r="BG760" i="1" s="1"/>
  <c r="AO756" i="1"/>
  <c r="BH756" i="1" s="1"/>
  <c r="AL759" i="1"/>
  <c r="BE759" i="1" s="1"/>
  <c r="AK758" i="1"/>
  <c r="BD758" i="1" s="1"/>
  <c r="AO721" i="1"/>
  <c r="BH721" i="1" s="1"/>
  <c r="AN721" i="1"/>
  <c r="BG721" i="1" s="1"/>
  <c r="AP773" i="1"/>
  <c r="BI773" i="1" s="1"/>
  <c r="AI678" i="1"/>
  <c r="BB678" i="1" s="1"/>
  <c r="AN418" i="8"/>
  <c r="BG418" i="8" s="1"/>
  <c r="AM418" i="8"/>
  <c r="BF418" i="8" s="1"/>
  <c r="AN169" i="8"/>
  <c r="BG169" i="8" s="1"/>
  <c r="AN673" i="8"/>
  <c r="BG673" i="8" s="1"/>
  <c r="AN749" i="8"/>
  <c r="BG749" i="8" s="1"/>
  <c r="AR262" i="8"/>
  <c r="BK262" i="8" s="1"/>
  <c r="AL259" i="8"/>
  <c r="BE259" i="8" s="1"/>
  <c r="AJ674" i="8"/>
  <c r="BC674" i="8" s="1"/>
  <c r="AQ714" i="8"/>
  <c r="BJ714" i="8" s="1"/>
  <c r="AO733" i="8"/>
  <c r="BH733" i="8" s="1"/>
  <c r="AJ692" i="8"/>
  <c r="BC692" i="8" s="1"/>
  <c r="AL583" i="8"/>
  <c r="BE583" i="8" s="1"/>
  <c r="AO453" i="8"/>
  <c r="BH453" i="8" s="1"/>
  <c r="AJ453" i="8"/>
  <c r="BC453" i="8" s="1"/>
  <c r="AN575" i="8"/>
  <c r="BG575" i="8" s="1"/>
  <c r="AM575" i="8"/>
  <c r="BF575" i="8" s="1"/>
  <c r="AN699" i="8"/>
  <c r="BG699" i="8" s="1"/>
  <c r="AS430" i="8"/>
  <c r="AR235" i="8"/>
  <c r="BK235" i="8" s="1"/>
  <c r="AS777" i="8"/>
  <c r="AZ777" i="8" s="1"/>
  <c r="AP516" i="8"/>
  <c r="BI516" i="8" s="1"/>
  <c r="AL603" i="8"/>
  <c r="BE603" i="8" s="1"/>
  <c r="AO694" i="8"/>
  <c r="BH694" i="8" s="1"/>
  <c r="AP250" i="8"/>
  <c r="BI250" i="8" s="1"/>
  <c r="AJ715" i="8"/>
  <c r="BC715" i="8" s="1"/>
  <c r="AJ545" i="8"/>
  <c r="BC545" i="8" s="1"/>
  <c r="AR550" i="8"/>
  <c r="BK550" i="8" s="1"/>
  <c r="AR159" i="1"/>
  <c r="BK159" i="1" s="1"/>
  <c r="AN159" i="1"/>
  <c r="BG159" i="1" s="1"/>
  <c r="AN169" i="1"/>
  <c r="BG169" i="1" s="1"/>
  <c r="AJ707" i="1"/>
  <c r="BC707" i="1" s="1"/>
  <c r="AL707" i="1"/>
  <c r="BE707" i="1" s="1"/>
  <c r="AL704" i="1"/>
  <c r="BE704" i="1" s="1"/>
  <c r="AI704" i="1"/>
  <c r="AP760" i="1"/>
  <c r="BI760" i="1" s="1"/>
  <c r="AL756" i="1"/>
  <c r="BE756" i="1" s="1"/>
  <c r="AQ759" i="1"/>
  <c r="BJ759" i="1" s="1"/>
  <c r="AR758" i="1"/>
  <c r="BK758" i="1" s="1"/>
  <c r="AP721" i="1"/>
  <c r="BI721" i="1" s="1"/>
  <c r="AJ721" i="1"/>
  <c r="BC721" i="1" s="1"/>
  <c r="AN773" i="1"/>
  <c r="BG773" i="1" s="1"/>
  <c r="AR769" i="1"/>
  <c r="BK769" i="1" s="1"/>
  <c r="AO418" i="8"/>
  <c r="BH418" i="8" s="1"/>
  <c r="AK418" i="8"/>
  <c r="BD418" i="8" s="1"/>
  <c r="AO169" i="8"/>
  <c r="BH169" i="8" s="1"/>
  <c r="AP673" i="8"/>
  <c r="BI673" i="8" s="1"/>
  <c r="AO749" i="8"/>
  <c r="BH749" i="8" s="1"/>
  <c r="AM262" i="8"/>
  <c r="BF262" i="8" s="1"/>
  <c r="AO259" i="8"/>
  <c r="BH259" i="8" s="1"/>
  <c r="AM674" i="8"/>
  <c r="BF674" i="8" s="1"/>
  <c r="AJ714" i="8"/>
  <c r="BC714" i="8" s="1"/>
  <c r="AN733" i="8"/>
  <c r="BG733" i="8" s="1"/>
  <c r="AM729" i="8"/>
  <c r="BF729" i="8" s="1"/>
  <c r="AR692" i="8"/>
  <c r="BK692" i="8" s="1"/>
  <c r="AJ583" i="8"/>
  <c r="BC583" i="8" s="1"/>
  <c r="AK453" i="8"/>
  <c r="BD453" i="8" s="1"/>
  <c r="AR453" i="8"/>
  <c r="BK453" i="8" s="1"/>
  <c r="AL575" i="8"/>
  <c r="BE575" i="8" s="1"/>
  <c r="AK575" i="8"/>
  <c r="BD575" i="8" s="1"/>
  <c r="AK699" i="8"/>
  <c r="BD699" i="8" s="1"/>
  <c r="AS727" i="8"/>
  <c r="BA727" i="8" s="1"/>
  <c r="AP235" i="8"/>
  <c r="BI235" i="8" s="1"/>
  <c r="AP322" i="8"/>
  <c r="BI322" i="8" s="1"/>
  <c r="AM679" i="8"/>
  <c r="BF679" i="8" s="1"/>
  <c r="AI634" i="8"/>
  <c r="BB634" i="8" s="1"/>
  <c r="AS826" i="8"/>
  <c r="AO490" i="8"/>
  <c r="BH490" i="8" s="1"/>
  <c r="AL677" i="1"/>
  <c r="BE677" i="1" s="1"/>
  <c r="AN550" i="8"/>
  <c r="BG550" i="8" s="1"/>
  <c r="AI169" i="1"/>
  <c r="BB169" i="1" s="1"/>
  <c r="AO759" i="1"/>
  <c r="BH759" i="1" s="1"/>
  <c r="AP758" i="1"/>
  <c r="BI758" i="1" s="1"/>
  <c r="AQ773" i="1"/>
  <c r="BJ773" i="1" s="1"/>
  <c r="AL769" i="1"/>
  <c r="BE769" i="1" s="1"/>
  <c r="AL673" i="8"/>
  <c r="BE673" i="8" s="1"/>
  <c r="AP749" i="8"/>
  <c r="BI749" i="8" s="1"/>
  <c r="AK674" i="8"/>
  <c r="BD674" i="8" s="1"/>
  <c r="AR733" i="8"/>
  <c r="BK733" i="8" s="1"/>
  <c r="AN729" i="8"/>
  <c r="BG729" i="8" s="1"/>
  <c r="AJ235" i="8"/>
  <c r="BC235" i="8" s="1"/>
  <c r="AS803" i="8"/>
  <c r="AW803" i="8" s="1"/>
  <c r="AI769" i="8"/>
  <c r="AI233" i="8"/>
  <c r="BB233" i="8" s="1"/>
  <c r="AP601" i="8"/>
  <c r="BI601" i="8" s="1"/>
  <c r="AR571" i="8"/>
  <c r="BK571" i="8" s="1"/>
  <c r="AM490" i="8"/>
  <c r="BF490" i="8" s="1"/>
  <c r="AM349" i="8"/>
  <c r="BF349" i="8" s="1"/>
  <c r="AQ643" i="8"/>
  <c r="BJ643" i="8" s="1"/>
  <c r="AO643" i="8"/>
  <c r="BH643" i="8" s="1"/>
  <c r="AL643" i="8"/>
  <c r="BE643" i="8" s="1"/>
  <c r="AN643" i="8"/>
  <c r="BG643" i="8" s="1"/>
  <c r="AK643" i="8"/>
  <c r="BD643" i="8" s="1"/>
  <c r="AM643" i="8"/>
  <c r="BF643" i="8" s="1"/>
  <c r="AR643" i="8"/>
  <c r="BK643" i="8" s="1"/>
  <c r="AP470" i="8"/>
  <c r="BI470" i="8" s="1"/>
  <c r="AN470" i="8"/>
  <c r="BG470" i="8" s="1"/>
  <c r="AM470" i="8"/>
  <c r="BF470" i="8" s="1"/>
  <c r="AR470" i="8"/>
  <c r="BK470" i="8" s="1"/>
  <c r="AL470" i="8"/>
  <c r="BE470" i="8" s="1"/>
  <c r="AJ470" i="8"/>
  <c r="BC470" i="8" s="1"/>
  <c r="AQ470" i="8"/>
  <c r="BJ470" i="8" s="1"/>
  <c r="AO470" i="8"/>
  <c r="BH470" i="8" s="1"/>
  <c r="AI470" i="8"/>
  <c r="AK470" i="8"/>
  <c r="BD470" i="8" s="1"/>
  <c r="AP643" i="8"/>
  <c r="BI643" i="8" s="1"/>
  <c r="AJ643" i="8"/>
  <c r="BC643" i="8" s="1"/>
  <c r="AM413" i="8"/>
  <c r="BF413" i="8" s="1"/>
  <c r="AL413" i="8"/>
  <c r="BE413" i="8" s="1"/>
  <c r="AK413" i="8"/>
  <c r="BD413" i="8" s="1"/>
  <c r="AR413" i="8"/>
  <c r="BK413" i="8" s="1"/>
  <c r="AP413" i="8"/>
  <c r="BI413" i="8" s="1"/>
  <c r="AQ413" i="8"/>
  <c r="BJ413" i="8" s="1"/>
  <c r="AO413" i="8"/>
  <c r="BH413" i="8" s="1"/>
  <c r="AI413" i="8"/>
  <c r="BB413" i="8" s="1"/>
  <c r="AN413" i="8"/>
  <c r="BG413" i="8" s="1"/>
  <c r="AN674" i="8"/>
  <c r="BG674" i="8" s="1"/>
  <c r="AP674" i="8"/>
  <c r="BI674" i="8" s="1"/>
  <c r="AI729" i="8"/>
  <c r="BB729" i="8" s="1"/>
  <c r="AO699" i="8"/>
  <c r="BH699" i="8" s="1"/>
  <c r="AR690" i="8"/>
  <c r="BK690" i="8" s="1"/>
  <c r="AL391" i="8"/>
  <c r="BE391" i="8" s="1"/>
  <c r="AK235" i="8"/>
  <c r="BD235" i="8" s="1"/>
  <c r="AN353" i="8"/>
  <c r="BG353" i="8" s="1"/>
  <c r="AK353" i="8"/>
  <c r="BD353" i="8" s="1"/>
  <c r="AK302" i="8"/>
  <c r="BD302" i="8" s="1"/>
  <c r="AR691" i="8"/>
  <c r="BK691" i="8" s="1"/>
  <c r="AP691" i="8"/>
  <c r="BI691" i="8" s="1"/>
  <c r="AQ322" i="8"/>
  <c r="BJ322" i="8" s="1"/>
  <c r="AI706" i="8"/>
  <c r="BB706" i="8" s="1"/>
  <c r="AK706" i="8"/>
  <c r="BD706" i="8" s="1"/>
  <c r="AI271" i="8"/>
  <c r="BB271" i="8" s="1"/>
  <c r="AR516" i="8"/>
  <c r="BK516" i="8" s="1"/>
  <c r="AL320" i="8"/>
  <c r="BE320" i="8" s="1"/>
  <c r="AR603" i="8"/>
  <c r="BK603" i="8" s="1"/>
  <c r="AK603" i="8"/>
  <c r="BD603" i="8" s="1"/>
  <c r="AN679" i="8"/>
  <c r="BG679" i="8" s="1"/>
  <c r="AL769" i="8"/>
  <c r="BE769" i="8" s="1"/>
  <c r="AM159" i="8"/>
  <c r="BF159" i="8" s="1"/>
  <c r="AP596" i="8"/>
  <c r="BI596" i="8" s="1"/>
  <c r="AQ634" i="8"/>
  <c r="BJ634" i="8" s="1"/>
  <c r="AL233" i="8"/>
  <c r="BE233" i="8" s="1"/>
  <c r="AM750" i="8"/>
  <c r="BF750" i="8" s="1"/>
  <c r="AI694" i="8"/>
  <c r="BB694" i="8" s="1"/>
  <c r="AI638" i="8"/>
  <c r="BB638" i="8" s="1"/>
  <c r="AR638" i="8"/>
  <c r="BK638" i="8" s="1"/>
  <c r="AO655" i="8"/>
  <c r="BH655" i="8" s="1"/>
  <c r="AQ601" i="8"/>
  <c r="BJ601" i="8" s="1"/>
  <c r="AK601" i="8"/>
  <c r="BD601" i="8" s="1"/>
  <c r="AM571" i="8"/>
  <c r="BF571" i="8" s="1"/>
  <c r="AJ571" i="8"/>
  <c r="BC571" i="8" s="1"/>
  <c r="AM250" i="8"/>
  <c r="BF250" i="8" s="1"/>
  <c r="AR490" i="8"/>
  <c r="BK490" i="8" s="1"/>
  <c r="AN490" i="8"/>
  <c r="BG490" i="8" s="1"/>
  <c r="AO261" i="8"/>
  <c r="BH261" i="8" s="1"/>
  <c r="AL731" i="8"/>
  <c r="BE731" i="8" s="1"/>
  <c r="AL715" i="8"/>
  <c r="BE715" i="8" s="1"/>
  <c r="AR715" i="8"/>
  <c r="BK715" i="8" s="1"/>
  <c r="AN545" i="8"/>
  <c r="BG545" i="8" s="1"/>
  <c r="AR458" i="8"/>
  <c r="BK458" i="8" s="1"/>
  <c r="AQ376" i="8"/>
  <c r="BJ376" i="8" s="1"/>
  <c r="AM677" i="1"/>
  <c r="BF677" i="1" s="1"/>
  <c r="AR678" i="1"/>
  <c r="BK678" i="1" s="1"/>
  <c r="AK678" i="1"/>
  <c r="BD678" i="1" s="1"/>
  <c r="AN678" i="1"/>
  <c r="BG678" i="1" s="1"/>
  <c r="AP678" i="1"/>
  <c r="BI678" i="1" s="1"/>
  <c r="AJ711" i="8"/>
  <c r="BC711" i="8" s="1"/>
  <c r="AQ674" i="8"/>
  <c r="BJ674" i="8" s="1"/>
  <c r="AQ729" i="8"/>
  <c r="BJ729" i="8" s="1"/>
  <c r="AO729" i="8"/>
  <c r="BH729" i="8" s="1"/>
  <c r="AQ699" i="8"/>
  <c r="BJ699" i="8" s="1"/>
  <c r="AK690" i="8"/>
  <c r="BD690" i="8" s="1"/>
  <c r="AO391" i="8"/>
  <c r="BH391" i="8" s="1"/>
  <c r="AI235" i="8"/>
  <c r="BB235" i="8" s="1"/>
  <c r="AJ577" i="8"/>
  <c r="BC577" i="8" s="1"/>
  <c r="AI353" i="8"/>
  <c r="BB353" i="8" s="1"/>
  <c r="AQ302" i="8"/>
  <c r="BJ302" i="8" s="1"/>
  <c r="AL691" i="8"/>
  <c r="BE691" i="8" s="1"/>
  <c r="AI322" i="8"/>
  <c r="BB322" i="8" s="1"/>
  <c r="AM706" i="8"/>
  <c r="BF706" i="8" s="1"/>
  <c r="AP706" i="8"/>
  <c r="BI706" i="8" s="1"/>
  <c r="AN271" i="8"/>
  <c r="BG271" i="8" s="1"/>
  <c r="AK516" i="8"/>
  <c r="BD516" i="8" s="1"/>
  <c r="AJ320" i="8"/>
  <c r="BC320" i="8" s="1"/>
  <c r="AJ603" i="8"/>
  <c r="BC603" i="8" s="1"/>
  <c r="AO679" i="8"/>
  <c r="BH679" i="8" s="1"/>
  <c r="AL679" i="8"/>
  <c r="BE679" i="8" s="1"/>
  <c r="AJ769" i="8"/>
  <c r="BC769" i="8" s="1"/>
  <c r="AO159" i="8"/>
  <c r="BH159" i="8" s="1"/>
  <c r="AL159" i="8"/>
  <c r="BE159" i="8" s="1"/>
  <c r="AQ596" i="8"/>
  <c r="BJ596" i="8" s="1"/>
  <c r="AO634" i="8"/>
  <c r="BH634" i="8" s="1"/>
  <c r="AJ634" i="8"/>
  <c r="BC634" i="8" s="1"/>
  <c r="AN233" i="8"/>
  <c r="BG233" i="8" s="1"/>
  <c r="AO750" i="8"/>
  <c r="BH750" i="8" s="1"/>
  <c r="AL750" i="8"/>
  <c r="BE750" i="8" s="1"/>
  <c r="AP694" i="8"/>
  <c r="BI694" i="8" s="1"/>
  <c r="AJ638" i="8"/>
  <c r="BC638" i="8" s="1"/>
  <c r="AP655" i="8"/>
  <c r="BI655" i="8" s="1"/>
  <c r="AL601" i="8"/>
  <c r="BE601" i="8" s="1"/>
  <c r="AK571" i="8"/>
  <c r="BD571" i="8" s="1"/>
  <c r="AI250" i="8"/>
  <c r="BB250" i="8" s="1"/>
  <c r="AQ490" i="8"/>
  <c r="BJ490" i="8" s="1"/>
  <c r="AL261" i="8"/>
  <c r="BE261" i="8" s="1"/>
  <c r="AM261" i="8"/>
  <c r="BF261" i="8" s="1"/>
  <c r="AM731" i="8"/>
  <c r="BF731" i="8" s="1"/>
  <c r="AK715" i="8"/>
  <c r="BD715" i="8" s="1"/>
  <c r="AP715" i="8"/>
  <c r="BI715" i="8" s="1"/>
  <c r="AK545" i="8"/>
  <c r="BD545" i="8" s="1"/>
  <c r="AO545" i="8"/>
  <c r="BH545" i="8" s="1"/>
  <c r="AM458" i="8"/>
  <c r="BF458" i="8" s="1"/>
  <c r="AO458" i="8"/>
  <c r="BH458" i="8" s="1"/>
  <c r="AI677" i="1"/>
  <c r="BB677" i="1" s="1"/>
  <c r="AR711" i="8"/>
  <c r="BK711" i="8" s="1"/>
  <c r="AR674" i="8"/>
  <c r="BK674" i="8" s="1"/>
  <c r="AJ729" i="8"/>
  <c r="BC729" i="8" s="1"/>
  <c r="AP729" i="8"/>
  <c r="BI729" i="8" s="1"/>
  <c r="AM699" i="8"/>
  <c r="BF699" i="8" s="1"/>
  <c r="AM690" i="8"/>
  <c r="BF690" i="8" s="1"/>
  <c r="AN391" i="8"/>
  <c r="BG391" i="8" s="1"/>
  <c r="AL235" i="8"/>
  <c r="BE235" i="8" s="1"/>
  <c r="AR353" i="8"/>
  <c r="BK353" i="8" s="1"/>
  <c r="AL302" i="8"/>
  <c r="BE302" i="8" s="1"/>
  <c r="AK691" i="8"/>
  <c r="BD691" i="8" s="1"/>
  <c r="AM322" i="8"/>
  <c r="BF322" i="8" s="1"/>
  <c r="AN706" i="8"/>
  <c r="BG706" i="8" s="1"/>
  <c r="AK271" i="8"/>
  <c r="BD271" i="8" s="1"/>
  <c r="AJ271" i="8"/>
  <c r="BC271" i="8" s="1"/>
  <c r="AL516" i="8"/>
  <c r="BE516" i="8" s="1"/>
  <c r="AK320" i="8"/>
  <c r="BD320" i="8" s="1"/>
  <c r="AI603" i="8"/>
  <c r="BB603" i="8" s="1"/>
  <c r="AI679" i="8"/>
  <c r="BB679" i="8" s="1"/>
  <c r="AP679" i="8"/>
  <c r="BI679" i="8" s="1"/>
  <c r="AM769" i="8"/>
  <c r="BF769" i="8" s="1"/>
  <c r="AP159" i="8"/>
  <c r="BI159" i="8" s="1"/>
  <c r="AQ159" i="8"/>
  <c r="BJ159" i="8" s="1"/>
  <c r="AJ596" i="8"/>
  <c r="BC596" i="8" s="1"/>
  <c r="AM634" i="8"/>
  <c r="BF634" i="8" s="1"/>
  <c r="AR634" i="8"/>
  <c r="BK634" i="8" s="1"/>
  <c r="AM233" i="8"/>
  <c r="BF233" i="8" s="1"/>
  <c r="AP750" i="8"/>
  <c r="BI750" i="8" s="1"/>
  <c r="AK750" i="8"/>
  <c r="BD750" i="8" s="1"/>
  <c r="AQ694" i="8"/>
  <c r="BJ694" i="8" s="1"/>
  <c r="AP638" i="8"/>
  <c r="BI638" i="8" s="1"/>
  <c r="AN655" i="8"/>
  <c r="BG655" i="8" s="1"/>
  <c r="AI655" i="8"/>
  <c r="BB655" i="8" s="1"/>
  <c r="AR601" i="8"/>
  <c r="BK601" i="8" s="1"/>
  <c r="AN571" i="8"/>
  <c r="BG571" i="8" s="1"/>
  <c r="AN250" i="8"/>
  <c r="BG250" i="8" s="1"/>
  <c r="AP490" i="8"/>
  <c r="BI490" i="8" s="1"/>
  <c r="AQ261" i="8"/>
  <c r="BJ261" i="8" s="1"/>
  <c r="AI261" i="8"/>
  <c r="BB261" i="8" s="1"/>
  <c r="AO731" i="8"/>
  <c r="BH731" i="8" s="1"/>
  <c r="AM715" i="8"/>
  <c r="BF715" i="8" s="1"/>
  <c r="AQ545" i="8"/>
  <c r="BJ545" i="8" s="1"/>
  <c r="AL545" i="8"/>
  <c r="BE545" i="8" s="1"/>
  <c r="AN458" i="8"/>
  <c r="BG458" i="8" s="1"/>
  <c r="AK458" i="8"/>
  <c r="BD458" i="8" s="1"/>
  <c r="AK376" i="8"/>
  <c r="BD376" i="8" s="1"/>
  <c r="AM495" i="8"/>
  <c r="BF495" i="8" s="1"/>
  <c r="AQ677" i="1"/>
  <c r="BJ677" i="1" s="1"/>
  <c r="AJ677" i="1"/>
  <c r="BC677" i="1" s="1"/>
  <c r="AO677" i="1"/>
  <c r="BH677" i="1" s="1"/>
  <c r="AR495" i="8"/>
  <c r="BK495" i="8" s="1"/>
  <c r="AP495" i="8"/>
  <c r="BI495" i="8" s="1"/>
  <c r="AL414" i="8"/>
  <c r="BE414" i="8" s="1"/>
  <c r="AJ414" i="8"/>
  <c r="BC414" i="8" s="1"/>
  <c r="AQ414" i="8"/>
  <c r="BJ414" i="8" s="1"/>
  <c r="AI414" i="8"/>
  <c r="AN414" i="8"/>
  <c r="BG414" i="8" s="1"/>
  <c r="AP414" i="8"/>
  <c r="BI414" i="8" s="1"/>
  <c r="AK414" i="8"/>
  <c r="BD414" i="8" s="1"/>
  <c r="AO414" i="8"/>
  <c r="BH414" i="8" s="1"/>
  <c r="AM414" i="8"/>
  <c r="BF414" i="8" s="1"/>
  <c r="AR414" i="8"/>
  <c r="BK414" i="8" s="1"/>
  <c r="AQ678" i="1"/>
  <c r="BJ678" i="1" s="1"/>
  <c r="AK711" i="8"/>
  <c r="BD711" i="8" s="1"/>
  <c r="AO674" i="8"/>
  <c r="BH674" i="8" s="1"/>
  <c r="AR729" i="8"/>
  <c r="BK729" i="8" s="1"/>
  <c r="AI699" i="8"/>
  <c r="BB699" i="8" s="1"/>
  <c r="AN690" i="8"/>
  <c r="BG690" i="8" s="1"/>
  <c r="AL690" i="8"/>
  <c r="BE690" i="8" s="1"/>
  <c r="AK391" i="8"/>
  <c r="BD391" i="8" s="1"/>
  <c r="AP391" i="8"/>
  <c r="BI391" i="8" s="1"/>
  <c r="AN235" i="8"/>
  <c r="BG235" i="8" s="1"/>
  <c r="AR577" i="8"/>
  <c r="BK577" i="8" s="1"/>
  <c r="AJ353" i="8"/>
  <c r="BC353" i="8" s="1"/>
  <c r="AR302" i="8"/>
  <c r="BK302" i="8" s="1"/>
  <c r="AM691" i="8"/>
  <c r="BF691" i="8" s="1"/>
  <c r="AO322" i="8"/>
  <c r="BH322" i="8" s="1"/>
  <c r="AO706" i="8"/>
  <c r="BH706" i="8" s="1"/>
  <c r="AP271" i="8"/>
  <c r="BI271" i="8" s="1"/>
  <c r="AO271" i="8"/>
  <c r="BH271" i="8" s="1"/>
  <c r="AM516" i="8"/>
  <c r="BF516" i="8" s="1"/>
  <c r="AI320" i="8"/>
  <c r="BB320" i="8" s="1"/>
  <c r="AM603" i="8"/>
  <c r="BF603" i="8" s="1"/>
  <c r="AQ679" i="8"/>
  <c r="BJ679" i="8" s="1"/>
  <c r="AN769" i="8"/>
  <c r="BG769" i="8" s="1"/>
  <c r="AK159" i="8"/>
  <c r="BD159" i="8" s="1"/>
  <c r="AR596" i="8"/>
  <c r="BK596" i="8" s="1"/>
  <c r="AK634" i="8"/>
  <c r="BD634" i="8" s="1"/>
  <c r="AP233" i="8"/>
  <c r="BI233" i="8" s="1"/>
  <c r="AQ233" i="8"/>
  <c r="BJ233" i="8" s="1"/>
  <c r="AN750" i="8"/>
  <c r="BG750" i="8" s="1"/>
  <c r="AR694" i="8"/>
  <c r="BK694" i="8" s="1"/>
  <c r="AJ694" i="8"/>
  <c r="BC694" i="8" s="1"/>
  <c r="AN638" i="8"/>
  <c r="BG638" i="8" s="1"/>
  <c r="AJ655" i="8"/>
  <c r="BC655" i="8" s="1"/>
  <c r="AQ655" i="8"/>
  <c r="BJ655" i="8" s="1"/>
  <c r="AI601" i="8"/>
  <c r="BB601" i="8" s="1"/>
  <c r="AL571" i="8"/>
  <c r="BE571" i="8" s="1"/>
  <c r="AO250" i="8"/>
  <c r="BH250" i="8" s="1"/>
  <c r="AI490" i="8"/>
  <c r="BB490" i="8" s="1"/>
  <c r="AJ261" i="8"/>
  <c r="BC261" i="8" s="1"/>
  <c r="AP731" i="8"/>
  <c r="BI731" i="8" s="1"/>
  <c r="AN715" i="8"/>
  <c r="BG715" i="8" s="1"/>
  <c r="AR545" i="8"/>
  <c r="BK545" i="8" s="1"/>
  <c r="AP458" i="8"/>
  <c r="BI458" i="8" s="1"/>
  <c r="AP376" i="8"/>
  <c r="BI376" i="8" s="1"/>
  <c r="AO376" i="8"/>
  <c r="BH376" i="8" s="1"/>
  <c r="AR677" i="1"/>
  <c r="BK677" i="1" s="1"/>
  <c r="AK677" i="1"/>
  <c r="BD677" i="1" s="1"/>
  <c r="AI495" i="8"/>
  <c r="BB495" i="8" s="1"/>
  <c r="AJ661" i="8"/>
  <c r="BC661" i="8" s="1"/>
  <c r="AK661" i="8"/>
  <c r="BD661" i="8" s="1"/>
  <c r="AQ661" i="8"/>
  <c r="BJ661" i="8" s="1"/>
  <c r="AI661" i="8"/>
  <c r="AO661" i="8"/>
  <c r="BH661" i="8" s="1"/>
  <c r="AN661" i="8"/>
  <c r="BG661" i="8" s="1"/>
  <c r="AR661" i="8"/>
  <c r="BK661" i="8" s="1"/>
  <c r="AP661" i="8"/>
  <c r="BI661" i="8" s="1"/>
  <c r="AL661" i="8"/>
  <c r="BE661" i="8" s="1"/>
  <c r="AM661" i="8"/>
  <c r="BF661" i="8" s="1"/>
  <c r="AJ678" i="1"/>
  <c r="BC678" i="1" s="1"/>
  <c r="AO678" i="1"/>
  <c r="BH678" i="1" s="1"/>
  <c r="AL711" i="8"/>
  <c r="BE711" i="8" s="1"/>
  <c r="AM711" i="8"/>
  <c r="BF711" i="8" s="1"/>
  <c r="AI674" i="8"/>
  <c r="BB674" i="8" s="1"/>
  <c r="AK729" i="8"/>
  <c r="BD729" i="8" s="1"/>
  <c r="AP699" i="8"/>
  <c r="BI699" i="8" s="1"/>
  <c r="AO690" i="8"/>
  <c r="BH690" i="8" s="1"/>
  <c r="AP690" i="8"/>
  <c r="BI690" i="8" s="1"/>
  <c r="AQ391" i="8"/>
  <c r="BJ391" i="8" s="1"/>
  <c r="AI391" i="8"/>
  <c r="BB391" i="8" s="1"/>
  <c r="AM235" i="8"/>
  <c r="BF235" i="8" s="1"/>
  <c r="AO353" i="8"/>
  <c r="BH353" i="8" s="1"/>
  <c r="AI302" i="8"/>
  <c r="BB302" i="8" s="1"/>
  <c r="AN691" i="8"/>
  <c r="BG691" i="8" s="1"/>
  <c r="AJ322" i="8"/>
  <c r="BC322" i="8" s="1"/>
  <c r="AL706" i="8"/>
  <c r="BE706" i="8" s="1"/>
  <c r="AM271" i="8"/>
  <c r="BF271" i="8" s="1"/>
  <c r="AN516" i="8"/>
  <c r="BG516" i="8" s="1"/>
  <c r="AP320" i="8"/>
  <c r="BI320" i="8" s="1"/>
  <c r="AO603" i="8"/>
  <c r="BH603" i="8" s="1"/>
  <c r="AJ679" i="8"/>
  <c r="BC679" i="8" s="1"/>
  <c r="AK769" i="8"/>
  <c r="BD769" i="8" s="1"/>
  <c r="AI159" i="8"/>
  <c r="BB159" i="8" s="1"/>
  <c r="AM596" i="8"/>
  <c r="BF596" i="8" s="1"/>
  <c r="AI596" i="8"/>
  <c r="AL634" i="8"/>
  <c r="BE634" i="8" s="1"/>
  <c r="AJ233" i="8"/>
  <c r="BC233" i="8" s="1"/>
  <c r="AO233" i="8"/>
  <c r="BH233" i="8" s="1"/>
  <c r="AQ750" i="8"/>
  <c r="BJ750" i="8" s="1"/>
  <c r="AK694" i="8"/>
  <c r="BD694" i="8" s="1"/>
  <c r="AL694" i="8"/>
  <c r="BE694" i="8" s="1"/>
  <c r="AK638" i="8"/>
  <c r="BD638" i="8" s="1"/>
  <c r="AK655" i="8"/>
  <c r="BD655" i="8" s="1"/>
  <c r="AJ601" i="8"/>
  <c r="BC601" i="8" s="1"/>
  <c r="AO571" i="8"/>
  <c r="BH571" i="8" s="1"/>
  <c r="AJ250" i="8"/>
  <c r="BC250" i="8" s="1"/>
  <c r="AJ490" i="8"/>
  <c r="BC490" i="8" s="1"/>
  <c r="AN261" i="8"/>
  <c r="BG261" i="8" s="1"/>
  <c r="AI731" i="8"/>
  <c r="BB731" i="8" s="1"/>
  <c r="AO715" i="8"/>
  <c r="BH715" i="8" s="1"/>
  <c r="AP545" i="8"/>
  <c r="BI545" i="8" s="1"/>
  <c r="AI458" i="8"/>
  <c r="BB458" i="8" s="1"/>
  <c r="AK495" i="8"/>
  <c r="BD495" i="8" s="1"/>
  <c r="AN677" i="1"/>
  <c r="BG677" i="1" s="1"/>
  <c r="AI376" i="8"/>
  <c r="BB376" i="8" s="1"/>
  <c r="AJ495" i="8"/>
  <c r="BC495" i="8" s="1"/>
  <c r="AM678" i="1"/>
  <c r="BF678" i="1" s="1"/>
  <c r="AO711" i="8"/>
  <c r="BH711" i="8" s="1"/>
  <c r="AN577" i="8"/>
  <c r="BG577" i="8" s="1"/>
  <c r="AP353" i="8"/>
  <c r="BI353" i="8" s="1"/>
  <c r="AN302" i="8"/>
  <c r="BG302" i="8" s="1"/>
  <c r="AM302" i="8"/>
  <c r="BF302" i="8" s="1"/>
  <c r="AO691" i="8"/>
  <c r="BH691" i="8" s="1"/>
  <c r="AN322" i="8"/>
  <c r="BG322" i="8" s="1"/>
  <c r="AK322" i="8"/>
  <c r="BD322" i="8" s="1"/>
  <c r="AJ706" i="8"/>
  <c r="BC706" i="8" s="1"/>
  <c r="AQ271" i="8"/>
  <c r="BJ271" i="8" s="1"/>
  <c r="AI516" i="8"/>
  <c r="BB516" i="8" s="1"/>
  <c r="AR320" i="8"/>
  <c r="BK320" i="8" s="1"/>
  <c r="AO320" i="8"/>
  <c r="BH320" i="8" s="1"/>
  <c r="AN603" i="8"/>
  <c r="BG603" i="8" s="1"/>
  <c r="AR679" i="8"/>
  <c r="BK679" i="8" s="1"/>
  <c r="AR769" i="8"/>
  <c r="BK769" i="8" s="1"/>
  <c r="AO769" i="8"/>
  <c r="BH769" i="8" s="1"/>
  <c r="AN159" i="8"/>
  <c r="BG159" i="8" s="1"/>
  <c r="AL596" i="8"/>
  <c r="BE596" i="8" s="1"/>
  <c r="AK596" i="8"/>
  <c r="BD596" i="8" s="1"/>
  <c r="AP634" i="8"/>
  <c r="BI634" i="8" s="1"/>
  <c r="AR233" i="8"/>
  <c r="BK233" i="8" s="1"/>
  <c r="AR750" i="8"/>
  <c r="BK750" i="8" s="1"/>
  <c r="AM694" i="8"/>
  <c r="BF694" i="8" s="1"/>
  <c r="AO638" i="8"/>
  <c r="BH638" i="8" s="1"/>
  <c r="AR655" i="8"/>
  <c r="BK655" i="8" s="1"/>
  <c r="AM601" i="8"/>
  <c r="BF601" i="8" s="1"/>
  <c r="AP571" i="8"/>
  <c r="BI571" i="8" s="1"/>
  <c r="AK250" i="8"/>
  <c r="BD250" i="8" s="1"/>
  <c r="AR250" i="8"/>
  <c r="BK250" i="8" s="1"/>
  <c r="AL490" i="8"/>
  <c r="BE490" i="8" s="1"/>
  <c r="AP261" i="8"/>
  <c r="BI261" i="8" s="1"/>
  <c r="AN731" i="8"/>
  <c r="BG731" i="8" s="1"/>
  <c r="AI715" i="8"/>
  <c r="BB715" i="8" s="1"/>
  <c r="AM545" i="8"/>
  <c r="BF545" i="8" s="1"/>
  <c r="AQ458" i="8"/>
  <c r="BJ458" i="8" s="1"/>
  <c r="AM376" i="8"/>
  <c r="BF376" i="8" s="1"/>
  <c r="AN495" i="8"/>
  <c r="BG495" i="8" s="1"/>
  <c r="AO495" i="8"/>
  <c r="BH495" i="8" s="1"/>
  <c r="AO302" i="8"/>
  <c r="BH302" i="8" s="1"/>
  <c r="AL322" i="8"/>
  <c r="BE322" i="8" s="1"/>
  <c r="AQ516" i="8"/>
  <c r="BJ516" i="8" s="1"/>
  <c r="AM320" i="8"/>
  <c r="BF320" i="8" s="1"/>
  <c r="AP769" i="8"/>
  <c r="BI769" i="8" s="1"/>
  <c r="AL250" i="8"/>
  <c r="BE250" i="8" s="1"/>
  <c r="AQ731" i="8"/>
  <c r="BJ731" i="8" s="1"/>
  <c r="AN376" i="8"/>
  <c r="BG376" i="8" s="1"/>
  <c r="AL495" i="8"/>
  <c r="BE495" i="8" s="1"/>
  <c r="AR376" i="8"/>
  <c r="BK376" i="8" s="1"/>
  <c r="AK369" i="8"/>
  <c r="BD369" i="8" s="1"/>
  <c r="AO536" i="8"/>
  <c r="BH536" i="8" s="1"/>
  <c r="AQ536" i="8"/>
  <c r="BJ536" i="8" s="1"/>
  <c r="AR621" i="8"/>
  <c r="BK621" i="8" s="1"/>
  <c r="AI700" i="8"/>
  <c r="BB700" i="8" s="1"/>
  <c r="AO700" i="8"/>
  <c r="BH700" i="8" s="1"/>
  <c r="AP368" i="8"/>
  <c r="BI368" i="8" s="1"/>
  <c r="AI622" i="8"/>
  <c r="BB622" i="8" s="1"/>
  <c r="AL671" i="8"/>
  <c r="BE671" i="8" s="1"/>
  <c r="AR402" i="8"/>
  <c r="BK402" i="8" s="1"/>
  <c r="AQ514" i="8"/>
  <c r="BJ514" i="8" s="1"/>
  <c r="AM419" i="8"/>
  <c r="BF419" i="8" s="1"/>
  <c r="AM410" i="8"/>
  <c r="BF410" i="8" s="1"/>
  <c r="AI478" i="8"/>
  <c r="BB478" i="8" s="1"/>
  <c r="AR478" i="8"/>
  <c r="BK478" i="8" s="1"/>
  <c r="AR351" i="8"/>
  <c r="BK351" i="8" s="1"/>
  <c r="AK323" i="8"/>
  <c r="BD323" i="8" s="1"/>
  <c r="AI323" i="8"/>
  <c r="BB323" i="8" s="1"/>
  <c r="AI417" i="8"/>
  <c r="BB417" i="8" s="1"/>
  <c r="AL369" i="8"/>
  <c r="BE369" i="8" s="1"/>
  <c r="AN536" i="8"/>
  <c r="BG536" i="8" s="1"/>
  <c r="AP536" i="8"/>
  <c r="BI536" i="8" s="1"/>
  <c r="AM621" i="8"/>
  <c r="BF621" i="8" s="1"/>
  <c r="AR700" i="8"/>
  <c r="BK700" i="8" s="1"/>
  <c r="AM368" i="8"/>
  <c r="BF368" i="8" s="1"/>
  <c r="AQ622" i="8"/>
  <c r="BJ622" i="8" s="1"/>
  <c r="AM671" i="8"/>
  <c r="BF671" i="8" s="1"/>
  <c r="AM402" i="8"/>
  <c r="BF402" i="8" s="1"/>
  <c r="AO514" i="8"/>
  <c r="BH514" i="8" s="1"/>
  <c r="AI419" i="8"/>
  <c r="BB419" i="8" s="1"/>
  <c r="AK410" i="8"/>
  <c r="BD410" i="8" s="1"/>
  <c r="AN478" i="8"/>
  <c r="BG478" i="8" s="1"/>
  <c r="AJ351" i="8"/>
  <c r="BC351" i="8" s="1"/>
  <c r="AQ417" i="8"/>
  <c r="BJ417" i="8" s="1"/>
  <c r="AJ417" i="8"/>
  <c r="BC417" i="8" s="1"/>
  <c r="AL396" i="8"/>
  <c r="BE396" i="8" s="1"/>
  <c r="AJ396" i="8"/>
  <c r="BC396" i="8" s="1"/>
  <c r="AK396" i="8"/>
  <c r="BD396" i="8" s="1"/>
  <c r="AQ396" i="8"/>
  <c r="BJ396" i="8" s="1"/>
  <c r="AI396" i="8"/>
  <c r="AP396" i="8"/>
  <c r="BI396" i="8" s="1"/>
  <c r="AR396" i="8"/>
  <c r="BK396" i="8" s="1"/>
  <c r="AM396" i="8"/>
  <c r="BF396" i="8" s="1"/>
  <c r="AN396" i="8"/>
  <c r="BG396" i="8" s="1"/>
  <c r="AO396" i="8"/>
  <c r="BH396" i="8" s="1"/>
  <c r="AM369" i="8"/>
  <c r="BF369" i="8" s="1"/>
  <c r="AR536" i="8"/>
  <c r="BK536" i="8" s="1"/>
  <c r="AI621" i="8"/>
  <c r="AO621" i="8"/>
  <c r="BH621" i="8" s="1"/>
  <c r="AP700" i="8"/>
  <c r="BI700" i="8" s="1"/>
  <c r="AO368" i="8"/>
  <c r="BH368" i="8" s="1"/>
  <c r="AP622" i="8"/>
  <c r="BI622" i="8" s="1"/>
  <c r="AR622" i="8"/>
  <c r="BK622" i="8" s="1"/>
  <c r="AI671" i="8"/>
  <c r="BB671" i="8" s="1"/>
  <c r="AO671" i="8"/>
  <c r="BH671" i="8" s="1"/>
  <c r="AN402" i="8"/>
  <c r="BG402" i="8" s="1"/>
  <c r="AK514" i="8"/>
  <c r="BD514" i="8" s="1"/>
  <c r="AM514" i="8"/>
  <c r="BF514" i="8" s="1"/>
  <c r="AK419" i="8"/>
  <c r="BD419" i="8" s="1"/>
  <c r="AQ419" i="8"/>
  <c r="BJ419" i="8" s="1"/>
  <c r="AO410" i="8"/>
  <c r="BH410" i="8" s="1"/>
  <c r="AP478" i="8"/>
  <c r="BI478" i="8" s="1"/>
  <c r="AL351" i="8"/>
  <c r="BE351" i="8" s="1"/>
  <c r="AR323" i="8"/>
  <c r="BK323" i="8" s="1"/>
  <c r="AO323" i="8"/>
  <c r="BH323" i="8" s="1"/>
  <c r="AQ478" i="8"/>
  <c r="BJ478" i="8" s="1"/>
  <c r="AL323" i="8"/>
  <c r="BE323" i="8" s="1"/>
  <c r="AQ323" i="8"/>
  <c r="BJ323" i="8" s="1"/>
  <c r="AK521" i="8"/>
  <c r="BD521" i="8" s="1"/>
  <c r="AK536" i="8"/>
  <c r="BD536" i="8" s="1"/>
  <c r="AK621" i="8"/>
  <c r="BD621" i="8" s="1"/>
  <c r="AK700" i="8"/>
  <c r="BD700" i="8" s="1"/>
  <c r="AN368" i="8"/>
  <c r="BG368" i="8" s="1"/>
  <c r="AJ368" i="8"/>
  <c r="BC368" i="8" s="1"/>
  <c r="AL622" i="8"/>
  <c r="BE622" i="8" s="1"/>
  <c r="AK671" i="8"/>
  <c r="BD671" i="8" s="1"/>
  <c r="AQ402" i="8"/>
  <c r="BJ402" i="8" s="1"/>
  <c r="AP402" i="8"/>
  <c r="BI402" i="8" s="1"/>
  <c r="AI514" i="8"/>
  <c r="BB514" i="8" s="1"/>
  <c r="AR419" i="8"/>
  <c r="BK419" i="8" s="1"/>
  <c r="AI410" i="8"/>
  <c r="BB410" i="8" s="1"/>
  <c r="AK478" i="8"/>
  <c r="BD478" i="8" s="1"/>
  <c r="AQ351" i="8"/>
  <c r="BJ351" i="8" s="1"/>
  <c r="AK351" i="8"/>
  <c r="BD351" i="8" s="1"/>
  <c r="AL417" i="8"/>
  <c r="BE417" i="8" s="1"/>
  <c r="AK417" i="8"/>
  <c r="BD417" i="8" s="1"/>
  <c r="AP417" i="8"/>
  <c r="BI417" i="8" s="1"/>
  <c r="AI536" i="8"/>
  <c r="BB536" i="8" s="1"/>
  <c r="AQ700" i="8"/>
  <c r="BJ700" i="8" s="1"/>
  <c r="AO622" i="8"/>
  <c r="BH622" i="8" s="1"/>
  <c r="AJ402" i="8"/>
  <c r="BC402" i="8" s="1"/>
  <c r="AI402" i="8"/>
  <c r="BB402" i="8" s="1"/>
  <c r="AP514" i="8"/>
  <c r="BI514" i="8" s="1"/>
  <c r="AL410" i="8"/>
  <c r="BE410" i="8" s="1"/>
  <c r="AQ410" i="8"/>
  <c r="BJ410" i="8" s="1"/>
  <c r="AJ478" i="8"/>
  <c r="BC478" i="8" s="1"/>
  <c r="AM323" i="8"/>
  <c r="BF323" i="8" s="1"/>
  <c r="AJ662" i="8"/>
  <c r="BC662" i="8" s="1"/>
  <c r="AQ662" i="8"/>
  <c r="BJ662" i="8" s="1"/>
  <c r="AN662" i="8"/>
  <c r="BG662" i="8" s="1"/>
  <c r="AP662" i="8"/>
  <c r="BI662" i="8" s="1"/>
  <c r="AR662" i="8"/>
  <c r="BK662" i="8" s="1"/>
  <c r="AM662" i="8"/>
  <c r="BF662" i="8" s="1"/>
  <c r="AL662" i="8"/>
  <c r="BE662" i="8" s="1"/>
  <c r="AO662" i="8"/>
  <c r="BH662" i="8" s="1"/>
  <c r="AK662" i="8"/>
  <c r="BD662" i="8" s="1"/>
  <c r="AI662" i="8"/>
  <c r="AM700" i="8"/>
  <c r="BF700" i="8" s="1"/>
  <c r="AR410" i="8"/>
  <c r="BK410" i="8" s="1"/>
  <c r="AM478" i="8"/>
  <c r="BF478" i="8" s="1"/>
  <c r="AJ323" i="8"/>
  <c r="BC323" i="8" s="1"/>
  <c r="AP323" i="8"/>
  <c r="BI323" i="8" s="1"/>
  <c r="AL492" i="8"/>
  <c r="BE492" i="8" s="1"/>
  <c r="AM492" i="8"/>
  <c r="BF492" i="8" s="1"/>
  <c r="AJ492" i="8"/>
  <c r="BC492" i="8" s="1"/>
  <c r="AK492" i="8"/>
  <c r="BD492" i="8" s="1"/>
  <c r="AO492" i="8"/>
  <c r="BH492" i="8" s="1"/>
  <c r="AQ492" i="8"/>
  <c r="BJ492" i="8" s="1"/>
  <c r="AI492" i="8"/>
  <c r="AP492" i="8"/>
  <c r="BI492" i="8" s="1"/>
  <c r="AR492" i="8"/>
  <c r="BK492" i="8" s="1"/>
  <c r="AN492" i="8"/>
  <c r="BG492" i="8" s="1"/>
  <c r="AO549" i="8"/>
  <c r="BH549" i="8" s="1"/>
  <c r="AQ549" i="8"/>
  <c r="BJ549" i="8" s="1"/>
  <c r="AR549" i="8"/>
  <c r="BK549" i="8" s="1"/>
  <c r="AJ549" i="8"/>
  <c r="BC549" i="8" s="1"/>
  <c r="AP549" i="8"/>
  <c r="BI549" i="8" s="1"/>
  <c r="AI549" i="8"/>
  <c r="AL549" i="8"/>
  <c r="BE549" i="8" s="1"/>
  <c r="AN549" i="8"/>
  <c r="BG549" i="8" s="1"/>
  <c r="AM549" i="8"/>
  <c r="BF549" i="8" s="1"/>
  <c r="AK549" i="8"/>
  <c r="BD549" i="8" s="1"/>
  <c r="AM560" i="8"/>
  <c r="BF560" i="8" s="1"/>
  <c r="AR560" i="8"/>
  <c r="BK560" i="8" s="1"/>
  <c r="AI560" i="8"/>
  <c r="BB560" i="8" s="1"/>
  <c r="AO560" i="8"/>
  <c r="BH560" i="8" s="1"/>
  <c r="AI612" i="8"/>
  <c r="BB612" i="8" s="1"/>
  <c r="AJ612" i="8"/>
  <c r="BC612" i="8" s="1"/>
  <c r="AP646" i="8"/>
  <c r="BI646" i="8" s="1"/>
  <c r="AJ646" i="8"/>
  <c r="BC646" i="8" s="1"/>
  <c r="AO646" i="8"/>
  <c r="BH646" i="8" s="1"/>
  <c r="AK646" i="8"/>
  <c r="BD646" i="8" s="1"/>
  <c r="AN646" i="8"/>
  <c r="BG646" i="8" s="1"/>
  <c r="AI646" i="8"/>
  <c r="AM646" i="8"/>
  <c r="BF646" i="8" s="1"/>
  <c r="AQ646" i="8"/>
  <c r="BJ646" i="8" s="1"/>
  <c r="AL646" i="8"/>
  <c r="BE646" i="8" s="1"/>
  <c r="AR646" i="8"/>
  <c r="BK646" i="8" s="1"/>
  <c r="AM651" i="8"/>
  <c r="BF651" i="8" s="1"/>
  <c r="AQ651" i="8"/>
  <c r="BJ651" i="8" s="1"/>
  <c r="AN651" i="8"/>
  <c r="BG651" i="8" s="1"/>
  <c r="AO651" i="8"/>
  <c r="BH651" i="8" s="1"/>
  <c r="AL651" i="8"/>
  <c r="BE651" i="8" s="1"/>
  <c r="AR651" i="8"/>
  <c r="BK651" i="8" s="1"/>
  <c r="AK651" i="8"/>
  <c r="BD651" i="8" s="1"/>
  <c r="AJ651" i="8"/>
  <c r="BC651" i="8" s="1"/>
  <c r="AI651" i="8"/>
  <c r="AP651" i="8"/>
  <c r="BI651" i="8" s="1"/>
  <c r="AQ647" i="8"/>
  <c r="BJ647" i="8" s="1"/>
  <c r="AR647" i="8"/>
  <c r="BK647" i="8" s="1"/>
  <c r="AM647" i="8"/>
  <c r="BF647" i="8" s="1"/>
  <c r="AI647" i="8"/>
  <c r="AP647" i="8"/>
  <c r="BI647" i="8" s="1"/>
  <c r="AK647" i="8"/>
  <c r="BD647" i="8" s="1"/>
  <c r="AO647" i="8"/>
  <c r="BH647" i="8" s="1"/>
  <c r="AN647" i="8"/>
  <c r="BG647" i="8" s="1"/>
  <c r="AL647" i="8"/>
  <c r="BE647" i="8" s="1"/>
  <c r="AJ647" i="8"/>
  <c r="BC647" i="8" s="1"/>
  <c r="AL114" i="8"/>
  <c r="BE114" i="8" s="1"/>
  <c r="AN114" i="8"/>
  <c r="BG114" i="8" s="1"/>
  <c r="AI114" i="8"/>
  <c r="AP114" i="8"/>
  <c r="BI114" i="8" s="1"/>
  <c r="AM114" i="8"/>
  <c r="BF114" i="8" s="1"/>
  <c r="AK114" i="8"/>
  <c r="BD114" i="8" s="1"/>
  <c r="AR114" i="8"/>
  <c r="BK114" i="8" s="1"/>
  <c r="AQ114" i="8"/>
  <c r="BJ114" i="8" s="1"/>
  <c r="AJ114" i="8"/>
  <c r="BC114" i="8" s="1"/>
  <c r="AO114" i="8"/>
  <c r="BH114" i="8" s="1"/>
  <c r="AK630" i="8"/>
  <c r="BD630" i="8" s="1"/>
  <c r="AR630" i="8"/>
  <c r="BK630" i="8" s="1"/>
  <c r="AL630" i="8"/>
  <c r="BE630" i="8" s="1"/>
  <c r="AI630" i="8"/>
  <c r="AJ630" i="8"/>
  <c r="BC630" i="8" s="1"/>
  <c r="AN630" i="8"/>
  <c r="BG630" i="8" s="1"/>
  <c r="AQ630" i="8"/>
  <c r="BJ630" i="8" s="1"/>
  <c r="AP630" i="8"/>
  <c r="BI630" i="8" s="1"/>
  <c r="AM630" i="8"/>
  <c r="BF630" i="8" s="1"/>
  <c r="AO630" i="8"/>
  <c r="BH630" i="8" s="1"/>
  <c r="AL722" i="8"/>
  <c r="BE722" i="8" s="1"/>
  <c r="AR722" i="8"/>
  <c r="BK722" i="8" s="1"/>
  <c r="AN722" i="8"/>
  <c r="BG722" i="8" s="1"/>
  <c r="AO722" i="8"/>
  <c r="BH722" i="8" s="1"/>
  <c r="AM722" i="8"/>
  <c r="BF722" i="8" s="1"/>
  <c r="AI722" i="8"/>
  <c r="AQ722" i="8"/>
  <c r="BJ722" i="8" s="1"/>
  <c r="AP722" i="8"/>
  <c r="BI722" i="8" s="1"/>
  <c r="AK722" i="8"/>
  <c r="BD722" i="8" s="1"/>
  <c r="AJ722" i="8"/>
  <c r="BC722" i="8" s="1"/>
  <c r="AM739" i="1"/>
  <c r="BF739" i="1" s="1"/>
  <c r="AO739" i="1"/>
  <c r="BH739" i="1" s="1"/>
  <c r="AI712" i="1"/>
  <c r="BB712" i="1" s="1"/>
  <c r="AN775" i="1"/>
  <c r="BG775" i="1" s="1"/>
  <c r="AR696" i="8"/>
  <c r="BK696" i="8" s="1"/>
  <c r="AR299" i="8"/>
  <c r="BK299" i="8" s="1"/>
  <c r="AR301" i="8"/>
  <c r="BK301" i="8" s="1"/>
  <c r="AN268" i="8"/>
  <c r="BG268" i="8" s="1"/>
  <c r="AK739" i="8"/>
  <c r="BD739" i="8" s="1"/>
  <c r="AR499" i="8"/>
  <c r="BK499" i="8" s="1"/>
  <c r="AL499" i="8"/>
  <c r="BE499" i="8" s="1"/>
  <c r="AP401" i="8"/>
  <c r="BI401" i="8" s="1"/>
  <c r="AP293" i="8"/>
  <c r="BI293" i="8" s="1"/>
  <c r="AK388" i="8"/>
  <c r="BD388" i="8" s="1"/>
  <c r="AI388" i="8"/>
  <c r="BB388" i="8" s="1"/>
  <c r="AM542" i="8"/>
  <c r="BF542" i="8" s="1"/>
  <c r="AM466" i="8"/>
  <c r="BF466" i="8" s="1"/>
  <c r="AJ498" i="8"/>
  <c r="BC498" i="8" s="1"/>
  <c r="AM498" i="8"/>
  <c r="BF498" i="8" s="1"/>
  <c r="AI335" i="8"/>
  <c r="BB335" i="8" s="1"/>
  <c r="AL581" i="8"/>
  <c r="BE581" i="8" s="1"/>
  <c r="AQ581" i="8"/>
  <c r="BJ581" i="8" s="1"/>
  <c r="AP309" i="8"/>
  <c r="BI309" i="8" s="1"/>
  <c r="AJ309" i="8"/>
  <c r="BC309" i="8" s="1"/>
  <c r="AL678" i="8"/>
  <c r="BE678" i="8" s="1"/>
  <c r="AP340" i="8"/>
  <c r="BI340" i="8" s="1"/>
  <c r="AL459" i="8"/>
  <c r="BE459" i="8" s="1"/>
  <c r="AL602" i="8"/>
  <c r="BE602" i="8" s="1"/>
  <c r="AR297" i="8"/>
  <c r="BK297" i="8" s="1"/>
  <c r="AQ441" i="8"/>
  <c r="BJ441" i="8" s="1"/>
  <c r="AN441" i="8"/>
  <c r="BG441" i="8" s="1"/>
  <c r="AI317" i="8"/>
  <c r="BB317" i="8" s="1"/>
  <c r="AR686" i="8"/>
  <c r="BK686" i="8" s="1"/>
  <c r="AR246" i="8"/>
  <c r="BK246" i="8" s="1"/>
  <c r="AJ503" i="8"/>
  <c r="BC503" i="8" s="1"/>
  <c r="AQ252" i="8"/>
  <c r="BJ252" i="8" s="1"/>
  <c r="AI252" i="8"/>
  <c r="BB252" i="8" s="1"/>
  <c r="AM713" i="8"/>
  <c r="BF713" i="8" s="1"/>
  <c r="AL713" i="8"/>
  <c r="BE713" i="8" s="1"/>
  <c r="AR364" i="8"/>
  <c r="BK364" i="8" s="1"/>
  <c r="AQ364" i="8"/>
  <c r="BJ364" i="8" s="1"/>
  <c r="AI372" i="8"/>
  <c r="BB372" i="8" s="1"/>
  <c r="AQ372" i="8"/>
  <c r="BJ372" i="8" s="1"/>
  <c r="AJ614" i="8"/>
  <c r="BC614" i="8" s="1"/>
  <c r="AP614" i="8"/>
  <c r="BI614" i="8" s="1"/>
  <c r="AI740" i="8"/>
  <c r="BB740" i="8" s="1"/>
  <c r="AK288" i="8"/>
  <c r="BD288" i="8" s="1"/>
  <c r="AP227" i="8"/>
  <c r="BI227" i="8" s="1"/>
  <c r="AR227" i="8"/>
  <c r="BK227" i="8" s="1"/>
  <c r="AP422" i="8"/>
  <c r="BI422" i="8" s="1"/>
  <c r="AN422" i="8"/>
  <c r="BG422" i="8" s="1"/>
  <c r="AI324" i="8"/>
  <c r="BB324" i="8" s="1"/>
  <c r="AN198" i="8"/>
  <c r="BG198" i="8" s="1"/>
  <c r="AN477" i="8"/>
  <c r="BG477" i="8" s="1"/>
  <c r="AP208" i="8"/>
  <c r="BI208" i="8" s="1"/>
  <c r="AN483" i="8"/>
  <c r="BG483" i="8" s="1"/>
  <c r="AL739" i="1"/>
  <c r="BE739" i="1" s="1"/>
  <c r="AK739" i="1"/>
  <c r="BD739" i="1" s="1"/>
  <c r="AN712" i="1"/>
  <c r="BG712" i="1" s="1"/>
  <c r="N31" i="5" s="1"/>
  <c r="AL741" i="1"/>
  <c r="BE741" i="1" s="1"/>
  <c r="AP696" i="8"/>
  <c r="BI696" i="8" s="1"/>
  <c r="AK299" i="8"/>
  <c r="BD299" i="8" s="1"/>
  <c r="AK301" i="8"/>
  <c r="BD301" i="8" s="1"/>
  <c r="AI268" i="8"/>
  <c r="AM739" i="8"/>
  <c r="BF739" i="8" s="1"/>
  <c r="AJ499" i="8"/>
  <c r="BC499" i="8" s="1"/>
  <c r="AO499" i="8"/>
  <c r="BH499" i="8" s="1"/>
  <c r="AN401" i="8"/>
  <c r="BG401" i="8" s="1"/>
  <c r="AQ293" i="8"/>
  <c r="BJ293" i="8" s="1"/>
  <c r="AR388" i="8"/>
  <c r="BK388" i="8" s="1"/>
  <c r="AJ388" i="8"/>
  <c r="BC388" i="8" s="1"/>
  <c r="AP542" i="8"/>
  <c r="BI542" i="8" s="1"/>
  <c r="AN466" i="8"/>
  <c r="BG466" i="8" s="1"/>
  <c r="AP498" i="8"/>
  <c r="BI498" i="8" s="1"/>
  <c r="AR498" i="8"/>
  <c r="BK498" i="8" s="1"/>
  <c r="AM335" i="8"/>
  <c r="BF335" i="8" s="1"/>
  <c r="AM581" i="8"/>
  <c r="BF581" i="8" s="1"/>
  <c r="AP581" i="8"/>
  <c r="BI581" i="8" s="1"/>
  <c r="AR309" i="8"/>
  <c r="BK309" i="8" s="1"/>
  <c r="AJ678" i="8"/>
  <c r="BC678" i="8" s="1"/>
  <c r="AM340" i="8"/>
  <c r="BF340" i="8" s="1"/>
  <c r="AO459" i="8"/>
  <c r="BH459" i="8" s="1"/>
  <c r="AI602" i="8"/>
  <c r="BB602" i="8" s="1"/>
  <c r="AK297" i="8"/>
  <c r="BD297" i="8" s="1"/>
  <c r="AR441" i="8"/>
  <c r="BK441" i="8" s="1"/>
  <c r="AO441" i="8"/>
  <c r="BH441" i="8" s="1"/>
  <c r="AJ317" i="8"/>
  <c r="BC317" i="8" s="1"/>
  <c r="AK686" i="8"/>
  <c r="BD686" i="8" s="1"/>
  <c r="AK246" i="8"/>
  <c r="BD246" i="8" s="1"/>
  <c r="AN503" i="8"/>
  <c r="BG503" i="8" s="1"/>
  <c r="AJ252" i="8"/>
  <c r="BC252" i="8" s="1"/>
  <c r="AL252" i="8"/>
  <c r="BE252" i="8" s="1"/>
  <c r="AN713" i="8"/>
  <c r="BG713" i="8" s="1"/>
  <c r="AP713" i="8"/>
  <c r="BI713" i="8" s="1"/>
  <c r="AN364" i="8"/>
  <c r="BG364" i="8" s="1"/>
  <c r="AK372" i="8"/>
  <c r="BD372" i="8" s="1"/>
  <c r="AR614" i="8"/>
  <c r="BK614" i="8" s="1"/>
  <c r="AQ740" i="8"/>
  <c r="BJ740" i="8" s="1"/>
  <c r="AL288" i="8"/>
  <c r="BE288" i="8" s="1"/>
  <c r="AQ227" i="8"/>
  <c r="BJ227" i="8" s="1"/>
  <c r="AK227" i="8"/>
  <c r="BD227" i="8" s="1"/>
  <c r="AI422" i="8"/>
  <c r="BB422" i="8" s="1"/>
  <c r="AO422" i="8"/>
  <c r="BH422" i="8" s="1"/>
  <c r="AQ324" i="8"/>
  <c r="BJ324" i="8" s="1"/>
  <c r="AO198" i="8"/>
  <c r="BH198" i="8" s="1"/>
  <c r="AI477" i="8"/>
  <c r="AI208" i="8"/>
  <c r="BB208" i="8" s="1"/>
  <c r="AI483" i="8"/>
  <c r="BB483" i="8" s="1"/>
  <c r="AP483" i="8"/>
  <c r="BI483" i="8" s="1"/>
  <c r="AQ739" i="1"/>
  <c r="BJ739" i="1" s="1"/>
  <c r="AP712" i="1"/>
  <c r="BI712" i="1" s="1"/>
  <c r="P31" i="5" s="1"/>
  <c r="AL299" i="8"/>
  <c r="BE299" i="8" s="1"/>
  <c r="AL301" i="8"/>
  <c r="BE301" i="8" s="1"/>
  <c r="AK268" i="8"/>
  <c r="BD268" i="8" s="1"/>
  <c r="AN739" i="8"/>
  <c r="BG739" i="8" s="1"/>
  <c r="AM499" i="8"/>
  <c r="BF499" i="8" s="1"/>
  <c r="AR401" i="8"/>
  <c r="BK401" i="8" s="1"/>
  <c r="AI401" i="8"/>
  <c r="BB401" i="8" s="1"/>
  <c r="AJ293" i="8"/>
  <c r="BC293" i="8" s="1"/>
  <c r="AN542" i="8"/>
  <c r="BG542" i="8" s="1"/>
  <c r="AO466" i="8"/>
  <c r="BH466" i="8" s="1"/>
  <c r="AI466" i="8"/>
  <c r="BB466" i="8" s="1"/>
  <c r="AQ498" i="8"/>
  <c r="BJ498" i="8" s="1"/>
  <c r="AJ335" i="8"/>
  <c r="BC335" i="8" s="1"/>
  <c r="AJ581" i="8"/>
  <c r="BC581" i="8" s="1"/>
  <c r="AI309" i="8"/>
  <c r="BB309" i="8" s="1"/>
  <c r="AR678" i="8"/>
  <c r="BK678" i="8" s="1"/>
  <c r="AK340" i="8"/>
  <c r="BD340" i="8" s="1"/>
  <c r="AJ340" i="8"/>
  <c r="BC340" i="8" s="1"/>
  <c r="AM459" i="8"/>
  <c r="BF459" i="8" s="1"/>
  <c r="AP602" i="8"/>
  <c r="BI602" i="8" s="1"/>
  <c r="AO602" i="8"/>
  <c r="BH602" i="8" s="1"/>
  <c r="AP297" i="8"/>
  <c r="BI297" i="8" s="1"/>
  <c r="AP441" i="8"/>
  <c r="BI441" i="8" s="1"/>
  <c r="AK317" i="8"/>
  <c r="BD317" i="8" s="1"/>
  <c r="AR317" i="8"/>
  <c r="BK317" i="8" s="1"/>
  <c r="AM686" i="8"/>
  <c r="BF686" i="8" s="1"/>
  <c r="AL246" i="8"/>
  <c r="BE246" i="8" s="1"/>
  <c r="AR503" i="8"/>
  <c r="BK503" i="8" s="1"/>
  <c r="AR252" i="8"/>
  <c r="BK252" i="8" s="1"/>
  <c r="AO713" i="8"/>
  <c r="BH713" i="8" s="1"/>
  <c r="AL364" i="8"/>
  <c r="BE364" i="8" s="1"/>
  <c r="AN372" i="8"/>
  <c r="BG372" i="8" s="1"/>
  <c r="AM614" i="8"/>
  <c r="BF614" i="8" s="1"/>
  <c r="AJ740" i="8"/>
  <c r="BC740" i="8" s="1"/>
  <c r="AM288" i="8"/>
  <c r="BF288" i="8" s="1"/>
  <c r="AL227" i="8"/>
  <c r="BE227" i="8" s="1"/>
  <c r="AQ422" i="8"/>
  <c r="BJ422" i="8" s="1"/>
  <c r="AO324" i="8"/>
  <c r="BH324" i="8" s="1"/>
  <c r="AP198" i="8"/>
  <c r="BI198" i="8" s="1"/>
  <c r="AJ477" i="8"/>
  <c r="BC477" i="8" s="1"/>
  <c r="AQ208" i="8"/>
  <c r="BJ208" i="8" s="1"/>
  <c r="AQ483" i="8"/>
  <c r="BJ483" i="8" s="1"/>
  <c r="AO483" i="8"/>
  <c r="BH483" i="8" s="1"/>
  <c r="AN616" i="8"/>
  <c r="BG616" i="8" s="1"/>
  <c r="AL616" i="8"/>
  <c r="BE616" i="8" s="1"/>
  <c r="AK616" i="8"/>
  <c r="BD616" i="8" s="1"/>
  <c r="AJ188" i="8"/>
  <c r="BC188" i="8" s="1"/>
  <c r="AR188" i="8"/>
  <c r="BK188" i="8" s="1"/>
  <c r="AL188" i="8"/>
  <c r="BE188" i="8" s="1"/>
  <c r="AO188" i="8"/>
  <c r="BH188" i="8" s="1"/>
  <c r="AP188" i="8"/>
  <c r="BI188" i="8" s="1"/>
  <c r="AN188" i="8"/>
  <c r="BG188" i="8" s="1"/>
  <c r="AM188" i="8"/>
  <c r="BF188" i="8" s="1"/>
  <c r="AK188" i="8"/>
  <c r="BD188" i="8" s="1"/>
  <c r="AQ188" i="8"/>
  <c r="BJ188" i="8" s="1"/>
  <c r="AI188" i="8"/>
  <c r="AI739" i="1"/>
  <c r="BB739" i="1" s="1"/>
  <c r="AL712" i="1"/>
  <c r="BE712" i="1" s="1"/>
  <c r="L31" i="5" s="1"/>
  <c r="AM696" i="8"/>
  <c r="BF696" i="8" s="1"/>
  <c r="AM299" i="8"/>
  <c r="BF299" i="8" s="1"/>
  <c r="AI299" i="8"/>
  <c r="BB299" i="8" s="1"/>
  <c r="AM301" i="8"/>
  <c r="BF301" i="8" s="1"/>
  <c r="AM268" i="8"/>
  <c r="BF268" i="8" s="1"/>
  <c r="AL268" i="8"/>
  <c r="BE268" i="8" s="1"/>
  <c r="AO739" i="8"/>
  <c r="BH739" i="8" s="1"/>
  <c r="AP499" i="8"/>
  <c r="BI499" i="8" s="1"/>
  <c r="AL401" i="8"/>
  <c r="BE401" i="8" s="1"/>
  <c r="AO401" i="8"/>
  <c r="BH401" i="8" s="1"/>
  <c r="AK293" i="8"/>
  <c r="BD293" i="8" s="1"/>
  <c r="AO388" i="8"/>
  <c r="BH388" i="8" s="1"/>
  <c r="AI542" i="8"/>
  <c r="BB542" i="8" s="1"/>
  <c r="AP466" i="8"/>
  <c r="BI466" i="8" s="1"/>
  <c r="AK466" i="8"/>
  <c r="BD466" i="8" s="1"/>
  <c r="AK498" i="8"/>
  <c r="BD498" i="8" s="1"/>
  <c r="AQ335" i="8"/>
  <c r="BJ335" i="8" s="1"/>
  <c r="AR581" i="8"/>
  <c r="BK581" i="8" s="1"/>
  <c r="AL309" i="8"/>
  <c r="BE309" i="8" s="1"/>
  <c r="AK678" i="8"/>
  <c r="BD678" i="8" s="1"/>
  <c r="AN340" i="8"/>
  <c r="BG340" i="8" s="1"/>
  <c r="AR340" i="8"/>
  <c r="BK340" i="8" s="1"/>
  <c r="AP459" i="8"/>
  <c r="BI459" i="8" s="1"/>
  <c r="AJ602" i="8"/>
  <c r="BC602" i="8" s="1"/>
  <c r="AQ602" i="8"/>
  <c r="BJ602" i="8" s="1"/>
  <c r="AJ297" i="8"/>
  <c r="BC297" i="8" s="1"/>
  <c r="AI441" i="8"/>
  <c r="BB441" i="8" s="1"/>
  <c r="AQ317" i="8"/>
  <c r="BJ317" i="8" s="1"/>
  <c r="AL317" i="8"/>
  <c r="BE317" i="8" s="1"/>
  <c r="AN686" i="8"/>
  <c r="BG686" i="8" s="1"/>
  <c r="AM246" i="8"/>
  <c r="BF246" i="8" s="1"/>
  <c r="AP503" i="8"/>
  <c r="BI503" i="8" s="1"/>
  <c r="AM252" i="8"/>
  <c r="BF252" i="8" s="1"/>
  <c r="AI713" i="8"/>
  <c r="BB713" i="8" s="1"/>
  <c r="AJ364" i="8"/>
  <c r="BC364" i="8" s="1"/>
  <c r="AL372" i="8"/>
  <c r="BE372" i="8" s="1"/>
  <c r="AL614" i="8"/>
  <c r="BE614" i="8" s="1"/>
  <c r="AR740" i="8"/>
  <c r="BK740" i="8" s="1"/>
  <c r="AL740" i="8"/>
  <c r="BE740" i="8" s="1"/>
  <c r="AQ288" i="8"/>
  <c r="BJ288" i="8" s="1"/>
  <c r="AI227" i="8"/>
  <c r="BB227" i="8" s="1"/>
  <c r="AJ422" i="8"/>
  <c r="BC422" i="8" s="1"/>
  <c r="AK324" i="8"/>
  <c r="BD324" i="8" s="1"/>
  <c r="AI198" i="8"/>
  <c r="BB198" i="8" s="1"/>
  <c r="AJ198" i="8"/>
  <c r="BC198" i="8" s="1"/>
  <c r="AR477" i="8"/>
  <c r="BK477" i="8" s="1"/>
  <c r="AL208" i="8"/>
  <c r="BE208" i="8" s="1"/>
  <c r="AJ208" i="8"/>
  <c r="BC208" i="8" s="1"/>
  <c r="AR483" i="8"/>
  <c r="BK483" i="8" s="1"/>
  <c r="AO760" i="8"/>
  <c r="BH760" i="8" s="1"/>
  <c r="AI616" i="8"/>
  <c r="BB616" i="8" s="1"/>
  <c r="AN301" i="8"/>
  <c r="BG301" i="8" s="1"/>
  <c r="AI739" i="8"/>
  <c r="BB739" i="8" s="1"/>
  <c r="AI499" i="8"/>
  <c r="BB499" i="8" s="1"/>
  <c r="AQ401" i="8"/>
  <c r="BJ401" i="8" s="1"/>
  <c r="AR293" i="8"/>
  <c r="BK293" i="8" s="1"/>
  <c r="AL293" i="8"/>
  <c r="BE293" i="8" s="1"/>
  <c r="AJ542" i="8"/>
  <c r="BC542" i="8" s="1"/>
  <c r="AO542" i="8"/>
  <c r="BH542" i="8" s="1"/>
  <c r="AQ466" i="8"/>
  <c r="BJ466" i="8" s="1"/>
  <c r="AN498" i="8"/>
  <c r="BG498" i="8" s="1"/>
  <c r="AO335" i="8"/>
  <c r="BH335" i="8" s="1"/>
  <c r="AR335" i="8"/>
  <c r="BK335" i="8" s="1"/>
  <c r="AN581" i="8"/>
  <c r="BG581" i="8" s="1"/>
  <c r="AM309" i="8"/>
  <c r="BF309" i="8" s="1"/>
  <c r="AI678" i="8"/>
  <c r="BB678" i="8" s="1"/>
  <c r="AI340" i="8"/>
  <c r="BB340" i="8" s="1"/>
  <c r="AN459" i="8"/>
  <c r="BG459" i="8" s="1"/>
  <c r="AR602" i="8"/>
  <c r="BK602" i="8" s="1"/>
  <c r="AL297" i="8"/>
  <c r="BE297" i="8" s="1"/>
  <c r="AI297" i="8"/>
  <c r="AJ441" i="8"/>
  <c r="BC441" i="8" s="1"/>
  <c r="AM317" i="8"/>
  <c r="BF317" i="8" s="1"/>
  <c r="AO686" i="8"/>
  <c r="BH686" i="8" s="1"/>
  <c r="AI246" i="8"/>
  <c r="BB246" i="8" s="1"/>
  <c r="AM503" i="8"/>
  <c r="BF503" i="8" s="1"/>
  <c r="AI503" i="8"/>
  <c r="BB503" i="8" s="1"/>
  <c r="AK252" i="8"/>
  <c r="BD252" i="8" s="1"/>
  <c r="AQ713" i="8"/>
  <c r="BJ713" i="8" s="1"/>
  <c r="AI364" i="8"/>
  <c r="BB364" i="8" s="1"/>
  <c r="AR372" i="8"/>
  <c r="BK372" i="8" s="1"/>
  <c r="AQ614" i="8"/>
  <c r="BJ614" i="8" s="1"/>
  <c r="AK740" i="8"/>
  <c r="BD740" i="8" s="1"/>
  <c r="AP740" i="8"/>
  <c r="BI740" i="8" s="1"/>
  <c r="AJ288" i="8"/>
  <c r="BC288" i="8" s="1"/>
  <c r="AN288" i="8"/>
  <c r="BG288" i="8" s="1"/>
  <c r="AM227" i="8"/>
  <c r="BF227" i="8" s="1"/>
  <c r="AL422" i="8"/>
  <c r="BE422" i="8" s="1"/>
  <c r="AR324" i="8"/>
  <c r="BK324" i="8" s="1"/>
  <c r="AQ198" i="8"/>
  <c r="BJ198" i="8" s="1"/>
  <c r="AR198" i="8"/>
  <c r="BK198" i="8" s="1"/>
  <c r="AK477" i="8"/>
  <c r="BD477" i="8" s="1"/>
  <c r="AM208" i="8"/>
  <c r="BF208" i="8" s="1"/>
  <c r="AK208" i="8"/>
  <c r="BD208" i="8" s="1"/>
  <c r="AJ483" i="8"/>
  <c r="BC483" i="8" s="1"/>
  <c r="AO616" i="8"/>
  <c r="BH616" i="8" s="1"/>
  <c r="AR616" i="8"/>
  <c r="BK616" i="8" s="1"/>
  <c r="AJ584" i="8"/>
  <c r="BC584" i="8" s="1"/>
  <c r="AL584" i="8"/>
  <c r="BE584" i="8" s="1"/>
  <c r="AM584" i="8"/>
  <c r="BF584" i="8" s="1"/>
  <c r="AP584" i="8"/>
  <c r="BI584" i="8" s="1"/>
  <c r="AQ584" i="8"/>
  <c r="BJ584" i="8" s="1"/>
  <c r="AR584" i="8"/>
  <c r="BK584" i="8" s="1"/>
  <c r="AI584" i="8"/>
  <c r="AO584" i="8"/>
  <c r="BH584" i="8" s="1"/>
  <c r="AN584" i="8"/>
  <c r="BG584" i="8" s="1"/>
  <c r="AK584" i="8"/>
  <c r="BD584" i="8" s="1"/>
  <c r="AR597" i="8"/>
  <c r="BK597" i="8" s="1"/>
  <c r="AQ597" i="8"/>
  <c r="BJ597" i="8" s="1"/>
  <c r="AI597" i="8"/>
  <c r="AN597" i="8"/>
  <c r="BG597" i="8" s="1"/>
  <c r="AO597" i="8"/>
  <c r="BH597" i="8" s="1"/>
  <c r="AP597" i="8"/>
  <c r="BI597" i="8" s="1"/>
  <c r="AL597" i="8"/>
  <c r="BE597" i="8" s="1"/>
  <c r="AM597" i="8"/>
  <c r="BF597" i="8" s="1"/>
  <c r="AJ597" i="8"/>
  <c r="BC597" i="8" s="1"/>
  <c r="AK597" i="8"/>
  <c r="BD597" i="8" s="1"/>
  <c r="AR712" i="1"/>
  <c r="BK712" i="1" s="1"/>
  <c r="AK741" i="1"/>
  <c r="BD741" i="1" s="1"/>
  <c r="AI696" i="8"/>
  <c r="BB696" i="8" s="1"/>
  <c r="AO301" i="8"/>
  <c r="BH301" i="8" s="1"/>
  <c r="AI301" i="8"/>
  <c r="BB301" i="8" s="1"/>
  <c r="AL739" i="8"/>
  <c r="BE739" i="8" s="1"/>
  <c r="AQ739" i="8"/>
  <c r="BJ739" i="8" s="1"/>
  <c r="AK499" i="8"/>
  <c r="BD499" i="8" s="1"/>
  <c r="AJ401" i="8"/>
  <c r="BC401" i="8" s="1"/>
  <c r="AO293" i="8"/>
  <c r="BH293" i="8" s="1"/>
  <c r="AM293" i="8"/>
  <c r="BF293" i="8" s="1"/>
  <c r="AK542" i="8"/>
  <c r="BD542" i="8" s="1"/>
  <c r="AQ542" i="8"/>
  <c r="BJ542" i="8" s="1"/>
  <c r="AJ466" i="8"/>
  <c r="BC466" i="8" s="1"/>
  <c r="AL498" i="8"/>
  <c r="BE498" i="8" s="1"/>
  <c r="AN335" i="8"/>
  <c r="BG335" i="8" s="1"/>
  <c r="AP335" i="8"/>
  <c r="BI335" i="8" s="1"/>
  <c r="AO581" i="8"/>
  <c r="BH581" i="8" s="1"/>
  <c r="AN309" i="8"/>
  <c r="BG309" i="8" s="1"/>
  <c r="AN678" i="8"/>
  <c r="BG678" i="8" s="1"/>
  <c r="AP678" i="8"/>
  <c r="BI678" i="8" s="1"/>
  <c r="AL340" i="8"/>
  <c r="BE340" i="8" s="1"/>
  <c r="AQ459" i="8"/>
  <c r="BJ459" i="8" s="1"/>
  <c r="AK602" i="8"/>
  <c r="BD602" i="8" s="1"/>
  <c r="AM297" i="8"/>
  <c r="BF297" i="8" s="1"/>
  <c r="AQ297" i="8"/>
  <c r="BJ297" i="8" s="1"/>
  <c r="AK441" i="8"/>
  <c r="BD441" i="8" s="1"/>
  <c r="AO317" i="8"/>
  <c r="BH317" i="8" s="1"/>
  <c r="AI686" i="8"/>
  <c r="BB686" i="8" s="1"/>
  <c r="AS606" i="8"/>
  <c r="AZ606" i="8" s="1"/>
  <c r="AJ246" i="8"/>
  <c r="BC246" i="8" s="1"/>
  <c r="AN246" i="8"/>
  <c r="BG246" i="8" s="1"/>
  <c r="AK503" i="8"/>
  <c r="BD503" i="8" s="1"/>
  <c r="AQ503" i="8"/>
  <c r="BJ503" i="8" s="1"/>
  <c r="AN252" i="8"/>
  <c r="BG252" i="8" s="1"/>
  <c r="AJ713" i="8"/>
  <c r="BC713" i="8" s="1"/>
  <c r="AP364" i="8"/>
  <c r="BI364" i="8" s="1"/>
  <c r="AP372" i="8"/>
  <c r="BI372" i="8" s="1"/>
  <c r="AN614" i="8"/>
  <c r="BG614" i="8" s="1"/>
  <c r="AM740" i="8"/>
  <c r="BF740" i="8" s="1"/>
  <c r="AR288" i="8"/>
  <c r="BK288" i="8" s="1"/>
  <c r="AO288" i="8"/>
  <c r="BH288" i="8" s="1"/>
  <c r="AN227" i="8"/>
  <c r="BG227" i="8" s="1"/>
  <c r="AR422" i="8"/>
  <c r="BK422" i="8" s="1"/>
  <c r="AL324" i="8"/>
  <c r="BE324" i="8" s="1"/>
  <c r="AK198" i="8"/>
  <c r="BD198" i="8" s="1"/>
  <c r="AL477" i="8"/>
  <c r="BE477" i="8" s="1"/>
  <c r="AR208" i="8"/>
  <c r="BK208" i="8" s="1"/>
  <c r="AK483" i="8"/>
  <c r="BD483" i="8" s="1"/>
  <c r="AP616" i="8"/>
  <c r="BI616" i="8" s="1"/>
  <c r="AR439" i="8"/>
  <c r="BK439" i="8" s="1"/>
  <c r="AJ439" i="8"/>
  <c r="BC439" i="8" s="1"/>
  <c r="AO439" i="8"/>
  <c r="BH439" i="8" s="1"/>
  <c r="AM616" i="8"/>
  <c r="BF616" i="8" s="1"/>
  <c r="AR436" i="8"/>
  <c r="BK436" i="8" s="1"/>
  <c r="AQ436" i="8"/>
  <c r="BJ436" i="8" s="1"/>
  <c r="AM436" i="8"/>
  <c r="BF436" i="8" s="1"/>
  <c r="AJ436" i="8"/>
  <c r="BC436" i="8" s="1"/>
  <c r="AK436" i="8"/>
  <c r="BD436" i="8" s="1"/>
  <c r="AL436" i="8"/>
  <c r="BE436" i="8" s="1"/>
  <c r="AI436" i="8"/>
  <c r="AN436" i="8"/>
  <c r="BG436" i="8" s="1"/>
  <c r="AO436" i="8"/>
  <c r="BH436" i="8" s="1"/>
  <c r="AP436" i="8"/>
  <c r="BI436" i="8" s="1"/>
  <c r="AP301" i="8"/>
  <c r="BI301" i="8" s="1"/>
  <c r="AJ739" i="8"/>
  <c r="BC739" i="8" s="1"/>
  <c r="AO678" i="8"/>
  <c r="BH678" i="8" s="1"/>
  <c r="AK459" i="8"/>
  <c r="BD459" i="8" s="1"/>
  <c r="AJ686" i="8"/>
  <c r="BC686" i="8" s="1"/>
  <c r="AP246" i="8"/>
  <c r="BI246" i="8" s="1"/>
  <c r="AN324" i="8"/>
  <c r="BG324" i="8" s="1"/>
  <c r="AQ477" i="8"/>
  <c r="BJ477" i="8" s="1"/>
  <c r="AP349" i="8"/>
  <c r="BI349" i="8" s="1"/>
  <c r="AQ616" i="8"/>
  <c r="BJ616" i="8" s="1"/>
  <c r="AN439" i="8"/>
  <c r="BG439" i="8" s="1"/>
  <c r="AP439" i="8"/>
  <c r="BI439" i="8" s="1"/>
  <c r="AI387" i="8"/>
  <c r="AR387" i="8"/>
  <c r="BK387" i="8" s="1"/>
  <c r="AJ387" i="8"/>
  <c r="BC387" i="8" s="1"/>
  <c r="AP387" i="8"/>
  <c r="BI387" i="8" s="1"/>
  <c r="AO387" i="8"/>
  <c r="BH387" i="8" s="1"/>
  <c r="AN387" i="8"/>
  <c r="BG387" i="8" s="1"/>
  <c r="AM387" i="8"/>
  <c r="BF387" i="8" s="1"/>
  <c r="AK387" i="8"/>
  <c r="BD387" i="8" s="1"/>
  <c r="AQ387" i="8"/>
  <c r="BJ387" i="8" s="1"/>
  <c r="AL387" i="8"/>
  <c r="BE387" i="8" s="1"/>
  <c r="AL648" i="8"/>
  <c r="BE648" i="8" s="1"/>
  <c r="AK648" i="8"/>
  <c r="BD648" i="8" s="1"/>
  <c r="AJ648" i="8"/>
  <c r="BC648" i="8" s="1"/>
  <c r="AP648" i="8"/>
  <c r="BI648" i="8" s="1"/>
  <c r="AN648" i="8"/>
  <c r="BG648" i="8" s="1"/>
  <c r="AR648" i="8"/>
  <c r="BK648" i="8" s="1"/>
  <c r="AM648" i="8"/>
  <c r="BF648" i="8" s="1"/>
  <c r="AQ648" i="8"/>
  <c r="BJ648" i="8" s="1"/>
  <c r="AI648" i="8"/>
  <c r="AO648" i="8"/>
  <c r="BH648" i="8" s="1"/>
  <c r="AM653" i="8"/>
  <c r="BF653" i="8" s="1"/>
  <c r="AO653" i="8"/>
  <c r="BH653" i="8" s="1"/>
  <c r="AL653" i="8"/>
  <c r="BE653" i="8" s="1"/>
  <c r="AN653" i="8"/>
  <c r="BG653" i="8" s="1"/>
  <c r="AR653" i="8"/>
  <c r="BK653" i="8" s="1"/>
  <c r="AK653" i="8"/>
  <c r="BD653" i="8" s="1"/>
  <c r="AJ653" i="8"/>
  <c r="BC653" i="8" s="1"/>
  <c r="AQ653" i="8"/>
  <c r="BJ653" i="8" s="1"/>
  <c r="AI653" i="8"/>
  <c r="AP653" i="8"/>
  <c r="BI653" i="8" s="1"/>
  <c r="AK189" i="8"/>
  <c r="BD189" i="8" s="1"/>
  <c r="AM189" i="8"/>
  <c r="BF189" i="8" s="1"/>
  <c r="AP189" i="8"/>
  <c r="BI189" i="8" s="1"/>
  <c r="AL189" i="8"/>
  <c r="BE189" i="8" s="1"/>
  <c r="AR189" i="8"/>
  <c r="BK189" i="8" s="1"/>
  <c r="AN189" i="8"/>
  <c r="BG189" i="8" s="1"/>
  <c r="AJ189" i="8"/>
  <c r="BC189" i="8" s="1"/>
  <c r="AI189" i="8"/>
  <c r="AO189" i="8"/>
  <c r="BH189" i="8" s="1"/>
  <c r="AQ189" i="8"/>
  <c r="BJ189" i="8" s="1"/>
  <c r="AQ615" i="8"/>
  <c r="BJ615" i="8" s="1"/>
  <c r="AL615" i="8"/>
  <c r="BE615" i="8" s="1"/>
  <c r="AM615" i="8"/>
  <c r="BF615" i="8" s="1"/>
  <c r="AK615" i="8"/>
  <c r="BD615" i="8" s="1"/>
  <c r="AI615" i="8"/>
  <c r="AR615" i="8"/>
  <c r="BK615" i="8" s="1"/>
  <c r="AJ615" i="8"/>
  <c r="BC615" i="8" s="1"/>
  <c r="AP615" i="8"/>
  <c r="BI615" i="8" s="1"/>
  <c r="AO615" i="8"/>
  <c r="BH615" i="8" s="1"/>
  <c r="AN615" i="8"/>
  <c r="BG615" i="8" s="1"/>
  <c r="AL359" i="8"/>
  <c r="BE359" i="8" s="1"/>
  <c r="AK359" i="8"/>
  <c r="BD359" i="8" s="1"/>
  <c r="AJ359" i="8"/>
  <c r="BC359" i="8" s="1"/>
  <c r="AM359" i="8"/>
  <c r="BF359" i="8" s="1"/>
  <c r="AN359" i="8"/>
  <c r="BG359" i="8" s="1"/>
  <c r="AI359" i="8"/>
  <c r="AQ359" i="8"/>
  <c r="BJ359" i="8" s="1"/>
  <c r="AP359" i="8"/>
  <c r="BI359" i="8" s="1"/>
  <c r="AR359" i="8"/>
  <c r="BK359" i="8" s="1"/>
  <c r="AO359" i="8"/>
  <c r="BH359" i="8" s="1"/>
  <c r="AO426" i="8"/>
  <c r="BH426" i="8" s="1"/>
  <c r="AI426" i="8"/>
  <c r="AN426" i="8"/>
  <c r="BG426" i="8" s="1"/>
  <c r="AP426" i="8"/>
  <c r="BI426" i="8" s="1"/>
  <c r="AK426" i="8"/>
  <c r="BD426" i="8" s="1"/>
  <c r="AM426" i="8"/>
  <c r="BF426" i="8" s="1"/>
  <c r="AR426" i="8"/>
  <c r="BK426" i="8" s="1"/>
  <c r="AL426" i="8"/>
  <c r="BE426" i="8" s="1"/>
  <c r="AJ426" i="8"/>
  <c r="BC426" i="8" s="1"/>
  <c r="AQ426" i="8"/>
  <c r="BJ426" i="8" s="1"/>
  <c r="AK371" i="8"/>
  <c r="BD371" i="8" s="1"/>
  <c r="AR371" i="8"/>
  <c r="BK371" i="8" s="1"/>
  <c r="AJ371" i="8"/>
  <c r="BC371" i="8" s="1"/>
  <c r="AI371" i="8"/>
  <c r="AQ371" i="8"/>
  <c r="BJ371" i="8" s="1"/>
  <c r="AP371" i="8"/>
  <c r="BI371" i="8" s="1"/>
  <c r="AM371" i="8"/>
  <c r="BF371" i="8" s="1"/>
  <c r="AO371" i="8"/>
  <c r="BH371" i="8" s="1"/>
  <c r="AL371" i="8"/>
  <c r="BE371" i="8" s="1"/>
  <c r="AN371" i="8"/>
  <c r="BG371" i="8" s="1"/>
  <c r="AQ224" i="8"/>
  <c r="BJ224" i="8" s="1"/>
  <c r="AM224" i="8"/>
  <c r="BF224" i="8" s="1"/>
  <c r="AI224" i="8"/>
  <c r="AJ224" i="8"/>
  <c r="BC224" i="8" s="1"/>
  <c r="AN224" i="8"/>
  <c r="BG224" i="8" s="1"/>
  <c r="AP224" i="8"/>
  <c r="BI224" i="8" s="1"/>
  <c r="AL224" i="8"/>
  <c r="BE224" i="8" s="1"/>
  <c r="AO224" i="8"/>
  <c r="BH224" i="8" s="1"/>
  <c r="AK224" i="8"/>
  <c r="BD224" i="8" s="1"/>
  <c r="AR224" i="8"/>
  <c r="BK224" i="8" s="1"/>
  <c r="AP693" i="8"/>
  <c r="BI693" i="8" s="1"/>
  <c r="AJ693" i="8"/>
  <c r="BC693" i="8" s="1"/>
  <c r="AI693" i="8"/>
  <c r="AQ693" i="8"/>
  <c r="BJ693" i="8" s="1"/>
  <c r="AO693" i="8"/>
  <c r="BH693" i="8" s="1"/>
  <c r="AL693" i="8"/>
  <c r="BE693" i="8" s="1"/>
  <c r="AN693" i="8"/>
  <c r="BG693" i="8" s="1"/>
  <c r="AM693" i="8"/>
  <c r="BF693" i="8" s="1"/>
  <c r="AK693" i="8"/>
  <c r="BD693" i="8" s="1"/>
  <c r="AR693" i="8"/>
  <c r="BK693" i="8" s="1"/>
  <c r="AM569" i="8"/>
  <c r="BF569" i="8" s="1"/>
  <c r="AP569" i="8"/>
  <c r="BI569" i="8" s="1"/>
  <c r="AJ569" i="8"/>
  <c r="BC569" i="8" s="1"/>
  <c r="AO569" i="8"/>
  <c r="BH569" i="8" s="1"/>
  <c r="AQ569" i="8"/>
  <c r="BJ569" i="8" s="1"/>
  <c r="AI569" i="8"/>
  <c r="AL569" i="8"/>
  <c r="BE569" i="8" s="1"/>
  <c r="AN569" i="8"/>
  <c r="BG569" i="8" s="1"/>
  <c r="AK569" i="8"/>
  <c r="BD569" i="8" s="1"/>
  <c r="AR569" i="8"/>
  <c r="BK569" i="8" s="1"/>
  <c r="AK582" i="8"/>
  <c r="BD582" i="8" s="1"/>
  <c r="AJ582" i="8"/>
  <c r="BC582" i="8" s="1"/>
  <c r="AQ582" i="8"/>
  <c r="BJ582" i="8" s="1"/>
  <c r="AI582" i="8"/>
  <c r="AP582" i="8"/>
  <c r="BI582" i="8" s="1"/>
  <c r="AN582" i="8"/>
  <c r="BG582" i="8" s="1"/>
  <c r="AO582" i="8"/>
  <c r="BH582" i="8" s="1"/>
  <c r="AM582" i="8"/>
  <c r="BF582" i="8" s="1"/>
  <c r="AR582" i="8"/>
  <c r="BK582" i="8" s="1"/>
  <c r="AL582" i="8"/>
  <c r="BE582" i="8" s="1"/>
  <c r="AI446" i="8"/>
  <c r="AJ446" i="8"/>
  <c r="BC446" i="8" s="1"/>
  <c r="AP446" i="8"/>
  <c r="BI446" i="8" s="1"/>
  <c r="AN446" i="8"/>
  <c r="BG446" i="8" s="1"/>
  <c r="AM446" i="8"/>
  <c r="BF446" i="8" s="1"/>
  <c r="AL446" i="8"/>
  <c r="BE446" i="8" s="1"/>
  <c r="AK446" i="8"/>
  <c r="BD446" i="8" s="1"/>
  <c r="AO446" i="8"/>
  <c r="BH446" i="8" s="1"/>
  <c r="AQ446" i="8"/>
  <c r="BJ446" i="8" s="1"/>
  <c r="AR446" i="8"/>
  <c r="BK446" i="8" s="1"/>
  <c r="AQ217" i="8"/>
  <c r="BJ217" i="8" s="1"/>
  <c r="AO217" i="8"/>
  <c r="BH217" i="8" s="1"/>
  <c r="AJ217" i="8"/>
  <c r="BC217" i="8" s="1"/>
  <c r="AN217" i="8"/>
  <c r="BG217" i="8" s="1"/>
  <c r="AP217" i="8"/>
  <c r="BI217" i="8" s="1"/>
  <c r="AL217" i="8"/>
  <c r="BE217" i="8" s="1"/>
  <c r="AK217" i="8"/>
  <c r="BD217" i="8" s="1"/>
  <c r="AM217" i="8"/>
  <c r="BF217" i="8" s="1"/>
  <c r="AI217" i="8"/>
  <c r="AR217" i="8"/>
  <c r="BK217" i="8" s="1"/>
  <c r="AL712" i="8"/>
  <c r="BE712" i="8" s="1"/>
  <c r="AI712" i="8"/>
  <c r="BB712" i="8" s="1"/>
  <c r="AI742" i="8"/>
  <c r="BB742" i="8" s="1"/>
  <c r="AL742" i="8"/>
  <c r="BE742" i="8" s="1"/>
  <c r="AO748" i="8"/>
  <c r="BH748" i="8" s="1"/>
  <c r="AI237" i="8"/>
  <c r="BB237" i="8" s="1"/>
  <c r="AJ588" i="8"/>
  <c r="BC588" i="8" s="1"/>
  <c r="AP266" i="8"/>
  <c r="BI266" i="8" s="1"/>
  <c r="AP275" i="8"/>
  <c r="BI275" i="8" s="1"/>
  <c r="AP447" i="8"/>
  <c r="BI447" i="8" s="1"/>
  <c r="AJ710" i="8"/>
  <c r="BC710" i="8" s="1"/>
  <c r="AL775" i="8"/>
  <c r="BE775" i="8" s="1"/>
  <c r="AQ775" i="8"/>
  <c r="BJ775" i="8" s="1"/>
  <c r="AK775" i="8"/>
  <c r="BD775" i="8" s="1"/>
  <c r="AO775" i="8"/>
  <c r="BH775" i="8" s="1"/>
  <c r="AP775" i="8"/>
  <c r="BI775" i="8" s="1"/>
  <c r="AN775" i="8"/>
  <c r="BG775" i="8" s="1"/>
  <c r="AI775" i="8"/>
  <c r="AJ775" i="8"/>
  <c r="BC775" i="8" s="1"/>
  <c r="AM775" i="8"/>
  <c r="BF775" i="8" s="1"/>
  <c r="AR775" i="8"/>
  <c r="BK775" i="8" s="1"/>
  <c r="AJ712" i="8"/>
  <c r="BC712" i="8" s="1"/>
  <c r="AQ712" i="8"/>
  <c r="BJ712" i="8" s="1"/>
  <c r="AO742" i="8"/>
  <c r="BH742" i="8" s="1"/>
  <c r="AP742" i="8"/>
  <c r="BI742" i="8" s="1"/>
  <c r="AI748" i="8"/>
  <c r="BB748" i="8" s="1"/>
  <c r="AQ237" i="8"/>
  <c r="BJ237" i="8" s="1"/>
  <c r="AK588" i="8"/>
  <c r="BD588" i="8" s="1"/>
  <c r="AI266" i="8"/>
  <c r="BB266" i="8" s="1"/>
  <c r="AI275" i="8"/>
  <c r="BB275" i="8" s="1"/>
  <c r="AQ447" i="8"/>
  <c r="BJ447" i="8" s="1"/>
  <c r="AK710" i="8"/>
  <c r="BD710" i="8" s="1"/>
  <c r="AR710" i="8"/>
  <c r="BK710" i="8" s="1"/>
  <c r="AQ521" i="8"/>
  <c r="BJ521" i="8" s="1"/>
  <c r="AM439" i="8"/>
  <c r="BF439" i="8" s="1"/>
  <c r="AI439" i="8"/>
  <c r="BB439" i="8" s="1"/>
  <c r="AK755" i="8"/>
  <c r="BD755" i="8" s="1"/>
  <c r="AR755" i="8"/>
  <c r="BK755" i="8" s="1"/>
  <c r="AJ755" i="8"/>
  <c r="BC755" i="8" s="1"/>
  <c r="AO755" i="8"/>
  <c r="BH755" i="8" s="1"/>
  <c r="AP755" i="8"/>
  <c r="BI755" i="8" s="1"/>
  <c r="AI755" i="8"/>
  <c r="AQ755" i="8"/>
  <c r="BJ755" i="8" s="1"/>
  <c r="AN755" i="8"/>
  <c r="BG755" i="8" s="1"/>
  <c r="AM755" i="8"/>
  <c r="BF755" i="8" s="1"/>
  <c r="AL755" i="8"/>
  <c r="BE755" i="8" s="1"/>
  <c r="AR712" i="8"/>
  <c r="BK712" i="8" s="1"/>
  <c r="AQ742" i="8"/>
  <c r="BJ742" i="8" s="1"/>
  <c r="AQ748" i="8"/>
  <c r="BJ748" i="8" s="1"/>
  <c r="AJ237" i="8"/>
  <c r="BC237" i="8" s="1"/>
  <c r="AM588" i="8"/>
  <c r="BF588" i="8" s="1"/>
  <c r="AK266" i="8"/>
  <c r="BD266" i="8" s="1"/>
  <c r="AM275" i="8"/>
  <c r="BF275" i="8" s="1"/>
  <c r="AI447" i="8"/>
  <c r="AJ447" i="8"/>
  <c r="BC447" i="8" s="1"/>
  <c r="AM710" i="8"/>
  <c r="BF710" i="8" s="1"/>
  <c r="AP710" i="8"/>
  <c r="BI710" i="8" s="1"/>
  <c r="AN512" i="8"/>
  <c r="BG512" i="8" s="1"/>
  <c r="AK390" i="8"/>
  <c r="BD390" i="8" s="1"/>
  <c r="AQ390" i="8"/>
  <c r="BJ390" i="8" s="1"/>
  <c r="AN390" i="8"/>
  <c r="BG390" i="8" s="1"/>
  <c r="AI390" i="8"/>
  <c r="AL390" i="8"/>
  <c r="BE390" i="8" s="1"/>
  <c r="AP390" i="8"/>
  <c r="BI390" i="8" s="1"/>
  <c r="AM390" i="8"/>
  <c r="BF390" i="8" s="1"/>
  <c r="AR390" i="8"/>
  <c r="BK390" i="8" s="1"/>
  <c r="AO390" i="8"/>
  <c r="BH390" i="8" s="1"/>
  <c r="AJ390" i="8"/>
  <c r="BC390" i="8" s="1"/>
  <c r="AI675" i="8"/>
  <c r="BB675" i="8" s="1"/>
  <c r="AQ675" i="8"/>
  <c r="BJ675" i="8" s="1"/>
  <c r="AM675" i="8"/>
  <c r="BF675" i="8" s="1"/>
  <c r="AL675" i="8"/>
  <c r="BE675" i="8" s="1"/>
  <c r="AL485" i="8"/>
  <c r="BE485" i="8" s="1"/>
  <c r="AN485" i="8"/>
  <c r="BG485" i="8" s="1"/>
  <c r="AK237" i="8"/>
  <c r="BD237" i="8" s="1"/>
  <c r="AR237" i="8"/>
  <c r="BK237" i="8" s="1"/>
  <c r="AM266" i="8"/>
  <c r="BF266" i="8" s="1"/>
  <c r="AO275" i="8"/>
  <c r="BH275" i="8" s="1"/>
  <c r="AM447" i="8"/>
  <c r="BF447" i="8" s="1"/>
  <c r="AR447" i="8"/>
  <c r="BK447" i="8" s="1"/>
  <c r="AN710" i="8"/>
  <c r="BG710" i="8" s="1"/>
  <c r="AK225" i="8"/>
  <c r="BD225" i="8" s="1"/>
  <c r="AJ225" i="8"/>
  <c r="BC225" i="8" s="1"/>
  <c r="AM712" i="8"/>
  <c r="BF712" i="8" s="1"/>
  <c r="AR742" i="8"/>
  <c r="BK742" i="8" s="1"/>
  <c r="AK748" i="8"/>
  <c r="BD748" i="8" s="1"/>
  <c r="AP748" i="8"/>
  <c r="BI748" i="8" s="1"/>
  <c r="AO237" i="8"/>
  <c r="BH237" i="8" s="1"/>
  <c r="AL237" i="8"/>
  <c r="BE237" i="8" s="1"/>
  <c r="AR588" i="8"/>
  <c r="BK588" i="8" s="1"/>
  <c r="AJ266" i="8"/>
  <c r="BC266" i="8" s="1"/>
  <c r="AQ266" i="8"/>
  <c r="BJ266" i="8" s="1"/>
  <c r="AQ275" i="8"/>
  <c r="BJ275" i="8" s="1"/>
  <c r="AL275" i="8"/>
  <c r="BE275" i="8" s="1"/>
  <c r="AK447" i="8"/>
  <c r="BD447" i="8" s="1"/>
  <c r="AL710" i="8"/>
  <c r="BE710" i="8" s="1"/>
  <c r="AI587" i="8"/>
  <c r="AO587" i="8"/>
  <c r="BH587" i="8" s="1"/>
  <c r="AM587" i="8"/>
  <c r="BF587" i="8" s="1"/>
  <c r="AN587" i="8"/>
  <c r="BG587" i="8" s="1"/>
  <c r="AP587" i="8"/>
  <c r="BI587" i="8" s="1"/>
  <c r="AJ587" i="8"/>
  <c r="BC587" i="8" s="1"/>
  <c r="AL587" i="8"/>
  <c r="BE587" i="8" s="1"/>
  <c r="AK587" i="8"/>
  <c r="BD587" i="8" s="1"/>
  <c r="AR587" i="8"/>
  <c r="BK587" i="8" s="1"/>
  <c r="AQ587" i="8"/>
  <c r="BJ587" i="8" s="1"/>
  <c r="AN712" i="8"/>
  <c r="BG712" i="8" s="1"/>
  <c r="AK742" i="8"/>
  <c r="BD742" i="8" s="1"/>
  <c r="AM748" i="8"/>
  <c r="BF748" i="8" s="1"/>
  <c r="AM237" i="8"/>
  <c r="BF237" i="8" s="1"/>
  <c r="AL588" i="8"/>
  <c r="BE588" i="8" s="1"/>
  <c r="AP588" i="8"/>
  <c r="BI588" i="8" s="1"/>
  <c r="AR266" i="8"/>
  <c r="BK266" i="8" s="1"/>
  <c r="AL266" i="8"/>
  <c r="BE266" i="8" s="1"/>
  <c r="AJ275" i="8"/>
  <c r="BC275" i="8" s="1"/>
  <c r="AN275" i="8"/>
  <c r="BG275" i="8" s="1"/>
  <c r="AL447" i="8"/>
  <c r="BE447" i="8" s="1"/>
  <c r="AO710" i="8"/>
  <c r="BH710" i="8" s="1"/>
  <c r="AL354" i="8"/>
  <c r="BE354" i="8" s="1"/>
  <c r="AR354" i="8"/>
  <c r="BK354" i="8" s="1"/>
  <c r="AK354" i="8"/>
  <c r="BD354" i="8" s="1"/>
  <c r="AQ354" i="8"/>
  <c r="BJ354" i="8" s="1"/>
  <c r="AP354" i="8"/>
  <c r="BI354" i="8" s="1"/>
  <c r="AJ354" i="8"/>
  <c r="BC354" i="8" s="1"/>
  <c r="AN354" i="8"/>
  <c r="BG354" i="8" s="1"/>
  <c r="AM354" i="8"/>
  <c r="BF354" i="8" s="1"/>
  <c r="AI354" i="8"/>
  <c r="AO354" i="8"/>
  <c r="BH354" i="8" s="1"/>
  <c r="AI588" i="8"/>
  <c r="BB588" i="8" s="1"/>
  <c r="AP512" i="8"/>
  <c r="BI512" i="8" s="1"/>
  <c r="AR656" i="8"/>
  <c r="BK656" i="8" s="1"/>
  <c r="AP656" i="8"/>
  <c r="BI656" i="8" s="1"/>
  <c r="AL656" i="8"/>
  <c r="BE656" i="8" s="1"/>
  <c r="AQ656" i="8"/>
  <c r="BJ656" i="8" s="1"/>
  <c r="AO656" i="8"/>
  <c r="BH656" i="8" s="1"/>
  <c r="AK656" i="8"/>
  <c r="BD656" i="8" s="1"/>
  <c r="AI656" i="8"/>
  <c r="BB656" i="8" s="1"/>
  <c r="AR349" i="8"/>
  <c r="BK349" i="8" s="1"/>
  <c r="AK349" i="8"/>
  <c r="BD349" i="8" s="1"/>
  <c r="AN230" i="8"/>
  <c r="BG230" i="8" s="1"/>
  <c r="AL230" i="8"/>
  <c r="BE230" i="8" s="1"/>
  <c r="AR230" i="8"/>
  <c r="BK230" i="8" s="1"/>
  <c r="AJ230" i="8"/>
  <c r="BC230" i="8" s="1"/>
  <c r="AK230" i="8"/>
  <c r="BD230" i="8" s="1"/>
  <c r="AQ230" i="8"/>
  <c r="BJ230" i="8" s="1"/>
  <c r="AM230" i="8"/>
  <c r="BF230" i="8" s="1"/>
  <c r="AI230" i="8"/>
  <c r="AP230" i="8"/>
  <c r="BI230" i="8" s="1"/>
  <c r="AO230" i="8"/>
  <c r="BH230" i="8" s="1"/>
  <c r="AJ349" i="8"/>
  <c r="BC349" i="8" s="1"/>
  <c r="AI605" i="8"/>
  <c r="AL605" i="8"/>
  <c r="BE605" i="8" s="1"/>
  <c r="AP605" i="8"/>
  <c r="BI605" i="8" s="1"/>
  <c r="AQ605" i="8"/>
  <c r="BJ605" i="8" s="1"/>
  <c r="AJ605" i="8"/>
  <c r="BC605" i="8" s="1"/>
  <c r="AR605" i="8"/>
  <c r="BK605" i="8" s="1"/>
  <c r="AN605" i="8"/>
  <c r="BG605" i="8" s="1"/>
  <c r="AO605" i="8"/>
  <c r="BH605" i="8" s="1"/>
  <c r="AK605" i="8"/>
  <c r="BD605" i="8" s="1"/>
  <c r="AM605" i="8"/>
  <c r="BF605" i="8" s="1"/>
  <c r="AQ349" i="8"/>
  <c r="BJ349" i="8" s="1"/>
  <c r="AO270" i="8"/>
  <c r="BH270" i="8" s="1"/>
  <c r="AR270" i="8"/>
  <c r="BK270" i="8" s="1"/>
  <c r="AL270" i="8"/>
  <c r="BE270" i="8" s="1"/>
  <c r="AJ270" i="8"/>
  <c r="BC270" i="8" s="1"/>
  <c r="AQ270" i="8"/>
  <c r="BJ270" i="8" s="1"/>
  <c r="AI270" i="8"/>
  <c r="AM270" i="8"/>
  <c r="BF270" i="8" s="1"/>
  <c r="AP270" i="8"/>
  <c r="BI270" i="8" s="1"/>
  <c r="AN270" i="8"/>
  <c r="BG270" i="8" s="1"/>
  <c r="AK270" i="8"/>
  <c r="BD270" i="8" s="1"/>
  <c r="AO247" i="8"/>
  <c r="BH247" i="8" s="1"/>
  <c r="AQ247" i="8"/>
  <c r="BJ247" i="8" s="1"/>
  <c r="AJ247" i="8"/>
  <c r="BC247" i="8" s="1"/>
  <c r="AL247" i="8"/>
  <c r="BE247" i="8" s="1"/>
  <c r="AK247" i="8"/>
  <c r="BD247" i="8" s="1"/>
  <c r="AM247" i="8"/>
  <c r="BF247" i="8" s="1"/>
  <c r="AR247" i="8"/>
  <c r="BK247" i="8" s="1"/>
  <c r="AP247" i="8"/>
  <c r="BI247" i="8" s="1"/>
  <c r="AN247" i="8"/>
  <c r="BG247" i="8" s="1"/>
  <c r="AI247" i="8"/>
  <c r="AI349" i="8"/>
  <c r="BB349" i="8" s="1"/>
  <c r="AN656" i="8"/>
  <c r="BG656" i="8" s="1"/>
  <c r="AO349" i="8"/>
  <c r="BH349" i="8" s="1"/>
  <c r="AN349" i="8"/>
  <c r="BG349" i="8" s="1"/>
  <c r="AM656" i="8"/>
  <c r="BF656" i="8" s="1"/>
  <c r="AI747" i="8"/>
  <c r="AO747" i="8"/>
  <c r="BH747" i="8" s="1"/>
  <c r="AN747" i="8"/>
  <c r="BG747" i="8" s="1"/>
  <c r="AM747" i="8"/>
  <c r="BF747" i="8" s="1"/>
  <c r="AL747" i="8"/>
  <c r="BE747" i="8" s="1"/>
  <c r="AP747" i="8"/>
  <c r="BI747" i="8" s="1"/>
  <c r="AK747" i="8"/>
  <c r="BD747" i="8" s="1"/>
  <c r="AJ747" i="8"/>
  <c r="BC747" i="8" s="1"/>
  <c r="AR747" i="8"/>
  <c r="BK747" i="8" s="1"/>
  <c r="AQ747" i="8"/>
  <c r="BJ747" i="8" s="1"/>
  <c r="AI448" i="8"/>
  <c r="AP448" i="8"/>
  <c r="BI448" i="8" s="1"/>
  <c r="AO448" i="8"/>
  <c r="BH448" i="8" s="1"/>
  <c r="AM448" i="8"/>
  <c r="BF448" i="8" s="1"/>
  <c r="AQ448" i="8"/>
  <c r="BJ448" i="8" s="1"/>
  <c r="AR448" i="8"/>
  <c r="BK448" i="8" s="1"/>
  <c r="AN448" i="8"/>
  <c r="BG448" i="8" s="1"/>
  <c r="AL448" i="8"/>
  <c r="BE448" i="8" s="1"/>
  <c r="AK448" i="8"/>
  <c r="BD448" i="8" s="1"/>
  <c r="AJ448" i="8"/>
  <c r="BC448" i="8" s="1"/>
  <c r="AL543" i="8"/>
  <c r="BE543" i="8" s="1"/>
  <c r="AQ543" i="8"/>
  <c r="BJ543" i="8" s="1"/>
  <c r="AI534" i="8"/>
  <c r="BB534" i="8" s="1"/>
  <c r="AR543" i="8"/>
  <c r="BK543" i="8" s="1"/>
  <c r="AQ534" i="8"/>
  <c r="BJ534" i="8" s="1"/>
  <c r="AM543" i="8"/>
  <c r="BF543" i="8" s="1"/>
  <c r="AJ534" i="8"/>
  <c r="BC534" i="8" s="1"/>
  <c r="AK543" i="8"/>
  <c r="BD543" i="8" s="1"/>
  <c r="AL534" i="8"/>
  <c r="BE534" i="8" s="1"/>
  <c r="AN543" i="8"/>
  <c r="BG543" i="8" s="1"/>
  <c r="AR534" i="8"/>
  <c r="BK534" i="8" s="1"/>
  <c r="AO543" i="8"/>
  <c r="BH543" i="8" s="1"/>
  <c r="AN534" i="8"/>
  <c r="BG534" i="8" s="1"/>
  <c r="AM534" i="8"/>
  <c r="BF534" i="8" s="1"/>
  <c r="AO534" i="8"/>
  <c r="BH534" i="8" s="1"/>
  <c r="AO512" i="8"/>
  <c r="BH512" i="8" s="1"/>
  <c r="AL547" i="8"/>
  <c r="BE547" i="8" s="1"/>
  <c r="AR547" i="8"/>
  <c r="BK547" i="8" s="1"/>
  <c r="AK547" i="8"/>
  <c r="BD547" i="8" s="1"/>
  <c r="AM547" i="8"/>
  <c r="BF547" i="8" s="1"/>
  <c r="AO547" i="8"/>
  <c r="BH547" i="8" s="1"/>
  <c r="AI547" i="8"/>
  <c r="AN547" i="8"/>
  <c r="BG547" i="8" s="1"/>
  <c r="AQ547" i="8"/>
  <c r="BJ547" i="8" s="1"/>
  <c r="AP547" i="8"/>
  <c r="BI547" i="8" s="1"/>
  <c r="AJ547" i="8"/>
  <c r="BC547" i="8" s="1"/>
  <c r="AL501" i="8"/>
  <c r="BE501" i="8" s="1"/>
  <c r="AI501" i="8"/>
  <c r="AJ501" i="8"/>
  <c r="BC501" i="8" s="1"/>
  <c r="AO501" i="8"/>
  <c r="BH501" i="8" s="1"/>
  <c r="AN501" i="8"/>
  <c r="BG501" i="8" s="1"/>
  <c r="AM501" i="8"/>
  <c r="BF501" i="8" s="1"/>
  <c r="AP501" i="8"/>
  <c r="BI501" i="8" s="1"/>
  <c r="AK501" i="8"/>
  <c r="BD501" i="8" s="1"/>
  <c r="AQ501" i="8"/>
  <c r="BJ501" i="8" s="1"/>
  <c r="AR501" i="8"/>
  <c r="BK501" i="8" s="1"/>
  <c r="AQ512" i="8"/>
  <c r="BJ512" i="8" s="1"/>
  <c r="AK565" i="8"/>
  <c r="BD565" i="8" s="1"/>
  <c r="AM565" i="8"/>
  <c r="BF565" i="8" s="1"/>
  <c r="AR565" i="8"/>
  <c r="BK565" i="8" s="1"/>
  <c r="AL565" i="8"/>
  <c r="BE565" i="8" s="1"/>
  <c r="AJ565" i="8"/>
  <c r="BC565" i="8" s="1"/>
  <c r="AI565" i="8"/>
  <c r="AQ565" i="8"/>
  <c r="BJ565" i="8" s="1"/>
  <c r="AP565" i="8"/>
  <c r="BI565" i="8" s="1"/>
  <c r="AO565" i="8"/>
  <c r="BH565" i="8" s="1"/>
  <c r="AN565" i="8"/>
  <c r="BG565" i="8" s="1"/>
  <c r="AQ721" i="8"/>
  <c r="BJ721" i="8" s="1"/>
  <c r="AP721" i="8"/>
  <c r="BI721" i="8" s="1"/>
  <c r="AI721" i="8"/>
  <c r="AL721" i="8"/>
  <c r="BE721" i="8" s="1"/>
  <c r="AO721" i="8"/>
  <c r="BH721" i="8" s="1"/>
  <c r="AN721" i="8"/>
  <c r="BG721" i="8" s="1"/>
  <c r="AM721" i="8"/>
  <c r="BF721" i="8" s="1"/>
  <c r="AK721" i="8"/>
  <c r="BD721" i="8" s="1"/>
  <c r="AR721" i="8"/>
  <c r="BK721" i="8" s="1"/>
  <c r="AJ721" i="8"/>
  <c r="BC721" i="8" s="1"/>
  <c r="AQ223" i="8"/>
  <c r="BJ223" i="8" s="1"/>
  <c r="AI223" i="8"/>
  <c r="AM223" i="8"/>
  <c r="BF223" i="8" s="1"/>
  <c r="AN223" i="8"/>
  <c r="BG223" i="8" s="1"/>
  <c r="AK223" i="8"/>
  <c r="BD223" i="8" s="1"/>
  <c r="AR223" i="8"/>
  <c r="BK223" i="8" s="1"/>
  <c r="AL223" i="8"/>
  <c r="BE223" i="8" s="1"/>
  <c r="AJ223" i="8"/>
  <c r="BC223" i="8" s="1"/>
  <c r="AO223" i="8"/>
  <c r="BH223" i="8" s="1"/>
  <c r="AP223" i="8"/>
  <c r="BI223" i="8" s="1"/>
  <c r="AP521" i="8"/>
  <c r="BI521" i="8" s="1"/>
  <c r="AL521" i="8"/>
  <c r="BE521" i="8" s="1"/>
  <c r="AL512" i="8"/>
  <c r="BE512" i="8" s="1"/>
  <c r="AR521" i="8"/>
  <c r="BK521" i="8" s="1"/>
  <c r="AJ521" i="8"/>
  <c r="BC521" i="8" s="1"/>
  <c r="AN521" i="8"/>
  <c r="BG521" i="8" s="1"/>
  <c r="AI512" i="8"/>
  <c r="BB512" i="8" s="1"/>
  <c r="AR512" i="8"/>
  <c r="BK512" i="8" s="1"/>
  <c r="AJ682" i="8"/>
  <c r="BC682" i="8" s="1"/>
  <c r="AQ682" i="8"/>
  <c r="BJ682" i="8" s="1"/>
  <c r="AI682" i="8"/>
  <c r="AO682" i="8"/>
  <c r="BH682" i="8" s="1"/>
  <c r="AN682" i="8"/>
  <c r="BG682" i="8" s="1"/>
  <c r="AL682" i="8"/>
  <c r="BE682" i="8" s="1"/>
  <c r="AM682" i="8"/>
  <c r="BF682" i="8" s="1"/>
  <c r="AP682" i="8"/>
  <c r="BI682" i="8" s="1"/>
  <c r="AK682" i="8"/>
  <c r="BD682" i="8" s="1"/>
  <c r="AR682" i="8"/>
  <c r="BK682" i="8" s="1"/>
  <c r="AK512" i="8"/>
  <c r="BD512" i="8" s="1"/>
  <c r="AM521" i="8"/>
  <c r="BF521" i="8" s="1"/>
  <c r="AM512" i="8"/>
  <c r="BF512" i="8" s="1"/>
  <c r="AI521" i="8"/>
  <c r="BB521" i="8" s="1"/>
  <c r="H15" i="5"/>
  <c r="AO235" i="1"/>
  <c r="BH235" i="1" s="1"/>
  <c r="AR235" i="1"/>
  <c r="BK235" i="1" s="1"/>
  <c r="AS764" i="8"/>
  <c r="BA764" i="8" s="1"/>
  <c r="AS766" i="8"/>
  <c r="AZ766" i="8" s="1"/>
  <c r="AS778" i="8"/>
  <c r="AX778" i="8" s="1"/>
  <c r="AL235" i="1"/>
  <c r="BE235" i="1" s="1"/>
  <c r="AQ235" i="1"/>
  <c r="BJ235" i="1" s="1"/>
  <c r="AI235" i="1"/>
  <c r="BB235" i="1" s="1"/>
  <c r="AJ235" i="1"/>
  <c r="BC235" i="1" s="1"/>
  <c r="AN235" i="1"/>
  <c r="BG235" i="1" s="1"/>
  <c r="AK235" i="1"/>
  <c r="BD235" i="1" s="1"/>
  <c r="AP235" i="1"/>
  <c r="BI235" i="1" s="1"/>
  <c r="AS800" i="8"/>
  <c r="AV800" i="8" s="1"/>
  <c r="AO201" i="1"/>
  <c r="BH201" i="1" s="1"/>
  <c r="AS554" i="8"/>
  <c r="AZ554" i="8" s="1"/>
  <c r="AS798" i="8"/>
  <c r="AY798" i="8" s="1"/>
  <c r="AS799" i="8"/>
  <c r="AY799" i="8" s="1"/>
  <c r="K106" i="3"/>
  <c r="J113" i="3"/>
  <c r="J122" i="3" s="1"/>
  <c r="AS776" i="8"/>
  <c r="BA776" i="8" s="1"/>
  <c r="AS735" i="8"/>
  <c r="AY735" i="8" s="1"/>
  <c r="AK725" i="1"/>
  <c r="BD725" i="1" s="1"/>
  <c r="AO725" i="1"/>
  <c r="BH725" i="1" s="1"/>
  <c r="AR725" i="1"/>
  <c r="BK725" i="1" s="1"/>
  <c r="AP725" i="1"/>
  <c r="BI725" i="1" s="1"/>
  <c r="AI725" i="1"/>
  <c r="BB725" i="1" s="1"/>
  <c r="AL725" i="1"/>
  <c r="BE725" i="1" s="1"/>
  <c r="AJ725" i="1"/>
  <c r="BC725" i="1" s="1"/>
  <c r="AQ725" i="1"/>
  <c r="BJ725" i="1" s="1"/>
  <c r="AN725" i="1"/>
  <c r="BG725" i="1" s="1"/>
  <c r="AS782" i="8"/>
  <c r="AX782" i="8" s="1"/>
  <c r="AS774" i="8"/>
  <c r="BA774" i="8" s="1"/>
  <c r="AS815" i="8"/>
  <c r="AV815" i="8" s="1"/>
  <c r="AS13" i="8"/>
  <c r="AY13" i="8" s="1"/>
  <c r="AS804" i="8"/>
  <c r="AX804" i="8" s="1"/>
  <c r="AS772" i="8"/>
  <c r="AW772" i="8" s="1"/>
  <c r="AS832" i="8"/>
  <c r="AX832" i="8" s="1"/>
  <c r="BB47" i="8"/>
  <c r="AS47" i="8"/>
  <c r="AO182" i="8"/>
  <c r="BH182" i="8" s="1"/>
  <c r="AQ182" i="8"/>
  <c r="BJ182" i="8" s="1"/>
  <c r="AM182" i="8"/>
  <c r="BF182" i="8" s="1"/>
  <c r="AL182" i="8"/>
  <c r="BE182" i="8" s="1"/>
  <c r="AK182" i="8"/>
  <c r="BD182" i="8" s="1"/>
  <c r="AJ182" i="8"/>
  <c r="BC182" i="8" s="1"/>
  <c r="AI182" i="8"/>
  <c r="AR182" i="8"/>
  <c r="BK182" i="8" s="1"/>
  <c r="AP182" i="8"/>
  <c r="BI182" i="8" s="1"/>
  <c r="AN182" i="8"/>
  <c r="BG182" i="8" s="1"/>
  <c r="BB567" i="8"/>
  <c r="AS167" i="8"/>
  <c r="BB167" i="8"/>
  <c r="BB218" i="8"/>
  <c r="BB691" i="8"/>
  <c r="AP743" i="8"/>
  <c r="BI743" i="8" s="1"/>
  <c r="AN743" i="8"/>
  <c r="BG743" i="8" s="1"/>
  <c r="AM743" i="8"/>
  <c r="BF743" i="8" s="1"/>
  <c r="AK743" i="8"/>
  <c r="BD743" i="8" s="1"/>
  <c r="AL743" i="8"/>
  <c r="BE743" i="8" s="1"/>
  <c r="AR743" i="8"/>
  <c r="BK743" i="8" s="1"/>
  <c r="AJ743" i="8"/>
  <c r="BC743" i="8" s="1"/>
  <c r="AQ743" i="8"/>
  <c r="BJ743" i="8" s="1"/>
  <c r="AI743" i="8"/>
  <c r="AO743" i="8"/>
  <c r="BH743" i="8" s="1"/>
  <c r="AN625" i="8"/>
  <c r="BG625" i="8" s="1"/>
  <c r="AM625" i="8"/>
  <c r="BF625" i="8" s="1"/>
  <c r="AR625" i="8"/>
  <c r="BK625" i="8" s="1"/>
  <c r="AL625" i="8"/>
  <c r="BE625" i="8" s="1"/>
  <c r="AJ625" i="8"/>
  <c r="BC625" i="8" s="1"/>
  <c r="AK625" i="8"/>
  <c r="BD625" i="8" s="1"/>
  <c r="AQ625" i="8"/>
  <c r="BJ625" i="8" s="1"/>
  <c r="AI625" i="8"/>
  <c r="AP625" i="8"/>
  <c r="BI625" i="8" s="1"/>
  <c r="AO625" i="8"/>
  <c r="BH625" i="8" s="1"/>
  <c r="AP502" i="8"/>
  <c r="BI502" i="8" s="1"/>
  <c r="AR502" i="8"/>
  <c r="BK502" i="8" s="1"/>
  <c r="AJ502" i="8"/>
  <c r="BC502" i="8" s="1"/>
  <c r="AL502" i="8"/>
  <c r="BE502" i="8" s="1"/>
  <c r="AQ502" i="8"/>
  <c r="BJ502" i="8" s="1"/>
  <c r="AI502" i="8"/>
  <c r="AN502" i="8"/>
  <c r="BG502" i="8" s="1"/>
  <c r="AM502" i="8"/>
  <c r="BF502" i="8" s="1"/>
  <c r="AO502" i="8"/>
  <c r="BH502" i="8" s="1"/>
  <c r="AK502" i="8"/>
  <c r="BD502" i="8" s="1"/>
  <c r="BB429" i="8"/>
  <c r="BB211" i="8"/>
  <c r="AS211" i="8"/>
  <c r="BB138" i="8"/>
  <c r="AS138" i="8"/>
  <c r="AS121" i="8"/>
  <c r="BB121" i="8"/>
  <c r="AK500" i="8"/>
  <c r="BD500" i="8" s="1"/>
  <c r="AI500" i="8"/>
  <c r="AR500" i="8"/>
  <c r="BK500" i="8" s="1"/>
  <c r="AJ500" i="8"/>
  <c r="BC500" i="8" s="1"/>
  <c r="AP500" i="8"/>
  <c r="BI500" i="8" s="1"/>
  <c r="AQ500" i="8"/>
  <c r="BJ500" i="8" s="1"/>
  <c r="AO500" i="8"/>
  <c r="BH500" i="8" s="1"/>
  <c r="AN500" i="8"/>
  <c r="BG500" i="8" s="1"/>
  <c r="AL500" i="8"/>
  <c r="BE500" i="8" s="1"/>
  <c r="AM500" i="8"/>
  <c r="BF500" i="8" s="1"/>
  <c r="AO607" i="8"/>
  <c r="BH607" i="8" s="1"/>
  <c r="AM607" i="8"/>
  <c r="BF607" i="8" s="1"/>
  <c r="AK607" i="8"/>
  <c r="BD607" i="8" s="1"/>
  <c r="AL607" i="8"/>
  <c r="BE607" i="8" s="1"/>
  <c r="AR607" i="8"/>
  <c r="BK607" i="8" s="1"/>
  <c r="AJ607" i="8"/>
  <c r="BC607" i="8" s="1"/>
  <c r="AQ607" i="8"/>
  <c r="BJ607" i="8" s="1"/>
  <c r="AI607" i="8"/>
  <c r="AP607" i="8"/>
  <c r="BI607" i="8" s="1"/>
  <c r="AN607" i="8"/>
  <c r="BG607" i="8" s="1"/>
  <c r="BB817" i="8"/>
  <c r="AS817" i="8"/>
  <c r="BB45" i="8"/>
  <c r="AS45" i="8"/>
  <c r="BB19" i="8"/>
  <c r="AS19" i="8"/>
  <c r="BB649" i="8"/>
  <c r="BB243" i="8"/>
  <c r="BB206" i="8"/>
  <c r="AS206" i="8"/>
  <c r="BB654" i="8"/>
  <c r="BB619" i="8"/>
  <c r="BB185" i="8"/>
  <c r="AS185" i="8"/>
  <c r="AO321" i="8"/>
  <c r="BH321" i="8" s="1"/>
  <c r="AN321" i="8"/>
  <c r="BG321" i="8" s="1"/>
  <c r="AM321" i="8"/>
  <c r="BF321" i="8" s="1"/>
  <c r="AK321" i="8"/>
  <c r="BD321" i="8" s="1"/>
  <c r="AR321" i="8"/>
  <c r="BK321" i="8" s="1"/>
  <c r="AP321" i="8"/>
  <c r="BI321" i="8" s="1"/>
  <c r="AQ321" i="8"/>
  <c r="BJ321" i="8" s="1"/>
  <c r="AI321" i="8"/>
  <c r="AJ321" i="8"/>
  <c r="BC321" i="8" s="1"/>
  <c r="AL321" i="8"/>
  <c r="BE321" i="8" s="1"/>
  <c r="AI303" i="8"/>
  <c r="AR303" i="8"/>
  <c r="BK303" i="8" s="1"/>
  <c r="AJ303" i="8"/>
  <c r="BC303" i="8" s="1"/>
  <c r="AM303" i="8"/>
  <c r="BF303" i="8" s="1"/>
  <c r="AO303" i="8"/>
  <c r="BH303" i="8" s="1"/>
  <c r="AN303" i="8"/>
  <c r="BG303" i="8" s="1"/>
  <c r="AQ303" i="8"/>
  <c r="BJ303" i="8" s="1"/>
  <c r="AL303" i="8"/>
  <c r="BE303" i="8" s="1"/>
  <c r="AK303" i="8"/>
  <c r="BD303" i="8" s="1"/>
  <c r="AP303" i="8"/>
  <c r="BI303" i="8" s="1"/>
  <c r="BB834" i="8"/>
  <c r="AS834" i="8"/>
  <c r="BB698" i="8"/>
  <c r="AN393" i="8"/>
  <c r="BG393" i="8" s="1"/>
  <c r="AO393" i="8"/>
  <c r="BH393" i="8" s="1"/>
  <c r="AM393" i="8"/>
  <c r="BF393" i="8" s="1"/>
  <c r="AK393" i="8"/>
  <c r="BD393" i="8" s="1"/>
  <c r="AL393" i="8"/>
  <c r="BE393" i="8" s="1"/>
  <c r="AJ393" i="8"/>
  <c r="BC393" i="8" s="1"/>
  <c r="AI393" i="8"/>
  <c r="AP393" i="8"/>
  <c r="BI393" i="8" s="1"/>
  <c r="AR393" i="8"/>
  <c r="BK393" i="8" s="1"/>
  <c r="AQ393" i="8"/>
  <c r="BJ393" i="8" s="1"/>
  <c r="AY770" i="8"/>
  <c r="BB632" i="8"/>
  <c r="AS802" i="8"/>
  <c r="BB802" i="8"/>
  <c r="AS24" i="8"/>
  <c r="BB24" i="8"/>
  <c r="AL294" i="8"/>
  <c r="BE294" i="8" s="1"/>
  <c r="AK294" i="8"/>
  <c r="BD294" i="8" s="1"/>
  <c r="AJ294" i="8"/>
  <c r="BC294" i="8" s="1"/>
  <c r="AQ294" i="8"/>
  <c r="BJ294" i="8" s="1"/>
  <c r="AI294" i="8"/>
  <c r="AP294" i="8"/>
  <c r="BI294" i="8" s="1"/>
  <c r="AM294" i="8"/>
  <c r="BF294" i="8" s="1"/>
  <c r="AO294" i="8"/>
  <c r="BH294" i="8" s="1"/>
  <c r="AN294" i="8"/>
  <c r="BG294" i="8" s="1"/>
  <c r="AR294" i="8"/>
  <c r="BK294" i="8" s="1"/>
  <c r="AO504" i="8"/>
  <c r="BH504" i="8" s="1"/>
  <c r="AI504" i="8"/>
  <c r="AQ504" i="8"/>
  <c r="BJ504" i="8" s="1"/>
  <c r="AK504" i="8"/>
  <c r="BD504" i="8" s="1"/>
  <c r="AM504" i="8"/>
  <c r="BF504" i="8" s="1"/>
  <c r="AR504" i="8"/>
  <c r="BK504" i="8" s="1"/>
  <c r="AN504" i="8"/>
  <c r="BG504" i="8" s="1"/>
  <c r="AJ504" i="8"/>
  <c r="BC504" i="8" s="1"/>
  <c r="AP504" i="8"/>
  <c r="BI504" i="8" s="1"/>
  <c r="AL504" i="8"/>
  <c r="BE504" i="8" s="1"/>
  <c r="AJ18" i="8"/>
  <c r="BC18" i="8" s="1"/>
  <c r="AQ18" i="8"/>
  <c r="BJ18" i="8" s="1"/>
  <c r="AK18" i="8"/>
  <c r="BD18" i="8" s="1"/>
  <c r="AP18" i="8"/>
  <c r="BI18" i="8" s="1"/>
  <c r="AI18" i="8"/>
  <c r="AN18" i="8"/>
  <c r="BG18" i="8" s="1"/>
  <c r="AO18" i="8"/>
  <c r="BH18" i="8" s="1"/>
  <c r="AL18" i="8"/>
  <c r="BE18" i="8" s="1"/>
  <c r="AR18" i="8"/>
  <c r="BK18" i="8" s="1"/>
  <c r="AM18" i="8"/>
  <c r="BF18" i="8" s="1"/>
  <c r="BB570" i="8"/>
  <c r="AS822" i="8"/>
  <c r="BB822" i="8"/>
  <c r="AY818" i="8"/>
  <c r="BB293" i="8"/>
  <c r="BB623" i="8"/>
  <c r="BB416" i="8"/>
  <c r="BB190" i="8"/>
  <c r="AS190" i="8"/>
  <c r="BB583" i="8"/>
  <c r="BB811" i="8"/>
  <c r="AS811" i="8"/>
  <c r="BB685" i="8"/>
  <c r="AP62" i="8"/>
  <c r="BI62" i="8" s="1"/>
  <c r="AI62" i="8"/>
  <c r="AM62" i="8"/>
  <c r="BF62" i="8" s="1"/>
  <c r="AJ62" i="8"/>
  <c r="BC62" i="8" s="1"/>
  <c r="AQ62" i="8"/>
  <c r="BJ62" i="8" s="1"/>
  <c r="AK62" i="8"/>
  <c r="BD62" i="8" s="1"/>
  <c r="AO62" i="8"/>
  <c r="BH62" i="8" s="1"/>
  <c r="AN62" i="8"/>
  <c r="BG62" i="8" s="1"/>
  <c r="AL62" i="8"/>
  <c r="BE62" i="8" s="1"/>
  <c r="AR62" i="8"/>
  <c r="BK62" i="8" s="1"/>
  <c r="AN74" i="8"/>
  <c r="BG74" i="8" s="1"/>
  <c r="AL74" i="8"/>
  <c r="BE74" i="8" s="1"/>
  <c r="AR74" i="8"/>
  <c r="BK74" i="8" s="1"/>
  <c r="AJ74" i="8"/>
  <c r="BC74" i="8" s="1"/>
  <c r="AQ74" i="8"/>
  <c r="BJ74" i="8" s="1"/>
  <c r="AP74" i="8"/>
  <c r="BI74" i="8" s="1"/>
  <c r="AI74" i="8"/>
  <c r="AO74" i="8"/>
  <c r="BH74" i="8" s="1"/>
  <c r="AM74" i="8"/>
  <c r="BF74" i="8" s="1"/>
  <c r="AK74" i="8"/>
  <c r="BD74" i="8" s="1"/>
  <c r="AS163" i="8"/>
  <c r="BB163" i="8"/>
  <c r="BB83" i="8"/>
  <c r="AS83" i="8"/>
  <c r="AS820" i="8"/>
  <c r="BB820" i="8"/>
  <c r="BB381" i="8"/>
  <c r="BB17" i="8"/>
  <c r="AS17" i="8"/>
  <c r="AS72" i="8"/>
  <c r="BB72" i="8"/>
  <c r="BB763" i="8"/>
  <c r="AS763" i="8"/>
  <c r="BB183" i="8"/>
  <c r="AS183" i="8"/>
  <c r="BB122" i="8"/>
  <c r="AS122" i="8"/>
  <c r="AX124" i="8"/>
  <c r="AZ124" i="8"/>
  <c r="BA124" i="8"/>
  <c r="AW124" i="8"/>
  <c r="AY124" i="8"/>
  <c r="BB85" i="8"/>
  <c r="AS85" i="8"/>
  <c r="AV124" i="8"/>
  <c r="BB297" i="8"/>
  <c r="BB687" i="8"/>
  <c r="BB403" i="8"/>
  <c r="AS207" i="8"/>
  <c r="BB207" i="8"/>
  <c r="BB186" i="8"/>
  <c r="AS186" i="8"/>
  <c r="AP734" i="8"/>
  <c r="BI734" i="8" s="1"/>
  <c r="AK734" i="8"/>
  <c r="BD734" i="8" s="1"/>
  <c r="AN734" i="8"/>
  <c r="BG734" i="8" s="1"/>
  <c r="AL734" i="8"/>
  <c r="BE734" i="8" s="1"/>
  <c r="AM734" i="8"/>
  <c r="BF734" i="8" s="1"/>
  <c r="AR734" i="8"/>
  <c r="BK734" i="8" s="1"/>
  <c r="AJ734" i="8"/>
  <c r="BC734" i="8" s="1"/>
  <c r="AO734" i="8"/>
  <c r="BH734" i="8" s="1"/>
  <c r="AQ734" i="8"/>
  <c r="BJ734" i="8" s="1"/>
  <c r="AI734" i="8"/>
  <c r="AL546" i="8"/>
  <c r="BE546" i="8" s="1"/>
  <c r="AJ546" i="8"/>
  <c r="BC546" i="8" s="1"/>
  <c r="AI546" i="8"/>
  <c r="AP546" i="8"/>
  <c r="BI546" i="8" s="1"/>
  <c r="AR546" i="8"/>
  <c r="BK546" i="8" s="1"/>
  <c r="AK546" i="8"/>
  <c r="BD546" i="8" s="1"/>
  <c r="AQ546" i="8"/>
  <c r="BJ546" i="8" s="1"/>
  <c r="AN546" i="8"/>
  <c r="BG546" i="8" s="1"/>
  <c r="AM546" i="8"/>
  <c r="BF546" i="8" s="1"/>
  <c r="AO546" i="8"/>
  <c r="BH546" i="8" s="1"/>
  <c r="AP310" i="8"/>
  <c r="BI310" i="8" s="1"/>
  <c r="AM310" i="8"/>
  <c r="BF310" i="8" s="1"/>
  <c r="AI310" i="8"/>
  <c r="AJ310" i="8"/>
  <c r="BC310" i="8" s="1"/>
  <c r="AQ310" i="8"/>
  <c r="BJ310" i="8" s="1"/>
  <c r="AR310" i="8"/>
  <c r="BK310" i="8" s="1"/>
  <c r="AO310" i="8"/>
  <c r="BH310" i="8" s="1"/>
  <c r="AK310" i="8"/>
  <c r="BD310" i="8" s="1"/>
  <c r="AL310" i="8"/>
  <c r="BE310" i="8" s="1"/>
  <c r="AN310" i="8"/>
  <c r="BG310" i="8" s="1"/>
  <c r="BB51" i="8"/>
  <c r="AS51" i="8"/>
  <c r="BB180" i="8"/>
  <c r="AS180" i="8"/>
  <c r="AK254" i="8"/>
  <c r="BD254" i="8" s="1"/>
  <c r="AN254" i="8"/>
  <c r="BG254" i="8" s="1"/>
  <c r="AM254" i="8"/>
  <c r="BF254" i="8" s="1"/>
  <c r="AJ254" i="8"/>
  <c r="BC254" i="8" s="1"/>
  <c r="AQ254" i="8"/>
  <c r="BJ254" i="8" s="1"/>
  <c r="AI254" i="8"/>
  <c r="AO254" i="8"/>
  <c r="BH254" i="8" s="1"/>
  <c r="AL254" i="8"/>
  <c r="BE254" i="8" s="1"/>
  <c r="AR254" i="8"/>
  <c r="BK254" i="8" s="1"/>
  <c r="AP254" i="8"/>
  <c r="BI254" i="8" s="1"/>
  <c r="AM522" i="8"/>
  <c r="BF522" i="8" s="1"/>
  <c r="AR522" i="8"/>
  <c r="BK522" i="8" s="1"/>
  <c r="AL522" i="8"/>
  <c r="BE522" i="8" s="1"/>
  <c r="AJ522" i="8"/>
  <c r="BC522" i="8" s="1"/>
  <c r="AK522" i="8"/>
  <c r="BD522" i="8" s="1"/>
  <c r="AQ522" i="8"/>
  <c r="BJ522" i="8" s="1"/>
  <c r="AI522" i="8"/>
  <c r="AP522" i="8"/>
  <c r="BI522" i="8" s="1"/>
  <c r="AO522" i="8"/>
  <c r="BH522" i="8" s="1"/>
  <c r="AN522" i="8"/>
  <c r="BG522" i="8" s="1"/>
  <c r="AR573" i="8"/>
  <c r="BK573" i="8" s="1"/>
  <c r="AJ573" i="8"/>
  <c r="BC573" i="8" s="1"/>
  <c r="AP573" i="8"/>
  <c r="BI573" i="8" s="1"/>
  <c r="AL573" i="8"/>
  <c r="BE573" i="8" s="1"/>
  <c r="AK573" i="8"/>
  <c r="BD573" i="8" s="1"/>
  <c r="AQ573" i="8"/>
  <c r="BJ573" i="8" s="1"/>
  <c r="AI573" i="8"/>
  <c r="AO573" i="8"/>
  <c r="BH573" i="8" s="1"/>
  <c r="AN573" i="8"/>
  <c r="BG573" i="8" s="1"/>
  <c r="AM573" i="8"/>
  <c r="BF573" i="8" s="1"/>
  <c r="AS147" i="8"/>
  <c r="BB147" i="8"/>
  <c r="AS812" i="8"/>
  <c r="BB812" i="8"/>
  <c r="AS20" i="8"/>
  <c r="BB20" i="8"/>
  <c r="AM405" i="8"/>
  <c r="BF405" i="8" s="1"/>
  <c r="AQ405" i="8"/>
  <c r="BJ405" i="8" s="1"/>
  <c r="AL405" i="8"/>
  <c r="BE405" i="8" s="1"/>
  <c r="AK405" i="8"/>
  <c r="BD405" i="8" s="1"/>
  <c r="AR405" i="8"/>
  <c r="BK405" i="8" s="1"/>
  <c r="AJ405" i="8"/>
  <c r="BC405" i="8" s="1"/>
  <c r="AO405" i="8"/>
  <c r="BH405" i="8" s="1"/>
  <c r="AI405" i="8"/>
  <c r="AN405" i="8"/>
  <c r="BG405" i="8" s="1"/>
  <c r="AP405" i="8"/>
  <c r="BI405" i="8" s="1"/>
  <c r="AP541" i="8"/>
  <c r="BI541" i="8" s="1"/>
  <c r="AQ541" i="8"/>
  <c r="BJ541" i="8" s="1"/>
  <c r="AJ541" i="8"/>
  <c r="BC541" i="8" s="1"/>
  <c r="AR541" i="8"/>
  <c r="BK541" i="8" s="1"/>
  <c r="AK541" i="8"/>
  <c r="BD541" i="8" s="1"/>
  <c r="AI541" i="8"/>
  <c r="AM541" i="8"/>
  <c r="BF541" i="8" s="1"/>
  <c r="AN541" i="8"/>
  <c r="BG541" i="8" s="1"/>
  <c r="AL541" i="8"/>
  <c r="BE541" i="8" s="1"/>
  <c r="AO541" i="8"/>
  <c r="BH541" i="8" s="1"/>
  <c r="AP519" i="8"/>
  <c r="BI519" i="8" s="1"/>
  <c r="AO519" i="8"/>
  <c r="BH519" i="8" s="1"/>
  <c r="AN519" i="8"/>
  <c r="BG519" i="8" s="1"/>
  <c r="AK519" i="8"/>
  <c r="BD519" i="8" s="1"/>
  <c r="AM519" i="8"/>
  <c r="BF519" i="8" s="1"/>
  <c r="AR519" i="8"/>
  <c r="BK519" i="8" s="1"/>
  <c r="AJ519" i="8"/>
  <c r="BC519" i="8" s="1"/>
  <c r="AQ519" i="8"/>
  <c r="BJ519" i="8" s="1"/>
  <c r="AI519" i="8"/>
  <c r="AL519" i="8"/>
  <c r="BE519" i="8" s="1"/>
  <c r="BB128" i="8"/>
  <c r="AS128" i="8"/>
  <c r="BB41" i="8"/>
  <c r="AS41" i="8"/>
  <c r="AS827" i="8"/>
  <c r="BB827" i="8"/>
  <c r="AS789" i="8"/>
  <c r="BB789" i="8"/>
  <c r="AL488" i="8"/>
  <c r="BE488" i="8" s="1"/>
  <c r="AN488" i="8"/>
  <c r="BG488" i="8" s="1"/>
  <c r="AQ488" i="8"/>
  <c r="BJ488" i="8" s="1"/>
  <c r="AI488" i="8"/>
  <c r="AK488" i="8"/>
  <c r="BD488" i="8" s="1"/>
  <c r="AJ488" i="8"/>
  <c r="BC488" i="8" s="1"/>
  <c r="AO488" i="8"/>
  <c r="BH488" i="8" s="1"/>
  <c r="AP488" i="8"/>
  <c r="BI488" i="8" s="1"/>
  <c r="AR488" i="8"/>
  <c r="BK488" i="8" s="1"/>
  <c r="AM488" i="8"/>
  <c r="BF488" i="8" s="1"/>
  <c r="BA826" i="8"/>
  <c r="AZ826" i="8"/>
  <c r="AY826" i="8"/>
  <c r="AW826" i="8"/>
  <c r="AX826" i="8"/>
  <c r="AV826" i="8"/>
  <c r="BB220" i="8"/>
  <c r="AS173" i="8"/>
  <c r="BB173" i="8"/>
  <c r="AS193" i="8"/>
  <c r="BB193" i="8"/>
  <c r="BB400" i="8"/>
  <c r="AS155" i="8"/>
  <c r="BB155" i="8"/>
  <c r="BB710" i="8"/>
  <c r="AS200" i="8"/>
  <c r="BB200" i="8"/>
  <c r="BB787" i="8"/>
  <c r="AS787" i="8"/>
  <c r="BB365" i="8"/>
  <c r="AS82" i="8"/>
  <c r="BB82" i="8"/>
  <c r="BB115" i="8"/>
  <c r="AS115" i="8"/>
  <c r="AP240" i="8"/>
  <c r="BI240" i="8" s="1"/>
  <c r="AO240" i="8"/>
  <c r="BH240" i="8" s="1"/>
  <c r="AI240" i="8"/>
  <c r="AN240" i="8"/>
  <c r="BG240" i="8" s="1"/>
  <c r="AM240" i="8"/>
  <c r="BF240" i="8" s="1"/>
  <c r="AK240" i="8"/>
  <c r="BD240" i="8" s="1"/>
  <c r="AL240" i="8"/>
  <c r="BE240" i="8" s="1"/>
  <c r="AR240" i="8"/>
  <c r="BK240" i="8" s="1"/>
  <c r="AJ240" i="8"/>
  <c r="BC240" i="8" s="1"/>
  <c r="AQ240" i="8"/>
  <c r="BJ240" i="8" s="1"/>
  <c r="AR526" i="8"/>
  <c r="BK526" i="8" s="1"/>
  <c r="AL526" i="8"/>
  <c r="BE526" i="8" s="1"/>
  <c r="AJ526" i="8"/>
  <c r="BC526" i="8" s="1"/>
  <c r="AK526" i="8"/>
  <c r="BD526" i="8" s="1"/>
  <c r="AQ526" i="8"/>
  <c r="BJ526" i="8" s="1"/>
  <c r="AI526" i="8"/>
  <c r="AP526" i="8"/>
  <c r="BI526" i="8" s="1"/>
  <c r="AO526" i="8"/>
  <c r="BH526" i="8" s="1"/>
  <c r="AN526" i="8"/>
  <c r="BG526" i="8" s="1"/>
  <c r="AM526" i="8"/>
  <c r="BF526" i="8" s="1"/>
  <c r="AP79" i="8"/>
  <c r="BI79" i="8" s="1"/>
  <c r="AN79" i="8"/>
  <c r="BG79" i="8" s="1"/>
  <c r="AL79" i="8"/>
  <c r="BE79" i="8" s="1"/>
  <c r="AM79" i="8"/>
  <c r="BF79" i="8" s="1"/>
  <c r="AK79" i="8"/>
  <c r="BD79" i="8" s="1"/>
  <c r="AO79" i="8"/>
  <c r="BH79" i="8" s="1"/>
  <c r="AJ79" i="8"/>
  <c r="BC79" i="8" s="1"/>
  <c r="AQ79" i="8"/>
  <c r="BJ79" i="8" s="1"/>
  <c r="AI79" i="8"/>
  <c r="AR79" i="8"/>
  <c r="BK79" i="8" s="1"/>
  <c r="BB589" i="8"/>
  <c r="AS726" i="8"/>
  <c r="BB726" i="8"/>
  <c r="BB136" i="8"/>
  <c r="AS136" i="8"/>
  <c r="AS94" i="8"/>
  <c r="BB94" i="8"/>
  <c r="BB110" i="8"/>
  <c r="AS110" i="8"/>
  <c r="BB733" i="8"/>
  <c r="BB253" i="8"/>
  <c r="BB730" i="8"/>
  <c r="AS31" i="8"/>
  <c r="BB31" i="8"/>
  <c r="AQ126" i="8"/>
  <c r="BJ126" i="8" s="1"/>
  <c r="AM126" i="8"/>
  <c r="BF126" i="8" s="1"/>
  <c r="AL126" i="8"/>
  <c r="BE126" i="8" s="1"/>
  <c r="AI126" i="8"/>
  <c r="AK126" i="8"/>
  <c r="BD126" i="8" s="1"/>
  <c r="AR126" i="8"/>
  <c r="BK126" i="8" s="1"/>
  <c r="AJ126" i="8"/>
  <c r="BC126" i="8" s="1"/>
  <c r="AP126" i="8"/>
  <c r="BI126" i="8" s="1"/>
  <c r="AO126" i="8"/>
  <c r="BH126" i="8" s="1"/>
  <c r="AN126" i="8"/>
  <c r="BG126" i="8" s="1"/>
  <c r="AM172" i="8"/>
  <c r="BF172" i="8" s="1"/>
  <c r="AL172" i="8"/>
  <c r="BE172" i="8" s="1"/>
  <c r="AK172" i="8"/>
  <c r="BD172" i="8" s="1"/>
  <c r="AJ172" i="8"/>
  <c r="BC172" i="8" s="1"/>
  <c r="AP172" i="8"/>
  <c r="BI172" i="8" s="1"/>
  <c r="AI172" i="8"/>
  <c r="AO172" i="8"/>
  <c r="BH172" i="8" s="1"/>
  <c r="AN172" i="8"/>
  <c r="BG172" i="8" s="1"/>
  <c r="AR172" i="8"/>
  <c r="BK172" i="8" s="1"/>
  <c r="AQ172" i="8"/>
  <c r="BJ172" i="8" s="1"/>
  <c r="AY784" i="8"/>
  <c r="AW784" i="8"/>
  <c r="BA784" i="8"/>
  <c r="AZ784" i="8"/>
  <c r="AX784" i="8"/>
  <c r="AV784" i="8"/>
  <c r="AS796" i="8"/>
  <c r="BB796" i="8"/>
  <c r="BB164" i="8"/>
  <c r="AS164" i="8"/>
  <c r="AS153" i="8"/>
  <c r="BB153" i="8"/>
  <c r="BB809" i="8"/>
  <c r="AS809" i="8"/>
  <c r="BB71" i="8"/>
  <c r="AS71" i="8"/>
  <c r="BB191" i="8"/>
  <c r="AS191" i="8"/>
  <c r="BB408" i="8"/>
  <c r="AS790" i="8"/>
  <c r="BB790" i="8"/>
  <c r="BB154" i="8"/>
  <c r="AS154" i="8"/>
  <c r="BB695" i="8"/>
  <c r="AO557" i="8"/>
  <c r="BH557" i="8" s="1"/>
  <c r="AJ557" i="8"/>
  <c r="BC557" i="8" s="1"/>
  <c r="AQ557" i="8"/>
  <c r="BJ557" i="8" s="1"/>
  <c r="AL557" i="8"/>
  <c r="BE557" i="8" s="1"/>
  <c r="AN557" i="8"/>
  <c r="BG557" i="8" s="1"/>
  <c r="AM557" i="8"/>
  <c r="BF557" i="8" s="1"/>
  <c r="AK557" i="8"/>
  <c r="BD557" i="8" s="1"/>
  <c r="AR557" i="8"/>
  <c r="BK557" i="8" s="1"/>
  <c r="AI557" i="8"/>
  <c r="AP557" i="8"/>
  <c r="BI557" i="8" s="1"/>
  <c r="AP524" i="8"/>
  <c r="BI524" i="8" s="1"/>
  <c r="AI524" i="8"/>
  <c r="AJ524" i="8"/>
  <c r="BC524" i="8" s="1"/>
  <c r="AN524" i="8"/>
  <c r="BG524" i="8" s="1"/>
  <c r="AQ524" i="8"/>
  <c r="BJ524" i="8" s="1"/>
  <c r="AR524" i="8"/>
  <c r="BK524" i="8" s="1"/>
  <c r="AO524" i="8"/>
  <c r="BH524" i="8" s="1"/>
  <c r="AK524" i="8"/>
  <c r="BD524" i="8" s="1"/>
  <c r="AL524" i="8"/>
  <c r="BE524" i="8" s="1"/>
  <c r="AM524" i="8"/>
  <c r="BF524" i="8" s="1"/>
  <c r="AS86" i="8"/>
  <c r="BB86" i="8"/>
  <c r="BB718" i="8"/>
  <c r="AS718" i="8"/>
  <c r="BB37" i="8"/>
  <c r="AS37" i="8"/>
  <c r="BB32" i="8"/>
  <c r="AS32" i="8"/>
  <c r="AS44" i="8"/>
  <c r="BB44" i="8"/>
  <c r="BB184" i="8"/>
  <c r="AS184" i="8"/>
  <c r="AL236" i="8"/>
  <c r="BE236" i="8" s="1"/>
  <c r="AI236" i="8"/>
  <c r="AM236" i="8"/>
  <c r="BF236" i="8" s="1"/>
  <c r="AK236" i="8"/>
  <c r="BD236" i="8" s="1"/>
  <c r="AR236" i="8"/>
  <c r="BK236" i="8" s="1"/>
  <c r="AJ236" i="8"/>
  <c r="BC236" i="8" s="1"/>
  <c r="AP236" i="8"/>
  <c r="BI236" i="8" s="1"/>
  <c r="AO236" i="8"/>
  <c r="BH236" i="8" s="1"/>
  <c r="AQ236" i="8"/>
  <c r="BJ236" i="8" s="1"/>
  <c r="AN236" i="8"/>
  <c r="BG236" i="8" s="1"/>
  <c r="AK290" i="8"/>
  <c r="BD290" i="8" s="1"/>
  <c r="AL290" i="8"/>
  <c r="BE290" i="8" s="1"/>
  <c r="AR290" i="8"/>
  <c r="BK290" i="8" s="1"/>
  <c r="AO290" i="8"/>
  <c r="BH290" i="8" s="1"/>
  <c r="AJ290" i="8"/>
  <c r="BC290" i="8" s="1"/>
  <c r="AQ290" i="8"/>
  <c r="BJ290" i="8" s="1"/>
  <c r="AI290" i="8"/>
  <c r="AP290" i="8"/>
  <c r="BI290" i="8" s="1"/>
  <c r="AN290" i="8"/>
  <c r="BG290" i="8" s="1"/>
  <c r="AM290" i="8"/>
  <c r="BF290" i="8" s="1"/>
  <c r="AL590" i="8"/>
  <c r="BE590" i="8" s="1"/>
  <c r="AM590" i="8"/>
  <c r="BF590" i="8" s="1"/>
  <c r="AK590" i="8"/>
  <c r="BD590" i="8" s="1"/>
  <c r="AQ590" i="8"/>
  <c r="BJ590" i="8" s="1"/>
  <c r="AP590" i="8"/>
  <c r="BI590" i="8" s="1"/>
  <c r="AO590" i="8"/>
  <c r="BH590" i="8" s="1"/>
  <c r="AN590" i="8"/>
  <c r="BG590" i="8" s="1"/>
  <c r="AR590" i="8"/>
  <c r="BK590" i="8" s="1"/>
  <c r="AJ590" i="8"/>
  <c r="BC590" i="8" s="1"/>
  <c r="AI590" i="8"/>
  <c r="AK462" i="8"/>
  <c r="BD462" i="8" s="1"/>
  <c r="AP462" i="8"/>
  <c r="BI462" i="8" s="1"/>
  <c r="AM462" i="8"/>
  <c r="BF462" i="8" s="1"/>
  <c r="AR462" i="8"/>
  <c r="BK462" i="8" s="1"/>
  <c r="AL462" i="8"/>
  <c r="BE462" i="8" s="1"/>
  <c r="AJ462" i="8"/>
  <c r="BC462" i="8" s="1"/>
  <c r="AO462" i="8"/>
  <c r="BH462" i="8" s="1"/>
  <c r="AN462" i="8"/>
  <c r="BG462" i="8" s="1"/>
  <c r="AQ462" i="8"/>
  <c r="BJ462" i="8" s="1"/>
  <c r="AI462" i="8"/>
  <c r="AM285" i="8"/>
  <c r="BF285" i="8" s="1"/>
  <c r="AL285" i="8"/>
  <c r="BE285" i="8" s="1"/>
  <c r="AK285" i="8"/>
  <c r="BD285" i="8" s="1"/>
  <c r="AO285" i="8"/>
  <c r="BH285" i="8" s="1"/>
  <c r="AP285" i="8"/>
  <c r="BI285" i="8" s="1"/>
  <c r="AI285" i="8"/>
  <c r="AN285" i="8"/>
  <c r="BG285" i="8" s="1"/>
  <c r="AR285" i="8"/>
  <c r="BK285" i="8" s="1"/>
  <c r="AQ285" i="8"/>
  <c r="BJ285" i="8" s="1"/>
  <c r="AJ285" i="8"/>
  <c r="BC285" i="8" s="1"/>
  <c r="AP339" i="8"/>
  <c r="BI339" i="8" s="1"/>
  <c r="AR339" i="8"/>
  <c r="BK339" i="8" s="1"/>
  <c r="AQ339" i="8"/>
  <c r="BJ339" i="8" s="1"/>
  <c r="AJ339" i="8"/>
  <c r="BC339" i="8" s="1"/>
  <c r="AM339" i="8"/>
  <c r="BF339" i="8" s="1"/>
  <c r="AI339" i="8"/>
  <c r="AN339" i="8"/>
  <c r="BG339" i="8" s="1"/>
  <c r="AL339" i="8"/>
  <c r="BE339" i="8" s="1"/>
  <c r="AO339" i="8"/>
  <c r="BH339" i="8" s="1"/>
  <c r="AK339" i="8"/>
  <c r="BD339" i="8" s="1"/>
  <c r="AW104" i="8"/>
  <c r="AX104" i="8"/>
  <c r="AZ104" i="8"/>
  <c r="BA104" i="8"/>
  <c r="AY104" i="8"/>
  <c r="BB56" i="8"/>
  <c r="AS56" i="8"/>
  <c r="AS171" i="8"/>
  <c r="BB171" i="8"/>
  <c r="BB80" i="8"/>
  <c r="AS80" i="8"/>
  <c r="BB112" i="8"/>
  <c r="AS112" i="8"/>
  <c r="AI562" i="8"/>
  <c r="AP562" i="8"/>
  <c r="BI562" i="8" s="1"/>
  <c r="AO562" i="8"/>
  <c r="BH562" i="8" s="1"/>
  <c r="AL562" i="8"/>
  <c r="BE562" i="8" s="1"/>
  <c r="AN562" i="8"/>
  <c r="BG562" i="8" s="1"/>
  <c r="AK562" i="8"/>
  <c r="BD562" i="8" s="1"/>
  <c r="AM562" i="8"/>
  <c r="BF562" i="8" s="1"/>
  <c r="AJ562" i="8"/>
  <c r="BC562" i="8" s="1"/>
  <c r="AQ562" i="8"/>
  <c r="BJ562" i="8" s="1"/>
  <c r="AR562" i="8"/>
  <c r="BK562" i="8" s="1"/>
  <c r="AP540" i="8"/>
  <c r="BI540" i="8" s="1"/>
  <c r="AO540" i="8"/>
  <c r="BH540" i="8" s="1"/>
  <c r="AL540" i="8"/>
  <c r="BE540" i="8" s="1"/>
  <c r="AN540" i="8"/>
  <c r="BG540" i="8" s="1"/>
  <c r="AK540" i="8"/>
  <c r="BD540" i="8" s="1"/>
  <c r="AM540" i="8"/>
  <c r="BF540" i="8" s="1"/>
  <c r="AR540" i="8"/>
  <c r="BK540" i="8" s="1"/>
  <c r="AJ540" i="8"/>
  <c r="BC540" i="8" s="1"/>
  <c r="AQ540" i="8"/>
  <c r="BJ540" i="8" s="1"/>
  <c r="AI540" i="8"/>
  <c r="BB53" i="8"/>
  <c r="AS53" i="8"/>
  <c r="BB98" i="8"/>
  <c r="AS98" i="8"/>
  <c r="BB351" i="8"/>
  <c r="AQ330" i="8"/>
  <c r="BJ330" i="8" s="1"/>
  <c r="AN330" i="8"/>
  <c r="BG330" i="8" s="1"/>
  <c r="AP330" i="8"/>
  <c r="BI330" i="8" s="1"/>
  <c r="AL330" i="8"/>
  <c r="BE330" i="8" s="1"/>
  <c r="AM330" i="8"/>
  <c r="BF330" i="8" s="1"/>
  <c r="AR330" i="8"/>
  <c r="BK330" i="8" s="1"/>
  <c r="AJ330" i="8"/>
  <c r="BC330" i="8" s="1"/>
  <c r="AO330" i="8"/>
  <c r="BH330" i="8" s="1"/>
  <c r="AI330" i="8"/>
  <c r="AK330" i="8"/>
  <c r="BD330" i="8" s="1"/>
  <c r="AN276" i="8"/>
  <c r="BG276" i="8" s="1"/>
  <c r="AO276" i="8"/>
  <c r="BH276" i="8" s="1"/>
  <c r="AJ276" i="8"/>
  <c r="BC276" i="8" s="1"/>
  <c r="AQ276" i="8"/>
  <c r="BJ276" i="8" s="1"/>
  <c r="AI276" i="8"/>
  <c r="AL276" i="8"/>
  <c r="BE276" i="8" s="1"/>
  <c r="AP276" i="8"/>
  <c r="BI276" i="8" s="1"/>
  <c r="AM276" i="8"/>
  <c r="BF276" i="8" s="1"/>
  <c r="AR276" i="8"/>
  <c r="BK276" i="8" s="1"/>
  <c r="AK276" i="8"/>
  <c r="BD276" i="8" s="1"/>
  <c r="AQ54" i="8"/>
  <c r="BJ54" i="8" s="1"/>
  <c r="AJ54" i="8"/>
  <c r="BC54" i="8" s="1"/>
  <c r="AI54" i="8"/>
  <c r="AP54" i="8"/>
  <c r="BI54" i="8" s="1"/>
  <c r="AO54" i="8"/>
  <c r="BH54" i="8" s="1"/>
  <c r="AN54" i="8"/>
  <c r="BG54" i="8" s="1"/>
  <c r="AM54" i="8"/>
  <c r="BF54" i="8" s="1"/>
  <c r="AL54" i="8"/>
  <c r="BE54" i="8" s="1"/>
  <c r="AR54" i="8"/>
  <c r="BK54" i="8" s="1"/>
  <c r="AK54" i="8"/>
  <c r="BD54" i="8" s="1"/>
  <c r="BB175" i="8"/>
  <c r="AS175" i="8"/>
  <c r="BB226" i="8"/>
  <c r="BB212" i="8"/>
  <c r="BB84" i="8"/>
  <c r="AS84" i="8"/>
  <c r="AS141" i="8"/>
  <c r="BB141" i="8"/>
  <c r="AS130" i="8"/>
  <c r="BB130" i="8"/>
  <c r="BB423" i="8"/>
  <c r="BB63" i="8"/>
  <c r="AS63" i="8"/>
  <c r="BB336" i="8"/>
  <c r="BB758" i="8"/>
  <c r="BB119" i="8"/>
  <c r="AS119" i="8"/>
  <c r="AS813" i="8"/>
  <c r="BB813" i="8"/>
  <c r="AS16" i="8"/>
  <c r="BB16" i="8"/>
  <c r="BB575" i="8"/>
  <c r="AL113" i="8"/>
  <c r="BE113" i="8" s="1"/>
  <c r="AO113" i="8"/>
  <c r="BH113" i="8" s="1"/>
  <c r="AN113" i="8"/>
  <c r="BG113" i="8" s="1"/>
  <c r="AK113" i="8"/>
  <c r="BD113" i="8" s="1"/>
  <c r="AR113" i="8"/>
  <c r="BK113" i="8" s="1"/>
  <c r="AI113" i="8"/>
  <c r="AP113" i="8"/>
  <c r="BI113" i="8" s="1"/>
  <c r="AJ113" i="8"/>
  <c r="BC113" i="8" s="1"/>
  <c r="AM113" i="8"/>
  <c r="BF113" i="8" s="1"/>
  <c r="AQ113" i="8"/>
  <c r="BJ113" i="8" s="1"/>
  <c r="AP139" i="8"/>
  <c r="BI139" i="8" s="1"/>
  <c r="AO139" i="8"/>
  <c r="BH139" i="8" s="1"/>
  <c r="AN139" i="8"/>
  <c r="BG139" i="8" s="1"/>
  <c r="AK139" i="8"/>
  <c r="BD139" i="8" s="1"/>
  <c r="AL139" i="8"/>
  <c r="BE139" i="8" s="1"/>
  <c r="AM139" i="8"/>
  <c r="BF139" i="8" s="1"/>
  <c r="AR139" i="8"/>
  <c r="BK139" i="8" s="1"/>
  <c r="AQ139" i="8"/>
  <c r="BJ139" i="8" s="1"/>
  <c r="AI139" i="8"/>
  <c r="AJ139" i="8"/>
  <c r="BC139" i="8" s="1"/>
  <c r="BB3" i="8"/>
  <c r="AS3" i="8"/>
  <c r="BB556" i="8"/>
  <c r="BB12" i="8"/>
  <c r="AS12" i="8"/>
  <c r="BB55" i="8"/>
  <c r="AS55" i="8"/>
  <c r="BB719" i="8"/>
  <c r="BB278" i="8"/>
  <c r="BB107" i="8"/>
  <c r="AS107" i="8"/>
  <c r="BB166" i="8"/>
  <c r="AS166" i="8"/>
  <c r="BB808" i="8"/>
  <c r="AS808" i="8"/>
  <c r="AS58" i="8"/>
  <c r="BB58" i="8"/>
  <c r="AS148" i="8"/>
  <c r="BB148" i="8"/>
  <c r="BB635" i="8"/>
  <c r="AS39" i="8"/>
  <c r="BB39" i="8"/>
  <c r="BB358" i="8"/>
  <c r="AN659" i="8"/>
  <c r="BG659" i="8" s="1"/>
  <c r="AM659" i="8"/>
  <c r="BF659" i="8" s="1"/>
  <c r="AR659" i="8"/>
  <c r="BK659" i="8" s="1"/>
  <c r="AL659" i="8"/>
  <c r="BE659" i="8" s="1"/>
  <c r="AJ659" i="8"/>
  <c r="BC659" i="8" s="1"/>
  <c r="AK659" i="8"/>
  <c r="BD659" i="8" s="1"/>
  <c r="AQ659" i="8"/>
  <c r="BJ659" i="8" s="1"/>
  <c r="AI659" i="8"/>
  <c r="AP659" i="8"/>
  <c r="BI659" i="8" s="1"/>
  <c r="AO659" i="8"/>
  <c r="BH659" i="8" s="1"/>
  <c r="AO328" i="8"/>
  <c r="BH328" i="8" s="1"/>
  <c r="AR328" i="8"/>
  <c r="BK328" i="8" s="1"/>
  <c r="AQ328" i="8"/>
  <c r="BJ328" i="8" s="1"/>
  <c r="AI328" i="8"/>
  <c r="AJ328" i="8"/>
  <c r="BC328" i="8" s="1"/>
  <c r="AP328" i="8"/>
  <c r="BI328" i="8" s="1"/>
  <c r="AN328" i="8"/>
  <c r="BG328" i="8" s="1"/>
  <c r="AK328" i="8"/>
  <c r="BD328" i="8" s="1"/>
  <c r="AM328" i="8"/>
  <c r="BF328" i="8" s="1"/>
  <c r="AL328" i="8"/>
  <c r="BE328" i="8" s="1"/>
  <c r="AR513" i="8"/>
  <c r="BK513" i="8" s="1"/>
  <c r="AQ513" i="8"/>
  <c r="BJ513" i="8" s="1"/>
  <c r="AI513" i="8"/>
  <c r="AJ513" i="8"/>
  <c r="BC513" i="8" s="1"/>
  <c r="AP513" i="8"/>
  <c r="BI513" i="8" s="1"/>
  <c r="AO513" i="8"/>
  <c r="BH513" i="8" s="1"/>
  <c r="AN513" i="8"/>
  <c r="BG513" i="8" s="1"/>
  <c r="AM513" i="8"/>
  <c r="BF513" i="8" s="1"/>
  <c r="AL513" i="8"/>
  <c r="BE513" i="8" s="1"/>
  <c r="AK513" i="8"/>
  <c r="BD513" i="8" s="1"/>
  <c r="BB165" i="8"/>
  <c r="AS165" i="8"/>
  <c r="BB377" i="8"/>
  <c r="BB382" i="8"/>
  <c r="BB36" i="8"/>
  <c r="AS36" i="8"/>
  <c r="BB373" i="8"/>
  <c r="AS788" i="8"/>
  <c r="BB788" i="8"/>
  <c r="AP533" i="8"/>
  <c r="BI533" i="8" s="1"/>
  <c r="AI533" i="8"/>
  <c r="AQ533" i="8"/>
  <c r="BJ533" i="8" s="1"/>
  <c r="AK533" i="8"/>
  <c r="BD533" i="8" s="1"/>
  <c r="AJ533" i="8"/>
  <c r="BC533" i="8" s="1"/>
  <c r="AR533" i="8"/>
  <c r="BK533" i="8" s="1"/>
  <c r="AM533" i="8"/>
  <c r="BF533" i="8" s="1"/>
  <c r="AO533" i="8"/>
  <c r="BH533" i="8" s="1"/>
  <c r="AN533" i="8"/>
  <c r="BG533" i="8" s="1"/>
  <c r="AL533" i="8"/>
  <c r="BE533" i="8" s="1"/>
  <c r="AL555" i="8"/>
  <c r="BE555" i="8" s="1"/>
  <c r="AK555" i="8"/>
  <c r="BD555" i="8" s="1"/>
  <c r="AR555" i="8"/>
  <c r="BK555" i="8" s="1"/>
  <c r="AQ555" i="8"/>
  <c r="BJ555" i="8" s="1"/>
  <c r="AP555" i="8"/>
  <c r="BI555" i="8" s="1"/>
  <c r="AN555" i="8"/>
  <c r="BG555" i="8" s="1"/>
  <c r="AO555" i="8"/>
  <c r="BH555" i="8" s="1"/>
  <c r="AI555" i="8"/>
  <c r="AM555" i="8"/>
  <c r="BF555" i="8" s="1"/>
  <c r="AJ555" i="8"/>
  <c r="BC555" i="8" s="1"/>
  <c r="BA785" i="8"/>
  <c r="AZ785" i="8"/>
  <c r="AX785" i="8"/>
  <c r="AY785" i="8"/>
  <c r="AW785" i="8"/>
  <c r="AV785" i="8"/>
  <c r="BA43" i="8"/>
  <c r="AZ43" i="8"/>
  <c r="AY43" i="8"/>
  <c r="AW43" i="8"/>
  <c r="AX43" i="8"/>
  <c r="AZ120" i="8"/>
  <c r="AW120" i="8"/>
  <c r="AY120" i="8"/>
  <c r="AX120" i="8"/>
  <c r="BA120" i="8"/>
  <c r="AS137" i="8"/>
  <c r="BB137" i="8"/>
  <c r="AS786" i="8"/>
  <c r="BB786" i="8"/>
  <c r="BB806" i="8"/>
  <c r="AS806" i="8"/>
  <c r="AP424" i="8"/>
  <c r="BI424" i="8" s="1"/>
  <c r="AO424" i="8"/>
  <c r="BH424" i="8" s="1"/>
  <c r="AN424" i="8"/>
  <c r="BG424" i="8" s="1"/>
  <c r="AK424" i="8"/>
  <c r="BD424" i="8" s="1"/>
  <c r="AM424" i="8"/>
  <c r="BF424" i="8" s="1"/>
  <c r="AR424" i="8"/>
  <c r="BK424" i="8" s="1"/>
  <c r="AL424" i="8"/>
  <c r="BE424" i="8" s="1"/>
  <c r="AJ424" i="8"/>
  <c r="BC424" i="8" s="1"/>
  <c r="AQ424" i="8"/>
  <c r="BJ424" i="8" s="1"/>
  <c r="AI424" i="8"/>
  <c r="AN530" i="8"/>
  <c r="BG530" i="8" s="1"/>
  <c r="AM530" i="8"/>
  <c r="BF530" i="8" s="1"/>
  <c r="AR530" i="8"/>
  <c r="BK530" i="8" s="1"/>
  <c r="AL530" i="8"/>
  <c r="BE530" i="8" s="1"/>
  <c r="AJ530" i="8"/>
  <c r="BC530" i="8" s="1"/>
  <c r="AK530" i="8"/>
  <c r="BD530" i="8" s="1"/>
  <c r="AQ530" i="8"/>
  <c r="BJ530" i="8" s="1"/>
  <c r="AI530" i="8"/>
  <c r="AP530" i="8"/>
  <c r="BI530" i="8" s="1"/>
  <c r="AO530" i="8"/>
  <c r="BH530" i="8" s="1"/>
  <c r="BB201" i="8"/>
  <c r="AS201" i="8"/>
  <c r="AS142" i="8"/>
  <c r="BB142" i="8"/>
  <c r="BB129" i="8"/>
  <c r="AS129" i="8"/>
  <c r="BB611" i="8"/>
  <c r="BB61" i="8"/>
  <c r="AS61" i="8"/>
  <c r="AR507" i="8"/>
  <c r="BK507" i="8" s="1"/>
  <c r="AJ507" i="8"/>
  <c r="BC507" i="8" s="1"/>
  <c r="AK507" i="8"/>
  <c r="BD507" i="8" s="1"/>
  <c r="AQ507" i="8"/>
  <c r="BJ507" i="8" s="1"/>
  <c r="AI507" i="8"/>
  <c r="AP507" i="8"/>
  <c r="BI507" i="8" s="1"/>
  <c r="AM507" i="8"/>
  <c r="BF507" i="8" s="1"/>
  <c r="AO507" i="8"/>
  <c r="BH507" i="8" s="1"/>
  <c r="AN507" i="8"/>
  <c r="BG507" i="8" s="1"/>
  <c r="AL507" i="8"/>
  <c r="BE507" i="8" s="1"/>
  <c r="AJ529" i="8"/>
  <c r="BC529" i="8" s="1"/>
  <c r="AQ529" i="8"/>
  <c r="BJ529" i="8" s="1"/>
  <c r="AI529" i="8"/>
  <c r="AM529" i="8"/>
  <c r="BF529" i="8" s="1"/>
  <c r="AO529" i="8"/>
  <c r="BH529" i="8" s="1"/>
  <c r="AL529" i="8"/>
  <c r="BE529" i="8" s="1"/>
  <c r="AR529" i="8"/>
  <c r="BK529" i="8" s="1"/>
  <c r="AP529" i="8"/>
  <c r="BI529" i="8" s="1"/>
  <c r="AN529" i="8"/>
  <c r="BG529" i="8" s="1"/>
  <c r="AK529" i="8"/>
  <c r="BD529" i="8" s="1"/>
  <c r="AX157" i="8"/>
  <c r="AW157" i="8"/>
  <c r="AY157" i="8"/>
  <c r="BA157" i="8"/>
  <c r="AZ157" i="8"/>
  <c r="AV157" i="8"/>
  <c r="AS145" i="8"/>
  <c r="BB145" i="8"/>
  <c r="BB736" i="8"/>
  <c r="AS736" i="8"/>
  <c r="BB779" i="8"/>
  <c r="AS779" i="8"/>
  <c r="BB156" i="8"/>
  <c r="AS156" i="8"/>
  <c r="AP537" i="8"/>
  <c r="BI537" i="8" s="1"/>
  <c r="AI537" i="8"/>
  <c r="AQ537" i="8"/>
  <c r="BJ537" i="8" s="1"/>
  <c r="AJ537" i="8"/>
  <c r="BC537" i="8" s="1"/>
  <c r="AM537" i="8"/>
  <c r="BF537" i="8" s="1"/>
  <c r="AR537" i="8"/>
  <c r="BK537" i="8" s="1"/>
  <c r="AN537" i="8"/>
  <c r="BG537" i="8" s="1"/>
  <c r="AK537" i="8"/>
  <c r="BD537" i="8" s="1"/>
  <c r="AL537" i="8"/>
  <c r="BE537" i="8" s="1"/>
  <c r="AO537" i="8"/>
  <c r="BH537" i="8" s="1"/>
  <c r="AL118" i="8"/>
  <c r="BE118" i="8" s="1"/>
  <c r="AI118" i="8"/>
  <c r="AK118" i="8"/>
  <c r="BD118" i="8" s="1"/>
  <c r="AR118" i="8"/>
  <c r="BK118" i="8" s="1"/>
  <c r="AJ118" i="8"/>
  <c r="BC118" i="8" s="1"/>
  <c r="AP118" i="8"/>
  <c r="BI118" i="8" s="1"/>
  <c r="AO118" i="8"/>
  <c r="BH118" i="8" s="1"/>
  <c r="AM118" i="8"/>
  <c r="BF118" i="8" s="1"/>
  <c r="AN118" i="8"/>
  <c r="BG118" i="8" s="1"/>
  <c r="AQ118" i="8"/>
  <c r="BJ118" i="8" s="1"/>
  <c r="AL92" i="8"/>
  <c r="BE92" i="8" s="1"/>
  <c r="AM92" i="8"/>
  <c r="BF92" i="8" s="1"/>
  <c r="AJ92" i="8"/>
  <c r="BC92" i="8" s="1"/>
  <c r="AN92" i="8"/>
  <c r="BG92" i="8" s="1"/>
  <c r="AQ92" i="8"/>
  <c r="BJ92" i="8" s="1"/>
  <c r="AP92" i="8"/>
  <c r="BI92" i="8" s="1"/>
  <c r="AO92" i="8"/>
  <c r="BH92" i="8" s="1"/>
  <c r="AK92" i="8"/>
  <c r="BD92" i="8" s="1"/>
  <c r="AI92" i="8"/>
  <c r="AR92" i="8"/>
  <c r="BK92" i="8" s="1"/>
  <c r="AJ202" i="8"/>
  <c r="BC202" i="8" s="1"/>
  <c r="AI202" i="8"/>
  <c r="AO202" i="8"/>
  <c r="BH202" i="8" s="1"/>
  <c r="AR202" i="8"/>
  <c r="BK202" i="8" s="1"/>
  <c r="AN202" i="8"/>
  <c r="BG202" i="8" s="1"/>
  <c r="AM202" i="8"/>
  <c r="BF202" i="8" s="1"/>
  <c r="AL202" i="8"/>
  <c r="BE202" i="8" s="1"/>
  <c r="AK202" i="8"/>
  <c r="BD202" i="8" s="1"/>
  <c r="AQ202" i="8"/>
  <c r="BJ202" i="8" s="1"/>
  <c r="AP202" i="8"/>
  <c r="BI202" i="8" s="1"/>
  <c r="BB385" i="8"/>
  <c r="AS835" i="8"/>
  <c r="BB835" i="8"/>
  <c r="BB435" i="8"/>
  <c r="AS33" i="8"/>
  <c r="BB33" i="8"/>
  <c r="BB210" i="8"/>
  <c r="AS210" i="8"/>
  <c r="BB749" i="8"/>
  <c r="BB374" i="8"/>
  <c r="BB268" i="8"/>
  <c r="BB234" i="8"/>
  <c r="AS78" i="8"/>
  <c r="BB78" i="8"/>
  <c r="BB35" i="8"/>
  <c r="AS35" i="8"/>
  <c r="BB196" i="8"/>
  <c r="AS196" i="8"/>
  <c r="BB427" i="8"/>
  <c r="AO50" i="8"/>
  <c r="BH50" i="8" s="1"/>
  <c r="AL50" i="8"/>
  <c r="BE50" i="8" s="1"/>
  <c r="AR50" i="8"/>
  <c r="BK50" i="8" s="1"/>
  <c r="AJ50" i="8"/>
  <c r="BC50" i="8" s="1"/>
  <c r="AQ50" i="8"/>
  <c r="BJ50" i="8" s="1"/>
  <c r="AI50" i="8"/>
  <c r="AP50" i="8"/>
  <c r="BI50" i="8" s="1"/>
  <c r="AN50" i="8"/>
  <c r="BG50" i="8" s="1"/>
  <c r="AK50" i="8"/>
  <c r="BD50" i="8" s="1"/>
  <c r="AM50" i="8"/>
  <c r="BF50" i="8" s="1"/>
  <c r="AJ14" i="8"/>
  <c r="BC14" i="8" s="1"/>
  <c r="AI14" i="8"/>
  <c r="AN14" i="8"/>
  <c r="BG14" i="8" s="1"/>
  <c r="AO14" i="8"/>
  <c r="BH14" i="8" s="1"/>
  <c r="AM14" i="8"/>
  <c r="BF14" i="8" s="1"/>
  <c r="AK14" i="8"/>
  <c r="BD14" i="8" s="1"/>
  <c r="AQ14" i="8"/>
  <c r="BJ14" i="8" s="1"/>
  <c r="AL14" i="8"/>
  <c r="BE14" i="8" s="1"/>
  <c r="AR14" i="8"/>
  <c r="BK14" i="8" s="1"/>
  <c r="AP14" i="8"/>
  <c r="BI14" i="8" s="1"/>
  <c r="BA819" i="8"/>
  <c r="AZ819" i="8"/>
  <c r="AY819" i="8"/>
  <c r="AW819" i="8"/>
  <c r="AX819" i="8"/>
  <c r="AV819" i="8"/>
  <c r="BB345" i="8"/>
  <c r="BB459" i="8"/>
  <c r="AS133" i="8"/>
  <c r="BB133" i="8"/>
  <c r="BB793" i="8"/>
  <c r="AS793" i="8"/>
  <c r="BB204" i="8"/>
  <c r="AS204" i="8"/>
  <c r="AO761" i="8"/>
  <c r="BH761" i="8" s="1"/>
  <c r="AN761" i="8"/>
  <c r="BG761" i="8" s="1"/>
  <c r="AM761" i="8"/>
  <c r="BF761" i="8" s="1"/>
  <c r="AL761" i="8"/>
  <c r="BE761" i="8" s="1"/>
  <c r="AK761" i="8"/>
  <c r="BD761" i="8" s="1"/>
  <c r="AJ761" i="8"/>
  <c r="BC761" i="8" s="1"/>
  <c r="AR761" i="8"/>
  <c r="BK761" i="8" s="1"/>
  <c r="AQ761" i="8"/>
  <c r="BJ761" i="8" s="1"/>
  <c r="AI761" i="8"/>
  <c r="AP761" i="8"/>
  <c r="BI761" i="8" s="1"/>
  <c r="AO591" i="8"/>
  <c r="BH591" i="8" s="1"/>
  <c r="AR591" i="8"/>
  <c r="BK591" i="8" s="1"/>
  <c r="AK591" i="8"/>
  <c r="BD591" i="8" s="1"/>
  <c r="AJ591" i="8"/>
  <c r="BC591" i="8" s="1"/>
  <c r="AQ591" i="8"/>
  <c r="BJ591" i="8" s="1"/>
  <c r="AI591" i="8"/>
  <c r="AN591" i="8"/>
  <c r="BG591" i="8" s="1"/>
  <c r="AM591" i="8"/>
  <c r="BF591" i="8" s="1"/>
  <c r="AL591" i="8"/>
  <c r="BE591" i="8" s="1"/>
  <c r="AP591" i="8"/>
  <c r="BI591" i="8" s="1"/>
  <c r="AM535" i="8"/>
  <c r="BF535" i="8" s="1"/>
  <c r="AO535" i="8"/>
  <c r="BH535" i="8" s="1"/>
  <c r="AL535" i="8"/>
  <c r="BE535" i="8" s="1"/>
  <c r="AK535" i="8"/>
  <c r="BD535" i="8" s="1"/>
  <c r="AR535" i="8"/>
  <c r="BK535" i="8" s="1"/>
  <c r="AJ535" i="8"/>
  <c r="BC535" i="8" s="1"/>
  <c r="AI535" i="8"/>
  <c r="AN535" i="8"/>
  <c r="BG535" i="8" s="1"/>
  <c r="AP535" i="8"/>
  <c r="BI535" i="8" s="1"/>
  <c r="AQ535" i="8"/>
  <c r="BJ535" i="8" s="1"/>
  <c r="AL292" i="8"/>
  <c r="BE292" i="8" s="1"/>
  <c r="AK292" i="8"/>
  <c r="BD292" i="8" s="1"/>
  <c r="AJ292" i="8"/>
  <c r="BC292" i="8" s="1"/>
  <c r="AI292" i="8"/>
  <c r="AP292" i="8"/>
  <c r="BI292" i="8" s="1"/>
  <c r="AM292" i="8"/>
  <c r="BF292" i="8" s="1"/>
  <c r="AR292" i="8"/>
  <c r="BK292" i="8" s="1"/>
  <c r="AO292" i="8"/>
  <c r="BH292" i="8" s="1"/>
  <c r="AN292" i="8"/>
  <c r="BG292" i="8" s="1"/>
  <c r="AQ292" i="8"/>
  <c r="BJ292" i="8" s="1"/>
  <c r="AS797" i="8"/>
  <c r="BB797" i="8"/>
  <c r="BB456" i="8"/>
  <c r="BB598" i="8"/>
  <c r="AI308" i="8"/>
  <c r="AP308" i="8"/>
  <c r="BI308" i="8" s="1"/>
  <c r="AN308" i="8"/>
  <c r="BG308" i="8" s="1"/>
  <c r="AM308" i="8"/>
  <c r="BF308" i="8" s="1"/>
  <c r="AL308" i="8"/>
  <c r="BE308" i="8" s="1"/>
  <c r="AK308" i="8"/>
  <c r="BD308" i="8" s="1"/>
  <c r="AJ308" i="8"/>
  <c r="BC308" i="8" s="1"/>
  <c r="AO308" i="8"/>
  <c r="BH308" i="8" s="1"/>
  <c r="AQ308" i="8"/>
  <c r="BJ308" i="8" s="1"/>
  <c r="AR308" i="8"/>
  <c r="BK308" i="8" s="1"/>
  <c r="AI511" i="8"/>
  <c r="AP511" i="8"/>
  <c r="BI511" i="8" s="1"/>
  <c r="AO511" i="8"/>
  <c r="BH511" i="8" s="1"/>
  <c r="AN511" i="8"/>
  <c r="BG511" i="8" s="1"/>
  <c r="AK511" i="8"/>
  <c r="BD511" i="8" s="1"/>
  <c r="AM511" i="8"/>
  <c r="BF511" i="8" s="1"/>
  <c r="AR511" i="8"/>
  <c r="BK511" i="8" s="1"/>
  <c r="AL511" i="8"/>
  <c r="BE511" i="8" s="1"/>
  <c r="AJ511" i="8"/>
  <c r="BC511" i="8" s="1"/>
  <c r="AQ511" i="8"/>
  <c r="BJ511" i="8" s="1"/>
  <c r="BB769" i="8"/>
  <c r="BB34" i="8"/>
  <c r="AS34" i="8"/>
  <c r="BB594" i="8"/>
  <c r="AS717" i="8"/>
  <c r="BB717" i="8"/>
  <c r="BB636" i="8"/>
  <c r="BB368" i="8"/>
  <c r="AP443" i="8"/>
  <c r="BI443" i="8" s="1"/>
  <c r="AK443" i="8"/>
  <c r="BD443" i="8" s="1"/>
  <c r="AN443" i="8"/>
  <c r="BG443" i="8" s="1"/>
  <c r="AO443" i="8"/>
  <c r="BH443" i="8" s="1"/>
  <c r="AL443" i="8"/>
  <c r="BE443" i="8" s="1"/>
  <c r="AM443" i="8"/>
  <c r="BF443" i="8" s="1"/>
  <c r="AR443" i="8"/>
  <c r="BK443" i="8" s="1"/>
  <c r="AJ443" i="8"/>
  <c r="BC443" i="8" s="1"/>
  <c r="AQ443" i="8"/>
  <c r="BJ443" i="8" s="1"/>
  <c r="AI443" i="8"/>
  <c r="AI563" i="8"/>
  <c r="AQ563" i="8"/>
  <c r="BJ563" i="8" s="1"/>
  <c r="AL563" i="8"/>
  <c r="BE563" i="8" s="1"/>
  <c r="AK563" i="8"/>
  <c r="BD563" i="8" s="1"/>
  <c r="AP563" i="8"/>
  <c r="BI563" i="8" s="1"/>
  <c r="AM563" i="8"/>
  <c r="BF563" i="8" s="1"/>
  <c r="AR563" i="8"/>
  <c r="BK563" i="8" s="1"/>
  <c r="AJ563" i="8"/>
  <c r="BC563" i="8" s="1"/>
  <c r="AO563" i="8"/>
  <c r="BH563" i="8" s="1"/>
  <c r="AN563" i="8"/>
  <c r="BG563" i="8" s="1"/>
  <c r="BB106" i="8"/>
  <c r="AS106" i="8"/>
  <c r="AS149" i="8"/>
  <c r="BB149" i="8"/>
  <c r="AS143" i="8"/>
  <c r="BB143" i="8"/>
  <c r="AO551" i="8"/>
  <c r="BH551" i="8" s="1"/>
  <c r="AR551" i="8"/>
  <c r="BK551" i="8" s="1"/>
  <c r="AJ551" i="8"/>
  <c r="BC551" i="8" s="1"/>
  <c r="AQ551" i="8"/>
  <c r="BJ551" i="8" s="1"/>
  <c r="AL551" i="8"/>
  <c r="BE551" i="8" s="1"/>
  <c r="AN551" i="8"/>
  <c r="BG551" i="8" s="1"/>
  <c r="AM551" i="8"/>
  <c r="BF551" i="8" s="1"/>
  <c r="AK551" i="8"/>
  <c r="BD551" i="8" s="1"/>
  <c r="AI551" i="8"/>
  <c r="AP551" i="8"/>
  <c r="BI551" i="8" s="1"/>
  <c r="AL431" i="8"/>
  <c r="BE431" i="8" s="1"/>
  <c r="AK431" i="8"/>
  <c r="BD431" i="8" s="1"/>
  <c r="AI431" i="8"/>
  <c r="AQ431" i="8"/>
  <c r="BJ431" i="8" s="1"/>
  <c r="AP431" i="8"/>
  <c r="BI431" i="8" s="1"/>
  <c r="AR431" i="8"/>
  <c r="BK431" i="8" s="1"/>
  <c r="AM431" i="8"/>
  <c r="BF431" i="8" s="1"/>
  <c r="AJ431" i="8"/>
  <c r="BC431" i="8" s="1"/>
  <c r="AN431" i="8"/>
  <c r="BG431" i="8" s="1"/>
  <c r="AO431" i="8"/>
  <c r="BH431" i="8" s="1"/>
  <c r="AS181" i="8"/>
  <c r="BB181" i="8"/>
  <c r="AV104" i="8"/>
  <c r="BB177" i="8"/>
  <c r="AS177" i="8"/>
  <c r="AP258" i="8"/>
  <c r="BI258" i="8" s="1"/>
  <c r="AK258" i="8"/>
  <c r="BD258" i="8" s="1"/>
  <c r="AO258" i="8"/>
  <c r="BH258" i="8" s="1"/>
  <c r="AM258" i="8"/>
  <c r="BF258" i="8" s="1"/>
  <c r="AR258" i="8"/>
  <c r="BK258" i="8" s="1"/>
  <c r="AL258" i="8"/>
  <c r="BE258" i="8" s="1"/>
  <c r="AJ258" i="8"/>
  <c r="BC258" i="8" s="1"/>
  <c r="AQ258" i="8"/>
  <c r="BJ258" i="8" s="1"/>
  <c r="AI258" i="8"/>
  <c r="AN258" i="8"/>
  <c r="BG258" i="8" s="1"/>
  <c r="AK66" i="8"/>
  <c r="BD66" i="8" s="1"/>
  <c r="AN66" i="8"/>
  <c r="BG66" i="8" s="1"/>
  <c r="AM66" i="8"/>
  <c r="BF66" i="8" s="1"/>
  <c r="AJ66" i="8"/>
  <c r="BC66" i="8" s="1"/>
  <c r="AQ66" i="8"/>
  <c r="BJ66" i="8" s="1"/>
  <c r="AI66" i="8"/>
  <c r="AP66" i="8"/>
  <c r="BI66" i="8" s="1"/>
  <c r="AO66" i="8"/>
  <c r="BH66" i="8" s="1"/>
  <c r="AL66" i="8"/>
  <c r="BE66" i="8" s="1"/>
  <c r="AR66" i="8"/>
  <c r="BK66" i="8" s="1"/>
  <c r="AO6" i="8"/>
  <c r="BH6" i="8" s="1"/>
  <c r="AP6" i="8"/>
  <c r="BI6" i="8" s="1"/>
  <c r="AM6" i="8"/>
  <c r="BF6" i="8" s="1"/>
  <c r="AI6" i="8"/>
  <c r="AL6" i="8"/>
  <c r="BE6" i="8" s="1"/>
  <c r="AN6" i="8"/>
  <c r="BG6" i="8" s="1"/>
  <c r="AR6" i="8"/>
  <c r="BK6" i="8" s="1"/>
  <c r="AJ6" i="8"/>
  <c r="BC6" i="8" s="1"/>
  <c r="AQ6" i="8"/>
  <c r="BJ6" i="8" s="1"/>
  <c r="AK6" i="8"/>
  <c r="BD6" i="8" s="1"/>
  <c r="BB338" i="8"/>
  <c r="BB487" i="8"/>
  <c r="BB807" i="8"/>
  <c r="AS807" i="8"/>
  <c r="AS823" i="8"/>
  <c r="BB823" i="8"/>
  <c r="BB48" i="8"/>
  <c r="AS48" i="8"/>
  <c r="BB60" i="8"/>
  <c r="AS60" i="8"/>
  <c r="BB103" i="8"/>
  <c r="AS103" i="8"/>
  <c r="AS23" i="8"/>
  <c r="BB23" i="8"/>
  <c r="AS814" i="8"/>
  <c r="BB814" i="8"/>
  <c r="BB170" i="8"/>
  <c r="AS170" i="8"/>
  <c r="BB471" i="8"/>
  <c r="AN38" i="8"/>
  <c r="BG38" i="8" s="1"/>
  <c r="AR38" i="8"/>
  <c r="BK38" i="8" s="1"/>
  <c r="AM38" i="8"/>
  <c r="BF38" i="8" s="1"/>
  <c r="AL38" i="8"/>
  <c r="BE38" i="8" s="1"/>
  <c r="AJ38" i="8"/>
  <c r="BC38" i="8" s="1"/>
  <c r="AQ38" i="8"/>
  <c r="BJ38" i="8" s="1"/>
  <c r="AI38" i="8"/>
  <c r="AK38" i="8"/>
  <c r="BD38" i="8" s="1"/>
  <c r="AP38" i="8"/>
  <c r="BI38" i="8" s="1"/>
  <c r="AO38" i="8"/>
  <c r="BH38" i="8" s="1"/>
  <c r="AK100" i="8"/>
  <c r="BD100" i="8" s="1"/>
  <c r="AN100" i="8"/>
  <c r="BG100" i="8" s="1"/>
  <c r="AO100" i="8"/>
  <c r="BH100" i="8" s="1"/>
  <c r="AM100" i="8"/>
  <c r="BF100" i="8" s="1"/>
  <c r="AI100" i="8"/>
  <c r="AL100" i="8"/>
  <c r="BE100" i="8" s="1"/>
  <c r="AR100" i="8"/>
  <c r="BK100" i="8" s="1"/>
  <c r="AJ100" i="8"/>
  <c r="BC100" i="8" s="1"/>
  <c r="AQ100" i="8"/>
  <c r="BJ100" i="8" s="1"/>
  <c r="AP100" i="8"/>
  <c r="BI100" i="8" s="1"/>
  <c r="BA57" i="8"/>
  <c r="AZ57" i="8"/>
  <c r="AY57" i="8"/>
  <c r="AW57" i="8"/>
  <c r="AX57" i="8"/>
  <c r="AV57" i="8"/>
  <c r="BB68" i="8"/>
  <c r="AS68" i="8"/>
  <c r="BB825" i="8"/>
  <c r="AS825" i="8"/>
  <c r="BB91" i="8"/>
  <c r="AS91" i="8"/>
  <c r="BB398" i="8"/>
  <c r="AS102" i="8"/>
  <c r="BB102" i="8"/>
  <c r="BB704" i="8"/>
  <c r="BB158" i="8"/>
  <c r="AS824" i="8"/>
  <c r="BB824" i="8"/>
  <c r="BB194" i="8"/>
  <c r="AS194" i="8"/>
  <c r="AS146" i="8"/>
  <c r="BB146" i="8"/>
  <c r="AS21" i="8"/>
  <c r="BB21" i="8"/>
  <c r="BB242" i="8"/>
  <c r="AK752" i="8"/>
  <c r="BD752" i="8" s="1"/>
  <c r="AL752" i="8"/>
  <c r="BE752" i="8" s="1"/>
  <c r="AM752" i="8"/>
  <c r="BF752" i="8" s="1"/>
  <c r="AI752" i="8"/>
  <c r="AJ752" i="8"/>
  <c r="BC752" i="8" s="1"/>
  <c r="AN752" i="8"/>
  <c r="BG752" i="8" s="1"/>
  <c r="AQ752" i="8"/>
  <c r="BJ752" i="8" s="1"/>
  <c r="AR752" i="8"/>
  <c r="BK752" i="8" s="1"/>
  <c r="AO752" i="8"/>
  <c r="BH752" i="8" s="1"/>
  <c r="AP752" i="8"/>
  <c r="BI752" i="8" s="1"/>
  <c r="AP574" i="8"/>
  <c r="BI574" i="8" s="1"/>
  <c r="AQ574" i="8"/>
  <c r="BJ574" i="8" s="1"/>
  <c r="AK574" i="8"/>
  <c r="BD574" i="8" s="1"/>
  <c r="AN574" i="8"/>
  <c r="BG574" i="8" s="1"/>
  <c r="AM574" i="8"/>
  <c r="BF574" i="8" s="1"/>
  <c r="AO574" i="8"/>
  <c r="BH574" i="8" s="1"/>
  <c r="AI574" i="8"/>
  <c r="AL574" i="8"/>
  <c r="BE574" i="8" s="1"/>
  <c r="AJ574" i="8"/>
  <c r="BC574" i="8" s="1"/>
  <c r="AR574" i="8"/>
  <c r="BK574" i="8" s="1"/>
  <c r="AM238" i="8"/>
  <c r="BF238" i="8" s="1"/>
  <c r="AJ238" i="8"/>
  <c r="BC238" i="8" s="1"/>
  <c r="AL238" i="8"/>
  <c r="BE238" i="8" s="1"/>
  <c r="AK238" i="8"/>
  <c r="BD238" i="8" s="1"/>
  <c r="AQ238" i="8"/>
  <c r="BJ238" i="8" s="1"/>
  <c r="AP238" i="8"/>
  <c r="BI238" i="8" s="1"/>
  <c r="AI238" i="8"/>
  <c r="AR238" i="8"/>
  <c r="BK238" i="8" s="1"/>
  <c r="AN238" i="8"/>
  <c r="BG238" i="8" s="1"/>
  <c r="AO238" i="8"/>
  <c r="BH238" i="8" s="1"/>
  <c r="BB174" i="8"/>
  <c r="AS174" i="8"/>
  <c r="BB791" i="8"/>
  <c r="AS791" i="8"/>
  <c r="BB4" i="8"/>
  <c r="AS4" i="8"/>
  <c r="AS187" i="8"/>
  <c r="BB187" i="8"/>
  <c r="AQ326" i="8"/>
  <c r="BJ326" i="8" s="1"/>
  <c r="AM326" i="8"/>
  <c r="BF326" i="8" s="1"/>
  <c r="AN326" i="8"/>
  <c r="BG326" i="8" s="1"/>
  <c r="AK326" i="8"/>
  <c r="BD326" i="8" s="1"/>
  <c r="AP326" i="8"/>
  <c r="BI326" i="8" s="1"/>
  <c r="AL326" i="8"/>
  <c r="BE326" i="8" s="1"/>
  <c r="AO326" i="8"/>
  <c r="BH326" i="8" s="1"/>
  <c r="AI326" i="8"/>
  <c r="AR326" i="8"/>
  <c r="BK326" i="8" s="1"/>
  <c r="AJ326" i="8"/>
  <c r="BC326" i="8" s="1"/>
  <c r="AI641" i="8"/>
  <c r="AQ641" i="8"/>
  <c r="BJ641" i="8" s="1"/>
  <c r="AK641" i="8"/>
  <c r="BD641" i="8" s="1"/>
  <c r="AR641" i="8"/>
  <c r="BK641" i="8" s="1"/>
  <c r="AJ641" i="8"/>
  <c r="BC641" i="8" s="1"/>
  <c r="AM641" i="8"/>
  <c r="BF641" i="8" s="1"/>
  <c r="AP641" i="8"/>
  <c r="BI641" i="8" s="1"/>
  <c r="AO641" i="8"/>
  <c r="BH641" i="8" s="1"/>
  <c r="AN641" i="8"/>
  <c r="BG641" i="8" s="1"/>
  <c r="AL641" i="8"/>
  <c r="BE641" i="8" s="1"/>
  <c r="AX40" i="8"/>
  <c r="AW40" i="8"/>
  <c r="AZ40" i="8"/>
  <c r="AY40" i="8"/>
  <c r="BA40" i="8"/>
  <c r="AV40" i="8"/>
  <c r="BB614" i="8"/>
  <c r="AS59" i="8"/>
  <c r="BB59" i="8"/>
  <c r="AS150" i="8"/>
  <c r="BB150" i="8"/>
  <c r="AO386" i="8"/>
  <c r="BH386" i="8" s="1"/>
  <c r="AM386" i="8"/>
  <c r="BF386" i="8" s="1"/>
  <c r="AR386" i="8"/>
  <c r="BK386" i="8" s="1"/>
  <c r="AK386" i="8"/>
  <c r="BD386" i="8" s="1"/>
  <c r="AP386" i="8"/>
  <c r="BI386" i="8" s="1"/>
  <c r="AN386" i="8"/>
  <c r="BG386" i="8" s="1"/>
  <c r="AQ386" i="8"/>
  <c r="BJ386" i="8" s="1"/>
  <c r="AI386" i="8"/>
  <c r="AJ386" i="8"/>
  <c r="BC386" i="8" s="1"/>
  <c r="AL386" i="8"/>
  <c r="BE386" i="8" s="1"/>
  <c r="AP508" i="8"/>
  <c r="BI508" i="8" s="1"/>
  <c r="AO508" i="8"/>
  <c r="BH508" i="8" s="1"/>
  <c r="AQ508" i="8"/>
  <c r="BJ508" i="8" s="1"/>
  <c r="AM508" i="8"/>
  <c r="BF508" i="8" s="1"/>
  <c r="AN508" i="8"/>
  <c r="BG508" i="8" s="1"/>
  <c r="AL508" i="8"/>
  <c r="BE508" i="8" s="1"/>
  <c r="AI508" i="8"/>
  <c r="AR508" i="8"/>
  <c r="BK508" i="8" s="1"/>
  <c r="AJ508" i="8"/>
  <c r="BC508" i="8" s="1"/>
  <c r="AK508" i="8"/>
  <c r="BD508" i="8" s="1"/>
  <c r="BB348" i="8"/>
  <c r="BB383" i="8"/>
  <c r="BB304" i="8"/>
  <c r="BB203" i="8"/>
  <c r="AS203" i="8"/>
  <c r="BB176" i="8"/>
  <c r="AS176" i="8"/>
  <c r="BB15" i="8"/>
  <c r="AS15" i="8"/>
  <c r="BB125" i="8"/>
  <c r="AS125" i="8"/>
  <c r="AK450" i="8"/>
  <c r="BD450" i="8" s="1"/>
  <c r="AM450" i="8"/>
  <c r="BF450" i="8" s="1"/>
  <c r="AQ450" i="8"/>
  <c r="BJ450" i="8" s="1"/>
  <c r="AI450" i="8"/>
  <c r="AP450" i="8"/>
  <c r="BI450" i="8" s="1"/>
  <c r="AR450" i="8"/>
  <c r="BK450" i="8" s="1"/>
  <c r="AJ450" i="8"/>
  <c r="BC450" i="8" s="1"/>
  <c r="AO450" i="8"/>
  <c r="BH450" i="8" s="1"/>
  <c r="AN450" i="8"/>
  <c r="BG450" i="8" s="1"/>
  <c r="AL450" i="8"/>
  <c r="BE450" i="8" s="1"/>
  <c r="AI412" i="8"/>
  <c r="AP412" i="8"/>
  <c r="BI412" i="8" s="1"/>
  <c r="AO412" i="8"/>
  <c r="BH412" i="8" s="1"/>
  <c r="AN412" i="8"/>
  <c r="BG412" i="8" s="1"/>
  <c r="AK412" i="8"/>
  <c r="BD412" i="8" s="1"/>
  <c r="AM412" i="8"/>
  <c r="BF412" i="8" s="1"/>
  <c r="AR412" i="8"/>
  <c r="BK412" i="8" s="1"/>
  <c r="AL412" i="8"/>
  <c r="BE412" i="8" s="1"/>
  <c r="AJ412" i="8"/>
  <c r="BC412" i="8" s="1"/>
  <c r="AQ412" i="8"/>
  <c r="BJ412" i="8" s="1"/>
  <c r="BB801" i="8"/>
  <c r="AS801" i="8"/>
  <c r="AS132" i="8"/>
  <c r="BB132" i="8"/>
  <c r="BB545" i="8"/>
  <c r="BB97" i="8"/>
  <c r="AS97" i="8"/>
  <c r="BB474" i="8"/>
  <c r="AS116" i="8"/>
  <c r="BB116" i="8"/>
  <c r="BB781" i="8"/>
  <c r="AS781" i="8"/>
  <c r="AP548" i="8"/>
  <c r="BI548" i="8" s="1"/>
  <c r="AM548" i="8"/>
  <c r="BF548" i="8" s="1"/>
  <c r="AL548" i="8"/>
  <c r="BE548" i="8" s="1"/>
  <c r="AR548" i="8"/>
  <c r="BK548" i="8" s="1"/>
  <c r="AI548" i="8"/>
  <c r="AO548" i="8"/>
  <c r="BH548" i="8" s="1"/>
  <c r="AN548" i="8"/>
  <c r="BG548" i="8" s="1"/>
  <c r="AK548" i="8"/>
  <c r="BD548" i="8" s="1"/>
  <c r="AJ548" i="8"/>
  <c r="BC548" i="8" s="1"/>
  <c r="AQ548" i="8"/>
  <c r="BJ548" i="8" s="1"/>
  <c r="AO42" i="8"/>
  <c r="BH42" i="8" s="1"/>
  <c r="AJ42" i="8"/>
  <c r="BC42" i="8" s="1"/>
  <c r="AQ42" i="8"/>
  <c r="BJ42" i="8" s="1"/>
  <c r="AI42" i="8"/>
  <c r="AP42" i="8"/>
  <c r="BI42" i="8" s="1"/>
  <c r="AN42" i="8"/>
  <c r="BG42" i="8" s="1"/>
  <c r="AM42" i="8"/>
  <c r="BF42" i="8" s="1"/>
  <c r="AK42" i="8"/>
  <c r="BD42" i="8" s="1"/>
  <c r="AL42" i="8"/>
  <c r="BE42" i="8" s="1"/>
  <c r="AR42" i="8"/>
  <c r="BK42" i="8" s="1"/>
  <c r="AL30" i="8"/>
  <c r="BE30" i="8" s="1"/>
  <c r="AR30" i="8"/>
  <c r="BK30" i="8" s="1"/>
  <c r="AJ30" i="8"/>
  <c r="BC30" i="8" s="1"/>
  <c r="AQ30" i="8"/>
  <c r="BJ30" i="8" s="1"/>
  <c r="AI30" i="8"/>
  <c r="AN30" i="8"/>
  <c r="BG30" i="8" s="1"/>
  <c r="AO30" i="8"/>
  <c r="BH30" i="8" s="1"/>
  <c r="AM30" i="8"/>
  <c r="BF30" i="8" s="1"/>
  <c r="AP30" i="8"/>
  <c r="BI30" i="8" s="1"/>
  <c r="AK30" i="8"/>
  <c r="BD30" i="8" s="1"/>
  <c r="AX430" i="8"/>
  <c r="AZ430" i="8"/>
  <c r="AY430" i="8"/>
  <c r="AW430" i="8"/>
  <c r="BA430" i="8"/>
  <c r="AV430" i="8"/>
  <c r="BB9" i="8"/>
  <c r="AS9" i="8"/>
  <c r="AS81" i="8"/>
  <c r="BB81" i="8"/>
  <c r="BB756" i="8"/>
  <c r="BB794" i="8"/>
  <c r="AS794" i="8"/>
  <c r="AY135" i="8"/>
  <c r="AW135" i="8"/>
  <c r="AZ135" i="8"/>
  <c r="BA135" i="8"/>
  <c r="AX135" i="8"/>
  <c r="AV135" i="8"/>
  <c r="AS90" i="8"/>
  <c r="BB90" i="8"/>
  <c r="BB140" i="8"/>
  <c r="AS140" i="8"/>
  <c r="BB810" i="8"/>
  <c r="AS810" i="8"/>
  <c r="BB95" i="8"/>
  <c r="AS95" i="8"/>
  <c r="BB109" i="8"/>
  <c r="AS109" i="8"/>
  <c r="BB70" i="8"/>
  <c r="AS70" i="8"/>
  <c r="BB498" i="8"/>
  <c r="AS49" i="8"/>
  <c r="BB49" i="8"/>
  <c r="AQ2" i="8"/>
  <c r="BJ2" i="8" s="1"/>
  <c r="AO2" i="8"/>
  <c r="BH2" i="8" s="1"/>
  <c r="AK2" i="8"/>
  <c r="BD2" i="8" s="1"/>
  <c r="AN2" i="8"/>
  <c r="BG2" i="8" s="1"/>
  <c r="AI2" i="8"/>
  <c r="AM2" i="8"/>
  <c r="BF2" i="8" s="1"/>
  <c r="AP2" i="8"/>
  <c r="BI2" i="8" s="1"/>
  <c r="AR2" i="8"/>
  <c r="BK2" i="8" s="1"/>
  <c r="AJ2" i="8"/>
  <c r="BC2" i="8" s="1"/>
  <c r="AL2" i="8"/>
  <c r="BE2" i="8" s="1"/>
  <c r="AR152" i="8"/>
  <c r="BK152" i="8" s="1"/>
  <c r="AN152" i="8"/>
  <c r="BG152" i="8" s="1"/>
  <c r="AJ152" i="8"/>
  <c r="BC152" i="8" s="1"/>
  <c r="AO152" i="8"/>
  <c r="BH152" i="8" s="1"/>
  <c r="AQ152" i="8"/>
  <c r="BJ152" i="8" s="1"/>
  <c r="AP152" i="8"/>
  <c r="BI152" i="8" s="1"/>
  <c r="AL152" i="8"/>
  <c r="BE152" i="8" s="1"/>
  <c r="AI152" i="8"/>
  <c r="AM152" i="8"/>
  <c r="BF152" i="8" s="1"/>
  <c r="AK152" i="8"/>
  <c r="BD152" i="8" s="1"/>
  <c r="BB690" i="8"/>
  <c r="BB437" i="8"/>
  <c r="BB572" i="8"/>
  <c r="BB69" i="8"/>
  <c r="AS69" i="8"/>
  <c r="BB581" i="8"/>
  <c r="BB334" i="8"/>
  <c r="BB463" i="8"/>
  <c r="BB670" i="8"/>
  <c r="AS89" i="8"/>
  <c r="BB89" i="8"/>
  <c r="BB708" i="8"/>
  <c r="BB613" i="8"/>
  <c r="BB444" i="8"/>
  <c r="AP725" i="8"/>
  <c r="BI725" i="8" s="1"/>
  <c r="AN725" i="8"/>
  <c r="BG725" i="8" s="1"/>
  <c r="AM725" i="8"/>
  <c r="BF725" i="8" s="1"/>
  <c r="AL725" i="8"/>
  <c r="BE725" i="8" s="1"/>
  <c r="AK725" i="8"/>
  <c r="BD725" i="8" s="1"/>
  <c r="AR725" i="8"/>
  <c r="BK725" i="8" s="1"/>
  <c r="AJ725" i="8"/>
  <c r="BC725" i="8" s="1"/>
  <c r="AQ725" i="8"/>
  <c r="BJ725" i="8" s="1"/>
  <c r="AO725" i="8"/>
  <c r="BH725" i="8" s="1"/>
  <c r="AI725" i="8"/>
  <c r="AP608" i="8"/>
  <c r="BI608" i="8" s="1"/>
  <c r="AO608" i="8"/>
  <c r="BH608" i="8" s="1"/>
  <c r="AM608" i="8"/>
  <c r="BF608" i="8" s="1"/>
  <c r="AI608" i="8"/>
  <c r="AL608" i="8"/>
  <c r="BE608" i="8" s="1"/>
  <c r="AR608" i="8"/>
  <c r="BK608" i="8" s="1"/>
  <c r="AN608" i="8"/>
  <c r="BG608" i="8" s="1"/>
  <c r="AK608" i="8"/>
  <c r="BD608" i="8" s="1"/>
  <c r="AJ608" i="8"/>
  <c r="BC608" i="8" s="1"/>
  <c r="AQ608" i="8"/>
  <c r="BJ608" i="8" s="1"/>
  <c r="AN256" i="8"/>
  <c r="BG256" i="8" s="1"/>
  <c r="AM256" i="8"/>
  <c r="BF256" i="8" s="1"/>
  <c r="AL256" i="8"/>
  <c r="BE256" i="8" s="1"/>
  <c r="AK256" i="8"/>
  <c r="BD256" i="8" s="1"/>
  <c r="AR256" i="8"/>
  <c r="BK256" i="8" s="1"/>
  <c r="AJ256" i="8"/>
  <c r="BC256" i="8" s="1"/>
  <c r="AP256" i="8"/>
  <c r="BI256" i="8" s="1"/>
  <c r="AQ256" i="8"/>
  <c r="BJ256" i="8" s="1"/>
  <c r="AO256" i="8"/>
  <c r="BH256" i="8" s="1"/>
  <c r="AI256" i="8"/>
  <c r="BB327" i="8"/>
  <c r="BB783" i="8"/>
  <c r="AS783" i="8"/>
  <c r="AS93" i="8"/>
  <c r="BB93" i="8"/>
  <c r="BB117" i="8"/>
  <c r="AS117" i="8"/>
  <c r="BB296" i="8"/>
  <c r="AN272" i="8"/>
  <c r="BG272" i="8" s="1"/>
  <c r="AM272" i="8"/>
  <c r="BF272" i="8" s="1"/>
  <c r="AK272" i="8"/>
  <c r="BD272" i="8" s="1"/>
  <c r="AI272" i="8"/>
  <c r="AP272" i="8"/>
  <c r="BI272" i="8" s="1"/>
  <c r="AR272" i="8"/>
  <c r="BK272" i="8" s="1"/>
  <c r="AL272" i="8"/>
  <c r="BE272" i="8" s="1"/>
  <c r="AJ272" i="8"/>
  <c r="BC272" i="8" s="1"/>
  <c r="AQ272" i="8"/>
  <c r="BJ272" i="8" s="1"/>
  <c r="AO272" i="8"/>
  <c r="BH272" i="8" s="1"/>
  <c r="AN658" i="8"/>
  <c r="BG658" i="8" s="1"/>
  <c r="AP658" i="8"/>
  <c r="BI658" i="8" s="1"/>
  <c r="AM658" i="8"/>
  <c r="BF658" i="8" s="1"/>
  <c r="AO658" i="8"/>
  <c r="BH658" i="8" s="1"/>
  <c r="AL658" i="8"/>
  <c r="BE658" i="8" s="1"/>
  <c r="AK658" i="8"/>
  <c r="BD658" i="8" s="1"/>
  <c r="AJ658" i="8"/>
  <c r="BC658" i="8" s="1"/>
  <c r="AQ658" i="8"/>
  <c r="BJ658" i="8" s="1"/>
  <c r="AI658" i="8"/>
  <c r="AR658" i="8"/>
  <c r="BK658" i="8" s="1"/>
  <c r="AX76" i="8"/>
  <c r="AW76" i="8"/>
  <c r="AZ76" i="8"/>
  <c r="AY76" i="8"/>
  <c r="BA76" i="8"/>
  <c r="AV76" i="8"/>
  <c r="BB65" i="8"/>
  <c r="AS65" i="8"/>
  <c r="AS7" i="8"/>
  <c r="BB7" i="8"/>
  <c r="AI481" i="8"/>
  <c r="AN481" i="8"/>
  <c r="BG481" i="8" s="1"/>
  <c r="AP481" i="8"/>
  <c r="BI481" i="8" s="1"/>
  <c r="AM481" i="8"/>
  <c r="BF481" i="8" s="1"/>
  <c r="AO481" i="8"/>
  <c r="BH481" i="8" s="1"/>
  <c r="AK481" i="8"/>
  <c r="BD481" i="8" s="1"/>
  <c r="AR481" i="8"/>
  <c r="BK481" i="8" s="1"/>
  <c r="AJ481" i="8"/>
  <c r="BC481" i="8" s="1"/>
  <c r="AQ481" i="8"/>
  <c r="BJ481" i="8" s="1"/>
  <c r="AL481" i="8"/>
  <c r="BE481" i="8" s="1"/>
  <c r="AM267" i="8"/>
  <c r="BF267" i="8" s="1"/>
  <c r="AK267" i="8"/>
  <c r="BD267" i="8" s="1"/>
  <c r="AR267" i="8"/>
  <c r="BK267" i="8" s="1"/>
  <c r="AI267" i="8"/>
  <c r="AQ267" i="8"/>
  <c r="BJ267" i="8" s="1"/>
  <c r="AP267" i="8"/>
  <c r="BI267" i="8" s="1"/>
  <c r="AL267" i="8"/>
  <c r="BE267" i="8" s="1"/>
  <c r="AJ267" i="8"/>
  <c r="BC267" i="8" s="1"/>
  <c r="AO267" i="8"/>
  <c r="BH267" i="8" s="1"/>
  <c r="AN267" i="8"/>
  <c r="BG267" i="8" s="1"/>
  <c r="BB571" i="8"/>
  <c r="BB99" i="8"/>
  <c r="AS99" i="8"/>
  <c r="BB753" i="8"/>
  <c r="AS753" i="8"/>
  <c r="AP518" i="8"/>
  <c r="BI518" i="8" s="1"/>
  <c r="AM518" i="8"/>
  <c r="BF518" i="8" s="1"/>
  <c r="AL518" i="8"/>
  <c r="BE518" i="8" s="1"/>
  <c r="AK518" i="8"/>
  <c r="BD518" i="8" s="1"/>
  <c r="AR518" i="8"/>
  <c r="BK518" i="8" s="1"/>
  <c r="AJ518" i="8"/>
  <c r="BC518" i="8" s="1"/>
  <c r="AQ518" i="8"/>
  <c r="BJ518" i="8" s="1"/>
  <c r="AO518" i="8"/>
  <c r="BH518" i="8" s="1"/>
  <c r="AI518" i="8"/>
  <c r="AN518" i="8"/>
  <c r="BG518" i="8" s="1"/>
  <c r="BB277" i="8"/>
  <c r="BB108" i="8"/>
  <c r="AS108" i="8"/>
  <c r="AS160" i="8"/>
  <c r="BB160" i="8"/>
  <c r="AS77" i="8"/>
  <c r="BB77" i="8"/>
  <c r="BB762" i="8"/>
  <c r="AS762" i="8"/>
  <c r="AP312" i="8"/>
  <c r="BI312" i="8" s="1"/>
  <c r="AN312" i="8"/>
  <c r="BG312" i="8" s="1"/>
  <c r="AM312" i="8"/>
  <c r="BF312" i="8" s="1"/>
  <c r="AL312" i="8"/>
  <c r="BE312" i="8" s="1"/>
  <c r="AJ312" i="8"/>
  <c r="BC312" i="8" s="1"/>
  <c r="AO312" i="8"/>
  <c r="BH312" i="8" s="1"/>
  <c r="AQ312" i="8"/>
  <c r="BJ312" i="8" s="1"/>
  <c r="AI312" i="8"/>
  <c r="AR312" i="8"/>
  <c r="BK312" i="8" s="1"/>
  <c r="AK312" i="8"/>
  <c r="BD312" i="8" s="1"/>
  <c r="AM131" i="8"/>
  <c r="BF131" i="8" s="1"/>
  <c r="AL131" i="8"/>
  <c r="BE131" i="8" s="1"/>
  <c r="AK131" i="8"/>
  <c r="BD131" i="8" s="1"/>
  <c r="AR131" i="8"/>
  <c r="BK131" i="8" s="1"/>
  <c r="AJ131" i="8"/>
  <c r="BC131" i="8" s="1"/>
  <c r="AQ131" i="8"/>
  <c r="BJ131" i="8" s="1"/>
  <c r="AI131" i="8"/>
  <c r="AP131" i="8"/>
  <c r="BI131" i="8" s="1"/>
  <c r="AO131" i="8"/>
  <c r="BH131" i="8" s="1"/>
  <c r="AN131" i="8"/>
  <c r="BG131" i="8" s="1"/>
  <c r="AP144" i="8"/>
  <c r="BI144" i="8" s="1"/>
  <c r="AQ144" i="8"/>
  <c r="BJ144" i="8" s="1"/>
  <c r="AO144" i="8"/>
  <c r="BH144" i="8" s="1"/>
  <c r="AN144" i="8"/>
  <c r="BG144" i="8" s="1"/>
  <c r="AI144" i="8"/>
  <c r="AL144" i="8"/>
  <c r="BE144" i="8" s="1"/>
  <c r="AM144" i="8"/>
  <c r="BF144" i="8" s="1"/>
  <c r="AK144" i="8"/>
  <c r="BD144" i="8" s="1"/>
  <c r="AR144" i="8"/>
  <c r="BK144" i="8" s="1"/>
  <c r="AJ144" i="8"/>
  <c r="BC144" i="8" s="1"/>
  <c r="BB472" i="8"/>
  <c r="AS472" i="8"/>
  <c r="AI26" i="8"/>
  <c r="AQ26" i="8"/>
  <c r="BJ26" i="8" s="1"/>
  <c r="AP26" i="8"/>
  <c r="BI26" i="8" s="1"/>
  <c r="AK26" i="8"/>
  <c r="BD26" i="8" s="1"/>
  <c r="AL26" i="8"/>
  <c r="BE26" i="8" s="1"/>
  <c r="AN26" i="8"/>
  <c r="BG26" i="8" s="1"/>
  <c r="AO26" i="8"/>
  <c r="BH26" i="8" s="1"/>
  <c r="AM26" i="8"/>
  <c r="BF26" i="8" s="1"/>
  <c r="AR26" i="8"/>
  <c r="BK26" i="8" s="1"/>
  <c r="AJ26" i="8"/>
  <c r="BC26" i="8" s="1"/>
  <c r="BB286" i="8"/>
  <c r="BB645" i="8"/>
  <c r="BB745" i="8"/>
  <c r="AS745" i="8"/>
  <c r="BB438" i="8"/>
  <c r="BB828" i="8"/>
  <c r="AS828" i="8"/>
  <c r="AS195" i="8"/>
  <c r="BB195" i="8"/>
  <c r="AS805" i="8"/>
  <c r="BB805" i="8"/>
  <c r="BB707" i="8"/>
  <c r="BB593" i="8"/>
  <c r="BB445" i="8"/>
  <c r="BB11" i="8"/>
  <c r="AS11" i="8"/>
  <c r="BB10" i="8"/>
  <c r="AS10" i="8"/>
  <c r="BB46" i="8"/>
  <c r="AS46" i="8"/>
  <c r="BB489" i="8"/>
  <c r="BB637" i="8"/>
  <c r="AL87" i="8"/>
  <c r="BE87" i="8" s="1"/>
  <c r="AM87" i="8"/>
  <c r="BF87" i="8" s="1"/>
  <c r="AK87" i="8"/>
  <c r="BD87" i="8" s="1"/>
  <c r="AO87" i="8"/>
  <c r="BH87" i="8" s="1"/>
  <c r="AI87" i="8"/>
  <c r="AR87" i="8"/>
  <c r="BK87" i="8" s="1"/>
  <c r="AJ87" i="8"/>
  <c r="BC87" i="8" s="1"/>
  <c r="AQ87" i="8"/>
  <c r="BJ87" i="8" s="1"/>
  <c r="AP87" i="8"/>
  <c r="BI87" i="8" s="1"/>
  <c r="AN87" i="8"/>
  <c r="BG87" i="8" s="1"/>
  <c r="AR192" i="8"/>
  <c r="BK192" i="8" s="1"/>
  <c r="AJ192" i="8"/>
  <c r="BC192" i="8" s="1"/>
  <c r="AI192" i="8"/>
  <c r="AO192" i="8"/>
  <c r="BH192" i="8" s="1"/>
  <c r="AN192" i="8"/>
  <c r="BG192" i="8" s="1"/>
  <c r="AM192" i="8"/>
  <c r="BF192" i="8" s="1"/>
  <c r="AL192" i="8"/>
  <c r="BE192" i="8" s="1"/>
  <c r="AK192" i="8"/>
  <c r="BD192" i="8" s="1"/>
  <c r="AQ192" i="8"/>
  <c r="BJ192" i="8" s="1"/>
  <c r="AP192" i="8"/>
  <c r="BI192" i="8" s="1"/>
  <c r="AL162" i="8"/>
  <c r="BE162" i="8" s="1"/>
  <c r="AQ162" i="8"/>
  <c r="BJ162" i="8" s="1"/>
  <c r="AM162" i="8"/>
  <c r="BF162" i="8" s="1"/>
  <c r="AJ162" i="8"/>
  <c r="BC162" i="8" s="1"/>
  <c r="AP162" i="8"/>
  <c r="BI162" i="8" s="1"/>
  <c r="AN162" i="8"/>
  <c r="BG162" i="8" s="1"/>
  <c r="AI162" i="8"/>
  <c r="AO162" i="8"/>
  <c r="BH162" i="8" s="1"/>
  <c r="AR162" i="8"/>
  <c r="BK162" i="8" s="1"/>
  <c r="AK162" i="8"/>
  <c r="BD162" i="8" s="1"/>
  <c r="BB628" i="8"/>
  <c r="BB29" i="8"/>
  <c r="AS29" i="8"/>
  <c r="BB96" i="8"/>
  <c r="AS96" i="8"/>
  <c r="BB52" i="8"/>
  <c r="AS52" i="8"/>
  <c r="BB273" i="8"/>
  <c r="AS795" i="8"/>
  <c r="BB795" i="8"/>
  <c r="BB123" i="8"/>
  <c r="AS123" i="8"/>
  <c r="BB816" i="8"/>
  <c r="AS816" i="8"/>
  <c r="BB618" i="8"/>
  <c r="BB523" i="8"/>
  <c r="AS205" i="8"/>
  <c r="BB205" i="8"/>
  <c r="BB73" i="8"/>
  <c r="AS73" i="8"/>
  <c r="AI716" i="8"/>
  <c r="AO716" i="8"/>
  <c r="BH716" i="8" s="1"/>
  <c r="AP716" i="8"/>
  <c r="BI716" i="8" s="1"/>
  <c r="AN716" i="8"/>
  <c r="BG716" i="8" s="1"/>
  <c r="AM716" i="8"/>
  <c r="BF716" i="8" s="1"/>
  <c r="AK716" i="8"/>
  <c r="BD716" i="8" s="1"/>
  <c r="AL716" i="8"/>
  <c r="BE716" i="8" s="1"/>
  <c r="AR716" i="8"/>
  <c r="BK716" i="8" s="1"/>
  <c r="AJ716" i="8"/>
  <c r="BC716" i="8" s="1"/>
  <c r="AQ716" i="8"/>
  <c r="BJ716" i="8" s="1"/>
  <c r="AM642" i="8"/>
  <c r="BF642" i="8" s="1"/>
  <c r="AN642" i="8"/>
  <c r="BG642" i="8" s="1"/>
  <c r="AI642" i="8"/>
  <c r="AL642" i="8"/>
  <c r="BE642" i="8" s="1"/>
  <c r="AQ642" i="8"/>
  <c r="BJ642" i="8" s="1"/>
  <c r="AK642" i="8"/>
  <c r="BD642" i="8" s="1"/>
  <c r="AR642" i="8"/>
  <c r="BK642" i="8" s="1"/>
  <c r="AP642" i="8"/>
  <c r="BI642" i="8" s="1"/>
  <c r="AO642" i="8"/>
  <c r="BH642" i="8" s="1"/>
  <c r="AJ642" i="8"/>
  <c r="BC642" i="8" s="1"/>
  <c r="AL274" i="8"/>
  <c r="BE274" i="8" s="1"/>
  <c r="AR274" i="8"/>
  <c r="BK274" i="8" s="1"/>
  <c r="AQ274" i="8"/>
  <c r="BJ274" i="8" s="1"/>
  <c r="AK274" i="8"/>
  <c r="BD274" i="8" s="1"/>
  <c r="AJ274" i="8"/>
  <c r="BC274" i="8" s="1"/>
  <c r="AI274" i="8"/>
  <c r="AP274" i="8"/>
  <c r="BI274" i="8" s="1"/>
  <c r="AO274" i="8"/>
  <c r="BH274" i="8" s="1"/>
  <c r="AN274" i="8"/>
  <c r="BG274" i="8" s="1"/>
  <c r="AM274" i="8"/>
  <c r="BF274" i="8" s="1"/>
  <c r="AW151" i="8"/>
  <c r="BA151" i="8"/>
  <c r="AZ151" i="8"/>
  <c r="AX151" i="8"/>
  <c r="AY151" i="8"/>
  <c r="AV151" i="8"/>
  <c r="BB833" i="8"/>
  <c r="AS833" i="8"/>
  <c r="AS25" i="8"/>
  <c r="BB25" i="8"/>
  <c r="BB482" i="8"/>
  <c r="AS22" i="8"/>
  <c r="BB22" i="8"/>
  <c r="AS111" i="8"/>
  <c r="BB111" i="8"/>
  <c r="AS8" i="8"/>
  <c r="BB8" i="8"/>
  <c r="BB64" i="8"/>
  <c r="AS64" i="8"/>
  <c r="BB287" i="8"/>
  <c r="AQ544" i="8"/>
  <c r="BJ544" i="8" s="1"/>
  <c r="AO544" i="8"/>
  <c r="BH544" i="8" s="1"/>
  <c r="AP544" i="8"/>
  <c r="BI544" i="8" s="1"/>
  <c r="AN544" i="8"/>
  <c r="BG544" i="8" s="1"/>
  <c r="AR544" i="8"/>
  <c r="BK544" i="8" s="1"/>
  <c r="AJ544" i="8"/>
  <c r="BC544" i="8" s="1"/>
  <c r="AM544" i="8"/>
  <c r="BF544" i="8" s="1"/>
  <c r="AL544" i="8"/>
  <c r="BE544" i="8" s="1"/>
  <c r="AI544" i="8"/>
  <c r="AK544" i="8"/>
  <c r="BD544" i="8" s="1"/>
  <c r="AK624" i="8"/>
  <c r="BD624" i="8" s="1"/>
  <c r="AP624" i="8"/>
  <c r="BI624" i="8" s="1"/>
  <c r="AR624" i="8"/>
  <c r="BK624" i="8" s="1"/>
  <c r="AN624" i="8"/>
  <c r="BG624" i="8" s="1"/>
  <c r="AJ624" i="8"/>
  <c r="BC624" i="8" s="1"/>
  <c r="AQ624" i="8"/>
  <c r="BJ624" i="8" s="1"/>
  <c r="AI624" i="8"/>
  <c r="AM624" i="8"/>
  <c r="BF624" i="8" s="1"/>
  <c r="AO624" i="8"/>
  <c r="BH624" i="8" s="1"/>
  <c r="AL624" i="8"/>
  <c r="BE624" i="8" s="1"/>
  <c r="AS67" i="8"/>
  <c r="BB67" i="8"/>
  <c r="AS830" i="8"/>
  <c r="BB830" i="8"/>
  <c r="BB325" i="8"/>
  <c r="BB668" i="8"/>
  <c r="BB75" i="8"/>
  <c r="AS75" i="8"/>
  <c r="BB161" i="8"/>
  <c r="AS161" i="8"/>
  <c r="AS754" i="8"/>
  <c r="BB754" i="8"/>
  <c r="AL249" i="8"/>
  <c r="BE249" i="8" s="1"/>
  <c r="AM249" i="8"/>
  <c r="BF249" i="8" s="1"/>
  <c r="AJ249" i="8"/>
  <c r="BC249" i="8" s="1"/>
  <c r="AN249" i="8"/>
  <c r="BG249" i="8" s="1"/>
  <c r="AR249" i="8"/>
  <c r="BK249" i="8" s="1"/>
  <c r="AO249" i="8"/>
  <c r="BH249" i="8" s="1"/>
  <c r="AI249" i="8"/>
  <c r="AQ249" i="8"/>
  <c r="BJ249" i="8" s="1"/>
  <c r="AP249" i="8"/>
  <c r="BI249" i="8" s="1"/>
  <c r="AK249" i="8"/>
  <c r="BD249" i="8" s="1"/>
  <c r="AP552" i="8"/>
  <c r="BI552" i="8" s="1"/>
  <c r="AK552" i="8"/>
  <c r="BD552" i="8" s="1"/>
  <c r="AI552" i="8"/>
  <c r="AO552" i="8"/>
  <c r="BH552" i="8" s="1"/>
  <c r="AN552" i="8"/>
  <c r="BG552" i="8" s="1"/>
  <c r="AR552" i="8"/>
  <c r="BK552" i="8" s="1"/>
  <c r="AJ552" i="8"/>
  <c r="BC552" i="8" s="1"/>
  <c r="AQ552" i="8"/>
  <c r="BJ552" i="8" s="1"/>
  <c r="AM552" i="8"/>
  <c r="BF552" i="8" s="1"/>
  <c r="AL552" i="8"/>
  <c r="BE552" i="8" s="1"/>
  <c r="BB750" i="8"/>
  <c r="AS831" i="8"/>
  <c r="BB831" i="8"/>
  <c r="BB576" i="8"/>
  <c r="AS134" i="8"/>
  <c r="BB134" i="8"/>
  <c r="AS197" i="8"/>
  <c r="BB197" i="8"/>
  <c r="AS5" i="8"/>
  <c r="BB5" i="8"/>
  <c r="AI469" i="8"/>
  <c r="AN469" i="8"/>
  <c r="BG469" i="8" s="1"/>
  <c r="AP469" i="8"/>
  <c r="BI469" i="8" s="1"/>
  <c r="AM469" i="8"/>
  <c r="BF469" i="8" s="1"/>
  <c r="AO469" i="8"/>
  <c r="BH469" i="8" s="1"/>
  <c r="AR469" i="8"/>
  <c r="BK469" i="8" s="1"/>
  <c r="AL469" i="8"/>
  <c r="BE469" i="8" s="1"/>
  <c r="AK469" i="8"/>
  <c r="BD469" i="8" s="1"/>
  <c r="AJ469" i="8"/>
  <c r="BC469" i="8" s="1"/>
  <c r="AQ469" i="8"/>
  <c r="BJ469" i="8" s="1"/>
  <c r="BB428" i="8"/>
  <c r="BB757" i="8"/>
  <c r="AS757" i="8"/>
  <c r="BB27" i="8"/>
  <c r="AS27" i="8"/>
  <c r="BB311" i="8"/>
  <c r="BB28" i="8"/>
  <c r="AS28" i="8"/>
  <c r="AQ559" i="8"/>
  <c r="BJ559" i="8" s="1"/>
  <c r="AP559" i="8"/>
  <c r="BI559" i="8" s="1"/>
  <c r="AN559" i="8"/>
  <c r="BG559" i="8" s="1"/>
  <c r="AO559" i="8"/>
  <c r="BH559" i="8" s="1"/>
  <c r="AI559" i="8"/>
  <c r="AL559" i="8"/>
  <c r="BE559" i="8" s="1"/>
  <c r="AK559" i="8"/>
  <c r="BD559" i="8" s="1"/>
  <c r="AR559" i="8"/>
  <c r="BK559" i="8" s="1"/>
  <c r="AJ559" i="8"/>
  <c r="BC559" i="8" s="1"/>
  <c r="AM559" i="8"/>
  <c r="BF559" i="8" s="1"/>
  <c r="AN515" i="8"/>
  <c r="BG515" i="8" s="1"/>
  <c r="AK515" i="8"/>
  <c r="BD515" i="8" s="1"/>
  <c r="AM515" i="8"/>
  <c r="BF515" i="8" s="1"/>
  <c r="AR515" i="8"/>
  <c r="BK515" i="8" s="1"/>
  <c r="AJ515" i="8"/>
  <c r="BC515" i="8" s="1"/>
  <c r="AQ515" i="8"/>
  <c r="BJ515" i="8" s="1"/>
  <c r="AI515" i="8"/>
  <c r="AP515" i="8"/>
  <c r="BI515" i="8" s="1"/>
  <c r="AL515" i="8"/>
  <c r="BE515" i="8" s="1"/>
  <c r="AO515" i="8"/>
  <c r="BH515" i="8" s="1"/>
  <c r="AJ105" i="8"/>
  <c r="BC105" i="8" s="1"/>
  <c r="AM105" i="8"/>
  <c r="BF105" i="8" s="1"/>
  <c r="AI105" i="8"/>
  <c r="AL105" i="8"/>
  <c r="BE105" i="8" s="1"/>
  <c r="AK105" i="8"/>
  <c r="BD105" i="8" s="1"/>
  <c r="AQ105" i="8"/>
  <c r="BJ105" i="8" s="1"/>
  <c r="AN105" i="8"/>
  <c r="BG105" i="8" s="1"/>
  <c r="AR105" i="8"/>
  <c r="BK105" i="8" s="1"/>
  <c r="AP105" i="8"/>
  <c r="BI105" i="8" s="1"/>
  <c r="AO105" i="8"/>
  <c r="BH105" i="8" s="1"/>
  <c r="R30" i="5"/>
  <c r="Q34" i="5"/>
  <c r="J29" i="5"/>
  <c r="P33" i="5"/>
  <c r="O30" i="5"/>
  <c r="O34" i="5"/>
  <c r="Q29" i="5"/>
  <c r="Q31" i="5"/>
  <c r="Q33" i="5"/>
  <c r="L30" i="5"/>
  <c r="M34" i="5"/>
  <c r="O33" i="5"/>
  <c r="N34" i="5"/>
  <c r="K34" i="5"/>
  <c r="M33" i="5"/>
  <c r="L34" i="5"/>
  <c r="R29" i="5"/>
  <c r="N33" i="5"/>
  <c r="K33" i="5"/>
  <c r="M30" i="5"/>
  <c r="R34" i="5"/>
  <c r="P29" i="5"/>
  <c r="L33" i="5"/>
  <c r="J34" i="5"/>
  <c r="N29" i="5"/>
  <c r="R31" i="5"/>
  <c r="R33" i="5"/>
  <c r="K30" i="5"/>
  <c r="AS779" i="1"/>
  <c r="BA779" i="1" s="1"/>
  <c r="BB779" i="1"/>
  <c r="AP752" i="1"/>
  <c r="BI752" i="1" s="1"/>
  <c r="BR45" i="1"/>
  <c r="AO175" i="1"/>
  <c r="BH175" i="1" s="1"/>
  <c r="AN716" i="1"/>
  <c r="BG716" i="1" s="1"/>
  <c r="N32" i="5" s="1"/>
  <c r="AM138" i="1"/>
  <c r="BF138" i="1" s="1"/>
  <c r="AJ155" i="1"/>
  <c r="BC155" i="1" s="1"/>
  <c r="AI37" i="1"/>
  <c r="BB37" i="1" s="1"/>
  <c r="AQ74" i="1"/>
  <c r="BJ74" i="1" s="1"/>
  <c r="AN743" i="1"/>
  <c r="BG743" i="1" s="1"/>
  <c r="AM79" i="1"/>
  <c r="BF79" i="1" s="1"/>
  <c r="AM743" i="1"/>
  <c r="BF743" i="1" s="1"/>
  <c r="AN70" i="1"/>
  <c r="BG70" i="1" s="1"/>
  <c r="AR125" i="1"/>
  <c r="BK125" i="1" s="1"/>
  <c r="BT161" i="1"/>
  <c r="BL207" i="1"/>
  <c r="BT50" i="1"/>
  <c r="BL23" i="1"/>
  <c r="AO734" i="1"/>
  <c r="BH734" i="1" s="1"/>
  <c r="AR6" i="1"/>
  <c r="BK6" i="1" s="1"/>
  <c r="AJ54" i="1"/>
  <c r="BC54" i="1" s="1"/>
  <c r="AO87" i="1"/>
  <c r="BH87" i="1" s="1"/>
  <c r="AI47" i="1"/>
  <c r="BB47" i="1" s="1"/>
  <c r="AM125" i="1"/>
  <c r="BF125" i="1" s="1"/>
  <c r="BR148" i="1"/>
  <c r="BQ177" i="1"/>
  <c r="AK734" i="1"/>
  <c r="BD734" i="1" s="1"/>
  <c r="AN734" i="1"/>
  <c r="BG734" i="1" s="1"/>
  <c r="BN165" i="1"/>
  <c r="BP175" i="1"/>
  <c r="AJ734" i="1"/>
  <c r="BC734" i="1" s="1"/>
  <c r="BU156" i="1"/>
  <c r="AL734" i="1"/>
  <c r="BE734" i="1" s="1"/>
  <c r="AM100" i="1"/>
  <c r="BF100" i="1" s="1"/>
  <c r="BT96" i="1"/>
  <c r="BR126" i="1"/>
  <c r="BO156" i="1"/>
  <c r="BN182" i="1"/>
  <c r="AQ734" i="1"/>
  <c r="BJ734" i="1" s="1"/>
  <c r="BU165" i="1"/>
  <c r="BT185" i="1"/>
  <c r="AL211" i="1"/>
  <c r="BE211" i="1" s="1"/>
  <c r="AP734" i="1"/>
  <c r="BI734" i="1" s="1"/>
  <c r="BT21" i="1"/>
  <c r="AM86" i="1"/>
  <c r="BF86" i="1" s="1"/>
  <c r="BR49" i="1"/>
  <c r="BR50" i="1"/>
  <c r="AJ18" i="1"/>
  <c r="BC18" i="1" s="1"/>
  <c r="BM185" i="1"/>
  <c r="AP211" i="1"/>
  <c r="BI211" i="1" s="1"/>
  <c r="AL217" i="1"/>
  <c r="BE217" i="1" s="1"/>
  <c r="AQ212" i="1"/>
  <c r="BJ212" i="1" s="1"/>
  <c r="AM734" i="1"/>
  <c r="BF734" i="1" s="1"/>
  <c r="AR734" i="1"/>
  <c r="BK734" i="1" s="1"/>
  <c r="BL47" i="1"/>
  <c r="AK138" i="1"/>
  <c r="BD138" i="1" s="1"/>
  <c r="AP79" i="1"/>
  <c r="BI79" i="1" s="1"/>
  <c r="AL74" i="1"/>
  <c r="BE74" i="1" s="1"/>
  <c r="AL126" i="1"/>
  <c r="BE126" i="1" s="1"/>
  <c r="AN161" i="1"/>
  <c r="BG161" i="1" s="1"/>
  <c r="AO743" i="1"/>
  <c r="BH743" i="1" s="1"/>
  <c r="AI743" i="1"/>
  <c r="BB743" i="1" s="1"/>
  <c r="AJ716" i="1"/>
  <c r="BC716" i="1" s="1"/>
  <c r="J32" i="5" s="1"/>
  <c r="BN23" i="1"/>
  <c r="BN25" i="1"/>
  <c r="AN25" i="1"/>
  <c r="BG25" i="1" s="1"/>
  <c r="AN79" i="1"/>
  <c r="BG79" i="1" s="1"/>
  <c r="AK743" i="1"/>
  <c r="BD743" i="1" s="1"/>
  <c r="AQ716" i="1"/>
  <c r="BJ716" i="1" s="1"/>
  <c r="Q32" i="5" s="1"/>
  <c r="AJ37" i="1"/>
  <c r="BC37" i="1" s="1"/>
  <c r="BP25" i="1"/>
  <c r="AO216" i="1"/>
  <c r="BH216" i="1" s="1"/>
  <c r="AQ167" i="1"/>
  <c r="BJ167" i="1" s="1"/>
  <c r="AR743" i="1"/>
  <c r="BK743" i="1" s="1"/>
  <c r="AO716" i="1"/>
  <c r="BH716" i="1" s="1"/>
  <c r="O32" i="5" s="1"/>
  <c r="AM716" i="1"/>
  <c r="BF716" i="1" s="1"/>
  <c r="M32" i="5" s="1"/>
  <c r="AQ14" i="1"/>
  <c r="BJ14" i="1" s="1"/>
  <c r="AN71" i="1"/>
  <c r="BG71" i="1" s="1"/>
  <c r="AO92" i="1"/>
  <c r="BH92" i="1" s="1"/>
  <c r="BS74" i="1"/>
  <c r="BQ211" i="1"/>
  <c r="BQ181" i="1"/>
  <c r="AJ743" i="1"/>
  <c r="BC743" i="1" s="1"/>
  <c r="AL716" i="1"/>
  <c r="BE716" i="1" s="1"/>
  <c r="L32" i="5" s="1"/>
  <c r="AI716" i="1"/>
  <c r="BB716" i="1" s="1"/>
  <c r="AL14" i="1"/>
  <c r="BE14" i="1" s="1"/>
  <c r="AP71" i="1"/>
  <c r="BI71" i="1" s="1"/>
  <c r="AJ92" i="1"/>
  <c r="BC92" i="1" s="1"/>
  <c r="BM83" i="1"/>
  <c r="AP195" i="1"/>
  <c r="BI195" i="1" s="1"/>
  <c r="AP743" i="1"/>
  <c r="BI743" i="1" s="1"/>
  <c r="AK716" i="1"/>
  <c r="BD716" i="1" s="1"/>
  <c r="K32" i="5" s="1"/>
  <c r="BL83" i="1"/>
  <c r="AL743" i="1"/>
  <c r="BE743" i="1" s="1"/>
  <c r="AP716" i="1"/>
  <c r="BI716" i="1" s="1"/>
  <c r="P32" i="5" s="1"/>
  <c r="BP45" i="1"/>
  <c r="AR752" i="1"/>
  <c r="BK752" i="1" s="1"/>
  <c r="AL37" i="1"/>
  <c r="BE37" i="1" s="1"/>
  <c r="BO25" i="1"/>
  <c r="AN14" i="1"/>
  <c r="BG14" i="1" s="1"/>
  <c r="BT23" i="1"/>
  <c r="AR71" i="1"/>
  <c r="BK71" i="1" s="1"/>
  <c r="AL25" i="1"/>
  <c r="BE25" i="1" s="1"/>
  <c r="BU45" i="1"/>
  <c r="AK92" i="1"/>
  <c r="BD92" i="1" s="1"/>
  <c r="AL138" i="1"/>
  <c r="BE138" i="1" s="1"/>
  <c r="AO79" i="1"/>
  <c r="BH79" i="1" s="1"/>
  <c r="AJ79" i="1"/>
  <c r="BC79" i="1" s="1"/>
  <c r="AP74" i="1"/>
  <c r="BI74" i="1" s="1"/>
  <c r="BP83" i="1"/>
  <c r="BO135" i="1"/>
  <c r="BS211" i="1"/>
  <c r="AQ216" i="1"/>
  <c r="BJ216" i="1" s="1"/>
  <c r="BU181" i="1"/>
  <c r="BU13" i="1"/>
  <c r="H21" i="5"/>
  <c r="AJ752" i="1"/>
  <c r="BC752" i="1" s="1"/>
  <c r="BO11" i="1"/>
  <c r="H19" i="5"/>
  <c r="AK37" i="1"/>
  <c r="BD37" i="1" s="1"/>
  <c r="BL25" i="1"/>
  <c r="AI14" i="1"/>
  <c r="BM23" i="1"/>
  <c r="AK71" i="1"/>
  <c r="BD71" i="1" s="1"/>
  <c r="AQ25" i="1"/>
  <c r="BJ25" i="1" s="1"/>
  <c r="AQ92" i="1"/>
  <c r="BJ92" i="1" s="1"/>
  <c r="AN138" i="1"/>
  <c r="BG138" i="1" s="1"/>
  <c r="AK79" i="1"/>
  <c r="BD79" i="1" s="1"/>
  <c r="BU123" i="1"/>
  <c r="AK126" i="1"/>
  <c r="BD126" i="1" s="1"/>
  <c r="BN172" i="1"/>
  <c r="AK155" i="1"/>
  <c r="BD155" i="1" s="1"/>
  <c r="AL233" i="1"/>
  <c r="BE233" i="1" s="1"/>
  <c r="AI216" i="1"/>
  <c r="BB216" i="1" s="1"/>
  <c r="BS10" i="1"/>
  <c r="H18" i="5"/>
  <c r="AL752" i="1"/>
  <c r="BE752" i="1" s="1"/>
  <c r="AP37" i="1"/>
  <c r="BI37" i="1" s="1"/>
  <c r="BU62" i="1"/>
  <c r="AO21" i="1"/>
  <c r="BH21" i="1" s="1"/>
  <c r="AL71" i="1"/>
  <c r="BE71" i="1" s="1"/>
  <c r="AK25" i="1"/>
  <c r="BD25" i="1" s="1"/>
  <c r="AP92" i="1"/>
  <c r="BI92" i="1" s="1"/>
  <c r="AR138" i="1"/>
  <c r="BK138" i="1" s="1"/>
  <c r="AL79" i="1"/>
  <c r="BE79" i="1" s="1"/>
  <c r="BM123" i="1"/>
  <c r="BQ155" i="1"/>
  <c r="AK233" i="1"/>
  <c r="BD233" i="1" s="1"/>
  <c r="AQ752" i="1"/>
  <c r="BJ752" i="1" s="1"/>
  <c r="AO752" i="1"/>
  <c r="BH752" i="1" s="1"/>
  <c r="AQ37" i="1"/>
  <c r="BJ37" i="1" s="1"/>
  <c r="BQ25" i="1"/>
  <c r="AM14" i="1"/>
  <c r="BF14" i="1" s="1"/>
  <c r="AM71" i="1"/>
  <c r="BF71" i="1" s="1"/>
  <c r="AI25" i="1"/>
  <c r="BB25" i="1" s="1"/>
  <c r="AL92" i="1"/>
  <c r="BE92" i="1" s="1"/>
  <c r="AQ138" i="1"/>
  <c r="BJ138" i="1" s="1"/>
  <c r="AQ79" i="1"/>
  <c r="BJ79" i="1" s="1"/>
  <c r="BP123" i="1"/>
  <c r="BN155" i="1"/>
  <c r="AK234" i="1"/>
  <c r="BD234" i="1" s="1"/>
  <c r="AM195" i="1"/>
  <c r="BF195" i="1" s="1"/>
  <c r="BQ9" i="1"/>
  <c r="H17" i="5"/>
  <c r="AI752" i="1"/>
  <c r="AK752" i="1"/>
  <c r="BD752" i="1" s="1"/>
  <c r="AO37" i="1"/>
  <c r="BH37" i="1" s="1"/>
  <c r="BU25" i="1"/>
  <c r="AO14" i="1"/>
  <c r="BH14" i="1" s="1"/>
  <c r="BU23" i="1"/>
  <c r="AJ71" i="1"/>
  <c r="BC71" i="1" s="1"/>
  <c r="AP25" i="1"/>
  <c r="BI25" i="1" s="1"/>
  <c r="BM45" i="1"/>
  <c r="AN92" i="1"/>
  <c r="BG92" i="1" s="1"/>
  <c r="AM92" i="1"/>
  <c r="BF92" i="1" s="1"/>
  <c r="AJ138" i="1"/>
  <c r="BC138" i="1" s="1"/>
  <c r="AR79" i="1"/>
  <c r="BK79" i="1" s="1"/>
  <c r="BO109" i="1"/>
  <c r="BL123" i="1"/>
  <c r="BR74" i="1"/>
  <c r="AK134" i="1"/>
  <c r="BD134" i="1" s="1"/>
  <c r="AN195" i="1"/>
  <c r="BG195" i="1" s="1"/>
  <c r="AL167" i="1"/>
  <c r="BE167" i="1" s="1"/>
  <c r="AR175" i="1"/>
  <c r="BK175" i="1" s="1"/>
  <c r="AN752" i="1"/>
  <c r="BG752" i="1" s="1"/>
  <c r="AR37" i="1"/>
  <c r="BK37" i="1" s="1"/>
  <c r="BM25" i="1"/>
  <c r="AR14" i="1"/>
  <c r="BK14" i="1" s="1"/>
  <c r="BS23" i="1"/>
  <c r="AQ71" i="1"/>
  <c r="BJ71" i="1" s="1"/>
  <c r="AJ25" i="1"/>
  <c r="BC25" i="1" s="1"/>
  <c r="BL45" i="1"/>
  <c r="AR92" i="1"/>
  <c r="BK92" i="1" s="1"/>
  <c r="AP138" i="1"/>
  <c r="BI138" i="1" s="1"/>
  <c r="AR74" i="1"/>
  <c r="BK74" i="1" s="1"/>
  <c r="BU83" i="1"/>
  <c r="BN74" i="1"/>
  <c r="AI161" i="1"/>
  <c r="BB161" i="1" s="1"/>
  <c r="AR195" i="1"/>
  <c r="BK195" i="1" s="1"/>
  <c r="AR167" i="1"/>
  <c r="BK167" i="1" s="1"/>
  <c r="AK175" i="1"/>
  <c r="BD175" i="1" s="1"/>
  <c r="AM37" i="1"/>
  <c r="BF37" i="1" s="1"/>
  <c r="BT25" i="1"/>
  <c r="BS25" i="1"/>
  <c r="AP14" i="1"/>
  <c r="BI14" i="1" s="1"/>
  <c r="BR23" i="1"/>
  <c r="BQ23" i="1"/>
  <c r="AO71" i="1"/>
  <c r="BH71" i="1" s="1"/>
  <c r="AR25" i="1"/>
  <c r="BK25" i="1" s="1"/>
  <c r="BQ45" i="1"/>
  <c r="BQ82" i="1"/>
  <c r="AI138" i="1"/>
  <c r="BB138" i="1" s="1"/>
  <c r="AR136" i="1"/>
  <c r="BK136" i="1" s="1"/>
  <c r="BQ83" i="1"/>
  <c r="BT123" i="1"/>
  <c r="AR126" i="1"/>
  <c r="BK126" i="1" s="1"/>
  <c r="BU211" i="1"/>
  <c r="AQ161" i="1"/>
  <c r="BJ161" i="1" s="1"/>
  <c r="BL155" i="1"/>
  <c r="AR155" i="1"/>
  <c r="BK155" i="1" s="1"/>
  <c r="AM233" i="1"/>
  <c r="BF233" i="1" s="1"/>
  <c r="AP216" i="1"/>
  <c r="BI216" i="1" s="1"/>
  <c r="AI195" i="1"/>
  <c r="BB195" i="1" s="1"/>
  <c r="AN167" i="1"/>
  <c r="BG167" i="1" s="1"/>
  <c r="AM175" i="1"/>
  <c r="BF175" i="1" s="1"/>
  <c r="BU139" i="1"/>
  <c r="BP23" i="1"/>
  <c r="BR139" i="1"/>
  <c r="AJ14" i="1"/>
  <c r="BC14" i="1" s="1"/>
  <c r="BS45" i="1"/>
  <c r="BT45" i="1"/>
  <c r="AM25" i="1"/>
  <c r="BF25" i="1" s="1"/>
  <c r="BN45" i="1"/>
  <c r="AI74" i="1"/>
  <c r="BB74" i="1" s="1"/>
  <c r="BN139" i="1"/>
  <c r="BR83" i="1"/>
  <c r="BT74" i="1"/>
  <c r="BM211" i="1"/>
  <c r="AN214" i="1"/>
  <c r="BG214" i="1" s="1"/>
  <c r="BS181" i="1"/>
  <c r="AQ175" i="1"/>
  <c r="BJ175" i="1" s="1"/>
  <c r="AO134" i="1"/>
  <c r="BH134" i="1" s="1"/>
  <c r="AI49" i="1"/>
  <c r="BB49" i="1" s="1"/>
  <c r="BN22" i="1"/>
  <c r="AP228" i="1"/>
  <c r="BI228" i="1" s="1"/>
  <c r="AN148" i="1"/>
  <c r="BG148" i="1" s="1"/>
  <c r="AI207" i="1"/>
  <c r="BB207" i="1" s="1"/>
  <c r="AO224" i="1"/>
  <c r="BH224" i="1" s="1"/>
  <c r="AK84" i="1"/>
  <c r="BD84" i="1" s="1"/>
  <c r="BU46" i="1"/>
  <c r="BP47" i="1"/>
  <c r="BT37" i="1"/>
  <c r="AN207" i="1"/>
  <c r="BG207" i="1" s="1"/>
  <c r="BR192" i="1"/>
  <c r="BP191" i="1"/>
  <c r="AR42" i="1"/>
  <c r="BK42" i="1" s="1"/>
  <c r="AL58" i="1"/>
  <c r="BE58" i="1" s="1"/>
  <c r="BO9" i="1"/>
  <c r="BP11" i="1"/>
  <c r="BM33" i="1"/>
  <c r="AK82" i="1"/>
  <c r="BD82" i="1" s="1"/>
  <c r="BL192" i="1"/>
  <c r="BO149" i="1"/>
  <c r="AL54" i="1"/>
  <c r="BE54" i="1" s="1"/>
  <c r="AR83" i="1"/>
  <c r="BK83" i="1" s="1"/>
  <c r="AL156" i="1"/>
  <c r="BE156" i="1" s="1"/>
  <c r="AJ219" i="1"/>
  <c r="BC219" i="1" s="1"/>
  <c r="AO35" i="1"/>
  <c r="BH35" i="1" s="1"/>
  <c r="AK135" i="1"/>
  <c r="BD135" i="1" s="1"/>
  <c r="AQ156" i="1"/>
  <c r="BJ156" i="1" s="1"/>
  <c r="BO57" i="1"/>
  <c r="AL83" i="1"/>
  <c r="BE83" i="1" s="1"/>
  <c r="BM166" i="1"/>
  <c r="AP165" i="1"/>
  <c r="BI165" i="1" s="1"/>
  <c r="AP197" i="1"/>
  <c r="BI197" i="1" s="1"/>
  <c r="AQ6" i="1"/>
  <c r="BJ6" i="1" s="1"/>
  <c r="AQ54" i="1"/>
  <c r="BJ54" i="1" s="1"/>
  <c r="AI54" i="1"/>
  <c r="BB54" i="1" s="1"/>
  <c r="BL37" i="1"/>
  <c r="AN96" i="1"/>
  <c r="BG96" i="1" s="1"/>
  <c r="AN166" i="1"/>
  <c r="BG166" i="1" s="1"/>
  <c r="AQ761" i="1"/>
  <c r="BJ761" i="1" s="1"/>
  <c r="AO761" i="1"/>
  <c r="BH761" i="1" s="1"/>
  <c r="AJ6" i="1"/>
  <c r="BC6" i="1" s="1"/>
  <c r="AR54" i="1"/>
  <c r="BK54" i="1" s="1"/>
  <c r="AK57" i="1"/>
  <c r="BD57" i="1" s="1"/>
  <c r="AR149" i="1"/>
  <c r="BK149" i="1" s="1"/>
  <c r="BP108" i="1"/>
  <c r="AM761" i="1"/>
  <c r="BF761" i="1" s="1"/>
  <c r="AK6" i="1"/>
  <c r="BD6" i="1" s="1"/>
  <c r="AP54" i="1"/>
  <c r="BI54" i="1" s="1"/>
  <c r="AO62" i="1"/>
  <c r="BH62" i="1" s="1"/>
  <c r="AI57" i="1"/>
  <c r="BB57" i="1" s="1"/>
  <c r="AL171" i="1"/>
  <c r="BE171" i="1" s="1"/>
  <c r="AI761" i="1"/>
  <c r="BB761" i="1" s="1"/>
  <c r="AM6" i="1"/>
  <c r="BF6" i="1" s="1"/>
  <c r="AL6" i="1"/>
  <c r="BE6" i="1" s="1"/>
  <c r="AN54" i="1"/>
  <c r="BG54" i="1" s="1"/>
  <c r="BU26" i="1"/>
  <c r="AL232" i="1"/>
  <c r="BE232" i="1" s="1"/>
  <c r="AR761" i="1"/>
  <c r="BK761" i="1" s="1"/>
  <c r="AO6" i="1"/>
  <c r="BH6" i="1" s="1"/>
  <c r="AI6" i="1"/>
  <c r="BB6" i="1" s="1"/>
  <c r="AO54" i="1"/>
  <c r="BH54" i="1" s="1"/>
  <c r="BQ26" i="1"/>
  <c r="AK761" i="1"/>
  <c r="BD761" i="1" s="1"/>
  <c r="AN761" i="1"/>
  <c r="BG761" i="1" s="1"/>
  <c r="BQ73" i="1"/>
  <c r="AL761" i="1"/>
  <c r="BE761" i="1" s="1"/>
  <c r="AJ761" i="1"/>
  <c r="BC761" i="1" s="1"/>
  <c r="AP6" i="1"/>
  <c r="BI6" i="1" s="1"/>
  <c r="AM54" i="1"/>
  <c r="BF54" i="1" s="1"/>
  <c r="BN9" i="1"/>
  <c r="BP37" i="1"/>
  <c r="AO108" i="1"/>
  <c r="BH108" i="1" s="1"/>
  <c r="BB690" i="1"/>
  <c r="AS726" i="1"/>
  <c r="AV726" i="1" s="1"/>
  <c r="BB769" i="1"/>
  <c r="AS774" i="1"/>
  <c r="AY774" i="1" s="1"/>
  <c r="BR135" i="1"/>
  <c r="AS783" i="1"/>
  <c r="BB783" i="1"/>
  <c r="AS790" i="1"/>
  <c r="BB790" i="1"/>
  <c r="AS804" i="1"/>
  <c r="BB804" i="1"/>
  <c r="AS782" i="1"/>
  <c r="BB782" i="1"/>
  <c r="AS793" i="1"/>
  <c r="BB793" i="1"/>
  <c r="AS825" i="1"/>
  <c r="BB825" i="1"/>
  <c r="AS798" i="1"/>
  <c r="BB798" i="1"/>
  <c r="AS789" i="1"/>
  <c r="BB789" i="1"/>
  <c r="AS778" i="1"/>
  <c r="BB778" i="1"/>
  <c r="AS802" i="1"/>
  <c r="BB802" i="1"/>
  <c r="AS787" i="1"/>
  <c r="BB787" i="1"/>
  <c r="AS784" i="1"/>
  <c r="BB784" i="1"/>
  <c r="I35" i="5" s="1"/>
  <c r="AS814" i="1"/>
  <c r="BB814" i="1"/>
  <c r="AS812" i="1"/>
  <c r="BB812" i="1"/>
  <c r="AS791" i="1"/>
  <c r="BB791" i="1"/>
  <c r="AS795" i="1"/>
  <c r="BB795" i="1"/>
  <c r="AS801" i="1"/>
  <c r="BB801" i="1"/>
  <c r="AS816" i="1"/>
  <c r="BB816" i="1"/>
  <c r="AS786" i="1"/>
  <c r="BB786" i="1"/>
  <c r="AS826" i="1"/>
  <c r="BB826" i="1"/>
  <c r="AS776" i="1"/>
  <c r="BB776" i="1"/>
  <c r="AS834" i="1"/>
  <c r="BB834" i="1"/>
  <c r="AS830" i="1"/>
  <c r="BB830" i="1"/>
  <c r="AS806" i="1"/>
  <c r="BB806" i="1"/>
  <c r="AS809" i="1"/>
  <c r="BB809" i="1"/>
  <c r="BB800" i="1"/>
  <c r="AS800" i="1"/>
  <c r="AS829" i="1"/>
  <c r="BB829" i="1"/>
  <c r="AS794" i="1"/>
  <c r="BB794" i="1"/>
  <c r="AS833" i="1"/>
  <c r="BB833" i="1"/>
  <c r="AS813" i="1"/>
  <c r="BB813" i="1"/>
  <c r="AS827" i="1"/>
  <c r="BB827" i="1"/>
  <c r="AS817" i="1"/>
  <c r="BB817" i="1"/>
  <c r="AS818" i="1"/>
  <c r="BB818" i="1"/>
  <c r="AS819" i="1"/>
  <c r="BB819" i="1"/>
  <c r="AS807" i="1"/>
  <c r="BB807" i="1"/>
  <c r="AS810" i="1"/>
  <c r="BB810" i="1"/>
  <c r="AS796" i="1"/>
  <c r="BB796" i="1"/>
  <c r="AS792" i="1"/>
  <c r="BB792" i="1"/>
  <c r="AS832" i="1"/>
  <c r="BB832" i="1"/>
  <c r="AS803" i="1"/>
  <c r="BB803" i="1"/>
  <c r="BB781" i="1"/>
  <c r="I32" i="5" s="1"/>
  <c r="T31" i="5" s="1"/>
  <c r="AS781" i="1"/>
  <c r="AS780" i="1"/>
  <c r="BB780" i="1"/>
  <c r="AS822" i="1"/>
  <c r="BB822" i="1"/>
  <c r="AS788" i="1"/>
  <c r="BB788" i="1"/>
  <c r="AS797" i="1"/>
  <c r="BB797" i="1"/>
  <c r="AS785" i="1"/>
  <c r="BB785" i="1"/>
  <c r="I36" i="5" s="1"/>
  <c r="AS831" i="1"/>
  <c r="BB831" i="1"/>
  <c r="AS799" i="1"/>
  <c r="BB799" i="1"/>
  <c r="AS824" i="1"/>
  <c r="BB824" i="1"/>
  <c r="AS808" i="1"/>
  <c r="BB808" i="1"/>
  <c r="AS828" i="1"/>
  <c r="BB828" i="1"/>
  <c r="AS823" i="1"/>
  <c r="BB823" i="1"/>
  <c r="AS805" i="1"/>
  <c r="BB805" i="1"/>
  <c r="AS777" i="1"/>
  <c r="BB777" i="1"/>
  <c r="AS835" i="1"/>
  <c r="BB835" i="1"/>
  <c r="AS811" i="1"/>
  <c r="BB811" i="1"/>
  <c r="AS821" i="1"/>
  <c r="BB821" i="1"/>
  <c r="AS815" i="1"/>
  <c r="BB815" i="1"/>
  <c r="AS820" i="1"/>
  <c r="BB820" i="1"/>
  <c r="AO42" i="1"/>
  <c r="BH42" i="1" s="1"/>
  <c r="AJ58" i="1"/>
  <c r="BC58" i="1" s="1"/>
  <c r="BL57" i="1"/>
  <c r="BT46" i="1"/>
  <c r="BQ11" i="1"/>
  <c r="BU47" i="1"/>
  <c r="BQ47" i="1"/>
  <c r="BN33" i="1"/>
  <c r="AM35" i="1"/>
  <c r="BF35" i="1" s="1"/>
  <c r="AQ83" i="1"/>
  <c r="BJ83" i="1" s="1"/>
  <c r="AO84" i="1"/>
  <c r="BH84" i="1" s="1"/>
  <c r="AQ148" i="1"/>
  <c r="BJ148" i="1" s="1"/>
  <c r="AI82" i="1"/>
  <c r="BB82" i="1" s="1"/>
  <c r="AP82" i="1"/>
  <c r="BI82" i="1" s="1"/>
  <c r="BS135" i="1"/>
  <c r="BN135" i="1"/>
  <c r="AL135" i="1"/>
  <c r="BE135" i="1" s="1"/>
  <c r="BT149" i="1"/>
  <c r="AK156" i="1"/>
  <c r="BD156" i="1" s="1"/>
  <c r="AJ156" i="1"/>
  <c r="BC156" i="1" s="1"/>
  <c r="BU166" i="1"/>
  <c r="BP192" i="1"/>
  <c r="AJ165" i="1"/>
  <c r="BC165" i="1" s="1"/>
  <c r="AR207" i="1"/>
  <c r="BK207" i="1" s="1"/>
  <c r="AR234" i="1"/>
  <c r="BK234" i="1" s="1"/>
  <c r="AJ234" i="1"/>
  <c r="BC234" i="1" s="1"/>
  <c r="AO219" i="1"/>
  <c r="BH219" i="1" s="1"/>
  <c r="AO228" i="1"/>
  <c r="BH228" i="1" s="1"/>
  <c r="BM191" i="1"/>
  <c r="AL197" i="1"/>
  <c r="BE197" i="1" s="1"/>
  <c r="AN224" i="1"/>
  <c r="BG224" i="1" s="1"/>
  <c r="AI42" i="1"/>
  <c r="BB42" i="1" s="1"/>
  <c r="AP42" i="1"/>
  <c r="BI42" i="1" s="1"/>
  <c r="AR58" i="1"/>
  <c r="BK58" i="1" s="1"/>
  <c r="BR57" i="1"/>
  <c r="BP57" i="1"/>
  <c r="BO46" i="1"/>
  <c r="BU11" i="1"/>
  <c r="BL11" i="1"/>
  <c r="BR47" i="1"/>
  <c r="BO33" i="1"/>
  <c r="AK35" i="1"/>
  <c r="BD35" i="1" s="1"/>
  <c r="AK83" i="1"/>
  <c r="BD83" i="1" s="1"/>
  <c r="AN84" i="1"/>
  <c r="BG84" i="1" s="1"/>
  <c r="AL148" i="1"/>
  <c r="BE148" i="1" s="1"/>
  <c r="AJ82" i="1"/>
  <c r="BC82" i="1" s="1"/>
  <c r="AL82" i="1"/>
  <c r="BE82" i="1" s="1"/>
  <c r="BT135" i="1"/>
  <c r="AQ135" i="1"/>
  <c r="BJ135" i="1" s="1"/>
  <c r="BP149" i="1"/>
  <c r="AR156" i="1"/>
  <c r="BK156" i="1" s="1"/>
  <c r="BN166" i="1"/>
  <c r="BS166" i="1"/>
  <c r="BN192" i="1"/>
  <c r="AO165" i="1"/>
  <c r="BH165" i="1" s="1"/>
  <c r="AJ207" i="1"/>
  <c r="BC207" i="1" s="1"/>
  <c r="AQ234" i="1"/>
  <c r="BJ234" i="1" s="1"/>
  <c r="AI234" i="1"/>
  <c r="BB234" i="1" s="1"/>
  <c r="AL219" i="1"/>
  <c r="BE219" i="1" s="1"/>
  <c r="AN228" i="1"/>
  <c r="BG228" i="1" s="1"/>
  <c r="BN191" i="1"/>
  <c r="AM197" i="1"/>
  <c r="BF197" i="1" s="1"/>
  <c r="AM224" i="1"/>
  <c r="BF224" i="1" s="1"/>
  <c r="C97" i="3"/>
  <c r="BB772" i="1"/>
  <c r="AS772" i="1"/>
  <c r="BB767" i="1"/>
  <c r="AK42" i="1"/>
  <c r="BD42" i="1" s="1"/>
  <c r="AM42" i="1"/>
  <c r="BF42" i="1" s="1"/>
  <c r="AK58" i="1"/>
  <c r="BD58" i="1" s="1"/>
  <c r="BT57" i="1"/>
  <c r="BS57" i="1"/>
  <c r="BR46" i="1"/>
  <c r="BM11" i="1"/>
  <c r="BR11" i="1"/>
  <c r="BO47" i="1"/>
  <c r="BL33" i="1"/>
  <c r="BP33" i="1"/>
  <c r="AP35" i="1"/>
  <c r="BI35" i="1" s="1"/>
  <c r="AI83" i="1"/>
  <c r="BB83" i="1" s="1"/>
  <c r="AQ84" i="1"/>
  <c r="BJ84" i="1" s="1"/>
  <c r="AR148" i="1"/>
  <c r="BK148" i="1" s="1"/>
  <c r="AM148" i="1"/>
  <c r="BF148" i="1" s="1"/>
  <c r="AR82" i="1"/>
  <c r="BK82" i="1" s="1"/>
  <c r="BP135" i="1"/>
  <c r="AR135" i="1"/>
  <c r="BK135" i="1" s="1"/>
  <c r="BL149" i="1"/>
  <c r="AP156" i="1"/>
  <c r="BI156" i="1" s="1"/>
  <c r="BT166" i="1"/>
  <c r="BQ166" i="1"/>
  <c r="BU192" i="1"/>
  <c r="AM165" i="1"/>
  <c r="BF165" i="1" s="1"/>
  <c r="AP207" i="1"/>
  <c r="BI207" i="1" s="1"/>
  <c r="AP234" i="1"/>
  <c r="BI234" i="1" s="1"/>
  <c r="AQ219" i="1"/>
  <c r="BJ219" i="1" s="1"/>
  <c r="AM228" i="1"/>
  <c r="BF228" i="1" s="1"/>
  <c r="BL191" i="1"/>
  <c r="AN197" i="1"/>
  <c r="BG197" i="1" s="1"/>
  <c r="AK197" i="1"/>
  <c r="BD197" i="1" s="1"/>
  <c r="AL224" i="1"/>
  <c r="BE224" i="1" s="1"/>
  <c r="BB764" i="1"/>
  <c r="AS764" i="1"/>
  <c r="AN42" i="1"/>
  <c r="BG42" i="1" s="1"/>
  <c r="BS46" i="1"/>
  <c r="BS11" i="1"/>
  <c r="BS47" i="1"/>
  <c r="BU33" i="1"/>
  <c r="BS33" i="1"/>
  <c r="AQ35" i="1"/>
  <c r="BJ35" i="1" s="1"/>
  <c r="AO83" i="1"/>
  <c r="BH83" i="1" s="1"/>
  <c r="AP84" i="1"/>
  <c r="BI84" i="1" s="1"/>
  <c r="AK148" i="1"/>
  <c r="BD148" i="1" s="1"/>
  <c r="AI148" i="1"/>
  <c r="BB148" i="1" s="1"/>
  <c r="AQ82" i="1"/>
  <c r="BJ82" i="1" s="1"/>
  <c r="BL135" i="1"/>
  <c r="AM135" i="1"/>
  <c r="BF135" i="1" s="1"/>
  <c r="AN135" i="1"/>
  <c r="BG135" i="1" s="1"/>
  <c r="BU149" i="1"/>
  <c r="AM156" i="1"/>
  <c r="BF156" i="1" s="1"/>
  <c r="BR166" i="1"/>
  <c r="BS192" i="1"/>
  <c r="AQ165" i="1"/>
  <c r="BJ165" i="1" s="1"/>
  <c r="AK165" i="1"/>
  <c r="BD165" i="1" s="1"/>
  <c r="AL207" i="1"/>
  <c r="BE207" i="1" s="1"/>
  <c r="AO234" i="1"/>
  <c r="BH234" i="1" s="1"/>
  <c r="AI219" i="1"/>
  <c r="BB219" i="1" s="1"/>
  <c r="AL228" i="1"/>
  <c r="BE228" i="1" s="1"/>
  <c r="BU191" i="1"/>
  <c r="AO197" i="1"/>
  <c r="BH197" i="1" s="1"/>
  <c r="AI197" i="1"/>
  <c r="BB197" i="1" s="1"/>
  <c r="AK224" i="1"/>
  <c r="BD224" i="1" s="1"/>
  <c r="AI58" i="1"/>
  <c r="AQ42" i="1"/>
  <c r="BJ42" i="1" s="1"/>
  <c r="AO58" i="1"/>
  <c r="BH58" i="1" s="1"/>
  <c r="BQ57" i="1"/>
  <c r="BM46" i="1"/>
  <c r="BT11" i="1"/>
  <c r="BT47" i="1"/>
  <c r="BR33" i="1"/>
  <c r="AR35" i="1"/>
  <c r="BK35" i="1" s="1"/>
  <c r="AI35" i="1"/>
  <c r="BB35" i="1" s="1"/>
  <c r="AN83" i="1"/>
  <c r="BG83" i="1" s="1"/>
  <c r="AL84" i="1"/>
  <c r="BE84" i="1" s="1"/>
  <c r="AP148" i="1"/>
  <c r="BI148" i="1" s="1"/>
  <c r="AM82" i="1"/>
  <c r="BF82" i="1" s="1"/>
  <c r="BU135" i="1"/>
  <c r="AP135" i="1"/>
  <c r="BI135" i="1" s="1"/>
  <c r="AJ135" i="1"/>
  <c r="BC135" i="1" s="1"/>
  <c r="BN149" i="1"/>
  <c r="BQ149" i="1"/>
  <c r="AO156" i="1"/>
  <c r="BH156" i="1" s="1"/>
  <c r="BP166" i="1"/>
  <c r="BQ192" i="1"/>
  <c r="AL165" i="1"/>
  <c r="BE165" i="1" s="1"/>
  <c r="AI165" i="1"/>
  <c r="BB165" i="1" s="1"/>
  <c r="AK207" i="1"/>
  <c r="BD207" i="1" s="1"/>
  <c r="AN234" i="1"/>
  <c r="BG234" i="1" s="1"/>
  <c r="AN219" i="1"/>
  <c r="BG219" i="1" s="1"/>
  <c r="AK228" i="1"/>
  <c r="BD228" i="1" s="1"/>
  <c r="BS191" i="1"/>
  <c r="AJ197" i="1"/>
  <c r="BC197" i="1" s="1"/>
  <c r="AR224" i="1"/>
  <c r="BK224" i="1" s="1"/>
  <c r="AJ224" i="1"/>
  <c r="BC224" i="1" s="1"/>
  <c r="AS768" i="1"/>
  <c r="BB768" i="1"/>
  <c r="AL42" i="1"/>
  <c r="BE42" i="1" s="1"/>
  <c r="AQ58" i="1"/>
  <c r="BJ58" i="1" s="1"/>
  <c r="AP58" i="1"/>
  <c r="BI58" i="1" s="1"/>
  <c r="BM57" i="1"/>
  <c r="BN46" i="1"/>
  <c r="BP46" i="1"/>
  <c r="BN11" i="1"/>
  <c r="BM47" i="1"/>
  <c r="BT33" i="1"/>
  <c r="AJ35" i="1"/>
  <c r="BC35" i="1" s="1"/>
  <c r="AN35" i="1"/>
  <c r="BG35" i="1" s="1"/>
  <c r="AM83" i="1"/>
  <c r="BF83" i="1" s="1"/>
  <c r="AR84" i="1"/>
  <c r="BK84" i="1" s="1"/>
  <c r="AM84" i="1"/>
  <c r="BF84" i="1" s="1"/>
  <c r="AJ148" i="1"/>
  <c r="BC148" i="1" s="1"/>
  <c r="AN82" i="1"/>
  <c r="BG82" i="1" s="1"/>
  <c r="BQ135" i="1"/>
  <c r="AO135" i="1"/>
  <c r="BH135" i="1" s="1"/>
  <c r="BR149" i="1"/>
  <c r="BM149" i="1"/>
  <c r="AI156" i="1"/>
  <c r="BB156" i="1" s="1"/>
  <c r="BO166" i="1"/>
  <c r="BO192" i="1"/>
  <c r="AN165" i="1"/>
  <c r="BG165" i="1" s="1"/>
  <c r="AQ207" i="1"/>
  <c r="BJ207" i="1" s="1"/>
  <c r="AM234" i="1"/>
  <c r="BF234" i="1" s="1"/>
  <c r="AM219" i="1"/>
  <c r="BF219" i="1" s="1"/>
  <c r="AK219" i="1"/>
  <c r="BD219" i="1" s="1"/>
  <c r="AR228" i="1"/>
  <c r="BK228" i="1" s="1"/>
  <c r="AJ228" i="1"/>
  <c r="BC228" i="1" s="1"/>
  <c r="BT191" i="1"/>
  <c r="BQ191" i="1"/>
  <c r="AQ197" i="1"/>
  <c r="BJ197" i="1" s="1"/>
  <c r="AQ224" i="1"/>
  <c r="BJ224" i="1" s="1"/>
  <c r="AI224" i="1"/>
  <c r="BB224" i="1" s="1"/>
  <c r="BB765" i="1"/>
  <c r="BU57" i="1"/>
  <c r="AN58" i="1"/>
  <c r="BG58" i="1" s="1"/>
  <c r="BQ46" i="1"/>
  <c r="AJ83" i="1"/>
  <c r="BC83" i="1" s="1"/>
  <c r="AJ84" i="1"/>
  <c r="BC84" i="1" s="1"/>
  <c r="BT192" i="1"/>
  <c r="AM207" i="1"/>
  <c r="BF207" i="1" s="1"/>
  <c r="AR219" i="1"/>
  <c r="BK219" i="1" s="1"/>
  <c r="AQ228" i="1"/>
  <c r="BJ228" i="1" s="1"/>
  <c r="BR191" i="1"/>
  <c r="BB775" i="1"/>
  <c r="BB766" i="1"/>
  <c r="AS766" i="1"/>
  <c r="AS770" i="1"/>
  <c r="BB770" i="1"/>
  <c r="BB755" i="1"/>
  <c r="BB757" i="1"/>
  <c r="AS744" i="1"/>
  <c r="BB744" i="1"/>
  <c r="BB735" i="1"/>
  <c r="AS735" i="1"/>
  <c r="BT49" i="1"/>
  <c r="AR70" i="1"/>
  <c r="BK70" i="1" s="1"/>
  <c r="BM50" i="1"/>
  <c r="AP47" i="1"/>
  <c r="BI47" i="1" s="1"/>
  <c r="AR18" i="1"/>
  <c r="BK18" i="1" s="1"/>
  <c r="BN21" i="1"/>
  <c r="BM21" i="1"/>
  <c r="BP96" i="1"/>
  <c r="AP125" i="1"/>
  <c r="BI125" i="1" s="1"/>
  <c r="AI125" i="1"/>
  <c r="BB125" i="1" s="1"/>
  <c r="BN126" i="1"/>
  <c r="AN86" i="1"/>
  <c r="BG86" i="1" s="1"/>
  <c r="AI100" i="1"/>
  <c r="BB100" i="1" s="1"/>
  <c r="BQ165" i="1"/>
  <c r="BL165" i="1"/>
  <c r="BS156" i="1"/>
  <c r="BM156" i="1"/>
  <c r="BU185" i="1"/>
  <c r="AK211" i="1"/>
  <c r="BD211" i="1" s="1"/>
  <c r="BU182" i="1"/>
  <c r="BU207" i="1"/>
  <c r="AK217" i="1"/>
  <c r="BD217" i="1" s="1"/>
  <c r="BN161" i="1"/>
  <c r="BN175" i="1"/>
  <c r="BL177" i="1"/>
  <c r="AP212" i="1"/>
  <c r="BI212" i="1" s="1"/>
  <c r="BB720" i="1"/>
  <c r="AS718" i="1"/>
  <c r="BB718" i="1"/>
  <c r="BB740" i="1"/>
  <c r="BB723" i="1"/>
  <c r="AJ70" i="1"/>
  <c r="BC70" i="1" s="1"/>
  <c r="BS50" i="1"/>
  <c r="AN47" i="1"/>
  <c r="BG47" i="1" s="1"/>
  <c r="AK18" i="1"/>
  <c r="BD18" i="1" s="1"/>
  <c r="BS21" i="1"/>
  <c r="BO21" i="1"/>
  <c r="BL96" i="1"/>
  <c r="AO125" i="1"/>
  <c r="BH125" i="1" s="1"/>
  <c r="BS126" i="1"/>
  <c r="AJ86" i="1"/>
  <c r="BC86" i="1" s="1"/>
  <c r="AQ11" i="1"/>
  <c r="BJ11" i="1" s="1"/>
  <c r="BT165" i="1"/>
  <c r="BQ156" i="1"/>
  <c r="BS185" i="1"/>
  <c r="AQ211" i="1"/>
  <c r="BJ211" i="1" s="1"/>
  <c r="BS182" i="1"/>
  <c r="BS207" i="1"/>
  <c r="AR217" i="1"/>
  <c r="BK217" i="1" s="1"/>
  <c r="AJ217" i="1"/>
  <c r="BC217" i="1" s="1"/>
  <c r="BL161" i="1"/>
  <c r="BO175" i="1"/>
  <c r="BT177" i="1"/>
  <c r="BO177" i="1"/>
  <c r="AO212" i="1"/>
  <c r="BH212" i="1" s="1"/>
  <c r="AS763" i="1"/>
  <c r="BB763" i="1"/>
  <c r="BB722" i="1"/>
  <c r="AS754" i="1"/>
  <c r="BB754" i="1"/>
  <c r="AP70" i="1"/>
  <c r="BI70" i="1" s="1"/>
  <c r="AR100" i="1"/>
  <c r="BK100" i="1" s="1"/>
  <c r="BR165" i="1"/>
  <c r="BN156" i="1"/>
  <c r="BQ185" i="1"/>
  <c r="AO211" i="1"/>
  <c r="BH211" i="1" s="1"/>
  <c r="BM182" i="1"/>
  <c r="BQ182" i="1"/>
  <c r="BQ207" i="1"/>
  <c r="AQ217" i="1"/>
  <c r="BJ217" i="1" s="1"/>
  <c r="AI217" i="1"/>
  <c r="BB217" i="1" s="1"/>
  <c r="BR161" i="1"/>
  <c r="BO161" i="1"/>
  <c r="BU175" i="1"/>
  <c r="BP177" i="1"/>
  <c r="BM177" i="1"/>
  <c r="AN212" i="1"/>
  <c r="BG212" i="1" s="1"/>
  <c r="BB713" i="1"/>
  <c r="BM49" i="1"/>
  <c r="BN49" i="1"/>
  <c r="BN50" i="1"/>
  <c r="BQ96" i="1"/>
  <c r="AN125" i="1"/>
  <c r="BG125" i="1" s="1"/>
  <c r="BL49" i="1"/>
  <c r="AK70" i="1"/>
  <c r="BD70" i="1" s="1"/>
  <c r="BL50" i="1"/>
  <c r="AK47" i="1"/>
  <c r="BD47" i="1" s="1"/>
  <c r="AM47" i="1"/>
  <c r="BF47" i="1" s="1"/>
  <c r="AO18" i="1"/>
  <c r="BH18" i="1" s="1"/>
  <c r="BU21" i="1"/>
  <c r="BR96" i="1"/>
  <c r="AQ125" i="1"/>
  <c r="BJ125" i="1" s="1"/>
  <c r="BT126" i="1"/>
  <c r="AO100" i="1"/>
  <c r="BH100" i="1" s="1"/>
  <c r="AK122" i="1"/>
  <c r="BD122" i="1" s="1"/>
  <c r="BP165" i="1"/>
  <c r="BL156" i="1"/>
  <c r="BO185" i="1"/>
  <c r="AN211" i="1"/>
  <c r="BG211" i="1" s="1"/>
  <c r="BT182" i="1"/>
  <c r="BO182" i="1"/>
  <c r="BT207" i="1"/>
  <c r="BO207" i="1"/>
  <c r="AP217" i="1"/>
  <c r="BI217" i="1" s="1"/>
  <c r="BP161" i="1"/>
  <c r="BM161" i="1"/>
  <c r="BS175" i="1"/>
  <c r="BR177" i="1"/>
  <c r="AM212" i="1"/>
  <c r="BF212" i="1" s="1"/>
  <c r="AS745" i="1"/>
  <c r="BB745" i="1"/>
  <c r="BB750" i="1"/>
  <c r="AL47" i="1"/>
  <c r="BE47" i="1" s="1"/>
  <c r="AI18" i="1"/>
  <c r="BB18" i="1" s="1"/>
  <c r="BP21" i="1"/>
  <c r="BO126" i="1"/>
  <c r="BO49" i="1"/>
  <c r="AS52" i="1"/>
  <c r="AV52" i="1" s="1"/>
  <c r="AM70" i="1"/>
  <c r="BF70" i="1" s="1"/>
  <c r="AL70" i="1"/>
  <c r="BE70" i="1" s="1"/>
  <c r="BO50" i="1"/>
  <c r="AQ47" i="1"/>
  <c r="BJ47" i="1" s="1"/>
  <c r="AJ47" i="1"/>
  <c r="BC47" i="1" s="1"/>
  <c r="AQ18" i="1"/>
  <c r="BJ18" i="1" s="1"/>
  <c r="AP18" i="1"/>
  <c r="BI18" i="1" s="1"/>
  <c r="BQ21" i="1"/>
  <c r="BN96" i="1"/>
  <c r="AL125" i="1"/>
  <c r="BE125" i="1" s="1"/>
  <c r="BL126" i="1"/>
  <c r="AQ86" i="1"/>
  <c r="BJ86" i="1" s="1"/>
  <c r="AN100" i="1"/>
  <c r="BG100" i="1" s="1"/>
  <c r="BS165" i="1"/>
  <c r="BT156" i="1"/>
  <c r="BR185" i="1"/>
  <c r="AM211" i="1"/>
  <c r="BF211" i="1" s="1"/>
  <c r="BR182" i="1"/>
  <c r="BR207" i="1"/>
  <c r="BN207" i="1"/>
  <c r="AO217" i="1"/>
  <c r="BH217" i="1" s="1"/>
  <c r="BU161" i="1"/>
  <c r="BQ175" i="1"/>
  <c r="BN177" i="1"/>
  <c r="AL212" i="1"/>
  <c r="BE212" i="1" s="1"/>
  <c r="AS736" i="1"/>
  <c r="BB736" i="1"/>
  <c r="BB737" i="1"/>
  <c r="BB734" i="1"/>
  <c r="BB724" i="1"/>
  <c r="BQ49" i="1"/>
  <c r="BP49" i="1"/>
  <c r="AO70" i="1"/>
  <c r="BH70" i="1" s="1"/>
  <c r="AI70" i="1"/>
  <c r="BP50" i="1"/>
  <c r="AR47" i="1"/>
  <c r="BK47" i="1" s="1"/>
  <c r="AN18" i="1"/>
  <c r="BG18" i="1" s="1"/>
  <c r="AM18" i="1"/>
  <c r="BF18" i="1" s="1"/>
  <c r="BR21" i="1"/>
  <c r="BO96" i="1"/>
  <c r="AK125" i="1"/>
  <c r="BD125" i="1" s="1"/>
  <c r="BQ126" i="1"/>
  <c r="AP86" i="1"/>
  <c r="BI86" i="1" s="1"/>
  <c r="AK100" i="1"/>
  <c r="BD100" i="1" s="1"/>
  <c r="BO165" i="1"/>
  <c r="BR156" i="1"/>
  <c r="BP185" i="1"/>
  <c r="AI211" i="1"/>
  <c r="BB211" i="1" s="1"/>
  <c r="BP182" i="1"/>
  <c r="BP207" i="1"/>
  <c r="AN217" i="1"/>
  <c r="BG217" i="1" s="1"/>
  <c r="BS161" i="1"/>
  <c r="BT175" i="1"/>
  <c r="BM175" i="1"/>
  <c r="BU177" i="1"/>
  <c r="AK212" i="1"/>
  <c r="BD212" i="1" s="1"/>
  <c r="AS753" i="1"/>
  <c r="BB753" i="1"/>
  <c r="BB719" i="1"/>
  <c r="BB747" i="1"/>
  <c r="AS762" i="1"/>
  <c r="BB762" i="1"/>
  <c r="AS717" i="1"/>
  <c r="BB717" i="1"/>
  <c r="BU49" i="1"/>
  <c r="BU50" i="1"/>
  <c r="BS96" i="1"/>
  <c r="BM126" i="1"/>
  <c r="AR86" i="1"/>
  <c r="BK86" i="1" s="1"/>
  <c r="AP100" i="1"/>
  <c r="BI100" i="1" s="1"/>
  <c r="AL121" i="1"/>
  <c r="BE121" i="1" s="1"/>
  <c r="BN185" i="1"/>
  <c r="AJ211" i="1"/>
  <c r="BC211" i="1" s="1"/>
  <c r="BR175" i="1"/>
  <c r="AR212" i="1"/>
  <c r="BK212" i="1" s="1"/>
  <c r="BB742" i="1"/>
  <c r="BB729" i="1"/>
  <c r="AS727" i="1"/>
  <c r="BB727" i="1"/>
  <c r="AP222" i="1"/>
  <c r="BI222" i="1" s="1"/>
  <c r="BO167" i="1"/>
  <c r="BB705" i="1"/>
  <c r="AO222" i="1"/>
  <c r="BH222" i="1" s="1"/>
  <c r="AN205" i="1"/>
  <c r="BG205" i="1" s="1"/>
  <c r="BQ186" i="1"/>
  <c r="BR38" i="1"/>
  <c r="BM71" i="1"/>
  <c r="BP86" i="1"/>
  <c r="AN113" i="1"/>
  <c r="BG113" i="1" s="1"/>
  <c r="AR176" i="1"/>
  <c r="BK176" i="1" s="1"/>
  <c r="AJ205" i="1"/>
  <c r="BC205" i="1" s="1"/>
  <c r="AR215" i="1"/>
  <c r="BK215" i="1" s="1"/>
  <c r="AJ22" i="1"/>
  <c r="BC22" i="1" s="1"/>
  <c r="BN71" i="1"/>
  <c r="AP23" i="1"/>
  <c r="BI23" i="1" s="1"/>
  <c r="AL144" i="1"/>
  <c r="BE144" i="1" s="1"/>
  <c r="BL86" i="1"/>
  <c r="AR151" i="1"/>
  <c r="BK151" i="1" s="1"/>
  <c r="AJ113" i="1"/>
  <c r="BC113" i="1" s="1"/>
  <c r="AP176" i="1"/>
  <c r="BI176" i="1" s="1"/>
  <c r="AQ215" i="1"/>
  <c r="BJ215" i="1" s="1"/>
  <c r="AR22" i="1"/>
  <c r="BK22" i="1" s="1"/>
  <c r="AN73" i="1"/>
  <c r="BG73" i="1" s="1"/>
  <c r="AN23" i="1"/>
  <c r="BG23" i="1" s="1"/>
  <c r="AP112" i="1"/>
  <c r="BI112" i="1" s="1"/>
  <c r="AR144" i="1"/>
  <c r="BK144" i="1" s="1"/>
  <c r="BO87" i="1"/>
  <c r="AM151" i="1"/>
  <c r="BF151" i="1" s="1"/>
  <c r="AR131" i="1"/>
  <c r="BK131" i="1" s="1"/>
  <c r="AK176" i="1"/>
  <c r="BD176" i="1" s="1"/>
  <c r="AJ215" i="1"/>
  <c r="BC215" i="1" s="1"/>
  <c r="BB706" i="1"/>
  <c r="BB695" i="1"/>
  <c r="BU38" i="1"/>
  <c r="AL22" i="1"/>
  <c r="BE22" i="1" s="1"/>
  <c r="AM112" i="1"/>
  <c r="BF112" i="1" s="1"/>
  <c r="AQ144" i="1"/>
  <c r="BJ144" i="1" s="1"/>
  <c r="BT87" i="1"/>
  <c r="AQ95" i="1"/>
  <c r="BJ95" i="1" s="1"/>
  <c r="AQ131" i="1"/>
  <c r="BJ131" i="1" s="1"/>
  <c r="BM84" i="1"/>
  <c r="AI176" i="1"/>
  <c r="BB176" i="1" s="1"/>
  <c r="AI215" i="1"/>
  <c r="BB215" i="1" s="1"/>
  <c r="BP197" i="1"/>
  <c r="AN191" i="1"/>
  <c r="BG191" i="1" s="1"/>
  <c r="BB699" i="1"/>
  <c r="AI22" i="1"/>
  <c r="BB22" i="1" s="1"/>
  <c r="BQ62" i="1"/>
  <c r="AR21" i="1"/>
  <c r="BK21" i="1" s="1"/>
  <c r="AK144" i="1"/>
  <c r="BD144" i="1" s="1"/>
  <c r="BN87" i="1"/>
  <c r="BS109" i="1"/>
  <c r="AI95" i="1"/>
  <c r="BB95" i="1" s="1"/>
  <c r="BR84" i="1"/>
  <c r="BO172" i="1"/>
  <c r="BU197" i="1"/>
  <c r="BB709" i="1"/>
  <c r="BB704" i="1"/>
  <c r="BB670" i="1"/>
  <c r="BB668" i="1"/>
  <c r="BB672" i="1"/>
  <c r="BB671" i="1"/>
  <c r="BB687" i="1"/>
  <c r="BB685" i="1"/>
  <c r="BS14" i="1"/>
  <c r="BP196" i="1"/>
  <c r="BP69" i="1"/>
  <c r="BP138" i="1"/>
  <c r="AO136" i="1"/>
  <c r="BH136" i="1" s="1"/>
  <c r="BS147" i="1"/>
  <c r="BQ171" i="1"/>
  <c r="AR202" i="1"/>
  <c r="BK202" i="1" s="1"/>
  <c r="AL230" i="1"/>
  <c r="BE230" i="1" s="1"/>
  <c r="AO30" i="1"/>
  <c r="BH30" i="1" s="1"/>
  <c r="AO110" i="1"/>
  <c r="BH110" i="1" s="1"/>
  <c r="BN195" i="1"/>
  <c r="AQ221" i="1"/>
  <c r="BJ221" i="1" s="1"/>
  <c r="AL157" i="1"/>
  <c r="BE157" i="1" s="1"/>
  <c r="BR10" i="1"/>
  <c r="BO110" i="1"/>
  <c r="AI221" i="1"/>
  <c r="BB221" i="1" s="1"/>
  <c r="BO152" i="1"/>
  <c r="AM61" i="1"/>
  <c r="BF61" i="1" s="1"/>
  <c r="BS99" i="1"/>
  <c r="AQ185" i="1"/>
  <c r="BJ185" i="1" s="1"/>
  <c r="C93" i="3"/>
  <c r="C94" i="3"/>
  <c r="C136" i="3" s="1"/>
  <c r="C95" i="3"/>
  <c r="C137" i="3" s="1"/>
  <c r="C96" i="3"/>
  <c r="C138" i="3" s="1"/>
  <c r="AR134" i="1"/>
  <c r="BK134" i="1" s="1"/>
  <c r="AP105" i="1"/>
  <c r="BI105" i="1" s="1"/>
  <c r="BL113" i="1"/>
  <c r="BL69" i="1"/>
  <c r="AQ49" i="1"/>
  <c r="BJ49" i="1" s="1"/>
  <c r="AP61" i="1"/>
  <c r="BI61" i="1" s="1"/>
  <c r="BQ22" i="1"/>
  <c r="BN10" i="1"/>
  <c r="AM30" i="1"/>
  <c r="BF30" i="1" s="1"/>
  <c r="BM14" i="1"/>
  <c r="BM82" i="1"/>
  <c r="BU138" i="1"/>
  <c r="BO99" i="1"/>
  <c r="AQ136" i="1"/>
  <c r="BJ136" i="1" s="1"/>
  <c r="AK136" i="1"/>
  <c r="BD136" i="1" s="1"/>
  <c r="BT110" i="1"/>
  <c r="BO147" i="1"/>
  <c r="AK110" i="1"/>
  <c r="BD110" i="1" s="1"/>
  <c r="BL121" i="1"/>
  <c r="AP221" i="1"/>
  <c r="BI221" i="1" s="1"/>
  <c r="BM171" i="1"/>
  <c r="AL202" i="1"/>
  <c r="BE202" i="1" s="1"/>
  <c r="AM214" i="1"/>
  <c r="BF214" i="1" s="1"/>
  <c r="AO185" i="1"/>
  <c r="BH185" i="1" s="1"/>
  <c r="AO157" i="1"/>
  <c r="BH157" i="1" s="1"/>
  <c r="BM152" i="1"/>
  <c r="BU196" i="1"/>
  <c r="BN196" i="1"/>
  <c r="BM195" i="1"/>
  <c r="AK230" i="1"/>
  <c r="BD230" i="1" s="1"/>
  <c r="AO206" i="1"/>
  <c r="BH206" i="1" s="1"/>
  <c r="BS69" i="1"/>
  <c r="AR49" i="1"/>
  <c r="BK49" i="1" s="1"/>
  <c r="AN61" i="1"/>
  <c r="BG61" i="1" s="1"/>
  <c r="BU22" i="1"/>
  <c r="BO10" i="1"/>
  <c r="AQ30" i="1"/>
  <c r="BJ30" i="1" s="1"/>
  <c r="BO14" i="1"/>
  <c r="BP14" i="1"/>
  <c r="BR82" i="1"/>
  <c r="BQ138" i="1"/>
  <c r="BT99" i="1"/>
  <c r="AP136" i="1"/>
  <c r="BI136" i="1" s="1"/>
  <c r="BP110" i="1"/>
  <c r="BT147" i="1"/>
  <c r="AR110" i="1"/>
  <c r="BK110" i="1" s="1"/>
  <c r="BP121" i="1"/>
  <c r="AO221" i="1"/>
  <c r="BH221" i="1" s="1"/>
  <c r="BL171" i="1"/>
  <c r="AI202" i="1"/>
  <c r="BB202" i="1" s="1"/>
  <c r="AL214" i="1"/>
  <c r="BE214" i="1" s="1"/>
  <c r="AI185" i="1"/>
  <c r="BB185" i="1" s="1"/>
  <c r="AM157" i="1"/>
  <c r="BF157" i="1" s="1"/>
  <c r="BU152" i="1"/>
  <c r="BS196" i="1"/>
  <c r="BT195" i="1"/>
  <c r="AJ230" i="1"/>
  <c r="BC230" i="1" s="1"/>
  <c r="AM206" i="1"/>
  <c r="BF206" i="1" s="1"/>
  <c r="BU69" i="1"/>
  <c r="BN14" i="1"/>
  <c r="BN82" i="1"/>
  <c r="BP147" i="1"/>
  <c r="AM110" i="1"/>
  <c r="BF110" i="1" s="1"/>
  <c r="BU121" i="1"/>
  <c r="AN221" i="1"/>
  <c r="BG221" i="1" s="1"/>
  <c r="AN185" i="1"/>
  <c r="BG185" i="1" s="1"/>
  <c r="AN157" i="1"/>
  <c r="BG157" i="1" s="1"/>
  <c r="BQ196" i="1"/>
  <c r="BR195" i="1"/>
  <c r="BQ69" i="1"/>
  <c r="AP49" i="1"/>
  <c r="BI49" i="1" s="1"/>
  <c r="AO49" i="1"/>
  <c r="BH49" i="1" s="1"/>
  <c r="AI61" i="1"/>
  <c r="BB61" i="1" s="1"/>
  <c r="AJ61" i="1"/>
  <c r="BC61" i="1" s="1"/>
  <c r="BS22" i="1"/>
  <c r="BQ10" i="1"/>
  <c r="AR30" i="1"/>
  <c r="BK30" i="1" s="1"/>
  <c r="AL30" i="1"/>
  <c r="BE30" i="1" s="1"/>
  <c r="BU14" i="1"/>
  <c r="BL82" i="1"/>
  <c r="BS82" i="1"/>
  <c r="BR138" i="1"/>
  <c r="BQ99" i="1"/>
  <c r="BL99" i="1"/>
  <c r="AM136" i="1"/>
  <c r="BF136" i="1" s="1"/>
  <c r="BU110" i="1"/>
  <c r="BU147" i="1"/>
  <c r="BL147" i="1"/>
  <c r="AI110" i="1"/>
  <c r="BB110" i="1" s="1"/>
  <c r="BM121" i="1"/>
  <c r="AM221" i="1"/>
  <c r="BF221" i="1" s="1"/>
  <c r="BT171" i="1"/>
  <c r="AO202" i="1"/>
  <c r="BH202" i="1" s="1"/>
  <c r="AR214" i="1"/>
  <c r="BK214" i="1" s="1"/>
  <c r="AJ214" i="1"/>
  <c r="BC214" i="1" s="1"/>
  <c r="AR185" i="1"/>
  <c r="BK185" i="1" s="1"/>
  <c r="AL185" i="1"/>
  <c r="BE185" i="1" s="1"/>
  <c r="AQ157" i="1"/>
  <c r="BJ157" i="1" s="1"/>
  <c r="AI157" i="1"/>
  <c r="BB157" i="1" s="1"/>
  <c r="BQ152" i="1"/>
  <c r="BO196" i="1"/>
  <c r="BU195" i="1"/>
  <c r="BP195" i="1"/>
  <c r="AP230" i="1"/>
  <c r="BI230" i="1" s="1"/>
  <c r="AJ206" i="1"/>
  <c r="BC206" i="1" s="1"/>
  <c r="AL61" i="1"/>
  <c r="BE61" i="1" s="1"/>
  <c r="BQ147" i="1"/>
  <c r="AK214" i="1"/>
  <c r="BD214" i="1" s="1"/>
  <c r="AK157" i="1"/>
  <c r="BD157" i="1" s="1"/>
  <c r="AN206" i="1"/>
  <c r="BG206" i="1" s="1"/>
  <c r="BR69" i="1"/>
  <c r="AJ49" i="1"/>
  <c r="BC49" i="1" s="1"/>
  <c r="AL49" i="1"/>
  <c r="BE49" i="1" s="1"/>
  <c r="AQ61" i="1"/>
  <c r="BJ61" i="1" s="1"/>
  <c r="AK61" i="1"/>
  <c r="BD61" i="1" s="1"/>
  <c r="BM22" i="1"/>
  <c r="BM10" i="1"/>
  <c r="BL10" i="1"/>
  <c r="AP30" i="1"/>
  <c r="BI30" i="1" s="1"/>
  <c r="AI30" i="1"/>
  <c r="BB30" i="1" s="1"/>
  <c r="BT14" i="1"/>
  <c r="BP82" i="1"/>
  <c r="BO82" i="1"/>
  <c r="BN138" i="1"/>
  <c r="BU99" i="1"/>
  <c r="AL136" i="1"/>
  <c r="BE136" i="1" s="1"/>
  <c r="BN110" i="1"/>
  <c r="BQ110" i="1"/>
  <c r="BM147" i="1"/>
  <c r="AP110" i="1"/>
  <c r="BI110" i="1" s="1"/>
  <c r="AN110" i="1"/>
  <c r="BG110" i="1" s="1"/>
  <c r="BR121" i="1"/>
  <c r="AL221" i="1"/>
  <c r="BE221" i="1" s="1"/>
  <c r="BO171" i="1"/>
  <c r="BR171" i="1"/>
  <c r="AN202" i="1"/>
  <c r="BG202" i="1" s="1"/>
  <c r="AQ214" i="1"/>
  <c r="BJ214" i="1" s="1"/>
  <c r="AI214" i="1"/>
  <c r="BB214" i="1" s="1"/>
  <c r="AP185" i="1"/>
  <c r="BI185" i="1" s="1"/>
  <c r="AJ185" i="1"/>
  <c r="BC185" i="1" s="1"/>
  <c r="AJ157" i="1"/>
  <c r="BC157" i="1" s="1"/>
  <c r="BT152" i="1"/>
  <c r="BN152" i="1"/>
  <c r="BL196" i="1"/>
  <c r="BS195" i="1"/>
  <c r="AO230" i="1"/>
  <c r="BH230" i="1" s="1"/>
  <c r="AR206" i="1"/>
  <c r="BK206" i="1" s="1"/>
  <c r="AN49" i="1"/>
  <c r="BG49" i="1" s="1"/>
  <c r="BP10" i="1"/>
  <c r="AK30" i="1"/>
  <c r="BD30" i="1" s="1"/>
  <c r="BL14" i="1"/>
  <c r="BM138" i="1"/>
  <c r="BP99" i="1"/>
  <c r="BN171" i="1"/>
  <c r="BS152" i="1"/>
  <c r="AR230" i="1"/>
  <c r="BK230" i="1" s="1"/>
  <c r="BN69" i="1"/>
  <c r="BT69" i="1"/>
  <c r="AM49" i="1"/>
  <c r="BF49" i="1" s="1"/>
  <c r="AR61" i="1"/>
  <c r="BK61" i="1" s="1"/>
  <c r="BO22" i="1"/>
  <c r="BP22" i="1"/>
  <c r="BU10" i="1"/>
  <c r="BT10" i="1"/>
  <c r="AN30" i="1"/>
  <c r="BG30" i="1" s="1"/>
  <c r="BQ14" i="1"/>
  <c r="BT82" i="1"/>
  <c r="BT138" i="1"/>
  <c r="BS138" i="1"/>
  <c r="BR99" i="1"/>
  <c r="AN136" i="1"/>
  <c r="BG136" i="1" s="1"/>
  <c r="BR110" i="1"/>
  <c r="BM110" i="1"/>
  <c r="BR147" i="1"/>
  <c r="AL110" i="1"/>
  <c r="BE110" i="1" s="1"/>
  <c r="AJ110" i="1"/>
  <c r="BC110" i="1" s="1"/>
  <c r="BS121" i="1"/>
  <c r="AK221" i="1"/>
  <c r="BD221" i="1" s="1"/>
  <c r="BU171" i="1"/>
  <c r="BP171" i="1"/>
  <c r="AK202" i="1"/>
  <c r="BD202" i="1" s="1"/>
  <c r="AM202" i="1"/>
  <c r="BF202" i="1" s="1"/>
  <c r="AP214" i="1"/>
  <c r="BI214" i="1" s="1"/>
  <c r="AM185" i="1"/>
  <c r="BF185" i="1" s="1"/>
  <c r="AR157" i="1"/>
  <c r="BK157" i="1" s="1"/>
  <c r="BR152" i="1"/>
  <c r="BL152" i="1"/>
  <c r="BM196" i="1"/>
  <c r="BO195" i="1"/>
  <c r="AN230" i="1"/>
  <c r="BG230" i="1" s="1"/>
  <c r="AL206" i="1"/>
  <c r="BE206" i="1" s="1"/>
  <c r="BR22" i="1"/>
  <c r="BM99" i="1"/>
  <c r="AI136" i="1"/>
  <c r="BB136" i="1" s="1"/>
  <c r="BL110" i="1"/>
  <c r="AQ202" i="1"/>
  <c r="BJ202" i="1" s="1"/>
  <c r="BM69" i="1"/>
  <c r="BT22" i="1"/>
  <c r="BL138" i="1"/>
  <c r="BO121" i="1"/>
  <c r="AR221" i="1"/>
  <c r="BK221" i="1" s="1"/>
  <c r="AP202" i="1"/>
  <c r="BI202" i="1" s="1"/>
  <c r="BT196" i="1"/>
  <c r="BL195" i="1"/>
  <c r="AM230" i="1"/>
  <c r="BF230" i="1" s="1"/>
  <c r="AK206" i="1"/>
  <c r="BD206" i="1" s="1"/>
  <c r="AJ600" i="1"/>
  <c r="BC600" i="1" s="1"/>
  <c r="AL600" i="1"/>
  <c r="BE600" i="1" s="1"/>
  <c r="AN600" i="1"/>
  <c r="BG600" i="1" s="1"/>
  <c r="AI600" i="1"/>
  <c r="AM600" i="1"/>
  <c r="BF600" i="1" s="1"/>
  <c r="AK600" i="1"/>
  <c r="BD600" i="1" s="1"/>
  <c r="AO600" i="1"/>
  <c r="BH600" i="1" s="1"/>
  <c r="AP600" i="1"/>
  <c r="BI600" i="1" s="1"/>
  <c r="AQ600" i="1"/>
  <c r="BJ600" i="1" s="1"/>
  <c r="AR600" i="1"/>
  <c r="BK600" i="1" s="1"/>
  <c r="AK643" i="1"/>
  <c r="BD643" i="1" s="1"/>
  <c r="AJ643" i="1"/>
  <c r="BC643" i="1" s="1"/>
  <c r="AI643" i="1"/>
  <c r="AN643" i="1"/>
  <c r="BG643" i="1" s="1"/>
  <c r="AL643" i="1"/>
  <c r="BE643" i="1" s="1"/>
  <c r="AQ643" i="1"/>
  <c r="BJ643" i="1" s="1"/>
  <c r="AM643" i="1"/>
  <c r="BF643" i="1" s="1"/>
  <c r="AP643" i="1"/>
  <c r="BI643" i="1" s="1"/>
  <c r="AR643" i="1"/>
  <c r="BK643" i="1" s="1"/>
  <c r="AO643" i="1"/>
  <c r="BH643" i="1" s="1"/>
  <c r="AI568" i="1"/>
  <c r="AK568" i="1"/>
  <c r="BD568" i="1" s="1"/>
  <c r="AL568" i="1"/>
  <c r="BE568" i="1" s="1"/>
  <c r="AM568" i="1"/>
  <c r="BF568" i="1" s="1"/>
  <c r="AR568" i="1"/>
  <c r="BK568" i="1" s="1"/>
  <c r="AN568" i="1"/>
  <c r="BG568" i="1" s="1"/>
  <c r="AO568" i="1"/>
  <c r="BH568" i="1" s="1"/>
  <c r="AQ568" i="1"/>
  <c r="BJ568" i="1" s="1"/>
  <c r="AJ568" i="1"/>
  <c r="BC568" i="1" s="1"/>
  <c r="AP568" i="1"/>
  <c r="BI568" i="1" s="1"/>
  <c r="AJ633" i="1"/>
  <c r="BC633" i="1" s="1"/>
  <c r="AN633" i="1"/>
  <c r="BG633" i="1" s="1"/>
  <c r="AK633" i="1"/>
  <c r="BD633" i="1" s="1"/>
  <c r="AQ633" i="1"/>
  <c r="BJ633" i="1" s="1"/>
  <c r="AP633" i="1"/>
  <c r="BI633" i="1" s="1"/>
  <c r="AI633" i="1"/>
  <c r="AL633" i="1"/>
  <c r="BE633" i="1" s="1"/>
  <c r="AO633" i="1"/>
  <c r="BH633" i="1" s="1"/>
  <c r="AM633" i="1"/>
  <c r="BF633" i="1" s="1"/>
  <c r="AR633" i="1"/>
  <c r="BK633" i="1" s="1"/>
  <c r="AL646" i="1"/>
  <c r="BE646" i="1" s="1"/>
  <c r="AK646" i="1"/>
  <c r="BD646" i="1" s="1"/>
  <c r="AI646" i="1"/>
  <c r="AN646" i="1"/>
  <c r="BG646" i="1" s="1"/>
  <c r="AQ646" i="1"/>
  <c r="BJ646" i="1" s="1"/>
  <c r="AM646" i="1"/>
  <c r="BF646" i="1" s="1"/>
  <c r="AO646" i="1"/>
  <c r="BH646" i="1" s="1"/>
  <c r="AP646" i="1"/>
  <c r="BI646" i="1" s="1"/>
  <c r="AR646" i="1"/>
  <c r="BK646" i="1" s="1"/>
  <c r="AJ646" i="1"/>
  <c r="BC646" i="1" s="1"/>
  <c r="AI663" i="1"/>
  <c r="AM663" i="1"/>
  <c r="BF663" i="1" s="1"/>
  <c r="AP663" i="1"/>
  <c r="BI663" i="1" s="1"/>
  <c r="AJ663" i="1"/>
  <c r="BC663" i="1" s="1"/>
  <c r="AO663" i="1"/>
  <c r="BH663" i="1" s="1"/>
  <c r="AN663" i="1"/>
  <c r="BG663" i="1" s="1"/>
  <c r="AK663" i="1"/>
  <c r="BD663" i="1" s="1"/>
  <c r="AL663" i="1"/>
  <c r="BE663" i="1" s="1"/>
  <c r="AQ663" i="1"/>
  <c r="BJ663" i="1" s="1"/>
  <c r="AR663" i="1"/>
  <c r="BK663" i="1" s="1"/>
  <c r="AK571" i="1"/>
  <c r="BD571" i="1" s="1"/>
  <c r="AM571" i="1"/>
  <c r="BF571" i="1" s="1"/>
  <c r="AI571" i="1"/>
  <c r="AN571" i="1"/>
  <c r="BG571" i="1" s="1"/>
  <c r="AQ571" i="1"/>
  <c r="BJ571" i="1" s="1"/>
  <c r="AL571" i="1"/>
  <c r="BE571" i="1" s="1"/>
  <c r="AJ571" i="1"/>
  <c r="BC571" i="1" s="1"/>
  <c r="AO571" i="1"/>
  <c r="BH571" i="1" s="1"/>
  <c r="AR571" i="1"/>
  <c r="BK571" i="1" s="1"/>
  <c r="AP571" i="1"/>
  <c r="BI571" i="1" s="1"/>
  <c r="AI647" i="1"/>
  <c r="AM647" i="1"/>
  <c r="BF647" i="1" s="1"/>
  <c r="AK647" i="1"/>
  <c r="BD647" i="1" s="1"/>
  <c r="AJ647" i="1"/>
  <c r="BC647" i="1" s="1"/>
  <c r="AP647" i="1"/>
  <c r="BI647" i="1" s="1"/>
  <c r="AO647" i="1"/>
  <c r="BH647" i="1" s="1"/>
  <c r="AN647" i="1"/>
  <c r="BG647" i="1" s="1"/>
  <c r="AQ647" i="1"/>
  <c r="BJ647" i="1" s="1"/>
  <c r="AL647" i="1"/>
  <c r="BE647" i="1" s="1"/>
  <c r="AR647" i="1"/>
  <c r="BK647" i="1" s="1"/>
  <c r="AJ577" i="1"/>
  <c r="BC577" i="1" s="1"/>
  <c r="AN577" i="1"/>
  <c r="BG577" i="1" s="1"/>
  <c r="AI577" i="1"/>
  <c r="AK577" i="1"/>
  <c r="BD577" i="1" s="1"/>
  <c r="AQ577" i="1"/>
  <c r="BJ577" i="1" s="1"/>
  <c r="AP577" i="1"/>
  <c r="BI577" i="1" s="1"/>
  <c r="AO577" i="1"/>
  <c r="BH577" i="1" s="1"/>
  <c r="AR577" i="1"/>
  <c r="BK577" i="1" s="1"/>
  <c r="AM577" i="1"/>
  <c r="BF577" i="1" s="1"/>
  <c r="AL577" i="1"/>
  <c r="BE577" i="1" s="1"/>
  <c r="AI623" i="1"/>
  <c r="AM623" i="1"/>
  <c r="BF623" i="1" s="1"/>
  <c r="AK623" i="1"/>
  <c r="BD623" i="1" s="1"/>
  <c r="AO623" i="1"/>
  <c r="BH623" i="1" s="1"/>
  <c r="AJ623" i="1"/>
  <c r="BC623" i="1" s="1"/>
  <c r="AP623" i="1"/>
  <c r="BI623" i="1" s="1"/>
  <c r="AN623" i="1"/>
  <c r="BG623" i="1" s="1"/>
  <c r="AQ623" i="1"/>
  <c r="BJ623" i="1" s="1"/>
  <c r="AL623" i="1"/>
  <c r="BE623" i="1" s="1"/>
  <c r="AR623" i="1"/>
  <c r="BK623" i="1" s="1"/>
  <c r="AJ569" i="1"/>
  <c r="BC569" i="1" s="1"/>
  <c r="AN569" i="1"/>
  <c r="BG569" i="1" s="1"/>
  <c r="AQ569" i="1"/>
  <c r="BJ569" i="1" s="1"/>
  <c r="AL569" i="1"/>
  <c r="BE569" i="1" s="1"/>
  <c r="AP569" i="1"/>
  <c r="BI569" i="1" s="1"/>
  <c r="AO569" i="1"/>
  <c r="BH569" i="1" s="1"/>
  <c r="AI569" i="1"/>
  <c r="AR569" i="1"/>
  <c r="BK569" i="1" s="1"/>
  <c r="AK569" i="1"/>
  <c r="BD569" i="1" s="1"/>
  <c r="AM569" i="1"/>
  <c r="BF569" i="1" s="1"/>
  <c r="AJ593" i="1"/>
  <c r="BC593" i="1" s="1"/>
  <c r="AN593" i="1"/>
  <c r="BG593" i="1" s="1"/>
  <c r="AI593" i="1"/>
  <c r="AM593" i="1"/>
  <c r="BF593" i="1" s="1"/>
  <c r="AQ593" i="1"/>
  <c r="BJ593" i="1" s="1"/>
  <c r="AL593" i="1"/>
  <c r="BE593" i="1" s="1"/>
  <c r="AP593" i="1"/>
  <c r="BI593" i="1" s="1"/>
  <c r="AO593" i="1"/>
  <c r="BH593" i="1" s="1"/>
  <c r="AR593" i="1"/>
  <c r="BK593" i="1" s="1"/>
  <c r="AK593" i="1"/>
  <c r="BD593" i="1" s="1"/>
  <c r="AQ191" i="1"/>
  <c r="BJ191" i="1" s="1"/>
  <c r="BL167" i="1"/>
  <c r="AM201" i="1"/>
  <c r="BF201" i="1" s="1"/>
  <c r="BO186" i="1"/>
  <c r="AM580" i="1"/>
  <c r="BF580" i="1" s="1"/>
  <c r="AO580" i="1"/>
  <c r="BH580" i="1" s="1"/>
  <c r="AI580" i="1"/>
  <c r="AJ580" i="1"/>
  <c r="BC580" i="1" s="1"/>
  <c r="AL580" i="1"/>
  <c r="BE580" i="1" s="1"/>
  <c r="AK580" i="1"/>
  <c r="BD580" i="1" s="1"/>
  <c r="AP580" i="1"/>
  <c r="BI580" i="1" s="1"/>
  <c r="AQ580" i="1"/>
  <c r="BJ580" i="1" s="1"/>
  <c r="AN580" i="1"/>
  <c r="BG580" i="1" s="1"/>
  <c r="AR580" i="1"/>
  <c r="BK580" i="1" s="1"/>
  <c r="AI599" i="1"/>
  <c r="AM599" i="1"/>
  <c r="BF599" i="1" s="1"/>
  <c r="AO599" i="1"/>
  <c r="BH599" i="1" s="1"/>
  <c r="AP599" i="1"/>
  <c r="BI599" i="1" s="1"/>
  <c r="AJ599" i="1"/>
  <c r="BC599" i="1" s="1"/>
  <c r="AK599" i="1"/>
  <c r="BD599" i="1" s="1"/>
  <c r="AN599" i="1"/>
  <c r="BG599" i="1" s="1"/>
  <c r="AL599" i="1"/>
  <c r="BE599" i="1" s="1"/>
  <c r="AR599" i="1"/>
  <c r="BK599" i="1" s="1"/>
  <c r="AQ599" i="1"/>
  <c r="BJ599" i="1" s="1"/>
  <c r="AN606" i="1"/>
  <c r="BG606" i="1" s="1"/>
  <c r="AJ606" i="1"/>
  <c r="BC606" i="1" s="1"/>
  <c r="AI606" i="1"/>
  <c r="AL606" i="1"/>
  <c r="BE606" i="1" s="1"/>
  <c r="AM606" i="1"/>
  <c r="BF606" i="1" s="1"/>
  <c r="AQ606" i="1"/>
  <c r="BJ606" i="1" s="1"/>
  <c r="AK606" i="1"/>
  <c r="BD606" i="1" s="1"/>
  <c r="AO606" i="1"/>
  <c r="BH606" i="1" s="1"/>
  <c r="AP606" i="1"/>
  <c r="BI606" i="1" s="1"/>
  <c r="AR606" i="1"/>
  <c r="BK606" i="1" s="1"/>
  <c r="AK656" i="1"/>
  <c r="BD656" i="1" s="1"/>
  <c r="AL656" i="1"/>
  <c r="BE656" i="1" s="1"/>
  <c r="AN656" i="1"/>
  <c r="BG656" i="1" s="1"/>
  <c r="AO656" i="1"/>
  <c r="BH656" i="1" s="1"/>
  <c r="AJ656" i="1"/>
  <c r="BC656" i="1" s="1"/>
  <c r="AM656" i="1"/>
  <c r="BF656" i="1" s="1"/>
  <c r="AP656" i="1"/>
  <c r="BI656" i="1" s="1"/>
  <c r="AQ656" i="1"/>
  <c r="BJ656" i="1" s="1"/>
  <c r="AI656" i="1"/>
  <c r="AR656" i="1"/>
  <c r="BK656" i="1" s="1"/>
  <c r="AK635" i="1"/>
  <c r="BD635" i="1" s="1"/>
  <c r="AM635" i="1"/>
  <c r="BF635" i="1" s="1"/>
  <c r="AI635" i="1"/>
  <c r="AN635" i="1"/>
  <c r="BG635" i="1" s="1"/>
  <c r="AQ635" i="1"/>
  <c r="BJ635" i="1" s="1"/>
  <c r="AL635" i="1"/>
  <c r="BE635" i="1" s="1"/>
  <c r="AR635" i="1"/>
  <c r="BK635" i="1" s="1"/>
  <c r="AO635" i="1"/>
  <c r="BH635" i="1" s="1"/>
  <c r="AP635" i="1"/>
  <c r="BI635" i="1" s="1"/>
  <c r="AJ635" i="1"/>
  <c r="BC635" i="1" s="1"/>
  <c r="AK659" i="1"/>
  <c r="BD659" i="1" s="1"/>
  <c r="AI659" i="1"/>
  <c r="AQ659" i="1"/>
  <c r="BJ659" i="1" s="1"/>
  <c r="AJ659" i="1"/>
  <c r="BC659" i="1" s="1"/>
  <c r="AR659" i="1"/>
  <c r="BK659" i="1" s="1"/>
  <c r="AL659" i="1"/>
  <c r="BE659" i="1" s="1"/>
  <c r="AP659" i="1"/>
  <c r="BI659" i="1" s="1"/>
  <c r="AM659" i="1"/>
  <c r="BF659" i="1" s="1"/>
  <c r="AN659" i="1"/>
  <c r="BG659" i="1" s="1"/>
  <c r="AO659" i="1"/>
  <c r="BH659" i="1" s="1"/>
  <c r="AI602" i="1"/>
  <c r="AM602" i="1"/>
  <c r="BF602" i="1" s="1"/>
  <c r="AL602" i="1"/>
  <c r="BE602" i="1" s="1"/>
  <c r="AJ602" i="1"/>
  <c r="BC602" i="1" s="1"/>
  <c r="AK602" i="1"/>
  <c r="BD602" i="1" s="1"/>
  <c r="AR602" i="1"/>
  <c r="BK602" i="1" s="1"/>
  <c r="AN602" i="1"/>
  <c r="BG602" i="1" s="1"/>
  <c r="AO602" i="1"/>
  <c r="BH602" i="1" s="1"/>
  <c r="AP602" i="1"/>
  <c r="BI602" i="1" s="1"/>
  <c r="AQ602" i="1"/>
  <c r="BJ602" i="1" s="1"/>
  <c r="AL605" i="1"/>
  <c r="BE605" i="1" s="1"/>
  <c r="AK605" i="1"/>
  <c r="BD605" i="1" s="1"/>
  <c r="AI605" i="1"/>
  <c r="AO605" i="1"/>
  <c r="BH605" i="1" s="1"/>
  <c r="AJ605" i="1"/>
  <c r="BC605" i="1" s="1"/>
  <c r="AP605" i="1"/>
  <c r="BI605" i="1" s="1"/>
  <c r="AQ605" i="1"/>
  <c r="BJ605" i="1" s="1"/>
  <c r="AM605" i="1"/>
  <c r="BF605" i="1" s="1"/>
  <c r="AR605" i="1"/>
  <c r="BK605" i="1" s="1"/>
  <c r="AN605" i="1"/>
  <c r="BG605" i="1" s="1"/>
  <c r="AI638" i="1"/>
  <c r="AK638" i="1"/>
  <c r="BD638" i="1" s="1"/>
  <c r="AM638" i="1"/>
  <c r="BF638" i="1" s="1"/>
  <c r="AJ638" i="1"/>
  <c r="BC638" i="1" s="1"/>
  <c r="AQ638" i="1"/>
  <c r="BJ638" i="1" s="1"/>
  <c r="AL638" i="1"/>
  <c r="BE638" i="1" s="1"/>
  <c r="AR638" i="1"/>
  <c r="BK638" i="1" s="1"/>
  <c r="AN638" i="1"/>
  <c r="BG638" i="1" s="1"/>
  <c r="AP638" i="1"/>
  <c r="BI638" i="1" s="1"/>
  <c r="AO638" i="1"/>
  <c r="BH638" i="1" s="1"/>
  <c r="AI586" i="1"/>
  <c r="AK586" i="1"/>
  <c r="BD586" i="1" s="1"/>
  <c r="AN586" i="1"/>
  <c r="BG586" i="1" s="1"/>
  <c r="AO586" i="1"/>
  <c r="BH586" i="1" s="1"/>
  <c r="AJ586" i="1"/>
  <c r="BC586" i="1" s="1"/>
  <c r="AP586" i="1"/>
  <c r="BI586" i="1" s="1"/>
  <c r="AR586" i="1"/>
  <c r="BK586" i="1" s="1"/>
  <c r="AM586" i="1"/>
  <c r="BF586" i="1" s="1"/>
  <c r="AL586" i="1"/>
  <c r="BE586" i="1" s="1"/>
  <c r="AQ586" i="1"/>
  <c r="BJ586" i="1" s="1"/>
  <c r="AK611" i="1"/>
  <c r="BD611" i="1" s="1"/>
  <c r="AI611" i="1"/>
  <c r="AM611" i="1"/>
  <c r="BF611" i="1" s="1"/>
  <c r="AJ611" i="1"/>
  <c r="BC611" i="1" s="1"/>
  <c r="AN611" i="1"/>
  <c r="BG611" i="1" s="1"/>
  <c r="AQ611" i="1"/>
  <c r="BJ611" i="1" s="1"/>
  <c r="AL611" i="1"/>
  <c r="BE611" i="1" s="1"/>
  <c r="AO611" i="1"/>
  <c r="BH611" i="1" s="1"/>
  <c r="AR611" i="1"/>
  <c r="BK611" i="1" s="1"/>
  <c r="AP611" i="1"/>
  <c r="BI611" i="1" s="1"/>
  <c r="AI578" i="1"/>
  <c r="AL578" i="1"/>
  <c r="BE578" i="1" s="1"/>
  <c r="AJ578" i="1"/>
  <c r="BC578" i="1" s="1"/>
  <c r="AM578" i="1"/>
  <c r="BF578" i="1" s="1"/>
  <c r="AP578" i="1"/>
  <c r="BI578" i="1" s="1"/>
  <c r="AN578" i="1"/>
  <c r="BG578" i="1" s="1"/>
  <c r="AQ578" i="1"/>
  <c r="BJ578" i="1" s="1"/>
  <c r="AR578" i="1"/>
  <c r="BK578" i="1" s="1"/>
  <c r="AK578" i="1"/>
  <c r="BD578" i="1" s="1"/>
  <c r="AO578" i="1"/>
  <c r="BH578" i="1" s="1"/>
  <c r="AI610" i="1"/>
  <c r="AJ610" i="1"/>
  <c r="BC610" i="1" s="1"/>
  <c r="AK610" i="1"/>
  <c r="BD610" i="1" s="1"/>
  <c r="AN610" i="1"/>
  <c r="BG610" i="1" s="1"/>
  <c r="AR610" i="1"/>
  <c r="BK610" i="1" s="1"/>
  <c r="AL610" i="1"/>
  <c r="BE610" i="1" s="1"/>
  <c r="AO610" i="1"/>
  <c r="BH610" i="1" s="1"/>
  <c r="AM610" i="1"/>
  <c r="BF610" i="1" s="1"/>
  <c r="AP610" i="1"/>
  <c r="BI610" i="1" s="1"/>
  <c r="AQ610" i="1"/>
  <c r="BJ610" i="1" s="1"/>
  <c r="AO22" i="1"/>
  <c r="BH22" i="1" s="1"/>
  <c r="BS38" i="1"/>
  <c r="BT62" i="1"/>
  <c r="AM21" i="1"/>
  <c r="BF21" i="1" s="1"/>
  <c r="BR71" i="1"/>
  <c r="BQ71" i="1"/>
  <c r="AI73" i="1"/>
  <c r="BB73" i="1" s="1"/>
  <c r="AL73" i="1"/>
  <c r="BE73" i="1" s="1"/>
  <c r="AL23" i="1"/>
  <c r="BE23" i="1" s="1"/>
  <c r="AL112" i="1"/>
  <c r="BE112" i="1" s="1"/>
  <c r="AP144" i="1"/>
  <c r="BI144" i="1" s="1"/>
  <c r="BP87" i="1"/>
  <c r="AM74" i="1"/>
  <c r="BF74" i="1" s="1"/>
  <c r="BT109" i="1"/>
  <c r="AR95" i="1"/>
  <c r="BK95" i="1" s="1"/>
  <c r="BU86" i="1"/>
  <c r="BS139" i="1"/>
  <c r="AL151" i="1"/>
  <c r="BE151" i="1" s="1"/>
  <c r="BN83" i="1"/>
  <c r="BQ123" i="1"/>
  <c r="AO131" i="1"/>
  <c r="BH131" i="1" s="1"/>
  <c r="AP113" i="1"/>
  <c r="BI113" i="1" s="1"/>
  <c r="AM126" i="1"/>
  <c r="BF126" i="1" s="1"/>
  <c r="BN84" i="1"/>
  <c r="BL74" i="1"/>
  <c r="BO74" i="1"/>
  <c r="AM134" i="1"/>
  <c r="BF134" i="1" s="1"/>
  <c r="AN222" i="1"/>
  <c r="BG222" i="1" s="1"/>
  <c r="BO211" i="1"/>
  <c r="AN176" i="1"/>
  <c r="BG176" i="1" s="1"/>
  <c r="AP161" i="1"/>
  <c r="BI161" i="1" s="1"/>
  <c r="AL161" i="1"/>
  <c r="BE161" i="1" s="1"/>
  <c r="BT172" i="1"/>
  <c r="BT155" i="1"/>
  <c r="AR205" i="1"/>
  <c r="BK205" i="1" s="1"/>
  <c r="AI155" i="1"/>
  <c r="BB155" i="1" s="1"/>
  <c r="AP155" i="1"/>
  <c r="BI155" i="1" s="1"/>
  <c r="AP215" i="1"/>
  <c r="BI215" i="1" s="1"/>
  <c r="AR233" i="1"/>
  <c r="BK233" i="1" s="1"/>
  <c r="AJ233" i="1"/>
  <c r="BC233" i="1" s="1"/>
  <c r="BQ197" i="1"/>
  <c r="BN197" i="1"/>
  <c r="AN216" i="1"/>
  <c r="BG216" i="1" s="1"/>
  <c r="AL191" i="1"/>
  <c r="BE191" i="1" s="1"/>
  <c r="AO191" i="1"/>
  <c r="BH191" i="1" s="1"/>
  <c r="AJ195" i="1"/>
  <c r="BC195" i="1" s="1"/>
  <c r="BM167" i="1"/>
  <c r="AP167" i="1"/>
  <c r="BI167" i="1" s="1"/>
  <c r="AN201" i="1"/>
  <c r="BG201" i="1" s="1"/>
  <c r="BT181" i="1"/>
  <c r="BN186" i="1"/>
  <c r="AP175" i="1"/>
  <c r="BI175" i="1" s="1"/>
  <c r="AI604" i="1"/>
  <c r="AO604" i="1"/>
  <c r="BH604" i="1" s="1"/>
  <c r="AL604" i="1"/>
  <c r="BE604" i="1" s="1"/>
  <c r="AM604" i="1"/>
  <c r="BF604" i="1" s="1"/>
  <c r="AK604" i="1"/>
  <c r="BD604" i="1" s="1"/>
  <c r="AP604" i="1"/>
  <c r="BI604" i="1" s="1"/>
  <c r="AJ604" i="1"/>
  <c r="BC604" i="1" s="1"/>
  <c r="AQ604" i="1"/>
  <c r="BJ604" i="1" s="1"/>
  <c r="AR604" i="1"/>
  <c r="BK604" i="1" s="1"/>
  <c r="AN604" i="1"/>
  <c r="BG604" i="1" s="1"/>
  <c r="AM608" i="1"/>
  <c r="BF608" i="1" s="1"/>
  <c r="AI608" i="1"/>
  <c r="AJ608" i="1"/>
  <c r="BC608" i="1" s="1"/>
  <c r="AK608" i="1"/>
  <c r="BD608" i="1" s="1"/>
  <c r="AO608" i="1"/>
  <c r="BH608" i="1" s="1"/>
  <c r="AL608" i="1"/>
  <c r="BE608" i="1" s="1"/>
  <c r="AP608" i="1"/>
  <c r="BI608" i="1" s="1"/>
  <c r="AQ608" i="1"/>
  <c r="BJ608" i="1" s="1"/>
  <c r="AR608" i="1"/>
  <c r="BK608" i="1" s="1"/>
  <c r="AN608" i="1"/>
  <c r="BG608" i="1" s="1"/>
  <c r="AI655" i="1"/>
  <c r="AM655" i="1"/>
  <c r="BF655" i="1" s="1"/>
  <c r="AL655" i="1"/>
  <c r="BE655" i="1" s="1"/>
  <c r="AK655" i="1"/>
  <c r="BD655" i="1" s="1"/>
  <c r="AP655" i="1"/>
  <c r="BI655" i="1" s="1"/>
  <c r="AO655" i="1"/>
  <c r="BH655" i="1" s="1"/>
  <c r="AJ655" i="1"/>
  <c r="BC655" i="1" s="1"/>
  <c r="AQ655" i="1"/>
  <c r="BJ655" i="1" s="1"/>
  <c r="AN655" i="1"/>
  <c r="BG655" i="1" s="1"/>
  <c r="AR655" i="1"/>
  <c r="BK655" i="1" s="1"/>
  <c r="AI566" i="1"/>
  <c r="AJ566" i="1"/>
  <c r="BC566" i="1" s="1"/>
  <c r="AL566" i="1"/>
  <c r="BE566" i="1" s="1"/>
  <c r="AM566" i="1"/>
  <c r="BF566" i="1" s="1"/>
  <c r="AO566" i="1"/>
  <c r="BH566" i="1" s="1"/>
  <c r="AN566" i="1"/>
  <c r="BG566" i="1" s="1"/>
  <c r="AQ566" i="1"/>
  <c r="BJ566" i="1" s="1"/>
  <c r="AR566" i="1"/>
  <c r="BK566" i="1" s="1"/>
  <c r="AK566" i="1"/>
  <c r="BD566" i="1" s="1"/>
  <c r="AP566" i="1"/>
  <c r="BI566" i="1" s="1"/>
  <c r="AK651" i="1"/>
  <c r="BD651" i="1" s="1"/>
  <c r="AJ651" i="1"/>
  <c r="BC651" i="1" s="1"/>
  <c r="AM651" i="1"/>
  <c r="BF651" i="1" s="1"/>
  <c r="AQ651" i="1"/>
  <c r="BJ651" i="1" s="1"/>
  <c r="AI651" i="1"/>
  <c r="AL651" i="1"/>
  <c r="BE651" i="1" s="1"/>
  <c r="AR651" i="1"/>
  <c r="BK651" i="1" s="1"/>
  <c r="AN651" i="1"/>
  <c r="BG651" i="1" s="1"/>
  <c r="AO651" i="1"/>
  <c r="BH651" i="1" s="1"/>
  <c r="AP651" i="1"/>
  <c r="BI651" i="1" s="1"/>
  <c r="AK595" i="1"/>
  <c r="BD595" i="1" s="1"/>
  <c r="AI595" i="1"/>
  <c r="AJ595" i="1"/>
  <c r="BC595" i="1" s="1"/>
  <c r="AN595" i="1"/>
  <c r="BG595" i="1" s="1"/>
  <c r="AL595" i="1"/>
  <c r="BE595" i="1" s="1"/>
  <c r="AQ595" i="1"/>
  <c r="BJ595" i="1" s="1"/>
  <c r="AM595" i="1"/>
  <c r="BF595" i="1" s="1"/>
  <c r="AR595" i="1"/>
  <c r="BK595" i="1" s="1"/>
  <c r="AP595" i="1"/>
  <c r="BI595" i="1" s="1"/>
  <c r="AO595" i="1"/>
  <c r="BH595" i="1" s="1"/>
  <c r="AJ625" i="1"/>
  <c r="BC625" i="1" s="1"/>
  <c r="AN625" i="1"/>
  <c r="BG625" i="1" s="1"/>
  <c r="AI625" i="1"/>
  <c r="AQ625" i="1"/>
  <c r="BJ625" i="1" s="1"/>
  <c r="AP625" i="1"/>
  <c r="BI625" i="1" s="1"/>
  <c r="AK625" i="1"/>
  <c r="BD625" i="1" s="1"/>
  <c r="AO625" i="1"/>
  <c r="BH625" i="1" s="1"/>
  <c r="AM625" i="1"/>
  <c r="BF625" i="1" s="1"/>
  <c r="AL625" i="1"/>
  <c r="BE625" i="1" s="1"/>
  <c r="AR625" i="1"/>
  <c r="BK625" i="1" s="1"/>
  <c r="AK614" i="1"/>
  <c r="BD614" i="1" s="1"/>
  <c r="AJ614" i="1"/>
  <c r="BC614" i="1" s="1"/>
  <c r="AM614" i="1"/>
  <c r="BF614" i="1" s="1"/>
  <c r="AI614" i="1"/>
  <c r="AN614" i="1"/>
  <c r="BG614" i="1" s="1"/>
  <c r="AQ614" i="1"/>
  <c r="BJ614" i="1" s="1"/>
  <c r="AL614" i="1"/>
  <c r="BE614" i="1" s="1"/>
  <c r="AO614" i="1"/>
  <c r="BH614" i="1" s="1"/>
  <c r="AR614" i="1"/>
  <c r="BK614" i="1" s="1"/>
  <c r="AP614" i="1"/>
  <c r="BI614" i="1" s="1"/>
  <c r="AN654" i="1"/>
  <c r="BG654" i="1" s="1"/>
  <c r="AJ654" i="1"/>
  <c r="BC654" i="1" s="1"/>
  <c r="AI654" i="1"/>
  <c r="AQ654" i="1"/>
  <c r="BJ654" i="1" s="1"/>
  <c r="AP654" i="1"/>
  <c r="BI654" i="1" s="1"/>
  <c r="AK654" i="1"/>
  <c r="BD654" i="1" s="1"/>
  <c r="AL654" i="1"/>
  <c r="BE654" i="1" s="1"/>
  <c r="AM654" i="1"/>
  <c r="BF654" i="1" s="1"/>
  <c r="AR654" i="1"/>
  <c r="BK654" i="1" s="1"/>
  <c r="AO654" i="1"/>
  <c r="BH654" i="1" s="1"/>
  <c r="AL636" i="1"/>
  <c r="BE636" i="1" s="1"/>
  <c r="AO636" i="1"/>
  <c r="BH636" i="1" s="1"/>
  <c r="AJ636" i="1"/>
  <c r="BC636" i="1" s="1"/>
  <c r="AM636" i="1"/>
  <c r="BF636" i="1" s="1"/>
  <c r="AK636" i="1"/>
  <c r="BD636" i="1" s="1"/>
  <c r="AN636" i="1"/>
  <c r="BG636" i="1" s="1"/>
  <c r="AI636" i="1"/>
  <c r="AP636" i="1"/>
  <c r="BI636" i="1" s="1"/>
  <c r="AR636" i="1"/>
  <c r="BK636" i="1" s="1"/>
  <c r="AQ636" i="1"/>
  <c r="BJ636" i="1" s="1"/>
  <c r="AM626" i="1"/>
  <c r="BF626" i="1" s="1"/>
  <c r="AI626" i="1"/>
  <c r="AJ626" i="1"/>
  <c r="BC626" i="1" s="1"/>
  <c r="AO626" i="1"/>
  <c r="BH626" i="1" s="1"/>
  <c r="AL626" i="1"/>
  <c r="BE626" i="1" s="1"/>
  <c r="AR626" i="1"/>
  <c r="BK626" i="1" s="1"/>
  <c r="AN626" i="1"/>
  <c r="BG626" i="1" s="1"/>
  <c r="AK626" i="1"/>
  <c r="BD626" i="1" s="1"/>
  <c r="AP626" i="1"/>
  <c r="BI626" i="1" s="1"/>
  <c r="AQ626" i="1"/>
  <c r="BJ626" i="1" s="1"/>
  <c r="AL597" i="1"/>
  <c r="BE597" i="1" s="1"/>
  <c r="AN597" i="1"/>
  <c r="BG597" i="1" s="1"/>
  <c r="AJ597" i="1"/>
  <c r="BC597" i="1" s="1"/>
  <c r="AK597" i="1"/>
  <c r="BD597" i="1" s="1"/>
  <c r="AO597" i="1"/>
  <c r="BH597" i="1" s="1"/>
  <c r="AM597" i="1"/>
  <c r="BF597" i="1" s="1"/>
  <c r="AR597" i="1"/>
  <c r="BK597" i="1" s="1"/>
  <c r="AP597" i="1"/>
  <c r="BI597" i="1" s="1"/>
  <c r="AQ597" i="1"/>
  <c r="BJ597" i="1" s="1"/>
  <c r="AI597" i="1"/>
  <c r="AJ609" i="1"/>
  <c r="BC609" i="1" s="1"/>
  <c r="AN609" i="1"/>
  <c r="BG609" i="1" s="1"/>
  <c r="AL609" i="1"/>
  <c r="BE609" i="1" s="1"/>
  <c r="AQ609" i="1"/>
  <c r="BJ609" i="1" s="1"/>
  <c r="AK609" i="1"/>
  <c r="BD609" i="1" s="1"/>
  <c r="AI609" i="1"/>
  <c r="AP609" i="1"/>
  <c r="BI609" i="1" s="1"/>
  <c r="AO609" i="1"/>
  <c r="BH609" i="1" s="1"/>
  <c r="AM609" i="1"/>
  <c r="BF609" i="1" s="1"/>
  <c r="AR609" i="1"/>
  <c r="BK609" i="1" s="1"/>
  <c r="AO73" i="1"/>
  <c r="BH73" i="1" s="1"/>
  <c r="AM22" i="1"/>
  <c r="BF22" i="1" s="1"/>
  <c r="BM38" i="1"/>
  <c r="BR62" i="1"/>
  <c r="AI21" i="1"/>
  <c r="BB21" i="1" s="1"/>
  <c r="BP71" i="1"/>
  <c r="BL71" i="1"/>
  <c r="AJ73" i="1"/>
  <c r="BC73" i="1" s="1"/>
  <c r="AQ23" i="1"/>
  <c r="BJ23" i="1" s="1"/>
  <c r="AM23" i="1"/>
  <c r="BF23" i="1" s="1"/>
  <c r="AN112" i="1"/>
  <c r="BG112" i="1" s="1"/>
  <c r="AM144" i="1"/>
  <c r="BF144" i="1" s="1"/>
  <c r="BL87" i="1"/>
  <c r="AN74" i="1"/>
  <c r="BG74" i="1" s="1"/>
  <c r="BP109" i="1"/>
  <c r="AP95" i="1"/>
  <c r="BI95" i="1" s="1"/>
  <c r="BN86" i="1"/>
  <c r="BQ86" i="1"/>
  <c r="BO139" i="1"/>
  <c r="AK151" i="1"/>
  <c r="BD151" i="1" s="1"/>
  <c r="BS83" i="1"/>
  <c r="BR123" i="1"/>
  <c r="AK131" i="1"/>
  <c r="BD131" i="1" s="1"/>
  <c r="AR113" i="1"/>
  <c r="BK113" i="1" s="1"/>
  <c r="AI126" i="1"/>
  <c r="BB126" i="1" s="1"/>
  <c r="BS84" i="1"/>
  <c r="BP74" i="1"/>
  <c r="AI134" i="1"/>
  <c r="BB134" i="1" s="1"/>
  <c r="AM222" i="1"/>
  <c r="BF222" i="1" s="1"/>
  <c r="BN211" i="1"/>
  <c r="AL176" i="1"/>
  <c r="BE176" i="1" s="1"/>
  <c r="AR161" i="1"/>
  <c r="BK161" i="1" s="1"/>
  <c r="AJ161" i="1"/>
  <c r="BC161" i="1" s="1"/>
  <c r="BU172" i="1"/>
  <c r="BR172" i="1"/>
  <c r="BR155" i="1"/>
  <c r="AP205" i="1"/>
  <c r="BI205" i="1" s="1"/>
  <c r="AO155" i="1"/>
  <c r="BH155" i="1" s="1"/>
  <c r="AM155" i="1"/>
  <c r="BF155" i="1" s="1"/>
  <c r="AO215" i="1"/>
  <c r="BH215" i="1" s="1"/>
  <c r="AQ233" i="1"/>
  <c r="BJ233" i="1" s="1"/>
  <c r="AI233" i="1"/>
  <c r="BB233" i="1" s="1"/>
  <c r="BM197" i="1"/>
  <c r="BL197" i="1"/>
  <c r="AM216" i="1"/>
  <c r="BF216" i="1" s="1"/>
  <c r="AR191" i="1"/>
  <c r="BK191" i="1" s="1"/>
  <c r="AK191" i="1"/>
  <c r="BD191" i="1" s="1"/>
  <c r="AQ195" i="1"/>
  <c r="BJ195" i="1" s="1"/>
  <c r="BU167" i="1"/>
  <c r="AJ167" i="1"/>
  <c r="BC167" i="1" s="1"/>
  <c r="AR201" i="1"/>
  <c r="BK201" i="1" s="1"/>
  <c r="AL201" i="1"/>
  <c r="BE201" i="1" s="1"/>
  <c r="BR181" i="1"/>
  <c r="BM186" i="1"/>
  <c r="AN175" i="1"/>
  <c r="BG175" i="1" s="1"/>
  <c r="AL661" i="1"/>
  <c r="BE661" i="1" s="1"/>
  <c r="AJ661" i="1"/>
  <c r="BC661" i="1" s="1"/>
  <c r="AN661" i="1"/>
  <c r="BG661" i="1" s="1"/>
  <c r="AI661" i="1"/>
  <c r="AO661" i="1"/>
  <c r="BH661" i="1" s="1"/>
  <c r="AK661" i="1"/>
  <c r="BD661" i="1" s="1"/>
  <c r="AR661" i="1"/>
  <c r="BK661" i="1" s="1"/>
  <c r="AP661" i="1"/>
  <c r="BI661" i="1" s="1"/>
  <c r="AQ661" i="1"/>
  <c r="BJ661" i="1" s="1"/>
  <c r="AM661" i="1"/>
  <c r="BF661" i="1" s="1"/>
  <c r="AJ617" i="1"/>
  <c r="BC617" i="1" s="1"/>
  <c r="AN617" i="1"/>
  <c r="BG617" i="1" s="1"/>
  <c r="AM617" i="1"/>
  <c r="BF617" i="1" s="1"/>
  <c r="AI617" i="1"/>
  <c r="AQ617" i="1"/>
  <c r="BJ617" i="1" s="1"/>
  <c r="AP617" i="1"/>
  <c r="BI617" i="1" s="1"/>
  <c r="AK617" i="1"/>
  <c r="BD617" i="1" s="1"/>
  <c r="AL617" i="1"/>
  <c r="BE617" i="1" s="1"/>
  <c r="AO617" i="1"/>
  <c r="BH617" i="1" s="1"/>
  <c r="AR617" i="1"/>
  <c r="BK617" i="1" s="1"/>
  <c r="AI591" i="1"/>
  <c r="AM591" i="1"/>
  <c r="BF591" i="1" s="1"/>
  <c r="AJ591" i="1"/>
  <c r="BC591" i="1" s="1"/>
  <c r="AL591" i="1"/>
  <c r="BE591" i="1" s="1"/>
  <c r="AN591" i="1"/>
  <c r="BG591" i="1" s="1"/>
  <c r="AO591" i="1"/>
  <c r="BH591" i="1" s="1"/>
  <c r="AP591" i="1"/>
  <c r="BI591" i="1" s="1"/>
  <c r="AK591" i="1"/>
  <c r="BD591" i="1" s="1"/>
  <c r="AQ591" i="1"/>
  <c r="BJ591" i="1" s="1"/>
  <c r="AR591" i="1"/>
  <c r="BK591" i="1" s="1"/>
  <c r="AI583" i="1"/>
  <c r="AM583" i="1"/>
  <c r="BF583" i="1" s="1"/>
  <c r="AJ583" i="1"/>
  <c r="BC583" i="1" s="1"/>
  <c r="AK583" i="1"/>
  <c r="BD583" i="1" s="1"/>
  <c r="AO583" i="1"/>
  <c r="BH583" i="1" s="1"/>
  <c r="AN583" i="1"/>
  <c r="BG583" i="1" s="1"/>
  <c r="AP583" i="1"/>
  <c r="BI583" i="1" s="1"/>
  <c r="AL583" i="1"/>
  <c r="BE583" i="1" s="1"/>
  <c r="AQ583" i="1"/>
  <c r="BJ583" i="1" s="1"/>
  <c r="AR583" i="1"/>
  <c r="BK583" i="1" s="1"/>
  <c r="AI650" i="1"/>
  <c r="AN650" i="1"/>
  <c r="BG650" i="1" s="1"/>
  <c r="AK650" i="1"/>
  <c r="BD650" i="1" s="1"/>
  <c r="AJ650" i="1"/>
  <c r="BC650" i="1" s="1"/>
  <c r="AO650" i="1"/>
  <c r="BH650" i="1" s="1"/>
  <c r="AR650" i="1"/>
  <c r="BK650" i="1" s="1"/>
  <c r="AM650" i="1"/>
  <c r="BF650" i="1" s="1"/>
  <c r="AP650" i="1"/>
  <c r="BI650" i="1" s="1"/>
  <c r="AQ650" i="1"/>
  <c r="BJ650" i="1" s="1"/>
  <c r="AL650" i="1"/>
  <c r="BE650" i="1" s="1"/>
  <c r="AO628" i="1"/>
  <c r="BH628" i="1" s="1"/>
  <c r="AN628" i="1"/>
  <c r="BG628" i="1" s="1"/>
  <c r="AL628" i="1"/>
  <c r="BE628" i="1" s="1"/>
  <c r="AI628" i="1"/>
  <c r="AJ628" i="1"/>
  <c r="BC628" i="1" s="1"/>
  <c r="AM628" i="1"/>
  <c r="BF628" i="1" s="1"/>
  <c r="AK628" i="1"/>
  <c r="BD628" i="1" s="1"/>
  <c r="AP628" i="1"/>
  <c r="BI628" i="1" s="1"/>
  <c r="AR628" i="1"/>
  <c r="BK628" i="1" s="1"/>
  <c r="AQ628" i="1"/>
  <c r="BJ628" i="1" s="1"/>
  <c r="AN642" i="1"/>
  <c r="BG642" i="1" s="1"/>
  <c r="AI642" i="1"/>
  <c r="AJ642" i="1"/>
  <c r="BC642" i="1" s="1"/>
  <c r="AO642" i="1"/>
  <c r="BH642" i="1" s="1"/>
  <c r="AP642" i="1"/>
  <c r="BI642" i="1" s="1"/>
  <c r="AQ642" i="1"/>
  <c r="BJ642" i="1" s="1"/>
  <c r="AR642" i="1"/>
  <c r="BK642" i="1" s="1"/>
  <c r="AM642" i="1"/>
  <c r="BF642" i="1" s="1"/>
  <c r="AL642" i="1"/>
  <c r="BE642" i="1" s="1"/>
  <c r="AK642" i="1"/>
  <c r="BD642" i="1" s="1"/>
  <c r="AK667" i="1"/>
  <c r="BD667" i="1" s="1"/>
  <c r="AI667" i="1"/>
  <c r="AJ667" i="1"/>
  <c r="BC667" i="1" s="1"/>
  <c r="AL667" i="1"/>
  <c r="BE667" i="1" s="1"/>
  <c r="AN667" i="1"/>
  <c r="BG667" i="1" s="1"/>
  <c r="AQ667" i="1"/>
  <c r="BJ667" i="1" s="1"/>
  <c r="AP667" i="1"/>
  <c r="BI667" i="1" s="1"/>
  <c r="AR667" i="1"/>
  <c r="BK667" i="1" s="1"/>
  <c r="AO667" i="1"/>
  <c r="BH667" i="1" s="1"/>
  <c r="AM667" i="1"/>
  <c r="BF667" i="1" s="1"/>
  <c r="AI615" i="1"/>
  <c r="AM615" i="1"/>
  <c r="BF615" i="1" s="1"/>
  <c r="AN615" i="1"/>
  <c r="BG615" i="1" s="1"/>
  <c r="AJ615" i="1"/>
  <c r="BC615" i="1" s="1"/>
  <c r="AO615" i="1"/>
  <c r="BH615" i="1" s="1"/>
  <c r="AP615" i="1"/>
  <c r="BI615" i="1" s="1"/>
  <c r="AK615" i="1"/>
  <c r="BD615" i="1" s="1"/>
  <c r="AL615" i="1"/>
  <c r="BE615" i="1" s="1"/>
  <c r="AQ615" i="1"/>
  <c r="BJ615" i="1" s="1"/>
  <c r="AR615" i="1"/>
  <c r="BK615" i="1" s="1"/>
  <c r="AL589" i="1"/>
  <c r="BE589" i="1" s="1"/>
  <c r="AM589" i="1"/>
  <c r="BF589" i="1" s="1"/>
  <c r="AI589" i="1"/>
  <c r="AK589" i="1"/>
  <c r="BD589" i="1" s="1"/>
  <c r="AJ589" i="1"/>
  <c r="BC589" i="1" s="1"/>
  <c r="AO589" i="1"/>
  <c r="BH589" i="1" s="1"/>
  <c r="AR589" i="1"/>
  <c r="BK589" i="1" s="1"/>
  <c r="AN589" i="1"/>
  <c r="BG589" i="1" s="1"/>
  <c r="AP589" i="1"/>
  <c r="BI589" i="1" s="1"/>
  <c r="AQ589" i="1"/>
  <c r="BJ589" i="1" s="1"/>
  <c r="AK603" i="1"/>
  <c r="BD603" i="1" s="1"/>
  <c r="AI603" i="1"/>
  <c r="AJ603" i="1"/>
  <c r="BC603" i="1" s="1"/>
  <c r="AL603" i="1"/>
  <c r="BE603" i="1" s="1"/>
  <c r="AM603" i="1"/>
  <c r="BF603" i="1" s="1"/>
  <c r="AQ603" i="1"/>
  <c r="BJ603" i="1" s="1"/>
  <c r="AN603" i="1"/>
  <c r="BG603" i="1" s="1"/>
  <c r="AO603" i="1"/>
  <c r="BH603" i="1" s="1"/>
  <c r="AP603" i="1"/>
  <c r="BI603" i="1" s="1"/>
  <c r="AR603" i="1"/>
  <c r="BK603" i="1" s="1"/>
  <c r="AL573" i="1"/>
  <c r="BE573" i="1" s="1"/>
  <c r="AI573" i="1"/>
  <c r="AJ573" i="1"/>
  <c r="BC573" i="1" s="1"/>
  <c r="AN573" i="1"/>
  <c r="BG573" i="1" s="1"/>
  <c r="AO573" i="1"/>
  <c r="BH573" i="1" s="1"/>
  <c r="AK573" i="1"/>
  <c r="BD573" i="1" s="1"/>
  <c r="AR573" i="1"/>
  <c r="BK573" i="1" s="1"/>
  <c r="AM573" i="1"/>
  <c r="BF573" i="1" s="1"/>
  <c r="AQ573" i="1"/>
  <c r="BJ573" i="1" s="1"/>
  <c r="AP573" i="1"/>
  <c r="BI573" i="1" s="1"/>
  <c r="AL618" i="1"/>
  <c r="BE618" i="1" s="1"/>
  <c r="AK618" i="1"/>
  <c r="BD618" i="1" s="1"/>
  <c r="AO618" i="1"/>
  <c r="BH618" i="1" s="1"/>
  <c r="AI618" i="1"/>
  <c r="AN618" i="1"/>
  <c r="BG618" i="1" s="1"/>
  <c r="AR618" i="1"/>
  <c r="BK618" i="1" s="1"/>
  <c r="AP618" i="1"/>
  <c r="BI618" i="1" s="1"/>
  <c r="AQ618" i="1"/>
  <c r="BJ618" i="1" s="1"/>
  <c r="AJ618" i="1"/>
  <c r="BC618" i="1" s="1"/>
  <c r="AM618" i="1"/>
  <c r="BF618" i="1" s="1"/>
  <c r="AQ22" i="1"/>
  <c r="BJ22" i="1" s="1"/>
  <c r="BT38" i="1"/>
  <c r="BP38" i="1"/>
  <c r="BS62" i="1"/>
  <c r="AQ21" i="1"/>
  <c r="BJ21" i="1" s="1"/>
  <c r="BU71" i="1"/>
  <c r="AP73" i="1"/>
  <c r="BI73" i="1" s="1"/>
  <c r="AI23" i="1"/>
  <c r="BB23" i="1" s="1"/>
  <c r="AJ23" i="1"/>
  <c r="BC23" i="1" s="1"/>
  <c r="AJ112" i="1"/>
  <c r="BC112" i="1" s="1"/>
  <c r="AN144" i="1"/>
  <c r="BG144" i="1" s="1"/>
  <c r="BU87" i="1"/>
  <c r="AJ74" i="1"/>
  <c r="BC74" i="1" s="1"/>
  <c r="BL109" i="1"/>
  <c r="AO95" i="1"/>
  <c r="BH95" i="1" s="1"/>
  <c r="BR86" i="1"/>
  <c r="BM86" i="1"/>
  <c r="BT139" i="1"/>
  <c r="AP151" i="1"/>
  <c r="BI151" i="1" s="1"/>
  <c r="AN151" i="1"/>
  <c r="BG151" i="1" s="1"/>
  <c r="BO83" i="1"/>
  <c r="BN123" i="1"/>
  <c r="AJ131" i="1"/>
  <c r="BC131" i="1" s="1"/>
  <c r="AL113" i="1"/>
  <c r="BE113" i="1" s="1"/>
  <c r="AO113" i="1"/>
  <c r="BH113" i="1" s="1"/>
  <c r="AO126" i="1"/>
  <c r="BH126" i="1" s="1"/>
  <c r="AN126" i="1"/>
  <c r="BG126" i="1" s="1"/>
  <c r="BO84" i="1"/>
  <c r="BU74" i="1"/>
  <c r="AL134" i="1"/>
  <c r="BE134" i="1" s="1"/>
  <c r="AN134" i="1"/>
  <c r="BG134" i="1" s="1"/>
  <c r="AL222" i="1"/>
  <c r="BE222" i="1" s="1"/>
  <c r="BT211" i="1"/>
  <c r="AJ176" i="1"/>
  <c r="BC176" i="1" s="1"/>
  <c r="AK161" i="1"/>
  <c r="BD161" i="1" s="1"/>
  <c r="BS172" i="1"/>
  <c r="BP172" i="1"/>
  <c r="BP155" i="1"/>
  <c r="AL205" i="1"/>
  <c r="BE205" i="1" s="1"/>
  <c r="AL155" i="1"/>
  <c r="BE155" i="1" s="1"/>
  <c r="AN215" i="1"/>
  <c r="BG215" i="1" s="1"/>
  <c r="AP233" i="1"/>
  <c r="BI233" i="1" s="1"/>
  <c r="BS197" i="1"/>
  <c r="AL216" i="1"/>
  <c r="BE216" i="1" s="1"/>
  <c r="AI191" i="1"/>
  <c r="AO195" i="1"/>
  <c r="BH195" i="1" s="1"/>
  <c r="BN167" i="1"/>
  <c r="BS167" i="1"/>
  <c r="AO167" i="1"/>
  <c r="BH167" i="1" s="1"/>
  <c r="AK201" i="1"/>
  <c r="BD201" i="1" s="1"/>
  <c r="AJ201" i="1"/>
  <c r="BC201" i="1" s="1"/>
  <c r="BP181" i="1"/>
  <c r="BT186" i="1"/>
  <c r="AL175" i="1"/>
  <c r="BE175" i="1" s="1"/>
  <c r="AJ665" i="1"/>
  <c r="BC665" i="1" s="1"/>
  <c r="AK665" i="1"/>
  <c r="BD665" i="1" s="1"/>
  <c r="AL665" i="1"/>
  <c r="BE665" i="1" s="1"/>
  <c r="AQ665" i="1"/>
  <c r="BJ665" i="1" s="1"/>
  <c r="AI665" i="1"/>
  <c r="AP665" i="1"/>
  <c r="BI665" i="1" s="1"/>
  <c r="AM665" i="1"/>
  <c r="BF665" i="1" s="1"/>
  <c r="AN665" i="1"/>
  <c r="BG665" i="1" s="1"/>
  <c r="AO665" i="1"/>
  <c r="BH665" i="1" s="1"/>
  <c r="AR665" i="1"/>
  <c r="BK665" i="1" s="1"/>
  <c r="AI576" i="1"/>
  <c r="AL576" i="1"/>
  <c r="BE576" i="1" s="1"/>
  <c r="AJ576" i="1"/>
  <c r="BC576" i="1" s="1"/>
  <c r="AM576" i="1"/>
  <c r="BF576" i="1" s="1"/>
  <c r="AO576" i="1"/>
  <c r="BH576" i="1" s="1"/>
  <c r="AK576" i="1"/>
  <c r="BD576" i="1" s="1"/>
  <c r="AR576" i="1"/>
  <c r="BK576" i="1" s="1"/>
  <c r="AP576" i="1"/>
  <c r="BI576" i="1" s="1"/>
  <c r="AN576" i="1"/>
  <c r="BG576" i="1" s="1"/>
  <c r="AQ576" i="1"/>
  <c r="BJ576" i="1" s="1"/>
  <c r="AL590" i="1"/>
  <c r="BE590" i="1" s="1"/>
  <c r="AM590" i="1"/>
  <c r="BF590" i="1" s="1"/>
  <c r="AN590" i="1"/>
  <c r="BG590" i="1" s="1"/>
  <c r="AO590" i="1"/>
  <c r="BH590" i="1" s="1"/>
  <c r="AQ590" i="1"/>
  <c r="BJ590" i="1" s="1"/>
  <c r="AP590" i="1"/>
  <c r="BI590" i="1" s="1"/>
  <c r="AI590" i="1"/>
  <c r="AR590" i="1"/>
  <c r="BK590" i="1" s="1"/>
  <c r="AK590" i="1"/>
  <c r="BD590" i="1" s="1"/>
  <c r="AJ590" i="1"/>
  <c r="BC590" i="1" s="1"/>
  <c r="AL572" i="1"/>
  <c r="BE572" i="1" s="1"/>
  <c r="AO572" i="1"/>
  <c r="BH572" i="1" s="1"/>
  <c r="AK572" i="1"/>
  <c r="BD572" i="1" s="1"/>
  <c r="AP572" i="1"/>
  <c r="BI572" i="1" s="1"/>
  <c r="AN572" i="1"/>
  <c r="BG572" i="1" s="1"/>
  <c r="AI572" i="1"/>
  <c r="AQ572" i="1"/>
  <c r="BJ572" i="1" s="1"/>
  <c r="AJ572" i="1"/>
  <c r="BC572" i="1" s="1"/>
  <c r="AR572" i="1"/>
  <c r="BK572" i="1" s="1"/>
  <c r="AM572" i="1"/>
  <c r="BF572" i="1" s="1"/>
  <c r="AI658" i="1"/>
  <c r="AJ658" i="1"/>
  <c r="BC658" i="1" s="1"/>
  <c r="AN658" i="1"/>
  <c r="BG658" i="1" s="1"/>
  <c r="AL658" i="1"/>
  <c r="BE658" i="1" s="1"/>
  <c r="AK658" i="1"/>
  <c r="BD658" i="1" s="1"/>
  <c r="AO658" i="1"/>
  <c r="BH658" i="1" s="1"/>
  <c r="AR658" i="1"/>
  <c r="BK658" i="1" s="1"/>
  <c r="AP658" i="1"/>
  <c r="BI658" i="1" s="1"/>
  <c r="AQ658" i="1"/>
  <c r="BJ658" i="1" s="1"/>
  <c r="AM658" i="1"/>
  <c r="BF658" i="1" s="1"/>
  <c r="AL653" i="1"/>
  <c r="BE653" i="1" s="1"/>
  <c r="AM653" i="1"/>
  <c r="BF653" i="1" s="1"/>
  <c r="AI653" i="1"/>
  <c r="AN653" i="1"/>
  <c r="BG653" i="1" s="1"/>
  <c r="AO653" i="1"/>
  <c r="BH653" i="1" s="1"/>
  <c r="AJ653" i="1"/>
  <c r="BC653" i="1" s="1"/>
  <c r="AK653" i="1"/>
  <c r="BD653" i="1" s="1"/>
  <c r="AR653" i="1"/>
  <c r="BK653" i="1" s="1"/>
  <c r="AP653" i="1"/>
  <c r="BI653" i="1" s="1"/>
  <c r="AQ653" i="1"/>
  <c r="BJ653" i="1" s="1"/>
  <c r="AJ641" i="1"/>
  <c r="BC641" i="1" s="1"/>
  <c r="AI641" i="1"/>
  <c r="AK641" i="1"/>
  <c r="BD641" i="1" s="1"/>
  <c r="AL641" i="1"/>
  <c r="BE641" i="1" s="1"/>
  <c r="AQ641" i="1"/>
  <c r="BJ641" i="1" s="1"/>
  <c r="AP641" i="1"/>
  <c r="BI641" i="1" s="1"/>
  <c r="AM641" i="1"/>
  <c r="BF641" i="1" s="1"/>
  <c r="AN641" i="1"/>
  <c r="BG641" i="1" s="1"/>
  <c r="AO641" i="1"/>
  <c r="BH641" i="1" s="1"/>
  <c r="AR641" i="1"/>
  <c r="BK641" i="1" s="1"/>
  <c r="AL645" i="1"/>
  <c r="BE645" i="1" s="1"/>
  <c r="AN645" i="1"/>
  <c r="BG645" i="1" s="1"/>
  <c r="AK645" i="1"/>
  <c r="BD645" i="1" s="1"/>
  <c r="AO645" i="1"/>
  <c r="BH645" i="1" s="1"/>
  <c r="AI645" i="1"/>
  <c r="AJ645" i="1"/>
  <c r="BC645" i="1" s="1"/>
  <c r="AP645" i="1"/>
  <c r="BI645" i="1" s="1"/>
  <c r="AQ645" i="1"/>
  <c r="BJ645" i="1" s="1"/>
  <c r="AR645" i="1"/>
  <c r="BK645" i="1" s="1"/>
  <c r="AM645" i="1"/>
  <c r="BF645" i="1" s="1"/>
  <c r="AI632" i="1"/>
  <c r="AK632" i="1"/>
  <c r="BD632" i="1" s="1"/>
  <c r="AL632" i="1"/>
  <c r="BE632" i="1" s="1"/>
  <c r="AJ632" i="1"/>
  <c r="BC632" i="1" s="1"/>
  <c r="AM632" i="1"/>
  <c r="BF632" i="1" s="1"/>
  <c r="AO632" i="1"/>
  <c r="BH632" i="1" s="1"/>
  <c r="AP632" i="1"/>
  <c r="BI632" i="1" s="1"/>
  <c r="AQ632" i="1"/>
  <c r="BJ632" i="1" s="1"/>
  <c r="AR632" i="1"/>
  <c r="BK632" i="1" s="1"/>
  <c r="AN632" i="1"/>
  <c r="BG632" i="1" s="1"/>
  <c r="AI620" i="1"/>
  <c r="AK620" i="1"/>
  <c r="BD620" i="1" s="1"/>
  <c r="AO620" i="1"/>
  <c r="BH620" i="1" s="1"/>
  <c r="AM620" i="1"/>
  <c r="BF620" i="1" s="1"/>
  <c r="AN620" i="1"/>
  <c r="BG620" i="1" s="1"/>
  <c r="AL620" i="1"/>
  <c r="BE620" i="1" s="1"/>
  <c r="AJ620" i="1"/>
  <c r="BC620" i="1" s="1"/>
  <c r="AP620" i="1"/>
  <c r="BI620" i="1" s="1"/>
  <c r="AQ620" i="1"/>
  <c r="BJ620" i="1" s="1"/>
  <c r="AR620" i="1"/>
  <c r="BK620" i="1" s="1"/>
  <c r="AI622" i="1"/>
  <c r="AL622" i="1"/>
  <c r="BE622" i="1" s="1"/>
  <c r="AK622" i="1"/>
  <c r="BD622" i="1" s="1"/>
  <c r="AN622" i="1"/>
  <c r="BG622" i="1" s="1"/>
  <c r="AO622" i="1"/>
  <c r="BH622" i="1" s="1"/>
  <c r="AQ622" i="1"/>
  <c r="BJ622" i="1" s="1"/>
  <c r="AM622" i="1"/>
  <c r="BF622" i="1" s="1"/>
  <c r="AJ622" i="1"/>
  <c r="BC622" i="1" s="1"/>
  <c r="AP622" i="1"/>
  <c r="BI622" i="1" s="1"/>
  <c r="AR622" i="1"/>
  <c r="BK622" i="1" s="1"/>
  <c r="AL613" i="1"/>
  <c r="BE613" i="1" s="1"/>
  <c r="AI613" i="1"/>
  <c r="AJ613" i="1"/>
  <c r="BC613" i="1" s="1"/>
  <c r="AK613" i="1"/>
  <c r="BD613" i="1" s="1"/>
  <c r="AO613" i="1"/>
  <c r="BH613" i="1" s="1"/>
  <c r="AR613" i="1"/>
  <c r="BK613" i="1" s="1"/>
  <c r="AN613" i="1"/>
  <c r="BG613" i="1" s="1"/>
  <c r="AP613" i="1"/>
  <c r="BI613" i="1" s="1"/>
  <c r="AQ613" i="1"/>
  <c r="BJ613" i="1" s="1"/>
  <c r="AM613" i="1"/>
  <c r="BF613" i="1" s="1"/>
  <c r="AK627" i="1"/>
  <c r="BD627" i="1" s="1"/>
  <c r="AL627" i="1"/>
  <c r="BE627" i="1" s="1"/>
  <c r="AI627" i="1"/>
  <c r="AJ627" i="1"/>
  <c r="BC627" i="1" s="1"/>
  <c r="AM627" i="1"/>
  <c r="BF627" i="1" s="1"/>
  <c r="AQ627" i="1"/>
  <c r="BJ627" i="1" s="1"/>
  <c r="AN627" i="1"/>
  <c r="BG627" i="1" s="1"/>
  <c r="AO627" i="1"/>
  <c r="BH627" i="1" s="1"/>
  <c r="AR627" i="1"/>
  <c r="BK627" i="1" s="1"/>
  <c r="AP627" i="1"/>
  <c r="BI627" i="1" s="1"/>
  <c r="AK73" i="1"/>
  <c r="BD73" i="1" s="1"/>
  <c r="BL38" i="1"/>
  <c r="BM62" i="1"/>
  <c r="BO71" i="1"/>
  <c r="AM73" i="1"/>
  <c r="BF73" i="1" s="1"/>
  <c r="AR23" i="1"/>
  <c r="BK23" i="1" s="1"/>
  <c r="AQ112" i="1"/>
  <c r="BJ112" i="1" s="1"/>
  <c r="AO112" i="1"/>
  <c r="BH112" i="1" s="1"/>
  <c r="AJ144" i="1"/>
  <c r="BC144" i="1" s="1"/>
  <c r="BQ87" i="1"/>
  <c r="AO74" i="1"/>
  <c r="BH74" i="1" s="1"/>
  <c r="BU109" i="1"/>
  <c r="AM95" i="1"/>
  <c r="BF95" i="1" s="1"/>
  <c r="AN95" i="1"/>
  <c r="BG95" i="1" s="1"/>
  <c r="BS86" i="1"/>
  <c r="BM139" i="1"/>
  <c r="BP139" i="1"/>
  <c r="AI151" i="1"/>
  <c r="BB151" i="1" s="1"/>
  <c r="AJ151" i="1"/>
  <c r="BC151" i="1" s="1"/>
  <c r="BS123" i="1"/>
  <c r="AI131" i="1"/>
  <c r="BB131" i="1" s="1"/>
  <c r="AM113" i="1"/>
  <c r="BF113" i="1" s="1"/>
  <c r="AK113" i="1"/>
  <c r="BD113" i="1" s="1"/>
  <c r="AP126" i="1"/>
  <c r="BI126" i="1" s="1"/>
  <c r="AJ126" i="1"/>
  <c r="BC126" i="1" s="1"/>
  <c r="BT84" i="1"/>
  <c r="BQ74" i="1"/>
  <c r="AQ134" i="1"/>
  <c r="BJ134" i="1" s="1"/>
  <c r="AJ134" i="1"/>
  <c r="BC134" i="1" s="1"/>
  <c r="AK222" i="1"/>
  <c r="BD222" i="1" s="1"/>
  <c r="BR211" i="1"/>
  <c r="AQ176" i="1"/>
  <c r="BJ176" i="1" s="1"/>
  <c r="AO161" i="1"/>
  <c r="BH161" i="1" s="1"/>
  <c r="BQ172" i="1"/>
  <c r="BU155" i="1"/>
  <c r="BM155" i="1"/>
  <c r="AM205" i="1"/>
  <c r="BF205" i="1" s="1"/>
  <c r="AN155" i="1"/>
  <c r="BG155" i="1" s="1"/>
  <c r="AM215" i="1"/>
  <c r="BF215" i="1" s="1"/>
  <c r="AO233" i="1"/>
  <c r="BH233" i="1" s="1"/>
  <c r="BO197" i="1"/>
  <c r="AK216" i="1"/>
  <c r="BD216" i="1" s="1"/>
  <c r="AP191" i="1"/>
  <c r="BI191" i="1" s="1"/>
  <c r="AK195" i="1"/>
  <c r="BD195" i="1" s="1"/>
  <c r="BT167" i="1"/>
  <c r="BQ167" i="1"/>
  <c r="AM167" i="1"/>
  <c r="BF167" i="1" s="1"/>
  <c r="AP201" i="1"/>
  <c r="BI201" i="1" s="1"/>
  <c r="BM181" i="1"/>
  <c r="BN181" i="1"/>
  <c r="BL186" i="1"/>
  <c r="BR186" i="1"/>
  <c r="AI175" i="1"/>
  <c r="AN634" i="1"/>
  <c r="BG634" i="1" s="1"/>
  <c r="AJ634" i="1"/>
  <c r="BC634" i="1" s="1"/>
  <c r="AK634" i="1"/>
  <c r="BD634" i="1" s="1"/>
  <c r="AI634" i="1"/>
  <c r="AR634" i="1"/>
  <c r="BK634" i="1" s="1"/>
  <c r="AL634" i="1"/>
  <c r="BE634" i="1" s="1"/>
  <c r="AO634" i="1"/>
  <c r="BH634" i="1" s="1"/>
  <c r="AP634" i="1"/>
  <c r="BI634" i="1" s="1"/>
  <c r="AQ634" i="1"/>
  <c r="BJ634" i="1" s="1"/>
  <c r="AM634" i="1"/>
  <c r="BF634" i="1" s="1"/>
  <c r="AL629" i="1"/>
  <c r="BE629" i="1" s="1"/>
  <c r="AI629" i="1"/>
  <c r="AK629" i="1"/>
  <c r="BD629" i="1" s="1"/>
  <c r="AM629" i="1"/>
  <c r="BF629" i="1" s="1"/>
  <c r="AO629" i="1"/>
  <c r="BH629" i="1" s="1"/>
  <c r="AJ629" i="1"/>
  <c r="BC629" i="1" s="1"/>
  <c r="AP629" i="1"/>
  <c r="BI629" i="1" s="1"/>
  <c r="AQ629" i="1"/>
  <c r="BJ629" i="1" s="1"/>
  <c r="AN629" i="1"/>
  <c r="BG629" i="1" s="1"/>
  <c r="AR629" i="1"/>
  <c r="BK629" i="1" s="1"/>
  <c r="AK587" i="1"/>
  <c r="BD587" i="1" s="1"/>
  <c r="AM587" i="1"/>
  <c r="BF587" i="1" s="1"/>
  <c r="AI587" i="1"/>
  <c r="AQ587" i="1"/>
  <c r="BJ587" i="1" s="1"/>
  <c r="AN587" i="1"/>
  <c r="BG587" i="1" s="1"/>
  <c r="AO587" i="1"/>
  <c r="BH587" i="1" s="1"/>
  <c r="AL587" i="1"/>
  <c r="BE587" i="1" s="1"/>
  <c r="AR587" i="1"/>
  <c r="BK587" i="1" s="1"/>
  <c r="AJ587" i="1"/>
  <c r="BC587" i="1" s="1"/>
  <c r="AP587" i="1"/>
  <c r="BI587" i="1" s="1"/>
  <c r="AN588" i="1"/>
  <c r="BG588" i="1" s="1"/>
  <c r="AO588" i="1"/>
  <c r="BH588" i="1" s="1"/>
  <c r="AJ588" i="1"/>
  <c r="BC588" i="1" s="1"/>
  <c r="AK588" i="1"/>
  <c r="BD588" i="1" s="1"/>
  <c r="AI588" i="1"/>
  <c r="AP588" i="1"/>
  <c r="BI588" i="1" s="1"/>
  <c r="AR588" i="1"/>
  <c r="BK588" i="1" s="1"/>
  <c r="AQ588" i="1"/>
  <c r="BJ588" i="1" s="1"/>
  <c r="AM588" i="1"/>
  <c r="BF588" i="1" s="1"/>
  <c r="AL588" i="1"/>
  <c r="BE588" i="1" s="1"/>
  <c r="AI666" i="1"/>
  <c r="AN666" i="1"/>
  <c r="BG666" i="1" s="1"/>
  <c r="AM666" i="1"/>
  <c r="BF666" i="1" s="1"/>
  <c r="AJ666" i="1"/>
  <c r="BC666" i="1" s="1"/>
  <c r="AO666" i="1"/>
  <c r="BH666" i="1" s="1"/>
  <c r="AR666" i="1"/>
  <c r="BK666" i="1" s="1"/>
  <c r="AK666" i="1"/>
  <c r="BD666" i="1" s="1"/>
  <c r="AP666" i="1"/>
  <c r="BI666" i="1" s="1"/>
  <c r="AQ666" i="1"/>
  <c r="BJ666" i="1" s="1"/>
  <c r="AL666" i="1"/>
  <c r="BE666" i="1" s="1"/>
  <c r="AL581" i="1"/>
  <c r="BE581" i="1" s="1"/>
  <c r="AI581" i="1"/>
  <c r="AJ581" i="1"/>
  <c r="BC581" i="1" s="1"/>
  <c r="AR581" i="1"/>
  <c r="BK581" i="1" s="1"/>
  <c r="AM581" i="1"/>
  <c r="BF581" i="1" s="1"/>
  <c r="AQ581" i="1"/>
  <c r="BJ581" i="1" s="1"/>
  <c r="AP581" i="1"/>
  <c r="BI581" i="1" s="1"/>
  <c r="AN581" i="1"/>
  <c r="BG581" i="1" s="1"/>
  <c r="AO581" i="1"/>
  <c r="BH581" i="1" s="1"/>
  <c r="AK581" i="1"/>
  <c r="BD581" i="1" s="1"/>
  <c r="AJ649" i="1"/>
  <c r="BC649" i="1" s="1"/>
  <c r="AI649" i="1"/>
  <c r="AL649" i="1"/>
  <c r="BE649" i="1" s="1"/>
  <c r="AM649" i="1"/>
  <c r="BF649" i="1" s="1"/>
  <c r="AQ649" i="1"/>
  <c r="BJ649" i="1" s="1"/>
  <c r="AP649" i="1"/>
  <c r="BI649" i="1" s="1"/>
  <c r="AK649" i="1"/>
  <c r="BD649" i="1" s="1"/>
  <c r="AN649" i="1"/>
  <c r="BG649" i="1" s="1"/>
  <c r="AO649" i="1"/>
  <c r="BH649" i="1" s="1"/>
  <c r="AR649" i="1"/>
  <c r="BK649" i="1" s="1"/>
  <c r="AO596" i="1"/>
  <c r="BH596" i="1" s="1"/>
  <c r="AK596" i="1"/>
  <c r="BD596" i="1" s="1"/>
  <c r="AJ596" i="1"/>
  <c r="BC596" i="1" s="1"/>
  <c r="AL596" i="1"/>
  <c r="BE596" i="1" s="1"/>
  <c r="AI596" i="1"/>
  <c r="AP596" i="1"/>
  <c r="BI596" i="1" s="1"/>
  <c r="AN596" i="1"/>
  <c r="BG596" i="1" s="1"/>
  <c r="AR596" i="1"/>
  <c r="BK596" i="1" s="1"/>
  <c r="AQ596" i="1"/>
  <c r="BJ596" i="1" s="1"/>
  <c r="AM596" i="1"/>
  <c r="BF596" i="1" s="1"/>
  <c r="AI631" i="1"/>
  <c r="AM631" i="1"/>
  <c r="BF631" i="1" s="1"/>
  <c r="AL631" i="1"/>
  <c r="BE631" i="1" s="1"/>
  <c r="AO631" i="1"/>
  <c r="BH631" i="1" s="1"/>
  <c r="AK631" i="1"/>
  <c r="BD631" i="1" s="1"/>
  <c r="AN631" i="1"/>
  <c r="BG631" i="1" s="1"/>
  <c r="AP631" i="1"/>
  <c r="BI631" i="1" s="1"/>
  <c r="AQ631" i="1"/>
  <c r="BJ631" i="1" s="1"/>
  <c r="AJ631" i="1"/>
  <c r="BC631" i="1" s="1"/>
  <c r="AR631" i="1"/>
  <c r="BK631" i="1" s="1"/>
  <c r="AN624" i="1"/>
  <c r="BG624" i="1" s="1"/>
  <c r="AJ624" i="1"/>
  <c r="BC624" i="1" s="1"/>
  <c r="AI624" i="1"/>
  <c r="AM624" i="1"/>
  <c r="BF624" i="1" s="1"/>
  <c r="AK624" i="1"/>
  <c r="BD624" i="1" s="1"/>
  <c r="AL624" i="1"/>
  <c r="BE624" i="1" s="1"/>
  <c r="AR624" i="1"/>
  <c r="BK624" i="1" s="1"/>
  <c r="AP624" i="1"/>
  <c r="BI624" i="1" s="1"/>
  <c r="AQ624" i="1"/>
  <c r="BJ624" i="1" s="1"/>
  <c r="AO624" i="1"/>
  <c r="BH624" i="1" s="1"/>
  <c r="AK619" i="1"/>
  <c r="BD619" i="1" s="1"/>
  <c r="AJ619" i="1"/>
  <c r="BC619" i="1" s="1"/>
  <c r="AN619" i="1"/>
  <c r="BG619" i="1" s="1"/>
  <c r="AL619" i="1"/>
  <c r="BE619" i="1" s="1"/>
  <c r="AQ619" i="1"/>
  <c r="BJ619" i="1" s="1"/>
  <c r="AO619" i="1"/>
  <c r="BH619" i="1" s="1"/>
  <c r="AM619" i="1"/>
  <c r="BF619" i="1" s="1"/>
  <c r="AR619" i="1"/>
  <c r="BK619" i="1" s="1"/>
  <c r="AP619" i="1"/>
  <c r="BI619" i="1" s="1"/>
  <c r="AI619" i="1"/>
  <c r="AI592" i="1"/>
  <c r="AJ592" i="1"/>
  <c r="BC592" i="1" s="1"/>
  <c r="AK592" i="1"/>
  <c r="BD592" i="1" s="1"/>
  <c r="AL592" i="1"/>
  <c r="BE592" i="1" s="1"/>
  <c r="AM592" i="1"/>
  <c r="BF592" i="1" s="1"/>
  <c r="AP592" i="1"/>
  <c r="BI592" i="1" s="1"/>
  <c r="AQ592" i="1"/>
  <c r="BJ592" i="1" s="1"/>
  <c r="AO592" i="1"/>
  <c r="BH592" i="1" s="1"/>
  <c r="AR592" i="1"/>
  <c r="BK592" i="1" s="1"/>
  <c r="AN592" i="1"/>
  <c r="BG592" i="1" s="1"/>
  <c r="AI584" i="1"/>
  <c r="AJ584" i="1"/>
  <c r="BC584" i="1" s="1"/>
  <c r="AM584" i="1"/>
  <c r="BF584" i="1" s="1"/>
  <c r="AK584" i="1"/>
  <c r="BD584" i="1" s="1"/>
  <c r="AO584" i="1"/>
  <c r="BH584" i="1" s="1"/>
  <c r="AL584" i="1"/>
  <c r="BE584" i="1" s="1"/>
  <c r="AQ584" i="1"/>
  <c r="BJ584" i="1" s="1"/>
  <c r="AR584" i="1"/>
  <c r="BK584" i="1" s="1"/>
  <c r="AN584" i="1"/>
  <c r="BG584" i="1" s="1"/>
  <c r="AP584" i="1"/>
  <c r="BI584" i="1" s="1"/>
  <c r="AP22" i="1"/>
  <c r="BI22" i="1" s="1"/>
  <c r="BO38" i="1"/>
  <c r="AJ21" i="1"/>
  <c r="BC21" i="1" s="1"/>
  <c r="AN22" i="1"/>
  <c r="BG22" i="1" s="1"/>
  <c r="BN38" i="1"/>
  <c r="BO62" i="1"/>
  <c r="BP62" i="1"/>
  <c r="AL21" i="1"/>
  <c r="BE21" i="1" s="1"/>
  <c r="AK21" i="1"/>
  <c r="BD21" i="1" s="1"/>
  <c r="BS71" i="1"/>
  <c r="AQ73" i="1"/>
  <c r="BJ73" i="1" s="1"/>
  <c r="AO23" i="1"/>
  <c r="BH23" i="1" s="1"/>
  <c r="AR112" i="1"/>
  <c r="BK112" i="1" s="1"/>
  <c r="AK112" i="1"/>
  <c r="BD112" i="1" s="1"/>
  <c r="AI144" i="1"/>
  <c r="BB144" i="1" s="1"/>
  <c r="BM87" i="1"/>
  <c r="BN109" i="1"/>
  <c r="BQ109" i="1"/>
  <c r="AK95" i="1"/>
  <c r="BD95" i="1" s="1"/>
  <c r="AJ95" i="1"/>
  <c r="BC95" i="1" s="1"/>
  <c r="BO86" i="1"/>
  <c r="BQ139" i="1"/>
  <c r="AO151" i="1"/>
  <c r="BH151" i="1" s="1"/>
  <c r="AM131" i="1"/>
  <c r="BF131" i="1" s="1"/>
  <c r="AP131" i="1"/>
  <c r="BI131" i="1" s="1"/>
  <c r="AQ113" i="1"/>
  <c r="BJ113" i="1" s="1"/>
  <c r="BQ84" i="1"/>
  <c r="BP84" i="1"/>
  <c r="AR222" i="1"/>
  <c r="BK222" i="1" s="1"/>
  <c r="AJ222" i="1"/>
  <c r="BC222" i="1" s="1"/>
  <c r="BL211" i="1"/>
  <c r="AO176" i="1"/>
  <c r="BH176" i="1" s="1"/>
  <c r="BM172" i="1"/>
  <c r="BS155" i="1"/>
  <c r="AO205" i="1"/>
  <c r="BH205" i="1" s="1"/>
  <c r="AK205" i="1"/>
  <c r="BD205" i="1" s="1"/>
  <c r="AL215" i="1"/>
  <c r="BE215" i="1" s="1"/>
  <c r="BT197" i="1"/>
  <c r="AR216" i="1"/>
  <c r="BK216" i="1" s="1"/>
  <c r="AM191" i="1"/>
  <c r="BF191" i="1" s="1"/>
  <c r="BR167" i="1"/>
  <c r="AI167" i="1"/>
  <c r="BB167" i="1" s="1"/>
  <c r="AI201" i="1"/>
  <c r="BB201" i="1" s="1"/>
  <c r="BO181" i="1"/>
  <c r="BU186" i="1"/>
  <c r="BP186" i="1"/>
  <c r="AL664" i="1"/>
  <c r="BE664" i="1" s="1"/>
  <c r="AN664" i="1"/>
  <c r="BG664" i="1" s="1"/>
  <c r="AI664" i="1"/>
  <c r="AJ664" i="1"/>
  <c r="BC664" i="1" s="1"/>
  <c r="AM664" i="1"/>
  <c r="BF664" i="1" s="1"/>
  <c r="AO664" i="1"/>
  <c r="BH664" i="1" s="1"/>
  <c r="AK664" i="1"/>
  <c r="BD664" i="1" s="1"/>
  <c r="AP664" i="1"/>
  <c r="BI664" i="1" s="1"/>
  <c r="AQ664" i="1"/>
  <c r="BJ664" i="1" s="1"/>
  <c r="AR664" i="1"/>
  <c r="BK664" i="1" s="1"/>
  <c r="AK660" i="1"/>
  <c r="BD660" i="1" s="1"/>
  <c r="AI660" i="1"/>
  <c r="AJ660" i="1"/>
  <c r="BC660" i="1" s="1"/>
  <c r="AM660" i="1"/>
  <c r="BF660" i="1" s="1"/>
  <c r="AL660" i="1"/>
  <c r="BE660" i="1" s="1"/>
  <c r="AN660" i="1"/>
  <c r="BG660" i="1" s="1"/>
  <c r="AP660" i="1"/>
  <c r="BI660" i="1" s="1"/>
  <c r="AO660" i="1"/>
  <c r="BH660" i="1" s="1"/>
  <c r="AR660" i="1"/>
  <c r="BK660" i="1" s="1"/>
  <c r="AQ660" i="1"/>
  <c r="BJ660" i="1" s="1"/>
  <c r="AM598" i="1"/>
  <c r="BF598" i="1" s="1"/>
  <c r="AI598" i="1"/>
  <c r="AJ598" i="1"/>
  <c r="BC598" i="1" s="1"/>
  <c r="AK598" i="1"/>
  <c r="BD598" i="1" s="1"/>
  <c r="AN598" i="1"/>
  <c r="BG598" i="1" s="1"/>
  <c r="AO598" i="1"/>
  <c r="BH598" i="1" s="1"/>
  <c r="AQ598" i="1"/>
  <c r="BJ598" i="1" s="1"/>
  <c r="AL598" i="1"/>
  <c r="BE598" i="1" s="1"/>
  <c r="AR598" i="1"/>
  <c r="BK598" i="1" s="1"/>
  <c r="AP598" i="1"/>
  <c r="BI598" i="1" s="1"/>
  <c r="AI612" i="1"/>
  <c r="AJ612" i="1"/>
  <c r="BC612" i="1" s="1"/>
  <c r="AO612" i="1"/>
  <c r="BH612" i="1" s="1"/>
  <c r="AL612" i="1"/>
  <c r="BE612" i="1" s="1"/>
  <c r="AM612" i="1"/>
  <c r="BF612" i="1" s="1"/>
  <c r="AK612" i="1"/>
  <c r="BD612" i="1" s="1"/>
  <c r="AN612" i="1"/>
  <c r="BG612" i="1" s="1"/>
  <c r="AP612" i="1"/>
  <c r="BI612" i="1" s="1"/>
  <c r="AR612" i="1"/>
  <c r="BK612" i="1" s="1"/>
  <c r="AQ612" i="1"/>
  <c r="BJ612" i="1" s="1"/>
  <c r="AI582" i="1"/>
  <c r="AJ582" i="1"/>
  <c r="BC582" i="1" s="1"/>
  <c r="AL582" i="1"/>
  <c r="BE582" i="1" s="1"/>
  <c r="AN582" i="1"/>
  <c r="BG582" i="1" s="1"/>
  <c r="AK582" i="1"/>
  <c r="BD582" i="1" s="1"/>
  <c r="AM582" i="1"/>
  <c r="BF582" i="1" s="1"/>
  <c r="AQ582" i="1"/>
  <c r="BJ582" i="1" s="1"/>
  <c r="AO582" i="1"/>
  <c r="BH582" i="1" s="1"/>
  <c r="AP582" i="1"/>
  <c r="BI582" i="1" s="1"/>
  <c r="AR582" i="1"/>
  <c r="BK582" i="1" s="1"/>
  <c r="AI594" i="1"/>
  <c r="AJ594" i="1"/>
  <c r="BC594" i="1" s="1"/>
  <c r="AL594" i="1"/>
  <c r="BE594" i="1" s="1"/>
  <c r="AK594" i="1"/>
  <c r="BD594" i="1" s="1"/>
  <c r="AO594" i="1"/>
  <c r="BH594" i="1" s="1"/>
  <c r="AN594" i="1"/>
  <c r="BG594" i="1" s="1"/>
  <c r="AR594" i="1"/>
  <c r="BK594" i="1" s="1"/>
  <c r="AP594" i="1"/>
  <c r="BI594" i="1" s="1"/>
  <c r="AQ594" i="1"/>
  <c r="BJ594" i="1" s="1"/>
  <c r="AM594" i="1"/>
  <c r="BF594" i="1" s="1"/>
  <c r="AJ657" i="1"/>
  <c r="BC657" i="1" s="1"/>
  <c r="AI657" i="1"/>
  <c r="AM657" i="1"/>
  <c r="BF657" i="1" s="1"/>
  <c r="AK657" i="1"/>
  <c r="BD657" i="1" s="1"/>
  <c r="AQ657" i="1"/>
  <c r="BJ657" i="1" s="1"/>
  <c r="AP657" i="1"/>
  <c r="BI657" i="1" s="1"/>
  <c r="AL657" i="1"/>
  <c r="BE657" i="1" s="1"/>
  <c r="AN657" i="1"/>
  <c r="BG657" i="1" s="1"/>
  <c r="AO657" i="1"/>
  <c r="BH657" i="1" s="1"/>
  <c r="AR657" i="1"/>
  <c r="BK657" i="1" s="1"/>
  <c r="AL637" i="1"/>
  <c r="BE637" i="1" s="1"/>
  <c r="AN637" i="1"/>
  <c r="BG637" i="1" s="1"/>
  <c r="AJ637" i="1"/>
  <c r="BC637" i="1" s="1"/>
  <c r="AO637" i="1"/>
  <c r="BH637" i="1" s="1"/>
  <c r="AK637" i="1"/>
  <c r="BD637" i="1" s="1"/>
  <c r="AI637" i="1"/>
  <c r="AR637" i="1"/>
  <c r="BK637" i="1" s="1"/>
  <c r="AM637" i="1"/>
  <c r="BF637" i="1" s="1"/>
  <c r="AP637" i="1"/>
  <c r="BI637" i="1" s="1"/>
  <c r="AQ637" i="1"/>
  <c r="BJ637" i="1" s="1"/>
  <c r="AI640" i="1"/>
  <c r="AL640" i="1"/>
  <c r="BE640" i="1" s="1"/>
  <c r="AJ640" i="1"/>
  <c r="BC640" i="1" s="1"/>
  <c r="AM640" i="1"/>
  <c r="BF640" i="1" s="1"/>
  <c r="AO640" i="1"/>
  <c r="BH640" i="1" s="1"/>
  <c r="AK640" i="1"/>
  <c r="BD640" i="1" s="1"/>
  <c r="AR640" i="1"/>
  <c r="BK640" i="1" s="1"/>
  <c r="AP640" i="1"/>
  <c r="BI640" i="1" s="1"/>
  <c r="AN640" i="1"/>
  <c r="BG640" i="1" s="1"/>
  <c r="AQ640" i="1"/>
  <c r="BJ640" i="1" s="1"/>
  <c r="AI575" i="1"/>
  <c r="AM575" i="1"/>
  <c r="BF575" i="1" s="1"/>
  <c r="AJ575" i="1"/>
  <c r="BC575" i="1" s="1"/>
  <c r="AO575" i="1"/>
  <c r="BH575" i="1" s="1"/>
  <c r="AP575" i="1"/>
  <c r="BI575" i="1" s="1"/>
  <c r="AK575" i="1"/>
  <c r="BD575" i="1" s="1"/>
  <c r="AN575" i="1"/>
  <c r="BG575" i="1" s="1"/>
  <c r="AL575" i="1"/>
  <c r="BE575" i="1" s="1"/>
  <c r="AQ575" i="1"/>
  <c r="BJ575" i="1" s="1"/>
  <c r="AR575" i="1"/>
  <c r="BK575" i="1" s="1"/>
  <c r="AI630" i="1"/>
  <c r="AJ630" i="1"/>
  <c r="BC630" i="1" s="1"/>
  <c r="AO630" i="1"/>
  <c r="BH630" i="1" s="1"/>
  <c r="AQ630" i="1"/>
  <c r="BJ630" i="1" s="1"/>
  <c r="AL630" i="1"/>
  <c r="BE630" i="1" s="1"/>
  <c r="AP630" i="1"/>
  <c r="BI630" i="1" s="1"/>
  <c r="AM630" i="1"/>
  <c r="BF630" i="1" s="1"/>
  <c r="AN630" i="1"/>
  <c r="BG630" i="1" s="1"/>
  <c r="AR630" i="1"/>
  <c r="BK630" i="1" s="1"/>
  <c r="AK630" i="1"/>
  <c r="BD630" i="1" s="1"/>
  <c r="AM662" i="1"/>
  <c r="BF662" i="1" s="1"/>
  <c r="AI662" i="1"/>
  <c r="AJ662" i="1"/>
  <c r="BC662" i="1" s="1"/>
  <c r="AK662" i="1"/>
  <c r="BD662" i="1" s="1"/>
  <c r="AQ662" i="1"/>
  <c r="BJ662" i="1" s="1"/>
  <c r="AO662" i="1"/>
  <c r="BH662" i="1" s="1"/>
  <c r="AL662" i="1"/>
  <c r="BE662" i="1" s="1"/>
  <c r="AR662" i="1"/>
  <c r="BK662" i="1" s="1"/>
  <c r="AP662" i="1"/>
  <c r="BI662" i="1" s="1"/>
  <c r="AN662" i="1"/>
  <c r="BG662" i="1" s="1"/>
  <c r="AN570" i="1"/>
  <c r="BG570" i="1" s="1"/>
  <c r="AJ570" i="1"/>
  <c r="BC570" i="1" s="1"/>
  <c r="AK570" i="1"/>
  <c r="BD570" i="1" s="1"/>
  <c r="AL570" i="1"/>
  <c r="BE570" i="1" s="1"/>
  <c r="AP570" i="1"/>
  <c r="BI570" i="1" s="1"/>
  <c r="AI570" i="1"/>
  <c r="AM570" i="1"/>
  <c r="BF570" i="1" s="1"/>
  <c r="AO570" i="1"/>
  <c r="BH570" i="1" s="1"/>
  <c r="AQ570" i="1"/>
  <c r="BJ570" i="1" s="1"/>
  <c r="AR570" i="1"/>
  <c r="BK570" i="1" s="1"/>
  <c r="BN62" i="1"/>
  <c r="AN21" i="1"/>
  <c r="BG21" i="1" s="1"/>
  <c r="BS87" i="1"/>
  <c r="BR109" i="1"/>
  <c r="AN131" i="1"/>
  <c r="BG131" i="1" s="1"/>
  <c r="BU84" i="1"/>
  <c r="AQ222" i="1"/>
  <c r="BJ222" i="1" s="1"/>
  <c r="AQ205" i="1"/>
  <c r="BJ205" i="1" s="1"/>
  <c r="AI574" i="1"/>
  <c r="AJ574" i="1"/>
  <c r="BC574" i="1" s="1"/>
  <c r="AK574" i="1"/>
  <c r="BD574" i="1" s="1"/>
  <c r="AM574" i="1"/>
  <c r="BF574" i="1" s="1"/>
  <c r="AN574" i="1"/>
  <c r="BG574" i="1" s="1"/>
  <c r="AQ574" i="1"/>
  <c r="BJ574" i="1" s="1"/>
  <c r="AP574" i="1"/>
  <c r="BI574" i="1" s="1"/>
  <c r="AL574" i="1"/>
  <c r="BE574" i="1" s="1"/>
  <c r="AR574" i="1"/>
  <c r="BK574" i="1" s="1"/>
  <c r="AO574" i="1"/>
  <c r="BH574" i="1" s="1"/>
  <c r="AL621" i="1"/>
  <c r="BE621" i="1" s="1"/>
  <c r="AI621" i="1"/>
  <c r="AJ621" i="1"/>
  <c r="BC621" i="1" s="1"/>
  <c r="AK621" i="1"/>
  <c r="BD621" i="1" s="1"/>
  <c r="AN621" i="1"/>
  <c r="BG621" i="1" s="1"/>
  <c r="AP621" i="1"/>
  <c r="BI621" i="1" s="1"/>
  <c r="AQ621" i="1"/>
  <c r="BJ621" i="1" s="1"/>
  <c r="AR621" i="1"/>
  <c r="BK621" i="1" s="1"/>
  <c r="AO621" i="1"/>
  <c r="BH621" i="1" s="1"/>
  <c r="AM621" i="1"/>
  <c r="BF621" i="1" s="1"/>
  <c r="AI607" i="1"/>
  <c r="AM607" i="1"/>
  <c r="BF607" i="1" s="1"/>
  <c r="AO607" i="1"/>
  <c r="BH607" i="1" s="1"/>
  <c r="AK607" i="1"/>
  <c r="BD607" i="1" s="1"/>
  <c r="AN607" i="1"/>
  <c r="BG607" i="1" s="1"/>
  <c r="AP607" i="1"/>
  <c r="BI607" i="1" s="1"/>
  <c r="AL607" i="1"/>
  <c r="BE607" i="1" s="1"/>
  <c r="AJ607" i="1"/>
  <c r="BC607" i="1" s="1"/>
  <c r="AQ607" i="1"/>
  <c r="BJ607" i="1" s="1"/>
  <c r="AR607" i="1"/>
  <c r="BK607" i="1" s="1"/>
  <c r="AI567" i="1"/>
  <c r="AM567" i="1"/>
  <c r="BF567" i="1" s="1"/>
  <c r="AL567" i="1"/>
  <c r="BE567" i="1" s="1"/>
  <c r="AO567" i="1"/>
  <c r="BH567" i="1" s="1"/>
  <c r="AP567" i="1"/>
  <c r="BI567" i="1" s="1"/>
  <c r="AJ567" i="1"/>
  <c r="BC567" i="1" s="1"/>
  <c r="AK567" i="1"/>
  <c r="BD567" i="1" s="1"/>
  <c r="AQ567" i="1"/>
  <c r="BJ567" i="1" s="1"/>
  <c r="AR567" i="1"/>
  <c r="BK567" i="1" s="1"/>
  <c r="AN567" i="1"/>
  <c r="BG567" i="1" s="1"/>
  <c r="AK579" i="1"/>
  <c r="BD579" i="1" s="1"/>
  <c r="AN579" i="1"/>
  <c r="BG579" i="1" s="1"/>
  <c r="AJ579" i="1"/>
  <c r="BC579" i="1" s="1"/>
  <c r="AI579" i="1"/>
  <c r="AL579" i="1"/>
  <c r="BE579" i="1" s="1"/>
  <c r="AQ579" i="1"/>
  <c r="BJ579" i="1" s="1"/>
  <c r="AM579" i="1"/>
  <c r="BF579" i="1" s="1"/>
  <c r="AO579" i="1"/>
  <c r="BH579" i="1" s="1"/>
  <c r="AP579" i="1"/>
  <c r="BI579" i="1" s="1"/>
  <c r="AR579" i="1"/>
  <c r="BK579" i="1" s="1"/>
  <c r="AM644" i="1"/>
  <c r="BF644" i="1" s="1"/>
  <c r="AI644" i="1"/>
  <c r="AK644" i="1"/>
  <c r="BD644" i="1" s="1"/>
  <c r="AL644" i="1"/>
  <c r="BE644" i="1" s="1"/>
  <c r="AP644" i="1"/>
  <c r="BI644" i="1" s="1"/>
  <c r="AO644" i="1"/>
  <c r="BH644" i="1" s="1"/>
  <c r="AN644" i="1"/>
  <c r="BG644" i="1" s="1"/>
  <c r="AQ644" i="1"/>
  <c r="BJ644" i="1" s="1"/>
  <c r="AR644" i="1"/>
  <c r="BK644" i="1" s="1"/>
  <c r="AJ644" i="1"/>
  <c r="BC644" i="1" s="1"/>
  <c r="AJ585" i="1"/>
  <c r="BC585" i="1" s="1"/>
  <c r="AN585" i="1"/>
  <c r="BG585" i="1" s="1"/>
  <c r="AI585" i="1"/>
  <c r="AL585" i="1"/>
  <c r="BE585" i="1" s="1"/>
  <c r="AQ585" i="1"/>
  <c r="BJ585" i="1" s="1"/>
  <c r="AK585" i="1"/>
  <c r="BD585" i="1" s="1"/>
  <c r="AP585" i="1"/>
  <c r="BI585" i="1" s="1"/>
  <c r="AO585" i="1"/>
  <c r="BH585" i="1" s="1"/>
  <c r="AM585" i="1"/>
  <c r="BF585" i="1" s="1"/>
  <c r="AR585" i="1"/>
  <c r="BK585" i="1" s="1"/>
  <c r="AL616" i="1"/>
  <c r="BE616" i="1" s="1"/>
  <c r="AO616" i="1"/>
  <c r="BH616" i="1" s="1"/>
  <c r="AJ616" i="1"/>
  <c r="BC616" i="1" s="1"/>
  <c r="AM616" i="1"/>
  <c r="BF616" i="1" s="1"/>
  <c r="AK616" i="1"/>
  <c r="BD616" i="1" s="1"/>
  <c r="AP616" i="1"/>
  <c r="BI616" i="1" s="1"/>
  <c r="AQ616" i="1"/>
  <c r="BJ616" i="1" s="1"/>
  <c r="AI616" i="1"/>
  <c r="AR616" i="1"/>
  <c r="BK616" i="1" s="1"/>
  <c r="AN616" i="1"/>
  <c r="BG616" i="1" s="1"/>
  <c r="AI648" i="1"/>
  <c r="AJ648" i="1"/>
  <c r="BC648" i="1" s="1"/>
  <c r="AM648" i="1"/>
  <c r="BF648" i="1" s="1"/>
  <c r="AK648" i="1"/>
  <c r="BD648" i="1" s="1"/>
  <c r="AO648" i="1"/>
  <c r="BH648" i="1" s="1"/>
  <c r="AL648" i="1"/>
  <c r="BE648" i="1" s="1"/>
  <c r="AN648" i="1"/>
  <c r="BG648" i="1" s="1"/>
  <c r="AP648" i="1"/>
  <c r="BI648" i="1" s="1"/>
  <c r="AQ648" i="1"/>
  <c r="BJ648" i="1" s="1"/>
  <c r="AR648" i="1"/>
  <c r="BK648" i="1" s="1"/>
  <c r="AJ652" i="1"/>
  <c r="BC652" i="1" s="1"/>
  <c r="AL652" i="1"/>
  <c r="BE652" i="1" s="1"/>
  <c r="AM652" i="1"/>
  <c r="BF652" i="1" s="1"/>
  <c r="AP652" i="1"/>
  <c r="BI652" i="1" s="1"/>
  <c r="AK652" i="1"/>
  <c r="BD652" i="1" s="1"/>
  <c r="AI652" i="1"/>
  <c r="AR652" i="1"/>
  <c r="BK652" i="1" s="1"/>
  <c r="AN652" i="1"/>
  <c r="BG652" i="1" s="1"/>
  <c r="AO652" i="1"/>
  <c r="BH652" i="1" s="1"/>
  <c r="AQ652" i="1"/>
  <c r="BJ652" i="1" s="1"/>
  <c r="AI639" i="1"/>
  <c r="AM639" i="1"/>
  <c r="BF639" i="1" s="1"/>
  <c r="AJ639" i="1"/>
  <c r="BC639" i="1" s="1"/>
  <c r="AP639" i="1"/>
  <c r="BI639" i="1" s="1"/>
  <c r="AO639" i="1"/>
  <c r="BH639" i="1" s="1"/>
  <c r="AN639" i="1"/>
  <c r="BG639" i="1" s="1"/>
  <c r="AL639" i="1"/>
  <c r="BE639" i="1" s="1"/>
  <c r="AK639" i="1"/>
  <c r="BD639" i="1" s="1"/>
  <c r="AQ639" i="1"/>
  <c r="BJ639" i="1" s="1"/>
  <c r="AR639" i="1"/>
  <c r="BK639" i="1" s="1"/>
  <c r="AJ601" i="1"/>
  <c r="BC601" i="1" s="1"/>
  <c r="AN601" i="1"/>
  <c r="BG601" i="1" s="1"/>
  <c r="AI601" i="1"/>
  <c r="AK601" i="1"/>
  <c r="BD601" i="1" s="1"/>
  <c r="AQ601" i="1"/>
  <c r="BJ601" i="1" s="1"/>
  <c r="AP601" i="1"/>
  <c r="BI601" i="1" s="1"/>
  <c r="AO601" i="1"/>
  <c r="BH601" i="1" s="1"/>
  <c r="AL601" i="1"/>
  <c r="BE601" i="1" s="1"/>
  <c r="AM601" i="1"/>
  <c r="BF601" i="1" s="1"/>
  <c r="AR601" i="1"/>
  <c r="BK601" i="1" s="1"/>
  <c r="AL542" i="1"/>
  <c r="BE542" i="1" s="1"/>
  <c r="AQ542" i="1"/>
  <c r="BJ542" i="1" s="1"/>
  <c r="AM542" i="1"/>
  <c r="BF542" i="1" s="1"/>
  <c r="AN542" i="1"/>
  <c r="BG542" i="1" s="1"/>
  <c r="AJ542" i="1"/>
  <c r="BC542" i="1" s="1"/>
  <c r="AR542" i="1"/>
  <c r="BK542" i="1" s="1"/>
  <c r="AO542" i="1"/>
  <c r="BH542" i="1" s="1"/>
  <c r="AI542" i="1"/>
  <c r="AP542" i="1"/>
  <c r="BI542" i="1" s="1"/>
  <c r="AK542" i="1"/>
  <c r="BD542" i="1" s="1"/>
  <c r="AJ565" i="1"/>
  <c r="BC565" i="1" s="1"/>
  <c r="AN565" i="1"/>
  <c r="BG565" i="1" s="1"/>
  <c r="AK565" i="1"/>
  <c r="BD565" i="1" s="1"/>
  <c r="AO565" i="1"/>
  <c r="BH565" i="1" s="1"/>
  <c r="AP565" i="1"/>
  <c r="BI565" i="1" s="1"/>
  <c r="AL565" i="1"/>
  <c r="BE565" i="1" s="1"/>
  <c r="AM565" i="1"/>
  <c r="BF565" i="1" s="1"/>
  <c r="AI565" i="1"/>
  <c r="AQ565" i="1"/>
  <c r="BJ565" i="1" s="1"/>
  <c r="AR565" i="1"/>
  <c r="BK565" i="1" s="1"/>
  <c r="AP522" i="1"/>
  <c r="BI522" i="1" s="1"/>
  <c r="AK522" i="1"/>
  <c r="BD522" i="1" s="1"/>
  <c r="AQ522" i="1"/>
  <c r="BJ522" i="1" s="1"/>
  <c r="AL522" i="1"/>
  <c r="BE522" i="1" s="1"/>
  <c r="AR522" i="1"/>
  <c r="BK522" i="1" s="1"/>
  <c r="AM522" i="1"/>
  <c r="BF522" i="1" s="1"/>
  <c r="AN522" i="1"/>
  <c r="BG522" i="1" s="1"/>
  <c r="AI522" i="1"/>
  <c r="AO522" i="1"/>
  <c r="BH522" i="1" s="1"/>
  <c r="AJ522" i="1"/>
  <c r="BC522" i="1" s="1"/>
  <c r="AN558" i="1"/>
  <c r="BG558" i="1" s="1"/>
  <c r="AQ558" i="1"/>
  <c r="BJ558" i="1" s="1"/>
  <c r="AI558" i="1"/>
  <c r="AO558" i="1"/>
  <c r="BH558" i="1" s="1"/>
  <c r="AJ558" i="1"/>
  <c r="BC558" i="1" s="1"/>
  <c r="AK558" i="1"/>
  <c r="BD558" i="1" s="1"/>
  <c r="AP558" i="1"/>
  <c r="BI558" i="1" s="1"/>
  <c r="AR558" i="1"/>
  <c r="BK558" i="1" s="1"/>
  <c r="AM558" i="1"/>
  <c r="BF558" i="1" s="1"/>
  <c r="AL558" i="1"/>
  <c r="BE558" i="1" s="1"/>
  <c r="AR510" i="1"/>
  <c r="BK510" i="1" s="1"/>
  <c r="AL510" i="1"/>
  <c r="BE510" i="1" s="1"/>
  <c r="AQ510" i="1"/>
  <c r="BJ510" i="1" s="1"/>
  <c r="AM510" i="1"/>
  <c r="BF510" i="1" s="1"/>
  <c r="AN510" i="1"/>
  <c r="BG510" i="1" s="1"/>
  <c r="AJ510" i="1"/>
  <c r="BC510" i="1" s="1"/>
  <c r="AI510" i="1"/>
  <c r="AK510" i="1"/>
  <c r="BD510" i="1" s="1"/>
  <c r="AO510" i="1"/>
  <c r="BH510" i="1" s="1"/>
  <c r="AP510" i="1"/>
  <c r="BI510" i="1" s="1"/>
  <c r="AO556" i="1"/>
  <c r="BH556" i="1" s="1"/>
  <c r="AJ556" i="1"/>
  <c r="BC556" i="1" s="1"/>
  <c r="AP556" i="1"/>
  <c r="BI556" i="1" s="1"/>
  <c r="AK556" i="1"/>
  <c r="BD556" i="1" s="1"/>
  <c r="AL556" i="1"/>
  <c r="BE556" i="1" s="1"/>
  <c r="AR556" i="1"/>
  <c r="BK556" i="1" s="1"/>
  <c r="AQ556" i="1"/>
  <c r="BJ556" i="1" s="1"/>
  <c r="AI556" i="1"/>
  <c r="AM556" i="1"/>
  <c r="BF556" i="1" s="1"/>
  <c r="AN556" i="1"/>
  <c r="BG556" i="1" s="1"/>
  <c r="AL561" i="1"/>
  <c r="BE561" i="1" s="1"/>
  <c r="AP561" i="1"/>
  <c r="BI561" i="1" s="1"/>
  <c r="AI561" i="1"/>
  <c r="AM561" i="1"/>
  <c r="BF561" i="1" s="1"/>
  <c r="AQ561" i="1"/>
  <c r="BJ561" i="1" s="1"/>
  <c r="AR561" i="1"/>
  <c r="BK561" i="1" s="1"/>
  <c r="AN561" i="1"/>
  <c r="BG561" i="1" s="1"/>
  <c r="AJ561" i="1"/>
  <c r="BC561" i="1" s="1"/>
  <c r="AO561" i="1"/>
  <c r="BH561" i="1" s="1"/>
  <c r="AK561" i="1"/>
  <c r="BD561" i="1" s="1"/>
  <c r="AL513" i="1"/>
  <c r="BE513" i="1" s="1"/>
  <c r="AP513" i="1"/>
  <c r="BI513" i="1" s="1"/>
  <c r="AI513" i="1"/>
  <c r="AM513" i="1"/>
  <c r="BF513" i="1" s="1"/>
  <c r="AQ513" i="1"/>
  <c r="BJ513" i="1" s="1"/>
  <c r="AJ513" i="1"/>
  <c r="BC513" i="1" s="1"/>
  <c r="AO513" i="1"/>
  <c r="BH513" i="1" s="1"/>
  <c r="AK513" i="1"/>
  <c r="BD513" i="1" s="1"/>
  <c r="AR513" i="1"/>
  <c r="BK513" i="1" s="1"/>
  <c r="AN513" i="1"/>
  <c r="BG513" i="1" s="1"/>
  <c r="AJ514" i="1"/>
  <c r="BC514" i="1" s="1"/>
  <c r="AO514" i="1"/>
  <c r="BH514" i="1" s="1"/>
  <c r="AP514" i="1"/>
  <c r="BI514" i="1" s="1"/>
  <c r="AK514" i="1"/>
  <c r="BD514" i="1" s="1"/>
  <c r="AQ514" i="1"/>
  <c r="BJ514" i="1" s="1"/>
  <c r="AR514" i="1"/>
  <c r="BK514" i="1" s="1"/>
  <c r="AL514" i="1"/>
  <c r="BE514" i="1" s="1"/>
  <c r="AI514" i="1"/>
  <c r="AM514" i="1"/>
  <c r="BF514" i="1" s="1"/>
  <c r="AN514" i="1"/>
  <c r="BG514" i="1" s="1"/>
  <c r="AM528" i="1"/>
  <c r="BF528" i="1" s="1"/>
  <c r="AR528" i="1"/>
  <c r="BK528" i="1" s="1"/>
  <c r="AN528" i="1"/>
  <c r="BG528" i="1" s="1"/>
  <c r="AI528" i="1"/>
  <c r="AJ528" i="1"/>
  <c r="BC528" i="1" s="1"/>
  <c r="AO528" i="1"/>
  <c r="BH528" i="1" s="1"/>
  <c r="AQ528" i="1"/>
  <c r="BJ528" i="1" s="1"/>
  <c r="AL528" i="1"/>
  <c r="BE528" i="1" s="1"/>
  <c r="AP528" i="1"/>
  <c r="BI528" i="1" s="1"/>
  <c r="AK528" i="1"/>
  <c r="BD528" i="1" s="1"/>
  <c r="AJ533" i="1"/>
  <c r="BC533" i="1" s="1"/>
  <c r="AN533" i="1"/>
  <c r="BG533" i="1" s="1"/>
  <c r="AK533" i="1"/>
  <c r="BD533" i="1" s="1"/>
  <c r="AO533" i="1"/>
  <c r="BH533" i="1" s="1"/>
  <c r="AP533" i="1"/>
  <c r="BI533" i="1" s="1"/>
  <c r="AL533" i="1"/>
  <c r="BE533" i="1" s="1"/>
  <c r="AQ533" i="1"/>
  <c r="BJ533" i="1" s="1"/>
  <c r="AM533" i="1"/>
  <c r="BF533" i="1" s="1"/>
  <c r="AI533" i="1"/>
  <c r="AR533" i="1"/>
  <c r="BK533" i="1" s="1"/>
  <c r="AQ520" i="1"/>
  <c r="BJ520" i="1" s="1"/>
  <c r="AR520" i="1"/>
  <c r="BK520" i="1" s="1"/>
  <c r="AL520" i="1"/>
  <c r="BE520" i="1" s="1"/>
  <c r="AM520" i="1"/>
  <c r="BF520" i="1" s="1"/>
  <c r="AN520" i="1"/>
  <c r="BG520" i="1" s="1"/>
  <c r="AI520" i="1"/>
  <c r="AP520" i="1"/>
  <c r="BI520" i="1" s="1"/>
  <c r="AK520" i="1"/>
  <c r="BD520" i="1" s="1"/>
  <c r="AO520" i="1"/>
  <c r="BH520" i="1" s="1"/>
  <c r="AJ520" i="1"/>
  <c r="BC520" i="1" s="1"/>
  <c r="AJ509" i="1"/>
  <c r="BC509" i="1" s="1"/>
  <c r="AN509" i="1"/>
  <c r="BG509" i="1" s="1"/>
  <c r="AK509" i="1"/>
  <c r="BD509" i="1" s="1"/>
  <c r="AO509" i="1"/>
  <c r="BH509" i="1" s="1"/>
  <c r="AL509" i="1"/>
  <c r="BE509" i="1" s="1"/>
  <c r="AQ509" i="1"/>
  <c r="BJ509" i="1" s="1"/>
  <c r="AM509" i="1"/>
  <c r="BF509" i="1" s="1"/>
  <c r="AI509" i="1"/>
  <c r="AP509" i="1"/>
  <c r="BI509" i="1" s="1"/>
  <c r="AR509" i="1"/>
  <c r="BK509" i="1" s="1"/>
  <c r="AR544" i="1"/>
  <c r="BK544" i="1" s="1"/>
  <c r="AK544" i="1"/>
  <c r="BD544" i="1" s="1"/>
  <c r="AP544" i="1"/>
  <c r="BI544" i="1" s="1"/>
  <c r="AL544" i="1"/>
  <c r="BE544" i="1" s="1"/>
  <c r="AM544" i="1"/>
  <c r="BF544" i="1" s="1"/>
  <c r="AQ544" i="1"/>
  <c r="BJ544" i="1" s="1"/>
  <c r="AI544" i="1"/>
  <c r="AO544" i="1"/>
  <c r="BH544" i="1" s="1"/>
  <c r="AJ544" i="1"/>
  <c r="BC544" i="1" s="1"/>
  <c r="AN544" i="1"/>
  <c r="BG544" i="1" s="1"/>
  <c r="AK564" i="1"/>
  <c r="BD564" i="1" s="1"/>
  <c r="AL564" i="1"/>
  <c r="BE564" i="1" s="1"/>
  <c r="AM564" i="1"/>
  <c r="BF564" i="1" s="1"/>
  <c r="AR564" i="1"/>
  <c r="BK564" i="1" s="1"/>
  <c r="AO564" i="1"/>
  <c r="BH564" i="1" s="1"/>
  <c r="AN564" i="1"/>
  <c r="BG564" i="1" s="1"/>
  <c r="AP564" i="1"/>
  <c r="BI564" i="1" s="1"/>
  <c r="AI564" i="1"/>
  <c r="AQ564" i="1"/>
  <c r="BJ564" i="1" s="1"/>
  <c r="AJ564" i="1"/>
  <c r="BC564" i="1" s="1"/>
  <c r="AI519" i="1"/>
  <c r="AM519" i="1"/>
  <c r="BF519" i="1" s="1"/>
  <c r="AQ519" i="1"/>
  <c r="BJ519" i="1" s="1"/>
  <c r="AJ519" i="1"/>
  <c r="BC519" i="1" s="1"/>
  <c r="AN519" i="1"/>
  <c r="BG519" i="1" s="1"/>
  <c r="AR519" i="1"/>
  <c r="BK519" i="1" s="1"/>
  <c r="AL519" i="1"/>
  <c r="BE519" i="1" s="1"/>
  <c r="AO519" i="1"/>
  <c r="BH519" i="1" s="1"/>
  <c r="AK519" i="1"/>
  <c r="BD519" i="1" s="1"/>
  <c r="AP519" i="1"/>
  <c r="BI519" i="1" s="1"/>
  <c r="AN526" i="1"/>
  <c r="BG526" i="1" s="1"/>
  <c r="AI526" i="1"/>
  <c r="AO526" i="1"/>
  <c r="BH526" i="1" s="1"/>
  <c r="AJ526" i="1"/>
  <c r="BC526" i="1" s="1"/>
  <c r="AK526" i="1"/>
  <c r="BD526" i="1" s="1"/>
  <c r="AP526" i="1"/>
  <c r="BI526" i="1" s="1"/>
  <c r="AR526" i="1"/>
  <c r="BK526" i="1" s="1"/>
  <c r="AL526" i="1"/>
  <c r="BE526" i="1" s="1"/>
  <c r="AQ526" i="1"/>
  <c r="BJ526" i="1" s="1"/>
  <c r="AM526" i="1"/>
  <c r="BF526" i="1" s="1"/>
  <c r="AK512" i="1"/>
  <c r="BD512" i="1" s="1"/>
  <c r="AP512" i="1"/>
  <c r="BI512" i="1" s="1"/>
  <c r="AR512" i="1"/>
  <c r="BK512" i="1" s="1"/>
  <c r="AQ512" i="1"/>
  <c r="BJ512" i="1" s="1"/>
  <c r="AL512" i="1"/>
  <c r="BE512" i="1" s="1"/>
  <c r="AM512" i="1"/>
  <c r="BF512" i="1" s="1"/>
  <c r="AI512" i="1"/>
  <c r="AO512" i="1"/>
  <c r="BH512" i="1" s="1"/>
  <c r="AN512" i="1"/>
  <c r="BG512" i="1" s="1"/>
  <c r="AJ512" i="1"/>
  <c r="BC512" i="1" s="1"/>
  <c r="AJ534" i="1"/>
  <c r="BC534" i="1" s="1"/>
  <c r="AK534" i="1"/>
  <c r="BD534" i="1" s="1"/>
  <c r="AP534" i="1"/>
  <c r="BI534" i="1" s="1"/>
  <c r="AL534" i="1"/>
  <c r="BE534" i="1" s="1"/>
  <c r="AQ534" i="1"/>
  <c r="BJ534" i="1" s="1"/>
  <c r="AN534" i="1"/>
  <c r="BG534" i="1" s="1"/>
  <c r="AR534" i="1"/>
  <c r="BK534" i="1" s="1"/>
  <c r="AM534" i="1"/>
  <c r="BF534" i="1" s="1"/>
  <c r="AI534" i="1"/>
  <c r="AO534" i="1"/>
  <c r="BH534" i="1" s="1"/>
  <c r="AL530" i="1"/>
  <c r="BE530" i="1" s="1"/>
  <c r="AM530" i="1"/>
  <c r="BF530" i="1" s="1"/>
  <c r="AR530" i="1"/>
  <c r="BK530" i="1" s="1"/>
  <c r="AI530" i="1"/>
  <c r="AN530" i="1"/>
  <c r="BG530" i="1" s="1"/>
  <c r="AP530" i="1"/>
  <c r="BI530" i="1" s="1"/>
  <c r="AJ530" i="1"/>
  <c r="BC530" i="1" s="1"/>
  <c r="AO530" i="1"/>
  <c r="BH530" i="1" s="1"/>
  <c r="AQ530" i="1"/>
  <c r="BJ530" i="1" s="1"/>
  <c r="AK530" i="1"/>
  <c r="BD530" i="1" s="1"/>
  <c r="AM518" i="1"/>
  <c r="BF518" i="1" s="1"/>
  <c r="AN518" i="1"/>
  <c r="BG518" i="1" s="1"/>
  <c r="AI518" i="1"/>
  <c r="AO518" i="1"/>
  <c r="BH518" i="1" s="1"/>
  <c r="AJ518" i="1"/>
  <c r="BC518" i="1" s="1"/>
  <c r="AP518" i="1"/>
  <c r="BI518" i="1" s="1"/>
  <c r="AK518" i="1"/>
  <c r="BD518" i="1" s="1"/>
  <c r="AR518" i="1"/>
  <c r="BK518" i="1" s="1"/>
  <c r="AQ518" i="1"/>
  <c r="BJ518" i="1" s="1"/>
  <c r="AL518" i="1"/>
  <c r="BE518" i="1" s="1"/>
  <c r="AJ501" i="1"/>
  <c r="BC501" i="1" s="1"/>
  <c r="AN501" i="1"/>
  <c r="BG501" i="1" s="1"/>
  <c r="AK501" i="1"/>
  <c r="BD501" i="1" s="1"/>
  <c r="AO501" i="1"/>
  <c r="BH501" i="1" s="1"/>
  <c r="AP501" i="1"/>
  <c r="BI501" i="1" s="1"/>
  <c r="AR501" i="1"/>
  <c r="BK501" i="1" s="1"/>
  <c r="AL501" i="1"/>
  <c r="BE501" i="1" s="1"/>
  <c r="AQ501" i="1"/>
  <c r="BJ501" i="1" s="1"/>
  <c r="AM501" i="1"/>
  <c r="BF501" i="1" s="1"/>
  <c r="AI501" i="1"/>
  <c r="AL562" i="1"/>
  <c r="BE562" i="1" s="1"/>
  <c r="AM562" i="1"/>
  <c r="BF562" i="1" s="1"/>
  <c r="AR562" i="1"/>
  <c r="BK562" i="1" s="1"/>
  <c r="AI562" i="1"/>
  <c r="AN562" i="1"/>
  <c r="BG562" i="1" s="1"/>
  <c r="AQ562" i="1"/>
  <c r="BJ562" i="1" s="1"/>
  <c r="AP562" i="1"/>
  <c r="BI562" i="1" s="1"/>
  <c r="AK562" i="1"/>
  <c r="BD562" i="1" s="1"/>
  <c r="AO562" i="1"/>
  <c r="BH562" i="1" s="1"/>
  <c r="AJ562" i="1"/>
  <c r="BC562" i="1" s="1"/>
  <c r="AK531" i="1"/>
  <c r="BD531" i="1" s="1"/>
  <c r="AO531" i="1"/>
  <c r="BH531" i="1" s="1"/>
  <c r="AL531" i="1"/>
  <c r="BE531" i="1" s="1"/>
  <c r="AP531" i="1"/>
  <c r="BI531" i="1" s="1"/>
  <c r="AQ531" i="1"/>
  <c r="BJ531" i="1" s="1"/>
  <c r="AM531" i="1"/>
  <c r="BF531" i="1" s="1"/>
  <c r="AR531" i="1"/>
  <c r="BK531" i="1" s="1"/>
  <c r="AI531" i="1"/>
  <c r="AN531" i="1"/>
  <c r="BG531" i="1" s="1"/>
  <c r="AJ531" i="1"/>
  <c r="BC531" i="1" s="1"/>
  <c r="AK507" i="1"/>
  <c r="BD507" i="1" s="1"/>
  <c r="AO507" i="1"/>
  <c r="BH507" i="1" s="1"/>
  <c r="AL507" i="1"/>
  <c r="BE507" i="1" s="1"/>
  <c r="AP507" i="1"/>
  <c r="BI507" i="1" s="1"/>
  <c r="AM507" i="1"/>
  <c r="BF507" i="1" s="1"/>
  <c r="AI507" i="1"/>
  <c r="AN507" i="1"/>
  <c r="BG507" i="1" s="1"/>
  <c r="AJ507" i="1"/>
  <c r="BC507" i="1" s="1"/>
  <c r="AQ507" i="1"/>
  <c r="BJ507" i="1" s="1"/>
  <c r="AR507" i="1"/>
  <c r="BK507" i="1" s="1"/>
  <c r="AJ549" i="1"/>
  <c r="BC549" i="1" s="1"/>
  <c r="AN549" i="1"/>
  <c r="BG549" i="1" s="1"/>
  <c r="AK549" i="1"/>
  <c r="BD549" i="1" s="1"/>
  <c r="AO549" i="1"/>
  <c r="BH549" i="1" s="1"/>
  <c r="AM549" i="1"/>
  <c r="BF549" i="1" s="1"/>
  <c r="AQ549" i="1"/>
  <c r="BJ549" i="1" s="1"/>
  <c r="AI549" i="1"/>
  <c r="AP549" i="1"/>
  <c r="BI549" i="1" s="1"/>
  <c r="AL549" i="1"/>
  <c r="BE549" i="1" s="1"/>
  <c r="AR549" i="1"/>
  <c r="BK549" i="1" s="1"/>
  <c r="AP554" i="1"/>
  <c r="BI554" i="1" s="1"/>
  <c r="AK554" i="1"/>
  <c r="BD554" i="1" s="1"/>
  <c r="AL554" i="1"/>
  <c r="BE554" i="1" s="1"/>
  <c r="AR554" i="1"/>
  <c r="BK554" i="1" s="1"/>
  <c r="AM554" i="1"/>
  <c r="BF554" i="1" s="1"/>
  <c r="AQ554" i="1"/>
  <c r="BJ554" i="1" s="1"/>
  <c r="AI554" i="1"/>
  <c r="AO554" i="1"/>
  <c r="BH554" i="1" s="1"/>
  <c r="AN554" i="1"/>
  <c r="BG554" i="1" s="1"/>
  <c r="AJ554" i="1"/>
  <c r="BC554" i="1" s="1"/>
  <c r="AJ525" i="1"/>
  <c r="BC525" i="1" s="1"/>
  <c r="AN525" i="1"/>
  <c r="BG525" i="1" s="1"/>
  <c r="AK525" i="1"/>
  <c r="BD525" i="1" s="1"/>
  <c r="AO525" i="1"/>
  <c r="BH525" i="1" s="1"/>
  <c r="AI525" i="1"/>
  <c r="AP525" i="1"/>
  <c r="BI525" i="1" s="1"/>
  <c r="AL525" i="1"/>
  <c r="BE525" i="1" s="1"/>
  <c r="AQ525" i="1"/>
  <c r="BJ525" i="1" s="1"/>
  <c r="AM525" i="1"/>
  <c r="BF525" i="1" s="1"/>
  <c r="AR525" i="1"/>
  <c r="BK525" i="1" s="1"/>
  <c r="AJ502" i="1"/>
  <c r="BC502" i="1" s="1"/>
  <c r="AK502" i="1"/>
  <c r="BD502" i="1" s="1"/>
  <c r="AP502" i="1"/>
  <c r="BI502" i="1" s="1"/>
  <c r="AR502" i="1"/>
  <c r="BK502" i="1" s="1"/>
  <c r="AL502" i="1"/>
  <c r="BE502" i="1" s="1"/>
  <c r="AQ502" i="1"/>
  <c r="BJ502" i="1" s="1"/>
  <c r="AN502" i="1"/>
  <c r="BG502" i="1" s="1"/>
  <c r="AM502" i="1"/>
  <c r="BF502" i="1" s="1"/>
  <c r="AO502" i="1"/>
  <c r="BH502" i="1" s="1"/>
  <c r="AI502" i="1"/>
  <c r="AM560" i="1"/>
  <c r="BF560" i="1" s="1"/>
  <c r="AR560" i="1"/>
  <c r="BK560" i="1" s="1"/>
  <c r="AN560" i="1"/>
  <c r="BG560" i="1" s="1"/>
  <c r="AI560" i="1"/>
  <c r="AQ560" i="1"/>
  <c r="BJ560" i="1" s="1"/>
  <c r="AJ560" i="1"/>
  <c r="BC560" i="1" s="1"/>
  <c r="AO560" i="1"/>
  <c r="BH560" i="1" s="1"/>
  <c r="AP560" i="1"/>
  <c r="BI560" i="1" s="1"/>
  <c r="AK560" i="1"/>
  <c r="BD560" i="1" s="1"/>
  <c r="AL560" i="1"/>
  <c r="BE560" i="1" s="1"/>
  <c r="AM550" i="1"/>
  <c r="BF550" i="1" s="1"/>
  <c r="AQ550" i="1"/>
  <c r="BJ550" i="1" s="1"/>
  <c r="AN550" i="1"/>
  <c r="BG550" i="1" s="1"/>
  <c r="AI550" i="1"/>
  <c r="AO550" i="1"/>
  <c r="BH550" i="1" s="1"/>
  <c r="AJ550" i="1"/>
  <c r="BC550" i="1" s="1"/>
  <c r="AR550" i="1"/>
  <c r="BK550" i="1" s="1"/>
  <c r="AK550" i="1"/>
  <c r="BD550" i="1" s="1"/>
  <c r="AP550" i="1"/>
  <c r="BI550" i="1" s="1"/>
  <c r="AL550" i="1"/>
  <c r="BE550" i="1" s="1"/>
  <c r="AR552" i="1"/>
  <c r="BK552" i="1" s="1"/>
  <c r="AL552" i="1"/>
  <c r="BE552" i="1" s="1"/>
  <c r="AM552" i="1"/>
  <c r="BF552" i="1" s="1"/>
  <c r="AN552" i="1"/>
  <c r="BG552" i="1" s="1"/>
  <c r="AQ552" i="1"/>
  <c r="BJ552" i="1" s="1"/>
  <c r="AI552" i="1"/>
  <c r="AK552" i="1"/>
  <c r="BD552" i="1" s="1"/>
  <c r="AO552" i="1"/>
  <c r="BH552" i="1" s="1"/>
  <c r="AJ552" i="1"/>
  <c r="BC552" i="1" s="1"/>
  <c r="AP552" i="1"/>
  <c r="BI552" i="1" s="1"/>
  <c r="AK547" i="1"/>
  <c r="BD547" i="1" s="1"/>
  <c r="AO547" i="1"/>
  <c r="BH547" i="1" s="1"/>
  <c r="AL547" i="1"/>
  <c r="BE547" i="1" s="1"/>
  <c r="AP547" i="1"/>
  <c r="BI547" i="1" s="1"/>
  <c r="AI547" i="1"/>
  <c r="AN547" i="1"/>
  <c r="BG547" i="1" s="1"/>
  <c r="AJ547" i="1"/>
  <c r="BC547" i="1" s="1"/>
  <c r="AR547" i="1"/>
  <c r="BK547" i="1" s="1"/>
  <c r="AM547" i="1"/>
  <c r="BF547" i="1" s="1"/>
  <c r="AQ547" i="1"/>
  <c r="BJ547" i="1" s="1"/>
  <c r="AJ557" i="1"/>
  <c r="BC557" i="1" s="1"/>
  <c r="AN557" i="1"/>
  <c r="BG557" i="1" s="1"/>
  <c r="AK557" i="1"/>
  <c r="BD557" i="1" s="1"/>
  <c r="AO557" i="1"/>
  <c r="BH557" i="1" s="1"/>
  <c r="AI557" i="1"/>
  <c r="AP557" i="1"/>
  <c r="BI557" i="1" s="1"/>
  <c r="AL557" i="1"/>
  <c r="BE557" i="1" s="1"/>
  <c r="AM557" i="1"/>
  <c r="BF557" i="1" s="1"/>
  <c r="AR557" i="1"/>
  <c r="BK557" i="1" s="1"/>
  <c r="AQ557" i="1"/>
  <c r="BJ557" i="1" s="1"/>
  <c r="AJ517" i="1"/>
  <c r="BC517" i="1" s="1"/>
  <c r="AN517" i="1"/>
  <c r="BG517" i="1" s="1"/>
  <c r="AK517" i="1"/>
  <c r="BD517" i="1" s="1"/>
  <c r="AO517" i="1"/>
  <c r="BH517" i="1" s="1"/>
  <c r="AM517" i="1"/>
  <c r="BF517" i="1" s="1"/>
  <c r="AI517" i="1"/>
  <c r="AP517" i="1"/>
  <c r="BI517" i="1" s="1"/>
  <c r="AL517" i="1"/>
  <c r="BE517" i="1" s="1"/>
  <c r="AQ517" i="1"/>
  <c r="BJ517" i="1" s="1"/>
  <c r="AR517" i="1"/>
  <c r="BK517" i="1" s="1"/>
  <c r="AI527" i="1"/>
  <c r="AM527" i="1"/>
  <c r="BF527" i="1" s="1"/>
  <c r="AQ527" i="1"/>
  <c r="BJ527" i="1" s="1"/>
  <c r="AJ527" i="1"/>
  <c r="BC527" i="1" s="1"/>
  <c r="AN527" i="1"/>
  <c r="BG527" i="1" s="1"/>
  <c r="AO527" i="1"/>
  <c r="BH527" i="1" s="1"/>
  <c r="AK527" i="1"/>
  <c r="BD527" i="1" s="1"/>
  <c r="AP527" i="1"/>
  <c r="BI527" i="1" s="1"/>
  <c r="AL527" i="1"/>
  <c r="BE527" i="1" s="1"/>
  <c r="AR527" i="1"/>
  <c r="BK527" i="1" s="1"/>
  <c r="AL505" i="1"/>
  <c r="BE505" i="1" s="1"/>
  <c r="AP505" i="1"/>
  <c r="BI505" i="1" s="1"/>
  <c r="AI505" i="1"/>
  <c r="AM505" i="1"/>
  <c r="BF505" i="1" s="1"/>
  <c r="AQ505" i="1"/>
  <c r="BJ505" i="1" s="1"/>
  <c r="AN505" i="1"/>
  <c r="BG505" i="1" s="1"/>
  <c r="AJ505" i="1"/>
  <c r="BC505" i="1" s="1"/>
  <c r="AO505" i="1"/>
  <c r="BH505" i="1" s="1"/>
  <c r="AR505" i="1"/>
  <c r="BK505" i="1" s="1"/>
  <c r="AK505" i="1"/>
  <c r="BD505" i="1" s="1"/>
  <c r="AQ540" i="1"/>
  <c r="BJ540" i="1" s="1"/>
  <c r="AM540" i="1"/>
  <c r="BF540" i="1" s="1"/>
  <c r="AI540" i="1"/>
  <c r="AN540" i="1"/>
  <c r="BG540" i="1" s="1"/>
  <c r="AO540" i="1"/>
  <c r="BH540" i="1" s="1"/>
  <c r="AR540" i="1"/>
  <c r="BK540" i="1" s="1"/>
  <c r="AK540" i="1"/>
  <c r="BD540" i="1" s="1"/>
  <c r="AJ540" i="1"/>
  <c r="BC540" i="1" s="1"/>
  <c r="AL540" i="1"/>
  <c r="BE540" i="1" s="1"/>
  <c r="AP540" i="1"/>
  <c r="BI540" i="1" s="1"/>
  <c r="AI506" i="1"/>
  <c r="AN506" i="1"/>
  <c r="BG506" i="1" s="1"/>
  <c r="AJ506" i="1"/>
  <c r="BC506" i="1" s="1"/>
  <c r="AO506" i="1"/>
  <c r="BH506" i="1" s="1"/>
  <c r="AP506" i="1"/>
  <c r="BI506" i="1" s="1"/>
  <c r="AR506" i="1"/>
  <c r="BK506" i="1" s="1"/>
  <c r="AL506" i="1"/>
  <c r="BE506" i="1" s="1"/>
  <c r="AK506" i="1"/>
  <c r="BD506" i="1" s="1"/>
  <c r="AM506" i="1"/>
  <c r="BF506" i="1" s="1"/>
  <c r="AQ506" i="1"/>
  <c r="BJ506" i="1" s="1"/>
  <c r="AJ541" i="1"/>
  <c r="BC541" i="1" s="1"/>
  <c r="AN541" i="1"/>
  <c r="BG541" i="1" s="1"/>
  <c r="AK541" i="1"/>
  <c r="BD541" i="1" s="1"/>
  <c r="AO541" i="1"/>
  <c r="BH541" i="1" s="1"/>
  <c r="AL541" i="1"/>
  <c r="BE541" i="1" s="1"/>
  <c r="AQ541" i="1"/>
  <c r="BJ541" i="1" s="1"/>
  <c r="AM541" i="1"/>
  <c r="BF541" i="1" s="1"/>
  <c r="AI541" i="1"/>
  <c r="AP541" i="1"/>
  <c r="BI541" i="1" s="1"/>
  <c r="AR541" i="1"/>
  <c r="BK541" i="1" s="1"/>
  <c r="AK515" i="1"/>
  <c r="BD515" i="1" s="1"/>
  <c r="AO515" i="1"/>
  <c r="BH515" i="1" s="1"/>
  <c r="AL515" i="1"/>
  <c r="BE515" i="1" s="1"/>
  <c r="AP515" i="1"/>
  <c r="BI515" i="1" s="1"/>
  <c r="AI515" i="1"/>
  <c r="AN515" i="1"/>
  <c r="BG515" i="1" s="1"/>
  <c r="AJ515" i="1"/>
  <c r="BC515" i="1" s="1"/>
  <c r="AQ515" i="1"/>
  <c r="BJ515" i="1" s="1"/>
  <c r="AR515" i="1"/>
  <c r="BK515" i="1" s="1"/>
  <c r="AM515" i="1"/>
  <c r="BF515" i="1" s="1"/>
  <c r="AI559" i="1"/>
  <c r="AM559" i="1"/>
  <c r="BF559" i="1" s="1"/>
  <c r="AJ559" i="1"/>
  <c r="BC559" i="1" s="1"/>
  <c r="AN559" i="1"/>
  <c r="BG559" i="1" s="1"/>
  <c r="AQ559" i="1"/>
  <c r="BJ559" i="1" s="1"/>
  <c r="AO559" i="1"/>
  <c r="BH559" i="1" s="1"/>
  <c r="AK559" i="1"/>
  <c r="BD559" i="1" s="1"/>
  <c r="AP559" i="1"/>
  <c r="BI559" i="1" s="1"/>
  <c r="AL559" i="1"/>
  <c r="BE559" i="1" s="1"/>
  <c r="AR559" i="1"/>
  <c r="BK559" i="1" s="1"/>
  <c r="AK539" i="1"/>
  <c r="BD539" i="1" s="1"/>
  <c r="AO539" i="1"/>
  <c r="BH539" i="1" s="1"/>
  <c r="AL539" i="1"/>
  <c r="BE539" i="1" s="1"/>
  <c r="AP539" i="1"/>
  <c r="BI539" i="1" s="1"/>
  <c r="AM539" i="1"/>
  <c r="BF539" i="1" s="1"/>
  <c r="AI539" i="1"/>
  <c r="AN539" i="1"/>
  <c r="BG539" i="1" s="1"/>
  <c r="AR539" i="1"/>
  <c r="BK539" i="1" s="1"/>
  <c r="AJ539" i="1"/>
  <c r="BC539" i="1" s="1"/>
  <c r="AQ539" i="1"/>
  <c r="BJ539" i="1" s="1"/>
  <c r="AI536" i="1"/>
  <c r="AR536" i="1"/>
  <c r="BK536" i="1" s="1"/>
  <c r="AJ536" i="1"/>
  <c r="BC536" i="1" s="1"/>
  <c r="AO536" i="1"/>
  <c r="BH536" i="1" s="1"/>
  <c r="AK536" i="1"/>
  <c r="BD536" i="1" s="1"/>
  <c r="AP536" i="1"/>
  <c r="BI536" i="1" s="1"/>
  <c r="AM536" i="1"/>
  <c r="BF536" i="1" s="1"/>
  <c r="AQ536" i="1"/>
  <c r="BJ536" i="1" s="1"/>
  <c r="AL536" i="1"/>
  <c r="BE536" i="1" s="1"/>
  <c r="AN536" i="1"/>
  <c r="BG536" i="1" s="1"/>
  <c r="AO524" i="1"/>
  <c r="BH524" i="1" s="1"/>
  <c r="AJ524" i="1"/>
  <c r="BC524" i="1" s="1"/>
  <c r="AP524" i="1"/>
  <c r="BI524" i="1" s="1"/>
  <c r="AK524" i="1"/>
  <c r="BD524" i="1" s="1"/>
  <c r="AL524" i="1"/>
  <c r="BE524" i="1" s="1"/>
  <c r="AQ524" i="1"/>
  <c r="BJ524" i="1" s="1"/>
  <c r="AR524" i="1"/>
  <c r="BK524" i="1" s="1"/>
  <c r="AN524" i="1"/>
  <c r="BG524" i="1" s="1"/>
  <c r="AI524" i="1"/>
  <c r="AM524" i="1"/>
  <c r="BF524" i="1" s="1"/>
  <c r="AL553" i="1"/>
  <c r="BE553" i="1" s="1"/>
  <c r="AP553" i="1"/>
  <c r="BI553" i="1" s="1"/>
  <c r="AI553" i="1"/>
  <c r="AM553" i="1"/>
  <c r="BF553" i="1" s="1"/>
  <c r="AQ553" i="1"/>
  <c r="BJ553" i="1" s="1"/>
  <c r="AK553" i="1"/>
  <c r="BD553" i="1" s="1"/>
  <c r="AR553" i="1"/>
  <c r="BK553" i="1" s="1"/>
  <c r="AN553" i="1"/>
  <c r="BG553" i="1" s="1"/>
  <c r="AJ553" i="1"/>
  <c r="BC553" i="1" s="1"/>
  <c r="AO553" i="1"/>
  <c r="BH553" i="1" s="1"/>
  <c r="AL545" i="1"/>
  <c r="BE545" i="1" s="1"/>
  <c r="AP545" i="1"/>
  <c r="BI545" i="1" s="1"/>
  <c r="AI545" i="1"/>
  <c r="AM545" i="1"/>
  <c r="BF545" i="1" s="1"/>
  <c r="AQ545" i="1"/>
  <c r="BJ545" i="1" s="1"/>
  <c r="AJ545" i="1"/>
  <c r="BC545" i="1" s="1"/>
  <c r="AO545" i="1"/>
  <c r="BH545" i="1" s="1"/>
  <c r="AR545" i="1"/>
  <c r="BK545" i="1" s="1"/>
  <c r="AK545" i="1"/>
  <c r="BD545" i="1" s="1"/>
  <c r="AN545" i="1"/>
  <c r="BG545" i="1" s="1"/>
  <c r="AI503" i="1"/>
  <c r="AM503" i="1"/>
  <c r="BF503" i="1" s="1"/>
  <c r="AQ503" i="1"/>
  <c r="BJ503" i="1" s="1"/>
  <c r="AJ503" i="1"/>
  <c r="BC503" i="1" s="1"/>
  <c r="AN503" i="1"/>
  <c r="BG503" i="1" s="1"/>
  <c r="AR503" i="1"/>
  <c r="BK503" i="1" s="1"/>
  <c r="AO503" i="1"/>
  <c r="BH503" i="1" s="1"/>
  <c r="AK503" i="1"/>
  <c r="BD503" i="1" s="1"/>
  <c r="AP503" i="1"/>
  <c r="BI503" i="1" s="1"/>
  <c r="AL503" i="1"/>
  <c r="BE503" i="1" s="1"/>
  <c r="AI538" i="1"/>
  <c r="AN538" i="1"/>
  <c r="BG538" i="1" s="1"/>
  <c r="AR538" i="1"/>
  <c r="BK538" i="1" s="1"/>
  <c r="AJ538" i="1"/>
  <c r="BC538" i="1" s="1"/>
  <c r="AO538" i="1"/>
  <c r="BH538" i="1" s="1"/>
  <c r="AP538" i="1"/>
  <c r="BI538" i="1" s="1"/>
  <c r="AL538" i="1"/>
  <c r="BE538" i="1" s="1"/>
  <c r="AQ538" i="1"/>
  <c r="BJ538" i="1" s="1"/>
  <c r="AK538" i="1"/>
  <c r="BD538" i="1" s="1"/>
  <c r="AM538" i="1"/>
  <c r="BF538" i="1" s="1"/>
  <c r="AK563" i="1"/>
  <c r="BD563" i="1" s="1"/>
  <c r="AO563" i="1"/>
  <c r="BH563" i="1" s="1"/>
  <c r="AL563" i="1"/>
  <c r="BE563" i="1" s="1"/>
  <c r="AP563" i="1"/>
  <c r="BI563" i="1" s="1"/>
  <c r="AM563" i="1"/>
  <c r="BF563" i="1" s="1"/>
  <c r="AR563" i="1"/>
  <c r="BK563" i="1" s="1"/>
  <c r="AI563" i="1"/>
  <c r="AN563" i="1"/>
  <c r="BG563" i="1" s="1"/>
  <c r="AQ563" i="1"/>
  <c r="BJ563" i="1" s="1"/>
  <c r="AJ563" i="1"/>
  <c r="BC563" i="1" s="1"/>
  <c r="AI535" i="1"/>
  <c r="AM535" i="1"/>
  <c r="BF535" i="1" s="1"/>
  <c r="AJ535" i="1"/>
  <c r="BC535" i="1" s="1"/>
  <c r="AN535" i="1"/>
  <c r="BG535" i="1" s="1"/>
  <c r="AO535" i="1"/>
  <c r="BH535" i="1" s="1"/>
  <c r="AK535" i="1"/>
  <c r="BD535" i="1" s="1"/>
  <c r="AP535" i="1"/>
  <c r="BI535" i="1" s="1"/>
  <c r="AL535" i="1"/>
  <c r="BE535" i="1" s="1"/>
  <c r="AQ535" i="1"/>
  <c r="BJ535" i="1" s="1"/>
  <c r="AR535" i="1"/>
  <c r="BK535" i="1" s="1"/>
  <c r="AK523" i="1"/>
  <c r="BD523" i="1" s="1"/>
  <c r="AO523" i="1"/>
  <c r="BH523" i="1" s="1"/>
  <c r="AL523" i="1"/>
  <c r="BE523" i="1" s="1"/>
  <c r="AP523" i="1"/>
  <c r="BI523" i="1" s="1"/>
  <c r="AJ523" i="1"/>
  <c r="BC523" i="1" s="1"/>
  <c r="AQ523" i="1"/>
  <c r="BJ523" i="1" s="1"/>
  <c r="AR523" i="1"/>
  <c r="BK523" i="1" s="1"/>
  <c r="AM523" i="1"/>
  <c r="BF523" i="1" s="1"/>
  <c r="AI523" i="1"/>
  <c r="AN523" i="1"/>
  <c r="BG523" i="1" s="1"/>
  <c r="AK555" i="1"/>
  <c r="BD555" i="1" s="1"/>
  <c r="AO555" i="1"/>
  <c r="BH555" i="1" s="1"/>
  <c r="AL555" i="1"/>
  <c r="BE555" i="1" s="1"/>
  <c r="AP555" i="1"/>
  <c r="BI555" i="1" s="1"/>
  <c r="AJ555" i="1"/>
  <c r="BC555" i="1" s="1"/>
  <c r="AR555" i="1"/>
  <c r="BK555" i="1" s="1"/>
  <c r="AM555" i="1"/>
  <c r="BF555" i="1" s="1"/>
  <c r="AI555" i="1"/>
  <c r="AN555" i="1"/>
  <c r="BG555" i="1" s="1"/>
  <c r="AQ555" i="1"/>
  <c r="BJ555" i="1" s="1"/>
  <c r="AL521" i="1"/>
  <c r="BE521" i="1" s="1"/>
  <c r="AP521" i="1"/>
  <c r="BI521" i="1" s="1"/>
  <c r="AI521" i="1"/>
  <c r="AM521" i="1"/>
  <c r="BF521" i="1" s="1"/>
  <c r="AQ521" i="1"/>
  <c r="BJ521" i="1" s="1"/>
  <c r="AK521" i="1"/>
  <c r="BD521" i="1" s="1"/>
  <c r="AR521" i="1"/>
  <c r="BK521" i="1" s="1"/>
  <c r="AN521" i="1"/>
  <c r="BG521" i="1" s="1"/>
  <c r="AJ521" i="1"/>
  <c r="BC521" i="1" s="1"/>
  <c r="AO521" i="1"/>
  <c r="BH521" i="1" s="1"/>
  <c r="AI516" i="1"/>
  <c r="AN516" i="1"/>
  <c r="BG516" i="1" s="1"/>
  <c r="AO516" i="1"/>
  <c r="BH516" i="1" s="1"/>
  <c r="AJ516" i="1"/>
  <c r="BC516" i="1" s="1"/>
  <c r="AP516" i="1"/>
  <c r="BI516" i="1" s="1"/>
  <c r="AK516" i="1"/>
  <c r="BD516" i="1" s="1"/>
  <c r="AR516" i="1"/>
  <c r="BK516" i="1" s="1"/>
  <c r="AM516" i="1"/>
  <c r="BF516" i="1" s="1"/>
  <c r="AQ516" i="1"/>
  <c r="BJ516" i="1" s="1"/>
  <c r="AL516" i="1"/>
  <c r="BE516" i="1" s="1"/>
  <c r="AL529" i="1"/>
  <c r="BE529" i="1" s="1"/>
  <c r="AP529" i="1"/>
  <c r="BI529" i="1" s="1"/>
  <c r="AI529" i="1"/>
  <c r="AM529" i="1"/>
  <c r="BF529" i="1" s="1"/>
  <c r="AQ529" i="1"/>
  <c r="BJ529" i="1" s="1"/>
  <c r="AR529" i="1"/>
  <c r="BK529" i="1" s="1"/>
  <c r="AN529" i="1"/>
  <c r="BG529" i="1" s="1"/>
  <c r="AJ529" i="1"/>
  <c r="BC529" i="1" s="1"/>
  <c r="AO529" i="1"/>
  <c r="BH529" i="1" s="1"/>
  <c r="AK529" i="1"/>
  <c r="BD529" i="1" s="1"/>
  <c r="AI511" i="1"/>
  <c r="AM511" i="1"/>
  <c r="BF511" i="1" s="1"/>
  <c r="AQ511" i="1"/>
  <c r="BJ511" i="1" s="1"/>
  <c r="AJ511" i="1"/>
  <c r="BC511" i="1" s="1"/>
  <c r="AN511" i="1"/>
  <c r="BG511" i="1" s="1"/>
  <c r="AR511" i="1"/>
  <c r="BK511" i="1" s="1"/>
  <c r="AK511" i="1"/>
  <c r="BD511" i="1" s="1"/>
  <c r="AP511" i="1"/>
  <c r="BI511" i="1" s="1"/>
  <c r="AL511" i="1"/>
  <c r="BE511" i="1" s="1"/>
  <c r="AO511" i="1"/>
  <c r="BH511" i="1" s="1"/>
  <c r="AI504" i="1"/>
  <c r="AJ504" i="1"/>
  <c r="BC504" i="1" s="1"/>
  <c r="AO504" i="1"/>
  <c r="BH504" i="1" s="1"/>
  <c r="AR504" i="1"/>
  <c r="BK504" i="1" s="1"/>
  <c r="AK504" i="1"/>
  <c r="BD504" i="1" s="1"/>
  <c r="AP504" i="1"/>
  <c r="BI504" i="1" s="1"/>
  <c r="AQ504" i="1"/>
  <c r="BJ504" i="1" s="1"/>
  <c r="AM504" i="1"/>
  <c r="BF504" i="1" s="1"/>
  <c r="AL504" i="1"/>
  <c r="BE504" i="1" s="1"/>
  <c r="AN504" i="1"/>
  <c r="BG504" i="1" s="1"/>
  <c r="AI548" i="1"/>
  <c r="AN548" i="1"/>
  <c r="BG548" i="1" s="1"/>
  <c r="AO548" i="1"/>
  <c r="BH548" i="1" s="1"/>
  <c r="AJ548" i="1"/>
  <c r="BC548" i="1" s="1"/>
  <c r="AP548" i="1"/>
  <c r="BI548" i="1" s="1"/>
  <c r="AK548" i="1"/>
  <c r="BD548" i="1" s="1"/>
  <c r="AR548" i="1"/>
  <c r="BK548" i="1" s="1"/>
  <c r="AM548" i="1"/>
  <c r="BF548" i="1" s="1"/>
  <c r="AQ548" i="1"/>
  <c r="BJ548" i="1" s="1"/>
  <c r="AL548" i="1"/>
  <c r="BE548" i="1" s="1"/>
  <c r="AJ546" i="1"/>
  <c r="BC546" i="1" s="1"/>
  <c r="AO546" i="1"/>
  <c r="BH546" i="1" s="1"/>
  <c r="AP546" i="1"/>
  <c r="BI546" i="1" s="1"/>
  <c r="AR546" i="1"/>
  <c r="BK546" i="1" s="1"/>
  <c r="AK546" i="1"/>
  <c r="BD546" i="1" s="1"/>
  <c r="AL546" i="1"/>
  <c r="BE546" i="1" s="1"/>
  <c r="AM546" i="1"/>
  <c r="BF546" i="1" s="1"/>
  <c r="AQ546" i="1"/>
  <c r="BJ546" i="1" s="1"/>
  <c r="AN546" i="1"/>
  <c r="BG546" i="1" s="1"/>
  <c r="AI546" i="1"/>
  <c r="AM508" i="1"/>
  <c r="BF508" i="1" s="1"/>
  <c r="AI508" i="1"/>
  <c r="AN508" i="1"/>
  <c r="BG508" i="1" s="1"/>
  <c r="AO508" i="1"/>
  <c r="BH508" i="1" s="1"/>
  <c r="AK508" i="1"/>
  <c r="BD508" i="1" s="1"/>
  <c r="AR508" i="1"/>
  <c r="BK508" i="1" s="1"/>
  <c r="AQ508" i="1"/>
  <c r="BJ508" i="1" s="1"/>
  <c r="AJ508" i="1"/>
  <c r="BC508" i="1" s="1"/>
  <c r="AP508" i="1"/>
  <c r="BI508" i="1" s="1"/>
  <c r="AL508" i="1"/>
  <c r="BE508" i="1" s="1"/>
  <c r="AL537" i="1"/>
  <c r="BE537" i="1" s="1"/>
  <c r="AP537" i="1"/>
  <c r="BI537" i="1" s="1"/>
  <c r="AI537" i="1"/>
  <c r="AM537" i="1"/>
  <c r="BF537" i="1" s="1"/>
  <c r="AQ537" i="1"/>
  <c r="BJ537" i="1" s="1"/>
  <c r="AN537" i="1"/>
  <c r="BG537" i="1" s="1"/>
  <c r="AR537" i="1"/>
  <c r="BK537" i="1" s="1"/>
  <c r="AJ537" i="1"/>
  <c r="BC537" i="1" s="1"/>
  <c r="AO537" i="1"/>
  <c r="BH537" i="1" s="1"/>
  <c r="AK537" i="1"/>
  <c r="BD537" i="1" s="1"/>
  <c r="AI543" i="1"/>
  <c r="AM543" i="1"/>
  <c r="BF543" i="1" s="1"/>
  <c r="AJ543" i="1"/>
  <c r="BC543" i="1" s="1"/>
  <c r="AN543" i="1"/>
  <c r="BG543" i="1" s="1"/>
  <c r="AK543" i="1"/>
  <c r="BD543" i="1" s="1"/>
  <c r="AP543" i="1"/>
  <c r="BI543" i="1" s="1"/>
  <c r="AL543" i="1"/>
  <c r="BE543" i="1" s="1"/>
  <c r="AQ543" i="1"/>
  <c r="BJ543" i="1" s="1"/>
  <c r="AO543" i="1"/>
  <c r="BH543" i="1" s="1"/>
  <c r="AR543" i="1"/>
  <c r="BK543" i="1" s="1"/>
  <c r="AK532" i="1"/>
  <c r="BD532" i="1" s="1"/>
  <c r="AL532" i="1"/>
  <c r="BE532" i="1" s="1"/>
  <c r="AQ532" i="1"/>
  <c r="BJ532" i="1" s="1"/>
  <c r="AM532" i="1"/>
  <c r="BF532" i="1" s="1"/>
  <c r="AR532" i="1"/>
  <c r="BK532" i="1" s="1"/>
  <c r="AO532" i="1"/>
  <c r="BH532" i="1" s="1"/>
  <c r="AJ532" i="1"/>
  <c r="BC532" i="1" s="1"/>
  <c r="AN532" i="1"/>
  <c r="BG532" i="1" s="1"/>
  <c r="AP532" i="1"/>
  <c r="BI532" i="1" s="1"/>
  <c r="AI532" i="1"/>
  <c r="AK500" i="1"/>
  <c r="BD500" i="1" s="1"/>
  <c r="AL500" i="1"/>
  <c r="BE500" i="1" s="1"/>
  <c r="AQ500" i="1"/>
  <c r="BJ500" i="1" s="1"/>
  <c r="AM500" i="1"/>
  <c r="BF500" i="1" s="1"/>
  <c r="AO500" i="1"/>
  <c r="BH500" i="1" s="1"/>
  <c r="AJ500" i="1"/>
  <c r="BC500" i="1" s="1"/>
  <c r="AN500" i="1"/>
  <c r="BG500" i="1" s="1"/>
  <c r="AI500" i="1"/>
  <c r="AR500" i="1"/>
  <c r="BK500" i="1" s="1"/>
  <c r="AP500" i="1"/>
  <c r="BI500" i="1" s="1"/>
  <c r="AI551" i="1"/>
  <c r="AM551" i="1"/>
  <c r="BF551" i="1" s="1"/>
  <c r="AJ551" i="1"/>
  <c r="BC551" i="1" s="1"/>
  <c r="AN551" i="1"/>
  <c r="BG551" i="1" s="1"/>
  <c r="AL551" i="1"/>
  <c r="BE551" i="1" s="1"/>
  <c r="AQ551" i="1"/>
  <c r="BJ551" i="1" s="1"/>
  <c r="AO551" i="1"/>
  <c r="BH551" i="1" s="1"/>
  <c r="AK551" i="1"/>
  <c r="BD551" i="1" s="1"/>
  <c r="AP551" i="1"/>
  <c r="BI551" i="1" s="1"/>
  <c r="AR551" i="1"/>
  <c r="BK551" i="1" s="1"/>
  <c r="AI485" i="1"/>
  <c r="AJ485" i="1"/>
  <c r="BC485" i="1" s="1"/>
  <c r="AM485" i="1"/>
  <c r="BF485" i="1" s="1"/>
  <c r="AN485" i="1"/>
  <c r="BG485" i="1" s="1"/>
  <c r="AL485" i="1"/>
  <c r="BE485" i="1" s="1"/>
  <c r="AK485" i="1"/>
  <c r="BD485" i="1" s="1"/>
  <c r="AR485" i="1"/>
  <c r="BK485" i="1" s="1"/>
  <c r="AO485" i="1"/>
  <c r="BH485" i="1" s="1"/>
  <c r="AP485" i="1"/>
  <c r="BI485" i="1" s="1"/>
  <c r="AQ485" i="1"/>
  <c r="BJ485" i="1" s="1"/>
  <c r="AJ478" i="1"/>
  <c r="BC478" i="1" s="1"/>
  <c r="AN478" i="1"/>
  <c r="BG478" i="1" s="1"/>
  <c r="AM478" i="1"/>
  <c r="BF478" i="1" s="1"/>
  <c r="AI478" i="1"/>
  <c r="AL478" i="1"/>
  <c r="BE478" i="1" s="1"/>
  <c r="AK478" i="1"/>
  <c r="BD478" i="1" s="1"/>
  <c r="AO478" i="1"/>
  <c r="BH478" i="1" s="1"/>
  <c r="AP478" i="1"/>
  <c r="BI478" i="1" s="1"/>
  <c r="AQ478" i="1"/>
  <c r="BJ478" i="1" s="1"/>
  <c r="AR478" i="1"/>
  <c r="BK478" i="1" s="1"/>
  <c r="AJ459" i="1"/>
  <c r="BC459" i="1" s="1"/>
  <c r="AK459" i="1"/>
  <c r="BD459" i="1" s="1"/>
  <c r="AM459" i="1"/>
  <c r="BF459" i="1" s="1"/>
  <c r="AI459" i="1"/>
  <c r="AL459" i="1"/>
  <c r="BE459" i="1" s="1"/>
  <c r="AN459" i="1"/>
  <c r="BG459" i="1" s="1"/>
  <c r="AO459" i="1"/>
  <c r="BH459" i="1" s="1"/>
  <c r="AP459" i="1"/>
  <c r="BI459" i="1" s="1"/>
  <c r="AQ459" i="1"/>
  <c r="BJ459" i="1" s="1"/>
  <c r="AR459" i="1"/>
  <c r="BK459" i="1" s="1"/>
  <c r="AK458" i="1"/>
  <c r="BD458" i="1" s="1"/>
  <c r="AM458" i="1"/>
  <c r="BF458" i="1" s="1"/>
  <c r="AJ458" i="1"/>
  <c r="BC458" i="1" s="1"/>
  <c r="AI458" i="1"/>
  <c r="AL458" i="1"/>
  <c r="BE458" i="1" s="1"/>
  <c r="AN458" i="1"/>
  <c r="BG458" i="1" s="1"/>
  <c r="AQ458" i="1"/>
  <c r="BJ458" i="1" s="1"/>
  <c r="AR458" i="1"/>
  <c r="BK458" i="1" s="1"/>
  <c r="AP458" i="1"/>
  <c r="BI458" i="1" s="1"/>
  <c r="AO458" i="1"/>
  <c r="BH458" i="1" s="1"/>
  <c r="AI437" i="1"/>
  <c r="AJ437" i="1"/>
  <c r="BC437" i="1" s="1"/>
  <c r="AK437" i="1"/>
  <c r="BD437" i="1" s="1"/>
  <c r="AN437" i="1"/>
  <c r="BG437" i="1" s="1"/>
  <c r="AL437" i="1"/>
  <c r="BE437" i="1" s="1"/>
  <c r="AM437" i="1"/>
  <c r="BF437" i="1" s="1"/>
  <c r="AR437" i="1"/>
  <c r="BK437" i="1" s="1"/>
  <c r="AO437" i="1"/>
  <c r="BH437" i="1" s="1"/>
  <c r="AP437" i="1"/>
  <c r="BI437" i="1" s="1"/>
  <c r="AQ437" i="1"/>
  <c r="BJ437" i="1" s="1"/>
  <c r="AJ424" i="1"/>
  <c r="BC424" i="1" s="1"/>
  <c r="AM424" i="1"/>
  <c r="BF424" i="1" s="1"/>
  <c r="AI424" i="1"/>
  <c r="AN424" i="1"/>
  <c r="BG424" i="1" s="1"/>
  <c r="AL424" i="1"/>
  <c r="BE424" i="1" s="1"/>
  <c r="AO424" i="1"/>
  <c r="BH424" i="1" s="1"/>
  <c r="AR424" i="1"/>
  <c r="BK424" i="1" s="1"/>
  <c r="AK424" i="1"/>
  <c r="BD424" i="1" s="1"/>
  <c r="AP424" i="1"/>
  <c r="BI424" i="1" s="1"/>
  <c r="AQ424" i="1"/>
  <c r="BJ424" i="1" s="1"/>
  <c r="AK394" i="1"/>
  <c r="BD394" i="1" s="1"/>
  <c r="AJ394" i="1"/>
  <c r="BC394" i="1" s="1"/>
  <c r="AM394" i="1"/>
  <c r="BF394" i="1" s="1"/>
  <c r="AI394" i="1"/>
  <c r="AL394" i="1"/>
  <c r="BE394" i="1" s="1"/>
  <c r="AN394" i="1"/>
  <c r="BG394" i="1" s="1"/>
  <c r="AO394" i="1"/>
  <c r="BH394" i="1" s="1"/>
  <c r="AQ394" i="1"/>
  <c r="BJ394" i="1" s="1"/>
  <c r="AR394" i="1"/>
  <c r="BK394" i="1" s="1"/>
  <c r="AP394" i="1"/>
  <c r="BI394" i="1" s="1"/>
  <c r="AI474" i="1"/>
  <c r="AL474" i="1"/>
  <c r="BE474" i="1" s="1"/>
  <c r="AK474" i="1"/>
  <c r="BD474" i="1" s="1"/>
  <c r="AN474" i="1"/>
  <c r="BG474" i="1" s="1"/>
  <c r="AM474" i="1"/>
  <c r="BF474" i="1" s="1"/>
  <c r="AJ474" i="1"/>
  <c r="BC474" i="1" s="1"/>
  <c r="AQ474" i="1"/>
  <c r="BJ474" i="1" s="1"/>
  <c r="AR474" i="1"/>
  <c r="BK474" i="1" s="1"/>
  <c r="AO474" i="1"/>
  <c r="BH474" i="1" s="1"/>
  <c r="AP474" i="1"/>
  <c r="BI474" i="1" s="1"/>
  <c r="AI420" i="1"/>
  <c r="AL420" i="1"/>
  <c r="BE420" i="1" s="1"/>
  <c r="AO420" i="1"/>
  <c r="BH420" i="1" s="1"/>
  <c r="AK420" i="1"/>
  <c r="BD420" i="1" s="1"/>
  <c r="AJ420" i="1"/>
  <c r="BC420" i="1" s="1"/>
  <c r="AN420" i="1"/>
  <c r="BG420" i="1" s="1"/>
  <c r="AM420" i="1"/>
  <c r="BF420" i="1" s="1"/>
  <c r="AP420" i="1"/>
  <c r="BI420" i="1" s="1"/>
  <c r="AQ420" i="1"/>
  <c r="BJ420" i="1" s="1"/>
  <c r="AR420" i="1"/>
  <c r="BK420" i="1" s="1"/>
  <c r="AJ443" i="1"/>
  <c r="BC443" i="1" s="1"/>
  <c r="AK443" i="1"/>
  <c r="BD443" i="1" s="1"/>
  <c r="AI443" i="1"/>
  <c r="AL443" i="1"/>
  <c r="BE443" i="1" s="1"/>
  <c r="AM443" i="1"/>
  <c r="BF443" i="1" s="1"/>
  <c r="AN443" i="1"/>
  <c r="BG443" i="1" s="1"/>
  <c r="AO443" i="1"/>
  <c r="BH443" i="1" s="1"/>
  <c r="AP443" i="1"/>
  <c r="BI443" i="1" s="1"/>
  <c r="AQ443" i="1"/>
  <c r="BJ443" i="1" s="1"/>
  <c r="AR443" i="1"/>
  <c r="BK443" i="1" s="1"/>
  <c r="AK489" i="1"/>
  <c r="BD489" i="1" s="1"/>
  <c r="AL489" i="1"/>
  <c r="BE489" i="1" s="1"/>
  <c r="AJ489" i="1"/>
  <c r="BC489" i="1" s="1"/>
  <c r="AM489" i="1"/>
  <c r="BF489" i="1" s="1"/>
  <c r="AI489" i="1"/>
  <c r="AN489" i="1"/>
  <c r="BG489" i="1" s="1"/>
  <c r="AP489" i="1"/>
  <c r="BI489" i="1" s="1"/>
  <c r="AQ489" i="1"/>
  <c r="BJ489" i="1" s="1"/>
  <c r="AR489" i="1"/>
  <c r="BK489" i="1" s="1"/>
  <c r="AO489" i="1"/>
  <c r="BH489" i="1" s="1"/>
  <c r="AJ498" i="1"/>
  <c r="BC498" i="1" s="1"/>
  <c r="AI498" i="1"/>
  <c r="AL498" i="1"/>
  <c r="BE498" i="1" s="1"/>
  <c r="AM498" i="1"/>
  <c r="BF498" i="1" s="1"/>
  <c r="AN498" i="1"/>
  <c r="BG498" i="1" s="1"/>
  <c r="AK498" i="1"/>
  <c r="BD498" i="1" s="1"/>
  <c r="AQ498" i="1"/>
  <c r="BJ498" i="1" s="1"/>
  <c r="AR498" i="1"/>
  <c r="BK498" i="1" s="1"/>
  <c r="AO498" i="1"/>
  <c r="BH498" i="1" s="1"/>
  <c r="AP498" i="1"/>
  <c r="BI498" i="1" s="1"/>
  <c r="AI398" i="1"/>
  <c r="AL398" i="1"/>
  <c r="BE398" i="1" s="1"/>
  <c r="AN398" i="1"/>
  <c r="BG398" i="1" s="1"/>
  <c r="AK398" i="1"/>
  <c r="BD398" i="1" s="1"/>
  <c r="AO398" i="1"/>
  <c r="BH398" i="1" s="1"/>
  <c r="AJ398" i="1"/>
  <c r="BC398" i="1" s="1"/>
  <c r="AM398" i="1"/>
  <c r="BF398" i="1" s="1"/>
  <c r="AP398" i="1"/>
  <c r="BI398" i="1" s="1"/>
  <c r="AQ398" i="1"/>
  <c r="BJ398" i="1" s="1"/>
  <c r="AR398" i="1"/>
  <c r="BK398" i="1" s="1"/>
  <c r="AI421" i="1"/>
  <c r="AJ421" i="1"/>
  <c r="BC421" i="1" s="1"/>
  <c r="AM421" i="1"/>
  <c r="BF421" i="1" s="1"/>
  <c r="AN421" i="1"/>
  <c r="BG421" i="1" s="1"/>
  <c r="AL421" i="1"/>
  <c r="BE421" i="1" s="1"/>
  <c r="AO421" i="1"/>
  <c r="BH421" i="1" s="1"/>
  <c r="AK421" i="1"/>
  <c r="BD421" i="1" s="1"/>
  <c r="AR421" i="1"/>
  <c r="BK421" i="1" s="1"/>
  <c r="AP421" i="1"/>
  <c r="BI421" i="1" s="1"/>
  <c r="AQ421" i="1"/>
  <c r="BJ421" i="1" s="1"/>
  <c r="AK438" i="1"/>
  <c r="BD438" i="1" s="1"/>
  <c r="AN438" i="1"/>
  <c r="BG438" i="1" s="1"/>
  <c r="AJ438" i="1"/>
  <c r="BC438" i="1" s="1"/>
  <c r="AI438" i="1"/>
  <c r="AL438" i="1"/>
  <c r="BE438" i="1" s="1"/>
  <c r="AO438" i="1"/>
  <c r="BH438" i="1" s="1"/>
  <c r="AM438" i="1"/>
  <c r="BF438" i="1" s="1"/>
  <c r="AP438" i="1"/>
  <c r="BI438" i="1" s="1"/>
  <c r="AQ438" i="1"/>
  <c r="BJ438" i="1" s="1"/>
  <c r="AR438" i="1"/>
  <c r="BK438" i="1" s="1"/>
  <c r="AJ456" i="1"/>
  <c r="BC456" i="1" s="1"/>
  <c r="AI456" i="1"/>
  <c r="AN456" i="1"/>
  <c r="BG456" i="1" s="1"/>
  <c r="AL456" i="1"/>
  <c r="BE456" i="1" s="1"/>
  <c r="AM456" i="1"/>
  <c r="BF456" i="1" s="1"/>
  <c r="AK456" i="1"/>
  <c r="BD456" i="1" s="1"/>
  <c r="AR456" i="1"/>
  <c r="BK456" i="1" s="1"/>
  <c r="AO456" i="1"/>
  <c r="BH456" i="1" s="1"/>
  <c r="AP456" i="1"/>
  <c r="BI456" i="1" s="1"/>
  <c r="AQ456" i="1"/>
  <c r="BJ456" i="1" s="1"/>
  <c r="AJ395" i="1"/>
  <c r="BC395" i="1" s="1"/>
  <c r="AK395" i="1"/>
  <c r="BD395" i="1" s="1"/>
  <c r="AO395" i="1"/>
  <c r="BH395" i="1" s="1"/>
  <c r="AM395" i="1"/>
  <c r="BF395" i="1" s="1"/>
  <c r="AI395" i="1"/>
  <c r="AL395" i="1"/>
  <c r="BE395" i="1" s="1"/>
  <c r="AN395" i="1"/>
  <c r="BG395" i="1" s="1"/>
  <c r="AP395" i="1"/>
  <c r="BI395" i="1" s="1"/>
  <c r="AQ395" i="1"/>
  <c r="BJ395" i="1" s="1"/>
  <c r="AR395" i="1"/>
  <c r="BK395" i="1" s="1"/>
  <c r="AJ435" i="1"/>
  <c r="BC435" i="1" s="1"/>
  <c r="AK435" i="1"/>
  <c r="BD435" i="1" s="1"/>
  <c r="AI435" i="1"/>
  <c r="AL435" i="1"/>
  <c r="BE435" i="1" s="1"/>
  <c r="AM435" i="1"/>
  <c r="BF435" i="1" s="1"/>
  <c r="AN435" i="1"/>
  <c r="BG435" i="1" s="1"/>
  <c r="AP435" i="1"/>
  <c r="BI435" i="1" s="1"/>
  <c r="AQ435" i="1"/>
  <c r="BJ435" i="1" s="1"/>
  <c r="AR435" i="1"/>
  <c r="BK435" i="1" s="1"/>
  <c r="AO435" i="1"/>
  <c r="BH435" i="1" s="1"/>
  <c r="AJ402" i="1"/>
  <c r="BC402" i="1" s="1"/>
  <c r="AM402" i="1"/>
  <c r="BF402" i="1" s="1"/>
  <c r="AI402" i="1"/>
  <c r="AL402" i="1"/>
  <c r="BE402" i="1" s="1"/>
  <c r="AN402" i="1"/>
  <c r="BG402" i="1" s="1"/>
  <c r="AK402" i="1"/>
  <c r="BD402" i="1" s="1"/>
  <c r="AQ402" i="1"/>
  <c r="BJ402" i="1" s="1"/>
  <c r="AO402" i="1"/>
  <c r="BH402" i="1" s="1"/>
  <c r="AR402" i="1"/>
  <c r="BK402" i="1" s="1"/>
  <c r="AP402" i="1"/>
  <c r="BI402" i="1" s="1"/>
  <c r="AJ444" i="1"/>
  <c r="BC444" i="1" s="1"/>
  <c r="AI444" i="1"/>
  <c r="AL444" i="1"/>
  <c r="BE444" i="1" s="1"/>
  <c r="AM444" i="1"/>
  <c r="BF444" i="1" s="1"/>
  <c r="AK444" i="1"/>
  <c r="BD444" i="1" s="1"/>
  <c r="AN444" i="1"/>
  <c r="BG444" i="1" s="1"/>
  <c r="AP444" i="1"/>
  <c r="BI444" i="1" s="1"/>
  <c r="AQ444" i="1"/>
  <c r="BJ444" i="1" s="1"/>
  <c r="AR444" i="1"/>
  <c r="BK444" i="1" s="1"/>
  <c r="AO444" i="1"/>
  <c r="BH444" i="1" s="1"/>
  <c r="AK393" i="1"/>
  <c r="BD393" i="1" s="1"/>
  <c r="AL393" i="1"/>
  <c r="BE393" i="1" s="1"/>
  <c r="AJ393" i="1"/>
  <c r="BC393" i="1" s="1"/>
  <c r="AM393" i="1"/>
  <c r="BF393" i="1" s="1"/>
  <c r="AI393" i="1"/>
  <c r="AN393" i="1"/>
  <c r="BG393" i="1" s="1"/>
  <c r="AO393" i="1"/>
  <c r="BH393" i="1" s="1"/>
  <c r="AP393" i="1"/>
  <c r="BI393" i="1" s="1"/>
  <c r="AQ393" i="1"/>
  <c r="BJ393" i="1" s="1"/>
  <c r="AR393" i="1"/>
  <c r="BK393" i="1" s="1"/>
  <c r="AJ483" i="1"/>
  <c r="BC483" i="1" s="1"/>
  <c r="AK483" i="1"/>
  <c r="BD483" i="1" s="1"/>
  <c r="AI483" i="1"/>
  <c r="AL483" i="1"/>
  <c r="BE483" i="1" s="1"/>
  <c r="AM483" i="1"/>
  <c r="BF483" i="1" s="1"/>
  <c r="AN483" i="1"/>
  <c r="BG483" i="1" s="1"/>
  <c r="AO483" i="1"/>
  <c r="BH483" i="1" s="1"/>
  <c r="AP483" i="1"/>
  <c r="BI483" i="1" s="1"/>
  <c r="AQ483" i="1"/>
  <c r="BJ483" i="1" s="1"/>
  <c r="AR483" i="1"/>
  <c r="BK483" i="1" s="1"/>
  <c r="AK448" i="1"/>
  <c r="BD448" i="1" s="1"/>
  <c r="AJ448" i="1"/>
  <c r="BC448" i="1" s="1"/>
  <c r="AN448" i="1"/>
  <c r="BG448" i="1" s="1"/>
  <c r="AI448" i="1"/>
  <c r="AL448" i="1"/>
  <c r="BE448" i="1" s="1"/>
  <c r="AR448" i="1"/>
  <c r="BK448" i="1" s="1"/>
  <c r="AO448" i="1"/>
  <c r="BH448" i="1" s="1"/>
  <c r="AM448" i="1"/>
  <c r="BF448" i="1" s="1"/>
  <c r="AP448" i="1"/>
  <c r="BI448" i="1" s="1"/>
  <c r="AQ448" i="1"/>
  <c r="BJ448" i="1" s="1"/>
  <c r="AI462" i="1"/>
  <c r="AL462" i="1"/>
  <c r="BE462" i="1" s="1"/>
  <c r="AN462" i="1"/>
  <c r="BG462" i="1" s="1"/>
  <c r="AK462" i="1"/>
  <c r="BD462" i="1" s="1"/>
  <c r="AM462" i="1"/>
  <c r="BF462" i="1" s="1"/>
  <c r="AJ462" i="1"/>
  <c r="BC462" i="1" s="1"/>
  <c r="AO462" i="1"/>
  <c r="BH462" i="1" s="1"/>
  <c r="AP462" i="1"/>
  <c r="BI462" i="1" s="1"/>
  <c r="AQ462" i="1"/>
  <c r="BJ462" i="1" s="1"/>
  <c r="AR462" i="1"/>
  <c r="BK462" i="1" s="1"/>
  <c r="AI445" i="1"/>
  <c r="AJ445" i="1"/>
  <c r="BC445" i="1" s="1"/>
  <c r="AN445" i="1"/>
  <c r="BG445" i="1" s="1"/>
  <c r="AL445" i="1"/>
  <c r="BE445" i="1" s="1"/>
  <c r="AM445" i="1"/>
  <c r="BF445" i="1" s="1"/>
  <c r="AK445" i="1"/>
  <c r="BD445" i="1" s="1"/>
  <c r="AR445" i="1"/>
  <c r="BK445" i="1" s="1"/>
  <c r="AO445" i="1"/>
  <c r="BH445" i="1" s="1"/>
  <c r="AP445" i="1"/>
  <c r="BI445" i="1" s="1"/>
  <c r="AQ445" i="1"/>
  <c r="BJ445" i="1" s="1"/>
  <c r="AJ412" i="1"/>
  <c r="BC412" i="1" s="1"/>
  <c r="AM412" i="1"/>
  <c r="BF412" i="1" s="1"/>
  <c r="AO412" i="1"/>
  <c r="BH412" i="1" s="1"/>
  <c r="AI412" i="1"/>
  <c r="AL412" i="1"/>
  <c r="BE412" i="1" s="1"/>
  <c r="AK412" i="1"/>
  <c r="BD412" i="1" s="1"/>
  <c r="AP412" i="1"/>
  <c r="BI412" i="1" s="1"/>
  <c r="AQ412" i="1"/>
  <c r="BJ412" i="1" s="1"/>
  <c r="AR412" i="1"/>
  <c r="BK412" i="1" s="1"/>
  <c r="AN412" i="1"/>
  <c r="BG412" i="1" s="1"/>
  <c r="AL391" i="1"/>
  <c r="BE391" i="1" s="1"/>
  <c r="AI391" i="1"/>
  <c r="AM391" i="1"/>
  <c r="BF391" i="1" s="1"/>
  <c r="AJ391" i="1"/>
  <c r="BC391" i="1" s="1"/>
  <c r="AN391" i="1"/>
  <c r="BG391" i="1" s="1"/>
  <c r="AO391" i="1"/>
  <c r="BH391" i="1" s="1"/>
  <c r="AK391" i="1"/>
  <c r="BD391" i="1" s="1"/>
  <c r="AQ391" i="1"/>
  <c r="BJ391" i="1" s="1"/>
  <c r="AR391" i="1"/>
  <c r="BK391" i="1" s="1"/>
  <c r="AP391" i="1"/>
  <c r="BI391" i="1" s="1"/>
  <c r="AI442" i="1"/>
  <c r="AL442" i="1"/>
  <c r="BE442" i="1" s="1"/>
  <c r="AM442" i="1"/>
  <c r="BF442" i="1" s="1"/>
  <c r="AK442" i="1"/>
  <c r="BD442" i="1" s="1"/>
  <c r="AN442" i="1"/>
  <c r="BG442" i="1" s="1"/>
  <c r="AQ442" i="1"/>
  <c r="BJ442" i="1" s="1"/>
  <c r="AJ442" i="1"/>
  <c r="BC442" i="1" s="1"/>
  <c r="AR442" i="1"/>
  <c r="BK442" i="1" s="1"/>
  <c r="AO442" i="1"/>
  <c r="BH442" i="1" s="1"/>
  <c r="AP442" i="1"/>
  <c r="BI442" i="1" s="1"/>
  <c r="AL423" i="1"/>
  <c r="BE423" i="1" s="1"/>
  <c r="AI423" i="1"/>
  <c r="AM423" i="1"/>
  <c r="BF423" i="1" s="1"/>
  <c r="AJ423" i="1"/>
  <c r="BC423" i="1" s="1"/>
  <c r="AN423" i="1"/>
  <c r="BG423" i="1" s="1"/>
  <c r="AO423" i="1"/>
  <c r="BH423" i="1" s="1"/>
  <c r="AK423" i="1"/>
  <c r="BD423" i="1" s="1"/>
  <c r="AQ423" i="1"/>
  <c r="BJ423" i="1" s="1"/>
  <c r="AR423" i="1"/>
  <c r="BK423" i="1" s="1"/>
  <c r="AP423" i="1"/>
  <c r="BI423" i="1" s="1"/>
  <c r="AJ476" i="1"/>
  <c r="BC476" i="1" s="1"/>
  <c r="AM476" i="1"/>
  <c r="BF476" i="1" s="1"/>
  <c r="AI476" i="1"/>
  <c r="AL476" i="1"/>
  <c r="BE476" i="1" s="1"/>
  <c r="AK476" i="1"/>
  <c r="BD476" i="1" s="1"/>
  <c r="AP476" i="1"/>
  <c r="BI476" i="1" s="1"/>
  <c r="AQ476" i="1"/>
  <c r="BJ476" i="1" s="1"/>
  <c r="AR476" i="1"/>
  <c r="BK476" i="1" s="1"/>
  <c r="AO476" i="1"/>
  <c r="BH476" i="1" s="1"/>
  <c r="AN476" i="1"/>
  <c r="BG476" i="1" s="1"/>
  <c r="AL487" i="1"/>
  <c r="BE487" i="1" s="1"/>
  <c r="AI487" i="1"/>
  <c r="AM487" i="1"/>
  <c r="BF487" i="1" s="1"/>
  <c r="AJ487" i="1"/>
  <c r="BC487" i="1" s="1"/>
  <c r="AN487" i="1"/>
  <c r="BG487" i="1" s="1"/>
  <c r="AK487" i="1"/>
  <c r="BD487" i="1" s="1"/>
  <c r="AQ487" i="1"/>
  <c r="BJ487" i="1" s="1"/>
  <c r="AR487" i="1"/>
  <c r="BK487" i="1" s="1"/>
  <c r="AO487" i="1"/>
  <c r="BH487" i="1" s="1"/>
  <c r="AP487" i="1"/>
  <c r="BI487" i="1" s="1"/>
  <c r="AN454" i="1"/>
  <c r="BG454" i="1" s="1"/>
  <c r="AI454" i="1"/>
  <c r="AL454" i="1"/>
  <c r="BE454" i="1" s="1"/>
  <c r="AK454" i="1"/>
  <c r="BD454" i="1" s="1"/>
  <c r="AM454" i="1"/>
  <c r="BF454" i="1" s="1"/>
  <c r="AO454" i="1"/>
  <c r="BH454" i="1" s="1"/>
  <c r="AP454" i="1"/>
  <c r="BI454" i="1" s="1"/>
  <c r="AJ454" i="1"/>
  <c r="BC454" i="1" s="1"/>
  <c r="AR454" i="1"/>
  <c r="BK454" i="1" s="1"/>
  <c r="AQ454" i="1"/>
  <c r="BJ454" i="1" s="1"/>
  <c r="AL495" i="1"/>
  <c r="BE495" i="1" s="1"/>
  <c r="AI495" i="1"/>
  <c r="AM495" i="1"/>
  <c r="BF495" i="1" s="1"/>
  <c r="AN495" i="1"/>
  <c r="BG495" i="1" s="1"/>
  <c r="AK495" i="1"/>
  <c r="BD495" i="1" s="1"/>
  <c r="AJ495" i="1"/>
  <c r="BC495" i="1" s="1"/>
  <c r="AQ495" i="1"/>
  <c r="BJ495" i="1" s="1"/>
  <c r="AR495" i="1"/>
  <c r="BK495" i="1" s="1"/>
  <c r="AO495" i="1"/>
  <c r="BH495" i="1" s="1"/>
  <c r="AP495" i="1"/>
  <c r="BI495" i="1" s="1"/>
  <c r="AI464" i="1"/>
  <c r="AL464" i="1"/>
  <c r="BE464" i="1" s="1"/>
  <c r="AN464" i="1"/>
  <c r="BG464" i="1" s="1"/>
  <c r="AK464" i="1"/>
  <c r="BD464" i="1" s="1"/>
  <c r="AM464" i="1"/>
  <c r="BF464" i="1" s="1"/>
  <c r="AR464" i="1"/>
  <c r="BK464" i="1" s="1"/>
  <c r="AO464" i="1"/>
  <c r="BH464" i="1" s="1"/>
  <c r="AP464" i="1"/>
  <c r="BI464" i="1" s="1"/>
  <c r="AJ464" i="1"/>
  <c r="BC464" i="1" s="1"/>
  <c r="AQ464" i="1"/>
  <c r="BJ464" i="1" s="1"/>
  <c r="AK449" i="1"/>
  <c r="BD449" i="1" s="1"/>
  <c r="AL449" i="1"/>
  <c r="BE449" i="1" s="1"/>
  <c r="AM449" i="1"/>
  <c r="BF449" i="1" s="1"/>
  <c r="AJ449" i="1"/>
  <c r="BC449" i="1" s="1"/>
  <c r="AN449" i="1"/>
  <c r="BG449" i="1" s="1"/>
  <c r="AI449" i="1"/>
  <c r="AP449" i="1"/>
  <c r="BI449" i="1" s="1"/>
  <c r="AQ449" i="1"/>
  <c r="BJ449" i="1" s="1"/>
  <c r="AR449" i="1"/>
  <c r="BK449" i="1" s="1"/>
  <c r="AO449" i="1"/>
  <c r="BH449" i="1" s="1"/>
  <c r="AK492" i="1"/>
  <c r="BD492" i="1" s="1"/>
  <c r="AJ492" i="1"/>
  <c r="BC492" i="1" s="1"/>
  <c r="AM492" i="1"/>
  <c r="BF492" i="1" s="1"/>
  <c r="AP492" i="1"/>
  <c r="BI492" i="1" s="1"/>
  <c r="AQ492" i="1"/>
  <c r="BJ492" i="1" s="1"/>
  <c r="AL492" i="1"/>
  <c r="BE492" i="1" s="1"/>
  <c r="AR492" i="1"/>
  <c r="BK492" i="1" s="1"/>
  <c r="AI492" i="1"/>
  <c r="AN492" i="1"/>
  <c r="BG492" i="1" s="1"/>
  <c r="AO492" i="1"/>
  <c r="BH492" i="1" s="1"/>
  <c r="AK425" i="1"/>
  <c r="BD425" i="1" s="1"/>
  <c r="AL425" i="1"/>
  <c r="BE425" i="1" s="1"/>
  <c r="AJ425" i="1"/>
  <c r="BC425" i="1" s="1"/>
  <c r="AM425" i="1"/>
  <c r="BF425" i="1" s="1"/>
  <c r="AI425" i="1"/>
  <c r="AN425" i="1"/>
  <c r="BG425" i="1" s="1"/>
  <c r="AO425" i="1"/>
  <c r="BH425" i="1" s="1"/>
  <c r="AP425" i="1"/>
  <c r="BI425" i="1" s="1"/>
  <c r="AQ425" i="1"/>
  <c r="BJ425" i="1" s="1"/>
  <c r="AR425" i="1"/>
  <c r="BK425" i="1" s="1"/>
  <c r="AL472" i="1"/>
  <c r="BE472" i="1" s="1"/>
  <c r="AK472" i="1"/>
  <c r="BD472" i="1" s="1"/>
  <c r="AN472" i="1"/>
  <c r="BG472" i="1" s="1"/>
  <c r="AM472" i="1"/>
  <c r="BF472" i="1" s="1"/>
  <c r="AJ472" i="1"/>
  <c r="BC472" i="1" s="1"/>
  <c r="AR472" i="1"/>
  <c r="BK472" i="1" s="1"/>
  <c r="AI472" i="1"/>
  <c r="AO472" i="1"/>
  <c r="BH472" i="1" s="1"/>
  <c r="AQ472" i="1"/>
  <c r="BJ472" i="1" s="1"/>
  <c r="AP472" i="1"/>
  <c r="BI472" i="1" s="1"/>
  <c r="AI389" i="1"/>
  <c r="AM389" i="1"/>
  <c r="BF389" i="1" s="1"/>
  <c r="AJ389" i="1"/>
  <c r="BC389" i="1" s="1"/>
  <c r="AN389" i="1"/>
  <c r="BG389" i="1" s="1"/>
  <c r="AL389" i="1"/>
  <c r="BE389" i="1" s="1"/>
  <c r="AO389" i="1"/>
  <c r="BH389" i="1" s="1"/>
  <c r="AK389" i="1"/>
  <c r="BD389" i="1" s="1"/>
  <c r="AR389" i="1"/>
  <c r="BK389" i="1" s="1"/>
  <c r="AP389" i="1"/>
  <c r="BI389" i="1" s="1"/>
  <c r="AQ389" i="1"/>
  <c r="BJ389" i="1" s="1"/>
  <c r="AI432" i="1"/>
  <c r="AM432" i="1"/>
  <c r="BF432" i="1" s="1"/>
  <c r="AL432" i="1"/>
  <c r="BE432" i="1" s="1"/>
  <c r="AN432" i="1"/>
  <c r="BG432" i="1" s="1"/>
  <c r="AK432" i="1"/>
  <c r="BD432" i="1" s="1"/>
  <c r="AO432" i="1"/>
  <c r="BH432" i="1" s="1"/>
  <c r="AR432" i="1"/>
  <c r="BK432" i="1" s="1"/>
  <c r="AJ432" i="1"/>
  <c r="BC432" i="1" s="1"/>
  <c r="AP432" i="1"/>
  <c r="BI432" i="1" s="1"/>
  <c r="AQ432" i="1"/>
  <c r="BJ432" i="1" s="1"/>
  <c r="AL431" i="1"/>
  <c r="BE431" i="1" s="1"/>
  <c r="AI431" i="1"/>
  <c r="AM431" i="1"/>
  <c r="BF431" i="1" s="1"/>
  <c r="AN431" i="1"/>
  <c r="BG431" i="1" s="1"/>
  <c r="AK431" i="1"/>
  <c r="BD431" i="1" s="1"/>
  <c r="AO431" i="1"/>
  <c r="BH431" i="1" s="1"/>
  <c r="AJ431" i="1"/>
  <c r="BC431" i="1" s="1"/>
  <c r="AQ431" i="1"/>
  <c r="BJ431" i="1" s="1"/>
  <c r="AR431" i="1"/>
  <c r="BK431" i="1" s="1"/>
  <c r="AP431" i="1"/>
  <c r="BI431" i="1" s="1"/>
  <c r="AJ451" i="1"/>
  <c r="BC451" i="1" s="1"/>
  <c r="AK451" i="1"/>
  <c r="BD451" i="1" s="1"/>
  <c r="AI451" i="1"/>
  <c r="AL451" i="1"/>
  <c r="BE451" i="1" s="1"/>
  <c r="AM451" i="1"/>
  <c r="BF451" i="1" s="1"/>
  <c r="AN451" i="1"/>
  <c r="BG451" i="1" s="1"/>
  <c r="AO451" i="1"/>
  <c r="BH451" i="1" s="1"/>
  <c r="AP451" i="1"/>
  <c r="BI451" i="1" s="1"/>
  <c r="AQ451" i="1"/>
  <c r="BJ451" i="1" s="1"/>
  <c r="AR451" i="1"/>
  <c r="BK451" i="1" s="1"/>
  <c r="AL463" i="1"/>
  <c r="BE463" i="1" s="1"/>
  <c r="AI463" i="1"/>
  <c r="AM463" i="1"/>
  <c r="BF463" i="1" s="1"/>
  <c r="AN463" i="1"/>
  <c r="BG463" i="1" s="1"/>
  <c r="AK463" i="1"/>
  <c r="BD463" i="1" s="1"/>
  <c r="AJ463" i="1"/>
  <c r="BC463" i="1" s="1"/>
  <c r="AQ463" i="1"/>
  <c r="BJ463" i="1" s="1"/>
  <c r="AR463" i="1"/>
  <c r="BK463" i="1" s="1"/>
  <c r="AO463" i="1"/>
  <c r="BH463" i="1" s="1"/>
  <c r="AP463" i="1"/>
  <c r="BI463" i="1" s="1"/>
  <c r="AI496" i="1"/>
  <c r="AM496" i="1"/>
  <c r="BF496" i="1" s="1"/>
  <c r="AL496" i="1"/>
  <c r="BE496" i="1" s="1"/>
  <c r="AN496" i="1"/>
  <c r="BG496" i="1" s="1"/>
  <c r="AK496" i="1"/>
  <c r="BD496" i="1" s="1"/>
  <c r="AJ496" i="1"/>
  <c r="BC496" i="1" s="1"/>
  <c r="AR496" i="1"/>
  <c r="BK496" i="1" s="1"/>
  <c r="AO496" i="1"/>
  <c r="BH496" i="1" s="1"/>
  <c r="AP496" i="1"/>
  <c r="BI496" i="1" s="1"/>
  <c r="AQ496" i="1"/>
  <c r="BJ496" i="1" s="1"/>
  <c r="AK417" i="1"/>
  <c r="BD417" i="1" s="1"/>
  <c r="AL417" i="1"/>
  <c r="BE417" i="1" s="1"/>
  <c r="AJ417" i="1"/>
  <c r="BC417" i="1" s="1"/>
  <c r="AM417" i="1"/>
  <c r="BF417" i="1" s="1"/>
  <c r="AN417" i="1"/>
  <c r="BG417" i="1" s="1"/>
  <c r="AI417" i="1"/>
  <c r="AO417" i="1"/>
  <c r="BH417" i="1" s="1"/>
  <c r="AP417" i="1"/>
  <c r="BI417" i="1" s="1"/>
  <c r="AQ417" i="1"/>
  <c r="BJ417" i="1" s="1"/>
  <c r="AR417" i="1"/>
  <c r="BK417" i="1" s="1"/>
  <c r="AJ475" i="1"/>
  <c r="BC475" i="1" s="1"/>
  <c r="AK475" i="1"/>
  <c r="BD475" i="1" s="1"/>
  <c r="AI475" i="1"/>
  <c r="AL475" i="1"/>
  <c r="BE475" i="1" s="1"/>
  <c r="AN475" i="1"/>
  <c r="BG475" i="1" s="1"/>
  <c r="AO475" i="1"/>
  <c r="BH475" i="1" s="1"/>
  <c r="AM475" i="1"/>
  <c r="BF475" i="1" s="1"/>
  <c r="AP475" i="1"/>
  <c r="BI475" i="1" s="1"/>
  <c r="AQ475" i="1"/>
  <c r="BJ475" i="1" s="1"/>
  <c r="AR475" i="1"/>
  <c r="BK475" i="1" s="1"/>
  <c r="AI429" i="1"/>
  <c r="AJ429" i="1"/>
  <c r="BC429" i="1" s="1"/>
  <c r="AL429" i="1"/>
  <c r="BE429" i="1" s="1"/>
  <c r="AN429" i="1"/>
  <c r="BG429" i="1" s="1"/>
  <c r="AK429" i="1"/>
  <c r="BD429" i="1" s="1"/>
  <c r="AO429" i="1"/>
  <c r="BH429" i="1" s="1"/>
  <c r="AR429" i="1"/>
  <c r="BK429" i="1" s="1"/>
  <c r="AM429" i="1"/>
  <c r="BF429" i="1" s="1"/>
  <c r="AP429" i="1"/>
  <c r="BI429" i="1" s="1"/>
  <c r="AQ429" i="1"/>
  <c r="BJ429" i="1" s="1"/>
  <c r="AI484" i="1"/>
  <c r="AL484" i="1"/>
  <c r="BE484" i="1" s="1"/>
  <c r="AK484" i="1"/>
  <c r="BD484" i="1" s="1"/>
  <c r="AJ484" i="1"/>
  <c r="BC484" i="1" s="1"/>
  <c r="AN484" i="1"/>
  <c r="BG484" i="1" s="1"/>
  <c r="AM484" i="1"/>
  <c r="BF484" i="1" s="1"/>
  <c r="AP484" i="1"/>
  <c r="BI484" i="1" s="1"/>
  <c r="AQ484" i="1"/>
  <c r="BJ484" i="1" s="1"/>
  <c r="AR484" i="1"/>
  <c r="BK484" i="1" s="1"/>
  <c r="AO484" i="1"/>
  <c r="BH484" i="1" s="1"/>
  <c r="AO436" i="1"/>
  <c r="BH436" i="1" s="1"/>
  <c r="AJ436" i="1"/>
  <c r="BC436" i="1" s="1"/>
  <c r="AI436" i="1"/>
  <c r="AL436" i="1"/>
  <c r="BE436" i="1" s="1"/>
  <c r="AM436" i="1"/>
  <c r="BF436" i="1" s="1"/>
  <c r="AN436" i="1"/>
  <c r="BG436" i="1" s="1"/>
  <c r="AP436" i="1"/>
  <c r="BI436" i="1" s="1"/>
  <c r="AQ436" i="1"/>
  <c r="BJ436" i="1" s="1"/>
  <c r="AK436" i="1"/>
  <c r="BD436" i="1" s="1"/>
  <c r="AR436" i="1"/>
  <c r="BK436" i="1" s="1"/>
  <c r="AK406" i="1"/>
  <c r="BD406" i="1" s="1"/>
  <c r="AN406" i="1"/>
  <c r="BG406" i="1" s="1"/>
  <c r="AJ406" i="1"/>
  <c r="BC406" i="1" s="1"/>
  <c r="AO406" i="1"/>
  <c r="BH406" i="1" s="1"/>
  <c r="AM406" i="1"/>
  <c r="BF406" i="1" s="1"/>
  <c r="AI406" i="1"/>
  <c r="AP406" i="1"/>
  <c r="BI406" i="1" s="1"/>
  <c r="AQ406" i="1"/>
  <c r="BJ406" i="1" s="1"/>
  <c r="AR406" i="1"/>
  <c r="BK406" i="1" s="1"/>
  <c r="AL406" i="1"/>
  <c r="BE406" i="1" s="1"/>
  <c r="AK465" i="1"/>
  <c r="BD465" i="1" s="1"/>
  <c r="AL465" i="1"/>
  <c r="BE465" i="1" s="1"/>
  <c r="AJ465" i="1"/>
  <c r="BC465" i="1" s="1"/>
  <c r="AI465" i="1"/>
  <c r="AN465" i="1"/>
  <c r="BG465" i="1" s="1"/>
  <c r="AM465" i="1"/>
  <c r="BF465" i="1" s="1"/>
  <c r="AP465" i="1"/>
  <c r="BI465" i="1" s="1"/>
  <c r="AQ465" i="1"/>
  <c r="BJ465" i="1" s="1"/>
  <c r="AR465" i="1"/>
  <c r="BK465" i="1" s="1"/>
  <c r="AO465" i="1"/>
  <c r="BH465" i="1" s="1"/>
  <c r="AK482" i="1"/>
  <c r="BD482" i="1" s="1"/>
  <c r="AJ482" i="1"/>
  <c r="BC482" i="1" s="1"/>
  <c r="AM482" i="1"/>
  <c r="BF482" i="1" s="1"/>
  <c r="AN482" i="1"/>
  <c r="BG482" i="1" s="1"/>
  <c r="AQ482" i="1"/>
  <c r="BJ482" i="1" s="1"/>
  <c r="AR482" i="1"/>
  <c r="BK482" i="1" s="1"/>
  <c r="AI482" i="1"/>
  <c r="AL482" i="1"/>
  <c r="BE482" i="1" s="1"/>
  <c r="AO482" i="1"/>
  <c r="BH482" i="1" s="1"/>
  <c r="AP482" i="1"/>
  <c r="BI482" i="1" s="1"/>
  <c r="AJ387" i="1"/>
  <c r="BC387" i="1" s="1"/>
  <c r="AK387" i="1"/>
  <c r="BD387" i="1" s="1"/>
  <c r="AI387" i="1"/>
  <c r="AL387" i="1"/>
  <c r="BE387" i="1" s="1"/>
  <c r="AO387" i="1"/>
  <c r="BH387" i="1" s="1"/>
  <c r="AM387" i="1"/>
  <c r="BF387" i="1" s="1"/>
  <c r="AN387" i="1"/>
  <c r="BG387" i="1" s="1"/>
  <c r="AP387" i="1"/>
  <c r="BI387" i="1" s="1"/>
  <c r="AQ387" i="1"/>
  <c r="BJ387" i="1" s="1"/>
  <c r="AR387" i="1"/>
  <c r="BK387" i="1" s="1"/>
  <c r="AI452" i="1"/>
  <c r="AL452" i="1"/>
  <c r="BE452" i="1" s="1"/>
  <c r="AK452" i="1"/>
  <c r="BD452" i="1" s="1"/>
  <c r="AM452" i="1"/>
  <c r="BF452" i="1" s="1"/>
  <c r="AJ452" i="1"/>
  <c r="BC452" i="1" s="1"/>
  <c r="AP452" i="1"/>
  <c r="BI452" i="1" s="1"/>
  <c r="AN452" i="1"/>
  <c r="BG452" i="1" s="1"/>
  <c r="AQ452" i="1"/>
  <c r="BJ452" i="1" s="1"/>
  <c r="AR452" i="1"/>
  <c r="BK452" i="1" s="1"/>
  <c r="AO452" i="1"/>
  <c r="BH452" i="1" s="1"/>
  <c r="AK401" i="1"/>
  <c r="BD401" i="1" s="1"/>
  <c r="AL401" i="1"/>
  <c r="BE401" i="1" s="1"/>
  <c r="AJ401" i="1"/>
  <c r="BC401" i="1" s="1"/>
  <c r="AM401" i="1"/>
  <c r="BF401" i="1" s="1"/>
  <c r="AI401" i="1"/>
  <c r="AN401" i="1"/>
  <c r="BG401" i="1" s="1"/>
  <c r="AO401" i="1"/>
  <c r="BH401" i="1" s="1"/>
  <c r="AP401" i="1"/>
  <c r="BI401" i="1" s="1"/>
  <c r="AQ401" i="1"/>
  <c r="BJ401" i="1" s="1"/>
  <c r="AR401" i="1"/>
  <c r="BK401" i="1" s="1"/>
  <c r="AK460" i="1"/>
  <c r="BD460" i="1" s="1"/>
  <c r="AM460" i="1"/>
  <c r="BF460" i="1" s="1"/>
  <c r="AJ460" i="1"/>
  <c r="BC460" i="1" s="1"/>
  <c r="AP460" i="1"/>
  <c r="BI460" i="1" s="1"/>
  <c r="AI460" i="1"/>
  <c r="AL460" i="1"/>
  <c r="BE460" i="1" s="1"/>
  <c r="AN460" i="1"/>
  <c r="BG460" i="1" s="1"/>
  <c r="AQ460" i="1"/>
  <c r="BJ460" i="1" s="1"/>
  <c r="AR460" i="1"/>
  <c r="BK460" i="1" s="1"/>
  <c r="AO460" i="1"/>
  <c r="BH460" i="1" s="1"/>
  <c r="AK433" i="1"/>
  <c r="BD433" i="1" s="1"/>
  <c r="AL433" i="1"/>
  <c r="BE433" i="1" s="1"/>
  <c r="AJ433" i="1"/>
  <c r="BC433" i="1" s="1"/>
  <c r="AI433" i="1"/>
  <c r="AM433" i="1"/>
  <c r="BF433" i="1" s="1"/>
  <c r="AN433" i="1"/>
  <c r="BG433" i="1" s="1"/>
  <c r="AO433" i="1"/>
  <c r="BH433" i="1" s="1"/>
  <c r="AP433" i="1"/>
  <c r="BI433" i="1" s="1"/>
  <c r="AQ433" i="1"/>
  <c r="BJ433" i="1" s="1"/>
  <c r="AR433" i="1"/>
  <c r="BK433" i="1" s="1"/>
  <c r="AJ411" i="1"/>
  <c r="BC411" i="1" s="1"/>
  <c r="AK411" i="1"/>
  <c r="BD411" i="1" s="1"/>
  <c r="AM411" i="1"/>
  <c r="BF411" i="1" s="1"/>
  <c r="AO411" i="1"/>
  <c r="BH411" i="1" s="1"/>
  <c r="AI411" i="1"/>
  <c r="AL411" i="1"/>
  <c r="BE411" i="1" s="1"/>
  <c r="AN411" i="1"/>
  <c r="BG411" i="1" s="1"/>
  <c r="AP411" i="1"/>
  <c r="BI411" i="1" s="1"/>
  <c r="AQ411" i="1"/>
  <c r="BJ411" i="1" s="1"/>
  <c r="AR411" i="1"/>
  <c r="BK411" i="1" s="1"/>
  <c r="AL439" i="1"/>
  <c r="BE439" i="1" s="1"/>
  <c r="AI439" i="1"/>
  <c r="AM439" i="1"/>
  <c r="BF439" i="1" s="1"/>
  <c r="AK439" i="1"/>
  <c r="BD439" i="1" s="1"/>
  <c r="AN439" i="1"/>
  <c r="BG439" i="1" s="1"/>
  <c r="AJ439" i="1"/>
  <c r="BC439" i="1" s="1"/>
  <c r="AQ439" i="1"/>
  <c r="BJ439" i="1" s="1"/>
  <c r="AR439" i="1"/>
  <c r="BK439" i="1" s="1"/>
  <c r="AO439" i="1"/>
  <c r="BH439" i="1" s="1"/>
  <c r="AP439" i="1"/>
  <c r="BI439" i="1" s="1"/>
  <c r="AI494" i="1"/>
  <c r="AM494" i="1"/>
  <c r="BF494" i="1" s="1"/>
  <c r="AL494" i="1"/>
  <c r="BE494" i="1" s="1"/>
  <c r="AN494" i="1"/>
  <c r="BG494" i="1" s="1"/>
  <c r="AK494" i="1"/>
  <c r="BD494" i="1" s="1"/>
  <c r="AJ494" i="1"/>
  <c r="BC494" i="1" s="1"/>
  <c r="AO494" i="1"/>
  <c r="BH494" i="1" s="1"/>
  <c r="AP494" i="1"/>
  <c r="BI494" i="1" s="1"/>
  <c r="AQ494" i="1"/>
  <c r="BJ494" i="1" s="1"/>
  <c r="AR494" i="1"/>
  <c r="BK494" i="1" s="1"/>
  <c r="AL471" i="1"/>
  <c r="BE471" i="1" s="1"/>
  <c r="AI471" i="1"/>
  <c r="AM471" i="1"/>
  <c r="BF471" i="1" s="1"/>
  <c r="AK471" i="1"/>
  <c r="BD471" i="1" s="1"/>
  <c r="AN471" i="1"/>
  <c r="BG471" i="1" s="1"/>
  <c r="AJ471" i="1"/>
  <c r="BC471" i="1" s="1"/>
  <c r="AQ471" i="1"/>
  <c r="BJ471" i="1" s="1"/>
  <c r="AR471" i="1"/>
  <c r="BK471" i="1" s="1"/>
  <c r="AO471" i="1"/>
  <c r="BH471" i="1" s="1"/>
  <c r="AP471" i="1"/>
  <c r="BI471" i="1" s="1"/>
  <c r="AI493" i="1"/>
  <c r="AJ493" i="1"/>
  <c r="BC493" i="1" s="1"/>
  <c r="AL493" i="1"/>
  <c r="BE493" i="1" s="1"/>
  <c r="AN493" i="1"/>
  <c r="BG493" i="1" s="1"/>
  <c r="AK493" i="1"/>
  <c r="BD493" i="1" s="1"/>
  <c r="AR493" i="1"/>
  <c r="BK493" i="1" s="1"/>
  <c r="AO493" i="1"/>
  <c r="BH493" i="1" s="1"/>
  <c r="AM493" i="1"/>
  <c r="BF493" i="1" s="1"/>
  <c r="AP493" i="1"/>
  <c r="BI493" i="1" s="1"/>
  <c r="AQ493" i="1"/>
  <c r="BJ493" i="1" s="1"/>
  <c r="AJ499" i="1"/>
  <c r="BC499" i="1" s="1"/>
  <c r="AK499" i="1"/>
  <c r="BD499" i="1" s="1"/>
  <c r="AI499" i="1"/>
  <c r="AL499" i="1"/>
  <c r="BE499" i="1" s="1"/>
  <c r="AM499" i="1"/>
  <c r="BF499" i="1" s="1"/>
  <c r="AN499" i="1"/>
  <c r="BG499" i="1" s="1"/>
  <c r="AO499" i="1"/>
  <c r="BH499" i="1" s="1"/>
  <c r="AP499" i="1"/>
  <c r="BI499" i="1" s="1"/>
  <c r="AQ499" i="1"/>
  <c r="BJ499" i="1" s="1"/>
  <c r="AR499" i="1"/>
  <c r="BK499" i="1" s="1"/>
  <c r="AK416" i="1"/>
  <c r="BD416" i="1" s="1"/>
  <c r="AJ416" i="1"/>
  <c r="BC416" i="1" s="1"/>
  <c r="AM416" i="1"/>
  <c r="BF416" i="1" s="1"/>
  <c r="AN416" i="1"/>
  <c r="BG416" i="1" s="1"/>
  <c r="AI416" i="1"/>
  <c r="AO416" i="1"/>
  <c r="BH416" i="1" s="1"/>
  <c r="AL416" i="1"/>
  <c r="BE416" i="1" s="1"/>
  <c r="AR416" i="1"/>
  <c r="BK416" i="1" s="1"/>
  <c r="AP416" i="1"/>
  <c r="BI416" i="1" s="1"/>
  <c r="AQ416" i="1"/>
  <c r="BJ416" i="1" s="1"/>
  <c r="AJ414" i="1"/>
  <c r="BC414" i="1" s="1"/>
  <c r="AN414" i="1"/>
  <c r="BG414" i="1" s="1"/>
  <c r="AM414" i="1"/>
  <c r="BF414" i="1" s="1"/>
  <c r="AO414" i="1"/>
  <c r="BH414" i="1" s="1"/>
  <c r="AI414" i="1"/>
  <c r="AL414" i="1"/>
  <c r="BE414" i="1" s="1"/>
  <c r="AK414" i="1"/>
  <c r="BD414" i="1" s="1"/>
  <c r="AP414" i="1"/>
  <c r="BI414" i="1" s="1"/>
  <c r="AQ414" i="1"/>
  <c r="BJ414" i="1" s="1"/>
  <c r="AR414" i="1"/>
  <c r="BK414" i="1" s="1"/>
  <c r="AJ491" i="1"/>
  <c r="BC491" i="1" s="1"/>
  <c r="AK491" i="1"/>
  <c r="BD491" i="1" s="1"/>
  <c r="AM491" i="1"/>
  <c r="BF491" i="1" s="1"/>
  <c r="AI491" i="1"/>
  <c r="AL491" i="1"/>
  <c r="BE491" i="1" s="1"/>
  <c r="AN491" i="1"/>
  <c r="BG491" i="1" s="1"/>
  <c r="AO491" i="1"/>
  <c r="BH491" i="1" s="1"/>
  <c r="AP491" i="1"/>
  <c r="BI491" i="1" s="1"/>
  <c r="AQ491" i="1"/>
  <c r="BJ491" i="1" s="1"/>
  <c r="AR491" i="1"/>
  <c r="BK491" i="1" s="1"/>
  <c r="AK457" i="1"/>
  <c r="BD457" i="1" s="1"/>
  <c r="AL457" i="1"/>
  <c r="BE457" i="1" s="1"/>
  <c r="AJ457" i="1"/>
  <c r="BC457" i="1" s="1"/>
  <c r="AI457" i="1"/>
  <c r="AN457" i="1"/>
  <c r="BG457" i="1" s="1"/>
  <c r="AP457" i="1"/>
  <c r="BI457" i="1" s="1"/>
  <c r="AQ457" i="1"/>
  <c r="BJ457" i="1" s="1"/>
  <c r="AR457" i="1"/>
  <c r="BK457" i="1" s="1"/>
  <c r="AO457" i="1"/>
  <c r="BH457" i="1" s="1"/>
  <c r="AM457" i="1"/>
  <c r="BF457" i="1" s="1"/>
  <c r="AI461" i="1"/>
  <c r="AJ461" i="1"/>
  <c r="BC461" i="1" s="1"/>
  <c r="AL461" i="1"/>
  <c r="BE461" i="1" s="1"/>
  <c r="AN461" i="1"/>
  <c r="BG461" i="1" s="1"/>
  <c r="AK461" i="1"/>
  <c r="BD461" i="1" s="1"/>
  <c r="AM461" i="1"/>
  <c r="BF461" i="1" s="1"/>
  <c r="AR461" i="1"/>
  <c r="BK461" i="1" s="1"/>
  <c r="AO461" i="1"/>
  <c r="BH461" i="1" s="1"/>
  <c r="AP461" i="1"/>
  <c r="BI461" i="1" s="1"/>
  <c r="AQ461" i="1"/>
  <c r="BJ461" i="1" s="1"/>
  <c r="AK409" i="1"/>
  <c r="BD409" i="1" s="1"/>
  <c r="AL409" i="1"/>
  <c r="BE409" i="1" s="1"/>
  <c r="AI409" i="1"/>
  <c r="AN409" i="1"/>
  <c r="BG409" i="1" s="1"/>
  <c r="AJ409" i="1"/>
  <c r="BC409" i="1" s="1"/>
  <c r="AM409" i="1"/>
  <c r="BF409" i="1" s="1"/>
  <c r="AO409" i="1"/>
  <c r="BH409" i="1" s="1"/>
  <c r="AP409" i="1"/>
  <c r="BI409" i="1" s="1"/>
  <c r="AQ409" i="1"/>
  <c r="BJ409" i="1" s="1"/>
  <c r="AR409" i="1"/>
  <c r="BK409" i="1" s="1"/>
  <c r="AI469" i="1"/>
  <c r="AJ469" i="1"/>
  <c r="BC469" i="1" s="1"/>
  <c r="AK469" i="1"/>
  <c r="BD469" i="1" s="1"/>
  <c r="AN469" i="1"/>
  <c r="BG469" i="1" s="1"/>
  <c r="AM469" i="1"/>
  <c r="BF469" i="1" s="1"/>
  <c r="AL469" i="1"/>
  <c r="BE469" i="1" s="1"/>
  <c r="AR469" i="1"/>
  <c r="BK469" i="1" s="1"/>
  <c r="AO469" i="1"/>
  <c r="BH469" i="1" s="1"/>
  <c r="AP469" i="1"/>
  <c r="BI469" i="1" s="1"/>
  <c r="AQ469" i="1"/>
  <c r="BJ469" i="1" s="1"/>
  <c r="AK473" i="1"/>
  <c r="BD473" i="1" s="1"/>
  <c r="AL473" i="1"/>
  <c r="BE473" i="1" s="1"/>
  <c r="AI473" i="1"/>
  <c r="AN473" i="1"/>
  <c r="BG473" i="1" s="1"/>
  <c r="AM473" i="1"/>
  <c r="BF473" i="1" s="1"/>
  <c r="AJ473" i="1"/>
  <c r="BC473" i="1" s="1"/>
  <c r="AP473" i="1"/>
  <c r="BI473" i="1" s="1"/>
  <c r="AQ473" i="1"/>
  <c r="BJ473" i="1" s="1"/>
  <c r="AR473" i="1"/>
  <c r="BK473" i="1" s="1"/>
  <c r="AO473" i="1"/>
  <c r="BH473" i="1" s="1"/>
  <c r="AK481" i="1"/>
  <c r="BD481" i="1" s="1"/>
  <c r="AL481" i="1"/>
  <c r="BE481" i="1" s="1"/>
  <c r="AJ481" i="1"/>
  <c r="BC481" i="1" s="1"/>
  <c r="AM481" i="1"/>
  <c r="BF481" i="1" s="1"/>
  <c r="AN481" i="1"/>
  <c r="BG481" i="1" s="1"/>
  <c r="AI481" i="1"/>
  <c r="AP481" i="1"/>
  <c r="BI481" i="1" s="1"/>
  <c r="AQ481" i="1"/>
  <c r="BJ481" i="1" s="1"/>
  <c r="AR481" i="1"/>
  <c r="BK481" i="1" s="1"/>
  <c r="AO481" i="1"/>
  <c r="BH481" i="1" s="1"/>
  <c r="AI430" i="1"/>
  <c r="AM430" i="1"/>
  <c r="BF430" i="1" s="1"/>
  <c r="AL430" i="1"/>
  <c r="BE430" i="1" s="1"/>
  <c r="AN430" i="1"/>
  <c r="BG430" i="1" s="1"/>
  <c r="AK430" i="1"/>
  <c r="BD430" i="1" s="1"/>
  <c r="AO430" i="1"/>
  <c r="BH430" i="1" s="1"/>
  <c r="AJ430" i="1"/>
  <c r="BC430" i="1" s="1"/>
  <c r="AP430" i="1"/>
  <c r="BI430" i="1" s="1"/>
  <c r="AQ430" i="1"/>
  <c r="BJ430" i="1" s="1"/>
  <c r="AR430" i="1"/>
  <c r="BK430" i="1" s="1"/>
  <c r="AL447" i="1"/>
  <c r="BE447" i="1" s="1"/>
  <c r="AI447" i="1"/>
  <c r="AM447" i="1"/>
  <c r="BF447" i="1" s="1"/>
  <c r="AK447" i="1"/>
  <c r="BD447" i="1" s="1"/>
  <c r="AJ447" i="1"/>
  <c r="BC447" i="1" s="1"/>
  <c r="AN447" i="1"/>
  <c r="BG447" i="1" s="1"/>
  <c r="AQ447" i="1"/>
  <c r="BJ447" i="1" s="1"/>
  <c r="AR447" i="1"/>
  <c r="BK447" i="1" s="1"/>
  <c r="AO447" i="1"/>
  <c r="BH447" i="1" s="1"/>
  <c r="AP447" i="1"/>
  <c r="BI447" i="1" s="1"/>
  <c r="AI410" i="1"/>
  <c r="AL410" i="1"/>
  <c r="BE410" i="1" s="1"/>
  <c r="AK410" i="1"/>
  <c r="BD410" i="1" s="1"/>
  <c r="AN410" i="1"/>
  <c r="BG410" i="1" s="1"/>
  <c r="AJ410" i="1"/>
  <c r="BC410" i="1" s="1"/>
  <c r="AM410" i="1"/>
  <c r="BF410" i="1" s="1"/>
  <c r="AQ410" i="1"/>
  <c r="BJ410" i="1" s="1"/>
  <c r="AO410" i="1"/>
  <c r="BH410" i="1" s="1"/>
  <c r="AR410" i="1"/>
  <c r="BK410" i="1" s="1"/>
  <c r="AP410" i="1"/>
  <c r="BI410" i="1" s="1"/>
  <c r="AL479" i="1"/>
  <c r="BE479" i="1" s="1"/>
  <c r="AI479" i="1"/>
  <c r="AM479" i="1"/>
  <c r="BF479" i="1" s="1"/>
  <c r="AK479" i="1"/>
  <c r="BD479" i="1" s="1"/>
  <c r="AJ479" i="1"/>
  <c r="BC479" i="1" s="1"/>
  <c r="AN479" i="1"/>
  <c r="BG479" i="1" s="1"/>
  <c r="AQ479" i="1"/>
  <c r="BJ479" i="1" s="1"/>
  <c r="AR479" i="1"/>
  <c r="BK479" i="1" s="1"/>
  <c r="AO479" i="1"/>
  <c r="BH479" i="1" s="1"/>
  <c r="AP479" i="1"/>
  <c r="BI479" i="1" s="1"/>
  <c r="AL408" i="1"/>
  <c r="BE408" i="1" s="1"/>
  <c r="AK408" i="1"/>
  <c r="BD408" i="1" s="1"/>
  <c r="AN408" i="1"/>
  <c r="BG408" i="1" s="1"/>
  <c r="AJ408" i="1"/>
  <c r="BC408" i="1" s="1"/>
  <c r="AM408" i="1"/>
  <c r="BF408" i="1" s="1"/>
  <c r="AO408" i="1"/>
  <c r="BH408" i="1" s="1"/>
  <c r="AR408" i="1"/>
  <c r="BK408" i="1" s="1"/>
  <c r="AQ408" i="1"/>
  <c r="BJ408" i="1" s="1"/>
  <c r="AI408" i="1"/>
  <c r="AP408" i="1"/>
  <c r="BI408" i="1" s="1"/>
  <c r="AI413" i="1"/>
  <c r="AM413" i="1"/>
  <c r="BF413" i="1" s="1"/>
  <c r="AJ413" i="1"/>
  <c r="BC413" i="1" s="1"/>
  <c r="AN413" i="1"/>
  <c r="BG413" i="1" s="1"/>
  <c r="AO413" i="1"/>
  <c r="BH413" i="1" s="1"/>
  <c r="AL413" i="1"/>
  <c r="BE413" i="1" s="1"/>
  <c r="AK413" i="1"/>
  <c r="BD413" i="1" s="1"/>
  <c r="AR413" i="1"/>
  <c r="BK413" i="1" s="1"/>
  <c r="AP413" i="1"/>
  <c r="BI413" i="1" s="1"/>
  <c r="AQ413" i="1"/>
  <c r="BJ413" i="1" s="1"/>
  <c r="AI400" i="1"/>
  <c r="AL400" i="1"/>
  <c r="BE400" i="1" s="1"/>
  <c r="AN400" i="1"/>
  <c r="BG400" i="1" s="1"/>
  <c r="AK400" i="1"/>
  <c r="BD400" i="1" s="1"/>
  <c r="AO400" i="1"/>
  <c r="BH400" i="1" s="1"/>
  <c r="AJ400" i="1"/>
  <c r="BC400" i="1" s="1"/>
  <c r="AM400" i="1"/>
  <c r="BF400" i="1" s="1"/>
  <c r="AR400" i="1"/>
  <c r="BK400" i="1" s="1"/>
  <c r="AP400" i="1"/>
  <c r="BI400" i="1" s="1"/>
  <c r="AQ400" i="1"/>
  <c r="BJ400" i="1" s="1"/>
  <c r="AJ488" i="1"/>
  <c r="BC488" i="1" s="1"/>
  <c r="AM488" i="1"/>
  <c r="BF488" i="1" s="1"/>
  <c r="AI488" i="1"/>
  <c r="AN488" i="1"/>
  <c r="BG488" i="1" s="1"/>
  <c r="AL488" i="1"/>
  <c r="BE488" i="1" s="1"/>
  <c r="AR488" i="1"/>
  <c r="BK488" i="1" s="1"/>
  <c r="AK488" i="1"/>
  <c r="BD488" i="1" s="1"/>
  <c r="AO488" i="1"/>
  <c r="BH488" i="1" s="1"/>
  <c r="AP488" i="1"/>
  <c r="BI488" i="1" s="1"/>
  <c r="AQ488" i="1"/>
  <c r="BJ488" i="1" s="1"/>
  <c r="AI405" i="1"/>
  <c r="AM405" i="1"/>
  <c r="BF405" i="1" s="1"/>
  <c r="AJ405" i="1"/>
  <c r="BC405" i="1" s="1"/>
  <c r="AK405" i="1"/>
  <c r="BD405" i="1" s="1"/>
  <c r="AN405" i="1"/>
  <c r="BG405" i="1" s="1"/>
  <c r="AO405" i="1"/>
  <c r="BH405" i="1" s="1"/>
  <c r="AL405" i="1"/>
  <c r="BE405" i="1" s="1"/>
  <c r="AR405" i="1"/>
  <c r="BK405" i="1" s="1"/>
  <c r="AP405" i="1"/>
  <c r="BI405" i="1" s="1"/>
  <c r="AQ405" i="1"/>
  <c r="BJ405" i="1" s="1"/>
  <c r="AL399" i="1"/>
  <c r="BE399" i="1" s="1"/>
  <c r="AI399" i="1"/>
  <c r="AM399" i="1"/>
  <c r="BF399" i="1" s="1"/>
  <c r="AN399" i="1"/>
  <c r="BG399" i="1" s="1"/>
  <c r="AK399" i="1"/>
  <c r="BD399" i="1" s="1"/>
  <c r="AO399" i="1"/>
  <c r="BH399" i="1" s="1"/>
  <c r="AJ399" i="1"/>
  <c r="BC399" i="1" s="1"/>
  <c r="AQ399" i="1"/>
  <c r="BJ399" i="1" s="1"/>
  <c r="AR399" i="1"/>
  <c r="BK399" i="1" s="1"/>
  <c r="AP399" i="1"/>
  <c r="BI399" i="1" s="1"/>
  <c r="AK470" i="1"/>
  <c r="BD470" i="1" s="1"/>
  <c r="AN470" i="1"/>
  <c r="BG470" i="1" s="1"/>
  <c r="AJ470" i="1"/>
  <c r="BC470" i="1" s="1"/>
  <c r="AM470" i="1"/>
  <c r="BF470" i="1" s="1"/>
  <c r="AI470" i="1"/>
  <c r="AO470" i="1"/>
  <c r="BH470" i="1" s="1"/>
  <c r="AL470" i="1"/>
  <c r="BE470" i="1" s="1"/>
  <c r="AP470" i="1"/>
  <c r="BI470" i="1" s="1"/>
  <c r="AQ470" i="1"/>
  <c r="BJ470" i="1" s="1"/>
  <c r="AR470" i="1"/>
  <c r="BK470" i="1" s="1"/>
  <c r="AJ467" i="1"/>
  <c r="BC467" i="1" s="1"/>
  <c r="AK467" i="1"/>
  <c r="BD467" i="1" s="1"/>
  <c r="AM467" i="1"/>
  <c r="BF467" i="1" s="1"/>
  <c r="AI467" i="1"/>
  <c r="AL467" i="1"/>
  <c r="BE467" i="1" s="1"/>
  <c r="AN467" i="1"/>
  <c r="BG467" i="1" s="1"/>
  <c r="AO467" i="1"/>
  <c r="BH467" i="1" s="1"/>
  <c r="AP467" i="1"/>
  <c r="BI467" i="1" s="1"/>
  <c r="AQ467" i="1"/>
  <c r="BJ467" i="1" s="1"/>
  <c r="AR467" i="1"/>
  <c r="BK467" i="1" s="1"/>
  <c r="AI388" i="1"/>
  <c r="AL388" i="1"/>
  <c r="BE388" i="1" s="1"/>
  <c r="AO388" i="1"/>
  <c r="BH388" i="1" s="1"/>
  <c r="AK388" i="1"/>
  <c r="BD388" i="1" s="1"/>
  <c r="AJ388" i="1"/>
  <c r="BC388" i="1" s="1"/>
  <c r="AM388" i="1"/>
  <c r="BF388" i="1" s="1"/>
  <c r="AP388" i="1"/>
  <c r="BI388" i="1" s="1"/>
  <c r="AN388" i="1"/>
  <c r="BG388" i="1" s="1"/>
  <c r="AQ388" i="1"/>
  <c r="BJ388" i="1" s="1"/>
  <c r="AR388" i="1"/>
  <c r="BK388" i="1" s="1"/>
  <c r="AL415" i="1"/>
  <c r="BE415" i="1" s="1"/>
  <c r="AI415" i="1"/>
  <c r="AM415" i="1"/>
  <c r="BF415" i="1" s="1"/>
  <c r="AK415" i="1"/>
  <c r="BD415" i="1" s="1"/>
  <c r="AJ415" i="1"/>
  <c r="BC415" i="1" s="1"/>
  <c r="AN415" i="1"/>
  <c r="BG415" i="1" s="1"/>
  <c r="AO415" i="1"/>
  <c r="BH415" i="1" s="1"/>
  <c r="AQ415" i="1"/>
  <c r="BJ415" i="1" s="1"/>
  <c r="AR415" i="1"/>
  <c r="BK415" i="1" s="1"/>
  <c r="AP415" i="1"/>
  <c r="BI415" i="1" s="1"/>
  <c r="AK441" i="1"/>
  <c r="BD441" i="1" s="1"/>
  <c r="AL441" i="1"/>
  <c r="BE441" i="1" s="1"/>
  <c r="AI441" i="1"/>
  <c r="AM441" i="1"/>
  <c r="BF441" i="1" s="1"/>
  <c r="AN441" i="1"/>
  <c r="BG441" i="1" s="1"/>
  <c r="AJ441" i="1"/>
  <c r="BC441" i="1" s="1"/>
  <c r="AP441" i="1"/>
  <c r="BI441" i="1" s="1"/>
  <c r="AQ441" i="1"/>
  <c r="BJ441" i="1" s="1"/>
  <c r="AR441" i="1"/>
  <c r="BK441" i="1" s="1"/>
  <c r="AO441" i="1"/>
  <c r="BH441" i="1" s="1"/>
  <c r="AL440" i="1"/>
  <c r="BE440" i="1" s="1"/>
  <c r="AM440" i="1"/>
  <c r="BF440" i="1" s="1"/>
  <c r="AK440" i="1"/>
  <c r="BD440" i="1" s="1"/>
  <c r="AN440" i="1"/>
  <c r="BG440" i="1" s="1"/>
  <c r="AJ440" i="1"/>
  <c r="BC440" i="1" s="1"/>
  <c r="AI440" i="1"/>
  <c r="AR440" i="1"/>
  <c r="BK440" i="1" s="1"/>
  <c r="AO440" i="1"/>
  <c r="BH440" i="1" s="1"/>
  <c r="AQ440" i="1"/>
  <c r="BJ440" i="1" s="1"/>
  <c r="AP440" i="1"/>
  <c r="BI440" i="1" s="1"/>
  <c r="AK426" i="1"/>
  <c r="BD426" i="1" s="1"/>
  <c r="AJ426" i="1"/>
  <c r="BC426" i="1" s="1"/>
  <c r="AM426" i="1"/>
  <c r="BF426" i="1" s="1"/>
  <c r="AI426" i="1"/>
  <c r="AL426" i="1"/>
  <c r="BE426" i="1" s="1"/>
  <c r="AN426" i="1"/>
  <c r="BG426" i="1" s="1"/>
  <c r="AQ426" i="1"/>
  <c r="BJ426" i="1" s="1"/>
  <c r="AR426" i="1"/>
  <c r="BK426" i="1" s="1"/>
  <c r="AO426" i="1"/>
  <c r="BH426" i="1" s="1"/>
  <c r="AP426" i="1"/>
  <c r="BI426" i="1" s="1"/>
  <c r="AJ419" i="1"/>
  <c r="BC419" i="1" s="1"/>
  <c r="AK419" i="1"/>
  <c r="BD419" i="1" s="1"/>
  <c r="AI419" i="1"/>
  <c r="AL419" i="1"/>
  <c r="BE419" i="1" s="1"/>
  <c r="AO419" i="1"/>
  <c r="BH419" i="1" s="1"/>
  <c r="AM419" i="1"/>
  <c r="BF419" i="1" s="1"/>
  <c r="AN419" i="1"/>
  <c r="BG419" i="1" s="1"/>
  <c r="AP419" i="1"/>
  <c r="BI419" i="1" s="1"/>
  <c r="AQ419" i="1"/>
  <c r="BJ419" i="1" s="1"/>
  <c r="AR419" i="1"/>
  <c r="BK419" i="1" s="1"/>
  <c r="AO404" i="1"/>
  <c r="BH404" i="1" s="1"/>
  <c r="O28" i="5" s="1"/>
  <c r="AJ404" i="1"/>
  <c r="BC404" i="1" s="1"/>
  <c r="J28" i="5" s="1"/>
  <c r="AM404" i="1"/>
  <c r="BF404" i="1" s="1"/>
  <c r="M28" i="5" s="1"/>
  <c r="AI404" i="1"/>
  <c r="AL404" i="1"/>
  <c r="BE404" i="1" s="1"/>
  <c r="L28" i="5" s="1"/>
  <c r="AP404" i="1"/>
  <c r="BI404" i="1" s="1"/>
  <c r="P28" i="5" s="1"/>
  <c r="AK404" i="1"/>
  <c r="BD404" i="1" s="1"/>
  <c r="K28" i="5" s="1"/>
  <c r="AQ404" i="1"/>
  <c r="BJ404" i="1" s="1"/>
  <c r="Q28" i="5" s="1"/>
  <c r="AN404" i="1"/>
  <c r="BG404" i="1" s="1"/>
  <c r="N28" i="5" s="1"/>
  <c r="AR404" i="1"/>
  <c r="BK404" i="1" s="1"/>
  <c r="R28" i="5" s="1"/>
  <c r="AK418" i="1"/>
  <c r="BD418" i="1" s="1"/>
  <c r="AJ418" i="1"/>
  <c r="BC418" i="1" s="1"/>
  <c r="AM418" i="1"/>
  <c r="BF418" i="1" s="1"/>
  <c r="AN418" i="1"/>
  <c r="BG418" i="1" s="1"/>
  <c r="AI418" i="1"/>
  <c r="AL418" i="1"/>
  <c r="BE418" i="1" s="1"/>
  <c r="AQ418" i="1"/>
  <c r="BJ418" i="1" s="1"/>
  <c r="AR418" i="1"/>
  <c r="BK418" i="1" s="1"/>
  <c r="AO418" i="1"/>
  <c r="BH418" i="1" s="1"/>
  <c r="AP418" i="1"/>
  <c r="BI418" i="1" s="1"/>
  <c r="AJ434" i="1"/>
  <c r="BC434" i="1" s="1"/>
  <c r="AI434" i="1"/>
  <c r="AL434" i="1"/>
  <c r="BE434" i="1" s="1"/>
  <c r="AM434" i="1"/>
  <c r="BF434" i="1" s="1"/>
  <c r="AN434" i="1"/>
  <c r="BG434" i="1" s="1"/>
  <c r="AK434" i="1"/>
  <c r="BD434" i="1" s="1"/>
  <c r="AO434" i="1"/>
  <c r="BH434" i="1" s="1"/>
  <c r="AQ434" i="1"/>
  <c r="BJ434" i="1" s="1"/>
  <c r="AR434" i="1"/>
  <c r="BK434" i="1" s="1"/>
  <c r="AP434" i="1"/>
  <c r="BI434" i="1" s="1"/>
  <c r="AL407" i="1"/>
  <c r="BE407" i="1" s="1"/>
  <c r="AI407" i="1"/>
  <c r="AM407" i="1"/>
  <c r="BF407" i="1" s="1"/>
  <c r="AK407" i="1"/>
  <c r="BD407" i="1" s="1"/>
  <c r="AN407" i="1"/>
  <c r="BG407" i="1" s="1"/>
  <c r="AJ407" i="1"/>
  <c r="BC407" i="1" s="1"/>
  <c r="AO407" i="1"/>
  <c r="BH407" i="1" s="1"/>
  <c r="AQ407" i="1"/>
  <c r="BJ407" i="1" s="1"/>
  <c r="AR407" i="1"/>
  <c r="BK407" i="1" s="1"/>
  <c r="AP407" i="1"/>
  <c r="BI407" i="1" s="1"/>
  <c r="AJ403" i="1"/>
  <c r="BC403" i="1" s="1"/>
  <c r="AK403" i="1"/>
  <c r="BD403" i="1" s="1"/>
  <c r="AO403" i="1"/>
  <c r="BH403" i="1" s="1"/>
  <c r="AM403" i="1"/>
  <c r="BF403" i="1" s="1"/>
  <c r="AI403" i="1"/>
  <c r="AL403" i="1"/>
  <c r="BE403" i="1" s="1"/>
  <c r="AN403" i="1"/>
  <c r="BG403" i="1" s="1"/>
  <c r="AP403" i="1"/>
  <c r="BI403" i="1" s="1"/>
  <c r="AQ403" i="1"/>
  <c r="BJ403" i="1" s="1"/>
  <c r="AR403" i="1"/>
  <c r="BK403" i="1" s="1"/>
  <c r="AJ392" i="1"/>
  <c r="BC392" i="1" s="1"/>
  <c r="AM392" i="1"/>
  <c r="BF392" i="1" s="1"/>
  <c r="AI392" i="1"/>
  <c r="AN392" i="1"/>
  <c r="BG392" i="1" s="1"/>
  <c r="AL392" i="1"/>
  <c r="BE392" i="1" s="1"/>
  <c r="AO392" i="1"/>
  <c r="BH392" i="1" s="1"/>
  <c r="AK392" i="1"/>
  <c r="BD392" i="1" s="1"/>
  <c r="AR392" i="1"/>
  <c r="BK392" i="1" s="1"/>
  <c r="AP392" i="1"/>
  <c r="BI392" i="1" s="1"/>
  <c r="AQ392" i="1"/>
  <c r="BJ392" i="1" s="1"/>
  <c r="AK386" i="1"/>
  <c r="BD386" i="1" s="1"/>
  <c r="AJ386" i="1"/>
  <c r="BC386" i="1" s="1"/>
  <c r="AM386" i="1"/>
  <c r="BF386" i="1" s="1"/>
  <c r="AN386" i="1"/>
  <c r="BG386" i="1" s="1"/>
  <c r="AO386" i="1"/>
  <c r="BH386" i="1" s="1"/>
  <c r="AQ386" i="1"/>
  <c r="BJ386" i="1" s="1"/>
  <c r="AI386" i="1"/>
  <c r="AL386" i="1"/>
  <c r="BE386" i="1" s="1"/>
  <c r="AR386" i="1"/>
  <c r="BK386" i="1" s="1"/>
  <c r="AP386" i="1"/>
  <c r="BI386" i="1" s="1"/>
  <c r="AK480" i="1"/>
  <c r="BD480" i="1" s="1"/>
  <c r="AJ480" i="1"/>
  <c r="BC480" i="1" s="1"/>
  <c r="AM480" i="1"/>
  <c r="BF480" i="1" s="1"/>
  <c r="AN480" i="1"/>
  <c r="BG480" i="1" s="1"/>
  <c r="AI480" i="1"/>
  <c r="AL480" i="1"/>
  <c r="BE480" i="1" s="1"/>
  <c r="AR480" i="1"/>
  <c r="BK480" i="1" s="1"/>
  <c r="AO480" i="1"/>
  <c r="BH480" i="1" s="1"/>
  <c r="AP480" i="1"/>
  <c r="BI480" i="1" s="1"/>
  <c r="AQ480" i="1"/>
  <c r="BJ480" i="1" s="1"/>
  <c r="AM486" i="1"/>
  <c r="BF486" i="1" s="1"/>
  <c r="AN486" i="1"/>
  <c r="BG486" i="1" s="1"/>
  <c r="AI486" i="1"/>
  <c r="AL486" i="1"/>
  <c r="BE486" i="1" s="1"/>
  <c r="AK486" i="1"/>
  <c r="BD486" i="1" s="1"/>
  <c r="AJ486" i="1"/>
  <c r="BC486" i="1" s="1"/>
  <c r="AO486" i="1"/>
  <c r="BH486" i="1" s="1"/>
  <c r="AP486" i="1"/>
  <c r="BI486" i="1" s="1"/>
  <c r="AR486" i="1"/>
  <c r="BK486" i="1" s="1"/>
  <c r="AQ486" i="1"/>
  <c r="BJ486" i="1" s="1"/>
  <c r="AM390" i="1"/>
  <c r="BF390" i="1" s="1"/>
  <c r="AN390" i="1"/>
  <c r="BG390" i="1" s="1"/>
  <c r="AI390" i="1"/>
  <c r="AL390" i="1"/>
  <c r="BE390" i="1" s="1"/>
  <c r="AO390" i="1"/>
  <c r="BH390" i="1" s="1"/>
  <c r="AK390" i="1"/>
  <c r="BD390" i="1" s="1"/>
  <c r="AJ390" i="1"/>
  <c r="BC390" i="1" s="1"/>
  <c r="AP390" i="1"/>
  <c r="BI390" i="1" s="1"/>
  <c r="AR390" i="1"/>
  <c r="BK390" i="1" s="1"/>
  <c r="AQ390" i="1"/>
  <c r="BJ390" i="1" s="1"/>
  <c r="AM468" i="1"/>
  <c r="BF468" i="1" s="1"/>
  <c r="AJ468" i="1"/>
  <c r="BC468" i="1" s="1"/>
  <c r="AI468" i="1"/>
  <c r="AL468" i="1"/>
  <c r="BE468" i="1" s="1"/>
  <c r="AK468" i="1"/>
  <c r="BD468" i="1" s="1"/>
  <c r="AP468" i="1"/>
  <c r="BI468" i="1" s="1"/>
  <c r="AQ468" i="1"/>
  <c r="BJ468" i="1" s="1"/>
  <c r="AN468" i="1"/>
  <c r="BG468" i="1" s="1"/>
  <c r="AR468" i="1"/>
  <c r="BK468" i="1" s="1"/>
  <c r="AO468" i="1"/>
  <c r="BH468" i="1" s="1"/>
  <c r="AK497" i="1"/>
  <c r="BD497" i="1" s="1"/>
  <c r="AL497" i="1"/>
  <c r="BE497" i="1" s="1"/>
  <c r="AJ497" i="1"/>
  <c r="BC497" i="1" s="1"/>
  <c r="AI497" i="1"/>
  <c r="AM497" i="1"/>
  <c r="BF497" i="1" s="1"/>
  <c r="AN497" i="1"/>
  <c r="BG497" i="1" s="1"/>
  <c r="AP497" i="1"/>
  <c r="BI497" i="1" s="1"/>
  <c r="AQ497" i="1"/>
  <c r="BJ497" i="1" s="1"/>
  <c r="AR497" i="1"/>
  <c r="BK497" i="1" s="1"/>
  <c r="AO497" i="1"/>
  <c r="BH497" i="1" s="1"/>
  <c r="AM450" i="1"/>
  <c r="BF450" i="1" s="1"/>
  <c r="AK450" i="1"/>
  <c r="BD450" i="1" s="1"/>
  <c r="AJ450" i="1"/>
  <c r="BC450" i="1" s="1"/>
  <c r="AN450" i="1"/>
  <c r="BG450" i="1" s="1"/>
  <c r="AI450" i="1"/>
  <c r="AL450" i="1"/>
  <c r="BE450" i="1" s="1"/>
  <c r="AQ450" i="1"/>
  <c r="BJ450" i="1" s="1"/>
  <c r="AR450" i="1"/>
  <c r="BK450" i="1" s="1"/>
  <c r="AO450" i="1"/>
  <c r="BH450" i="1" s="1"/>
  <c r="AP450" i="1"/>
  <c r="BI450" i="1" s="1"/>
  <c r="AK490" i="1"/>
  <c r="BD490" i="1" s="1"/>
  <c r="AJ490" i="1"/>
  <c r="BC490" i="1" s="1"/>
  <c r="AM490" i="1"/>
  <c r="BF490" i="1" s="1"/>
  <c r="AI490" i="1"/>
  <c r="AL490" i="1"/>
  <c r="BE490" i="1" s="1"/>
  <c r="AN490" i="1"/>
  <c r="BG490" i="1" s="1"/>
  <c r="AQ490" i="1"/>
  <c r="BJ490" i="1" s="1"/>
  <c r="AR490" i="1"/>
  <c r="BK490" i="1" s="1"/>
  <c r="AP490" i="1"/>
  <c r="BI490" i="1" s="1"/>
  <c r="AO490" i="1"/>
  <c r="BH490" i="1" s="1"/>
  <c r="AK428" i="1"/>
  <c r="BD428" i="1" s="1"/>
  <c r="AO428" i="1"/>
  <c r="BH428" i="1" s="1"/>
  <c r="AJ428" i="1"/>
  <c r="BC428" i="1" s="1"/>
  <c r="AM428" i="1"/>
  <c r="BF428" i="1" s="1"/>
  <c r="AI428" i="1"/>
  <c r="AL428" i="1"/>
  <c r="BE428" i="1" s="1"/>
  <c r="AP428" i="1"/>
  <c r="BI428" i="1" s="1"/>
  <c r="AQ428" i="1"/>
  <c r="BJ428" i="1" s="1"/>
  <c r="AR428" i="1"/>
  <c r="BK428" i="1" s="1"/>
  <c r="AN428" i="1"/>
  <c r="BG428" i="1" s="1"/>
  <c r="AJ446" i="1"/>
  <c r="BC446" i="1" s="1"/>
  <c r="AN446" i="1"/>
  <c r="BG446" i="1" s="1"/>
  <c r="AI446" i="1"/>
  <c r="AL446" i="1"/>
  <c r="BE446" i="1" s="1"/>
  <c r="AM446" i="1"/>
  <c r="BF446" i="1" s="1"/>
  <c r="AK446" i="1"/>
  <c r="BD446" i="1" s="1"/>
  <c r="AO446" i="1"/>
  <c r="BH446" i="1" s="1"/>
  <c r="AP446" i="1"/>
  <c r="BI446" i="1" s="1"/>
  <c r="AQ446" i="1"/>
  <c r="BJ446" i="1" s="1"/>
  <c r="AR446" i="1"/>
  <c r="BK446" i="1" s="1"/>
  <c r="AJ427" i="1"/>
  <c r="BC427" i="1" s="1"/>
  <c r="AK427" i="1"/>
  <c r="BD427" i="1" s="1"/>
  <c r="AO427" i="1"/>
  <c r="BH427" i="1" s="1"/>
  <c r="AM427" i="1"/>
  <c r="BF427" i="1" s="1"/>
  <c r="AI427" i="1"/>
  <c r="AL427" i="1"/>
  <c r="BE427" i="1" s="1"/>
  <c r="AN427" i="1"/>
  <c r="BG427" i="1" s="1"/>
  <c r="AP427" i="1"/>
  <c r="BI427" i="1" s="1"/>
  <c r="AQ427" i="1"/>
  <c r="BJ427" i="1" s="1"/>
  <c r="AR427" i="1"/>
  <c r="BK427" i="1" s="1"/>
  <c r="AI453" i="1"/>
  <c r="AJ453" i="1"/>
  <c r="BC453" i="1" s="1"/>
  <c r="AN453" i="1"/>
  <c r="BG453" i="1" s="1"/>
  <c r="AL453" i="1"/>
  <c r="BE453" i="1" s="1"/>
  <c r="AK453" i="1"/>
  <c r="BD453" i="1" s="1"/>
  <c r="AM453" i="1"/>
  <c r="BF453" i="1" s="1"/>
  <c r="AR453" i="1"/>
  <c r="BK453" i="1" s="1"/>
  <c r="AO453" i="1"/>
  <c r="BH453" i="1" s="1"/>
  <c r="AP453" i="1"/>
  <c r="BI453" i="1" s="1"/>
  <c r="AQ453" i="1"/>
  <c r="BJ453" i="1" s="1"/>
  <c r="AJ466" i="1"/>
  <c r="BC466" i="1" s="1"/>
  <c r="AI466" i="1"/>
  <c r="AL466" i="1"/>
  <c r="BE466" i="1" s="1"/>
  <c r="AN466" i="1"/>
  <c r="BG466" i="1" s="1"/>
  <c r="AK466" i="1"/>
  <c r="BD466" i="1" s="1"/>
  <c r="AM466" i="1"/>
  <c r="BF466" i="1" s="1"/>
  <c r="AQ466" i="1"/>
  <c r="BJ466" i="1" s="1"/>
  <c r="AR466" i="1"/>
  <c r="BK466" i="1" s="1"/>
  <c r="AO466" i="1"/>
  <c r="BH466" i="1" s="1"/>
  <c r="AP466" i="1"/>
  <c r="BI466" i="1" s="1"/>
  <c r="AM422" i="1"/>
  <c r="BF422" i="1" s="1"/>
  <c r="AN422" i="1"/>
  <c r="BG422" i="1" s="1"/>
  <c r="AI422" i="1"/>
  <c r="AL422" i="1"/>
  <c r="BE422" i="1" s="1"/>
  <c r="AO422" i="1"/>
  <c r="BH422" i="1" s="1"/>
  <c r="AK422" i="1"/>
  <c r="BD422" i="1" s="1"/>
  <c r="AJ422" i="1"/>
  <c r="BC422" i="1" s="1"/>
  <c r="AP422" i="1"/>
  <c r="BI422" i="1" s="1"/>
  <c r="AR422" i="1"/>
  <c r="BK422" i="1" s="1"/>
  <c r="AQ422" i="1"/>
  <c r="BJ422" i="1" s="1"/>
  <c r="AL455" i="1"/>
  <c r="BE455" i="1" s="1"/>
  <c r="AI455" i="1"/>
  <c r="AM455" i="1"/>
  <c r="BF455" i="1" s="1"/>
  <c r="AJ455" i="1"/>
  <c r="BC455" i="1" s="1"/>
  <c r="AN455" i="1"/>
  <c r="BG455" i="1" s="1"/>
  <c r="AK455" i="1"/>
  <c r="BD455" i="1" s="1"/>
  <c r="AQ455" i="1"/>
  <c r="BJ455" i="1" s="1"/>
  <c r="AR455" i="1"/>
  <c r="BK455" i="1" s="1"/>
  <c r="AO455" i="1"/>
  <c r="BH455" i="1" s="1"/>
  <c r="AP455" i="1"/>
  <c r="BI455" i="1" s="1"/>
  <c r="AI477" i="1"/>
  <c r="AJ477" i="1"/>
  <c r="BC477" i="1" s="1"/>
  <c r="AN477" i="1"/>
  <c r="BG477" i="1" s="1"/>
  <c r="AM477" i="1"/>
  <c r="BF477" i="1" s="1"/>
  <c r="AL477" i="1"/>
  <c r="BE477" i="1" s="1"/>
  <c r="AK477" i="1"/>
  <c r="BD477" i="1" s="1"/>
  <c r="AR477" i="1"/>
  <c r="BK477" i="1" s="1"/>
  <c r="AO477" i="1"/>
  <c r="BH477" i="1" s="1"/>
  <c r="AP477" i="1"/>
  <c r="BI477" i="1" s="1"/>
  <c r="AQ477" i="1"/>
  <c r="BJ477" i="1" s="1"/>
  <c r="AK396" i="1"/>
  <c r="BD396" i="1" s="1"/>
  <c r="AO396" i="1"/>
  <c r="BH396" i="1" s="1"/>
  <c r="AJ396" i="1"/>
  <c r="BC396" i="1" s="1"/>
  <c r="AM396" i="1"/>
  <c r="BF396" i="1" s="1"/>
  <c r="AP396" i="1"/>
  <c r="BI396" i="1" s="1"/>
  <c r="AN396" i="1"/>
  <c r="BG396" i="1" s="1"/>
  <c r="AQ396" i="1"/>
  <c r="BJ396" i="1" s="1"/>
  <c r="AI396" i="1"/>
  <c r="AL396" i="1"/>
  <c r="BE396" i="1" s="1"/>
  <c r="AR396" i="1"/>
  <c r="BK396" i="1" s="1"/>
  <c r="AI397" i="1"/>
  <c r="AM397" i="1"/>
  <c r="BF397" i="1" s="1"/>
  <c r="AJ397" i="1"/>
  <c r="BC397" i="1" s="1"/>
  <c r="AL397" i="1"/>
  <c r="BE397" i="1" s="1"/>
  <c r="AN397" i="1"/>
  <c r="BG397" i="1" s="1"/>
  <c r="AK397" i="1"/>
  <c r="BD397" i="1" s="1"/>
  <c r="AO397" i="1"/>
  <c r="BH397" i="1" s="1"/>
  <c r="AR397" i="1"/>
  <c r="BK397" i="1" s="1"/>
  <c r="AP397" i="1"/>
  <c r="BI397" i="1" s="1"/>
  <c r="AQ397" i="1"/>
  <c r="BJ397" i="1" s="1"/>
  <c r="AJ356" i="1"/>
  <c r="BC356" i="1" s="1"/>
  <c r="AN356" i="1"/>
  <c r="BG356" i="1" s="1"/>
  <c r="AR356" i="1"/>
  <c r="BK356" i="1" s="1"/>
  <c r="AK356" i="1"/>
  <c r="BD356" i="1" s="1"/>
  <c r="AO356" i="1"/>
  <c r="BH356" i="1" s="1"/>
  <c r="AL356" i="1"/>
  <c r="BE356" i="1" s="1"/>
  <c r="AI356" i="1"/>
  <c r="AQ356" i="1"/>
  <c r="BJ356" i="1" s="1"/>
  <c r="AP356" i="1"/>
  <c r="BI356" i="1" s="1"/>
  <c r="AM356" i="1"/>
  <c r="BF356" i="1" s="1"/>
  <c r="AL344" i="1"/>
  <c r="BE344" i="1" s="1"/>
  <c r="AP344" i="1"/>
  <c r="BI344" i="1" s="1"/>
  <c r="AI344" i="1"/>
  <c r="AM344" i="1"/>
  <c r="BF344" i="1" s="1"/>
  <c r="AQ344" i="1"/>
  <c r="BJ344" i="1" s="1"/>
  <c r="AJ344" i="1"/>
  <c r="BC344" i="1" s="1"/>
  <c r="AR344" i="1"/>
  <c r="BK344" i="1" s="1"/>
  <c r="AO344" i="1"/>
  <c r="BH344" i="1" s="1"/>
  <c r="AN344" i="1"/>
  <c r="BG344" i="1" s="1"/>
  <c r="AK344" i="1"/>
  <c r="BD344" i="1" s="1"/>
  <c r="AL384" i="1"/>
  <c r="BE384" i="1" s="1"/>
  <c r="AP384" i="1"/>
  <c r="BI384" i="1" s="1"/>
  <c r="AI384" i="1"/>
  <c r="AM384" i="1"/>
  <c r="BF384" i="1" s="1"/>
  <c r="AQ384" i="1"/>
  <c r="BJ384" i="1" s="1"/>
  <c r="AN384" i="1"/>
  <c r="BG384" i="1" s="1"/>
  <c r="AK384" i="1"/>
  <c r="BD384" i="1" s="1"/>
  <c r="AJ384" i="1"/>
  <c r="BC384" i="1" s="1"/>
  <c r="AR384" i="1"/>
  <c r="BK384" i="1" s="1"/>
  <c r="AO384" i="1"/>
  <c r="BH384" i="1" s="1"/>
  <c r="AI371" i="1"/>
  <c r="AM371" i="1"/>
  <c r="BF371" i="1" s="1"/>
  <c r="AQ371" i="1"/>
  <c r="BJ371" i="1" s="1"/>
  <c r="AJ371" i="1"/>
  <c r="BC371" i="1" s="1"/>
  <c r="AN371" i="1"/>
  <c r="BG371" i="1" s="1"/>
  <c r="AR371" i="1"/>
  <c r="BK371" i="1" s="1"/>
  <c r="AO371" i="1"/>
  <c r="BH371" i="1" s="1"/>
  <c r="AL371" i="1"/>
  <c r="BE371" i="1" s="1"/>
  <c r="AK371" i="1"/>
  <c r="BD371" i="1" s="1"/>
  <c r="AP371" i="1"/>
  <c r="BI371" i="1" s="1"/>
  <c r="AI374" i="1"/>
  <c r="AM374" i="1"/>
  <c r="BF374" i="1" s="1"/>
  <c r="AQ374" i="1"/>
  <c r="BJ374" i="1" s="1"/>
  <c r="AJ374" i="1"/>
  <c r="BC374" i="1" s="1"/>
  <c r="AN374" i="1"/>
  <c r="BG374" i="1" s="1"/>
  <c r="AR374" i="1"/>
  <c r="BK374" i="1" s="1"/>
  <c r="AO374" i="1"/>
  <c r="BH374" i="1" s="1"/>
  <c r="AL374" i="1"/>
  <c r="BE374" i="1" s="1"/>
  <c r="AK374" i="1"/>
  <c r="BD374" i="1" s="1"/>
  <c r="AP374" i="1"/>
  <c r="BI374" i="1" s="1"/>
  <c r="AI355" i="1"/>
  <c r="AM355" i="1"/>
  <c r="BF355" i="1" s="1"/>
  <c r="AQ355" i="1"/>
  <c r="BJ355" i="1" s="1"/>
  <c r="AJ355" i="1"/>
  <c r="BC355" i="1" s="1"/>
  <c r="AN355" i="1"/>
  <c r="BG355" i="1" s="1"/>
  <c r="AR355" i="1"/>
  <c r="BK355" i="1" s="1"/>
  <c r="AO355" i="1"/>
  <c r="BH355" i="1" s="1"/>
  <c r="AL355" i="1"/>
  <c r="BE355" i="1" s="1"/>
  <c r="AK355" i="1"/>
  <c r="BD355" i="1" s="1"/>
  <c r="AP355" i="1"/>
  <c r="BI355" i="1" s="1"/>
  <c r="AK367" i="1"/>
  <c r="BD367" i="1" s="1"/>
  <c r="AO367" i="1"/>
  <c r="BH367" i="1" s="1"/>
  <c r="AL367" i="1"/>
  <c r="BE367" i="1" s="1"/>
  <c r="AP367" i="1"/>
  <c r="BI367" i="1" s="1"/>
  <c r="AI367" i="1"/>
  <c r="AQ367" i="1"/>
  <c r="BJ367" i="1" s="1"/>
  <c r="AN367" i="1"/>
  <c r="BG367" i="1" s="1"/>
  <c r="AM367" i="1"/>
  <c r="BF367" i="1" s="1"/>
  <c r="AJ367" i="1"/>
  <c r="BC367" i="1" s="1"/>
  <c r="AR367" i="1"/>
  <c r="BK367" i="1" s="1"/>
  <c r="AL360" i="1"/>
  <c r="BE360" i="1" s="1"/>
  <c r="AP360" i="1"/>
  <c r="BI360" i="1" s="1"/>
  <c r="AI360" i="1"/>
  <c r="AM360" i="1"/>
  <c r="BF360" i="1" s="1"/>
  <c r="AQ360" i="1"/>
  <c r="BJ360" i="1" s="1"/>
  <c r="AJ360" i="1"/>
  <c r="BC360" i="1" s="1"/>
  <c r="AR360" i="1"/>
  <c r="BK360" i="1" s="1"/>
  <c r="AO360" i="1"/>
  <c r="BH360" i="1" s="1"/>
  <c r="AN360" i="1"/>
  <c r="BG360" i="1" s="1"/>
  <c r="AK360" i="1"/>
  <c r="BD360" i="1" s="1"/>
  <c r="AI347" i="1"/>
  <c r="AM347" i="1"/>
  <c r="BF347" i="1" s="1"/>
  <c r="AQ347" i="1"/>
  <c r="BJ347" i="1" s="1"/>
  <c r="AJ347" i="1"/>
  <c r="BC347" i="1" s="1"/>
  <c r="AN347" i="1"/>
  <c r="BG347" i="1" s="1"/>
  <c r="AR347" i="1"/>
  <c r="BK347" i="1" s="1"/>
  <c r="AK347" i="1"/>
  <c r="BD347" i="1" s="1"/>
  <c r="AP347" i="1"/>
  <c r="BI347" i="1" s="1"/>
  <c r="AO347" i="1"/>
  <c r="BH347" i="1" s="1"/>
  <c r="AL347" i="1"/>
  <c r="BE347" i="1" s="1"/>
  <c r="AJ353" i="1"/>
  <c r="BC353" i="1" s="1"/>
  <c r="AN353" i="1"/>
  <c r="BG353" i="1" s="1"/>
  <c r="AR353" i="1"/>
  <c r="BK353" i="1" s="1"/>
  <c r="AK353" i="1"/>
  <c r="BD353" i="1" s="1"/>
  <c r="AO353" i="1"/>
  <c r="BH353" i="1" s="1"/>
  <c r="AL353" i="1"/>
  <c r="BE353" i="1" s="1"/>
  <c r="AI353" i="1"/>
  <c r="AQ353" i="1"/>
  <c r="BJ353" i="1" s="1"/>
  <c r="AP353" i="1"/>
  <c r="BI353" i="1" s="1"/>
  <c r="AM353" i="1"/>
  <c r="BF353" i="1" s="1"/>
  <c r="AK351" i="1"/>
  <c r="BD351" i="1" s="1"/>
  <c r="AO351" i="1"/>
  <c r="BH351" i="1" s="1"/>
  <c r="AL351" i="1"/>
  <c r="BE351" i="1" s="1"/>
  <c r="AP351" i="1"/>
  <c r="BI351" i="1" s="1"/>
  <c r="AI351" i="1"/>
  <c r="AQ351" i="1"/>
  <c r="BJ351" i="1" s="1"/>
  <c r="AN351" i="1"/>
  <c r="BG351" i="1" s="1"/>
  <c r="AM351" i="1"/>
  <c r="BF351" i="1" s="1"/>
  <c r="AJ351" i="1"/>
  <c r="BC351" i="1" s="1"/>
  <c r="AR351" i="1"/>
  <c r="BK351" i="1" s="1"/>
  <c r="AJ377" i="1"/>
  <c r="BC377" i="1" s="1"/>
  <c r="AN377" i="1"/>
  <c r="BG377" i="1" s="1"/>
  <c r="AR377" i="1"/>
  <c r="BK377" i="1" s="1"/>
  <c r="AK377" i="1"/>
  <c r="BD377" i="1" s="1"/>
  <c r="AO377" i="1"/>
  <c r="BH377" i="1" s="1"/>
  <c r="AP377" i="1"/>
  <c r="BI377" i="1" s="1"/>
  <c r="AM377" i="1"/>
  <c r="BF377" i="1" s="1"/>
  <c r="AL377" i="1"/>
  <c r="BE377" i="1" s="1"/>
  <c r="AI377" i="1"/>
  <c r="AQ377" i="1"/>
  <c r="BJ377" i="1" s="1"/>
  <c r="AK370" i="1"/>
  <c r="BD370" i="1" s="1"/>
  <c r="AO370" i="1"/>
  <c r="BH370" i="1" s="1"/>
  <c r="AL370" i="1"/>
  <c r="BE370" i="1" s="1"/>
  <c r="AP370" i="1"/>
  <c r="BI370" i="1" s="1"/>
  <c r="AI370" i="1"/>
  <c r="AQ370" i="1"/>
  <c r="BJ370" i="1" s="1"/>
  <c r="AN370" i="1"/>
  <c r="BG370" i="1" s="1"/>
  <c r="AM370" i="1"/>
  <c r="BF370" i="1" s="1"/>
  <c r="AJ370" i="1"/>
  <c r="BC370" i="1" s="1"/>
  <c r="AR370" i="1"/>
  <c r="BK370" i="1" s="1"/>
  <c r="AJ369" i="1"/>
  <c r="BC369" i="1" s="1"/>
  <c r="AN369" i="1"/>
  <c r="BG369" i="1" s="1"/>
  <c r="AR369" i="1"/>
  <c r="BK369" i="1" s="1"/>
  <c r="AK369" i="1"/>
  <c r="BD369" i="1" s="1"/>
  <c r="AO369" i="1"/>
  <c r="BH369" i="1" s="1"/>
  <c r="AL369" i="1"/>
  <c r="BE369" i="1" s="1"/>
  <c r="AI369" i="1"/>
  <c r="AQ369" i="1"/>
  <c r="BJ369" i="1" s="1"/>
  <c r="AP369" i="1"/>
  <c r="BI369" i="1" s="1"/>
  <c r="AM369" i="1"/>
  <c r="BF369" i="1" s="1"/>
  <c r="AJ380" i="1"/>
  <c r="BC380" i="1" s="1"/>
  <c r="AN380" i="1"/>
  <c r="BG380" i="1" s="1"/>
  <c r="AR380" i="1"/>
  <c r="BK380" i="1" s="1"/>
  <c r="AK380" i="1"/>
  <c r="BD380" i="1" s="1"/>
  <c r="AO380" i="1"/>
  <c r="BH380" i="1" s="1"/>
  <c r="AP380" i="1"/>
  <c r="BI380" i="1" s="1"/>
  <c r="AM380" i="1"/>
  <c r="BF380" i="1" s="1"/>
  <c r="AL380" i="1"/>
  <c r="BE380" i="1" s="1"/>
  <c r="AI380" i="1"/>
  <c r="AQ380" i="1"/>
  <c r="BJ380" i="1" s="1"/>
  <c r="AJ364" i="1"/>
  <c r="BC364" i="1" s="1"/>
  <c r="AN364" i="1"/>
  <c r="BG364" i="1" s="1"/>
  <c r="AR364" i="1"/>
  <c r="BK364" i="1" s="1"/>
  <c r="AK364" i="1"/>
  <c r="BD364" i="1" s="1"/>
  <c r="AO364" i="1"/>
  <c r="BH364" i="1" s="1"/>
  <c r="AP364" i="1"/>
  <c r="BI364" i="1" s="1"/>
  <c r="AM364" i="1"/>
  <c r="BF364" i="1" s="1"/>
  <c r="AL364" i="1"/>
  <c r="BE364" i="1" s="1"/>
  <c r="AQ364" i="1"/>
  <c r="BJ364" i="1" s="1"/>
  <c r="AI364" i="1"/>
  <c r="AK375" i="1"/>
  <c r="BD375" i="1" s="1"/>
  <c r="AO375" i="1"/>
  <c r="BH375" i="1" s="1"/>
  <c r="AL375" i="1"/>
  <c r="BE375" i="1" s="1"/>
  <c r="AP375" i="1"/>
  <c r="BI375" i="1" s="1"/>
  <c r="AM375" i="1"/>
  <c r="BF375" i="1" s="1"/>
  <c r="AJ375" i="1"/>
  <c r="BC375" i="1" s="1"/>
  <c r="AR375" i="1"/>
  <c r="BK375" i="1" s="1"/>
  <c r="AI375" i="1"/>
  <c r="AQ375" i="1"/>
  <c r="BJ375" i="1" s="1"/>
  <c r="AN375" i="1"/>
  <c r="BG375" i="1" s="1"/>
  <c r="AK383" i="1"/>
  <c r="BD383" i="1" s="1"/>
  <c r="AO383" i="1"/>
  <c r="BH383" i="1" s="1"/>
  <c r="AL383" i="1"/>
  <c r="BE383" i="1" s="1"/>
  <c r="AP383" i="1"/>
  <c r="BI383" i="1" s="1"/>
  <c r="AI383" i="1"/>
  <c r="AQ383" i="1"/>
  <c r="BJ383" i="1" s="1"/>
  <c r="AN383" i="1"/>
  <c r="BG383" i="1" s="1"/>
  <c r="AM383" i="1"/>
  <c r="BF383" i="1" s="1"/>
  <c r="AJ383" i="1"/>
  <c r="BC383" i="1" s="1"/>
  <c r="AR383" i="1"/>
  <c r="BK383" i="1" s="1"/>
  <c r="AJ385" i="1"/>
  <c r="BC385" i="1" s="1"/>
  <c r="AN385" i="1"/>
  <c r="BG385" i="1" s="1"/>
  <c r="AR385" i="1"/>
  <c r="BK385" i="1" s="1"/>
  <c r="AK385" i="1"/>
  <c r="BD385" i="1" s="1"/>
  <c r="AO385" i="1"/>
  <c r="BH385" i="1" s="1"/>
  <c r="AL385" i="1"/>
  <c r="BE385" i="1" s="1"/>
  <c r="AI385" i="1"/>
  <c r="AQ385" i="1"/>
  <c r="BJ385" i="1" s="1"/>
  <c r="AP385" i="1"/>
  <c r="BI385" i="1" s="1"/>
  <c r="AM385" i="1"/>
  <c r="BF385" i="1" s="1"/>
  <c r="AI363" i="1"/>
  <c r="AM363" i="1"/>
  <c r="BF363" i="1" s="1"/>
  <c r="AQ363" i="1"/>
  <c r="BJ363" i="1" s="1"/>
  <c r="AJ363" i="1"/>
  <c r="BC363" i="1" s="1"/>
  <c r="AN363" i="1"/>
  <c r="BG363" i="1" s="1"/>
  <c r="AR363" i="1"/>
  <c r="BK363" i="1" s="1"/>
  <c r="AK363" i="1"/>
  <c r="BD363" i="1" s="1"/>
  <c r="AP363" i="1"/>
  <c r="BI363" i="1" s="1"/>
  <c r="AO363" i="1"/>
  <c r="BH363" i="1" s="1"/>
  <c r="AL363" i="1"/>
  <c r="BE363" i="1" s="1"/>
  <c r="AI358" i="1"/>
  <c r="AM358" i="1"/>
  <c r="BF358" i="1" s="1"/>
  <c r="AQ358" i="1"/>
  <c r="BJ358" i="1" s="1"/>
  <c r="AJ358" i="1"/>
  <c r="BC358" i="1" s="1"/>
  <c r="AN358" i="1"/>
  <c r="BG358" i="1" s="1"/>
  <c r="AR358" i="1"/>
  <c r="BK358" i="1" s="1"/>
  <c r="AO358" i="1"/>
  <c r="BH358" i="1" s="1"/>
  <c r="AL358" i="1"/>
  <c r="BE358" i="1" s="1"/>
  <c r="AK358" i="1"/>
  <c r="BD358" i="1" s="1"/>
  <c r="AP358" i="1"/>
  <c r="BI358" i="1" s="1"/>
  <c r="AJ348" i="1"/>
  <c r="BC348" i="1" s="1"/>
  <c r="AN348" i="1"/>
  <c r="BG348" i="1" s="1"/>
  <c r="AR348" i="1"/>
  <c r="BK348" i="1" s="1"/>
  <c r="AK348" i="1"/>
  <c r="BD348" i="1" s="1"/>
  <c r="AO348" i="1"/>
  <c r="BH348" i="1" s="1"/>
  <c r="AP348" i="1"/>
  <c r="BI348" i="1" s="1"/>
  <c r="AM348" i="1"/>
  <c r="BF348" i="1" s="1"/>
  <c r="AL348" i="1"/>
  <c r="BE348" i="1" s="1"/>
  <c r="AQ348" i="1"/>
  <c r="BJ348" i="1" s="1"/>
  <c r="AI348" i="1"/>
  <c r="AK378" i="1"/>
  <c r="BD378" i="1" s="1"/>
  <c r="AO378" i="1"/>
  <c r="BH378" i="1" s="1"/>
  <c r="AL378" i="1"/>
  <c r="BE378" i="1" s="1"/>
  <c r="AP378" i="1"/>
  <c r="BI378" i="1" s="1"/>
  <c r="AM378" i="1"/>
  <c r="BF378" i="1" s="1"/>
  <c r="AJ378" i="1"/>
  <c r="BC378" i="1" s="1"/>
  <c r="AR378" i="1"/>
  <c r="BK378" i="1" s="1"/>
  <c r="AI378" i="1"/>
  <c r="AQ378" i="1"/>
  <c r="BJ378" i="1" s="1"/>
  <c r="AN378" i="1"/>
  <c r="BG378" i="1" s="1"/>
  <c r="AI382" i="1"/>
  <c r="AM382" i="1"/>
  <c r="BF382" i="1" s="1"/>
  <c r="AQ382" i="1"/>
  <c r="BJ382" i="1" s="1"/>
  <c r="AJ382" i="1"/>
  <c r="BC382" i="1" s="1"/>
  <c r="AN382" i="1"/>
  <c r="BG382" i="1" s="1"/>
  <c r="AR382" i="1"/>
  <c r="BK382" i="1" s="1"/>
  <c r="AK382" i="1"/>
  <c r="BD382" i="1" s="1"/>
  <c r="AP382" i="1"/>
  <c r="BI382" i="1" s="1"/>
  <c r="AO382" i="1"/>
  <c r="BH382" i="1" s="1"/>
  <c r="AL382" i="1"/>
  <c r="BE382" i="1" s="1"/>
  <c r="AI379" i="1"/>
  <c r="AM379" i="1"/>
  <c r="BF379" i="1" s="1"/>
  <c r="AQ379" i="1"/>
  <c r="BJ379" i="1" s="1"/>
  <c r="AJ379" i="1"/>
  <c r="BC379" i="1" s="1"/>
  <c r="AN379" i="1"/>
  <c r="BG379" i="1" s="1"/>
  <c r="AR379" i="1"/>
  <c r="BK379" i="1" s="1"/>
  <c r="AK379" i="1"/>
  <c r="BD379" i="1" s="1"/>
  <c r="AP379" i="1"/>
  <c r="BI379" i="1" s="1"/>
  <c r="AO379" i="1"/>
  <c r="BH379" i="1" s="1"/>
  <c r="AL379" i="1"/>
  <c r="BE379" i="1" s="1"/>
  <c r="AL365" i="1"/>
  <c r="BE365" i="1" s="1"/>
  <c r="AP365" i="1"/>
  <c r="BI365" i="1" s="1"/>
  <c r="AI365" i="1"/>
  <c r="AM365" i="1"/>
  <c r="BF365" i="1" s="1"/>
  <c r="AQ365" i="1"/>
  <c r="BJ365" i="1" s="1"/>
  <c r="AN365" i="1"/>
  <c r="BG365" i="1" s="1"/>
  <c r="AK365" i="1"/>
  <c r="BD365" i="1" s="1"/>
  <c r="AJ365" i="1"/>
  <c r="BC365" i="1" s="1"/>
  <c r="AR365" i="1"/>
  <c r="BK365" i="1" s="1"/>
  <c r="AO365" i="1"/>
  <c r="BH365" i="1" s="1"/>
  <c r="AL352" i="1"/>
  <c r="BE352" i="1" s="1"/>
  <c r="AP352" i="1"/>
  <c r="BI352" i="1" s="1"/>
  <c r="AI352" i="1"/>
  <c r="AM352" i="1"/>
  <c r="BF352" i="1" s="1"/>
  <c r="AQ352" i="1"/>
  <c r="BJ352" i="1" s="1"/>
  <c r="AN352" i="1"/>
  <c r="BG352" i="1" s="1"/>
  <c r="AK352" i="1"/>
  <c r="BD352" i="1" s="1"/>
  <c r="AJ352" i="1"/>
  <c r="BC352" i="1" s="1"/>
  <c r="AR352" i="1"/>
  <c r="BK352" i="1" s="1"/>
  <c r="AO352" i="1"/>
  <c r="BH352" i="1" s="1"/>
  <c r="AJ372" i="1"/>
  <c r="BC372" i="1" s="1"/>
  <c r="AN372" i="1"/>
  <c r="BG372" i="1" s="1"/>
  <c r="AR372" i="1"/>
  <c r="BK372" i="1" s="1"/>
  <c r="AK372" i="1"/>
  <c r="BD372" i="1" s="1"/>
  <c r="AO372" i="1"/>
  <c r="BH372" i="1" s="1"/>
  <c r="AL372" i="1"/>
  <c r="BE372" i="1" s="1"/>
  <c r="AI372" i="1"/>
  <c r="AQ372" i="1"/>
  <c r="BJ372" i="1" s="1"/>
  <c r="AP372" i="1"/>
  <c r="BI372" i="1" s="1"/>
  <c r="AM372" i="1"/>
  <c r="BF372" i="1" s="1"/>
  <c r="AL373" i="1"/>
  <c r="BE373" i="1" s="1"/>
  <c r="AP373" i="1"/>
  <c r="BI373" i="1" s="1"/>
  <c r="AI373" i="1"/>
  <c r="AM373" i="1"/>
  <c r="BF373" i="1" s="1"/>
  <c r="AQ373" i="1"/>
  <c r="BJ373" i="1" s="1"/>
  <c r="AJ373" i="1"/>
  <c r="BC373" i="1" s="1"/>
  <c r="AR373" i="1"/>
  <c r="BK373" i="1" s="1"/>
  <c r="AO373" i="1"/>
  <c r="BH373" i="1" s="1"/>
  <c r="AN373" i="1"/>
  <c r="BG373" i="1" s="1"/>
  <c r="AK373" i="1"/>
  <c r="BD373" i="1" s="1"/>
  <c r="AJ345" i="1"/>
  <c r="BC345" i="1" s="1"/>
  <c r="AN345" i="1"/>
  <c r="BG345" i="1" s="1"/>
  <c r="AR345" i="1"/>
  <c r="BK345" i="1" s="1"/>
  <c r="AK345" i="1"/>
  <c r="BD345" i="1" s="1"/>
  <c r="AO345" i="1"/>
  <c r="BH345" i="1" s="1"/>
  <c r="AP345" i="1"/>
  <c r="BI345" i="1" s="1"/>
  <c r="AM345" i="1"/>
  <c r="BF345" i="1" s="1"/>
  <c r="AL345" i="1"/>
  <c r="BE345" i="1" s="1"/>
  <c r="AI345" i="1"/>
  <c r="AQ345" i="1"/>
  <c r="BJ345" i="1" s="1"/>
  <c r="AK346" i="1"/>
  <c r="BD346" i="1" s="1"/>
  <c r="AO346" i="1"/>
  <c r="BH346" i="1" s="1"/>
  <c r="AL346" i="1"/>
  <c r="BE346" i="1" s="1"/>
  <c r="AP346" i="1"/>
  <c r="BI346" i="1" s="1"/>
  <c r="AM346" i="1"/>
  <c r="BF346" i="1" s="1"/>
  <c r="AJ346" i="1"/>
  <c r="BC346" i="1" s="1"/>
  <c r="AR346" i="1"/>
  <c r="BK346" i="1" s="1"/>
  <c r="AI346" i="1"/>
  <c r="AQ346" i="1"/>
  <c r="BJ346" i="1" s="1"/>
  <c r="AN346" i="1"/>
  <c r="BG346" i="1" s="1"/>
  <c r="AK359" i="1"/>
  <c r="BD359" i="1" s="1"/>
  <c r="AO359" i="1"/>
  <c r="BH359" i="1" s="1"/>
  <c r="AL359" i="1"/>
  <c r="BE359" i="1" s="1"/>
  <c r="AP359" i="1"/>
  <c r="BI359" i="1" s="1"/>
  <c r="AM359" i="1"/>
  <c r="BF359" i="1" s="1"/>
  <c r="AJ359" i="1"/>
  <c r="BC359" i="1" s="1"/>
  <c r="AR359" i="1"/>
  <c r="BK359" i="1" s="1"/>
  <c r="AI359" i="1"/>
  <c r="AQ359" i="1"/>
  <c r="BJ359" i="1" s="1"/>
  <c r="AN359" i="1"/>
  <c r="BG359" i="1" s="1"/>
  <c r="AL381" i="1"/>
  <c r="BE381" i="1" s="1"/>
  <c r="AP381" i="1"/>
  <c r="BI381" i="1" s="1"/>
  <c r="AI381" i="1"/>
  <c r="AM381" i="1"/>
  <c r="BF381" i="1" s="1"/>
  <c r="AQ381" i="1"/>
  <c r="BJ381" i="1" s="1"/>
  <c r="AN381" i="1"/>
  <c r="BG381" i="1" s="1"/>
  <c r="AK381" i="1"/>
  <c r="BD381" i="1" s="1"/>
  <c r="AJ381" i="1"/>
  <c r="BC381" i="1" s="1"/>
  <c r="AR381" i="1"/>
  <c r="BK381" i="1" s="1"/>
  <c r="AO381" i="1"/>
  <c r="BH381" i="1" s="1"/>
  <c r="AI366" i="1"/>
  <c r="AM366" i="1"/>
  <c r="BF366" i="1" s="1"/>
  <c r="AQ366" i="1"/>
  <c r="BJ366" i="1" s="1"/>
  <c r="AJ366" i="1"/>
  <c r="BC366" i="1" s="1"/>
  <c r="AN366" i="1"/>
  <c r="BG366" i="1" s="1"/>
  <c r="AR366" i="1"/>
  <c r="BK366" i="1" s="1"/>
  <c r="AK366" i="1"/>
  <c r="BD366" i="1" s="1"/>
  <c r="AP366" i="1"/>
  <c r="BI366" i="1" s="1"/>
  <c r="AO366" i="1"/>
  <c r="BH366" i="1" s="1"/>
  <c r="AL366" i="1"/>
  <c r="BE366" i="1" s="1"/>
  <c r="AK354" i="1"/>
  <c r="BD354" i="1" s="1"/>
  <c r="AO354" i="1"/>
  <c r="BH354" i="1" s="1"/>
  <c r="AL354" i="1"/>
  <c r="BE354" i="1" s="1"/>
  <c r="AP354" i="1"/>
  <c r="BI354" i="1" s="1"/>
  <c r="AI354" i="1"/>
  <c r="AQ354" i="1"/>
  <c r="BJ354" i="1" s="1"/>
  <c r="AN354" i="1"/>
  <c r="BG354" i="1" s="1"/>
  <c r="AM354" i="1"/>
  <c r="BF354" i="1" s="1"/>
  <c r="AJ354" i="1"/>
  <c r="BC354" i="1" s="1"/>
  <c r="AR354" i="1"/>
  <c r="BK354" i="1" s="1"/>
  <c r="AL376" i="1"/>
  <c r="BE376" i="1" s="1"/>
  <c r="AP376" i="1"/>
  <c r="BI376" i="1" s="1"/>
  <c r="AI376" i="1"/>
  <c r="AM376" i="1"/>
  <c r="BF376" i="1" s="1"/>
  <c r="AQ376" i="1"/>
  <c r="BJ376" i="1" s="1"/>
  <c r="AJ376" i="1"/>
  <c r="BC376" i="1" s="1"/>
  <c r="AR376" i="1"/>
  <c r="BK376" i="1" s="1"/>
  <c r="AO376" i="1"/>
  <c r="BH376" i="1" s="1"/>
  <c r="AN376" i="1"/>
  <c r="BG376" i="1" s="1"/>
  <c r="AK376" i="1"/>
  <c r="BD376" i="1" s="1"/>
  <c r="AK362" i="1"/>
  <c r="BD362" i="1" s="1"/>
  <c r="AO362" i="1"/>
  <c r="BH362" i="1" s="1"/>
  <c r="AL362" i="1"/>
  <c r="BE362" i="1" s="1"/>
  <c r="AP362" i="1"/>
  <c r="BI362" i="1" s="1"/>
  <c r="AM362" i="1"/>
  <c r="BF362" i="1" s="1"/>
  <c r="AJ362" i="1"/>
  <c r="BC362" i="1" s="1"/>
  <c r="AR362" i="1"/>
  <c r="BK362" i="1" s="1"/>
  <c r="AI362" i="1"/>
  <c r="AQ362" i="1"/>
  <c r="BJ362" i="1" s="1"/>
  <c r="AN362" i="1"/>
  <c r="BG362" i="1" s="1"/>
  <c r="AL368" i="1"/>
  <c r="BE368" i="1" s="1"/>
  <c r="AP368" i="1"/>
  <c r="BI368" i="1" s="1"/>
  <c r="AI368" i="1"/>
  <c r="AM368" i="1"/>
  <c r="BF368" i="1" s="1"/>
  <c r="AQ368" i="1"/>
  <c r="BJ368" i="1" s="1"/>
  <c r="AN368" i="1"/>
  <c r="BG368" i="1" s="1"/>
  <c r="AK368" i="1"/>
  <c r="BD368" i="1" s="1"/>
  <c r="AJ368" i="1"/>
  <c r="BC368" i="1" s="1"/>
  <c r="AR368" i="1"/>
  <c r="BK368" i="1" s="1"/>
  <c r="AO368" i="1"/>
  <c r="BH368" i="1" s="1"/>
  <c r="AL357" i="1"/>
  <c r="BE357" i="1" s="1"/>
  <c r="AP357" i="1"/>
  <c r="BI357" i="1" s="1"/>
  <c r="AI357" i="1"/>
  <c r="AM357" i="1"/>
  <c r="BF357" i="1" s="1"/>
  <c r="AQ357" i="1"/>
  <c r="BJ357" i="1" s="1"/>
  <c r="AJ357" i="1"/>
  <c r="BC357" i="1" s="1"/>
  <c r="AR357" i="1"/>
  <c r="BK357" i="1" s="1"/>
  <c r="AO357" i="1"/>
  <c r="BH357" i="1" s="1"/>
  <c r="AN357" i="1"/>
  <c r="BG357" i="1" s="1"/>
  <c r="AK357" i="1"/>
  <c r="BD357" i="1" s="1"/>
  <c r="AJ361" i="1"/>
  <c r="BC361" i="1" s="1"/>
  <c r="AN361" i="1"/>
  <c r="BG361" i="1" s="1"/>
  <c r="AR361" i="1"/>
  <c r="BK361" i="1" s="1"/>
  <c r="AK361" i="1"/>
  <c r="BD361" i="1" s="1"/>
  <c r="AO361" i="1"/>
  <c r="BH361" i="1" s="1"/>
  <c r="AP361" i="1"/>
  <c r="BI361" i="1" s="1"/>
  <c r="AM361" i="1"/>
  <c r="BF361" i="1" s="1"/>
  <c r="AL361" i="1"/>
  <c r="BE361" i="1" s="1"/>
  <c r="AI361" i="1"/>
  <c r="AQ361" i="1"/>
  <c r="BJ361" i="1" s="1"/>
  <c r="AL349" i="1"/>
  <c r="BE349" i="1" s="1"/>
  <c r="AP349" i="1"/>
  <c r="BI349" i="1" s="1"/>
  <c r="AI349" i="1"/>
  <c r="AM349" i="1"/>
  <c r="BF349" i="1" s="1"/>
  <c r="AQ349" i="1"/>
  <c r="BJ349" i="1" s="1"/>
  <c r="AN349" i="1"/>
  <c r="BG349" i="1" s="1"/>
  <c r="AK349" i="1"/>
  <c r="BD349" i="1" s="1"/>
  <c r="AJ349" i="1"/>
  <c r="BC349" i="1" s="1"/>
  <c r="AR349" i="1"/>
  <c r="BK349" i="1" s="1"/>
  <c r="AO349" i="1"/>
  <c r="BH349" i="1" s="1"/>
  <c r="AI350" i="1"/>
  <c r="AM350" i="1"/>
  <c r="BF350" i="1" s="1"/>
  <c r="AQ350" i="1"/>
  <c r="BJ350" i="1" s="1"/>
  <c r="AJ350" i="1"/>
  <c r="BC350" i="1" s="1"/>
  <c r="AN350" i="1"/>
  <c r="BG350" i="1" s="1"/>
  <c r="AR350" i="1"/>
  <c r="BK350" i="1" s="1"/>
  <c r="AK350" i="1"/>
  <c r="BD350" i="1" s="1"/>
  <c r="AP350" i="1"/>
  <c r="BI350" i="1" s="1"/>
  <c r="AO350" i="1"/>
  <c r="BH350" i="1" s="1"/>
  <c r="AL350" i="1"/>
  <c r="BE350" i="1" s="1"/>
  <c r="AK333" i="1"/>
  <c r="BD333" i="1" s="1"/>
  <c r="AJ333" i="1"/>
  <c r="BC333" i="1" s="1"/>
  <c r="AI333" i="1"/>
  <c r="AL333" i="1"/>
  <c r="BE333" i="1" s="1"/>
  <c r="AM333" i="1"/>
  <c r="BF333" i="1" s="1"/>
  <c r="AP333" i="1"/>
  <c r="BI333" i="1" s="1"/>
  <c r="AQ333" i="1"/>
  <c r="BJ333" i="1" s="1"/>
  <c r="AN333" i="1"/>
  <c r="BG333" i="1" s="1"/>
  <c r="AR333" i="1"/>
  <c r="BK333" i="1" s="1"/>
  <c r="AO333" i="1"/>
  <c r="BH333" i="1" s="1"/>
  <c r="AI293" i="1"/>
  <c r="AM293" i="1"/>
  <c r="BF293" i="1" s="1"/>
  <c r="AJ293" i="1"/>
  <c r="BC293" i="1" s="1"/>
  <c r="AK293" i="1"/>
  <c r="BD293" i="1" s="1"/>
  <c r="AO293" i="1"/>
  <c r="BH293" i="1" s="1"/>
  <c r="AP293" i="1"/>
  <c r="BI293" i="1" s="1"/>
  <c r="AL293" i="1"/>
  <c r="BE293" i="1" s="1"/>
  <c r="AN293" i="1"/>
  <c r="BG293" i="1" s="1"/>
  <c r="AQ293" i="1"/>
  <c r="BJ293" i="1" s="1"/>
  <c r="AR293" i="1"/>
  <c r="BK293" i="1" s="1"/>
  <c r="AI242" i="1"/>
  <c r="AK242" i="1"/>
  <c r="BD242" i="1" s="1"/>
  <c r="AM242" i="1"/>
  <c r="BF242" i="1" s="1"/>
  <c r="AJ242" i="1"/>
  <c r="BC242" i="1" s="1"/>
  <c r="AL242" i="1"/>
  <c r="BE242" i="1" s="1"/>
  <c r="AP242" i="1"/>
  <c r="BI242" i="1" s="1"/>
  <c r="AR242" i="1"/>
  <c r="BK242" i="1" s="1"/>
  <c r="AO242" i="1"/>
  <c r="BH242" i="1" s="1"/>
  <c r="AN242" i="1"/>
  <c r="BG242" i="1" s="1"/>
  <c r="AQ242" i="1"/>
  <c r="BJ242" i="1" s="1"/>
  <c r="AI322" i="1"/>
  <c r="AK322" i="1"/>
  <c r="BD322" i="1" s="1"/>
  <c r="AM322" i="1"/>
  <c r="BF322" i="1" s="1"/>
  <c r="AJ322" i="1"/>
  <c r="BC322" i="1" s="1"/>
  <c r="AP322" i="1"/>
  <c r="BI322" i="1" s="1"/>
  <c r="AN322" i="1"/>
  <c r="BG322" i="1" s="1"/>
  <c r="AQ322" i="1"/>
  <c r="BJ322" i="1" s="1"/>
  <c r="AO322" i="1"/>
  <c r="BH322" i="1" s="1"/>
  <c r="AR322" i="1"/>
  <c r="BK322" i="1" s="1"/>
  <c r="AL322" i="1"/>
  <c r="BE322" i="1" s="1"/>
  <c r="AJ240" i="1"/>
  <c r="BC240" i="1" s="1"/>
  <c r="AI240" i="1"/>
  <c r="AN240" i="1"/>
  <c r="BG240" i="1" s="1"/>
  <c r="AO240" i="1"/>
  <c r="BH240" i="1" s="1"/>
  <c r="AK240" i="1"/>
  <c r="BD240" i="1" s="1"/>
  <c r="AL240" i="1"/>
  <c r="BE240" i="1" s="1"/>
  <c r="AP240" i="1"/>
  <c r="BI240" i="1" s="1"/>
  <c r="AR240" i="1"/>
  <c r="BK240" i="1" s="1"/>
  <c r="AQ240" i="1"/>
  <c r="BJ240" i="1" s="1"/>
  <c r="AM240" i="1"/>
  <c r="BF240" i="1" s="1"/>
  <c r="AJ331" i="1"/>
  <c r="BC331" i="1" s="1"/>
  <c r="AI331" i="1"/>
  <c r="AM331" i="1"/>
  <c r="BF331" i="1" s="1"/>
  <c r="AL331" i="1"/>
  <c r="BE331" i="1" s="1"/>
  <c r="AK331" i="1"/>
  <c r="BD331" i="1" s="1"/>
  <c r="AN331" i="1"/>
  <c r="BG331" i="1" s="1"/>
  <c r="AQ331" i="1"/>
  <c r="BJ331" i="1" s="1"/>
  <c r="AP331" i="1"/>
  <c r="BI331" i="1" s="1"/>
  <c r="AO331" i="1"/>
  <c r="BH331" i="1" s="1"/>
  <c r="AR331" i="1"/>
  <c r="BK331" i="1" s="1"/>
  <c r="AJ268" i="1"/>
  <c r="BC268" i="1" s="1"/>
  <c r="AI268" i="1"/>
  <c r="AN268" i="1"/>
  <c r="BG268" i="1" s="1"/>
  <c r="AK268" i="1"/>
  <c r="BD268" i="1" s="1"/>
  <c r="AQ268" i="1"/>
  <c r="BJ268" i="1" s="1"/>
  <c r="AP268" i="1"/>
  <c r="BI268" i="1" s="1"/>
  <c r="AR268" i="1"/>
  <c r="BK268" i="1" s="1"/>
  <c r="AO268" i="1"/>
  <c r="BH268" i="1" s="1"/>
  <c r="AL268" i="1"/>
  <c r="BE268" i="1" s="1"/>
  <c r="AM268" i="1"/>
  <c r="BF268" i="1" s="1"/>
  <c r="AK299" i="1"/>
  <c r="BD299" i="1" s="1"/>
  <c r="AM299" i="1"/>
  <c r="BF299" i="1" s="1"/>
  <c r="AI299" i="1"/>
  <c r="AL299" i="1"/>
  <c r="BE299" i="1" s="1"/>
  <c r="AO299" i="1"/>
  <c r="BH299" i="1" s="1"/>
  <c r="AJ299" i="1"/>
  <c r="BC299" i="1" s="1"/>
  <c r="AQ299" i="1"/>
  <c r="BJ299" i="1" s="1"/>
  <c r="AP299" i="1"/>
  <c r="BI299" i="1" s="1"/>
  <c r="AN299" i="1"/>
  <c r="BG299" i="1" s="1"/>
  <c r="AR299" i="1"/>
  <c r="BK299" i="1" s="1"/>
  <c r="AJ342" i="1"/>
  <c r="BC342" i="1" s="1"/>
  <c r="AL342" i="1"/>
  <c r="BE342" i="1" s="1"/>
  <c r="AK342" i="1"/>
  <c r="BD342" i="1" s="1"/>
  <c r="AI342" i="1"/>
  <c r="AO342" i="1"/>
  <c r="BH342" i="1" s="1"/>
  <c r="AQ342" i="1"/>
  <c r="BJ342" i="1" s="1"/>
  <c r="AR342" i="1"/>
  <c r="BK342" i="1" s="1"/>
  <c r="AM342" i="1"/>
  <c r="BF342" i="1" s="1"/>
  <c r="AP342" i="1"/>
  <c r="BI342" i="1" s="1"/>
  <c r="AN342" i="1"/>
  <c r="BG342" i="1" s="1"/>
  <c r="AL280" i="1"/>
  <c r="BE280" i="1" s="1"/>
  <c r="AK280" i="1"/>
  <c r="BD280" i="1" s="1"/>
  <c r="AJ280" i="1"/>
  <c r="BC280" i="1" s="1"/>
  <c r="AO280" i="1"/>
  <c r="BH280" i="1" s="1"/>
  <c r="AN280" i="1"/>
  <c r="BG280" i="1" s="1"/>
  <c r="AP280" i="1"/>
  <c r="BI280" i="1" s="1"/>
  <c r="AI280" i="1"/>
  <c r="AM280" i="1"/>
  <c r="BF280" i="1" s="1"/>
  <c r="AQ280" i="1"/>
  <c r="BJ280" i="1" s="1"/>
  <c r="AR280" i="1"/>
  <c r="BK280" i="1" s="1"/>
  <c r="AL335" i="1"/>
  <c r="BE335" i="1" s="1"/>
  <c r="AK335" i="1"/>
  <c r="BD335" i="1" s="1"/>
  <c r="AJ335" i="1"/>
  <c r="BC335" i="1" s="1"/>
  <c r="AN335" i="1"/>
  <c r="BG335" i="1" s="1"/>
  <c r="AI335" i="1"/>
  <c r="AR335" i="1"/>
  <c r="BK335" i="1" s="1"/>
  <c r="AP335" i="1"/>
  <c r="BI335" i="1" s="1"/>
  <c r="AQ335" i="1"/>
  <c r="BJ335" i="1" s="1"/>
  <c r="AO335" i="1"/>
  <c r="BH335" i="1" s="1"/>
  <c r="AM335" i="1"/>
  <c r="BF335" i="1" s="1"/>
  <c r="AM309" i="1"/>
  <c r="BF309" i="1" s="1"/>
  <c r="AL309" i="1"/>
  <c r="BE309" i="1" s="1"/>
  <c r="AK309" i="1"/>
  <c r="BD309" i="1" s="1"/>
  <c r="AJ309" i="1"/>
  <c r="BC309" i="1" s="1"/>
  <c r="AI309" i="1"/>
  <c r="AP309" i="1"/>
  <c r="BI309" i="1" s="1"/>
  <c r="AQ309" i="1"/>
  <c r="BJ309" i="1" s="1"/>
  <c r="AN309" i="1"/>
  <c r="BG309" i="1" s="1"/>
  <c r="AO309" i="1"/>
  <c r="BH309" i="1" s="1"/>
  <c r="AR309" i="1"/>
  <c r="BK309" i="1" s="1"/>
  <c r="AL319" i="1"/>
  <c r="BE319" i="1" s="1"/>
  <c r="AI319" i="1"/>
  <c r="AK319" i="1"/>
  <c r="BD319" i="1" s="1"/>
  <c r="AN319" i="1"/>
  <c r="BG319" i="1" s="1"/>
  <c r="AP319" i="1"/>
  <c r="BI319" i="1" s="1"/>
  <c r="AR319" i="1"/>
  <c r="BK319" i="1" s="1"/>
  <c r="AJ319" i="1"/>
  <c r="BC319" i="1" s="1"/>
  <c r="AM319" i="1"/>
  <c r="BF319" i="1" s="1"/>
  <c r="AQ319" i="1"/>
  <c r="BJ319" i="1" s="1"/>
  <c r="AO319" i="1"/>
  <c r="BH319" i="1" s="1"/>
  <c r="AJ105" i="1"/>
  <c r="BC105" i="1" s="1"/>
  <c r="AO105" i="1"/>
  <c r="BH105" i="1" s="1"/>
  <c r="BS113" i="1"/>
  <c r="AO182" i="1"/>
  <c r="BH182" i="1" s="1"/>
  <c r="AL316" i="1"/>
  <c r="BE316" i="1" s="1"/>
  <c r="AJ316" i="1"/>
  <c r="BC316" i="1" s="1"/>
  <c r="AN316" i="1"/>
  <c r="BG316" i="1" s="1"/>
  <c r="AO316" i="1"/>
  <c r="BH316" i="1" s="1"/>
  <c r="AQ316" i="1"/>
  <c r="BJ316" i="1" s="1"/>
  <c r="AK316" i="1"/>
  <c r="BD316" i="1" s="1"/>
  <c r="AI316" i="1"/>
  <c r="AP316" i="1"/>
  <c r="BI316" i="1" s="1"/>
  <c r="AR316" i="1"/>
  <c r="BK316" i="1" s="1"/>
  <c r="AM316" i="1"/>
  <c r="BF316" i="1" s="1"/>
  <c r="AL292" i="1"/>
  <c r="BE292" i="1" s="1"/>
  <c r="AN292" i="1"/>
  <c r="BG292" i="1" s="1"/>
  <c r="AI292" i="1"/>
  <c r="AQ292" i="1"/>
  <c r="BJ292" i="1" s="1"/>
  <c r="AJ292" i="1"/>
  <c r="BC292" i="1" s="1"/>
  <c r="AK292" i="1"/>
  <c r="BD292" i="1" s="1"/>
  <c r="AR292" i="1"/>
  <c r="BK292" i="1" s="1"/>
  <c r="AO292" i="1"/>
  <c r="BH292" i="1" s="1"/>
  <c r="AM292" i="1"/>
  <c r="BF292" i="1" s="1"/>
  <c r="AP292" i="1"/>
  <c r="BI292" i="1" s="1"/>
  <c r="AJ259" i="1"/>
  <c r="BC259" i="1" s="1"/>
  <c r="AI259" i="1"/>
  <c r="AN259" i="1"/>
  <c r="BG259" i="1" s="1"/>
  <c r="AK259" i="1"/>
  <c r="BD259" i="1" s="1"/>
  <c r="AL259" i="1"/>
  <c r="BE259" i="1" s="1"/>
  <c r="AM259" i="1"/>
  <c r="BF259" i="1" s="1"/>
  <c r="AO259" i="1"/>
  <c r="BH259" i="1" s="1"/>
  <c r="AP259" i="1"/>
  <c r="BI259" i="1" s="1"/>
  <c r="AR259" i="1"/>
  <c r="BK259" i="1" s="1"/>
  <c r="AQ259" i="1"/>
  <c r="BJ259" i="1" s="1"/>
  <c r="AJ270" i="1"/>
  <c r="BC270" i="1" s="1"/>
  <c r="AL270" i="1"/>
  <c r="BE270" i="1" s="1"/>
  <c r="AK270" i="1"/>
  <c r="BD270" i="1" s="1"/>
  <c r="AI270" i="1"/>
  <c r="AM270" i="1"/>
  <c r="BF270" i="1" s="1"/>
  <c r="AQ270" i="1"/>
  <c r="BJ270" i="1" s="1"/>
  <c r="AO270" i="1"/>
  <c r="BH270" i="1" s="1"/>
  <c r="AP270" i="1"/>
  <c r="BI270" i="1" s="1"/>
  <c r="AR270" i="1"/>
  <c r="BK270" i="1" s="1"/>
  <c r="AN270" i="1"/>
  <c r="BG270" i="1" s="1"/>
  <c r="AL255" i="1"/>
  <c r="BE255" i="1" s="1"/>
  <c r="AI255" i="1"/>
  <c r="AM255" i="1"/>
  <c r="BF255" i="1" s="1"/>
  <c r="AK255" i="1"/>
  <c r="BD255" i="1" s="1"/>
  <c r="AO255" i="1"/>
  <c r="BH255" i="1" s="1"/>
  <c r="AP255" i="1"/>
  <c r="BI255" i="1" s="1"/>
  <c r="AR255" i="1"/>
  <c r="BK255" i="1" s="1"/>
  <c r="AQ255" i="1"/>
  <c r="BJ255" i="1" s="1"/>
  <c r="AN255" i="1"/>
  <c r="BG255" i="1" s="1"/>
  <c r="AJ255" i="1"/>
  <c r="BC255" i="1" s="1"/>
  <c r="AM300" i="1"/>
  <c r="BF300" i="1" s="1"/>
  <c r="AL300" i="1"/>
  <c r="BE300" i="1" s="1"/>
  <c r="AK300" i="1"/>
  <c r="BD300" i="1" s="1"/>
  <c r="AN300" i="1"/>
  <c r="BG300" i="1" s="1"/>
  <c r="AO300" i="1"/>
  <c r="BH300" i="1" s="1"/>
  <c r="AQ300" i="1"/>
  <c r="BJ300" i="1" s="1"/>
  <c r="AI300" i="1"/>
  <c r="AJ300" i="1"/>
  <c r="BC300" i="1" s="1"/>
  <c r="AR300" i="1"/>
  <c r="BK300" i="1" s="1"/>
  <c r="AP300" i="1"/>
  <c r="BI300" i="1" s="1"/>
  <c r="AI258" i="1"/>
  <c r="AK258" i="1"/>
  <c r="BD258" i="1" s="1"/>
  <c r="AM258" i="1"/>
  <c r="BF258" i="1" s="1"/>
  <c r="AJ258" i="1"/>
  <c r="BC258" i="1" s="1"/>
  <c r="AN258" i="1"/>
  <c r="BG258" i="1" s="1"/>
  <c r="AL258" i="1"/>
  <c r="BE258" i="1" s="1"/>
  <c r="AP258" i="1"/>
  <c r="BI258" i="1" s="1"/>
  <c r="AR258" i="1"/>
  <c r="BK258" i="1" s="1"/>
  <c r="AO258" i="1"/>
  <c r="BH258" i="1" s="1"/>
  <c r="AQ258" i="1"/>
  <c r="BJ258" i="1" s="1"/>
  <c r="AJ313" i="1"/>
  <c r="BC313" i="1" s="1"/>
  <c r="AI313" i="1"/>
  <c r="AK313" i="1"/>
  <c r="BD313" i="1" s="1"/>
  <c r="AL313" i="1"/>
  <c r="BE313" i="1" s="1"/>
  <c r="AN313" i="1"/>
  <c r="BG313" i="1" s="1"/>
  <c r="AO313" i="1"/>
  <c r="BH313" i="1" s="1"/>
  <c r="AQ313" i="1"/>
  <c r="BJ313" i="1" s="1"/>
  <c r="AR313" i="1"/>
  <c r="BK313" i="1" s="1"/>
  <c r="AM313" i="1"/>
  <c r="BF313" i="1" s="1"/>
  <c r="AP313" i="1"/>
  <c r="BI313" i="1" s="1"/>
  <c r="AI314" i="1"/>
  <c r="AK314" i="1"/>
  <c r="BD314" i="1" s="1"/>
  <c r="AM314" i="1"/>
  <c r="BF314" i="1" s="1"/>
  <c r="AJ314" i="1"/>
  <c r="BC314" i="1" s="1"/>
  <c r="AL314" i="1"/>
  <c r="BE314" i="1" s="1"/>
  <c r="AP314" i="1"/>
  <c r="BI314" i="1" s="1"/>
  <c r="AO314" i="1"/>
  <c r="BH314" i="1" s="1"/>
  <c r="AQ314" i="1"/>
  <c r="BJ314" i="1" s="1"/>
  <c r="AN314" i="1"/>
  <c r="BG314" i="1" s="1"/>
  <c r="AR314" i="1"/>
  <c r="BK314" i="1" s="1"/>
  <c r="AJ295" i="1"/>
  <c r="BC295" i="1" s="1"/>
  <c r="AI295" i="1"/>
  <c r="AK295" i="1"/>
  <c r="BD295" i="1" s="1"/>
  <c r="AL295" i="1"/>
  <c r="BE295" i="1" s="1"/>
  <c r="AM295" i="1"/>
  <c r="BF295" i="1" s="1"/>
  <c r="AN295" i="1"/>
  <c r="BG295" i="1" s="1"/>
  <c r="AP295" i="1"/>
  <c r="BI295" i="1" s="1"/>
  <c r="AR295" i="1"/>
  <c r="BK295" i="1" s="1"/>
  <c r="AO295" i="1"/>
  <c r="BH295" i="1" s="1"/>
  <c r="AQ295" i="1"/>
  <c r="BJ295" i="1" s="1"/>
  <c r="AM336" i="1"/>
  <c r="BF336" i="1" s="1"/>
  <c r="AK336" i="1"/>
  <c r="BD336" i="1" s="1"/>
  <c r="AJ336" i="1"/>
  <c r="BC336" i="1" s="1"/>
  <c r="AP336" i="1"/>
  <c r="BI336" i="1" s="1"/>
  <c r="AI336" i="1"/>
  <c r="AN336" i="1"/>
  <c r="BG336" i="1" s="1"/>
  <c r="AR336" i="1"/>
  <c r="BK336" i="1" s="1"/>
  <c r="AO336" i="1"/>
  <c r="BH336" i="1" s="1"/>
  <c r="AL336" i="1"/>
  <c r="BE336" i="1" s="1"/>
  <c r="AQ336" i="1"/>
  <c r="BJ336" i="1" s="1"/>
  <c r="AM245" i="1"/>
  <c r="BF245" i="1" s="1"/>
  <c r="AL245" i="1"/>
  <c r="BE245" i="1" s="1"/>
  <c r="AK245" i="1"/>
  <c r="BD245" i="1" s="1"/>
  <c r="AI245" i="1"/>
  <c r="AO245" i="1"/>
  <c r="BH245" i="1" s="1"/>
  <c r="AP245" i="1"/>
  <c r="BI245" i="1" s="1"/>
  <c r="AR245" i="1"/>
  <c r="BK245" i="1" s="1"/>
  <c r="AJ245" i="1"/>
  <c r="BC245" i="1" s="1"/>
  <c r="AN245" i="1"/>
  <c r="BG245" i="1" s="1"/>
  <c r="AQ245" i="1"/>
  <c r="BJ245" i="1" s="1"/>
  <c r="AI275" i="1"/>
  <c r="AM275" i="1"/>
  <c r="BF275" i="1" s="1"/>
  <c r="AJ275" i="1"/>
  <c r="BC275" i="1" s="1"/>
  <c r="AK275" i="1"/>
  <c r="BD275" i="1" s="1"/>
  <c r="AO275" i="1"/>
  <c r="BH275" i="1" s="1"/>
  <c r="AN275" i="1"/>
  <c r="BG275" i="1" s="1"/>
  <c r="AQ275" i="1"/>
  <c r="BJ275" i="1" s="1"/>
  <c r="AP275" i="1"/>
  <c r="BI275" i="1" s="1"/>
  <c r="AR275" i="1"/>
  <c r="BK275" i="1" s="1"/>
  <c r="AL275" i="1"/>
  <c r="BE275" i="1" s="1"/>
  <c r="AQ33" i="1"/>
  <c r="BJ33" i="1" s="1"/>
  <c r="BL59" i="1"/>
  <c r="AL105" i="1"/>
  <c r="BE105" i="1" s="1"/>
  <c r="AK105" i="1"/>
  <c r="BD105" i="1" s="1"/>
  <c r="AP147" i="1"/>
  <c r="BI147" i="1" s="1"/>
  <c r="BT122" i="1"/>
  <c r="AI182" i="1"/>
  <c r="BB182" i="1" s="1"/>
  <c r="AL220" i="1"/>
  <c r="BE220" i="1" s="1"/>
  <c r="AI338" i="1"/>
  <c r="AK338" i="1"/>
  <c r="BD338" i="1" s="1"/>
  <c r="AM338" i="1"/>
  <c r="BF338" i="1" s="1"/>
  <c r="AL338" i="1"/>
  <c r="BE338" i="1" s="1"/>
  <c r="AJ338" i="1"/>
  <c r="BC338" i="1" s="1"/>
  <c r="AP338" i="1"/>
  <c r="BI338" i="1" s="1"/>
  <c r="AO338" i="1"/>
  <c r="BH338" i="1" s="1"/>
  <c r="AN338" i="1"/>
  <c r="BG338" i="1" s="1"/>
  <c r="AQ338" i="1"/>
  <c r="BJ338" i="1" s="1"/>
  <c r="AR338" i="1"/>
  <c r="BK338" i="1" s="1"/>
  <c r="AJ286" i="1"/>
  <c r="BC286" i="1" s="1"/>
  <c r="AL286" i="1"/>
  <c r="BE286" i="1" s="1"/>
  <c r="AI286" i="1"/>
  <c r="AK286" i="1"/>
  <c r="BD286" i="1" s="1"/>
  <c r="AM286" i="1"/>
  <c r="BF286" i="1" s="1"/>
  <c r="AQ286" i="1"/>
  <c r="BJ286" i="1" s="1"/>
  <c r="AN286" i="1"/>
  <c r="BG286" i="1" s="1"/>
  <c r="AO286" i="1"/>
  <c r="BH286" i="1" s="1"/>
  <c r="AR286" i="1"/>
  <c r="BK286" i="1" s="1"/>
  <c r="AP286" i="1"/>
  <c r="BI286" i="1" s="1"/>
  <c r="AL273" i="1"/>
  <c r="BE273" i="1" s="1"/>
  <c r="AI273" i="1"/>
  <c r="AK273" i="1"/>
  <c r="BD273" i="1" s="1"/>
  <c r="AO273" i="1"/>
  <c r="BH273" i="1" s="1"/>
  <c r="AM273" i="1"/>
  <c r="BF273" i="1" s="1"/>
  <c r="AN273" i="1"/>
  <c r="BG273" i="1" s="1"/>
  <c r="AQ273" i="1"/>
  <c r="BJ273" i="1" s="1"/>
  <c r="AP273" i="1"/>
  <c r="BI273" i="1" s="1"/>
  <c r="AJ273" i="1"/>
  <c r="BC273" i="1" s="1"/>
  <c r="AR273" i="1"/>
  <c r="BK273" i="1" s="1"/>
  <c r="AJ332" i="1"/>
  <c r="BC332" i="1" s="1"/>
  <c r="AI332" i="1"/>
  <c r="AN332" i="1"/>
  <c r="BG332" i="1" s="1"/>
  <c r="AK332" i="1"/>
  <c r="BD332" i="1" s="1"/>
  <c r="AL332" i="1"/>
  <c r="BE332" i="1" s="1"/>
  <c r="AO332" i="1"/>
  <c r="BH332" i="1" s="1"/>
  <c r="AQ332" i="1"/>
  <c r="BJ332" i="1" s="1"/>
  <c r="AP332" i="1"/>
  <c r="BI332" i="1" s="1"/>
  <c r="AM332" i="1"/>
  <c r="BF332" i="1" s="1"/>
  <c r="AR332" i="1"/>
  <c r="BK332" i="1" s="1"/>
  <c r="AJ277" i="1"/>
  <c r="BC277" i="1" s="1"/>
  <c r="AI277" i="1"/>
  <c r="AK277" i="1"/>
  <c r="BD277" i="1" s="1"/>
  <c r="AL277" i="1"/>
  <c r="BE277" i="1" s="1"/>
  <c r="AN277" i="1"/>
  <c r="BG277" i="1" s="1"/>
  <c r="AP277" i="1"/>
  <c r="BI277" i="1" s="1"/>
  <c r="AQ277" i="1"/>
  <c r="BJ277" i="1" s="1"/>
  <c r="AR277" i="1"/>
  <c r="BK277" i="1" s="1"/>
  <c r="AO277" i="1"/>
  <c r="BH277" i="1" s="1"/>
  <c r="AM277" i="1"/>
  <c r="BF277" i="1" s="1"/>
  <c r="AL307" i="1"/>
  <c r="BE307" i="1" s="1"/>
  <c r="AJ307" i="1"/>
  <c r="BC307" i="1" s="1"/>
  <c r="AN307" i="1"/>
  <c r="BG307" i="1" s="1"/>
  <c r="AK307" i="1"/>
  <c r="BD307" i="1" s="1"/>
  <c r="AP307" i="1"/>
  <c r="BI307" i="1" s="1"/>
  <c r="AM307" i="1"/>
  <c r="BF307" i="1" s="1"/>
  <c r="AO307" i="1"/>
  <c r="BH307" i="1" s="1"/>
  <c r="AI307" i="1"/>
  <c r="AR307" i="1"/>
  <c r="BK307" i="1" s="1"/>
  <c r="AQ307" i="1"/>
  <c r="BJ307" i="1" s="1"/>
  <c r="AJ310" i="1"/>
  <c r="BC310" i="1" s="1"/>
  <c r="AL310" i="1"/>
  <c r="BE310" i="1" s="1"/>
  <c r="AI310" i="1"/>
  <c r="AN310" i="1"/>
  <c r="BG310" i="1" s="1"/>
  <c r="AO310" i="1"/>
  <c r="BH310" i="1" s="1"/>
  <c r="AQ310" i="1"/>
  <c r="BJ310" i="1" s="1"/>
  <c r="AR310" i="1"/>
  <c r="BK310" i="1" s="1"/>
  <c r="AK310" i="1"/>
  <c r="BD310" i="1" s="1"/>
  <c r="AP310" i="1"/>
  <c r="BI310" i="1" s="1"/>
  <c r="AM310" i="1"/>
  <c r="BF310" i="1" s="1"/>
  <c r="AJ288" i="1"/>
  <c r="BC288" i="1" s="1"/>
  <c r="AO288" i="1"/>
  <c r="BH288" i="1" s="1"/>
  <c r="AL288" i="1"/>
  <c r="BE288" i="1" s="1"/>
  <c r="AP288" i="1"/>
  <c r="BI288" i="1" s="1"/>
  <c r="AM288" i="1"/>
  <c r="BF288" i="1" s="1"/>
  <c r="AI288" i="1"/>
  <c r="AK288" i="1"/>
  <c r="BD288" i="1" s="1"/>
  <c r="AQ288" i="1"/>
  <c r="BJ288" i="1" s="1"/>
  <c r="AR288" i="1"/>
  <c r="BK288" i="1" s="1"/>
  <c r="AN288" i="1"/>
  <c r="BG288" i="1" s="1"/>
  <c r="AJ323" i="1"/>
  <c r="BC323" i="1" s="1"/>
  <c r="AI323" i="1"/>
  <c r="AK323" i="1"/>
  <c r="BD323" i="1" s="1"/>
  <c r="AN323" i="1"/>
  <c r="BG323" i="1" s="1"/>
  <c r="AP323" i="1"/>
  <c r="BI323" i="1" s="1"/>
  <c r="AQ323" i="1"/>
  <c r="BJ323" i="1" s="1"/>
  <c r="AM323" i="1"/>
  <c r="BF323" i="1" s="1"/>
  <c r="AR323" i="1"/>
  <c r="BK323" i="1" s="1"/>
  <c r="AL323" i="1"/>
  <c r="BE323" i="1" s="1"/>
  <c r="AO323" i="1"/>
  <c r="BH323" i="1" s="1"/>
  <c r="AK317" i="1"/>
  <c r="BD317" i="1" s="1"/>
  <c r="AI317" i="1"/>
  <c r="AN317" i="1"/>
  <c r="BG317" i="1" s="1"/>
  <c r="AL317" i="1"/>
  <c r="BE317" i="1" s="1"/>
  <c r="AJ317" i="1"/>
  <c r="BC317" i="1" s="1"/>
  <c r="AM317" i="1"/>
  <c r="BF317" i="1" s="1"/>
  <c r="AP317" i="1"/>
  <c r="BI317" i="1" s="1"/>
  <c r="AO317" i="1"/>
  <c r="BH317" i="1" s="1"/>
  <c r="AQ317" i="1"/>
  <c r="BJ317" i="1" s="1"/>
  <c r="AR317" i="1"/>
  <c r="BK317" i="1" s="1"/>
  <c r="AI321" i="1"/>
  <c r="AM321" i="1"/>
  <c r="BF321" i="1" s="1"/>
  <c r="AJ321" i="1"/>
  <c r="BC321" i="1" s="1"/>
  <c r="AL321" i="1"/>
  <c r="BE321" i="1" s="1"/>
  <c r="AO321" i="1"/>
  <c r="BH321" i="1" s="1"/>
  <c r="AN321" i="1"/>
  <c r="BG321" i="1" s="1"/>
  <c r="AP321" i="1"/>
  <c r="BI321" i="1" s="1"/>
  <c r="AQ321" i="1"/>
  <c r="BJ321" i="1" s="1"/>
  <c r="AK321" i="1"/>
  <c r="BD321" i="1" s="1"/>
  <c r="AR321" i="1"/>
  <c r="BK321" i="1" s="1"/>
  <c r="AK244" i="1"/>
  <c r="BD244" i="1" s="1"/>
  <c r="AI244" i="1"/>
  <c r="AQ244" i="1"/>
  <c r="BJ244" i="1" s="1"/>
  <c r="AL244" i="1"/>
  <c r="BE244" i="1" s="1"/>
  <c r="AJ244" i="1"/>
  <c r="BC244" i="1" s="1"/>
  <c r="AM244" i="1"/>
  <c r="BF244" i="1" s="1"/>
  <c r="AN244" i="1"/>
  <c r="BG244" i="1" s="1"/>
  <c r="AR244" i="1"/>
  <c r="BK244" i="1" s="1"/>
  <c r="AP244" i="1"/>
  <c r="BI244" i="1" s="1"/>
  <c r="AO244" i="1"/>
  <c r="BH244" i="1" s="1"/>
  <c r="AL289" i="1"/>
  <c r="BE289" i="1" s="1"/>
  <c r="AK289" i="1"/>
  <c r="BD289" i="1" s="1"/>
  <c r="AJ289" i="1"/>
  <c r="BC289" i="1" s="1"/>
  <c r="AN289" i="1"/>
  <c r="BG289" i="1" s="1"/>
  <c r="AQ289" i="1"/>
  <c r="BJ289" i="1" s="1"/>
  <c r="AO289" i="1"/>
  <c r="BH289" i="1" s="1"/>
  <c r="AI289" i="1"/>
  <c r="AM289" i="1"/>
  <c r="BF289" i="1" s="1"/>
  <c r="AP289" i="1"/>
  <c r="BI289" i="1" s="1"/>
  <c r="AR289" i="1"/>
  <c r="BK289" i="1" s="1"/>
  <c r="AN99" i="1"/>
  <c r="BG99" i="1" s="1"/>
  <c r="AM105" i="1"/>
  <c r="BF105" i="1" s="1"/>
  <c r="BR134" i="1"/>
  <c r="BR59" i="1"/>
  <c r="AO172" i="1"/>
  <c r="BH172" i="1" s="1"/>
  <c r="AI298" i="1"/>
  <c r="AK298" i="1"/>
  <c r="BD298" i="1" s="1"/>
  <c r="AM298" i="1"/>
  <c r="BF298" i="1" s="1"/>
  <c r="AL298" i="1"/>
  <c r="BE298" i="1" s="1"/>
  <c r="AJ298" i="1"/>
  <c r="BC298" i="1" s="1"/>
  <c r="AN298" i="1"/>
  <c r="BG298" i="1" s="1"/>
  <c r="AP298" i="1"/>
  <c r="BI298" i="1" s="1"/>
  <c r="AQ298" i="1"/>
  <c r="BJ298" i="1" s="1"/>
  <c r="AR298" i="1"/>
  <c r="BK298" i="1" s="1"/>
  <c r="AO298" i="1"/>
  <c r="BH298" i="1" s="1"/>
  <c r="AJ302" i="1"/>
  <c r="BC302" i="1" s="1"/>
  <c r="AL302" i="1"/>
  <c r="BE302" i="1" s="1"/>
  <c r="AI302" i="1"/>
  <c r="AM302" i="1"/>
  <c r="BF302" i="1" s="1"/>
  <c r="AO302" i="1"/>
  <c r="BH302" i="1" s="1"/>
  <c r="AQ302" i="1"/>
  <c r="BJ302" i="1" s="1"/>
  <c r="AR302" i="1"/>
  <c r="BK302" i="1" s="1"/>
  <c r="AN302" i="1"/>
  <c r="BG302" i="1" s="1"/>
  <c r="AP302" i="1"/>
  <c r="BI302" i="1" s="1"/>
  <c r="AK302" i="1"/>
  <c r="BD302" i="1" s="1"/>
  <c r="AI248" i="1"/>
  <c r="AM248" i="1"/>
  <c r="BF248" i="1" s="1"/>
  <c r="AO248" i="1"/>
  <c r="BH248" i="1" s="1"/>
  <c r="AJ248" i="1"/>
  <c r="BC248" i="1" s="1"/>
  <c r="AK248" i="1"/>
  <c r="BD248" i="1" s="1"/>
  <c r="AN248" i="1"/>
  <c r="BG248" i="1" s="1"/>
  <c r="AP248" i="1"/>
  <c r="BI248" i="1" s="1"/>
  <c r="AR248" i="1"/>
  <c r="BK248" i="1" s="1"/>
  <c r="AL248" i="1"/>
  <c r="BE248" i="1" s="1"/>
  <c r="AQ248" i="1"/>
  <c r="BJ248" i="1" s="1"/>
  <c r="AJ340" i="1"/>
  <c r="BC340" i="1" s="1"/>
  <c r="AI340" i="1"/>
  <c r="AM340" i="1"/>
  <c r="BF340" i="1" s="1"/>
  <c r="AN340" i="1"/>
  <c r="BG340" i="1" s="1"/>
  <c r="AO340" i="1"/>
  <c r="BH340" i="1" s="1"/>
  <c r="AQ340" i="1"/>
  <c r="BJ340" i="1" s="1"/>
  <c r="AL340" i="1"/>
  <c r="BE340" i="1" s="1"/>
  <c r="AK340" i="1"/>
  <c r="BD340" i="1" s="1"/>
  <c r="AR340" i="1"/>
  <c r="BK340" i="1" s="1"/>
  <c r="AP340" i="1"/>
  <c r="BI340" i="1" s="1"/>
  <c r="AJ276" i="1"/>
  <c r="BC276" i="1" s="1"/>
  <c r="AI276" i="1"/>
  <c r="AM276" i="1"/>
  <c r="BF276" i="1" s="1"/>
  <c r="AN276" i="1"/>
  <c r="BG276" i="1" s="1"/>
  <c r="AL276" i="1"/>
  <c r="BE276" i="1" s="1"/>
  <c r="AQ276" i="1"/>
  <c r="BJ276" i="1" s="1"/>
  <c r="AK276" i="1"/>
  <c r="BD276" i="1" s="1"/>
  <c r="AR276" i="1"/>
  <c r="BK276" i="1" s="1"/>
  <c r="AO276" i="1"/>
  <c r="BH276" i="1" s="1"/>
  <c r="AP276" i="1"/>
  <c r="BI276" i="1" s="1"/>
  <c r="AL243" i="1"/>
  <c r="BE243" i="1" s="1"/>
  <c r="AK243" i="1"/>
  <c r="BD243" i="1" s="1"/>
  <c r="AJ243" i="1"/>
  <c r="BC243" i="1" s="1"/>
  <c r="AP243" i="1"/>
  <c r="BI243" i="1" s="1"/>
  <c r="AN243" i="1"/>
  <c r="BG243" i="1" s="1"/>
  <c r="AO243" i="1"/>
  <c r="BH243" i="1" s="1"/>
  <c r="AM243" i="1"/>
  <c r="BF243" i="1" s="1"/>
  <c r="AI243" i="1"/>
  <c r="AR243" i="1"/>
  <c r="BK243" i="1" s="1"/>
  <c r="AQ243" i="1"/>
  <c r="BJ243" i="1" s="1"/>
  <c r="AJ343" i="1"/>
  <c r="BC343" i="1" s="1"/>
  <c r="AI343" i="1"/>
  <c r="AM343" i="1"/>
  <c r="BF343" i="1" s="1"/>
  <c r="AK343" i="1"/>
  <c r="BD343" i="1" s="1"/>
  <c r="AL343" i="1"/>
  <c r="BE343" i="1" s="1"/>
  <c r="AQ343" i="1"/>
  <c r="BJ343" i="1" s="1"/>
  <c r="AR343" i="1"/>
  <c r="BK343" i="1" s="1"/>
  <c r="AO343" i="1"/>
  <c r="BH343" i="1" s="1"/>
  <c r="AN343" i="1"/>
  <c r="BG343" i="1" s="1"/>
  <c r="AP343" i="1"/>
  <c r="BI343" i="1" s="1"/>
  <c r="AI303" i="1"/>
  <c r="AM303" i="1"/>
  <c r="BF303" i="1" s="1"/>
  <c r="AJ303" i="1"/>
  <c r="BC303" i="1" s="1"/>
  <c r="AL303" i="1"/>
  <c r="BE303" i="1" s="1"/>
  <c r="AK303" i="1"/>
  <c r="BD303" i="1" s="1"/>
  <c r="AR303" i="1"/>
  <c r="BK303" i="1" s="1"/>
  <c r="AO303" i="1"/>
  <c r="BH303" i="1" s="1"/>
  <c r="AQ303" i="1"/>
  <c r="BJ303" i="1" s="1"/>
  <c r="AP303" i="1"/>
  <c r="BI303" i="1" s="1"/>
  <c r="AN303" i="1"/>
  <c r="BG303" i="1" s="1"/>
  <c r="AI274" i="1"/>
  <c r="AK274" i="1"/>
  <c r="BD274" i="1" s="1"/>
  <c r="AM274" i="1"/>
  <c r="BF274" i="1" s="1"/>
  <c r="AL274" i="1"/>
  <c r="BE274" i="1" s="1"/>
  <c r="AP274" i="1"/>
  <c r="BI274" i="1" s="1"/>
  <c r="AR274" i="1"/>
  <c r="BK274" i="1" s="1"/>
  <c r="AJ274" i="1"/>
  <c r="BC274" i="1" s="1"/>
  <c r="AO274" i="1"/>
  <c r="BH274" i="1" s="1"/>
  <c r="AQ274" i="1"/>
  <c r="BJ274" i="1" s="1"/>
  <c r="AN274" i="1"/>
  <c r="BG274" i="1" s="1"/>
  <c r="AK253" i="1"/>
  <c r="BD253" i="1" s="1"/>
  <c r="AI253" i="1"/>
  <c r="AJ253" i="1"/>
  <c r="BC253" i="1" s="1"/>
  <c r="AL253" i="1"/>
  <c r="BE253" i="1" s="1"/>
  <c r="L27" i="5" s="1"/>
  <c r="AP253" i="1"/>
  <c r="BI253" i="1" s="1"/>
  <c r="AM253" i="1"/>
  <c r="BF253" i="1" s="1"/>
  <c r="M27" i="5" s="1"/>
  <c r="AQ253" i="1"/>
  <c r="BJ253" i="1" s="1"/>
  <c r="AN253" i="1"/>
  <c r="BG253" i="1" s="1"/>
  <c r="AO253" i="1"/>
  <c r="BH253" i="1" s="1"/>
  <c r="AR253" i="1"/>
  <c r="BK253" i="1" s="1"/>
  <c r="R27" i="5" s="1"/>
  <c r="AL328" i="1"/>
  <c r="BE328" i="1" s="1"/>
  <c r="AI328" i="1"/>
  <c r="AM328" i="1"/>
  <c r="BF328" i="1" s="1"/>
  <c r="AP328" i="1"/>
  <c r="BI328" i="1" s="1"/>
  <c r="AN328" i="1"/>
  <c r="BG328" i="1" s="1"/>
  <c r="AO328" i="1"/>
  <c r="BH328" i="1" s="1"/>
  <c r="AR328" i="1"/>
  <c r="BK328" i="1" s="1"/>
  <c r="AQ328" i="1"/>
  <c r="BJ328" i="1" s="1"/>
  <c r="AJ328" i="1"/>
  <c r="BC328" i="1" s="1"/>
  <c r="AK328" i="1"/>
  <c r="BD328" i="1" s="1"/>
  <c r="AI306" i="1"/>
  <c r="AK306" i="1"/>
  <c r="BD306" i="1" s="1"/>
  <c r="AM306" i="1"/>
  <c r="BF306" i="1" s="1"/>
  <c r="AJ306" i="1"/>
  <c r="BC306" i="1" s="1"/>
  <c r="AL306" i="1"/>
  <c r="BE306" i="1" s="1"/>
  <c r="AP306" i="1"/>
  <c r="BI306" i="1" s="1"/>
  <c r="AN306" i="1"/>
  <c r="BG306" i="1" s="1"/>
  <c r="AQ306" i="1"/>
  <c r="BJ306" i="1" s="1"/>
  <c r="AO306" i="1"/>
  <c r="BH306" i="1" s="1"/>
  <c r="AR306" i="1"/>
  <c r="BK306" i="1" s="1"/>
  <c r="AL264" i="1"/>
  <c r="BE264" i="1" s="1"/>
  <c r="AO264" i="1"/>
  <c r="BH264" i="1" s="1"/>
  <c r="AI264" i="1"/>
  <c r="AP264" i="1"/>
  <c r="BI264" i="1" s="1"/>
  <c r="AR264" i="1"/>
  <c r="BK264" i="1" s="1"/>
  <c r="AJ264" i="1"/>
  <c r="BC264" i="1" s="1"/>
  <c r="AN264" i="1"/>
  <c r="BG264" i="1" s="1"/>
  <c r="AM264" i="1"/>
  <c r="BF264" i="1" s="1"/>
  <c r="AQ264" i="1"/>
  <c r="BJ264" i="1" s="1"/>
  <c r="AK264" i="1"/>
  <c r="BD264" i="1" s="1"/>
  <c r="AO34" i="1"/>
  <c r="BH34" i="1" s="1"/>
  <c r="AJ46" i="1"/>
  <c r="BC46" i="1" s="1"/>
  <c r="AQ105" i="1"/>
  <c r="BJ105" i="1" s="1"/>
  <c r="BQ134" i="1"/>
  <c r="AQ177" i="1"/>
  <c r="BJ177" i="1" s="1"/>
  <c r="AL172" i="1"/>
  <c r="BE172" i="1" s="1"/>
  <c r="BR206" i="1"/>
  <c r="AR152" i="1"/>
  <c r="BK152" i="1" s="1"/>
  <c r="AK241" i="1"/>
  <c r="BD241" i="1" s="1"/>
  <c r="AJ241" i="1"/>
  <c r="BC241" i="1" s="1"/>
  <c r="AI241" i="1"/>
  <c r="AN241" i="1"/>
  <c r="BG241" i="1" s="1"/>
  <c r="AL241" i="1"/>
  <c r="BE241" i="1" s="1"/>
  <c r="AM241" i="1"/>
  <c r="BF241" i="1" s="1"/>
  <c r="AQ241" i="1"/>
  <c r="BJ241" i="1" s="1"/>
  <c r="AO241" i="1"/>
  <c r="BH241" i="1" s="1"/>
  <c r="AR241" i="1"/>
  <c r="BK241" i="1" s="1"/>
  <c r="AP241" i="1"/>
  <c r="BI241" i="1" s="1"/>
  <c r="AJ267" i="1"/>
  <c r="BC267" i="1" s="1"/>
  <c r="AI267" i="1"/>
  <c r="AM267" i="1"/>
  <c r="BF267" i="1" s="1"/>
  <c r="AN267" i="1"/>
  <c r="BG267" i="1" s="1"/>
  <c r="AR267" i="1"/>
  <c r="BK267" i="1" s="1"/>
  <c r="AK267" i="1"/>
  <c r="BD267" i="1" s="1"/>
  <c r="AL267" i="1"/>
  <c r="BE267" i="1" s="1"/>
  <c r="AQ267" i="1"/>
  <c r="BJ267" i="1" s="1"/>
  <c r="AO267" i="1"/>
  <c r="BH267" i="1" s="1"/>
  <c r="AP267" i="1"/>
  <c r="BI267" i="1" s="1"/>
  <c r="AJ326" i="1"/>
  <c r="BC326" i="1" s="1"/>
  <c r="AL326" i="1"/>
  <c r="BE326" i="1" s="1"/>
  <c r="AK326" i="1"/>
  <c r="BD326" i="1" s="1"/>
  <c r="AN326" i="1"/>
  <c r="BG326" i="1" s="1"/>
  <c r="AI326" i="1"/>
  <c r="AO326" i="1"/>
  <c r="BH326" i="1" s="1"/>
  <c r="AQ326" i="1"/>
  <c r="BJ326" i="1" s="1"/>
  <c r="AR326" i="1"/>
  <c r="BK326" i="1" s="1"/>
  <c r="AM326" i="1"/>
  <c r="BF326" i="1" s="1"/>
  <c r="AP326" i="1"/>
  <c r="BI326" i="1" s="1"/>
  <c r="AM263" i="1"/>
  <c r="BF263" i="1" s="1"/>
  <c r="AK263" i="1"/>
  <c r="BD263" i="1" s="1"/>
  <c r="AJ263" i="1"/>
  <c r="BC263" i="1" s="1"/>
  <c r="AO263" i="1"/>
  <c r="BH263" i="1" s="1"/>
  <c r="AL263" i="1"/>
  <c r="BE263" i="1" s="1"/>
  <c r="AI263" i="1"/>
  <c r="AQ263" i="1"/>
  <c r="BJ263" i="1" s="1"/>
  <c r="AN263" i="1"/>
  <c r="BG263" i="1" s="1"/>
  <c r="AP263" i="1"/>
  <c r="BI263" i="1" s="1"/>
  <c r="AR263" i="1"/>
  <c r="BK263" i="1" s="1"/>
  <c r="AI320" i="1"/>
  <c r="AM320" i="1"/>
  <c r="BF320" i="1" s="1"/>
  <c r="AL320" i="1"/>
  <c r="BE320" i="1" s="1"/>
  <c r="AP320" i="1"/>
  <c r="BI320" i="1" s="1"/>
  <c r="AN320" i="1"/>
  <c r="BG320" i="1" s="1"/>
  <c r="AQ320" i="1"/>
  <c r="BJ320" i="1" s="1"/>
  <c r="AK320" i="1"/>
  <c r="BD320" i="1" s="1"/>
  <c r="AR320" i="1"/>
  <c r="BK320" i="1" s="1"/>
  <c r="AJ320" i="1"/>
  <c r="BC320" i="1" s="1"/>
  <c r="AO320" i="1"/>
  <c r="BH320" i="1" s="1"/>
  <c r="AJ278" i="1"/>
  <c r="BC278" i="1" s="1"/>
  <c r="AL278" i="1"/>
  <c r="BE278" i="1" s="1"/>
  <c r="AK278" i="1"/>
  <c r="BD278" i="1" s="1"/>
  <c r="AI278" i="1"/>
  <c r="AQ278" i="1"/>
  <c r="BJ278" i="1" s="1"/>
  <c r="AO278" i="1"/>
  <c r="BH278" i="1" s="1"/>
  <c r="AM278" i="1"/>
  <c r="BF278" i="1" s="1"/>
  <c r="AN278" i="1"/>
  <c r="BG278" i="1" s="1"/>
  <c r="AR278" i="1"/>
  <c r="BK278" i="1" s="1"/>
  <c r="AP278" i="1"/>
  <c r="BI278" i="1" s="1"/>
  <c r="AI257" i="1"/>
  <c r="AM257" i="1"/>
  <c r="BF257" i="1" s="1"/>
  <c r="AJ257" i="1"/>
  <c r="BC257" i="1" s="1"/>
  <c r="AO257" i="1"/>
  <c r="BH257" i="1" s="1"/>
  <c r="AQ257" i="1"/>
  <c r="BJ257" i="1" s="1"/>
  <c r="AK257" i="1"/>
  <c r="BD257" i="1" s="1"/>
  <c r="AP257" i="1"/>
  <c r="BI257" i="1" s="1"/>
  <c r="AL257" i="1"/>
  <c r="BE257" i="1" s="1"/>
  <c r="AR257" i="1"/>
  <c r="BK257" i="1" s="1"/>
  <c r="AN257" i="1"/>
  <c r="BG257" i="1" s="1"/>
  <c r="AI312" i="1"/>
  <c r="AM312" i="1"/>
  <c r="BF312" i="1" s="1"/>
  <c r="AJ312" i="1"/>
  <c r="BC312" i="1" s="1"/>
  <c r="AK312" i="1"/>
  <c r="BD312" i="1" s="1"/>
  <c r="AP312" i="1"/>
  <c r="BI312" i="1" s="1"/>
  <c r="AO312" i="1"/>
  <c r="BH312" i="1" s="1"/>
  <c r="AQ312" i="1"/>
  <c r="BJ312" i="1" s="1"/>
  <c r="AR312" i="1"/>
  <c r="BK312" i="1" s="1"/>
  <c r="AL312" i="1"/>
  <c r="BE312" i="1" s="1"/>
  <c r="AN312" i="1"/>
  <c r="BG312" i="1" s="1"/>
  <c r="AI239" i="1"/>
  <c r="AM239" i="1"/>
  <c r="BF239" i="1" s="1"/>
  <c r="AJ239" i="1"/>
  <c r="BC239" i="1" s="1"/>
  <c r="AN239" i="1"/>
  <c r="BG239" i="1" s="1"/>
  <c r="AK239" i="1"/>
  <c r="BD239" i="1" s="1"/>
  <c r="AQ239" i="1"/>
  <c r="BJ239" i="1" s="1"/>
  <c r="AP239" i="1"/>
  <c r="BI239" i="1" s="1"/>
  <c r="AR239" i="1"/>
  <c r="BK239" i="1" s="1"/>
  <c r="AL239" i="1"/>
  <c r="BE239" i="1" s="1"/>
  <c r="AO239" i="1"/>
  <c r="BH239" i="1" s="1"/>
  <c r="AI330" i="1"/>
  <c r="AK330" i="1"/>
  <c r="BD330" i="1" s="1"/>
  <c r="AM330" i="1"/>
  <c r="BF330" i="1" s="1"/>
  <c r="AJ330" i="1"/>
  <c r="BC330" i="1" s="1"/>
  <c r="AP330" i="1"/>
  <c r="BI330" i="1" s="1"/>
  <c r="AQ330" i="1"/>
  <c r="BJ330" i="1" s="1"/>
  <c r="AO330" i="1"/>
  <c r="BH330" i="1" s="1"/>
  <c r="AL330" i="1"/>
  <c r="BE330" i="1" s="1"/>
  <c r="AN330" i="1"/>
  <c r="BG330" i="1" s="1"/>
  <c r="AR330" i="1"/>
  <c r="BK330" i="1" s="1"/>
  <c r="AL252" i="1"/>
  <c r="BE252" i="1" s="1"/>
  <c r="AK252" i="1"/>
  <c r="BD252" i="1" s="1"/>
  <c r="AJ252" i="1"/>
  <c r="BC252" i="1" s="1"/>
  <c r="AQ252" i="1"/>
  <c r="BJ252" i="1" s="1"/>
  <c r="AI252" i="1"/>
  <c r="AN252" i="1"/>
  <c r="BG252" i="1" s="1"/>
  <c r="AO252" i="1"/>
  <c r="BH252" i="1" s="1"/>
  <c r="AP252" i="1"/>
  <c r="BI252" i="1" s="1"/>
  <c r="AR252" i="1"/>
  <c r="BK252" i="1" s="1"/>
  <c r="AM252" i="1"/>
  <c r="BF252" i="1" s="1"/>
  <c r="AL283" i="1"/>
  <c r="BE283" i="1" s="1"/>
  <c r="AI283" i="1"/>
  <c r="AJ283" i="1"/>
  <c r="BC283" i="1" s="1"/>
  <c r="AK283" i="1"/>
  <c r="BD283" i="1" s="1"/>
  <c r="AP283" i="1"/>
  <c r="BI283" i="1" s="1"/>
  <c r="AM283" i="1"/>
  <c r="BF283" i="1" s="1"/>
  <c r="AR283" i="1"/>
  <c r="BK283" i="1" s="1"/>
  <c r="AQ283" i="1"/>
  <c r="BJ283" i="1" s="1"/>
  <c r="AN283" i="1"/>
  <c r="BG283" i="1" s="1"/>
  <c r="AO283" i="1"/>
  <c r="BH283" i="1" s="1"/>
  <c r="AJ318" i="1"/>
  <c r="BC318" i="1" s="1"/>
  <c r="AL318" i="1"/>
  <c r="BE318" i="1" s="1"/>
  <c r="AM318" i="1"/>
  <c r="BF318" i="1" s="1"/>
  <c r="AK318" i="1"/>
  <c r="BD318" i="1" s="1"/>
  <c r="AI318" i="1"/>
  <c r="AO318" i="1"/>
  <c r="BH318" i="1" s="1"/>
  <c r="AQ318" i="1"/>
  <c r="BJ318" i="1" s="1"/>
  <c r="AR318" i="1"/>
  <c r="BK318" i="1" s="1"/>
  <c r="AN318" i="1"/>
  <c r="BG318" i="1" s="1"/>
  <c r="AP318" i="1"/>
  <c r="BI318" i="1" s="1"/>
  <c r="AK279" i="1"/>
  <c r="BD279" i="1" s="1"/>
  <c r="AJ279" i="1"/>
  <c r="BC279" i="1" s="1"/>
  <c r="AL279" i="1"/>
  <c r="BE279" i="1" s="1"/>
  <c r="AI279" i="1"/>
  <c r="AM279" i="1"/>
  <c r="BF279" i="1" s="1"/>
  <c r="AN279" i="1"/>
  <c r="BG279" i="1" s="1"/>
  <c r="AQ279" i="1"/>
  <c r="BJ279" i="1" s="1"/>
  <c r="AR279" i="1"/>
  <c r="BK279" i="1" s="1"/>
  <c r="AO279" i="1"/>
  <c r="BH279" i="1" s="1"/>
  <c r="AP279" i="1"/>
  <c r="BI279" i="1" s="1"/>
  <c r="AN105" i="1"/>
  <c r="BG105" i="1" s="1"/>
  <c r="AR227" i="1"/>
  <c r="BK227" i="1" s="1"/>
  <c r="BO202" i="1"/>
  <c r="BN206" i="1"/>
  <c r="AI152" i="1"/>
  <c r="BB152" i="1" s="1"/>
  <c r="AJ238" i="1"/>
  <c r="BC238" i="1" s="1"/>
  <c r="AL238" i="1"/>
  <c r="BE238" i="1" s="1"/>
  <c r="AN238" i="1"/>
  <c r="BG238" i="1" s="1"/>
  <c r="AI238" i="1"/>
  <c r="AM238" i="1"/>
  <c r="BF238" i="1" s="1"/>
  <c r="AO238" i="1"/>
  <c r="BH238" i="1" s="1"/>
  <c r="AQ238" i="1"/>
  <c r="BJ238" i="1" s="1"/>
  <c r="AP238" i="1"/>
  <c r="BI238" i="1" s="1"/>
  <c r="AK238" i="1"/>
  <c r="BD238" i="1" s="1"/>
  <c r="AR238" i="1"/>
  <c r="BK238" i="1" s="1"/>
  <c r="AM281" i="1"/>
  <c r="BF281" i="1" s="1"/>
  <c r="AK281" i="1"/>
  <c r="BD281" i="1" s="1"/>
  <c r="AL281" i="1"/>
  <c r="BE281" i="1" s="1"/>
  <c r="AQ281" i="1"/>
  <c r="BJ281" i="1" s="1"/>
  <c r="AP281" i="1"/>
  <c r="BI281" i="1" s="1"/>
  <c r="AI281" i="1"/>
  <c r="AN281" i="1"/>
  <c r="BG281" i="1" s="1"/>
  <c r="AO281" i="1"/>
  <c r="BH281" i="1" s="1"/>
  <c r="AJ281" i="1"/>
  <c r="BC281" i="1" s="1"/>
  <c r="AR281" i="1"/>
  <c r="BK281" i="1" s="1"/>
  <c r="AI290" i="1"/>
  <c r="AK290" i="1"/>
  <c r="BD290" i="1" s="1"/>
  <c r="AM290" i="1"/>
  <c r="BF290" i="1" s="1"/>
  <c r="AJ290" i="1"/>
  <c r="BC290" i="1" s="1"/>
  <c r="AP290" i="1"/>
  <c r="BI290" i="1" s="1"/>
  <c r="AR290" i="1"/>
  <c r="BK290" i="1" s="1"/>
  <c r="AL290" i="1"/>
  <c r="BE290" i="1" s="1"/>
  <c r="AN290" i="1"/>
  <c r="BG290" i="1" s="1"/>
  <c r="AQ290" i="1"/>
  <c r="BJ290" i="1" s="1"/>
  <c r="AO290" i="1"/>
  <c r="BH290" i="1" s="1"/>
  <c r="AJ285" i="1"/>
  <c r="BC285" i="1" s="1"/>
  <c r="AI285" i="1"/>
  <c r="AM285" i="1"/>
  <c r="BF285" i="1" s="1"/>
  <c r="AP285" i="1"/>
  <c r="BI285" i="1" s="1"/>
  <c r="AO285" i="1"/>
  <c r="BH285" i="1" s="1"/>
  <c r="AR285" i="1"/>
  <c r="BK285" i="1" s="1"/>
  <c r="AL285" i="1"/>
  <c r="BE285" i="1" s="1"/>
  <c r="AQ285" i="1"/>
  <c r="BJ285" i="1" s="1"/>
  <c r="AN285" i="1"/>
  <c r="BG285" i="1" s="1"/>
  <c r="AK285" i="1"/>
  <c r="BD285" i="1" s="1"/>
  <c r="AK315" i="1"/>
  <c r="BD315" i="1" s="1"/>
  <c r="AJ315" i="1"/>
  <c r="BC315" i="1" s="1"/>
  <c r="AI315" i="1"/>
  <c r="AL315" i="1"/>
  <c r="BE315" i="1" s="1"/>
  <c r="AM315" i="1"/>
  <c r="BF315" i="1" s="1"/>
  <c r="AO315" i="1"/>
  <c r="BH315" i="1" s="1"/>
  <c r="AN315" i="1"/>
  <c r="BG315" i="1" s="1"/>
  <c r="AR315" i="1"/>
  <c r="BK315" i="1" s="1"/>
  <c r="AQ315" i="1"/>
  <c r="BJ315" i="1" s="1"/>
  <c r="AP315" i="1"/>
  <c r="BI315" i="1" s="1"/>
  <c r="AJ246" i="1"/>
  <c r="BC246" i="1" s="1"/>
  <c r="AL246" i="1"/>
  <c r="BE246" i="1" s="1"/>
  <c r="AN246" i="1"/>
  <c r="BG246" i="1" s="1"/>
  <c r="AI246" i="1"/>
  <c r="AQ246" i="1"/>
  <c r="BJ246" i="1" s="1"/>
  <c r="AK246" i="1"/>
  <c r="BD246" i="1" s="1"/>
  <c r="AP246" i="1"/>
  <c r="BI246" i="1" s="1"/>
  <c r="AR246" i="1"/>
  <c r="BK246" i="1" s="1"/>
  <c r="AO246" i="1"/>
  <c r="BH246" i="1" s="1"/>
  <c r="AM246" i="1"/>
  <c r="BF246" i="1" s="1"/>
  <c r="AI311" i="1"/>
  <c r="AM311" i="1"/>
  <c r="BF311" i="1" s="1"/>
  <c r="AL311" i="1"/>
  <c r="BE311" i="1" s="1"/>
  <c r="AK311" i="1"/>
  <c r="BD311" i="1" s="1"/>
  <c r="AJ311" i="1"/>
  <c r="BC311" i="1" s="1"/>
  <c r="AQ311" i="1"/>
  <c r="BJ311" i="1" s="1"/>
  <c r="AR311" i="1"/>
  <c r="BK311" i="1" s="1"/>
  <c r="AN311" i="1"/>
  <c r="BG311" i="1" s="1"/>
  <c r="AP311" i="1"/>
  <c r="BI311" i="1" s="1"/>
  <c r="AO311" i="1"/>
  <c r="BH311" i="1" s="1"/>
  <c r="AL325" i="1"/>
  <c r="BE325" i="1" s="1"/>
  <c r="AJ325" i="1"/>
  <c r="BC325" i="1" s="1"/>
  <c r="AI325" i="1"/>
  <c r="AK325" i="1"/>
  <c r="BD325" i="1" s="1"/>
  <c r="AP325" i="1"/>
  <c r="BI325" i="1" s="1"/>
  <c r="AM325" i="1"/>
  <c r="BF325" i="1" s="1"/>
  <c r="AO325" i="1"/>
  <c r="BH325" i="1" s="1"/>
  <c r="AN325" i="1"/>
  <c r="BG325" i="1" s="1"/>
  <c r="AQ325" i="1"/>
  <c r="BJ325" i="1" s="1"/>
  <c r="AR325" i="1"/>
  <c r="BK325" i="1" s="1"/>
  <c r="AL261" i="1"/>
  <c r="BE261" i="1" s="1"/>
  <c r="AK261" i="1"/>
  <c r="BD261" i="1" s="1"/>
  <c r="AJ261" i="1"/>
  <c r="BC261" i="1" s="1"/>
  <c r="AN261" i="1"/>
  <c r="BG261" i="1" s="1"/>
  <c r="AP261" i="1"/>
  <c r="BI261" i="1" s="1"/>
  <c r="AM261" i="1"/>
  <c r="BF261" i="1" s="1"/>
  <c r="AO261" i="1"/>
  <c r="BH261" i="1" s="1"/>
  <c r="AQ261" i="1"/>
  <c r="BJ261" i="1" s="1"/>
  <c r="AI261" i="1"/>
  <c r="AR261" i="1"/>
  <c r="BK261" i="1" s="1"/>
  <c r="AL337" i="1"/>
  <c r="BE337" i="1" s="1"/>
  <c r="AI337" i="1"/>
  <c r="AJ337" i="1"/>
  <c r="BC337" i="1" s="1"/>
  <c r="AK337" i="1"/>
  <c r="BD337" i="1" s="1"/>
  <c r="AN337" i="1"/>
  <c r="BG337" i="1" s="1"/>
  <c r="AM337" i="1"/>
  <c r="BF337" i="1" s="1"/>
  <c r="AO337" i="1"/>
  <c r="BH337" i="1" s="1"/>
  <c r="AP337" i="1"/>
  <c r="BI337" i="1" s="1"/>
  <c r="AR337" i="1"/>
  <c r="BK337" i="1" s="1"/>
  <c r="AQ337" i="1"/>
  <c r="BJ337" i="1" s="1"/>
  <c r="AJ294" i="1"/>
  <c r="BC294" i="1" s="1"/>
  <c r="AL294" i="1"/>
  <c r="BE294" i="1" s="1"/>
  <c r="AI294" i="1"/>
  <c r="AM294" i="1"/>
  <c r="BF294" i="1" s="1"/>
  <c r="AK294" i="1"/>
  <c r="BD294" i="1" s="1"/>
  <c r="AQ294" i="1"/>
  <c r="BJ294" i="1" s="1"/>
  <c r="AP294" i="1"/>
  <c r="BI294" i="1" s="1"/>
  <c r="AR294" i="1"/>
  <c r="BK294" i="1" s="1"/>
  <c r="AN294" i="1"/>
  <c r="BG294" i="1" s="1"/>
  <c r="AO294" i="1"/>
  <c r="BH294" i="1" s="1"/>
  <c r="AJ297" i="1"/>
  <c r="BC297" i="1" s="1"/>
  <c r="AL297" i="1"/>
  <c r="BE297" i="1" s="1"/>
  <c r="AI297" i="1"/>
  <c r="AK297" i="1"/>
  <c r="BD297" i="1" s="1"/>
  <c r="AO297" i="1"/>
  <c r="BH297" i="1" s="1"/>
  <c r="AP297" i="1"/>
  <c r="BI297" i="1" s="1"/>
  <c r="AR297" i="1"/>
  <c r="BK297" i="1" s="1"/>
  <c r="AM297" i="1"/>
  <c r="BF297" i="1" s="1"/>
  <c r="AN297" i="1"/>
  <c r="BG297" i="1" s="1"/>
  <c r="AQ297" i="1"/>
  <c r="BJ297" i="1" s="1"/>
  <c r="AK308" i="1"/>
  <c r="BD308" i="1" s="1"/>
  <c r="AN308" i="1"/>
  <c r="BG308" i="1" s="1"/>
  <c r="AJ308" i="1"/>
  <c r="BC308" i="1" s="1"/>
  <c r="AO308" i="1"/>
  <c r="BH308" i="1" s="1"/>
  <c r="AQ308" i="1"/>
  <c r="BJ308" i="1" s="1"/>
  <c r="AL308" i="1"/>
  <c r="BE308" i="1" s="1"/>
  <c r="AM308" i="1"/>
  <c r="BF308" i="1" s="1"/>
  <c r="AP308" i="1"/>
  <c r="BI308" i="1" s="1"/>
  <c r="AR308" i="1"/>
  <c r="BK308" i="1" s="1"/>
  <c r="AI308" i="1"/>
  <c r="AL301" i="1"/>
  <c r="BE301" i="1" s="1"/>
  <c r="AI301" i="1"/>
  <c r="AK301" i="1"/>
  <c r="BD301" i="1" s="1"/>
  <c r="AN301" i="1"/>
  <c r="BG301" i="1" s="1"/>
  <c r="AP301" i="1"/>
  <c r="BI301" i="1" s="1"/>
  <c r="AM301" i="1"/>
  <c r="BF301" i="1" s="1"/>
  <c r="AO301" i="1"/>
  <c r="BH301" i="1" s="1"/>
  <c r="AJ301" i="1"/>
  <c r="BC301" i="1" s="1"/>
  <c r="AQ301" i="1"/>
  <c r="BJ301" i="1" s="1"/>
  <c r="AR301" i="1"/>
  <c r="BK301" i="1" s="1"/>
  <c r="AI105" i="1"/>
  <c r="BB105" i="1" s="1"/>
  <c r="AQ109" i="1"/>
  <c r="BJ109" i="1" s="1"/>
  <c r="AP227" i="1"/>
  <c r="BI227" i="1" s="1"/>
  <c r="AJ262" i="1"/>
  <c r="BC262" i="1" s="1"/>
  <c r="AL262" i="1"/>
  <c r="BE262" i="1" s="1"/>
  <c r="AN262" i="1"/>
  <c r="BG262" i="1" s="1"/>
  <c r="AK262" i="1"/>
  <c r="BD262" i="1" s="1"/>
  <c r="AQ262" i="1"/>
  <c r="BJ262" i="1" s="1"/>
  <c r="AI262" i="1"/>
  <c r="AM262" i="1"/>
  <c r="BF262" i="1" s="1"/>
  <c r="AR262" i="1"/>
  <c r="BK262" i="1" s="1"/>
  <c r="AP262" i="1"/>
  <c r="BI262" i="1" s="1"/>
  <c r="AO262" i="1"/>
  <c r="BH262" i="1" s="1"/>
  <c r="AI256" i="1"/>
  <c r="AM256" i="1"/>
  <c r="BF256" i="1" s="1"/>
  <c r="AL256" i="1"/>
  <c r="BE256" i="1" s="1"/>
  <c r="AO256" i="1"/>
  <c r="BH256" i="1" s="1"/>
  <c r="AJ256" i="1"/>
  <c r="BC256" i="1" s="1"/>
  <c r="AP256" i="1"/>
  <c r="BI256" i="1" s="1"/>
  <c r="AR256" i="1"/>
  <c r="BK256" i="1" s="1"/>
  <c r="AK256" i="1"/>
  <c r="BD256" i="1" s="1"/>
  <c r="AN256" i="1"/>
  <c r="BG256" i="1" s="1"/>
  <c r="AQ256" i="1"/>
  <c r="BJ256" i="1" s="1"/>
  <c r="AK296" i="1"/>
  <c r="BD296" i="1" s="1"/>
  <c r="AJ296" i="1"/>
  <c r="BC296" i="1" s="1"/>
  <c r="AI296" i="1"/>
  <c r="AO296" i="1"/>
  <c r="BH296" i="1" s="1"/>
  <c r="AL296" i="1"/>
  <c r="BE296" i="1" s="1"/>
  <c r="AP296" i="1"/>
  <c r="BI296" i="1" s="1"/>
  <c r="AR296" i="1"/>
  <c r="BK296" i="1" s="1"/>
  <c r="AN296" i="1"/>
  <c r="BG296" i="1" s="1"/>
  <c r="AM296" i="1"/>
  <c r="BF296" i="1" s="1"/>
  <c r="AQ296" i="1"/>
  <c r="BJ296" i="1" s="1"/>
  <c r="AI284" i="1"/>
  <c r="AM284" i="1"/>
  <c r="BF284" i="1" s="1"/>
  <c r="AN284" i="1"/>
  <c r="BG284" i="1" s="1"/>
  <c r="AJ284" i="1"/>
  <c r="BC284" i="1" s="1"/>
  <c r="AQ284" i="1"/>
  <c r="BJ284" i="1" s="1"/>
  <c r="AL284" i="1"/>
  <c r="BE284" i="1" s="1"/>
  <c r="AO284" i="1"/>
  <c r="BH284" i="1" s="1"/>
  <c r="AP284" i="1"/>
  <c r="BI284" i="1" s="1"/>
  <c r="AK284" i="1"/>
  <c r="BD284" i="1" s="1"/>
  <c r="AR284" i="1"/>
  <c r="BK284" i="1" s="1"/>
  <c r="AK251" i="1"/>
  <c r="BD251" i="1" s="1"/>
  <c r="AJ251" i="1"/>
  <c r="BC251" i="1" s="1"/>
  <c r="AI251" i="1"/>
  <c r="AL251" i="1"/>
  <c r="BE251" i="1" s="1"/>
  <c r="AM251" i="1"/>
  <c r="BF251" i="1" s="1"/>
  <c r="AO251" i="1"/>
  <c r="BH251" i="1" s="1"/>
  <c r="AQ251" i="1"/>
  <c r="BJ251" i="1" s="1"/>
  <c r="AR251" i="1"/>
  <c r="BK251" i="1" s="1"/>
  <c r="AN251" i="1"/>
  <c r="BG251" i="1" s="1"/>
  <c r="AP251" i="1"/>
  <c r="BI251" i="1" s="1"/>
  <c r="AJ334" i="1"/>
  <c r="BC334" i="1" s="1"/>
  <c r="AL334" i="1"/>
  <c r="BE334" i="1" s="1"/>
  <c r="AK334" i="1"/>
  <c r="BD334" i="1" s="1"/>
  <c r="AO334" i="1"/>
  <c r="BH334" i="1" s="1"/>
  <c r="AQ334" i="1"/>
  <c r="BJ334" i="1" s="1"/>
  <c r="AI334" i="1"/>
  <c r="AN334" i="1"/>
  <c r="BG334" i="1" s="1"/>
  <c r="AR334" i="1"/>
  <c r="BK334" i="1" s="1"/>
  <c r="AP334" i="1"/>
  <c r="BI334" i="1" s="1"/>
  <c r="AM334" i="1"/>
  <c r="BF334" i="1" s="1"/>
  <c r="AI247" i="1"/>
  <c r="AM247" i="1"/>
  <c r="BF247" i="1" s="1"/>
  <c r="AL247" i="1"/>
  <c r="BE247" i="1" s="1"/>
  <c r="AK247" i="1"/>
  <c r="BD247" i="1" s="1"/>
  <c r="AO247" i="1"/>
  <c r="BH247" i="1" s="1"/>
  <c r="AJ247" i="1"/>
  <c r="BC247" i="1" s="1"/>
  <c r="AN247" i="1"/>
  <c r="BG247" i="1" s="1"/>
  <c r="AP247" i="1"/>
  <c r="BI247" i="1" s="1"/>
  <c r="AR247" i="1"/>
  <c r="BK247" i="1" s="1"/>
  <c r="AQ247" i="1"/>
  <c r="BJ247" i="1" s="1"/>
  <c r="AI339" i="1"/>
  <c r="AM339" i="1"/>
  <c r="BF339" i="1" s="1"/>
  <c r="AJ339" i="1"/>
  <c r="BC339" i="1" s="1"/>
  <c r="AL339" i="1"/>
  <c r="BE339" i="1" s="1"/>
  <c r="AO339" i="1"/>
  <c r="BH339" i="1" s="1"/>
  <c r="AN339" i="1"/>
  <c r="BG339" i="1" s="1"/>
  <c r="AK339" i="1"/>
  <c r="BD339" i="1" s="1"/>
  <c r="AP339" i="1"/>
  <c r="BI339" i="1" s="1"/>
  <c r="AR339" i="1"/>
  <c r="BK339" i="1" s="1"/>
  <c r="AQ339" i="1"/>
  <c r="BJ339" i="1" s="1"/>
  <c r="AK260" i="1"/>
  <c r="BD260" i="1" s="1"/>
  <c r="AJ260" i="1"/>
  <c r="BC260" i="1" s="1"/>
  <c r="AI260" i="1"/>
  <c r="AL260" i="1"/>
  <c r="BE260" i="1" s="1"/>
  <c r="AQ260" i="1"/>
  <c r="BJ260" i="1" s="1"/>
  <c r="AM260" i="1"/>
  <c r="BF260" i="1" s="1"/>
  <c r="AO260" i="1"/>
  <c r="BH260" i="1" s="1"/>
  <c r="AN260" i="1"/>
  <c r="BG260" i="1" s="1"/>
  <c r="AP260" i="1"/>
  <c r="BI260" i="1" s="1"/>
  <c r="AR260" i="1"/>
  <c r="BK260" i="1" s="1"/>
  <c r="AM291" i="1"/>
  <c r="BF291" i="1" s="1"/>
  <c r="AL291" i="1"/>
  <c r="BE291" i="1" s="1"/>
  <c r="AK291" i="1"/>
  <c r="BD291" i="1" s="1"/>
  <c r="AI291" i="1"/>
  <c r="AO291" i="1"/>
  <c r="BH291" i="1" s="1"/>
  <c r="AJ291" i="1"/>
  <c r="BC291" i="1" s="1"/>
  <c r="AN291" i="1"/>
  <c r="BG291" i="1" s="1"/>
  <c r="AQ291" i="1"/>
  <c r="BJ291" i="1" s="1"/>
  <c r="AP291" i="1"/>
  <c r="BI291" i="1" s="1"/>
  <c r="AR291" i="1"/>
  <c r="BK291" i="1" s="1"/>
  <c r="AJ254" i="1"/>
  <c r="BC254" i="1" s="1"/>
  <c r="AL254" i="1"/>
  <c r="BE254" i="1" s="1"/>
  <c r="AN254" i="1"/>
  <c r="BG254" i="1" s="1"/>
  <c r="AM254" i="1"/>
  <c r="BF254" i="1" s="1"/>
  <c r="AK254" i="1"/>
  <c r="BD254" i="1" s="1"/>
  <c r="AO254" i="1"/>
  <c r="BH254" i="1" s="1"/>
  <c r="AQ254" i="1"/>
  <c r="BJ254" i="1" s="1"/>
  <c r="AR254" i="1"/>
  <c r="BK254" i="1" s="1"/>
  <c r="AI254" i="1"/>
  <c r="AP254" i="1"/>
  <c r="BI254" i="1" s="1"/>
  <c r="AM272" i="1"/>
  <c r="BF272" i="1" s="1"/>
  <c r="AK272" i="1"/>
  <c r="BD272" i="1" s="1"/>
  <c r="AO272" i="1"/>
  <c r="BH272" i="1" s="1"/>
  <c r="AP272" i="1"/>
  <c r="BI272" i="1" s="1"/>
  <c r="AR272" i="1"/>
  <c r="BK272" i="1" s="1"/>
  <c r="AI272" i="1"/>
  <c r="AL272" i="1"/>
  <c r="BE272" i="1" s="1"/>
  <c r="AN272" i="1"/>
  <c r="BG272" i="1" s="1"/>
  <c r="AQ272" i="1"/>
  <c r="BJ272" i="1" s="1"/>
  <c r="AJ272" i="1"/>
  <c r="BC272" i="1" s="1"/>
  <c r="AM327" i="1"/>
  <c r="BF327" i="1" s="1"/>
  <c r="AK327" i="1"/>
  <c r="BD327" i="1" s="1"/>
  <c r="AJ327" i="1"/>
  <c r="BC327" i="1" s="1"/>
  <c r="AL327" i="1"/>
  <c r="BE327" i="1" s="1"/>
  <c r="AO327" i="1"/>
  <c r="BH327" i="1" s="1"/>
  <c r="AR327" i="1"/>
  <c r="BK327" i="1" s="1"/>
  <c r="AQ327" i="1"/>
  <c r="BJ327" i="1" s="1"/>
  <c r="AN327" i="1"/>
  <c r="BG327" i="1" s="1"/>
  <c r="AI327" i="1"/>
  <c r="AP327" i="1"/>
  <c r="BI327" i="1" s="1"/>
  <c r="AN237" i="1"/>
  <c r="BG237" i="1" s="1"/>
  <c r="AL237" i="1"/>
  <c r="BE237" i="1" s="1"/>
  <c r="AI237" i="1"/>
  <c r="AJ237" i="1"/>
  <c r="BC237" i="1" s="1"/>
  <c r="AP237" i="1"/>
  <c r="BI237" i="1" s="1"/>
  <c r="AQ237" i="1"/>
  <c r="BJ237" i="1" s="1"/>
  <c r="AM237" i="1"/>
  <c r="BF237" i="1" s="1"/>
  <c r="AR237" i="1"/>
  <c r="BK237" i="1" s="1"/>
  <c r="AK237" i="1"/>
  <c r="BD237" i="1" s="1"/>
  <c r="AO237" i="1"/>
  <c r="BH237" i="1" s="1"/>
  <c r="AL50" i="1"/>
  <c r="BE50" i="1" s="1"/>
  <c r="AJ9" i="1"/>
  <c r="BC9" i="1" s="1"/>
  <c r="BL97" i="1"/>
  <c r="AL97" i="1"/>
  <c r="BE97" i="1" s="1"/>
  <c r="AO192" i="1"/>
  <c r="BH192" i="1" s="1"/>
  <c r="BN176" i="1"/>
  <c r="AJ341" i="1"/>
  <c r="BC341" i="1" s="1"/>
  <c r="AI341" i="1"/>
  <c r="AK341" i="1"/>
  <c r="BD341" i="1" s="1"/>
  <c r="AN341" i="1"/>
  <c r="BG341" i="1" s="1"/>
  <c r="AP341" i="1"/>
  <c r="BI341" i="1" s="1"/>
  <c r="AQ341" i="1"/>
  <c r="BJ341" i="1" s="1"/>
  <c r="AL341" i="1"/>
  <c r="BE341" i="1" s="1"/>
  <c r="AO341" i="1"/>
  <c r="BH341" i="1" s="1"/>
  <c r="AR341" i="1"/>
  <c r="BK341" i="1" s="1"/>
  <c r="AM341" i="1"/>
  <c r="BF341" i="1" s="1"/>
  <c r="AL271" i="1"/>
  <c r="BE271" i="1" s="1"/>
  <c r="AK271" i="1"/>
  <c r="BD271" i="1" s="1"/>
  <c r="AJ271" i="1"/>
  <c r="BC271" i="1" s="1"/>
  <c r="AI271" i="1"/>
  <c r="AN271" i="1"/>
  <c r="BG271" i="1" s="1"/>
  <c r="AO271" i="1"/>
  <c r="BH271" i="1" s="1"/>
  <c r="AP271" i="1"/>
  <c r="BI271" i="1" s="1"/>
  <c r="AM271" i="1"/>
  <c r="BF271" i="1" s="1"/>
  <c r="AR271" i="1"/>
  <c r="BK271" i="1" s="1"/>
  <c r="AQ271" i="1"/>
  <c r="BJ271" i="1" s="1"/>
  <c r="AI329" i="1"/>
  <c r="AM329" i="1"/>
  <c r="BF329" i="1" s="1"/>
  <c r="AL329" i="1"/>
  <c r="BE329" i="1" s="1"/>
  <c r="AJ329" i="1"/>
  <c r="BC329" i="1" s="1"/>
  <c r="AK329" i="1"/>
  <c r="BD329" i="1" s="1"/>
  <c r="AO329" i="1"/>
  <c r="BH329" i="1" s="1"/>
  <c r="AR329" i="1"/>
  <c r="BK329" i="1" s="1"/>
  <c r="AP329" i="1"/>
  <c r="BI329" i="1" s="1"/>
  <c r="AQ329" i="1"/>
  <c r="BJ329" i="1" s="1"/>
  <c r="AN329" i="1"/>
  <c r="BG329" i="1" s="1"/>
  <c r="AI266" i="1"/>
  <c r="AK266" i="1"/>
  <c r="BD266" i="1" s="1"/>
  <c r="AM266" i="1"/>
  <c r="BF266" i="1" s="1"/>
  <c r="AJ266" i="1"/>
  <c r="BC266" i="1" s="1"/>
  <c r="AL266" i="1"/>
  <c r="BE266" i="1" s="1"/>
  <c r="AO266" i="1"/>
  <c r="BH266" i="1" s="1"/>
  <c r="AP266" i="1"/>
  <c r="BI266" i="1" s="1"/>
  <c r="AR266" i="1"/>
  <c r="BK266" i="1" s="1"/>
  <c r="AQ266" i="1"/>
  <c r="BJ266" i="1" s="1"/>
  <c r="AN266" i="1"/>
  <c r="BG266" i="1" s="1"/>
  <c r="AI265" i="1"/>
  <c r="AM265" i="1"/>
  <c r="BF265" i="1" s="1"/>
  <c r="AL265" i="1"/>
  <c r="BE265" i="1" s="1"/>
  <c r="AJ265" i="1"/>
  <c r="BC265" i="1" s="1"/>
  <c r="AK265" i="1"/>
  <c r="BD265" i="1" s="1"/>
  <c r="AQ265" i="1"/>
  <c r="BJ265" i="1" s="1"/>
  <c r="AR265" i="1"/>
  <c r="BK265" i="1" s="1"/>
  <c r="AN265" i="1"/>
  <c r="BG265" i="1" s="1"/>
  <c r="AP265" i="1"/>
  <c r="BI265" i="1" s="1"/>
  <c r="AO265" i="1"/>
  <c r="BH265" i="1" s="1"/>
  <c r="AI282" i="1"/>
  <c r="AK282" i="1"/>
  <c r="BD282" i="1" s="1"/>
  <c r="AM282" i="1"/>
  <c r="BF282" i="1" s="1"/>
  <c r="AL282" i="1"/>
  <c r="BE282" i="1" s="1"/>
  <c r="AJ282" i="1"/>
  <c r="BC282" i="1" s="1"/>
  <c r="AO282" i="1"/>
  <c r="BH282" i="1" s="1"/>
  <c r="AN282" i="1"/>
  <c r="BG282" i="1" s="1"/>
  <c r="AP282" i="1"/>
  <c r="BI282" i="1" s="1"/>
  <c r="AR282" i="1"/>
  <c r="BK282" i="1" s="1"/>
  <c r="AQ282" i="1"/>
  <c r="BJ282" i="1" s="1"/>
  <c r="AK269" i="1"/>
  <c r="BD269" i="1" s="1"/>
  <c r="AJ269" i="1"/>
  <c r="BC269" i="1" s="1"/>
  <c r="AI269" i="1"/>
  <c r="AL269" i="1"/>
  <c r="BE269" i="1" s="1"/>
  <c r="AO269" i="1"/>
  <c r="BH269" i="1" s="1"/>
  <c r="AP269" i="1"/>
  <c r="BI269" i="1" s="1"/>
  <c r="AR269" i="1"/>
  <c r="BK269" i="1" s="1"/>
  <c r="AN269" i="1"/>
  <c r="BG269" i="1" s="1"/>
  <c r="AQ269" i="1"/>
  <c r="BJ269" i="1" s="1"/>
  <c r="AM269" i="1"/>
  <c r="BF269" i="1" s="1"/>
  <c r="AI250" i="1"/>
  <c r="AK250" i="1"/>
  <c r="BD250" i="1" s="1"/>
  <c r="AM250" i="1"/>
  <c r="BF250" i="1" s="1"/>
  <c r="AJ250" i="1"/>
  <c r="BC250" i="1" s="1"/>
  <c r="AN250" i="1"/>
  <c r="BG250" i="1" s="1"/>
  <c r="AP250" i="1"/>
  <c r="BI250" i="1" s="1"/>
  <c r="AR250" i="1"/>
  <c r="BK250" i="1" s="1"/>
  <c r="AQ250" i="1"/>
  <c r="BJ250" i="1" s="1"/>
  <c r="AL250" i="1"/>
  <c r="BE250" i="1" s="1"/>
  <c r="AO250" i="1"/>
  <c r="BH250" i="1" s="1"/>
  <c r="AJ249" i="1"/>
  <c r="BC249" i="1" s="1"/>
  <c r="AI249" i="1"/>
  <c r="AN249" i="1"/>
  <c r="BG249" i="1" s="1"/>
  <c r="AK249" i="1"/>
  <c r="BD249" i="1" s="1"/>
  <c r="AQ249" i="1"/>
  <c r="BJ249" i="1" s="1"/>
  <c r="AL249" i="1"/>
  <c r="BE249" i="1" s="1"/>
  <c r="AM249" i="1"/>
  <c r="BF249" i="1" s="1"/>
  <c r="AR249" i="1"/>
  <c r="BK249" i="1" s="1"/>
  <c r="AP249" i="1"/>
  <c r="BI249" i="1" s="1"/>
  <c r="AO249" i="1"/>
  <c r="BH249" i="1" s="1"/>
  <c r="AK305" i="1"/>
  <c r="BD305" i="1" s="1"/>
  <c r="AJ305" i="1"/>
  <c r="BC305" i="1" s="1"/>
  <c r="AI305" i="1"/>
  <c r="AO305" i="1"/>
  <c r="BH305" i="1" s="1"/>
  <c r="AN305" i="1"/>
  <c r="BG305" i="1" s="1"/>
  <c r="AM305" i="1"/>
  <c r="BF305" i="1" s="1"/>
  <c r="AL305" i="1"/>
  <c r="BE305" i="1" s="1"/>
  <c r="AR305" i="1"/>
  <c r="BK305" i="1" s="1"/>
  <c r="AP305" i="1"/>
  <c r="BI305" i="1" s="1"/>
  <c r="AQ305" i="1"/>
  <c r="BJ305" i="1" s="1"/>
  <c r="AK324" i="1"/>
  <c r="BD324" i="1" s="1"/>
  <c r="AJ324" i="1"/>
  <c r="BC324" i="1" s="1"/>
  <c r="AI324" i="1"/>
  <c r="AN324" i="1"/>
  <c r="BG324" i="1" s="1"/>
  <c r="AL324" i="1"/>
  <c r="BE324" i="1" s="1"/>
  <c r="AO324" i="1"/>
  <c r="BH324" i="1" s="1"/>
  <c r="AQ324" i="1"/>
  <c r="BJ324" i="1" s="1"/>
  <c r="AM324" i="1"/>
  <c r="BF324" i="1" s="1"/>
  <c r="AP324" i="1"/>
  <c r="BI324" i="1" s="1"/>
  <c r="AR324" i="1"/>
  <c r="BK324" i="1" s="1"/>
  <c r="AK287" i="1"/>
  <c r="BD287" i="1" s="1"/>
  <c r="AJ287" i="1"/>
  <c r="BC287" i="1" s="1"/>
  <c r="AI287" i="1"/>
  <c r="AO287" i="1"/>
  <c r="BH287" i="1" s="1"/>
  <c r="AR287" i="1"/>
  <c r="BK287" i="1" s="1"/>
  <c r="AM287" i="1"/>
  <c r="BF287" i="1" s="1"/>
  <c r="AN287" i="1"/>
  <c r="BG287" i="1" s="1"/>
  <c r="AP287" i="1"/>
  <c r="BI287" i="1" s="1"/>
  <c r="AL287" i="1"/>
  <c r="BE287" i="1" s="1"/>
  <c r="AQ287" i="1"/>
  <c r="BJ287" i="1" s="1"/>
  <c r="AJ304" i="1"/>
  <c r="BC304" i="1" s="1"/>
  <c r="AI304" i="1"/>
  <c r="AK304" i="1"/>
  <c r="BD304" i="1" s="1"/>
  <c r="AP304" i="1"/>
  <c r="BI304" i="1" s="1"/>
  <c r="AM304" i="1"/>
  <c r="BF304" i="1" s="1"/>
  <c r="AN304" i="1"/>
  <c r="BG304" i="1" s="1"/>
  <c r="AL304" i="1"/>
  <c r="BE304" i="1" s="1"/>
  <c r="AR304" i="1"/>
  <c r="BK304" i="1" s="1"/>
  <c r="AO304" i="1"/>
  <c r="BH304" i="1" s="1"/>
  <c r="AQ304" i="1"/>
  <c r="BJ304" i="1" s="1"/>
  <c r="AM236" i="1"/>
  <c r="BF236" i="1" s="1"/>
  <c r="AL236" i="1"/>
  <c r="BE236" i="1" s="1"/>
  <c r="AK236" i="1"/>
  <c r="BD236" i="1" s="1"/>
  <c r="AJ236" i="1"/>
  <c r="BC236" i="1" s="1"/>
  <c r="AO236" i="1"/>
  <c r="BH236" i="1" s="1"/>
  <c r="AQ236" i="1"/>
  <c r="BJ236" i="1" s="1"/>
  <c r="AI236" i="1"/>
  <c r="AR236" i="1"/>
  <c r="BK236" i="1" s="1"/>
  <c r="AP236" i="1"/>
  <c r="BI236" i="1" s="1"/>
  <c r="AN236" i="1"/>
  <c r="BG236" i="1" s="1"/>
  <c r="AJ38" i="1"/>
  <c r="BC38" i="1" s="1"/>
  <c r="BN121" i="1"/>
  <c r="AQ230" i="1"/>
  <c r="BJ230" i="1" s="1"/>
  <c r="AQ206" i="1"/>
  <c r="BJ206" i="1" s="1"/>
  <c r="AI206" i="1"/>
  <c r="BB206" i="1" s="1"/>
  <c r="BT121" i="1"/>
  <c r="AL13" i="1"/>
  <c r="BE13" i="1" s="1"/>
  <c r="BS35" i="1"/>
  <c r="BO136" i="1"/>
  <c r="AO196" i="1"/>
  <c r="BH196" i="1" s="1"/>
  <c r="BS157" i="1"/>
  <c r="BO151" i="1"/>
  <c r="BR136" i="1"/>
  <c r="BP201" i="1"/>
  <c r="AQ181" i="1"/>
  <c r="BJ181" i="1" s="1"/>
  <c r="BL157" i="1"/>
  <c r="AK45" i="1"/>
  <c r="BD45" i="1" s="1"/>
  <c r="BQ13" i="1"/>
  <c r="BN151" i="1"/>
  <c r="BO112" i="1"/>
  <c r="AN186" i="1"/>
  <c r="BG186" i="1" s="1"/>
  <c r="AK181" i="1"/>
  <c r="BD181" i="1" s="1"/>
  <c r="AO45" i="1"/>
  <c r="BH45" i="1" s="1"/>
  <c r="BS70" i="1"/>
  <c r="AJ59" i="1"/>
  <c r="BC59" i="1" s="1"/>
  <c r="BR112" i="1"/>
  <c r="BP125" i="1"/>
  <c r="AM139" i="1"/>
  <c r="BF139" i="1" s="1"/>
  <c r="AL229" i="1"/>
  <c r="BE229" i="1" s="1"/>
  <c r="BM95" i="1"/>
  <c r="BU100" i="1"/>
  <c r="AR162" i="1"/>
  <c r="BK162" i="1" s="1"/>
  <c r="AJ162" i="1"/>
  <c r="BC162" i="1" s="1"/>
  <c r="AR231" i="1"/>
  <c r="BK231" i="1" s="1"/>
  <c r="AM225" i="1"/>
  <c r="BF225" i="1" s="1"/>
  <c r="BM61" i="1"/>
  <c r="AJ231" i="1"/>
  <c r="BC231" i="1" s="1"/>
  <c r="AQ187" i="1"/>
  <c r="BJ187" i="1" s="1"/>
  <c r="AO13" i="1"/>
  <c r="BH13" i="1" s="1"/>
  <c r="AM45" i="1"/>
  <c r="BF45" i="1" s="1"/>
  <c r="AP45" i="1"/>
  <c r="BI45" i="1" s="1"/>
  <c r="BM70" i="1"/>
  <c r="BU61" i="1"/>
  <c r="AQ59" i="1"/>
  <c r="BJ59" i="1" s="1"/>
  <c r="BL13" i="1"/>
  <c r="AK38" i="1"/>
  <c r="BD38" i="1" s="1"/>
  <c r="BO35" i="1"/>
  <c r="BO95" i="1"/>
  <c r="BR95" i="1"/>
  <c r="BT151" i="1"/>
  <c r="BS112" i="1"/>
  <c r="BN112" i="1"/>
  <c r="AI118" i="1"/>
  <c r="BS136" i="1"/>
  <c r="BN136" i="1"/>
  <c r="BL125" i="1"/>
  <c r="AP139" i="1"/>
  <c r="BI139" i="1" s="1"/>
  <c r="BR100" i="1"/>
  <c r="AK162" i="1"/>
  <c r="BD162" i="1" s="1"/>
  <c r="AQ231" i="1"/>
  <c r="BJ231" i="1" s="1"/>
  <c r="AI231" i="1"/>
  <c r="BB231" i="1" s="1"/>
  <c r="AK186" i="1"/>
  <c r="BD186" i="1" s="1"/>
  <c r="BU201" i="1"/>
  <c r="AK196" i="1"/>
  <c r="BD196" i="1" s="1"/>
  <c r="AL225" i="1"/>
  <c r="BE225" i="1" s="1"/>
  <c r="AL181" i="1"/>
  <c r="BE181" i="1" s="1"/>
  <c r="AI181" i="1"/>
  <c r="BB181" i="1" s="1"/>
  <c r="BU157" i="1"/>
  <c r="AK229" i="1"/>
  <c r="BD229" i="1" s="1"/>
  <c r="AO187" i="1"/>
  <c r="BH187" i="1" s="1"/>
  <c r="AM13" i="1"/>
  <c r="BF13" i="1" s="1"/>
  <c r="AN45" i="1"/>
  <c r="BG45" i="1" s="1"/>
  <c r="BN70" i="1"/>
  <c r="BP70" i="1"/>
  <c r="BP61" i="1"/>
  <c r="AO59" i="1"/>
  <c r="BH59" i="1" s="1"/>
  <c r="BR13" i="1"/>
  <c r="AQ38" i="1"/>
  <c r="BJ38" i="1" s="1"/>
  <c r="AL38" i="1"/>
  <c r="BE38" i="1" s="1"/>
  <c r="BP35" i="1"/>
  <c r="BS95" i="1"/>
  <c r="BN95" i="1"/>
  <c r="BP151" i="1"/>
  <c r="BT112" i="1"/>
  <c r="AO118" i="1"/>
  <c r="BH118" i="1" s="1"/>
  <c r="AN118" i="1"/>
  <c r="BG118" i="1" s="1"/>
  <c r="BT136" i="1"/>
  <c r="BU125" i="1"/>
  <c r="AK139" i="1"/>
  <c r="BD139" i="1" s="1"/>
  <c r="BN100" i="1"/>
  <c r="AO162" i="1"/>
  <c r="BH162" i="1" s="1"/>
  <c r="AP231" i="1"/>
  <c r="BI231" i="1" s="1"/>
  <c r="AQ186" i="1"/>
  <c r="BJ186" i="1" s="1"/>
  <c r="BS201" i="1"/>
  <c r="AR196" i="1"/>
  <c r="BK196" i="1" s="1"/>
  <c r="AK225" i="1"/>
  <c r="BD225" i="1" s="1"/>
  <c r="AO181" i="1"/>
  <c r="BH181" i="1" s="1"/>
  <c r="BT157" i="1"/>
  <c r="AR229" i="1"/>
  <c r="BK229" i="1" s="1"/>
  <c r="AJ229" i="1"/>
  <c r="BC229" i="1" s="1"/>
  <c r="AL187" i="1"/>
  <c r="BE187" i="1" s="1"/>
  <c r="AR13" i="1"/>
  <c r="BK13" i="1" s="1"/>
  <c r="AL45" i="1"/>
  <c r="BE45" i="1" s="1"/>
  <c r="BQ70" i="1"/>
  <c r="BL70" i="1"/>
  <c r="BQ61" i="1"/>
  <c r="AP59" i="1"/>
  <c r="BI59" i="1" s="1"/>
  <c r="BM13" i="1"/>
  <c r="AN38" i="1"/>
  <c r="BG38" i="1" s="1"/>
  <c r="AI38" i="1"/>
  <c r="BQ35" i="1"/>
  <c r="BT95" i="1"/>
  <c r="BL151" i="1"/>
  <c r="BP112" i="1"/>
  <c r="AP118" i="1"/>
  <c r="BI118" i="1" s="1"/>
  <c r="AJ118" i="1"/>
  <c r="BC118" i="1" s="1"/>
  <c r="BP136" i="1"/>
  <c r="BN125" i="1"/>
  <c r="BQ125" i="1"/>
  <c r="AJ139" i="1"/>
  <c r="BC139" i="1" s="1"/>
  <c r="BS100" i="1"/>
  <c r="AM162" i="1"/>
  <c r="BF162" i="1" s="1"/>
  <c r="AO231" i="1"/>
  <c r="BH231" i="1" s="1"/>
  <c r="AO186" i="1"/>
  <c r="BH186" i="1" s="1"/>
  <c r="BQ201" i="1"/>
  <c r="AP196" i="1"/>
  <c r="BI196" i="1" s="1"/>
  <c r="AR225" i="1"/>
  <c r="BK225" i="1" s="1"/>
  <c r="AJ225" i="1"/>
  <c r="BC225" i="1" s="1"/>
  <c r="AJ181" i="1"/>
  <c r="BC181" i="1" s="1"/>
  <c r="BR157" i="1"/>
  <c r="AQ229" i="1"/>
  <c r="BJ229" i="1" s="1"/>
  <c r="AI229" i="1"/>
  <c r="BB229" i="1" s="1"/>
  <c r="AI187" i="1"/>
  <c r="BB187" i="1" s="1"/>
  <c r="AI13" i="1"/>
  <c r="AQ45" i="1"/>
  <c r="BJ45" i="1" s="1"/>
  <c r="BT70" i="1"/>
  <c r="BR61" i="1"/>
  <c r="AR59" i="1"/>
  <c r="BK59" i="1" s="1"/>
  <c r="AI59" i="1"/>
  <c r="BB59" i="1" s="1"/>
  <c r="BP13" i="1"/>
  <c r="BT13" i="1"/>
  <c r="AP38" i="1"/>
  <c r="BI38" i="1" s="1"/>
  <c r="BL35" i="1"/>
  <c r="BR35" i="1"/>
  <c r="BP95" i="1"/>
  <c r="BU151" i="1"/>
  <c r="BL112" i="1"/>
  <c r="AK118" i="1"/>
  <c r="BD118" i="1" s="1"/>
  <c r="BL136" i="1"/>
  <c r="BR125" i="1"/>
  <c r="BM125" i="1"/>
  <c r="AR139" i="1"/>
  <c r="BK139" i="1" s="1"/>
  <c r="AI139" i="1"/>
  <c r="BB139" i="1" s="1"/>
  <c r="BO100" i="1"/>
  <c r="AQ162" i="1"/>
  <c r="BJ162" i="1" s="1"/>
  <c r="AN231" i="1"/>
  <c r="BG231" i="1" s="1"/>
  <c r="AI186" i="1"/>
  <c r="BO201" i="1"/>
  <c r="AI196" i="1"/>
  <c r="BB196" i="1" s="1"/>
  <c r="AQ225" i="1"/>
  <c r="BJ225" i="1" s="1"/>
  <c r="AI225" i="1"/>
  <c r="BB225" i="1" s="1"/>
  <c r="AR181" i="1"/>
  <c r="BK181" i="1" s="1"/>
  <c r="BP157" i="1"/>
  <c r="AP229" i="1"/>
  <c r="BI229" i="1" s="1"/>
  <c r="AR187" i="1"/>
  <c r="BK187" i="1" s="1"/>
  <c r="AJ13" i="1"/>
  <c r="BC13" i="1" s="1"/>
  <c r="BO13" i="1"/>
  <c r="AO38" i="1"/>
  <c r="BH38" i="1" s="1"/>
  <c r="BL95" i="1"/>
  <c r="BQ151" i="1"/>
  <c r="BU112" i="1"/>
  <c r="AQ118" i="1"/>
  <c r="BJ118" i="1" s="1"/>
  <c r="BU136" i="1"/>
  <c r="BS125" i="1"/>
  <c r="AQ139" i="1"/>
  <c r="BJ139" i="1" s="1"/>
  <c r="AL139" i="1"/>
  <c r="BE139" i="1" s="1"/>
  <c r="BT100" i="1"/>
  <c r="AI162" i="1"/>
  <c r="BB162" i="1" s="1"/>
  <c r="AM231" i="1"/>
  <c r="BF231" i="1" s="1"/>
  <c r="AR186" i="1"/>
  <c r="BK186" i="1" s="1"/>
  <c r="AL186" i="1"/>
  <c r="BE186" i="1" s="1"/>
  <c r="BR201" i="1"/>
  <c r="BL201" i="1"/>
  <c r="AN196" i="1"/>
  <c r="BG196" i="1" s="1"/>
  <c r="AL196" i="1"/>
  <c r="BE196" i="1" s="1"/>
  <c r="AP225" i="1"/>
  <c r="BI225" i="1" s="1"/>
  <c r="AP181" i="1"/>
  <c r="BI181" i="1" s="1"/>
  <c r="BO157" i="1"/>
  <c r="AO229" i="1"/>
  <c r="BH229" i="1" s="1"/>
  <c r="AP187" i="1"/>
  <c r="BI187" i="1" s="1"/>
  <c r="AM118" i="1"/>
  <c r="BF118" i="1" s="1"/>
  <c r="AR45" i="1"/>
  <c r="BK45" i="1" s="1"/>
  <c r="BU70" i="1"/>
  <c r="AK59" i="1"/>
  <c r="BD59" i="1" s="1"/>
  <c r="BS13" i="1"/>
  <c r="BU35" i="1"/>
  <c r="BM35" i="1"/>
  <c r="AN13" i="1"/>
  <c r="BG13" i="1" s="1"/>
  <c r="AK13" i="1"/>
  <c r="BD13" i="1" s="1"/>
  <c r="AI45" i="1"/>
  <c r="BB45" i="1" s="1"/>
  <c r="BO70" i="1"/>
  <c r="BS61" i="1"/>
  <c r="BO61" i="1"/>
  <c r="AM59" i="1"/>
  <c r="BF59" i="1" s="1"/>
  <c r="BN13" i="1"/>
  <c r="AM38" i="1"/>
  <c r="BF38" i="1" s="1"/>
  <c r="BT35" i="1"/>
  <c r="BU95" i="1"/>
  <c r="BM151" i="1"/>
  <c r="BQ112" i="1"/>
  <c r="AL118" i="1"/>
  <c r="BE118" i="1" s="1"/>
  <c r="BQ136" i="1"/>
  <c r="BO125" i="1"/>
  <c r="AO139" i="1"/>
  <c r="BH139" i="1" s="1"/>
  <c r="BM100" i="1"/>
  <c r="BP100" i="1"/>
  <c r="AN162" i="1"/>
  <c r="BG162" i="1" s="1"/>
  <c r="AL231" i="1"/>
  <c r="BE231" i="1" s="1"/>
  <c r="AP186" i="1"/>
  <c r="BI186" i="1" s="1"/>
  <c r="AJ186" i="1"/>
  <c r="BC186" i="1" s="1"/>
  <c r="BT201" i="1"/>
  <c r="BM201" i="1"/>
  <c r="AM196" i="1"/>
  <c r="BF196" i="1" s="1"/>
  <c r="AJ196" i="1"/>
  <c r="BC196" i="1" s="1"/>
  <c r="AO225" i="1"/>
  <c r="BH225" i="1" s="1"/>
  <c r="AN181" i="1"/>
  <c r="BG181" i="1" s="1"/>
  <c r="BM157" i="1"/>
  <c r="AN229" i="1"/>
  <c r="BG229" i="1" s="1"/>
  <c r="AN187" i="1"/>
  <c r="BG187" i="1" s="1"/>
  <c r="AM187" i="1"/>
  <c r="BF187" i="1" s="1"/>
  <c r="BT61" i="1"/>
  <c r="AN59" i="1"/>
  <c r="BG59" i="1" s="1"/>
  <c r="AQ13" i="1"/>
  <c r="BJ13" i="1" s="1"/>
  <c r="BN61" i="1"/>
  <c r="BS151" i="1"/>
  <c r="BQ100" i="1"/>
  <c r="AP162" i="1"/>
  <c r="BI162" i="1" s="1"/>
  <c r="BQ157" i="1"/>
  <c r="AK187" i="1"/>
  <c r="BD187" i="1" s="1"/>
  <c r="C90" i="3"/>
  <c r="C132" i="3" s="1"/>
  <c r="AJ50" i="1"/>
  <c r="BC50" i="1" s="1"/>
  <c r="AI34" i="1"/>
  <c r="BB34" i="1" s="1"/>
  <c r="AP34" i="1"/>
  <c r="BI34" i="1" s="1"/>
  <c r="AR66" i="1"/>
  <c r="BK66" i="1" s="1"/>
  <c r="AK33" i="1"/>
  <c r="BD33" i="1" s="1"/>
  <c r="AM9" i="1"/>
  <c r="BF9" i="1" s="1"/>
  <c r="AO46" i="1"/>
  <c r="BH46" i="1" s="1"/>
  <c r="AO99" i="1"/>
  <c r="BH99" i="1" s="1"/>
  <c r="BO59" i="1"/>
  <c r="BN134" i="1"/>
  <c r="BM134" i="1"/>
  <c r="BN59" i="1"/>
  <c r="AP109" i="1"/>
  <c r="BI109" i="1" s="1"/>
  <c r="BU97" i="1"/>
  <c r="BP113" i="1"/>
  <c r="BO113" i="1"/>
  <c r="AO147" i="1"/>
  <c r="BH147" i="1" s="1"/>
  <c r="AI97" i="1"/>
  <c r="BB97" i="1" s="1"/>
  <c r="AO97" i="1"/>
  <c r="BH97" i="1" s="1"/>
  <c r="BU122" i="1"/>
  <c r="BU59" i="1"/>
  <c r="AO177" i="1"/>
  <c r="BH177" i="1" s="1"/>
  <c r="AM192" i="1"/>
  <c r="BF192" i="1" s="1"/>
  <c r="AJ182" i="1"/>
  <c r="BC182" i="1" s="1"/>
  <c r="AK220" i="1"/>
  <c r="BD220" i="1" s="1"/>
  <c r="AJ227" i="1"/>
  <c r="BC227" i="1" s="1"/>
  <c r="AM227" i="1"/>
  <c r="BF227" i="1" s="1"/>
  <c r="AQ172" i="1"/>
  <c r="BJ172" i="1" s="1"/>
  <c r="AJ172" i="1"/>
  <c r="BC172" i="1" s="1"/>
  <c r="BT202" i="1"/>
  <c r="BP206" i="1"/>
  <c r="BO176" i="1"/>
  <c r="AP152" i="1"/>
  <c r="BI152" i="1" s="1"/>
  <c r="AO50" i="1"/>
  <c r="BH50" i="1" s="1"/>
  <c r="AN34" i="1"/>
  <c r="BG34" i="1" s="1"/>
  <c r="AM34" i="1"/>
  <c r="BF34" i="1" s="1"/>
  <c r="AO66" i="1"/>
  <c r="BH66" i="1" s="1"/>
  <c r="AI33" i="1"/>
  <c r="BB33" i="1" s="1"/>
  <c r="AP9" i="1"/>
  <c r="BI9" i="1" s="1"/>
  <c r="AM46" i="1"/>
  <c r="BF46" i="1" s="1"/>
  <c r="AK99" i="1"/>
  <c r="BD99" i="1" s="1"/>
  <c r="BS134" i="1"/>
  <c r="AO109" i="1"/>
  <c r="BH109" i="1" s="1"/>
  <c r="BQ97" i="1"/>
  <c r="BT113" i="1"/>
  <c r="BT59" i="1"/>
  <c r="AN147" i="1"/>
  <c r="BG147" i="1" s="1"/>
  <c r="AQ97" i="1"/>
  <c r="BJ97" i="1" s="1"/>
  <c r="AK97" i="1"/>
  <c r="BD97" i="1" s="1"/>
  <c r="BQ122" i="1"/>
  <c r="AM177" i="1"/>
  <c r="BF177" i="1" s="1"/>
  <c r="AL192" i="1"/>
  <c r="BE192" i="1" s="1"/>
  <c r="AK192" i="1"/>
  <c r="BD192" i="1" s="1"/>
  <c r="AM182" i="1"/>
  <c r="BF182" i="1" s="1"/>
  <c r="AR220" i="1"/>
  <c r="BK220" i="1" s="1"/>
  <c r="AJ220" i="1"/>
  <c r="BC220" i="1" s="1"/>
  <c r="AO227" i="1"/>
  <c r="BH227" i="1" s="1"/>
  <c r="AM172" i="1"/>
  <c r="BF172" i="1" s="1"/>
  <c r="BR202" i="1"/>
  <c r="BM206" i="1"/>
  <c r="BU176" i="1"/>
  <c r="AO152" i="1"/>
  <c r="BH152" i="1" s="1"/>
  <c r="AQ50" i="1"/>
  <c r="BJ50" i="1" s="1"/>
  <c r="AR33" i="1"/>
  <c r="BK33" i="1" s="1"/>
  <c r="AR9" i="1"/>
  <c r="BK9" i="1" s="1"/>
  <c r="AK46" i="1"/>
  <c r="BD46" i="1" s="1"/>
  <c r="AM99" i="1"/>
  <c r="BF99" i="1" s="1"/>
  <c r="BO134" i="1"/>
  <c r="AN109" i="1"/>
  <c r="BG109" i="1" s="1"/>
  <c r="BM97" i="1"/>
  <c r="BU113" i="1"/>
  <c r="AJ147" i="1"/>
  <c r="BC147" i="1" s="1"/>
  <c r="AM147" i="1"/>
  <c r="BF147" i="1" s="1"/>
  <c r="AJ97" i="1"/>
  <c r="BC97" i="1" s="1"/>
  <c r="BM59" i="1"/>
  <c r="BM122" i="1"/>
  <c r="AN177" i="1"/>
  <c r="BG177" i="1" s="1"/>
  <c r="AR192" i="1"/>
  <c r="BK192" i="1" s="1"/>
  <c r="AI192" i="1"/>
  <c r="BB192" i="1" s="1"/>
  <c r="AR182" i="1"/>
  <c r="BK182" i="1" s="1"/>
  <c r="AQ220" i="1"/>
  <c r="BJ220" i="1" s="1"/>
  <c r="AI220" i="1"/>
  <c r="AL227" i="1"/>
  <c r="BE227" i="1" s="1"/>
  <c r="AK172" i="1"/>
  <c r="BD172" i="1" s="1"/>
  <c r="BP202" i="1"/>
  <c r="BL206" i="1"/>
  <c r="BS176" i="1"/>
  <c r="AN152" i="1"/>
  <c r="BG152" i="1" s="1"/>
  <c r="AN66" i="1"/>
  <c r="BG66" i="1" s="1"/>
  <c r="AP50" i="1"/>
  <c r="BI50" i="1" s="1"/>
  <c r="AK34" i="1"/>
  <c r="BD34" i="1" s="1"/>
  <c r="AQ66" i="1"/>
  <c r="BJ66" i="1" s="1"/>
  <c r="AP66" i="1"/>
  <c r="BI66" i="1" s="1"/>
  <c r="AK50" i="1"/>
  <c r="BD50" i="1" s="1"/>
  <c r="AM50" i="1"/>
  <c r="BF50" i="1" s="1"/>
  <c r="AL34" i="1"/>
  <c r="BE34" i="1" s="1"/>
  <c r="AJ66" i="1"/>
  <c r="BC66" i="1" s="1"/>
  <c r="AM66" i="1"/>
  <c r="BF66" i="1" s="1"/>
  <c r="AP33" i="1"/>
  <c r="BI33" i="1" s="1"/>
  <c r="AQ9" i="1"/>
  <c r="BJ9" i="1" s="1"/>
  <c r="AN46" i="1"/>
  <c r="BG46" i="1" s="1"/>
  <c r="AL46" i="1"/>
  <c r="BE46" i="1" s="1"/>
  <c r="AI99" i="1"/>
  <c r="BB99" i="1" s="1"/>
  <c r="AP99" i="1"/>
  <c r="BI99" i="1" s="1"/>
  <c r="BT134" i="1"/>
  <c r="AK109" i="1"/>
  <c r="BD109" i="1" s="1"/>
  <c r="AM109" i="1"/>
  <c r="BF109" i="1" s="1"/>
  <c r="BR97" i="1"/>
  <c r="BQ113" i="1"/>
  <c r="AK147" i="1"/>
  <c r="BD147" i="1" s="1"/>
  <c r="AL147" i="1"/>
  <c r="BE147" i="1" s="1"/>
  <c r="AR97" i="1"/>
  <c r="BK97" i="1" s="1"/>
  <c r="BR122" i="1"/>
  <c r="AR177" i="1"/>
  <c r="BK177" i="1" s="1"/>
  <c r="AL177" i="1"/>
  <c r="BE177" i="1" s="1"/>
  <c r="AP192" i="1"/>
  <c r="BI192" i="1" s="1"/>
  <c r="AP182" i="1"/>
  <c r="BI182" i="1" s="1"/>
  <c r="AP220" i="1"/>
  <c r="BI220" i="1" s="1"/>
  <c r="AQ227" i="1"/>
  <c r="BJ227" i="1" s="1"/>
  <c r="AI172" i="1"/>
  <c r="BN202" i="1"/>
  <c r="BM202" i="1"/>
  <c r="BU206" i="1"/>
  <c r="BQ176" i="1"/>
  <c r="AJ152" i="1"/>
  <c r="BC152" i="1" s="1"/>
  <c r="AI50" i="1"/>
  <c r="BB50" i="1" s="1"/>
  <c r="AJ34" i="1"/>
  <c r="BC34" i="1" s="1"/>
  <c r="AL66" i="1"/>
  <c r="BE66" i="1" s="1"/>
  <c r="AN33" i="1"/>
  <c r="BG33" i="1" s="1"/>
  <c r="AN9" i="1"/>
  <c r="BG9" i="1" s="1"/>
  <c r="AP46" i="1"/>
  <c r="BI46" i="1" s="1"/>
  <c r="AI46" i="1"/>
  <c r="BB46" i="1" s="1"/>
  <c r="AJ99" i="1"/>
  <c r="BC99" i="1" s="1"/>
  <c r="AL99" i="1"/>
  <c r="BE99" i="1" s="1"/>
  <c r="BP134" i="1"/>
  <c r="AL109" i="1"/>
  <c r="BE109" i="1" s="1"/>
  <c r="AI109" i="1"/>
  <c r="BB109" i="1" s="1"/>
  <c r="BN97" i="1"/>
  <c r="BM113" i="1"/>
  <c r="AR147" i="1"/>
  <c r="BK147" i="1" s="1"/>
  <c r="AP97" i="1"/>
  <c r="BI97" i="1" s="1"/>
  <c r="BN122" i="1"/>
  <c r="AP177" i="1"/>
  <c r="BI177" i="1" s="1"/>
  <c r="AJ177" i="1"/>
  <c r="BC177" i="1" s="1"/>
  <c r="AJ192" i="1"/>
  <c r="BC192" i="1" s="1"/>
  <c r="AN182" i="1"/>
  <c r="BG182" i="1" s="1"/>
  <c r="AO220" i="1"/>
  <c r="BH220" i="1" s="1"/>
  <c r="AI227" i="1"/>
  <c r="AR172" i="1"/>
  <c r="BK172" i="1" s="1"/>
  <c r="BU202" i="1"/>
  <c r="BL202" i="1"/>
  <c r="BS206" i="1"/>
  <c r="BT176" i="1"/>
  <c r="BM176" i="1"/>
  <c r="AQ152" i="1"/>
  <c r="BJ152" i="1" s="1"/>
  <c r="AR50" i="1"/>
  <c r="BK50" i="1" s="1"/>
  <c r="AQ34" i="1"/>
  <c r="BJ34" i="1" s="1"/>
  <c r="AK66" i="1"/>
  <c r="BD66" i="1" s="1"/>
  <c r="AM33" i="1"/>
  <c r="BF33" i="1" s="1"/>
  <c r="AO33" i="1"/>
  <c r="BH33" i="1" s="1"/>
  <c r="AI9" i="1"/>
  <c r="BB9" i="1" s="1"/>
  <c r="AO9" i="1"/>
  <c r="BH9" i="1" s="1"/>
  <c r="AQ46" i="1"/>
  <c r="BJ46" i="1" s="1"/>
  <c r="AR99" i="1"/>
  <c r="BK99" i="1" s="1"/>
  <c r="BL134" i="1"/>
  <c r="AR109" i="1"/>
  <c r="BK109" i="1" s="1"/>
  <c r="BP97" i="1"/>
  <c r="BS97" i="1"/>
  <c r="BR113" i="1"/>
  <c r="AQ147" i="1"/>
  <c r="BJ147" i="1" s="1"/>
  <c r="AN97" i="1"/>
  <c r="BG97" i="1" s="1"/>
  <c r="BP122" i="1"/>
  <c r="BS122" i="1"/>
  <c r="AK177" i="1"/>
  <c r="BD177" i="1" s="1"/>
  <c r="AN192" i="1"/>
  <c r="BG192" i="1" s="1"/>
  <c r="AL182" i="1"/>
  <c r="BE182" i="1" s="1"/>
  <c r="AN220" i="1"/>
  <c r="BG220" i="1" s="1"/>
  <c r="AN227" i="1"/>
  <c r="BG227" i="1" s="1"/>
  <c r="AP172" i="1"/>
  <c r="BI172" i="1" s="1"/>
  <c r="BS202" i="1"/>
  <c r="BQ206" i="1"/>
  <c r="BR176" i="1"/>
  <c r="BL176" i="1"/>
  <c r="AM152" i="1"/>
  <c r="BF152" i="1" s="1"/>
  <c r="AJ33" i="1"/>
  <c r="BC33" i="1" s="1"/>
  <c r="AK9" i="1"/>
  <c r="BD9" i="1" s="1"/>
  <c r="BT97" i="1"/>
  <c r="BL122" i="1"/>
  <c r="AQ182" i="1"/>
  <c r="BJ182" i="1" s="1"/>
  <c r="BT206" i="1"/>
  <c r="AL152" i="1"/>
  <c r="BE152" i="1" s="1"/>
  <c r="BP9" i="1"/>
  <c r="AM62" i="1"/>
  <c r="BF62" i="1" s="1"/>
  <c r="BM73" i="1"/>
  <c r="BN37" i="1"/>
  <c r="BO37" i="1"/>
  <c r="AN57" i="1"/>
  <c r="BG57" i="1" s="1"/>
  <c r="BL26" i="1"/>
  <c r="BT26" i="1"/>
  <c r="AN149" i="1"/>
  <c r="BG149" i="1" s="1"/>
  <c r="AN108" i="1"/>
  <c r="BG108" i="1" s="1"/>
  <c r="AQ87" i="1"/>
  <c r="BJ87" i="1" s="1"/>
  <c r="AN213" i="1"/>
  <c r="BG213" i="1" s="1"/>
  <c r="BQ162" i="1"/>
  <c r="AR171" i="1"/>
  <c r="BK171" i="1" s="1"/>
  <c r="AP226" i="1"/>
  <c r="BI226" i="1" s="1"/>
  <c r="BL187" i="1"/>
  <c r="BL9" i="1"/>
  <c r="BS9" i="1"/>
  <c r="AN62" i="1"/>
  <c r="BG62" i="1" s="1"/>
  <c r="BN73" i="1"/>
  <c r="BS37" i="1"/>
  <c r="AP57" i="1"/>
  <c r="BI57" i="1" s="1"/>
  <c r="AO57" i="1"/>
  <c r="BH57" i="1" s="1"/>
  <c r="BS26" i="1"/>
  <c r="AJ149" i="1"/>
  <c r="BC149" i="1" s="1"/>
  <c r="AP108" i="1"/>
  <c r="BI108" i="1" s="1"/>
  <c r="AR87" i="1"/>
  <c r="BK87" i="1" s="1"/>
  <c r="AL213" i="1"/>
  <c r="BE213" i="1" s="1"/>
  <c r="BN162" i="1"/>
  <c r="BU205" i="1"/>
  <c r="BP187" i="1"/>
  <c r="BT9" i="1"/>
  <c r="BM9" i="1"/>
  <c r="AK62" i="1"/>
  <c r="BD62" i="1" s="1"/>
  <c r="BO73" i="1"/>
  <c r="BU37" i="1"/>
  <c r="AJ57" i="1"/>
  <c r="BC57" i="1" s="1"/>
  <c r="AL57" i="1"/>
  <c r="BE57" i="1" s="1"/>
  <c r="BM26" i="1"/>
  <c r="AO149" i="1"/>
  <c r="BH149" i="1" s="1"/>
  <c r="AL108" i="1"/>
  <c r="BE108" i="1" s="1"/>
  <c r="AM87" i="1"/>
  <c r="BF87" i="1" s="1"/>
  <c r="AL10" i="1"/>
  <c r="BE10" i="1" s="1"/>
  <c r="AP223" i="1"/>
  <c r="BI223" i="1" s="1"/>
  <c r="BU9" i="1"/>
  <c r="AP62" i="1"/>
  <c r="BI62" i="1" s="1"/>
  <c r="AL62" i="1"/>
  <c r="BE62" i="1" s="1"/>
  <c r="BT73" i="1"/>
  <c r="BP73" i="1"/>
  <c r="BM37" i="1"/>
  <c r="AQ57" i="1"/>
  <c r="BJ57" i="1" s="1"/>
  <c r="BR26" i="1"/>
  <c r="AI10" i="1"/>
  <c r="BB10" i="1" s="1"/>
  <c r="AP149" i="1"/>
  <c r="BI149" i="1" s="1"/>
  <c r="AK108" i="1"/>
  <c r="BD108" i="1" s="1"/>
  <c r="AM108" i="1"/>
  <c r="BF108" i="1" s="1"/>
  <c r="AL87" i="1"/>
  <c r="BE87" i="1" s="1"/>
  <c r="BR9" i="1"/>
  <c r="AJ62" i="1"/>
  <c r="BC62" i="1" s="1"/>
  <c r="AI62" i="1"/>
  <c r="BB62" i="1" s="1"/>
  <c r="BU73" i="1"/>
  <c r="BS73" i="1"/>
  <c r="BQ37" i="1"/>
  <c r="AM57" i="1"/>
  <c r="BF57" i="1" s="1"/>
  <c r="BN26" i="1"/>
  <c r="AQ149" i="1"/>
  <c r="BJ149" i="1" s="1"/>
  <c r="AR108" i="1"/>
  <c r="BK108" i="1" s="1"/>
  <c r="AI108" i="1"/>
  <c r="BB108" i="1" s="1"/>
  <c r="AK87" i="1"/>
  <c r="BD87" i="1" s="1"/>
  <c r="AQ62" i="1"/>
  <c r="BJ62" i="1" s="1"/>
  <c r="BL73" i="1"/>
  <c r="BO26" i="1"/>
  <c r="AK149" i="1"/>
  <c r="BD149" i="1" s="1"/>
  <c r="AM149" i="1"/>
  <c r="BF149" i="1" s="1"/>
  <c r="AI123" i="1"/>
  <c r="BB123" i="1" s="1"/>
  <c r="AJ108" i="1"/>
  <c r="BC108" i="1" s="1"/>
  <c r="AP87" i="1"/>
  <c r="BI87" i="1" s="1"/>
  <c r="AN87" i="1"/>
  <c r="BG87" i="1" s="1"/>
  <c r="BQ108" i="1"/>
  <c r="AL149" i="1"/>
  <c r="BE149" i="1" s="1"/>
  <c r="AN123" i="1"/>
  <c r="BG123" i="1" s="1"/>
  <c r="AI87" i="1"/>
  <c r="BB87" i="1" s="1"/>
  <c r="BO108" i="1"/>
  <c r="AJ171" i="1"/>
  <c r="BC171" i="1" s="1"/>
  <c r="AP218" i="1"/>
  <c r="BI218" i="1" s="1"/>
  <c r="AO123" i="1"/>
  <c r="BH123" i="1" s="1"/>
  <c r="AM10" i="1"/>
  <c r="BF10" i="1" s="1"/>
  <c r="AJ96" i="1"/>
  <c r="BC96" i="1" s="1"/>
  <c r="BT108" i="1"/>
  <c r="AM213" i="1"/>
  <c r="BF213" i="1" s="1"/>
  <c r="BL162" i="1"/>
  <c r="AI171" i="1"/>
  <c r="BB171" i="1" s="1"/>
  <c r="AK232" i="1"/>
  <c r="BD232" i="1" s="1"/>
  <c r="AO223" i="1"/>
  <c r="BH223" i="1" s="1"/>
  <c r="BT205" i="1"/>
  <c r="AO226" i="1"/>
  <c r="BH226" i="1" s="1"/>
  <c r="AR166" i="1"/>
  <c r="BK166" i="1" s="1"/>
  <c r="BU187" i="1"/>
  <c r="BN187" i="1"/>
  <c r="AO218" i="1"/>
  <c r="BH218" i="1" s="1"/>
  <c r="AM96" i="1"/>
  <c r="BF96" i="1" s="1"/>
  <c r="AO96" i="1"/>
  <c r="BH96" i="1" s="1"/>
  <c r="AR232" i="1"/>
  <c r="BK232" i="1" s="1"/>
  <c r="AJ232" i="1"/>
  <c r="BC232" i="1" s="1"/>
  <c r="AN223" i="1"/>
  <c r="BG223" i="1" s="1"/>
  <c r="BR205" i="1"/>
  <c r="AN226" i="1"/>
  <c r="BG226" i="1" s="1"/>
  <c r="AP166" i="1"/>
  <c r="BI166" i="1" s="1"/>
  <c r="BS187" i="1"/>
  <c r="AN218" i="1"/>
  <c r="BG218" i="1" s="1"/>
  <c r="AM123" i="1"/>
  <c r="BF123" i="1" s="1"/>
  <c r="AR96" i="1"/>
  <c r="BK96" i="1" s="1"/>
  <c r="AK96" i="1"/>
  <c r="BD96" i="1" s="1"/>
  <c r="BM108" i="1"/>
  <c r="BL108" i="1"/>
  <c r="AK213" i="1"/>
  <c r="BD213" i="1" s="1"/>
  <c r="BT162" i="1"/>
  <c r="AO171" i="1"/>
  <c r="BH171" i="1" s="1"/>
  <c r="AP171" i="1"/>
  <c r="BI171" i="1" s="1"/>
  <c r="AQ232" i="1"/>
  <c r="BJ232" i="1" s="1"/>
  <c r="AI232" i="1"/>
  <c r="BB232" i="1" s="1"/>
  <c r="AM223" i="1"/>
  <c r="BF223" i="1" s="1"/>
  <c r="BP205" i="1"/>
  <c r="AM226" i="1"/>
  <c r="BF226" i="1" s="1"/>
  <c r="AJ166" i="1"/>
  <c r="BC166" i="1" s="1"/>
  <c r="BQ187" i="1"/>
  <c r="AM218" i="1"/>
  <c r="BF218" i="1" s="1"/>
  <c r="AK10" i="1"/>
  <c r="BD10" i="1" s="1"/>
  <c r="AR123" i="1"/>
  <c r="BK123" i="1" s="1"/>
  <c r="AP123" i="1"/>
  <c r="BI123" i="1" s="1"/>
  <c r="AP10" i="1"/>
  <c r="BI10" i="1" s="1"/>
  <c r="AI96" i="1"/>
  <c r="BB96" i="1" s="1"/>
  <c r="BU108" i="1"/>
  <c r="AR213" i="1"/>
  <c r="BK213" i="1" s="1"/>
  <c r="AJ213" i="1"/>
  <c r="BC213" i="1" s="1"/>
  <c r="BO162" i="1"/>
  <c r="BR162" i="1"/>
  <c r="AQ171" i="1"/>
  <c r="BJ171" i="1" s="1"/>
  <c r="AP232" i="1"/>
  <c r="BI232" i="1" s="1"/>
  <c r="AL223" i="1"/>
  <c r="BE223" i="1" s="1"/>
  <c r="BM205" i="1"/>
  <c r="AL226" i="1"/>
  <c r="BE226" i="1" s="1"/>
  <c r="AO166" i="1"/>
  <c r="BH166" i="1" s="1"/>
  <c r="BO187" i="1"/>
  <c r="AL218" i="1"/>
  <c r="BE218" i="1" s="1"/>
  <c r="AQ123" i="1"/>
  <c r="BJ123" i="1" s="1"/>
  <c r="AL123" i="1"/>
  <c r="BE123" i="1" s="1"/>
  <c r="AJ10" i="1"/>
  <c r="BC10" i="1" s="1"/>
  <c r="AQ96" i="1"/>
  <c r="BJ96" i="1" s="1"/>
  <c r="BR108" i="1"/>
  <c r="AQ213" i="1"/>
  <c r="BJ213" i="1" s="1"/>
  <c r="AI213" i="1"/>
  <c r="BM162" i="1"/>
  <c r="BP162" i="1"/>
  <c r="AM171" i="1"/>
  <c r="BF171" i="1" s="1"/>
  <c r="AO232" i="1"/>
  <c r="BH232" i="1" s="1"/>
  <c r="AK223" i="1"/>
  <c r="BD223" i="1" s="1"/>
  <c r="BQ205" i="1"/>
  <c r="AK226" i="1"/>
  <c r="BD226" i="1" s="1"/>
  <c r="AM166" i="1"/>
  <c r="BF166" i="1" s="1"/>
  <c r="BM187" i="1"/>
  <c r="AK218" i="1"/>
  <c r="BD218" i="1" s="1"/>
  <c r="AJ123" i="1"/>
  <c r="BC123" i="1" s="1"/>
  <c r="AP96" i="1"/>
  <c r="BI96" i="1" s="1"/>
  <c r="AN10" i="1"/>
  <c r="BG10" i="1" s="1"/>
  <c r="BN108" i="1"/>
  <c r="AP213" i="1"/>
  <c r="BI213" i="1" s="1"/>
  <c r="BU162" i="1"/>
  <c r="AK171" i="1"/>
  <c r="BD171" i="1" s="1"/>
  <c r="AN232" i="1"/>
  <c r="BG232" i="1" s="1"/>
  <c r="AR223" i="1"/>
  <c r="BK223" i="1" s="1"/>
  <c r="AJ223" i="1"/>
  <c r="BC223" i="1" s="1"/>
  <c r="BO205" i="1"/>
  <c r="BN205" i="1"/>
  <c r="AR226" i="1"/>
  <c r="BK226" i="1" s="1"/>
  <c r="AJ226" i="1"/>
  <c r="BC226" i="1" s="1"/>
  <c r="AQ166" i="1"/>
  <c r="BJ166" i="1" s="1"/>
  <c r="AK166" i="1"/>
  <c r="BD166" i="1" s="1"/>
  <c r="BT187" i="1"/>
  <c r="AR218" i="1"/>
  <c r="BK218" i="1" s="1"/>
  <c r="AJ218" i="1"/>
  <c r="BC218" i="1" s="1"/>
  <c r="AQ223" i="1"/>
  <c r="BJ223" i="1" s="1"/>
  <c r="BS205" i="1"/>
  <c r="AQ226" i="1"/>
  <c r="BJ226" i="1" s="1"/>
  <c r="AL166" i="1"/>
  <c r="BE166" i="1" s="1"/>
  <c r="AQ218" i="1"/>
  <c r="BJ218" i="1" s="1"/>
  <c r="AL100" i="1"/>
  <c r="BE100" i="1" s="1"/>
  <c r="AR11" i="1"/>
  <c r="BK11" i="1" s="1"/>
  <c r="AJ121" i="1"/>
  <c r="BC121" i="1" s="1"/>
  <c r="BU148" i="1"/>
  <c r="BL148" i="1"/>
  <c r="AM122" i="1"/>
  <c r="BF122" i="1" s="1"/>
  <c r="AO86" i="1"/>
  <c r="BH86" i="1" s="1"/>
  <c r="AP11" i="1"/>
  <c r="BI11" i="1" s="1"/>
  <c r="AQ121" i="1"/>
  <c r="BJ121" i="1" s="1"/>
  <c r="BM148" i="1"/>
  <c r="AO122" i="1"/>
  <c r="BH122" i="1" s="1"/>
  <c r="AN11" i="1"/>
  <c r="BG11" i="1" s="1"/>
  <c r="AL86" i="1"/>
  <c r="BE86" i="1" s="1"/>
  <c r="AM121" i="1"/>
  <c r="BF121" i="1" s="1"/>
  <c r="BN148" i="1"/>
  <c r="AI122" i="1"/>
  <c r="BB122" i="1" s="1"/>
  <c r="AP122" i="1"/>
  <c r="BI122" i="1" s="1"/>
  <c r="BU96" i="1"/>
  <c r="BP126" i="1"/>
  <c r="AO11" i="1"/>
  <c r="BH11" i="1" s="1"/>
  <c r="AK86" i="1"/>
  <c r="BD86" i="1" s="1"/>
  <c r="AQ100" i="1"/>
  <c r="BJ100" i="1" s="1"/>
  <c r="AR121" i="1"/>
  <c r="BK121" i="1" s="1"/>
  <c r="BS148" i="1"/>
  <c r="AJ122" i="1"/>
  <c r="BC122" i="1" s="1"/>
  <c r="AL122" i="1"/>
  <c r="BE122" i="1" s="1"/>
  <c r="AJ11" i="1"/>
  <c r="BC11" i="1" s="1"/>
  <c r="AN121" i="1"/>
  <c r="BG121" i="1" s="1"/>
  <c r="AO121" i="1"/>
  <c r="BH121" i="1" s="1"/>
  <c r="BO148" i="1"/>
  <c r="AR122" i="1"/>
  <c r="BK122" i="1" s="1"/>
  <c r="AI121" i="1"/>
  <c r="BB121" i="1" s="1"/>
  <c r="AK121" i="1"/>
  <c r="BD121" i="1" s="1"/>
  <c r="BT148" i="1"/>
  <c r="AQ122" i="1"/>
  <c r="BJ122" i="1" s="1"/>
  <c r="AI11" i="1"/>
  <c r="BB11" i="1" s="1"/>
  <c r="BQ148" i="1"/>
  <c r="AM11" i="1"/>
  <c r="BF11" i="1" s="1"/>
  <c r="AK11" i="1"/>
  <c r="BD11" i="1" s="1"/>
  <c r="K19" i="5" s="1"/>
  <c r="BP34" i="1"/>
  <c r="BO34" i="1"/>
  <c r="BN34" i="1"/>
  <c r="BR34" i="1"/>
  <c r="BS34" i="1"/>
  <c r="BL34" i="1"/>
  <c r="BU34" i="1"/>
  <c r="BT34" i="1"/>
  <c r="BM34" i="1"/>
  <c r="BQ34" i="1"/>
  <c r="BR58" i="1"/>
  <c r="BS58" i="1"/>
  <c r="BT58" i="1"/>
  <c r="BU58" i="1"/>
  <c r="BQ58" i="1"/>
  <c r="BM58" i="1"/>
  <c r="BP58" i="1"/>
  <c r="BL58" i="1"/>
  <c r="BO58" i="1"/>
  <c r="BN58" i="1"/>
  <c r="AR10" i="1"/>
  <c r="BK10" i="1" s="1"/>
  <c r="AQ10" i="1"/>
  <c r="BJ10" i="1" s="1"/>
  <c r="AJ69" i="1"/>
  <c r="BC69" i="1" s="1"/>
  <c r="AP69" i="1"/>
  <c r="BI69" i="1" s="1"/>
  <c r="AM69" i="1"/>
  <c r="BF69" i="1" s="1"/>
  <c r="AO69" i="1"/>
  <c r="BH69" i="1" s="1"/>
  <c r="AR69" i="1"/>
  <c r="BK69" i="1" s="1"/>
  <c r="AL69" i="1"/>
  <c r="BE69" i="1" s="1"/>
  <c r="AN69" i="1"/>
  <c r="BG69" i="1" s="1"/>
  <c r="AQ69" i="1"/>
  <c r="BJ69" i="1" s="1"/>
  <c r="AK69" i="1"/>
  <c r="BD69" i="1" s="1"/>
  <c r="AI69" i="1"/>
  <c r="BP59" i="1"/>
  <c r="BQ59" i="1"/>
  <c r="BB178" i="1"/>
  <c r="AS194" i="1"/>
  <c r="AW194" i="1" s="1"/>
  <c r="BB194" i="1"/>
  <c r="AS153" i="1"/>
  <c r="AW153" i="1" s="1"/>
  <c r="BB153" i="1"/>
  <c r="BB228" i="1"/>
  <c r="AS154" i="1"/>
  <c r="AW154" i="1" s="1"/>
  <c r="BB154" i="1"/>
  <c r="AS180" i="1"/>
  <c r="AW180" i="1" s="1"/>
  <c r="BB180" i="1"/>
  <c r="AS204" i="1"/>
  <c r="AW204" i="1" s="1"/>
  <c r="BB204" i="1"/>
  <c r="AS199" i="1"/>
  <c r="AW199" i="1" s="1"/>
  <c r="BB199" i="1"/>
  <c r="AS160" i="1"/>
  <c r="AW160" i="1" s="1"/>
  <c r="BB160" i="1"/>
  <c r="BB223" i="1"/>
  <c r="BB209" i="1"/>
  <c r="AS193" i="1"/>
  <c r="AW193" i="1" s="1"/>
  <c r="BB193" i="1"/>
  <c r="AS174" i="1"/>
  <c r="AW174" i="1" s="1"/>
  <c r="BB174" i="1"/>
  <c r="BB203" i="1"/>
  <c r="AS203" i="1"/>
  <c r="AW203" i="1" s="1"/>
  <c r="BB205" i="1"/>
  <c r="BB226" i="1"/>
  <c r="AS164" i="1"/>
  <c r="AW164" i="1" s="1"/>
  <c r="BB164" i="1"/>
  <c r="BB166" i="1"/>
  <c r="BB222" i="1"/>
  <c r="BB163" i="1"/>
  <c r="AS163" i="1"/>
  <c r="AW163" i="1" s="1"/>
  <c r="BB230" i="1"/>
  <c r="BB218" i="1"/>
  <c r="AS190" i="1"/>
  <c r="AW190" i="1" s="1"/>
  <c r="BB190" i="1"/>
  <c r="AS200" i="1"/>
  <c r="AW200" i="1" s="1"/>
  <c r="BB200" i="1"/>
  <c r="AS170" i="1"/>
  <c r="AW170" i="1" s="1"/>
  <c r="BB170" i="1"/>
  <c r="BB177" i="1"/>
  <c r="AS184" i="1"/>
  <c r="AW184" i="1" s="1"/>
  <c r="BB184" i="1"/>
  <c r="AS210" i="1"/>
  <c r="AW210" i="1" s="1"/>
  <c r="BB210" i="1"/>
  <c r="BB173" i="1"/>
  <c r="AS173" i="1"/>
  <c r="AW173" i="1" s="1"/>
  <c r="AS183" i="1"/>
  <c r="AW183" i="1" s="1"/>
  <c r="BB183" i="1"/>
  <c r="BB188" i="1"/>
  <c r="BB212" i="1"/>
  <c r="AS130" i="1"/>
  <c r="AW130" i="1" s="1"/>
  <c r="BB130" i="1"/>
  <c r="AS141" i="1"/>
  <c r="AW141" i="1" s="1"/>
  <c r="BB141" i="1"/>
  <c r="AS93" i="1"/>
  <c r="AW93" i="1" s="1"/>
  <c r="BB93" i="1"/>
  <c r="BB135" i="1"/>
  <c r="AS85" i="1"/>
  <c r="AW85" i="1" s="1"/>
  <c r="BB85" i="1"/>
  <c r="AS89" i="1"/>
  <c r="AW89" i="1" s="1"/>
  <c r="BB89" i="1"/>
  <c r="AS115" i="1"/>
  <c r="AW115" i="1" s="1"/>
  <c r="BB115" i="1"/>
  <c r="AS104" i="1"/>
  <c r="AW104" i="1" s="1"/>
  <c r="BB104" i="1"/>
  <c r="BB88" i="1"/>
  <c r="AS117" i="1"/>
  <c r="AW117" i="1" s="1"/>
  <c r="BB117" i="1"/>
  <c r="BB112" i="1"/>
  <c r="AS91" i="1"/>
  <c r="AW91" i="1" s="1"/>
  <c r="BB91" i="1"/>
  <c r="BB92" i="1"/>
  <c r="AS80" i="1"/>
  <c r="AW80" i="1" s="1"/>
  <c r="BB80" i="1"/>
  <c r="BB147" i="1"/>
  <c r="AS129" i="1"/>
  <c r="AW129" i="1" s="1"/>
  <c r="BB129" i="1"/>
  <c r="BB127" i="1"/>
  <c r="AS132" i="1"/>
  <c r="AW132" i="1" s="1"/>
  <c r="BB132" i="1"/>
  <c r="BB113" i="1"/>
  <c r="AS102" i="1"/>
  <c r="AW102" i="1" s="1"/>
  <c r="BB102" i="1"/>
  <c r="BB86" i="1"/>
  <c r="BB145" i="1"/>
  <c r="AS145" i="1"/>
  <c r="AW145" i="1" s="1"/>
  <c r="AS90" i="1"/>
  <c r="AW90" i="1" s="1"/>
  <c r="BB90" i="1"/>
  <c r="AS75" i="1"/>
  <c r="AW75" i="1" s="1"/>
  <c r="BB75" i="1"/>
  <c r="AS77" i="1"/>
  <c r="AW77" i="1" s="1"/>
  <c r="BB77" i="1"/>
  <c r="AS78" i="1"/>
  <c r="AW78" i="1" s="1"/>
  <c r="BB78" i="1"/>
  <c r="BB149" i="1"/>
  <c r="AS143" i="1"/>
  <c r="AW143" i="1" s="1"/>
  <c r="BB143" i="1"/>
  <c r="BB146" i="1"/>
  <c r="AS103" i="1"/>
  <c r="AW103" i="1" s="1"/>
  <c r="BB103" i="1"/>
  <c r="AS142" i="1"/>
  <c r="AW142" i="1" s="1"/>
  <c r="BB142" i="1"/>
  <c r="AS106" i="1"/>
  <c r="AW106" i="1" s="1"/>
  <c r="BB106" i="1"/>
  <c r="AS76" i="1"/>
  <c r="AW76" i="1" s="1"/>
  <c r="BB76" i="1"/>
  <c r="AS119" i="1"/>
  <c r="AW119" i="1" s="1"/>
  <c r="BB119" i="1"/>
  <c r="BB79" i="1"/>
  <c r="AS101" i="1"/>
  <c r="AW101" i="1" s="1"/>
  <c r="BB101" i="1"/>
  <c r="BB98" i="1"/>
  <c r="AS116" i="1"/>
  <c r="AW116" i="1" s="1"/>
  <c r="BB116" i="1"/>
  <c r="BB84" i="1"/>
  <c r="AS128" i="1"/>
  <c r="AW128" i="1" s="1"/>
  <c r="BB128" i="1"/>
  <c r="AS72" i="1"/>
  <c r="AW72" i="1" s="1"/>
  <c r="BB72" i="1"/>
  <c r="AS32" i="1"/>
  <c r="AW32" i="1" s="1"/>
  <c r="BB32" i="1"/>
  <c r="AS27" i="1"/>
  <c r="AW27" i="1" s="1"/>
  <c r="BB27" i="1"/>
  <c r="AS44" i="1"/>
  <c r="AW44" i="1" s="1"/>
  <c r="BB44" i="1"/>
  <c r="AS31" i="1"/>
  <c r="AW31" i="1" s="1"/>
  <c r="BB31" i="1"/>
  <c r="AS4" i="1"/>
  <c r="AW4" i="1" s="1"/>
  <c r="BB4" i="1"/>
  <c r="AS5" i="1"/>
  <c r="AW5" i="1" s="1"/>
  <c r="BB5" i="1"/>
  <c r="AS65" i="1"/>
  <c r="AW65" i="1" s="1"/>
  <c r="BB65" i="1"/>
  <c r="AS51" i="1"/>
  <c r="AW51" i="1" s="1"/>
  <c r="BB51" i="1"/>
  <c r="AS24" i="1"/>
  <c r="AW24" i="1" s="1"/>
  <c r="BB24" i="1"/>
  <c r="AS12" i="1"/>
  <c r="AW12" i="1" s="1"/>
  <c r="BB12" i="1"/>
  <c r="AS26" i="1"/>
  <c r="AW26" i="1" s="1"/>
  <c r="BB26" i="1"/>
  <c r="AS41" i="1"/>
  <c r="AW41" i="1" s="1"/>
  <c r="BB41" i="1"/>
  <c r="AS43" i="1"/>
  <c r="AW43" i="1" s="1"/>
  <c r="BB43" i="1"/>
  <c r="AS3" i="1"/>
  <c r="AW3" i="1" s="1"/>
  <c r="BB3" i="1"/>
  <c r="AS20" i="1"/>
  <c r="AW20" i="1" s="1"/>
  <c r="BB20" i="1"/>
  <c r="AS39" i="1"/>
  <c r="AW39" i="1" s="1"/>
  <c r="BB39" i="1"/>
  <c r="BB28" i="1"/>
  <c r="AS28" i="1"/>
  <c r="AW28" i="1" s="1"/>
  <c r="AS16" i="1"/>
  <c r="AW16" i="1" s="1"/>
  <c r="BB16" i="1"/>
  <c r="AS15" i="1"/>
  <c r="AW15" i="1" s="1"/>
  <c r="BB15" i="1"/>
  <c r="AS53" i="1"/>
  <c r="AW53" i="1" s="1"/>
  <c r="BB53" i="1"/>
  <c r="AS7" i="1"/>
  <c r="AW7" i="1" s="1"/>
  <c r="BB7" i="1"/>
  <c r="AS40" i="1"/>
  <c r="AW40" i="1" s="1"/>
  <c r="BB40" i="1"/>
  <c r="AS48" i="1"/>
  <c r="AW48" i="1" s="1"/>
  <c r="BB48" i="1"/>
  <c r="AS8" i="1"/>
  <c r="AW8" i="1" s="1"/>
  <c r="BB8" i="1"/>
  <c r="AS17" i="1"/>
  <c r="AW17" i="1" s="1"/>
  <c r="BB17" i="1"/>
  <c r="AS36" i="1"/>
  <c r="AW36" i="1" s="1"/>
  <c r="BB36" i="1"/>
  <c r="AS68" i="1"/>
  <c r="AW68" i="1" s="1"/>
  <c r="BB68" i="1"/>
  <c r="AS55" i="1"/>
  <c r="AW55" i="1" s="1"/>
  <c r="BB55" i="1"/>
  <c r="BB60" i="1"/>
  <c r="AS60" i="1"/>
  <c r="AW60" i="1" s="1"/>
  <c r="AS67" i="1"/>
  <c r="AW67" i="1" s="1"/>
  <c r="BB67" i="1"/>
  <c r="BB66" i="1"/>
  <c r="BB71" i="1"/>
  <c r="AS29" i="1"/>
  <c r="AW29" i="1" s="1"/>
  <c r="BB29" i="1"/>
  <c r="AS56" i="1"/>
  <c r="AW56" i="1" s="1"/>
  <c r="BB56" i="1"/>
  <c r="AS63" i="1"/>
  <c r="AW63" i="1" s="1"/>
  <c r="BB63" i="1"/>
  <c r="AS19" i="1"/>
  <c r="AW19" i="1" s="1"/>
  <c r="BB19" i="1"/>
  <c r="AS64" i="1"/>
  <c r="AW64" i="1" s="1"/>
  <c r="BB64" i="1"/>
  <c r="J89" i="3"/>
  <c r="J131" i="3" s="1"/>
  <c r="J98" i="3"/>
  <c r="J140" i="3" s="1"/>
  <c r="J99" i="3"/>
  <c r="J141" i="3" s="1"/>
  <c r="J91" i="3"/>
  <c r="J133" i="3" s="1"/>
  <c r="BL2" i="1"/>
  <c r="BM2" i="1"/>
  <c r="BU2" i="1"/>
  <c r="BN2" i="1"/>
  <c r="BO2" i="1"/>
  <c r="BP2" i="1"/>
  <c r="BQ2" i="1"/>
  <c r="BR2" i="1"/>
  <c r="BS2" i="1"/>
  <c r="BT2" i="1"/>
  <c r="H10" i="5"/>
  <c r="C68" i="3"/>
  <c r="D68" i="3" s="1"/>
  <c r="E68" i="3" s="1"/>
  <c r="F68" i="3" s="1"/>
  <c r="G68" i="3" s="1"/>
  <c r="H68" i="3" s="1"/>
  <c r="I68" i="3" s="1"/>
  <c r="J68" i="3" s="1"/>
  <c r="K68" i="3" s="1"/>
  <c r="L68" i="3" s="1"/>
  <c r="AH2" i="1"/>
  <c r="AJ2" i="1" s="1"/>
  <c r="BC2" i="1" s="1"/>
  <c r="C47" i="3"/>
  <c r="D47" i="3" s="1"/>
  <c r="E47" i="3" s="1"/>
  <c r="F47" i="3" s="1"/>
  <c r="G47" i="3" s="1"/>
  <c r="H47" i="3" s="1"/>
  <c r="I47" i="3" s="1"/>
  <c r="J47" i="3" s="1"/>
  <c r="K47" i="3" s="1"/>
  <c r="L47" i="3" s="1"/>
  <c r="AS209" i="1" l="1"/>
  <c r="AW209" i="1" s="1"/>
  <c r="AS594" i="8"/>
  <c r="D97" i="3"/>
  <c r="D139" i="3" s="1"/>
  <c r="C139" i="3"/>
  <c r="D93" i="3"/>
  <c r="D135" i="3" s="1"/>
  <c r="C135" i="3"/>
  <c r="AS757" i="1"/>
  <c r="AW757" i="1" s="1"/>
  <c r="AS350" i="8"/>
  <c r="AX350" i="8" s="1"/>
  <c r="AS168" i="1"/>
  <c r="AW168" i="1" s="1"/>
  <c r="J27" i="5"/>
  <c r="AV792" i="8"/>
  <c r="AS127" i="8"/>
  <c r="AY792" i="8"/>
  <c r="AZ792" i="8"/>
  <c r="AS437" i="8"/>
  <c r="AW437" i="8" s="1"/>
  <c r="AS242" i="8"/>
  <c r="AZ242" i="8" s="1"/>
  <c r="BA792" i="8"/>
  <c r="AS491" i="8"/>
  <c r="AY491" i="8" s="1"/>
  <c r="Q27" i="5"/>
  <c r="AS334" i="8"/>
  <c r="AX792" i="8"/>
  <c r="AS553" i="8"/>
  <c r="BA553" i="8" s="1"/>
  <c r="AS329" i="8"/>
  <c r="AX329" i="8" s="1"/>
  <c r="AS527" i="8"/>
  <c r="AZ527" i="8" s="1"/>
  <c r="AS374" i="8"/>
  <c r="AY374" i="8" s="1"/>
  <c r="AS273" i="8"/>
  <c r="Q17" i="5"/>
  <c r="AZ780" i="8"/>
  <c r="O27" i="5"/>
  <c r="P27" i="5"/>
  <c r="I29" i="5"/>
  <c r="T29" i="5" s="1"/>
  <c r="AS627" i="8"/>
  <c r="AW627" i="8" s="1"/>
  <c r="AS737" i="8"/>
  <c r="AV737" i="8" s="1"/>
  <c r="AS701" i="1"/>
  <c r="AS133" i="1"/>
  <c r="AW133" i="1" s="1"/>
  <c r="AS748" i="1"/>
  <c r="AS617" i="8"/>
  <c r="AS676" i="1"/>
  <c r="AV676" i="1" s="1"/>
  <c r="R22" i="5"/>
  <c r="BB701" i="1"/>
  <c r="BB748" i="1"/>
  <c r="AS347" i="8"/>
  <c r="AZ347" i="8" s="1"/>
  <c r="AV821" i="8"/>
  <c r="AS695" i="8"/>
  <c r="AS687" i="8"/>
  <c r="AX687" i="8" s="1"/>
  <c r="AS243" i="8"/>
  <c r="AY243" i="8" s="1"/>
  <c r="AS567" i="8"/>
  <c r="AV567" i="8" s="1"/>
  <c r="AS146" i="1"/>
  <c r="AW146" i="1" s="1"/>
  <c r="AS425" i="8"/>
  <c r="AY425" i="8" s="1"/>
  <c r="AS438" i="8"/>
  <c r="BA438" i="8" s="1"/>
  <c r="AS209" i="8"/>
  <c r="AZ821" i="8"/>
  <c r="AS229" i="8"/>
  <c r="AX229" i="8" s="1"/>
  <c r="AV770" i="8"/>
  <c r="AS385" i="8"/>
  <c r="AZ385" i="8" s="1"/>
  <c r="AS88" i="1"/>
  <c r="AW88" i="1" s="1"/>
  <c r="AS672" i="1"/>
  <c r="AW672" i="1" s="1"/>
  <c r="AS338" i="8"/>
  <c r="AZ338" i="8" s="1"/>
  <c r="BA821" i="8"/>
  <c r="AX770" i="8"/>
  <c r="AS737" i="1"/>
  <c r="AZ737" i="1" s="1"/>
  <c r="AS178" i="8"/>
  <c r="BA178" i="8" s="1"/>
  <c r="BB676" i="1"/>
  <c r="AS705" i="1"/>
  <c r="AV705" i="1" s="1"/>
  <c r="AS720" i="1"/>
  <c r="AW720" i="1" s="1"/>
  <c r="AS440" i="8"/>
  <c r="BA440" i="8" s="1"/>
  <c r="AS409" i="8"/>
  <c r="AY821" i="8"/>
  <c r="AZ770" i="8"/>
  <c r="BB133" i="1"/>
  <c r="AS668" i="1"/>
  <c r="AW668" i="1" s="1"/>
  <c r="AS713" i="1"/>
  <c r="BA713" i="1" s="1"/>
  <c r="AS576" i="8"/>
  <c r="AX576" i="8" s="1"/>
  <c r="AV829" i="8"/>
  <c r="AS158" i="8"/>
  <c r="AW821" i="8"/>
  <c r="AS454" i="8"/>
  <c r="AW454" i="8" s="1"/>
  <c r="BB737" i="8"/>
  <c r="AS432" i="8"/>
  <c r="AY432" i="8" s="1"/>
  <c r="BB627" i="8"/>
  <c r="BA770" i="8"/>
  <c r="AS208" i="1"/>
  <c r="AW208" i="1" s="1"/>
  <c r="M19" i="5"/>
  <c r="AS747" i="1"/>
  <c r="AS296" i="8"/>
  <c r="BA296" i="8" s="1"/>
  <c r="AS363" i="8"/>
  <c r="AY363" i="8" s="1"/>
  <c r="AS260" i="8"/>
  <c r="AX260" i="8" s="1"/>
  <c r="AS212" i="8"/>
  <c r="AY212" i="8" s="1"/>
  <c r="AS674" i="1"/>
  <c r="AW674" i="1" s="1"/>
  <c r="AS688" i="1"/>
  <c r="AS696" i="1"/>
  <c r="AS150" i="1"/>
  <c r="AW150" i="1" s="1"/>
  <c r="AS221" i="8"/>
  <c r="AZ221" i="8" s="1"/>
  <c r="BB688" i="1"/>
  <c r="AS635" i="8"/>
  <c r="BA635" i="8" s="1"/>
  <c r="AS730" i="8"/>
  <c r="AX730" i="8" s="1"/>
  <c r="AS179" i="1"/>
  <c r="AW179" i="1" s="1"/>
  <c r="AS668" i="8"/>
  <c r="AX668" i="8" s="1"/>
  <c r="AS479" i="8"/>
  <c r="AS746" i="1"/>
  <c r="BA746" i="1" s="1"/>
  <c r="AS714" i="1"/>
  <c r="AV714" i="1" s="1"/>
  <c r="AS280" i="8"/>
  <c r="BA280" i="8" s="1"/>
  <c r="BB150" i="1"/>
  <c r="BB696" i="1"/>
  <c r="AS767" i="1"/>
  <c r="AW767" i="1" s="1"/>
  <c r="AS216" i="8"/>
  <c r="BA216" i="8" s="1"/>
  <c r="AS341" i="8"/>
  <c r="BA341" i="8" s="1"/>
  <c r="AS639" i="8"/>
  <c r="AV639" i="8" s="1"/>
  <c r="AS650" i="8"/>
  <c r="BA650" i="8" s="1"/>
  <c r="AS226" i="8"/>
  <c r="AW226" i="8" s="1"/>
  <c r="AS558" i="8"/>
  <c r="BA558" i="8" s="1"/>
  <c r="AS178" i="1"/>
  <c r="AW178" i="1" s="1"/>
  <c r="AS523" i="8"/>
  <c r="AY523" i="8" s="1"/>
  <c r="AS398" i="8"/>
  <c r="AV398" i="8" s="1"/>
  <c r="BB101" i="8"/>
  <c r="AS253" i="8"/>
  <c r="AY253" i="8" s="1"/>
  <c r="AS730" i="1"/>
  <c r="AX730" i="1" s="1"/>
  <c r="AS684" i="8"/>
  <c r="AZ684" i="8" s="1"/>
  <c r="AS300" i="8"/>
  <c r="AV300" i="8" s="1"/>
  <c r="AS358" i="8"/>
  <c r="AW358" i="8" s="1"/>
  <c r="AV777" i="8"/>
  <c r="AS570" i="8"/>
  <c r="AY570" i="8" s="1"/>
  <c r="AS698" i="8"/>
  <c r="AS137" i="1"/>
  <c r="AW137" i="1" s="1"/>
  <c r="AS618" i="8"/>
  <c r="AV618" i="8" s="1"/>
  <c r="AS245" i="8"/>
  <c r="AW245" i="8" s="1"/>
  <c r="AS404" i="8"/>
  <c r="BA404" i="8" s="1"/>
  <c r="AS298" i="8"/>
  <c r="BA298" i="8" s="1"/>
  <c r="AS281" i="8"/>
  <c r="AW281" i="8" s="1"/>
  <c r="AS506" i="8"/>
  <c r="BA506" i="8" s="1"/>
  <c r="AS724" i="1"/>
  <c r="AS673" i="1"/>
  <c r="AW673" i="1" s="1"/>
  <c r="AS428" i="8"/>
  <c r="AW428" i="8" s="1"/>
  <c r="AS476" i="8"/>
  <c r="AX476" i="8" s="1"/>
  <c r="AS471" i="8"/>
  <c r="AZ471" i="8" s="1"/>
  <c r="AS283" i="8"/>
  <c r="BA283" i="8" s="1"/>
  <c r="AS355" i="8"/>
  <c r="AZ355" i="8" s="1"/>
  <c r="AS423" i="8"/>
  <c r="AV423" i="8" s="1"/>
  <c r="BB674" i="1"/>
  <c r="AS709" i="1"/>
  <c r="AZ709" i="1" s="1"/>
  <c r="AS686" i="1"/>
  <c r="AW686" i="1" s="1"/>
  <c r="AS505" i="8"/>
  <c r="AV505" i="8" s="1"/>
  <c r="AS663" i="8"/>
  <c r="AY663" i="8" s="1"/>
  <c r="AZ768" i="8"/>
  <c r="AS314" i="8"/>
  <c r="BA314" i="8" s="1"/>
  <c r="AS685" i="8"/>
  <c r="BA685" i="8" s="1"/>
  <c r="AS127" i="1"/>
  <c r="AW127" i="1" s="1"/>
  <c r="AS120" i="1"/>
  <c r="AW120" i="1" s="1"/>
  <c r="AS107" i="1"/>
  <c r="AW107" i="1" s="1"/>
  <c r="AS189" i="1"/>
  <c r="AW189" i="1" s="1"/>
  <c r="AS756" i="8"/>
  <c r="AV756" i="8" s="1"/>
  <c r="AS487" i="8"/>
  <c r="AV487" i="8" s="1"/>
  <c r="AX768" i="8"/>
  <c r="AS380" i="8"/>
  <c r="AY380" i="8" s="1"/>
  <c r="AS525" i="8"/>
  <c r="AS179" i="8"/>
  <c r="BA179" i="8" s="1"/>
  <c r="AS679" i="1"/>
  <c r="AW679" i="1" s="1"/>
  <c r="AS408" i="8"/>
  <c r="AZ408" i="8" s="1"/>
  <c r="AS406" i="8"/>
  <c r="AZ406" i="8" s="1"/>
  <c r="AS675" i="1"/>
  <c r="AY675" i="1" s="1"/>
  <c r="AS710" i="1"/>
  <c r="AV710" i="1" s="1"/>
  <c r="BB558" i="8"/>
  <c r="AS482" i="8"/>
  <c r="AY482" i="8" s="1"/>
  <c r="BB406" i="8"/>
  <c r="AS168" i="8"/>
  <c r="AW168" i="8" s="1"/>
  <c r="BA744" i="8"/>
  <c r="AS360" i="8"/>
  <c r="BA360" i="8" s="1"/>
  <c r="AS480" i="8"/>
  <c r="AW480" i="8" s="1"/>
  <c r="AS384" i="8"/>
  <c r="BA384" i="8" s="1"/>
  <c r="AS248" i="8"/>
  <c r="AX248" i="8" s="1"/>
  <c r="AS234" i="8"/>
  <c r="AS377" i="8"/>
  <c r="AZ377" i="8" s="1"/>
  <c r="AS416" i="8"/>
  <c r="AX416" i="8" s="1"/>
  <c r="BA818" i="8"/>
  <c r="AS399" i="8"/>
  <c r="AY399" i="8" s="1"/>
  <c r="AS124" i="1"/>
  <c r="AW124" i="1" s="1"/>
  <c r="AS670" i="1"/>
  <c r="AX670" i="1" s="1"/>
  <c r="AS738" i="1"/>
  <c r="AS366" i="8"/>
  <c r="AX366" i="8" s="1"/>
  <c r="AS445" i="8"/>
  <c r="BA445" i="8" s="1"/>
  <c r="AS222" i="8"/>
  <c r="AW222" i="8" s="1"/>
  <c r="AS277" i="8"/>
  <c r="AV277" i="8" s="1"/>
  <c r="AS664" i="8"/>
  <c r="AX664" i="8" s="1"/>
  <c r="AS517" i="8"/>
  <c r="AZ517" i="8" s="1"/>
  <c r="AS497" i="8"/>
  <c r="AW497" i="8" s="1"/>
  <c r="AS600" i="8"/>
  <c r="AX600" i="8" s="1"/>
  <c r="AS723" i="8"/>
  <c r="AZ723" i="8" s="1"/>
  <c r="AS609" i="8"/>
  <c r="AW609" i="8" s="1"/>
  <c r="AW818" i="8"/>
  <c r="AS631" i="8"/>
  <c r="AW631" i="8" s="1"/>
  <c r="AS698" i="1"/>
  <c r="AY698" i="1" s="1"/>
  <c r="AS699" i="1"/>
  <c r="AV699" i="1" s="1"/>
  <c r="BB675" i="1"/>
  <c r="AS715" i="1"/>
  <c r="AS694" i="1"/>
  <c r="AV694" i="1" s="1"/>
  <c r="AS394" i="8"/>
  <c r="AX394" i="8" s="1"/>
  <c r="AV744" i="8"/>
  <c r="AS407" i="8"/>
  <c r="AW407" i="8" s="1"/>
  <c r="AS636" i="8"/>
  <c r="BA636" i="8" s="1"/>
  <c r="AS689" i="8"/>
  <c r="BA689" i="8" s="1"/>
  <c r="AS389" i="8"/>
  <c r="AY389" i="8" s="1"/>
  <c r="AS313" i="8"/>
  <c r="AV313" i="8" s="1"/>
  <c r="AS265" i="8"/>
  <c r="AS589" i="8"/>
  <c r="AW589" i="8" s="1"/>
  <c r="AS220" i="8"/>
  <c r="AW220" i="8" s="1"/>
  <c r="AS683" i="1"/>
  <c r="AW683" i="1" s="1"/>
  <c r="AS729" i="1"/>
  <c r="AY729" i="1" s="1"/>
  <c r="AS595" i="8"/>
  <c r="AY595" i="8" s="1"/>
  <c r="AS284" i="8"/>
  <c r="AZ284" i="8" s="1"/>
  <c r="AS286" i="8"/>
  <c r="AZ286" i="8" s="1"/>
  <c r="AS746" i="8"/>
  <c r="AX744" i="8"/>
  <c r="AS444" i="8"/>
  <c r="AW444" i="8" s="1"/>
  <c r="AS464" i="8"/>
  <c r="AW464" i="8" s="1"/>
  <c r="AS427" i="8"/>
  <c r="AX427" i="8" s="1"/>
  <c r="AS611" i="8"/>
  <c r="AW611" i="8" s="1"/>
  <c r="AS538" i="8"/>
  <c r="AV538" i="8" s="1"/>
  <c r="AS672" i="8"/>
  <c r="AV672" i="8" s="1"/>
  <c r="AS218" i="8"/>
  <c r="AS732" i="8"/>
  <c r="AX732" i="8" s="1"/>
  <c r="AS467" i="8"/>
  <c r="AW467" i="8" s="1"/>
  <c r="AS188" i="1"/>
  <c r="AW188" i="1" s="1"/>
  <c r="AS671" i="1"/>
  <c r="BA671" i="1" s="1"/>
  <c r="AS706" i="1"/>
  <c r="AZ706" i="1" s="1"/>
  <c r="AS531" i="8"/>
  <c r="AV531" i="8" s="1"/>
  <c r="AS707" i="8"/>
  <c r="AX707" i="8" s="1"/>
  <c r="AW744" i="8"/>
  <c r="AS333" i="8"/>
  <c r="BA333" i="8" s="1"/>
  <c r="AS629" i="8"/>
  <c r="AY629" i="8" s="1"/>
  <c r="AS361" i="8"/>
  <c r="AY361" i="8" s="1"/>
  <c r="AS382" i="8"/>
  <c r="BA382" i="8" s="1"/>
  <c r="AS367" i="8"/>
  <c r="AW367" i="8" s="1"/>
  <c r="AS771" i="8"/>
  <c r="AZ771" i="8" s="1"/>
  <c r="AS403" i="8"/>
  <c r="AX403" i="8" s="1"/>
  <c r="AV818" i="8"/>
  <c r="AS269" i="8"/>
  <c r="BA269" i="8" s="1"/>
  <c r="BB679" i="1"/>
  <c r="AS325" i="8"/>
  <c r="AX325" i="8" s="1"/>
  <c r="AY744" i="8"/>
  <c r="AS228" i="8"/>
  <c r="AW228" i="8" s="1"/>
  <c r="AS532" i="8"/>
  <c r="BA532" i="8" s="1"/>
  <c r="AS239" i="8"/>
  <c r="AX239" i="8" s="1"/>
  <c r="AS758" i="8"/>
  <c r="AX818" i="8"/>
  <c r="AS475" i="8"/>
  <c r="AY475" i="8" s="1"/>
  <c r="AS703" i="8"/>
  <c r="AX703" i="8" s="1"/>
  <c r="AS681" i="1"/>
  <c r="AY681" i="1" s="1"/>
  <c r="AS680" i="1"/>
  <c r="BA680" i="1" s="1"/>
  <c r="AS433" i="8"/>
  <c r="AX433" i="8" s="1"/>
  <c r="AS337" i="8"/>
  <c r="BA337" i="8" s="1"/>
  <c r="AS633" i="8"/>
  <c r="AS421" i="8"/>
  <c r="AW421" i="8" s="1"/>
  <c r="AS449" i="8"/>
  <c r="BA449" i="8" s="1"/>
  <c r="AS564" i="8"/>
  <c r="AW564" i="8" s="1"/>
  <c r="AS738" i="8"/>
  <c r="AW738" i="8" s="1"/>
  <c r="AS691" i="1"/>
  <c r="AV691" i="1" s="1"/>
  <c r="AS420" i="8"/>
  <c r="AY420" i="8" s="1"/>
  <c r="BA803" i="8"/>
  <c r="AS81" i="1"/>
  <c r="AW81" i="1" s="1"/>
  <c r="AS140" i="1"/>
  <c r="AW140" i="1" s="1"/>
  <c r="AS114" i="1"/>
  <c r="AW114" i="1" s="1"/>
  <c r="AS652" i="8"/>
  <c r="BA652" i="8" s="1"/>
  <c r="AS693" i="1"/>
  <c r="AV693" i="1" s="1"/>
  <c r="AS742" i="1"/>
  <c r="AY742" i="1" s="1"/>
  <c r="AS336" i="8"/>
  <c r="AW336" i="8" s="1"/>
  <c r="AS692" i="1"/>
  <c r="AS722" i="1"/>
  <c r="AS392" i="8"/>
  <c r="AX392" i="8" s="1"/>
  <c r="AS702" i="1"/>
  <c r="AX702" i="1" s="1"/>
  <c r="AS657" i="8"/>
  <c r="AY657" i="8" s="1"/>
  <c r="AS318" i="8"/>
  <c r="AY318" i="8" s="1"/>
  <c r="AS457" i="8"/>
  <c r="AV457" i="8" s="1"/>
  <c r="AS613" i="8"/>
  <c r="AX613" i="8" s="1"/>
  <c r="AS669" i="8"/>
  <c r="AZ669" i="8" s="1"/>
  <c r="AS278" i="8"/>
  <c r="BB457" i="8"/>
  <c r="AS215" i="8"/>
  <c r="BA215" i="8" s="1"/>
  <c r="BA777" i="8"/>
  <c r="AV768" i="8"/>
  <c r="AS632" i="8"/>
  <c r="AW632" i="8" s="1"/>
  <c r="AW727" i="8"/>
  <c r="BA768" i="8"/>
  <c r="AW777" i="8"/>
  <c r="AW768" i="8"/>
  <c r="AX777" i="8"/>
  <c r="AS263" i="8"/>
  <c r="AY263" i="8" s="1"/>
  <c r="BB88" i="8"/>
  <c r="AS644" i="8"/>
  <c r="AW644" i="8" s="1"/>
  <c r="AS484" i="8"/>
  <c r="AV484" i="8" s="1"/>
  <c r="AY777" i="8"/>
  <c r="AS169" i="1"/>
  <c r="AW169" i="1" s="1"/>
  <c r="AS708" i="1"/>
  <c r="AX708" i="1" s="1"/>
  <c r="AW764" i="8"/>
  <c r="AS307" i="8"/>
  <c r="AV307" i="8" s="1"/>
  <c r="AS728" i="8"/>
  <c r="AZ728" i="8" s="1"/>
  <c r="BB703" i="8"/>
  <c r="AS456" i="8"/>
  <c r="AX456" i="8" s="1"/>
  <c r="AS316" i="8"/>
  <c r="AZ316" i="8" s="1"/>
  <c r="AX780" i="8"/>
  <c r="AS623" i="8"/>
  <c r="AY623" i="8" s="1"/>
  <c r="AS599" i="8"/>
  <c r="BA599" i="8" s="1"/>
  <c r="AS494" i="8"/>
  <c r="AX494" i="8" s="1"/>
  <c r="AS244" i="8"/>
  <c r="AW244" i="8" s="1"/>
  <c r="AS709" i="8"/>
  <c r="AW709" i="8" s="1"/>
  <c r="AS289" i="8"/>
  <c r="AW289" i="8" s="1"/>
  <c r="AS733" i="1"/>
  <c r="AS452" i="8"/>
  <c r="BA780" i="8"/>
  <c r="AS556" i="8"/>
  <c r="AZ556" i="8" s="1"/>
  <c r="AS700" i="1"/>
  <c r="AW700" i="1" s="1"/>
  <c r="BB114" i="1"/>
  <c r="AS158" i="1"/>
  <c r="AW158" i="1" s="1"/>
  <c r="AS378" i="8"/>
  <c r="AY378" i="8" s="1"/>
  <c r="AS461" i="8"/>
  <c r="AY461" i="8" s="1"/>
  <c r="AS474" i="8"/>
  <c r="AS410" i="8"/>
  <c r="AW410" i="8" s="1"/>
  <c r="AW780" i="8"/>
  <c r="AS683" i="8"/>
  <c r="BA683" i="8" s="1"/>
  <c r="AS695" i="1"/>
  <c r="AV695" i="1" s="1"/>
  <c r="AS677" i="8"/>
  <c r="AV677" i="8" s="1"/>
  <c r="AY780" i="8"/>
  <c r="AS352" i="8"/>
  <c r="AY352" i="8" s="1"/>
  <c r="AS370" i="8"/>
  <c r="AS257" i="8"/>
  <c r="AV257" i="8" s="1"/>
  <c r="AS585" i="8"/>
  <c r="AW585" i="8" s="1"/>
  <c r="AS702" i="8"/>
  <c r="AZ702" i="8" s="1"/>
  <c r="AS689" i="1"/>
  <c r="AX689" i="1" s="1"/>
  <c r="AS667" i="8"/>
  <c r="AZ667" i="8" s="1"/>
  <c r="AS711" i="1"/>
  <c r="AX711" i="1" s="1"/>
  <c r="AS434" i="8"/>
  <c r="AW434" i="8" s="1"/>
  <c r="AS593" i="8"/>
  <c r="AV593" i="8" s="1"/>
  <c r="AS468" i="8"/>
  <c r="AX468" i="8" s="1"/>
  <c r="AS580" i="8"/>
  <c r="BA580" i="8" s="1"/>
  <c r="AS586" i="8"/>
  <c r="AY586" i="8" s="1"/>
  <c r="AS583" i="8"/>
  <c r="AW583" i="8" s="1"/>
  <c r="AS225" i="8"/>
  <c r="AW225" i="8" s="1"/>
  <c r="AS740" i="1"/>
  <c r="AX740" i="1" s="1"/>
  <c r="AS751" i="1"/>
  <c r="AS690" i="1"/>
  <c r="BA690" i="1" s="1"/>
  <c r="BB289" i="8"/>
  <c r="AZ803" i="8"/>
  <c r="AS673" i="8"/>
  <c r="BA673" i="8" s="1"/>
  <c r="AS357" i="8"/>
  <c r="AY357" i="8" s="1"/>
  <c r="AS305" i="8"/>
  <c r="AX305" i="8" s="1"/>
  <c r="AS397" i="8"/>
  <c r="AZ397" i="8" s="1"/>
  <c r="AS604" i="8"/>
  <c r="AX604" i="8" s="1"/>
  <c r="AS455" i="8"/>
  <c r="BA455" i="8" s="1"/>
  <c r="AS767" i="8"/>
  <c r="AV767" i="8" s="1"/>
  <c r="AS749" i="1"/>
  <c r="AW749" i="1" s="1"/>
  <c r="AS343" i="8"/>
  <c r="AW343" i="8" s="1"/>
  <c r="AS264" i="8"/>
  <c r="AX264" i="8" s="1"/>
  <c r="AS750" i="1"/>
  <c r="AZ750" i="1" s="1"/>
  <c r="AS765" i="8"/>
  <c r="AX765" i="8" s="1"/>
  <c r="AS708" i="8"/>
  <c r="AV708" i="8" s="1"/>
  <c r="AS670" i="8"/>
  <c r="AV670" i="8" s="1"/>
  <c r="AS704" i="8"/>
  <c r="BA704" i="8" s="1"/>
  <c r="AS362" i="8"/>
  <c r="AY362" i="8" s="1"/>
  <c r="AS368" i="8"/>
  <c r="AV368" i="8" s="1"/>
  <c r="AS701" i="8"/>
  <c r="AX701" i="8" s="1"/>
  <c r="AS306" i="8"/>
  <c r="AX306" i="8" s="1"/>
  <c r="AS509" i="8"/>
  <c r="AZ509" i="8" s="1"/>
  <c r="AS251" i="8"/>
  <c r="AX251" i="8" s="1"/>
  <c r="AS315" i="8"/>
  <c r="AS429" i="8"/>
  <c r="AW429" i="8" s="1"/>
  <c r="BB81" i="1"/>
  <c r="AS773" i="1"/>
  <c r="AV773" i="1" s="1"/>
  <c r="AS539" i="8"/>
  <c r="AY539" i="8" s="1"/>
  <c r="AS628" i="8"/>
  <c r="AZ628" i="8" s="1"/>
  <c r="AS291" i="8"/>
  <c r="AW291" i="8" s="1"/>
  <c r="AS660" i="8"/>
  <c r="AW660" i="8" s="1"/>
  <c r="AS493" i="8"/>
  <c r="AS688" i="8"/>
  <c r="AX688" i="8" s="1"/>
  <c r="AS199" i="8"/>
  <c r="BA199" i="8" s="1"/>
  <c r="AS282" i="8"/>
  <c r="AV282" i="8" s="1"/>
  <c r="AS332" i="8"/>
  <c r="AX332" i="8" s="1"/>
  <c r="AS411" i="8"/>
  <c r="AZ411" i="8" s="1"/>
  <c r="AS720" i="8"/>
  <c r="AZ720" i="8" s="1"/>
  <c r="AS579" i="8"/>
  <c r="BA579" i="8" s="1"/>
  <c r="AS198" i="1"/>
  <c r="AW198" i="1" s="1"/>
  <c r="AS111" i="1"/>
  <c r="AW111" i="1" s="1"/>
  <c r="AS687" i="1"/>
  <c r="AV687" i="1" s="1"/>
  <c r="BB733" i="1"/>
  <c r="AS724" i="8"/>
  <c r="AY724" i="8" s="1"/>
  <c r="AS640" i="8"/>
  <c r="BA640" i="8" s="1"/>
  <c r="AS510" i="8"/>
  <c r="AX510" i="8" s="1"/>
  <c r="AS383" i="8"/>
  <c r="AX383" i="8" s="1"/>
  <c r="AV803" i="8"/>
  <c r="BB244" i="8"/>
  <c r="AS566" i="8"/>
  <c r="AZ566" i="8" s="1"/>
  <c r="BB709" i="8"/>
  <c r="AS365" i="8"/>
  <c r="BA365" i="8" s="1"/>
  <c r="AS279" i="8"/>
  <c r="AW279" i="8" s="1"/>
  <c r="AS346" i="8"/>
  <c r="BA346" i="8" s="1"/>
  <c r="AS671" i="8"/>
  <c r="AV671" i="8" s="1"/>
  <c r="AS619" i="8"/>
  <c r="AS759" i="8"/>
  <c r="BA759" i="8" s="1"/>
  <c r="AS760" i="8"/>
  <c r="BA760" i="8" s="1"/>
  <c r="AS732" i="1"/>
  <c r="BA732" i="1" s="1"/>
  <c r="AS327" i="8"/>
  <c r="AW327" i="8" s="1"/>
  <c r="AS356" i="8"/>
  <c r="AW356" i="8" s="1"/>
  <c r="AY803" i="8"/>
  <c r="AS751" i="8"/>
  <c r="AY751" i="8" s="1"/>
  <c r="AS486" i="8"/>
  <c r="BA486" i="8" s="1"/>
  <c r="AS381" i="8"/>
  <c r="BA381" i="8" s="1"/>
  <c r="AS654" i="8"/>
  <c r="BA654" i="8" s="1"/>
  <c r="AS98" i="1"/>
  <c r="AW98" i="1" s="1"/>
  <c r="AS685" i="1"/>
  <c r="AY685" i="1" s="1"/>
  <c r="AS773" i="8"/>
  <c r="AZ773" i="8" s="1"/>
  <c r="AS572" i="8"/>
  <c r="AX572" i="8" s="1"/>
  <c r="AS348" i="8"/>
  <c r="AZ348" i="8" s="1"/>
  <c r="AX803" i="8"/>
  <c r="AS214" i="8"/>
  <c r="AW214" i="8" s="1"/>
  <c r="AS219" i="8"/>
  <c r="AV219" i="8" s="1"/>
  <c r="AS598" i="8"/>
  <c r="AV598" i="8" s="1"/>
  <c r="AS345" i="8"/>
  <c r="AW345" i="8" s="1"/>
  <c r="AS528" i="8"/>
  <c r="AX528" i="8" s="1"/>
  <c r="AS418" i="8"/>
  <c r="AX418" i="8" s="1"/>
  <c r="AS719" i="8"/>
  <c r="AW719" i="8" s="1"/>
  <c r="AS578" i="8"/>
  <c r="BA578" i="8" s="1"/>
  <c r="AS375" i="8"/>
  <c r="AW375" i="8" s="1"/>
  <c r="BB494" i="8"/>
  <c r="AS400" i="8"/>
  <c r="BA400" i="8" s="1"/>
  <c r="BB599" i="8"/>
  <c r="AS626" i="8"/>
  <c r="AY626" i="8" s="1"/>
  <c r="AS610" i="8"/>
  <c r="AV610" i="8" s="1"/>
  <c r="AS319" i="8"/>
  <c r="AZ319" i="8" s="1"/>
  <c r="AS697" i="1"/>
  <c r="AS723" i="1"/>
  <c r="AZ723" i="1" s="1"/>
  <c r="AS771" i="1"/>
  <c r="AV771" i="1" s="1"/>
  <c r="AS620" i="8"/>
  <c r="AY620" i="8" s="1"/>
  <c r="AS645" i="8"/>
  <c r="AV645" i="8" s="1"/>
  <c r="AS681" i="8"/>
  <c r="AW681" i="8" s="1"/>
  <c r="AS463" i="8"/>
  <c r="AW463" i="8" s="1"/>
  <c r="AS342" i="8"/>
  <c r="AY342" i="8" s="1"/>
  <c r="AS460" i="8"/>
  <c r="AS520" i="8"/>
  <c r="BA520" i="8" s="1"/>
  <c r="AS369" i="8"/>
  <c r="AV369" i="8" s="1"/>
  <c r="AS733" i="8"/>
  <c r="AZ733" i="8" s="1"/>
  <c r="AS676" i="8"/>
  <c r="AV676" i="8" s="1"/>
  <c r="AS680" i="8"/>
  <c r="AZ680" i="8" s="1"/>
  <c r="AS231" i="8"/>
  <c r="AW231" i="8" s="1"/>
  <c r="BB749" i="1"/>
  <c r="AS287" i="8"/>
  <c r="AY829" i="8"/>
  <c r="AS731" i="1"/>
  <c r="AX731" i="1" s="1"/>
  <c r="AS311" i="8"/>
  <c r="AZ311" i="8" s="1"/>
  <c r="AS634" i="8"/>
  <c r="AX634" i="8" s="1"/>
  <c r="AS665" i="8"/>
  <c r="AX665" i="8" s="1"/>
  <c r="AS637" i="8"/>
  <c r="AY637" i="8" s="1"/>
  <c r="AX829" i="8"/>
  <c r="AS213" i="8"/>
  <c r="AX213" i="8" s="1"/>
  <c r="AS705" i="8"/>
  <c r="AW705" i="8" s="1"/>
  <c r="BB343" i="8"/>
  <c r="AS465" i="8"/>
  <c r="AX465" i="8" s="1"/>
  <c r="BB700" i="1"/>
  <c r="AS719" i="1"/>
  <c r="AW719" i="1" s="1"/>
  <c r="AS344" i="8"/>
  <c r="AZ344" i="8" s="1"/>
  <c r="AZ829" i="8"/>
  <c r="AS451" i="8"/>
  <c r="BA451" i="8" s="1"/>
  <c r="AS741" i="8"/>
  <c r="AW741" i="8" s="1"/>
  <c r="AS575" i="8"/>
  <c r="BA575" i="8" s="1"/>
  <c r="AS255" i="8"/>
  <c r="AX255" i="8" s="1"/>
  <c r="AS692" i="8"/>
  <c r="AZ692" i="8" s="1"/>
  <c r="AS756" i="1"/>
  <c r="AW756" i="1" s="1"/>
  <c r="AS765" i="1"/>
  <c r="AX765" i="1" s="1"/>
  <c r="BA829" i="8"/>
  <c r="AS714" i="8"/>
  <c r="BA714" i="8" s="1"/>
  <c r="AS614" i="8"/>
  <c r="AY614" i="8" s="1"/>
  <c r="AS666" i="8"/>
  <c r="AX666" i="8" s="1"/>
  <c r="AS697" i="8"/>
  <c r="AV697" i="8" s="1"/>
  <c r="AS703" i="1"/>
  <c r="AV703" i="1" s="1"/>
  <c r="AS304" i="8"/>
  <c r="AW304" i="8" s="1"/>
  <c r="AS415" i="8"/>
  <c r="AX415" i="8" s="1"/>
  <c r="AS568" i="8"/>
  <c r="BB140" i="1"/>
  <c r="AS379" i="8"/>
  <c r="BA379" i="8" s="1"/>
  <c r="AS581" i="8"/>
  <c r="AV581" i="8" s="1"/>
  <c r="AS232" i="8"/>
  <c r="AX232" i="8" s="1"/>
  <c r="AS496" i="8"/>
  <c r="BA496" i="8" s="1"/>
  <c r="AS295" i="8"/>
  <c r="AX295" i="8" s="1"/>
  <c r="AS241" i="8"/>
  <c r="BA241" i="8" s="1"/>
  <c r="AS442" i="8"/>
  <c r="AX442" i="8" s="1"/>
  <c r="AS94" i="1"/>
  <c r="AW94" i="1" s="1"/>
  <c r="AS760" i="1"/>
  <c r="AY760" i="1" s="1"/>
  <c r="AS373" i="8"/>
  <c r="BA373" i="8" s="1"/>
  <c r="AS259" i="8"/>
  <c r="AX259" i="8" s="1"/>
  <c r="AS649" i="8"/>
  <c r="AW649" i="8" s="1"/>
  <c r="AS721" i="1"/>
  <c r="AV721" i="1" s="1"/>
  <c r="AS684" i="1"/>
  <c r="AW684" i="1" s="1"/>
  <c r="BB684" i="1"/>
  <c r="AS707" i="1"/>
  <c r="AW707" i="1" s="1"/>
  <c r="BB721" i="1"/>
  <c r="AS775" i="1"/>
  <c r="AW775" i="1" s="1"/>
  <c r="AS682" i="1"/>
  <c r="AV682" i="1" s="1"/>
  <c r="AS435" i="8"/>
  <c r="AZ435" i="8" s="1"/>
  <c r="AX727" i="8"/>
  <c r="AS159" i="1"/>
  <c r="AW159" i="1" s="1"/>
  <c r="AS704" i="1"/>
  <c r="AS759" i="1"/>
  <c r="AX759" i="1" s="1"/>
  <c r="AS592" i="8"/>
  <c r="BA592" i="8" s="1"/>
  <c r="AS749" i="8"/>
  <c r="BA749" i="8" s="1"/>
  <c r="AS262" i="8"/>
  <c r="AV262" i="8" s="1"/>
  <c r="AS577" i="8"/>
  <c r="AZ577" i="8" s="1"/>
  <c r="AY727" i="8"/>
  <c r="AS489" i="8"/>
  <c r="BA489" i="8" s="1"/>
  <c r="AS331" i="8"/>
  <c r="AZ727" i="8"/>
  <c r="AS669" i="1"/>
  <c r="AV669" i="1" s="1"/>
  <c r="AS561" i="8"/>
  <c r="AW561" i="8" s="1"/>
  <c r="AS453" i="8"/>
  <c r="AW453" i="8" s="1"/>
  <c r="AS395" i="8"/>
  <c r="AX395" i="8" s="1"/>
  <c r="AS728" i="1"/>
  <c r="AV728" i="1" s="1"/>
  <c r="AS769" i="1"/>
  <c r="AV769" i="1" s="1"/>
  <c r="AS473" i="8"/>
  <c r="AS755" i="1"/>
  <c r="AW755" i="1" s="1"/>
  <c r="AV727" i="8"/>
  <c r="AS758" i="1"/>
  <c r="AX758" i="1" s="1"/>
  <c r="AS169" i="8"/>
  <c r="AZ169" i="8" s="1"/>
  <c r="AS490" i="8"/>
  <c r="AW490" i="8" s="1"/>
  <c r="BB550" i="8"/>
  <c r="AS550" i="8"/>
  <c r="AS596" i="8"/>
  <c r="BB596" i="8"/>
  <c r="AS674" i="8"/>
  <c r="AY674" i="8" s="1"/>
  <c r="AS447" i="8"/>
  <c r="BA447" i="8" s="1"/>
  <c r="AS643" i="8"/>
  <c r="AV606" i="8"/>
  <c r="AS677" i="1"/>
  <c r="AW677" i="1" s="1"/>
  <c r="AS545" i="8"/>
  <c r="AW545" i="8" s="1"/>
  <c r="BA606" i="8"/>
  <c r="AS612" i="8"/>
  <c r="AV612" i="8" s="1"/>
  <c r="AS679" i="8"/>
  <c r="AX679" i="8" s="1"/>
  <c r="AS571" i="8"/>
  <c r="BA571" i="8" s="1"/>
  <c r="AS299" i="8"/>
  <c r="AW299" i="8" s="1"/>
  <c r="AS322" i="8"/>
  <c r="AZ322" i="8" s="1"/>
  <c r="AW606" i="8"/>
  <c r="AS413" i="8"/>
  <c r="AY413" i="8" s="1"/>
  <c r="AS741" i="1"/>
  <c r="AW741" i="1" s="1"/>
  <c r="AS235" i="8"/>
  <c r="AX235" i="8" s="1"/>
  <c r="AS694" i="8"/>
  <c r="BA694" i="8" s="1"/>
  <c r="AX606" i="8"/>
  <c r="BB447" i="8"/>
  <c r="AS246" i="8"/>
  <c r="AX246" i="8" s="1"/>
  <c r="AY606" i="8"/>
  <c r="AS320" i="8"/>
  <c r="AY320" i="8" s="1"/>
  <c r="AS739" i="8"/>
  <c r="AZ739" i="8" s="1"/>
  <c r="AS711" i="8"/>
  <c r="AW711" i="8" s="1"/>
  <c r="AS516" i="8"/>
  <c r="AZ516" i="8" s="1"/>
  <c r="AS302" i="8"/>
  <c r="AZ302" i="8" s="1"/>
  <c r="AS478" i="8"/>
  <c r="BA478" i="8" s="1"/>
  <c r="AS729" i="8"/>
  <c r="AZ729" i="8" s="1"/>
  <c r="AS364" i="8"/>
  <c r="AY364" i="8" s="1"/>
  <c r="AS198" i="8"/>
  <c r="AY198" i="8" s="1"/>
  <c r="AS621" i="8"/>
  <c r="AV621" i="8" s="1"/>
  <c r="BB470" i="8"/>
  <c r="AS470" i="8"/>
  <c r="AS678" i="1"/>
  <c r="AV678" i="1" s="1"/>
  <c r="AS250" i="8"/>
  <c r="AZ250" i="8" s="1"/>
  <c r="AS748" i="8"/>
  <c r="AZ748" i="8" s="1"/>
  <c r="AS686" i="8"/>
  <c r="BA686" i="8" s="1"/>
  <c r="AS706" i="8"/>
  <c r="AX706" i="8" s="1"/>
  <c r="AS715" i="8"/>
  <c r="AZ715" i="8" s="1"/>
  <c r="AS159" i="8"/>
  <c r="AY159" i="8" s="1"/>
  <c r="AS769" i="8"/>
  <c r="AY769" i="8" s="1"/>
  <c r="AS699" i="8"/>
  <c r="AZ699" i="8" s="1"/>
  <c r="AS208" i="8"/>
  <c r="AW208" i="8" s="1"/>
  <c r="AS441" i="8"/>
  <c r="AY441" i="8" s="1"/>
  <c r="AS691" i="8"/>
  <c r="AV691" i="8" s="1"/>
  <c r="AS495" i="8"/>
  <c r="AZ495" i="8" s="1"/>
  <c r="AS731" i="8"/>
  <c r="AY731" i="8" s="1"/>
  <c r="AS710" i="8"/>
  <c r="AW710" i="8" s="1"/>
  <c r="AS297" i="8"/>
  <c r="BA297" i="8" s="1"/>
  <c r="AS376" i="8"/>
  <c r="AZ376" i="8" s="1"/>
  <c r="AS750" i="8"/>
  <c r="BA750" i="8" s="1"/>
  <c r="AS603" i="8"/>
  <c r="BA603" i="8" s="1"/>
  <c r="AS690" i="8"/>
  <c r="AW690" i="8" s="1"/>
  <c r="AS271" i="8"/>
  <c r="AX271" i="8" s="1"/>
  <c r="AS601" i="8"/>
  <c r="AZ601" i="8" s="1"/>
  <c r="AS458" i="8"/>
  <c r="AZ458" i="8" s="1"/>
  <c r="AS261" i="8"/>
  <c r="AV261" i="8" s="1"/>
  <c r="AS655" i="8"/>
  <c r="AZ655" i="8" s="1"/>
  <c r="AS233" i="8"/>
  <c r="AY233" i="8" s="1"/>
  <c r="AS388" i="8"/>
  <c r="BA388" i="8" s="1"/>
  <c r="AS275" i="8"/>
  <c r="BA275" i="8" s="1"/>
  <c r="AS417" i="8"/>
  <c r="AW417" i="8" s="1"/>
  <c r="AS477" i="8"/>
  <c r="BA477" i="8" s="1"/>
  <c r="BB661" i="8"/>
  <c r="AS661" i="8"/>
  <c r="AS712" i="1"/>
  <c r="AZ712" i="1" s="1"/>
  <c r="AS514" i="8"/>
  <c r="AY514" i="8" s="1"/>
  <c r="AS353" i="8"/>
  <c r="BA353" i="8" s="1"/>
  <c r="AS638" i="8"/>
  <c r="AY638" i="8" s="1"/>
  <c r="AS391" i="8"/>
  <c r="AY391" i="8" s="1"/>
  <c r="AS414" i="8"/>
  <c r="BB414" i="8"/>
  <c r="BB396" i="8"/>
  <c r="AS396" i="8"/>
  <c r="AS542" i="8"/>
  <c r="AZ542" i="8" s="1"/>
  <c r="AS712" i="8"/>
  <c r="AV712" i="8" s="1"/>
  <c r="AS622" i="8"/>
  <c r="BA622" i="8" s="1"/>
  <c r="BB477" i="8"/>
  <c r="AS503" i="8"/>
  <c r="AZ503" i="8" s="1"/>
  <c r="AS324" i="8"/>
  <c r="BA324" i="8" s="1"/>
  <c r="AS227" i="8"/>
  <c r="AX227" i="8" s="1"/>
  <c r="AS536" i="8"/>
  <c r="AX536" i="8" s="1"/>
  <c r="AS742" i="8"/>
  <c r="AZ742" i="8" s="1"/>
  <c r="AS483" i="8"/>
  <c r="AX483" i="8" s="1"/>
  <c r="AS696" i="8"/>
  <c r="AW696" i="8" s="1"/>
  <c r="AS317" i="8"/>
  <c r="AW317" i="8" s="1"/>
  <c r="AS602" i="8"/>
  <c r="AY602" i="8" s="1"/>
  <c r="AS498" i="8"/>
  <c r="AV498" i="8" s="1"/>
  <c r="AS499" i="8"/>
  <c r="AX499" i="8" s="1"/>
  <c r="AS459" i="8"/>
  <c r="AV459" i="8" s="1"/>
  <c r="AS288" i="8"/>
  <c r="AV288" i="8" s="1"/>
  <c r="AS678" i="8"/>
  <c r="AV678" i="8" s="1"/>
  <c r="AS740" i="8"/>
  <c r="AZ740" i="8" s="1"/>
  <c r="AS293" i="8"/>
  <c r="AZ293" i="8" s="1"/>
  <c r="AS372" i="8"/>
  <c r="AY372" i="8" s="1"/>
  <c r="AS351" i="8"/>
  <c r="AX351" i="8" s="1"/>
  <c r="AS700" i="8"/>
  <c r="AX700" i="8" s="1"/>
  <c r="AS616" i="8"/>
  <c r="AY616" i="8" s="1"/>
  <c r="AS739" i="1"/>
  <c r="BA739" i="1" s="1"/>
  <c r="AS534" i="8"/>
  <c r="BA534" i="8" s="1"/>
  <c r="AS309" i="8"/>
  <c r="AZ309" i="8" s="1"/>
  <c r="AS237" i="8"/>
  <c r="AX237" i="8" s="1"/>
  <c r="AS301" i="8"/>
  <c r="AX301" i="8" s="1"/>
  <c r="AS422" i="8"/>
  <c r="AY422" i="8" s="1"/>
  <c r="AS419" i="8"/>
  <c r="BA419" i="8" s="1"/>
  <c r="AS340" i="8"/>
  <c r="AX340" i="8" s="1"/>
  <c r="AS466" i="8"/>
  <c r="AZ466" i="8" s="1"/>
  <c r="AS266" i="8"/>
  <c r="AZ266" i="8" s="1"/>
  <c r="BB621" i="8"/>
  <c r="AS335" i="8"/>
  <c r="BA335" i="8" s="1"/>
  <c r="AS560" i="8"/>
  <c r="AV560" i="8" s="1"/>
  <c r="BB662" i="8"/>
  <c r="AS662" i="8"/>
  <c r="AS252" i="8"/>
  <c r="AY252" i="8" s="1"/>
  <c r="AS402" i="8"/>
  <c r="AX402" i="8" s="1"/>
  <c r="AS439" i="8"/>
  <c r="AY439" i="8" s="1"/>
  <c r="AS401" i="8"/>
  <c r="BA401" i="8" s="1"/>
  <c r="AS268" i="8"/>
  <c r="AY268" i="8" s="1"/>
  <c r="AS713" i="8"/>
  <c r="AV713" i="8" s="1"/>
  <c r="AS588" i="8"/>
  <c r="AW588" i="8" s="1"/>
  <c r="AS323" i="8"/>
  <c r="BA323" i="8" s="1"/>
  <c r="BB646" i="8"/>
  <c r="AS646" i="8"/>
  <c r="BB549" i="8"/>
  <c r="AS549" i="8"/>
  <c r="AS492" i="8"/>
  <c r="BB492" i="8"/>
  <c r="AS485" i="8"/>
  <c r="AZ485" i="8" s="1"/>
  <c r="AS114" i="8"/>
  <c r="BB114" i="8"/>
  <c r="BB647" i="8"/>
  <c r="AS647" i="8"/>
  <c r="BB630" i="8"/>
  <c r="AS630" i="8"/>
  <c r="BB651" i="8"/>
  <c r="AS651" i="8"/>
  <c r="AS648" i="8"/>
  <c r="BB648" i="8"/>
  <c r="BB722" i="8"/>
  <c r="AS722" i="8"/>
  <c r="BB387" i="8"/>
  <c r="AS387" i="8"/>
  <c r="BB436" i="8"/>
  <c r="AS436" i="8"/>
  <c r="AS675" i="8"/>
  <c r="AX675" i="8" s="1"/>
  <c r="AS584" i="8"/>
  <c r="BB584" i="8"/>
  <c r="AS597" i="8"/>
  <c r="BB597" i="8"/>
  <c r="AS188" i="8"/>
  <c r="BB188" i="8"/>
  <c r="BB359" i="8"/>
  <c r="AS359" i="8"/>
  <c r="AS426" i="8"/>
  <c r="BB426" i="8"/>
  <c r="BB189" i="8"/>
  <c r="AS189" i="8"/>
  <c r="AS615" i="8"/>
  <c r="BB615" i="8"/>
  <c r="AS653" i="8"/>
  <c r="BB653" i="8"/>
  <c r="AS693" i="8"/>
  <c r="BB693" i="8"/>
  <c r="AS224" i="8"/>
  <c r="BB224" i="8"/>
  <c r="AS582" i="8"/>
  <c r="BB582" i="8"/>
  <c r="AS569" i="8"/>
  <c r="BB569" i="8"/>
  <c r="AS371" i="8"/>
  <c r="BB371" i="8"/>
  <c r="BB446" i="8"/>
  <c r="AS446" i="8"/>
  <c r="BB390" i="8"/>
  <c r="AS390" i="8"/>
  <c r="AS755" i="8"/>
  <c r="BB755" i="8"/>
  <c r="AS775" i="8"/>
  <c r="BB775" i="8"/>
  <c r="AS587" i="8"/>
  <c r="BB587" i="8"/>
  <c r="AS354" i="8"/>
  <c r="BB354" i="8"/>
  <c r="BB217" i="8"/>
  <c r="AS217" i="8"/>
  <c r="AS349" i="8"/>
  <c r="AV349" i="8" s="1"/>
  <c r="AS270" i="8"/>
  <c r="BB270" i="8"/>
  <c r="AS605" i="8"/>
  <c r="BB605" i="8"/>
  <c r="BB448" i="8"/>
  <c r="AS448" i="8"/>
  <c r="BB247" i="8"/>
  <c r="AS247" i="8"/>
  <c r="AS656" i="8"/>
  <c r="AY656" i="8" s="1"/>
  <c r="AS747" i="8"/>
  <c r="BB747" i="8"/>
  <c r="AS230" i="8"/>
  <c r="BB230" i="8"/>
  <c r="AS543" i="8"/>
  <c r="BA543" i="8" s="1"/>
  <c r="AS521" i="8"/>
  <c r="AS512" i="8"/>
  <c r="AV512" i="8" s="1"/>
  <c r="AS682" i="8"/>
  <c r="BB682" i="8"/>
  <c r="BB547" i="8"/>
  <c r="AS547" i="8"/>
  <c r="AS501" i="8"/>
  <c r="BB501" i="8"/>
  <c r="AS223" i="8"/>
  <c r="BB223" i="8"/>
  <c r="BB565" i="8"/>
  <c r="AS565" i="8"/>
  <c r="AS721" i="8"/>
  <c r="BB721" i="8"/>
  <c r="AV764" i="8"/>
  <c r="AZ764" i="8"/>
  <c r="AX764" i="8"/>
  <c r="AY764" i="8"/>
  <c r="AW766" i="8"/>
  <c r="AY766" i="8"/>
  <c r="AX766" i="8"/>
  <c r="BA799" i="8"/>
  <c r="O16" i="5"/>
  <c r="AV766" i="8"/>
  <c r="BA766" i="8"/>
  <c r="AZ778" i="8"/>
  <c r="BA778" i="8"/>
  <c r="AV778" i="8"/>
  <c r="AY778" i="8"/>
  <c r="AW778" i="8"/>
  <c r="BA800" i="8"/>
  <c r="AW800" i="8"/>
  <c r="AX800" i="8"/>
  <c r="AY442" i="8"/>
  <c r="AV799" i="8"/>
  <c r="AX799" i="8"/>
  <c r="AW799" i="8"/>
  <c r="AZ799" i="8"/>
  <c r="AZ800" i="8"/>
  <c r="AY800" i="8"/>
  <c r="AS235" i="1"/>
  <c r="AW235" i="1" s="1"/>
  <c r="AX776" i="8"/>
  <c r="AV776" i="8"/>
  <c r="AW776" i="8"/>
  <c r="AZ579" i="8"/>
  <c r="AZ776" i="8"/>
  <c r="AY776" i="8"/>
  <c r="AZ798" i="8"/>
  <c r="AX579" i="8"/>
  <c r="BA554" i="8"/>
  <c r="AX491" i="8"/>
  <c r="AW554" i="8"/>
  <c r="AX735" i="8"/>
  <c r="AX798" i="8"/>
  <c r="BA815" i="8"/>
  <c r="AV798" i="8"/>
  <c r="BA798" i="8"/>
  <c r="AW798" i="8"/>
  <c r="C32" i="3"/>
  <c r="D32" i="3" s="1"/>
  <c r="E32" i="3" s="1"/>
  <c r="F32" i="3" s="1"/>
  <c r="G32" i="3" s="1"/>
  <c r="H32" i="3" s="1"/>
  <c r="I32" i="3" s="1"/>
  <c r="J32" i="3" s="1"/>
  <c r="K32" i="3" s="1"/>
  <c r="L32" i="3" s="1"/>
  <c r="AV491" i="8"/>
  <c r="AW491" i="8"/>
  <c r="AW732" i="8"/>
  <c r="AZ491" i="8"/>
  <c r="BA491" i="8"/>
  <c r="C33" i="3"/>
  <c r="D33" i="3" s="1"/>
  <c r="E33" i="3" s="1"/>
  <c r="F33" i="3" s="1"/>
  <c r="G33" i="3" s="1"/>
  <c r="H33" i="3" s="1"/>
  <c r="I33" i="3" s="1"/>
  <c r="J33" i="3" s="1"/>
  <c r="K33" i="3" s="1"/>
  <c r="L33" i="3" s="1"/>
  <c r="C31" i="3"/>
  <c r="C34" i="3"/>
  <c r="D34" i="3" s="1"/>
  <c r="E34" i="3" s="1"/>
  <c r="F34" i="3" s="1"/>
  <c r="G34" i="3" s="1"/>
  <c r="H34" i="3" s="1"/>
  <c r="I34" i="3" s="1"/>
  <c r="J34" i="3" s="1"/>
  <c r="K34" i="3" s="1"/>
  <c r="L34" i="3" s="1"/>
  <c r="AY832" i="8"/>
  <c r="AV554" i="8"/>
  <c r="AX554" i="8"/>
  <c r="AX319" i="8"/>
  <c r="AZ832" i="8"/>
  <c r="AY554" i="8"/>
  <c r="BA319" i="8"/>
  <c r="AW782" i="8"/>
  <c r="AY782" i="8"/>
  <c r="AW815" i="8"/>
  <c r="AZ735" i="8"/>
  <c r="AY815" i="8"/>
  <c r="BA735" i="8"/>
  <c r="AZ815" i="8"/>
  <c r="AS725" i="1"/>
  <c r="AW725" i="1" s="1"/>
  <c r="AX815" i="8"/>
  <c r="C85" i="3"/>
  <c r="C127" i="3" s="1"/>
  <c r="AV735" i="8"/>
  <c r="AW735" i="8"/>
  <c r="L106" i="3"/>
  <c r="L113" i="3" s="1"/>
  <c r="L122" i="3" s="1"/>
  <c r="K113" i="3"/>
  <c r="K122" i="3" s="1"/>
  <c r="AW760" i="8"/>
  <c r="BA767" i="8"/>
  <c r="N12" i="5"/>
  <c r="AV832" i="8"/>
  <c r="AW832" i="8"/>
  <c r="L15" i="5"/>
  <c r="AV782" i="8"/>
  <c r="BA832" i="8"/>
  <c r="AZ782" i="8"/>
  <c r="BA782" i="8"/>
  <c r="AZ13" i="8"/>
  <c r="AW804" i="8"/>
  <c r="AY804" i="8"/>
  <c r="AW774" i="8"/>
  <c r="AY772" i="8"/>
  <c r="M16" i="5"/>
  <c r="AZ779" i="1"/>
  <c r="AW779" i="1"/>
  <c r="AV772" i="8"/>
  <c r="AZ772" i="8"/>
  <c r="AV804" i="8"/>
  <c r="AX772" i="8"/>
  <c r="AZ804" i="8"/>
  <c r="BA772" i="8"/>
  <c r="BA804" i="8"/>
  <c r="Q11" i="5"/>
  <c r="AV774" i="8"/>
  <c r="R16" i="5"/>
  <c r="AX779" i="1"/>
  <c r="AV13" i="8"/>
  <c r="AY774" i="8"/>
  <c r="AY779" i="1"/>
  <c r="AW13" i="8"/>
  <c r="AX774" i="8"/>
  <c r="AX13" i="8"/>
  <c r="AZ774" i="8"/>
  <c r="AY714" i="1"/>
  <c r="BA13" i="8"/>
  <c r="AV779" i="1"/>
  <c r="AW757" i="8"/>
  <c r="BA757" i="8"/>
  <c r="AZ757" i="8"/>
  <c r="AX757" i="8"/>
  <c r="AY757" i="8"/>
  <c r="AV757" i="8"/>
  <c r="BA668" i="8"/>
  <c r="AZ366" i="8"/>
  <c r="AY366" i="8"/>
  <c r="AW366" i="8"/>
  <c r="BA366" i="8"/>
  <c r="AW482" i="8"/>
  <c r="BA482" i="8"/>
  <c r="AZ482" i="8"/>
  <c r="AX482" i="8"/>
  <c r="AV482" i="8"/>
  <c r="AS192" i="8"/>
  <c r="BB192" i="8"/>
  <c r="BB87" i="8"/>
  <c r="AS87" i="8"/>
  <c r="AX593" i="8"/>
  <c r="AZ593" i="8"/>
  <c r="BA593" i="8"/>
  <c r="BB518" i="8"/>
  <c r="AS518" i="8"/>
  <c r="AW93" i="8"/>
  <c r="AZ93" i="8"/>
  <c r="AY93" i="8"/>
  <c r="AX93" i="8"/>
  <c r="BA93" i="8"/>
  <c r="AV93" i="8"/>
  <c r="AX670" i="8"/>
  <c r="AW341" i="8"/>
  <c r="AX341" i="8"/>
  <c r="AY341" i="8"/>
  <c r="AZ341" i="8"/>
  <c r="AX49" i="8"/>
  <c r="BA49" i="8"/>
  <c r="AY49" i="8"/>
  <c r="AW49" i="8"/>
  <c r="AZ49" i="8"/>
  <c r="AV49" i="8"/>
  <c r="AX209" i="8"/>
  <c r="BA209" i="8"/>
  <c r="AZ209" i="8"/>
  <c r="AY209" i="8"/>
  <c r="AW209" i="8"/>
  <c r="AV209" i="8"/>
  <c r="BA125" i="8"/>
  <c r="AW125" i="8"/>
  <c r="AX125" i="8"/>
  <c r="AZ125" i="8"/>
  <c r="AY125" i="8"/>
  <c r="AV125" i="8"/>
  <c r="AZ21" i="8"/>
  <c r="AY21" i="8"/>
  <c r="AX21" i="8"/>
  <c r="BA21" i="8"/>
  <c r="AW21" i="8"/>
  <c r="AV21" i="8"/>
  <c r="BA824" i="8"/>
  <c r="AZ824" i="8"/>
  <c r="AX824" i="8"/>
  <c r="AY824" i="8"/>
  <c r="AW824" i="8"/>
  <c r="AV824" i="8"/>
  <c r="AY823" i="8"/>
  <c r="AW823" i="8"/>
  <c r="AZ823" i="8"/>
  <c r="AX823" i="8"/>
  <c r="BA823" i="8"/>
  <c r="AV823" i="8"/>
  <c r="AW338" i="8"/>
  <c r="AY338" i="8"/>
  <c r="AV338" i="8"/>
  <c r="AS551" i="8"/>
  <c r="BB551" i="8"/>
  <c r="AX594" i="8"/>
  <c r="AW594" i="8"/>
  <c r="BA594" i="8"/>
  <c r="AY594" i="8"/>
  <c r="AZ594" i="8"/>
  <c r="AV594" i="8"/>
  <c r="BB308" i="8"/>
  <c r="AS308" i="8"/>
  <c r="BB535" i="8"/>
  <c r="AS535" i="8"/>
  <c r="AY486" i="8"/>
  <c r="BA669" i="8"/>
  <c r="AW669" i="8"/>
  <c r="AZ142" i="8"/>
  <c r="AX142" i="8"/>
  <c r="BA142" i="8"/>
  <c r="AW142" i="8"/>
  <c r="AY142" i="8"/>
  <c r="AV142" i="8"/>
  <c r="AX786" i="8"/>
  <c r="BA786" i="8"/>
  <c r="AZ786" i="8"/>
  <c r="AW786" i="8"/>
  <c r="AY786" i="8"/>
  <c r="AV786" i="8"/>
  <c r="AY788" i="8"/>
  <c r="BA788" i="8"/>
  <c r="AX788" i="8"/>
  <c r="AZ788" i="8"/>
  <c r="AW788" i="8"/>
  <c r="AV788" i="8"/>
  <c r="AZ506" i="8"/>
  <c r="AX506" i="8"/>
  <c r="AV506" i="8"/>
  <c r="AZ423" i="8"/>
  <c r="BA423" i="8"/>
  <c r="AW423" i="8"/>
  <c r="AX212" i="8"/>
  <c r="AW578" i="8"/>
  <c r="AX578" i="8"/>
  <c r="AV578" i="8"/>
  <c r="AZ164" i="8"/>
  <c r="AY164" i="8"/>
  <c r="AX164" i="8"/>
  <c r="AW164" i="8"/>
  <c r="BA164" i="8"/>
  <c r="AV164" i="8"/>
  <c r="AZ94" i="8"/>
  <c r="AX94" i="8"/>
  <c r="AW94" i="8"/>
  <c r="BA94" i="8"/>
  <c r="AY94" i="8"/>
  <c r="AV94" i="8"/>
  <c r="AX41" i="8"/>
  <c r="AY41" i="8"/>
  <c r="AW41" i="8"/>
  <c r="BA41" i="8"/>
  <c r="AZ41" i="8"/>
  <c r="AV41" i="8"/>
  <c r="BB541" i="8"/>
  <c r="AS541" i="8"/>
  <c r="BB405" i="8"/>
  <c r="AS405" i="8"/>
  <c r="AZ381" i="8"/>
  <c r="AW723" i="8"/>
  <c r="BA723" i="8"/>
  <c r="AX723" i="8"/>
  <c r="AV723" i="8"/>
  <c r="AW190" i="8"/>
  <c r="BA190" i="8"/>
  <c r="AZ190" i="8"/>
  <c r="AY190" i="8"/>
  <c r="AX190" i="8"/>
  <c r="AV190" i="8"/>
  <c r="AZ627" i="8"/>
  <c r="BA802" i="8"/>
  <c r="AZ802" i="8"/>
  <c r="AY802" i="8"/>
  <c r="AX802" i="8"/>
  <c r="AW802" i="8"/>
  <c r="AV802" i="8"/>
  <c r="BB607" i="8"/>
  <c r="AS607" i="8"/>
  <c r="BB500" i="8"/>
  <c r="AS500" i="8"/>
  <c r="BB502" i="8"/>
  <c r="AS502" i="8"/>
  <c r="AS625" i="8"/>
  <c r="BB625" i="8"/>
  <c r="AS515" i="8"/>
  <c r="BB515" i="8"/>
  <c r="AZ5" i="8"/>
  <c r="AY5" i="8"/>
  <c r="AW5" i="8"/>
  <c r="BA5" i="8"/>
  <c r="AX5" i="8"/>
  <c r="AV5" i="8"/>
  <c r="BB249" i="8"/>
  <c r="AS249" i="8"/>
  <c r="BA754" i="8"/>
  <c r="AZ754" i="8"/>
  <c r="AY754" i="8"/>
  <c r="AX754" i="8"/>
  <c r="AW754" i="8"/>
  <c r="AV754" i="8"/>
  <c r="BA67" i="8"/>
  <c r="AZ67" i="8"/>
  <c r="AY67" i="8"/>
  <c r="AW67" i="8"/>
  <c r="AX67" i="8"/>
  <c r="AV67" i="8"/>
  <c r="AY205" i="8"/>
  <c r="AW205" i="8"/>
  <c r="AX205" i="8"/>
  <c r="AZ205" i="8"/>
  <c r="BA205" i="8"/>
  <c r="AV205" i="8"/>
  <c r="AZ795" i="8"/>
  <c r="AY795" i="8"/>
  <c r="AX795" i="8"/>
  <c r="AW795" i="8"/>
  <c r="BA795" i="8"/>
  <c r="AV795" i="8"/>
  <c r="AZ52" i="8"/>
  <c r="AY52" i="8"/>
  <c r="BA52" i="8"/>
  <c r="AX52" i="8"/>
  <c r="AW52" i="8"/>
  <c r="AV52" i="8"/>
  <c r="AZ438" i="8"/>
  <c r="AW438" i="8"/>
  <c r="AY753" i="8"/>
  <c r="BA753" i="8"/>
  <c r="AZ753" i="8"/>
  <c r="AX753" i="8"/>
  <c r="AW753" i="8"/>
  <c r="AV753" i="8"/>
  <c r="AX296" i="8"/>
  <c r="AW296" i="8"/>
  <c r="AX783" i="8"/>
  <c r="BA783" i="8"/>
  <c r="AW783" i="8"/>
  <c r="AZ783" i="8"/>
  <c r="AY783" i="8"/>
  <c r="AV783" i="8"/>
  <c r="AS725" i="8"/>
  <c r="BB725" i="8"/>
  <c r="AZ213" i="8"/>
  <c r="AW213" i="8"/>
  <c r="AW127" i="8"/>
  <c r="BA127" i="8"/>
  <c r="AZ127" i="8"/>
  <c r="AY127" i="8"/>
  <c r="AX127" i="8"/>
  <c r="AV127" i="8"/>
  <c r="BA334" i="8"/>
  <c r="AZ334" i="8"/>
  <c r="AW334" i="8"/>
  <c r="AY334" i="8"/>
  <c r="AX334" i="8"/>
  <c r="AV334" i="8"/>
  <c r="AY109" i="8"/>
  <c r="AX109" i="8"/>
  <c r="AW109" i="8"/>
  <c r="AZ109" i="8"/>
  <c r="BA109" i="8"/>
  <c r="AV109" i="8"/>
  <c r="AZ140" i="8"/>
  <c r="AW140" i="8"/>
  <c r="AX140" i="8"/>
  <c r="AY140" i="8"/>
  <c r="BA140" i="8"/>
  <c r="AV140" i="8"/>
  <c r="AW116" i="8"/>
  <c r="AY116" i="8"/>
  <c r="AX116" i="8"/>
  <c r="BA116" i="8"/>
  <c r="AZ116" i="8"/>
  <c r="AV116" i="8"/>
  <c r="BB326" i="8"/>
  <c r="AS326" i="8"/>
  <c r="BB574" i="8"/>
  <c r="AS574" i="8"/>
  <c r="AW409" i="8"/>
  <c r="BA409" i="8"/>
  <c r="AZ409" i="8"/>
  <c r="AY409" i="8"/>
  <c r="AX409" i="8"/>
  <c r="AV409" i="8"/>
  <c r="AY398" i="8"/>
  <c r="AX398" i="8"/>
  <c r="AZ398" i="8"/>
  <c r="AZ91" i="8"/>
  <c r="BA91" i="8"/>
  <c r="AY91" i="8"/>
  <c r="AX91" i="8"/>
  <c r="AW91" i="8"/>
  <c r="AV91" i="8"/>
  <c r="AX68" i="8"/>
  <c r="AW68" i="8"/>
  <c r="AZ68" i="8"/>
  <c r="AY68" i="8"/>
  <c r="BA68" i="8"/>
  <c r="AV68" i="8"/>
  <c r="AW34" i="8"/>
  <c r="AY34" i="8"/>
  <c r="AX34" i="8"/>
  <c r="AZ34" i="8"/>
  <c r="BA34" i="8"/>
  <c r="AV34" i="8"/>
  <c r="AS292" i="8"/>
  <c r="BB292" i="8"/>
  <c r="BB14" i="8"/>
  <c r="AS14" i="8"/>
  <c r="AX460" i="8"/>
  <c r="AY460" i="8"/>
  <c r="AZ460" i="8"/>
  <c r="AW460" i="8"/>
  <c r="BA460" i="8"/>
  <c r="AV460" i="8"/>
  <c r="BA196" i="8"/>
  <c r="AW196" i="8"/>
  <c r="AX196" i="8"/>
  <c r="AY196" i="8"/>
  <c r="AZ196" i="8"/>
  <c r="AV196" i="8"/>
  <c r="BA248" i="8"/>
  <c r="AY248" i="8"/>
  <c r="AV248" i="8"/>
  <c r="BB202" i="8"/>
  <c r="AS202" i="8"/>
  <c r="BA156" i="8"/>
  <c r="AZ156" i="8"/>
  <c r="AX156" i="8"/>
  <c r="AW156" i="8"/>
  <c r="AY156" i="8"/>
  <c r="AV156" i="8"/>
  <c r="BA736" i="8"/>
  <c r="AZ736" i="8"/>
  <c r="AY736" i="8"/>
  <c r="AW736" i="8"/>
  <c r="AX736" i="8"/>
  <c r="AV736" i="8"/>
  <c r="BA201" i="8"/>
  <c r="AZ201" i="8"/>
  <c r="AY201" i="8"/>
  <c r="AX201" i="8"/>
  <c r="AW201" i="8"/>
  <c r="AV201" i="8"/>
  <c r="AX36" i="8"/>
  <c r="AZ36" i="8"/>
  <c r="AY36" i="8"/>
  <c r="AW36" i="8"/>
  <c r="BA36" i="8"/>
  <c r="AV36" i="8"/>
  <c r="BA58" i="8"/>
  <c r="AW58" i="8"/>
  <c r="AX58" i="8"/>
  <c r="AZ58" i="8"/>
  <c r="AY58" i="8"/>
  <c r="AV58" i="8"/>
  <c r="BA813" i="8"/>
  <c r="AZ813" i="8"/>
  <c r="AY813" i="8"/>
  <c r="AX813" i="8"/>
  <c r="AW813" i="8"/>
  <c r="AV813" i="8"/>
  <c r="AS330" i="8"/>
  <c r="BB330" i="8"/>
  <c r="BB562" i="8"/>
  <c r="AS562" i="8"/>
  <c r="BB339" i="8"/>
  <c r="AS339" i="8"/>
  <c r="BB462" i="8"/>
  <c r="AS462" i="8"/>
  <c r="BB236" i="8"/>
  <c r="AS236" i="8"/>
  <c r="BA136" i="8"/>
  <c r="AZ136" i="8"/>
  <c r="AW136" i="8"/>
  <c r="AX136" i="8"/>
  <c r="AY136" i="8"/>
  <c r="AV136" i="8"/>
  <c r="BB240" i="8"/>
  <c r="AS240" i="8"/>
  <c r="AZ789" i="8"/>
  <c r="AY789" i="8"/>
  <c r="BA789" i="8"/>
  <c r="AX789" i="8"/>
  <c r="AW789" i="8"/>
  <c r="AV789" i="8"/>
  <c r="AZ600" i="8"/>
  <c r="AV600" i="8"/>
  <c r="AX20" i="8"/>
  <c r="BA20" i="8"/>
  <c r="AZ20" i="8"/>
  <c r="AY20" i="8"/>
  <c r="AW20" i="8"/>
  <c r="AV20" i="8"/>
  <c r="AY147" i="8"/>
  <c r="AW147" i="8"/>
  <c r="AZ147" i="8"/>
  <c r="AX147" i="8"/>
  <c r="BA147" i="8"/>
  <c r="AV147" i="8"/>
  <c r="BB310" i="8"/>
  <c r="AS310" i="8"/>
  <c r="AV72" i="8"/>
  <c r="AX72" i="8"/>
  <c r="AZ72" i="8"/>
  <c r="AW72" i="8"/>
  <c r="AY72" i="8"/>
  <c r="BA72" i="8"/>
  <c r="AY820" i="8"/>
  <c r="AX820" i="8"/>
  <c r="BA820" i="8"/>
  <c r="AZ820" i="8"/>
  <c r="AW820" i="8"/>
  <c r="AV820" i="8"/>
  <c r="BA163" i="8"/>
  <c r="AZ163" i="8"/>
  <c r="AW163" i="8"/>
  <c r="AX163" i="8"/>
  <c r="AY163" i="8"/>
  <c r="AV163" i="8"/>
  <c r="AZ609" i="8"/>
  <c r="AW315" i="8"/>
  <c r="BA315" i="8"/>
  <c r="AX315" i="8"/>
  <c r="AZ315" i="8"/>
  <c r="AY315" i="8"/>
  <c r="AV315" i="8"/>
  <c r="AW698" i="8"/>
  <c r="BA698" i="8"/>
  <c r="AZ698" i="8"/>
  <c r="AY698" i="8"/>
  <c r="AX698" i="8"/>
  <c r="AV698" i="8"/>
  <c r="AY568" i="8"/>
  <c r="AX568" i="8"/>
  <c r="BA568" i="8"/>
  <c r="AW568" i="8"/>
  <c r="AZ568" i="8"/>
  <c r="AV568" i="8"/>
  <c r="BB743" i="8"/>
  <c r="AS743" i="8"/>
  <c r="BA167" i="8"/>
  <c r="AW167" i="8"/>
  <c r="AZ167" i="8"/>
  <c r="AY167" i="8"/>
  <c r="AX167" i="8"/>
  <c r="AV167" i="8"/>
  <c r="AY28" i="8"/>
  <c r="AZ28" i="8"/>
  <c r="AW28" i="8"/>
  <c r="BA28" i="8"/>
  <c r="AX28" i="8"/>
  <c r="AV28" i="8"/>
  <c r="AV558" i="8"/>
  <c r="BA161" i="8"/>
  <c r="AZ161" i="8"/>
  <c r="AY161" i="8"/>
  <c r="AW161" i="8"/>
  <c r="AX161" i="8"/>
  <c r="AV161" i="8"/>
  <c r="BB274" i="8"/>
  <c r="AS274" i="8"/>
  <c r="BA479" i="8"/>
  <c r="AZ479" i="8"/>
  <c r="AY479" i="8"/>
  <c r="AW479" i="8"/>
  <c r="AX479" i="8"/>
  <c r="AV479" i="8"/>
  <c r="AZ816" i="8"/>
  <c r="AX816" i="8"/>
  <c r="AY816" i="8"/>
  <c r="AW816" i="8"/>
  <c r="BA816" i="8"/>
  <c r="AV816" i="8"/>
  <c r="AS162" i="8"/>
  <c r="BB162" i="8"/>
  <c r="AZ707" i="8"/>
  <c r="AY707" i="8"/>
  <c r="AV707" i="8"/>
  <c r="AX286" i="8"/>
  <c r="AY286" i="8"/>
  <c r="AY77" i="8"/>
  <c r="AZ77" i="8"/>
  <c r="AW77" i="8"/>
  <c r="AX77" i="8"/>
  <c r="BA77" i="8"/>
  <c r="AV77" i="8"/>
  <c r="BA746" i="8"/>
  <c r="AZ746" i="8"/>
  <c r="AY746" i="8"/>
  <c r="AW746" i="8"/>
  <c r="AX746" i="8"/>
  <c r="AV746" i="8"/>
  <c r="AW7" i="8"/>
  <c r="AZ7" i="8"/>
  <c r="AY7" i="8"/>
  <c r="BA7" i="8"/>
  <c r="AX7" i="8"/>
  <c r="AV7" i="8"/>
  <c r="AS2" i="8"/>
  <c r="BB2" i="8"/>
  <c r="BA300" i="8"/>
  <c r="AX801" i="8"/>
  <c r="BA801" i="8"/>
  <c r="AW801" i="8"/>
  <c r="AZ801" i="8"/>
  <c r="AY801" i="8"/>
  <c r="AV801" i="8"/>
  <c r="BB508" i="8"/>
  <c r="AS508" i="8"/>
  <c r="BA150" i="8"/>
  <c r="AZ150" i="8"/>
  <c r="AW150" i="8"/>
  <c r="AY150" i="8"/>
  <c r="AX150" i="8"/>
  <c r="AV150" i="8"/>
  <c r="BA146" i="8"/>
  <c r="AZ146" i="8"/>
  <c r="AY146" i="8"/>
  <c r="AW146" i="8"/>
  <c r="AX146" i="8"/>
  <c r="AV146" i="8"/>
  <c r="AW342" i="8"/>
  <c r="AX342" i="8"/>
  <c r="AV342" i="8"/>
  <c r="BA814" i="8"/>
  <c r="AZ814" i="8"/>
  <c r="AX814" i="8"/>
  <c r="AY814" i="8"/>
  <c r="AW814" i="8"/>
  <c r="AV814" i="8"/>
  <c r="AW143" i="8"/>
  <c r="BA143" i="8"/>
  <c r="AZ143" i="8"/>
  <c r="AX143" i="8"/>
  <c r="AY143" i="8"/>
  <c r="AV143" i="8"/>
  <c r="AX101" i="8"/>
  <c r="AW101" i="8"/>
  <c r="BA101" i="8"/>
  <c r="AY101" i="8"/>
  <c r="AZ101" i="8"/>
  <c r="AV101" i="8"/>
  <c r="BB563" i="8"/>
  <c r="AS563" i="8"/>
  <c r="AW717" i="8"/>
  <c r="BA717" i="8"/>
  <c r="AY717" i="8"/>
  <c r="AZ717" i="8"/>
  <c r="AX717" i="8"/>
  <c r="AV717" i="8"/>
  <c r="BB761" i="8"/>
  <c r="AS761" i="8"/>
  <c r="BA133" i="8"/>
  <c r="AY133" i="8"/>
  <c r="AW133" i="8"/>
  <c r="AZ133" i="8"/>
  <c r="AX133" i="8"/>
  <c r="AV133" i="8"/>
  <c r="AX33" i="8"/>
  <c r="AW33" i="8"/>
  <c r="AZ33" i="8"/>
  <c r="BA33" i="8"/>
  <c r="AY33" i="8"/>
  <c r="AV33" i="8"/>
  <c r="BB92" i="8"/>
  <c r="AS92" i="8"/>
  <c r="BB529" i="8"/>
  <c r="AS529" i="8"/>
  <c r="BB507" i="8"/>
  <c r="AS507" i="8"/>
  <c r="AY137" i="8"/>
  <c r="AW137" i="8"/>
  <c r="BA137" i="8"/>
  <c r="AZ137" i="8"/>
  <c r="AX137" i="8"/>
  <c r="AV137" i="8"/>
  <c r="BB659" i="8"/>
  <c r="AS659" i="8"/>
  <c r="AV808" i="8"/>
  <c r="AW808" i="8"/>
  <c r="AY808" i="8"/>
  <c r="BA808" i="8"/>
  <c r="AZ808" i="8"/>
  <c r="AX808" i="8"/>
  <c r="AS113" i="8"/>
  <c r="BB113" i="8"/>
  <c r="BA604" i="8"/>
  <c r="BA112" i="8"/>
  <c r="AZ112" i="8"/>
  <c r="AW112" i="8"/>
  <c r="AX112" i="8"/>
  <c r="AY112" i="8"/>
  <c r="AV112" i="8"/>
  <c r="AZ56" i="8"/>
  <c r="AY56" i="8"/>
  <c r="BA56" i="8"/>
  <c r="AX56" i="8"/>
  <c r="AW56" i="8"/>
  <c r="AV56" i="8"/>
  <c r="AX633" i="8"/>
  <c r="AY633" i="8"/>
  <c r="AZ633" i="8"/>
  <c r="AW633" i="8"/>
  <c r="BA633" i="8"/>
  <c r="AV633" i="8"/>
  <c r="AS290" i="8"/>
  <c r="BB290" i="8"/>
  <c r="AS524" i="8"/>
  <c r="BB524" i="8"/>
  <c r="AZ809" i="8"/>
  <c r="AY809" i="8"/>
  <c r="AW809" i="8"/>
  <c r="AX809" i="8"/>
  <c r="BA809" i="8"/>
  <c r="AV809" i="8"/>
  <c r="BA787" i="8"/>
  <c r="AZ787" i="8"/>
  <c r="AY787" i="8"/>
  <c r="AW787" i="8"/>
  <c r="AX787" i="8"/>
  <c r="AV787" i="8"/>
  <c r="AZ329" i="8"/>
  <c r="BB254" i="8"/>
  <c r="AS254" i="8"/>
  <c r="AW180" i="8"/>
  <c r="BA180" i="8"/>
  <c r="AZ180" i="8"/>
  <c r="AY180" i="8"/>
  <c r="AX180" i="8"/>
  <c r="AV180" i="8"/>
  <c r="AV186" i="8"/>
  <c r="AW186" i="8"/>
  <c r="BA186" i="8"/>
  <c r="AY186" i="8"/>
  <c r="AZ186" i="8"/>
  <c r="AX186" i="8"/>
  <c r="BA122" i="8"/>
  <c r="AZ122" i="8"/>
  <c r="AW122" i="8"/>
  <c r="AX122" i="8"/>
  <c r="AY122" i="8"/>
  <c r="AV122" i="8"/>
  <c r="AY672" i="8"/>
  <c r="AZ672" i="8"/>
  <c r="BA672" i="8"/>
  <c r="AX83" i="8"/>
  <c r="BA83" i="8"/>
  <c r="AW83" i="8"/>
  <c r="AZ83" i="8"/>
  <c r="AY83" i="8"/>
  <c r="AV83" i="8"/>
  <c r="AS62" i="8"/>
  <c r="BB62" i="8"/>
  <c r="AY685" i="8"/>
  <c r="AV685" i="8"/>
  <c r="BB18" i="8"/>
  <c r="AS18" i="8"/>
  <c r="BB393" i="8"/>
  <c r="AS393" i="8"/>
  <c r="AX19" i="8"/>
  <c r="AW19" i="8"/>
  <c r="AZ19" i="8"/>
  <c r="BA19" i="8"/>
  <c r="AY19" i="8"/>
  <c r="AV19" i="8"/>
  <c r="BA221" i="8"/>
  <c r="AS105" i="8"/>
  <c r="BB105" i="8"/>
  <c r="AY197" i="8"/>
  <c r="AX197" i="8"/>
  <c r="AW197" i="8"/>
  <c r="BA197" i="8"/>
  <c r="AZ197" i="8"/>
  <c r="AV197" i="8"/>
  <c r="AS552" i="8"/>
  <c r="BB552" i="8"/>
  <c r="AW539" i="8"/>
  <c r="AY8" i="8"/>
  <c r="AW8" i="8"/>
  <c r="BA8" i="8"/>
  <c r="AX8" i="8"/>
  <c r="AZ8" i="8"/>
  <c r="AV8" i="8"/>
  <c r="AZ25" i="8"/>
  <c r="AY25" i="8"/>
  <c r="AX25" i="8"/>
  <c r="AW25" i="8"/>
  <c r="BA25" i="8"/>
  <c r="AV25" i="8"/>
  <c r="AS716" i="8"/>
  <c r="BB716" i="8"/>
  <c r="AZ96" i="8"/>
  <c r="BA96" i="8"/>
  <c r="AY96" i="8"/>
  <c r="AX96" i="8"/>
  <c r="AW96" i="8"/>
  <c r="AV96" i="8"/>
  <c r="AY46" i="8"/>
  <c r="BA46" i="8"/>
  <c r="AX46" i="8"/>
  <c r="AW46" i="8"/>
  <c r="AZ46" i="8"/>
  <c r="AV46" i="8"/>
  <c r="AZ11" i="8"/>
  <c r="AY11" i="8"/>
  <c r="BA11" i="8"/>
  <c r="AW11" i="8"/>
  <c r="AX11" i="8"/>
  <c r="AV11" i="8"/>
  <c r="AX745" i="8"/>
  <c r="AW745" i="8"/>
  <c r="AZ745" i="8"/>
  <c r="BA745" i="8"/>
  <c r="AY745" i="8"/>
  <c r="AV745" i="8"/>
  <c r="AZ99" i="8"/>
  <c r="AY99" i="8"/>
  <c r="BA99" i="8"/>
  <c r="AW99" i="8"/>
  <c r="AX99" i="8"/>
  <c r="AV99" i="8"/>
  <c r="AV452" i="8"/>
  <c r="AZ452" i="8"/>
  <c r="AY452" i="8"/>
  <c r="AW452" i="8"/>
  <c r="BA452" i="8"/>
  <c r="AX452" i="8"/>
  <c r="AS272" i="8"/>
  <c r="BB272" i="8"/>
  <c r="AW117" i="8"/>
  <c r="BA117" i="8"/>
  <c r="AZ117" i="8"/>
  <c r="AX117" i="8"/>
  <c r="AY117" i="8"/>
  <c r="AV117" i="8"/>
  <c r="AZ333" i="8"/>
  <c r="AW639" i="8"/>
  <c r="AX660" i="8"/>
  <c r="AZ660" i="8"/>
  <c r="AZ95" i="8"/>
  <c r="BA95" i="8"/>
  <c r="AW95" i="8"/>
  <c r="AY95" i="8"/>
  <c r="AX95" i="8"/>
  <c r="AV95" i="8"/>
  <c r="BB30" i="8"/>
  <c r="AS30" i="8"/>
  <c r="AX15" i="8"/>
  <c r="AW15" i="8"/>
  <c r="AZ15" i="8"/>
  <c r="AY15" i="8"/>
  <c r="BA15" i="8"/>
  <c r="AV15" i="8"/>
  <c r="BB386" i="8"/>
  <c r="AS386" i="8"/>
  <c r="BA242" i="8"/>
  <c r="AX158" i="8"/>
  <c r="BA158" i="8"/>
  <c r="AW158" i="8"/>
  <c r="AZ158" i="8"/>
  <c r="AY158" i="8"/>
  <c r="AV158" i="8"/>
  <c r="AY825" i="8"/>
  <c r="AW825" i="8"/>
  <c r="BA825" i="8"/>
  <c r="AZ825" i="8"/>
  <c r="AX825" i="8"/>
  <c r="AV825" i="8"/>
  <c r="BB443" i="8"/>
  <c r="AS443" i="8"/>
  <c r="BB591" i="8"/>
  <c r="AS591" i="8"/>
  <c r="AY204" i="8"/>
  <c r="AZ204" i="8"/>
  <c r="AX204" i="8"/>
  <c r="AW204" i="8"/>
  <c r="BA204" i="8"/>
  <c r="AV204" i="8"/>
  <c r="BA35" i="8"/>
  <c r="AW35" i="8"/>
  <c r="AX35" i="8"/>
  <c r="AZ35" i="8"/>
  <c r="AY35" i="8"/>
  <c r="AV35" i="8"/>
  <c r="AZ260" i="8"/>
  <c r="BB118" i="8"/>
  <c r="AS118" i="8"/>
  <c r="AY316" i="8"/>
  <c r="AW316" i="8"/>
  <c r="AV316" i="8"/>
  <c r="BB530" i="8"/>
  <c r="AS530" i="8"/>
  <c r="AS424" i="8"/>
  <c r="BB424" i="8"/>
  <c r="BB555" i="8"/>
  <c r="AS555" i="8"/>
  <c r="BB533" i="8"/>
  <c r="AS533" i="8"/>
  <c r="AS513" i="8"/>
  <c r="BB513" i="8"/>
  <c r="AW380" i="8"/>
  <c r="BA380" i="8"/>
  <c r="AV380" i="8"/>
  <c r="AX313" i="8"/>
  <c r="AZ313" i="8"/>
  <c r="AY313" i="8"/>
  <c r="AY130" i="8"/>
  <c r="AX130" i="8"/>
  <c r="AZ130" i="8"/>
  <c r="AW130" i="8"/>
  <c r="BA130" i="8"/>
  <c r="AV130" i="8"/>
  <c r="BA175" i="8"/>
  <c r="AZ175" i="8"/>
  <c r="AX175" i="8"/>
  <c r="AW175" i="8"/>
  <c r="AY175" i="8"/>
  <c r="AV175" i="8"/>
  <c r="AS54" i="8"/>
  <c r="BB54" i="8"/>
  <c r="AS276" i="8"/>
  <c r="BB276" i="8"/>
  <c r="BA88" i="8"/>
  <c r="AW88" i="8"/>
  <c r="AX88" i="8"/>
  <c r="AZ88" i="8"/>
  <c r="AY88" i="8"/>
  <c r="AV88" i="8"/>
  <c r="AS285" i="8"/>
  <c r="BB285" i="8"/>
  <c r="AW352" i="8"/>
  <c r="AV352" i="8"/>
  <c r="AW184" i="8"/>
  <c r="BA184" i="8"/>
  <c r="AY184" i="8"/>
  <c r="AZ184" i="8"/>
  <c r="AX184" i="8"/>
  <c r="AV184" i="8"/>
  <c r="AY796" i="8"/>
  <c r="BA796" i="8"/>
  <c r="AZ796" i="8"/>
  <c r="AX796" i="8"/>
  <c r="AW796" i="8"/>
  <c r="AV796" i="8"/>
  <c r="BB172" i="8"/>
  <c r="AS172" i="8"/>
  <c r="BA110" i="8"/>
  <c r="AZ110" i="8"/>
  <c r="AY110" i="8"/>
  <c r="AX110" i="8"/>
  <c r="AW110" i="8"/>
  <c r="AV110" i="8"/>
  <c r="AZ726" i="8"/>
  <c r="AY726" i="8"/>
  <c r="AX726" i="8"/>
  <c r="AW726" i="8"/>
  <c r="BA726" i="8"/>
  <c r="AV726" i="8"/>
  <c r="AX155" i="8"/>
  <c r="BA155" i="8"/>
  <c r="AY155" i="8"/>
  <c r="AW155" i="8"/>
  <c r="AZ155" i="8"/>
  <c r="AV155" i="8"/>
  <c r="BA173" i="8"/>
  <c r="AZ173" i="8"/>
  <c r="AY173" i="8"/>
  <c r="AX173" i="8"/>
  <c r="AW173" i="8"/>
  <c r="AV173" i="8"/>
  <c r="AW827" i="8"/>
  <c r="BA827" i="8"/>
  <c r="AZ827" i="8"/>
  <c r="AX827" i="8"/>
  <c r="AY827" i="8"/>
  <c r="AV827" i="8"/>
  <c r="AS519" i="8"/>
  <c r="BB519" i="8"/>
  <c r="BB546" i="8"/>
  <c r="AS546" i="8"/>
  <c r="AV687" i="8"/>
  <c r="BA85" i="8"/>
  <c r="AZ85" i="8"/>
  <c r="AW85" i="8"/>
  <c r="AY85" i="8"/>
  <c r="AX85" i="8"/>
  <c r="AV85" i="8"/>
  <c r="BB74" i="8"/>
  <c r="AS74" i="8"/>
  <c r="AW570" i="8"/>
  <c r="BA570" i="8"/>
  <c r="BB303" i="8"/>
  <c r="AS303" i="8"/>
  <c r="AZ619" i="8"/>
  <c r="AW619" i="8"/>
  <c r="BA619" i="8"/>
  <c r="AY619" i="8"/>
  <c r="AX619" i="8"/>
  <c r="AV619" i="8"/>
  <c r="AW121" i="8"/>
  <c r="BA121" i="8"/>
  <c r="AY121" i="8"/>
  <c r="AX121" i="8"/>
  <c r="AZ121" i="8"/>
  <c r="AV121" i="8"/>
  <c r="AV394" i="8"/>
  <c r="AX27" i="8"/>
  <c r="AW27" i="8"/>
  <c r="AZ27" i="8"/>
  <c r="BA27" i="8"/>
  <c r="AY27" i="8"/>
  <c r="AV27" i="8"/>
  <c r="BA75" i="8"/>
  <c r="AZ75" i="8"/>
  <c r="AY75" i="8"/>
  <c r="AW75" i="8"/>
  <c r="AX75" i="8"/>
  <c r="AV75" i="8"/>
  <c r="AW123" i="8"/>
  <c r="BA123" i="8"/>
  <c r="AY123" i="8"/>
  <c r="AZ123" i="8"/>
  <c r="AX123" i="8"/>
  <c r="AV123" i="8"/>
  <c r="BA273" i="8"/>
  <c r="AZ273" i="8"/>
  <c r="AY273" i="8"/>
  <c r="AX273" i="8"/>
  <c r="AW273" i="8"/>
  <c r="AV273" i="8"/>
  <c r="AY434" i="8"/>
  <c r="AV434" i="8"/>
  <c r="AW805" i="8"/>
  <c r="AX805" i="8"/>
  <c r="AY805" i="8"/>
  <c r="AZ805" i="8"/>
  <c r="BA805" i="8"/>
  <c r="AV805" i="8"/>
  <c r="BB26" i="8"/>
  <c r="AS26" i="8"/>
  <c r="AV160" i="8"/>
  <c r="BA160" i="8"/>
  <c r="AZ160" i="8"/>
  <c r="AY160" i="8"/>
  <c r="AW160" i="8"/>
  <c r="AX160" i="8"/>
  <c r="BB481" i="8"/>
  <c r="AS481" i="8"/>
  <c r="AW216" i="8"/>
  <c r="AY216" i="8"/>
  <c r="BB658" i="8"/>
  <c r="AS658" i="8"/>
  <c r="AX89" i="8"/>
  <c r="AY89" i="8"/>
  <c r="BA89" i="8"/>
  <c r="AZ89" i="8"/>
  <c r="AW89" i="8"/>
  <c r="AV89" i="8"/>
  <c r="AV794" i="8"/>
  <c r="AY794" i="8"/>
  <c r="BA794" i="8"/>
  <c r="AZ794" i="8"/>
  <c r="AX794" i="8"/>
  <c r="AW794" i="8"/>
  <c r="BA461" i="8"/>
  <c r="AZ461" i="8"/>
  <c r="AV461" i="8"/>
  <c r="AY474" i="8"/>
  <c r="AX474" i="8"/>
  <c r="AW474" i="8"/>
  <c r="BA474" i="8"/>
  <c r="AZ474" i="8"/>
  <c r="AV474" i="8"/>
  <c r="AZ337" i="8"/>
  <c r="AW337" i="8"/>
  <c r="AV337" i="8"/>
  <c r="BB450" i="8"/>
  <c r="AS450" i="8"/>
  <c r="AY187" i="8"/>
  <c r="AW187" i="8"/>
  <c r="BA187" i="8"/>
  <c r="AX187" i="8"/>
  <c r="AZ187" i="8"/>
  <c r="AV187" i="8"/>
  <c r="AV404" i="8"/>
  <c r="BA181" i="8"/>
  <c r="AZ181" i="8"/>
  <c r="AY181" i="8"/>
  <c r="AX181" i="8"/>
  <c r="AW181" i="8"/>
  <c r="AV181" i="8"/>
  <c r="AS431" i="8"/>
  <c r="BB431" i="8"/>
  <c r="AX149" i="8"/>
  <c r="AW149" i="8"/>
  <c r="AY149" i="8"/>
  <c r="BA149" i="8"/>
  <c r="AZ149" i="8"/>
  <c r="AV149" i="8"/>
  <c r="AW78" i="8"/>
  <c r="AX78" i="8"/>
  <c r="AZ78" i="8"/>
  <c r="AY78" i="8"/>
  <c r="BA78" i="8"/>
  <c r="AV78" i="8"/>
  <c r="AY145" i="8"/>
  <c r="AW145" i="8"/>
  <c r="AZ145" i="8"/>
  <c r="BA145" i="8"/>
  <c r="AX145" i="8"/>
  <c r="AV145" i="8"/>
  <c r="AX520" i="8"/>
  <c r="AS328" i="8"/>
  <c r="BB328" i="8"/>
  <c r="AX107" i="8"/>
  <c r="AZ107" i="8"/>
  <c r="BA107" i="8"/>
  <c r="AY107" i="8"/>
  <c r="AW107" i="8"/>
  <c r="AV107" i="8"/>
  <c r="AY12" i="8"/>
  <c r="AZ12" i="8"/>
  <c r="AW12" i="8"/>
  <c r="BA12" i="8"/>
  <c r="AX12" i="8"/>
  <c r="AV12" i="8"/>
  <c r="AZ3" i="8"/>
  <c r="AY3" i="8"/>
  <c r="BA3" i="8"/>
  <c r="AX3" i="8"/>
  <c r="AW3" i="8"/>
  <c r="AV3" i="8"/>
  <c r="AZ119" i="8"/>
  <c r="AY119" i="8"/>
  <c r="AX119" i="8"/>
  <c r="AW119" i="8"/>
  <c r="BA119" i="8"/>
  <c r="AV119" i="8"/>
  <c r="AX80" i="8"/>
  <c r="AW80" i="8"/>
  <c r="AY80" i="8"/>
  <c r="BA80" i="8"/>
  <c r="AZ80" i="8"/>
  <c r="AV80" i="8"/>
  <c r="AZ432" i="8"/>
  <c r="AY86" i="8"/>
  <c r="BA86" i="8"/>
  <c r="AW86" i="8"/>
  <c r="AZ86" i="8"/>
  <c r="AX86" i="8"/>
  <c r="AV86" i="8"/>
  <c r="AX154" i="8"/>
  <c r="BA154" i="8"/>
  <c r="AZ154" i="8"/>
  <c r="AW154" i="8"/>
  <c r="AY154" i="8"/>
  <c r="AV154" i="8"/>
  <c r="AZ553" i="8"/>
  <c r="BA31" i="8"/>
  <c r="AW31" i="8"/>
  <c r="AX31" i="8"/>
  <c r="AZ31" i="8"/>
  <c r="AY31" i="8"/>
  <c r="AV31" i="8"/>
  <c r="BB526" i="8"/>
  <c r="AS526" i="8"/>
  <c r="AW115" i="8"/>
  <c r="AZ115" i="8"/>
  <c r="AY115" i="8"/>
  <c r="BA115" i="8"/>
  <c r="AX115" i="8"/>
  <c r="AV115" i="8"/>
  <c r="AS488" i="8"/>
  <c r="BB488" i="8"/>
  <c r="AZ370" i="8"/>
  <c r="AX370" i="8"/>
  <c r="AY370" i="8"/>
  <c r="AW370" i="8"/>
  <c r="BA370" i="8"/>
  <c r="AV370" i="8"/>
  <c r="AX51" i="8"/>
  <c r="AY51" i="8"/>
  <c r="BA51" i="8"/>
  <c r="AW51" i="8"/>
  <c r="AZ51" i="8"/>
  <c r="AV51" i="8"/>
  <c r="BA183" i="8"/>
  <c r="AX183" i="8"/>
  <c r="AZ183" i="8"/>
  <c r="AY183" i="8"/>
  <c r="AW183" i="8"/>
  <c r="AV183" i="8"/>
  <c r="AX17" i="8"/>
  <c r="AW17" i="8"/>
  <c r="AZ17" i="8"/>
  <c r="BA17" i="8"/>
  <c r="AY17" i="8"/>
  <c r="AV17" i="8"/>
  <c r="AV623" i="8"/>
  <c r="BA822" i="8"/>
  <c r="AZ822" i="8"/>
  <c r="AW822" i="8"/>
  <c r="AY822" i="8"/>
  <c r="AX822" i="8"/>
  <c r="AV822" i="8"/>
  <c r="AY24" i="8"/>
  <c r="BA24" i="8"/>
  <c r="AW24" i="8"/>
  <c r="AZ24" i="8"/>
  <c r="AX24" i="8"/>
  <c r="AV24" i="8"/>
  <c r="AW671" i="8"/>
  <c r="AY671" i="8"/>
  <c r="AX671" i="8"/>
  <c r="AY45" i="8"/>
  <c r="AW45" i="8"/>
  <c r="AX45" i="8"/>
  <c r="BA45" i="8"/>
  <c r="AZ45" i="8"/>
  <c r="AV45" i="8"/>
  <c r="AX138" i="8"/>
  <c r="BA138" i="8"/>
  <c r="AW138" i="8"/>
  <c r="AZ138" i="8"/>
  <c r="AY138" i="8"/>
  <c r="AV138" i="8"/>
  <c r="AY429" i="8"/>
  <c r="AV759" i="8"/>
  <c r="AY567" i="8"/>
  <c r="BB559" i="8"/>
  <c r="AS559" i="8"/>
  <c r="BB469" i="8"/>
  <c r="AS469" i="8"/>
  <c r="AV159" i="8"/>
  <c r="AW287" i="8"/>
  <c r="AX287" i="8"/>
  <c r="AY287" i="8"/>
  <c r="AZ287" i="8"/>
  <c r="BA287" i="8"/>
  <c r="AV287" i="8"/>
  <c r="AY111" i="8"/>
  <c r="AW111" i="8"/>
  <c r="AX111" i="8"/>
  <c r="BA111" i="8"/>
  <c r="AZ111" i="8"/>
  <c r="AV111" i="8"/>
  <c r="BA347" i="8"/>
  <c r="AY347" i="8"/>
  <c r="AV347" i="8"/>
  <c r="AZ29" i="8"/>
  <c r="AY29" i="8"/>
  <c r="BA29" i="8"/>
  <c r="AW29" i="8"/>
  <c r="AX29" i="8"/>
  <c r="AV29" i="8"/>
  <c r="AX10" i="8"/>
  <c r="AZ10" i="8"/>
  <c r="AW10" i="8"/>
  <c r="AY10" i="8"/>
  <c r="BA10" i="8"/>
  <c r="AV10" i="8"/>
  <c r="AY445" i="8"/>
  <c r="AV108" i="8"/>
  <c r="AX108" i="8"/>
  <c r="AZ108" i="8"/>
  <c r="BA108" i="8"/>
  <c r="AY108" i="8"/>
  <c r="AW108" i="8"/>
  <c r="BA65" i="8"/>
  <c r="AZ65" i="8"/>
  <c r="AY65" i="8"/>
  <c r="AX65" i="8"/>
  <c r="AW65" i="8"/>
  <c r="AV65" i="8"/>
  <c r="AX331" i="8"/>
  <c r="AW331" i="8"/>
  <c r="AZ331" i="8"/>
  <c r="AY331" i="8"/>
  <c r="BA331" i="8"/>
  <c r="AV331" i="8"/>
  <c r="BB256" i="8"/>
  <c r="AS256" i="8"/>
  <c r="BB608" i="8"/>
  <c r="AS608" i="8"/>
  <c r="BB152" i="8"/>
  <c r="AS152" i="8"/>
  <c r="BA663" i="8"/>
  <c r="AX810" i="8"/>
  <c r="AW810" i="8"/>
  <c r="AY810" i="8"/>
  <c r="AZ810" i="8"/>
  <c r="BA810" i="8"/>
  <c r="AV810" i="8"/>
  <c r="BA81" i="8"/>
  <c r="AZ81" i="8"/>
  <c r="AY81" i="8"/>
  <c r="AW81" i="8"/>
  <c r="AX81" i="8"/>
  <c r="AV81" i="8"/>
  <c r="AS412" i="8"/>
  <c r="BB412" i="8"/>
  <c r="AW176" i="8"/>
  <c r="BA176" i="8"/>
  <c r="AX176" i="8"/>
  <c r="AZ176" i="8"/>
  <c r="AY176" i="8"/>
  <c r="AV176" i="8"/>
  <c r="AZ383" i="8"/>
  <c r="BA383" i="8"/>
  <c r="AV383" i="8"/>
  <c r="BA4" i="8"/>
  <c r="AZ4" i="8"/>
  <c r="AW4" i="8"/>
  <c r="AY4" i="8"/>
  <c r="AX4" i="8"/>
  <c r="AV4" i="8"/>
  <c r="AZ194" i="8"/>
  <c r="AX194" i="8"/>
  <c r="BA194" i="8"/>
  <c r="AW194" i="8"/>
  <c r="AY194" i="8"/>
  <c r="AV194" i="8"/>
  <c r="AY468" i="8"/>
  <c r="BA103" i="8"/>
  <c r="AW103" i="8"/>
  <c r="AY103" i="8"/>
  <c r="AX103" i="8"/>
  <c r="AZ103" i="8"/>
  <c r="AV103" i="8"/>
  <c r="AX48" i="8"/>
  <c r="AW48" i="8"/>
  <c r="AZ48" i="8"/>
  <c r="AY48" i="8"/>
  <c r="BA48" i="8"/>
  <c r="AV48" i="8"/>
  <c r="AX807" i="8"/>
  <c r="BA807" i="8"/>
  <c r="AZ807" i="8"/>
  <c r="AY807" i="8"/>
  <c r="AW807" i="8"/>
  <c r="AV807" i="8"/>
  <c r="AX106" i="8"/>
  <c r="AY106" i="8"/>
  <c r="BA106" i="8"/>
  <c r="AZ106" i="8"/>
  <c r="AW106" i="8"/>
  <c r="AV106" i="8"/>
  <c r="AW427" i="8"/>
  <c r="AZ229" i="8"/>
  <c r="AY229" i="8"/>
  <c r="AX234" i="8"/>
  <c r="AY234" i="8"/>
  <c r="BA234" i="8"/>
  <c r="AW234" i="8"/>
  <c r="AZ234" i="8"/>
  <c r="AV234" i="8"/>
  <c r="AW210" i="8"/>
  <c r="BA210" i="8"/>
  <c r="AY210" i="8"/>
  <c r="AX210" i="8"/>
  <c r="AZ210" i="8"/>
  <c r="AV210" i="8"/>
  <c r="BB537" i="8"/>
  <c r="AS537" i="8"/>
  <c r="AX779" i="8"/>
  <c r="BA779" i="8"/>
  <c r="AZ779" i="8"/>
  <c r="AY779" i="8"/>
  <c r="AW779" i="8"/>
  <c r="AV779" i="8"/>
  <c r="AX566" i="8"/>
  <c r="AY129" i="8"/>
  <c r="AW129" i="8"/>
  <c r="BA129" i="8"/>
  <c r="AX129" i="8"/>
  <c r="AZ129" i="8"/>
  <c r="AV129" i="8"/>
  <c r="AX806" i="8"/>
  <c r="AZ806" i="8"/>
  <c r="BA806" i="8"/>
  <c r="AY806" i="8"/>
  <c r="AW806" i="8"/>
  <c r="AV806" i="8"/>
  <c r="AW382" i="8"/>
  <c r="AX165" i="8"/>
  <c r="AZ165" i="8"/>
  <c r="BA165" i="8"/>
  <c r="AY165" i="8"/>
  <c r="AW165" i="8"/>
  <c r="AV165" i="8"/>
  <c r="AX39" i="8"/>
  <c r="AW39" i="8"/>
  <c r="BA39" i="8"/>
  <c r="AZ39" i="8"/>
  <c r="AY39" i="8"/>
  <c r="AV39" i="8"/>
  <c r="AY454" i="8"/>
  <c r="AY719" i="8"/>
  <c r="AX719" i="8"/>
  <c r="AS139" i="8"/>
  <c r="BB139" i="8"/>
  <c r="BA141" i="8"/>
  <c r="AZ141" i="8"/>
  <c r="AX141" i="8"/>
  <c r="AY141" i="8"/>
  <c r="AW141" i="8"/>
  <c r="AV141" i="8"/>
  <c r="AS590" i="8"/>
  <c r="BB590" i="8"/>
  <c r="AX37" i="8"/>
  <c r="AW37" i="8"/>
  <c r="AY37" i="8"/>
  <c r="BA37" i="8"/>
  <c r="AZ37" i="8"/>
  <c r="AV37" i="8"/>
  <c r="BB557" i="8"/>
  <c r="AS557" i="8"/>
  <c r="AZ200" i="8"/>
  <c r="AW200" i="8"/>
  <c r="BA200" i="8"/>
  <c r="AY200" i="8"/>
  <c r="AX200" i="8"/>
  <c r="AV200" i="8"/>
  <c r="AY812" i="8"/>
  <c r="AZ812" i="8"/>
  <c r="AW812" i="8"/>
  <c r="BA812" i="8"/>
  <c r="AX812" i="8"/>
  <c r="AV812" i="8"/>
  <c r="AS573" i="8"/>
  <c r="BB573" i="8"/>
  <c r="AY207" i="8"/>
  <c r="BA207" i="8"/>
  <c r="AW207" i="8"/>
  <c r="AX207" i="8"/>
  <c r="AZ207" i="8"/>
  <c r="AV207" i="8"/>
  <c r="AW269" i="8"/>
  <c r="AX834" i="8"/>
  <c r="BA834" i="8"/>
  <c r="AW834" i="8"/>
  <c r="AZ834" i="8"/>
  <c r="AY834" i="8"/>
  <c r="AV834" i="8"/>
  <c r="AX596" i="8"/>
  <c r="AW596" i="8"/>
  <c r="BA596" i="8"/>
  <c r="AZ596" i="8"/>
  <c r="AY596" i="8"/>
  <c r="AV596" i="8"/>
  <c r="AY621" i="8"/>
  <c r="BB182" i="8"/>
  <c r="AS182" i="8"/>
  <c r="AX738" i="8"/>
  <c r="AW440" i="8"/>
  <c r="AX440" i="8"/>
  <c r="AZ64" i="8"/>
  <c r="AY64" i="8"/>
  <c r="AX64" i="8"/>
  <c r="BA64" i="8"/>
  <c r="AW64" i="8"/>
  <c r="AV64" i="8"/>
  <c r="BA833" i="8"/>
  <c r="AZ833" i="8"/>
  <c r="AY833" i="8"/>
  <c r="AX833" i="8"/>
  <c r="AW833" i="8"/>
  <c r="AV833" i="8"/>
  <c r="AX73" i="8"/>
  <c r="BA73" i="8"/>
  <c r="AY73" i="8"/>
  <c r="AZ73" i="8"/>
  <c r="AW73" i="8"/>
  <c r="AV73" i="8"/>
  <c r="BA195" i="8"/>
  <c r="AZ195" i="8"/>
  <c r="AY195" i="8"/>
  <c r="AW195" i="8"/>
  <c r="AX195" i="8"/>
  <c r="AV195" i="8"/>
  <c r="AV714" i="8"/>
  <c r="AS144" i="8"/>
  <c r="BB144" i="8"/>
  <c r="BB131" i="8"/>
  <c r="AS131" i="8"/>
  <c r="AW90" i="8"/>
  <c r="BA90" i="8"/>
  <c r="AY90" i="8"/>
  <c r="AZ90" i="8"/>
  <c r="AX90" i="8"/>
  <c r="AV90" i="8"/>
  <c r="AX9" i="8"/>
  <c r="BA9" i="8"/>
  <c r="AW9" i="8"/>
  <c r="AZ9" i="8"/>
  <c r="AY9" i="8"/>
  <c r="AV9" i="8"/>
  <c r="AS42" i="8"/>
  <c r="BB42" i="8"/>
  <c r="AZ781" i="8"/>
  <c r="AY781" i="8"/>
  <c r="AX781" i="8"/>
  <c r="AW781" i="8"/>
  <c r="BA781" i="8"/>
  <c r="AV781" i="8"/>
  <c r="AX97" i="8"/>
  <c r="AW97" i="8"/>
  <c r="AZ97" i="8"/>
  <c r="BA97" i="8"/>
  <c r="AY97" i="8"/>
  <c r="AV97" i="8"/>
  <c r="BA59" i="8"/>
  <c r="AZ59" i="8"/>
  <c r="AY59" i="8"/>
  <c r="AW59" i="8"/>
  <c r="AX59" i="8"/>
  <c r="AV59" i="8"/>
  <c r="BB641" i="8"/>
  <c r="AS641" i="8"/>
  <c r="AX174" i="8"/>
  <c r="AW174" i="8"/>
  <c r="AY174" i="8"/>
  <c r="AZ174" i="8"/>
  <c r="BA174" i="8"/>
  <c r="AV174" i="8"/>
  <c r="AS752" i="8"/>
  <c r="BB752" i="8"/>
  <c r="AX102" i="8"/>
  <c r="BA102" i="8"/>
  <c r="AZ102" i="8"/>
  <c r="AY102" i="8"/>
  <c r="AW102" i="8"/>
  <c r="AV102" i="8"/>
  <c r="AS100" i="8"/>
  <c r="BB100" i="8"/>
  <c r="AS38" i="8"/>
  <c r="BB38" i="8"/>
  <c r="AX23" i="8"/>
  <c r="BA23" i="8"/>
  <c r="AZ23" i="8"/>
  <c r="AY23" i="8"/>
  <c r="AW23" i="8"/>
  <c r="AV23" i="8"/>
  <c r="AS258" i="8"/>
  <c r="BB258" i="8"/>
  <c r="AY177" i="8"/>
  <c r="AW177" i="8"/>
  <c r="AX177" i="8"/>
  <c r="BA177" i="8"/>
  <c r="AZ177" i="8"/>
  <c r="AV177" i="8"/>
  <c r="AS511" i="8"/>
  <c r="BB511" i="8"/>
  <c r="BA797" i="8"/>
  <c r="AX797" i="8"/>
  <c r="AZ797" i="8"/>
  <c r="AY797" i="8"/>
  <c r="AW797" i="8"/>
  <c r="AV797" i="8"/>
  <c r="AY835" i="8"/>
  <c r="AX835" i="8"/>
  <c r="AW835" i="8"/>
  <c r="BA835" i="8"/>
  <c r="AZ835" i="8"/>
  <c r="AV835" i="8"/>
  <c r="AY166" i="8"/>
  <c r="BA166" i="8"/>
  <c r="AX166" i="8"/>
  <c r="AZ166" i="8"/>
  <c r="AW166" i="8"/>
  <c r="AV166" i="8"/>
  <c r="BA278" i="8"/>
  <c r="AX278" i="8"/>
  <c r="AZ278" i="8"/>
  <c r="AY278" i="8"/>
  <c r="AW278" i="8"/>
  <c r="AV278" i="8"/>
  <c r="AY55" i="8"/>
  <c r="AZ55" i="8"/>
  <c r="AW55" i="8"/>
  <c r="AX55" i="8"/>
  <c r="BA55" i="8"/>
  <c r="AV55" i="8"/>
  <c r="BA758" i="8"/>
  <c r="AZ758" i="8"/>
  <c r="AY758" i="8"/>
  <c r="AX758" i="8"/>
  <c r="AW758" i="8"/>
  <c r="AV758" i="8"/>
  <c r="BA63" i="8"/>
  <c r="AX63" i="8"/>
  <c r="AZ63" i="8"/>
  <c r="AY63" i="8"/>
  <c r="AW63" i="8"/>
  <c r="AV63" i="8"/>
  <c r="AX711" i="8"/>
  <c r="AZ98" i="8"/>
  <c r="AW98" i="8"/>
  <c r="BA98" i="8"/>
  <c r="AY98" i="8"/>
  <c r="AX98" i="8"/>
  <c r="AV98" i="8"/>
  <c r="AX53" i="8"/>
  <c r="AW53" i="8"/>
  <c r="AY53" i="8"/>
  <c r="BA53" i="8"/>
  <c r="AZ53" i="8"/>
  <c r="AV53" i="8"/>
  <c r="BB540" i="8"/>
  <c r="AS540" i="8"/>
  <c r="AX44" i="8"/>
  <c r="AW44" i="8"/>
  <c r="AZ44" i="8"/>
  <c r="AY44" i="8"/>
  <c r="BA44" i="8"/>
  <c r="AV44" i="8"/>
  <c r="AX191" i="8"/>
  <c r="BA191" i="8"/>
  <c r="AY191" i="8"/>
  <c r="AZ191" i="8"/>
  <c r="AW191" i="8"/>
  <c r="AV191" i="8"/>
  <c r="AX71" i="8"/>
  <c r="AY71" i="8"/>
  <c r="BA71" i="8"/>
  <c r="AW71" i="8"/>
  <c r="AZ71" i="8"/>
  <c r="AV71" i="8"/>
  <c r="AV128" i="8"/>
  <c r="BA128" i="8"/>
  <c r="AZ128" i="8"/>
  <c r="AY128" i="8"/>
  <c r="AX128" i="8"/>
  <c r="AW128" i="8"/>
  <c r="AZ713" i="8"/>
  <c r="BB734" i="8"/>
  <c r="AS734" i="8"/>
  <c r="AW403" i="8"/>
  <c r="AY403" i="8"/>
  <c r="AV403" i="8"/>
  <c r="AW763" i="8"/>
  <c r="AZ763" i="8"/>
  <c r="AX763" i="8"/>
  <c r="AY763" i="8"/>
  <c r="BA763" i="8"/>
  <c r="AV763" i="8"/>
  <c r="AZ421" i="8"/>
  <c r="BA811" i="8"/>
  <c r="AZ811" i="8"/>
  <c r="AY811" i="8"/>
  <c r="AW811" i="8"/>
  <c r="AX811" i="8"/>
  <c r="AV811" i="8"/>
  <c r="AX178" i="8"/>
  <c r="AW617" i="8"/>
  <c r="BA617" i="8"/>
  <c r="AY617" i="8"/>
  <c r="AX617" i="8"/>
  <c r="AZ617" i="8"/>
  <c r="AV617" i="8"/>
  <c r="BB294" i="8"/>
  <c r="AS294" i="8"/>
  <c r="BB321" i="8"/>
  <c r="AS321" i="8"/>
  <c r="AX185" i="8"/>
  <c r="AY185" i="8"/>
  <c r="AW185" i="8"/>
  <c r="BA185" i="8"/>
  <c r="AZ185" i="8"/>
  <c r="AV185" i="8"/>
  <c r="AZ206" i="8"/>
  <c r="AX206" i="8"/>
  <c r="AW206" i="8"/>
  <c r="BA206" i="8"/>
  <c r="AY206" i="8"/>
  <c r="AV206" i="8"/>
  <c r="BA588" i="8"/>
  <c r="AW817" i="8"/>
  <c r="BA817" i="8"/>
  <c r="AX817" i="8"/>
  <c r="AZ817" i="8"/>
  <c r="AY817" i="8"/>
  <c r="AV817" i="8"/>
  <c r="AY211" i="8"/>
  <c r="AW211" i="8"/>
  <c r="AX211" i="8"/>
  <c r="BA211" i="8"/>
  <c r="AZ211" i="8"/>
  <c r="AV211" i="8"/>
  <c r="AZ218" i="8"/>
  <c r="AY218" i="8"/>
  <c r="BA218" i="8"/>
  <c r="AW218" i="8"/>
  <c r="AX218" i="8"/>
  <c r="AV218" i="8"/>
  <c r="AY47" i="8"/>
  <c r="AW47" i="8"/>
  <c r="AX47" i="8"/>
  <c r="BA47" i="8"/>
  <c r="AZ47" i="8"/>
  <c r="AV47" i="8"/>
  <c r="BA134" i="8"/>
  <c r="AZ134" i="8"/>
  <c r="AX134" i="8"/>
  <c r="AW134" i="8"/>
  <c r="AY134" i="8"/>
  <c r="AV134" i="8"/>
  <c r="BA831" i="8"/>
  <c r="AZ831" i="8"/>
  <c r="AX831" i="8"/>
  <c r="AY831" i="8"/>
  <c r="AW831" i="8"/>
  <c r="AV831" i="8"/>
  <c r="AY830" i="8"/>
  <c r="AX830" i="8"/>
  <c r="AW830" i="8"/>
  <c r="BA830" i="8"/>
  <c r="AZ830" i="8"/>
  <c r="AV830" i="8"/>
  <c r="AS624" i="8"/>
  <c r="BB624" i="8"/>
  <c r="BB544" i="8"/>
  <c r="AS544" i="8"/>
  <c r="AY22" i="8"/>
  <c r="AX22" i="8"/>
  <c r="AZ22" i="8"/>
  <c r="AW22" i="8"/>
  <c r="BA22" i="8"/>
  <c r="AV22" i="8"/>
  <c r="AS642" i="8"/>
  <c r="BB642" i="8"/>
  <c r="AZ674" i="8"/>
  <c r="AY828" i="8"/>
  <c r="AZ828" i="8"/>
  <c r="AW828" i="8"/>
  <c r="AX828" i="8"/>
  <c r="BA828" i="8"/>
  <c r="AV828" i="8"/>
  <c r="AX222" i="8"/>
  <c r="AV472" i="8"/>
  <c r="AZ472" i="8"/>
  <c r="AY472" i="8"/>
  <c r="AW472" i="8"/>
  <c r="AX472" i="8"/>
  <c r="BA472" i="8"/>
  <c r="BB312" i="8"/>
  <c r="AS312" i="8"/>
  <c r="AW762" i="8"/>
  <c r="AY762" i="8"/>
  <c r="BA762" i="8"/>
  <c r="AX762" i="8"/>
  <c r="AZ762" i="8"/>
  <c r="AV762" i="8"/>
  <c r="BB267" i="8"/>
  <c r="AS267" i="8"/>
  <c r="BA708" i="8"/>
  <c r="AY708" i="8"/>
  <c r="AX708" i="8"/>
  <c r="BA69" i="8"/>
  <c r="AZ69" i="8"/>
  <c r="AY69" i="8"/>
  <c r="AW69" i="8"/>
  <c r="AX69" i="8"/>
  <c r="AV69" i="8"/>
  <c r="AY437" i="8"/>
  <c r="AW70" i="8"/>
  <c r="AZ70" i="8"/>
  <c r="BA70" i="8"/>
  <c r="AY70" i="8"/>
  <c r="AX70" i="8"/>
  <c r="AV70" i="8"/>
  <c r="AS548" i="8"/>
  <c r="BB548" i="8"/>
  <c r="BA132" i="8"/>
  <c r="AZ132" i="8"/>
  <c r="AW132" i="8"/>
  <c r="AY132" i="8"/>
  <c r="AX132" i="8"/>
  <c r="AV132" i="8"/>
  <c r="AY203" i="8"/>
  <c r="BA203" i="8"/>
  <c r="AW203" i="8"/>
  <c r="AX203" i="8"/>
  <c r="AZ203" i="8"/>
  <c r="AV203" i="8"/>
  <c r="AW348" i="8"/>
  <c r="AY348" i="8"/>
  <c r="AW614" i="8"/>
  <c r="AW791" i="8"/>
  <c r="AY791" i="8"/>
  <c r="BA791" i="8"/>
  <c r="AZ791" i="8"/>
  <c r="AX791" i="8"/>
  <c r="AV791" i="8"/>
  <c r="BB238" i="8"/>
  <c r="AS238" i="8"/>
  <c r="BA728" i="8"/>
  <c r="AY170" i="8"/>
  <c r="BA170" i="8"/>
  <c r="AZ170" i="8"/>
  <c r="AX170" i="8"/>
  <c r="AW170" i="8"/>
  <c r="AV170" i="8"/>
  <c r="AX60" i="8"/>
  <c r="AW60" i="8"/>
  <c r="AZ60" i="8"/>
  <c r="AY60" i="8"/>
  <c r="BA60" i="8"/>
  <c r="AV60" i="8"/>
  <c r="BB6" i="8"/>
  <c r="AS6" i="8"/>
  <c r="BB66" i="8"/>
  <c r="AS66" i="8"/>
  <c r="AX493" i="8"/>
  <c r="AZ493" i="8"/>
  <c r="AY493" i="8"/>
  <c r="BA493" i="8"/>
  <c r="AW493" i="8"/>
  <c r="AV493" i="8"/>
  <c r="AZ793" i="8"/>
  <c r="AX793" i="8"/>
  <c r="AW793" i="8"/>
  <c r="BA793" i="8"/>
  <c r="AY793" i="8"/>
  <c r="AV793" i="8"/>
  <c r="BB50" i="8"/>
  <c r="AS50" i="8"/>
  <c r="BA751" i="8"/>
  <c r="AZ751" i="8"/>
  <c r="AY239" i="8"/>
  <c r="BA239" i="8"/>
  <c r="AV239" i="8"/>
  <c r="AV385" i="8"/>
  <c r="AY61" i="8"/>
  <c r="AZ61" i="8"/>
  <c r="AW61" i="8"/>
  <c r="AX61" i="8"/>
  <c r="BA61" i="8"/>
  <c r="AV61" i="8"/>
  <c r="BA148" i="8"/>
  <c r="AZ148" i="8"/>
  <c r="AW148" i="8"/>
  <c r="AY148" i="8"/>
  <c r="AX148" i="8"/>
  <c r="AV148" i="8"/>
  <c r="BA16" i="8"/>
  <c r="AW16" i="8"/>
  <c r="AX16" i="8"/>
  <c r="AZ16" i="8"/>
  <c r="AY16" i="8"/>
  <c r="AV16" i="8"/>
  <c r="AW739" i="8"/>
  <c r="AZ84" i="8"/>
  <c r="AY84" i="8"/>
  <c r="BA84" i="8"/>
  <c r="AX84" i="8"/>
  <c r="AW84" i="8"/>
  <c r="AV84" i="8"/>
  <c r="BA171" i="8"/>
  <c r="AZ171" i="8"/>
  <c r="AW171" i="8"/>
  <c r="AX171" i="8"/>
  <c r="AY171" i="8"/>
  <c r="AV171" i="8"/>
  <c r="AX32" i="8"/>
  <c r="AZ32" i="8"/>
  <c r="AY32" i="8"/>
  <c r="BA32" i="8"/>
  <c r="AW32" i="8"/>
  <c r="AV32" i="8"/>
  <c r="AX369" i="8"/>
  <c r="AX718" i="8"/>
  <c r="BA718" i="8"/>
  <c r="AY718" i="8"/>
  <c r="AW718" i="8"/>
  <c r="AZ718" i="8"/>
  <c r="AV718" i="8"/>
  <c r="AZ695" i="8"/>
  <c r="AY695" i="8"/>
  <c r="AX695" i="8"/>
  <c r="AW695" i="8"/>
  <c r="BA695" i="8"/>
  <c r="AV695" i="8"/>
  <c r="AZ790" i="8"/>
  <c r="AY790" i="8"/>
  <c r="AW790" i="8"/>
  <c r="BA790" i="8"/>
  <c r="AX790" i="8"/>
  <c r="AV790" i="8"/>
  <c r="BA153" i="8"/>
  <c r="AY153" i="8"/>
  <c r="AW153" i="8"/>
  <c r="AZ153" i="8"/>
  <c r="AX153" i="8"/>
  <c r="AV153" i="8"/>
  <c r="BB126" i="8"/>
  <c r="AS126" i="8"/>
  <c r="AZ253" i="8"/>
  <c r="BA265" i="8"/>
  <c r="AZ265" i="8"/>
  <c r="AY265" i="8"/>
  <c r="AW265" i="8"/>
  <c r="AX265" i="8"/>
  <c r="AV265" i="8"/>
  <c r="BB79" i="8"/>
  <c r="AS79" i="8"/>
  <c r="AX82" i="8"/>
  <c r="AW82" i="8"/>
  <c r="AZ82" i="8"/>
  <c r="AY82" i="8"/>
  <c r="BA82" i="8"/>
  <c r="AV82" i="8"/>
  <c r="BA193" i="8"/>
  <c r="AZ193" i="8"/>
  <c r="AY193" i="8"/>
  <c r="AX193" i="8"/>
  <c r="AW193" i="8"/>
  <c r="AV193" i="8"/>
  <c r="BA251" i="8"/>
  <c r="AY251" i="8"/>
  <c r="AV251" i="8"/>
  <c r="BB522" i="8"/>
  <c r="AS522" i="8"/>
  <c r="BA257" i="8"/>
  <c r="BA527" i="8"/>
  <c r="BA350" i="8"/>
  <c r="BA525" i="8"/>
  <c r="AZ525" i="8"/>
  <c r="AY525" i="8"/>
  <c r="AW525" i="8"/>
  <c r="AX525" i="8"/>
  <c r="AV525" i="8"/>
  <c r="BB504" i="8"/>
  <c r="AS504" i="8"/>
  <c r="AX473" i="8"/>
  <c r="AY473" i="8"/>
  <c r="AW473" i="8"/>
  <c r="BA473" i="8"/>
  <c r="AZ473" i="8"/>
  <c r="AV473" i="8"/>
  <c r="J23" i="5"/>
  <c r="O13" i="5"/>
  <c r="R13" i="5"/>
  <c r="K27" i="5"/>
  <c r="I33" i="5"/>
  <c r="T32" i="5" s="1"/>
  <c r="I34" i="5"/>
  <c r="I31" i="5"/>
  <c r="T30" i="5" s="1"/>
  <c r="I30" i="5"/>
  <c r="N27" i="5"/>
  <c r="R17" i="5"/>
  <c r="K17" i="5"/>
  <c r="N21" i="5"/>
  <c r="J10" i="5"/>
  <c r="L21" i="5"/>
  <c r="Q18" i="5"/>
  <c r="Q23" i="5"/>
  <c r="O26" i="5"/>
  <c r="Q25" i="5"/>
  <c r="L16" i="5"/>
  <c r="O20" i="5"/>
  <c r="L17" i="5"/>
  <c r="K24" i="5"/>
  <c r="L23" i="5"/>
  <c r="K11" i="5"/>
  <c r="Q26" i="5"/>
  <c r="M25" i="5"/>
  <c r="J16" i="5"/>
  <c r="M20" i="5"/>
  <c r="Q22" i="5"/>
  <c r="L24" i="5"/>
  <c r="P13" i="5"/>
  <c r="Q15" i="5"/>
  <c r="R12" i="5"/>
  <c r="J11" i="5"/>
  <c r="M26" i="5"/>
  <c r="R25" i="5"/>
  <c r="Q16" i="5"/>
  <c r="J20" i="5"/>
  <c r="N22" i="5"/>
  <c r="J24" i="5"/>
  <c r="L13" i="5"/>
  <c r="N15" i="5"/>
  <c r="M12" i="5"/>
  <c r="P11" i="5"/>
  <c r="K26" i="5"/>
  <c r="J25" i="5"/>
  <c r="Q20" i="5"/>
  <c r="L20" i="5"/>
  <c r="P22" i="5"/>
  <c r="Q13" i="5"/>
  <c r="L12" i="5"/>
  <c r="R23" i="5"/>
  <c r="N23" i="5"/>
  <c r="O11" i="5"/>
  <c r="O18" i="5"/>
  <c r="N26" i="5"/>
  <c r="K25" i="5"/>
  <c r="N16" i="5"/>
  <c r="N20" i="5"/>
  <c r="M22" i="5"/>
  <c r="R24" i="5"/>
  <c r="O24" i="5"/>
  <c r="M13" i="5"/>
  <c r="N13" i="5"/>
  <c r="P21" i="5"/>
  <c r="P15" i="5"/>
  <c r="M15" i="5"/>
  <c r="P12" i="5"/>
  <c r="K12" i="5"/>
  <c r="P23" i="5"/>
  <c r="K23" i="5"/>
  <c r="L11" i="5"/>
  <c r="L26" i="5"/>
  <c r="O25" i="5"/>
  <c r="L25" i="5"/>
  <c r="P16" i="5"/>
  <c r="P20" i="5"/>
  <c r="J22" i="5"/>
  <c r="N24" i="5"/>
  <c r="M24" i="5"/>
  <c r="K13" i="5"/>
  <c r="J13" i="5"/>
  <c r="R15" i="5"/>
  <c r="K15" i="5"/>
  <c r="J12" i="5"/>
  <c r="O23" i="5"/>
  <c r="N11" i="5"/>
  <c r="M11" i="5"/>
  <c r="L19" i="5"/>
  <c r="R26" i="5"/>
  <c r="J26" i="5"/>
  <c r="N25" i="5"/>
  <c r="K16" i="5"/>
  <c r="R20" i="5"/>
  <c r="O22" i="5"/>
  <c r="L22" i="5"/>
  <c r="Q24" i="5"/>
  <c r="O15" i="5"/>
  <c r="Q12" i="5"/>
  <c r="M23" i="5"/>
  <c r="R11" i="5"/>
  <c r="N14" i="5"/>
  <c r="P26" i="5"/>
  <c r="P25" i="5"/>
  <c r="K20" i="5"/>
  <c r="K22" i="5"/>
  <c r="P24" i="5"/>
  <c r="J15" i="5"/>
  <c r="O12" i="5"/>
  <c r="K18" i="5"/>
  <c r="O21" i="5"/>
  <c r="J19" i="5"/>
  <c r="P19" i="5"/>
  <c r="M21" i="5"/>
  <c r="M17" i="5"/>
  <c r="J21" i="5"/>
  <c r="N18" i="5"/>
  <c r="P17" i="5"/>
  <c r="N19" i="5"/>
  <c r="R19" i="5"/>
  <c r="J18" i="5"/>
  <c r="O17" i="5"/>
  <c r="P18" i="5"/>
  <c r="L18" i="5"/>
  <c r="N17" i="5"/>
  <c r="Q21" i="5"/>
  <c r="R18" i="5"/>
  <c r="J17" i="5"/>
  <c r="K21" i="5"/>
  <c r="J14" i="5"/>
  <c r="Q14" i="5"/>
  <c r="AZ690" i="1"/>
  <c r="AY690" i="1"/>
  <c r="Q19" i="5"/>
  <c r="K14" i="5"/>
  <c r="M18" i="5"/>
  <c r="R21" i="5"/>
  <c r="L14" i="5"/>
  <c r="R14" i="5"/>
  <c r="O19" i="5"/>
  <c r="P14" i="5"/>
  <c r="M14" i="5"/>
  <c r="O14" i="5"/>
  <c r="AZ771" i="1"/>
  <c r="AX690" i="1"/>
  <c r="BA771" i="1"/>
  <c r="AS79" i="1"/>
  <c r="AW79" i="1" s="1"/>
  <c r="AW690" i="1"/>
  <c r="AY741" i="1"/>
  <c r="AY686" i="1"/>
  <c r="AV690" i="1"/>
  <c r="AZ52" i="1"/>
  <c r="BA52" i="1"/>
  <c r="AW774" i="1"/>
  <c r="AX52" i="1"/>
  <c r="AW52" i="1"/>
  <c r="AY52" i="1"/>
  <c r="AV774" i="1"/>
  <c r="AS734" i="1"/>
  <c r="AW734" i="1" s="1"/>
  <c r="AZ774" i="1"/>
  <c r="AX774" i="1"/>
  <c r="AS14" i="1"/>
  <c r="AW14" i="1" s="1"/>
  <c r="BA774" i="1"/>
  <c r="BB14" i="1"/>
  <c r="AS37" i="1"/>
  <c r="AW37" i="1" s="1"/>
  <c r="AS743" i="1"/>
  <c r="AW743" i="1" s="1"/>
  <c r="AS752" i="1"/>
  <c r="AY752" i="1" s="1"/>
  <c r="AS71" i="1"/>
  <c r="AW71" i="1" s="1"/>
  <c r="AS92" i="1"/>
  <c r="AW92" i="1" s="1"/>
  <c r="AS716" i="1"/>
  <c r="AY716" i="1" s="1"/>
  <c r="AS138" i="1"/>
  <c r="AW138" i="1" s="1"/>
  <c r="BB752" i="1"/>
  <c r="AW694" i="1"/>
  <c r="AW726" i="1"/>
  <c r="AY726" i="1"/>
  <c r="AZ694" i="1"/>
  <c r="AX694" i="1"/>
  <c r="AZ726" i="1"/>
  <c r="AY694" i="1"/>
  <c r="BA726" i="1"/>
  <c r="BA694" i="1"/>
  <c r="AX726" i="1"/>
  <c r="AS212" i="1"/>
  <c r="AW212" i="1" s="1"/>
  <c r="AS54" i="1"/>
  <c r="AW54" i="1" s="1"/>
  <c r="AS25" i="1"/>
  <c r="AW25" i="1" s="1"/>
  <c r="C88" i="3"/>
  <c r="AS6" i="1"/>
  <c r="AW6" i="1" s="1"/>
  <c r="AS58" i="1"/>
  <c r="AW58" i="1" s="1"/>
  <c r="AS761" i="1"/>
  <c r="AX761" i="1" s="1"/>
  <c r="BB58" i="1"/>
  <c r="AS18" i="1"/>
  <c r="AW18" i="1" s="1"/>
  <c r="AS35" i="1"/>
  <c r="AW35" i="1" s="1"/>
  <c r="AS234" i="1"/>
  <c r="AW234" i="1" s="1"/>
  <c r="AS167" i="1"/>
  <c r="AW167" i="1" s="1"/>
  <c r="AS74" i="1"/>
  <c r="AW74" i="1" s="1"/>
  <c r="AS70" i="1"/>
  <c r="AW70" i="1" s="1"/>
  <c r="AS84" i="1"/>
  <c r="AW84" i="1" s="1"/>
  <c r="AS148" i="1"/>
  <c r="AW148" i="1" s="1"/>
  <c r="AZ821" i="1"/>
  <c r="AW821" i="1"/>
  <c r="AY821" i="1"/>
  <c r="AX821" i="1"/>
  <c r="BA821" i="1"/>
  <c r="AV821" i="1"/>
  <c r="AY805" i="1"/>
  <c r="AX805" i="1"/>
  <c r="AZ805" i="1"/>
  <c r="AW805" i="1"/>
  <c r="BA805" i="1"/>
  <c r="AV805" i="1"/>
  <c r="AW824" i="1"/>
  <c r="AX824" i="1"/>
  <c r="AZ824" i="1"/>
  <c r="AY824" i="1"/>
  <c r="BA824" i="1"/>
  <c r="AV824" i="1"/>
  <c r="AW797" i="1"/>
  <c r="AX797" i="1"/>
  <c r="AZ797" i="1"/>
  <c r="AY797" i="1"/>
  <c r="BA797" i="1"/>
  <c r="AV797" i="1"/>
  <c r="AY796" i="1"/>
  <c r="AX796" i="1"/>
  <c r="AZ796" i="1"/>
  <c r="BA796" i="1"/>
  <c r="AW796" i="1"/>
  <c r="AV796" i="1"/>
  <c r="AZ818" i="1"/>
  <c r="AW818" i="1"/>
  <c r="AY818" i="1"/>
  <c r="BA818" i="1"/>
  <c r="AX818" i="1"/>
  <c r="AV818" i="1"/>
  <c r="AW833" i="1"/>
  <c r="BA833" i="1"/>
  <c r="AX833" i="1"/>
  <c r="AZ833" i="1"/>
  <c r="AY833" i="1"/>
  <c r="AV833" i="1"/>
  <c r="AZ809" i="1"/>
  <c r="AW809" i="1"/>
  <c r="AY809" i="1"/>
  <c r="BA809" i="1"/>
  <c r="AX809" i="1"/>
  <c r="AV809" i="1"/>
  <c r="BA776" i="1"/>
  <c r="AX776" i="1"/>
  <c r="AZ776" i="1"/>
  <c r="AW776" i="1"/>
  <c r="AY776" i="1"/>
  <c r="AV776" i="1"/>
  <c r="AX801" i="1"/>
  <c r="AW801" i="1"/>
  <c r="AY801" i="1"/>
  <c r="BA801" i="1"/>
  <c r="AZ801" i="1"/>
  <c r="AV801" i="1"/>
  <c r="AY814" i="1"/>
  <c r="AX814" i="1"/>
  <c r="AZ814" i="1"/>
  <c r="AW814" i="1"/>
  <c r="BA814" i="1"/>
  <c r="AV814" i="1"/>
  <c r="AW778" i="1"/>
  <c r="AX778" i="1"/>
  <c r="AZ778" i="1"/>
  <c r="AY778" i="1"/>
  <c r="BA778" i="1"/>
  <c r="AV778" i="1"/>
  <c r="AW793" i="1"/>
  <c r="AY793" i="1"/>
  <c r="AZ793" i="1"/>
  <c r="AX793" i="1"/>
  <c r="BA793" i="1"/>
  <c r="AV793" i="1"/>
  <c r="AZ781" i="1"/>
  <c r="AW781" i="1"/>
  <c r="AY781" i="1"/>
  <c r="BA781" i="1"/>
  <c r="AX781" i="1"/>
  <c r="AV781" i="1"/>
  <c r="BB70" i="1"/>
  <c r="AS82" i="1"/>
  <c r="AW82" i="1" s="1"/>
  <c r="AW811" i="1"/>
  <c r="AY811" i="1"/>
  <c r="BA811" i="1"/>
  <c r="AZ811" i="1"/>
  <c r="AX811" i="1"/>
  <c r="AV811" i="1"/>
  <c r="AZ823" i="1"/>
  <c r="AY823" i="1"/>
  <c r="AW823" i="1"/>
  <c r="BA823" i="1"/>
  <c r="AX823" i="1"/>
  <c r="AV823" i="1"/>
  <c r="AZ799" i="1"/>
  <c r="AW799" i="1"/>
  <c r="AY799" i="1"/>
  <c r="BA799" i="1"/>
  <c r="AX799" i="1"/>
  <c r="AV799" i="1"/>
  <c r="AW788" i="1"/>
  <c r="AX788" i="1"/>
  <c r="AZ788" i="1"/>
  <c r="AY788" i="1"/>
  <c r="BA788" i="1"/>
  <c r="AV788" i="1"/>
  <c r="AW803" i="1"/>
  <c r="AY803" i="1"/>
  <c r="BA803" i="1"/>
  <c r="AX803" i="1"/>
  <c r="AZ803" i="1"/>
  <c r="AV803" i="1"/>
  <c r="AX810" i="1"/>
  <c r="AW810" i="1"/>
  <c r="AY810" i="1"/>
  <c r="BA810" i="1"/>
  <c r="AZ810" i="1"/>
  <c r="AV810" i="1"/>
  <c r="AW817" i="1"/>
  <c r="AY817" i="1"/>
  <c r="BA817" i="1"/>
  <c r="AX817" i="1"/>
  <c r="AZ817" i="1"/>
  <c r="AV817" i="1"/>
  <c r="BA794" i="1"/>
  <c r="AX794" i="1"/>
  <c r="AZ794" i="1"/>
  <c r="AW794" i="1"/>
  <c r="AY794" i="1"/>
  <c r="AV794" i="1"/>
  <c r="AW806" i="1"/>
  <c r="AX806" i="1"/>
  <c r="AZ806" i="1"/>
  <c r="AY806" i="1"/>
  <c r="BA806" i="1"/>
  <c r="AV806" i="1"/>
  <c r="AW826" i="1"/>
  <c r="AY826" i="1"/>
  <c r="BA826" i="1"/>
  <c r="AX826" i="1"/>
  <c r="AZ826" i="1"/>
  <c r="AV826" i="1"/>
  <c r="AW795" i="1"/>
  <c r="AY795" i="1"/>
  <c r="BA795" i="1"/>
  <c r="AX795" i="1"/>
  <c r="AZ795" i="1"/>
  <c r="AV795" i="1"/>
  <c r="AW784" i="1"/>
  <c r="AY784" i="1"/>
  <c r="BA784" i="1"/>
  <c r="AX784" i="1"/>
  <c r="AZ784" i="1"/>
  <c r="AV784" i="1"/>
  <c r="BA789" i="1"/>
  <c r="AX789" i="1"/>
  <c r="AY789" i="1"/>
  <c r="AW789" i="1"/>
  <c r="AZ789" i="1"/>
  <c r="AV789" i="1"/>
  <c r="AX782" i="1"/>
  <c r="AW782" i="1"/>
  <c r="AY782" i="1"/>
  <c r="BA782" i="1"/>
  <c r="AZ782" i="1"/>
  <c r="AV782" i="1"/>
  <c r="AS125" i="1"/>
  <c r="AW125" i="1" s="1"/>
  <c r="AS175" i="1"/>
  <c r="AW175" i="1" s="1"/>
  <c r="AS224" i="1"/>
  <c r="AW224" i="1" s="1"/>
  <c r="AW820" i="1"/>
  <c r="AY820" i="1"/>
  <c r="BA820" i="1"/>
  <c r="AX820" i="1"/>
  <c r="AZ820" i="1"/>
  <c r="AV820" i="1"/>
  <c r="AW835" i="1"/>
  <c r="AY835" i="1"/>
  <c r="BA835" i="1"/>
  <c r="AX835" i="1"/>
  <c r="AZ835" i="1"/>
  <c r="AV835" i="1"/>
  <c r="AW828" i="1"/>
  <c r="AY828" i="1"/>
  <c r="BA828" i="1"/>
  <c r="AZ828" i="1"/>
  <c r="AX828" i="1"/>
  <c r="AV828" i="1"/>
  <c r="AZ831" i="1"/>
  <c r="AW831" i="1"/>
  <c r="AY831" i="1"/>
  <c r="BA831" i="1"/>
  <c r="AX831" i="1"/>
  <c r="AV831" i="1"/>
  <c r="BA822" i="1"/>
  <c r="AX822" i="1"/>
  <c r="AZ822" i="1"/>
  <c r="AW822" i="1"/>
  <c r="AY822" i="1"/>
  <c r="AV822" i="1"/>
  <c r="AY832" i="1"/>
  <c r="AX832" i="1"/>
  <c r="AZ832" i="1"/>
  <c r="AW832" i="1"/>
  <c r="BA832" i="1"/>
  <c r="AV832" i="1"/>
  <c r="AZ807" i="1"/>
  <c r="BA807" i="1"/>
  <c r="AW807" i="1"/>
  <c r="AY807" i="1"/>
  <c r="AX807" i="1"/>
  <c r="AV807" i="1"/>
  <c r="AW827" i="1"/>
  <c r="AY827" i="1"/>
  <c r="AZ827" i="1"/>
  <c r="BA827" i="1"/>
  <c r="AX827" i="1"/>
  <c r="AV827" i="1"/>
  <c r="AW829" i="1"/>
  <c r="AY829" i="1"/>
  <c r="AX829" i="1"/>
  <c r="AZ829" i="1"/>
  <c r="BA829" i="1"/>
  <c r="AV829" i="1"/>
  <c r="BA830" i="1"/>
  <c r="AZ830" i="1"/>
  <c r="AW830" i="1"/>
  <c r="AY830" i="1"/>
  <c r="AX830" i="1"/>
  <c r="AV830" i="1"/>
  <c r="AY786" i="1"/>
  <c r="AX786" i="1"/>
  <c r="AZ786" i="1"/>
  <c r="BA786" i="1"/>
  <c r="AW786" i="1"/>
  <c r="AV786" i="1"/>
  <c r="AZ791" i="1"/>
  <c r="AW791" i="1"/>
  <c r="AY791" i="1"/>
  <c r="BA791" i="1"/>
  <c r="AX791" i="1"/>
  <c r="AV791" i="1"/>
  <c r="AW787" i="1"/>
  <c r="AY787" i="1"/>
  <c r="BA787" i="1"/>
  <c r="AX787" i="1"/>
  <c r="AZ787" i="1"/>
  <c r="AV787" i="1"/>
  <c r="BA798" i="1"/>
  <c r="AX798" i="1"/>
  <c r="AZ798" i="1"/>
  <c r="AY798" i="1"/>
  <c r="AW798" i="1"/>
  <c r="AV798" i="1"/>
  <c r="AZ790" i="1"/>
  <c r="AW790" i="1"/>
  <c r="AY790" i="1"/>
  <c r="BA790" i="1"/>
  <c r="AX790" i="1"/>
  <c r="AV790" i="1"/>
  <c r="AZ800" i="1"/>
  <c r="AW800" i="1"/>
  <c r="AY800" i="1"/>
  <c r="BA800" i="1"/>
  <c r="AX800" i="1"/>
  <c r="AV800" i="1"/>
  <c r="BA804" i="1"/>
  <c r="AX804" i="1"/>
  <c r="AZ804" i="1"/>
  <c r="AW804" i="1"/>
  <c r="AY804" i="1"/>
  <c r="AV804" i="1"/>
  <c r="AS228" i="1"/>
  <c r="AW228" i="1" s="1"/>
  <c r="AZ815" i="1"/>
  <c r="AW815" i="1"/>
  <c r="AY815" i="1"/>
  <c r="BA815" i="1"/>
  <c r="AX815" i="1"/>
  <c r="AV815" i="1"/>
  <c r="AY777" i="1"/>
  <c r="AX777" i="1"/>
  <c r="AZ777" i="1"/>
  <c r="AW777" i="1"/>
  <c r="BA777" i="1"/>
  <c r="AV777" i="1"/>
  <c r="AW808" i="1"/>
  <c r="AY808" i="1"/>
  <c r="BA808" i="1"/>
  <c r="AX808" i="1"/>
  <c r="AZ808" i="1"/>
  <c r="AV808" i="1"/>
  <c r="BA785" i="1"/>
  <c r="AX785" i="1"/>
  <c r="AZ785" i="1"/>
  <c r="AW785" i="1"/>
  <c r="AY785" i="1"/>
  <c r="AV785" i="1"/>
  <c r="AW780" i="1"/>
  <c r="BA780" i="1"/>
  <c r="AX780" i="1"/>
  <c r="AY780" i="1"/>
  <c r="AZ780" i="1"/>
  <c r="AV780" i="1"/>
  <c r="AX792" i="1"/>
  <c r="AW792" i="1"/>
  <c r="AY792" i="1"/>
  <c r="BA792" i="1"/>
  <c r="AZ792" i="1"/>
  <c r="AV792" i="1"/>
  <c r="AW819" i="1"/>
  <c r="AY819" i="1"/>
  <c r="BA819" i="1"/>
  <c r="AX819" i="1"/>
  <c r="AZ819" i="1"/>
  <c r="AV819" i="1"/>
  <c r="BA813" i="1"/>
  <c r="AX813" i="1"/>
  <c r="AZ813" i="1"/>
  <c r="AW813" i="1"/>
  <c r="AY813" i="1"/>
  <c r="AV813" i="1"/>
  <c r="BA834" i="1"/>
  <c r="AX834" i="1"/>
  <c r="AZ834" i="1"/>
  <c r="AY834" i="1"/>
  <c r="AW834" i="1"/>
  <c r="AV834" i="1"/>
  <c r="BA816" i="1"/>
  <c r="AX816" i="1"/>
  <c r="AZ816" i="1"/>
  <c r="AW816" i="1"/>
  <c r="AY816" i="1"/>
  <c r="AV816" i="1"/>
  <c r="AX812" i="1"/>
  <c r="AZ812" i="1"/>
  <c r="AW812" i="1"/>
  <c r="AY812" i="1"/>
  <c r="BA812" i="1"/>
  <c r="AV812" i="1"/>
  <c r="AW802" i="1"/>
  <c r="AY802" i="1"/>
  <c r="AZ802" i="1"/>
  <c r="AX802" i="1"/>
  <c r="BA802" i="1"/>
  <c r="AV802" i="1"/>
  <c r="BA825" i="1"/>
  <c r="AX825" i="1"/>
  <c r="AZ825" i="1"/>
  <c r="AW825" i="1"/>
  <c r="AY825" i="1"/>
  <c r="AV825" i="1"/>
  <c r="AZ783" i="1"/>
  <c r="AW783" i="1"/>
  <c r="AY783" i="1"/>
  <c r="BA783" i="1"/>
  <c r="AX783" i="1"/>
  <c r="AV783" i="1"/>
  <c r="AX772" i="1"/>
  <c r="AZ772" i="1"/>
  <c r="AW772" i="1"/>
  <c r="AY772" i="1"/>
  <c r="BA772" i="1"/>
  <c r="AV772" i="1"/>
  <c r="AS165" i="1"/>
  <c r="AW165" i="1" s="1"/>
  <c r="AS135" i="1"/>
  <c r="AW135" i="1" s="1"/>
  <c r="AS156" i="1"/>
  <c r="AW156" i="1" s="1"/>
  <c r="C87" i="3"/>
  <c r="AS83" i="1"/>
  <c r="AW83" i="1" s="1"/>
  <c r="AS207" i="1"/>
  <c r="AW207" i="1" s="1"/>
  <c r="AS197" i="1"/>
  <c r="AW197" i="1" s="1"/>
  <c r="AW770" i="1"/>
  <c r="AY770" i="1"/>
  <c r="BA770" i="1"/>
  <c r="AZ770" i="1"/>
  <c r="AX770" i="1"/>
  <c r="AV770" i="1"/>
  <c r="AS219" i="1"/>
  <c r="AW219" i="1" s="1"/>
  <c r="AX766" i="1"/>
  <c r="AZ766" i="1"/>
  <c r="AW766" i="1"/>
  <c r="AY766" i="1"/>
  <c r="BA766" i="1"/>
  <c r="AV766" i="1"/>
  <c r="AX764" i="1"/>
  <c r="AZ764" i="1"/>
  <c r="AW764" i="1"/>
  <c r="AY764" i="1"/>
  <c r="BA764" i="1"/>
  <c r="AV764" i="1"/>
  <c r="AS42" i="1"/>
  <c r="AW42" i="1" s="1"/>
  <c r="AW768" i="1"/>
  <c r="AY768" i="1"/>
  <c r="BA768" i="1"/>
  <c r="AX768" i="1"/>
  <c r="AZ768" i="1"/>
  <c r="AV768" i="1"/>
  <c r="AX735" i="1"/>
  <c r="AY735" i="1"/>
  <c r="AW735" i="1"/>
  <c r="BA735" i="1"/>
  <c r="AZ735" i="1"/>
  <c r="AV735" i="1"/>
  <c r="AV729" i="1"/>
  <c r="AX748" i="1"/>
  <c r="AW748" i="1"/>
  <c r="AZ748" i="1"/>
  <c r="BA748" i="1"/>
  <c r="AY748" i="1"/>
  <c r="AV748" i="1"/>
  <c r="AW736" i="1"/>
  <c r="AY736" i="1"/>
  <c r="AX736" i="1"/>
  <c r="BA736" i="1"/>
  <c r="AZ736" i="1"/>
  <c r="AV736" i="1"/>
  <c r="AW722" i="1"/>
  <c r="AY722" i="1"/>
  <c r="BA722" i="1"/>
  <c r="AZ722" i="1"/>
  <c r="AX722" i="1"/>
  <c r="AV722" i="1"/>
  <c r="BA731" i="1"/>
  <c r="AY731" i="1"/>
  <c r="AZ715" i="1"/>
  <c r="AW715" i="1"/>
  <c r="BA715" i="1"/>
  <c r="AY715" i="1"/>
  <c r="AX715" i="1"/>
  <c r="AV715" i="1"/>
  <c r="AV755" i="1"/>
  <c r="AS233" i="1"/>
  <c r="AW233" i="1" s="1"/>
  <c r="AW762" i="1"/>
  <c r="AY762" i="1"/>
  <c r="AX762" i="1"/>
  <c r="BA762" i="1"/>
  <c r="AZ762" i="1"/>
  <c r="AV762" i="1"/>
  <c r="AY753" i="1"/>
  <c r="AW753" i="1"/>
  <c r="BA753" i="1"/>
  <c r="AZ753" i="1"/>
  <c r="AX753" i="1"/>
  <c r="AV753" i="1"/>
  <c r="AY737" i="1"/>
  <c r="AW737" i="1"/>
  <c r="AV737" i="1"/>
  <c r="AZ763" i="1"/>
  <c r="AW763" i="1"/>
  <c r="AY763" i="1"/>
  <c r="BA763" i="1"/>
  <c r="AX763" i="1"/>
  <c r="AV763" i="1"/>
  <c r="AX749" i="1"/>
  <c r="AV749" i="1"/>
  <c r="AW733" i="1"/>
  <c r="BA733" i="1"/>
  <c r="AY733" i="1"/>
  <c r="AX733" i="1"/>
  <c r="AZ733" i="1"/>
  <c r="AV733" i="1"/>
  <c r="AW744" i="1"/>
  <c r="AX744" i="1"/>
  <c r="AY744" i="1"/>
  <c r="BA744" i="1"/>
  <c r="AZ744" i="1"/>
  <c r="AV744" i="1"/>
  <c r="AS176" i="1"/>
  <c r="AW176" i="1" s="1"/>
  <c r="AZ747" i="1"/>
  <c r="AW747" i="1"/>
  <c r="AY747" i="1"/>
  <c r="BA747" i="1"/>
  <c r="AX747" i="1"/>
  <c r="AV747" i="1"/>
  <c r="AW760" i="1"/>
  <c r="AV760" i="1"/>
  <c r="AZ713" i="1"/>
  <c r="AX751" i="1"/>
  <c r="AY751" i="1"/>
  <c r="AW751" i="1"/>
  <c r="BA751" i="1"/>
  <c r="AZ751" i="1"/>
  <c r="AV751" i="1"/>
  <c r="AY745" i="1"/>
  <c r="AW745" i="1"/>
  <c r="AX745" i="1"/>
  <c r="BA745" i="1"/>
  <c r="AZ745" i="1"/>
  <c r="AV745" i="1"/>
  <c r="AS211" i="1"/>
  <c r="AW211" i="1" s="1"/>
  <c r="AW717" i="1"/>
  <c r="BA717" i="1"/>
  <c r="AY717" i="1"/>
  <c r="AX717" i="1"/>
  <c r="AZ717" i="1"/>
  <c r="AV717" i="1"/>
  <c r="AX724" i="1"/>
  <c r="AY724" i="1"/>
  <c r="BA724" i="1"/>
  <c r="AZ724" i="1"/>
  <c r="AW724" i="1"/>
  <c r="AV724" i="1"/>
  <c r="BA730" i="1"/>
  <c r="AZ730" i="1"/>
  <c r="AW754" i="1"/>
  <c r="AY754" i="1"/>
  <c r="BA754" i="1"/>
  <c r="AZ754" i="1"/>
  <c r="AX754" i="1"/>
  <c r="AV754" i="1"/>
  <c r="AY718" i="1"/>
  <c r="AZ718" i="1"/>
  <c r="AX718" i="1"/>
  <c r="AW718" i="1"/>
  <c r="BA718" i="1"/>
  <c r="AV718" i="1"/>
  <c r="AS47" i="1"/>
  <c r="AW47" i="1" s="1"/>
  <c r="AS217" i="1"/>
  <c r="AW217" i="1" s="1"/>
  <c r="AX727" i="1"/>
  <c r="AY727" i="1"/>
  <c r="AZ727" i="1"/>
  <c r="AW727" i="1"/>
  <c r="BA727" i="1"/>
  <c r="AV727" i="1"/>
  <c r="AW738" i="1"/>
  <c r="AZ738" i="1"/>
  <c r="AY738" i="1"/>
  <c r="BA738" i="1"/>
  <c r="AX738" i="1"/>
  <c r="AV738" i="1"/>
  <c r="AY757" i="1"/>
  <c r="AS216" i="1"/>
  <c r="AW216" i="1" s="1"/>
  <c r="C12" i="3"/>
  <c r="D12" i="3" s="1"/>
  <c r="E12" i="3" s="1"/>
  <c r="F12" i="3" s="1"/>
  <c r="G12" i="3" s="1"/>
  <c r="H12" i="3" s="1"/>
  <c r="I12" i="3" s="1"/>
  <c r="J12" i="3" s="1"/>
  <c r="K12" i="3" s="1"/>
  <c r="L12" i="3" s="1"/>
  <c r="AW702" i="1"/>
  <c r="BA702" i="1"/>
  <c r="AV702" i="1"/>
  <c r="AZ704" i="1"/>
  <c r="AY704" i="1"/>
  <c r="AX704" i="1"/>
  <c r="BA704" i="1"/>
  <c r="AW704" i="1"/>
  <c r="AV704" i="1"/>
  <c r="AX698" i="1"/>
  <c r="AZ696" i="1"/>
  <c r="AW696" i="1"/>
  <c r="AY696" i="1"/>
  <c r="AX696" i="1"/>
  <c r="BA696" i="1"/>
  <c r="AV696" i="1"/>
  <c r="AZ705" i="1"/>
  <c r="AY697" i="1"/>
  <c r="AW697" i="1"/>
  <c r="AZ697" i="1"/>
  <c r="AX697" i="1"/>
  <c r="BA697" i="1"/>
  <c r="AV697" i="1"/>
  <c r="AS113" i="1"/>
  <c r="AW113" i="1" s="1"/>
  <c r="AS157" i="1"/>
  <c r="AW157" i="1" s="1"/>
  <c r="BA708" i="1"/>
  <c r="AW701" i="1"/>
  <c r="BA701" i="1"/>
  <c r="AX701" i="1"/>
  <c r="AZ701" i="1"/>
  <c r="AY701" i="1"/>
  <c r="AV701" i="1"/>
  <c r="AY693" i="1"/>
  <c r="BA709" i="1"/>
  <c r="BA692" i="1"/>
  <c r="AZ692" i="1"/>
  <c r="AY692" i="1"/>
  <c r="AW692" i="1"/>
  <c r="AX692" i="1"/>
  <c r="AV692" i="1"/>
  <c r="BA668" i="1"/>
  <c r="AY676" i="1"/>
  <c r="AW688" i="1"/>
  <c r="AX688" i="1"/>
  <c r="AY688" i="1"/>
  <c r="AZ688" i="1"/>
  <c r="BA688" i="1"/>
  <c r="AV688" i="1"/>
  <c r="AX671" i="1"/>
  <c r="D94" i="3"/>
  <c r="AS161" i="1"/>
  <c r="AW161" i="1" s="1"/>
  <c r="C51" i="3"/>
  <c r="D51" i="3" s="1"/>
  <c r="AX685" i="1"/>
  <c r="AW687" i="1"/>
  <c r="AZ687" i="1"/>
  <c r="BA687" i="1"/>
  <c r="AS22" i="1"/>
  <c r="AW22" i="1" s="1"/>
  <c r="AS201" i="1"/>
  <c r="AW201" i="1" s="1"/>
  <c r="AY679" i="1"/>
  <c r="AV679" i="1"/>
  <c r="C100" i="3"/>
  <c r="AS23" i="1"/>
  <c r="AW23" i="1" s="1"/>
  <c r="AS126" i="1"/>
  <c r="AW126" i="1" s="1"/>
  <c r="C52" i="3"/>
  <c r="D52" i="3" s="1"/>
  <c r="E52" i="3" s="1"/>
  <c r="F52" i="3" s="1"/>
  <c r="G52" i="3" s="1"/>
  <c r="H52" i="3" s="1"/>
  <c r="I52" i="3" s="1"/>
  <c r="J52" i="3" s="1"/>
  <c r="K52" i="3" s="1"/>
  <c r="L52" i="3" s="1"/>
  <c r="C55" i="3"/>
  <c r="D55" i="3" s="1"/>
  <c r="E55" i="3" s="1"/>
  <c r="F55" i="3" s="1"/>
  <c r="G55" i="3" s="1"/>
  <c r="H55" i="3" s="1"/>
  <c r="I55" i="3" s="1"/>
  <c r="J55" i="3" s="1"/>
  <c r="K55" i="3" s="1"/>
  <c r="L55" i="3" s="1"/>
  <c r="C13" i="3"/>
  <c r="D13" i="3" s="1"/>
  <c r="E13" i="3" s="1"/>
  <c r="F13" i="3" s="1"/>
  <c r="G13" i="3" s="1"/>
  <c r="H13" i="3" s="1"/>
  <c r="I13" i="3" s="1"/>
  <c r="J13" i="3" s="1"/>
  <c r="K13" i="3" s="1"/>
  <c r="L13" i="3" s="1"/>
  <c r="AS112" i="1"/>
  <c r="AW112" i="1" s="1"/>
  <c r="AS131" i="1"/>
  <c r="AW131" i="1" s="1"/>
  <c r="AS110" i="1"/>
  <c r="AW110" i="1" s="1"/>
  <c r="AS195" i="1"/>
  <c r="AW195" i="1" s="1"/>
  <c r="AS30" i="1"/>
  <c r="AW30" i="1" s="1"/>
  <c r="C14" i="3"/>
  <c r="D14" i="3" s="1"/>
  <c r="E14" i="3" s="1"/>
  <c r="F14" i="3" s="1"/>
  <c r="G14" i="3" s="1"/>
  <c r="H14" i="3" s="1"/>
  <c r="I14" i="3" s="1"/>
  <c r="J14" i="3" s="1"/>
  <c r="K14" i="3" s="1"/>
  <c r="L14" i="3" s="1"/>
  <c r="D95" i="3"/>
  <c r="D137" i="3" s="1"/>
  <c r="AS144" i="1"/>
  <c r="AW144" i="1" s="1"/>
  <c r="AS214" i="1"/>
  <c r="AW214" i="1" s="1"/>
  <c r="AS215" i="1"/>
  <c r="AW215" i="1" s="1"/>
  <c r="AS136" i="1"/>
  <c r="AW136" i="1" s="1"/>
  <c r="AS151" i="1"/>
  <c r="AW151" i="1" s="1"/>
  <c r="C53" i="3"/>
  <c r="D53" i="3" s="1"/>
  <c r="E53" i="3" s="1"/>
  <c r="F53" i="3" s="1"/>
  <c r="G53" i="3" s="1"/>
  <c r="H53" i="3" s="1"/>
  <c r="I53" i="3" s="1"/>
  <c r="J53" i="3" s="1"/>
  <c r="K53" i="3" s="1"/>
  <c r="L53" i="3" s="1"/>
  <c r="C54" i="3"/>
  <c r="D54" i="3" s="1"/>
  <c r="E54" i="3" s="1"/>
  <c r="F54" i="3" s="1"/>
  <c r="G54" i="3" s="1"/>
  <c r="H54" i="3" s="1"/>
  <c r="I54" i="3" s="1"/>
  <c r="J54" i="3" s="1"/>
  <c r="K54" i="3" s="1"/>
  <c r="L54" i="3" s="1"/>
  <c r="AS191" i="1"/>
  <c r="AW191" i="1" s="1"/>
  <c r="D96" i="3"/>
  <c r="D138" i="3" s="1"/>
  <c r="AS185" i="1"/>
  <c r="AW185" i="1" s="1"/>
  <c r="BB175" i="1"/>
  <c r="AS61" i="1"/>
  <c r="AW61" i="1" s="1"/>
  <c r="AS134" i="1"/>
  <c r="AW134" i="1" s="1"/>
  <c r="AS221" i="1"/>
  <c r="AW221" i="1" s="1"/>
  <c r="BB191" i="1"/>
  <c r="AS73" i="1"/>
  <c r="AW73" i="1" s="1"/>
  <c r="AS205" i="1"/>
  <c r="AW205" i="1" s="1"/>
  <c r="C11" i="3"/>
  <c r="D11" i="3" s="1"/>
  <c r="AS49" i="1"/>
  <c r="AW49" i="1" s="1"/>
  <c r="AS95" i="1"/>
  <c r="AW95" i="1" s="1"/>
  <c r="AS155" i="1"/>
  <c r="AW155" i="1" s="1"/>
  <c r="AS21" i="1"/>
  <c r="AW21" i="1" s="1"/>
  <c r="AS202" i="1"/>
  <c r="AW202" i="1" s="1"/>
  <c r="AS222" i="1"/>
  <c r="AW222" i="1" s="1"/>
  <c r="AS644" i="1"/>
  <c r="BB644" i="1"/>
  <c r="BB579" i="1"/>
  <c r="AS579" i="1"/>
  <c r="AS621" i="1"/>
  <c r="BB621" i="1"/>
  <c r="AS570" i="1"/>
  <c r="BB570" i="1"/>
  <c r="AS657" i="1"/>
  <c r="BB657" i="1"/>
  <c r="AS598" i="1"/>
  <c r="BB598" i="1"/>
  <c r="BB619" i="1"/>
  <c r="AS619" i="1"/>
  <c r="AS649" i="1"/>
  <c r="BB649" i="1"/>
  <c r="AS622" i="1"/>
  <c r="BB622" i="1"/>
  <c r="AS653" i="1"/>
  <c r="BB653" i="1"/>
  <c r="AS665" i="1"/>
  <c r="BB665" i="1"/>
  <c r="AS589" i="1"/>
  <c r="BB589" i="1"/>
  <c r="AS591" i="1"/>
  <c r="BB591" i="1"/>
  <c r="AS609" i="1"/>
  <c r="BB609" i="1"/>
  <c r="AS626" i="1"/>
  <c r="BB626" i="1"/>
  <c r="AS659" i="1"/>
  <c r="BB659" i="1"/>
  <c r="AS630" i="1"/>
  <c r="BB630" i="1"/>
  <c r="AS624" i="1"/>
  <c r="BB624" i="1"/>
  <c r="AS572" i="1"/>
  <c r="BB572" i="1"/>
  <c r="AS618" i="1"/>
  <c r="BB618" i="1"/>
  <c r="AS661" i="1"/>
  <c r="BB661" i="1"/>
  <c r="BB651" i="1"/>
  <c r="AS651" i="1"/>
  <c r="AS655" i="1"/>
  <c r="BB655" i="1"/>
  <c r="AS586" i="1"/>
  <c r="BB586" i="1"/>
  <c r="BB635" i="1"/>
  <c r="AS635" i="1"/>
  <c r="AS599" i="1"/>
  <c r="BB599" i="1"/>
  <c r="AS580" i="1"/>
  <c r="BB580" i="1"/>
  <c r="AS647" i="1"/>
  <c r="BB647" i="1"/>
  <c r="BB571" i="1"/>
  <c r="AS571" i="1"/>
  <c r="AS637" i="1"/>
  <c r="BB637" i="1"/>
  <c r="AS660" i="1"/>
  <c r="BB660" i="1"/>
  <c r="AS581" i="1"/>
  <c r="BB581" i="1"/>
  <c r="AS629" i="1"/>
  <c r="BB629" i="1"/>
  <c r="AS634" i="1"/>
  <c r="BB634" i="1"/>
  <c r="AS627" i="1"/>
  <c r="BB627" i="1"/>
  <c r="AS620" i="1"/>
  <c r="BB620" i="1"/>
  <c r="AS645" i="1"/>
  <c r="BB645" i="1"/>
  <c r="AS590" i="1"/>
  <c r="BB590" i="1"/>
  <c r="AS576" i="1"/>
  <c r="BB576" i="1"/>
  <c r="AS595" i="1"/>
  <c r="BB595" i="1"/>
  <c r="AS608" i="1"/>
  <c r="BB608" i="1"/>
  <c r="AS601" i="1"/>
  <c r="BB601" i="1"/>
  <c r="AS648" i="1"/>
  <c r="BB648" i="1"/>
  <c r="AS574" i="1"/>
  <c r="BB574" i="1"/>
  <c r="AS575" i="1"/>
  <c r="BB575" i="1"/>
  <c r="AS594" i="1"/>
  <c r="BB594" i="1"/>
  <c r="AS664" i="1"/>
  <c r="BB664" i="1"/>
  <c r="AS596" i="1"/>
  <c r="BB596" i="1"/>
  <c r="AS588" i="1"/>
  <c r="BB588" i="1"/>
  <c r="AS654" i="1"/>
  <c r="BB654" i="1"/>
  <c r="AS610" i="1"/>
  <c r="BB610" i="1"/>
  <c r="AS638" i="1"/>
  <c r="BB638" i="1"/>
  <c r="AS605" i="1"/>
  <c r="BB605" i="1"/>
  <c r="AS568" i="1"/>
  <c r="BB568" i="1"/>
  <c r="AS643" i="1"/>
  <c r="BB643" i="1"/>
  <c r="AS652" i="1"/>
  <c r="BB652" i="1"/>
  <c r="AS632" i="1"/>
  <c r="BB632" i="1"/>
  <c r="AS658" i="1"/>
  <c r="BB658" i="1"/>
  <c r="AS615" i="1"/>
  <c r="BB615" i="1"/>
  <c r="AS650" i="1"/>
  <c r="BB650" i="1"/>
  <c r="AS614" i="1"/>
  <c r="BB614" i="1"/>
  <c r="AS633" i="1"/>
  <c r="BB633" i="1"/>
  <c r="AS600" i="1"/>
  <c r="BB600" i="1"/>
  <c r="AS585" i="1"/>
  <c r="BB585" i="1"/>
  <c r="AS567" i="1"/>
  <c r="BB567" i="1"/>
  <c r="AS640" i="1"/>
  <c r="BB640" i="1"/>
  <c r="AS582" i="1"/>
  <c r="BB582" i="1"/>
  <c r="AS584" i="1"/>
  <c r="BB584" i="1"/>
  <c r="AS631" i="1"/>
  <c r="BB631" i="1"/>
  <c r="AS666" i="1"/>
  <c r="BB666" i="1"/>
  <c r="AS613" i="1"/>
  <c r="BB613" i="1"/>
  <c r="AS573" i="1"/>
  <c r="BB573" i="1"/>
  <c r="AS667" i="1"/>
  <c r="BB667" i="1"/>
  <c r="AS636" i="1"/>
  <c r="BB636" i="1"/>
  <c r="AS604" i="1"/>
  <c r="BB604" i="1"/>
  <c r="AS578" i="1"/>
  <c r="BB578" i="1"/>
  <c r="AS656" i="1"/>
  <c r="BB656" i="1"/>
  <c r="AS606" i="1"/>
  <c r="BB606" i="1"/>
  <c r="AS569" i="1"/>
  <c r="BB569" i="1"/>
  <c r="AS623" i="1"/>
  <c r="BB623" i="1"/>
  <c r="AS577" i="1"/>
  <c r="BB577" i="1"/>
  <c r="AS663" i="1"/>
  <c r="BB663" i="1"/>
  <c r="AS646" i="1"/>
  <c r="BB646" i="1"/>
  <c r="AS616" i="1"/>
  <c r="BB616" i="1"/>
  <c r="AS662" i="1"/>
  <c r="BB662" i="1"/>
  <c r="AS583" i="1"/>
  <c r="BB583" i="1"/>
  <c r="AS597" i="1"/>
  <c r="BB597" i="1"/>
  <c r="BB611" i="1"/>
  <c r="AS611" i="1"/>
  <c r="AS639" i="1"/>
  <c r="BB639" i="1"/>
  <c r="AS607" i="1"/>
  <c r="BB607" i="1"/>
  <c r="AS612" i="1"/>
  <c r="BB612" i="1"/>
  <c r="AS592" i="1"/>
  <c r="BB592" i="1"/>
  <c r="BB587" i="1"/>
  <c r="AS587" i="1"/>
  <c r="AS641" i="1"/>
  <c r="BB641" i="1"/>
  <c r="BB603" i="1"/>
  <c r="AS603" i="1"/>
  <c r="AS642" i="1"/>
  <c r="BB642" i="1"/>
  <c r="AS628" i="1"/>
  <c r="BB628" i="1"/>
  <c r="AS617" i="1"/>
  <c r="BB617" i="1"/>
  <c r="AS625" i="1"/>
  <c r="BB625" i="1"/>
  <c r="AS566" i="1"/>
  <c r="BB566" i="1"/>
  <c r="AS602" i="1"/>
  <c r="BB602" i="1"/>
  <c r="AS593" i="1"/>
  <c r="BB593" i="1"/>
  <c r="AS542" i="1"/>
  <c r="BB542" i="1"/>
  <c r="AS500" i="1"/>
  <c r="BB500" i="1"/>
  <c r="AS532" i="1"/>
  <c r="BB532" i="1"/>
  <c r="AS546" i="1"/>
  <c r="BB546" i="1"/>
  <c r="BB555" i="1"/>
  <c r="AS555" i="1"/>
  <c r="AS550" i="1"/>
  <c r="BB550" i="1"/>
  <c r="AS562" i="1"/>
  <c r="BB562" i="1"/>
  <c r="AS509" i="1"/>
  <c r="BB509" i="1"/>
  <c r="AS514" i="1"/>
  <c r="BB514" i="1"/>
  <c r="AS230" i="1"/>
  <c r="AW230" i="1" s="1"/>
  <c r="BB523" i="1"/>
  <c r="AS523" i="1"/>
  <c r="AS503" i="1"/>
  <c r="BB503" i="1"/>
  <c r="AS545" i="1"/>
  <c r="BB545" i="1"/>
  <c r="AS536" i="1"/>
  <c r="BB536" i="1"/>
  <c r="AS527" i="1"/>
  <c r="BB527" i="1"/>
  <c r="AS557" i="1"/>
  <c r="BB557" i="1"/>
  <c r="AS519" i="1"/>
  <c r="BB519" i="1"/>
  <c r="AS561" i="1"/>
  <c r="BB561" i="1"/>
  <c r="AS510" i="1"/>
  <c r="BB510" i="1"/>
  <c r="AS543" i="1"/>
  <c r="BB543" i="1"/>
  <c r="AS537" i="1"/>
  <c r="BB537" i="1"/>
  <c r="AS548" i="1"/>
  <c r="BB548" i="1"/>
  <c r="AS516" i="1"/>
  <c r="BB516" i="1"/>
  <c r="AS521" i="1"/>
  <c r="BB521" i="1"/>
  <c r="AS535" i="1"/>
  <c r="BB535" i="1"/>
  <c r="AS553" i="1"/>
  <c r="BB553" i="1"/>
  <c r="BB515" i="1"/>
  <c r="AS515" i="1"/>
  <c r="AS506" i="1"/>
  <c r="BB506" i="1"/>
  <c r="AS540" i="1"/>
  <c r="BB540" i="1"/>
  <c r="BB547" i="1"/>
  <c r="AS547" i="1"/>
  <c r="AS534" i="1"/>
  <c r="BB534" i="1"/>
  <c r="AS533" i="1"/>
  <c r="BB533" i="1"/>
  <c r="AS541" i="1"/>
  <c r="BB541" i="1"/>
  <c r="AS560" i="1"/>
  <c r="BB560" i="1"/>
  <c r="AS507" i="1"/>
  <c r="BB507" i="1"/>
  <c r="BB531" i="1"/>
  <c r="AS531" i="1"/>
  <c r="AS528" i="1"/>
  <c r="BB528" i="1"/>
  <c r="AS552" i="1"/>
  <c r="BB552" i="1"/>
  <c r="BB501" i="1"/>
  <c r="AS501" i="1"/>
  <c r="AS564" i="1"/>
  <c r="BB564" i="1"/>
  <c r="AS520" i="1"/>
  <c r="BB520" i="1"/>
  <c r="AS522" i="1"/>
  <c r="BB522" i="1"/>
  <c r="AS551" i="1"/>
  <c r="BB551" i="1"/>
  <c r="AS504" i="1"/>
  <c r="BB504" i="1"/>
  <c r="AS559" i="1"/>
  <c r="BB559" i="1"/>
  <c r="AS505" i="1"/>
  <c r="BB505" i="1"/>
  <c r="AS525" i="1"/>
  <c r="BB525" i="1"/>
  <c r="AS554" i="1"/>
  <c r="BB554" i="1"/>
  <c r="AS518" i="1"/>
  <c r="BB518" i="1"/>
  <c r="AS508" i="1"/>
  <c r="BB508" i="1"/>
  <c r="AS539" i="1"/>
  <c r="BB539" i="1"/>
  <c r="AS517" i="1"/>
  <c r="BB517" i="1"/>
  <c r="AS502" i="1"/>
  <c r="BB502" i="1"/>
  <c r="AS530" i="1"/>
  <c r="BB530" i="1"/>
  <c r="AS526" i="1"/>
  <c r="BB526" i="1"/>
  <c r="AS556" i="1"/>
  <c r="BB556" i="1"/>
  <c r="BB565" i="1"/>
  <c r="AS565" i="1"/>
  <c r="AS511" i="1"/>
  <c r="BB511" i="1"/>
  <c r="AS529" i="1"/>
  <c r="BB529" i="1"/>
  <c r="BB563" i="1"/>
  <c r="AS563" i="1"/>
  <c r="AS538" i="1"/>
  <c r="BB538" i="1"/>
  <c r="AS524" i="1"/>
  <c r="BB524" i="1"/>
  <c r="AS549" i="1"/>
  <c r="BB549" i="1"/>
  <c r="AS512" i="1"/>
  <c r="BB512" i="1"/>
  <c r="AS544" i="1"/>
  <c r="BB544" i="1"/>
  <c r="AS513" i="1"/>
  <c r="BB513" i="1"/>
  <c r="AS558" i="1"/>
  <c r="BB558" i="1"/>
  <c r="AS477" i="1"/>
  <c r="BB477" i="1"/>
  <c r="AS453" i="1"/>
  <c r="BB453" i="1"/>
  <c r="AS486" i="1"/>
  <c r="BB486" i="1"/>
  <c r="AS480" i="1"/>
  <c r="BB480" i="1"/>
  <c r="BB386" i="1"/>
  <c r="AS386" i="1"/>
  <c r="AS441" i="1"/>
  <c r="BB441" i="1"/>
  <c r="AS473" i="1"/>
  <c r="BB473" i="1"/>
  <c r="AS461" i="1"/>
  <c r="BB461" i="1"/>
  <c r="AS499" i="1"/>
  <c r="BB499" i="1"/>
  <c r="AS494" i="1"/>
  <c r="BB494" i="1"/>
  <c r="AS411" i="1"/>
  <c r="BB411" i="1"/>
  <c r="BB484" i="1"/>
  <c r="AS484" i="1"/>
  <c r="AS496" i="1"/>
  <c r="BB496" i="1"/>
  <c r="AS432" i="1"/>
  <c r="BB432" i="1"/>
  <c r="AS442" i="1"/>
  <c r="BB442" i="1"/>
  <c r="AS462" i="1"/>
  <c r="BB462" i="1"/>
  <c r="AS402" i="1"/>
  <c r="BB402" i="1"/>
  <c r="AS474" i="1"/>
  <c r="BB474" i="1"/>
  <c r="AS479" i="1"/>
  <c r="BB479" i="1"/>
  <c r="AS457" i="1"/>
  <c r="BB457" i="1"/>
  <c r="AS465" i="1"/>
  <c r="BB465" i="1"/>
  <c r="AS406" i="1"/>
  <c r="BB406" i="1"/>
  <c r="AS454" i="1"/>
  <c r="BB454" i="1"/>
  <c r="AS448" i="1"/>
  <c r="BB448" i="1"/>
  <c r="AS444" i="1"/>
  <c r="BB444" i="1"/>
  <c r="AS456" i="1"/>
  <c r="BB456" i="1"/>
  <c r="AS438" i="1"/>
  <c r="BB438" i="1"/>
  <c r="AS498" i="1"/>
  <c r="BB498" i="1"/>
  <c r="AS394" i="1"/>
  <c r="BB394" i="1"/>
  <c r="AS459" i="1"/>
  <c r="BB459" i="1"/>
  <c r="C48" i="3"/>
  <c r="D48" i="3" s="1"/>
  <c r="E48" i="3" s="1"/>
  <c r="F48" i="3" s="1"/>
  <c r="G48" i="3" s="1"/>
  <c r="H48" i="3" s="1"/>
  <c r="I48" i="3" s="1"/>
  <c r="J48" i="3" s="1"/>
  <c r="K48" i="3" s="1"/>
  <c r="L48" i="3" s="1"/>
  <c r="AS455" i="1"/>
  <c r="BB455" i="1"/>
  <c r="AS497" i="1"/>
  <c r="BB497" i="1"/>
  <c r="AS491" i="1"/>
  <c r="BB491" i="1"/>
  <c r="AS439" i="1"/>
  <c r="BB439" i="1"/>
  <c r="AS417" i="1"/>
  <c r="BB417" i="1"/>
  <c r="AS463" i="1"/>
  <c r="BB463" i="1"/>
  <c r="AS492" i="1"/>
  <c r="BB492" i="1"/>
  <c r="AS487" i="1"/>
  <c r="BB487" i="1"/>
  <c r="AS391" i="1"/>
  <c r="BB391" i="1"/>
  <c r="AS412" i="1"/>
  <c r="BB412" i="1"/>
  <c r="AS478" i="1"/>
  <c r="BB478" i="1"/>
  <c r="AS422" i="1"/>
  <c r="BB422" i="1"/>
  <c r="AS446" i="1"/>
  <c r="BB446" i="1"/>
  <c r="BB428" i="1"/>
  <c r="AS428" i="1"/>
  <c r="AS419" i="1"/>
  <c r="BB419" i="1"/>
  <c r="AS400" i="1"/>
  <c r="BB400" i="1"/>
  <c r="AS410" i="1"/>
  <c r="BB410" i="1"/>
  <c r="AS414" i="1"/>
  <c r="BB414" i="1"/>
  <c r="BB482" i="1"/>
  <c r="AS482" i="1"/>
  <c r="AS429" i="1"/>
  <c r="BB429" i="1"/>
  <c r="AS475" i="1"/>
  <c r="BB475" i="1"/>
  <c r="AS451" i="1"/>
  <c r="BB451" i="1"/>
  <c r="AS389" i="1"/>
  <c r="BB389" i="1"/>
  <c r="AS425" i="1"/>
  <c r="BB425" i="1"/>
  <c r="AS476" i="1"/>
  <c r="BB476" i="1"/>
  <c r="AS483" i="1"/>
  <c r="BB483" i="1"/>
  <c r="AS393" i="1"/>
  <c r="BB393" i="1"/>
  <c r="AS435" i="1"/>
  <c r="BB435" i="1"/>
  <c r="AS395" i="1"/>
  <c r="BB395" i="1"/>
  <c r="AS443" i="1"/>
  <c r="BB443" i="1"/>
  <c r="AS424" i="1"/>
  <c r="BB424" i="1"/>
  <c r="BB396" i="1"/>
  <c r="AS396" i="1"/>
  <c r="AS404" i="1"/>
  <c r="BB404" i="1"/>
  <c r="I28" i="5" s="1"/>
  <c r="T28" i="5" s="1"/>
  <c r="AS407" i="1"/>
  <c r="BB407" i="1"/>
  <c r="AS426" i="1"/>
  <c r="BB426" i="1"/>
  <c r="AS440" i="1"/>
  <c r="BB440" i="1"/>
  <c r="AS415" i="1"/>
  <c r="BB415" i="1"/>
  <c r="AS399" i="1"/>
  <c r="BB399" i="1"/>
  <c r="AS447" i="1"/>
  <c r="BB447" i="1"/>
  <c r="AS481" i="1"/>
  <c r="BB481" i="1"/>
  <c r="AS433" i="1"/>
  <c r="BB433" i="1"/>
  <c r="AS397" i="1"/>
  <c r="BB397" i="1"/>
  <c r="AS468" i="1"/>
  <c r="BB468" i="1"/>
  <c r="BB418" i="1"/>
  <c r="AS418" i="1"/>
  <c r="AS413" i="1"/>
  <c r="BB413" i="1"/>
  <c r="AS469" i="1"/>
  <c r="BB469" i="1"/>
  <c r="AS409" i="1"/>
  <c r="BB409" i="1"/>
  <c r="AS416" i="1"/>
  <c r="BB416" i="1"/>
  <c r="AS493" i="1"/>
  <c r="BB493" i="1"/>
  <c r="BB460" i="1"/>
  <c r="AS460" i="1"/>
  <c r="BB452" i="1"/>
  <c r="AS452" i="1"/>
  <c r="AS387" i="1"/>
  <c r="BB387" i="1"/>
  <c r="AS436" i="1"/>
  <c r="BB436" i="1"/>
  <c r="AS464" i="1"/>
  <c r="BB464" i="1"/>
  <c r="AS421" i="1"/>
  <c r="BB421" i="1"/>
  <c r="C46" i="3"/>
  <c r="D46" i="3" s="1"/>
  <c r="E46" i="3" s="1"/>
  <c r="F46" i="3" s="1"/>
  <c r="G46" i="3" s="1"/>
  <c r="H46" i="3" s="1"/>
  <c r="I46" i="3" s="1"/>
  <c r="J46" i="3" s="1"/>
  <c r="K46" i="3" s="1"/>
  <c r="L46" i="3" s="1"/>
  <c r="AS45" i="1"/>
  <c r="AW45" i="1" s="1"/>
  <c r="AS466" i="1"/>
  <c r="BB466" i="1"/>
  <c r="BB490" i="1"/>
  <c r="AS490" i="1"/>
  <c r="AS434" i="1"/>
  <c r="BB434" i="1"/>
  <c r="AS467" i="1"/>
  <c r="BB467" i="1"/>
  <c r="AS471" i="1"/>
  <c r="BB471" i="1"/>
  <c r="AS431" i="1"/>
  <c r="BB431" i="1"/>
  <c r="AS449" i="1"/>
  <c r="BB449" i="1"/>
  <c r="AS495" i="1"/>
  <c r="BB495" i="1"/>
  <c r="AS423" i="1"/>
  <c r="BB423" i="1"/>
  <c r="AS458" i="1"/>
  <c r="BB458" i="1"/>
  <c r="AS427" i="1"/>
  <c r="BB427" i="1"/>
  <c r="BB450" i="1"/>
  <c r="AS450" i="1"/>
  <c r="AS390" i="1"/>
  <c r="BB390" i="1"/>
  <c r="AS392" i="1"/>
  <c r="BB392" i="1"/>
  <c r="AS403" i="1"/>
  <c r="BB403" i="1"/>
  <c r="BB388" i="1"/>
  <c r="AS388" i="1"/>
  <c r="AS470" i="1"/>
  <c r="BB470" i="1"/>
  <c r="AS405" i="1"/>
  <c r="BB405" i="1"/>
  <c r="AS488" i="1"/>
  <c r="BB488" i="1"/>
  <c r="AS408" i="1"/>
  <c r="BB408" i="1"/>
  <c r="AS430" i="1"/>
  <c r="BB430" i="1"/>
  <c r="AS401" i="1"/>
  <c r="BB401" i="1"/>
  <c r="AS472" i="1"/>
  <c r="BB472" i="1"/>
  <c r="AS445" i="1"/>
  <c r="BB445" i="1"/>
  <c r="AS398" i="1"/>
  <c r="BB398" i="1"/>
  <c r="AS489" i="1"/>
  <c r="BB489" i="1"/>
  <c r="BB420" i="1"/>
  <c r="AS420" i="1"/>
  <c r="AS437" i="1"/>
  <c r="BB437" i="1"/>
  <c r="AS485" i="1"/>
  <c r="BB485" i="1"/>
  <c r="AS362" i="1"/>
  <c r="BB362" i="1"/>
  <c r="AS375" i="1"/>
  <c r="BB375" i="1"/>
  <c r="AS364" i="1"/>
  <c r="BB364" i="1"/>
  <c r="AS361" i="1"/>
  <c r="BB361" i="1"/>
  <c r="AS357" i="1"/>
  <c r="BB357" i="1"/>
  <c r="AS352" i="1"/>
  <c r="BB352" i="1"/>
  <c r="AS382" i="1"/>
  <c r="BB382" i="1"/>
  <c r="AS363" i="1"/>
  <c r="BB363" i="1"/>
  <c r="AS383" i="1"/>
  <c r="BB383" i="1"/>
  <c r="AS377" i="1"/>
  <c r="BB377" i="1"/>
  <c r="AS371" i="1"/>
  <c r="BB371" i="1"/>
  <c r="AS384" i="1"/>
  <c r="BB384" i="1"/>
  <c r="AS356" i="1"/>
  <c r="BB356" i="1"/>
  <c r="AS359" i="1"/>
  <c r="BB359" i="1"/>
  <c r="AS368" i="1"/>
  <c r="BB368" i="1"/>
  <c r="AS372" i="1"/>
  <c r="BB372" i="1"/>
  <c r="AS365" i="1"/>
  <c r="BB365" i="1"/>
  <c r="AS380" i="1"/>
  <c r="BB380" i="1"/>
  <c r="AS370" i="1"/>
  <c r="BB370" i="1"/>
  <c r="AS344" i="1"/>
  <c r="BB344" i="1"/>
  <c r="BB220" i="1"/>
  <c r="AS346" i="1"/>
  <c r="BB346" i="1"/>
  <c r="AS378" i="1"/>
  <c r="BB378" i="1"/>
  <c r="AS348" i="1"/>
  <c r="BB348" i="1"/>
  <c r="AS350" i="1"/>
  <c r="BB350" i="1"/>
  <c r="AS349" i="1"/>
  <c r="BB349" i="1"/>
  <c r="AS366" i="1"/>
  <c r="BB366" i="1"/>
  <c r="AS381" i="1"/>
  <c r="BB381" i="1"/>
  <c r="AS345" i="1"/>
  <c r="BB345" i="1"/>
  <c r="AS373" i="1"/>
  <c r="BB373" i="1"/>
  <c r="AS385" i="1"/>
  <c r="BB385" i="1"/>
  <c r="AS355" i="1"/>
  <c r="BB355" i="1"/>
  <c r="AS105" i="1"/>
  <c r="AW105" i="1" s="1"/>
  <c r="AS376" i="1"/>
  <c r="BB376" i="1"/>
  <c r="AS354" i="1"/>
  <c r="BB354" i="1"/>
  <c r="AS379" i="1"/>
  <c r="BB379" i="1"/>
  <c r="AS358" i="1"/>
  <c r="BB358" i="1"/>
  <c r="AS369" i="1"/>
  <c r="BB369" i="1"/>
  <c r="AS351" i="1"/>
  <c r="BB351" i="1"/>
  <c r="AS353" i="1"/>
  <c r="BB353" i="1"/>
  <c r="AS347" i="1"/>
  <c r="BB347" i="1"/>
  <c r="AS360" i="1"/>
  <c r="BB360" i="1"/>
  <c r="AS367" i="1"/>
  <c r="BB367" i="1"/>
  <c r="AS374" i="1"/>
  <c r="BB374" i="1"/>
  <c r="AS231" i="1"/>
  <c r="AW231" i="1" s="1"/>
  <c r="AS305" i="1"/>
  <c r="BB305" i="1"/>
  <c r="AS329" i="1"/>
  <c r="BB329" i="1"/>
  <c r="AS339" i="1"/>
  <c r="BB339" i="1"/>
  <c r="AS284" i="1"/>
  <c r="BB284" i="1"/>
  <c r="AS296" i="1"/>
  <c r="BB296" i="1"/>
  <c r="AS246" i="1"/>
  <c r="BB246" i="1"/>
  <c r="AS312" i="1"/>
  <c r="BB312" i="1"/>
  <c r="AS274" i="1"/>
  <c r="BB274" i="1"/>
  <c r="AS298" i="1"/>
  <c r="BB298" i="1"/>
  <c r="AS244" i="1"/>
  <c r="BB244" i="1"/>
  <c r="AS332" i="1"/>
  <c r="BB332" i="1"/>
  <c r="AS245" i="1"/>
  <c r="BB245" i="1"/>
  <c r="AS255" i="1"/>
  <c r="BB255" i="1"/>
  <c r="BB270" i="1"/>
  <c r="AS270" i="1"/>
  <c r="AS325" i="1"/>
  <c r="BB325" i="1"/>
  <c r="AS291" i="1"/>
  <c r="BB291" i="1"/>
  <c r="AS262" i="1"/>
  <c r="BB262" i="1"/>
  <c r="AS311" i="1"/>
  <c r="BB311" i="1"/>
  <c r="AS290" i="1"/>
  <c r="BB290" i="1"/>
  <c r="AS279" i="1"/>
  <c r="BB279" i="1"/>
  <c r="AS278" i="1"/>
  <c r="BB278" i="1"/>
  <c r="AS340" i="1"/>
  <c r="BB340" i="1"/>
  <c r="BB289" i="1"/>
  <c r="AS289" i="1"/>
  <c r="AS310" i="1"/>
  <c r="BB310" i="1"/>
  <c r="AS275" i="1"/>
  <c r="BB275" i="1"/>
  <c r="AS336" i="1"/>
  <c r="BB336" i="1"/>
  <c r="AS314" i="1"/>
  <c r="BB314" i="1"/>
  <c r="AS300" i="1"/>
  <c r="BB300" i="1"/>
  <c r="AS322" i="1"/>
  <c r="BB322" i="1"/>
  <c r="AS282" i="1"/>
  <c r="BB282" i="1"/>
  <c r="AS237" i="1"/>
  <c r="BB237" i="1"/>
  <c r="AS254" i="1"/>
  <c r="BB254" i="1"/>
  <c r="AS247" i="1"/>
  <c r="BB247" i="1"/>
  <c r="AS301" i="1"/>
  <c r="BB301" i="1"/>
  <c r="AS337" i="1"/>
  <c r="BB337" i="1"/>
  <c r="AS238" i="1"/>
  <c r="BB238" i="1"/>
  <c r="AS318" i="1"/>
  <c r="BB318" i="1"/>
  <c r="AS257" i="1"/>
  <c r="BB257" i="1"/>
  <c r="AS306" i="1"/>
  <c r="BB306" i="1"/>
  <c r="AS303" i="1"/>
  <c r="BB303" i="1"/>
  <c r="AS273" i="1"/>
  <c r="BB273" i="1"/>
  <c r="AS313" i="1"/>
  <c r="BB313" i="1"/>
  <c r="AS268" i="1"/>
  <c r="BB268" i="1"/>
  <c r="AS297" i="1"/>
  <c r="BB297" i="1"/>
  <c r="AS59" i="1"/>
  <c r="AW59" i="1" s="1"/>
  <c r="AS304" i="1"/>
  <c r="BB304" i="1"/>
  <c r="AS249" i="1"/>
  <c r="BB249" i="1"/>
  <c r="AS341" i="1"/>
  <c r="BB341" i="1"/>
  <c r="AS272" i="1"/>
  <c r="BB272" i="1"/>
  <c r="AS315" i="1"/>
  <c r="BB315" i="1"/>
  <c r="AS263" i="1"/>
  <c r="BB263" i="1"/>
  <c r="AS267" i="1"/>
  <c r="BB267" i="1"/>
  <c r="AS328" i="1"/>
  <c r="BB328" i="1"/>
  <c r="AS343" i="1"/>
  <c r="BB343" i="1"/>
  <c r="AS321" i="1"/>
  <c r="BB321" i="1"/>
  <c r="AS286" i="1"/>
  <c r="BB286" i="1"/>
  <c r="AS316" i="1"/>
  <c r="BB316" i="1"/>
  <c r="AS242" i="1"/>
  <c r="BB242" i="1"/>
  <c r="C86" i="3"/>
  <c r="AS236" i="1"/>
  <c r="BB236" i="1"/>
  <c r="AS287" i="1"/>
  <c r="BB287" i="1"/>
  <c r="AS265" i="1"/>
  <c r="BB265" i="1"/>
  <c r="AS260" i="1"/>
  <c r="BB260" i="1"/>
  <c r="AS251" i="1"/>
  <c r="BB251" i="1"/>
  <c r="AS256" i="1"/>
  <c r="BB256" i="1"/>
  <c r="AS308" i="1"/>
  <c r="BB308" i="1"/>
  <c r="AS330" i="1"/>
  <c r="BB330" i="1"/>
  <c r="AS241" i="1"/>
  <c r="BB241" i="1"/>
  <c r="AS248" i="1"/>
  <c r="BB248" i="1"/>
  <c r="AS302" i="1"/>
  <c r="BB302" i="1"/>
  <c r="AS317" i="1"/>
  <c r="BB317" i="1"/>
  <c r="AS288" i="1"/>
  <c r="BB288" i="1"/>
  <c r="AS259" i="1"/>
  <c r="BB259" i="1"/>
  <c r="AS342" i="1"/>
  <c r="BB342" i="1"/>
  <c r="AS331" i="1"/>
  <c r="BB331" i="1"/>
  <c r="AS253" i="1"/>
  <c r="BB253" i="1"/>
  <c r="I27" i="5" s="1"/>
  <c r="T27" i="5" s="1"/>
  <c r="AS258" i="1"/>
  <c r="BB258" i="1"/>
  <c r="AS292" i="1"/>
  <c r="BB292" i="1"/>
  <c r="AS309" i="1"/>
  <c r="BB309" i="1"/>
  <c r="AS293" i="1"/>
  <c r="BB293" i="1"/>
  <c r="AS333" i="1"/>
  <c r="BB333" i="1"/>
  <c r="AS261" i="1"/>
  <c r="BB261" i="1"/>
  <c r="AS206" i="1"/>
  <c r="AW206" i="1" s="1"/>
  <c r="AS324" i="1"/>
  <c r="BB324" i="1"/>
  <c r="AS250" i="1"/>
  <c r="BB250" i="1"/>
  <c r="AS269" i="1"/>
  <c r="BB269" i="1"/>
  <c r="AS266" i="1"/>
  <c r="BB266" i="1"/>
  <c r="AS327" i="1"/>
  <c r="BB327" i="1"/>
  <c r="AS285" i="1"/>
  <c r="BB285" i="1"/>
  <c r="BB281" i="1"/>
  <c r="AS281" i="1"/>
  <c r="AS252" i="1"/>
  <c r="BB252" i="1"/>
  <c r="AS239" i="1"/>
  <c r="BB239" i="1"/>
  <c r="AS320" i="1"/>
  <c r="BB320" i="1"/>
  <c r="AS326" i="1"/>
  <c r="BB326" i="1"/>
  <c r="AS264" i="1"/>
  <c r="BB264" i="1"/>
  <c r="AS323" i="1"/>
  <c r="BB323" i="1"/>
  <c r="AS307" i="1"/>
  <c r="BB307" i="1"/>
  <c r="AS277" i="1"/>
  <c r="BB277" i="1"/>
  <c r="AS295" i="1"/>
  <c r="BB295" i="1"/>
  <c r="AS319" i="1"/>
  <c r="BB319" i="1"/>
  <c r="AS240" i="1"/>
  <c r="BB240" i="1"/>
  <c r="AS225" i="1"/>
  <c r="AW225" i="1" s="1"/>
  <c r="AS271" i="1"/>
  <c r="BB271" i="1"/>
  <c r="BB334" i="1"/>
  <c r="AS334" i="1"/>
  <c r="AS294" i="1"/>
  <c r="BB294" i="1"/>
  <c r="AS283" i="1"/>
  <c r="BB283" i="1"/>
  <c r="AS243" i="1"/>
  <c r="BB243" i="1"/>
  <c r="AS276" i="1"/>
  <c r="BB276" i="1"/>
  <c r="AS338" i="1"/>
  <c r="BB338" i="1"/>
  <c r="AS335" i="1"/>
  <c r="BB335" i="1"/>
  <c r="AS280" i="1"/>
  <c r="BB280" i="1"/>
  <c r="AS299" i="1"/>
  <c r="BB299" i="1"/>
  <c r="AS57" i="1"/>
  <c r="AW57" i="1" s="1"/>
  <c r="AS186" i="1"/>
  <c r="AW186" i="1" s="1"/>
  <c r="AS118" i="1"/>
  <c r="AW118" i="1" s="1"/>
  <c r="AS13" i="1"/>
  <c r="AW13" i="1" s="1"/>
  <c r="AS181" i="1"/>
  <c r="AW181" i="1" s="1"/>
  <c r="AS38" i="1"/>
  <c r="AW38" i="1" s="1"/>
  <c r="AS162" i="1"/>
  <c r="AW162" i="1" s="1"/>
  <c r="AS220" i="1"/>
  <c r="AX220" i="1" s="1"/>
  <c r="BB38" i="1"/>
  <c r="BB118" i="1"/>
  <c r="BB186" i="1"/>
  <c r="AS187" i="1"/>
  <c r="AV187" i="1" s="1"/>
  <c r="AS139" i="1"/>
  <c r="AZ139" i="1" s="1"/>
  <c r="AS229" i="1"/>
  <c r="AW229" i="1" s="1"/>
  <c r="AS9" i="1"/>
  <c r="AW9" i="1" s="1"/>
  <c r="BB13" i="1"/>
  <c r="AS196" i="1"/>
  <c r="AW196" i="1" s="1"/>
  <c r="BB213" i="1"/>
  <c r="C69" i="3" s="1"/>
  <c r="D69" i="3" s="1"/>
  <c r="E69" i="3" s="1"/>
  <c r="F69" i="3" s="1"/>
  <c r="G69" i="3" s="1"/>
  <c r="H69" i="3" s="1"/>
  <c r="I69" i="3" s="1"/>
  <c r="J69" i="3" s="1"/>
  <c r="K69" i="3" s="1"/>
  <c r="L69" i="3" s="1"/>
  <c r="AS213" i="1"/>
  <c r="AY213" i="1" s="1"/>
  <c r="AS227" i="1"/>
  <c r="BA227" i="1" s="1"/>
  <c r="AS62" i="1"/>
  <c r="C67" i="3"/>
  <c r="D67" i="3" s="1"/>
  <c r="E67" i="3" s="1"/>
  <c r="F67" i="3" s="1"/>
  <c r="G67" i="3" s="1"/>
  <c r="H67" i="3" s="1"/>
  <c r="I67" i="3" s="1"/>
  <c r="J67" i="3" s="1"/>
  <c r="K67" i="3" s="1"/>
  <c r="L67" i="3" s="1"/>
  <c r="AS149" i="1"/>
  <c r="AW149" i="1" s="1"/>
  <c r="AS99" i="1"/>
  <c r="BA99" i="1" s="1"/>
  <c r="AS177" i="1"/>
  <c r="AW177" i="1" s="1"/>
  <c r="AS218" i="1"/>
  <c r="AW218" i="1" s="1"/>
  <c r="BB227" i="1"/>
  <c r="AS223" i="1"/>
  <c r="AS226" i="1"/>
  <c r="AW226" i="1" s="1"/>
  <c r="AS172" i="1"/>
  <c r="AX172" i="1" s="1"/>
  <c r="AS87" i="1"/>
  <c r="AX87" i="1" s="1"/>
  <c r="AS100" i="1"/>
  <c r="D90" i="3"/>
  <c r="D132" i="3" s="1"/>
  <c r="AS50" i="1"/>
  <c r="AS192" i="1"/>
  <c r="AW192" i="1" s="1"/>
  <c r="AS232" i="1"/>
  <c r="AW232" i="1" s="1"/>
  <c r="AS182" i="1"/>
  <c r="AW182" i="1" s="1"/>
  <c r="AS171" i="1"/>
  <c r="AZ171" i="1" s="1"/>
  <c r="AS86" i="1"/>
  <c r="AW86" i="1" s="1"/>
  <c r="AS152" i="1"/>
  <c r="AX152" i="1" s="1"/>
  <c r="AS66" i="1"/>
  <c r="AW66" i="1" s="1"/>
  <c r="AS108" i="1"/>
  <c r="AY108" i="1" s="1"/>
  <c r="AS33" i="1"/>
  <c r="AW33" i="1" s="1"/>
  <c r="AS46" i="1"/>
  <c r="AZ46" i="1" s="1"/>
  <c r="AS97" i="1"/>
  <c r="AW97" i="1" s="1"/>
  <c r="AS123" i="1"/>
  <c r="AX123" i="1" s="1"/>
  <c r="AS109" i="1"/>
  <c r="AW109" i="1" s="1"/>
  <c r="AS147" i="1"/>
  <c r="AW147" i="1" s="1"/>
  <c r="BB172" i="1"/>
  <c r="AS34" i="1"/>
  <c r="AV34" i="1" s="1"/>
  <c r="AS166" i="1"/>
  <c r="AW166" i="1" s="1"/>
  <c r="AS122" i="1"/>
  <c r="AX122" i="1" s="1"/>
  <c r="AS96" i="1"/>
  <c r="AW96" i="1" s="1"/>
  <c r="AS121" i="1"/>
  <c r="AS11" i="1"/>
  <c r="AW11" i="1" s="1"/>
  <c r="AS10" i="1"/>
  <c r="AW10" i="1" s="1"/>
  <c r="AS69" i="1"/>
  <c r="AW69" i="1" s="1"/>
  <c r="BB69" i="1"/>
  <c r="AX203" i="1"/>
  <c r="AZ203" i="1"/>
  <c r="AY203" i="1"/>
  <c r="BA203" i="1"/>
  <c r="AV203" i="1"/>
  <c r="BA210" i="1"/>
  <c r="AZ210" i="1"/>
  <c r="AY210" i="1"/>
  <c r="AX210" i="1"/>
  <c r="AV210" i="1"/>
  <c r="AY198" i="1"/>
  <c r="AX198" i="1"/>
  <c r="BA198" i="1"/>
  <c r="AZ198" i="1"/>
  <c r="AV198" i="1"/>
  <c r="AY200" i="1"/>
  <c r="BA200" i="1"/>
  <c r="AX200" i="1"/>
  <c r="AZ200" i="1"/>
  <c r="AV200" i="1"/>
  <c r="AY209" i="1"/>
  <c r="BA209" i="1"/>
  <c r="AX209" i="1"/>
  <c r="AZ209" i="1"/>
  <c r="AV209" i="1"/>
  <c r="AX180" i="1"/>
  <c r="AZ180" i="1"/>
  <c r="AY180" i="1"/>
  <c r="BA180" i="1"/>
  <c r="AV180" i="1"/>
  <c r="BA190" i="1"/>
  <c r="AZ190" i="1"/>
  <c r="AY190" i="1"/>
  <c r="AX190" i="1"/>
  <c r="AV190" i="1"/>
  <c r="AY208" i="1"/>
  <c r="BA208" i="1"/>
  <c r="AX208" i="1"/>
  <c r="AZ208" i="1"/>
  <c r="AV208" i="1"/>
  <c r="BA174" i="1"/>
  <c r="AZ174" i="1"/>
  <c r="AY174" i="1"/>
  <c r="AX174" i="1"/>
  <c r="AV174" i="1"/>
  <c r="AY199" i="1"/>
  <c r="BA199" i="1"/>
  <c r="AX199" i="1"/>
  <c r="AZ199" i="1"/>
  <c r="AV199" i="1"/>
  <c r="AX154" i="1"/>
  <c r="BA154" i="1"/>
  <c r="AZ154" i="1"/>
  <c r="AY154" i="1"/>
  <c r="AV154" i="1"/>
  <c r="AY183" i="1"/>
  <c r="BA183" i="1"/>
  <c r="AX183" i="1"/>
  <c r="AZ183" i="1"/>
  <c r="AV183" i="1"/>
  <c r="AY184" i="1"/>
  <c r="BA184" i="1"/>
  <c r="AX184" i="1"/>
  <c r="AZ184" i="1"/>
  <c r="AV184" i="1"/>
  <c r="AZ170" i="1"/>
  <c r="AY170" i="1"/>
  <c r="AX170" i="1"/>
  <c r="BA170" i="1"/>
  <c r="AV170" i="1"/>
  <c r="AY168" i="1"/>
  <c r="BA168" i="1"/>
  <c r="AX168" i="1"/>
  <c r="AZ168" i="1"/>
  <c r="AV168" i="1"/>
  <c r="AY160" i="1"/>
  <c r="BA160" i="1"/>
  <c r="AX160" i="1"/>
  <c r="AZ160" i="1"/>
  <c r="AV160" i="1"/>
  <c r="AY153" i="1"/>
  <c r="BA153" i="1"/>
  <c r="AX153" i="1"/>
  <c r="AZ153" i="1"/>
  <c r="AV153" i="1"/>
  <c r="AX173" i="1"/>
  <c r="AZ173" i="1"/>
  <c r="AY173" i="1"/>
  <c r="BA173" i="1"/>
  <c r="AV173" i="1"/>
  <c r="AX163" i="1"/>
  <c r="AZ163" i="1"/>
  <c r="AY163" i="1"/>
  <c r="BA163" i="1"/>
  <c r="AV163" i="1"/>
  <c r="AY169" i="1"/>
  <c r="BA169" i="1"/>
  <c r="AX169" i="1"/>
  <c r="AZ169" i="1"/>
  <c r="AV169" i="1"/>
  <c r="AX164" i="1"/>
  <c r="AZ164" i="1"/>
  <c r="AY164" i="1"/>
  <c r="BA164" i="1"/>
  <c r="AV164" i="1"/>
  <c r="AY193" i="1"/>
  <c r="BA193" i="1"/>
  <c r="AX193" i="1"/>
  <c r="AZ193" i="1"/>
  <c r="AV193" i="1"/>
  <c r="AX204" i="1"/>
  <c r="AZ204" i="1"/>
  <c r="AY204" i="1"/>
  <c r="BA204" i="1"/>
  <c r="AV204" i="1"/>
  <c r="AX194" i="1"/>
  <c r="BA194" i="1"/>
  <c r="AZ194" i="1"/>
  <c r="AY194" i="1"/>
  <c r="AV194" i="1"/>
  <c r="AX128" i="1"/>
  <c r="BA128" i="1"/>
  <c r="AZ128" i="1"/>
  <c r="AY128" i="1"/>
  <c r="AV128" i="1"/>
  <c r="AV137" i="1"/>
  <c r="AZ75" i="1"/>
  <c r="AY75" i="1"/>
  <c r="BA75" i="1"/>
  <c r="AX75" i="1"/>
  <c r="AV75" i="1"/>
  <c r="AX127" i="1"/>
  <c r="BA127" i="1"/>
  <c r="AY127" i="1"/>
  <c r="AZ127" i="1"/>
  <c r="AV127" i="1"/>
  <c r="BA117" i="1"/>
  <c r="AZ117" i="1"/>
  <c r="AY117" i="1"/>
  <c r="AX117" i="1"/>
  <c r="AV117" i="1"/>
  <c r="AX104" i="1"/>
  <c r="BA104" i="1"/>
  <c r="AZ104" i="1"/>
  <c r="AY104" i="1"/>
  <c r="AV104" i="1"/>
  <c r="AY89" i="1"/>
  <c r="AX89" i="1"/>
  <c r="BA89" i="1"/>
  <c r="AZ89" i="1"/>
  <c r="AV89" i="1"/>
  <c r="BA141" i="1"/>
  <c r="AZ141" i="1"/>
  <c r="AX141" i="1"/>
  <c r="AY141" i="1"/>
  <c r="AV141" i="1"/>
  <c r="AZ94" i="1"/>
  <c r="AX119" i="1"/>
  <c r="BA119" i="1"/>
  <c r="AZ119" i="1"/>
  <c r="AY119" i="1"/>
  <c r="AV119" i="1"/>
  <c r="AX106" i="1"/>
  <c r="BA106" i="1"/>
  <c r="AY106" i="1"/>
  <c r="AZ106" i="1"/>
  <c r="AV106" i="1"/>
  <c r="AX103" i="1"/>
  <c r="BA103" i="1"/>
  <c r="AZ103" i="1"/>
  <c r="AY103" i="1"/>
  <c r="AV103" i="1"/>
  <c r="AX78" i="1"/>
  <c r="AZ78" i="1"/>
  <c r="AY78" i="1"/>
  <c r="BA78" i="1"/>
  <c r="AV78" i="1"/>
  <c r="AY90" i="1"/>
  <c r="AX90" i="1"/>
  <c r="BA90" i="1"/>
  <c r="AZ90" i="1"/>
  <c r="AV90" i="1"/>
  <c r="AZ102" i="1"/>
  <c r="AY102" i="1"/>
  <c r="BA102" i="1"/>
  <c r="AX102" i="1"/>
  <c r="AV102" i="1"/>
  <c r="AX114" i="1"/>
  <c r="BA114" i="1"/>
  <c r="AZ114" i="1"/>
  <c r="AX80" i="1"/>
  <c r="BA80" i="1"/>
  <c r="AZ80" i="1"/>
  <c r="AY80" i="1"/>
  <c r="AV80" i="1"/>
  <c r="AZ115" i="1"/>
  <c r="AY115" i="1"/>
  <c r="BA115" i="1"/>
  <c r="AX115" i="1"/>
  <c r="AV115" i="1"/>
  <c r="BA120" i="1"/>
  <c r="BA93" i="1"/>
  <c r="AZ93" i="1"/>
  <c r="AY93" i="1"/>
  <c r="AX93" i="1"/>
  <c r="AV93" i="1"/>
  <c r="AY107" i="1"/>
  <c r="BA107" i="1"/>
  <c r="AV107" i="1"/>
  <c r="AZ150" i="1"/>
  <c r="AY150" i="1"/>
  <c r="AX150" i="1"/>
  <c r="BA150" i="1"/>
  <c r="AV150" i="1"/>
  <c r="AY81" i="1"/>
  <c r="AZ81" i="1"/>
  <c r="AX81" i="1"/>
  <c r="BA81" i="1"/>
  <c r="AV81" i="1"/>
  <c r="BA101" i="1"/>
  <c r="AZ101" i="1"/>
  <c r="AY101" i="1"/>
  <c r="AX101" i="1"/>
  <c r="AV101" i="1"/>
  <c r="AY145" i="1"/>
  <c r="AX145" i="1"/>
  <c r="AZ145" i="1"/>
  <c r="BA145" i="1"/>
  <c r="AV145" i="1"/>
  <c r="AZ142" i="1"/>
  <c r="AY142" i="1"/>
  <c r="AX142" i="1"/>
  <c r="BA142" i="1"/>
  <c r="AV142" i="1"/>
  <c r="AY146" i="1"/>
  <c r="AY129" i="1"/>
  <c r="AX129" i="1"/>
  <c r="AZ129" i="1"/>
  <c r="BA129" i="1"/>
  <c r="AV129" i="1"/>
  <c r="AZ91" i="1"/>
  <c r="AY91" i="1"/>
  <c r="AX91" i="1"/>
  <c r="BA91" i="1"/>
  <c r="AV91" i="1"/>
  <c r="AZ140" i="1"/>
  <c r="AX85" i="1"/>
  <c r="BA85" i="1"/>
  <c r="AZ85" i="1"/>
  <c r="AY85" i="1"/>
  <c r="AV85" i="1"/>
  <c r="AX130" i="1"/>
  <c r="BA130" i="1"/>
  <c r="AZ130" i="1"/>
  <c r="AY130" i="1"/>
  <c r="AV130" i="1"/>
  <c r="AY116" i="1"/>
  <c r="AX116" i="1"/>
  <c r="BA116" i="1"/>
  <c r="AZ116" i="1"/>
  <c r="AV116" i="1"/>
  <c r="AX76" i="1"/>
  <c r="AY76" i="1"/>
  <c r="AZ76" i="1"/>
  <c r="BA76" i="1"/>
  <c r="AV76" i="1"/>
  <c r="AX143" i="1"/>
  <c r="BA143" i="1"/>
  <c r="AY143" i="1"/>
  <c r="AZ143" i="1"/>
  <c r="AV143" i="1"/>
  <c r="AX77" i="1"/>
  <c r="BA77" i="1"/>
  <c r="AZ77" i="1"/>
  <c r="AY77" i="1"/>
  <c r="AV77" i="1"/>
  <c r="AY132" i="1"/>
  <c r="AX132" i="1"/>
  <c r="BA132" i="1"/>
  <c r="AZ132" i="1"/>
  <c r="AV132" i="1"/>
  <c r="AX88" i="1"/>
  <c r="AV88" i="1"/>
  <c r="BA133" i="1"/>
  <c r="AZ133" i="1"/>
  <c r="AX133" i="1"/>
  <c r="AY133" i="1"/>
  <c r="AV133" i="1"/>
  <c r="AZ64" i="1"/>
  <c r="AY64" i="1"/>
  <c r="BA64" i="1"/>
  <c r="AX64" i="1"/>
  <c r="AV64" i="1"/>
  <c r="BA41" i="1"/>
  <c r="AY41" i="1"/>
  <c r="AX41" i="1"/>
  <c r="AZ41" i="1"/>
  <c r="AV41" i="1"/>
  <c r="AX51" i="1"/>
  <c r="BA51" i="1"/>
  <c r="AZ51" i="1"/>
  <c r="AY51" i="1"/>
  <c r="AV51" i="1"/>
  <c r="AZ5" i="1"/>
  <c r="AX5" i="1"/>
  <c r="AY5" i="1"/>
  <c r="BA5" i="1"/>
  <c r="AV5" i="1"/>
  <c r="AY44" i="1"/>
  <c r="AX44" i="1"/>
  <c r="BA44" i="1"/>
  <c r="AZ44" i="1"/>
  <c r="AV44" i="1"/>
  <c r="AX67" i="1"/>
  <c r="BA67" i="1"/>
  <c r="AZ67" i="1"/>
  <c r="AY67" i="1"/>
  <c r="AV67" i="1"/>
  <c r="AZ53" i="1"/>
  <c r="AX53" i="1"/>
  <c r="AY53" i="1"/>
  <c r="BA53" i="1"/>
  <c r="AV53" i="1"/>
  <c r="AZ56" i="1"/>
  <c r="AY56" i="1"/>
  <c r="BA56" i="1"/>
  <c r="AX56" i="1"/>
  <c r="AV56" i="1"/>
  <c r="AY60" i="1"/>
  <c r="AX60" i="1"/>
  <c r="BA60" i="1"/>
  <c r="AZ60" i="1"/>
  <c r="AV60" i="1"/>
  <c r="AY36" i="1"/>
  <c r="AX36" i="1"/>
  <c r="BA36" i="1"/>
  <c r="AZ36" i="1"/>
  <c r="AV36" i="1"/>
  <c r="AY7" i="1"/>
  <c r="AX7" i="1"/>
  <c r="BA7" i="1"/>
  <c r="AZ7" i="1"/>
  <c r="AV7" i="1"/>
  <c r="AY20" i="1"/>
  <c r="AX20" i="1"/>
  <c r="BA20" i="1"/>
  <c r="AZ20" i="1"/>
  <c r="AV20" i="1"/>
  <c r="AZ26" i="1"/>
  <c r="AY26" i="1"/>
  <c r="AX26" i="1"/>
  <c r="BA26" i="1"/>
  <c r="AV26" i="1"/>
  <c r="AY4" i="1"/>
  <c r="AX4" i="1"/>
  <c r="BA4" i="1"/>
  <c r="AZ4" i="1"/>
  <c r="AV4" i="1"/>
  <c r="AX27" i="1"/>
  <c r="BA27" i="1"/>
  <c r="AZ27" i="1"/>
  <c r="AY27" i="1"/>
  <c r="AV27" i="1"/>
  <c r="AZ72" i="1"/>
  <c r="AY72" i="1"/>
  <c r="BA72" i="1"/>
  <c r="AX72" i="1"/>
  <c r="AV72" i="1"/>
  <c r="AY15" i="1"/>
  <c r="AX15" i="1"/>
  <c r="AZ15" i="1"/>
  <c r="BA15" i="1"/>
  <c r="AV15" i="1"/>
  <c r="AY39" i="1"/>
  <c r="AX39" i="1"/>
  <c r="BA39" i="1"/>
  <c r="AZ39" i="1"/>
  <c r="AV39" i="1"/>
  <c r="AY63" i="1"/>
  <c r="AX63" i="1"/>
  <c r="AZ63" i="1"/>
  <c r="BA63" i="1"/>
  <c r="AV63" i="1"/>
  <c r="AZ29" i="1"/>
  <c r="AX29" i="1"/>
  <c r="BA29" i="1"/>
  <c r="AY29" i="1"/>
  <c r="AV29" i="1"/>
  <c r="BA17" i="1"/>
  <c r="AZ17" i="1"/>
  <c r="AY17" i="1"/>
  <c r="AX17" i="1"/>
  <c r="AV17" i="1"/>
  <c r="AZ48" i="1"/>
  <c r="AY48" i="1"/>
  <c r="BA48" i="1"/>
  <c r="AX48" i="1"/>
  <c r="AV48" i="1"/>
  <c r="AX3" i="1"/>
  <c r="BA3" i="1"/>
  <c r="AZ3" i="1"/>
  <c r="AY3" i="1"/>
  <c r="AV3" i="1"/>
  <c r="AY12" i="1"/>
  <c r="AX12" i="1"/>
  <c r="BA12" i="1"/>
  <c r="AZ12" i="1"/>
  <c r="AV12" i="1"/>
  <c r="AY31" i="1"/>
  <c r="AX31" i="1"/>
  <c r="AZ31" i="1"/>
  <c r="BA31" i="1"/>
  <c r="AV31" i="1"/>
  <c r="AZ32" i="1"/>
  <c r="AY32" i="1"/>
  <c r="BA32" i="1"/>
  <c r="AX32" i="1"/>
  <c r="AV32" i="1"/>
  <c r="AY55" i="1"/>
  <c r="AX55" i="1"/>
  <c r="BA55" i="1"/>
  <c r="AZ55" i="1"/>
  <c r="AV55" i="1"/>
  <c r="AZ16" i="1"/>
  <c r="AY16" i="1"/>
  <c r="BA16" i="1"/>
  <c r="AX16" i="1"/>
  <c r="AV16" i="1"/>
  <c r="AX19" i="1"/>
  <c r="BA19" i="1"/>
  <c r="AZ19" i="1"/>
  <c r="AY19" i="1"/>
  <c r="AV19" i="1"/>
  <c r="AZ8" i="1"/>
  <c r="AY8" i="1"/>
  <c r="BA8" i="1"/>
  <c r="AX8" i="1"/>
  <c r="AV8" i="1"/>
  <c r="AZ40" i="1"/>
  <c r="AY40" i="1"/>
  <c r="BA40" i="1"/>
  <c r="AX40" i="1"/>
  <c r="AV40" i="1"/>
  <c r="AY28" i="1"/>
  <c r="AX28" i="1"/>
  <c r="BA28" i="1"/>
  <c r="AZ28" i="1"/>
  <c r="AV28" i="1"/>
  <c r="AX43" i="1"/>
  <c r="BA43" i="1"/>
  <c r="AZ43" i="1"/>
  <c r="AY43" i="1"/>
  <c r="AV43" i="1"/>
  <c r="AZ24" i="1"/>
  <c r="AY24" i="1"/>
  <c r="BA24" i="1"/>
  <c r="AX24" i="1"/>
  <c r="AV24" i="1"/>
  <c r="BA65" i="1"/>
  <c r="AY65" i="1"/>
  <c r="AZ65" i="1"/>
  <c r="AX65" i="1"/>
  <c r="AV65" i="1"/>
  <c r="AY68" i="1"/>
  <c r="AX68" i="1"/>
  <c r="BA68" i="1"/>
  <c r="AZ68" i="1"/>
  <c r="AV68" i="1"/>
  <c r="E97" i="3"/>
  <c r="E139" i="3" s="1"/>
  <c r="E93" i="3"/>
  <c r="E135" i="3" s="1"/>
  <c r="K89" i="3"/>
  <c r="K131" i="3" s="1"/>
  <c r="K98" i="3"/>
  <c r="K140" i="3" s="1"/>
  <c r="K99" i="3"/>
  <c r="K141" i="3" s="1"/>
  <c r="K91" i="3"/>
  <c r="K133" i="3" s="1"/>
  <c r="C66" i="3"/>
  <c r="D66" i="3" s="1"/>
  <c r="E66" i="3" s="1"/>
  <c r="F66" i="3" s="1"/>
  <c r="G66" i="3" s="1"/>
  <c r="H66" i="3" s="1"/>
  <c r="I66" i="3" s="1"/>
  <c r="J66" i="3" s="1"/>
  <c r="K66" i="3" s="1"/>
  <c r="L66" i="3" s="1"/>
  <c r="AN2" i="1"/>
  <c r="BG2" i="1" s="1"/>
  <c r="N10" i="5" s="1"/>
  <c r="AM2" i="1"/>
  <c r="BF2" i="1" s="1"/>
  <c r="M10" i="5" s="1"/>
  <c r="AQ2" i="1"/>
  <c r="BJ2" i="1" s="1"/>
  <c r="Q10" i="5" s="1"/>
  <c r="AP2" i="1"/>
  <c r="BI2" i="1" s="1"/>
  <c r="P10" i="5" s="1"/>
  <c r="AL2" i="1"/>
  <c r="BE2" i="1" s="1"/>
  <c r="L10" i="5" s="1"/>
  <c r="AR2" i="1"/>
  <c r="BK2" i="1" s="1"/>
  <c r="R10" i="5" s="1"/>
  <c r="AI2" i="1"/>
  <c r="BB2" i="1" s="1"/>
  <c r="C64" i="3" s="1"/>
  <c r="AK2" i="1"/>
  <c r="BD2" i="1" s="1"/>
  <c r="K10" i="5" s="1"/>
  <c r="AO2" i="1"/>
  <c r="BH2" i="1" s="1"/>
  <c r="O10" i="5" s="1"/>
  <c r="C24" i="3"/>
  <c r="D24" i="3" s="1"/>
  <c r="E24" i="3" s="1"/>
  <c r="F24" i="3" s="1"/>
  <c r="G24" i="3" s="1"/>
  <c r="H24" i="3" s="1"/>
  <c r="I24" i="3" s="1"/>
  <c r="J24" i="3" s="1"/>
  <c r="K24" i="3" s="1"/>
  <c r="L24" i="3" s="1"/>
  <c r="C23" i="3"/>
  <c r="C25" i="3"/>
  <c r="D25" i="3" s="1"/>
  <c r="E25" i="3" s="1"/>
  <c r="F25" i="3" s="1"/>
  <c r="G25" i="3" s="1"/>
  <c r="H25" i="3" s="1"/>
  <c r="I25" i="3" s="1"/>
  <c r="J25" i="3" s="1"/>
  <c r="K25" i="3" s="1"/>
  <c r="L25" i="3" s="1"/>
  <c r="C43" i="3"/>
  <c r="D43" i="3" s="1"/>
  <c r="C5" i="3"/>
  <c r="D5" i="3" s="1"/>
  <c r="E5" i="3" s="1"/>
  <c r="F5" i="3" s="1"/>
  <c r="G5" i="3" s="1"/>
  <c r="H5" i="3" s="1"/>
  <c r="I5" i="3" s="1"/>
  <c r="J5" i="3" s="1"/>
  <c r="K5" i="3" s="1"/>
  <c r="L5" i="3" s="1"/>
  <c r="C45" i="3"/>
  <c r="D45" i="3" s="1"/>
  <c r="E45" i="3" s="1"/>
  <c r="F45" i="3" s="1"/>
  <c r="G45" i="3" s="1"/>
  <c r="H45" i="3" s="1"/>
  <c r="I45" i="3" s="1"/>
  <c r="J45" i="3" s="1"/>
  <c r="K45" i="3" s="1"/>
  <c r="L45" i="3" s="1"/>
  <c r="AW705" i="1" l="1"/>
  <c r="AW713" i="1"/>
  <c r="AW350" i="8"/>
  <c r="AW242" i="8"/>
  <c r="AY627" i="8"/>
  <c r="AW212" i="8"/>
  <c r="AZ88" i="1"/>
  <c r="BA705" i="1"/>
  <c r="AY713" i="1"/>
  <c r="AZ350" i="8"/>
  <c r="AX242" i="8"/>
  <c r="AX627" i="8"/>
  <c r="AZ212" i="8"/>
  <c r="AY88" i="1"/>
  <c r="BA88" i="1"/>
  <c r="AV146" i="1"/>
  <c r="AX705" i="1"/>
  <c r="AV527" i="8"/>
  <c r="AV212" i="8"/>
  <c r="AY705" i="1"/>
  <c r="AX527" i="8"/>
  <c r="AV713" i="1"/>
  <c r="AV350" i="8"/>
  <c r="AW527" i="8"/>
  <c r="AV242" i="8"/>
  <c r="AV627" i="8"/>
  <c r="AZ146" i="1"/>
  <c r="BA146" i="1"/>
  <c r="AX713" i="1"/>
  <c r="AY350" i="8"/>
  <c r="AY527" i="8"/>
  <c r="AY242" i="8"/>
  <c r="BA627" i="8"/>
  <c r="AX146" i="1"/>
  <c r="BA212" i="8"/>
  <c r="AZ671" i="1"/>
  <c r="AX681" i="1"/>
  <c r="AX693" i="1"/>
  <c r="AV698" i="1"/>
  <c r="BA471" i="8"/>
  <c r="BA437" i="8"/>
  <c r="AX318" i="8"/>
  <c r="AV738" i="8"/>
  <c r="AW567" i="8"/>
  <c r="AV432" i="8"/>
  <c r="AV260" i="8"/>
  <c r="AY300" i="8"/>
  <c r="AW756" i="8"/>
  <c r="AV635" i="8"/>
  <c r="AZ685" i="1"/>
  <c r="AY671" i="1"/>
  <c r="AW681" i="1"/>
  <c r="AV668" i="1"/>
  <c r="AZ693" i="1"/>
  <c r="BA698" i="1"/>
  <c r="AV757" i="1"/>
  <c r="AV728" i="8"/>
  <c r="AZ437" i="8"/>
  <c r="BA738" i="8"/>
  <c r="BA427" i="8"/>
  <c r="AV663" i="8"/>
  <c r="AZ567" i="8"/>
  <c r="BA432" i="8"/>
  <c r="AY260" i="8"/>
  <c r="AV329" i="8"/>
  <c r="AZ300" i="8"/>
  <c r="AW635" i="8"/>
  <c r="AX636" i="8"/>
  <c r="AW671" i="1"/>
  <c r="AZ668" i="1"/>
  <c r="BA693" i="1"/>
  <c r="AW698" i="1"/>
  <c r="AZ757" i="1"/>
  <c r="BA729" i="1"/>
  <c r="AV332" i="8"/>
  <c r="AZ701" i="8"/>
  <c r="AX385" i="8"/>
  <c r="AV471" i="8"/>
  <c r="AW728" i="8"/>
  <c r="AV318" i="8"/>
  <c r="AY738" i="8"/>
  <c r="AZ382" i="8"/>
  <c r="AY427" i="8"/>
  <c r="AZ663" i="8"/>
  <c r="BA567" i="8"/>
  <c r="AW432" i="8"/>
  <c r="AZ357" i="8"/>
  <c r="AY404" i="8"/>
  <c r="BA260" i="8"/>
  <c r="AY329" i="8"/>
  <c r="AY558" i="8"/>
  <c r="AY689" i="1"/>
  <c r="AV681" i="1"/>
  <c r="AY668" i="1"/>
  <c r="AW693" i="1"/>
  <c r="AZ698" i="1"/>
  <c r="AX757" i="1"/>
  <c r="AX729" i="1"/>
  <c r="AW385" i="8"/>
  <c r="AX471" i="8"/>
  <c r="AX728" i="8"/>
  <c r="AX724" i="8"/>
  <c r="AZ318" i="8"/>
  <c r="AZ738" i="8"/>
  <c r="AY382" i="8"/>
  <c r="AZ427" i="8"/>
  <c r="AW663" i="8"/>
  <c r="AX567" i="8"/>
  <c r="AX432" i="8"/>
  <c r="AZ404" i="8"/>
  <c r="AW260" i="8"/>
  <c r="AW664" i="8"/>
  <c r="BA329" i="8"/>
  <c r="AX558" i="8"/>
  <c r="AW689" i="1"/>
  <c r="BA681" i="1"/>
  <c r="AX668" i="1"/>
  <c r="AX695" i="1"/>
  <c r="BA757" i="1"/>
  <c r="AZ729" i="1"/>
  <c r="AY385" i="8"/>
  <c r="AW471" i="8"/>
  <c r="AY728" i="8"/>
  <c r="AV437" i="8"/>
  <c r="AW318" i="8"/>
  <c r="AX382" i="8"/>
  <c r="AZ645" i="8"/>
  <c r="AX404" i="8"/>
  <c r="AZ264" i="8"/>
  <c r="AY664" i="8"/>
  <c r="AW329" i="8"/>
  <c r="AW558" i="8"/>
  <c r="AV671" i="1"/>
  <c r="AZ681" i="1"/>
  <c r="AW729" i="1"/>
  <c r="BA385" i="8"/>
  <c r="AY471" i="8"/>
  <c r="AX437" i="8"/>
  <c r="BA318" i="8"/>
  <c r="AX327" i="8"/>
  <c r="AZ664" i="8"/>
  <c r="BA634" i="8"/>
  <c r="BA664" i="8"/>
  <c r="AX300" i="8"/>
  <c r="BA756" i="8"/>
  <c r="D86" i="3"/>
  <c r="D128" i="3" s="1"/>
  <c r="C128" i="3"/>
  <c r="D88" i="3"/>
  <c r="D130" i="3" s="1"/>
  <c r="C130" i="3"/>
  <c r="D87" i="3"/>
  <c r="C129" i="3"/>
  <c r="E94" i="3"/>
  <c r="D136" i="3"/>
  <c r="BA676" i="1"/>
  <c r="AY553" i="8"/>
  <c r="AW697" i="8"/>
  <c r="AZ676" i="1"/>
  <c r="AW739" i="1"/>
  <c r="AW553" i="8"/>
  <c r="AZ363" i="8"/>
  <c r="AX676" i="1"/>
  <c r="AZ243" i="8"/>
  <c r="AY476" i="8"/>
  <c r="AW676" i="1"/>
  <c r="BA684" i="8"/>
  <c r="AZ402" i="8"/>
  <c r="BA408" i="8"/>
  <c r="AV189" i="1"/>
  <c r="BA542" i="8"/>
  <c r="AV553" i="8"/>
  <c r="AW280" i="8"/>
  <c r="AX553" i="8"/>
  <c r="AV226" i="8"/>
  <c r="AX505" i="8"/>
  <c r="BA232" i="8"/>
  <c r="AY213" i="8"/>
  <c r="AY723" i="8"/>
  <c r="AV486" i="8"/>
  <c r="AV341" i="8"/>
  <c r="AW670" i="8"/>
  <c r="BA213" i="8"/>
  <c r="AX486" i="8"/>
  <c r="AY670" i="8"/>
  <c r="AV366" i="8"/>
  <c r="AW486" i="8"/>
  <c r="AY455" i="8"/>
  <c r="AV213" i="8"/>
  <c r="AY578" i="8"/>
  <c r="AY593" i="8"/>
  <c r="AZ670" i="8"/>
  <c r="AZ455" i="8"/>
  <c r="AW737" i="8"/>
  <c r="AZ613" i="8"/>
  <c r="AX769" i="1"/>
  <c r="AZ769" i="1"/>
  <c r="BA415" i="8"/>
  <c r="BA374" i="8"/>
  <c r="BA268" i="8"/>
  <c r="AW425" i="8"/>
  <c r="AW670" i="1"/>
  <c r="AV674" i="1"/>
  <c r="AV720" i="1"/>
  <c r="AV765" i="1"/>
  <c r="AZ737" i="8"/>
  <c r="AW241" i="8"/>
  <c r="AW320" i="8"/>
  <c r="AZ374" i="8"/>
  <c r="AZ425" i="8"/>
  <c r="BA418" i="8"/>
  <c r="AV159" i="1"/>
  <c r="AV672" i="1"/>
  <c r="AV684" i="1"/>
  <c r="BA674" i="1"/>
  <c r="BA720" i="1"/>
  <c r="BA765" i="1"/>
  <c r="BA737" i="8"/>
  <c r="AV576" i="8"/>
  <c r="AZ159" i="1"/>
  <c r="BA672" i="1"/>
  <c r="BA684" i="1"/>
  <c r="AZ674" i="1"/>
  <c r="AX720" i="1"/>
  <c r="AY765" i="1"/>
  <c r="AX737" i="8"/>
  <c r="AY576" i="8"/>
  <c r="AX159" i="1"/>
  <c r="AZ672" i="1"/>
  <c r="AZ684" i="1"/>
  <c r="AY674" i="1"/>
  <c r="AZ720" i="1"/>
  <c r="AW765" i="1"/>
  <c r="AY737" i="8"/>
  <c r="AZ576" i="8"/>
  <c r="AV374" i="8"/>
  <c r="AV425" i="8"/>
  <c r="AX677" i="1"/>
  <c r="BA159" i="1"/>
  <c r="AY672" i="1"/>
  <c r="AY684" i="1"/>
  <c r="AX674" i="1"/>
  <c r="AY720" i="1"/>
  <c r="AZ765" i="1"/>
  <c r="BA344" i="8"/>
  <c r="AW576" i="8"/>
  <c r="AY706" i="8"/>
  <c r="AX374" i="8"/>
  <c r="BA425" i="8"/>
  <c r="AY159" i="1"/>
  <c r="AX672" i="1"/>
  <c r="AX684" i="1"/>
  <c r="AW769" i="1"/>
  <c r="AY769" i="1"/>
  <c r="AW344" i="8"/>
  <c r="BA576" i="8"/>
  <c r="AW374" i="8"/>
  <c r="AZ271" i="8"/>
  <c r="AX425" i="8"/>
  <c r="AV740" i="1"/>
  <c r="BA769" i="1"/>
  <c r="BA293" i="8"/>
  <c r="AZ484" i="8"/>
  <c r="AY289" i="8"/>
  <c r="AY415" i="8"/>
  <c r="AZ215" i="8"/>
  <c r="BA369" i="8"/>
  <c r="AW416" i="8"/>
  <c r="AV168" i="8"/>
  <c r="AX168" i="8"/>
  <c r="AW674" i="8"/>
  <c r="AY444" i="8"/>
  <c r="BA428" i="8"/>
  <c r="AV516" i="8"/>
  <c r="AZ475" i="8"/>
  <c r="AZ614" i="8"/>
  <c r="AZ199" i="8"/>
  <c r="AV592" i="8"/>
  <c r="AZ499" i="8"/>
  <c r="AV654" i="8"/>
  <c r="AW261" i="8"/>
  <c r="AX220" i="8"/>
  <c r="AZ592" i="8"/>
  <c r="BA499" i="8"/>
  <c r="AX419" i="8"/>
  <c r="AZ618" i="8"/>
  <c r="AY654" i="8"/>
  <c r="AX741" i="8"/>
  <c r="AY261" i="8"/>
  <c r="AW215" i="8"/>
  <c r="AZ220" i="8"/>
  <c r="AV769" i="8"/>
  <c r="BA618" i="8"/>
  <c r="AW685" i="1"/>
  <c r="BA695" i="1"/>
  <c r="AZ739" i="1"/>
  <c r="AY332" i="8"/>
  <c r="BA701" i="8"/>
  <c r="AW542" i="8"/>
  <c r="AV250" i="8"/>
  <c r="AZ724" i="8"/>
  <c r="AW645" i="8"/>
  <c r="AV208" i="8"/>
  <c r="BA357" i="8"/>
  <c r="AY327" i="8"/>
  <c r="AX697" i="8"/>
  <c r="AX539" i="8"/>
  <c r="AY255" i="8"/>
  <c r="BA262" i="8"/>
  <c r="AY695" i="1"/>
  <c r="AW332" i="8"/>
  <c r="AX288" i="8"/>
  <c r="BA250" i="8"/>
  <c r="BA724" i="8"/>
  <c r="AX645" i="8"/>
  <c r="AX208" i="8"/>
  <c r="AZ327" i="8"/>
  <c r="AY676" i="8"/>
  <c r="AZ255" i="8"/>
  <c r="AW262" i="8"/>
  <c r="AV689" i="1"/>
  <c r="AW695" i="1"/>
  <c r="AY682" i="1"/>
  <c r="BA332" i="8"/>
  <c r="BA288" i="8"/>
  <c r="AW250" i="8"/>
  <c r="AZ208" i="8"/>
  <c r="BA742" i="8"/>
  <c r="AX676" i="8"/>
  <c r="AV466" i="8"/>
  <c r="AV453" i="8"/>
  <c r="AZ583" i="8"/>
  <c r="AY262" i="8"/>
  <c r="BA689" i="1"/>
  <c r="AV685" i="1"/>
  <c r="AZ695" i="1"/>
  <c r="AV739" i="1"/>
  <c r="AZ682" i="1"/>
  <c r="AZ332" i="8"/>
  <c r="AV701" i="8"/>
  <c r="AW288" i="8"/>
  <c r="AV542" i="8"/>
  <c r="AY250" i="8"/>
  <c r="AV402" i="8"/>
  <c r="AV169" i="8"/>
  <c r="AY208" i="8"/>
  <c r="AZ676" i="8"/>
  <c r="BA466" i="8"/>
  <c r="AY453" i="8"/>
  <c r="BA583" i="8"/>
  <c r="AZ689" i="1"/>
  <c r="BA685" i="1"/>
  <c r="AX739" i="1"/>
  <c r="BA682" i="1"/>
  <c r="AY701" i="8"/>
  <c r="AY288" i="8"/>
  <c r="AX542" i="8"/>
  <c r="AX250" i="8"/>
  <c r="AW402" i="8"/>
  <c r="AW169" i="8"/>
  <c r="AV514" i="8"/>
  <c r="BA208" i="8"/>
  <c r="AV357" i="8"/>
  <c r="AV634" i="8"/>
  <c r="BA676" i="8"/>
  <c r="AW466" i="8"/>
  <c r="AY739" i="1"/>
  <c r="AX682" i="1"/>
  <c r="AW701" i="8"/>
  <c r="AZ288" i="8"/>
  <c r="AY542" i="8"/>
  <c r="AV724" i="8"/>
  <c r="AY402" i="8"/>
  <c r="AY169" i="8"/>
  <c r="AX514" i="8"/>
  <c r="AY645" i="8"/>
  <c r="AX357" i="8"/>
  <c r="AV232" i="8"/>
  <c r="AZ634" i="8"/>
  <c r="AZ697" i="8"/>
  <c r="AV264" i="8"/>
  <c r="AX466" i="8"/>
  <c r="AW682" i="1"/>
  <c r="AW724" i="8"/>
  <c r="BA402" i="8"/>
  <c r="BA169" i="8"/>
  <c r="AZ514" i="8"/>
  <c r="BA645" i="8"/>
  <c r="AW357" i="8"/>
  <c r="AZ232" i="8"/>
  <c r="BA327" i="8"/>
  <c r="AW634" i="8"/>
  <c r="BA697" i="8"/>
  <c r="AY264" i="8"/>
  <c r="BA539" i="8"/>
  <c r="AZ299" i="8"/>
  <c r="AX756" i="8"/>
  <c r="AY750" i="8"/>
  <c r="AX365" i="8"/>
  <c r="BA259" i="8"/>
  <c r="AX635" i="8"/>
  <c r="AW465" i="8"/>
  <c r="BA299" i="8"/>
  <c r="AX345" i="8"/>
  <c r="AZ750" i="8"/>
  <c r="AW365" i="8"/>
  <c r="AV360" i="8"/>
  <c r="AX299" i="8"/>
  <c r="AV233" i="8"/>
  <c r="AY345" i="8"/>
  <c r="AV742" i="8"/>
  <c r="AZ539" i="8"/>
  <c r="AW255" i="8"/>
  <c r="AX244" i="8"/>
  <c r="AV406" i="8"/>
  <c r="AX399" i="8"/>
  <c r="AV478" i="8"/>
  <c r="BA189" i="1"/>
  <c r="BA363" i="8"/>
  <c r="AY226" i="8"/>
  <c r="AV245" i="8"/>
  <c r="AY505" i="8"/>
  <c r="AY189" i="1"/>
  <c r="BA679" i="1"/>
  <c r="AY687" i="1"/>
  <c r="AW730" i="1"/>
  <c r="AZ760" i="1"/>
  <c r="AZ749" i="1"/>
  <c r="AW731" i="1"/>
  <c r="AW369" i="8"/>
  <c r="AV650" i="8"/>
  <c r="AW239" i="8"/>
  <c r="AW751" i="8"/>
  <c r="BA614" i="8"/>
  <c r="AW708" i="8"/>
  <c r="AY344" i="8"/>
  <c r="AZ654" i="8"/>
  <c r="AZ178" i="8"/>
  <c r="AZ403" i="8"/>
  <c r="AX199" i="8"/>
  <c r="AX684" i="8"/>
  <c r="AZ440" i="8"/>
  <c r="AZ261" i="8"/>
  <c r="AV241" i="8"/>
  <c r="AX215" i="8"/>
  <c r="AZ719" i="8"/>
  <c r="AW229" i="8"/>
  <c r="AW383" i="8"/>
  <c r="BA671" i="8"/>
  <c r="AV449" i="8"/>
  <c r="BA220" i="8"/>
  <c r="AX461" i="8"/>
  <c r="AZ216" i="8"/>
  <c r="AX434" i="8"/>
  <c r="AX570" i="8"/>
  <c r="AW687" i="8"/>
  <c r="AW408" i="8"/>
  <c r="AX352" i="8"/>
  <c r="BA313" i="8"/>
  <c r="AZ380" i="8"/>
  <c r="BA316" i="8"/>
  <c r="AZ219" i="8"/>
  <c r="AW592" i="8"/>
  <c r="AW685" i="8"/>
  <c r="AX672" i="8"/>
  <c r="AV604" i="8"/>
  <c r="AX226" i="8"/>
  <c r="BA342" i="8"/>
  <c r="BA545" i="8"/>
  <c r="AW629" i="8"/>
  <c r="BA286" i="8"/>
  <c r="AV325" i="8"/>
  <c r="AY600" i="8"/>
  <c r="AZ248" i="8"/>
  <c r="AX769" i="8"/>
  <c r="AV362" i="8"/>
  <c r="AZ280" i="8"/>
  <c r="BA398" i="8"/>
  <c r="AY296" i="8"/>
  <c r="AY245" i="8"/>
  <c r="BA516" i="8"/>
  <c r="AX423" i="8"/>
  <c r="AY506" i="8"/>
  <c r="BA168" i="8"/>
  <c r="AZ505" i="8"/>
  <c r="AX618" i="8"/>
  <c r="AV668" i="8"/>
  <c r="AY178" i="8"/>
  <c r="AX408" i="8"/>
  <c r="AY280" i="8"/>
  <c r="AX107" i="1"/>
  <c r="AZ189" i="1"/>
  <c r="AZ679" i="1"/>
  <c r="AX687" i="1"/>
  <c r="BA760" i="1"/>
  <c r="AY749" i="1"/>
  <c r="AZ731" i="1"/>
  <c r="AZ686" i="1"/>
  <c r="AV686" i="1"/>
  <c r="AW771" i="1"/>
  <c r="AZ669" i="1"/>
  <c r="AY369" i="8"/>
  <c r="AX650" i="8"/>
  <c r="AZ239" i="8"/>
  <c r="AX751" i="8"/>
  <c r="AV348" i="8"/>
  <c r="AZ708" i="8"/>
  <c r="AV222" i="8"/>
  <c r="AX654" i="8"/>
  <c r="BA403" i="8"/>
  <c r="AY199" i="8"/>
  <c r="AY684" i="8"/>
  <c r="AY440" i="8"/>
  <c r="BA261" i="8"/>
  <c r="AV599" i="8"/>
  <c r="AX241" i="8"/>
  <c r="AV454" i="8"/>
  <c r="AY383" i="8"/>
  <c r="AZ671" i="8"/>
  <c r="AW449" i="8"/>
  <c r="AY220" i="8"/>
  <c r="AW461" i="8"/>
  <c r="AV476" i="8"/>
  <c r="BA434" i="8"/>
  <c r="AY317" i="8"/>
  <c r="AV585" i="8"/>
  <c r="AV416" i="8"/>
  <c r="AY687" i="8"/>
  <c r="AZ352" i="8"/>
  <c r="AW313" i="8"/>
  <c r="AX380" i="8"/>
  <c r="AX316" i="8"/>
  <c r="AY219" i="8"/>
  <c r="AV660" i="8"/>
  <c r="AV444" i="8"/>
  <c r="AV428" i="8"/>
  <c r="AV221" i="8"/>
  <c r="AX685" i="8"/>
  <c r="AW672" i="8"/>
  <c r="AY604" i="8"/>
  <c r="AZ226" i="8"/>
  <c r="AX580" i="8"/>
  <c r="AZ342" i="8"/>
  <c r="AX629" i="8"/>
  <c r="AW286" i="8"/>
  <c r="BA600" i="8"/>
  <c r="AV694" i="8"/>
  <c r="AW248" i="8"/>
  <c r="BA362" i="8"/>
  <c r="AW398" i="8"/>
  <c r="AZ227" i="8"/>
  <c r="AV438" i="8"/>
  <c r="AZ245" i="8"/>
  <c r="AV415" i="8"/>
  <c r="AW516" i="8"/>
  <c r="AY423" i="8"/>
  <c r="AW506" i="8"/>
  <c r="AV669" i="8"/>
  <c r="AY168" i="8"/>
  <c r="BA505" i="8"/>
  <c r="AW618" i="8"/>
  <c r="BA679" i="8"/>
  <c r="AZ668" i="8"/>
  <c r="AW579" i="8"/>
  <c r="BA475" i="8"/>
  <c r="AX189" i="1"/>
  <c r="AX760" i="1"/>
  <c r="AZ714" i="1"/>
  <c r="AX669" i="1"/>
  <c r="AZ369" i="8"/>
  <c r="AY650" i="8"/>
  <c r="AZ222" i="8"/>
  <c r="AV243" i="8"/>
  <c r="AW199" i="8"/>
  <c r="AW599" i="8"/>
  <c r="BA454" i="8"/>
  <c r="AY449" i="8"/>
  <c r="AV297" i="8"/>
  <c r="AZ476" i="8"/>
  <c r="AV379" i="8"/>
  <c r="AX585" i="8"/>
  <c r="AY416" i="8"/>
  <c r="BA687" i="8"/>
  <c r="AV363" i="8"/>
  <c r="AX219" i="8"/>
  <c r="BA444" i="8"/>
  <c r="AX428" i="8"/>
  <c r="AX221" i="8"/>
  <c r="BA226" i="8"/>
  <c r="AW580" i="8"/>
  <c r="BA629" i="8"/>
  <c r="BA700" i="8"/>
  <c r="AX694" i="8"/>
  <c r="AZ362" i="8"/>
  <c r="AY227" i="8"/>
  <c r="BA245" i="8"/>
  <c r="AZ168" i="8"/>
  <c r="AW505" i="8"/>
  <c r="AY618" i="8"/>
  <c r="AZ107" i="1"/>
  <c r="AZ188" i="1"/>
  <c r="AX679" i="1"/>
  <c r="AY702" i="1"/>
  <c r="AV730" i="1"/>
  <c r="BA749" i="1"/>
  <c r="BA737" i="1"/>
  <c r="AY771" i="1"/>
  <c r="BA669" i="1"/>
  <c r="AW714" i="1"/>
  <c r="AW251" i="8"/>
  <c r="AW650" i="8"/>
  <c r="AV614" i="8"/>
  <c r="AX348" i="8"/>
  <c r="BA222" i="8"/>
  <c r="AV344" i="8"/>
  <c r="AX243" i="8"/>
  <c r="AV178" i="8"/>
  <c r="AY599" i="8"/>
  <c r="AY241" i="8"/>
  <c r="AV719" i="8"/>
  <c r="AZ454" i="8"/>
  <c r="AV566" i="8"/>
  <c r="AV229" i="8"/>
  <c r="AW347" i="8"/>
  <c r="AZ449" i="8"/>
  <c r="AX297" i="8"/>
  <c r="AX337" i="8"/>
  <c r="AV216" i="8"/>
  <c r="BA476" i="8"/>
  <c r="AZ434" i="8"/>
  <c r="AX379" i="8"/>
  <c r="AV570" i="8"/>
  <c r="AZ585" i="8"/>
  <c r="AZ416" i="8"/>
  <c r="AZ687" i="8"/>
  <c r="AV408" i="8"/>
  <c r="BA352" i="8"/>
  <c r="AX363" i="8"/>
  <c r="AW219" i="8"/>
  <c r="AY660" i="8"/>
  <c r="AZ444" i="8"/>
  <c r="AY428" i="8"/>
  <c r="AY221" i="8"/>
  <c r="AZ685" i="8"/>
  <c r="AW604" i="8"/>
  <c r="AZ580" i="8"/>
  <c r="AZ629" i="8"/>
  <c r="BA707" i="8"/>
  <c r="AZ700" i="8"/>
  <c r="AW600" i="8"/>
  <c r="AY694" i="8"/>
  <c r="AV280" i="8"/>
  <c r="AV296" i="8"/>
  <c r="AX438" i="8"/>
  <c r="AX245" i="8"/>
  <c r="AZ415" i="8"/>
  <c r="AV556" i="8"/>
  <c r="AY669" i="8"/>
  <c r="AX338" i="8"/>
  <c r="AY668" i="8"/>
  <c r="AW319" i="8"/>
  <c r="AV579" i="8"/>
  <c r="AY579" i="8"/>
  <c r="BA243" i="8"/>
  <c r="AW684" i="8"/>
  <c r="AX771" i="1"/>
  <c r="AV114" i="1"/>
  <c r="AZ702" i="1"/>
  <c r="AY730" i="1"/>
  <c r="AX737" i="1"/>
  <c r="AV731" i="1"/>
  <c r="AW669" i="1"/>
  <c r="BA714" i="1"/>
  <c r="AZ251" i="8"/>
  <c r="AZ650" i="8"/>
  <c r="AV751" i="8"/>
  <c r="AX614" i="8"/>
  <c r="BA348" i="8"/>
  <c r="AY222" i="8"/>
  <c r="AX344" i="8"/>
  <c r="AW243" i="8"/>
  <c r="AW178" i="8"/>
  <c r="BA741" i="8"/>
  <c r="AV684" i="8"/>
  <c r="AV440" i="8"/>
  <c r="AZ599" i="8"/>
  <c r="AZ241" i="8"/>
  <c r="BA719" i="8"/>
  <c r="AX454" i="8"/>
  <c r="BA566" i="8"/>
  <c r="BA229" i="8"/>
  <c r="AX347" i="8"/>
  <c r="AX449" i="8"/>
  <c r="AY297" i="8"/>
  <c r="AV220" i="8"/>
  <c r="AY337" i="8"/>
  <c r="AX216" i="8"/>
  <c r="AW476" i="8"/>
  <c r="AZ379" i="8"/>
  <c r="AZ570" i="8"/>
  <c r="BA585" i="8"/>
  <c r="BA416" i="8"/>
  <c r="AY408" i="8"/>
  <c r="AW363" i="8"/>
  <c r="BA660" i="8"/>
  <c r="AX444" i="8"/>
  <c r="AZ428" i="8"/>
  <c r="AW221" i="8"/>
  <c r="AZ604" i="8"/>
  <c r="AV629" i="8"/>
  <c r="AV286" i="8"/>
  <c r="AW707" i="8"/>
  <c r="AX280" i="8"/>
  <c r="AZ296" i="8"/>
  <c r="AY438" i="8"/>
  <c r="AW415" i="8"/>
  <c r="AW556" i="8"/>
  <c r="AX669" i="8"/>
  <c r="BA338" i="8"/>
  <c r="AW668" i="8"/>
  <c r="AZ760" i="8"/>
  <c r="AV319" i="8"/>
  <c r="AY319" i="8"/>
  <c r="AY114" i="1"/>
  <c r="AX686" i="1"/>
  <c r="BA686" i="1"/>
  <c r="AY669" i="1"/>
  <c r="AX714" i="1"/>
  <c r="BA674" i="8"/>
  <c r="AY741" i="8"/>
  <c r="AW566" i="8"/>
  <c r="AW297" i="8"/>
  <c r="AW379" i="8"/>
  <c r="AV499" i="8"/>
  <c r="AY489" i="8"/>
  <c r="AX556" i="8"/>
  <c r="BA487" i="8"/>
  <c r="AY178" i="1"/>
  <c r="AY367" i="8"/>
  <c r="AY699" i="1"/>
  <c r="AZ178" i="1"/>
  <c r="AY680" i="1"/>
  <c r="AV298" i="8"/>
  <c r="AY228" i="8"/>
  <c r="AV730" i="8"/>
  <c r="AV283" i="8"/>
  <c r="AV358" i="8"/>
  <c r="AW487" i="8"/>
  <c r="BA178" i="1"/>
  <c r="BA632" i="8"/>
  <c r="AW298" i="8"/>
  <c r="BA628" i="8"/>
  <c r="AW730" i="8"/>
  <c r="AV689" i="8"/>
  <c r="AW283" i="8"/>
  <c r="AY358" i="8"/>
  <c r="AZ487" i="8"/>
  <c r="AY365" i="8"/>
  <c r="AW478" i="8"/>
  <c r="AW360" i="8"/>
  <c r="BA406" i="8"/>
  <c r="AW399" i="8"/>
  <c r="AY465" i="8"/>
  <c r="BA158" i="1"/>
  <c r="AW675" i="1"/>
  <c r="AX298" i="8"/>
  <c r="BA709" i="8"/>
  <c r="AY730" i="8"/>
  <c r="AX689" i="8"/>
  <c r="AX283" i="8"/>
  <c r="BA255" i="8"/>
  <c r="AZ262" i="8"/>
  <c r="AX358" i="8"/>
  <c r="AW233" i="8"/>
  <c r="AY487" i="8"/>
  <c r="AY756" i="8"/>
  <c r="AZ365" i="8"/>
  <c r="AV259" i="8"/>
  <c r="AY635" i="8"/>
  <c r="AV244" i="8"/>
  <c r="AV636" i="8"/>
  <c r="AX478" i="8"/>
  <c r="AX360" i="8"/>
  <c r="AX406" i="8"/>
  <c r="BA399" i="8"/>
  <c r="AX691" i="1"/>
  <c r="BA706" i="1"/>
  <c r="AV742" i="1"/>
  <c r="BA750" i="1"/>
  <c r="AZ675" i="1"/>
  <c r="AY298" i="8"/>
  <c r="AZ730" i="8"/>
  <c r="AV382" i="8"/>
  <c r="AV427" i="8"/>
  <c r="AX169" i="8"/>
  <c r="AX663" i="8"/>
  <c r="BA514" i="8"/>
  <c r="AW404" i="8"/>
  <c r="AY232" i="8"/>
  <c r="AX742" i="8"/>
  <c r="AY634" i="8"/>
  <c r="AY697" i="8"/>
  <c r="AW676" i="8"/>
  <c r="AW264" i="8"/>
  <c r="AY466" i="8"/>
  <c r="AZ453" i="8"/>
  <c r="AZ283" i="8"/>
  <c r="AX595" i="8"/>
  <c r="AV583" i="8"/>
  <c r="AX262" i="8"/>
  <c r="AZ358" i="8"/>
  <c r="AW300" i="8"/>
  <c r="AX233" i="8"/>
  <c r="AZ558" i="8"/>
  <c r="AV345" i="8"/>
  <c r="AX487" i="8"/>
  <c r="AZ756" i="8"/>
  <c r="AW259" i="8"/>
  <c r="AZ635" i="8"/>
  <c r="BA244" i="8"/>
  <c r="AW636" i="8"/>
  <c r="AZ478" i="8"/>
  <c r="AY360" i="8"/>
  <c r="AW406" i="8"/>
  <c r="AW691" i="1"/>
  <c r="AY706" i="1"/>
  <c r="AZ742" i="1"/>
  <c r="AX675" i="1"/>
  <c r="AZ298" i="8"/>
  <c r="AV480" i="8"/>
  <c r="AX457" i="8"/>
  <c r="BA730" i="8"/>
  <c r="AW514" i="8"/>
  <c r="AV517" i="8"/>
  <c r="AW232" i="8"/>
  <c r="AV327" i="8"/>
  <c r="AW742" i="8"/>
  <c r="BA264" i="8"/>
  <c r="BA453" i="8"/>
  <c r="AY283" i="8"/>
  <c r="AX583" i="8"/>
  <c r="AV729" i="8"/>
  <c r="BA358" i="8"/>
  <c r="AV299" i="8"/>
  <c r="AZ233" i="8"/>
  <c r="AZ345" i="8"/>
  <c r="AV750" i="8"/>
  <c r="AY259" i="8"/>
  <c r="AY244" i="8"/>
  <c r="AY636" i="8"/>
  <c r="AZ360" i="8"/>
  <c r="AY406" i="8"/>
  <c r="AZ225" i="8"/>
  <c r="AV178" i="1"/>
  <c r="AV675" i="1"/>
  <c r="AZ480" i="8"/>
  <c r="AY457" i="8"/>
  <c r="AW712" i="8"/>
  <c r="AY644" i="8"/>
  <c r="AW517" i="8"/>
  <c r="AZ305" i="8"/>
  <c r="AY742" i="8"/>
  <c r="AV435" i="8"/>
  <c r="AX453" i="8"/>
  <c r="AV664" i="8"/>
  <c r="AV539" i="8"/>
  <c r="AV255" i="8"/>
  <c r="AY583" i="8"/>
  <c r="AY299" i="8"/>
  <c r="BA233" i="8"/>
  <c r="BA345" i="8"/>
  <c r="AX750" i="8"/>
  <c r="AV365" i="8"/>
  <c r="AZ259" i="8"/>
  <c r="AZ244" i="8"/>
  <c r="AZ636" i="8"/>
  <c r="AV399" i="8"/>
  <c r="AZ399" i="8"/>
  <c r="AX124" i="1"/>
  <c r="AX178" i="1"/>
  <c r="AX699" i="1"/>
  <c r="BA675" i="1"/>
  <c r="BA611" i="8"/>
  <c r="AY748" i="8"/>
  <c r="AW750" i="8"/>
  <c r="AZ389" i="8"/>
  <c r="AY610" i="8"/>
  <c r="AX721" i="1"/>
  <c r="BA710" i="1"/>
  <c r="AX531" i="8"/>
  <c r="AX314" i="8"/>
  <c r="AX756" i="1"/>
  <c r="BA295" i="8"/>
  <c r="AZ336" i="8"/>
  <c r="AW433" i="8"/>
  <c r="BA610" i="8"/>
  <c r="AZ765" i="8"/>
  <c r="BA355" i="8"/>
  <c r="BA456" i="8"/>
  <c r="BA728" i="1"/>
  <c r="BA771" i="8"/>
  <c r="AX538" i="8"/>
  <c r="BA281" i="8"/>
  <c r="AZ719" i="1"/>
  <c r="AZ384" i="8"/>
  <c r="AV572" i="8"/>
  <c r="AW346" i="8"/>
  <c r="BA378" i="8"/>
  <c r="AW509" i="8"/>
  <c r="BA497" i="8"/>
  <c r="AZ767" i="1"/>
  <c r="BA637" i="8"/>
  <c r="AX463" i="8"/>
  <c r="AZ532" i="8"/>
  <c r="BA364" i="8"/>
  <c r="AY728" i="1"/>
  <c r="AW765" i="8"/>
  <c r="AW637" i="8"/>
  <c r="AV523" i="8"/>
  <c r="AY572" i="8"/>
  <c r="AY463" i="8"/>
  <c r="AY613" i="8"/>
  <c r="BA484" i="8"/>
  <c r="AX355" i="8"/>
  <c r="AV284" i="8"/>
  <c r="AY531" i="8"/>
  <c r="AY346" i="8"/>
  <c r="BA389" i="8"/>
  <c r="AW456" i="8"/>
  <c r="AZ378" i="8"/>
  <c r="AX532" i="8"/>
  <c r="AV510" i="8"/>
  <c r="AX771" i="8"/>
  <c r="AY509" i="8"/>
  <c r="AY538" i="8"/>
  <c r="AY497" i="8"/>
  <c r="AY314" i="8"/>
  <c r="BA289" i="8"/>
  <c r="BA336" i="8"/>
  <c r="BA721" i="1"/>
  <c r="AZ710" i="1"/>
  <c r="AY719" i="1"/>
  <c r="AZ721" i="1"/>
  <c r="AV711" i="1"/>
  <c r="AY740" i="1"/>
  <c r="AW710" i="1"/>
  <c r="AZ728" i="1"/>
  <c r="AX719" i="1"/>
  <c r="AY765" i="8"/>
  <c r="AX637" i="8"/>
  <c r="AZ523" i="8"/>
  <c r="BA572" i="8"/>
  <c r="AZ463" i="8"/>
  <c r="AV231" i="8"/>
  <c r="AW484" i="8"/>
  <c r="AV420" i="8"/>
  <c r="AW355" i="8"/>
  <c r="AX284" i="8"/>
  <c r="AZ531" i="8"/>
  <c r="AV720" i="8"/>
  <c r="AX346" i="8"/>
  <c r="AW389" i="8"/>
  <c r="AY456" i="8"/>
  <c r="AX378" i="8"/>
  <c r="AY401" i="8"/>
  <c r="AY510" i="8"/>
  <c r="AW771" i="8"/>
  <c r="AV397" i="8"/>
  <c r="BA538" i="8"/>
  <c r="AX497" i="8"/>
  <c r="AZ314" i="8"/>
  <c r="AV291" i="8"/>
  <c r="AX610" i="8"/>
  <c r="AV179" i="1"/>
  <c r="AV670" i="1"/>
  <c r="AV756" i="1"/>
  <c r="AW721" i="1"/>
  <c r="BA711" i="1"/>
  <c r="BA740" i="1"/>
  <c r="AX710" i="1"/>
  <c r="AX728" i="1"/>
  <c r="AV767" i="1"/>
  <c r="AV638" i="8"/>
  <c r="BA765" i="8"/>
  <c r="AX523" i="8"/>
  <c r="AV384" i="8"/>
  <c r="AW572" i="8"/>
  <c r="BA463" i="8"/>
  <c r="AZ231" i="8"/>
  <c r="AY484" i="8"/>
  <c r="AZ420" i="8"/>
  <c r="AY355" i="8"/>
  <c r="BA284" i="8"/>
  <c r="BA531" i="8"/>
  <c r="AW720" i="8"/>
  <c r="AZ346" i="8"/>
  <c r="AX389" i="8"/>
  <c r="AZ456" i="8"/>
  <c r="AW378" i="8"/>
  <c r="AZ510" i="8"/>
  <c r="AY771" i="8"/>
  <c r="AW397" i="8"/>
  <c r="AZ538" i="8"/>
  <c r="AW314" i="8"/>
  <c r="AY291" i="8"/>
  <c r="AV281" i="8"/>
  <c r="AV418" i="8"/>
  <c r="AV433" i="8"/>
  <c r="AZ610" i="8"/>
  <c r="AW740" i="1"/>
  <c r="BA179" i="1"/>
  <c r="BA670" i="1"/>
  <c r="AZ756" i="1"/>
  <c r="AY721" i="1"/>
  <c r="AZ711" i="1"/>
  <c r="AZ740" i="1"/>
  <c r="AY710" i="1"/>
  <c r="AW728" i="1"/>
  <c r="AX767" i="1"/>
  <c r="BA523" i="8"/>
  <c r="AV295" i="8"/>
  <c r="AW384" i="8"/>
  <c r="AZ572" i="8"/>
  <c r="AV613" i="8"/>
  <c r="BA231" i="8"/>
  <c r="AX484" i="8"/>
  <c r="BA420" i="8"/>
  <c r="AW284" i="8"/>
  <c r="AW531" i="8"/>
  <c r="AY720" i="8"/>
  <c r="AV532" i="8"/>
  <c r="AW510" i="8"/>
  <c r="AV509" i="8"/>
  <c r="AX397" i="8"/>
  <c r="AW538" i="8"/>
  <c r="AV289" i="8"/>
  <c r="AZ291" i="8"/>
  <c r="AV336" i="8"/>
  <c r="AX281" i="8"/>
  <c r="AW418" i="8"/>
  <c r="AY433" i="8"/>
  <c r="AY179" i="1"/>
  <c r="AZ670" i="1"/>
  <c r="BA756" i="1"/>
  <c r="AW711" i="1"/>
  <c r="AV719" i="1"/>
  <c r="BA767" i="1"/>
  <c r="AW523" i="8"/>
  <c r="AW295" i="8"/>
  <c r="AX384" i="8"/>
  <c r="BA613" i="8"/>
  <c r="AX231" i="8"/>
  <c r="AX420" i="8"/>
  <c r="AY284" i="8"/>
  <c r="BA720" i="8"/>
  <c r="AW532" i="8"/>
  <c r="BA510" i="8"/>
  <c r="AX509" i="8"/>
  <c r="BA397" i="8"/>
  <c r="AV497" i="8"/>
  <c r="AY304" i="8"/>
  <c r="AX289" i="8"/>
  <c r="BA291" i="8"/>
  <c r="AX336" i="8"/>
  <c r="AY281" i="8"/>
  <c r="AY418" i="8"/>
  <c r="BA433" i="8"/>
  <c r="AZ179" i="1"/>
  <c r="AY670" i="1"/>
  <c r="AY756" i="1"/>
  <c r="AY711" i="1"/>
  <c r="BA719" i="1"/>
  <c r="AY767" i="1"/>
  <c r="AV765" i="8"/>
  <c r="AV637" i="8"/>
  <c r="AY295" i="8"/>
  <c r="AY384" i="8"/>
  <c r="AV463" i="8"/>
  <c r="AW613" i="8"/>
  <c r="AY231" i="8"/>
  <c r="AW420" i="8"/>
  <c r="AV355" i="8"/>
  <c r="AX720" i="8"/>
  <c r="AV346" i="8"/>
  <c r="AV389" i="8"/>
  <c r="AV456" i="8"/>
  <c r="AY622" i="8"/>
  <c r="AV378" i="8"/>
  <c r="AY532" i="8"/>
  <c r="AV771" i="8"/>
  <c r="BA509" i="8"/>
  <c r="AY397" i="8"/>
  <c r="AZ690" i="8"/>
  <c r="AZ497" i="8"/>
  <c r="AV314" i="8"/>
  <c r="BA304" i="8"/>
  <c r="AZ289" i="8"/>
  <c r="AX291" i="8"/>
  <c r="AW364" i="8"/>
  <c r="AY336" i="8"/>
  <c r="AZ281" i="8"/>
  <c r="AZ418" i="8"/>
  <c r="AZ433" i="8"/>
  <c r="AW610" i="8"/>
  <c r="AX179" i="1"/>
  <c r="AZ637" i="8"/>
  <c r="AZ295" i="8"/>
  <c r="AX304" i="8"/>
  <c r="AZ364" i="8"/>
  <c r="AX140" i="1"/>
  <c r="AX120" i="1"/>
  <c r="AZ137" i="1"/>
  <c r="AW709" i="1"/>
  <c r="AY708" i="1"/>
  <c r="AX755" i="1"/>
  <c r="AV723" i="1"/>
  <c r="AX673" i="1"/>
  <c r="AX257" i="8"/>
  <c r="AV710" i="8"/>
  <c r="BA253" i="8"/>
  <c r="AV375" i="8"/>
  <c r="AV179" i="8"/>
  <c r="AX421" i="8"/>
  <c r="AY711" i="8"/>
  <c r="AV410" i="8"/>
  <c r="AX714" i="8"/>
  <c r="AY269" i="8"/>
  <c r="AV688" i="8"/>
  <c r="AZ468" i="8"/>
  <c r="AZ445" i="8"/>
  <c r="AX159" i="8"/>
  <c r="AX759" i="8"/>
  <c r="AX429" i="8"/>
  <c r="AZ623" i="8"/>
  <c r="AY394" i="8"/>
  <c r="AV704" i="8"/>
  <c r="AX639" i="8"/>
  <c r="AW333" i="8"/>
  <c r="AV392" i="8"/>
  <c r="AX609" i="8"/>
  <c r="AX381" i="8"/>
  <c r="AW708" i="1"/>
  <c r="AX723" i="1"/>
  <c r="AX746" i="1"/>
  <c r="AY673" i="1"/>
  <c r="AY257" i="8"/>
  <c r="AY710" i="8"/>
  <c r="AW253" i="8"/>
  <c r="AX375" i="8"/>
  <c r="AV214" i="8"/>
  <c r="AX179" i="8"/>
  <c r="AY410" i="8"/>
  <c r="AW714" i="8"/>
  <c r="AX269" i="8"/>
  <c r="AV589" i="8"/>
  <c r="BA688" i="8"/>
  <c r="AV451" i="8"/>
  <c r="AV705" i="8"/>
  <c r="AZ159" i="8"/>
  <c r="AY759" i="8"/>
  <c r="BA429" i="8"/>
  <c r="BA623" i="8"/>
  <c r="AW394" i="8"/>
  <c r="AX704" i="8"/>
  <c r="AY639" i="8"/>
  <c r="AX333" i="8"/>
  <c r="AW392" i="8"/>
  <c r="AW381" i="8"/>
  <c r="AV458" i="8"/>
  <c r="AV235" i="8"/>
  <c r="AV377" i="8"/>
  <c r="AY767" i="8"/>
  <c r="AY732" i="8"/>
  <c r="AV707" i="1"/>
  <c r="AV759" i="1"/>
  <c r="BA755" i="1"/>
  <c r="AZ111" i="1"/>
  <c r="AX137" i="1"/>
  <c r="AX707" i="1"/>
  <c r="AZ708" i="1"/>
  <c r="AW759" i="1"/>
  <c r="AY755" i="1"/>
  <c r="BA723" i="1"/>
  <c r="AZ673" i="1"/>
  <c r="AW746" i="1"/>
  <c r="AZ257" i="8"/>
  <c r="AZ710" i="8"/>
  <c r="AY375" i="8"/>
  <c r="AX214" i="8"/>
  <c r="AW179" i="8"/>
  <c r="AZ410" i="8"/>
  <c r="AW543" i="8"/>
  <c r="AY714" i="8"/>
  <c r="AZ269" i="8"/>
  <c r="AY589" i="8"/>
  <c r="AY688" i="8"/>
  <c r="AW451" i="8"/>
  <c r="BA705" i="8"/>
  <c r="BA159" i="8"/>
  <c r="AZ759" i="8"/>
  <c r="AZ429" i="8"/>
  <c r="AX623" i="8"/>
  <c r="AV520" i="8"/>
  <c r="AZ394" i="8"/>
  <c r="AY704" i="8"/>
  <c r="BA639" i="8"/>
  <c r="AY392" i="8"/>
  <c r="AY381" i="8"/>
  <c r="AX458" i="8"/>
  <c r="BA235" i="8"/>
  <c r="AW377" i="8"/>
  <c r="AW767" i="8"/>
  <c r="AX767" i="8"/>
  <c r="AV732" i="8"/>
  <c r="BA732" i="8"/>
  <c r="AY111" i="1"/>
  <c r="AY137" i="1"/>
  <c r="AV709" i="1"/>
  <c r="BA707" i="1"/>
  <c r="AY746" i="1"/>
  <c r="AW257" i="8"/>
  <c r="BA710" i="8"/>
  <c r="BA375" i="8"/>
  <c r="AZ214" i="8"/>
  <c r="AY179" i="8"/>
  <c r="AV421" i="8"/>
  <c r="AV711" i="8"/>
  <c r="BA410" i="8"/>
  <c r="AZ714" i="8"/>
  <c r="BA589" i="8"/>
  <c r="AZ688" i="8"/>
  <c r="AX451" i="8"/>
  <c r="AX705" i="8"/>
  <c r="AV468" i="8"/>
  <c r="AV445" i="8"/>
  <c r="AW159" i="8"/>
  <c r="AW759" i="8"/>
  <c r="AW623" i="8"/>
  <c r="AY520" i="8"/>
  <c r="BA422" i="8"/>
  <c r="BA394" i="8"/>
  <c r="AW704" i="8"/>
  <c r="AZ639" i="8"/>
  <c r="BA392" i="8"/>
  <c r="AV609" i="8"/>
  <c r="AW458" i="8"/>
  <c r="AY235" i="8"/>
  <c r="AX377" i="8"/>
  <c r="AZ767" i="8"/>
  <c r="AW612" i="8"/>
  <c r="AY140" i="1"/>
  <c r="AV111" i="1"/>
  <c r="BA137" i="1"/>
  <c r="AV94" i="1"/>
  <c r="AV120" i="1"/>
  <c r="BA94" i="1"/>
  <c r="AX709" i="1"/>
  <c r="AY707" i="1"/>
  <c r="BA759" i="1"/>
  <c r="AZ755" i="1"/>
  <c r="AW723" i="1"/>
  <c r="BA673" i="1"/>
  <c r="AX710" i="8"/>
  <c r="AV253" i="8"/>
  <c r="AZ375" i="8"/>
  <c r="BA214" i="8"/>
  <c r="AZ179" i="8"/>
  <c r="AY421" i="8"/>
  <c r="AZ711" i="8"/>
  <c r="AX410" i="8"/>
  <c r="AZ589" i="8"/>
  <c r="AW688" i="8"/>
  <c r="AY451" i="8"/>
  <c r="AY705" i="8"/>
  <c r="BA468" i="8"/>
  <c r="AX445" i="8"/>
  <c r="AZ520" i="8"/>
  <c r="AZ704" i="8"/>
  <c r="AV333" i="8"/>
  <c r="AZ392" i="8"/>
  <c r="AY609" i="8"/>
  <c r="AZ351" i="8"/>
  <c r="AX324" i="8"/>
  <c r="BA458" i="8"/>
  <c r="AW235" i="8"/>
  <c r="AY377" i="8"/>
  <c r="AX612" i="8"/>
  <c r="AZ759" i="1"/>
  <c r="AY723" i="1"/>
  <c r="BA111" i="1"/>
  <c r="AV140" i="1"/>
  <c r="AY120" i="1"/>
  <c r="AX111" i="1"/>
  <c r="AX94" i="1"/>
  <c r="AY709" i="1"/>
  <c r="AZ707" i="1"/>
  <c r="AV708" i="1"/>
  <c r="AY759" i="1"/>
  <c r="AZ746" i="1"/>
  <c r="AV673" i="1"/>
  <c r="AX253" i="8"/>
  <c r="AY214" i="8"/>
  <c r="BA421" i="8"/>
  <c r="BA711" i="8"/>
  <c r="AV269" i="8"/>
  <c r="AX589" i="8"/>
  <c r="AZ451" i="8"/>
  <c r="AZ705" i="8"/>
  <c r="AW468" i="8"/>
  <c r="AW445" i="8"/>
  <c r="AV429" i="8"/>
  <c r="AW520" i="8"/>
  <c r="AY333" i="8"/>
  <c r="BA609" i="8"/>
  <c r="AX498" i="8"/>
  <c r="AV381" i="8"/>
  <c r="AY458" i="8"/>
  <c r="AZ235" i="8"/>
  <c r="BA377" i="8"/>
  <c r="AZ732" i="8"/>
  <c r="BA140" i="1"/>
  <c r="AZ120" i="1"/>
  <c r="AY94" i="1"/>
  <c r="AV746" i="1"/>
  <c r="BA198" i="8"/>
  <c r="AV320" i="8"/>
  <c r="AY495" i="8"/>
  <c r="AZ268" i="8"/>
  <c r="AW198" i="8"/>
  <c r="AX320" i="8"/>
  <c r="AV545" i="8"/>
  <c r="AY271" i="8"/>
  <c r="AV489" i="8"/>
  <c r="AX495" i="8"/>
  <c r="AZ317" i="8"/>
  <c r="AZ320" i="8"/>
  <c r="AW706" i="8"/>
  <c r="AY545" i="8"/>
  <c r="BA391" i="8"/>
  <c r="AX489" i="8"/>
  <c r="AW455" i="8"/>
  <c r="AV198" i="8"/>
  <c r="BA320" i="8"/>
  <c r="AZ545" i="8"/>
  <c r="AZ391" i="8"/>
  <c r="AZ489" i="8"/>
  <c r="AZ578" i="8"/>
  <c r="AZ486" i="8"/>
  <c r="BA670" i="8"/>
  <c r="AW593" i="8"/>
  <c r="AZ442" i="8"/>
  <c r="AX198" i="8"/>
  <c r="AX545" i="8"/>
  <c r="AW489" i="8"/>
  <c r="AX455" i="8"/>
  <c r="AV455" i="8"/>
  <c r="AV442" i="8"/>
  <c r="BA413" i="8"/>
  <c r="AZ198" i="8"/>
  <c r="AV237" i="8"/>
  <c r="AW442" i="8"/>
  <c r="BA237" i="8"/>
  <c r="AW494" i="8"/>
  <c r="BA325" i="8"/>
  <c r="BA307" i="8"/>
  <c r="AX263" i="8"/>
  <c r="AZ277" i="8"/>
  <c r="AV700" i="8"/>
  <c r="AZ769" i="8"/>
  <c r="AW419" i="8"/>
  <c r="AV227" i="8"/>
  <c r="AX516" i="8"/>
  <c r="BA556" i="8"/>
  <c r="AY467" i="8"/>
  <c r="AV343" i="8"/>
  <c r="AX307" i="8"/>
  <c r="AX277" i="8"/>
  <c r="AX361" i="8"/>
  <c r="AX592" i="8"/>
  <c r="AV580" i="8"/>
  <c r="AY700" i="8"/>
  <c r="AY419" i="8"/>
  <c r="BA227" i="8"/>
  <c r="AZ657" i="8"/>
  <c r="AY323" i="8"/>
  <c r="AX760" i="8"/>
  <c r="AV467" i="8"/>
  <c r="AW475" i="8"/>
  <c r="AY683" i="1"/>
  <c r="AW652" i="8"/>
  <c r="AW323" i="8"/>
  <c r="AX467" i="8"/>
  <c r="AZ564" i="8"/>
  <c r="AX407" i="8"/>
  <c r="AW227" i="8"/>
  <c r="AW679" i="8"/>
  <c r="AV323" i="8"/>
  <c r="AV760" i="8"/>
  <c r="BA467" i="8"/>
  <c r="AZ467" i="8"/>
  <c r="AV475" i="8"/>
  <c r="AV703" i="8"/>
  <c r="AY407" i="8"/>
  <c r="AY499" i="8"/>
  <c r="AW694" i="8"/>
  <c r="AX362" i="8"/>
  <c r="AY631" i="8"/>
  <c r="AV464" i="8"/>
  <c r="AZ679" i="8"/>
  <c r="AX475" i="8"/>
  <c r="AY124" i="1"/>
  <c r="AX98" i="1"/>
  <c r="AX188" i="1"/>
  <c r="AZ691" i="1"/>
  <c r="BA699" i="1"/>
  <c r="AX706" i="1"/>
  <c r="AW742" i="1"/>
  <c r="AW750" i="1"/>
  <c r="BA564" i="8"/>
  <c r="AX480" i="8"/>
  <c r="AV640" i="8"/>
  <c r="AW702" i="8"/>
  <c r="AW457" i="8"/>
  <c r="AV361" i="8"/>
  <c r="AW689" i="8"/>
  <c r="BA407" i="8"/>
  <c r="AW307" i="8"/>
  <c r="AZ644" i="8"/>
  <c r="BA517" i="8"/>
  <c r="AZ611" i="8"/>
  <c r="AW277" i="8"/>
  <c r="AV595" i="8"/>
  <c r="AV577" i="8"/>
  <c r="AY325" i="8"/>
  <c r="AX652" i="8"/>
  <c r="AZ631" i="8"/>
  <c r="AY691" i="1"/>
  <c r="AV683" i="1"/>
  <c r="AW699" i="1"/>
  <c r="AZ700" i="1"/>
  <c r="BA742" i="1"/>
  <c r="AX632" i="8"/>
  <c r="AX677" i="8"/>
  <c r="AY528" i="8"/>
  <c r="AY480" i="8"/>
  <c r="AZ457" i="8"/>
  <c r="AW361" i="8"/>
  <c r="AV228" i="8"/>
  <c r="AY689" i="8"/>
  <c r="AY703" i="8"/>
  <c r="AZ407" i="8"/>
  <c r="AY307" i="8"/>
  <c r="AV263" i="8"/>
  <c r="AY517" i="8"/>
  <c r="BA459" i="8"/>
  <c r="AY277" i="8"/>
  <c r="AZ595" i="8"/>
  <c r="AZ325" i="8"/>
  <c r="AX603" i="8"/>
  <c r="AV367" i="8"/>
  <c r="AV657" i="8"/>
  <c r="AZ464" i="8"/>
  <c r="AV158" i="1"/>
  <c r="BA691" i="1"/>
  <c r="BA683" i="1"/>
  <c r="AZ699" i="1"/>
  <c r="AX742" i="1"/>
  <c r="AW680" i="1"/>
  <c r="AV564" i="8"/>
  <c r="AY632" i="8"/>
  <c r="BA677" i="8"/>
  <c r="BA480" i="8"/>
  <c r="AZ490" i="8"/>
  <c r="BA457" i="8"/>
  <c r="AZ361" i="8"/>
  <c r="AX228" i="8"/>
  <c r="AZ689" i="8"/>
  <c r="AZ703" i="8"/>
  <c r="BA680" i="8"/>
  <c r="AZ307" i="8"/>
  <c r="AZ263" i="8"/>
  <c r="AX517" i="8"/>
  <c r="AV611" i="8"/>
  <c r="BA277" i="8"/>
  <c r="BA595" i="8"/>
  <c r="AW325" i="8"/>
  <c r="AV652" i="8"/>
  <c r="AV631" i="8"/>
  <c r="AZ367" i="8"/>
  <c r="AX657" i="8"/>
  <c r="BA464" i="8"/>
  <c r="AZ534" i="8"/>
  <c r="AV124" i="1"/>
  <c r="AX158" i="1"/>
  <c r="AV188" i="1"/>
  <c r="AX683" i="1"/>
  <c r="AV706" i="1"/>
  <c r="AV680" i="1"/>
  <c r="AY703" i="1"/>
  <c r="AX564" i="8"/>
  <c r="BA361" i="8"/>
  <c r="AZ228" i="8"/>
  <c r="BA703" i="8"/>
  <c r="BA263" i="8"/>
  <c r="AX611" i="8"/>
  <c r="AW595" i="8"/>
  <c r="AV626" i="8"/>
  <c r="AY652" i="8"/>
  <c r="AX631" i="8"/>
  <c r="BA367" i="8"/>
  <c r="BA657" i="8"/>
  <c r="AX464" i="8"/>
  <c r="BA124" i="1"/>
  <c r="AY158" i="1"/>
  <c r="BA188" i="1"/>
  <c r="AZ683" i="1"/>
  <c r="AW706" i="1"/>
  <c r="AX680" i="1"/>
  <c r="AZ680" i="1"/>
  <c r="AY564" i="8"/>
  <c r="AV411" i="8"/>
  <c r="BA228" i="8"/>
  <c r="AW703" i="8"/>
  <c r="AV407" i="8"/>
  <c r="AW263" i="8"/>
  <c r="AV683" i="8"/>
  <c r="AY611" i="8"/>
  <c r="AV356" i="8"/>
  <c r="AY279" i="8"/>
  <c r="AV586" i="8"/>
  <c r="AZ652" i="8"/>
  <c r="BA631" i="8"/>
  <c r="AX367" i="8"/>
  <c r="AW657" i="8"/>
  <c r="AY464" i="8"/>
  <c r="AZ124" i="1"/>
  <c r="AZ158" i="1"/>
  <c r="AY188" i="1"/>
  <c r="AX709" i="8"/>
  <c r="AV644" i="8"/>
  <c r="AX699" i="8"/>
  <c r="AX673" i="8"/>
  <c r="BA442" i="8"/>
  <c r="AX323" i="8"/>
  <c r="AV674" i="8"/>
  <c r="AW654" i="8"/>
  <c r="AV199" i="8"/>
  <c r="AV741" i="8"/>
  <c r="AX261" i="8"/>
  <c r="AX599" i="8"/>
  <c r="AY215" i="8"/>
  <c r="BA219" i="8"/>
  <c r="AW499" i="8"/>
  <c r="BA769" i="8"/>
  <c r="AZ419" i="8"/>
  <c r="AY679" i="8"/>
  <c r="AZ323" i="8"/>
  <c r="AY760" i="8"/>
  <c r="AZ675" i="8"/>
  <c r="AX674" i="8"/>
  <c r="AZ741" i="8"/>
  <c r="AV215" i="8"/>
  <c r="AY566" i="8"/>
  <c r="AZ297" i="8"/>
  <c r="AY379" i="8"/>
  <c r="AY585" i="8"/>
  <c r="AY592" i="8"/>
  <c r="AY580" i="8"/>
  <c r="AW700" i="8"/>
  <c r="AZ694" i="8"/>
  <c r="AW769" i="8"/>
  <c r="AV419" i="8"/>
  <c r="AW362" i="8"/>
  <c r="AY516" i="8"/>
  <c r="AY556" i="8"/>
  <c r="AV679" i="8"/>
  <c r="AY677" i="8"/>
  <c r="AY628" i="8"/>
  <c r="BA644" i="8"/>
  <c r="AY305" i="8"/>
  <c r="AX435" i="8"/>
  <c r="AX577" i="8"/>
  <c r="AX678" i="8"/>
  <c r="AX266" i="8"/>
  <c r="AX225" i="8"/>
  <c r="BA225" i="8"/>
  <c r="AW677" i="8"/>
  <c r="AY665" i="8"/>
  <c r="AV709" i="8"/>
  <c r="AX496" i="8"/>
  <c r="BA692" i="8"/>
  <c r="AY353" i="8"/>
  <c r="AW483" i="8"/>
  <c r="AV632" i="8"/>
  <c r="AZ677" i="8"/>
  <c r="BA528" i="8"/>
  <c r="AY709" i="8"/>
  <c r="AV395" i="8"/>
  <c r="AX353" i="8"/>
  <c r="AV649" i="8"/>
  <c r="BA441" i="8"/>
  <c r="AV534" i="8"/>
  <c r="AV225" i="8"/>
  <c r="AY612" i="8"/>
  <c r="AY667" i="8"/>
  <c r="AW667" i="8"/>
  <c r="AW703" i="1"/>
  <c r="AZ632" i="8"/>
  <c r="AY681" i="8"/>
  <c r="AZ709" i="8"/>
  <c r="AZ712" i="8"/>
  <c r="AX644" i="8"/>
  <c r="AY306" i="8"/>
  <c r="AX388" i="8"/>
  <c r="AX356" i="8"/>
  <c r="BA667" i="8"/>
  <c r="AW640" i="8"/>
  <c r="AY490" i="8"/>
  <c r="BA773" i="8"/>
  <c r="AY680" i="8"/>
  <c r="AX279" i="8"/>
  <c r="AY478" i="8"/>
  <c r="AY225" i="8"/>
  <c r="BA612" i="8"/>
  <c r="AV667" i="8"/>
  <c r="AX667" i="8"/>
  <c r="BA700" i="1"/>
  <c r="AY712" i="1"/>
  <c r="BA773" i="1"/>
  <c r="AZ775" i="1"/>
  <c r="AX702" i="8"/>
  <c r="AX620" i="8"/>
  <c r="AZ494" i="8"/>
  <c r="BA733" i="8"/>
  <c r="AX683" i="8"/>
  <c r="AX459" i="8"/>
  <c r="AV673" i="8"/>
  <c r="AX586" i="8"/>
  <c r="BA712" i="1"/>
  <c r="AV758" i="1"/>
  <c r="AW773" i="1"/>
  <c r="AV373" i="8"/>
  <c r="BA620" i="8"/>
  <c r="BA494" i="8"/>
  <c r="AX349" i="8"/>
  <c r="AW683" i="8"/>
  <c r="AZ666" i="8"/>
  <c r="AZ586" i="8"/>
  <c r="AX598" i="8"/>
  <c r="AW732" i="1"/>
  <c r="AW758" i="1"/>
  <c r="AW373" i="8"/>
  <c r="AY494" i="8"/>
  <c r="AY349" i="8"/>
  <c r="AX571" i="8"/>
  <c r="AY683" i="8"/>
  <c r="BA586" i="8"/>
  <c r="AZ598" i="8"/>
  <c r="AV447" i="8"/>
  <c r="AV700" i="1"/>
  <c r="AV702" i="8"/>
  <c r="AY571" i="8"/>
  <c r="AX575" i="8"/>
  <c r="AZ683" i="8"/>
  <c r="AW586" i="8"/>
  <c r="AZ252" i="8"/>
  <c r="AW447" i="8"/>
  <c r="AX376" i="8"/>
  <c r="AX700" i="1"/>
  <c r="AV311" i="8"/>
  <c r="AY702" i="8"/>
  <c r="AW749" i="8"/>
  <c r="AX282" i="8"/>
  <c r="AY700" i="1"/>
  <c r="BA678" i="1"/>
  <c r="BA702" i="8"/>
  <c r="AV494" i="8"/>
  <c r="BA368" i="8"/>
  <c r="AW581" i="8"/>
  <c r="AV655" i="8"/>
  <c r="AV302" i="8"/>
  <c r="AW376" i="8"/>
  <c r="AV536" i="8"/>
  <c r="AZ400" i="8"/>
  <c r="BA340" i="8"/>
  <c r="AW368" i="8"/>
  <c r="BA581" i="8"/>
  <c r="BA561" i="8"/>
  <c r="BA699" i="8"/>
  <c r="AW302" i="8"/>
  <c r="AZ616" i="8"/>
  <c r="AX712" i="1"/>
  <c r="AX732" i="1"/>
  <c r="AY758" i="1"/>
  <c r="AY750" i="1"/>
  <c r="AY773" i="1"/>
  <c r="AX703" i="1"/>
  <c r="AX373" i="8"/>
  <c r="AW528" i="8"/>
  <c r="AZ681" i="8"/>
  <c r="AX640" i="8"/>
  <c r="AW628" i="8"/>
  <c r="BA665" i="8"/>
  <c r="BA490" i="8"/>
  <c r="AY712" i="8"/>
  <c r="AV496" i="8"/>
  <c r="AZ620" i="8"/>
  <c r="AW692" i="8"/>
  <c r="AX400" i="8"/>
  <c r="AZ368" i="8"/>
  <c r="AW349" i="8"/>
  <c r="AY581" i="8"/>
  <c r="AW571" i="8"/>
  <c r="AX680" i="8"/>
  <c r="AV749" i="8"/>
  <c r="BA305" i="8"/>
  <c r="AX561" i="8"/>
  <c r="AY666" i="8"/>
  <c r="AW699" i="8"/>
  <c r="AZ306" i="8"/>
  <c r="AZ353" i="8"/>
  <c r="AY435" i="8"/>
  <c r="AZ459" i="8"/>
  <c r="AZ388" i="8"/>
  <c r="AY356" i="8"/>
  <c r="BA577" i="8"/>
  <c r="AV483" i="8"/>
  <c r="AY673" i="8"/>
  <c r="AZ279" i="8"/>
  <c r="BA302" i="8"/>
  <c r="AY266" i="8"/>
  <c r="AY598" i="8"/>
  <c r="AV603" i="8"/>
  <c r="AZ441" i="8"/>
  <c r="BA252" i="8"/>
  <c r="AX447" i="8"/>
  <c r="AX534" i="8"/>
  <c r="AV98" i="1"/>
  <c r="AW712" i="1"/>
  <c r="AZ758" i="1"/>
  <c r="AZ773" i="1"/>
  <c r="AV775" i="1"/>
  <c r="AX678" i="1"/>
  <c r="AY373" i="8"/>
  <c r="AV528" i="8"/>
  <c r="AY536" i="8"/>
  <c r="AY640" i="8"/>
  <c r="AX628" i="8"/>
  <c r="BA311" i="8"/>
  <c r="BA411" i="8"/>
  <c r="BA712" i="8"/>
  <c r="AW496" i="8"/>
  <c r="AY343" i="8"/>
  <c r="AW395" i="8"/>
  <c r="AV340" i="8"/>
  <c r="AX368" i="8"/>
  <c r="AZ349" i="8"/>
  <c r="AZ581" i="8"/>
  <c r="AV773" i="8"/>
  <c r="AV733" i="8"/>
  <c r="AV575" i="8"/>
  <c r="AX749" i="8"/>
  <c r="AY699" i="8"/>
  <c r="AW353" i="8"/>
  <c r="AW435" i="8"/>
  <c r="AW459" i="8"/>
  <c r="AZ356" i="8"/>
  <c r="AW577" i="8"/>
  <c r="AW729" i="8"/>
  <c r="AY483" i="8"/>
  <c r="AX655" i="8"/>
  <c r="BA279" i="8"/>
  <c r="AZ626" i="8"/>
  <c r="AX302" i="8"/>
  <c r="BA266" i="8"/>
  <c r="BA598" i="8"/>
  <c r="AZ603" i="8"/>
  <c r="BA282" i="8"/>
  <c r="AY447" i="8"/>
  <c r="AY376" i="8"/>
  <c r="AZ98" i="1"/>
  <c r="AV732" i="1"/>
  <c r="AX775" i="1"/>
  <c r="AZ373" i="8"/>
  <c r="AV681" i="8"/>
  <c r="BA536" i="8"/>
  <c r="AZ640" i="8"/>
  <c r="AV665" i="8"/>
  <c r="AX311" i="8"/>
  <c r="AW411" i="8"/>
  <c r="AX712" i="8"/>
  <c r="AZ496" i="8"/>
  <c r="AV692" i="8"/>
  <c r="AV400" i="8"/>
  <c r="AZ343" i="8"/>
  <c r="BA395" i="8"/>
  <c r="AY340" i="8"/>
  <c r="AY368" i="8"/>
  <c r="BA349" i="8"/>
  <c r="AX581" i="8"/>
  <c r="AX773" i="8"/>
  <c r="AX733" i="8"/>
  <c r="AW575" i="8"/>
  <c r="AY749" i="8"/>
  <c r="AV561" i="8"/>
  <c r="AV666" i="8"/>
  <c r="AV306" i="8"/>
  <c r="BA435" i="8"/>
  <c r="AY459" i="8"/>
  <c r="BA356" i="8"/>
  <c r="AX729" i="8"/>
  <c r="AZ483" i="8"/>
  <c r="BA655" i="8"/>
  <c r="BA626" i="8"/>
  <c r="AY302" i="8"/>
  <c r="AV322" i="8"/>
  <c r="AW266" i="8"/>
  <c r="AW598" i="8"/>
  <c r="AW282" i="8"/>
  <c r="AV246" i="8"/>
  <c r="AV252" i="8"/>
  <c r="AZ447" i="8"/>
  <c r="AZ512" i="8"/>
  <c r="BA758" i="1"/>
  <c r="AX773" i="1"/>
  <c r="BA98" i="1"/>
  <c r="AY732" i="1"/>
  <c r="AV750" i="1"/>
  <c r="BA775" i="1"/>
  <c r="AY678" i="1"/>
  <c r="BA681" i="8"/>
  <c r="AZ536" i="8"/>
  <c r="AW665" i="8"/>
  <c r="AW311" i="8"/>
  <c r="AX411" i="8"/>
  <c r="AV490" i="8"/>
  <c r="AY496" i="8"/>
  <c r="AV620" i="8"/>
  <c r="AX692" i="8"/>
  <c r="AW400" i="8"/>
  <c r="BA343" i="8"/>
  <c r="AY395" i="8"/>
  <c r="AW340" i="8"/>
  <c r="AW773" i="8"/>
  <c r="AV571" i="8"/>
  <c r="AV680" i="8"/>
  <c r="AW733" i="8"/>
  <c r="AZ575" i="8"/>
  <c r="AZ749" i="8"/>
  <c r="AV305" i="8"/>
  <c r="AY561" i="8"/>
  <c r="BA666" i="8"/>
  <c r="AW306" i="8"/>
  <c r="AV388" i="8"/>
  <c r="AY678" i="8"/>
  <c r="AW673" i="8"/>
  <c r="AV748" i="8"/>
  <c r="AW655" i="8"/>
  <c r="AX626" i="8"/>
  <c r="BA322" i="8"/>
  <c r="AY282" i="8"/>
  <c r="AZ246" i="8"/>
  <c r="AX252" i="8"/>
  <c r="AV712" i="1"/>
  <c r="AZ732" i="1"/>
  <c r="AX750" i="1"/>
  <c r="AY775" i="1"/>
  <c r="AW678" i="1"/>
  <c r="AZ528" i="8"/>
  <c r="AX681" i="8"/>
  <c r="AW536" i="8"/>
  <c r="AV628" i="8"/>
  <c r="AZ665" i="8"/>
  <c r="AY311" i="8"/>
  <c r="AY411" i="8"/>
  <c r="AX490" i="8"/>
  <c r="AW620" i="8"/>
  <c r="AY692" i="8"/>
  <c r="AY400" i="8"/>
  <c r="AX343" i="8"/>
  <c r="AZ395" i="8"/>
  <c r="AZ340" i="8"/>
  <c r="AY773" i="8"/>
  <c r="AZ571" i="8"/>
  <c r="AW680" i="8"/>
  <c r="AY733" i="8"/>
  <c r="AY575" i="8"/>
  <c r="AW305" i="8"/>
  <c r="AZ561" i="8"/>
  <c r="AW666" i="8"/>
  <c r="AV699" i="8"/>
  <c r="BA306" i="8"/>
  <c r="AV353" i="8"/>
  <c r="AW388" i="8"/>
  <c r="AZ678" i="8"/>
  <c r="AZ673" i="8"/>
  <c r="AW748" i="8"/>
  <c r="AY655" i="8"/>
  <c r="AV279" i="8"/>
  <c r="AW626" i="8"/>
  <c r="AX322" i="8"/>
  <c r="AZ649" i="8"/>
  <c r="AZ282" i="8"/>
  <c r="AV441" i="8"/>
  <c r="BA246" i="8"/>
  <c r="AW252" i="8"/>
  <c r="BA376" i="8"/>
  <c r="AV376" i="8"/>
  <c r="AW616" i="8"/>
  <c r="AW439" i="8"/>
  <c r="BA439" i="8"/>
  <c r="AY98" i="1"/>
  <c r="AZ678" i="1"/>
  <c r="BA703" i="1"/>
  <c r="AZ703" i="1"/>
  <c r="AY388" i="8"/>
  <c r="BA678" i="8"/>
  <c r="BA748" i="8"/>
  <c r="AW322" i="8"/>
  <c r="BA649" i="8"/>
  <c r="AX441" i="8"/>
  <c r="AV304" i="8"/>
  <c r="AY691" i="8"/>
  <c r="AY577" i="8"/>
  <c r="BA729" i="8"/>
  <c r="AW678" i="8"/>
  <c r="BA483" i="8"/>
  <c r="AY309" i="8"/>
  <c r="AY322" i="8"/>
  <c r="AZ304" i="8"/>
  <c r="AW603" i="8"/>
  <c r="AY649" i="8"/>
  <c r="AV364" i="8"/>
  <c r="AW441" i="8"/>
  <c r="AY246" i="8"/>
  <c r="AW534" i="8"/>
  <c r="BA677" i="1"/>
  <c r="BA465" i="8"/>
  <c r="AV465" i="8"/>
  <c r="AZ686" i="8"/>
  <c r="AW740" i="8"/>
  <c r="AY729" i="8"/>
  <c r="AX748" i="8"/>
  <c r="AV266" i="8"/>
  <c r="AY603" i="8"/>
  <c r="AX649" i="8"/>
  <c r="AX364" i="8"/>
  <c r="AY696" i="8"/>
  <c r="AW246" i="8"/>
  <c r="AY534" i="8"/>
  <c r="AY677" i="1"/>
  <c r="AZ439" i="8"/>
  <c r="AZ465" i="8"/>
  <c r="AX439" i="8"/>
  <c r="AV677" i="1"/>
  <c r="AY275" i="8"/>
  <c r="AW512" i="8"/>
  <c r="AZ677" i="1"/>
  <c r="AV616" i="8"/>
  <c r="AV439" i="8"/>
  <c r="AX413" i="8"/>
  <c r="AX616" i="8"/>
  <c r="AW550" i="8"/>
  <c r="BA550" i="8"/>
  <c r="AX550" i="8"/>
  <c r="AZ550" i="8"/>
  <c r="AY550" i="8"/>
  <c r="AV550" i="8"/>
  <c r="AZ612" i="8"/>
  <c r="AV741" i="1"/>
  <c r="BA739" i="8"/>
  <c r="BA621" i="8"/>
  <c r="AZ741" i="1"/>
  <c r="AW621" i="8"/>
  <c r="AX621" i="8"/>
  <c r="AV739" i="8"/>
  <c r="AZ621" i="8"/>
  <c r="AV372" i="8"/>
  <c r="AW643" i="8"/>
  <c r="AV643" i="8"/>
  <c r="AY643" i="8"/>
  <c r="AX643" i="8"/>
  <c r="AZ643" i="8"/>
  <c r="BA643" i="8"/>
  <c r="BA741" i="1"/>
  <c r="AX741" i="1"/>
  <c r="AX739" i="8"/>
  <c r="BA503" i="8"/>
  <c r="AY739" i="8"/>
  <c r="AW601" i="8"/>
  <c r="BA602" i="8"/>
  <c r="BA715" i="8"/>
  <c r="BA675" i="8"/>
  <c r="AZ413" i="8"/>
  <c r="AW413" i="8"/>
  <c r="AV413" i="8"/>
  <c r="AX503" i="8"/>
  <c r="AY235" i="1"/>
  <c r="AY713" i="8"/>
  <c r="AV301" i="8"/>
  <c r="AZ602" i="8"/>
  <c r="AZ706" i="8"/>
  <c r="AY237" i="8"/>
  <c r="AV731" i="8"/>
  <c r="AX477" i="8"/>
  <c r="AX391" i="8"/>
  <c r="BA271" i="8"/>
  <c r="AW372" i="8"/>
  <c r="AV335" i="8"/>
  <c r="AV495" i="8"/>
  <c r="BA417" i="8"/>
  <c r="AV485" i="8"/>
  <c r="AV293" i="8"/>
  <c r="BA713" i="8"/>
  <c r="AV601" i="8"/>
  <c r="AY301" i="8"/>
  <c r="AX602" i="8"/>
  <c r="BA706" i="8"/>
  <c r="AZ237" i="8"/>
  <c r="AW731" i="8"/>
  <c r="AW477" i="8"/>
  <c r="AW271" i="8"/>
  <c r="AX372" i="8"/>
  <c r="AW335" i="8"/>
  <c r="AV715" i="8"/>
  <c r="AX417" i="8"/>
  <c r="BA560" i="8"/>
  <c r="AV268" i="8"/>
  <c r="AX293" i="8"/>
  <c r="AW713" i="8"/>
  <c r="AX601" i="8"/>
  <c r="AW301" i="8"/>
  <c r="AV317" i="8"/>
  <c r="AW237" i="8"/>
  <c r="AX731" i="8"/>
  <c r="AY477" i="8"/>
  <c r="AZ372" i="8"/>
  <c r="AX335" i="8"/>
  <c r="AV503" i="8"/>
  <c r="AW715" i="8"/>
  <c r="AY417" i="8"/>
  <c r="AZ417" i="8"/>
  <c r="AZ560" i="8"/>
  <c r="AW602" i="8"/>
  <c r="AV477" i="8"/>
  <c r="BA372" i="8"/>
  <c r="AW268" i="8"/>
  <c r="AW293" i="8"/>
  <c r="AY601" i="8"/>
  <c r="BA301" i="8"/>
  <c r="AX317" i="8"/>
  <c r="AZ731" i="8"/>
  <c r="AZ477" i="8"/>
  <c r="AV391" i="8"/>
  <c r="AZ335" i="8"/>
  <c r="AY503" i="8"/>
  <c r="AX715" i="8"/>
  <c r="BA495" i="8"/>
  <c r="AY560" i="8"/>
  <c r="AX713" i="8"/>
  <c r="AX268" i="8"/>
  <c r="AY293" i="8"/>
  <c r="BA601" i="8"/>
  <c r="AZ301" i="8"/>
  <c r="AV602" i="8"/>
  <c r="BA317" i="8"/>
  <c r="AV706" i="8"/>
  <c r="BA731" i="8"/>
  <c r="AW391" i="8"/>
  <c r="AV271" i="8"/>
  <c r="AY335" i="8"/>
  <c r="AW503" i="8"/>
  <c r="AY715" i="8"/>
  <c r="AV417" i="8"/>
  <c r="AW560" i="8"/>
  <c r="AY470" i="8"/>
  <c r="AX470" i="8"/>
  <c r="AV470" i="8"/>
  <c r="AW470" i="8"/>
  <c r="AZ470" i="8"/>
  <c r="BA470" i="8"/>
  <c r="AW495" i="8"/>
  <c r="AX560" i="8"/>
  <c r="AX638" i="8"/>
  <c r="AW275" i="8"/>
  <c r="AZ691" i="8"/>
  <c r="AW686" i="8"/>
  <c r="AW401" i="8"/>
  <c r="AW309" i="8"/>
  <c r="BA661" i="8"/>
  <c r="AV661" i="8"/>
  <c r="AW661" i="8"/>
  <c r="AX661" i="8"/>
  <c r="AY661" i="8"/>
  <c r="AZ661" i="8"/>
  <c r="BA638" i="8"/>
  <c r="BA691" i="8"/>
  <c r="AV622" i="8"/>
  <c r="AV740" i="8"/>
  <c r="AV690" i="8"/>
  <c r="AX691" i="8"/>
  <c r="AX622" i="8"/>
  <c r="BA740" i="8"/>
  <c r="AX690" i="8"/>
  <c r="AV696" i="8"/>
  <c r="AY414" i="8"/>
  <c r="AW414" i="8"/>
  <c r="AX414" i="8"/>
  <c r="BA414" i="8"/>
  <c r="AZ414" i="8"/>
  <c r="AV414" i="8"/>
  <c r="AV275" i="8"/>
  <c r="AW691" i="8"/>
  <c r="AW622" i="8"/>
  <c r="AV686" i="8"/>
  <c r="AV401" i="8"/>
  <c r="AX740" i="8"/>
  <c r="AY690" i="8"/>
  <c r="AV309" i="8"/>
  <c r="AX696" i="8"/>
  <c r="AZ638" i="8"/>
  <c r="AZ275" i="8"/>
  <c r="AZ622" i="8"/>
  <c r="AX686" i="8"/>
  <c r="AZ401" i="8"/>
  <c r="AY740" i="8"/>
  <c r="BA690" i="8"/>
  <c r="BA309" i="8"/>
  <c r="AZ696" i="8"/>
  <c r="AW638" i="8"/>
  <c r="AX275" i="8"/>
  <c r="AY686" i="8"/>
  <c r="AX401" i="8"/>
  <c r="AX309" i="8"/>
  <c r="BA696" i="8"/>
  <c r="BA616" i="8"/>
  <c r="AZ543" i="8"/>
  <c r="AZ422" i="8"/>
  <c r="BA351" i="8"/>
  <c r="AW498" i="8"/>
  <c r="AX543" i="8"/>
  <c r="AX422" i="8"/>
  <c r="AW351" i="8"/>
  <c r="AZ498" i="8"/>
  <c r="AV588" i="8"/>
  <c r="AY498" i="8"/>
  <c r="AV324" i="8"/>
  <c r="AX588" i="8"/>
  <c r="BA498" i="8"/>
  <c r="AW324" i="8"/>
  <c r="AW485" i="8"/>
  <c r="AY588" i="8"/>
  <c r="AV543" i="8"/>
  <c r="AV422" i="8"/>
  <c r="AV351" i="8"/>
  <c r="AZ324" i="8"/>
  <c r="AY485" i="8"/>
  <c r="AX485" i="8"/>
  <c r="BA485" i="8"/>
  <c r="AZ588" i="8"/>
  <c r="AY543" i="8"/>
  <c r="AW422" i="8"/>
  <c r="AY351" i="8"/>
  <c r="AY324" i="8"/>
  <c r="AZ396" i="8"/>
  <c r="AY396" i="8"/>
  <c r="AW396" i="8"/>
  <c r="AX396" i="8"/>
  <c r="AV396" i="8"/>
  <c r="BA396" i="8"/>
  <c r="AV662" i="8"/>
  <c r="BA662" i="8"/>
  <c r="AZ662" i="8"/>
  <c r="AY662" i="8"/>
  <c r="AW662" i="8"/>
  <c r="AX662" i="8"/>
  <c r="AZ492" i="8"/>
  <c r="AY492" i="8"/>
  <c r="AW492" i="8"/>
  <c r="AX492" i="8"/>
  <c r="BA492" i="8"/>
  <c r="AV492" i="8"/>
  <c r="AW549" i="8"/>
  <c r="AZ549" i="8"/>
  <c r="AY549" i="8"/>
  <c r="BA549" i="8"/>
  <c r="AV549" i="8"/>
  <c r="AX549" i="8"/>
  <c r="BA646" i="8"/>
  <c r="AX646" i="8"/>
  <c r="AZ646" i="8"/>
  <c r="AW646" i="8"/>
  <c r="AY646" i="8"/>
  <c r="AV646" i="8"/>
  <c r="AW675" i="8"/>
  <c r="AZ656" i="8"/>
  <c r="AZ630" i="8"/>
  <c r="AY630" i="8"/>
  <c r="AW630" i="8"/>
  <c r="AX630" i="8"/>
  <c r="AV630" i="8"/>
  <c r="BA630" i="8"/>
  <c r="AV675" i="8"/>
  <c r="AZ647" i="8"/>
  <c r="AV647" i="8"/>
  <c r="AY647" i="8"/>
  <c r="AW647" i="8"/>
  <c r="BA647" i="8"/>
  <c r="AX647" i="8"/>
  <c r="BA114" i="8"/>
  <c r="AZ114" i="8"/>
  <c r="AW114" i="8"/>
  <c r="AY114" i="8"/>
  <c r="AX114" i="8"/>
  <c r="AV114" i="8"/>
  <c r="AY675" i="8"/>
  <c r="AZ651" i="8"/>
  <c r="AY651" i="8"/>
  <c r="AW651" i="8"/>
  <c r="AX651" i="8"/>
  <c r="BA651" i="8"/>
  <c r="AV651" i="8"/>
  <c r="AZ436" i="8"/>
  <c r="AW436" i="8"/>
  <c r="BA436" i="8"/>
  <c r="AX436" i="8"/>
  <c r="AY436" i="8"/>
  <c r="AV436" i="8"/>
  <c r="AV188" i="8"/>
  <c r="AW188" i="8"/>
  <c r="BA188" i="8"/>
  <c r="AZ188" i="8"/>
  <c r="AX188" i="8"/>
  <c r="AY188" i="8"/>
  <c r="AX387" i="8"/>
  <c r="AZ387" i="8"/>
  <c r="AW387" i="8"/>
  <c r="BA387" i="8"/>
  <c r="AY387" i="8"/>
  <c r="AV387" i="8"/>
  <c r="AY597" i="8"/>
  <c r="AV597" i="8"/>
  <c r="BA597" i="8"/>
  <c r="AZ597" i="8"/>
  <c r="AW597" i="8"/>
  <c r="AX597" i="8"/>
  <c r="AX722" i="8"/>
  <c r="AZ722" i="8"/>
  <c r="AY722" i="8"/>
  <c r="AW722" i="8"/>
  <c r="AV722" i="8"/>
  <c r="BA722" i="8"/>
  <c r="AX584" i="8"/>
  <c r="AW584" i="8"/>
  <c r="BA584" i="8"/>
  <c r="AZ584" i="8"/>
  <c r="AV584" i="8"/>
  <c r="AY584" i="8"/>
  <c r="BA648" i="8"/>
  <c r="AV648" i="8"/>
  <c r="AW648" i="8"/>
  <c r="AY648" i="8"/>
  <c r="AZ648" i="8"/>
  <c r="AX648" i="8"/>
  <c r="AX512" i="8"/>
  <c r="AV615" i="8"/>
  <c r="AX615" i="8"/>
  <c r="AW615" i="8"/>
  <c r="AZ615" i="8"/>
  <c r="BA615" i="8"/>
  <c r="AY615" i="8"/>
  <c r="AX189" i="8"/>
  <c r="AV189" i="8"/>
  <c r="BA189" i="8"/>
  <c r="AZ189" i="8"/>
  <c r="AY189" i="8"/>
  <c r="AW189" i="8"/>
  <c r="AV656" i="8"/>
  <c r="BA426" i="8"/>
  <c r="AY426" i="8"/>
  <c r="AW426" i="8"/>
  <c r="AV426" i="8"/>
  <c r="AX426" i="8"/>
  <c r="AZ426" i="8"/>
  <c r="AZ359" i="8"/>
  <c r="AY359" i="8"/>
  <c r="AW359" i="8"/>
  <c r="AX359" i="8"/>
  <c r="BA359" i="8"/>
  <c r="AV359" i="8"/>
  <c r="BA653" i="8"/>
  <c r="AX653" i="8"/>
  <c r="AZ653" i="8"/>
  <c r="AY653" i="8"/>
  <c r="AW653" i="8"/>
  <c r="AV653" i="8"/>
  <c r="BA235" i="1"/>
  <c r="AX569" i="8"/>
  <c r="BA569" i="8"/>
  <c r="AZ569" i="8"/>
  <c r="AY569" i="8"/>
  <c r="AW569" i="8"/>
  <c r="AV569" i="8"/>
  <c r="AZ582" i="8"/>
  <c r="AY582" i="8"/>
  <c r="AV582" i="8"/>
  <c r="AW582" i="8"/>
  <c r="AX582" i="8"/>
  <c r="BA582" i="8"/>
  <c r="AV446" i="8"/>
  <c r="AY446" i="8"/>
  <c r="AW446" i="8"/>
  <c r="BA446" i="8"/>
  <c r="AX446" i="8"/>
  <c r="AZ446" i="8"/>
  <c r="AV235" i="1"/>
  <c r="AY224" i="8"/>
  <c r="AW224" i="8"/>
  <c r="BA224" i="8"/>
  <c r="AZ224" i="8"/>
  <c r="AX224" i="8"/>
  <c r="AV224" i="8"/>
  <c r="AX235" i="1"/>
  <c r="AZ235" i="1"/>
  <c r="AX371" i="8"/>
  <c r="BA371" i="8"/>
  <c r="AZ371" i="8"/>
  <c r="AY371" i="8"/>
  <c r="AW371" i="8"/>
  <c r="AV371" i="8"/>
  <c r="AZ693" i="8"/>
  <c r="AY693" i="8"/>
  <c r="AW693" i="8"/>
  <c r="AX693" i="8"/>
  <c r="BA693" i="8"/>
  <c r="AV693" i="8"/>
  <c r="AZ587" i="8"/>
  <c r="AW587" i="8"/>
  <c r="AX587" i="8"/>
  <c r="AV587" i="8"/>
  <c r="BA587" i="8"/>
  <c r="AY587" i="8"/>
  <c r="BA775" i="8"/>
  <c r="AZ775" i="8"/>
  <c r="AY775" i="8"/>
  <c r="AV775" i="8"/>
  <c r="AX775" i="8"/>
  <c r="AW775" i="8"/>
  <c r="BA656" i="8"/>
  <c r="AZ217" i="8"/>
  <c r="AW217" i="8"/>
  <c r="AY217" i="8"/>
  <c r="BA217" i="8"/>
  <c r="AX217" i="8"/>
  <c r="AV217" i="8"/>
  <c r="AY755" i="8"/>
  <c r="AV755" i="8"/>
  <c r="AW755" i="8"/>
  <c r="BA755" i="8"/>
  <c r="AZ755" i="8"/>
  <c r="AX755" i="8"/>
  <c r="BA390" i="8"/>
  <c r="AY390" i="8"/>
  <c r="AW390" i="8"/>
  <c r="AX390" i="8"/>
  <c r="AZ390" i="8"/>
  <c r="AV390" i="8"/>
  <c r="AW656" i="8"/>
  <c r="AY354" i="8"/>
  <c r="AW354" i="8"/>
  <c r="AZ354" i="8"/>
  <c r="AX354" i="8"/>
  <c r="AV354" i="8"/>
  <c r="BA354" i="8"/>
  <c r="AZ448" i="8"/>
  <c r="AY448" i="8"/>
  <c r="AW448" i="8"/>
  <c r="AX448" i="8"/>
  <c r="BA448" i="8"/>
  <c r="AV448" i="8"/>
  <c r="AX656" i="8"/>
  <c r="AW230" i="8"/>
  <c r="AY230" i="8"/>
  <c r="BA230" i="8"/>
  <c r="AV230" i="8"/>
  <c r="AZ230" i="8"/>
  <c r="AX230" i="8"/>
  <c r="AW605" i="8"/>
  <c r="AV605" i="8"/>
  <c r="BA605" i="8"/>
  <c r="AZ605" i="8"/>
  <c r="AY605" i="8"/>
  <c r="AX605" i="8"/>
  <c r="AW747" i="8"/>
  <c r="BA747" i="8"/>
  <c r="AZ747" i="8"/>
  <c r="AY747" i="8"/>
  <c r="AX747" i="8"/>
  <c r="AV747" i="8"/>
  <c r="AV270" i="8"/>
  <c r="AY270" i="8"/>
  <c r="AZ270" i="8"/>
  <c r="AW270" i="8"/>
  <c r="AX270" i="8"/>
  <c r="BA270" i="8"/>
  <c r="BA247" i="8"/>
  <c r="AZ247" i="8"/>
  <c r="AY247" i="8"/>
  <c r="AW247" i="8"/>
  <c r="AX247" i="8"/>
  <c r="AV247" i="8"/>
  <c r="AY512" i="8"/>
  <c r="BA512" i="8"/>
  <c r="AV521" i="8"/>
  <c r="BA521" i="8"/>
  <c r="AZ521" i="8"/>
  <c r="AY521" i="8"/>
  <c r="AX521" i="8"/>
  <c r="AW521" i="8"/>
  <c r="AV223" i="8"/>
  <c r="AX223" i="8"/>
  <c r="AW223" i="8"/>
  <c r="BA223" i="8"/>
  <c r="AZ223" i="8"/>
  <c r="AY223" i="8"/>
  <c r="AX501" i="8"/>
  <c r="AW501" i="8"/>
  <c r="AZ501" i="8"/>
  <c r="AY501" i="8"/>
  <c r="BA501" i="8"/>
  <c r="AV501" i="8"/>
  <c r="AV547" i="8"/>
  <c r="AW547" i="8"/>
  <c r="AY547" i="8"/>
  <c r="AX547" i="8"/>
  <c r="AZ547" i="8"/>
  <c r="BA547" i="8"/>
  <c r="AX721" i="8"/>
  <c r="AW721" i="8"/>
  <c r="AZ721" i="8"/>
  <c r="AY721" i="8"/>
  <c r="BA721" i="8"/>
  <c r="AV721" i="8"/>
  <c r="AW565" i="8"/>
  <c r="AX565" i="8"/>
  <c r="BA565" i="8"/>
  <c r="AV565" i="8"/>
  <c r="AZ565" i="8"/>
  <c r="AY565" i="8"/>
  <c r="AX682" i="8"/>
  <c r="BA682" i="8"/>
  <c r="AW682" i="8"/>
  <c r="AZ682" i="8"/>
  <c r="AY682" i="8"/>
  <c r="AV682" i="8"/>
  <c r="AY725" i="1"/>
  <c r="AX725" i="1"/>
  <c r="BA725" i="1"/>
  <c r="AV725" i="1"/>
  <c r="AZ725" i="1"/>
  <c r="AZ234" i="1"/>
  <c r="D23" i="3"/>
  <c r="D30" i="3" s="1"/>
  <c r="C30" i="3"/>
  <c r="D31" i="3"/>
  <c r="C38" i="3"/>
  <c r="C3" i="3"/>
  <c r="D3" i="3" s="1"/>
  <c r="E3" i="3" s="1"/>
  <c r="D85" i="3"/>
  <c r="AZ6" i="8"/>
  <c r="AW6" i="8"/>
  <c r="BA6" i="8"/>
  <c r="AY6" i="8"/>
  <c r="AX6" i="8"/>
  <c r="AV6" i="8"/>
  <c r="AY658" i="8"/>
  <c r="AW658" i="8"/>
  <c r="AX658" i="8"/>
  <c r="BA658" i="8"/>
  <c r="AZ658" i="8"/>
  <c r="AV658" i="8"/>
  <c r="AW74" i="8"/>
  <c r="AZ74" i="8"/>
  <c r="AY74" i="8"/>
  <c r="BA74" i="8"/>
  <c r="AX74" i="8"/>
  <c r="AV74" i="8"/>
  <c r="AW533" i="8"/>
  <c r="BA533" i="8"/>
  <c r="AZ533" i="8"/>
  <c r="AY533" i="8"/>
  <c r="AX533" i="8"/>
  <c r="AV533" i="8"/>
  <c r="BA591" i="8"/>
  <c r="AZ591" i="8"/>
  <c r="AY591" i="8"/>
  <c r="AW591" i="8"/>
  <c r="AX591" i="8"/>
  <c r="AV591" i="8"/>
  <c r="BA443" i="8"/>
  <c r="AW443" i="8"/>
  <c r="AZ443" i="8"/>
  <c r="AX443" i="8"/>
  <c r="AY443" i="8"/>
  <c r="AV443" i="8"/>
  <c r="AV254" i="8"/>
  <c r="AZ254" i="8"/>
  <c r="AY254" i="8"/>
  <c r="AX254" i="8"/>
  <c r="AW254" i="8"/>
  <c r="BA254" i="8"/>
  <c r="AW339" i="8"/>
  <c r="AZ339" i="8"/>
  <c r="BA339" i="8"/>
  <c r="AY339" i="8"/>
  <c r="AX339" i="8"/>
  <c r="AV339" i="8"/>
  <c r="BA562" i="8"/>
  <c r="AZ562" i="8"/>
  <c r="AX562" i="8"/>
  <c r="AY562" i="8"/>
  <c r="AW562" i="8"/>
  <c r="AV562" i="8"/>
  <c r="AZ326" i="8"/>
  <c r="AW326" i="8"/>
  <c r="AY326" i="8"/>
  <c r="BA326" i="8"/>
  <c r="AX326" i="8"/>
  <c r="AV326" i="8"/>
  <c r="AZ249" i="8"/>
  <c r="AY249" i="8"/>
  <c r="AW249" i="8"/>
  <c r="AX249" i="8"/>
  <c r="BA249" i="8"/>
  <c r="AV249" i="8"/>
  <c r="AW541" i="8"/>
  <c r="BA541" i="8"/>
  <c r="AZ541" i="8"/>
  <c r="AY541" i="8"/>
  <c r="AX541" i="8"/>
  <c r="AV541" i="8"/>
  <c r="AW734" i="8"/>
  <c r="AZ734" i="8"/>
  <c r="AY734" i="8"/>
  <c r="BA734" i="8"/>
  <c r="AX734" i="8"/>
  <c r="AV734" i="8"/>
  <c r="BA18" i="8"/>
  <c r="AY18" i="8"/>
  <c r="AW18" i="8"/>
  <c r="AX18" i="8"/>
  <c r="AZ18" i="8"/>
  <c r="AV18" i="8"/>
  <c r="AW548" i="8"/>
  <c r="BA548" i="8"/>
  <c r="AX548" i="8"/>
  <c r="AY548" i="8"/>
  <c r="AZ548" i="8"/>
  <c r="AV548" i="8"/>
  <c r="AZ511" i="8"/>
  <c r="AY511" i="8"/>
  <c r="AX511" i="8"/>
  <c r="AW511" i="8"/>
  <c r="BA511" i="8"/>
  <c r="AV511" i="8"/>
  <c r="AY42" i="8"/>
  <c r="BA42" i="8"/>
  <c r="AX42" i="8"/>
  <c r="AW42" i="8"/>
  <c r="AZ42" i="8"/>
  <c r="AV42" i="8"/>
  <c r="BA573" i="8"/>
  <c r="AZ573" i="8"/>
  <c r="AY573" i="8"/>
  <c r="AW573" i="8"/>
  <c r="AX573" i="8"/>
  <c r="AV573" i="8"/>
  <c r="AW590" i="8"/>
  <c r="AY590" i="8"/>
  <c r="BA590" i="8"/>
  <c r="AZ590" i="8"/>
  <c r="AX590" i="8"/>
  <c r="AV590" i="8"/>
  <c r="BA412" i="8"/>
  <c r="AZ412" i="8"/>
  <c r="AW412" i="8"/>
  <c r="AY412" i="8"/>
  <c r="AX412" i="8"/>
  <c r="AV412" i="8"/>
  <c r="AX488" i="8"/>
  <c r="BA488" i="8"/>
  <c r="AY488" i="8"/>
  <c r="AZ488" i="8"/>
  <c r="AW488" i="8"/>
  <c r="AV488" i="8"/>
  <c r="AX519" i="8"/>
  <c r="BA519" i="8"/>
  <c r="AZ519" i="8"/>
  <c r="AY519" i="8"/>
  <c r="AW519" i="8"/>
  <c r="AV519" i="8"/>
  <c r="AY513" i="8"/>
  <c r="AW513" i="8"/>
  <c r="AZ513" i="8"/>
  <c r="AX513" i="8"/>
  <c r="BA513" i="8"/>
  <c r="AV513" i="8"/>
  <c r="AZ272" i="8"/>
  <c r="AY272" i="8"/>
  <c r="AX272" i="8"/>
  <c r="AW272" i="8"/>
  <c r="BA272" i="8"/>
  <c r="AV272" i="8"/>
  <c r="AY2" i="8"/>
  <c r="AZ2" i="8"/>
  <c r="BA2" i="8"/>
  <c r="AX2" i="8"/>
  <c r="AW2" i="8"/>
  <c r="AV2" i="8"/>
  <c r="AX330" i="8"/>
  <c r="AW330" i="8"/>
  <c r="BA330" i="8"/>
  <c r="AZ330" i="8"/>
  <c r="AY330" i="8"/>
  <c r="AV330" i="8"/>
  <c r="AY238" i="8"/>
  <c r="AZ238" i="8"/>
  <c r="AW238" i="8"/>
  <c r="BA238" i="8"/>
  <c r="AX238" i="8"/>
  <c r="AV238" i="8"/>
  <c r="AX131" i="8"/>
  <c r="AW131" i="8"/>
  <c r="AY131" i="8"/>
  <c r="BA131" i="8"/>
  <c r="AZ131" i="8"/>
  <c r="AV131" i="8"/>
  <c r="BA557" i="8"/>
  <c r="AZ557" i="8"/>
  <c r="AY557" i="8"/>
  <c r="AX557" i="8"/>
  <c r="AW557" i="8"/>
  <c r="AV557" i="8"/>
  <c r="AV450" i="8"/>
  <c r="AY450" i="8"/>
  <c r="AW450" i="8"/>
  <c r="BA450" i="8"/>
  <c r="AX450" i="8"/>
  <c r="AZ450" i="8"/>
  <c r="AW504" i="8"/>
  <c r="AY504" i="8"/>
  <c r="AZ504" i="8"/>
  <c r="BA504" i="8"/>
  <c r="AX504" i="8"/>
  <c r="AV504" i="8"/>
  <c r="BA126" i="8"/>
  <c r="AY126" i="8"/>
  <c r="AZ126" i="8"/>
  <c r="AW126" i="8"/>
  <c r="AX126" i="8"/>
  <c r="AV126" i="8"/>
  <c r="AX50" i="8"/>
  <c r="AW50" i="8"/>
  <c r="AZ50" i="8"/>
  <c r="AY50" i="8"/>
  <c r="BA50" i="8"/>
  <c r="AV50" i="8"/>
  <c r="BA267" i="8"/>
  <c r="AZ267" i="8"/>
  <c r="AW267" i="8"/>
  <c r="AY267" i="8"/>
  <c r="AX267" i="8"/>
  <c r="AV267" i="8"/>
  <c r="AZ544" i="8"/>
  <c r="AX544" i="8"/>
  <c r="AW544" i="8"/>
  <c r="BA544" i="8"/>
  <c r="AY544" i="8"/>
  <c r="AV544" i="8"/>
  <c r="AW540" i="8"/>
  <c r="AZ540" i="8"/>
  <c r="BA540" i="8"/>
  <c r="AY540" i="8"/>
  <c r="AX540" i="8"/>
  <c r="AV540" i="8"/>
  <c r="AW152" i="8"/>
  <c r="AX152" i="8"/>
  <c r="AY152" i="8"/>
  <c r="BA152" i="8"/>
  <c r="AZ152" i="8"/>
  <c r="AV152" i="8"/>
  <c r="AZ608" i="8"/>
  <c r="BA608" i="8"/>
  <c r="AX608" i="8"/>
  <c r="AY608" i="8"/>
  <c r="AW608" i="8"/>
  <c r="AV608" i="8"/>
  <c r="AW469" i="8"/>
  <c r="AX469" i="8"/>
  <c r="BA469" i="8"/>
  <c r="AY469" i="8"/>
  <c r="AZ469" i="8"/>
  <c r="AV469" i="8"/>
  <c r="BA303" i="8"/>
  <c r="AW303" i="8"/>
  <c r="AZ303" i="8"/>
  <c r="AY303" i="8"/>
  <c r="AX303" i="8"/>
  <c r="AV303" i="8"/>
  <c r="BA555" i="8"/>
  <c r="AY555" i="8"/>
  <c r="AX555" i="8"/>
  <c r="AW555" i="8"/>
  <c r="AZ555" i="8"/>
  <c r="AV555" i="8"/>
  <c r="AY507" i="8"/>
  <c r="AW507" i="8"/>
  <c r="BA507" i="8"/>
  <c r="AZ507" i="8"/>
  <c r="AX507" i="8"/>
  <c r="AV507" i="8"/>
  <c r="BA761" i="8"/>
  <c r="AZ761" i="8"/>
  <c r="AX761" i="8"/>
  <c r="AY761" i="8"/>
  <c r="AW761" i="8"/>
  <c r="AV761" i="8"/>
  <c r="AW563" i="8"/>
  <c r="BA563" i="8"/>
  <c r="AZ563" i="8"/>
  <c r="AY563" i="8"/>
  <c r="AX563" i="8"/>
  <c r="AV563" i="8"/>
  <c r="BA508" i="8"/>
  <c r="AZ508" i="8"/>
  <c r="AY508" i="8"/>
  <c r="AW508" i="8"/>
  <c r="AX508" i="8"/>
  <c r="AV508" i="8"/>
  <c r="AW743" i="8"/>
  <c r="BA743" i="8"/>
  <c r="AY743" i="8"/>
  <c r="AZ743" i="8"/>
  <c r="AX743" i="8"/>
  <c r="AV743" i="8"/>
  <c r="AW202" i="8"/>
  <c r="BA202" i="8"/>
  <c r="AZ202" i="8"/>
  <c r="AX202" i="8"/>
  <c r="AY202" i="8"/>
  <c r="AV202" i="8"/>
  <c r="AY518" i="8"/>
  <c r="AX518" i="8"/>
  <c r="AW518" i="8"/>
  <c r="BA518" i="8"/>
  <c r="AZ518" i="8"/>
  <c r="AV518" i="8"/>
  <c r="AY537" i="8"/>
  <c r="AX537" i="8"/>
  <c r="AW537" i="8"/>
  <c r="BA537" i="8"/>
  <c r="AZ537" i="8"/>
  <c r="AV537" i="8"/>
  <c r="AX642" i="8"/>
  <c r="AW642" i="8"/>
  <c r="BA642" i="8"/>
  <c r="AY642" i="8"/>
  <c r="AZ642" i="8"/>
  <c r="AV642" i="8"/>
  <c r="AX144" i="8"/>
  <c r="BA144" i="8"/>
  <c r="AW144" i="8"/>
  <c r="AZ144" i="8"/>
  <c r="AY144" i="8"/>
  <c r="AV144" i="8"/>
  <c r="BA716" i="8"/>
  <c r="AZ716" i="8"/>
  <c r="AY716" i="8"/>
  <c r="AX716" i="8"/>
  <c r="AW716" i="8"/>
  <c r="AV716" i="8"/>
  <c r="AZ105" i="8"/>
  <c r="BA105" i="8"/>
  <c r="AY105" i="8"/>
  <c r="AX105" i="8"/>
  <c r="AW105" i="8"/>
  <c r="AV105" i="8"/>
  <c r="AX62" i="8"/>
  <c r="AW62" i="8"/>
  <c r="AY62" i="8"/>
  <c r="AZ62" i="8"/>
  <c r="BA62" i="8"/>
  <c r="AV62" i="8"/>
  <c r="AY113" i="8"/>
  <c r="AX113" i="8"/>
  <c r="AW113" i="8"/>
  <c r="BA113" i="8"/>
  <c r="AZ113" i="8"/>
  <c r="AV113" i="8"/>
  <c r="AX162" i="8"/>
  <c r="BA162" i="8"/>
  <c r="AZ162" i="8"/>
  <c r="AW162" i="8"/>
  <c r="AY162" i="8"/>
  <c r="AV162" i="8"/>
  <c r="AY725" i="8"/>
  <c r="AX725" i="8"/>
  <c r="BA725" i="8"/>
  <c r="AZ725" i="8"/>
  <c r="AW725" i="8"/>
  <c r="AV725" i="8"/>
  <c r="BA312" i="8"/>
  <c r="AX312" i="8"/>
  <c r="AZ312" i="8"/>
  <c r="AY312" i="8"/>
  <c r="AW312" i="8"/>
  <c r="AV312" i="8"/>
  <c r="AV522" i="8"/>
  <c r="AW522" i="8"/>
  <c r="AX522" i="8"/>
  <c r="BA522" i="8"/>
  <c r="AZ522" i="8"/>
  <c r="AY522" i="8"/>
  <c r="BA79" i="8"/>
  <c r="AX79" i="8"/>
  <c r="AZ79" i="8"/>
  <c r="AY79" i="8"/>
  <c r="AW79" i="8"/>
  <c r="AV79" i="8"/>
  <c r="AW641" i="8"/>
  <c r="BA641" i="8"/>
  <c r="AY641" i="8"/>
  <c r="AX641" i="8"/>
  <c r="AZ641" i="8"/>
  <c r="AV641" i="8"/>
  <c r="AY256" i="8"/>
  <c r="AX256" i="8"/>
  <c r="BA256" i="8"/>
  <c r="AW256" i="8"/>
  <c r="AZ256" i="8"/>
  <c r="AV256" i="8"/>
  <c r="AW559" i="8"/>
  <c r="AZ559" i="8"/>
  <c r="AY559" i="8"/>
  <c r="BA559" i="8"/>
  <c r="AX559" i="8"/>
  <c r="AV559" i="8"/>
  <c r="AY172" i="8"/>
  <c r="AX172" i="8"/>
  <c r="AW172" i="8"/>
  <c r="BA172" i="8"/>
  <c r="AZ172" i="8"/>
  <c r="AV172" i="8"/>
  <c r="BA118" i="8"/>
  <c r="AX118" i="8"/>
  <c r="AZ118" i="8"/>
  <c r="AW118" i="8"/>
  <c r="AY118" i="8"/>
  <c r="AV118" i="8"/>
  <c r="AZ659" i="8"/>
  <c r="AY659" i="8"/>
  <c r="AW659" i="8"/>
  <c r="BA659" i="8"/>
  <c r="AX659" i="8"/>
  <c r="AV659" i="8"/>
  <c r="BA529" i="8"/>
  <c r="AZ529" i="8"/>
  <c r="AY529" i="8"/>
  <c r="AW529" i="8"/>
  <c r="AX529" i="8"/>
  <c r="AV529" i="8"/>
  <c r="AY310" i="8"/>
  <c r="AX310" i="8"/>
  <c r="BA310" i="8"/>
  <c r="AW310" i="8"/>
  <c r="AZ310" i="8"/>
  <c r="AV310" i="8"/>
  <c r="AX240" i="8"/>
  <c r="BA240" i="8"/>
  <c r="AZ240" i="8"/>
  <c r="AW240" i="8"/>
  <c r="AY240" i="8"/>
  <c r="AV240" i="8"/>
  <c r="AW236" i="8"/>
  <c r="AZ236" i="8"/>
  <c r="AY236" i="8"/>
  <c r="AX236" i="8"/>
  <c r="BA236" i="8"/>
  <c r="AV236" i="8"/>
  <c r="AZ500" i="8"/>
  <c r="AW500" i="8"/>
  <c r="AY500" i="8"/>
  <c r="AX500" i="8"/>
  <c r="BA500" i="8"/>
  <c r="AV500" i="8"/>
  <c r="AW535" i="8"/>
  <c r="AX535" i="8"/>
  <c r="AZ535" i="8"/>
  <c r="AY535" i="8"/>
  <c r="BA535" i="8"/>
  <c r="AV535" i="8"/>
  <c r="AY87" i="8"/>
  <c r="AW87" i="8"/>
  <c r="BA87" i="8"/>
  <c r="AX87" i="8"/>
  <c r="AZ87" i="8"/>
  <c r="AV87" i="8"/>
  <c r="BA624" i="8"/>
  <c r="AZ624" i="8"/>
  <c r="AY624" i="8"/>
  <c r="AW624" i="8"/>
  <c r="AX624" i="8"/>
  <c r="AV624" i="8"/>
  <c r="AW258" i="8"/>
  <c r="BA258" i="8"/>
  <c r="AZ258" i="8"/>
  <c r="AY258" i="8"/>
  <c r="AX258" i="8"/>
  <c r="AV258" i="8"/>
  <c r="AY38" i="8"/>
  <c r="AX38" i="8"/>
  <c r="AW38" i="8"/>
  <c r="AZ38" i="8"/>
  <c r="BA38" i="8"/>
  <c r="AV38" i="8"/>
  <c r="BA752" i="8"/>
  <c r="AZ752" i="8"/>
  <c r="AY752" i="8"/>
  <c r="AX752" i="8"/>
  <c r="AW752" i="8"/>
  <c r="AV752" i="8"/>
  <c r="AY328" i="8"/>
  <c r="AX328" i="8"/>
  <c r="BA328" i="8"/>
  <c r="AW328" i="8"/>
  <c r="AZ328" i="8"/>
  <c r="AV328" i="8"/>
  <c r="AX285" i="8"/>
  <c r="BA285" i="8"/>
  <c r="AZ285" i="8"/>
  <c r="AY285" i="8"/>
  <c r="AW285" i="8"/>
  <c r="AV285" i="8"/>
  <c r="AZ276" i="8"/>
  <c r="AY276" i="8"/>
  <c r="AX276" i="8"/>
  <c r="AW276" i="8"/>
  <c r="BA276" i="8"/>
  <c r="AV276" i="8"/>
  <c r="AZ424" i="8"/>
  <c r="AY424" i="8"/>
  <c r="AW424" i="8"/>
  <c r="AX424" i="8"/>
  <c r="BA424" i="8"/>
  <c r="AV424" i="8"/>
  <c r="AZ552" i="8"/>
  <c r="AY552" i="8"/>
  <c r="AW552" i="8"/>
  <c r="AX552" i="8"/>
  <c r="BA552" i="8"/>
  <c r="AV552" i="8"/>
  <c r="AY515" i="8"/>
  <c r="AZ515" i="8"/>
  <c r="AX515" i="8"/>
  <c r="BA515" i="8"/>
  <c r="AW515" i="8"/>
  <c r="AV515" i="8"/>
  <c r="AX625" i="8"/>
  <c r="AZ625" i="8"/>
  <c r="AY625" i="8"/>
  <c r="AW625" i="8"/>
  <c r="BA625" i="8"/>
  <c r="AV625" i="8"/>
  <c r="BA551" i="8"/>
  <c r="AY551" i="8"/>
  <c r="AZ551" i="8"/>
  <c r="AX551" i="8"/>
  <c r="AW551" i="8"/>
  <c r="AV551" i="8"/>
  <c r="AY66" i="8"/>
  <c r="BA66" i="8"/>
  <c r="AX66" i="8"/>
  <c r="AW66" i="8"/>
  <c r="AZ66" i="8"/>
  <c r="AV66" i="8"/>
  <c r="BA321" i="8"/>
  <c r="AX321" i="8"/>
  <c r="AW321" i="8"/>
  <c r="AY321" i="8"/>
  <c r="AZ321" i="8"/>
  <c r="AV321" i="8"/>
  <c r="AW294" i="8"/>
  <c r="AY294" i="8"/>
  <c r="AX294" i="8"/>
  <c r="AZ294" i="8"/>
  <c r="BA294" i="8"/>
  <c r="AV294" i="8"/>
  <c r="BA182" i="8"/>
  <c r="AZ182" i="8"/>
  <c r="AY182" i="8"/>
  <c r="AX182" i="8"/>
  <c r="AW182" i="8"/>
  <c r="AV182" i="8"/>
  <c r="AZ526" i="8"/>
  <c r="AX526" i="8"/>
  <c r="AW526" i="8"/>
  <c r="BA526" i="8"/>
  <c r="AY526" i="8"/>
  <c r="AV526" i="8"/>
  <c r="AX481" i="8"/>
  <c r="AY481" i="8"/>
  <c r="AW481" i="8"/>
  <c r="BA481" i="8"/>
  <c r="AZ481" i="8"/>
  <c r="AV481" i="8"/>
  <c r="BA26" i="8"/>
  <c r="AX26" i="8"/>
  <c r="AW26" i="8"/>
  <c r="AZ26" i="8"/>
  <c r="AY26" i="8"/>
  <c r="AV26" i="8"/>
  <c r="AZ546" i="8"/>
  <c r="BA546" i="8"/>
  <c r="AY546" i="8"/>
  <c r="AW546" i="8"/>
  <c r="AX546" i="8"/>
  <c r="AV546" i="8"/>
  <c r="AV530" i="8"/>
  <c r="AZ530" i="8"/>
  <c r="AY530" i="8"/>
  <c r="AW530" i="8"/>
  <c r="BA530" i="8"/>
  <c r="AX530" i="8"/>
  <c r="AY386" i="8"/>
  <c r="AW386" i="8"/>
  <c r="AZ386" i="8"/>
  <c r="AX386" i="8"/>
  <c r="BA386" i="8"/>
  <c r="AV386" i="8"/>
  <c r="AX30" i="8"/>
  <c r="AZ30" i="8"/>
  <c r="AY30" i="8"/>
  <c r="BA30" i="8"/>
  <c r="AW30" i="8"/>
  <c r="AV30" i="8"/>
  <c r="AZ393" i="8"/>
  <c r="AY393" i="8"/>
  <c r="AW393" i="8"/>
  <c r="BA393" i="8"/>
  <c r="AX393" i="8"/>
  <c r="AV393" i="8"/>
  <c r="AZ92" i="8"/>
  <c r="BA92" i="8"/>
  <c r="AX92" i="8"/>
  <c r="AY92" i="8"/>
  <c r="AW92" i="8"/>
  <c r="AV92" i="8"/>
  <c r="AW274" i="8"/>
  <c r="AY274" i="8"/>
  <c r="BA274" i="8"/>
  <c r="AX274" i="8"/>
  <c r="AZ274" i="8"/>
  <c r="AV274" i="8"/>
  <c r="AY462" i="8"/>
  <c r="AW462" i="8"/>
  <c r="BA462" i="8"/>
  <c r="AX462" i="8"/>
  <c r="AZ462" i="8"/>
  <c r="AV462" i="8"/>
  <c r="BA14" i="8"/>
  <c r="AY14" i="8"/>
  <c r="AW14" i="8"/>
  <c r="AX14" i="8"/>
  <c r="AZ14" i="8"/>
  <c r="AV14" i="8"/>
  <c r="AW574" i="8"/>
  <c r="BA574" i="8"/>
  <c r="AZ574" i="8"/>
  <c r="AY574" i="8"/>
  <c r="AX574" i="8"/>
  <c r="AV574" i="8"/>
  <c r="AX502" i="8"/>
  <c r="AZ502" i="8"/>
  <c r="AY502" i="8"/>
  <c r="AW502" i="8"/>
  <c r="BA502" i="8"/>
  <c r="AV502" i="8"/>
  <c r="BA607" i="8"/>
  <c r="AZ607" i="8"/>
  <c r="AY607" i="8"/>
  <c r="AX607" i="8"/>
  <c r="AW607" i="8"/>
  <c r="AV607" i="8"/>
  <c r="AZ405" i="8"/>
  <c r="AW405" i="8"/>
  <c r="AY405" i="8"/>
  <c r="AX405" i="8"/>
  <c r="BA405" i="8"/>
  <c r="AV405" i="8"/>
  <c r="AZ308" i="8"/>
  <c r="AY308" i="8"/>
  <c r="AW308" i="8"/>
  <c r="AX308" i="8"/>
  <c r="BA308" i="8"/>
  <c r="AV308" i="8"/>
  <c r="AZ100" i="8"/>
  <c r="BA100" i="8"/>
  <c r="AY100" i="8"/>
  <c r="AW100" i="8"/>
  <c r="AX100" i="8"/>
  <c r="AV100" i="8"/>
  <c r="BA139" i="8"/>
  <c r="AY139" i="8"/>
  <c r="AW139" i="8"/>
  <c r="AZ139" i="8"/>
  <c r="AX139" i="8"/>
  <c r="AV139" i="8"/>
  <c r="BA431" i="8"/>
  <c r="AY431" i="8"/>
  <c r="AX431" i="8"/>
  <c r="AZ431" i="8"/>
  <c r="AW431" i="8"/>
  <c r="AV431" i="8"/>
  <c r="BA54" i="8"/>
  <c r="AW54" i="8"/>
  <c r="AX54" i="8"/>
  <c r="AZ54" i="8"/>
  <c r="AY54" i="8"/>
  <c r="AV54" i="8"/>
  <c r="AZ524" i="8"/>
  <c r="AX524" i="8"/>
  <c r="AW524" i="8"/>
  <c r="BA524" i="8"/>
  <c r="AY524" i="8"/>
  <c r="AV524" i="8"/>
  <c r="AV290" i="8"/>
  <c r="BA290" i="8"/>
  <c r="AZ290" i="8"/>
  <c r="AX290" i="8"/>
  <c r="AY290" i="8"/>
  <c r="AW290" i="8"/>
  <c r="AZ292" i="8"/>
  <c r="AY292" i="8"/>
  <c r="AW292" i="8"/>
  <c r="AX292" i="8"/>
  <c r="BA292" i="8"/>
  <c r="AV292" i="8"/>
  <c r="AW192" i="8"/>
  <c r="BA192" i="8"/>
  <c r="AZ192" i="8"/>
  <c r="AY192" i="8"/>
  <c r="AX192" i="8"/>
  <c r="AV192" i="8"/>
  <c r="I11" i="5"/>
  <c r="T11" i="5" s="1"/>
  <c r="I15" i="5"/>
  <c r="T15" i="5" s="1"/>
  <c r="I19" i="5"/>
  <c r="T19" i="5" s="1"/>
  <c r="I18" i="5"/>
  <c r="T18" i="5" s="1"/>
  <c r="AV30" i="1"/>
  <c r="AX30" i="1"/>
  <c r="I23" i="5"/>
  <c r="T23" i="5" s="1"/>
  <c r="BA151" i="1"/>
  <c r="I14" i="5"/>
  <c r="T14" i="5" s="1"/>
  <c r="I22" i="5"/>
  <c r="T22" i="5" s="1"/>
  <c r="I25" i="5"/>
  <c r="T25" i="5" s="1"/>
  <c r="I17" i="5"/>
  <c r="T17" i="5" s="1"/>
  <c r="I13" i="5"/>
  <c r="T13" i="5" s="1"/>
  <c r="I26" i="5"/>
  <c r="T26" i="5" s="1"/>
  <c r="I20" i="5"/>
  <c r="T20" i="5" s="1"/>
  <c r="I24" i="5"/>
  <c r="T24" i="5" s="1"/>
  <c r="I16" i="5"/>
  <c r="T16" i="5" s="1"/>
  <c r="I12" i="5"/>
  <c r="BA74" i="1"/>
  <c r="AX92" i="1"/>
  <c r="BA14" i="1"/>
  <c r="AV125" i="1"/>
  <c r="AV35" i="1"/>
  <c r="AV25" i="1"/>
  <c r="BA25" i="1"/>
  <c r="AV197" i="1"/>
  <c r="AZ716" i="1"/>
  <c r="AX35" i="1"/>
  <c r="AX47" i="1"/>
  <c r="AY197" i="1"/>
  <c r="BA716" i="1"/>
  <c r="AW716" i="1"/>
  <c r="AX25" i="1"/>
  <c r="AX125" i="1"/>
  <c r="AX716" i="1"/>
  <c r="AY25" i="1"/>
  <c r="AZ25" i="1"/>
  <c r="AV716" i="1"/>
  <c r="AV37" i="1"/>
  <c r="AZ37" i="1"/>
  <c r="AV138" i="1"/>
  <c r="AZ79" i="1"/>
  <c r="AX233" i="1"/>
  <c r="AZ743" i="1"/>
  <c r="AV148" i="1"/>
  <c r="AY148" i="1"/>
  <c r="AV14" i="1"/>
  <c r="AV134" i="1"/>
  <c r="AX14" i="1"/>
  <c r="AZ148" i="1"/>
  <c r="AZ14" i="1"/>
  <c r="AV752" i="1"/>
  <c r="BA148" i="1"/>
  <c r="AY14" i="1"/>
  <c r="AX148" i="1"/>
  <c r="AZ219" i="1"/>
  <c r="AX752" i="1"/>
  <c r="AZ752" i="1"/>
  <c r="BA752" i="1"/>
  <c r="AY161" i="1"/>
  <c r="AW752" i="1"/>
  <c r="AY202" i="1"/>
  <c r="AX151" i="1"/>
  <c r="BA71" i="1"/>
  <c r="AZ30" i="1"/>
  <c r="AV151" i="1"/>
  <c r="AY30" i="1"/>
  <c r="AY151" i="1"/>
  <c r="AZ151" i="1"/>
  <c r="C142" i="3"/>
  <c r="I10" i="5"/>
  <c r="T10" i="5" s="1"/>
  <c r="AZ42" i="1"/>
  <c r="AZ74" i="1"/>
  <c r="AV6" i="1"/>
  <c r="AY58" i="1"/>
  <c r="BA58" i="1"/>
  <c r="AY6" i="1"/>
  <c r="AV224" i="1"/>
  <c r="BA6" i="1"/>
  <c r="AY42" i="1"/>
  <c r="BA743" i="1"/>
  <c r="I21" i="5"/>
  <c r="T21" i="5" s="1"/>
  <c r="AY743" i="1"/>
  <c r="AX743" i="1"/>
  <c r="AZ54" i="1"/>
  <c r="AV743" i="1"/>
  <c r="AW761" i="1"/>
  <c r="AZ58" i="1"/>
  <c r="AX6" i="1"/>
  <c r="AV58" i="1"/>
  <c r="BA224" i="1"/>
  <c r="AZ6" i="1"/>
  <c r="AX58" i="1"/>
  <c r="AV74" i="1"/>
  <c r="AZ224" i="1"/>
  <c r="AX138" i="1"/>
  <c r="AY734" i="1"/>
  <c r="AV167" i="1"/>
  <c r="AY212" i="1"/>
  <c r="AY167" i="1"/>
  <c r="AV734" i="1"/>
  <c r="BA136" i="1"/>
  <c r="AZ734" i="1"/>
  <c r="AX734" i="1"/>
  <c r="BA734" i="1"/>
  <c r="AX211" i="1"/>
  <c r="AV79" i="1"/>
  <c r="AY79" i="1"/>
  <c r="AX79" i="1"/>
  <c r="BA79" i="1"/>
  <c r="AY37" i="1"/>
  <c r="AZ167" i="1"/>
  <c r="AX176" i="1"/>
  <c r="AZ195" i="1"/>
  <c r="AX212" i="1"/>
  <c r="BA37" i="1"/>
  <c r="AX167" i="1"/>
  <c r="BA176" i="1"/>
  <c r="AV234" i="1"/>
  <c r="AX37" i="1"/>
  <c r="BA167" i="1"/>
  <c r="BA234" i="1"/>
  <c r="AZ138" i="1"/>
  <c r="AY234" i="1"/>
  <c r="AV212" i="1"/>
  <c r="AV191" i="1"/>
  <c r="AX234" i="1"/>
  <c r="AY138" i="1"/>
  <c r="AZ175" i="1"/>
  <c r="BA212" i="1"/>
  <c r="BA138" i="1"/>
  <c r="AV211" i="1"/>
  <c r="AV161" i="1"/>
  <c r="AZ212" i="1"/>
  <c r="BA92" i="1"/>
  <c r="BA207" i="1"/>
  <c r="AZ92" i="1"/>
  <c r="AY207" i="1"/>
  <c r="AY92" i="1"/>
  <c r="AV207" i="1"/>
  <c r="AZ207" i="1"/>
  <c r="AV92" i="1"/>
  <c r="AX207" i="1"/>
  <c r="AX71" i="1"/>
  <c r="AV83" i="1"/>
  <c r="AZ83" i="1"/>
  <c r="AV84" i="1"/>
  <c r="AX18" i="1"/>
  <c r="AY71" i="1"/>
  <c r="AV71" i="1"/>
  <c r="AX165" i="1"/>
  <c r="AX217" i="1"/>
  <c r="BA83" i="1"/>
  <c r="AZ71" i="1"/>
  <c r="AY761" i="1"/>
  <c r="BA54" i="1"/>
  <c r="AV761" i="1"/>
  <c r="AZ761" i="1"/>
  <c r="AY54" i="1"/>
  <c r="AV54" i="1"/>
  <c r="BA761" i="1"/>
  <c r="AX54" i="1"/>
  <c r="AZ84" i="1"/>
  <c r="BA214" i="1"/>
  <c r="AY157" i="1"/>
  <c r="AZ157" i="1"/>
  <c r="AV126" i="1"/>
  <c r="AY84" i="1"/>
  <c r="AX84" i="1"/>
  <c r="BA126" i="1"/>
  <c r="BA84" i="1"/>
  <c r="BA156" i="1"/>
  <c r="BA95" i="1"/>
  <c r="AY156" i="1"/>
  <c r="AY18" i="1"/>
  <c r="AX136" i="1"/>
  <c r="BA211" i="1"/>
  <c r="AX195" i="1"/>
  <c r="AZ161" i="1"/>
  <c r="AZ18" i="1"/>
  <c r="AY211" i="1"/>
  <c r="AX161" i="1"/>
  <c r="AZ211" i="1"/>
  <c r="BA161" i="1"/>
  <c r="AV136" i="1"/>
  <c r="BA191" i="1"/>
  <c r="AV195" i="1"/>
  <c r="AY136" i="1"/>
  <c r="BA195" i="1"/>
  <c r="AV18" i="1"/>
  <c r="AX83" i="1"/>
  <c r="BA18" i="1"/>
  <c r="AV61" i="1"/>
  <c r="AY83" i="1"/>
  <c r="AZ136" i="1"/>
  <c r="BA231" i="1"/>
  <c r="AY195" i="1"/>
  <c r="BA197" i="1"/>
  <c r="AY47" i="1"/>
  <c r="AY125" i="1"/>
  <c r="AY95" i="1"/>
  <c r="AZ125" i="1"/>
  <c r="AZ197" i="1"/>
  <c r="BA125" i="1"/>
  <c r="AX197" i="1"/>
  <c r="AY35" i="1"/>
  <c r="AV47" i="1"/>
  <c r="AZ35" i="1"/>
  <c r="BA47" i="1"/>
  <c r="BA35" i="1"/>
  <c r="AZ47" i="1"/>
  <c r="AX61" i="1"/>
  <c r="AX185" i="1"/>
  <c r="AX70" i="1"/>
  <c r="AY74" i="1"/>
  <c r="AV22" i="1"/>
  <c r="AX22" i="1"/>
  <c r="AY70" i="1"/>
  <c r="AX74" i="1"/>
  <c r="AV233" i="1"/>
  <c r="AX224" i="1"/>
  <c r="AY224" i="1"/>
  <c r="AZ22" i="1"/>
  <c r="AV42" i="1"/>
  <c r="BA233" i="1"/>
  <c r="BA42" i="1"/>
  <c r="AZ233" i="1"/>
  <c r="AV185" i="1"/>
  <c r="AY22" i="1"/>
  <c r="BA22" i="1"/>
  <c r="AX42" i="1"/>
  <c r="AY233" i="1"/>
  <c r="AZ185" i="1"/>
  <c r="BA49" i="1"/>
  <c r="AY134" i="1"/>
  <c r="E95" i="3"/>
  <c r="AV70" i="1"/>
  <c r="AV82" i="1"/>
  <c r="AZ70" i="1"/>
  <c r="AV175" i="1"/>
  <c r="BA70" i="1"/>
  <c r="AZ135" i="1"/>
  <c r="AV113" i="1"/>
  <c r="AY112" i="1"/>
  <c r="BA23" i="1"/>
  <c r="AY105" i="1"/>
  <c r="BA118" i="1"/>
  <c r="AY176" i="1"/>
  <c r="AY118" i="1"/>
  <c r="AV228" i="1"/>
  <c r="BA175" i="1"/>
  <c r="BA216" i="1"/>
  <c r="AV216" i="1"/>
  <c r="BA228" i="1"/>
  <c r="AY175" i="1"/>
  <c r="AZ216" i="1"/>
  <c r="AV217" i="1"/>
  <c r="AX175" i="1"/>
  <c r="AZ202" i="1"/>
  <c r="AZ228" i="1"/>
  <c r="AY216" i="1"/>
  <c r="BA217" i="1"/>
  <c r="AV73" i="1"/>
  <c r="AY228" i="1"/>
  <c r="AX216" i="1"/>
  <c r="AV176" i="1"/>
  <c r="AZ217" i="1"/>
  <c r="AX73" i="1"/>
  <c r="AX228" i="1"/>
  <c r="AZ176" i="1"/>
  <c r="BA202" i="1"/>
  <c r="AY217" i="1"/>
  <c r="AZ73" i="1"/>
  <c r="AX202" i="1"/>
  <c r="AZ23" i="1"/>
  <c r="AZ113" i="1"/>
  <c r="BA82" i="1"/>
  <c r="AZ112" i="1"/>
  <c r="BA113" i="1"/>
  <c r="AX23" i="1"/>
  <c r="AX135" i="1"/>
  <c r="AY23" i="1"/>
  <c r="AZ144" i="1"/>
  <c r="AX82" i="1"/>
  <c r="AZ201" i="1"/>
  <c r="C58" i="3"/>
  <c r="AX112" i="1"/>
  <c r="AX113" i="1"/>
  <c r="AZ61" i="1"/>
  <c r="AY73" i="1"/>
  <c r="AV49" i="1"/>
  <c r="BA144" i="1"/>
  <c r="AY113" i="1"/>
  <c r="AY82" i="1"/>
  <c r="AX201" i="1"/>
  <c r="AV186" i="1"/>
  <c r="BA185" i="1"/>
  <c r="AV144" i="1"/>
  <c r="BA73" i="1"/>
  <c r="AZ49" i="1"/>
  <c r="AX144" i="1"/>
  <c r="BA201" i="1"/>
  <c r="AX186" i="1"/>
  <c r="AY185" i="1"/>
  <c r="AV202" i="1"/>
  <c r="AZ82" i="1"/>
  <c r="BA112" i="1"/>
  <c r="AV135" i="1"/>
  <c r="AY201" i="1"/>
  <c r="BA186" i="1"/>
  <c r="BA135" i="1"/>
  <c r="AY144" i="1"/>
  <c r="AV201" i="1"/>
  <c r="AV23" i="1"/>
  <c r="AY135" i="1"/>
  <c r="AV112" i="1"/>
  <c r="AZ57" i="1"/>
  <c r="AY219" i="1"/>
  <c r="AX126" i="1"/>
  <c r="AZ214" i="1"/>
  <c r="AX131" i="1"/>
  <c r="AX156" i="1"/>
  <c r="D100" i="3"/>
  <c r="AZ126" i="1"/>
  <c r="AZ131" i="1"/>
  <c r="AX214" i="1"/>
  <c r="BA110" i="1"/>
  <c r="AV165" i="1"/>
  <c r="AX110" i="1"/>
  <c r="BA165" i="1"/>
  <c r="AV219" i="1"/>
  <c r="AV131" i="1"/>
  <c r="AZ156" i="1"/>
  <c r="AX157" i="1"/>
  <c r="AY126" i="1"/>
  <c r="AY214" i="1"/>
  <c r="AY110" i="1"/>
  <c r="AY165" i="1"/>
  <c r="AX219" i="1"/>
  <c r="AV215" i="1"/>
  <c r="AZ110" i="1"/>
  <c r="AZ165" i="1"/>
  <c r="AV156" i="1"/>
  <c r="BA219" i="1"/>
  <c r="BA215" i="1"/>
  <c r="BA157" i="1"/>
  <c r="AZ215" i="1"/>
  <c r="AV205" i="1"/>
  <c r="C73" i="3"/>
  <c r="D73" i="3" s="1"/>
  <c r="E73" i="3" s="1"/>
  <c r="F73" i="3" s="1"/>
  <c r="G73" i="3" s="1"/>
  <c r="H73" i="3" s="1"/>
  <c r="I73" i="3" s="1"/>
  <c r="J73" i="3" s="1"/>
  <c r="K73" i="3" s="1"/>
  <c r="L73" i="3" s="1"/>
  <c r="BA131" i="1"/>
  <c r="AV222" i="1"/>
  <c r="AY215" i="1"/>
  <c r="BA57" i="1"/>
  <c r="AZ231" i="1"/>
  <c r="AY231" i="1"/>
  <c r="AX231" i="1"/>
  <c r="C76" i="3"/>
  <c r="D76" i="3" s="1"/>
  <c r="E76" i="3" s="1"/>
  <c r="F76" i="3" s="1"/>
  <c r="G76" i="3" s="1"/>
  <c r="H76" i="3" s="1"/>
  <c r="I76" i="3" s="1"/>
  <c r="J76" i="3" s="1"/>
  <c r="K76" i="3" s="1"/>
  <c r="L76" i="3" s="1"/>
  <c r="AY131" i="1"/>
  <c r="AZ222" i="1"/>
  <c r="AX215" i="1"/>
  <c r="AV157" i="1"/>
  <c r="AY99" i="1"/>
  <c r="AX57" i="1"/>
  <c r="AV110" i="1"/>
  <c r="AV214" i="1"/>
  <c r="AV231" i="1"/>
  <c r="AV155" i="1"/>
  <c r="AV230" i="1"/>
  <c r="C18" i="3"/>
  <c r="BA155" i="1"/>
  <c r="AZ221" i="1"/>
  <c r="AX155" i="1"/>
  <c r="C92" i="3"/>
  <c r="C101" i="3" s="1"/>
  <c r="AV59" i="1"/>
  <c r="BA61" i="1"/>
  <c r="AX49" i="1"/>
  <c r="AZ105" i="1"/>
  <c r="AX134" i="1"/>
  <c r="AX95" i="1"/>
  <c r="AZ191" i="1"/>
  <c r="AY186" i="1"/>
  <c r="AY61" i="1"/>
  <c r="AY49" i="1"/>
  <c r="BA105" i="1"/>
  <c r="BA134" i="1"/>
  <c r="AX191" i="1"/>
  <c r="AZ186" i="1"/>
  <c r="AZ134" i="1"/>
  <c r="AY191" i="1"/>
  <c r="BA30" i="1"/>
  <c r="AV95" i="1"/>
  <c r="AZ95" i="1"/>
  <c r="BA230" i="1"/>
  <c r="BA205" i="1"/>
  <c r="AY221" i="1"/>
  <c r="E96" i="3"/>
  <c r="E138" i="3" s="1"/>
  <c r="AZ230" i="1"/>
  <c r="AZ205" i="1"/>
  <c r="AX221" i="1"/>
  <c r="AY230" i="1"/>
  <c r="C75" i="3"/>
  <c r="D75" i="3" s="1"/>
  <c r="E75" i="3" s="1"/>
  <c r="F75" i="3" s="1"/>
  <c r="G75" i="3" s="1"/>
  <c r="H75" i="3" s="1"/>
  <c r="I75" i="3" s="1"/>
  <c r="J75" i="3" s="1"/>
  <c r="K75" i="3" s="1"/>
  <c r="L75" i="3" s="1"/>
  <c r="C74" i="3"/>
  <c r="D74" i="3" s="1"/>
  <c r="E74" i="3" s="1"/>
  <c r="F74" i="3" s="1"/>
  <c r="G74" i="3" s="1"/>
  <c r="H74" i="3" s="1"/>
  <c r="I74" i="3" s="1"/>
  <c r="J74" i="3" s="1"/>
  <c r="K74" i="3" s="1"/>
  <c r="L74" i="3" s="1"/>
  <c r="AY155" i="1"/>
  <c r="AV221" i="1"/>
  <c r="AZ155" i="1"/>
  <c r="BA221" i="1"/>
  <c r="AZ162" i="1"/>
  <c r="AV21" i="1"/>
  <c r="AY21" i="1"/>
  <c r="BA222" i="1"/>
  <c r="AX230" i="1"/>
  <c r="AY205" i="1"/>
  <c r="BA21" i="1"/>
  <c r="AX21" i="1"/>
  <c r="AY222" i="1"/>
  <c r="AX205" i="1"/>
  <c r="AZ21" i="1"/>
  <c r="AX222" i="1"/>
  <c r="AX162" i="1"/>
  <c r="AY46" i="1"/>
  <c r="AY122" i="1"/>
  <c r="C72" i="3"/>
  <c r="AZ118" i="1"/>
  <c r="BA45" i="1"/>
  <c r="BA139" i="1"/>
  <c r="AZ38" i="1"/>
  <c r="AX45" i="1"/>
  <c r="AY38" i="1"/>
  <c r="AZ45" i="1"/>
  <c r="AV118" i="1"/>
  <c r="AX118" i="1"/>
  <c r="AX181" i="1"/>
  <c r="AZ13" i="1"/>
  <c r="AY149" i="1"/>
  <c r="AZ566" i="1"/>
  <c r="AY566" i="1"/>
  <c r="AX566" i="1"/>
  <c r="AW566" i="1"/>
  <c r="BA566" i="1"/>
  <c r="AV566" i="1"/>
  <c r="AX642" i="1"/>
  <c r="AW642" i="1"/>
  <c r="BA642" i="1"/>
  <c r="AZ642" i="1"/>
  <c r="AY642" i="1"/>
  <c r="AV642" i="1"/>
  <c r="AW592" i="1"/>
  <c r="BA592" i="1"/>
  <c r="AZ592" i="1"/>
  <c r="AY592" i="1"/>
  <c r="AX592" i="1"/>
  <c r="AV592" i="1"/>
  <c r="AW616" i="1"/>
  <c r="BA616" i="1"/>
  <c r="AZ616" i="1"/>
  <c r="AY616" i="1"/>
  <c r="AX616" i="1"/>
  <c r="AV616" i="1"/>
  <c r="AX603" i="1"/>
  <c r="AW603" i="1"/>
  <c r="BA603" i="1"/>
  <c r="AZ603" i="1"/>
  <c r="AY603" i="1"/>
  <c r="AV603" i="1"/>
  <c r="AZ623" i="1"/>
  <c r="AY623" i="1"/>
  <c r="BA623" i="1"/>
  <c r="AW623" i="1"/>
  <c r="AX623" i="1"/>
  <c r="AV623" i="1"/>
  <c r="AX578" i="1"/>
  <c r="AW578" i="1"/>
  <c r="BA578" i="1"/>
  <c r="AZ578" i="1"/>
  <c r="AY578" i="1"/>
  <c r="AV578" i="1"/>
  <c r="AY573" i="1"/>
  <c r="AW573" i="1"/>
  <c r="AZ573" i="1"/>
  <c r="BA573" i="1"/>
  <c r="AX573" i="1"/>
  <c r="AV573" i="1"/>
  <c r="AW584" i="1"/>
  <c r="BA584" i="1"/>
  <c r="AZ584" i="1"/>
  <c r="AY584" i="1"/>
  <c r="AX584" i="1"/>
  <c r="AV584" i="1"/>
  <c r="AW585" i="1"/>
  <c r="BA585" i="1"/>
  <c r="AZ585" i="1"/>
  <c r="AX585" i="1"/>
  <c r="AY585" i="1"/>
  <c r="AV585" i="1"/>
  <c r="AX650" i="1"/>
  <c r="AW650" i="1"/>
  <c r="BA650" i="1"/>
  <c r="AZ650" i="1"/>
  <c r="AY650" i="1"/>
  <c r="AV650" i="1"/>
  <c r="AY652" i="1"/>
  <c r="AX652" i="1"/>
  <c r="AW652" i="1"/>
  <c r="AZ652" i="1"/>
  <c r="BA652" i="1"/>
  <c r="AV652" i="1"/>
  <c r="AZ638" i="1"/>
  <c r="AY638" i="1"/>
  <c r="AX638" i="1"/>
  <c r="AW638" i="1"/>
  <c r="BA638" i="1"/>
  <c r="AV638" i="1"/>
  <c r="AY596" i="1"/>
  <c r="AX596" i="1"/>
  <c r="AW596" i="1"/>
  <c r="AZ596" i="1"/>
  <c r="BA596" i="1"/>
  <c r="AV596" i="1"/>
  <c r="AZ574" i="1"/>
  <c r="AY574" i="1"/>
  <c r="AX574" i="1"/>
  <c r="AW574" i="1"/>
  <c r="BA574" i="1"/>
  <c r="AV574" i="1"/>
  <c r="AX595" i="1"/>
  <c r="AW595" i="1"/>
  <c r="BA595" i="1"/>
  <c r="AY595" i="1"/>
  <c r="AZ595" i="1"/>
  <c r="AV595" i="1"/>
  <c r="AY620" i="1"/>
  <c r="AX620" i="1"/>
  <c r="AW620" i="1"/>
  <c r="AZ620" i="1"/>
  <c r="BA620" i="1"/>
  <c r="AV620" i="1"/>
  <c r="AY581" i="1"/>
  <c r="AZ581" i="1"/>
  <c r="BA581" i="1"/>
  <c r="AW581" i="1"/>
  <c r="AX581" i="1"/>
  <c r="AV581" i="1"/>
  <c r="AZ647" i="1"/>
  <c r="AY647" i="1"/>
  <c r="BA647" i="1"/>
  <c r="AW647" i="1"/>
  <c r="AX647" i="1"/>
  <c r="AV647" i="1"/>
  <c r="AX586" i="1"/>
  <c r="AW586" i="1"/>
  <c r="BA586" i="1"/>
  <c r="AZ586" i="1"/>
  <c r="AY586" i="1"/>
  <c r="AV586" i="1"/>
  <c r="AX618" i="1"/>
  <c r="AW618" i="1"/>
  <c r="BA618" i="1"/>
  <c r="AZ618" i="1"/>
  <c r="AY618" i="1"/>
  <c r="AV618" i="1"/>
  <c r="AX659" i="1"/>
  <c r="AW659" i="1"/>
  <c r="BA659" i="1"/>
  <c r="AY659" i="1"/>
  <c r="AZ659" i="1"/>
  <c r="AV659" i="1"/>
  <c r="AY589" i="1"/>
  <c r="AZ589" i="1"/>
  <c r="AW589" i="1"/>
  <c r="BA589" i="1"/>
  <c r="AX589" i="1"/>
  <c r="AV589" i="1"/>
  <c r="AW649" i="1"/>
  <c r="BA649" i="1"/>
  <c r="AZ649" i="1"/>
  <c r="AX649" i="1"/>
  <c r="AY649" i="1"/>
  <c r="AV649" i="1"/>
  <c r="AX570" i="1"/>
  <c r="AW570" i="1"/>
  <c r="BA570" i="1"/>
  <c r="AZ570" i="1"/>
  <c r="AY570" i="1"/>
  <c r="AV570" i="1"/>
  <c r="AW625" i="1"/>
  <c r="BA625" i="1"/>
  <c r="AZ625" i="1"/>
  <c r="AX625" i="1"/>
  <c r="AY625" i="1"/>
  <c r="AV625" i="1"/>
  <c r="AY612" i="1"/>
  <c r="AX612" i="1"/>
  <c r="AW612" i="1"/>
  <c r="AZ612" i="1"/>
  <c r="BA612" i="1"/>
  <c r="AV612" i="1"/>
  <c r="AY597" i="1"/>
  <c r="BA597" i="1"/>
  <c r="AW597" i="1"/>
  <c r="AZ597" i="1"/>
  <c r="AX597" i="1"/>
  <c r="AV597" i="1"/>
  <c r="AX619" i="1"/>
  <c r="AW619" i="1"/>
  <c r="BA619" i="1"/>
  <c r="AY619" i="1"/>
  <c r="AZ619" i="1"/>
  <c r="AV619" i="1"/>
  <c r="AZ646" i="1"/>
  <c r="AY646" i="1"/>
  <c r="AX646" i="1"/>
  <c r="AW646" i="1"/>
  <c r="BA646" i="1"/>
  <c r="AV646" i="1"/>
  <c r="AW569" i="1"/>
  <c r="BA569" i="1"/>
  <c r="AZ569" i="1"/>
  <c r="AX569" i="1"/>
  <c r="AY569" i="1"/>
  <c r="AV569" i="1"/>
  <c r="AY604" i="1"/>
  <c r="AX604" i="1"/>
  <c r="AW604" i="1"/>
  <c r="AZ604" i="1"/>
  <c r="BA604" i="1"/>
  <c r="AV604" i="1"/>
  <c r="AY613" i="1"/>
  <c r="AZ613" i="1"/>
  <c r="AW613" i="1"/>
  <c r="BA613" i="1"/>
  <c r="AX613" i="1"/>
  <c r="AV613" i="1"/>
  <c r="AZ582" i="1"/>
  <c r="AY582" i="1"/>
  <c r="AX582" i="1"/>
  <c r="AW582" i="1"/>
  <c r="BA582" i="1"/>
  <c r="AV582" i="1"/>
  <c r="AW600" i="1"/>
  <c r="BA600" i="1"/>
  <c r="AZ600" i="1"/>
  <c r="AY600" i="1"/>
  <c r="AX600" i="1"/>
  <c r="AV600" i="1"/>
  <c r="AZ615" i="1"/>
  <c r="AY615" i="1"/>
  <c r="AW615" i="1"/>
  <c r="BA615" i="1"/>
  <c r="AX615" i="1"/>
  <c r="AV615" i="1"/>
  <c r="AX643" i="1"/>
  <c r="AW643" i="1"/>
  <c r="BA643" i="1"/>
  <c r="AY643" i="1"/>
  <c r="AZ643" i="1"/>
  <c r="AV643" i="1"/>
  <c r="AX610" i="1"/>
  <c r="AW610" i="1"/>
  <c r="BA610" i="1"/>
  <c r="AZ610" i="1"/>
  <c r="AY610" i="1"/>
  <c r="AV610" i="1"/>
  <c r="AW664" i="1"/>
  <c r="BA664" i="1"/>
  <c r="AZ664" i="1"/>
  <c r="AY664" i="1"/>
  <c r="AX664" i="1"/>
  <c r="AV664" i="1"/>
  <c r="AW648" i="1"/>
  <c r="BA648" i="1"/>
  <c r="AZ648" i="1"/>
  <c r="AY648" i="1"/>
  <c r="AX648" i="1"/>
  <c r="AV648" i="1"/>
  <c r="AW576" i="1"/>
  <c r="BA576" i="1"/>
  <c r="AZ576" i="1"/>
  <c r="AY576" i="1"/>
  <c r="AX576" i="1"/>
  <c r="AV576" i="1"/>
  <c r="AX627" i="1"/>
  <c r="AW627" i="1"/>
  <c r="BA627" i="1"/>
  <c r="AY627" i="1"/>
  <c r="AZ627" i="1"/>
  <c r="AV627" i="1"/>
  <c r="AY660" i="1"/>
  <c r="AX660" i="1"/>
  <c r="AW660" i="1"/>
  <c r="AZ660" i="1"/>
  <c r="BA660" i="1"/>
  <c r="AV660" i="1"/>
  <c r="AY580" i="1"/>
  <c r="AX580" i="1"/>
  <c r="AW580" i="1"/>
  <c r="BA580" i="1"/>
  <c r="AZ580" i="1"/>
  <c r="AV580" i="1"/>
  <c r="AZ655" i="1"/>
  <c r="AY655" i="1"/>
  <c r="BA655" i="1"/>
  <c r="AW655" i="1"/>
  <c r="AX655" i="1"/>
  <c r="AV655" i="1"/>
  <c r="AY572" i="1"/>
  <c r="AX572" i="1"/>
  <c r="AW572" i="1"/>
  <c r="BA572" i="1"/>
  <c r="AZ572" i="1"/>
  <c r="AV572" i="1"/>
  <c r="AX626" i="1"/>
  <c r="AW626" i="1"/>
  <c r="BA626" i="1"/>
  <c r="AZ626" i="1"/>
  <c r="AY626" i="1"/>
  <c r="AV626" i="1"/>
  <c r="AW665" i="1"/>
  <c r="BA665" i="1"/>
  <c r="AZ665" i="1"/>
  <c r="AX665" i="1"/>
  <c r="AY665" i="1"/>
  <c r="AV665" i="1"/>
  <c r="AY621" i="1"/>
  <c r="BA621" i="1"/>
  <c r="AZ621" i="1"/>
  <c r="AW621" i="1"/>
  <c r="AX621" i="1"/>
  <c r="AV621" i="1"/>
  <c r="AZ9" i="1"/>
  <c r="AW593" i="1"/>
  <c r="BA593" i="1"/>
  <c r="AZ593" i="1"/>
  <c r="AX593" i="1"/>
  <c r="AY593" i="1"/>
  <c r="AV593" i="1"/>
  <c r="AW617" i="1"/>
  <c r="BA617" i="1"/>
  <c r="AZ617" i="1"/>
  <c r="AX617" i="1"/>
  <c r="AY617" i="1"/>
  <c r="AV617" i="1"/>
  <c r="AW641" i="1"/>
  <c r="BA641" i="1"/>
  <c r="AZ641" i="1"/>
  <c r="AY641" i="1"/>
  <c r="AX641" i="1"/>
  <c r="AV641" i="1"/>
  <c r="AZ607" i="1"/>
  <c r="AY607" i="1"/>
  <c r="AW607" i="1"/>
  <c r="BA607" i="1"/>
  <c r="AX607" i="1"/>
  <c r="AV607" i="1"/>
  <c r="AZ583" i="1"/>
  <c r="AY583" i="1"/>
  <c r="BA583" i="1"/>
  <c r="AW583" i="1"/>
  <c r="AX583" i="1"/>
  <c r="AV583" i="1"/>
  <c r="AX651" i="1"/>
  <c r="AW651" i="1"/>
  <c r="BA651" i="1"/>
  <c r="AY651" i="1"/>
  <c r="AZ651" i="1"/>
  <c r="AV651" i="1"/>
  <c r="AX579" i="1"/>
  <c r="AW579" i="1"/>
  <c r="BA579" i="1"/>
  <c r="AY579" i="1"/>
  <c r="AZ579" i="1"/>
  <c r="AV579" i="1"/>
  <c r="AX587" i="1"/>
  <c r="AW587" i="1"/>
  <c r="BA587" i="1"/>
  <c r="AY587" i="1"/>
  <c r="AZ587" i="1"/>
  <c r="AV587" i="1"/>
  <c r="AZ663" i="1"/>
  <c r="AY663" i="1"/>
  <c r="AW663" i="1"/>
  <c r="BA663" i="1"/>
  <c r="AX663" i="1"/>
  <c r="AV663" i="1"/>
  <c r="AZ606" i="1"/>
  <c r="AY606" i="1"/>
  <c r="AX606" i="1"/>
  <c r="AW606" i="1"/>
  <c r="BA606" i="1"/>
  <c r="AV606" i="1"/>
  <c r="AY636" i="1"/>
  <c r="AX636" i="1"/>
  <c r="AW636" i="1"/>
  <c r="AZ636" i="1"/>
  <c r="BA636" i="1"/>
  <c r="AV636" i="1"/>
  <c r="AX666" i="1"/>
  <c r="AW666" i="1"/>
  <c r="BA666" i="1"/>
  <c r="AZ666" i="1"/>
  <c r="AY666" i="1"/>
  <c r="AV666" i="1"/>
  <c r="AW640" i="1"/>
  <c r="BA640" i="1"/>
  <c r="AZ640" i="1"/>
  <c r="AY640" i="1"/>
  <c r="AX640" i="1"/>
  <c r="AV640" i="1"/>
  <c r="AW633" i="1"/>
  <c r="BA633" i="1"/>
  <c r="AZ633" i="1"/>
  <c r="AX633" i="1"/>
  <c r="AY633" i="1"/>
  <c r="AV633" i="1"/>
  <c r="AX658" i="1"/>
  <c r="AW658" i="1"/>
  <c r="BA658" i="1"/>
  <c r="AZ658" i="1"/>
  <c r="AY658" i="1"/>
  <c r="AV658" i="1"/>
  <c r="AW568" i="1"/>
  <c r="BA568" i="1"/>
  <c r="AZ568" i="1"/>
  <c r="AY568" i="1"/>
  <c r="AX568" i="1"/>
  <c r="AV568" i="1"/>
  <c r="AZ654" i="1"/>
  <c r="AY654" i="1"/>
  <c r="AX654" i="1"/>
  <c r="AW654" i="1"/>
  <c r="BA654" i="1"/>
  <c r="AV654" i="1"/>
  <c r="AX594" i="1"/>
  <c r="AW594" i="1"/>
  <c r="BA594" i="1"/>
  <c r="AZ594" i="1"/>
  <c r="AY594" i="1"/>
  <c r="AV594" i="1"/>
  <c r="AW601" i="1"/>
  <c r="BA601" i="1"/>
  <c r="AZ601" i="1"/>
  <c r="AX601" i="1"/>
  <c r="AY601" i="1"/>
  <c r="AV601" i="1"/>
  <c r="AZ590" i="1"/>
  <c r="AY590" i="1"/>
  <c r="AX590" i="1"/>
  <c r="AW590" i="1"/>
  <c r="BA590" i="1"/>
  <c r="AV590" i="1"/>
  <c r="AX634" i="1"/>
  <c r="AW634" i="1"/>
  <c r="BA634" i="1"/>
  <c r="AZ634" i="1"/>
  <c r="AY634" i="1"/>
  <c r="AV634" i="1"/>
  <c r="AY637" i="1"/>
  <c r="AW637" i="1"/>
  <c r="AZ637" i="1"/>
  <c r="BA637" i="1"/>
  <c r="AX637" i="1"/>
  <c r="AV637" i="1"/>
  <c r="AZ599" i="1"/>
  <c r="AY599" i="1"/>
  <c r="AW599" i="1"/>
  <c r="BA599" i="1"/>
  <c r="AX599" i="1"/>
  <c r="AV599" i="1"/>
  <c r="AW624" i="1"/>
  <c r="BA624" i="1"/>
  <c r="AZ624" i="1"/>
  <c r="AY624" i="1"/>
  <c r="AX624" i="1"/>
  <c r="AV624" i="1"/>
  <c r="AW609" i="1"/>
  <c r="BA609" i="1"/>
  <c r="AZ609" i="1"/>
  <c r="AY609" i="1"/>
  <c r="AX609" i="1"/>
  <c r="AV609" i="1"/>
  <c r="AY653" i="1"/>
  <c r="AZ653" i="1"/>
  <c r="AW653" i="1"/>
  <c r="BA653" i="1"/>
  <c r="AX653" i="1"/>
  <c r="AV653" i="1"/>
  <c r="AZ598" i="1"/>
  <c r="AY598" i="1"/>
  <c r="AX598" i="1"/>
  <c r="AW598" i="1"/>
  <c r="BA598" i="1"/>
  <c r="AV598" i="1"/>
  <c r="AX602" i="1"/>
  <c r="AW602" i="1"/>
  <c r="BA602" i="1"/>
  <c r="AZ602" i="1"/>
  <c r="AY602" i="1"/>
  <c r="AV602" i="1"/>
  <c r="AY628" i="1"/>
  <c r="AX628" i="1"/>
  <c r="AW628" i="1"/>
  <c r="AZ628" i="1"/>
  <c r="BA628" i="1"/>
  <c r="AV628" i="1"/>
  <c r="AZ639" i="1"/>
  <c r="AY639" i="1"/>
  <c r="BA639" i="1"/>
  <c r="AW639" i="1"/>
  <c r="AX639" i="1"/>
  <c r="AV639" i="1"/>
  <c r="AZ662" i="1"/>
  <c r="AY662" i="1"/>
  <c r="AX662" i="1"/>
  <c r="AW662" i="1"/>
  <c r="BA662" i="1"/>
  <c r="AV662" i="1"/>
  <c r="AX571" i="1"/>
  <c r="AW571" i="1"/>
  <c r="BA571" i="1"/>
  <c r="AZ571" i="1"/>
  <c r="AY571" i="1"/>
  <c r="AV571" i="1"/>
  <c r="AX635" i="1"/>
  <c r="AW635" i="1"/>
  <c r="BA635" i="1"/>
  <c r="AZ635" i="1"/>
  <c r="AY635" i="1"/>
  <c r="AV635" i="1"/>
  <c r="AV13" i="1"/>
  <c r="AX611" i="1"/>
  <c r="AW611" i="1"/>
  <c r="BA611" i="1"/>
  <c r="AZ611" i="1"/>
  <c r="AY611" i="1"/>
  <c r="AV611" i="1"/>
  <c r="AW577" i="1"/>
  <c r="BA577" i="1"/>
  <c r="AZ577" i="1"/>
  <c r="AY577" i="1"/>
  <c r="AX577" i="1"/>
  <c r="AV577" i="1"/>
  <c r="AW656" i="1"/>
  <c r="BA656" i="1"/>
  <c r="AZ656" i="1"/>
  <c r="AY656" i="1"/>
  <c r="AX656" i="1"/>
  <c r="AV656" i="1"/>
  <c r="AX667" i="1"/>
  <c r="AW667" i="1"/>
  <c r="BA667" i="1"/>
  <c r="AZ667" i="1"/>
  <c r="AY667" i="1"/>
  <c r="AV667" i="1"/>
  <c r="AZ631" i="1"/>
  <c r="AY631" i="1"/>
  <c r="AW631" i="1"/>
  <c r="BA631" i="1"/>
  <c r="AX631" i="1"/>
  <c r="AV631" i="1"/>
  <c r="AZ567" i="1"/>
  <c r="AY567" i="1"/>
  <c r="AW567" i="1"/>
  <c r="BA567" i="1"/>
  <c r="AX567" i="1"/>
  <c r="AV567" i="1"/>
  <c r="AZ614" i="1"/>
  <c r="AY614" i="1"/>
  <c r="AX614" i="1"/>
  <c r="AW614" i="1"/>
  <c r="BA614" i="1"/>
  <c r="AV614" i="1"/>
  <c r="AW632" i="1"/>
  <c r="BA632" i="1"/>
  <c r="AZ632" i="1"/>
  <c r="AY632" i="1"/>
  <c r="AX632" i="1"/>
  <c r="AV632" i="1"/>
  <c r="AY605" i="1"/>
  <c r="AW605" i="1"/>
  <c r="BA605" i="1"/>
  <c r="AZ605" i="1"/>
  <c r="AX605" i="1"/>
  <c r="AV605" i="1"/>
  <c r="AY588" i="1"/>
  <c r="AX588" i="1"/>
  <c r="AW588" i="1"/>
  <c r="AZ588" i="1"/>
  <c r="BA588" i="1"/>
  <c r="AV588" i="1"/>
  <c r="AZ575" i="1"/>
  <c r="AY575" i="1"/>
  <c r="BA575" i="1"/>
  <c r="AW575" i="1"/>
  <c r="AX575" i="1"/>
  <c r="AV575" i="1"/>
  <c r="AW608" i="1"/>
  <c r="BA608" i="1"/>
  <c r="AZ608" i="1"/>
  <c r="AY608" i="1"/>
  <c r="AX608" i="1"/>
  <c r="AV608" i="1"/>
  <c r="AY645" i="1"/>
  <c r="AZ645" i="1"/>
  <c r="BA645" i="1"/>
  <c r="AW645" i="1"/>
  <c r="AX645" i="1"/>
  <c r="AV645" i="1"/>
  <c r="AY629" i="1"/>
  <c r="BA629" i="1"/>
  <c r="AZ629" i="1"/>
  <c r="AW629" i="1"/>
  <c r="AX629" i="1"/>
  <c r="AV629" i="1"/>
  <c r="AY661" i="1"/>
  <c r="BA661" i="1"/>
  <c r="AW661" i="1"/>
  <c r="AZ661" i="1"/>
  <c r="AX661" i="1"/>
  <c r="AV661" i="1"/>
  <c r="AZ630" i="1"/>
  <c r="AY630" i="1"/>
  <c r="AX630" i="1"/>
  <c r="AW630" i="1"/>
  <c r="BA630" i="1"/>
  <c r="AV630" i="1"/>
  <c r="AZ591" i="1"/>
  <c r="AY591" i="1"/>
  <c r="BA591" i="1"/>
  <c r="AW591" i="1"/>
  <c r="AX591" i="1"/>
  <c r="AV591" i="1"/>
  <c r="AZ622" i="1"/>
  <c r="AY622" i="1"/>
  <c r="AX622" i="1"/>
  <c r="AW622" i="1"/>
  <c r="BA622" i="1"/>
  <c r="AV622" i="1"/>
  <c r="AW657" i="1"/>
  <c r="BA657" i="1"/>
  <c r="AZ657" i="1"/>
  <c r="AX657" i="1"/>
  <c r="AY657" i="1"/>
  <c r="AV657" i="1"/>
  <c r="AY644" i="1"/>
  <c r="AX644" i="1"/>
  <c r="AW644" i="1"/>
  <c r="AZ644" i="1"/>
  <c r="BA644" i="1"/>
  <c r="AV644" i="1"/>
  <c r="AX563" i="1"/>
  <c r="AY563" i="1"/>
  <c r="AZ563" i="1"/>
  <c r="AW563" i="1"/>
  <c r="BA563" i="1"/>
  <c r="AV563" i="1"/>
  <c r="AZ528" i="1"/>
  <c r="AW528" i="1"/>
  <c r="BA528" i="1"/>
  <c r="AY528" i="1"/>
  <c r="AX528" i="1"/>
  <c r="AV528" i="1"/>
  <c r="AW541" i="1"/>
  <c r="BA541" i="1"/>
  <c r="AX541" i="1"/>
  <c r="AY541" i="1"/>
  <c r="AZ541" i="1"/>
  <c r="AV541" i="1"/>
  <c r="AX540" i="1"/>
  <c r="AY540" i="1"/>
  <c r="AW540" i="1"/>
  <c r="AZ540" i="1"/>
  <c r="BA540" i="1"/>
  <c r="AV540" i="1"/>
  <c r="AZ535" i="1"/>
  <c r="AW535" i="1"/>
  <c r="BA535" i="1"/>
  <c r="AX535" i="1"/>
  <c r="AY535" i="1"/>
  <c r="AV535" i="1"/>
  <c r="AY537" i="1"/>
  <c r="AZ537" i="1"/>
  <c r="AW537" i="1"/>
  <c r="BA537" i="1"/>
  <c r="AX537" i="1"/>
  <c r="AV537" i="1"/>
  <c r="AZ519" i="1"/>
  <c r="AW519" i="1"/>
  <c r="BA519" i="1"/>
  <c r="AX519" i="1"/>
  <c r="AY519" i="1"/>
  <c r="AV519" i="1"/>
  <c r="AY545" i="1"/>
  <c r="AZ545" i="1"/>
  <c r="AW545" i="1"/>
  <c r="BA545" i="1"/>
  <c r="AX545" i="1"/>
  <c r="AV545" i="1"/>
  <c r="AY59" i="1"/>
  <c r="AY13" i="1"/>
  <c r="BA162" i="1"/>
  <c r="AZ512" i="1"/>
  <c r="AW512" i="1"/>
  <c r="BA512" i="1"/>
  <c r="AX512" i="1"/>
  <c r="AY512" i="1"/>
  <c r="AV512" i="1"/>
  <c r="AX556" i="1"/>
  <c r="AY556" i="1"/>
  <c r="AZ556" i="1"/>
  <c r="BA556" i="1"/>
  <c r="AW556" i="1"/>
  <c r="AV556" i="1"/>
  <c r="AW517" i="1"/>
  <c r="BA517" i="1"/>
  <c r="AX517" i="1"/>
  <c r="AY517" i="1"/>
  <c r="AZ517" i="1"/>
  <c r="AV517" i="1"/>
  <c r="AY554" i="1"/>
  <c r="AZ554" i="1"/>
  <c r="AW554" i="1"/>
  <c r="BA554" i="1"/>
  <c r="AX554" i="1"/>
  <c r="AV554" i="1"/>
  <c r="AZ504" i="1"/>
  <c r="AW504" i="1"/>
  <c r="BA504" i="1"/>
  <c r="AX504" i="1"/>
  <c r="AY504" i="1"/>
  <c r="AV504" i="1"/>
  <c r="AX564" i="1"/>
  <c r="AY564" i="1"/>
  <c r="BA564" i="1"/>
  <c r="AW564" i="1"/>
  <c r="AZ564" i="1"/>
  <c r="AV564" i="1"/>
  <c r="AX531" i="1"/>
  <c r="AY531" i="1"/>
  <c r="AZ531" i="1"/>
  <c r="AW531" i="1"/>
  <c r="BA531" i="1"/>
  <c r="AV531" i="1"/>
  <c r="AW509" i="1"/>
  <c r="BA509" i="1"/>
  <c r="AX509" i="1"/>
  <c r="AY509" i="1"/>
  <c r="AZ509" i="1"/>
  <c r="AV509" i="1"/>
  <c r="AY546" i="1"/>
  <c r="AZ546" i="1"/>
  <c r="AW546" i="1"/>
  <c r="AX546" i="1"/>
  <c r="BA546" i="1"/>
  <c r="AV546" i="1"/>
  <c r="AX206" i="1"/>
  <c r="AW558" i="1"/>
  <c r="BA558" i="1"/>
  <c r="AY558" i="1"/>
  <c r="AZ558" i="1"/>
  <c r="AX558" i="1"/>
  <c r="AV558" i="1"/>
  <c r="AW549" i="1"/>
  <c r="BA549" i="1"/>
  <c r="AX549" i="1"/>
  <c r="AY549" i="1"/>
  <c r="AZ549" i="1"/>
  <c r="AV549" i="1"/>
  <c r="AY529" i="1"/>
  <c r="AZ529" i="1"/>
  <c r="AW529" i="1"/>
  <c r="BA529" i="1"/>
  <c r="AX529" i="1"/>
  <c r="AV529" i="1"/>
  <c r="AW526" i="1"/>
  <c r="BA526" i="1"/>
  <c r="AY526" i="1"/>
  <c r="AZ526" i="1"/>
  <c r="AX526" i="1"/>
  <c r="AV526" i="1"/>
  <c r="AX539" i="1"/>
  <c r="AY539" i="1"/>
  <c r="AZ539" i="1"/>
  <c r="AW539" i="1"/>
  <c r="BA539" i="1"/>
  <c r="AV539" i="1"/>
  <c r="AW525" i="1"/>
  <c r="BA525" i="1"/>
  <c r="AX525" i="1"/>
  <c r="AY525" i="1"/>
  <c r="AZ525" i="1"/>
  <c r="AV525" i="1"/>
  <c r="AZ551" i="1"/>
  <c r="AW551" i="1"/>
  <c r="BA551" i="1"/>
  <c r="AX551" i="1"/>
  <c r="AY551" i="1"/>
  <c r="AV551" i="1"/>
  <c r="AX515" i="1"/>
  <c r="AY515" i="1"/>
  <c r="AZ515" i="1"/>
  <c r="AW515" i="1"/>
  <c r="BA515" i="1"/>
  <c r="AV515" i="1"/>
  <c r="AX523" i="1"/>
  <c r="AY523" i="1"/>
  <c r="AZ523" i="1"/>
  <c r="AW523" i="1"/>
  <c r="BA523" i="1"/>
  <c r="AV523" i="1"/>
  <c r="AY562" i="1"/>
  <c r="AZ562" i="1"/>
  <c r="BA562" i="1"/>
  <c r="AW562" i="1"/>
  <c r="AX562" i="1"/>
  <c r="AV562" i="1"/>
  <c r="AX532" i="1"/>
  <c r="AY532" i="1"/>
  <c r="BA532" i="1"/>
  <c r="AW532" i="1"/>
  <c r="AZ532" i="1"/>
  <c r="AV532" i="1"/>
  <c r="AY206" i="1"/>
  <c r="AX507" i="1"/>
  <c r="AY507" i="1"/>
  <c r="AZ507" i="1"/>
  <c r="AW507" i="1"/>
  <c r="BA507" i="1"/>
  <c r="AV507" i="1"/>
  <c r="AW534" i="1"/>
  <c r="BA534" i="1"/>
  <c r="AZ534" i="1"/>
  <c r="AY534" i="1"/>
  <c r="AX534" i="1"/>
  <c r="AV534" i="1"/>
  <c r="AX516" i="1"/>
  <c r="AY516" i="1"/>
  <c r="AW516" i="1"/>
  <c r="AZ516" i="1"/>
  <c r="BA516" i="1"/>
  <c r="AV516" i="1"/>
  <c r="AW510" i="1"/>
  <c r="BA510" i="1"/>
  <c r="AY510" i="1"/>
  <c r="AZ510" i="1"/>
  <c r="AX510" i="1"/>
  <c r="AV510" i="1"/>
  <c r="AZ527" i="1"/>
  <c r="AW527" i="1"/>
  <c r="BA527" i="1"/>
  <c r="AX527" i="1"/>
  <c r="AY527" i="1"/>
  <c r="AV527" i="1"/>
  <c r="AW501" i="1"/>
  <c r="BA501" i="1"/>
  <c r="AX501" i="1"/>
  <c r="AY501" i="1"/>
  <c r="AZ501" i="1"/>
  <c r="AV501" i="1"/>
  <c r="AW533" i="1"/>
  <c r="BA533" i="1"/>
  <c r="AX533" i="1"/>
  <c r="AY533" i="1"/>
  <c r="AZ533" i="1"/>
  <c r="AV533" i="1"/>
  <c r="AY506" i="1"/>
  <c r="AZ506" i="1"/>
  <c r="AW506" i="1"/>
  <c r="AX506" i="1"/>
  <c r="BA506" i="1"/>
  <c r="AV506" i="1"/>
  <c r="AY521" i="1"/>
  <c r="AZ521" i="1"/>
  <c r="AW521" i="1"/>
  <c r="BA521" i="1"/>
  <c r="AX521" i="1"/>
  <c r="AV521" i="1"/>
  <c r="AZ543" i="1"/>
  <c r="AW543" i="1"/>
  <c r="BA543" i="1"/>
  <c r="AX543" i="1"/>
  <c r="AY543" i="1"/>
  <c r="AV543" i="1"/>
  <c r="AW557" i="1"/>
  <c r="BA557" i="1"/>
  <c r="AX557" i="1"/>
  <c r="AY557" i="1"/>
  <c r="AZ557" i="1"/>
  <c r="AV557" i="1"/>
  <c r="AZ503" i="1"/>
  <c r="AW503" i="1"/>
  <c r="BA503" i="1"/>
  <c r="AX503" i="1"/>
  <c r="AY503" i="1"/>
  <c r="AV503" i="1"/>
  <c r="BA206" i="1"/>
  <c r="AV225" i="1"/>
  <c r="AY513" i="1"/>
  <c r="AZ513" i="1"/>
  <c r="AW513" i="1"/>
  <c r="BA513" i="1"/>
  <c r="AX513" i="1"/>
  <c r="AV513" i="1"/>
  <c r="AX524" i="1"/>
  <c r="AY524" i="1"/>
  <c r="AZ524" i="1"/>
  <c r="BA524" i="1"/>
  <c r="AW524" i="1"/>
  <c r="AV524" i="1"/>
  <c r="AZ511" i="1"/>
  <c r="AW511" i="1"/>
  <c r="BA511" i="1"/>
  <c r="AX511" i="1"/>
  <c r="AY511" i="1"/>
  <c r="AV511" i="1"/>
  <c r="AY530" i="1"/>
  <c r="AZ530" i="1"/>
  <c r="AW530" i="1"/>
  <c r="AX530" i="1"/>
  <c r="BA530" i="1"/>
  <c r="AV530" i="1"/>
  <c r="AX508" i="1"/>
  <c r="AY508" i="1"/>
  <c r="AW508" i="1"/>
  <c r="AZ508" i="1"/>
  <c r="BA508" i="1"/>
  <c r="AV508" i="1"/>
  <c r="AY505" i="1"/>
  <c r="AZ505" i="1"/>
  <c r="AW505" i="1"/>
  <c r="BA505" i="1"/>
  <c r="AX505" i="1"/>
  <c r="AV505" i="1"/>
  <c r="AY522" i="1"/>
  <c r="AZ522" i="1"/>
  <c r="AW522" i="1"/>
  <c r="BA522" i="1"/>
  <c r="AX522" i="1"/>
  <c r="AV522" i="1"/>
  <c r="AZ552" i="1"/>
  <c r="AW552" i="1"/>
  <c r="BA552" i="1"/>
  <c r="AY552" i="1"/>
  <c r="AX552" i="1"/>
  <c r="AV552" i="1"/>
  <c r="AX547" i="1"/>
  <c r="AY547" i="1"/>
  <c r="AZ547" i="1"/>
  <c r="AW547" i="1"/>
  <c r="BA547" i="1"/>
  <c r="AV547" i="1"/>
  <c r="AW550" i="1"/>
  <c r="BA550" i="1"/>
  <c r="AY550" i="1"/>
  <c r="AZ550" i="1"/>
  <c r="AX550" i="1"/>
  <c r="AV550" i="1"/>
  <c r="AX500" i="1"/>
  <c r="AY500" i="1"/>
  <c r="BA500" i="1"/>
  <c r="AW500" i="1"/>
  <c r="AZ500" i="1"/>
  <c r="AV500" i="1"/>
  <c r="AX225" i="1"/>
  <c r="AV162" i="1"/>
  <c r="AW565" i="1"/>
  <c r="BA565" i="1"/>
  <c r="AX565" i="1"/>
  <c r="AY565" i="1"/>
  <c r="AZ565" i="1"/>
  <c r="AV565" i="1"/>
  <c r="AZ560" i="1"/>
  <c r="AW560" i="1"/>
  <c r="BA560" i="1"/>
  <c r="AY560" i="1"/>
  <c r="AX560" i="1"/>
  <c r="AV560" i="1"/>
  <c r="AY553" i="1"/>
  <c r="AZ553" i="1"/>
  <c r="AW553" i="1"/>
  <c r="BA553" i="1"/>
  <c r="AX553" i="1"/>
  <c r="AV553" i="1"/>
  <c r="AX548" i="1"/>
  <c r="AY548" i="1"/>
  <c r="AW548" i="1"/>
  <c r="AZ548" i="1"/>
  <c r="BA548" i="1"/>
  <c r="AV548" i="1"/>
  <c r="AY561" i="1"/>
  <c r="AZ561" i="1"/>
  <c r="AW561" i="1"/>
  <c r="BA561" i="1"/>
  <c r="AX561" i="1"/>
  <c r="AV561" i="1"/>
  <c r="AZ536" i="1"/>
  <c r="AW536" i="1"/>
  <c r="BA536" i="1"/>
  <c r="AX536" i="1"/>
  <c r="AY536" i="1"/>
  <c r="AV536" i="1"/>
  <c r="AX555" i="1"/>
  <c r="AY555" i="1"/>
  <c r="AZ555" i="1"/>
  <c r="AW555" i="1"/>
  <c r="BA555" i="1"/>
  <c r="AV555" i="1"/>
  <c r="AY162" i="1"/>
  <c r="AZ544" i="1"/>
  <c r="AW544" i="1"/>
  <c r="BA544" i="1"/>
  <c r="AY544" i="1"/>
  <c r="AX544" i="1"/>
  <c r="AV544" i="1"/>
  <c r="AY538" i="1"/>
  <c r="AZ538" i="1"/>
  <c r="AW538" i="1"/>
  <c r="AX538" i="1"/>
  <c r="BA538" i="1"/>
  <c r="AV538" i="1"/>
  <c r="AW502" i="1"/>
  <c r="BA502" i="1"/>
  <c r="AZ502" i="1"/>
  <c r="AY502" i="1"/>
  <c r="AX502" i="1"/>
  <c r="AV502" i="1"/>
  <c r="AW518" i="1"/>
  <c r="BA518" i="1"/>
  <c r="AY518" i="1"/>
  <c r="AZ518" i="1"/>
  <c r="AX518" i="1"/>
  <c r="AV518" i="1"/>
  <c r="AZ559" i="1"/>
  <c r="AW559" i="1"/>
  <c r="AX559" i="1"/>
  <c r="AY559" i="1"/>
  <c r="BA559" i="1"/>
  <c r="AV559" i="1"/>
  <c r="AZ520" i="1"/>
  <c r="AW520" i="1"/>
  <c r="BA520" i="1"/>
  <c r="AY520" i="1"/>
  <c r="AX520" i="1"/>
  <c r="AV520" i="1"/>
  <c r="AY514" i="1"/>
  <c r="AZ514" i="1"/>
  <c r="AW514" i="1"/>
  <c r="AX514" i="1"/>
  <c r="BA514" i="1"/>
  <c r="AV514" i="1"/>
  <c r="AW542" i="1"/>
  <c r="BA542" i="1"/>
  <c r="AY542" i="1"/>
  <c r="AZ542" i="1"/>
  <c r="AX542" i="1"/>
  <c r="AV542" i="1"/>
  <c r="AZ59" i="1"/>
  <c r="BA46" i="1"/>
  <c r="AV45" i="1"/>
  <c r="AX229" i="1"/>
  <c r="AZ225" i="1"/>
  <c r="AZ498" i="1"/>
  <c r="AW498" i="1"/>
  <c r="AX498" i="1"/>
  <c r="AY498" i="1"/>
  <c r="BA498" i="1"/>
  <c r="AV498" i="1"/>
  <c r="AW448" i="1"/>
  <c r="BA448" i="1"/>
  <c r="AX448" i="1"/>
  <c r="AY448" i="1"/>
  <c r="AZ448" i="1"/>
  <c r="AV448" i="1"/>
  <c r="AX457" i="1"/>
  <c r="AY457" i="1"/>
  <c r="AZ457" i="1"/>
  <c r="AW457" i="1"/>
  <c r="BA457" i="1"/>
  <c r="AV457" i="1"/>
  <c r="AX462" i="1"/>
  <c r="AY462" i="1"/>
  <c r="AZ462" i="1"/>
  <c r="AW462" i="1"/>
  <c r="BA462" i="1"/>
  <c r="AV462" i="1"/>
  <c r="AZ461" i="1"/>
  <c r="AW461" i="1"/>
  <c r="BA461" i="1"/>
  <c r="AY461" i="1"/>
  <c r="AX461" i="1"/>
  <c r="AV461" i="1"/>
  <c r="AW480" i="1"/>
  <c r="BA480" i="1"/>
  <c r="AX480" i="1"/>
  <c r="AY480" i="1"/>
  <c r="AZ480" i="1"/>
  <c r="AV480" i="1"/>
  <c r="BA59" i="1"/>
  <c r="AX9" i="1"/>
  <c r="AY45" i="1"/>
  <c r="AV149" i="1"/>
  <c r="AY225" i="1"/>
  <c r="AZ485" i="1"/>
  <c r="AW485" i="1"/>
  <c r="BA485" i="1"/>
  <c r="AX485" i="1"/>
  <c r="AY485" i="1"/>
  <c r="AV485" i="1"/>
  <c r="AX398" i="1"/>
  <c r="AY398" i="1"/>
  <c r="AZ398" i="1"/>
  <c r="AW398" i="1"/>
  <c r="BA398" i="1"/>
  <c r="AV398" i="1"/>
  <c r="AX430" i="1"/>
  <c r="AY430" i="1"/>
  <c r="AZ430" i="1"/>
  <c r="AW430" i="1"/>
  <c r="BA430" i="1"/>
  <c r="AV430" i="1"/>
  <c r="AX470" i="1"/>
  <c r="AY470" i="1"/>
  <c r="AZ470" i="1"/>
  <c r="AW470" i="1"/>
  <c r="BA470" i="1"/>
  <c r="AV470" i="1"/>
  <c r="AX390" i="1"/>
  <c r="AY390" i="1"/>
  <c r="AZ390" i="1"/>
  <c r="AW390" i="1"/>
  <c r="BA390" i="1"/>
  <c r="AV390" i="1"/>
  <c r="AY423" i="1"/>
  <c r="AZ423" i="1"/>
  <c r="AX423" i="1"/>
  <c r="BA423" i="1"/>
  <c r="AW423" i="1"/>
  <c r="AV423" i="1"/>
  <c r="AY471" i="1"/>
  <c r="AZ471" i="1"/>
  <c r="AW471" i="1"/>
  <c r="BA471" i="1"/>
  <c r="AX471" i="1"/>
  <c r="AV471" i="1"/>
  <c r="AZ466" i="1"/>
  <c r="AW466" i="1"/>
  <c r="AX466" i="1"/>
  <c r="AY466" i="1"/>
  <c r="BA466" i="1"/>
  <c r="AV466" i="1"/>
  <c r="AY436" i="1"/>
  <c r="AZ436" i="1"/>
  <c r="AW436" i="1"/>
  <c r="BA436" i="1"/>
  <c r="AX436" i="1"/>
  <c r="AV436" i="1"/>
  <c r="AZ493" i="1"/>
  <c r="AW493" i="1"/>
  <c r="BA493" i="1"/>
  <c r="AY493" i="1"/>
  <c r="AX493" i="1"/>
  <c r="AV493" i="1"/>
  <c r="AZ413" i="1"/>
  <c r="AW413" i="1"/>
  <c r="BA413" i="1"/>
  <c r="AY413" i="1"/>
  <c r="AX413" i="1"/>
  <c r="AV413" i="1"/>
  <c r="AX433" i="1"/>
  <c r="AY433" i="1"/>
  <c r="AZ433" i="1"/>
  <c r="BA433" i="1"/>
  <c r="AW433" i="1"/>
  <c r="AV433" i="1"/>
  <c r="AY415" i="1"/>
  <c r="AZ415" i="1"/>
  <c r="AW415" i="1"/>
  <c r="BA415" i="1"/>
  <c r="AX415" i="1"/>
  <c r="AV415" i="1"/>
  <c r="AY404" i="1"/>
  <c r="AZ404" i="1"/>
  <c r="AW404" i="1"/>
  <c r="BA404" i="1"/>
  <c r="AX404" i="1"/>
  <c r="AV404" i="1"/>
  <c r="AW395" i="1"/>
  <c r="BA395" i="1"/>
  <c r="AZ395" i="1"/>
  <c r="AY395" i="1"/>
  <c r="AX395" i="1"/>
  <c r="AV395" i="1"/>
  <c r="AY476" i="1"/>
  <c r="AZ476" i="1"/>
  <c r="AW476" i="1"/>
  <c r="BA476" i="1"/>
  <c r="AX476" i="1"/>
  <c r="AV476" i="1"/>
  <c r="AW475" i="1"/>
  <c r="BA475" i="1"/>
  <c r="AY475" i="1"/>
  <c r="AZ475" i="1"/>
  <c r="AX475" i="1"/>
  <c r="AV475" i="1"/>
  <c r="AZ410" i="1"/>
  <c r="AW410" i="1"/>
  <c r="AX410" i="1"/>
  <c r="AY410" i="1"/>
  <c r="BA410" i="1"/>
  <c r="AV410" i="1"/>
  <c r="AX446" i="1"/>
  <c r="AY446" i="1"/>
  <c r="AZ446" i="1"/>
  <c r="AW446" i="1"/>
  <c r="BA446" i="1"/>
  <c r="AV446" i="1"/>
  <c r="AY391" i="1"/>
  <c r="AZ391" i="1"/>
  <c r="AX391" i="1"/>
  <c r="AW391" i="1"/>
  <c r="BA391" i="1"/>
  <c r="AV391" i="1"/>
  <c r="AX417" i="1"/>
  <c r="AY417" i="1"/>
  <c r="AZ417" i="1"/>
  <c r="AW417" i="1"/>
  <c r="BA417" i="1"/>
  <c r="AV417" i="1"/>
  <c r="AY455" i="1"/>
  <c r="AZ455" i="1"/>
  <c r="AX455" i="1"/>
  <c r="AW455" i="1"/>
  <c r="BA455" i="1"/>
  <c r="AV455" i="1"/>
  <c r="AX59" i="1"/>
  <c r="AY388" i="1"/>
  <c r="AZ388" i="1"/>
  <c r="AW388" i="1"/>
  <c r="BA388" i="1"/>
  <c r="AX388" i="1"/>
  <c r="AV388" i="1"/>
  <c r="AZ450" i="1"/>
  <c r="AW450" i="1"/>
  <c r="AX450" i="1"/>
  <c r="AY450" i="1"/>
  <c r="BA450" i="1"/>
  <c r="AV450" i="1"/>
  <c r="AZ418" i="1"/>
  <c r="AW418" i="1"/>
  <c r="AX418" i="1"/>
  <c r="AY418" i="1"/>
  <c r="BA418" i="1"/>
  <c r="AV418" i="1"/>
  <c r="AY396" i="1"/>
  <c r="AZ396" i="1"/>
  <c r="AW396" i="1"/>
  <c r="BA396" i="1"/>
  <c r="AX396" i="1"/>
  <c r="AV396" i="1"/>
  <c r="AX438" i="1"/>
  <c r="AY438" i="1"/>
  <c r="AZ438" i="1"/>
  <c r="AW438" i="1"/>
  <c r="BA438" i="1"/>
  <c r="AV438" i="1"/>
  <c r="AX454" i="1"/>
  <c r="AY454" i="1"/>
  <c r="AZ454" i="1"/>
  <c r="AW454" i="1"/>
  <c r="BA454" i="1"/>
  <c r="AV454" i="1"/>
  <c r="AY479" i="1"/>
  <c r="AZ479" i="1"/>
  <c r="AW479" i="1"/>
  <c r="BA479" i="1"/>
  <c r="AX479" i="1"/>
  <c r="AV479" i="1"/>
  <c r="AZ442" i="1"/>
  <c r="AW442" i="1"/>
  <c r="AX442" i="1"/>
  <c r="AY442" i="1"/>
  <c r="BA442" i="1"/>
  <c r="AV442" i="1"/>
  <c r="AW411" i="1"/>
  <c r="BA411" i="1"/>
  <c r="AY411" i="1"/>
  <c r="AZ411" i="1"/>
  <c r="AX411" i="1"/>
  <c r="AV411" i="1"/>
  <c r="AX473" i="1"/>
  <c r="AY473" i="1"/>
  <c r="AW473" i="1"/>
  <c r="BA473" i="1"/>
  <c r="AZ473" i="1"/>
  <c r="AV473" i="1"/>
  <c r="AX486" i="1"/>
  <c r="AY486" i="1"/>
  <c r="AZ486" i="1"/>
  <c r="AW486" i="1"/>
  <c r="BA486" i="1"/>
  <c r="AV486" i="1"/>
  <c r="AZ149" i="1"/>
  <c r="AZ437" i="1"/>
  <c r="AW437" i="1"/>
  <c r="BA437" i="1"/>
  <c r="AY437" i="1"/>
  <c r="AX437" i="1"/>
  <c r="AV437" i="1"/>
  <c r="AZ445" i="1"/>
  <c r="AW445" i="1"/>
  <c r="BA445" i="1"/>
  <c r="AY445" i="1"/>
  <c r="AX445" i="1"/>
  <c r="AV445" i="1"/>
  <c r="AW408" i="1"/>
  <c r="BA408" i="1"/>
  <c r="AX408" i="1"/>
  <c r="AY408" i="1"/>
  <c r="AZ408" i="1"/>
  <c r="AV408" i="1"/>
  <c r="AY495" i="1"/>
  <c r="AZ495" i="1"/>
  <c r="AX495" i="1"/>
  <c r="BA495" i="1"/>
  <c r="AW495" i="1"/>
  <c r="AV495" i="1"/>
  <c r="AW467" i="1"/>
  <c r="BA467" i="1"/>
  <c r="AY467" i="1"/>
  <c r="AZ467" i="1"/>
  <c r="AX467" i="1"/>
  <c r="AV467" i="1"/>
  <c r="AW387" i="1"/>
  <c r="BA387" i="1"/>
  <c r="AZ387" i="1"/>
  <c r="AY387" i="1"/>
  <c r="AX387" i="1"/>
  <c r="AV387" i="1"/>
  <c r="AW416" i="1"/>
  <c r="BA416" i="1"/>
  <c r="AX416" i="1"/>
  <c r="AY416" i="1"/>
  <c r="AZ416" i="1"/>
  <c r="AV416" i="1"/>
  <c r="AX481" i="1"/>
  <c r="AY481" i="1"/>
  <c r="AZ481" i="1"/>
  <c r="AW481" i="1"/>
  <c r="BA481" i="1"/>
  <c r="AV481" i="1"/>
  <c r="AW440" i="1"/>
  <c r="BA440" i="1"/>
  <c r="AX440" i="1"/>
  <c r="AY440" i="1"/>
  <c r="AZ440" i="1"/>
  <c r="AV440" i="1"/>
  <c r="AW435" i="1"/>
  <c r="BA435" i="1"/>
  <c r="AY435" i="1"/>
  <c r="AZ435" i="1"/>
  <c r="AX435" i="1"/>
  <c r="AV435" i="1"/>
  <c r="AX425" i="1"/>
  <c r="AY425" i="1"/>
  <c r="AZ425" i="1"/>
  <c r="BA425" i="1"/>
  <c r="AW425" i="1"/>
  <c r="AV425" i="1"/>
  <c r="AZ429" i="1"/>
  <c r="AW429" i="1"/>
  <c r="BA429" i="1"/>
  <c r="AY429" i="1"/>
  <c r="AX429" i="1"/>
  <c r="AV429" i="1"/>
  <c r="AW400" i="1"/>
  <c r="BA400" i="1"/>
  <c r="AX400" i="1"/>
  <c r="AY400" i="1"/>
  <c r="AZ400" i="1"/>
  <c r="AV400" i="1"/>
  <c r="AX422" i="1"/>
  <c r="AY422" i="1"/>
  <c r="AZ422" i="1"/>
  <c r="AW422" i="1"/>
  <c r="BA422" i="1"/>
  <c r="AV422" i="1"/>
  <c r="AY487" i="1"/>
  <c r="AZ487" i="1"/>
  <c r="AX487" i="1"/>
  <c r="BA487" i="1"/>
  <c r="AW487" i="1"/>
  <c r="AV487" i="1"/>
  <c r="AY439" i="1"/>
  <c r="AZ439" i="1"/>
  <c r="AW439" i="1"/>
  <c r="AX439" i="1"/>
  <c r="BA439" i="1"/>
  <c r="AV439" i="1"/>
  <c r="AX489" i="1"/>
  <c r="AY489" i="1"/>
  <c r="AZ489" i="1"/>
  <c r="BA489" i="1"/>
  <c r="AW489" i="1"/>
  <c r="AV489" i="1"/>
  <c r="AX401" i="1"/>
  <c r="AY401" i="1"/>
  <c r="BA401" i="1"/>
  <c r="AZ401" i="1"/>
  <c r="AW401" i="1"/>
  <c r="AV401" i="1"/>
  <c r="AZ405" i="1"/>
  <c r="AW405" i="1"/>
  <c r="BA405" i="1"/>
  <c r="AY405" i="1"/>
  <c r="AX405" i="1"/>
  <c r="AV405" i="1"/>
  <c r="AW392" i="1"/>
  <c r="BA392" i="1"/>
  <c r="AX392" i="1"/>
  <c r="AY392" i="1"/>
  <c r="AZ392" i="1"/>
  <c r="AV392" i="1"/>
  <c r="AZ458" i="1"/>
  <c r="AW458" i="1"/>
  <c r="AX458" i="1"/>
  <c r="AY458" i="1"/>
  <c r="BA458" i="1"/>
  <c r="AV458" i="1"/>
  <c r="AY431" i="1"/>
  <c r="AZ431" i="1"/>
  <c r="AX431" i="1"/>
  <c r="BA431" i="1"/>
  <c r="AW431" i="1"/>
  <c r="AV431" i="1"/>
  <c r="AW464" i="1"/>
  <c r="BA464" i="1"/>
  <c r="AX464" i="1"/>
  <c r="AY464" i="1"/>
  <c r="AZ464" i="1"/>
  <c r="AV464" i="1"/>
  <c r="AZ469" i="1"/>
  <c r="AW469" i="1"/>
  <c r="BA469" i="1"/>
  <c r="AY469" i="1"/>
  <c r="AX469" i="1"/>
  <c r="AV469" i="1"/>
  <c r="AZ397" i="1"/>
  <c r="AW397" i="1"/>
  <c r="BA397" i="1"/>
  <c r="AY397" i="1"/>
  <c r="AX397" i="1"/>
  <c r="AV397" i="1"/>
  <c r="AY399" i="1"/>
  <c r="AZ399" i="1"/>
  <c r="BA399" i="1"/>
  <c r="AX399" i="1"/>
  <c r="AW399" i="1"/>
  <c r="AV399" i="1"/>
  <c r="AY407" i="1"/>
  <c r="AZ407" i="1"/>
  <c r="AW407" i="1"/>
  <c r="BA407" i="1"/>
  <c r="AX407" i="1"/>
  <c r="AV407" i="1"/>
  <c r="AW443" i="1"/>
  <c r="BA443" i="1"/>
  <c r="AY443" i="1"/>
  <c r="AZ443" i="1"/>
  <c r="AX443" i="1"/>
  <c r="AV443" i="1"/>
  <c r="AW483" i="1"/>
  <c r="BA483" i="1"/>
  <c r="AZ483" i="1"/>
  <c r="AY483" i="1"/>
  <c r="AX483" i="1"/>
  <c r="AV483" i="1"/>
  <c r="AW451" i="1"/>
  <c r="BA451" i="1"/>
  <c r="AZ451" i="1"/>
  <c r="AY451" i="1"/>
  <c r="AX451" i="1"/>
  <c r="AV451" i="1"/>
  <c r="AX414" i="1"/>
  <c r="AY414" i="1"/>
  <c r="AZ414" i="1"/>
  <c r="AW414" i="1"/>
  <c r="BA414" i="1"/>
  <c r="AV414" i="1"/>
  <c r="AY412" i="1"/>
  <c r="AZ412" i="1"/>
  <c r="AW412" i="1"/>
  <c r="BA412" i="1"/>
  <c r="AX412" i="1"/>
  <c r="AV412" i="1"/>
  <c r="AY463" i="1"/>
  <c r="AZ463" i="1"/>
  <c r="BA463" i="1"/>
  <c r="AX463" i="1"/>
  <c r="AW463" i="1"/>
  <c r="AV463" i="1"/>
  <c r="AX497" i="1"/>
  <c r="AY497" i="1"/>
  <c r="AZ497" i="1"/>
  <c r="BA497" i="1"/>
  <c r="AW497" i="1"/>
  <c r="AV497" i="1"/>
  <c r="AY484" i="1"/>
  <c r="AZ484" i="1"/>
  <c r="AW484" i="1"/>
  <c r="BA484" i="1"/>
  <c r="AX484" i="1"/>
  <c r="AV484" i="1"/>
  <c r="AX13" i="1"/>
  <c r="AV206" i="1"/>
  <c r="AY420" i="1"/>
  <c r="AZ420" i="1"/>
  <c r="AW420" i="1"/>
  <c r="BA420" i="1"/>
  <c r="AX420" i="1"/>
  <c r="AV420" i="1"/>
  <c r="AY452" i="1"/>
  <c r="AZ452" i="1"/>
  <c r="AW452" i="1"/>
  <c r="BA452" i="1"/>
  <c r="AX452" i="1"/>
  <c r="AV452" i="1"/>
  <c r="AZ482" i="1"/>
  <c r="AW482" i="1"/>
  <c r="AX482" i="1"/>
  <c r="AY482" i="1"/>
  <c r="BA482" i="1"/>
  <c r="AV482" i="1"/>
  <c r="AW459" i="1"/>
  <c r="BA459" i="1"/>
  <c r="AZ459" i="1"/>
  <c r="AY459" i="1"/>
  <c r="AX459" i="1"/>
  <c r="AV459" i="1"/>
  <c r="AW456" i="1"/>
  <c r="BA456" i="1"/>
  <c r="AX456" i="1"/>
  <c r="AY456" i="1"/>
  <c r="AZ456" i="1"/>
  <c r="AV456" i="1"/>
  <c r="AX406" i="1"/>
  <c r="AY406" i="1"/>
  <c r="AZ406" i="1"/>
  <c r="AW406" i="1"/>
  <c r="BA406" i="1"/>
  <c r="AV406" i="1"/>
  <c r="AZ474" i="1"/>
  <c r="AW474" i="1"/>
  <c r="AX474" i="1"/>
  <c r="AY474" i="1"/>
  <c r="BA474" i="1"/>
  <c r="AV474" i="1"/>
  <c r="AW432" i="1"/>
  <c r="BA432" i="1"/>
  <c r="AX432" i="1"/>
  <c r="AY432" i="1"/>
  <c r="AZ432" i="1"/>
  <c r="AV432" i="1"/>
  <c r="AX494" i="1"/>
  <c r="AY494" i="1"/>
  <c r="AZ494" i="1"/>
  <c r="AW494" i="1"/>
  <c r="BA494" i="1"/>
  <c r="AV494" i="1"/>
  <c r="AX441" i="1"/>
  <c r="AY441" i="1"/>
  <c r="BA441" i="1"/>
  <c r="AW441" i="1"/>
  <c r="AZ441" i="1"/>
  <c r="AV441" i="1"/>
  <c r="AZ453" i="1"/>
  <c r="AW453" i="1"/>
  <c r="BA453" i="1"/>
  <c r="AX453" i="1"/>
  <c r="AY453" i="1"/>
  <c r="AV453" i="1"/>
  <c r="AW472" i="1"/>
  <c r="BA472" i="1"/>
  <c r="AX472" i="1"/>
  <c r="AY472" i="1"/>
  <c r="AZ472" i="1"/>
  <c r="AV472" i="1"/>
  <c r="AW488" i="1"/>
  <c r="BA488" i="1"/>
  <c r="AX488" i="1"/>
  <c r="AY488" i="1"/>
  <c r="AZ488" i="1"/>
  <c r="AV488" i="1"/>
  <c r="AW403" i="1"/>
  <c r="BA403" i="1"/>
  <c r="AY403" i="1"/>
  <c r="AZ403" i="1"/>
  <c r="AX403" i="1"/>
  <c r="AV403" i="1"/>
  <c r="AW427" i="1"/>
  <c r="BA427" i="1"/>
  <c r="AZ427" i="1"/>
  <c r="AY427" i="1"/>
  <c r="AX427" i="1"/>
  <c r="AV427" i="1"/>
  <c r="AX449" i="1"/>
  <c r="AY449" i="1"/>
  <c r="AZ449" i="1"/>
  <c r="AW449" i="1"/>
  <c r="BA449" i="1"/>
  <c r="AV449" i="1"/>
  <c r="AZ434" i="1"/>
  <c r="AW434" i="1"/>
  <c r="AX434" i="1"/>
  <c r="AY434" i="1"/>
  <c r="BA434" i="1"/>
  <c r="AV434" i="1"/>
  <c r="AZ421" i="1"/>
  <c r="AW421" i="1"/>
  <c r="BA421" i="1"/>
  <c r="AX421" i="1"/>
  <c r="AY421" i="1"/>
  <c r="AV421" i="1"/>
  <c r="AX409" i="1"/>
  <c r="AY409" i="1"/>
  <c r="AW409" i="1"/>
  <c r="BA409" i="1"/>
  <c r="AZ409" i="1"/>
  <c r="AV409" i="1"/>
  <c r="AY468" i="1"/>
  <c r="AZ468" i="1"/>
  <c r="AW468" i="1"/>
  <c r="BA468" i="1"/>
  <c r="AX468" i="1"/>
  <c r="AV468" i="1"/>
  <c r="AY447" i="1"/>
  <c r="AZ447" i="1"/>
  <c r="AW447" i="1"/>
  <c r="BA447" i="1"/>
  <c r="AX447" i="1"/>
  <c r="AV447" i="1"/>
  <c r="AZ426" i="1"/>
  <c r="AW426" i="1"/>
  <c r="AX426" i="1"/>
  <c r="AY426" i="1"/>
  <c r="BA426" i="1"/>
  <c r="AV426" i="1"/>
  <c r="AW424" i="1"/>
  <c r="BA424" i="1"/>
  <c r="AX424" i="1"/>
  <c r="AY424" i="1"/>
  <c r="AZ424" i="1"/>
  <c r="AV424" i="1"/>
  <c r="AX393" i="1"/>
  <c r="AY393" i="1"/>
  <c r="AZ393" i="1"/>
  <c r="AW393" i="1"/>
  <c r="BA393" i="1"/>
  <c r="AV393" i="1"/>
  <c r="AZ389" i="1"/>
  <c r="AW389" i="1"/>
  <c r="BA389" i="1"/>
  <c r="AX389" i="1"/>
  <c r="AY389" i="1"/>
  <c r="AV389" i="1"/>
  <c r="AW419" i="1"/>
  <c r="BA419" i="1"/>
  <c r="AZ419" i="1"/>
  <c r="AY419" i="1"/>
  <c r="AX419" i="1"/>
  <c r="AV419" i="1"/>
  <c r="AX478" i="1"/>
  <c r="AY478" i="1"/>
  <c r="AZ478" i="1"/>
  <c r="AW478" i="1"/>
  <c r="BA478" i="1"/>
  <c r="AV478" i="1"/>
  <c r="AY492" i="1"/>
  <c r="AZ492" i="1"/>
  <c r="AW492" i="1"/>
  <c r="BA492" i="1"/>
  <c r="AX492" i="1"/>
  <c r="AV492" i="1"/>
  <c r="AW491" i="1"/>
  <c r="BA491" i="1"/>
  <c r="AZ491" i="1"/>
  <c r="AY491" i="1"/>
  <c r="AX491" i="1"/>
  <c r="AV491" i="1"/>
  <c r="AZ386" i="1"/>
  <c r="AW386" i="1"/>
  <c r="BA386" i="1"/>
  <c r="AX386" i="1"/>
  <c r="AY386" i="1"/>
  <c r="AV386" i="1"/>
  <c r="AZ490" i="1"/>
  <c r="AW490" i="1"/>
  <c r="AX490" i="1"/>
  <c r="AY490" i="1"/>
  <c r="BA490" i="1"/>
  <c r="AV490" i="1"/>
  <c r="AY460" i="1"/>
  <c r="AZ460" i="1"/>
  <c r="AW460" i="1"/>
  <c r="BA460" i="1"/>
  <c r="AX460" i="1"/>
  <c r="AV460" i="1"/>
  <c r="AY428" i="1"/>
  <c r="AZ428" i="1"/>
  <c r="AW428" i="1"/>
  <c r="BA428" i="1"/>
  <c r="AX428" i="1"/>
  <c r="AV428" i="1"/>
  <c r="AZ394" i="1"/>
  <c r="AW394" i="1"/>
  <c r="BA394" i="1"/>
  <c r="AX394" i="1"/>
  <c r="AY394" i="1"/>
  <c r="AV394" i="1"/>
  <c r="AY444" i="1"/>
  <c r="AZ444" i="1"/>
  <c r="AW444" i="1"/>
  <c r="BA444" i="1"/>
  <c r="AX444" i="1"/>
  <c r="AV444" i="1"/>
  <c r="AX465" i="1"/>
  <c r="AY465" i="1"/>
  <c r="BA465" i="1"/>
  <c r="AZ465" i="1"/>
  <c r="AW465" i="1"/>
  <c r="AV465" i="1"/>
  <c r="AZ402" i="1"/>
  <c r="AW402" i="1"/>
  <c r="AX402" i="1"/>
  <c r="AY402" i="1"/>
  <c r="BA402" i="1"/>
  <c r="AV402" i="1"/>
  <c r="AW496" i="1"/>
  <c r="BA496" i="1"/>
  <c r="AX496" i="1"/>
  <c r="AY496" i="1"/>
  <c r="AZ496" i="1"/>
  <c r="AV496" i="1"/>
  <c r="AW499" i="1"/>
  <c r="BA499" i="1"/>
  <c r="AY499" i="1"/>
  <c r="AZ499" i="1"/>
  <c r="AX499" i="1"/>
  <c r="AV499" i="1"/>
  <c r="AZ477" i="1"/>
  <c r="AW477" i="1"/>
  <c r="BA477" i="1"/>
  <c r="AY477" i="1"/>
  <c r="AX477" i="1"/>
  <c r="AV477" i="1"/>
  <c r="AW345" i="1"/>
  <c r="AY345" i="1"/>
  <c r="AX345" i="1"/>
  <c r="BA345" i="1"/>
  <c r="AZ345" i="1"/>
  <c r="AV345" i="1"/>
  <c r="BA350" i="1"/>
  <c r="AW350" i="1"/>
  <c r="AY350" i="1"/>
  <c r="AZ350" i="1"/>
  <c r="AX350" i="1"/>
  <c r="AV350" i="1"/>
  <c r="AY9" i="1"/>
  <c r="BA149" i="1"/>
  <c r="BA122" i="1"/>
  <c r="AW347" i="1"/>
  <c r="AY347" i="1"/>
  <c r="AZ347" i="1"/>
  <c r="AX347" i="1"/>
  <c r="BA347" i="1"/>
  <c r="AV347" i="1"/>
  <c r="BA358" i="1"/>
  <c r="AW358" i="1"/>
  <c r="AZ358" i="1"/>
  <c r="AY358" i="1"/>
  <c r="AX358" i="1"/>
  <c r="AV358" i="1"/>
  <c r="AZ344" i="1"/>
  <c r="BA344" i="1"/>
  <c r="AY344" i="1"/>
  <c r="AW344" i="1"/>
  <c r="AX344" i="1"/>
  <c r="AV344" i="1"/>
  <c r="AY372" i="1"/>
  <c r="AX372" i="1"/>
  <c r="AW372" i="1"/>
  <c r="AZ372" i="1"/>
  <c r="BA372" i="1"/>
  <c r="AV372" i="1"/>
  <c r="AZ384" i="1"/>
  <c r="AW384" i="1"/>
  <c r="AX384" i="1"/>
  <c r="BA384" i="1"/>
  <c r="AY384" i="1"/>
  <c r="AV384" i="1"/>
  <c r="AY363" i="1"/>
  <c r="AX363" i="1"/>
  <c r="AZ363" i="1"/>
  <c r="AW363" i="1"/>
  <c r="BA363" i="1"/>
  <c r="AV363" i="1"/>
  <c r="AW361" i="1"/>
  <c r="AX361" i="1"/>
  <c r="BA361" i="1"/>
  <c r="AY361" i="1"/>
  <c r="AZ361" i="1"/>
  <c r="AV361" i="1"/>
  <c r="BA87" i="1"/>
  <c r="AY355" i="1"/>
  <c r="AZ355" i="1"/>
  <c r="BA355" i="1"/>
  <c r="AW355" i="1"/>
  <c r="AX355" i="1"/>
  <c r="AV355" i="1"/>
  <c r="AX381" i="1"/>
  <c r="AY381" i="1"/>
  <c r="AZ381" i="1"/>
  <c r="BA381" i="1"/>
  <c r="AW381" i="1"/>
  <c r="AV381" i="1"/>
  <c r="AW348" i="1"/>
  <c r="AY348" i="1"/>
  <c r="AX348" i="1"/>
  <c r="AZ348" i="1"/>
  <c r="BA348" i="1"/>
  <c r="AV348" i="1"/>
  <c r="AV38" i="1"/>
  <c r="BA9" i="1"/>
  <c r="AV171" i="1"/>
  <c r="AW374" i="1"/>
  <c r="BA374" i="1"/>
  <c r="AY374" i="1"/>
  <c r="AZ374" i="1"/>
  <c r="AX374" i="1"/>
  <c r="AV374" i="1"/>
  <c r="AW353" i="1"/>
  <c r="AX353" i="1"/>
  <c r="BA353" i="1"/>
  <c r="AY353" i="1"/>
  <c r="AZ353" i="1"/>
  <c r="AV353" i="1"/>
  <c r="AX379" i="1"/>
  <c r="AZ379" i="1"/>
  <c r="BA379" i="1"/>
  <c r="AW379" i="1"/>
  <c r="AY379" i="1"/>
  <c r="AV379" i="1"/>
  <c r="AY370" i="1"/>
  <c r="AX370" i="1"/>
  <c r="BA370" i="1"/>
  <c r="AZ370" i="1"/>
  <c r="AW370" i="1"/>
  <c r="AV370" i="1"/>
  <c r="AZ368" i="1"/>
  <c r="AW368" i="1"/>
  <c r="AX368" i="1"/>
  <c r="BA368" i="1"/>
  <c r="AY368" i="1"/>
  <c r="AV368" i="1"/>
  <c r="AY371" i="1"/>
  <c r="AX371" i="1"/>
  <c r="AZ371" i="1"/>
  <c r="AW371" i="1"/>
  <c r="BA371" i="1"/>
  <c r="AV371" i="1"/>
  <c r="BA382" i="1"/>
  <c r="AY382" i="1"/>
  <c r="AZ382" i="1"/>
  <c r="AW382" i="1"/>
  <c r="AX382" i="1"/>
  <c r="AV382" i="1"/>
  <c r="AY364" i="1"/>
  <c r="AW364" i="1"/>
  <c r="AX364" i="1"/>
  <c r="BA364" i="1"/>
  <c r="AZ364" i="1"/>
  <c r="AV364" i="1"/>
  <c r="AX38" i="1"/>
  <c r="AV57" i="1"/>
  <c r="AX109" i="1"/>
  <c r="AV105" i="1"/>
  <c r="AZ229" i="1"/>
  <c r="AZ220" i="1"/>
  <c r="AW385" i="1"/>
  <c r="BA385" i="1"/>
  <c r="AY385" i="1"/>
  <c r="AX385" i="1"/>
  <c r="AZ385" i="1"/>
  <c r="AV385" i="1"/>
  <c r="BA366" i="1"/>
  <c r="AW366" i="1"/>
  <c r="AZ366" i="1"/>
  <c r="AY366" i="1"/>
  <c r="AX366" i="1"/>
  <c r="AV366" i="1"/>
  <c r="AY378" i="1"/>
  <c r="AW378" i="1"/>
  <c r="BA378" i="1"/>
  <c r="AZ378" i="1"/>
  <c r="AX378" i="1"/>
  <c r="AV378" i="1"/>
  <c r="AV139" i="1"/>
  <c r="AW367" i="1"/>
  <c r="BA367" i="1"/>
  <c r="AZ367" i="1"/>
  <c r="AY367" i="1"/>
  <c r="AX367" i="1"/>
  <c r="AV367" i="1"/>
  <c r="AY351" i="1"/>
  <c r="BA351" i="1"/>
  <c r="AZ351" i="1"/>
  <c r="AW351" i="1"/>
  <c r="AX351" i="1"/>
  <c r="AV351" i="1"/>
  <c r="AY354" i="1"/>
  <c r="AZ354" i="1"/>
  <c r="AW354" i="1"/>
  <c r="BA354" i="1"/>
  <c r="AX354" i="1"/>
  <c r="AV354" i="1"/>
  <c r="AX380" i="1"/>
  <c r="AZ380" i="1"/>
  <c r="BA380" i="1"/>
  <c r="AW380" i="1"/>
  <c r="AY380" i="1"/>
  <c r="AV380" i="1"/>
  <c r="AW359" i="1"/>
  <c r="AY359" i="1"/>
  <c r="BA359" i="1"/>
  <c r="AZ359" i="1"/>
  <c r="AX359" i="1"/>
  <c r="AV359" i="1"/>
  <c r="AW377" i="1"/>
  <c r="BA377" i="1"/>
  <c r="AZ377" i="1"/>
  <c r="AY377" i="1"/>
  <c r="AX377" i="1"/>
  <c r="AV377" i="1"/>
  <c r="AZ352" i="1"/>
  <c r="AW352" i="1"/>
  <c r="AY352" i="1"/>
  <c r="BA352" i="1"/>
  <c r="AX352" i="1"/>
  <c r="AV352" i="1"/>
  <c r="AW375" i="1"/>
  <c r="AY375" i="1"/>
  <c r="AZ375" i="1"/>
  <c r="BA375" i="1"/>
  <c r="AX375" i="1"/>
  <c r="AV375" i="1"/>
  <c r="AY373" i="1"/>
  <c r="AW373" i="1"/>
  <c r="AX373" i="1"/>
  <c r="AZ373" i="1"/>
  <c r="BA373" i="1"/>
  <c r="AV373" i="1"/>
  <c r="AY349" i="1"/>
  <c r="AW349" i="1"/>
  <c r="AX349" i="1"/>
  <c r="AZ349" i="1"/>
  <c r="BA349" i="1"/>
  <c r="AV349" i="1"/>
  <c r="AY346" i="1"/>
  <c r="BA346" i="1"/>
  <c r="AZ346" i="1"/>
  <c r="AW346" i="1"/>
  <c r="AX346" i="1"/>
  <c r="AV346" i="1"/>
  <c r="BA38" i="1"/>
  <c r="AY57" i="1"/>
  <c r="AV9" i="1"/>
  <c r="AX105" i="1"/>
  <c r="AX149" i="1"/>
  <c r="AZ360" i="1"/>
  <c r="AY360" i="1"/>
  <c r="AW360" i="1"/>
  <c r="BA360" i="1"/>
  <c r="AX360" i="1"/>
  <c r="AV360" i="1"/>
  <c r="AW369" i="1"/>
  <c r="AX369" i="1"/>
  <c r="BA369" i="1"/>
  <c r="AZ369" i="1"/>
  <c r="AY369" i="1"/>
  <c r="AV369" i="1"/>
  <c r="AZ376" i="1"/>
  <c r="AW376" i="1"/>
  <c r="AY376" i="1"/>
  <c r="AX376" i="1"/>
  <c r="BA376" i="1"/>
  <c r="AV376" i="1"/>
  <c r="AW365" i="1"/>
  <c r="AY365" i="1"/>
  <c r="AX365" i="1"/>
  <c r="AZ365" i="1"/>
  <c r="BA365" i="1"/>
  <c r="AV365" i="1"/>
  <c r="AW356" i="1"/>
  <c r="AY356" i="1"/>
  <c r="AZ356" i="1"/>
  <c r="BA356" i="1"/>
  <c r="AX356" i="1"/>
  <c r="AV356" i="1"/>
  <c r="AW383" i="1"/>
  <c r="BA383" i="1"/>
  <c r="AY383" i="1"/>
  <c r="AZ383" i="1"/>
  <c r="AX383" i="1"/>
  <c r="AV383" i="1"/>
  <c r="AW357" i="1"/>
  <c r="AY357" i="1"/>
  <c r="AZ357" i="1"/>
  <c r="BA357" i="1"/>
  <c r="AX357" i="1"/>
  <c r="AV357" i="1"/>
  <c r="AY362" i="1"/>
  <c r="AX362" i="1"/>
  <c r="AW362" i="1"/>
  <c r="BA362" i="1"/>
  <c r="AZ362" i="1"/>
  <c r="AV362" i="1"/>
  <c r="AW299" i="1"/>
  <c r="AY299" i="1"/>
  <c r="AZ299" i="1"/>
  <c r="BA299" i="1"/>
  <c r="AX299" i="1"/>
  <c r="AV299" i="1"/>
  <c r="BA276" i="1"/>
  <c r="AY276" i="1"/>
  <c r="AZ276" i="1"/>
  <c r="AW276" i="1"/>
  <c r="AX276" i="1"/>
  <c r="AV276" i="1"/>
  <c r="AW286" i="1"/>
  <c r="AY286" i="1"/>
  <c r="BA286" i="1"/>
  <c r="AZ286" i="1"/>
  <c r="AX286" i="1"/>
  <c r="AV286" i="1"/>
  <c r="AW267" i="1"/>
  <c r="AY267" i="1"/>
  <c r="AX267" i="1"/>
  <c r="AZ267" i="1"/>
  <c r="BA267" i="1"/>
  <c r="AV267" i="1"/>
  <c r="BA341" i="1"/>
  <c r="AZ341" i="1"/>
  <c r="AY341" i="1"/>
  <c r="AW341" i="1"/>
  <c r="AX341" i="1"/>
  <c r="AV341" i="1"/>
  <c r="AW297" i="1"/>
  <c r="AZ297" i="1"/>
  <c r="BA297" i="1"/>
  <c r="AX297" i="1"/>
  <c r="AY297" i="1"/>
  <c r="AV297" i="1"/>
  <c r="AY303" i="1"/>
  <c r="AW303" i="1"/>
  <c r="BA303" i="1"/>
  <c r="AZ303" i="1"/>
  <c r="AX303" i="1"/>
  <c r="AV303" i="1"/>
  <c r="AW238" i="1"/>
  <c r="AY238" i="1"/>
  <c r="AZ238" i="1"/>
  <c r="BA238" i="1"/>
  <c r="AX238" i="1"/>
  <c r="AV238" i="1"/>
  <c r="AW254" i="1"/>
  <c r="AY254" i="1"/>
  <c r="AX254" i="1"/>
  <c r="BA254" i="1"/>
  <c r="AZ254" i="1"/>
  <c r="AV254" i="1"/>
  <c r="AW300" i="1"/>
  <c r="BA300" i="1"/>
  <c r="AY300" i="1"/>
  <c r="AZ300" i="1"/>
  <c r="AX300" i="1"/>
  <c r="AV300" i="1"/>
  <c r="AW310" i="1"/>
  <c r="AY310" i="1"/>
  <c r="BA310" i="1"/>
  <c r="AZ310" i="1"/>
  <c r="AX310" i="1"/>
  <c r="AV310" i="1"/>
  <c r="AW279" i="1"/>
  <c r="BA279" i="1"/>
  <c r="AY279" i="1"/>
  <c r="AZ279" i="1"/>
  <c r="AX279" i="1"/>
  <c r="AV279" i="1"/>
  <c r="AW291" i="1"/>
  <c r="AY291" i="1"/>
  <c r="AX291" i="1"/>
  <c r="AZ291" i="1"/>
  <c r="BA291" i="1"/>
  <c r="AV291" i="1"/>
  <c r="AX245" i="1"/>
  <c r="BA245" i="1"/>
  <c r="AY245" i="1"/>
  <c r="AZ245" i="1"/>
  <c r="AW245" i="1"/>
  <c r="AV245" i="1"/>
  <c r="AW274" i="1"/>
  <c r="AX274" i="1"/>
  <c r="AZ274" i="1"/>
  <c r="AY274" i="1"/>
  <c r="BA274" i="1"/>
  <c r="AV274" i="1"/>
  <c r="BA284" i="1"/>
  <c r="AW284" i="1"/>
  <c r="AY284" i="1"/>
  <c r="AX284" i="1"/>
  <c r="AZ284" i="1"/>
  <c r="AV284" i="1"/>
  <c r="AV123" i="1"/>
  <c r="AV181" i="1"/>
  <c r="AY295" i="1"/>
  <c r="BA295" i="1"/>
  <c r="AZ295" i="1"/>
  <c r="AW295" i="1"/>
  <c r="AX295" i="1"/>
  <c r="AV295" i="1"/>
  <c r="AW264" i="1"/>
  <c r="AZ264" i="1"/>
  <c r="AY264" i="1"/>
  <c r="BA264" i="1"/>
  <c r="AX264" i="1"/>
  <c r="AV264" i="1"/>
  <c r="AX252" i="1"/>
  <c r="BA252" i="1"/>
  <c r="AY252" i="1"/>
  <c r="AW252" i="1"/>
  <c r="AZ252" i="1"/>
  <c r="AV252" i="1"/>
  <c r="AW266" i="1"/>
  <c r="AX266" i="1"/>
  <c r="AZ266" i="1"/>
  <c r="BA266" i="1"/>
  <c r="AY266" i="1"/>
  <c r="AV266" i="1"/>
  <c r="AY293" i="1"/>
  <c r="BA293" i="1"/>
  <c r="AW293" i="1"/>
  <c r="AZ293" i="1"/>
  <c r="AX293" i="1"/>
  <c r="AV293" i="1"/>
  <c r="AX253" i="1"/>
  <c r="BA253" i="1"/>
  <c r="AZ253" i="1"/>
  <c r="AY253" i="1"/>
  <c r="AW253" i="1"/>
  <c r="AV253" i="1"/>
  <c r="AW288" i="1"/>
  <c r="AZ288" i="1"/>
  <c r="AX288" i="1"/>
  <c r="BA288" i="1"/>
  <c r="AY288" i="1"/>
  <c r="AV288" i="1"/>
  <c r="AW241" i="1"/>
  <c r="AY241" i="1"/>
  <c r="AX241" i="1"/>
  <c r="AZ241" i="1"/>
  <c r="BA241" i="1"/>
  <c r="AV241" i="1"/>
  <c r="AW251" i="1"/>
  <c r="AY251" i="1"/>
  <c r="AZ251" i="1"/>
  <c r="AX251" i="1"/>
  <c r="BA251" i="1"/>
  <c r="AV251" i="1"/>
  <c r="AW236" i="1"/>
  <c r="BA236" i="1"/>
  <c r="AY236" i="1"/>
  <c r="AX236" i="1"/>
  <c r="AZ236" i="1"/>
  <c r="AV236" i="1"/>
  <c r="AW289" i="1"/>
  <c r="AZ289" i="1"/>
  <c r="AY289" i="1"/>
  <c r="AX289" i="1"/>
  <c r="BA289" i="1"/>
  <c r="AV289" i="1"/>
  <c r="AY33" i="1"/>
  <c r="AZ206" i="1"/>
  <c r="BA181" i="1"/>
  <c r="AW280" i="1"/>
  <c r="AZ280" i="1"/>
  <c r="AX280" i="1"/>
  <c r="AY280" i="1"/>
  <c r="BA280" i="1"/>
  <c r="AV280" i="1"/>
  <c r="AW243" i="1"/>
  <c r="AY243" i="1"/>
  <c r="AX243" i="1"/>
  <c r="AZ243" i="1"/>
  <c r="BA243" i="1"/>
  <c r="AV243" i="1"/>
  <c r="AY271" i="1"/>
  <c r="BA271" i="1"/>
  <c r="AW271" i="1"/>
  <c r="AZ271" i="1"/>
  <c r="AX271" i="1"/>
  <c r="AV271" i="1"/>
  <c r="AW281" i="1"/>
  <c r="AY281" i="1"/>
  <c r="AZ281" i="1"/>
  <c r="AX281" i="1"/>
  <c r="BA281" i="1"/>
  <c r="AV281" i="1"/>
  <c r="AW321" i="1"/>
  <c r="AZ321" i="1"/>
  <c r="AX321" i="1"/>
  <c r="AY321" i="1"/>
  <c r="BA321" i="1"/>
  <c r="AV321" i="1"/>
  <c r="AY263" i="1"/>
  <c r="AW263" i="1"/>
  <c r="BA263" i="1"/>
  <c r="AZ263" i="1"/>
  <c r="AX263" i="1"/>
  <c r="AV263" i="1"/>
  <c r="AW249" i="1"/>
  <c r="AY249" i="1"/>
  <c r="AZ249" i="1"/>
  <c r="AX249" i="1"/>
  <c r="BA249" i="1"/>
  <c r="AV249" i="1"/>
  <c r="BA268" i="1"/>
  <c r="AX268" i="1"/>
  <c r="AY268" i="1"/>
  <c r="AW268" i="1"/>
  <c r="AZ268" i="1"/>
  <c r="AV268" i="1"/>
  <c r="AW306" i="1"/>
  <c r="AX306" i="1"/>
  <c r="AZ306" i="1"/>
  <c r="AY306" i="1"/>
  <c r="BA306" i="1"/>
  <c r="AV306" i="1"/>
  <c r="AW337" i="1"/>
  <c r="AZ337" i="1"/>
  <c r="AY337" i="1"/>
  <c r="BA337" i="1"/>
  <c r="AX337" i="1"/>
  <c r="AV337" i="1"/>
  <c r="AX237" i="1"/>
  <c r="AZ237" i="1"/>
  <c r="AW237" i="1"/>
  <c r="BA237" i="1"/>
  <c r="AY237" i="1"/>
  <c r="AV237" i="1"/>
  <c r="AW314" i="1"/>
  <c r="AX314" i="1"/>
  <c r="AY314" i="1"/>
  <c r="AZ314" i="1"/>
  <c r="BA314" i="1"/>
  <c r="AV314" i="1"/>
  <c r="AW290" i="1"/>
  <c r="AX290" i="1"/>
  <c r="AZ290" i="1"/>
  <c r="BA290" i="1"/>
  <c r="AY290" i="1"/>
  <c r="AV290" i="1"/>
  <c r="AY325" i="1"/>
  <c r="BA325" i="1"/>
  <c r="AW325" i="1"/>
  <c r="AZ325" i="1"/>
  <c r="AX325" i="1"/>
  <c r="AV325" i="1"/>
  <c r="BA332" i="1"/>
  <c r="AW332" i="1"/>
  <c r="AY332" i="1"/>
  <c r="AZ332" i="1"/>
  <c r="AX332" i="1"/>
  <c r="AV332" i="1"/>
  <c r="AW312" i="1"/>
  <c r="AZ312" i="1"/>
  <c r="AY312" i="1"/>
  <c r="BA312" i="1"/>
  <c r="AX312" i="1"/>
  <c r="AV312" i="1"/>
  <c r="AW339" i="1"/>
  <c r="AY339" i="1"/>
  <c r="AZ339" i="1"/>
  <c r="AX339" i="1"/>
  <c r="BA339" i="1"/>
  <c r="AV339" i="1"/>
  <c r="AX277" i="1"/>
  <c r="AW277" i="1"/>
  <c r="BA277" i="1"/>
  <c r="AY277" i="1"/>
  <c r="AZ277" i="1"/>
  <c r="AV277" i="1"/>
  <c r="AW326" i="1"/>
  <c r="AY326" i="1"/>
  <c r="BA326" i="1"/>
  <c r="AX326" i="1"/>
  <c r="AZ326" i="1"/>
  <c r="AV326" i="1"/>
  <c r="AX269" i="1"/>
  <c r="BA269" i="1"/>
  <c r="AW269" i="1"/>
  <c r="AY269" i="1"/>
  <c r="AZ269" i="1"/>
  <c r="AV269" i="1"/>
  <c r="BA309" i="1"/>
  <c r="AY309" i="1"/>
  <c r="AW309" i="1"/>
  <c r="AZ309" i="1"/>
  <c r="AX309" i="1"/>
  <c r="AV309" i="1"/>
  <c r="AW331" i="1"/>
  <c r="AY331" i="1"/>
  <c r="AX331" i="1"/>
  <c r="AZ331" i="1"/>
  <c r="BA331" i="1"/>
  <c r="AV331" i="1"/>
  <c r="BA317" i="1"/>
  <c r="AY317" i="1"/>
  <c r="AW317" i="1"/>
  <c r="AZ317" i="1"/>
  <c r="AX317" i="1"/>
  <c r="AV317" i="1"/>
  <c r="AX330" i="1"/>
  <c r="AZ330" i="1"/>
  <c r="BA330" i="1"/>
  <c r="AY330" i="1"/>
  <c r="AW330" i="1"/>
  <c r="AV330" i="1"/>
  <c r="AY260" i="1"/>
  <c r="BA260" i="1"/>
  <c r="AW260" i="1"/>
  <c r="AX260" i="1"/>
  <c r="AZ260" i="1"/>
  <c r="AV260" i="1"/>
  <c r="AW270" i="1"/>
  <c r="AY270" i="1"/>
  <c r="BA270" i="1"/>
  <c r="AX270" i="1"/>
  <c r="AZ270" i="1"/>
  <c r="AV270" i="1"/>
  <c r="AZ196" i="1"/>
  <c r="AV218" i="1"/>
  <c r="AW335" i="1"/>
  <c r="AY335" i="1"/>
  <c r="BA335" i="1"/>
  <c r="AZ335" i="1"/>
  <c r="AX335" i="1"/>
  <c r="AV335" i="1"/>
  <c r="AW283" i="1"/>
  <c r="AY283" i="1"/>
  <c r="AX283" i="1"/>
  <c r="AZ283" i="1"/>
  <c r="BA283" i="1"/>
  <c r="AV283" i="1"/>
  <c r="AW242" i="1"/>
  <c r="AX242" i="1"/>
  <c r="BA242" i="1"/>
  <c r="AY242" i="1"/>
  <c r="AZ242" i="1"/>
  <c r="AV242" i="1"/>
  <c r="BA343" i="1"/>
  <c r="AY343" i="1"/>
  <c r="AZ343" i="1"/>
  <c r="AW343" i="1"/>
  <c r="AX343" i="1"/>
  <c r="AV343" i="1"/>
  <c r="AW315" i="1"/>
  <c r="AY315" i="1"/>
  <c r="AZ315" i="1"/>
  <c r="AX315" i="1"/>
  <c r="BA315" i="1"/>
  <c r="AV315" i="1"/>
  <c r="AW304" i="1"/>
  <c r="AX304" i="1"/>
  <c r="AZ304" i="1"/>
  <c r="AY304" i="1"/>
  <c r="BA304" i="1"/>
  <c r="AV304" i="1"/>
  <c r="AW313" i="1"/>
  <c r="AY313" i="1"/>
  <c r="AZ313" i="1"/>
  <c r="AX313" i="1"/>
  <c r="BA313" i="1"/>
  <c r="AV313" i="1"/>
  <c r="AW257" i="1"/>
  <c r="AY257" i="1"/>
  <c r="AZ257" i="1"/>
  <c r="AX257" i="1"/>
  <c r="BA257" i="1"/>
  <c r="AV257" i="1"/>
  <c r="AW301" i="1"/>
  <c r="BA301" i="1"/>
  <c r="AY301" i="1"/>
  <c r="AZ301" i="1"/>
  <c r="AX301" i="1"/>
  <c r="AV301" i="1"/>
  <c r="AW282" i="1"/>
  <c r="AX282" i="1"/>
  <c r="AY282" i="1"/>
  <c r="AZ282" i="1"/>
  <c r="BA282" i="1"/>
  <c r="AV282" i="1"/>
  <c r="AZ336" i="1"/>
  <c r="AW336" i="1"/>
  <c r="AY336" i="1"/>
  <c r="BA336" i="1"/>
  <c r="AX336" i="1"/>
  <c r="AV336" i="1"/>
  <c r="BA340" i="1"/>
  <c r="AW340" i="1"/>
  <c r="AZ340" i="1"/>
  <c r="AY340" i="1"/>
  <c r="AX340" i="1"/>
  <c r="AV340" i="1"/>
  <c r="BA311" i="1"/>
  <c r="AY311" i="1"/>
  <c r="AW311" i="1"/>
  <c r="AZ311" i="1"/>
  <c r="AX311" i="1"/>
  <c r="AV311" i="1"/>
  <c r="BA244" i="1"/>
  <c r="AW244" i="1"/>
  <c r="AX244" i="1"/>
  <c r="AY244" i="1"/>
  <c r="AZ244" i="1"/>
  <c r="AV244" i="1"/>
  <c r="AW246" i="1"/>
  <c r="AY246" i="1"/>
  <c r="AZ246" i="1"/>
  <c r="BA246" i="1"/>
  <c r="AX246" i="1"/>
  <c r="AV246" i="1"/>
  <c r="AW329" i="1"/>
  <c r="AX329" i="1"/>
  <c r="AZ329" i="1"/>
  <c r="BA329" i="1"/>
  <c r="AY329" i="1"/>
  <c r="AV329" i="1"/>
  <c r="AW240" i="1"/>
  <c r="AX240" i="1"/>
  <c r="AZ240" i="1"/>
  <c r="AY240" i="1"/>
  <c r="BA240" i="1"/>
  <c r="AV240" i="1"/>
  <c r="AW307" i="1"/>
  <c r="AY307" i="1"/>
  <c r="AX307" i="1"/>
  <c r="AZ307" i="1"/>
  <c r="BA307" i="1"/>
  <c r="AV307" i="1"/>
  <c r="AW320" i="1"/>
  <c r="AZ320" i="1"/>
  <c r="AX320" i="1"/>
  <c r="BA320" i="1"/>
  <c r="AY320" i="1"/>
  <c r="AV320" i="1"/>
  <c r="BA285" i="1"/>
  <c r="AW285" i="1"/>
  <c r="AY285" i="1"/>
  <c r="AZ285" i="1"/>
  <c r="AX285" i="1"/>
  <c r="AV285" i="1"/>
  <c r="AW250" i="1"/>
  <c r="AX250" i="1"/>
  <c r="AY250" i="1"/>
  <c r="AZ250" i="1"/>
  <c r="BA250" i="1"/>
  <c r="AV250" i="1"/>
  <c r="AX261" i="1"/>
  <c r="AY261" i="1"/>
  <c r="BA261" i="1"/>
  <c r="AW261" i="1"/>
  <c r="AZ261" i="1"/>
  <c r="AV261" i="1"/>
  <c r="AY292" i="1"/>
  <c r="BA292" i="1"/>
  <c r="AZ292" i="1"/>
  <c r="AW292" i="1"/>
  <c r="AX292" i="1"/>
  <c r="AV292" i="1"/>
  <c r="AW342" i="1"/>
  <c r="AY342" i="1"/>
  <c r="AX342" i="1"/>
  <c r="BA342" i="1"/>
  <c r="AZ342" i="1"/>
  <c r="AV342" i="1"/>
  <c r="AW302" i="1"/>
  <c r="AY302" i="1"/>
  <c r="BA302" i="1"/>
  <c r="AZ302" i="1"/>
  <c r="AX302" i="1"/>
  <c r="AV302" i="1"/>
  <c r="BA308" i="1"/>
  <c r="AW308" i="1"/>
  <c r="AY308" i="1"/>
  <c r="AZ308" i="1"/>
  <c r="AX308" i="1"/>
  <c r="AV308" i="1"/>
  <c r="AW265" i="1"/>
  <c r="AX265" i="1"/>
  <c r="AZ265" i="1"/>
  <c r="BA265" i="1"/>
  <c r="AY265" i="1"/>
  <c r="AV265" i="1"/>
  <c r="BA13" i="1"/>
  <c r="AY166" i="1"/>
  <c r="AV229" i="1"/>
  <c r="AZ152" i="1"/>
  <c r="BA225" i="1"/>
  <c r="AX338" i="1"/>
  <c r="AW338" i="1"/>
  <c r="AZ338" i="1"/>
  <c r="AY338" i="1"/>
  <c r="BA338" i="1"/>
  <c r="AV338" i="1"/>
  <c r="AW294" i="1"/>
  <c r="AY294" i="1"/>
  <c r="AX294" i="1"/>
  <c r="BA294" i="1"/>
  <c r="AZ294" i="1"/>
  <c r="AV294" i="1"/>
  <c r="BA316" i="1"/>
  <c r="AY316" i="1"/>
  <c r="AW316" i="1"/>
  <c r="AZ316" i="1"/>
  <c r="AX316" i="1"/>
  <c r="AV316" i="1"/>
  <c r="AW328" i="1"/>
  <c r="AZ328" i="1"/>
  <c r="AY328" i="1"/>
  <c r="AX328" i="1"/>
  <c r="BA328" i="1"/>
  <c r="AV328" i="1"/>
  <c r="AW272" i="1"/>
  <c r="AZ272" i="1"/>
  <c r="AY272" i="1"/>
  <c r="BA272" i="1"/>
  <c r="AX272" i="1"/>
  <c r="AV272" i="1"/>
  <c r="AW273" i="1"/>
  <c r="AZ273" i="1"/>
  <c r="AY273" i="1"/>
  <c r="BA273" i="1"/>
  <c r="AX273" i="1"/>
  <c r="AV273" i="1"/>
  <c r="AW318" i="1"/>
  <c r="AY318" i="1"/>
  <c r="AX318" i="1"/>
  <c r="BA318" i="1"/>
  <c r="AZ318" i="1"/>
  <c r="AV318" i="1"/>
  <c r="AZ247" i="1"/>
  <c r="AY247" i="1"/>
  <c r="BA247" i="1"/>
  <c r="AW247" i="1"/>
  <c r="AX247" i="1"/>
  <c r="AV247" i="1"/>
  <c r="AX322" i="1"/>
  <c r="AW322" i="1"/>
  <c r="AZ322" i="1"/>
  <c r="BA322" i="1"/>
  <c r="AY322" i="1"/>
  <c r="AV322" i="1"/>
  <c r="AW275" i="1"/>
  <c r="AY275" i="1"/>
  <c r="AZ275" i="1"/>
  <c r="AX275" i="1"/>
  <c r="BA275" i="1"/>
  <c r="AV275" i="1"/>
  <c r="AW278" i="1"/>
  <c r="AY278" i="1"/>
  <c r="AX278" i="1"/>
  <c r="BA278" i="1"/>
  <c r="AZ278" i="1"/>
  <c r="AV278" i="1"/>
  <c r="AW262" i="1"/>
  <c r="AY262" i="1"/>
  <c r="BA262" i="1"/>
  <c r="AX262" i="1"/>
  <c r="AZ262" i="1"/>
  <c r="AV262" i="1"/>
  <c r="AZ255" i="1"/>
  <c r="AW255" i="1"/>
  <c r="BA255" i="1"/>
  <c r="AY255" i="1"/>
  <c r="AX255" i="1"/>
  <c r="AV255" i="1"/>
  <c r="AW298" i="1"/>
  <c r="AX298" i="1"/>
  <c r="AZ298" i="1"/>
  <c r="BA298" i="1"/>
  <c r="AY298" i="1"/>
  <c r="AV298" i="1"/>
  <c r="AW296" i="1"/>
  <c r="AZ296" i="1"/>
  <c r="AX296" i="1"/>
  <c r="AY296" i="1"/>
  <c r="BA296" i="1"/>
  <c r="AV296" i="1"/>
  <c r="AW305" i="1"/>
  <c r="AX305" i="1"/>
  <c r="AZ305" i="1"/>
  <c r="AY305" i="1"/>
  <c r="BA305" i="1"/>
  <c r="AV305" i="1"/>
  <c r="AW334" i="1"/>
  <c r="AY334" i="1"/>
  <c r="BA334" i="1"/>
  <c r="AX334" i="1"/>
  <c r="AZ334" i="1"/>
  <c r="AV334" i="1"/>
  <c r="AW319" i="1"/>
  <c r="BA319" i="1"/>
  <c r="AZ319" i="1"/>
  <c r="AY319" i="1"/>
  <c r="AX319" i="1"/>
  <c r="AV319" i="1"/>
  <c r="AW323" i="1"/>
  <c r="AY323" i="1"/>
  <c r="AZ323" i="1"/>
  <c r="AX323" i="1"/>
  <c r="BA323" i="1"/>
  <c r="AV323" i="1"/>
  <c r="AZ239" i="1"/>
  <c r="AW239" i="1"/>
  <c r="AY239" i="1"/>
  <c r="BA239" i="1"/>
  <c r="AX239" i="1"/>
  <c r="AV239" i="1"/>
  <c r="AY327" i="1"/>
  <c r="BA327" i="1"/>
  <c r="AW327" i="1"/>
  <c r="AZ327" i="1"/>
  <c r="AX327" i="1"/>
  <c r="AV327" i="1"/>
  <c r="AY324" i="1"/>
  <c r="BA324" i="1"/>
  <c r="AW324" i="1"/>
  <c r="AX324" i="1"/>
  <c r="AZ324" i="1"/>
  <c r="AV324" i="1"/>
  <c r="BA333" i="1"/>
  <c r="AY333" i="1"/>
  <c r="AW333" i="1"/>
  <c r="AZ333" i="1"/>
  <c r="AX333" i="1"/>
  <c r="AV333" i="1"/>
  <c r="AW258" i="1"/>
  <c r="AX258" i="1"/>
  <c r="AZ258" i="1"/>
  <c r="BA258" i="1"/>
  <c r="AY258" i="1"/>
  <c r="AV258" i="1"/>
  <c r="AW259" i="1"/>
  <c r="AY259" i="1"/>
  <c r="AZ259" i="1"/>
  <c r="AX259" i="1"/>
  <c r="BA259" i="1"/>
  <c r="AV259" i="1"/>
  <c r="AW248" i="1"/>
  <c r="AY248" i="1"/>
  <c r="AZ248" i="1"/>
  <c r="AX248" i="1"/>
  <c r="BA248" i="1"/>
  <c r="AV248" i="1"/>
  <c r="AW256" i="1"/>
  <c r="AZ256" i="1"/>
  <c r="AX256" i="1"/>
  <c r="AY256" i="1"/>
  <c r="BA256" i="1"/>
  <c r="AV256" i="1"/>
  <c r="BA287" i="1"/>
  <c r="AW287" i="1"/>
  <c r="AY287" i="1"/>
  <c r="AZ287" i="1"/>
  <c r="AX287" i="1"/>
  <c r="AV287" i="1"/>
  <c r="AZ187" i="1"/>
  <c r="AW187" i="1"/>
  <c r="AZ109" i="1"/>
  <c r="AX166" i="1"/>
  <c r="AY182" i="1"/>
  <c r="AZ172" i="1"/>
  <c r="AZ218" i="1"/>
  <c r="AV121" i="1"/>
  <c r="AW121" i="1"/>
  <c r="AZ123" i="1"/>
  <c r="AW123" i="1"/>
  <c r="AV152" i="1"/>
  <c r="AW152" i="1"/>
  <c r="AX182" i="1"/>
  <c r="AV33" i="1"/>
  <c r="BA109" i="1"/>
  <c r="BA123" i="1"/>
  <c r="AX121" i="1"/>
  <c r="AZ166" i="1"/>
  <c r="AZ182" i="1"/>
  <c r="AX218" i="1"/>
  <c r="AY181" i="1"/>
  <c r="AZ100" i="1"/>
  <c r="AW100" i="1"/>
  <c r="AX99" i="1"/>
  <c r="AW99" i="1"/>
  <c r="AY172" i="1"/>
  <c r="AW172" i="1"/>
  <c r="AV166" i="1"/>
  <c r="BA172" i="1"/>
  <c r="AX33" i="1"/>
  <c r="BA166" i="1"/>
  <c r="BA182" i="1"/>
  <c r="AZ181" i="1"/>
  <c r="AZ122" i="1"/>
  <c r="AW122" i="1"/>
  <c r="AX46" i="1"/>
  <c r="AW46" i="1"/>
  <c r="AY171" i="1"/>
  <c r="AW171" i="1"/>
  <c r="AZ87" i="1"/>
  <c r="AW87" i="1"/>
  <c r="AY220" i="1"/>
  <c r="AW220" i="1"/>
  <c r="AZ33" i="1"/>
  <c r="BA229" i="1"/>
  <c r="AX187" i="1"/>
  <c r="AZ34" i="1"/>
  <c r="AW34" i="1"/>
  <c r="AV108" i="1"/>
  <c r="AW108" i="1"/>
  <c r="AZ62" i="1"/>
  <c r="AW62" i="1"/>
  <c r="BA33" i="1"/>
  <c r="AZ223" i="1"/>
  <c r="AW223" i="1"/>
  <c r="AX227" i="1"/>
  <c r="AW227" i="1"/>
  <c r="AY109" i="1"/>
  <c r="AY229" i="1"/>
  <c r="BA220" i="1"/>
  <c r="AV182" i="1"/>
  <c r="AV172" i="1"/>
  <c r="AV227" i="1"/>
  <c r="AV50" i="1"/>
  <c r="AW50" i="1"/>
  <c r="AV213" i="1"/>
  <c r="AW213" i="1"/>
  <c r="AX139" i="1"/>
  <c r="AW139" i="1"/>
  <c r="AX192" i="1"/>
  <c r="AX196" i="1"/>
  <c r="BA187" i="1"/>
  <c r="AV62" i="1"/>
  <c r="BA192" i="1"/>
  <c r="BA66" i="1"/>
  <c r="AY62" i="1"/>
  <c r="AY123" i="1"/>
  <c r="AZ121" i="1"/>
  <c r="BA213" i="1"/>
  <c r="AX66" i="1"/>
  <c r="AV109" i="1"/>
  <c r="BA121" i="1"/>
  <c r="AV220" i="1"/>
  <c r="AZ213" i="1"/>
  <c r="AZ232" i="1"/>
  <c r="AY227" i="1"/>
  <c r="AY66" i="1"/>
  <c r="BA62" i="1"/>
  <c r="AV223" i="1"/>
  <c r="AX34" i="1"/>
  <c r="BA96" i="1"/>
  <c r="AY139" i="1"/>
  <c r="BA152" i="1"/>
  <c r="BA196" i="1"/>
  <c r="AY218" i="1"/>
  <c r="BA100" i="1"/>
  <c r="AX96" i="1"/>
  <c r="AV177" i="1"/>
  <c r="BA34" i="1"/>
  <c r="AV97" i="1"/>
  <c r="AZ99" i="1"/>
  <c r="AX108" i="1"/>
  <c r="AX100" i="1"/>
  <c r="AY121" i="1"/>
  <c r="AV86" i="1"/>
  <c r="AY192" i="1"/>
  <c r="AZ177" i="1"/>
  <c r="AX171" i="1"/>
  <c r="AY152" i="1"/>
  <c r="AX213" i="1"/>
  <c r="AY187" i="1"/>
  <c r="BA218" i="1"/>
  <c r="BA97" i="1"/>
  <c r="AY100" i="1"/>
  <c r="BA86" i="1"/>
  <c r="AX177" i="1"/>
  <c r="AX62" i="1"/>
  <c r="AZ97" i="1"/>
  <c r="AV96" i="1"/>
  <c r="AY86" i="1"/>
  <c r="AV87" i="1"/>
  <c r="BA177" i="1"/>
  <c r="AV196" i="1"/>
  <c r="AX97" i="1"/>
  <c r="AY96" i="1"/>
  <c r="AZ86" i="1"/>
  <c r="AY177" i="1"/>
  <c r="AV46" i="1"/>
  <c r="AY97" i="1"/>
  <c r="AV99" i="1"/>
  <c r="AV100" i="1"/>
  <c r="AZ96" i="1"/>
  <c r="AX86" i="1"/>
  <c r="AY87" i="1"/>
  <c r="AV122" i="1"/>
  <c r="BA171" i="1"/>
  <c r="AY196" i="1"/>
  <c r="AZ226" i="1"/>
  <c r="BA108" i="1"/>
  <c r="AY223" i="1"/>
  <c r="AZ227" i="1"/>
  <c r="AZ108" i="1"/>
  <c r="AV192" i="1"/>
  <c r="AX223" i="1"/>
  <c r="AV226" i="1"/>
  <c r="AV232" i="1"/>
  <c r="AV66" i="1"/>
  <c r="AZ192" i="1"/>
  <c r="BA226" i="1"/>
  <c r="BA232" i="1"/>
  <c r="AY226" i="1"/>
  <c r="AY232" i="1"/>
  <c r="AX226" i="1"/>
  <c r="AX232" i="1"/>
  <c r="AZ66" i="1"/>
  <c r="AZ50" i="1"/>
  <c r="AY34" i="1"/>
  <c r="BA223" i="1"/>
  <c r="BA50" i="1"/>
  <c r="AX50" i="1"/>
  <c r="AY50" i="1"/>
  <c r="E90" i="3"/>
  <c r="E132" i="3" s="1"/>
  <c r="E88" i="3"/>
  <c r="E130" i="3" s="1"/>
  <c r="AV147" i="1"/>
  <c r="AX147" i="1"/>
  <c r="BA147" i="1"/>
  <c r="AY147" i="1"/>
  <c r="AZ147" i="1"/>
  <c r="BA11" i="1"/>
  <c r="AZ11" i="1"/>
  <c r="AY11" i="1"/>
  <c r="AV11" i="1"/>
  <c r="AX11" i="1"/>
  <c r="AV69" i="1"/>
  <c r="AZ69" i="1"/>
  <c r="AX69" i="1"/>
  <c r="BA69" i="1"/>
  <c r="AY69" i="1"/>
  <c r="AV10" i="1"/>
  <c r="AY10" i="1"/>
  <c r="BA10" i="1"/>
  <c r="AX10" i="1"/>
  <c r="AZ10" i="1"/>
  <c r="F97" i="3"/>
  <c r="F139" i="3" s="1"/>
  <c r="F93" i="3"/>
  <c r="F135" i="3" s="1"/>
  <c r="L98" i="3"/>
  <c r="L140" i="3" s="1"/>
  <c r="L99" i="3"/>
  <c r="L141" i="3" s="1"/>
  <c r="E86" i="3"/>
  <c r="E128" i="3" s="1"/>
  <c r="L91" i="3"/>
  <c r="L133" i="3" s="1"/>
  <c r="L89" i="3"/>
  <c r="L131" i="3" s="1"/>
  <c r="C65" i="3"/>
  <c r="D65" i="3" s="1"/>
  <c r="E65" i="3" s="1"/>
  <c r="F65" i="3" s="1"/>
  <c r="G65" i="3" s="1"/>
  <c r="H65" i="3" s="1"/>
  <c r="I65" i="3" s="1"/>
  <c r="J65" i="3" s="1"/>
  <c r="K65" i="3" s="1"/>
  <c r="L65" i="3" s="1"/>
  <c r="W7" i="3"/>
  <c r="AA7" i="3"/>
  <c r="X7" i="3"/>
  <c r="S7" i="3"/>
  <c r="C4" i="3"/>
  <c r="D4" i="3" s="1"/>
  <c r="E4" i="3" s="1"/>
  <c r="F4" i="3" s="1"/>
  <c r="G4" i="3" s="1"/>
  <c r="H4" i="3" s="1"/>
  <c r="I4" i="3" s="1"/>
  <c r="J4" i="3" s="1"/>
  <c r="K4" i="3" s="1"/>
  <c r="L4" i="3" s="1"/>
  <c r="P7" i="3"/>
  <c r="T7" i="3"/>
  <c r="AS2" i="1"/>
  <c r="AW2" i="1" s="1"/>
  <c r="C44" i="3"/>
  <c r="D44" i="3" s="1"/>
  <c r="E44" i="3" s="1"/>
  <c r="F44" i="3" s="1"/>
  <c r="G44" i="3" s="1"/>
  <c r="H44" i="3" s="1"/>
  <c r="I44" i="3" s="1"/>
  <c r="J44" i="3" s="1"/>
  <c r="K44" i="3" s="1"/>
  <c r="L44" i="3" s="1"/>
  <c r="D64" i="3"/>
  <c r="E64" i="3" s="1"/>
  <c r="E51" i="3"/>
  <c r="D58" i="3"/>
  <c r="E43" i="3"/>
  <c r="E11" i="3"/>
  <c r="D18" i="3"/>
  <c r="F95" i="3" l="1"/>
  <c r="E137" i="3"/>
  <c r="D92" i="3"/>
  <c r="D127" i="3"/>
  <c r="F94" i="3"/>
  <c r="E136" i="3"/>
  <c r="V12" i="5"/>
  <c r="T12" i="5"/>
  <c r="E87" i="3"/>
  <c r="D129" i="3"/>
  <c r="E23" i="3"/>
  <c r="E30" i="3" s="1"/>
  <c r="V10" i="5"/>
  <c r="V20" i="5"/>
  <c r="V13" i="5"/>
  <c r="V17" i="5"/>
  <c r="V18" i="5"/>
  <c r="V19" i="5"/>
  <c r="V15" i="5"/>
  <c r="V16" i="5"/>
  <c r="V14" i="5"/>
  <c r="V11" i="5"/>
  <c r="V5" i="3"/>
  <c r="V11" i="3"/>
  <c r="R4" i="3"/>
  <c r="X11" i="3"/>
  <c r="Y11" i="3"/>
  <c r="Q11" i="3"/>
  <c r="U12" i="3"/>
  <c r="Y5" i="3"/>
  <c r="Q5" i="3"/>
  <c r="U14" i="3"/>
  <c r="Z5" i="3"/>
  <c r="R5" i="3"/>
  <c r="Z11" i="3"/>
  <c r="R11" i="3"/>
  <c r="Z13" i="3"/>
  <c r="R13" i="3"/>
  <c r="U5" i="3"/>
  <c r="Z12" i="3"/>
  <c r="R12" i="3"/>
  <c r="Z14" i="3"/>
  <c r="R14" i="3"/>
  <c r="Y4" i="3"/>
  <c r="Q4" i="3"/>
  <c r="X12" i="3"/>
  <c r="Y12" i="3"/>
  <c r="Q12" i="3"/>
  <c r="V14" i="3"/>
  <c r="U11" i="3"/>
  <c r="V12" i="3"/>
  <c r="Y14" i="3"/>
  <c r="X14" i="3"/>
  <c r="Q14" i="3"/>
  <c r="U4" i="3"/>
  <c r="U13" i="3"/>
  <c r="V13" i="3"/>
  <c r="X13" i="3"/>
  <c r="Y13" i="3"/>
  <c r="Q13" i="3"/>
  <c r="V4" i="3"/>
  <c r="Z4" i="3"/>
  <c r="E100" i="3"/>
  <c r="E31" i="3"/>
  <c r="D38" i="3"/>
  <c r="D39" i="3" s="1"/>
  <c r="C39" i="3"/>
  <c r="D134" i="3"/>
  <c r="E85" i="3"/>
  <c r="C134" i="3"/>
  <c r="C143" i="3" s="1"/>
  <c r="D101" i="3"/>
  <c r="S6" i="3"/>
  <c r="D142" i="3"/>
  <c r="P14" i="3"/>
  <c r="AA12" i="3"/>
  <c r="W13" i="3"/>
  <c r="AA13" i="3"/>
  <c r="AA14" i="3"/>
  <c r="T14" i="3"/>
  <c r="C79" i="3"/>
  <c r="C71" i="3"/>
  <c r="W14" i="3"/>
  <c r="D72" i="3"/>
  <c r="E72" i="3" s="1"/>
  <c r="F72" i="3" s="1"/>
  <c r="F96" i="3"/>
  <c r="S14" i="3"/>
  <c r="P13" i="3"/>
  <c r="P6" i="3"/>
  <c r="T6" i="3"/>
  <c r="T13" i="3"/>
  <c r="S13" i="3"/>
  <c r="S12" i="3"/>
  <c r="T12" i="3"/>
  <c r="W12" i="3"/>
  <c r="P12" i="3"/>
  <c r="W11" i="3"/>
  <c r="AA11" i="3"/>
  <c r="S11" i="3"/>
  <c r="P11" i="3"/>
  <c r="AA5" i="3"/>
  <c r="T11" i="3"/>
  <c r="W5" i="3"/>
  <c r="W6" i="3"/>
  <c r="X6" i="3"/>
  <c r="AA6" i="3"/>
  <c r="X5" i="3"/>
  <c r="S5" i="3"/>
  <c r="P5" i="3"/>
  <c r="T5" i="3"/>
  <c r="F90" i="3"/>
  <c r="F132" i="3" s="1"/>
  <c r="F88" i="3"/>
  <c r="F130" i="3" s="1"/>
  <c r="G97" i="3"/>
  <c r="G139" i="3" s="1"/>
  <c r="G93" i="3"/>
  <c r="G135" i="3" s="1"/>
  <c r="F86" i="3"/>
  <c r="F128" i="3" s="1"/>
  <c r="D10" i="3"/>
  <c r="D19" i="3" s="1"/>
  <c r="C10" i="3"/>
  <c r="C19" i="3" s="1"/>
  <c r="AZ2" i="1"/>
  <c r="BA2" i="1"/>
  <c r="V3" i="3" s="1"/>
  <c r="AY2" i="1"/>
  <c r="D50" i="3"/>
  <c r="D59" i="3" s="1"/>
  <c r="C50" i="3"/>
  <c r="C59" i="3" s="1"/>
  <c r="AV2" i="1"/>
  <c r="AX2" i="1"/>
  <c r="D71" i="3"/>
  <c r="F64" i="3"/>
  <c r="E71" i="3"/>
  <c r="F43" i="3"/>
  <c r="E50" i="3"/>
  <c r="F51" i="3"/>
  <c r="E58" i="3"/>
  <c r="F23" i="3"/>
  <c r="F30" i="3" s="1"/>
  <c r="F11" i="3"/>
  <c r="E18" i="3"/>
  <c r="F3" i="3"/>
  <c r="E10" i="3"/>
  <c r="F136" i="3" l="1"/>
  <c r="G94" i="3"/>
  <c r="E92" i="3"/>
  <c r="E101" i="3" s="1"/>
  <c r="E127" i="3"/>
  <c r="F100" i="3"/>
  <c r="F138" i="3"/>
  <c r="E129" i="3"/>
  <c r="F87" i="3"/>
  <c r="G95" i="3"/>
  <c r="F137" i="3"/>
  <c r="V10" i="3"/>
  <c r="V18" i="3"/>
  <c r="Y3" i="3"/>
  <c r="Y10" i="3" s="1"/>
  <c r="AA3" i="3"/>
  <c r="Q3" i="3"/>
  <c r="Q10" i="3" s="1"/>
  <c r="S3" i="3"/>
  <c r="U3" i="3"/>
  <c r="U10" i="3" s="1"/>
  <c r="W3" i="3"/>
  <c r="R3" i="3"/>
  <c r="R10" i="3" s="1"/>
  <c r="R18" i="3"/>
  <c r="Q18" i="3"/>
  <c r="Z3" i="3"/>
  <c r="Z10" i="3" s="1"/>
  <c r="U18" i="3"/>
  <c r="Z18" i="3"/>
  <c r="Y18" i="3"/>
  <c r="F31" i="3"/>
  <c r="E38" i="3"/>
  <c r="E39" i="3" s="1"/>
  <c r="X3" i="3"/>
  <c r="P3" i="3"/>
  <c r="T3" i="3"/>
  <c r="E134" i="3"/>
  <c r="F85" i="3"/>
  <c r="D143" i="3"/>
  <c r="E142" i="3"/>
  <c r="C80" i="3"/>
  <c r="D79" i="3"/>
  <c r="D80" i="3" s="1"/>
  <c r="T18" i="3"/>
  <c r="E79" i="3"/>
  <c r="E80" i="3" s="1"/>
  <c r="X18" i="3"/>
  <c r="P18" i="3"/>
  <c r="G96" i="3"/>
  <c r="G90" i="3"/>
  <c r="G132" i="3" s="1"/>
  <c r="G88" i="3"/>
  <c r="G130" i="3" s="1"/>
  <c r="H97" i="3"/>
  <c r="H139" i="3" s="1"/>
  <c r="H93" i="3"/>
  <c r="H135" i="3" s="1"/>
  <c r="G86" i="3"/>
  <c r="G128" i="3" s="1"/>
  <c r="AA4" i="3"/>
  <c r="X4" i="3"/>
  <c r="T4" i="3"/>
  <c r="W4" i="3"/>
  <c r="S4" i="3"/>
  <c r="P4" i="3"/>
  <c r="E19" i="3"/>
  <c r="G64" i="3"/>
  <c r="F71" i="3"/>
  <c r="G72" i="3"/>
  <c r="F79" i="3"/>
  <c r="G43" i="3"/>
  <c r="F50" i="3"/>
  <c r="G23" i="3"/>
  <c r="G30" i="3" s="1"/>
  <c r="G51" i="3"/>
  <c r="F58" i="3"/>
  <c r="E59" i="3"/>
  <c r="G3" i="3"/>
  <c r="F10" i="3"/>
  <c r="G11" i="3"/>
  <c r="F18" i="3"/>
  <c r="F142" i="3" l="1"/>
  <c r="G87" i="3"/>
  <c r="F129" i="3"/>
  <c r="G100" i="3"/>
  <c r="G138" i="3"/>
  <c r="G136" i="3"/>
  <c r="H94" i="3"/>
  <c r="F92" i="3"/>
  <c r="F101" i="3" s="1"/>
  <c r="F127" i="3"/>
  <c r="G137" i="3"/>
  <c r="H95" i="3"/>
  <c r="V19" i="3"/>
  <c r="X10" i="3"/>
  <c r="X19" i="3" s="1"/>
  <c r="W18" i="3"/>
  <c r="S18" i="3"/>
  <c r="R19" i="3"/>
  <c r="U19" i="3"/>
  <c r="W10" i="3"/>
  <c r="Y19" i="3"/>
  <c r="AA18" i="3"/>
  <c r="Z19" i="3"/>
  <c r="Q19" i="3"/>
  <c r="S10" i="3"/>
  <c r="AA10" i="3"/>
  <c r="P10" i="3"/>
  <c r="P19" i="3" s="1"/>
  <c r="F38" i="3"/>
  <c r="F39" i="3" s="1"/>
  <c r="G31" i="3"/>
  <c r="G85" i="3"/>
  <c r="T10" i="3"/>
  <c r="T19" i="3" s="1"/>
  <c r="E143" i="3"/>
  <c r="H96" i="3"/>
  <c r="H90" i="3"/>
  <c r="H132" i="3" s="1"/>
  <c r="H88" i="3"/>
  <c r="H130" i="3" s="1"/>
  <c r="I97" i="3"/>
  <c r="I139" i="3" s="1"/>
  <c r="I93" i="3"/>
  <c r="I135" i="3" s="1"/>
  <c r="H86" i="3"/>
  <c r="H128" i="3" s="1"/>
  <c r="F80" i="3"/>
  <c r="H72" i="3"/>
  <c r="G79" i="3"/>
  <c r="H64" i="3"/>
  <c r="G71" i="3"/>
  <c r="F59" i="3"/>
  <c r="H51" i="3"/>
  <c r="G58" i="3"/>
  <c r="H43" i="3"/>
  <c r="G50" i="3"/>
  <c r="H23" i="3"/>
  <c r="H30" i="3" s="1"/>
  <c r="H11" i="3"/>
  <c r="G18" i="3"/>
  <c r="F19" i="3"/>
  <c r="H3" i="3"/>
  <c r="G10" i="3"/>
  <c r="G142" i="3" l="1"/>
  <c r="F134" i="3"/>
  <c r="F143" i="3" s="1"/>
  <c r="G129" i="3"/>
  <c r="H87" i="3"/>
  <c r="H100" i="3"/>
  <c r="H138" i="3"/>
  <c r="H136" i="3"/>
  <c r="I94" i="3"/>
  <c r="G92" i="3"/>
  <c r="G101" i="3" s="1"/>
  <c r="G127" i="3"/>
  <c r="H137" i="3"/>
  <c r="I95" i="3"/>
  <c r="W19" i="3"/>
  <c r="S19" i="3"/>
  <c r="AA19" i="3"/>
  <c r="G38" i="3"/>
  <c r="G39" i="3" s="1"/>
  <c r="H31" i="3"/>
  <c r="H85" i="3"/>
  <c r="I96" i="3"/>
  <c r="I90" i="3"/>
  <c r="I132" i="3" s="1"/>
  <c r="I88" i="3"/>
  <c r="I130" i="3" s="1"/>
  <c r="J97" i="3"/>
  <c r="J139" i="3" s="1"/>
  <c r="J93" i="3"/>
  <c r="J135" i="3" s="1"/>
  <c r="I86" i="3"/>
  <c r="I128" i="3" s="1"/>
  <c r="G80" i="3"/>
  <c r="I64" i="3"/>
  <c r="H71" i="3"/>
  <c r="I72" i="3"/>
  <c r="H79" i="3"/>
  <c r="G19" i="3"/>
  <c r="I23" i="3"/>
  <c r="I30" i="3" s="1"/>
  <c r="I43" i="3"/>
  <c r="H50" i="3"/>
  <c r="G59" i="3"/>
  <c r="I51" i="3"/>
  <c r="H58" i="3"/>
  <c r="I3" i="3"/>
  <c r="H10" i="3"/>
  <c r="I11" i="3"/>
  <c r="H18" i="3"/>
  <c r="H142" i="3" l="1"/>
  <c r="G134" i="3"/>
  <c r="G143" i="3" s="1"/>
  <c r="I100" i="3"/>
  <c r="I138" i="3"/>
  <c r="H92" i="3"/>
  <c r="H101" i="3" s="1"/>
  <c r="H127" i="3"/>
  <c r="I136" i="3"/>
  <c r="J94" i="3"/>
  <c r="I137" i="3"/>
  <c r="J95" i="3"/>
  <c r="H129" i="3"/>
  <c r="I87" i="3"/>
  <c r="H38" i="3"/>
  <c r="H39" i="3" s="1"/>
  <c r="I31" i="3"/>
  <c r="I85" i="3"/>
  <c r="J96" i="3"/>
  <c r="J90" i="3"/>
  <c r="J132" i="3" s="1"/>
  <c r="J88" i="3"/>
  <c r="J130" i="3" s="1"/>
  <c r="K97" i="3"/>
  <c r="K139" i="3" s="1"/>
  <c r="K93" i="3"/>
  <c r="K135" i="3" s="1"/>
  <c r="J86" i="3"/>
  <c r="J128" i="3" s="1"/>
  <c r="H80" i="3"/>
  <c r="J72" i="3"/>
  <c r="I79" i="3"/>
  <c r="J64" i="3"/>
  <c r="I71" i="3"/>
  <c r="H59" i="3"/>
  <c r="H19" i="3"/>
  <c r="J43" i="3"/>
  <c r="I50" i="3"/>
  <c r="J23" i="3"/>
  <c r="J30" i="3" s="1"/>
  <c r="J51" i="3"/>
  <c r="I58" i="3"/>
  <c r="J3" i="3"/>
  <c r="I10" i="3"/>
  <c r="J11" i="3"/>
  <c r="I18" i="3"/>
  <c r="I142" i="3" l="1"/>
  <c r="H134" i="3"/>
  <c r="H143" i="3" s="1"/>
  <c r="J100" i="3"/>
  <c r="J138" i="3"/>
  <c r="J137" i="3"/>
  <c r="K95" i="3"/>
  <c r="I92" i="3"/>
  <c r="I101" i="3" s="1"/>
  <c r="I127" i="3"/>
  <c r="J136" i="3"/>
  <c r="K94" i="3"/>
  <c r="I129" i="3"/>
  <c r="J87" i="3"/>
  <c r="I38" i="3"/>
  <c r="I39" i="3" s="1"/>
  <c r="J31" i="3"/>
  <c r="J85" i="3"/>
  <c r="K96" i="3"/>
  <c r="K90" i="3"/>
  <c r="K132" i="3" s="1"/>
  <c r="K88" i="3"/>
  <c r="K130" i="3" s="1"/>
  <c r="L97" i="3"/>
  <c r="L139" i="3" s="1"/>
  <c r="L93" i="3"/>
  <c r="L135" i="3" s="1"/>
  <c r="K86" i="3"/>
  <c r="K128" i="3" s="1"/>
  <c r="I80" i="3"/>
  <c r="K64" i="3"/>
  <c r="J71" i="3"/>
  <c r="K72" i="3"/>
  <c r="J79" i="3"/>
  <c r="K43" i="3"/>
  <c r="J50" i="3"/>
  <c r="I59" i="3"/>
  <c r="K51" i="3"/>
  <c r="J58" i="3"/>
  <c r="K23" i="3"/>
  <c r="K30" i="3" s="1"/>
  <c r="K11" i="3"/>
  <c r="J18" i="3"/>
  <c r="I19" i="3"/>
  <c r="K3" i="3"/>
  <c r="J10" i="3"/>
  <c r="I134" i="3" l="1"/>
  <c r="I143" i="3" s="1"/>
  <c r="J142" i="3"/>
  <c r="K100" i="3"/>
  <c r="K138" i="3"/>
  <c r="K136" i="3"/>
  <c r="L94" i="3"/>
  <c r="L136" i="3" s="1"/>
  <c r="J92" i="3"/>
  <c r="J101" i="3" s="1"/>
  <c r="J127" i="3"/>
  <c r="K137" i="3"/>
  <c r="L95" i="3"/>
  <c r="L137" i="3" s="1"/>
  <c r="J129" i="3"/>
  <c r="K87" i="3"/>
  <c r="K31" i="3"/>
  <c r="J38" i="3"/>
  <c r="J39" i="3" s="1"/>
  <c r="K85" i="3"/>
  <c r="L96" i="3"/>
  <c r="L138" i="3" s="1"/>
  <c r="L90" i="3"/>
  <c r="L132" i="3" s="1"/>
  <c r="L88" i="3"/>
  <c r="L130" i="3" s="1"/>
  <c r="L86" i="3"/>
  <c r="L128" i="3" s="1"/>
  <c r="L72" i="3"/>
  <c r="L79" i="3" s="1"/>
  <c r="K79" i="3"/>
  <c r="J80" i="3"/>
  <c r="L64" i="3"/>
  <c r="L71" i="3" s="1"/>
  <c r="K71" i="3"/>
  <c r="L23" i="3"/>
  <c r="L30" i="3" s="1"/>
  <c r="J59" i="3"/>
  <c r="L51" i="3"/>
  <c r="L58" i="3" s="1"/>
  <c r="K58" i="3"/>
  <c r="L43" i="3"/>
  <c r="L50" i="3" s="1"/>
  <c r="K50" i="3"/>
  <c r="J19" i="3"/>
  <c r="L3" i="3"/>
  <c r="L10" i="3" s="1"/>
  <c r="K10" i="3"/>
  <c r="L11" i="3"/>
  <c r="L18" i="3" s="1"/>
  <c r="K18" i="3"/>
  <c r="K142" i="3" l="1"/>
  <c r="J134" i="3"/>
  <c r="J143" i="3" s="1"/>
  <c r="K92" i="3"/>
  <c r="K101" i="3" s="1"/>
  <c r="K127" i="3"/>
  <c r="K129" i="3"/>
  <c r="L87" i="3"/>
  <c r="L129" i="3" s="1"/>
  <c r="L31" i="3"/>
  <c r="L38" i="3" s="1"/>
  <c r="L39" i="3" s="1"/>
  <c r="K38" i="3"/>
  <c r="K39" i="3" s="1"/>
  <c r="L85" i="3"/>
  <c r="L127" i="3" s="1"/>
  <c r="L142" i="3"/>
  <c r="L100" i="3"/>
  <c r="L80" i="3"/>
  <c r="K80" i="3"/>
  <c r="L59" i="3"/>
  <c r="K59" i="3"/>
  <c r="K19" i="3"/>
  <c r="L19" i="3"/>
  <c r="K134" i="3" l="1"/>
  <c r="K143" i="3" s="1"/>
  <c r="L92" i="3"/>
  <c r="L101" i="3" s="1"/>
  <c r="L134" i="3"/>
  <c r="L14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tc={FF751D59-8659-422A-B4CA-B27635FF483A}</author>
  </authors>
  <commentList>
    <comment ref="G1" authorId="0" shapeId="0" xr:uid="{FF751D59-8659-422A-B4CA-B27635FF483A}">
      <text>
        <t xml:space="preserve">[Threaded comment]
Your version of Excel allows you to read this threaded comment; however, any edits to it will get removed if the file is opened in a newer version of Excel. Learn more: https://go.microsoft.com/fwlink/?linkid=870924
Comment:
    0.1137 is the assumed Florida electric rate for simplicity: https://www.electricchoice.com/electricity-prices-by-state/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<sst xmlns="http://schemas.openxmlformats.org/spreadsheetml/2006/main" count="19429" uniqueCount="440">
  <si>
    <t>Program Names</t>
  </si>
  <si>
    <t>Modeled Program Admin ($/kWh)</t>
  </si>
  <si>
    <t>Final Program Admin ($/kWh)</t>
  </si>
  <si>
    <t>ResProgram1</t>
  </si>
  <si>
    <t>ResProgram2</t>
  </si>
  <si>
    <t>Res Existing Home</t>
  </si>
  <si>
    <t>ResProgram3</t>
  </si>
  <si>
    <t>Res Efficiency Delivered</t>
  </si>
  <si>
    <t>ResProgram4</t>
  </si>
  <si>
    <t>Res New Home</t>
  </si>
  <si>
    <t>ResProgram5</t>
  </si>
  <si>
    <t>ResProgram6</t>
  </si>
  <si>
    <t>ResProgram7</t>
  </si>
  <si>
    <t>ComProgram1</t>
  </si>
  <si>
    <t>Com Prescriptive</t>
  </si>
  <si>
    <t>ComProgram2</t>
  </si>
  <si>
    <t>Com Lighting</t>
  </si>
  <si>
    <t>ComProgram3</t>
  </si>
  <si>
    <t>Com Custom</t>
  </si>
  <si>
    <t>ComProgram4</t>
  </si>
  <si>
    <t>Com Green Building</t>
  </si>
  <si>
    <t>ComProgram5</t>
  </si>
  <si>
    <t>ComProgram6</t>
  </si>
  <si>
    <t>ComProgram7</t>
  </si>
  <si>
    <t>Output_Type</t>
  </si>
  <si>
    <t>Utility</t>
  </si>
  <si>
    <t>Aggregate_Sector</t>
  </si>
  <si>
    <t>Customer_Base</t>
  </si>
  <si>
    <t>Adoption_Scen</t>
  </si>
  <si>
    <t>Avoided_Cost_Scenar2</t>
  </si>
  <si>
    <t>Incentive_Scenario1</t>
  </si>
  <si>
    <t>All_Programs</t>
  </si>
  <si>
    <t>All_Meas_Name_Append</t>
  </si>
  <si>
    <t>Savings Shape</t>
  </si>
  <si>
    <t>Units</t>
  </si>
  <si>
    <t>kWh Savings</t>
  </si>
  <si>
    <t>kW Savings - Summer</t>
  </si>
  <si>
    <t>kW Savings - Winter</t>
  </si>
  <si>
    <t>Incremental Cost ($/unit)</t>
  </si>
  <si>
    <t>Incentive ($/unit)</t>
  </si>
  <si>
    <t>Admin ($/unit)</t>
  </si>
  <si>
    <t>Avoided Costs ($/unit)</t>
  </si>
  <si>
    <t>Lost Revenue ($/unit)</t>
  </si>
  <si>
    <t>Measure Life (Years)</t>
  </si>
  <si>
    <t>Program Allocation (fraction)</t>
  </si>
  <si>
    <t xml:space="preserve">2025 </t>
  </si>
  <si>
    <t xml:space="preserve">2026 </t>
  </si>
  <si>
    <t xml:space="preserve">2027 </t>
  </si>
  <si>
    <t xml:space="preserve">2028 </t>
  </si>
  <si>
    <t xml:space="preserve">2029 </t>
  </si>
  <si>
    <t xml:space="preserve">2030 </t>
  </si>
  <si>
    <t xml:space="preserve">2031 </t>
  </si>
  <si>
    <t xml:space="preserve">2032 </t>
  </si>
  <si>
    <t xml:space="preserve">2033 </t>
  </si>
  <si>
    <t xml:space="preserve">2034 </t>
  </si>
  <si>
    <t>Trimmed Sector</t>
  </si>
  <si>
    <t>Trimmed Measure Name</t>
  </si>
  <si>
    <t>scaling factor</t>
  </si>
  <si>
    <t>Adjusted 2025</t>
  </si>
  <si>
    <t>Adjusted 2026</t>
  </si>
  <si>
    <t>Adjusted 2027</t>
  </si>
  <si>
    <t>Adjusted 2028</t>
  </si>
  <si>
    <t>Adjusted 2029</t>
  </si>
  <si>
    <t>Adjusted 2030</t>
  </si>
  <si>
    <t>Adjusted 2031</t>
  </si>
  <si>
    <t>Adjusted 2032</t>
  </si>
  <si>
    <t>Adjusted 2033</t>
  </si>
  <si>
    <t>Adjusted 2034</t>
  </si>
  <si>
    <t>Sum of Annuals</t>
  </si>
  <si>
    <t>Adj. per unit Incentive ($)</t>
  </si>
  <si>
    <t>per unit IRA tax ($)</t>
  </si>
  <si>
    <t>Incentives $</t>
  </si>
  <si>
    <t>Admin $</t>
  </si>
  <si>
    <t>Tax Credits $</t>
  </si>
  <si>
    <t>Avoided Benefits $</t>
  </si>
  <si>
    <t>Lost Revenue $</t>
  </si>
  <si>
    <t>Measure Incremental Cost $</t>
  </si>
  <si>
    <t>Part_2025</t>
  </si>
  <si>
    <t>Part_2026</t>
  </si>
  <si>
    <t>Part_2027</t>
  </si>
  <si>
    <t>Part_2028</t>
  </si>
  <si>
    <t>Part_2029</t>
  </si>
  <si>
    <t>Part_2030</t>
  </si>
  <si>
    <t>Part_2031</t>
  </si>
  <si>
    <t>Part_2032</t>
  </si>
  <si>
    <t>Part_2033</t>
  </si>
  <si>
    <t>Part_2034</t>
  </si>
  <si>
    <t>Annual Incremental Energy (kWh)</t>
  </si>
  <si>
    <t>OUC</t>
  </si>
  <si>
    <t>Residential</t>
  </si>
  <si>
    <t>Base</t>
  </si>
  <si>
    <t>Achievable</t>
  </si>
  <si>
    <t>Base Incentive Case</t>
  </si>
  <si>
    <t>120v Heat Pump Water Heater 50 Gallons</t>
  </si>
  <si>
    <t>SF_water_systems</t>
  </si>
  <si>
    <t>per water heater</t>
  </si>
  <si>
    <t>ASHP - CEE Tier 2: 16.8 SEER/16 SEER2; 9.0 HSPF (from elec resistance)</t>
  </si>
  <si>
    <t>SF_cooling</t>
  </si>
  <si>
    <t>Per Unit</t>
  </si>
  <si>
    <t>ASHP - ENERGY STAR/CEE Tier 1: 16 SEER/15.2 SEER2_ 9.0 HSPF</t>
  </si>
  <si>
    <t>Ceiling Insulation(R2 to R38) Residential</t>
  </si>
  <si>
    <t>bldg_envelope_cool</t>
  </si>
  <si>
    <t>Per End Use Consumption</t>
  </si>
  <si>
    <t>Ceiling Insulation(R2 to R49) Residential</t>
  </si>
  <si>
    <t>Per Appliance</t>
  </si>
  <si>
    <t>Energy Star Ground Source Heat Pump</t>
  </si>
  <si>
    <t>Energy Star Room AC Residential</t>
  </si>
  <si>
    <t>Heat Pump Water Heater 50 Gallons- CEE Advanced Tier</t>
  </si>
  <si>
    <t>Per Water Heater</t>
  </si>
  <si>
    <t>Heat Pump Water Heater 50 Gallons-ENERGY STAR</t>
  </si>
  <si>
    <t>Heat Pump Water Heater 80 Gallons-ENERGY STAR</t>
  </si>
  <si>
    <t>Properly Sized CAC</t>
  </si>
  <si>
    <t>Solar Thermal Water Heating System</t>
  </si>
  <si>
    <t>Cumulative Energy (kWh)</t>
  </si>
  <si>
    <t>Annual Incremental Summer Peak Demand (kW)</t>
  </si>
  <si>
    <t>Cumulative Summer Peak Demand (kW)</t>
  </si>
  <si>
    <t>Annual Incremental Winter Peak Demand (kW)</t>
  </si>
  <si>
    <t>Cumulative Winter Peak Demand (kW)</t>
  </si>
  <si>
    <t>Air Sealing-Infiltration Control</t>
  </si>
  <si>
    <t>New Construction - Whole Home Improvements - Tier 2</t>
  </si>
  <si>
    <t>SF_clothes_dryer</t>
  </si>
  <si>
    <t>Per Home</t>
  </si>
  <si>
    <t>Commercial</t>
  </si>
  <si>
    <t>Anti-Sweat Controls</t>
  </si>
  <si>
    <t>RS_Refrigeration</t>
  </si>
  <si>
    <t>Per Refrigerated Case</t>
  </si>
  <si>
    <t>Chiller maintenance</t>
  </si>
  <si>
    <t>ChillerMaintenance</t>
  </si>
  <si>
    <t>Commercial Duct Sealing</t>
  </si>
  <si>
    <t>Small_cool</t>
  </si>
  <si>
    <t>Per End Use</t>
  </si>
  <si>
    <t>ECM Motors on Furnaces</t>
  </si>
  <si>
    <t>Small_heat</t>
  </si>
  <si>
    <t>Efficient Exhaust Hood</t>
  </si>
  <si>
    <t>RS_Cooking</t>
  </si>
  <si>
    <t>Energy Star Combination Oven</t>
  </si>
  <si>
    <t>Energy Star Commercial Clothes Washer</t>
  </si>
  <si>
    <t>WH_Interior_Equipment</t>
  </si>
  <si>
    <t>Energy Star Commercial Glass Door Freezer</t>
  </si>
  <si>
    <t>Energy Star convection oven</t>
  </si>
  <si>
    <t>Energy Star room AC_137</t>
  </si>
  <si>
    <t>Energy Star Steamer</t>
  </si>
  <si>
    <t>Escalator Motor Efficiency Controller</t>
  </si>
  <si>
    <t>Heat Pump Water Heater</t>
  </si>
  <si>
    <t>Small_waterheat</t>
  </si>
  <si>
    <t>HE DX Less than 5.4 Tons Elect Heat</t>
  </si>
  <si>
    <t>HE Water Cooled Chiller - Centrifugal Compressor - 200 Tons</t>
  </si>
  <si>
    <t>HE Water Cooled Chiller - Centrifugal Compressor - 500 Tons</t>
  </si>
  <si>
    <t>High Efficiency PTAC</t>
  </si>
  <si>
    <t>High Efficiency PTHP</t>
  </si>
  <si>
    <t>Infiltration Reduction - Air Sealing</t>
  </si>
  <si>
    <t>Ozone Laundry Commercial</t>
  </si>
  <si>
    <t>Per Ozone Laundry System</t>
  </si>
  <si>
    <t>Programmable thermostat</t>
  </si>
  <si>
    <t>Reflective Roof Treatment</t>
  </si>
  <si>
    <t>Smart thermostat</t>
  </si>
  <si>
    <t>Water source heat pump</t>
  </si>
  <si>
    <t>LED Exterior Wall Packs</t>
  </si>
  <si>
    <t>WH_Exterior_Lighting</t>
  </si>
  <si>
    <t>Per Fixture</t>
  </si>
  <si>
    <t>LED High Bay_HID Baseline</t>
  </si>
  <si>
    <t>WH_Interior_Lighting</t>
  </si>
  <si>
    <t>LED High Bay_LF Baseline</t>
  </si>
  <si>
    <t>LED Linear - Fixture Replacement</t>
  </si>
  <si>
    <t>LED Parking Lighting</t>
  </si>
  <si>
    <t>Occupancy Sensors_ Ceiling Mounted</t>
  </si>
  <si>
    <t>Per 500W Controlled</t>
  </si>
  <si>
    <t>Refrigerated Display Case LED Lighting</t>
  </si>
  <si>
    <t>Chilled Water Reset</t>
  </si>
  <si>
    <t>Custom measure - Non-lighting_69</t>
  </si>
  <si>
    <t>Demand Controlled Circulating Systems</t>
  </si>
  <si>
    <t>Per Hot Water Circulation Pump</t>
  </si>
  <si>
    <t>Drain water heat recovery</t>
  </si>
  <si>
    <t>Facility Energy Management System_SC</t>
  </si>
  <si>
    <t>Facility Energy Management System_SH</t>
  </si>
  <si>
    <t>Faucet Aerator</t>
  </si>
  <si>
    <t>Industrial</t>
  </si>
  <si>
    <t>Airside economizer_13</t>
  </si>
  <si>
    <t>Ind_HVAC</t>
  </si>
  <si>
    <t>Energy Efficient Transformers</t>
  </si>
  <si>
    <t>Ind_Lighting</t>
  </si>
  <si>
    <t>High Volume Low Speed Fan (HVLS)</t>
  </si>
  <si>
    <t>Machine_Drives</t>
  </si>
  <si>
    <t>Industrial Duct Sealing</t>
  </si>
  <si>
    <t>Low Pressure-drop Filters</t>
  </si>
  <si>
    <t>Custom Measure - Non-Lighting_70</t>
  </si>
  <si>
    <t>Grain Bin Aeration Control System</t>
  </si>
  <si>
    <t>High Efficiency Air Compressor</t>
  </si>
  <si>
    <t>Strategic Energy Management</t>
  </si>
  <si>
    <t>per facility</t>
  </si>
  <si>
    <t>Synchronous Belt on 15hp ODP Motor</t>
  </si>
  <si>
    <t>Process_Heating</t>
  </si>
  <si>
    <t>Synchronous Belt on 5hp ODP Motor</t>
  </si>
  <si>
    <t>Synchronous Belt on 75hp ODP Motor</t>
  </si>
  <si>
    <t>VFD on HVAC Fan</t>
  </si>
  <si>
    <t>VFD on process pump</t>
  </si>
  <si>
    <t>LEED New Construction Whole Building</t>
  </si>
  <si>
    <t>Sector</t>
  </si>
  <si>
    <t>Measure Name</t>
  </si>
  <si>
    <t>maximum incentive $</t>
  </si>
  <si>
    <t>per unit incremental cost $</t>
  </si>
  <si>
    <t>per unit savings kwh</t>
  </si>
  <si>
    <t>adjusted incentive $</t>
  </si>
  <si>
    <t>View for Selected Program:</t>
  </si>
  <si>
    <t>Program Name</t>
  </si>
  <si>
    <t>Measure Details</t>
  </si>
  <si>
    <t>Participation Estimate</t>
  </si>
  <si>
    <t>Unit</t>
  </si>
  <si>
    <t>Summer kW</t>
  </si>
  <si>
    <t>Winter kW</t>
  </si>
  <si>
    <t>Incremental Cost $</t>
  </si>
  <si>
    <t>Incentive $</t>
  </si>
  <si>
    <t>Annual MWh</t>
  </si>
  <si>
    <t>Program Cost-Effectiveness</t>
  </si>
  <si>
    <t>TRC</t>
  </si>
  <si>
    <t>PCT</t>
  </si>
  <si>
    <t>RIM</t>
  </si>
  <si>
    <t>Benefit/Cost Ratio</t>
  </si>
  <si>
    <t>Residential Total</t>
  </si>
  <si>
    <t>Non-Residential Total</t>
  </si>
  <si>
    <t>Portfolio Total</t>
  </si>
  <si>
    <t>Participation</t>
  </si>
  <si>
    <t>N/A</t>
  </si>
  <si>
    <t>Program Benefits</t>
  </si>
  <si>
    <t>Source: from screening workbook (same across utilities)</t>
  </si>
  <si>
    <t>Measure</t>
  </si>
  <si>
    <t>IRA Program</t>
  </si>
  <si>
    <t>Tax Credit</t>
  </si>
  <si>
    <t>Discounted</t>
  </si>
  <si>
    <t>Energy Star Door</t>
  </si>
  <si>
    <t>25C: Energy Efficient Home Improvement Credit</t>
  </si>
  <si>
    <t>Energy Star Windows</t>
  </si>
  <si>
    <t>Basement or Crawlspace Wall Insulation R-15</t>
  </si>
  <si>
    <t>Ceiling Insulation (R11 to R30)</t>
  </si>
  <si>
    <t>Ceiling Insulation (R11 to R38)</t>
  </si>
  <si>
    <t>Ceiling Insulation (R11 to R49)</t>
  </si>
  <si>
    <t>Ceiling Insulation(R19 to R30)</t>
  </si>
  <si>
    <t>Ceiling Insulation(R19 to R38)</t>
  </si>
  <si>
    <t>Ceiling Insulation(R19 to R49)</t>
  </si>
  <si>
    <t>Ceiling Insulation(R2 to R30)</t>
  </si>
  <si>
    <t>Ceiling Insulation(R2 to R38)</t>
  </si>
  <si>
    <t>Ceiling Insulation(R2 to R49)</t>
  </si>
  <si>
    <t>Ceiling Insulation(R30 to R38)</t>
  </si>
  <si>
    <t>Ceiling Insulation(R30 to R49)</t>
  </si>
  <si>
    <t>Ceiling Insulation(R38 to R49)</t>
  </si>
  <si>
    <t>Exterior Wall Insulation</t>
  </si>
  <si>
    <t>Floor Insulation</t>
  </si>
  <si>
    <t>Spray Foam Insulation(Base R11)</t>
  </si>
  <si>
    <t>Spray Foam Insulation(Base R19)</t>
  </si>
  <si>
    <t>Spray Foam Insulation(Base R2)</t>
  </si>
  <si>
    <t>Spray Foam Insulation(Base R30)</t>
  </si>
  <si>
    <t>Central AC -  CEE Tier 2: 16.8 SEER/16 SEER2</t>
  </si>
  <si>
    <t>Central AC - CEE Advanced Tier: 17.8 SEER/17 SEER2</t>
  </si>
  <si>
    <t>Central AC - 24 SEER/22.9 SEER2</t>
  </si>
  <si>
    <t>Central AC - ENERGY STAR/CEE Tier 1:  16 SEER/15.2 SEER2</t>
  </si>
  <si>
    <t>ASHP - 15 SEER/14.3 SEER2 from base electric resistance</t>
  </si>
  <si>
    <t>ASHP - 24 SEER/22.9 SEER2 (from elec resistance)</t>
  </si>
  <si>
    <t>ASHP - 24 SEER/22.9 SEER2, 10.5 HSPF</t>
  </si>
  <si>
    <t>ASHP - CEE Advanced Tier: 17.8 SEER/17 SEER2_ 10.0 HSPF</t>
  </si>
  <si>
    <t>ASHP - CEE Advanced Tier: 17.8 SEER/17 SEER2_ 10.0 HSPF (from elec resistance)</t>
  </si>
  <si>
    <t>ASHP - CEE Tier 2: 16.8 SEER/16 SEER2_ 9.0 HSPF</t>
  </si>
  <si>
    <t>ASHP - CEE Tier 2: 16.8 SEER/16 SEER2_ 9.0 HSPF (from elec resistance)</t>
  </si>
  <si>
    <t>ASHP - ENERGY STAR/CEE Tier 1: 16 SEER/15.2 SEER2 (from elect resistance)</t>
  </si>
  <si>
    <t>ASHP - ENERGY STAR/CEE Tier 1: 16 SEER/15.2 SEER2, 9.0 HSPF</t>
  </si>
  <si>
    <t>Air-to-Water Heat Pump</t>
  </si>
  <si>
    <t>25D: Residential Clean Energy Tax Credit</t>
  </si>
  <si>
    <t>ENERGY STAR EV supply equipment (level 2 charger)</t>
  </si>
  <si>
    <t>Variable Refrigerant Flow (VRF) HVAC Systems</t>
  </si>
  <si>
    <t>Com Not Assigned</t>
  </si>
  <si>
    <t>Low Flow Shower Head</t>
  </si>
  <si>
    <t>Low Energy Livestock Waterer</t>
  </si>
  <si>
    <t>Milk Pre-Cooler</t>
  </si>
  <si>
    <t>Per pre-cooler</t>
  </si>
  <si>
    <t>Res Not Assigned</t>
  </si>
  <si>
    <t>Incentive_2025</t>
  </si>
  <si>
    <t>Incentive_2026</t>
  </si>
  <si>
    <t>Incentive_2027</t>
  </si>
  <si>
    <t>Incentive_2028</t>
  </si>
  <si>
    <t>Incentive_2029</t>
  </si>
  <si>
    <t>Incentive_2030</t>
  </si>
  <si>
    <t>Incentive_2031</t>
  </si>
  <si>
    <t>Incentive_2032</t>
  </si>
  <si>
    <t>Incentive_2033</t>
  </si>
  <si>
    <t>Incentive_2034</t>
  </si>
  <si>
    <t>Admin_2025</t>
  </si>
  <si>
    <t>Admin_2026</t>
  </si>
  <si>
    <t>Admin_2027</t>
  </si>
  <si>
    <t>Admin_2028</t>
  </si>
  <si>
    <t>Admin_2029</t>
  </si>
  <si>
    <t>Admin_2030</t>
  </si>
  <si>
    <t>Admin_2031</t>
  </si>
  <si>
    <t>Admin_2032</t>
  </si>
  <si>
    <t>Admin_2033</t>
  </si>
  <si>
    <t>Admin_2034</t>
  </si>
  <si>
    <t>Program Incentive Costs</t>
  </si>
  <si>
    <t>Program Administrative Costs</t>
  </si>
  <si>
    <t>Duct Repair</t>
  </si>
  <si>
    <t>Energy Star Windows Residential</t>
  </si>
  <si>
    <t>Per 100 S.F.</t>
  </si>
  <si>
    <t>Smart Thermostat Residential</t>
  </si>
  <si>
    <t>New Construction - Whole Home Improvements - Tier 1</t>
  </si>
  <si>
    <t>Energy Star Clothes Washer</t>
  </si>
  <si>
    <t>SF_clothes_washer</t>
  </si>
  <si>
    <t>Energy Star windows</t>
  </si>
  <si>
    <t>Solar Thermal Water Heating System Commercial</t>
  </si>
  <si>
    <t>Window shade film</t>
  </si>
  <si>
    <t>Per Premise</t>
  </si>
  <si>
    <t>Efficient Battery Charger</t>
  </si>
  <si>
    <t>current program</t>
  </si>
  <si>
    <t>current program (avg rebate paid)</t>
  </si>
  <si>
    <t>current program ($250/kW)</t>
  </si>
  <si>
    <t>current program ($500/kW + $0.03/kWh)</t>
  </si>
  <si>
    <t>included (allocation of passing lighting measures)</t>
  </si>
  <si>
    <t>LED Lights</t>
  </si>
  <si>
    <t>some add'l measures included</t>
  </si>
  <si>
    <t>Other</t>
  </si>
  <si>
    <t>not passing c/e - manually add?</t>
  </si>
  <si>
    <t>included</t>
  </si>
  <si>
    <t>Motors/VFDs</t>
  </si>
  <si>
    <t>Chillers</t>
  </si>
  <si>
    <t>Rooftop HVAC units</t>
  </si>
  <si>
    <t>PTACs/PTHPs</t>
  </si>
  <si>
    <t>several measures included</t>
  </si>
  <si>
    <t>HVAC/Envelope</t>
  </si>
  <si>
    <t>Lighting Equipment</t>
  </si>
  <si>
    <t>Exhaust Hood Controls</t>
  </si>
  <si>
    <t>HVAC Controls/EMS</t>
  </si>
  <si>
    <t>Compressed Air</t>
  </si>
  <si>
    <t>Retro Commissioning</t>
  </si>
  <si>
    <t>Energy Star ice maker is FEECA measure - not passing c/e - manually add?</t>
  </si>
  <si>
    <t>Air Cooled Ice Machine</t>
  </si>
  <si>
    <t>status</t>
  </si>
  <si>
    <t>Custom</t>
  </si>
  <si>
    <t>Window Replacement</t>
  </si>
  <si>
    <t>Com Lighting - OUC is averaging 4,800 MWh/year in lighting programs - our potential is ~300-500 MWh</t>
  </si>
  <si>
    <t>Window Film</t>
  </si>
  <si>
    <t>Weatherstripping</t>
  </si>
  <si>
    <t>Smart thermostat ($50 rebate)</t>
  </si>
  <si>
    <t>Weatherization</t>
  </si>
  <si>
    <t>Commercial duct sealing (OUC currently offers $100 rebate, geared to small commercial facilities)</t>
  </si>
  <si>
    <t>not passing c/e - manually add</t>
  </si>
  <si>
    <t>Water Heater Pipe Insulation</t>
  </si>
  <si>
    <t>Commercial - adjust measures to per-unit</t>
  </si>
  <si>
    <t>not a FEECA measure</t>
  </si>
  <si>
    <t>Vital Information</t>
  </si>
  <si>
    <t>Toilet</t>
  </si>
  <si>
    <t>Thermostat</t>
  </si>
  <si>
    <t>solar thermal water heating system</t>
  </si>
  <si>
    <t>Showerheads</t>
  </si>
  <si>
    <t>ceiling insulation</t>
  </si>
  <si>
    <t>Com</t>
  </si>
  <si>
    <t>Miscellaneous Improvement</t>
  </si>
  <si>
    <t>New Construction Tier 1</t>
  </si>
  <si>
    <t>Minor Plumbing Repairs</t>
  </si>
  <si>
    <t>smart thermostat</t>
  </si>
  <si>
    <t>Irrigation</t>
  </si>
  <si>
    <t>Heat pump tune-up</t>
  </si>
  <si>
    <t>Faucet Aerators</t>
  </si>
  <si>
    <t>CAC tune-up</t>
  </si>
  <si>
    <t>duct repair</t>
  </si>
  <si>
    <t>Res</t>
  </si>
  <si>
    <t>Evaporator coil cleaning</t>
  </si>
  <si>
    <t>Non-Passing Measures to add:</t>
  </si>
  <si>
    <t>INTERNAL UPDATES NEEDED:</t>
  </si>
  <si>
    <t>Door Sweeps</t>
  </si>
  <si>
    <t>Ceiling Insulation</t>
  </si>
  <si>
    <t>Caulk</t>
  </si>
  <si>
    <t>program admin cost?</t>
  </si>
  <si>
    <t>Blower Door Test</t>
  </si>
  <si>
    <t>Com Green Building - include DX units? Other HVAC?</t>
  </si>
  <si>
    <t>Attic Pull Down Stair Ladder Cover</t>
  </si>
  <si>
    <t>Review Custom measures</t>
  </si>
  <si>
    <t>Air Filters</t>
  </si>
  <si>
    <t>review Efficiency Delivered measures</t>
  </si>
  <si>
    <t>AC Pipe Insulation</t>
  </si>
  <si>
    <t>Include lighting in Prescriptive and Lighting and Custom and Green Building programs?</t>
  </si>
  <si>
    <t>A/C Tune Up</t>
  </si>
  <si>
    <t>Efficiency Delivered - Current Measures:</t>
  </si>
  <si>
    <t>CONFIRM with OUC (3/26):</t>
  </si>
  <si>
    <t>$1.2M</t>
  </si>
  <si>
    <t>Brad Kushner (Mar 21, 2024)</t>
  </si>
  <si>
    <t>Duct Repair Rebates</t>
  </si>
  <si>
    <t>Ceiling Insulation Upgrade Rebates</t>
  </si>
  <si>
    <t>High Performance Windows Rebates</t>
  </si>
  <si>
    <t>Efficient Heat Pump Rebates</t>
  </si>
  <si>
    <t>New Home Rebates</t>
  </si>
  <si>
    <t>Efficiency Delivered</t>
  </si>
  <si>
    <t>Heat Pump Water Heater Rebates</t>
  </si>
  <si>
    <t>MWh Reduction</t>
  </si>
  <si>
    <t>kWh per Unit</t>
  </si>
  <si>
    <t>2023 program data</t>
  </si>
  <si>
    <t>* 2 representative measures (lower ASHP replacing electric resistance, increase ASHP 16 SEER)? Go up x10 for ASHP SEER 16, Window by 10x (existing home)</t>
  </si>
  <si>
    <t>* driven by MF in 2023 (increase the overall savings)? 2x for heat pump water heaters</t>
  </si>
  <si>
    <t>* 2x for smart thermostats</t>
  </si>
  <si>
    <t>Existing home:</t>
  </si>
  <si>
    <t>Efficiency Delivered:</t>
  </si>
  <si>
    <t>* all the measures by 1.5</t>
  </si>
  <si>
    <t xml:space="preserve">Commercial lighting measures: </t>
  </si>
  <si>
    <t>LED Linear - Fixture Replacement =&gt; 10x, rewrite the per unit savings</t>
  </si>
  <si>
    <t>lighting measures =&gt; 3x for all the lighting measures across the programs</t>
  </si>
  <si>
    <t>xRatio</t>
  </si>
  <si>
    <t>Measure Savings</t>
  </si>
  <si>
    <t>Incremental Cost per Measure ($)</t>
  </si>
  <si>
    <t>Total Avoided Energy Benefits</t>
  </si>
  <si>
    <t>Total Lost Revenues ($/first-year kWh)</t>
  </si>
  <si>
    <t>Total Lost Revenues</t>
  </si>
  <si>
    <t>Old Values</t>
  </si>
  <si>
    <t>TRC Incentive</t>
  </si>
  <si>
    <t>TRC - Incentive ($/kWh)</t>
  </si>
  <si>
    <t>Benefits</t>
  </si>
  <si>
    <t>Cost</t>
  </si>
  <si>
    <t>CHECKER (Benefit $/kWh saved)</t>
  </si>
  <si>
    <t>% of change</t>
  </si>
  <si>
    <t>current program ($0.10/sf)</t>
  </si>
  <si>
    <t>scaled from residential rebate</t>
  </si>
  <si>
    <t>1st year kWh</t>
  </si>
  <si>
    <t>1st year incentives</t>
  </si>
  <si>
    <t>2023:</t>
  </si>
  <si>
    <t>2-3x over current goals</t>
  </si>
  <si>
    <t>MWh (total)</t>
  </si>
  <si>
    <t>3x</t>
  </si>
  <si>
    <t>2x</t>
  </si>
  <si>
    <t>120v Heat Pump Water Heater 50 Gallons_Efficiency Delivered</t>
  </si>
  <si>
    <t>Air Sealing-Infiltration Control_Efficiency Delivered</t>
  </si>
  <si>
    <t>ASHP - CEE Tier 2: 16.8 SEER/16 SEER2; 9.0 HSPF (from elec resistance)_Efficiency Delivered</t>
  </si>
  <si>
    <t>ASHP - ENERGY STAR/CEE Tier 1: 16 SEER/15.2 SEER2_ 9.0 HSPF_Efficiency Delivered</t>
  </si>
  <si>
    <t>Ceiling Insulation(R2 to R38) Residential_Efficiency Delivered</t>
  </si>
  <si>
    <t>Ceiling Insulation(R2 to R49) Residential_Efficiency Delivered</t>
  </si>
  <si>
    <t>Duct Repair_Efficiency Delivered</t>
  </si>
  <si>
    <t>Energy Star Windows Residential_Efficiency Delivered</t>
  </si>
  <si>
    <t>Heat Pump Water Heater 50 Gallons- CEE Advanced Tier_Efficiency Delivered</t>
  </si>
  <si>
    <t>Heat Pump Water Heater 50 Gallons-ENERGY STAR_Efficiency Delivered</t>
  </si>
  <si>
    <t>Heat Pump Water Heater 80 Gallons-ENERGY STAR_Efficiency Delivered</t>
  </si>
  <si>
    <t>Smart Thermostat Residential_Efficiency Delivered</t>
  </si>
  <si>
    <t>Column1</t>
  </si>
  <si>
    <t>Annual Summer MW</t>
  </si>
  <si>
    <t>Annual Winter MW</t>
  </si>
  <si>
    <t>Annual Participation</t>
  </si>
  <si>
    <t>Budgets $ in thousands</t>
  </si>
  <si>
    <t>Net Benefits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</si>
</sst>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quot;$&quot;#,##0.00"/>
    <numFmt numFmtId="165" formatCode="&quot;$&quot;#,##0"/>
    <numFmt numFmtId="166" formatCode="#,##0.0"/>
    <numFmt numFmtId="167" formatCode="_(* #,##0_);_(* \(#,##0\);_(* &quot;-&quot;??_);_(@_)"/>
    <numFmt numFmtId="170" formatCode="0.0000"/>
  </numFmts>
  <fonts count="1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sz val="11"/>
      <name val="Calibri"/>
      <family val="2"/>
      <scheme val="minor"/>
    </font>
    <font>
      <sz val="11"/>
      <color theme="0"/>
      <name val="Calibri"/>
      <family val="2"/>
      <scheme val="minor"/>
    </font>
    <font>
      <b/>
      <sz val="11"/>
      <color rgb="FFFF0000"/>
      <name val="Calibri"/>
      <family val="2"/>
      <scheme val="minor"/>
    </font>
    <font>
      <b/>
      <u/>
      <sz val="11"/>
      <color rgb="FFFF0000"/>
      <name val="Calibri"/>
      <family val="2"/>
      <scheme val="minor"/>
    </font>
    <font>
      <strike/>
      <sz val="11"/>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3" tint="0.749992370372631"/>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79998168889431442"/>
        <bgColor indexed="64"/>
      </patternFill>
    </fill>
  </fills>
  <borders count="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89">
    <xf numFmtId="0" fontId="0" fillId="0" borderId="0" xfId="0"/>
    <xf numFmtId="0" fontId="0" fillId="2" borderId="0" xfId="0" applyFill="1"/>
    <xf numFmtId="0" fontId="2" fillId="2" borderId="0" xfId="0" applyFont="1" applyFill="1"/>
    <xf numFmtId="164" fontId="0" fillId="0" borderId="0" xfId="0" applyNumberFormat="1"/>
    <xf numFmtId="165" fontId="0" fillId="0" borderId="0" xfId="0" applyNumberFormat="1"/>
    <xf numFmtId="1" fontId="0" fillId="0" borderId="0" xfId="0" applyNumberFormat="1"/>
    <xf numFmtId="9" fontId="0" fillId="0" borderId="0" xfId="1" applyFont="1"/>
    <xf numFmtId="0" fontId="3" fillId="0" borderId="0" xfId="0" applyFont="1"/>
    <xf numFmtId="0" fontId="0" fillId="0" borderId="2" xfId="0" applyBorder="1"/>
    <xf numFmtId="0" fontId="3" fillId="3" borderId="2" xfId="0" applyFont="1" applyFill="1" applyBorder="1"/>
    <xf numFmtId="0" fontId="0" fillId="3" borderId="2" xfId="0" applyFill="1" applyBorder="1"/>
    <xf numFmtId="0" fontId="3" fillId="3" borderId="3" xfId="0" applyFont="1" applyFill="1" applyBorder="1"/>
    <xf numFmtId="0" fontId="3" fillId="4" borderId="2" xfId="0" applyFont="1" applyFill="1" applyBorder="1"/>
    <xf numFmtId="0" fontId="0" fillId="4" borderId="2" xfId="0" applyFill="1" applyBorder="1"/>
    <xf numFmtId="0" fontId="3" fillId="4" borderId="3" xfId="0" applyFont="1" applyFill="1" applyBorder="1"/>
    <xf numFmtId="3" fontId="0" fillId="0" borderId="2" xfId="0" applyNumberFormat="1" applyBorder="1"/>
    <xf numFmtId="3" fontId="0" fillId="3" borderId="2" xfId="0" applyNumberFormat="1" applyFill="1" applyBorder="1"/>
    <xf numFmtId="3" fontId="0" fillId="4" borderId="2" xfId="0" applyNumberFormat="1" applyFill="1" applyBorder="1"/>
    <xf numFmtId="0" fontId="3" fillId="3" borderId="4" xfId="0" applyFont="1" applyFill="1" applyBorder="1"/>
    <xf numFmtId="0" fontId="0" fillId="6" borderId="0" xfId="0" applyFill="1"/>
    <xf numFmtId="0" fontId="0" fillId="7" borderId="0" xfId="0" applyFill="1"/>
    <xf numFmtId="164" fontId="0" fillId="0" borderId="2" xfId="0" applyNumberFormat="1" applyBorder="1"/>
    <xf numFmtId="0" fontId="5" fillId="8" borderId="0" xfId="0" applyFont="1" applyFill="1"/>
    <xf numFmtId="0" fontId="3" fillId="3" borderId="1" xfId="0" applyFont="1" applyFill="1" applyBorder="1"/>
    <xf numFmtId="0" fontId="0" fillId="7" borderId="2" xfId="0" applyFill="1" applyBorder="1"/>
    <xf numFmtId="3" fontId="3" fillId="3" borderId="3" xfId="0" applyNumberFormat="1" applyFont="1" applyFill="1" applyBorder="1"/>
    <xf numFmtId="3" fontId="3" fillId="4" borderId="3" xfId="0" applyNumberFormat="1" applyFont="1" applyFill="1" applyBorder="1"/>
    <xf numFmtId="0" fontId="6" fillId="9" borderId="0" xfId="0" applyFont="1" applyFill="1"/>
    <xf numFmtId="9" fontId="6" fillId="9" borderId="0" xfId="1" applyFont="1" applyFill="1"/>
    <xf numFmtId="165" fontId="6" fillId="9" borderId="0" xfId="0" applyNumberFormat="1" applyFont="1" applyFill="1"/>
    <xf numFmtId="0" fontId="0" fillId="5" borderId="0" xfId="0" applyFill="1"/>
    <xf numFmtId="0" fontId="7" fillId="0" borderId="0" xfId="0" applyFont="1"/>
    <xf numFmtId="164" fontId="7" fillId="7" borderId="2" xfId="0" applyNumberFormat="1" applyFont="1" applyFill="1" applyBorder="1"/>
    <xf numFmtId="166" fontId="0" fillId="0" borderId="2" xfId="0" applyNumberFormat="1" applyBorder="1"/>
    <xf numFmtId="2" fontId="3" fillId="3" borderId="3" xfId="0" applyNumberFormat="1" applyFont="1" applyFill="1" applyBorder="1"/>
    <xf numFmtId="2" fontId="3" fillId="4" borderId="3" xfId="0" applyNumberFormat="1" applyFont="1" applyFill="1" applyBorder="1"/>
    <xf numFmtId="2" fontId="3" fillId="4" borderId="2" xfId="0" applyNumberFormat="1" applyFont="1" applyFill="1" applyBorder="1"/>
    <xf numFmtId="165" fontId="2" fillId="2" borderId="0" xfId="0" applyNumberFormat="1" applyFont="1" applyFill="1"/>
    <xf numFmtId="165" fontId="2" fillId="7" borderId="0" xfId="0" applyNumberFormat="1" applyFont="1" applyFill="1"/>
    <xf numFmtId="165" fontId="2" fillId="0" borderId="0" xfId="0" applyNumberFormat="1" applyFont="1"/>
    <xf numFmtId="0" fontId="0" fillId="10" borderId="0" xfId="0" applyFill="1"/>
    <xf numFmtId="0" fontId="0" fillId="11" borderId="0" xfId="0" applyFill="1"/>
    <xf numFmtId="165" fontId="0" fillId="0" borderId="2" xfId="0" applyNumberFormat="1" applyBorder="1"/>
    <xf numFmtId="165" fontId="0" fillId="3" borderId="2" xfId="0" applyNumberFormat="1" applyFill="1" applyBorder="1"/>
    <xf numFmtId="165" fontId="0" fillId="4" borderId="2" xfId="0" applyNumberFormat="1" applyFill="1" applyBorder="1"/>
    <xf numFmtId="0" fontId="6" fillId="0" borderId="0" xfId="0" applyFont="1"/>
    <xf numFmtId="0" fontId="8" fillId="0" borderId="0" xfId="0" applyFont="1"/>
    <xf numFmtId="0" fontId="2" fillId="0" borderId="0" xfId="0" applyFont="1"/>
    <xf numFmtId="2" fontId="0" fillId="0" borderId="2" xfId="0" applyNumberFormat="1" applyBorder="1"/>
    <xf numFmtId="0" fontId="0" fillId="0" borderId="5" xfId="0" applyBorder="1"/>
    <xf numFmtId="3" fontId="0" fillId="0" borderId="5" xfId="0" applyNumberFormat="1" applyBorder="1"/>
    <xf numFmtId="2" fontId="0" fillId="0" borderId="5" xfId="0" applyNumberFormat="1" applyBorder="1"/>
    <xf numFmtId="165" fontId="0" fillId="0" borderId="5" xfId="0" applyNumberFormat="1" applyBorder="1"/>
    <xf numFmtId="0" fontId="2" fillId="7" borderId="0" xfId="0" applyFont="1" applyFill="1"/>
    <xf numFmtId="0" fontId="0" fillId="0" borderId="2" xfId="0" applyBorder="1" applyAlignment="1">
      <alignment horizontal="left"/>
    </xf>
    <xf numFmtId="0" fontId="3" fillId="0" borderId="0" xfId="0" applyFont="1" applyAlignment="1">
      <alignment horizontal="left"/>
    </xf>
    <xf numFmtId="0" fontId="0" fillId="0" borderId="0" xfId="0" applyAlignment="1">
      <alignment horizontal="left"/>
    </xf>
    <xf numFmtId="0" fontId="9" fillId="0" borderId="0" xfId="0" applyFont="1"/>
    <xf numFmtId="0" fontId="3" fillId="0" borderId="0" xfId="0" applyFont="1" applyAlignment="1">
      <alignment horizontal="right"/>
    </xf>
    <xf numFmtId="167" fontId="0" fillId="0" borderId="0" xfId="2" applyNumberFormat="1" applyFont="1"/>
    <xf numFmtId="0" fontId="0" fillId="0" borderId="3" xfId="0" applyBorder="1"/>
    <xf numFmtId="0" fontId="0" fillId="0" borderId="6" xfId="0" applyBorder="1"/>
    <xf numFmtId="0" fontId="0" fillId="0" borderId="4" xfId="0" applyBorder="1"/>
    <xf numFmtId="0" fontId="0" fillId="0" borderId="7" xfId="0" applyBorder="1"/>
    <xf numFmtId="0" fontId="0" fillId="0" borderId="8" xfId="0" applyBorder="1"/>
    <xf numFmtId="0" fontId="0" fillId="0" borderId="9" xfId="0" applyBorder="1"/>
    <xf numFmtId="0" fontId="0" fillId="0" borderId="1" xfId="0" applyBorder="1"/>
    <xf numFmtId="0" fontId="0" fillId="0" borderId="10" xfId="0" applyBorder="1"/>
    <xf numFmtId="1" fontId="0" fillId="0" borderId="8" xfId="0" applyNumberFormat="1" applyBorder="1"/>
    <xf numFmtId="1" fontId="0" fillId="0" borderId="10" xfId="0" applyNumberFormat="1" applyBorder="1"/>
    <xf numFmtId="0" fontId="0" fillId="0" borderId="11" xfId="0" applyBorder="1"/>
    <xf numFmtId="0" fontId="2" fillId="0" borderId="2" xfId="0" applyFont="1" applyBorder="1"/>
    <xf numFmtId="0" fontId="2" fillId="12" borderId="0" xfId="0" applyFont="1" applyFill="1"/>
    <xf numFmtId="9" fontId="2" fillId="12" borderId="0" xfId="1" applyFont="1" applyFill="1"/>
    <xf numFmtId="3" fontId="0" fillId="0" borderId="0" xfId="0" applyNumberFormat="1"/>
    <xf numFmtId="46" fontId="2" fillId="0" borderId="0" xfId="0" quotePrefix="1" applyNumberFormat="1" applyFont="1" applyAlignment="1">
      <alignment horizontal="right"/>
    </xf>
    <xf numFmtId="3" fontId="2" fillId="0" borderId="0" xfId="0" applyNumberFormat="1" applyFont="1"/>
    <xf numFmtId="0" fontId="5" fillId="0" borderId="0" xfId="0" applyFont="1"/>
    <xf numFmtId="2" fontId="5" fillId="0" borderId="0" xfId="0" applyNumberFormat="1" applyFont="1"/>
    <xf numFmtId="0" fontId="5" fillId="7" borderId="0" xfId="0" applyFont="1" applyFill="1"/>
    <xf numFmtId="164" fontId="5" fillId="0" borderId="0" xfId="0" applyNumberFormat="1" applyFont="1"/>
    <xf numFmtId="165" fontId="5" fillId="0" borderId="0" xfId="0" applyNumberFormat="1" applyFont="1"/>
    <xf numFmtId="0" fontId="3" fillId="0" borderId="1" xfId="0" applyFont="1" applyBorder="1" applyAlignment="1">
      <alignment horizontal="center"/>
    </xf>
    <xf numFmtId="170" fontId="0" fillId="0" borderId="2" xfId="0" applyNumberFormat="1" applyBorder="1"/>
    <xf numFmtId="170" fontId="0" fillId="3" borderId="2" xfId="0" applyNumberFormat="1" applyFill="1" applyBorder="1"/>
    <xf numFmtId="170" fontId="0" fillId="4" borderId="2" xfId="0" applyNumberFormat="1" applyFill="1" applyBorder="1"/>
    <xf numFmtId="170" fontId="0" fillId="0" borderId="0" xfId="0" applyNumberFormat="1"/>
    <xf numFmtId="170" fontId="0" fillId="0" borderId="0" xfId="1" applyNumberFormat="1" applyFont="1"/>
    <xf numFmtId="170" fontId="6" fillId="0" borderId="0" xfId="0" applyNumberFormat="1" applyFont="1"/>
  </cellXfs>
  <cellStyles count="3">
    <cellStyle name="Comma" xfId="2" builtinId="3"/>
    <cellStyle name="Normal" xfId="0" builtinId="0"/>
    <cellStyle name="Percent" xfId="1" builtinId="5"/>
  </cellStyles>
  <dxfs count="15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quot;$&quot;#,##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5" formatCode="&quot;$&quot;#,##0"/>
    </dxf>
    <dxf>
      <numFmt numFmtId="165" formatCode="&quot;$&quot;#,##0"/>
    </dxf>
    <dxf>
      <numFmt numFmtId="165" formatCode="&quot;$&quot;#,##0"/>
    </dxf>
    <dxf>
      <numFmt numFmtId="165" formatCode="&quot;$&quot;#,##0"/>
    </dxf>
    <dxf>
      <numFmt numFmtId="165" formatCode="&quot;$&quot;#,##0"/>
    </dxf>
    <dxf>
      <numFmt numFmtId="165" formatCode="&quot;$&quot;#,##0"/>
    </dxf>
    <dxf>
      <numFmt numFmtId="164" formatCode="&quot;$&quot;#,##0.00"/>
    </dxf>
    <dxf>
      <numFmt numFmtId="164" formatCode="&quot;$&quot;#,##0.00"/>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164" formatCode="&quot;$&quot;#,##0.00"/>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165" formatCode="&quot;$&quot;#,##0"/>
    </dxf>
    <dxf>
      <font>
        <strike val="0"/>
        <outline val="0"/>
        <shadow val="0"/>
        <u val="none"/>
        <vertAlign val="baseline"/>
        <sz val="11"/>
        <color auto="1"/>
        <name val="Calibri"/>
        <family val="2"/>
        <scheme val="minor"/>
      </font>
      <numFmt numFmtId="165" formatCode="&quot;$&quot;#,##0"/>
    </dxf>
    <dxf>
      <font>
        <strike val="0"/>
        <outline val="0"/>
        <shadow val="0"/>
        <u val="none"/>
        <vertAlign val="baseline"/>
        <sz val="11"/>
        <color auto="1"/>
        <name val="Calibri"/>
        <family val="2"/>
        <scheme val="minor"/>
      </font>
      <numFmt numFmtId="165" formatCode="&quot;$&quot;#,##0"/>
    </dxf>
    <dxf>
      <font>
        <strike val="0"/>
        <outline val="0"/>
        <shadow val="0"/>
        <u val="none"/>
        <vertAlign val="baseline"/>
        <sz val="11"/>
        <color auto="1"/>
        <name val="Calibri"/>
        <family val="2"/>
        <scheme val="minor"/>
      </font>
      <numFmt numFmtId="165" formatCode="&quot;$&quot;#,##0"/>
    </dxf>
    <dxf>
      <font>
        <strike val="0"/>
        <outline val="0"/>
        <shadow val="0"/>
        <u val="none"/>
        <vertAlign val="baseline"/>
        <sz val="11"/>
        <color auto="1"/>
        <name val="Calibri"/>
        <family val="2"/>
        <scheme val="minor"/>
      </font>
      <numFmt numFmtId="165" formatCode="&quot;$&quot;#,##0"/>
    </dxf>
    <dxf>
      <font>
        <strike val="0"/>
        <outline val="0"/>
        <shadow val="0"/>
        <u val="none"/>
        <vertAlign val="baseline"/>
        <sz val="11"/>
        <color auto="1"/>
        <name val="Calibri"/>
        <family val="2"/>
        <scheme val="minor"/>
      </font>
      <numFmt numFmtId="165" formatCode="&quot;$&quot;#,##0"/>
    </dxf>
    <dxf>
      <font>
        <strike val="0"/>
        <outline val="0"/>
        <shadow val="0"/>
        <u val="none"/>
        <vertAlign val="baseline"/>
        <sz val="11"/>
        <color auto="1"/>
        <name val="Calibri"/>
        <family val="2"/>
        <scheme val="minor"/>
      </font>
      <numFmt numFmtId="164" formatCode="&quot;$&quot;#,##0.00"/>
    </dxf>
    <dxf>
      <font>
        <strike val="0"/>
        <outline val="0"/>
        <shadow val="0"/>
        <u val="none"/>
        <vertAlign val="baseline"/>
        <sz val="11"/>
        <color auto="1"/>
        <name val="Calibri"/>
        <family val="2"/>
        <scheme val="minor"/>
      </font>
      <numFmt numFmtId="164" formatCode="&quot;$&quot;#,##0.00"/>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fill>
        <patternFill patternType="solid">
          <fgColor indexed="64"/>
          <bgColor theme="7" tint="0.79998168889431442"/>
        </patternFill>
      </fill>
    </dxf>
    <dxf>
      <font>
        <strike val="0"/>
        <outline val="0"/>
        <shadow val="0"/>
        <u val="none"/>
        <vertAlign val="baseline"/>
        <sz val="11"/>
        <color auto="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7620</xdr:colOff>
      <xdr:row>0</xdr:row>
      <xdr:rowOff>22860</xdr:rowOff>
    </xdr:from>
    <xdr:to>
      <xdr:col>12</xdr:col>
      <xdr:colOff>251460</xdr:colOff>
      <xdr:row>17</xdr:row>
      <xdr:rowOff>60960</xdr:rowOff>
    </xdr:to>
    <xdr:sp macro="" textlink="">
      <xdr:nvSpPr>
        <xdr:cNvPr id="2" name="TextBox 1">
          <a:extLst>
            <a:ext uri="{FF2B5EF4-FFF2-40B4-BE49-F238E27FC236}">
              <a16:creationId xmlns:a16="http://schemas.microsoft.com/office/drawing/2014/main" id="{57C15E90-673C-7336-FF75-D0928BDEFCDE}"/>
            </a:ext>
          </a:extLst>
        </xdr:cNvPr>
        <xdr:cNvSpPr txBox="1"/>
      </xdr:nvSpPr>
      <xdr:spPr>
        <a:xfrm>
          <a:off x="8221980" y="22860"/>
          <a:ext cx="4511040" cy="3147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General Notes:</a:t>
          </a:r>
        </a:p>
        <a:p>
          <a:endParaRPr lang="en-US" sz="1100"/>
        </a:p>
        <a:p>
          <a:r>
            <a:rPr lang="en-US" sz="1100"/>
            <a:t>1. The measure screening from the model is</a:t>
          </a:r>
          <a:r>
            <a:rPr lang="en-US" sz="1100" baseline="0"/>
            <a:t> based on the program admin costs provided in this table (column C). Any change in the program admins could result in model rerun for different passing measures. However, the program cost-effectiveness is calculated based on the final program admin cost (column D). User can modify in column D.</a:t>
          </a:r>
        </a:p>
        <a:p>
          <a:endParaRPr lang="en-US" sz="1100" baseline="0"/>
        </a:p>
        <a:p>
          <a:r>
            <a:rPr lang="en-US" sz="1100" baseline="0"/>
            <a:t>2. The model output is stored in the sheet #2 and can </a:t>
          </a:r>
          <a:r>
            <a:rPr lang="en-US" sz="1100" u="sng" baseline="0"/>
            <a:t>only be modified by the modeler</a:t>
          </a:r>
          <a:r>
            <a:rPr lang="en-US" sz="1100" baseline="0"/>
            <a:t>.</a:t>
          </a:r>
        </a:p>
        <a:p>
          <a:endParaRPr lang="en-US" sz="1100" baseline="0"/>
        </a:p>
        <a:p>
          <a:r>
            <a:rPr lang="en-US" sz="1100" baseline="0"/>
            <a:t>3. User can adjust incentive amount at measure level (in column F) in the sheet #3, and view the resulting participation rate for that measure in the sheet named "View for Selected Program".</a:t>
          </a:r>
        </a:p>
        <a:p>
          <a:endParaRPr lang="en-US" sz="1100" baseline="0"/>
        </a:p>
        <a:p>
          <a:r>
            <a:rPr lang="en-US" sz="1100" baseline="0"/>
            <a:t>4. The "Program Metrics" presents the program savings tables as well as the cost-effectiveness tables.</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47625</xdr:colOff>
      <xdr:row>1</xdr:row>
      <xdr:rowOff>28576</xdr:rowOff>
    </xdr:from>
    <xdr:to>
      <xdr:col>18</xdr:col>
      <xdr:colOff>447675</xdr:colOff>
      <xdr:row>7</xdr:row>
      <xdr:rowOff>161926</xdr:rowOff>
    </xdr:to>
    <xdr:sp macro="" textlink="">
      <xdr:nvSpPr>
        <xdr:cNvPr id="2" name="TextBox 1">
          <a:extLst>
            <a:ext uri="{FF2B5EF4-FFF2-40B4-BE49-F238E27FC236}">
              <a16:creationId xmlns:a16="http://schemas.microsoft.com/office/drawing/2014/main" id="{1C5A7893-30EF-4F61-960F-B0EC60702471}"/>
            </a:ext>
          </a:extLst>
        </xdr:cNvPr>
        <xdr:cNvSpPr txBox="1"/>
      </xdr:nvSpPr>
      <xdr:spPr>
        <a:xfrm>
          <a:off x="9715500" y="209551"/>
          <a:ext cx="466725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General Notes:</a:t>
          </a:r>
        </a:p>
        <a:p>
          <a:endParaRPr lang="en-US" sz="1100"/>
        </a:p>
        <a:p>
          <a:r>
            <a:rPr lang="en-US" sz="1100"/>
            <a:t>Please update the incentive amount</a:t>
          </a:r>
          <a:r>
            <a:rPr lang="en-US" sz="1100" baseline="0"/>
            <a:t> when you see appropriate in column F. The change will affect the participation rate for the measure as well as the program level savings and cost-effectiveness results.</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525781</xdr:colOff>
      <xdr:row>27</xdr:row>
      <xdr:rowOff>4833</xdr:rowOff>
    </xdr:from>
    <xdr:to>
      <xdr:col>8</xdr:col>
      <xdr:colOff>541021</xdr:colOff>
      <xdr:row>41</xdr:row>
      <xdr:rowOff>39450</xdr:rowOff>
    </xdr:to>
    <xdr:pic>
      <xdr:nvPicPr>
        <xdr:cNvPr id="2" name="Picture 1">
          <a:extLst>
            <a:ext uri="{FF2B5EF4-FFF2-40B4-BE49-F238E27FC236}">
              <a16:creationId xmlns:a16="http://schemas.microsoft.com/office/drawing/2014/main" id="{0373456C-219C-8D2A-00B9-A4C4B9C13FF3}"/>
            </a:ext>
          </a:extLst>
        </xdr:cNvPr>
        <xdr:cNvPicPr>
          <a:picLocks noChangeAspect="1"/>
        </xdr:cNvPicPr>
      </xdr:nvPicPr>
      <xdr:blipFill>
        <a:blip xmlns:r="http://schemas.openxmlformats.org/officeDocument/2006/relationships" r:embed="rId1"/>
        <a:stretch>
          <a:fillRect/>
        </a:stretch>
      </xdr:blipFill>
      <xdr:spPr>
        <a:xfrm>
          <a:off x="525781" y="4942593"/>
          <a:ext cx="5219700" cy="259493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76B225-B34E-4735-A36F-0ECB25ECA3A8}" name="tbl_Data" displayName="tbl_Data" ref="A1:CE835" totalsRowShown="0" dataDxfId="157">
  <autoFilter ref="A1:CE835" xr:uid="{2776B225-B34E-4735-A36F-0ECB25ECA3A8}"/>
  <tableColumns count="83">
    <tableColumn id="1" xr3:uid="{38EAA308-73DA-49A8-BC38-BBCAD0695DD0}" name="Output_Type" dataDxfId="156"/>
    <tableColumn id="2" xr3:uid="{A19AD47E-9D04-4C3D-9442-E8F602CCD6BB}" name="Utility" dataDxfId="155"/>
    <tableColumn id="3" xr3:uid="{F76E6B4B-E672-49FD-9BAF-CCC47F8F483B}" name="Aggregate_Sector" dataDxfId="154"/>
    <tableColumn id="4" xr3:uid="{EAFA041F-394A-4504-8620-C07C75AEDF2E}" name="Customer_Base" dataDxfId="153"/>
    <tableColumn id="5" xr3:uid="{D6E31286-295D-45F0-B580-2C95FA2575A2}" name="Adoption_Scen" dataDxfId="152"/>
    <tableColumn id="6" xr3:uid="{2A326ADD-A90F-4542-BD40-0B37B68AA69E}" name="Avoided_Cost_Scenar2" dataDxfId="151"/>
    <tableColumn id="7" xr3:uid="{82488D4A-D061-4CF1-BF72-A409EABF72A3}" name="Incentive_Scenario1" dataDxfId="150"/>
    <tableColumn id="8" xr3:uid="{E9B598E5-813A-49B4-AB9A-A1A5B6958244}" name="Column1" dataDxfId="149"/>
    <tableColumn id="9" xr3:uid="{E988E925-8D71-4687-B560-2CBC75503C8F}" name="All_Meas_Name_Append" dataDxfId="148"/>
    <tableColumn id="10" xr3:uid="{98F06325-2BC4-4B53-AE7C-BBD5E30926B7}" name="Savings Shape" dataDxfId="147"/>
    <tableColumn id="11" xr3:uid="{C64B8C94-A7C2-4DC8-B7E7-6299F47689C5}" name="Units" dataDxfId="146"/>
    <tableColumn id="12" xr3:uid="{B30806EA-97A9-48E5-BFB2-4056767448D1}" name="kWh Savings" dataDxfId="145"/>
    <tableColumn id="13" xr3:uid="{4F4C480D-2F10-4169-8A14-CE2090AAEF02}" name="kW Savings - Summer" dataDxfId="144"/>
    <tableColumn id="14" xr3:uid="{00979A49-0C3F-489A-8C5E-38F88775E44E}" name="kW Savings - Winter" dataDxfId="143"/>
    <tableColumn id="15" xr3:uid="{2B14CD3F-A509-4971-B8DF-5DFC51786918}" name="Incremental Cost ($/unit)" dataDxfId="142"/>
    <tableColumn id="16" xr3:uid="{078DE967-A85B-4593-A541-1982FE93F1B8}" name="Incentive ($/unit)" dataDxfId="141"/>
    <tableColumn id="17" xr3:uid="{3F4C5CCE-00A9-40EC-B3B1-B35E9BFE8DFE}" name="Admin ($/unit)" dataDxfId="140"/>
    <tableColumn id="18" xr3:uid="{5EC2D5F0-39CC-497C-9043-B33F1B992F5D}" name="Avoided Costs ($/unit)" dataDxfId="139"/>
    <tableColumn id="19" xr3:uid="{B13CAC1E-75CD-4EE5-A0B6-7E37159AD74A}" name="Lost Revenue ($/unit)" dataDxfId="138"/>
    <tableColumn id="20" xr3:uid="{A5FBC210-414A-4743-89C0-0A5FBC1AB2C2}" name="Measure Life (Years)" dataDxfId="137"/>
    <tableColumn id="21" xr3:uid="{11F16F6B-45AE-46A3-B461-E3A626A6404A}" name="Program Allocation (fraction)" dataDxfId="136"/>
    <tableColumn id="22" xr3:uid="{B468F78A-6BAC-4969-9101-187C28796BF2}" name="2025 " dataDxfId="135">
      <calculatedColumnFormula>tbl_Data_old[[#This Row],[2025 ]]*IFERROR(AVERAGEIFS('Participation Adjustment'!$C:$C,'Participation Adjustment'!$A:$A,$H2,'Participation Adjustment'!$B:$B,$I2),1)</calculatedColumnFormula>
    </tableColumn>
    <tableColumn id="23" xr3:uid="{5B80FF5D-C780-4F7D-8AEF-9A8D4FD121D8}" name="2026 " dataDxfId="134">
      <calculatedColumnFormula>tbl_Data_old[[#This Row],[2026 ]]*IFERROR(AVERAGEIFS('Participation Adjustment'!$C:$C,'Participation Adjustment'!$A:$A,$H2,'Participation Adjustment'!$B:$B,$I2),1)</calculatedColumnFormula>
    </tableColumn>
    <tableColumn id="24" xr3:uid="{E4D120C1-060D-408F-A8D3-C648F7AD8089}" name="2027 " dataDxfId="133">
      <calculatedColumnFormula>tbl_Data_old[[#This Row],[2027 ]]*IFERROR(AVERAGEIFS('Participation Adjustment'!$C:$C,'Participation Adjustment'!$A:$A,$H2,'Participation Adjustment'!$B:$B,$I2),1)</calculatedColumnFormula>
    </tableColumn>
    <tableColumn id="25" xr3:uid="{38181378-5192-4F5D-8042-AEC9BADDC85B}" name="2028 " dataDxfId="132">
      <calculatedColumnFormula>tbl_Data_old[[#This Row],[2028 ]]*IFERROR(AVERAGEIFS('Participation Adjustment'!$C:$C,'Participation Adjustment'!$A:$A,$H2,'Participation Adjustment'!$B:$B,$I2),1)</calculatedColumnFormula>
    </tableColumn>
    <tableColumn id="26" xr3:uid="{C7D59AA8-A69B-43AE-B533-EEA0027F2C85}" name="2029 " dataDxfId="131">
      <calculatedColumnFormula>tbl_Data_old[[#This Row],[2029 ]]*IFERROR(AVERAGEIFS('Participation Adjustment'!$C:$C,'Participation Adjustment'!$A:$A,$H2,'Participation Adjustment'!$B:$B,$I2),1)</calculatedColumnFormula>
    </tableColumn>
    <tableColumn id="27" xr3:uid="{01B179BF-37B8-4C77-B43F-B6FF6AE8EC7B}" name="2030 " dataDxfId="130">
      <calculatedColumnFormula>tbl_Data_old[[#This Row],[2030 ]]*IFERROR(AVERAGEIFS('Participation Adjustment'!$C:$C,'Participation Adjustment'!$A:$A,$H2,'Participation Adjustment'!$B:$B,$I2),1)</calculatedColumnFormula>
    </tableColumn>
    <tableColumn id="28" xr3:uid="{1819A9BE-F094-4881-A9A6-3C9943EDDC4E}" name="2031 " dataDxfId="129">
      <calculatedColumnFormula>tbl_Data_old[[#This Row],[2031 ]]*IFERROR(AVERAGEIFS('Participation Adjustment'!$C:$C,'Participation Adjustment'!$A:$A,$H2,'Participation Adjustment'!$B:$B,$I2),1)</calculatedColumnFormula>
    </tableColumn>
    <tableColumn id="29" xr3:uid="{6A9FF6CB-ABE8-4554-92F7-F0432AEB014E}" name="2032 " dataDxfId="128">
      <calculatedColumnFormula>tbl_Data_old[[#This Row],[2032 ]]*IFERROR(AVERAGEIFS('Participation Adjustment'!$C:$C,'Participation Adjustment'!$A:$A,$H2,'Participation Adjustment'!$B:$B,$I2),1)</calculatedColumnFormula>
    </tableColumn>
    <tableColumn id="30" xr3:uid="{E09120DA-F4D3-4C34-9A4B-873B6752474B}" name="2033 " dataDxfId="127">
      <calculatedColumnFormula>tbl_Data_old[[#This Row],[2033 ]]*IFERROR(AVERAGEIFS('Participation Adjustment'!$C:$C,'Participation Adjustment'!$A:$A,$H2,'Participation Adjustment'!$B:$B,$I2),1)</calculatedColumnFormula>
    </tableColumn>
    <tableColumn id="31" xr3:uid="{79D10CB9-8B5A-43AE-A593-561A02CAE9C5}" name="2034 " dataDxfId="126">
      <calculatedColumnFormula>tbl_Data_old[[#This Row],[2034 ]]*IFERROR(AVERAGEIFS('Participation Adjustment'!$C:$C,'Participation Adjustment'!$A:$A,$H2,'Participation Adjustment'!$B:$B,$I2),1)</calculatedColumnFormula>
    </tableColumn>
    <tableColumn id="32" xr3:uid="{AC45166E-F68A-4029-B8C2-EA870BE2A6AB}" name="Trimmed Sector" dataDxfId="125">
      <calculatedColumnFormula>IF(C2="Residential","Residential","NonResidential")</calculatedColumnFormula>
    </tableColumn>
    <tableColumn id="33" xr3:uid="{819B06EA-4516-484B-AC23-71E6EB8A3389}" name="Trimmed Measure Name" dataDxfId="124">
      <calculatedColumnFormula>tbl_Data[[#This Row],[All_Meas_Name_Append]]</calculatedColumnFormula>
    </tableColumn>
    <tableColumn id="44" xr3:uid="{AE41E9A5-C28B-46C8-9F7E-31A1B66411B4}" name="scaling factor" dataDxfId="123">
      <calculatedColumnFormula>AVERAGEIFS('3. Incentive Adjustment'!G:G,'3. Incentive Adjustment'!A:A,tbl_Data[[#This Row],[Trimmed Sector]],'3. Incentive Adjustment'!B:B,tbl_Data[[#This Row],[Trimmed Measure Name]])</calculatedColumnFormula>
    </tableColumn>
    <tableColumn id="34" xr3:uid="{AA7BA8E2-AC0D-4B8D-B834-C6C118ADFD02}" name="Adjusted 2025" dataDxfId="122">
      <calculatedColumnFormula>$AH2*tbl_Data[[#This Row],[2025 ]]</calculatedColumnFormula>
    </tableColumn>
    <tableColumn id="35" xr3:uid="{F239F351-7EDC-4444-8836-B0EEFC7D6460}" name="Adjusted 2026" dataDxfId="121">
      <calculatedColumnFormula>$AH2*tbl_Data[[#This Row],[2026 ]]</calculatedColumnFormula>
    </tableColumn>
    <tableColumn id="36" xr3:uid="{F1A14698-429C-428A-B5C1-92A2DBE7315C}" name="Adjusted 2027" dataDxfId="120">
      <calculatedColumnFormula>$AH2*tbl_Data[[#This Row],[2027 ]]</calculatedColumnFormula>
    </tableColumn>
    <tableColumn id="37" xr3:uid="{172B8F86-64E7-4DC7-AC00-44051B9A78D4}" name="Adjusted 2028" dataDxfId="119">
      <calculatedColumnFormula>$AH2*tbl_Data[[#This Row],[2028 ]]</calculatedColumnFormula>
    </tableColumn>
    <tableColumn id="38" xr3:uid="{E7F2B656-E162-4D59-A9C9-88D75DBC060A}" name="Adjusted 2029" dataDxfId="118">
      <calculatedColumnFormula>$AH2*tbl_Data[[#This Row],[2029 ]]</calculatedColumnFormula>
    </tableColumn>
    <tableColumn id="39" xr3:uid="{BCBA59C6-E11C-4366-A62A-C41AAA19A71C}" name="Adjusted 2030" dataDxfId="117">
      <calculatedColumnFormula>$AH2*tbl_Data[[#This Row],[2030 ]]</calculatedColumnFormula>
    </tableColumn>
    <tableColumn id="40" xr3:uid="{4A5FADE7-53D6-41B5-AD10-CEA2F2DC4D5D}" name="Adjusted 2031" dataDxfId="116">
      <calculatedColumnFormula>$AH2*tbl_Data[[#This Row],[2031 ]]</calculatedColumnFormula>
    </tableColumn>
    <tableColumn id="41" xr3:uid="{426D9DBB-3DAA-4291-9DCB-1B71EBBE7947}" name="Adjusted 2032" dataDxfId="115">
      <calculatedColumnFormula>$AH2*tbl_Data[[#This Row],[2032 ]]</calculatedColumnFormula>
    </tableColumn>
    <tableColumn id="42" xr3:uid="{2BAE5FF9-DC7B-41B8-AA60-450828693493}" name="Adjusted 2033" dataDxfId="114">
      <calculatedColumnFormula>$AH2*tbl_Data[[#This Row],[2033 ]]</calculatedColumnFormula>
    </tableColumn>
    <tableColumn id="43" xr3:uid="{18F3C9E7-4A77-4117-81C1-FEC807896076}" name="Adjusted 2034" dataDxfId="113">
      <calculatedColumnFormula>$AH2*tbl_Data[[#This Row],[2034 ]]</calculatedColumnFormula>
    </tableColumn>
    <tableColumn id="45" xr3:uid="{6D4AE955-E2C2-41B3-B8C9-5FB31A60252A}" name="Sum of Annuals" dataDxfId="112">
      <calculatedColumnFormula>SUM(tbl_Data[[#This Row],[Adjusted 2025]:[Adjusted 2034]])</calculatedColumnFormula>
    </tableColumn>
    <tableColumn id="61" xr3:uid="{754E452B-E230-468F-B76F-433635157709}" name="Adj. per unit Incentive ($)" dataDxfId="111">
      <calculatedColumnFormula>AVERAGEIFS('3. Incentive Adjustment'!F:F,'3. Incentive Adjustment'!A:A,tbl_Data[[#This Row],[Trimmed Sector]],'3. Incentive Adjustment'!B:B,tbl_Data[[#This Row],[Trimmed Measure Name]])</calculatedColumnFormula>
    </tableColumn>
    <tableColumn id="62" xr3:uid="{1047328C-60C9-43F1-9ACB-930839615503}" name="per unit IRA tax ($)" dataDxfId="110">
      <calculatedColumnFormula>IFERROR(VLOOKUP(tbl_Data[[#This Row],[All_Meas_Name_Append]],'IRA Tax Credits'!$A$3:$D$46,4,0),0)</calculatedColumnFormula>
    </tableColumn>
    <tableColumn id="46" xr3:uid="{0F96ACF7-C6F9-4AFF-B6A2-0AA66CB082F7}" name="Incentives $" dataDxfId="109">
      <calculatedColumnFormula>tbl_Data[[#This Row],[Adj. per unit Incentive ($)]]/tbl_Data[[#This Row],[kWh Savings]]*tbl_Data[[#This Row],[Sum of Annuals]]</calculatedColumnFormula>
    </tableColumn>
    <tableColumn id="47" xr3:uid="{51098354-60A8-4997-85E7-1C632BF592B4}" name="Admin $" dataDxfId="108">
      <calculatedColumnFormula>IFERROR(VLOOKUP(tbl_Data[[#This Row],[Column1]],'1. Set Program Names'!$B$2:$D$15,3,0)*tbl_Data[[#This Row],[Sum of Annuals]],"")</calculatedColumnFormula>
    </tableColumn>
    <tableColumn id="63" xr3:uid="{22C91615-8D5A-4233-B8D5-5B359D5F7CDE}" name="Tax Credits $" dataDxfId="107">
      <calculatedColumnFormula>tbl_Data[[#This Row],[per unit IRA tax ($)]]/tbl_Data[[#This Row],[kWh Savings]]*tbl_Data[[#This Row],[Sum of Annuals]]</calculatedColumnFormula>
    </tableColumn>
    <tableColumn id="48" xr3:uid="{B8A17E4D-D577-4740-95FC-044EAA5FD544}" name="Avoided Benefits $" dataDxfId="106">
      <calculatedColumnFormula>tbl_Data[[#This Row],[Avoided Costs ($/unit)]]/tbl_Data[[#This Row],[kWh Savings]]*tbl_Data[[#This Row],[Sum of Annuals]]</calculatedColumnFormula>
    </tableColumn>
    <tableColumn id="49" xr3:uid="{1424D26A-46B1-495B-AE6C-C89A2FA898F4}" name="Lost Revenue $" dataDxfId="105">
      <calculatedColumnFormula>tbl_Data[[#This Row],[Lost Revenue ($/unit)]]/tbl_Data[[#This Row],[kWh Savings]]*tbl_Data[[#This Row],[Sum of Annuals]]</calculatedColumnFormula>
    </tableColumn>
    <tableColumn id="50" xr3:uid="{45EAB561-5DDE-4CFD-A6BB-D94EE032B997}" name="Measure Incremental Cost $" dataDxfId="104">
      <calculatedColumnFormula>tbl_Data[[#This Row],[Incremental Cost ($/unit)]]/tbl_Data[[#This Row],[kWh Savings]]*tbl_Data[[#This Row],[Sum of Annuals]]</calculatedColumnFormula>
    </tableColumn>
    <tableColumn id="51" xr3:uid="{5582D4B5-0179-4ABF-8477-DCFCB2033234}" name="Part_2025" dataDxfId="103">
      <calculatedColumnFormula>ROUNDUP(tbl_Data[[#This Row],[Adjusted 2025]]/$L2,0)</calculatedColumnFormula>
    </tableColumn>
    <tableColumn id="52" xr3:uid="{35F0A608-AFB8-49B5-A8E4-5D9686009BDA}" name="Part_2026" dataDxfId="102">
      <calculatedColumnFormula>ROUNDUP(tbl_Data[[#This Row],[Adjusted 2026]]/$L2,0)</calculatedColumnFormula>
    </tableColumn>
    <tableColumn id="53" xr3:uid="{3B83CDAA-A689-4C59-AE02-E0168BD3BAE6}" name="Part_2027" dataDxfId="101">
      <calculatedColumnFormula>ROUNDUP(tbl_Data[[#This Row],[Adjusted 2027]]/$L2,0)</calculatedColumnFormula>
    </tableColumn>
    <tableColumn id="54" xr3:uid="{296DFDBB-B2AA-4E42-AEC2-502C8B85620D}" name="Part_2028" dataDxfId="100">
      <calculatedColumnFormula>ROUNDUP(tbl_Data[[#This Row],[Adjusted 2028]]/$L2,0)</calculatedColumnFormula>
    </tableColumn>
    <tableColumn id="55" xr3:uid="{92CAC044-E5AB-410F-9B7F-880439833268}" name="Part_2029" dataDxfId="99">
      <calculatedColumnFormula>ROUNDUP(tbl_Data[[#This Row],[Adjusted 2029]]/$L2,0)</calculatedColumnFormula>
    </tableColumn>
    <tableColumn id="56" xr3:uid="{C2971F9C-428A-4C08-BCE6-77C7359F9A36}" name="Part_2030" dataDxfId="98">
      <calculatedColumnFormula>ROUNDUP(tbl_Data[[#This Row],[Adjusted 2030]]/$L2,0)</calculatedColumnFormula>
    </tableColumn>
    <tableColumn id="57" xr3:uid="{BD08500F-4E5D-48E3-830F-0FDB3BD5DA39}" name="Part_2031" dataDxfId="97">
      <calculatedColumnFormula>ROUNDUP(tbl_Data[[#This Row],[Adjusted 2031]]/$L2,0)</calculatedColumnFormula>
    </tableColumn>
    <tableColumn id="58" xr3:uid="{38C3409E-D986-4649-A612-94B383033C72}" name="Part_2032" dataDxfId="96">
      <calculatedColumnFormula>ROUNDUP(tbl_Data[[#This Row],[Adjusted 2032]]/$L2,0)</calculatedColumnFormula>
    </tableColumn>
    <tableColumn id="59" xr3:uid="{F582F949-E79E-498C-85C6-307119B7DABA}" name="Part_2033" dataDxfId="95">
      <calculatedColumnFormula>ROUNDUP(tbl_Data[[#This Row],[Adjusted 2033]]/$L2,0)</calculatedColumnFormula>
    </tableColumn>
    <tableColumn id="60" xr3:uid="{85DC2B49-B0CB-4507-B1B2-348CD7FE0F9C}" name="Part_2034" dataDxfId="94">
      <calculatedColumnFormula>ROUNDUP(tbl_Data[[#This Row],[Adjusted 2034]]/$L2,0)</calculatedColumnFormula>
    </tableColumn>
    <tableColumn id="64" xr3:uid="{E821BC2B-2E14-4E17-AF93-F4FE30F7F2EC}" name="Incentive_2025" dataDxfId="93">
      <calculatedColumnFormula>$AT2/$L2*V2</calculatedColumnFormula>
    </tableColumn>
    <tableColumn id="65" xr3:uid="{1449B7C1-0D9D-4A00-AFE9-B0E2BF279486}" name="Incentive_2026" dataDxfId="92">
      <calculatedColumnFormula>$AT2/$L2*W2</calculatedColumnFormula>
    </tableColumn>
    <tableColumn id="66" xr3:uid="{50C4A021-8D97-45B2-A0CB-2CE9838CD3D5}" name="Incentive_2027" dataDxfId="91">
      <calculatedColumnFormula>$AT2/$L2*X2</calculatedColumnFormula>
    </tableColumn>
    <tableColumn id="67" xr3:uid="{E2EDC49E-85D8-4065-B3EC-3849B00990C4}" name="Incentive_2028" dataDxfId="90">
      <calculatedColumnFormula>$AT2/$L2*Y2</calculatedColumnFormula>
    </tableColumn>
    <tableColumn id="68" xr3:uid="{E3ECB9FC-5D92-41F1-B9B3-206BE6F6F26A}" name="Incentive_2029" dataDxfId="89">
      <calculatedColumnFormula>$AT2/$L2*Z2</calculatedColumnFormula>
    </tableColumn>
    <tableColumn id="69" xr3:uid="{6C43027C-BE41-4059-9D48-7116AF08E783}" name="Incentive_2030" dataDxfId="88">
      <calculatedColumnFormula>$AT2/$L2*AA2</calculatedColumnFormula>
    </tableColumn>
    <tableColumn id="70" xr3:uid="{0698A826-3B37-4AD6-8106-1FBC26B6EFED}" name="Incentive_2031" dataDxfId="87">
      <calculatedColumnFormula>$AT2/$L2*AB2</calculatedColumnFormula>
    </tableColumn>
    <tableColumn id="71" xr3:uid="{D1BD9F29-A8E3-4B91-8359-FFDE27F7B0BA}" name="Incentive_2032" dataDxfId="86">
      <calculatedColumnFormula>$AT2/$L2*AC2</calculatedColumnFormula>
    </tableColumn>
    <tableColumn id="72" xr3:uid="{E8F9F687-D75B-4069-8151-746EE110FEBD}" name="Incentive_2033" dataDxfId="85">
      <calculatedColumnFormula>$AT2/$L2*AD2</calculatedColumnFormula>
    </tableColumn>
    <tableColumn id="73" xr3:uid="{D9793C49-8C8F-456F-92EB-37EC6818758C}" name="Incentive_2034" dataDxfId="84">
      <calculatedColumnFormula>$AT2/$L2*AE2</calculatedColumnFormula>
    </tableColumn>
    <tableColumn id="74" xr3:uid="{90181284-46EE-4FA4-B605-528A4E5E427A}" name="Admin_2025" dataDxfId="83">
      <calculatedColumnFormula>IFERROR(VLOOKUP($H2,'1. Set Program Names'!$B$2:$D$15,3,0)*V2,"NA")</calculatedColumnFormula>
    </tableColumn>
    <tableColumn id="75" xr3:uid="{68A998A6-2C69-4F81-BCBD-DF88F00BA223}" name="Admin_2026" dataDxfId="82">
      <calculatedColumnFormula>IFERROR(VLOOKUP($H2,'1. Set Program Names'!$B$2:$D$15,3,0)*W2,"NA")</calculatedColumnFormula>
    </tableColumn>
    <tableColumn id="76" xr3:uid="{1602BCBC-A3C7-451C-BD5F-9EC8745003C9}" name="Admin_2027" dataDxfId="81">
      <calculatedColumnFormula>IFERROR(VLOOKUP($H2,'1. Set Program Names'!$B$2:$D$15,3,0)*X2,"NA")</calculatedColumnFormula>
    </tableColumn>
    <tableColumn id="77" xr3:uid="{D6139738-5820-4806-9726-63DC212A0937}" name="Admin_2028" dataDxfId="80">
      <calculatedColumnFormula>IFERROR(VLOOKUP($H2,'1. Set Program Names'!$B$2:$D$15,3,0)*Y2,"NA")</calculatedColumnFormula>
    </tableColumn>
    <tableColumn id="78" xr3:uid="{5DD7F106-F7C9-44E1-9CF7-DCE26DC948E7}" name="Admin_2029" dataDxfId="79">
      <calculatedColumnFormula>IFERROR(VLOOKUP($H2,'1. Set Program Names'!$B$2:$D$15,3,0)*Z2,"NA")</calculatedColumnFormula>
    </tableColumn>
    <tableColumn id="79" xr3:uid="{758EDED7-61B5-4451-AEAB-02801376168B}" name="Admin_2030" dataDxfId="78">
      <calculatedColumnFormula>IFERROR(VLOOKUP($H2,'1. Set Program Names'!$B$2:$D$15,3,0)*AA2,"NA")</calculatedColumnFormula>
    </tableColumn>
    <tableColumn id="80" xr3:uid="{6B00AAF5-2519-46B6-8532-1651DFCAE7DB}" name="Admin_2031" dataDxfId="77">
      <calculatedColumnFormula>IFERROR(VLOOKUP($H2,'1. Set Program Names'!$B$2:$D$15,3,0)*AB2,"NA")</calculatedColumnFormula>
    </tableColumn>
    <tableColumn id="81" xr3:uid="{EA2C2AFF-BBFD-4425-9CEB-00B66FF9DA9E}" name="Admin_2032" dataDxfId="76">
      <calculatedColumnFormula>IFERROR(VLOOKUP($H2,'1. Set Program Names'!$B$2:$D$15,3,0)*AC2,"NA")</calculatedColumnFormula>
    </tableColumn>
    <tableColumn id="82" xr3:uid="{0D6849B1-D676-4651-93CC-21662B70A510}" name="Admin_2033" dataDxfId="75">
      <calculatedColumnFormula>IFERROR(VLOOKUP($H2,'1. Set Program Names'!$B$2:$D$15,3,0)*AD2,"NA")</calculatedColumnFormula>
    </tableColumn>
    <tableColumn id="83" xr3:uid="{9984CCDD-2CB1-4848-95DA-12AF3ABCAB88}" name="Admin_2034" dataDxfId="74">
      <calculatedColumnFormula>IFERROR(VLOOKUP($H2,'1. Set Program Names'!$B$2:$D$15,3,0)*AE2,"NA")</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8FED13-37F8-48EA-8B13-E1DF5A21C72E}" name="tbl_Data_old" displayName="tbl_Data_old" ref="A1:CE835" totalsRowShown="0">
  <autoFilter ref="A1:CE835" xr:uid="{2776B225-B34E-4735-A36F-0ECB25ECA3A8}"/>
  <tableColumns count="83">
    <tableColumn id="1" xr3:uid="{FBAFF583-1E79-4D88-A786-B40475786AE4}" name="Output_Type" dataDxfId="73"/>
    <tableColumn id="2" xr3:uid="{1C0E8B02-00B0-4423-B1C0-271AD5BDCF97}" name="Utility" dataDxfId="72"/>
    <tableColumn id="3" xr3:uid="{AF745F06-2F41-4E3E-9234-7B89C02B7157}" name="Aggregate_Sector" dataDxfId="71"/>
    <tableColumn id="4" xr3:uid="{0E852B31-1BC9-460B-84F4-ED1B6AF70B90}" name="Customer_Base" dataDxfId="70"/>
    <tableColumn id="5" xr3:uid="{1182B374-9D41-44EA-90B8-0DFA0096C454}" name="Adoption_Scen" dataDxfId="69"/>
    <tableColumn id="6" xr3:uid="{4C1C5A26-8F3E-428C-A4E1-0622BBDDB3EB}" name="Avoided_Cost_Scenar2" dataDxfId="68"/>
    <tableColumn id="7" xr3:uid="{3F62D403-67D8-4DEA-A339-C5845517BE82}" name="Incentive_Scenario1" dataDxfId="67"/>
    <tableColumn id="8" xr3:uid="{395FD18D-096E-4F35-B215-6553A28C3827}" name="All_Programs" dataDxfId="66"/>
    <tableColumn id="9" xr3:uid="{39A1B3D4-1961-4DF2-AD85-07524F600FA6}" name="All_Meas_Name_Append" dataDxfId="65"/>
    <tableColumn id="10" xr3:uid="{E4B1DCED-0979-4C40-A7E5-46E43155153E}" name="Savings Shape" dataDxfId="64"/>
    <tableColumn id="11" xr3:uid="{B060465D-FA56-4040-AF01-AAB1D8187F25}" name="Units" dataDxfId="63"/>
    <tableColumn id="12" xr3:uid="{AC587BA9-3327-4818-94A6-A1CA91D5149F}" name="kWh Savings" dataDxfId="62"/>
    <tableColumn id="13" xr3:uid="{1129E261-4BC0-43C1-AF64-9F5A018AFF28}" name="kW Savings - Summer" dataDxfId="61"/>
    <tableColumn id="14" xr3:uid="{B0D92F05-91CA-479D-B1D7-FDB17A7E7628}" name="kW Savings - Winter" dataDxfId="60"/>
    <tableColumn id="15" xr3:uid="{68C5739F-F3BD-4387-BE77-94CA461536EA}" name="Incremental Cost ($/unit)" dataDxfId="59"/>
    <tableColumn id="16" xr3:uid="{9B031CBF-2718-49F4-952B-5169CF858BE2}" name="Incentive ($/unit)" dataDxfId="58"/>
    <tableColumn id="17" xr3:uid="{612E4053-91C3-44BD-A940-60B5DB6987C1}" name="Admin ($/unit)" dataDxfId="57"/>
    <tableColumn id="18" xr3:uid="{0389D8E6-C013-4BF7-AD35-BD3A51FAFB22}" name="Avoided Costs ($/unit)" dataDxfId="56"/>
    <tableColumn id="19" xr3:uid="{44A3CD75-155A-40DA-AD4D-CAEBA6717398}" name="Lost Revenue ($/unit)" dataDxfId="55"/>
    <tableColumn id="20" xr3:uid="{9E974670-696C-48C5-9255-AF17704BAC79}" name="Measure Life (Years)" dataDxfId="54"/>
    <tableColumn id="21" xr3:uid="{ED7CED03-F412-4418-937E-9CF82A3B6F30}" name="Program Allocation (fraction)" dataDxfId="53"/>
    <tableColumn id="22" xr3:uid="{4B72438C-D806-4389-9E2A-034D22CF07E9}" name="2025 " dataDxfId="52"/>
    <tableColumn id="23" xr3:uid="{5C23DE2E-4704-4FE6-B9AA-0421B737CCE8}" name="2026 " dataDxfId="51"/>
    <tableColumn id="24" xr3:uid="{2C115777-10F1-449A-9F28-678F657C4DEA}" name="2027 " dataDxfId="50"/>
    <tableColumn id="25" xr3:uid="{0D58AC51-CD22-43D3-9856-9C11738A7C10}" name="2028 " dataDxfId="49"/>
    <tableColumn id="26" xr3:uid="{0014ADC9-7F1A-4073-BC42-759752F5BA70}" name="2029 " dataDxfId="48"/>
    <tableColumn id="27" xr3:uid="{CECA35FE-F54D-40FB-A684-DCDF5D2C9502}" name="2030 " dataDxfId="47"/>
    <tableColumn id="28" xr3:uid="{5CFD018F-2241-4116-A872-2128181CC1E4}" name="2031 " dataDxfId="46"/>
    <tableColumn id="29" xr3:uid="{898D10E0-D696-4162-A6D6-D6EC49F02403}" name="2032 " dataDxfId="45"/>
    <tableColumn id="30" xr3:uid="{67FA9EFF-0C1A-471B-8E5F-A6661D23A368}" name="2033 " dataDxfId="44"/>
    <tableColumn id="31" xr3:uid="{2035EA5D-C72B-49EC-8845-08F7499BD401}" name="2034 " dataDxfId="43"/>
    <tableColumn id="32" xr3:uid="{8ED1E72E-2BD4-4D4A-BF43-E1C3B7031C33}" name="Trimmed Sector" dataDxfId="42">
      <calculatedColumnFormula>IF(C2="Residential","Residential","NonResidential")</calculatedColumnFormula>
    </tableColumn>
    <tableColumn id="33" xr3:uid="{98083EF3-9581-4CD9-80D8-E90F86FE377D}" name="Trimmed Measure Name" dataDxfId="41">
      <calculatedColumnFormula>tbl_Data_old[[#This Row],[All_Meas_Name_Append]]</calculatedColumnFormula>
    </tableColumn>
    <tableColumn id="44" xr3:uid="{D82F7272-8B9D-4338-ABC8-E52D326CF94E}" name="scaling factor" dataDxfId="40">
      <calculatedColumnFormula>AVERAGEIFS('3. Incentive Adjustment'!G:G,'3. Incentive Adjustment'!A:A,tbl_Data_old[[#This Row],[Trimmed Sector]],'3. Incentive Adjustment'!B:B,tbl_Data_old[[#This Row],[Trimmed Measure Name]])</calculatedColumnFormula>
    </tableColumn>
    <tableColumn id="34" xr3:uid="{17E64928-298E-464B-9875-23FEA43C6E63}" name="Adjusted 2025" dataDxfId="39">
      <calculatedColumnFormula>$AH2*tbl_Data_old[[#This Row],[2025 ]]</calculatedColumnFormula>
    </tableColumn>
    <tableColumn id="35" xr3:uid="{56A90365-1C93-4561-B76F-EB9C47F4FCF2}" name="Adjusted 2026">
      <calculatedColumnFormula>$AH2*tbl_Data_old[[#This Row],[2026 ]]</calculatedColumnFormula>
    </tableColumn>
    <tableColumn id="36" xr3:uid="{D0204CB9-DBBD-473A-B494-CA17BDAF4036}" name="Adjusted 2027">
      <calculatedColumnFormula>$AH2*tbl_Data_old[[#This Row],[2027 ]]</calculatedColumnFormula>
    </tableColumn>
    <tableColumn id="37" xr3:uid="{9840510D-1D5B-4B94-A398-99DD612286FC}" name="Adjusted 2028">
      <calculatedColumnFormula>$AH2*tbl_Data_old[[#This Row],[2028 ]]</calculatedColumnFormula>
    </tableColumn>
    <tableColumn id="38" xr3:uid="{7011C515-9C94-449D-B20B-093E6CBACD45}" name="Adjusted 2029">
      <calculatedColumnFormula>$AH2*tbl_Data_old[[#This Row],[2029 ]]</calculatedColumnFormula>
    </tableColumn>
    <tableColumn id="39" xr3:uid="{920662CD-79D2-4651-A269-0D493ED58DF3}" name="Adjusted 2030">
      <calculatedColumnFormula>$AH2*tbl_Data_old[[#This Row],[2030 ]]</calculatedColumnFormula>
    </tableColumn>
    <tableColumn id="40" xr3:uid="{8CD10C51-0D98-4C48-ACA3-E8DB2305CDD8}" name="Adjusted 2031">
      <calculatedColumnFormula>$AH2*tbl_Data_old[[#This Row],[2031 ]]</calculatedColumnFormula>
    </tableColumn>
    <tableColumn id="41" xr3:uid="{97F86858-C6E7-4EB2-BB6D-CAEAACD04E58}" name="Adjusted 2032">
      <calculatedColumnFormula>$AH2*tbl_Data_old[[#This Row],[2032 ]]</calculatedColumnFormula>
    </tableColumn>
    <tableColumn id="42" xr3:uid="{8F64A6E2-0DF1-4C46-ABE4-672F4B4A47D7}" name="Adjusted 2033">
      <calculatedColumnFormula>$AH2*tbl_Data_old[[#This Row],[2033 ]]</calculatedColumnFormula>
    </tableColumn>
    <tableColumn id="43" xr3:uid="{1BE9E8D9-2A24-4DEA-B525-397445F2A204}" name="Adjusted 2034">
      <calculatedColumnFormula>$AH2*tbl_Data_old[[#This Row],[2034 ]]</calculatedColumnFormula>
    </tableColumn>
    <tableColumn id="45" xr3:uid="{49BCC45F-6EA5-4F28-95BD-5D8F7A4945EB}" name="Sum of Annuals" dataDxfId="38">
      <calculatedColumnFormula>SUM(tbl_Data_old[[#This Row],[Adjusted 2025]:[Adjusted 2034]])</calculatedColumnFormula>
    </tableColumn>
    <tableColumn id="61" xr3:uid="{04E9BAB3-8D0E-4CD4-8332-4257C7FA4CB9}" name="Adj. per unit Incentive ($)" dataDxfId="37">
      <calculatedColumnFormula>AVERAGEIFS('3. Incentive Adjustment'!F:F,'3. Incentive Adjustment'!A:A,tbl_Data_old[[#This Row],[Trimmed Sector]],'3. Incentive Adjustment'!B:B,tbl_Data_old[[#This Row],[Trimmed Measure Name]])</calculatedColumnFormula>
    </tableColumn>
    <tableColumn id="62" xr3:uid="{30A9D541-4094-4AD1-B6B9-0CC5BF9EE741}" name="per unit IRA tax ($)" dataDxfId="36">
      <calculatedColumnFormula>IFERROR(VLOOKUP(tbl_Data_old[[#This Row],[All_Meas_Name_Append]],'IRA Tax Credits'!$A$3:$D$46,4,0),0)</calculatedColumnFormula>
    </tableColumn>
    <tableColumn id="46" xr3:uid="{DF8EEBB0-0086-47E1-B81C-81493832A94D}" name="Incentives $" dataDxfId="35">
      <calculatedColumnFormula>tbl_Data_old[[#This Row],[Adj. per unit Incentive ($)]]/tbl_Data_old[[#This Row],[kWh Savings]]*tbl_Data_old[[#This Row],[Sum of Annuals]]</calculatedColumnFormula>
    </tableColumn>
    <tableColumn id="47" xr3:uid="{9E08DAAB-7F93-4009-9A99-FAA6C2AB8E94}" name="Admin $" dataDxfId="34">
      <calculatedColumnFormula>IFERROR(VLOOKUP(tbl_Data_old[[#This Row],[All_Programs]],'1. Set Program Names'!$B$2:$D$15,3,0)*tbl_Data_old[[#This Row],[Sum of Annuals]],"")</calculatedColumnFormula>
    </tableColumn>
    <tableColumn id="63" xr3:uid="{223E898B-365E-45CA-AF5D-FAE74F052833}" name="Tax Credits $" dataDxfId="33">
      <calculatedColumnFormula>tbl_Data_old[[#This Row],[per unit IRA tax ($)]]/tbl_Data_old[[#This Row],[kWh Savings]]*tbl_Data_old[[#This Row],[Sum of Annuals]]</calculatedColumnFormula>
    </tableColumn>
    <tableColumn id="48" xr3:uid="{034454F1-3829-4746-A719-C26438A91D11}" name="Avoided Benefits $" dataDxfId="32">
      <calculatedColumnFormula>tbl_Data_old[[#This Row],[Avoided Costs ($/unit)]]/tbl_Data_old[[#This Row],[kWh Savings]]*tbl_Data_old[[#This Row],[Sum of Annuals]]</calculatedColumnFormula>
    </tableColumn>
    <tableColumn id="49" xr3:uid="{68FC81DF-484D-4DD3-891A-4B1689245451}" name="Lost Revenue $" dataDxfId="31">
      <calculatedColumnFormula>tbl_Data_old[[#This Row],[Lost Revenue ($/unit)]]/tbl_Data_old[[#This Row],[kWh Savings]]*tbl_Data_old[[#This Row],[Sum of Annuals]]</calculatedColumnFormula>
    </tableColumn>
    <tableColumn id="50" xr3:uid="{B800528B-4041-47A4-A107-23254FFD9933}" name="Measure Incremental Cost $" dataDxfId="30">
      <calculatedColumnFormula>tbl_Data_old[[#This Row],[Incremental Cost ($/unit)]]/tbl_Data_old[[#This Row],[kWh Savings]]*tbl_Data_old[[#This Row],[Sum of Annuals]]</calculatedColumnFormula>
    </tableColumn>
    <tableColumn id="51" xr3:uid="{35B39BE1-1CD5-4CC2-A229-43DFDC831FE7}" name="Part_2025" dataDxfId="29">
      <calculatedColumnFormula>ROUNDUP(tbl_Data_old[[#This Row],[Adjusted 2025]]/$L2,0)</calculatedColumnFormula>
    </tableColumn>
    <tableColumn id="52" xr3:uid="{6EBEEAC8-622B-4D72-884D-2564EE9AFA12}" name="Part_2026" dataDxfId="28">
      <calculatedColumnFormula>ROUNDUP(tbl_Data_old[[#This Row],[Adjusted 2026]]/$L2,0)</calculatedColumnFormula>
    </tableColumn>
    <tableColumn id="53" xr3:uid="{419FB4F0-F81C-49EE-9C37-260D30155DA5}" name="Part_2027" dataDxfId="27">
      <calculatedColumnFormula>ROUNDUP(tbl_Data_old[[#This Row],[Adjusted 2027]]/$L2,0)</calculatedColumnFormula>
    </tableColumn>
    <tableColumn id="54" xr3:uid="{881D5AA3-6F98-4D57-B5F4-D2DAD57DDC4F}" name="Part_2028" dataDxfId="26">
      <calculatedColumnFormula>ROUNDUP(tbl_Data_old[[#This Row],[Adjusted 2028]]/$L2,0)</calculatedColumnFormula>
    </tableColumn>
    <tableColumn id="55" xr3:uid="{65DDC823-E1CB-4E85-8DCD-EC45E4CAE353}" name="Part_2029" dataDxfId="25">
      <calculatedColumnFormula>ROUNDUP(tbl_Data_old[[#This Row],[Adjusted 2029]]/$L2,0)</calculatedColumnFormula>
    </tableColumn>
    <tableColumn id="56" xr3:uid="{C17F2EC2-6E53-4780-960A-5295803031AA}" name="Part_2030" dataDxfId="24">
      <calculatedColumnFormula>ROUNDUP(tbl_Data_old[[#This Row],[Adjusted 2030]]/$L2,0)</calculatedColumnFormula>
    </tableColumn>
    <tableColumn id="57" xr3:uid="{AD24FA6C-9609-47F1-8D3B-3971077C9BF3}" name="Part_2031" dataDxfId="23">
      <calculatedColumnFormula>ROUNDUP(tbl_Data_old[[#This Row],[Adjusted 2031]]/$L2,0)</calculatedColumnFormula>
    </tableColumn>
    <tableColumn id="58" xr3:uid="{CF5E1725-542B-481E-89F3-327D10E6645C}" name="Part_2032" dataDxfId="22">
      <calculatedColumnFormula>ROUNDUP(tbl_Data_old[[#This Row],[Adjusted 2032]]/$L2,0)</calculatedColumnFormula>
    </tableColumn>
    <tableColumn id="59" xr3:uid="{DC1833A5-F6E0-475C-908C-D0BC47245B65}" name="Part_2033" dataDxfId="21">
      <calculatedColumnFormula>ROUNDUP(tbl_Data_old[[#This Row],[Adjusted 2033]]/$L2,0)</calculatedColumnFormula>
    </tableColumn>
    <tableColumn id="60" xr3:uid="{338E1350-2F98-4F5A-862C-41ED224FF276}" name="Part_2034" dataDxfId="20">
      <calculatedColumnFormula>ROUNDUP(tbl_Data_old[[#This Row],[Adjusted 2034]]/$L2,0)</calculatedColumnFormula>
    </tableColumn>
    <tableColumn id="64" xr3:uid="{20B819FC-6B3F-49D6-A381-F96778F9BA2D}" name="Incentive_2025" dataDxfId="19">
      <calculatedColumnFormula>$AT2/$L2*V2</calculatedColumnFormula>
    </tableColumn>
    <tableColumn id="65" xr3:uid="{021F8682-0DC9-43AD-AC78-698AD68AF0D1}" name="Incentive_2026" dataDxfId="18">
      <calculatedColumnFormula>$AT2/$L2*W2</calculatedColumnFormula>
    </tableColumn>
    <tableColumn id="66" xr3:uid="{027F0E27-47A4-4ABF-9CDB-03C8210A777B}" name="Incentive_2027" dataDxfId="17">
      <calculatedColumnFormula>$AT2/$L2*X2</calculatedColumnFormula>
    </tableColumn>
    <tableColumn id="67" xr3:uid="{45EC50BA-23B4-4310-A3D5-0DF3E7A98688}" name="Incentive_2028" dataDxfId="16">
      <calculatedColumnFormula>$AT2/$L2*Y2</calculatedColumnFormula>
    </tableColumn>
    <tableColumn id="68" xr3:uid="{6637ACF9-3DEB-4129-B30C-C4B811217CD5}" name="Incentive_2029" dataDxfId="15">
      <calculatedColumnFormula>$AT2/$L2*Z2</calculatedColumnFormula>
    </tableColumn>
    <tableColumn id="69" xr3:uid="{D0E62CB6-CB17-44AA-B937-CEC6D21D565E}" name="Incentive_2030" dataDxfId="14">
      <calculatedColumnFormula>$AT2/$L2*AA2</calculatedColumnFormula>
    </tableColumn>
    <tableColumn id="70" xr3:uid="{3C3ECA0F-8FB3-472A-B64B-D5F91B838D8D}" name="Incentive_2031" dataDxfId="13">
      <calculatedColumnFormula>$AT2/$L2*AB2</calculatedColumnFormula>
    </tableColumn>
    <tableColumn id="71" xr3:uid="{FF0DE21B-DE7F-483D-B4B7-A623B383A5BB}" name="Incentive_2032" dataDxfId="12">
      <calculatedColumnFormula>$AT2/$L2*AC2</calculatedColumnFormula>
    </tableColumn>
    <tableColumn id="72" xr3:uid="{1D18AD51-A5BD-45E3-8DA3-EDFC682AE3D2}" name="Incentive_2033" dataDxfId="11">
      <calculatedColumnFormula>$AT2/$L2*AD2</calculatedColumnFormula>
    </tableColumn>
    <tableColumn id="73" xr3:uid="{07192E15-2ADA-4F40-8C57-94D0B325118E}" name="Incentive_2034" dataDxfId="10">
      <calculatedColumnFormula>$AT2/$L2*AE2</calculatedColumnFormula>
    </tableColumn>
    <tableColumn id="74" xr3:uid="{12BB0B68-3581-423B-9FED-E2006058263E}" name="Admin_2025" dataDxfId="9">
      <calculatedColumnFormula>VLOOKUP($H2,'1. Set Program Names'!$B$2:$D$15,3,0)*V2</calculatedColumnFormula>
    </tableColumn>
    <tableColumn id="75" xr3:uid="{8E3C5BF4-AB0B-4A47-A139-A3923DB62557}" name="Admin_2026" dataDxfId="8">
      <calculatedColumnFormula>VLOOKUP($H2,'1. Set Program Names'!$B$2:$D$15,3,0)*W2</calculatedColumnFormula>
    </tableColumn>
    <tableColumn id="76" xr3:uid="{D75B09FC-B664-40F3-A077-A1016065F058}" name="Admin_2027" dataDxfId="7">
      <calculatedColumnFormula>VLOOKUP($H2,'1. Set Program Names'!$B$2:$D$15,3,0)*X2</calculatedColumnFormula>
    </tableColumn>
    <tableColumn id="77" xr3:uid="{D9143314-6589-4FE6-BCAF-26ED481CCCBD}" name="Admin_2028" dataDxfId="6">
      <calculatedColumnFormula>VLOOKUP($H2,'1. Set Program Names'!$B$2:$D$15,3,0)*Y2</calculatedColumnFormula>
    </tableColumn>
    <tableColumn id="78" xr3:uid="{6D5A3A98-499E-4C38-B65F-FF7C565B0E74}" name="Admin_2029" dataDxfId="5">
      <calculatedColumnFormula>VLOOKUP($H2,'1. Set Program Names'!$B$2:$D$15,3,0)*Z2</calculatedColumnFormula>
    </tableColumn>
    <tableColumn id="79" xr3:uid="{D6224CD7-A2E4-4B11-870B-6281DBE61508}" name="Admin_2030" dataDxfId="4">
      <calculatedColumnFormula>VLOOKUP($H2,'1. Set Program Names'!$B$2:$D$15,3,0)*AA2</calculatedColumnFormula>
    </tableColumn>
    <tableColumn id="80" xr3:uid="{070DC3F1-9F76-4C6F-B3BA-F5C163F7689E}" name="Admin_2031" dataDxfId="3">
      <calculatedColumnFormula>VLOOKUP($H2,'1. Set Program Names'!$B$2:$D$15,3,0)*AB2</calculatedColumnFormula>
    </tableColumn>
    <tableColumn id="81" xr3:uid="{1507E410-4327-4413-A792-0CD7D6F4A66F}" name="Admin_2032" dataDxfId="2">
      <calculatedColumnFormula>VLOOKUP($H2,'1. Set Program Names'!$B$2:$D$15,3,0)*AC2</calculatedColumnFormula>
    </tableColumn>
    <tableColumn id="82" xr3:uid="{A1B73BFE-4DC2-4264-9D83-753BDCB65ABD}" name="Admin_2033" dataDxfId="1">
      <calculatedColumnFormula>VLOOKUP($H2,'1. Set Program Names'!$B$2:$D$15,3,0)*AD2</calculatedColumnFormula>
    </tableColumn>
    <tableColumn id="83" xr3:uid="{B2960058-4AD0-4759-B448-C8628A39BFB7}" name="Admin_2034" dataDxfId="0">
      <calculatedColumnFormula>VLOOKUP($H2,'1. Set Program Names'!$B$2:$D$15,3,0)*AE2</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 dT="2024-03-13T19:21:15.90" personId="{00000000-0000-0000-0000-000000000000}" id="{FF751D59-8659-422A-B4CA-B27635FF483A}">
    <text xml:space="preserve">0.1137 is the assumed Florida electric rate for simplicity: https://www.electricchoice.com/electricity-prices-by-state/ </text>
    <extLst>
      <x:ext xmlns:xltc2="http://schemas.microsoft.com/office/spreadsheetml/2020/threadedcomments2" uri="{F7C98A9C-CBB3-438F-8F68-D28B6AF4A901}">
        <xltc2:checksum>3408426199</xltc2:checksum>
        <xltc2:hyperlink startIndex="60" length="59" url="https://www.electricchoice.com/electricity-prices-by-state/"/>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24B9A-B7AC-4DFD-9BDF-6FDF584C1C87}">
  <dimension ref="A1:D15"/>
  <sheetViews>
    <sheetView topLeftCell="B1" zoomScaleNormal="100" workbookViewId="0">
      <selection activeCell="C21" sqref="C21"/>
    </sheetView>
  </sheetViews>
  <sheetFormatPr defaultRowHeight="15" x14ac:dyDescent="0.25"/>
  <cols>
    <col min="1" max="1" width="19.85546875" customWidth="1"/>
    <col min="2" max="2" width="42.140625" customWidth="1"/>
    <col min="3" max="4" width="24.42578125" customWidth="1"/>
  </cols>
  <sheetData>
    <row r="1" spans="1:4" x14ac:dyDescent="0.25">
      <c r="B1" t="s">
        <v>0</v>
      </c>
      <c r="C1" t="s">
        <v>1</v>
      </c>
      <c r="D1" s="31" t="s">
        <v>2</v>
      </c>
    </row>
    <row r="2" spans="1:4" x14ac:dyDescent="0.25">
      <c r="A2" t="s">
        <v>3</v>
      </c>
      <c r="B2" s="8" t="s">
        <v>5</v>
      </c>
      <c r="C2" s="21">
        <v>0.29722909621762794</v>
      </c>
      <c r="D2" s="32">
        <f>C2*1.5</f>
        <v>0.44584364432644191</v>
      </c>
    </row>
    <row r="3" spans="1:4" x14ac:dyDescent="0.25">
      <c r="A3" t="s">
        <v>4</v>
      </c>
      <c r="B3" s="8" t="s">
        <v>7</v>
      </c>
      <c r="C3" s="21">
        <v>0.28837439239382195</v>
      </c>
      <c r="D3" s="32">
        <f>C3*1.5</f>
        <v>0.4325615885907329</v>
      </c>
    </row>
    <row r="4" spans="1:4" x14ac:dyDescent="0.25">
      <c r="A4" t="s">
        <v>6</v>
      </c>
      <c r="B4" s="8" t="s">
        <v>9</v>
      </c>
      <c r="C4" s="21">
        <v>0.30041505971897997</v>
      </c>
      <c r="D4" s="32">
        <f>C4*1.5</f>
        <v>0.45062258957846996</v>
      </c>
    </row>
    <row r="5" spans="1:4" x14ac:dyDescent="0.25">
      <c r="A5" t="s">
        <v>8</v>
      </c>
      <c r="B5" s="8"/>
      <c r="C5" s="21"/>
      <c r="D5" s="32"/>
    </row>
    <row r="6" spans="1:4" x14ac:dyDescent="0.25">
      <c r="A6" t="s">
        <v>10</v>
      </c>
      <c r="B6" s="8"/>
      <c r="C6" s="21"/>
      <c r="D6" s="32"/>
    </row>
    <row r="7" spans="1:4" x14ac:dyDescent="0.25">
      <c r="A7" t="s">
        <v>11</v>
      </c>
      <c r="B7" s="8"/>
      <c r="C7" s="21"/>
      <c r="D7" s="32"/>
    </row>
    <row r="8" spans="1:4" x14ac:dyDescent="0.25">
      <c r="A8" t="s">
        <v>12</v>
      </c>
      <c r="B8" s="8"/>
      <c r="C8" s="21"/>
      <c r="D8" s="32"/>
    </row>
    <row r="9" spans="1:4" x14ac:dyDescent="0.25">
      <c r="A9" t="s">
        <v>13</v>
      </c>
      <c r="B9" s="8" t="s">
        <v>14</v>
      </c>
      <c r="C9" s="21">
        <v>3.5599694953803752E-2</v>
      </c>
      <c r="D9" s="32">
        <f t="shared" ref="D9:D11" si="0">C9</f>
        <v>3.5599694953803752E-2</v>
      </c>
    </row>
    <row r="10" spans="1:4" x14ac:dyDescent="0.25">
      <c r="A10" t="s">
        <v>15</v>
      </c>
      <c r="B10" s="8" t="s">
        <v>16</v>
      </c>
      <c r="C10" s="21">
        <v>3.6427527257797972E-2</v>
      </c>
      <c r="D10" s="32">
        <f t="shared" si="0"/>
        <v>3.6427527257797972E-2</v>
      </c>
    </row>
    <row r="11" spans="1:4" x14ac:dyDescent="0.25">
      <c r="A11" t="s">
        <v>17</v>
      </c>
      <c r="B11" s="8" t="s">
        <v>18</v>
      </c>
      <c r="C11" s="21">
        <v>3.16481961657189E-2</v>
      </c>
      <c r="D11" s="32">
        <f t="shared" si="0"/>
        <v>3.16481961657189E-2</v>
      </c>
    </row>
    <row r="12" spans="1:4" x14ac:dyDescent="0.25">
      <c r="A12" t="s">
        <v>19</v>
      </c>
      <c r="B12" s="8"/>
      <c r="C12" s="21"/>
      <c r="D12" s="32"/>
    </row>
    <row r="13" spans="1:4" x14ac:dyDescent="0.25">
      <c r="A13" t="s">
        <v>21</v>
      </c>
      <c r="B13" s="8"/>
      <c r="C13" s="21"/>
      <c r="D13" s="32"/>
    </row>
    <row r="14" spans="1:4" x14ac:dyDescent="0.25">
      <c r="A14" t="s">
        <v>22</v>
      </c>
      <c r="B14" s="8"/>
      <c r="C14" s="21"/>
      <c r="D14" s="32"/>
    </row>
    <row r="15" spans="1:4" x14ac:dyDescent="0.25">
      <c r="A15" t="s">
        <v>23</v>
      </c>
      <c r="B15" s="8"/>
      <c r="C15" s="21"/>
      <c r="D15" s="32"/>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82D00-5884-403B-9A26-E62DF78606C5}">
  <sheetPr>
    <tabColor theme="1"/>
  </sheetPr>
  <dimension ref="A1:D46"/>
  <sheetViews>
    <sheetView workbookViewId="0">
      <selection activeCell="I45" sqref="I44:I45"/>
    </sheetView>
  </sheetViews>
  <sheetFormatPr defaultRowHeight="15" x14ac:dyDescent="0.25"/>
  <cols>
    <col min="1" max="1" width="48.5703125" customWidth="1"/>
    <col min="2" max="2" width="48.140625" customWidth="1"/>
    <col min="3" max="3" width="8.85546875" style="6"/>
    <col min="4" max="4" width="10.7109375" style="4" customWidth="1"/>
  </cols>
  <sheetData>
    <row r="1" spans="1:4" x14ac:dyDescent="0.25">
      <c r="A1" t="s">
        <v>224</v>
      </c>
    </row>
    <row r="2" spans="1:4" x14ac:dyDescent="0.25">
      <c r="A2" s="27" t="s">
        <v>225</v>
      </c>
      <c r="B2" s="27" t="s">
        <v>226</v>
      </c>
      <c r="C2" s="28" t="s">
        <v>227</v>
      </c>
      <c r="D2" s="29" t="s">
        <v>228</v>
      </c>
    </row>
    <row r="3" spans="1:4" x14ac:dyDescent="0.25">
      <c r="A3" t="s">
        <v>229</v>
      </c>
      <c r="B3" t="s">
        <v>230</v>
      </c>
      <c r="C3" s="6">
        <v>0.3</v>
      </c>
      <c r="D3" s="4">
        <v>104.16666666666667</v>
      </c>
    </row>
    <row r="4" spans="1:4" x14ac:dyDescent="0.25">
      <c r="A4" t="s">
        <v>231</v>
      </c>
      <c r="B4" t="s">
        <v>230</v>
      </c>
      <c r="C4" s="6">
        <v>0.3</v>
      </c>
      <c r="D4" s="4">
        <v>250</v>
      </c>
    </row>
    <row r="5" spans="1:4" x14ac:dyDescent="0.25">
      <c r="A5" t="s">
        <v>118</v>
      </c>
      <c r="B5" t="s">
        <v>230</v>
      </c>
      <c r="C5" s="6">
        <v>0.3</v>
      </c>
      <c r="D5" s="4">
        <v>500</v>
      </c>
    </row>
    <row r="6" spans="1:4" x14ac:dyDescent="0.25">
      <c r="A6" t="s">
        <v>232</v>
      </c>
      <c r="B6" t="s">
        <v>230</v>
      </c>
      <c r="C6" s="6">
        <v>0.3</v>
      </c>
      <c r="D6" s="4">
        <v>500</v>
      </c>
    </row>
    <row r="7" spans="1:4" x14ac:dyDescent="0.25">
      <c r="A7" t="s">
        <v>233</v>
      </c>
      <c r="B7" t="s">
        <v>230</v>
      </c>
      <c r="C7" s="6">
        <v>0.3</v>
      </c>
      <c r="D7" s="4">
        <v>500</v>
      </c>
    </row>
    <row r="8" spans="1:4" x14ac:dyDescent="0.25">
      <c r="A8" t="s">
        <v>234</v>
      </c>
      <c r="D8" s="4">
        <v>0</v>
      </c>
    </row>
    <row r="9" spans="1:4" x14ac:dyDescent="0.25">
      <c r="A9" t="s">
        <v>235</v>
      </c>
      <c r="B9" t="s">
        <v>230</v>
      </c>
      <c r="C9" s="6">
        <v>0.3</v>
      </c>
      <c r="D9" s="4">
        <v>500</v>
      </c>
    </row>
    <row r="10" spans="1:4" x14ac:dyDescent="0.25">
      <c r="A10" t="s">
        <v>236</v>
      </c>
      <c r="B10" t="s">
        <v>230</v>
      </c>
      <c r="C10" s="6">
        <v>0.3</v>
      </c>
      <c r="D10" s="4">
        <v>500</v>
      </c>
    </row>
    <row r="11" spans="1:4" x14ac:dyDescent="0.25">
      <c r="A11" t="s">
        <v>237</v>
      </c>
      <c r="D11" s="4">
        <v>0</v>
      </c>
    </row>
    <row r="12" spans="1:4" x14ac:dyDescent="0.25">
      <c r="A12" t="s">
        <v>238</v>
      </c>
      <c r="B12" t="s">
        <v>230</v>
      </c>
      <c r="C12" s="6">
        <v>0.3</v>
      </c>
      <c r="D12" s="4">
        <v>500</v>
      </c>
    </row>
    <row r="13" spans="1:4" x14ac:dyDescent="0.25">
      <c r="A13" t="s">
        <v>239</v>
      </c>
      <c r="B13" t="s">
        <v>230</v>
      </c>
      <c r="C13" s="6">
        <v>0.3</v>
      </c>
      <c r="D13" s="4">
        <v>500</v>
      </c>
    </row>
    <row r="14" spans="1:4" x14ac:dyDescent="0.25">
      <c r="A14" t="s">
        <v>240</v>
      </c>
      <c r="D14" s="4">
        <v>0</v>
      </c>
    </row>
    <row r="15" spans="1:4" x14ac:dyDescent="0.25">
      <c r="A15" t="s">
        <v>241</v>
      </c>
      <c r="B15" t="s">
        <v>230</v>
      </c>
      <c r="C15" s="6">
        <v>0.3</v>
      </c>
      <c r="D15" s="4">
        <v>500</v>
      </c>
    </row>
    <row r="16" spans="1:4" x14ac:dyDescent="0.25">
      <c r="A16" t="s">
        <v>242</v>
      </c>
      <c r="D16" s="4">
        <v>0</v>
      </c>
    </row>
    <row r="17" spans="1:4" x14ac:dyDescent="0.25">
      <c r="A17" t="s">
        <v>243</v>
      </c>
      <c r="B17" t="s">
        <v>230</v>
      </c>
      <c r="C17" s="6">
        <v>0.3</v>
      </c>
      <c r="D17" s="4">
        <v>500</v>
      </c>
    </row>
    <row r="18" spans="1:4" x14ac:dyDescent="0.25">
      <c r="A18" t="s">
        <v>244</v>
      </c>
      <c r="B18" t="s">
        <v>230</v>
      </c>
      <c r="C18" s="6">
        <v>0.3</v>
      </c>
      <c r="D18" s="4">
        <v>500</v>
      </c>
    </row>
    <row r="19" spans="1:4" x14ac:dyDescent="0.25">
      <c r="A19" t="s">
        <v>245</v>
      </c>
      <c r="B19" t="s">
        <v>230</v>
      </c>
      <c r="C19" s="6">
        <v>0.3</v>
      </c>
      <c r="D19" s="4">
        <v>500</v>
      </c>
    </row>
    <row r="20" spans="1:4" x14ac:dyDescent="0.25">
      <c r="A20" t="s">
        <v>246</v>
      </c>
      <c r="B20" t="s">
        <v>230</v>
      </c>
      <c r="C20" s="6">
        <v>0.3</v>
      </c>
      <c r="D20" s="4">
        <v>500</v>
      </c>
    </row>
    <row r="21" spans="1:4" x14ac:dyDescent="0.25">
      <c r="A21" t="s">
        <v>247</v>
      </c>
      <c r="B21" t="s">
        <v>230</v>
      </c>
      <c r="C21" s="6">
        <v>0.3</v>
      </c>
      <c r="D21" s="4">
        <v>500</v>
      </c>
    </row>
    <row r="22" spans="1:4" x14ac:dyDescent="0.25">
      <c r="A22" t="s">
        <v>248</v>
      </c>
      <c r="B22" t="s">
        <v>230</v>
      </c>
      <c r="C22" s="6">
        <v>0.3</v>
      </c>
      <c r="D22" s="4">
        <v>500</v>
      </c>
    </row>
    <row r="23" spans="1:4" x14ac:dyDescent="0.25">
      <c r="A23" t="s">
        <v>249</v>
      </c>
      <c r="B23" t="s">
        <v>230</v>
      </c>
      <c r="C23" s="6">
        <v>0.3</v>
      </c>
      <c r="D23" s="4">
        <v>500</v>
      </c>
    </row>
    <row r="24" spans="1:4" x14ac:dyDescent="0.25">
      <c r="A24" t="s">
        <v>250</v>
      </c>
      <c r="B24" t="s">
        <v>230</v>
      </c>
      <c r="C24" s="6">
        <v>0.3</v>
      </c>
      <c r="D24" s="4">
        <v>500</v>
      </c>
    </row>
    <row r="25" spans="1:4" x14ac:dyDescent="0.25">
      <c r="A25" t="s">
        <v>251</v>
      </c>
      <c r="B25" t="s">
        <v>230</v>
      </c>
      <c r="C25" s="6">
        <v>0.3</v>
      </c>
      <c r="D25" s="4">
        <v>500</v>
      </c>
    </row>
    <row r="26" spans="1:4" x14ac:dyDescent="0.25">
      <c r="A26" t="s">
        <v>252</v>
      </c>
      <c r="B26" t="s">
        <v>230</v>
      </c>
      <c r="C26" s="6">
        <v>0.3</v>
      </c>
      <c r="D26" s="4">
        <v>500</v>
      </c>
    </row>
    <row r="27" spans="1:4" x14ac:dyDescent="0.25">
      <c r="A27" t="s">
        <v>253</v>
      </c>
      <c r="B27" t="s">
        <v>230</v>
      </c>
      <c r="C27" s="6">
        <v>0.3</v>
      </c>
      <c r="D27" s="4">
        <v>500</v>
      </c>
    </row>
    <row r="28" spans="1:4" x14ac:dyDescent="0.25">
      <c r="A28" t="s">
        <v>254</v>
      </c>
      <c r="D28" s="4">
        <v>0</v>
      </c>
    </row>
    <row r="29" spans="1:4" x14ac:dyDescent="0.25">
      <c r="A29" t="s">
        <v>255</v>
      </c>
      <c r="B29" t="s">
        <v>230</v>
      </c>
      <c r="C29" s="6">
        <v>0.3</v>
      </c>
      <c r="D29" s="4">
        <v>833.33333333333337</v>
      </c>
    </row>
    <row r="30" spans="1:4" x14ac:dyDescent="0.25">
      <c r="A30" t="s">
        <v>256</v>
      </c>
      <c r="B30" t="s">
        <v>230</v>
      </c>
      <c r="C30" s="6">
        <v>0.3</v>
      </c>
      <c r="D30" s="4">
        <v>1666.6666666666667</v>
      </c>
    </row>
    <row r="31" spans="1:4" x14ac:dyDescent="0.25">
      <c r="A31" t="s">
        <v>257</v>
      </c>
      <c r="B31" t="s">
        <v>230</v>
      </c>
      <c r="C31" s="6">
        <v>0.3</v>
      </c>
      <c r="D31" s="4">
        <v>1666.6666666666667</v>
      </c>
    </row>
    <row r="32" spans="1:4" x14ac:dyDescent="0.25">
      <c r="A32" s="1" t="s">
        <v>258</v>
      </c>
      <c r="B32" t="s">
        <v>230</v>
      </c>
      <c r="C32" s="6">
        <v>0.3</v>
      </c>
      <c r="D32" s="4">
        <v>833.33333333333337</v>
      </c>
    </row>
    <row r="33" spans="1:4" x14ac:dyDescent="0.25">
      <c r="A33" s="1" t="s">
        <v>259</v>
      </c>
      <c r="B33" t="s">
        <v>230</v>
      </c>
      <c r="C33" s="6">
        <v>0.3</v>
      </c>
      <c r="D33" s="4">
        <v>833.33333333333337</v>
      </c>
    </row>
    <row r="34" spans="1:4" x14ac:dyDescent="0.25">
      <c r="A34" s="1" t="s">
        <v>260</v>
      </c>
      <c r="B34" t="s">
        <v>230</v>
      </c>
      <c r="C34" s="6">
        <v>0.3</v>
      </c>
      <c r="D34" s="4">
        <v>833.33333333333337</v>
      </c>
    </row>
    <row r="35" spans="1:4" x14ac:dyDescent="0.25">
      <c r="A35" s="1" t="s">
        <v>261</v>
      </c>
      <c r="B35" t="s">
        <v>230</v>
      </c>
      <c r="C35" s="6">
        <v>0.3</v>
      </c>
      <c r="D35" s="4">
        <v>833.33333333333337</v>
      </c>
    </row>
    <row r="36" spans="1:4" x14ac:dyDescent="0.25">
      <c r="A36" t="s">
        <v>262</v>
      </c>
      <c r="B36" t="s">
        <v>230</v>
      </c>
      <c r="C36" s="6">
        <v>0.3</v>
      </c>
      <c r="D36" s="4">
        <v>1666.6666666666667</v>
      </c>
    </row>
    <row r="37" spans="1:4" x14ac:dyDescent="0.25">
      <c r="A37" t="s">
        <v>263</v>
      </c>
      <c r="B37" t="s">
        <v>230</v>
      </c>
      <c r="C37" s="6">
        <v>0.3</v>
      </c>
      <c r="D37" s="4">
        <v>1666.6666666666667</v>
      </c>
    </row>
    <row r="38" spans="1:4" x14ac:dyDescent="0.25">
      <c r="A38" t="s">
        <v>93</v>
      </c>
      <c r="B38" t="s">
        <v>230</v>
      </c>
      <c r="C38" s="6">
        <v>0.3</v>
      </c>
      <c r="D38" s="4">
        <v>1666.6666666666667</v>
      </c>
    </row>
    <row r="39" spans="1:4" x14ac:dyDescent="0.25">
      <c r="A39" t="s">
        <v>107</v>
      </c>
      <c r="B39" t="s">
        <v>230</v>
      </c>
      <c r="C39" s="6">
        <v>0.3</v>
      </c>
      <c r="D39" s="4">
        <v>1666.6666666666667</v>
      </c>
    </row>
    <row r="40" spans="1:4" x14ac:dyDescent="0.25">
      <c r="A40" t="s">
        <v>109</v>
      </c>
      <c r="B40" t="s">
        <v>230</v>
      </c>
      <c r="C40" s="6">
        <v>0.3</v>
      </c>
      <c r="D40" s="4">
        <v>1666.6666666666667</v>
      </c>
    </row>
    <row r="41" spans="1:4" x14ac:dyDescent="0.25">
      <c r="A41" t="s">
        <v>110</v>
      </c>
      <c r="B41" t="s">
        <v>230</v>
      </c>
      <c r="C41" s="6">
        <v>0.3</v>
      </c>
      <c r="D41" s="4">
        <v>1666.6666666666667</v>
      </c>
    </row>
    <row r="42" spans="1:4" x14ac:dyDescent="0.25">
      <c r="A42" t="s">
        <v>264</v>
      </c>
      <c r="B42" t="s">
        <v>230</v>
      </c>
      <c r="C42" s="6">
        <v>0.3</v>
      </c>
      <c r="D42" s="4">
        <v>1666.6666666666667</v>
      </c>
    </row>
    <row r="43" spans="1:4" x14ac:dyDescent="0.25">
      <c r="A43" t="s">
        <v>105</v>
      </c>
      <c r="B43" t="s">
        <v>265</v>
      </c>
      <c r="C43" s="6">
        <v>0.3</v>
      </c>
      <c r="D43" s="4">
        <v>41666.666666666672</v>
      </c>
    </row>
    <row r="44" spans="1:4" x14ac:dyDescent="0.25">
      <c r="A44" t="s">
        <v>112</v>
      </c>
      <c r="B44" t="s">
        <v>230</v>
      </c>
      <c r="C44" s="6">
        <v>0.3</v>
      </c>
      <c r="D44" s="4">
        <v>41666.666666666672</v>
      </c>
    </row>
    <row r="45" spans="1:4" x14ac:dyDescent="0.25">
      <c r="A45" t="s">
        <v>266</v>
      </c>
      <c r="B45" t="s">
        <v>230</v>
      </c>
      <c r="C45" s="6">
        <v>0.3</v>
      </c>
      <c r="D45" s="4">
        <v>833.33333333333337</v>
      </c>
    </row>
    <row r="46" spans="1:4" x14ac:dyDescent="0.25">
      <c r="A46" t="s">
        <v>267</v>
      </c>
      <c r="B46" t="s">
        <v>230</v>
      </c>
      <c r="C46" s="6">
        <v>0.3</v>
      </c>
      <c r="D46" s="4">
        <v>833.33333333333337</v>
      </c>
    </row>
  </sheetData>
  <autoFilter ref="A2:D46" xr:uid="{2CE82D00-5884-403B-9A26-E62DF78606C5}"/>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D8800-14AB-4EFB-B28F-EC1FF4F42693}">
  <dimension ref="A1:CE835"/>
  <sheetViews>
    <sheetView zoomScale="80" zoomScaleNormal="80" workbookViewId="0">
      <pane ySplit="1" topLeftCell="A2" activePane="bottomLeft" state="frozen"/>
      <selection pane="bottomLeft" activeCell="F32" sqref="F32"/>
    </sheetView>
  </sheetViews>
  <sheetFormatPr defaultRowHeight="15" x14ac:dyDescent="0.25"/>
  <cols>
    <col min="1" max="1" width="13.42578125" customWidth="1"/>
    <col min="3" max="3" width="17.28515625" customWidth="1"/>
    <col min="4" max="4" width="15.7109375" customWidth="1"/>
    <col min="5" max="5" width="15.140625" customWidth="1"/>
    <col min="6" max="6" width="21.5703125" customWidth="1"/>
    <col min="7" max="7" width="19.28515625" customWidth="1"/>
    <col min="8" max="8" width="21.140625" customWidth="1"/>
    <col min="9" max="9" width="45.140625" customWidth="1"/>
    <col min="10" max="10" width="14.140625" customWidth="1"/>
    <col min="12" max="12" width="12.85546875" customWidth="1"/>
    <col min="13" max="13" width="20.140625" customWidth="1"/>
    <col min="14" max="14" width="19" customWidth="1"/>
    <col min="15" max="15" width="23.28515625" customWidth="1"/>
    <col min="16" max="16" width="16.7109375" customWidth="1"/>
    <col min="17" max="17" width="14.42578125" customWidth="1"/>
    <col min="18" max="18" width="20.7109375" customWidth="1"/>
    <col min="19" max="19" width="20.28515625" customWidth="1"/>
    <col min="20" max="20" width="19.42578125" customWidth="1"/>
    <col min="21" max="21" width="26.42578125" customWidth="1"/>
    <col min="22" max="29" width="9" bestFit="1" customWidth="1"/>
    <col min="30" max="31" width="11" bestFit="1" customWidth="1"/>
    <col min="32" max="32" width="12.28515625" customWidth="1"/>
    <col min="33" max="33" width="59.28515625" customWidth="1"/>
    <col min="34" max="34" width="13.140625" customWidth="1"/>
    <col min="35" max="44" width="9" bestFit="1" customWidth="1"/>
    <col min="45" max="45" width="17.7109375" customWidth="1"/>
    <col min="46" max="47" width="17.7109375" style="3" customWidth="1"/>
    <col min="48" max="48" width="16.140625" style="4" customWidth="1"/>
    <col min="49" max="50" width="21.42578125" style="4" customWidth="1"/>
    <col min="51" max="51" width="22.28515625" style="4" customWidth="1"/>
    <col min="52" max="52" width="19.28515625" customWidth="1"/>
    <col min="53" max="53" width="30.28515625" customWidth="1"/>
    <col min="54" max="63" width="9" bestFit="1" customWidth="1"/>
    <col min="64" max="64" width="14.140625" customWidth="1"/>
    <col min="65" max="71" width="11" bestFit="1" customWidth="1"/>
    <col min="72" max="72" width="12" bestFit="1" customWidth="1"/>
    <col min="73" max="73" width="11" bestFit="1" customWidth="1"/>
    <col min="74" max="74" width="10.140625" bestFit="1" customWidth="1"/>
    <col min="75" max="83" width="10" bestFit="1" customWidth="1"/>
  </cols>
  <sheetData>
    <row r="1" spans="1:83" x14ac:dyDescent="0.25">
      <c r="A1" s="2" t="s">
        <v>24</v>
      </c>
      <c r="B1" s="2" t="s">
        <v>25</v>
      </c>
      <c r="C1" s="2" t="s">
        <v>26</v>
      </c>
      <c r="D1" s="2" t="s">
        <v>27</v>
      </c>
      <c r="E1" s="2" t="s">
        <v>28</v>
      </c>
      <c r="F1" s="2" t="s">
        <v>29</v>
      </c>
      <c r="G1" s="2" t="s">
        <v>30</v>
      </c>
      <c r="H1" s="2" t="s">
        <v>434</v>
      </c>
      <c r="I1" s="2" t="s">
        <v>32</v>
      </c>
      <c r="J1" s="2" t="s">
        <v>33</v>
      </c>
      <c r="K1" s="2" t="s">
        <v>34</v>
      </c>
      <c r="L1" s="2" t="s">
        <v>35</v>
      </c>
      <c r="M1" s="2" t="s">
        <v>36</v>
      </c>
      <c r="N1" s="2" t="s">
        <v>37</v>
      </c>
      <c r="O1" s="2" t="s">
        <v>38</v>
      </c>
      <c r="P1" s="2" t="s">
        <v>39</v>
      </c>
      <c r="Q1" s="2" t="s">
        <v>40</v>
      </c>
      <c r="R1" s="2" t="s">
        <v>41</v>
      </c>
      <c r="S1" s="2" t="s">
        <v>42</v>
      </c>
      <c r="T1" s="2" t="s">
        <v>43</v>
      </c>
      <c r="U1" s="2" t="s">
        <v>44</v>
      </c>
      <c r="V1" s="2" t="s">
        <v>45</v>
      </c>
      <c r="W1" s="2" t="s">
        <v>46</v>
      </c>
      <c r="X1" s="2" t="s">
        <v>47</v>
      </c>
      <c r="Y1" s="2" t="s">
        <v>48</v>
      </c>
      <c r="Z1" s="2" t="s">
        <v>49</v>
      </c>
      <c r="AA1" s="2" t="s">
        <v>50</v>
      </c>
      <c r="AB1" s="2" t="s">
        <v>51</v>
      </c>
      <c r="AC1" s="2" t="s">
        <v>52</v>
      </c>
      <c r="AD1" s="2" t="s">
        <v>53</v>
      </c>
      <c r="AE1" s="2" t="s">
        <v>54</v>
      </c>
      <c r="AF1" t="s">
        <v>55</v>
      </c>
      <c r="AG1" t="s">
        <v>56</v>
      </c>
      <c r="AH1" t="s">
        <v>57</v>
      </c>
      <c r="AI1" t="s">
        <v>58</v>
      </c>
      <c r="AJ1" t="s">
        <v>59</v>
      </c>
      <c r="AK1" t="s">
        <v>60</v>
      </c>
      <c r="AL1" t="s">
        <v>61</v>
      </c>
      <c r="AM1" t="s">
        <v>62</v>
      </c>
      <c r="AN1" t="s">
        <v>63</v>
      </c>
      <c r="AO1" t="s">
        <v>64</v>
      </c>
      <c r="AP1" t="s">
        <v>65</v>
      </c>
      <c r="AQ1" t="s">
        <v>66</v>
      </c>
      <c r="AR1" t="s">
        <v>67</v>
      </c>
      <c r="AS1" t="s">
        <v>68</v>
      </c>
      <c r="AT1" s="3" t="s">
        <v>69</v>
      </c>
      <c r="AU1" s="3" t="s">
        <v>70</v>
      </c>
      <c r="AV1" s="4" t="s">
        <v>71</v>
      </c>
      <c r="AW1" s="4" t="s">
        <v>72</v>
      </c>
      <c r="AX1" s="4" t="s">
        <v>73</v>
      </c>
      <c r="AY1" s="4" t="s">
        <v>74</v>
      </c>
      <c r="AZ1" t="s">
        <v>75</v>
      </c>
      <c r="BA1" t="s">
        <v>76</v>
      </c>
      <c r="BB1" s="30" t="s">
        <v>77</v>
      </c>
      <c r="BC1" s="30" t="s">
        <v>78</v>
      </c>
      <c r="BD1" s="30" t="s">
        <v>79</v>
      </c>
      <c r="BE1" s="30" t="s">
        <v>80</v>
      </c>
      <c r="BF1" s="30" t="s">
        <v>81</v>
      </c>
      <c r="BG1" s="30" t="s">
        <v>82</v>
      </c>
      <c r="BH1" s="30" t="s">
        <v>83</v>
      </c>
      <c r="BI1" s="30" t="s">
        <v>84</v>
      </c>
      <c r="BJ1" s="30" t="s">
        <v>85</v>
      </c>
      <c r="BK1" s="30" t="s">
        <v>86</v>
      </c>
      <c r="BL1" s="40" t="s">
        <v>274</v>
      </c>
      <c r="BM1" s="40" t="s">
        <v>275</v>
      </c>
      <c r="BN1" s="40" t="s">
        <v>276</v>
      </c>
      <c r="BO1" s="40" t="s">
        <v>277</v>
      </c>
      <c r="BP1" s="40" t="s">
        <v>278</v>
      </c>
      <c r="BQ1" s="40" t="s">
        <v>279</v>
      </c>
      <c r="BR1" s="40" t="s">
        <v>280</v>
      </c>
      <c r="BS1" s="40" t="s">
        <v>281</v>
      </c>
      <c r="BT1" s="40" t="s">
        <v>282</v>
      </c>
      <c r="BU1" s="40" t="s">
        <v>283</v>
      </c>
      <c r="BV1" s="41" t="s">
        <v>284</v>
      </c>
      <c r="BW1" s="41" t="s">
        <v>285</v>
      </c>
      <c r="BX1" s="41" t="s">
        <v>286</v>
      </c>
      <c r="BY1" s="41" t="s">
        <v>287</v>
      </c>
      <c r="BZ1" s="41" t="s">
        <v>288</v>
      </c>
      <c r="CA1" s="41" t="s">
        <v>289</v>
      </c>
      <c r="CB1" s="41" t="s">
        <v>290</v>
      </c>
      <c r="CC1" s="41" t="s">
        <v>291</v>
      </c>
      <c r="CD1" s="41" t="s">
        <v>292</v>
      </c>
      <c r="CE1" s="41" t="s">
        <v>293</v>
      </c>
    </row>
    <row r="2" spans="1:83" x14ac:dyDescent="0.25">
      <c r="A2" s="79" t="s">
        <v>87</v>
      </c>
      <c r="B2" s="79" t="s">
        <v>88</v>
      </c>
      <c r="C2" s="79" t="s">
        <v>89</v>
      </c>
      <c r="D2" s="79" t="s">
        <v>90</v>
      </c>
      <c r="E2" s="79" t="s">
        <v>91</v>
      </c>
      <c r="F2" s="79" t="s">
        <v>90</v>
      </c>
      <c r="G2" s="79" t="s">
        <v>92</v>
      </c>
      <c r="H2" s="79" t="s">
        <v>5</v>
      </c>
      <c r="I2" s="79" t="s">
        <v>93</v>
      </c>
      <c r="J2" s="79" t="s">
        <v>94</v>
      </c>
      <c r="K2" s="79" t="s">
        <v>95</v>
      </c>
      <c r="L2" s="79">
        <v>1200.2266666666601</v>
      </c>
      <c r="M2" s="79">
        <v>4.8097974252120097E-2</v>
      </c>
      <c r="N2" s="79">
        <v>0.22310492157346501</v>
      </c>
      <c r="O2" s="79">
        <v>1210</v>
      </c>
      <c r="P2" s="79">
        <v>933.85922631496703</v>
      </c>
      <c r="Q2" s="79">
        <v>356.74228738962802</v>
      </c>
      <c r="R2" s="79">
        <v>571.53970184074296</v>
      </c>
      <c r="S2" s="79">
        <v>1535.35818196214</v>
      </c>
      <c r="T2" s="79">
        <v>15</v>
      </c>
      <c r="U2" s="79">
        <v>0.7</v>
      </c>
      <c r="V2" s="79">
        <f>tbl_Data_old[[#This Row],[2025 ]]*IFERROR(AVERAGEIFS('Participation Adjustment'!$C:$C,'Participation Adjustment'!$A:$A,$H2,'Participation Adjustment'!$B:$B,$I2),1)</f>
        <v>101167.3156225362</v>
      </c>
      <c r="W2" s="79">
        <f>tbl_Data_old[[#This Row],[2026 ]]*IFERROR(AVERAGEIFS('Participation Adjustment'!$C:$C,'Participation Adjustment'!$A:$A,$H2,'Participation Adjustment'!$B:$B,$I2),1)</f>
        <v>107486.5938373986</v>
      </c>
      <c r="X2" s="79">
        <f>tbl_Data_old[[#This Row],[2027 ]]*IFERROR(AVERAGEIFS('Participation Adjustment'!$C:$C,'Participation Adjustment'!$A:$A,$H2,'Participation Adjustment'!$B:$B,$I2),1)</f>
        <v>113760.49201661019</v>
      </c>
      <c r="Y2" s="79">
        <f>tbl_Data_old[[#This Row],[2028 ]]*IFERROR(AVERAGEIFS('Participation Adjustment'!$C:$C,'Participation Adjustment'!$A:$A,$H2,'Participation Adjustment'!$B:$B,$I2),1)</f>
        <v>120179.2711600222</v>
      </c>
      <c r="Z2" s="79">
        <f>tbl_Data_old[[#This Row],[2029 ]]*IFERROR(AVERAGEIFS('Participation Adjustment'!$C:$C,'Participation Adjustment'!$A:$A,$H2,'Participation Adjustment'!$B:$B,$I2),1)</f>
        <v>126735.99854009339</v>
      </c>
      <c r="AA2" s="79">
        <f>tbl_Data_old[[#This Row],[2030 ]]*IFERROR(AVERAGEIFS('Participation Adjustment'!$C:$C,'Participation Adjustment'!$A:$A,$H2,'Participation Adjustment'!$B:$B,$I2),1)</f>
        <v>133061.56005983439</v>
      </c>
      <c r="AB2" s="79">
        <f>tbl_Data_old[[#This Row],[2031 ]]*IFERROR(AVERAGEIFS('Participation Adjustment'!$C:$C,'Participation Adjustment'!$A:$A,$H2,'Participation Adjustment'!$B:$B,$I2),1)</f>
        <v>140141.52904688139</v>
      </c>
      <c r="AC2" s="79">
        <f>tbl_Data_old[[#This Row],[2032 ]]*IFERROR(AVERAGEIFS('Participation Adjustment'!$C:$C,'Participation Adjustment'!$A:$A,$H2,'Participation Adjustment'!$B:$B,$I2),1)</f>
        <v>148258.78682146221</v>
      </c>
      <c r="AD2" s="79">
        <f>tbl_Data_old[[#This Row],[2033 ]]*IFERROR(AVERAGEIFS('Participation Adjustment'!$C:$C,'Participation Adjustment'!$A:$A,$H2,'Participation Adjustment'!$B:$B,$I2),1)</f>
        <v>157480.1683485934</v>
      </c>
      <c r="AE2" s="79">
        <f>tbl_Data_old[[#This Row],[2034 ]]*IFERROR(AVERAGEIFS('Participation Adjustment'!$C:$C,'Participation Adjustment'!$A:$A,$H2,'Participation Adjustment'!$B:$B,$I2),1)</f>
        <v>167838.28005881759</v>
      </c>
      <c r="AF2" s="77" t="str">
        <f t="shared" ref="AF2" si="0">IF(C2="Residential","Residential","NonResidential")</f>
        <v>Residential</v>
      </c>
      <c r="AG2" s="77" t="str">
        <f>tbl_Data[[#This Row],[All_Meas_Name_Append]]</f>
        <v>120v Heat Pump Water Heater 50 Gallons</v>
      </c>
      <c r="AH2" s="77">
        <f>AVERAGEIFS('3. Incentive Adjustment'!G:G,'3. Incentive Adjustment'!A:A,tbl_Data[[#This Row],[Trimmed Sector]],'3. Incentive Adjustment'!B:B,tbl_Data[[#This Row],[Trimmed Measure Name]])</f>
        <v>0.38528347196238832</v>
      </c>
      <c r="AI2" s="77">
        <f>$AH2*tbl_Data[[#This Row],[2025 ]]</f>
        <v>38978.094612165514</v>
      </c>
      <c r="AJ2" s="77">
        <f>$AH2*tbl_Data[[#This Row],[2026 ]]</f>
        <v>41412.808063083983</v>
      </c>
      <c r="AK2" s="77">
        <f>$AH2*tbl_Data[[#This Row],[2027 ]]</f>
        <v>43830.037336309135</v>
      </c>
      <c r="AL2" s="77">
        <f>$AH2*tbl_Data[[#This Row],[2028 ]]</f>
        <v>46303.086850442676</v>
      </c>
      <c r="AM2" s="77">
        <f>$AH2*tbl_Data[[#This Row],[2029 ]]</f>
        <v>48829.285540147364</v>
      </c>
      <c r="AN2" s="77">
        <f>$AH2*tbl_Data[[#This Row],[2030 ]]</f>
        <v>51266.419844584852</v>
      </c>
      <c r="AO2" s="77">
        <f>$AH2*tbl_Data[[#This Row],[2031 ]]</f>
        <v>53994.214877300357</v>
      </c>
      <c r="AP2" s="77">
        <f>$AH2*tbl_Data[[#This Row],[2032 ]]</f>
        <v>57121.660135504542</v>
      </c>
      <c r="AQ2" s="77">
        <f>$AH2*tbl_Data[[#This Row],[2033 ]]</f>
        <v>60674.506026567484</v>
      </c>
      <c r="AR2" s="77">
        <f>$AH2*tbl_Data[[#This Row],[2034 ]]</f>
        <v>64665.315269256927</v>
      </c>
      <c r="AS2" s="77">
        <f>SUM(tbl_Data[[#This Row],[Adjusted 2025]:[Adjusted 2034]])</f>
        <v>507075.42855536286</v>
      </c>
      <c r="AT2" s="80">
        <f>AVERAGEIFS('3. Incentive Adjustment'!F:F,'3. Incentive Adjustment'!A:A,tbl_Data[[#This Row],[Trimmed Sector]],'3. Incentive Adjustment'!B:B,tbl_Data[[#This Row],[Trimmed Measure Name]])</f>
        <v>500</v>
      </c>
      <c r="AU2" s="80">
        <f>IFERROR(VLOOKUP(tbl_Data[[#This Row],[All_Meas_Name_Append]],'IRA Tax Credits'!$A$3:$D$46,4,0),0)</f>
        <v>1666.6666666666667</v>
      </c>
      <c r="AV2" s="81">
        <f>tbl_Data[[#This Row],[Adj. per unit Incentive ($)]]/tbl_Data[[#This Row],[kWh Savings]]*tbl_Data[[#This Row],[Sum of Annuals]]</f>
        <v>211241.52738734029</v>
      </c>
      <c r="AW2" s="81">
        <f>IFERROR(VLOOKUP(tbl_Data[[#This Row],[Column1]],'1. Set Program Names'!$B$2:$D$15,3,0)*tbl_Data[[#This Row],[Sum of Annuals]],"")</f>
        <v>226076.3570155153</v>
      </c>
      <c r="AX2" s="81">
        <f>tbl_Data[[#This Row],[per unit IRA tax ($)]]/tbl_Data[[#This Row],[kWh Savings]]*tbl_Data[[#This Row],[Sum of Annuals]]</f>
        <v>704138.42462446762</v>
      </c>
      <c r="AY2" s="81">
        <f>tbl_Data[[#This Row],[Avoided Costs ($/unit)]]/tbl_Data[[#This Row],[kWh Savings]]*tbl_Data[[#This Row],[Sum of Annuals]]</f>
        <v>241465.83915868722</v>
      </c>
      <c r="AZ2" s="81">
        <f>tbl_Data[[#This Row],[Lost Revenue ($/unit)]]/tbl_Data[[#This Row],[kWh Savings]]*tbl_Data[[#This Row],[Sum of Annuals]]</f>
        <v>648662.81488866475</v>
      </c>
      <c r="BA2" s="81">
        <f>tbl_Data[[#This Row],[Incremental Cost ($/unit)]]/tbl_Data[[#This Row],[kWh Savings]]*tbl_Data[[#This Row],[Sum of Annuals]]</f>
        <v>511204.49627736345</v>
      </c>
      <c r="BB2" s="77">
        <f>ROUNDUP(tbl_Data[[#This Row],[Adjusted 2025]]/$L2,0)</f>
        <v>33</v>
      </c>
      <c r="BC2" s="77">
        <f>ROUNDUP(tbl_Data[[#This Row],[Adjusted 2026]]/$L2,0)</f>
        <v>35</v>
      </c>
      <c r="BD2" s="77">
        <f>ROUNDUP(tbl_Data[[#This Row],[Adjusted 2027]]/$L2,0)</f>
        <v>37</v>
      </c>
      <c r="BE2" s="77">
        <f>ROUNDUP(tbl_Data[[#This Row],[Adjusted 2028]]/$L2,0)</f>
        <v>39</v>
      </c>
      <c r="BF2" s="77">
        <f>ROUNDUP(tbl_Data[[#This Row],[Adjusted 2029]]/$L2,0)</f>
        <v>41</v>
      </c>
      <c r="BG2" s="77">
        <f>ROUNDUP(tbl_Data[[#This Row],[Adjusted 2030]]/$L2,0)</f>
        <v>43</v>
      </c>
      <c r="BH2" s="77">
        <f>ROUNDUP(tbl_Data[[#This Row],[Adjusted 2031]]/$L2,0)</f>
        <v>45</v>
      </c>
      <c r="BI2" s="77">
        <f>ROUNDUP(tbl_Data[[#This Row],[Adjusted 2032]]/$L2,0)</f>
        <v>48</v>
      </c>
      <c r="BJ2" s="77">
        <f>ROUNDUP(tbl_Data[[#This Row],[Adjusted 2033]]/$L2,0)</f>
        <v>51</v>
      </c>
      <c r="BK2" s="77">
        <f>ROUNDUP(tbl_Data[[#This Row],[Adjusted 2034]]/$L2,0)</f>
        <v>54</v>
      </c>
      <c r="BL2" s="80">
        <f t="shared" ref="BL2" si="1">$AT2/$L2*V2</f>
        <v>42145.08743731882</v>
      </c>
      <c r="BM2" s="80">
        <f t="shared" ref="BM2" si="2">$AT2/$L2*W2</f>
        <v>44777.622770170849</v>
      </c>
      <c r="BN2" s="80">
        <f t="shared" ref="BN2" si="3">$AT2/$L2*X2</f>
        <v>47391.253325737423</v>
      </c>
      <c r="BO2" s="80">
        <f t="shared" ref="BO2" si="4">$AT2/$L2*Y2</f>
        <v>50065.239549205784</v>
      </c>
      <c r="BP2" s="80">
        <f t="shared" ref="BP2" si="5">$AT2/$L2*Z2</f>
        <v>52796.693349628717</v>
      </c>
      <c r="BQ2" s="80">
        <f t="shared" ref="BQ2" si="6">$AT2/$L2*AA2</f>
        <v>55431.846231754185</v>
      </c>
      <c r="BR2" s="80">
        <f t="shared" ref="BR2" si="7">$AT2/$L2*AB2</f>
        <v>58381.276195141814</v>
      </c>
      <c r="BS2" s="80">
        <f t="shared" ref="BS2" si="8">$AT2/$L2*AC2</f>
        <v>61762.82819695017</v>
      </c>
      <c r="BT2" s="80">
        <f t="shared" ref="BT2" si="9">$AT2/$L2*AD2</f>
        <v>65604.344880103585</v>
      </c>
      <c r="BU2" s="80">
        <f t="shared" ref="BU2" si="10">$AT2/$L2*AE2</f>
        <v>69919.409691565961</v>
      </c>
      <c r="BV2" s="80">
        <f>IFERROR(VLOOKUP($H2,'1. Set Program Names'!$B$2:$D$15,3,0)*V2,"NA")</f>
        <v>45104.804683874921</v>
      </c>
      <c r="BW2" s="80">
        <f>IFERROR(VLOOKUP($H2,'1. Set Program Names'!$B$2:$D$15,3,0)*W2,"NA")</f>
        <v>47922.214712701862</v>
      </c>
      <c r="BX2" s="80">
        <f>IFERROR(VLOOKUP($H2,'1. Set Program Names'!$B$2:$D$15,3,0)*X2,"NA")</f>
        <v>50719.39234105459</v>
      </c>
      <c r="BY2" s="80">
        <f>IFERROR(VLOOKUP($H2,'1. Set Program Names'!$B$2:$D$15,3,0)*Y2,"NA")</f>
        <v>53581.164226479952</v>
      </c>
      <c r="BZ2" s="80">
        <f>IFERROR(VLOOKUP($H2,'1. Set Program Names'!$B$2:$D$15,3,0)*Z2,"NA")</f>
        <v>56504.439456465858</v>
      </c>
      <c r="CA2" s="80">
        <f>IFERROR(VLOOKUP($H2,'1. Set Program Names'!$B$2:$D$15,3,0)*AA2,"NA")</f>
        <v>59324.650856838292</v>
      </c>
      <c r="CB2" s="80">
        <f>IFERROR(VLOOKUP($H2,'1. Set Program Names'!$B$2:$D$15,3,0)*AB2,"NA")</f>
        <v>62481.210031741517</v>
      </c>
      <c r="CC2" s="80">
        <f>IFERROR(VLOOKUP($H2,'1. Set Program Names'!$B$2:$D$15,3,0)*AC2,"NA")</f>
        <v>66100.237819897768</v>
      </c>
      <c r="CD2" s="80">
        <f>IFERROR(VLOOKUP($H2,'1. Set Program Names'!$B$2:$D$15,3,0)*AD2,"NA")</f>
        <v>70211.53216567848</v>
      </c>
      <c r="CE2" s="80">
        <f>IFERROR(VLOOKUP($H2,'1. Set Program Names'!$B$2:$D$15,3,0)*AE2,"NA")</f>
        <v>74829.630438905224</v>
      </c>
    </row>
    <row r="3" spans="1:83" x14ac:dyDescent="0.25">
      <c r="A3" s="79" t="s">
        <v>87</v>
      </c>
      <c r="B3" s="79" t="s">
        <v>88</v>
      </c>
      <c r="C3" s="79" t="s">
        <v>89</v>
      </c>
      <c r="D3" s="79" t="s">
        <v>90</v>
      </c>
      <c r="E3" s="79" t="s">
        <v>91</v>
      </c>
      <c r="F3" s="79" t="s">
        <v>90</v>
      </c>
      <c r="G3" s="79" t="s">
        <v>92</v>
      </c>
      <c r="H3" s="79" t="s">
        <v>5</v>
      </c>
      <c r="I3" s="79" t="s">
        <v>96</v>
      </c>
      <c r="J3" s="79" t="s">
        <v>97</v>
      </c>
      <c r="K3" s="79" t="s">
        <v>98</v>
      </c>
      <c r="L3" s="79">
        <v>5868.07</v>
      </c>
      <c r="M3" s="79">
        <v>0.20813520080661799</v>
      </c>
      <c r="N3" s="79">
        <v>1.1349578069705</v>
      </c>
      <c r="O3" s="79">
        <v>1935.1666666666599</v>
      </c>
      <c r="P3" s="79">
        <v>513.45064263862798</v>
      </c>
      <c r="Q3" s="79">
        <v>1744.1611426417701</v>
      </c>
      <c r="R3" s="79">
        <v>3388.0400735263802</v>
      </c>
      <c r="S3" s="79">
        <v>7811.7411984889604</v>
      </c>
      <c r="T3" s="79">
        <v>16</v>
      </c>
      <c r="U3" s="79">
        <v>0.7</v>
      </c>
      <c r="V3" s="79">
        <f>tbl_Data_old[[#This Row],[2025 ]]*IFERROR(AVERAGEIFS('Participation Adjustment'!$C:$C,'Participation Adjustment'!$A:$A,$H3,'Participation Adjustment'!$B:$B,$I3),1)</f>
        <v>632196.49417558999</v>
      </c>
      <c r="W3" s="79">
        <f>tbl_Data_old[[#This Row],[2026 ]]*IFERROR(AVERAGEIFS('Participation Adjustment'!$C:$C,'Participation Adjustment'!$A:$A,$H3,'Participation Adjustment'!$B:$B,$I3),1)</f>
        <v>669663.99423751398</v>
      </c>
      <c r="X3" s="79">
        <f>tbl_Data_old[[#This Row],[2027 ]]*IFERROR(AVERAGEIFS('Participation Adjustment'!$C:$C,'Participation Adjustment'!$A:$A,$H3,'Participation Adjustment'!$B:$B,$I3),1)</f>
        <v>706571.73094137805</v>
      </c>
      <c r="Y3" s="79">
        <f>tbl_Data_old[[#This Row],[2028 ]]*IFERROR(AVERAGEIFS('Participation Adjustment'!$C:$C,'Participation Adjustment'!$A:$A,$H3,'Participation Adjustment'!$B:$B,$I3),1)</f>
        <v>744101.99149411602</v>
      </c>
      <c r="Z3" s="79">
        <f>tbl_Data_old[[#This Row],[2029 ]]*IFERROR(AVERAGEIFS('Participation Adjustment'!$C:$C,'Participation Adjustment'!$A:$A,$H3,'Participation Adjustment'!$B:$B,$I3),1)</f>
        <v>782209.06835124001</v>
      </c>
      <c r="AA3" s="79">
        <f>tbl_Data_old[[#This Row],[2030 ]]*IFERROR(AVERAGEIFS('Participation Adjustment'!$C:$C,'Participation Adjustment'!$A:$A,$H3,'Participation Adjustment'!$B:$B,$I3),1)</f>
        <v>818621.88839743205</v>
      </c>
      <c r="AB3" s="79">
        <f>tbl_Data_old[[#This Row],[2031 ]]*IFERROR(AVERAGEIFS('Participation Adjustment'!$C:$C,'Participation Adjustment'!$A:$A,$H3,'Participation Adjustment'!$B:$B,$I3),1)</f>
        <v>859405.79469625803</v>
      </c>
      <c r="AC3" s="79">
        <f>tbl_Data_old[[#This Row],[2032 ]]*IFERROR(AVERAGEIFS('Participation Adjustment'!$C:$C,'Participation Adjustment'!$A:$A,$H3,'Participation Adjustment'!$B:$B,$I3),1)</f>
        <v>906250.21048646397</v>
      </c>
      <c r="AD3" s="79">
        <f>tbl_Data_old[[#This Row],[2033 ]]*IFERROR(AVERAGEIFS('Participation Adjustment'!$C:$C,'Participation Adjustment'!$A:$A,$H3,'Participation Adjustment'!$B:$B,$I3),1)</f>
        <v>959502.62601212598</v>
      </c>
      <c r="AE3" s="79">
        <f>tbl_Data_old[[#This Row],[2034 ]]*IFERROR(AVERAGEIFS('Participation Adjustment'!$C:$C,'Participation Adjustment'!$A:$A,$H3,'Participation Adjustment'!$B:$B,$I3),1)</f>
        <v>1019295.13198603</v>
      </c>
      <c r="AF3" s="77" t="str">
        <f t="shared" ref="AF3:AF34" si="11">IF(C3="Residential","Residential","NonResidential")</f>
        <v>Residential</v>
      </c>
      <c r="AG3" s="77" t="str">
        <f>tbl_Data[[#This Row],[All_Meas_Name_Append]]</f>
        <v>ASHP - CEE Tier 2: 16.8 SEER/16 SEER2; 9.0 HSPF (from elec resistance)</v>
      </c>
      <c r="AH3" s="77">
        <f>AVERAGEIFS('3. Incentive Adjustment'!G:G,'3. Incentive Adjustment'!A:A,tbl_Data[[#This Row],[Trimmed Sector]],'3. Incentive Adjustment'!B:B,tbl_Data[[#This Row],[Trimmed Measure Name]])</f>
        <v>0.9303958662075158</v>
      </c>
      <c r="AI3" s="77">
        <f>$AH3*tbl_Data[[#This Row],[2025 ]]</f>
        <v>588193.00481185282</v>
      </c>
      <c r="AJ3" s="77">
        <f>$AH3*tbl_Data[[#This Row],[2026 ]]</f>
        <v>623052.61198659672</v>
      </c>
      <c r="AK3" s="77">
        <f>$AH3*tbl_Data[[#This Row],[2027 ]]</f>
        <v>657391.4176469472</v>
      </c>
      <c r="AL3" s="77">
        <f>$AH3*tbl_Data[[#This Row],[2028 ]]</f>
        <v>692309.4169229056</v>
      </c>
      <c r="AM3" s="77">
        <f>$AH3*tbl_Data[[#This Row],[2029 ]]</f>
        <v>727764.08370402583</v>
      </c>
      <c r="AN3" s="77">
        <f>$AH3*tbl_Data[[#This Row],[2030 ]]</f>
        <v>761642.42095196107</v>
      </c>
      <c r="AO3" s="77">
        <f>$AH3*tbl_Data[[#This Row],[2031 ]]</f>
        <v>799587.59878018347</v>
      </c>
      <c r="AP3" s="77">
        <f>$AH3*tbl_Data[[#This Row],[2032 ]]</f>
        <v>843171.44958629715</v>
      </c>
      <c r="AQ3" s="77">
        <f>$AH3*tbl_Data[[#This Row],[2033 ]]</f>
        <v>892717.27685693803</v>
      </c>
      <c r="AR3" s="77">
        <f>$AH3*tbl_Data[[#This Row],[2034 ]]</f>
        <v>948347.97724524653</v>
      </c>
      <c r="AS3" s="77">
        <f>SUM(tbl_Data[[#This Row],[Adjusted 2025]:[Adjusted 2034]])</f>
        <v>7534177.2584929541</v>
      </c>
      <c r="AT3" s="80">
        <f>AVERAGEIFS('3. Incentive Adjustment'!F:F,'3. Incentive Adjustment'!A:A,tbl_Data[[#This Row],[Trimmed Sector]],'3. Incentive Adjustment'!B:B,tbl_Data[[#This Row],[Trimmed Measure Name]])</f>
        <v>353</v>
      </c>
      <c r="AU3" s="80">
        <f>IFERROR(VLOOKUP(tbl_Data[[#This Row],[All_Meas_Name_Append]],'IRA Tax Credits'!$A$3:$D$46,4,0),0)</f>
        <v>0</v>
      </c>
      <c r="AV3" s="81">
        <f>tbl_Data[[#This Row],[Adj. per unit Incentive ($)]]/tbl_Data[[#This Row],[kWh Savings]]*tbl_Data[[#This Row],[Sum of Annuals]]</f>
        <v>453226.45644104673</v>
      </c>
      <c r="AW3" s="81">
        <f>IFERROR(VLOOKUP(tbl_Data[[#This Row],[Column1]],'1. Set Program Names'!$B$2:$D$15,3,0)*tbl_Data[[#This Row],[Sum of Annuals]],"")</f>
        <v>3359065.0459278999</v>
      </c>
      <c r="AX3" s="81">
        <f>tbl_Data[[#This Row],[per unit IRA tax ($)]]/tbl_Data[[#This Row],[kWh Savings]]*tbl_Data[[#This Row],[Sum of Annuals]]</f>
        <v>0</v>
      </c>
      <c r="AY3" s="81">
        <f>tbl_Data[[#This Row],[Avoided Costs ($/unit)]]/tbl_Data[[#This Row],[kWh Savings]]*tbl_Data[[#This Row],[Sum of Annuals]]</f>
        <v>4349998.2912312308</v>
      </c>
      <c r="AZ3" s="81">
        <f>tbl_Data[[#This Row],[Lost Revenue ($/unit)]]/tbl_Data[[#This Row],[kWh Savings]]*tbl_Data[[#This Row],[Sum of Annuals]]</f>
        <v>10029710.430667669</v>
      </c>
      <c r="BA3" s="81">
        <f>tbl_Data[[#This Row],[Incremental Cost ($/unit)]]/tbl_Data[[#This Row],[kWh Savings]]*tbl_Data[[#This Row],[Sum of Annuals]]</f>
        <v>2484613.9687143415</v>
      </c>
      <c r="BB3" s="77">
        <f>ROUNDUP(tbl_Data[[#This Row],[Adjusted 2025]]/$L3,0)</f>
        <v>101</v>
      </c>
      <c r="BC3" s="77">
        <f>ROUNDUP(tbl_Data[[#This Row],[Adjusted 2026]]/$L3,0)</f>
        <v>107</v>
      </c>
      <c r="BD3" s="77">
        <f>ROUNDUP(tbl_Data[[#This Row],[Adjusted 2027]]/$L3,0)</f>
        <v>113</v>
      </c>
      <c r="BE3" s="77">
        <f>ROUNDUP(tbl_Data[[#This Row],[Adjusted 2028]]/$L3,0)</f>
        <v>118</v>
      </c>
      <c r="BF3" s="77">
        <f>ROUNDUP(tbl_Data[[#This Row],[Adjusted 2029]]/$L3,0)</f>
        <v>125</v>
      </c>
      <c r="BG3" s="77">
        <f>ROUNDUP(tbl_Data[[#This Row],[Adjusted 2030]]/$L3,0)</f>
        <v>130</v>
      </c>
      <c r="BH3" s="77">
        <f>ROUNDUP(tbl_Data[[#This Row],[Adjusted 2031]]/$L3,0)</f>
        <v>137</v>
      </c>
      <c r="BI3" s="77">
        <f>ROUNDUP(tbl_Data[[#This Row],[Adjusted 2032]]/$L3,0)</f>
        <v>144</v>
      </c>
      <c r="BJ3" s="77">
        <f>ROUNDUP(tbl_Data[[#This Row],[Adjusted 2033]]/$L3,0)</f>
        <v>153</v>
      </c>
      <c r="BK3" s="77">
        <f>ROUNDUP(tbl_Data[[#This Row],[Adjusted 2034]]/$L3,0)</f>
        <v>162</v>
      </c>
      <c r="BL3" s="80">
        <f t="shared" ref="BL3:BL34" si="12">$AT3/$L3*V3</f>
        <v>38030.453359278821</v>
      </c>
      <c r="BM3" s="77">
        <f t="shared" ref="BM3:BM34" si="13">$AT3/$L3*W3</f>
        <v>40284.350726191478</v>
      </c>
      <c r="BN3" s="77">
        <f t="shared" ref="BN3:BN34" si="14">$AT3/$L3*X3</f>
        <v>42504.574932184936</v>
      </c>
      <c r="BO3" s="77">
        <f t="shared" ref="BO3:BO34" si="15">$AT3/$L3*Y3</f>
        <v>44762.247723258748</v>
      </c>
      <c r="BP3" s="77">
        <f t="shared" ref="BP3:BP34" si="16">$AT3/$L3*Z3</f>
        <v>47054.6195133984</v>
      </c>
      <c r="BQ3" s="77">
        <f t="shared" ref="BQ3:BQ34" si="17">$AT3/$L3*AA3</f>
        <v>49245.071480792409</v>
      </c>
      <c r="BR3" s="77">
        <f t="shared" ref="BR3:BR34" si="18">$AT3/$L3*AB3</f>
        <v>51698.470796663823</v>
      </c>
      <c r="BS3" s="77">
        <f t="shared" ref="BS3:BS34" si="19">$AT3/$L3*AC3</f>
        <v>54516.446515075964</v>
      </c>
      <c r="BT3" s="77">
        <f t="shared" ref="BT3:BT34" si="20">$AT3/$L3*AD3</f>
        <v>57719.902281717921</v>
      </c>
      <c r="BU3" s="77">
        <f t="shared" ref="BU3:BU34" si="21">$AT3/$L3*AE3</f>
        <v>61316.784154086199</v>
      </c>
      <c r="BV3" s="80">
        <f>IFERROR(VLOOKUP($H3,'1. Set Program Names'!$B$2:$D$15,3,0)*V3,"NA")</f>
        <v>281860.78889364522</v>
      </c>
      <c r="BW3" s="80">
        <f>IFERROR(VLOOKUP($H3,'1. Set Program Names'!$B$2:$D$15,3,0)*W3,"NA")</f>
        <v>298565.43566505465</v>
      </c>
      <c r="BX3" s="80">
        <f>IFERROR(VLOOKUP($H3,'1. Set Program Names'!$B$2:$D$15,3,0)*X3,"NA")</f>
        <v>315020.51550094615</v>
      </c>
      <c r="BY3" s="80">
        <f>IFERROR(VLOOKUP($H3,'1. Set Program Names'!$B$2:$D$15,3,0)*Y3,"NA")</f>
        <v>331753.14363829978</v>
      </c>
      <c r="BZ3" s="80">
        <f>IFERROR(VLOOKUP($H3,'1. Set Program Names'!$B$2:$D$15,3,0)*Z3,"NA")</f>
        <v>348742.94165890774</v>
      </c>
      <c r="CA3" s="80">
        <f>IFERROR(VLOOKUP($H3,'1. Set Program Names'!$B$2:$D$15,3,0)*AA3,"NA")</f>
        <v>364977.36604850495</v>
      </c>
      <c r="CB3" s="80">
        <f>IFERROR(VLOOKUP($H3,'1. Set Program Names'!$B$2:$D$15,3,0)*AB3,"NA")</f>
        <v>383160.61146264162</v>
      </c>
      <c r="CC3" s="80">
        <f>IFERROR(VLOOKUP($H3,'1. Set Program Names'!$B$2:$D$15,3,0)*AC3,"NA")</f>
        <v>404045.89651489013</v>
      </c>
      <c r="CD3" s="80">
        <f>IFERROR(VLOOKUP($H3,'1. Set Program Names'!$B$2:$D$15,3,0)*AD3,"NA")</f>
        <v>427788.14752203732</v>
      </c>
      <c r="CE3" s="80">
        <f>IFERROR(VLOOKUP($H3,'1. Set Program Names'!$B$2:$D$15,3,0)*AE3,"NA")</f>
        <v>454446.25628885324</v>
      </c>
    </row>
    <row r="4" spans="1:83" x14ac:dyDescent="0.25">
      <c r="A4" s="79" t="s">
        <v>87</v>
      </c>
      <c r="B4" s="79" t="s">
        <v>88</v>
      </c>
      <c r="C4" s="79" t="s">
        <v>89</v>
      </c>
      <c r="D4" s="79" t="s">
        <v>90</v>
      </c>
      <c r="E4" s="79" t="s">
        <v>91</v>
      </c>
      <c r="F4" s="79" t="s">
        <v>90</v>
      </c>
      <c r="G4" s="79" t="s">
        <v>92</v>
      </c>
      <c r="H4" s="79" t="s">
        <v>5</v>
      </c>
      <c r="I4" s="79" t="s">
        <v>99</v>
      </c>
      <c r="J4" s="79" t="s">
        <v>97</v>
      </c>
      <c r="K4" s="79" t="s">
        <v>98</v>
      </c>
      <c r="L4" s="79">
        <v>253.96999999999801</v>
      </c>
      <c r="M4" s="79">
        <v>0.107126245482503</v>
      </c>
      <c r="N4" s="79">
        <v>1.33192706841354E-2</v>
      </c>
      <c r="O4" s="79">
        <v>874.99999999999898</v>
      </c>
      <c r="P4" s="79">
        <v>813.468148399999</v>
      </c>
      <c r="Q4" s="79">
        <v>75.487273566390598</v>
      </c>
      <c r="R4" s="79">
        <v>185.54516688855901</v>
      </c>
      <c r="S4" s="79">
        <v>338.09206641710699</v>
      </c>
      <c r="T4" s="79">
        <v>16</v>
      </c>
      <c r="U4" s="79">
        <v>0.7</v>
      </c>
      <c r="V4" s="79">
        <f>tbl_Data_old[[#This Row],[2025 ]]*IFERROR(AVERAGEIFS('Participation Adjustment'!$C:$C,'Participation Adjustment'!$A:$A,$H4,'Participation Adjustment'!$B:$B,$I4),1)</f>
        <v>672367.01040976797</v>
      </c>
      <c r="W4" s="79">
        <f>tbl_Data_old[[#This Row],[2026 ]]*IFERROR(AVERAGEIFS('Participation Adjustment'!$C:$C,'Participation Adjustment'!$A:$A,$H4,'Participation Adjustment'!$B:$B,$I4),1)</f>
        <v>752023.28354256751</v>
      </c>
      <c r="X4" s="79">
        <f>tbl_Data_old[[#This Row],[2027 ]]*IFERROR(AVERAGEIFS('Participation Adjustment'!$C:$C,'Participation Adjustment'!$A:$A,$H4,'Participation Adjustment'!$B:$B,$I4),1)</f>
        <v>826527.37643271452</v>
      </c>
      <c r="Y4" s="79">
        <f>tbl_Data_old[[#This Row],[2028 ]]*IFERROR(AVERAGEIFS('Participation Adjustment'!$C:$C,'Participation Adjustment'!$A:$A,$H4,'Participation Adjustment'!$B:$B,$I4),1)</f>
        <v>897940.0622096865</v>
      </c>
      <c r="Z4" s="79">
        <f>tbl_Data_old[[#This Row],[2029 ]]*IFERROR(AVERAGEIFS('Participation Adjustment'!$C:$C,'Participation Adjustment'!$A:$A,$H4,'Participation Adjustment'!$B:$B,$I4),1)</f>
        <v>966847.81450187101</v>
      </c>
      <c r="AA4" s="79">
        <f>tbl_Data_old[[#This Row],[2030 ]]*IFERROR(AVERAGEIFS('Participation Adjustment'!$C:$C,'Participation Adjustment'!$A:$A,$H4,'Participation Adjustment'!$B:$B,$I4),1)</f>
        <v>1030916.7763550639</v>
      </c>
      <c r="AB4" s="79">
        <f>tbl_Data_old[[#This Row],[2031 ]]*IFERROR(AVERAGEIFS('Participation Adjustment'!$C:$C,'Participation Adjustment'!$A:$A,$H4,'Participation Adjustment'!$B:$B,$I4),1)</f>
        <v>1098217.712191581</v>
      </c>
      <c r="AC4" s="79">
        <f>tbl_Data_old[[#This Row],[2032 ]]*IFERROR(AVERAGEIFS('Participation Adjustment'!$C:$C,'Participation Adjustment'!$A:$A,$H4,'Participation Adjustment'!$B:$B,$I4),1)</f>
        <v>1171517.2242581039</v>
      </c>
      <c r="AD4" s="79">
        <f>tbl_Data_old[[#This Row],[2033 ]]*IFERROR(AVERAGEIFS('Participation Adjustment'!$C:$C,'Participation Adjustment'!$A:$A,$H4,'Participation Adjustment'!$B:$B,$I4),1)</f>
        <v>1251794.22994263</v>
      </c>
      <c r="AE4" s="79">
        <f>tbl_Data_old[[#This Row],[2034 ]]*IFERROR(AVERAGEIFS('Participation Adjustment'!$C:$C,'Participation Adjustment'!$A:$A,$H4,'Participation Adjustment'!$B:$B,$I4),1)</f>
        <v>1339652.0456041275</v>
      </c>
      <c r="AF4" s="77" t="str">
        <f t="shared" si="11"/>
        <v>Residential</v>
      </c>
      <c r="AG4" s="77" t="str">
        <f>tbl_Data[[#This Row],[All_Meas_Name_Append]]</f>
        <v>ASHP - ENERGY STAR/CEE Tier 1: 16 SEER/15.2 SEER2_ 9.0 HSPF</v>
      </c>
      <c r="AH4" s="77">
        <f>AVERAGEIFS('3. Incentive Adjustment'!G:G,'3. Incentive Adjustment'!A:A,tbl_Data[[#This Row],[Trimmed Sector]],'3. Incentive Adjustment'!B:B,tbl_Data[[#This Row],[Trimmed Measure Name]])</f>
        <v>8.3636985731950567E-3</v>
      </c>
      <c r="AI4" s="77">
        <f>$AH4*tbl_Data[[#This Row],[2025 ]]</f>
        <v>5623.4750056276025</v>
      </c>
      <c r="AJ4" s="77">
        <f>$AH4*tbl_Data[[#This Row],[2026 ]]</f>
        <v>6289.6960635744335</v>
      </c>
      <c r="AK4" s="77">
        <f>$AH4*tbl_Data[[#This Row],[2027 ]]</f>
        <v>6912.825838976948</v>
      </c>
      <c r="AL4" s="77">
        <f>$AH4*tbl_Data[[#This Row],[2028 ]]</f>
        <v>7510.1000171178357</v>
      </c>
      <c r="AM4" s="77">
        <f>$AH4*tbl_Data[[#This Row],[2029 ]]</f>
        <v>8086.4236866460569</v>
      </c>
      <c r="AN4" s="77">
        <f>$AH4*tbl_Data[[#This Row],[2030 ]]</f>
        <v>8622.2771714836945</v>
      </c>
      <c r="AO4" s="77">
        <f>$AH4*tbl_Data[[#This Row],[2031 ]]</f>
        <v>9185.1619125142661</v>
      </c>
      <c r="AP4" s="77">
        <f>$AH4*tbl_Data[[#This Row],[2032 ]]</f>
        <v>9798.216937000936</v>
      </c>
      <c r="AQ4" s="77">
        <f>$AH4*tbl_Data[[#This Row],[2033 ]]</f>
        <v>10469.629614904979</v>
      </c>
      <c r="AR4" s="77">
        <f>$AH4*tbl_Data[[#This Row],[2034 ]]</f>
        <v>11204.445902397079</v>
      </c>
      <c r="AS4" s="77">
        <f>SUM(tbl_Data[[#This Row],[Adjusted 2025]:[Adjusted 2034]])</f>
        <v>83702.252150243832</v>
      </c>
      <c r="AT4" s="80">
        <f>AVERAGEIFS('3. Incentive Adjustment'!F:F,'3. Incentive Adjustment'!A:A,tbl_Data[[#This Row],[Trimmed Sector]],'3. Incentive Adjustment'!B:B,tbl_Data[[#This Row],[Trimmed Measure Name]])</f>
        <v>353</v>
      </c>
      <c r="AU4" s="80">
        <f>IFERROR(VLOOKUP(tbl_Data[[#This Row],[All_Meas_Name_Append]],'IRA Tax Credits'!$A$3:$D$46,4,0),0)</f>
        <v>0</v>
      </c>
      <c r="AV4" s="81">
        <f>tbl_Data[[#This Row],[Adj. per unit Incentive ($)]]/tbl_Data[[#This Row],[kWh Savings]]*tbl_Data[[#This Row],[Sum of Annuals]]</f>
        <v>116340.09925989804</v>
      </c>
      <c r="AW4" s="81">
        <f>IFERROR(VLOOKUP(tbl_Data[[#This Row],[Column1]],'1. Set Program Names'!$B$2:$D$15,3,0)*tbl_Data[[#This Row],[Sum of Annuals]],"")</f>
        <v>37318.117136995468</v>
      </c>
      <c r="AX4" s="81">
        <f>tbl_Data[[#This Row],[per unit IRA tax ($)]]/tbl_Data[[#This Row],[kWh Savings]]*tbl_Data[[#This Row],[Sum of Annuals]]</f>
        <v>0</v>
      </c>
      <c r="AY4" s="81">
        <f>tbl_Data[[#This Row],[Avoided Costs ($/unit)]]/tbl_Data[[#This Row],[kWh Savings]]*tbl_Data[[#This Row],[Sum of Annuals]]</f>
        <v>61151.113691244478</v>
      </c>
      <c r="AZ4" s="81">
        <f>tbl_Data[[#This Row],[Lost Revenue ($/unit)]]/tbl_Data[[#This Row],[kWh Savings]]*tbl_Data[[#This Row],[Sum of Annuals]]</f>
        <v>111426.81180155883</v>
      </c>
      <c r="BA4" s="81">
        <f>tbl_Data[[#This Row],[Incremental Cost ($/unit)]]/tbl_Data[[#This Row],[kWh Savings]]*tbl_Data[[#This Row],[Sum of Annuals]]</f>
        <v>288378.43300966197</v>
      </c>
      <c r="BB4" s="77">
        <f>ROUNDUP(tbl_Data[[#This Row],[Adjusted 2025]]/$L4,0)</f>
        <v>23</v>
      </c>
      <c r="BC4" s="77">
        <f>ROUNDUP(tbl_Data[[#This Row],[Adjusted 2026]]/$L4,0)</f>
        <v>25</v>
      </c>
      <c r="BD4" s="77">
        <f>ROUNDUP(tbl_Data[[#This Row],[Adjusted 2027]]/$L4,0)</f>
        <v>28</v>
      </c>
      <c r="BE4" s="77">
        <f>ROUNDUP(tbl_Data[[#This Row],[Adjusted 2028]]/$L4,0)</f>
        <v>30</v>
      </c>
      <c r="BF4" s="77">
        <f>ROUNDUP(tbl_Data[[#This Row],[Adjusted 2029]]/$L4,0)</f>
        <v>32</v>
      </c>
      <c r="BG4" s="77">
        <f>ROUNDUP(tbl_Data[[#This Row],[Adjusted 2030]]/$L4,0)</f>
        <v>34</v>
      </c>
      <c r="BH4" s="77">
        <f>ROUNDUP(tbl_Data[[#This Row],[Adjusted 2031]]/$L4,0)</f>
        <v>37</v>
      </c>
      <c r="BI4" s="77">
        <f>ROUNDUP(tbl_Data[[#This Row],[Adjusted 2032]]/$L4,0)</f>
        <v>39</v>
      </c>
      <c r="BJ4" s="77">
        <f>ROUNDUP(tbl_Data[[#This Row],[Adjusted 2033]]/$L4,0)</f>
        <v>42</v>
      </c>
      <c r="BK4" s="77">
        <f>ROUNDUP(tbl_Data[[#This Row],[Adjusted 2034]]/$L4,0)</f>
        <v>45</v>
      </c>
      <c r="BL4" s="80">
        <f t="shared" si="12"/>
        <v>934541.69655727036</v>
      </c>
      <c r="BM4" s="77">
        <f t="shared" si="13"/>
        <v>1045258.1765189921</v>
      </c>
      <c r="BN4" s="77">
        <f t="shared" si="14"/>
        <v>1148813.4971876619</v>
      </c>
      <c r="BO4" s="77">
        <f t="shared" si="15"/>
        <v>1248071.9847226909</v>
      </c>
      <c r="BP4" s="77">
        <f t="shared" si="16"/>
        <v>1343848.7952087377</v>
      </c>
      <c r="BQ4" s="77">
        <f t="shared" si="17"/>
        <v>1432900.0356472828</v>
      </c>
      <c r="BR4" s="77">
        <f t="shared" si="18"/>
        <v>1526443.4870403241</v>
      </c>
      <c r="BS4" s="77">
        <f t="shared" si="19"/>
        <v>1628324.5271611367</v>
      </c>
      <c r="BT4" s="77">
        <f t="shared" si="20"/>
        <v>1739903.7806424061</v>
      </c>
      <c r="BU4" s="77">
        <f t="shared" si="21"/>
        <v>1862019.8137506819</v>
      </c>
      <c r="BV4" s="80">
        <f>IFERROR(VLOOKUP($H4,'1. Set Program Names'!$B$2:$D$15,3,0)*V4,"NA")</f>
        <v>299770.55824596569</v>
      </c>
      <c r="BW4" s="80">
        <f>IFERROR(VLOOKUP($H4,'1. Set Program Names'!$B$2:$D$15,3,0)*W4,"NA")</f>
        <v>335284.80135295546</v>
      </c>
      <c r="BX4" s="80">
        <f>IFERROR(VLOOKUP($H4,'1. Set Program Names'!$B$2:$D$15,3,0)*X4,"NA")</f>
        <v>368501.97764433431</v>
      </c>
      <c r="BY4" s="80">
        <f>IFERROR(VLOOKUP($H4,'1. Set Program Names'!$B$2:$D$15,3,0)*Y4,"NA")</f>
        <v>400340.86972227861</v>
      </c>
      <c r="BZ4" s="80">
        <f>IFERROR(VLOOKUP($H4,'1. Set Program Names'!$B$2:$D$15,3,0)*Z4,"NA")</f>
        <v>431062.95312656986</v>
      </c>
      <c r="CA4" s="80">
        <f>IFERROR(VLOOKUP($H4,'1. Set Program Names'!$B$2:$D$15,3,0)*AA4,"NA")</f>
        <v>459627.69256740919</v>
      </c>
      <c r="CB4" s="80">
        <f>IFERROR(VLOOKUP($H4,'1. Set Program Names'!$B$2:$D$15,3,0)*AB4,"NA")</f>
        <v>489633.387067342</v>
      </c>
      <c r="CC4" s="80">
        <f>IFERROR(VLOOKUP($H4,'1. Set Program Names'!$B$2:$D$15,3,0)*AC4,"NA")</f>
        <v>522313.50865443057</v>
      </c>
      <c r="CD4" s="80">
        <f>IFERROR(VLOOKUP($H4,'1. Set Program Names'!$B$2:$D$15,3,0)*AD4,"NA")</f>
        <v>558104.50142443425</v>
      </c>
      <c r="CE4" s="80">
        <f>IFERROR(VLOOKUP($H4,'1. Set Program Names'!$B$2:$D$15,3,0)*AE4,"NA")</f>
        <v>597275.35014151689</v>
      </c>
    </row>
    <row r="5" spans="1:83" x14ac:dyDescent="0.25">
      <c r="A5" s="79" t="s">
        <v>87</v>
      </c>
      <c r="B5" s="79" t="s">
        <v>88</v>
      </c>
      <c r="C5" s="79" t="s">
        <v>89</v>
      </c>
      <c r="D5" s="79" t="s">
        <v>90</v>
      </c>
      <c r="E5" s="79" t="s">
        <v>91</v>
      </c>
      <c r="F5" s="79" t="s">
        <v>90</v>
      </c>
      <c r="G5" s="79" t="s">
        <v>92</v>
      </c>
      <c r="H5" s="79" t="s">
        <v>5</v>
      </c>
      <c r="I5" s="79" t="s">
        <v>100</v>
      </c>
      <c r="J5" s="79" t="s">
        <v>101</v>
      </c>
      <c r="K5" s="79" t="s">
        <v>102</v>
      </c>
      <c r="L5" s="79">
        <v>3443.6666666666601</v>
      </c>
      <c r="M5" s="79">
        <v>1.66949913665645</v>
      </c>
      <c r="N5" s="79">
        <v>0.25022957227107101</v>
      </c>
      <c r="O5" s="79">
        <v>1269.26999999999</v>
      </c>
      <c r="P5" s="79">
        <v>446.40188399649003</v>
      </c>
      <c r="Q5" s="79">
        <v>1023.5579310081</v>
      </c>
      <c r="R5" s="79">
        <v>3363.3816217672702</v>
      </c>
      <c r="S5" s="79">
        <v>6252.5618237134204</v>
      </c>
      <c r="T5" s="79">
        <v>30</v>
      </c>
      <c r="U5" s="79">
        <v>0.9</v>
      </c>
      <c r="V5" s="79">
        <f>tbl_Data_old[[#This Row],[2025 ]]*IFERROR(AVERAGEIFS('Participation Adjustment'!$C:$C,'Participation Adjustment'!$A:$A,$H5,'Participation Adjustment'!$B:$B,$I5),1)</f>
        <v>8407.6629638000395</v>
      </c>
      <c r="W5" s="79">
        <f>tbl_Data_old[[#This Row],[2026 ]]*IFERROR(AVERAGEIFS('Participation Adjustment'!$C:$C,'Participation Adjustment'!$A:$A,$H5,'Participation Adjustment'!$B:$B,$I5),1)</f>
        <v>8136.8612055912299</v>
      </c>
      <c r="X5" s="79">
        <f>tbl_Data_old[[#This Row],[2027 ]]*IFERROR(AVERAGEIFS('Participation Adjustment'!$C:$C,'Participation Adjustment'!$A:$A,$H5,'Participation Adjustment'!$B:$B,$I5),1)</f>
        <v>7881.2062578207797</v>
      </c>
      <c r="Y5" s="79">
        <f>tbl_Data_old[[#This Row],[2028 ]]*IFERROR(AVERAGEIFS('Participation Adjustment'!$C:$C,'Participation Adjustment'!$A:$A,$H5,'Participation Adjustment'!$B:$B,$I5),1)</f>
        <v>7648.7963236168998</v>
      </c>
      <c r="Z5" s="79">
        <f>tbl_Data_old[[#This Row],[2029 ]]*IFERROR(AVERAGEIFS('Participation Adjustment'!$C:$C,'Participation Adjustment'!$A:$A,$H5,'Participation Adjustment'!$B:$B,$I5),1)</f>
        <v>7433.5637048297303</v>
      </c>
      <c r="AA5" s="79">
        <f>tbl_Data_old[[#This Row],[2030 ]]*IFERROR(AVERAGEIFS('Participation Adjustment'!$C:$C,'Participation Adjustment'!$A:$A,$H5,'Participation Adjustment'!$B:$B,$I5),1)</f>
        <v>7211.3542083586999</v>
      </c>
      <c r="AB5" s="79">
        <f>tbl_Data_old[[#This Row],[2031 ]]*IFERROR(AVERAGEIFS('Participation Adjustment'!$C:$C,'Participation Adjustment'!$A:$A,$H5,'Participation Adjustment'!$B:$B,$I5),1)</f>
        <v>7032.9444907776497</v>
      </c>
      <c r="AC5" s="79">
        <f>tbl_Data_old[[#This Row],[2032 ]]*IFERROR(AVERAGEIFS('Participation Adjustment'!$C:$C,'Participation Adjustment'!$A:$A,$H5,'Participation Adjustment'!$B:$B,$I5),1)</f>
        <v>6901.99079192303</v>
      </c>
      <c r="AD5" s="79">
        <f>tbl_Data_old[[#This Row],[2033 ]]*IFERROR(AVERAGEIFS('Participation Adjustment'!$C:$C,'Participation Adjustment'!$A:$A,$H5,'Participation Adjustment'!$B:$B,$I5),1)</f>
        <v>6810.9401373368501</v>
      </c>
      <c r="AE5" s="79">
        <f>tbl_Data_old[[#This Row],[2034 ]]*IFERROR(AVERAGEIFS('Participation Adjustment'!$C:$C,'Participation Adjustment'!$A:$A,$H5,'Participation Adjustment'!$B:$B,$I5),1)</f>
        <v>6751.9698921784702</v>
      </c>
      <c r="AF5" s="77" t="str">
        <f t="shared" si="11"/>
        <v>Residential</v>
      </c>
      <c r="AG5" s="77" t="str">
        <f>tbl_Data[[#This Row],[All_Meas_Name_Append]]</f>
        <v>Ceiling Insulation(R2 to R38) Residential</v>
      </c>
      <c r="AH5" s="77">
        <f>AVERAGEIFS('3. Incentive Adjustment'!G:G,'3. Incentive Adjustment'!A:A,tbl_Data[[#This Row],[Trimmed Sector]],'3. Incentive Adjustment'!B:B,tbl_Data[[#This Row],[Trimmed Measure Name]])</f>
        <v>0.80543313072084111</v>
      </c>
      <c r="AI5" s="77">
        <f>$AH5*tbl_Data[[#This Row],[2025 ]]</f>
        <v>6771.8103029791318</v>
      </c>
      <c r="AJ5" s="77">
        <f>$AH5*tbl_Data[[#This Row],[2026 ]]</f>
        <v>6553.6975950603019</v>
      </c>
      <c r="AK5" s="77">
        <f>$AH5*tbl_Data[[#This Row],[2027 ]]</f>
        <v>6347.7846300932752</v>
      </c>
      <c r="AL5" s="77">
        <f>$AH5*tbl_Data[[#This Row],[2028 ]]</f>
        <v>6160.593969176819</v>
      </c>
      <c r="AM5" s="77">
        <f>$AH5*tbl_Data[[#This Row],[2029 ]]</f>
        <v>5987.2384871938239</v>
      </c>
      <c r="AN5" s="77">
        <f>$AH5*tbl_Data[[#This Row],[2030 ]]</f>
        <v>5808.2635967752603</v>
      </c>
      <c r="AO5" s="77">
        <f>$AH5*tbl_Data[[#This Row],[2031 ]]</f>
        <v>5664.566499392934</v>
      </c>
      <c r="AP5" s="77">
        <f>$AH5*tbl_Data[[#This Row],[2032 ]]</f>
        <v>5559.0920517449831</v>
      </c>
      <c r="AQ5" s="77">
        <f>$AH5*tbl_Data[[#This Row],[2033 ]]</f>
        <v>5485.7568379674549</v>
      </c>
      <c r="AR5" s="77">
        <f>$AH5*tbl_Data[[#This Row],[2034 ]]</f>
        <v>5438.260248790165</v>
      </c>
      <c r="AS5" s="77">
        <f>SUM(tbl_Data[[#This Row],[Adjusted 2025]:[Adjusted 2034]])</f>
        <v>59777.06421917415</v>
      </c>
      <c r="AT5" s="80">
        <f>AVERAGEIFS('3. Incentive Adjustment'!F:F,'3. Incentive Adjustment'!A:A,tbl_Data[[#This Row],[Trimmed Sector]],'3. Incentive Adjustment'!B:B,tbl_Data[[#This Row],[Trimmed Measure Name]])</f>
        <v>164</v>
      </c>
      <c r="AU5" s="80">
        <f>IFERROR(VLOOKUP(tbl_Data[[#This Row],[All_Meas_Name_Append]],'IRA Tax Credits'!$A$3:$D$46,4,0),0)</f>
        <v>0</v>
      </c>
      <c r="AV5" s="81">
        <f>tbl_Data[[#This Row],[Adj. per unit Incentive ($)]]/tbl_Data[[#This Row],[kWh Savings]]*tbl_Data[[#This Row],[Sum of Annuals]]</f>
        <v>2846.8024001387798</v>
      </c>
      <c r="AW5" s="81">
        <f>IFERROR(VLOOKUP(tbl_Data[[#This Row],[Column1]],'1. Set Program Names'!$B$2:$D$15,3,0)*tbl_Data[[#This Row],[Sum of Annuals]],"")</f>
        <v>26651.224158612356</v>
      </c>
      <c r="AX5" s="81">
        <f>tbl_Data[[#This Row],[per unit IRA tax ($)]]/tbl_Data[[#This Row],[kWh Savings]]*tbl_Data[[#This Row],[Sum of Annuals]]</f>
        <v>0</v>
      </c>
      <c r="AY5" s="81">
        <f>tbl_Data[[#This Row],[Avoided Costs ($/unit)]]/tbl_Data[[#This Row],[kWh Savings]]*tbl_Data[[#This Row],[Sum of Annuals]]</f>
        <v>58383.432155059309</v>
      </c>
      <c r="AZ5" s="81">
        <f>tbl_Data[[#This Row],[Lost Revenue ($/unit)]]/tbl_Data[[#This Row],[kWh Savings]]*tbl_Data[[#This Row],[Sum of Annuals]]</f>
        <v>108535.41467538703</v>
      </c>
      <c r="BA5" s="81">
        <f>tbl_Data[[#This Row],[Incremental Cost ($/unit)]]/tbl_Data[[#This Row],[kWh Savings]]*tbl_Data[[#This Row],[Sum of Annuals]]</f>
        <v>22032.688307464152</v>
      </c>
      <c r="BB5" s="77">
        <f>ROUNDUP(tbl_Data[[#This Row],[Adjusted 2025]]/$L5,0)</f>
        <v>2</v>
      </c>
      <c r="BC5" s="77">
        <f>ROUNDUP(tbl_Data[[#This Row],[Adjusted 2026]]/$L5,0)</f>
        <v>2</v>
      </c>
      <c r="BD5" s="77">
        <f>ROUNDUP(tbl_Data[[#This Row],[Adjusted 2027]]/$L5,0)</f>
        <v>2</v>
      </c>
      <c r="BE5" s="77">
        <f>ROUNDUP(tbl_Data[[#This Row],[Adjusted 2028]]/$L5,0)</f>
        <v>2</v>
      </c>
      <c r="BF5" s="77">
        <f>ROUNDUP(tbl_Data[[#This Row],[Adjusted 2029]]/$L5,0)</f>
        <v>2</v>
      </c>
      <c r="BG5" s="77">
        <f>ROUNDUP(tbl_Data[[#This Row],[Adjusted 2030]]/$L5,0)</f>
        <v>2</v>
      </c>
      <c r="BH5" s="77">
        <f>ROUNDUP(tbl_Data[[#This Row],[Adjusted 2031]]/$L5,0)</f>
        <v>2</v>
      </c>
      <c r="BI5" s="77">
        <f>ROUNDUP(tbl_Data[[#This Row],[Adjusted 2032]]/$L5,0)</f>
        <v>2</v>
      </c>
      <c r="BJ5" s="77">
        <f>ROUNDUP(tbl_Data[[#This Row],[Adjusted 2033]]/$L5,0)</f>
        <v>2</v>
      </c>
      <c r="BK5" s="77">
        <f>ROUNDUP(tbl_Data[[#This Row],[Adjusted 2034]]/$L5,0)</f>
        <v>2</v>
      </c>
      <c r="BL5" s="80">
        <f t="shared" si="12"/>
        <v>400.4036567795593</v>
      </c>
      <c r="BM5" s="77">
        <f t="shared" si="13"/>
        <v>387.50708674386726</v>
      </c>
      <c r="BN5" s="77">
        <f t="shared" si="14"/>
        <v>375.33186321245097</v>
      </c>
      <c r="BO5" s="77">
        <f t="shared" si="15"/>
        <v>364.26365223303861</v>
      </c>
      <c r="BP5" s="77">
        <f t="shared" si="16"/>
        <v>354.01348783043596</v>
      </c>
      <c r="BQ5" s="77">
        <f t="shared" si="17"/>
        <v>343.43105899840162</v>
      </c>
      <c r="BR5" s="77">
        <f t="shared" si="18"/>
        <v>334.93453581091956</v>
      </c>
      <c r="BS5" s="77">
        <f t="shared" si="19"/>
        <v>328.69804177970548</v>
      </c>
      <c r="BT5" s="77">
        <f t="shared" si="20"/>
        <v>324.3618766401836</v>
      </c>
      <c r="BU5" s="77">
        <f t="shared" si="21"/>
        <v>321.55349791422066</v>
      </c>
      <c r="BV5" s="80">
        <f>IFERROR(VLOOKUP($H5,'1. Set Program Names'!$B$2:$D$15,3,0)*V5,"NA")</f>
        <v>3748.5030960490631</v>
      </c>
      <c r="BW5" s="80">
        <f>IFERROR(VLOOKUP($H5,'1. Set Program Names'!$B$2:$D$15,3,0)*W5,"NA")</f>
        <v>3627.7678532792397</v>
      </c>
      <c r="BX5" s="80">
        <f>IFERROR(VLOOKUP($H5,'1. Set Program Names'!$B$2:$D$15,3,0)*X5,"NA")</f>
        <v>3513.7857196751761</v>
      </c>
      <c r="BY5" s="80">
        <f>IFERROR(VLOOKUP($H5,'1. Set Program Names'!$B$2:$D$15,3,0)*Y5,"NA")</f>
        <v>3410.1672276320496</v>
      </c>
      <c r="BZ5" s="80">
        <f>IFERROR(VLOOKUP($H5,'1. Set Program Names'!$B$2:$D$15,3,0)*Z5,"NA")</f>
        <v>3314.2071324940543</v>
      </c>
      <c r="CA5" s="80">
        <f>IFERROR(VLOOKUP($H5,'1. Set Program Names'!$B$2:$D$15,3,0)*AA5,"NA")</f>
        <v>3215.1364407834662</v>
      </c>
      <c r="CB5" s="80">
        <f>IFERROR(VLOOKUP($H5,'1. Set Program Names'!$B$2:$D$15,3,0)*AB5,"NA")</f>
        <v>3135.5936021138796</v>
      </c>
      <c r="CC5" s="80">
        <f>IFERROR(VLOOKUP($H5,'1. Set Program Names'!$B$2:$D$15,3,0)*AC5,"NA")</f>
        <v>3077.2087277785085</v>
      </c>
      <c r="CD5" s="80">
        <f>IFERROR(VLOOKUP($H5,'1. Set Program Names'!$B$2:$D$15,3,0)*AD5,"NA")</f>
        <v>3036.6143721194981</v>
      </c>
      <c r="CE5" s="80">
        <f>IFERROR(VLOOKUP($H5,'1. Set Program Names'!$B$2:$D$15,3,0)*AE5,"NA")</f>
        <v>3010.3228631112624</v>
      </c>
    </row>
    <row r="6" spans="1:83" x14ac:dyDescent="0.25">
      <c r="A6" s="79" t="s">
        <v>87</v>
      </c>
      <c r="B6" s="79" t="s">
        <v>88</v>
      </c>
      <c r="C6" s="79" t="s">
        <v>89</v>
      </c>
      <c r="D6" s="79" t="s">
        <v>90</v>
      </c>
      <c r="E6" s="79" t="s">
        <v>91</v>
      </c>
      <c r="F6" s="79" t="s">
        <v>90</v>
      </c>
      <c r="G6" s="79" t="s">
        <v>92</v>
      </c>
      <c r="H6" s="79" t="s">
        <v>5</v>
      </c>
      <c r="I6" s="79" t="s">
        <v>103</v>
      </c>
      <c r="J6" s="79" t="s">
        <v>101</v>
      </c>
      <c r="K6" s="79" t="s">
        <v>102</v>
      </c>
      <c r="L6" s="79">
        <v>3523.57666666666</v>
      </c>
      <c r="M6" s="79">
        <v>1.7070465614975301</v>
      </c>
      <c r="N6" s="79">
        <v>0.25623328618049002</v>
      </c>
      <c r="O6" s="79">
        <v>1306.5999999999899</v>
      </c>
      <c r="P6" s="79">
        <v>465.31519597206898</v>
      </c>
      <c r="Q6" s="79">
        <v>1047.30950808685</v>
      </c>
      <c r="R6" s="79">
        <v>3440.61303289528</v>
      </c>
      <c r="S6" s="79">
        <v>6397.6520033667803</v>
      </c>
      <c r="T6" s="79">
        <v>30</v>
      </c>
      <c r="U6" s="79">
        <v>0.9</v>
      </c>
      <c r="V6" s="79">
        <f>tbl_Data_old[[#This Row],[2025 ]]*IFERROR(AVERAGEIFS('Participation Adjustment'!$C:$C,'Participation Adjustment'!$A:$A,$H6,'Participation Adjustment'!$B:$B,$I6),1)</f>
        <v>8604.8012899447895</v>
      </c>
      <c r="W6" s="79">
        <f>tbl_Data_old[[#This Row],[2026 ]]*IFERROR(AVERAGEIFS('Participation Adjustment'!$C:$C,'Participation Adjustment'!$A:$A,$H6,'Participation Adjustment'!$B:$B,$I6),1)</f>
        <v>8328.2001019373292</v>
      </c>
      <c r="X6" s="79">
        <f>tbl_Data_old[[#This Row],[2027 ]]*IFERROR(AVERAGEIFS('Participation Adjustment'!$C:$C,'Participation Adjustment'!$A:$A,$H6,'Participation Adjustment'!$B:$B,$I6),1)</f>
        <v>8067.0464914622198</v>
      </c>
      <c r="Y6" s="79">
        <f>tbl_Data_old[[#This Row],[2028 ]]*IFERROR(AVERAGEIFS('Participation Adjustment'!$C:$C,'Participation Adjustment'!$A:$A,$H6,'Participation Adjustment'!$B:$B,$I6),1)</f>
        <v>7829.6350264817802</v>
      </c>
      <c r="Z6" s="79">
        <f>tbl_Data_old[[#This Row],[2029 ]]*IFERROR(AVERAGEIFS('Participation Adjustment'!$C:$C,'Participation Adjustment'!$A:$A,$H6,'Participation Adjustment'!$B:$B,$I6),1)</f>
        <v>7609.7603941069401</v>
      </c>
      <c r="AA6" s="79">
        <f>tbl_Data_old[[#This Row],[2030 ]]*IFERROR(AVERAGEIFS('Participation Adjustment'!$C:$C,'Participation Adjustment'!$A:$A,$H6,'Participation Adjustment'!$B:$B,$I6),1)</f>
        <v>7382.6993536558302</v>
      </c>
      <c r="AB6" s="79">
        <f>tbl_Data_old[[#This Row],[2031 ]]*IFERROR(AVERAGEIFS('Participation Adjustment'!$C:$C,'Participation Adjustment'!$A:$A,$H6,'Participation Adjustment'!$B:$B,$I6),1)</f>
        <v>7200.4384974364302</v>
      </c>
      <c r="AC6" s="79">
        <f>tbl_Data_old[[#This Row],[2032 ]]*IFERROR(AVERAGEIFS('Participation Adjustment'!$C:$C,'Participation Adjustment'!$A:$A,$H6,'Participation Adjustment'!$B:$B,$I6),1)</f>
        <v>7066.7301547462803</v>
      </c>
      <c r="AD6" s="79">
        <f>tbl_Data_old[[#This Row],[2033 ]]*IFERROR(AVERAGEIFS('Participation Adjustment'!$C:$C,'Participation Adjustment'!$A:$A,$H6,'Participation Adjustment'!$B:$B,$I6),1)</f>
        <v>6973.8494568034303</v>
      </c>
      <c r="AE6" s="79">
        <f>tbl_Data_old[[#This Row],[2034 ]]*IFERROR(AVERAGEIFS('Participation Adjustment'!$C:$C,'Participation Adjustment'!$A:$A,$H6,'Participation Adjustment'!$B:$B,$I6),1)</f>
        <v>6913.7933072389496</v>
      </c>
      <c r="AF6" s="77" t="str">
        <f t="shared" si="11"/>
        <v>Residential</v>
      </c>
      <c r="AG6" s="77" t="str">
        <f>tbl_Data[[#This Row],[All_Meas_Name_Append]]</f>
        <v>Ceiling Insulation(R2 to R49) Residential</v>
      </c>
      <c r="AH6" s="77">
        <f>AVERAGEIFS('3. Incentive Adjustment'!G:G,'3. Incentive Adjustment'!A:A,tbl_Data[[#This Row],[Trimmed Sector]],'3. Incentive Adjustment'!B:B,tbl_Data[[#This Row],[Trimmed Measure Name]])</f>
        <v>0.79801279130038982</v>
      </c>
      <c r="AI6" s="77">
        <f>$AH6*tbl_Data[[#This Row],[2025 ]]</f>
        <v>6866.7414959740363</v>
      </c>
      <c r="AJ6" s="77">
        <f>$AH6*tbl_Data[[#This Row],[2026 ]]</f>
        <v>6646.0102098551988</v>
      </c>
      <c r="AK6" s="77">
        <f>$AH6*tbl_Data[[#This Row],[2027 ]]</f>
        <v>6437.6062882017823</v>
      </c>
      <c r="AL6" s="77">
        <f>$AH6*tbl_Data[[#This Row],[2028 ]]</f>
        <v>6248.1489023460272</v>
      </c>
      <c r="AM6" s="77">
        <f>$AH6*tbl_Data[[#This Row],[2029 ]]</f>
        <v>6072.6861332284334</v>
      </c>
      <c r="AN6" s="77">
        <f>$AH6*tbl_Data[[#This Row],[2030 ]]</f>
        <v>5891.4885185424728</v>
      </c>
      <c r="AO6" s="77">
        <f>$AH6*tbl_Data[[#This Row],[2031 ]]</f>
        <v>5746.0420239260302</v>
      </c>
      <c r="AP6" s="77">
        <f>$AH6*tbl_Data[[#This Row],[2032 ]]</f>
        <v>5639.3410561557148</v>
      </c>
      <c r="AQ6" s="77">
        <f>$AH6*tbl_Data[[#This Row],[2033 ]]</f>
        <v>5565.2210711324124</v>
      </c>
      <c r="AR6" s="77">
        <f>$AH6*tbl_Data[[#This Row],[2034 ]]</f>
        <v>5517.2954955837076</v>
      </c>
      <c r="AS6" s="77">
        <f>SUM(tbl_Data[[#This Row],[Adjusted 2025]:[Adjusted 2034]])</f>
        <v>60630.581194945815</v>
      </c>
      <c r="AT6" s="80">
        <f>AVERAGEIFS('3. Incentive Adjustment'!F:F,'3. Incentive Adjustment'!A:A,tbl_Data[[#This Row],[Trimmed Sector]],'3. Incentive Adjustment'!B:B,tbl_Data[[#This Row],[Trimmed Measure Name]])</f>
        <v>164</v>
      </c>
      <c r="AU6" s="80">
        <f>IFERROR(VLOOKUP(tbl_Data[[#This Row],[All_Meas_Name_Append]],'IRA Tax Credits'!$A$3:$D$46,4,0),0)</f>
        <v>0</v>
      </c>
      <c r="AV6" s="81">
        <f>tbl_Data[[#This Row],[Adj. per unit Incentive ($)]]/tbl_Data[[#This Row],[kWh Savings]]*tbl_Data[[#This Row],[Sum of Annuals]]</f>
        <v>2821.9665006970567</v>
      </c>
      <c r="AW6" s="81">
        <f>IFERROR(VLOOKUP(tbl_Data[[#This Row],[Column1]],'1. Set Program Names'!$B$2:$D$15,3,0)*tbl_Data[[#This Row],[Sum of Annuals]],"")</f>
        <v>27031.759277584879</v>
      </c>
      <c r="AX6" s="81">
        <f>tbl_Data[[#This Row],[per unit IRA tax ($)]]/tbl_Data[[#This Row],[kWh Savings]]*tbl_Data[[#This Row],[Sum of Annuals]]</f>
        <v>0</v>
      </c>
      <c r="AY6" s="81">
        <f>tbl_Data[[#This Row],[Avoided Costs ($/unit)]]/tbl_Data[[#This Row],[kWh Savings]]*tbl_Data[[#This Row],[Sum of Annuals]]</f>
        <v>59203.01658958647</v>
      </c>
      <c r="AZ6" s="81">
        <f>tbl_Data[[#This Row],[Lost Revenue ($/unit)]]/tbl_Data[[#This Row],[kWh Savings]]*tbl_Data[[#This Row],[Sum of Annuals]]</f>
        <v>110085.11973547847</v>
      </c>
      <c r="BA6" s="81">
        <f>tbl_Data[[#This Row],[Incremental Cost ($/unit)]]/tbl_Data[[#This Row],[kWh Savings]]*tbl_Data[[#This Row],[Sum of Annuals]]</f>
        <v>22482.813596406984</v>
      </c>
      <c r="BB6" s="77">
        <f>ROUNDUP(tbl_Data[[#This Row],[Adjusted 2025]]/$L6,0)</f>
        <v>2</v>
      </c>
      <c r="BC6" s="77">
        <f>ROUNDUP(tbl_Data[[#This Row],[Adjusted 2026]]/$L6,0)</f>
        <v>2</v>
      </c>
      <c r="BD6" s="77">
        <f>ROUNDUP(tbl_Data[[#This Row],[Adjusted 2027]]/$L6,0)</f>
        <v>2</v>
      </c>
      <c r="BE6" s="77">
        <f>ROUNDUP(tbl_Data[[#This Row],[Adjusted 2028]]/$L6,0)</f>
        <v>2</v>
      </c>
      <c r="BF6" s="77">
        <f>ROUNDUP(tbl_Data[[#This Row],[Adjusted 2029]]/$L6,0)</f>
        <v>2</v>
      </c>
      <c r="BG6" s="77">
        <f>ROUNDUP(tbl_Data[[#This Row],[Adjusted 2030]]/$L6,0)</f>
        <v>2</v>
      </c>
      <c r="BH6" s="77">
        <f>ROUNDUP(tbl_Data[[#This Row],[Adjusted 2031]]/$L6,0)</f>
        <v>2</v>
      </c>
      <c r="BI6" s="77">
        <f>ROUNDUP(tbl_Data[[#This Row],[Adjusted 2032]]/$L6,0)</f>
        <v>2</v>
      </c>
      <c r="BJ6" s="77">
        <f>ROUNDUP(tbl_Data[[#This Row],[Adjusted 2033]]/$L6,0)</f>
        <v>2</v>
      </c>
      <c r="BK6" s="77">
        <f>ROUNDUP(tbl_Data[[#This Row],[Adjusted 2034]]/$L6,0)</f>
        <v>2</v>
      </c>
      <c r="BL6" s="80">
        <f t="shared" si="12"/>
        <v>400.49856865636002</v>
      </c>
      <c r="BM6" s="77">
        <f t="shared" si="13"/>
        <v>387.62454912320851</v>
      </c>
      <c r="BN6" s="77">
        <f t="shared" si="14"/>
        <v>375.46951570983458</v>
      </c>
      <c r="BO6" s="77">
        <f t="shared" si="15"/>
        <v>364.41952760396333</v>
      </c>
      <c r="BP6" s="77">
        <f t="shared" si="16"/>
        <v>354.18576710412822</v>
      </c>
      <c r="BQ6" s="77">
        <f t="shared" si="17"/>
        <v>343.61752518498491</v>
      </c>
      <c r="BR6" s="77">
        <f t="shared" si="18"/>
        <v>335.13444584609863</v>
      </c>
      <c r="BS6" s="77">
        <f t="shared" si="19"/>
        <v>328.91117606212401</v>
      </c>
      <c r="BT6" s="77">
        <f t="shared" si="20"/>
        <v>324.58817250533258</v>
      </c>
      <c r="BU6" s="77">
        <f t="shared" si="21"/>
        <v>321.79294212997303</v>
      </c>
      <c r="BV6" s="80">
        <f>IFERROR(VLOOKUP($H6,'1. Set Program Names'!$B$2:$D$15,3,0)*V6,"NA")</f>
        <v>3836.3959658138533</v>
      </c>
      <c r="BW6" s="80">
        <f>IFERROR(VLOOKUP($H6,'1. Set Program Names'!$B$2:$D$15,3,0)*W6,"NA")</f>
        <v>3713.075084127584</v>
      </c>
      <c r="BX6" s="80">
        <f>IFERROR(VLOOKUP($H6,'1. Set Program Names'!$B$2:$D$15,3,0)*X6,"NA")</f>
        <v>3596.6414067043529</v>
      </c>
      <c r="BY6" s="80">
        <f>IFERROR(VLOOKUP($H6,'1. Set Program Names'!$B$2:$D$15,3,0)*Y6,"NA")</f>
        <v>3490.7930139525943</v>
      </c>
      <c r="BZ6" s="80">
        <f>IFERROR(VLOOKUP($H6,'1. Set Program Names'!$B$2:$D$15,3,0)*Z6,"NA")</f>
        <v>3392.7633065596592</v>
      </c>
      <c r="CA6" s="80">
        <f>IFERROR(VLOOKUP($H6,'1. Set Program Names'!$B$2:$D$15,3,0)*AA6,"NA")</f>
        <v>3291.5295848003825</v>
      </c>
      <c r="CB6" s="80">
        <f>IFERROR(VLOOKUP($H6,'1. Set Program Names'!$B$2:$D$15,3,0)*AB6,"NA")</f>
        <v>3210.2697404454675</v>
      </c>
      <c r="CC6" s="80">
        <f>IFERROR(VLOOKUP($H6,'1. Set Program Names'!$B$2:$D$15,3,0)*AC6,"NA")</f>
        <v>3150.6567256636422</v>
      </c>
      <c r="CD6" s="80">
        <f>IFERROR(VLOOKUP($H6,'1. Set Program Names'!$B$2:$D$15,3,0)*AD6,"NA")</f>
        <v>3109.2464568052187</v>
      </c>
      <c r="CE6" s="80">
        <f>IFERROR(VLOOKUP($H6,'1. Set Program Names'!$B$2:$D$15,3,0)*AE6,"NA")</f>
        <v>3082.4708042191769</v>
      </c>
    </row>
    <row r="7" spans="1:83" x14ac:dyDescent="0.25">
      <c r="A7" s="79" t="s">
        <v>87</v>
      </c>
      <c r="B7" s="79" t="s">
        <v>88</v>
      </c>
      <c r="C7" s="79" t="s">
        <v>89</v>
      </c>
      <c r="D7" s="79" t="s">
        <v>90</v>
      </c>
      <c r="E7" s="79" t="s">
        <v>91</v>
      </c>
      <c r="F7" s="79" t="s">
        <v>90</v>
      </c>
      <c r="G7" s="79" t="s">
        <v>92</v>
      </c>
      <c r="H7" s="79" t="s">
        <v>5</v>
      </c>
      <c r="I7" s="79" t="s">
        <v>296</v>
      </c>
      <c r="J7" s="79" t="s">
        <v>97</v>
      </c>
      <c r="K7" s="79" t="s">
        <v>102</v>
      </c>
      <c r="L7" s="79">
        <v>936.45</v>
      </c>
      <c r="M7" s="79">
        <v>0.42562333070119601</v>
      </c>
      <c r="N7" s="79">
        <v>3.9115067461125599E-2</v>
      </c>
      <c r="O7" s="79">
        <v>685.00999995999996</v>
      </c>
      <c r="P7" s="79">
        <v>458.12689399999903</v>
      </c>
      <c r="Q7" s="79">
        <v>278.34018715299698</v>
      </c>
      <c r="R7" s="79">
        <v>763.90764278946904</v>
      </c>
      <c r="S7" s="79">
        <v>1415.5155729468199</v>
      </c>
      <c r="T7" s="79">
        <v>20</v>
      </c>
      <c r="U7" s="79">
        <v>0.9</v>
      </c>
      <c r="V7" s="79">
        <f>tbl_Data_old[[#This Row],[2025 ]]*IFERROR(AVERAGEIFS('Participation Adjustment'!$C:$C,'Participation Adjustment'!$A:$A,$H7,'Participation Adjustment'!$B:$B,$I7),1)</f>
        <v>91695.138181507893</v>
      </c>
      <c r="W7" s="79">
        <f>tbl_Data_old[[#This Row],[2026 ]]*IFERROR(AVERAGEIFS('Participation Adjustment'!$C:$C,'Participation Adjustment'!$A:$A,$H7,'Participation Adjustment'!$B:$B,$I7),1)</f>
        <v>88749.214352988696</v>
      </c>
      <c r="X7" s="79">
        <f>tbl_Data_old[[#This Row],[2027 ]]*IFERROR(AVERAGEIFS('Participation Adjustment'!$C:$C,'Participation Adjustment'!$A:$A,$H7,'Participation Adjustment'!$B:$B,$I7),1)</f>
        <v>85970.079966734105</v>
      </c>
      <c r="Y7" s="79">
        <f>tbl_Data_old[[#This Row],[2028 ]]*IFERROR(AVERAGEIFS('Participation Adjustment'!$C:$C,'Participation Adjustment'!$A:$A,$H7,'Participation Adjustment'!$B:$B,$I7),1)</f>
        <v>83445.856174881104</v>
      </c>
      <c r="Z7" s="79">
        <f>tbl_Data_old[[#This Row],[2029 ]]*IFERROR(AVERAGEIFS('Participation Adjustment'!$C:$C,'Participation Adjustment'!$A:$A,$H7,'Participation Adjustment'!$B:$B,$I7),1)</f>
        <v>81110.1891880974</v>
      </c>
      <c r="AA7" s="79">
        <f>tbl_Data_old[[#This Row],[2030 ]]*IFERROR(AVERAGEIFS('Participation Adjustment'!$C:$C,'Participation Adjustment'!$A:$A,$H7,'Participation Adjustment'!$B:$B,$I7),1)</f>
        <v>78699.364829186306</v>
      </c>
      <c r="AB7" s="79">
        <f>tbl_Data_old[[#This Row],[2031 ]]*IFERROR(AVERAGEIFS('Participation Adjustment'!$C:$C,'Participation Adjustment'!$A:$A,$H7,'Participation Adjustment'!$B:$B,$I7),1)</f>
        <v>76767.400975471101</v>
      </c>
      <c r="AC7" s="79">
        <f>tbl_Data_old[[#This Row],[2032 ]]*IFERROR(AVERAGEIFS('Participation Adjustment'!$C:$C,'Participation Adjustment'!$A:$A,$H7,'Participation Adjustment'!$B:$B,$I7),1)</f>
        <v>75354.355111739598</v>
      </c>
      <c r="AD7" s="79">
        <f>tbl_Data_old[[#This Row],[2033 ]]*IFERROR(AVERAGEIFS('Participation Adjustment'!$C:$C,'Participation Adjustment'!$A:$A,$H7,'Participation Adjustment'!$B:$B,$I7),1)</f>
        <v>74377.971088858103</v>
      </c>
      <c r="AE7" s="79">
        <f>tbl_Data_old[[#This Row],[2034 ]]*IFERROR(AVERAGEIFS('Participation Adjustment'!$C:$C,'Participation Adjustment'!$A:$A,$H7,'Participation Adjustment'!$B:$B,$I7),1)</f>
        <v>73753.036054254204</v>
      </c>
      <c r="AF7" s="77" t="str">
        <f t="shared" si="11"/>
        <v>Residential</v>
      </c>
      <c r="AG7" s="77" t="str">
        <f>tbl_Data[[#This Row],[All_Meas_Name_Append]]</f>
        <v>Duct Repair</v>
      </c>
      <c r="AH7" s="77">
        <f>AVERAGEIFS('3. Incentive Adjustment'!G:G,'3. Incentive Adjustment'!A:A,tbl_Data[[#This Row],[Trimmed Sector]],'3. Incentive Adjustment'!B:B,tbl_Data[[#This Row],[Trimmed Measure Name]])</f>
        <v>0.36456477469769399</v>
      </c>
      <c r="AI7" s="77">
        <f>$AH7*tbl_Data[[#This Row],[2025 ]]</f>
        <v>33428.817392015342</v>
      </c>
      <c r="AJ7" s="77">
        <f>$AH7*tbl_Data[[#This Row],[2026 ]]</f>
        <v>32354.837335194676</v>
      </c>
      <c r="AK7" s="77">
        <f>$AH7*tbl_Data[[#This Row],[2027 ]]</f>
        <v>31341.662833815157</v>
      </c>
      <c r="AL7" s="77">
        <f>$AH7*tbl_Data[[#This Row],[2028 ]]</f>
        <v>30421.419755851708</v>
      </c>
      <c r="AM7" s="77">
        <f>$AH7*tbl_Data[[#This Row],[2029 ]]</f>
        <v>29569.917847046065</v>
      </c>
      <c r="AN7" s="77">
        <f>$AH7*tbl_Data[[#This Row],[2030 ]]</f>
        <v>28691.016207803928</v>
      </c>
      <c r="AO7" s="77">
        <f>$AH7*tbl_Data[[#This Row],[2031 ]]</f>
        <v>27986.690240750155</v>
      </c>
      <c r="AP7" s="77">
        <f>$AH7*tbl_Data[[#This Row],[2032 ]]</f>
        <v>27471.543493801371</v>
      </c>
      <c r="AQ7" s="77">
        <f>$AH7*tbl_Data[[#This Row],[2033 ]]</f>
        <v>27115.588272481153</v>
      </c>
      <c r="AR7" s="77">
        <f>$AH7*tbl_Data[[#This Row],[2034 ]]</f>
        <v>26887.758972390086</v>
      </c>
      <c r="AS7" s="77">
        <f>SUM(tbl_Data[[#This Row],[Adjusted 2025]:[Adjusted 2034]])</f>
        <v>295269.25235114968</v>
      </c>
      <c r="AT7" s="80">
        <f>AVERAGEIFS('3. Incentive Adjustment'!F:F,'3. Incentive Adjustment'!A:A,tbl_Data[[#This Row],[Trimmed Sector]],'3. Incentive Adjustment'!B:B,tbl_Data[[#This Row],[Trimmed Measure Name]])</f>
        <v>100</v>
      </c>
      <c r="AU7" s="80">
        <f>IFERROR(VLOOKUP(tbl_Data[[#This Row],[All_Meas_Name_Append]],'IRA Tax Credits'!$A$3:$D$46,4,0),0)</f>
        <v>0</v>
      </c>
      <c r="AV7" s="81">
        <f>tbl_Data[[#This Row],[Adj. per unit Incentive ($)]]/tbl_Data[[#This Row],[kWh Savings]]*tbl_Data[[#This Row],[Sum of Annuals]]</f>
        <v>31530.701302915229</v>
      </c>
      <c r="AW7" s="81">
        <f>IFERROR(VLOOKUP(tbl_Data[[#This Row],[Column1]],'1. Set Program Names'!$B$2:$D$15,3,0)*tbl_Data[[#This Row],[Sum of Annuals]],"")</f>
        <v>131643.91952578039</v>
      </c>
      <c r="AX7" s="81">
        <f>tbl_Data[[#This Row],[per unit IRA tax ($)]]/tbl_Data[[#This Row],[kWh Savings]]*tbl_Data[[#This Row],[Sum of Annuals]]</f>
        <v>0</v>
      </c>
      <c r="AY7" s="81">
        <f>tbl_Data[[#This Row],[Avoided Costs ($/unit)]]/tbl_Data[[#This Row],[kWh Savings]]*tbl_Data[[#This Row],[Sum of Annuals]]</f>
        <v>240865.43707808814</v>
      </c>
      <c r="AZ7" s="81">
        <f>tbl_Data[[#This Row],[Lost Revenue ($/unit)]]/tbl_Data[[#This Row],[kWh Savings]]*tbl_Data[[#This Row],[Sum of Annuals]]</f>
        <v>446321.98720211093</v>
      </c>
      <c r="BA7" s="81">
        <f>tbl_Data[[#This Row],[Incremental Cost ($/unit)]]/tbl_Data[[#This Row],[kWh Savings]]*tbl_Data[[#This Row],[Sum of Annuals]]</f>
        <v>215988.45698248732</v>
      </c>
      <c r="BB7" s="77">
        <f>ROUNDUP(tbl_Data[[#This Row],[Adjusted 2025]]/$L7,0)</f>
        <v>36</v>
      </c>
      <c r="BC7" s="77">
        <f>ROUNDUP(tbl_Data[[#This Row],[Adjusted 2026]]/$L7,0)</f>
        <v>35</v>
      </c>
      <c r="BD7" s="77">
        <f>ROUNDUP(tbl_Data[[#This Row],[Adjusted 2027]]/$L7,0)</f>
        <v>34</v>
      </c>
      <c r="BE7" s="77">
        <f>ROUNDUP(tbl_Data[[#This Row],[Adjusted 2028]]/$L7,0)</f>
        <v>33</v>
      </c>
      <c r="BF7" s="77">
        <f>ROUNDUP(tbl_Data[[#This Row],[Adjusted 2029]]/$L7,0)</f>
        <v>32</v>
      </c>
      <c r="BG7" s="77">
        <f>ROUNDUP(tbl_Data[[#This Row],[Adjusted 2030]]/$L7,0)</f>
        <v>31</v>
      </c>
      <c r="BH7" s="77">
        <f>ROUNDUP(tbl_Data[[#This Row],[Adjusted 2031]]/$L7,0)</f>
        <v>30</v>
      </c>
      <c r="BI7" s="77">
        <f>ROUNDUP(tbl_Data[[#This Row],[Adjusted 2032]]/$L7,0)</f>
        <v>30</v>
      </c>
      <c r="BJ7" s="77">
        <f>ROUNDUP(tbl_Data[[#This Row],[Adjusted 2033]]/$L7,0)</f>
        <v>29</v>
      </c>
      <c r="BK7" s="77">
        <f>ROUNDUP(tbl_Data[[#This Row],[Adjusted 2034]]/$L7,0)</f>
        <v>29</v>
      </c>
      <c r="BL7" s="80">
        <f t="shared" si="12"/>
        <v>9791.7815346796833</v>
      </c>
      <c r="BM7" s="77">
        <f t="shared" si="13"/>
        <v>9477.1973253231554</v>
      </c>
      <c r="BN7" s="77">
        <f t="shared" si="14"/>
        <v>9180.4239379287847</v>
      </c>
      <c r="BO7" s="77">
        <f t="shared" si="15"/>
        <v>8910.8715014022218</v>
      </c>
      <c r="BP7" s="77">
        <f t="shared" si="16"/>
        <v>8661.4543422603874</v>
      </c>
      <c r="BQ7" s="77">
        <f t="shared" si="17"/>
        <v>8404.0114078900424</v>
      </c>
      <c r="BR7" s="77">
        <f t="shared" si="18"/>
        <v>8197.7041994202682</v>
      </c>
      <c r="BS7" s="77">
        <f t="shared" si="19"/>
        <v>8046.810306128421</v>
      </c>
      <c r="BT7" s="77">
        <f t="shared" si="20"/>
        <v>7942.5459008871912</v>
      </c>
      <c r="BU7" s="77">
        <f t="shared" si="21"/>
        <v>7875.8114212455766</v>
      </c>
      <c r="BV7" s="80">
        <f>IFERROR(VLOOKUP($H7,'1. Set Program Names'!$B$2:$D$15,3,0)*V7,"NA")</f>
        <v>40881.69457386015</v>
      </c>
      <c r="BW7" s="80">
        <f>IFERROR(VLOOKUP($H7,'1. Set Program Names'!$B$2:$D$15,3,0)*W7,"NA")</f>
        <v>39568.273158245043</v>
      </c>
      <c r="BX7" s="80">
        <f>IFERROR(VLOOKUP($H7,'1. Set Program Names'!$B$2:$D$15,3,0)*X7,"NA")</f>
        <v>38329.213755404373</v>
      </c>
      <c r="BY7" s="80">
        <f>IFERROR(VLOOKUP($H7,'1. Set Program Names'!$B$2:$D$15,3,0)*Y7,"NA")</f>
        <v>37203.804620949115</v>
      </c>
      <c r="BZ7" s="80">
        <f>IFERROR(VLOOKUP($H7,'1. Set Program Names'!$B$2:$D$15,3,0)*Z7,"NA")</f>
        <v>36162.46233962851</v>
      </c>
      <c r="CA7" s="80">
        <f>IFERROR(VLOOKUP($H7,'1. Set Program Names'!$B$2:$D$15,3,0)*AA7,"NA")</f>
        <v>35087.611621620628</v>
      </c>
      <c r="CB7" s="80">
        <f>IFERROR(VLOOKUP($H7,'1. Set Program Names'!$B$2:$D$15,3,0)*AB7,"NA")</f>
        <v>34226.257816373291</v>
      </c>
      <c r="CC7" s="80">
        <f>IFERROR(VLOOKUP($H7,'1. Set Program Names'!$B$2:$D$15,3,0)*AC7,"NA")</f>
        <v>33596.260298886831</v>
      </c>
      <c r="CD7" s="80">
        <f>IFERROR(VLOOKUP($H7,'1. Set Program Names'!$B$2:$D$15,3,0)*AD7,"NA")</f>
        <v>33160.945687863234</v>
      </c>
      <c r="CE7" s="80">
        <f>IFERROR(VLOOKUP($H7,'1. Set Program Names'!$B$2:$D$15,3,0)*AE7,"NA")</f>
        <v>32882.322374568161</v>
      </c>
    </row>
    <row r="8" spans="1:83" x14ac:dyDescent="0.25">
      <c r="A8" s="79" t="s">
        <v>87</v>
      </c>
      <c r="B8" s="79" t="s">
        <v>88</v>
      </c>
      <c r="C8" s="79" t="s">
        <v>89</v>
      </c>
      <c r="D8" s="79" t="s">
        <v>90</v>
      </c>
      <c r="E8" s="79" t="s">
        <v>91</v>
      </c>
      <c r="F8" s="79" t="s">
        <v>90</v>
      </c>
      <c r="G8" s="79" t="s">
        <v>92</v>
      </c>
      <c r="H8" s="79" t="s">
        <v>5</v>
      </c>
      <c r="I8" s="79" t="s">
        <v>297</v>
      </c>
      <c r="J8" s="79" t="s">
        <v>97</v>
      </c>
      <c r="K8" s="79" t="s">
        <v>298</v>
      </c>
      <c r="L8" s="79">
        <v>57.93</v>
      </c>
      <c r="M8" s="79">
        <v>0</v>
      </c>
      <c r="N8" s="79">
        <v>1.1014721785810099E-2</v>
      </c>
      <c r="O8" s="79">
        <v>154.1011072</v>
      </c>
      <c r="P8" s="79">
        <v>140.06582681793901</v>
      </c>
      <c r="Q8" s="79">
        <v>17.218481543887101</v>
      </c>
      <c r="R8" s="79">
        <v>46.999759951794701</v>
      </c>
      <c r="S8" s="79">
        <v>87.565611768711094</v>
      </c>
      <c r="T8" s="79">
        <v>20</v>
      </c>
      <c r="U8" s="79">
        <v>0.8</v>
      </c>
      <c r="V8" s="79">
        <f>tbl_Data_old[[#This Row],[2025 ]]*IFERROR(AVERAGEIFS('Participation Adjustment'!$C:$C,'Participation Adjustment'!$A:$A,$H8,'Participation Adjustment'!$B:$B,$I8),1)</f>
        <v>6080.6521886545497</v>
      </c>
      <c r="W8" s="79">
        <f>tbl_Data_old[[#This Row],[2026 ]]*IFERROR(AVERAGEIFS('Participation Adjustment'!$C:$C,'Participation Adjustment'!$A:$A,$H8,'Participation Adjustment'!$B:$B,$I8),1)</f>
        <v>5657.3764709204497</v>
      </c>
      <c r="X8" s="79">
        <f>tbl_Data_old[[#This Row],[2027 ]]*IFERROR(AVERAGEIFS('Participation Adjustment'!$C:$C,'Participation Adjustment'!$A:$A,$H8,'Participation Adjustment'!$B:$B,$I8),1)</f>
        <v>5243.7829687201502</v>
      </c>
      <c r="Y8" s="79">
        <f>tbl_Data_old[[#This Row],[2028 ]]*IFERROR(AVERAGEIFS('Participation Adjustment'!$C:$C,'Participation Adjustment'!$A:$A,$H8,'Participation Adjustment'!$B:$B,$I8),1)</f>
        <v>4849.6972196500601</v>
      </c>
      <c r="Z8" s="79">
        <f>tbl_Data_old[[#This Row],[2029 ]]*IFERROR(AVERAGEIFS('Participation Adjustment'!$C:$C,'Participation Adjustment'!$A:$A,$H8,'Participation Adjustment'!$B:$B,$I8),1)</f>
        <v>4474.357521691365</v>
      </c>
      <c r="AA8" s="79">
        <f>tbl_Data_old[[#This Row],[2030 ]]*IFERROR(AVERAGEIFS('Participation Adjustment'!$C:$C,'Participation Adjustment'!$A:$A,$H8,'Participation Adjustment'!$B:$B,$I8),1)</f>
        <v>4106.4922685824949</v>
      </c>
      <c r="AB8" s="79">
        <f>tbl_Data_old[[#This Row],[2031 ]]*IFERROR(AVERAGEIFS('Participation Adjustment'!$C:$C,'Participation Adjustment'!$A:$A,$H8,'Participation Adjustment'!$B:$B,$I8),1)</f>
        <v>3777.3045959838601</v>
      </c>
      <c r="AC8" s="79">
        <f>tbl_Data_old[[#This Row],[2032 ]]*IFERROR(AVERAGEIFS('Participation Adjustment'!$C:$C,'Participation Adjustment'!$A:$A,$H8,'Participation Adjustment'!$B:$B,$I8),1)</f>
        <v>3486.8641521316404</v>
      </c>
      <c r="AD8" s="79">
        <f>tbl_Data_old[[#This Row],[2033 ]]*IFERROR(AVERAGEIFS('Participation Adjustment'!$C:$C,'Participation Adjustment'!$A:$A,$H8,'Participation Adjustment'!$B:$B,$I8),1)</f>
        <v>3228.9039001256151</v>
      </c>
      <c r="AE8" s="79">
        <f>tbl_Data_old[[#This Row],[2034 ]]*IFERROR(AVERAGEIFS('Participation Adjustment'!$C:$C,'Participation Adjustment'!$A:$A,$H8,'Participation Adjustment'!$B:$B,$I8),1)</f>
        <v>2997.6045386580499</v>
      </c>
      <c r="AF8" s="77" t="str">
        <f t="shared" si="11"/>
        <v>Residential</v>
      </c>
      <c r="AG8" s="77" t="str">
        <f>tbl_Data[[#This Row],[All_Meas_Name_Append]]</f>
        <v>Energy Star Windows Residential</v>
      </c>
      <c r="AH8" s="77">
        <f>AVERAGEIFS('3. Incentive Adjustment'!G:G,'3. Incentive Adjustment'!A:A,tbl_Data[[#This Row],[Trimmed Sector]],'3. Incentive Adjustment'!B:B,tbl_Data[[#This Row],[Trimmed Measure Name]])</f>
        <v>1.5721893920937398</v>
      </c>
      <c r="AI8" s="77">
        <f>$AH8*tbl_Data[[#This Row],[2025 ]]</f>
        <v>9559.9368680142652</v>
      </c>
      <c r="AJ8" s="77">
        <f>$AH8*tbl_Data[[#This Row],[2026 ]]</f>
        <v>8894.4672746618489</v>
      </c>
      <c r="AK8" s="77">
        <f>$AH8*tbl_Data[[#This Row],[2027 ]]</f>
        <v>8244.2199578636391</v>
      </c>
      <c r="AL8" s="77">
        <f>$AH8*tbl_Data[[#This Row],[2028 ]]</f>
        <v>7624.6425236003279</v>
      </c>
      <c r="AM8" s="77">
        <f>$AH8*tbl_Data[[#This Row],[2029 ]]</f>
        <v>7034.5374320379988</v>
      </c>
      <c r="AN8" s="77">
        <f>$AH8*tbl_Data[[#This Row],[2030 ]]</f>
        <v>6456.1835833803552</v>
      </c>
      <c r="AO8" s="77">
        <f>$AH8*tbl_Data[[#This Row],[2031 ]]</f>
        <v>5938.6382165127543</v>
      </c>
      <c r="AP8" s="77">
        <f>$AH8*tbl_Data[[#This Row],[2032 ]]</f>
        <v>5482.0108316532969</v>
      </c>
      <c r="AQ8" s="77">
        <f>$AH8*tbl_Data[[#This Row],[2033 ]]</f>
        <v>5076.4484598675963</v>
      </c>
      <c r="AR8" s="77">
        <f>$AH8*tbl_Data[[#This Row],[2034 ]]</f>
        <v>4712.8020573702352</v>
      </c>
      <c r="AS8" s="77">
        <f>SUM(tbl_Data[[#This Row],[Adjusted 2025]:[Adjusted 2034]])</f>
        <v>69023.887204962317</v>
      </c>
      <c r="AT8" s="80">
        <f>AVERAGEIFS('3. Incentive Adjustment'!F:F,'3. Incentive Adjustment'!A:A,tbl_Data[[#This Row],[Trimmed Sector]],'3. Incentive Adjustment'!B:B,tbl_Data[[#This Row],[Trimmed Measure Name]])</f>
        <v>150</v>
      </c>
      <c r="AU8" s="80">
        <f>IFERROR(VLOOKUP(tbl_Data[[#This Row],[All_Meas_Name_Append]],'IRA Tax Credits'!$A$3:$D$46,4,0),0)</f>
        <v>0</v>
      </c>
      <c r="AV8" s="81">
        <f>tbl_Data[[#This Row],[Adj. per unit Incentive ($)]]/tbl_Data[[#This Row],[kWh Savings]]*tbl_Data[[#This Row],[Sum of Annuals]]</f>
        <v>178725.75661564557</v>
      </c>
      <c r="AW8" s="81">
        <f>IFERROR(VLOOKUP(tbl_Data[[#This Row],[Column1]],'1. Set Program Names'!$B$2:$D$15,3,0)*tbl_Data[[#This Row],[Sum of Annuals]],"")</f>
        <v>30773.861417037664</v>
      </c>
      <c r="AX8" s="81">
        <f>tbl_Data[[#This Row],[per unit IRA tax ($)]]/tbl_Data[[#This Row],[kWh Savings]]*tbl_Data[[#This Row],[Sum of Annuals]]</f>
        <v>0</v>
      </c>
      <c r="AY8" s="81">
        <f>tbl_Data[[#This Row],[Avoided Costs ($/unit)]]/tbl_Data[[#This Row],[kWh Savings]]*tbl_Data[[#This Row],[Sum of Annuals]]</f>
        <v>56000.451054254838</v>
      </c>
      <c r="AZ8" s="81">
        <f>tbl_Data[[#This Row],[Lost Revenue ($/unit)]]/tbl_Data[[#This Row],[kWh Savings]]*tbl_Data[[#This Row],[Sum of Annuals]]</f>
        <v>104334.86811249846</v>
      </c>
      <c r="BA8" s="81">
        <f>tbl_Data[[#This Row],[Incremental Cost ($/unit)]]/tbl_Data[[#This Row],[kWh Savings]]*tbl_Data[[#This Row],[Sum of Annuals]]</f>
        <v>183612.24653085804</v>
      </c>
      <c r="BB8" s="77">
        <f>ROUNDUP(tbl_Data[[#This Row],[Adjusted 2025]]/$L8,0)</f>
        <v>166</v>
      </c>
      <c r="BC8" s="77">
        <f>ROUNDUP(tbl_Data[[#This Row],[Adjusted 2026]]/$L8,0)</f>
        <v>154</v>
      </c>
      <c r="BD8" s="77">
        <f>ROUNDUP(tbl_Data[[#This Row],[Adjusted 2027]]/$L8,0)</f>
        <v>143</v>
      </c>
      <c r="BE8" s="77">
        <f>ROUNDUP(tbl_Data[[#This Row],[Adjusted 2028]]/$L8,0)</f>
        <v>132</v>
      </c>
      <c r="BF8" s="77">
        <f>ROUNDUP(tbl_Data[[#This Row],[Adjusted 2029]]/$L8,0)</f>
        <v>122</v>
      </c>
      <c r="BG8" s="77">
        <f>ROUNDUP(tbl_Data[[#This Row],[Adjusted 2030]]/$L8,0)</f>
        <v>112</v>
      </c>
      <c r="BH8" s="77">
        <f>ROUNDUP(tbl_Data[[#This Row],[Adjusted 2031]]/$L8,0)</f>
        <v>103</v>
      </c>
      <c r="BI8" s="77">
        <f>ROUNDUP(tbl_Data[[#This Row],[Adjusted 2032]]/$L8,0)</f>
        <v>95</v>
      </c>
      <c r="BJ8" s="77">
        <f>ROUNDUP(tbl_Data[[#This Row],[Adjusted 2033]]/$L8,0)</f>
        <v>88</v>
      </c>
      <c r="BK8" s="77">
        <f>ROUNDUP(tbl_Data[[#This Row],[Adjusted 2034]]/$L8,0)</f>
        <v>82</v>
      </c>
      <c r="BL8" s="80">
        <f t="shared" si="12"/>
        <v>15744.827003248445</v>
      </c>
      <c r="BM8" s="77">
        <f t="shared" si="13"/>
        <v>14648.825662662997</v>
      </c>
      <c r="BN8" s="77">
        <f t="shared" si="14"/>
        <v>13577.89479212882</v>
      </c>
      <c r="BO8" s="77">
        <f t="shared" si="15"/>
        <v>12557.475970093372</v>
      </c>
      <c r="BP8" s="77">
        <f t="shared" si="16"/>
        <v>11585.596897181164</v>
      </c>
      <c r="BQ8" s="77">
        <f t="shared" si="17"/>
        <v>10633.071643144731</v>
      </c>
      <c r="BR8" s="77">
        <f t="shared" si="18"/>
        <v>9780.6954841632833</v>
      </c>
      <c r="BS8" s="77">
        <f t="shared" si="19"/>
        <v>9028.6487626401868</v>
      </c>
      <c r="BT8" s="77">
        <f t="shared" si="20"/>
        <v>8360.7040396831053</v>
      </c>
      <c r="BU8" s="77">
        <f t="shared" si="21"/>
        <v>7761.7932124755307</v>
      </c>
      <c r="BV8" s="80">
        <f>IFERROR(VLOOKUP($H8,'1. Set Program Names'!$B$2:$D$15,3,0)*V8,"NA")</f>
        <v>2711.0201316712996</v>
      </c>
      <c r="BW8" s="80">
        <f>IFERROR(VLOOKUP($H8,'1. Set Program Names'!$B$2:$D$15,3,0)*W8,"NA")</f>
        <v>2522.3053431218382</v>
      </c>
      <c r="BX8" s="80">
        <f>IFERROR(VLOOKUP($H8,'1. Set Program Names'!$B$2:$D$15,3,0)*X8,"NA")</f>
        <v>2337.9073088311202</v>
      </c>
      <c r="BY8" s="80">
        <f>IFERROR(VLOOKUP($H8,'1. Set Program Names'!$B$2:$D$15,3,0)*Y8,"NA")</f>
        <v>2162.2066822885959</v>
      </c>
      <c r="BZ8" s="80">
        <f>IFERROR(VLOOKUP($H8,'1. Set Program Names'!$B$2:$D$15,3,0)*Z8,"NA")</f>
        <v>1994.863863490305</v>
      </c>
      <c r="CA8" s="80">
        <f>IFERROR(VLOOKUP($H8,'1. Set Program Names'!$B$2:$D$15,3,0)*AA8,"NA")</f>
        <v>1830.8534784231774</v>
      </c>
      <c r="CB8" s="80">
        <f>IFERROR(VLOOKUP($H8,'1. Set Program Names'!$B$2:$D$15,3,0)*AB8,"NA")</f>
        <v>1684.0872468044624</v>
      </c>
      <c r="CC8" s="80">
        <f>IFERROR(VLOOKUP($H8,'1. Set Program Names'!$B$2:$D$15,3,0)*AC8,"NA")</f>
        <v>1554.5962208575995</v>
      </c>
      <c r="CD8" s="80">
        <f>IFERROR(VLOOKUP($H8,'1. Set Program Names'!$B$2:$D$15,3,0)*AD8,"NA")</f>
        <v>1439.5862820118659</v>
      </c>
      <c r="CE8" s="80">
        <f>IFERROR(VLOOKUP($H8,'1. Set Program Names'!$B$2:$D$15,3,0)*AE8,"NA")</f>
        <v>1336.4629317647875</v>
      </c>
    </row>
    <row r="9" spans="1:83" x14ac:dyDescent="0.25">
      <c r="A9" s="79" t="s">
        <v>87</v>
      </c>
      <c r="B9" s="79" t="s">
        <v>88</v>
      </c>
      <c r="C9" s="79" t="s">
        <v>89</v>
      </c>
      <c r="D9" s="79" t="s">
        <v>90</v>
      </c>
      <c r="E9" s="79" t="s">
        <v>91</v>
      </c>
      <c r="F9" s="79" t="s">
        <v>90</v>
      </c>
      <c r="G9" s="79" t="s">
        <v>92</v>
      </c>
      <c r="H9" s="79" t="s">
        <v>5</v>
      </c>
      <c r="I9" s="79" t="s">
        <v>107</v>
      </c>
      <c r="J9" s="79" t="s">
        <v>94</v>
      </c>
      <c r="K9" s="79" t="s">
        <v>108</v>
      </c>
      <c r="L9" s="79">
        <v>1663.1099999999899</v>
      </c>
      <c r="M9" s="79">
        <v>6.6647595975018806E-2</v>
      </c>
      <c r="N9" s="79">
        <v>0.309148293753995</v>
      </c>
      <c r="O9" s="79">
        <v>1389.5</v>
      </c>
      <c r="P9" s="79">
        <v>988.78817699699403</v>
      </c>
      <c r="Q9" s="79">
        <v>494.32468221049697</v>
      </c>
      <c r="R9" s="79">
        <v>791.96156853290995</v>
      </c>
      <c r="S9" s="79">
        <v>2127.4894292214699</v>
      </c>
      <c r="T9" s="79">
        <v>15</v>
      </c>
      <c r="U9" s="79">
        <v>0.7</v>
      </c>
      <c r="V9" s="79">
        <f>tbl_Data_old[[#This Row],[2025 ]]*IFERROR(AVERAGEIFS('Participation Adjustment'!$C:$C,'Participation Adjustment'!$A:$A,$H9,'Participation Adjustment'!$B:$B,$I9),1)</f>
        <v>121835.4538056726</v>
      </c>
      <c r="W9" s="79">
        <f>tbl_Data_old[[#This Row],[2026 ]]*IFERROR(AVERAGEIFS('Participation Adjustment'!$C:$C,'Participation Adjustment'!$A:$A,$H9,'Participation Adjustment'!$B:$B,$I9),1)</f>
        <v>135495.36355828959</v>
      </c>
      <c r="X9" s="79">
        <f>tbl_Data_old[[#This Row],[2027 ]]*IFERROR(AVERAGEIFS('Participation Adjustment'!$C:$C,'Participation Adjustment'!$A:$A,$H9,'Participation Adjustment'!$B:$B,$I9),1)</f>
        <v>148083.4159436998</v>
      </c>
      <c r="Y9" s="79">
        <f>tbl_Data_old[[#This Row],[2028 ]]*IFERROR(AVERAGEIFS('Participation Adjustment'!$C:$C,'Participation Adjustment'!$A:$A,$H9,'Participation Adjustment'!$B:$B,$I9),1)</f>
        <v>159985.52178494321</v>
      </c>
      <c r="Z9" s="79">
        <f>tbl_Data_old[[#This Row],[2029 ]]*IFERROR(AVERAGEIFS('Participation Adjustment'!$C:$C,'Participation Adjustment'!$A:$A,$H9,'Participation Adjustment'!$B:$B,$I9),1)</f>
        <v>171317.45454534481</v>
      </c>
      <c r="AA9" s="79">
        <f>tbl_Data_old[[#This Row],[2030 ]]*IFERROR(AVERAGEIFS('Participation Adjustment'!$C:$C,'Participation Adjustment'!$A:$A,$H9,'Participation Adjustment'!$B:$B,$I9),1)</f>
        <v>181677.50377707821</v>
      </c>
      <c r="AB9" s="79">
        <f>tbl_Data_old[[#This Row],[2031 ]]*IFERROR(AVERAGEIFS('Participation Adjustment'!$C:$C,'Participation Adjustment'!$A:$A,$H9,'Participation Adjustment'!$B:$B,$I9),1)</f>
        <v>192496.0720863</v>
      </c>
      <c r="AC9" s="79">
        <f>tbl_Data_old[[#This Row],[2032 ]]*IFERROR(AVERAGEIFS('Participation Adjustment'!$C:$C,'Participation Adjustment'!$A:$A,$H9,'Participation Adjustment'!$B:$B,$I9),1)</f>
        <v>204248.006367706</v>
      </c>
      <c r="AD9" s="79">
        <f>tbl_Data_old[[#This Row],[2033 ]]*IFERROR(AVERAGEIFS('Participation Adjustment'!$C:$C,'Participation Adjustment'!$A:$A,$H9,'Participation Adjustment'!$B:$B,$I9),1)</f>
        <v>217087.97345339801</v>
      </c>
      <c r="AE9" s="79">
        <f>tbl_Data_old[[#This Row],[2034 ]]*IFERROR(AVERAGEIFS('Participation Adjustment'!$C:$C,'Participation Adjustment'!$A:$A,$H9,'Participation Adjustment'!$B:$B,$I9),1)</f>
        <v>231102.52145114201</v>
      </c>
      <c r="AF9" s="77" t="str">
        <f t="shared" si="11"/>
        <v>Residential</v>
      </c>
      <c r="AG9" s="77" t="str">
        <f>tbl_Data[[#This Row],[All_Meas_Name_Append]]</f>
        <v>Heat Pump Water Heater 50 Gallons- CEE Advanced Tier</v>
      </c>
      <c r="AH9" s="77">
        <f>AVERAGEIFS('3. Incentive Adjustment'!G:G,'3. Incentive Adjustment'!A:A,tbl_Data[[#This Row],[Trimmed Sector]],'3. Incentive Adjustment'!B:B,tbl_Data[[#This Row],[Trimmed Measure Name]])</f>
        <v>0.46049099596140497</v>
      </c>
      <c r="AI9" s="77">
        <f>$AH9*tbl_Data[[#This Row],[2025 ]]</f>
        <v>56104.129466383922</v>
      </c>
      <c r="AJ9" s="77">
        <f>$AH9*tbl_Data[[#This Row],[2026 ]]</f>
        <v>62394.394913109434</v>
      </c>
      <c r="AK9" s="77">
        <f>$AH9*tbl_Data[[#This Row],[2027 ]]</f>
        <v>68191.079693281325</v>
      </c>
      <c r="AL9" s="77">
        <f>$AH9*tbl_Data[[#This Row],[2028 ]]</f>
        <v>73671.892266153547</v>
      </c>
      <c r="AM9" s="77">
        <f>$AH9*tbl_Data[[#This Row],[2029 ]]</f>
        <v>78890.145269158558</v>
      </c>
      <c r="AN9" s="77">
        <f>$AH9*tbl_Data[[#This Row],[2030 ]]</f>
        <v>83660.854658088661</v>
      </c>
      <c r="AO9" s="77">
        <f>$AH9*tbl_Data[[#This Row],[2031 ]]</f>
        <v>88642.707953678691</v>
      </c>
      <c r="AP9" s="77">
        <f>$AH9*tbl_Data[[#This Row],[2032 ]]</f>
        <v>94054.367875396318</v>
      </c>
      <c r="AQ9" s="77">
        <f>$AH9*tbl_Data[[#This Row],[2033 ]]</f>
        <v>99967.057106798296</v>
      </c>
      <c r="AR9" s="77">
        <f>$AH9*tbl_Data[[#This Row],[2034 ]]</f>
        <v>106420.63027222834</v>
      </c>
      <c r="AS9" s="77">
        <f>SUM(tbl_Data[[#This Row],[Adjusted 2025]:[Adjusted 2034]])</f>
        <v>811997.25947427703</v>
      </c>
      <c r="AT9" s="80">
        <f>AVERAGEIFS('3. Incentive Adjustment'!F:F,'3. Incentive Adjustment'!A:A,tbl_Data[[#This Row],[Trimmed Sector]],'3. Incentive Adjustment'!B:B,tbl_Data[[#This Row],[Trimmed Measure Name]])</f>
        <v>500</v>
      </c>
      <c r="AU9" s="80">
        <f>IFERROR(VLOOKUP(tbl_Data[[#This Row],[All_Meas_Name_Append]],'IRA Tax Credits'!$A$3:$D$46,4,0),0)</f>
        <v>1666.6666666666667</v>
      </c>
      <c r="AV9" s="81">
        <f>tbl_Data[[#This Row],[Adj. per unit Incentive ($)]]/tbl_Data[[#This Row],[kWh Savings]]*tbl_Data[[#This Row],[Sum of Annuals]]</f>
        <v>244120.13020013168</v>
      </c>
      <c r="AW9" s="81">
        <f>IFERROR(VLOOKUP(tbl_Data[[#This Row],[Column1]],'1. Set Program Names'!$B$2:$D$15,3,0)*tbl_Data[[#This Row],[Sum of Annuals]],"")</f>
        <v>362023.81734709512</v>
      </c>
      <c r="AX9" s="81">
        <f>tbl_Data[[#This Row],[per unit IRA tax ($)]]/tbl_Data[[#This Row],[kWh Savings]]*tbl_Data[[#This Row],[Sum of Annuals]]</f>
        <v>813733.76733377227</v>
      </c>
      <c r="AY9" s="81">
        <f>tbl_Data[[#This Row],[Avoided Costs ($/unit)]]/tbl_Data[[#This Row],[kWh Savings]]*tbl_Data[[#This Row],[Sum of Annuals]]</f>
        <v>386667.52244750893</v>
      </c>
      <c r="AZ9" s="81">
        <f>tbl_Data[[#This Row],[Lost Revenue ($/unit)]]/tbl_Data[[#This Row],[kWh Savings]]*tbl_Data[[#This Row],[Sum of Annuals]]</f>
        <v>1038725.992921898</v>
      </c>
      <c r="BA9" s="81">
        <f>tbl_Data[[#This Row],[Incremental Cost ($/unit)]]/tbl_Data[[#This Row],[kWh Savings]]*tbl_Data[[#This Row],[Sum of Annuals]]</f>
        <v>678409.84182616591</v>
      </c>
      <c r="BB9" s="77">
        <f>ROUNDUP(tbl_Data[[#This Row],[Adjusted 2025]]/$L9,0)</f>
        <v>34</v>
      </c>
      <c r="BC9" s="77">
        <f>ROUNDUP(tbl_Data[[#This Row],[Adjusted 2026]]/$L9,0)</f>
        <v>38</v>
      </c>
      <c r="BD9" s="77">
        <f>ROUNDUP(tbl_Data[[#This Row],[Adjusted 2027]]/$L9,0)</f>
        <v>42</v>
      </c>
      <c r="BE9" s="77">
        <f>ROUNDUP(tbl_Data[[#This Row],[Adjusted 2028]]/$L9,0)</f>
        <v>45</v>
      </c>
      <c r="BF9" s="77">
        <f>ROUNDUP(tbl_Data[[#This Row],[Adjusted 2029]]/$L9,0)</f>
        <v>48</v>
      </c>
      <c r="BG9" s="77">
        <f>ROUNDUP(tbl_Data[[#This Row],[Adjusted 2030]]/$L9,0)</f>
        <v>51</v>
      </c>
      <c r="BH9" s="77">
        <f>ROUNDUP(tbl_Data[[#This Row],[Adjusted 2031]]/$L9,0)</f>
        <v>54</v>
      </c>
      <c r="BI9" s="77">
        <f>ROUNDUP(tbl_Data[[#This Row],[Adjusted 2032]]/$L9,0)</f>
        <v>57</v>
      </c>
      <c r="BJ9" s="77">
        <f>ROUNDUP(tbl_Data[[#This Row],[Adjusted 2033]]/$L9,0)</f>
        <v>61</v>
      </c>
      <c r="BK9" s="77">
        <f>ROUNDUP(tbl_Data[[#This Row],[Adjusted 2034]]/$L9,0)</f>
        <v>64</v>
      </c>
      <c r="BL9" s="80">
        <f t="shared" si="12"/>
        <v>36628.80200518106</v>
      </c>
      <c r="BM9" s="77">
        <f t="shared" si="13"/>
        <v>40735.538707088053</v>
      </c>
      <c r="BN9" s="77">
        <f t="shared" si="14"/>
        <v>44520.030528257514</v>
      </c>
      <c r="BO9" s="77">
        <f t="shared" si="15"/>
        <v>48098.298304064127</v>
      </c>
      <c r="BP9" s="77">
        <f t="shared" si="16"/>
        <v>51505.148350183052</v>
      </c>
      <c r="BQ9" s="77">
        <f t="shared" si="17"/>
        <v>54619.809807252474</v>
      </c>
      <c r="BR9" s="77">
        <f t="shared" si="18"/>
        <v>57872.32115924418</v>
      </c>
      <c r="BS9" s="77">
        <f t="shared" si="19"/>
        <v>61405.441121665812</v>
      </c>
      <c r="BT9" s="77">
        <f t="shared" si="20"/>
        <v>65265.668973609485</v>
      </c>
      <c r="BU9" s="77">
        <f t="shared" si="21"/>
        <v>69479.024673997337</v>
      </c>
      <c r="BV9" s="80">
        <f>IFERROR(VLOOKUP($H9,'1. Set Program Names'!$B$2:$D$15,3,0)*V9,"NA")</f>
        <v>54319.562732886938</v>
      </c>
      <c r="BW9" s="80">
        <f>IFERROR(VLOOKUP($H9,'1. Set Program Names'!$B$2:$D$15,3,0)*W9,"NA")</f>
        <v>60409.746678164003</v>
      </c>
      <c r="BX9" s="80">
        <f>IFERROR(VLOOKUP($H9,'1. Set Program Names'!$B$2:$D$15,3,0)*X9,"NA")</f>
        <v>66022.049828647447</v>
      </c>
      <c r="BY9" s="80">
        <f>IFERROR(VLOOKUP($H9,'1. Set Program Names'!$B$2:$D$15,3,0)*Y9,"NA")</f>
        <v>71328.528072066445</v>
      </c>
      <c r="BZ9" s="80">
        <f>IFERROR(VLOOKUP($H9,'1. Set Program Names'!$B$2:$D$15,3,0)*Z9,"NA")</f>
        <v>76380.798271226085</v>
      </c>
      <c r="CA9" s="80">
        <f>IFERROR(VLOOKUP($H9,'1. Set Program Names'!$B$2:$D$15,3,0)*AA9,"NA")</f>
        <v>80999.76037610347</v>
      </c>
      <c r="CB9" s="80">
        <f>IFERROR(VLOOKUP($H9,'1. Set Program Names'!$B$2:$D$15,3,0)*AB9,"NA")</f>
        <v>85823.150297481465</v>
      </c>
      <c r="CC9" s="80">
        <f>IFERROR(VLOOKUP($H9,'1. Set Program Names'!$B$2:$D$15,3,0)*AC9,"NA")</f>
        <v>91062.675505388353</v>
      </c>
      <c r="CD9" s="80">
        <f>IFERROR(VLOOKUP($H9,'1. Set Program Names'!$B$2:$D$15,3,0)*AD9,"NA")</f>
        <v>96787.293223904839</v>
      </c>
      <c r="CE9" s="80">
        <f>IFERROR(VLOOKUP($H9,'1. Set Program Names'!$B$2:$D$15,3,0)*AE9,"NA")</f>
        <v>103035.59037680687</v>
      </c>
    </row>
    <row r="10" spans="1:83" x14ac:dyDescent="0.25">
      <c r="A10" s="79" t="s">
        <v>87</v>
      </c>
      <c r="B10" s="79" t="s">
        <v>88</v>
      </c>
      <c r="C10" s="79" t="s">
        <v>89</v>
      </c>
      <c r="D10" s="79" t="s">
        <v>90</v>
      </c>
      <c r="E10" s="79" t="s">
        <v>91</v>
      </c>
      <c r="F10" s="79" t="s">
        <v>90</v>
      </c>
      <c r="G10" s="79" t="s">
        <v>92</v>
      </c>
      <c r="H10" s="79" t="s">
        <v>5</v>
      </c>
      <c r="I10" s="79" t="s">
        <v>109</v>
      </c>
      <c r="J10" s="79" t="s">
        <v>94</v>
      </c>
      <c r="K10" s="79" t="s">
        <v>95</v>
      </c>
      <c r="L10" s="79">
        <v>1590.11499999999</v>
      </c>
      <c r="M10" s="79">
        <v>6.3722388822036402E-2</v>
      </c>
      <c r="N10" s="79">
        <v>0.29557957027655002</v>
      </c>
      <c r="O10" s="79">
        <v>1389.5</v>
      </c>
      <c r="P10" s="79">
        <v>1006.47372867305</v>
      </c>
      <c r="Q10" s="79">
        <v>472.62844433209199</v>
      </c>
      <c r="R10" s="79">
        <v>757.20185047754296</v>
      </c>
      <c r="S10" s="79">
        <v>2034.1125083407001</v>
      </c>
      <c r="T10" s="79">
        <v>15</v>
      </c>
      <c r="U10" s="79">
        <v>0.7</v>
      </c>
      <c r="V10" s="79">
        <f>tbl_Data_old[[#This Row],[2025 ]]*IFERROR(AVERAGEIFS('Participation Adjustment'!$C:$C,'Participation Adjustment'!$A:$A,$H10,'Participation Adjustment'!$B:$B,$I10),1)</f>
        <v>174111.7373414246</v>
      </c>
      <c r="W10" s="79">
        <f>tbl_Data_old[[#This Row],[2026 ]]*IFERROR(AVERAGEIFS('Participation Adjustment'!$C:$C,'Participation Adjustment'!$A:$A,$H10,'Participation Adjustment'!$B:$B,$I10),1)</f>
        <v>193553.35217886121</v>
      </c>
      <c r="X10" s="79">
        <f>tbl_Data_old[[#This Row],[2027 ]]*IFERROR(AVERAGEIFS('Participation Adjustment'!$C:$C,'Participation Adjustment'!$A:$A,$H10,'Participation Adjustment'!$B:$B,$I10),1)</f>
        <v>211457.279682858</v>
      </c>
      <c r="Y10" s="79">
        <f>tbl_Data_old[[#This Row],[2028 ]]*IFERROR(AVERAGEIFS('Participation Adjustment'!$C:$C,'Participation Adjustment'!$A:$A,$H10,'Participation Adjustment'!$B:$B,$I10),1)</f>
        <v>228377.654221612</v>
      </c>
      <c r="Z10" s="79">
        <f>tbl_Data_old[[#This Row],[2029 ]]*IFERROR(AVERAGEIFS('Participation Adjustment'!$C:$C,'Participation Adjustment'!$A:$A,$H10,'Participation Adjustment'!$B:$B,$I10),1)</f>
        <v>244481.87857298</v>
      </c>
      <c r="AA10" s="79">
        <f>tbl_Data_old[[#This Row],[2030 ]]*IFERROR(AVERAGEIFS('Participation Adjustment'!$C:$C,'Participation Adjustment'!$A:$A,$H10,'Participation Adjustment'!$B:$B,$I10),1)</f>
        <v>259198.48305183201</v>
      </c>
      <c r="AB10" s="79">
        <f>tbl_Data_old[[#This Row],[2031 ]]*IFERROR(AVERAGEIFS('Participation Adjustment'!$C:$C,'Participation Adjustment'!$A:$A,$H10,'Participation Adjustment'!$B:$B,$I10),1)</f>
        <v>274569.46161868999</v>
      </c>
      <c r="AC10" s="79">
        <f>tbl_Data_old[[#This Row],[2032 ]]*IFERROR(AVERAGEIFS('Participation Adjustment'!$C:$C,'Participation Adjustment'!$A:$A,$H10,'Participation Adjustment'!$B:$B,$I10),1)</f>
        <v>291272.06241037202</v>
      </c>
      <c r="AD10" s="79">
        <f>tbl_Data_old[[#This Row],[2033 ]]*IFERROR(AVERAGEIFS('Participation Adjustment'!$C:$C,'Participation Adjustment'!$A:$A,$H10,'Participation Adjustment'!$B:$B,$I10),1)</f>
        <v>309526.49980288203</v>
      </c>
      <c r="AE10" s="79">
        <f>tbl_Data_old[[#This Row],[2034 ]]*IFERROR(AVERAGEIFS('Participation Adjustment'!$C:$C,'Participation Adjustment'!$A:$A,$H10,'Participation Adjustment'!$B:$B,$I10),1)</f>
        <v>329455.80212794</v>
      </c>
      <c r="AF10" s="77" t="str">
        <f t="shared" si="11"/>
        <v>Residential</v>
      </c>
      <c r="AG10" s="77" t="str">
        <f>tbl_Data[[#This Row],[All_Meas_Name_Append]]</f>
        <v>Heat Pump Water Heater 50 Gallons-ENERGY STAR</v>
      </c>
      <c r="AH10" s="77">
        <f>AVERAGEIFS('3. Incentive Adjustment'!G:G,'3. Incentive Adjustment'!A:A,tbl_Data[[#This Row],[Trimmed Sector]],'3. Incentive Adjustment'!B:B,tbl_Data[[#This Row],[Trimmed Measure Name]])</f>
        <v>0.43153525594917136</v>
      </c>
      <c r="AI10" s="77">
        <f>$AH10*tbl_Data[[#This Row],[2025 ]]</f>
        <v>75135.353137386555</v>
      </c>
      <c r="AJ10" s="77">
        <f>$AH10*tbl_Data[[#This Row],[2026 ]]</f>
        <v>83525.095372324984</v>
      </c>
      <c r="AK10" s="77">
        <f>$AH10*tbl_Data[[#This Row],[2027 ]]</f>
        <v>91251.271310257638</v>
      </c>
      <c r="AL10" s="77">
        <f>$AH10*tbl_Data[[#This Row],[2028 ]]</f>
        <v>98553.009467594689</v>
      </c>
      <c r="AM10" s="77">
        <f>$AH10*tbl_Data[[#This Row],[2029 ]]</f>
        <v>105502.55004492516</v>
      </c>
      <c r="AN10" s="77">
        <f>$AH10*tbl_Data[[#This Row],[2030 ]]</f>
        <v>111853.28372540927</v>
      </c>
      <c r="AO10" s="77">
        <f>$AH10*tbl_Data[[#This Row],[2031 ]]</f>
        <v>118486.40289544757</v>
      </c>
      <c r="AP10" s="77">
        <f>$AH10*tbl_Data[[#This Row],[2032 ]]</f>
        <v>125694.16400310291</v>
      </c>
      <c r="AQ10" s="77">
        <f>$AH10*tbl_Data[[#This Row],[2033 ]]</f>
        <v>133571.59731548783</v>
      </c>
      <c r="AR10" s="77">
        <f>$AH10*tbl_Data[[#This Row],[2034 ]]</f>
        <v>142171.79389522015</v>
      </c>
      <c r="AS10" s="77">
        <f>SUM(tbl_Data[[#This Row],[Adjusted 2025]:[Adjusted 2034]])</f>
        <v>1085744.5211671568</v>
      </c>
      <c r="AT10" s="80">
        <f>AVERAGEIFS('3. Incentive Adjustment'!F:F,'3. Incentive Adjustment'!A:A,tbl_Data[[#This Row],[Trimmed Sector]],'3. Incentive Adjustment'!B:B,tbl_Data[[#This Row],[Trimmed Measure Name]])</f>
        <v>500</v>
      </c>
      <c r="AU10" s="80">
        <f>IFERROR(VLOOKUP(tbl_Data[[#This Row],[All_Meas_Name_Append]],'IRA Tax Credits'!$A$3:$D$46,4,0),0)</f>
        <v>1666.6666666666667</v>
      </c>
      <c r="AV10" s="81">
        <f>tbl_Data[[#This Row],[Adj. per unit Incentive ($)]]/tbl_Data[[#This Row],[kWh Savings]]*tbl_Data[[#This Row],[Sum of Annuals]]</f>
        <v>341404.40193544602</v>
      </c>
      <c r="AW10" s="81">
        <f>IFERROR(VLOOKUP(tbl_Data[[#This Row],[Column1]],'1. Set Program Names'!$B$2:$D$15,3,0)*tbl_Data[[#This Row],[Sum of Annuals]],"")</f>
        <v>484072.29412463284</v>
      </c>
      <c r="AX10" s="81">
        <f>tbl_Data[[#This Row],[per unit IRA tax ($)]]/tbl_Data[[#This Row],[kWh Savings]]*tbl_Data[[#This Row],[Sum of Annuals]]</f>
        <v>1138014.6731181534</v>
      </c>
      <c r="AY10" s="81">
        <f>tbl_Data[[#This Row],[Avoided Costs ($/unit)]]/tbl_Data[[#This Row],[kWh Savings]]*tbl_Data[[#This Row],[Sum of Annuals]]</f>
        <v>517024.08981339721</v>
      </c>
      <c r="AZ10" s="81">
        <f>tbl_Data[[#This Row],[Lost Revenue ($/unit)]]/tbl_Data[[#This Row],[kWh Savings]]*tbl_Data[[#This Row],[Sum of Annuals]]</f>
        <v>1388909.9287589334</v>
      </c>
      <c r="BA10" s="81">
        <f>tbl_Data[[#This Row],[Incremental Cost ($/unit)]]/tbl_Data[[#This Row],[kWh Savings]]*tbl_Data[[#This Row],[Sum of Annuals]]</f>
        <v>948762.83297860459</v>
      </c>
      <c r="BB10" s="77">
        <f>ROUNDUP(tbl_Data[[#This Row],[Adjusted 2025]]/$L10,0)</f>
        <v>48</v>
      </c>
      <c r="BC10" s="77">
        <f>ROUNDUP(tbl_Data[[#This Row],[Adjusted 2026]]/$L10,0)</f>
        <v>53</v>
      </c>
      <c r="BD10" s="77">
        <f>ROUNDUP(tbl_Data[[#This Row],[Adjusted 2027]]/$L10,0)</f>
        <v>58</v>
      </c>
      <c r="BE10" s="77">
        <f>ROUNDUP(tbl_Data[[#This Row],[Adjusted 2028]]/$L10,0)</f>
        <v>62</v>
      </c>
      <c r="BF10" s="77">
        <f>ROUNDUP(tbl_Data[[#This Row],[Adjusted 2029]]/$L10,0)</f>
        <v>67</v>
      </c>
      <c r="BG10" s="77">
        <f>ROUNDUP(tbl_Data[[#This Row],[Adjusted 2030]]/$L10,0)</f>
        <v>71</v>
      </c>
      <c r="BH10" s="77">
        <f>ROUNDUP(tbl_Data[[#This Row],[Adjusted 2031]]/$L10,0)</f>
        <v>75</v>
      </c>
      <c r="BI10" s="77">
        <f>ROUNDUP(tbl_Data[[#This Row],[Adjusted 2032]]/$L10,0)</f>
        <v>80</v>
      </c>
      <c r="BJ10" s="77">
        <f>ROUNDUP(tbl_Data[[#This Row],[Adjusted 2033]]/$L10,0)</f>
        <v>85</v>
      </c>
      <c r="BK10" s="77">
        <f>ROUNDUP(tbl_Data[[#This Row],[Adjusted 2034]]/$L10,0)</f>
        <v>90</v>
      </c>
      <c r="BL10" s="80">
        <f t="shared" si="12"/>
        <v>54748.158888327474</v>
      </c>
      <c r="BM10" s="77">
        <f t="shared" si="13"/>
        <v>60861.432091031907</v>
      </c>
      <c r="BN10" s="77">
        <f t="shared" si="14"/>
        <v>66491.190788986743</v>
      </c>
      <c r="BO10" s="77">
        <f t="shared" si="15"/>
        <v>71811.678470303537</v>
      </c>
      <c r="BP10" s="77">
        <f t="shared" si="16"/>
        <v>76875.533710763542</v>
      </c>
      <c r="BQ10" s="77">
        <f t="shared" si="17"/>
        <v>81503.062058981144</v>
      </c>
      <c r="BR10" s="77">
        <f t="shared" si="18"/>
        <v>86336.353540055818</v>
      </c>
      <c r="BS10" s="77">
        <f t="shared" si="19"/>
        <v>91588.363863737468</v>
      </c>
      <c r="BT10" s="77">
        <f t="shared" si="20"/>
        <v>97328.337825529583</v>
      </c>
      <c r="BU10" s="77">
        <f t="shared" si="21"/>
        <v>103594.96078206357</v>
      </c>
      <c r="BV10" s="80">
        <f>IFERROR(VLOOKUP($H10,'1. Set Program Names'!$B$2:$D$15,3,0)*V10,"NA")</f>
        <v>77626.611496308979</v>
      </c>
      <c r="BW10" s="80">
        <f>IFERROR(VLOOKUP($H10,'1. Set Program Names'!$B$2:$D$15,3,0)*W10,"NA")</f>
        <v>86294.531907022756</v>
      </c>
      <c r="BX10" s="80">
        <f>IFERROR(VLOOKUP($H10,'1. Set Program Names'!$B$2:$D$15,3,0)*X10,"NA")</f>
        <v>94276.884193161095</v>
      </c>
      <c r="BY10" s="80">
        <f>IFERROR(VLOOKUP($H10,'1. Set Program Names'!$B$2:$D$15,3,0)*Y10,"NA")</f>
        <v>101820.72564088751</v>
      </c>
      <c r="BZ10" s="80">
        <f>IFERROR(VLOOKUP($H10,'1. Set Program Names'!$B$2:$D$15,3,0)*Z10,"NA")</f>
        <v>109000.69171475206</v>
      </c>
      <c r="CA10" s="80">
        <f>IFERROR(VLOOKUP($H10,'1. Set Program Names'!$B$2:$D$15,3,0)*AA10,"NA")</f>
        <v>115561.99628771427</v>
      </c>
      <c r="CB10" s="80">
        <f>IFERROR(VLOOKUP($H10,'1. Set Program Names'!$B$2:$D$15,3,0)*AB10,"NA")</f>
        <v>122415.04938882586</v>
      </c>
      <c r="CC10" s="80">
        <f>IFERROR(VLOOKUP($H10,'1. Set Program Names'!$B$2:$D$15,3,0)*AC10,"NA")</f>
        <v>129861.79779551909</v>
      </c>
      <c r="CD10" s="80">
        <f>IFERROR(VLOOKUP($H10,'1. Set Program Names'!$B$2:$D$15,3,0)*AD10,"NA")</f>
        <v>138000.42268772464</v>
      </c>
      <c r="CE10" s="80">
        <f>IFERROR(VLOOKUP($H10,'1. Set Program Names'!$B$2:$D$15,3,0)*AE10,"NA")</f>
        <v>146885.77546521192</v>
      </c>
    </row>
    <row r="11" spans="1:83" x14ac:dyDescent="0.25">
      <c r="A11" s="79" t="s">
        <v>87</v>
      </c>
      <c r="B11" s="79" t="s">
        <v>88</v>
      </c>
      <c r="C11" s="79" t="s">
        <v>89</v>
      </c>
      <c r="D11" s="79" t="s">
        <v>90</v>
      </c>
      <c r="E11" s="79" t="s">
        <v>91</v>
      </c>
      <c r="F11" s="79" t="s">
        <v>90</v>
      </c>
      <c r="G11" s="79" t="s">
        <v>92</v>
      </c>
      <c r="H11" s="79" t="s">
        <v>5</v>
      </c>
      <c r="I11" s="79" t="s">
        <v>110</v>
      </c>
      <c r="J11" s="79" t="s">
        <v>94</v>
      </c>
      <c r="K11" s="79" t="s">
        <v>108</v>
      </c>
      <c r="L11" s="79">
        <v>461.909999999999</v>
      </c>
      <c r="M11" s="79">
        <v>1.8510616289253799E-2</v>
      </c>
      <c r="N11" s="79">
        <v>8.5862443475120898E-2</v>
      </c>
      <c r="O11" s="79">
        <v>1729.5</v>
      </c>
      <c r="P11" s="79">
        <v>1631.9996867488601</v>
      </c>
      <c r="Q11" s="79">
        <v>137.29309183388401</v>
      </c>
      <c r="R11" s="79">
        <v>219.958372038552</v>
      </c>
      <c r="S11" s="79">
        <v>590.88613636602201</v>
      </c>
      <c r="T11" s="79">
        <v>15</v>
      </c>
      <c r="U11" s="79">
        <v>0.7</v>
      </c>
      <c r="V11" s="79">
        <f>tbl_Data_old[[#This Row],[2025 ]]*IFERROR(AVERAGEIFS('Participation Adjustment'!$C:$C,'Participation Adjustment'!$A:$A,$H11,'Participation Adjustment'!$B:$B,$I11),1)</f>
        <v>93658.812674613</v>
      </c>
      <c r="W11" s="79">
        <f>tbl_Data_old[[#This Row],[2026 ]]*IFERROR(AVERAGEIFS('Participation Adjustment'!$C:$C,'Participation Adjustment'!$A:$A,$H11,'Participation Adjustment'!$B:$B,$I11),1)</f>
        <v>104178.0535656758</v>
      </c>
      <c r="X11" s="79">
        <f>tbl_Data_old[[#This Row],[2027 ]]*IFERROR(AVERAGEIFS('Participation Adjustment'!$C:$C,'Participation Adjustment'!$A:$A,$H11,'Participation Adjustment'!$B:$B,$I11),1)</f>
        <v>113874.55245109901</v>
      </c>
      <c r="Y11" s="79">
        <f>tbl_Data_old[[#This Row],[2028 ]]*IFERROR(AVERAGEIFS('Participation Adjustment'!$C:$C,'Participation Adjustment'!$A:$A,$H11,'Participation Adjustment'!$B:$B,$I11),1)</f>
        <v>123044.3390067608</v>
      </c>
      <c r="Z11" s="79">
        <f>tbl_Data_old[[#This Row],[2029 ]]*IFERROR(AVERAGEIFS('Participation Adjustment'!$C:$C,'Participation Adjustment'!$A:$A,$H11,'Participation Adjustment'!$B:$B,$I11),1)</f>
        <v>131775.94813511221</v>
      </c>
      <c r="AA11" s="79">
        <f>tbl_Data_old[[#This Row],[2030 ]]*IFERROR(AVERAGEIFS('Participation Adjustment'!$C:$C,'Participation Adjustment'!$A:$A,$H11,'Participation Adjustment'!$B:$B,$I11),1)</f>
        <v>139759.96926512179</v>
      </c>
      <c r="AB11" s="79">
        <f>tbl_Data_old[[#This Row],[2031 ]]*IFERROR(AVERAGEIFS('Participation Adjustment'!$C:$C,'Participation Adjustment'!$A:$A,$H11,'Participation Adjustment'!$B:$B,$I11),1)</f>
        <v>148096.49056430859</v>
      </c>
      <c r="AC11" s="79">
        <f>tbl_Data_old[[#This Row],[2032 ]]*IFERROR(AVERAGEIFS('Participation Adjustment'!$C:$C,'Participation Adjustment'!$A:$A,$H11,'Participation Adjustment'!$B:$B,$I11),1)</f>
        <v>157150.84346357721</v>
      </c>
      <c r="AD11" s="79">
        <f>tbl_Data_old[[#This Row],[2033 ]]*IFERROR(AVERAGEIFS('Participation Adjustment'!$C:$C,'Participation Adjustment'!$A:$A,$H11,'Participation Adjustment'!$B:$B,$I11),1)</f>
        <v>167042.10448280099</v>
      </c>
      <c r="AE11" s="79">
        <f>tbl_Data_old[[#This Row],[2034 ]]*IFERROR(AVERAGEIFS('Participation Adjustment'!$C:$C,'Participation Adjustment'!$A:$A,$H11,'Participation Adjustment'!$B:$B,$I11),1)</f>
        <v>177836.94757387819</v>
      </c>
      <c r="AF11" s="77" t="str">
        <f t="shared" si="11"/>
        <v>Residential</v>
      </c>
      <c r="AG11" s="77" t="str">
        <f>tbl_Data[[#This Row],[All_Meas_Name_Append]]</f>
        <v>Heat Pump Water Heater 80 Gallons-ENERGY STAR</v>
      </c>
      <c r="AH11" s="77">
        <f>AVERAGEIFS('3. Incentive Adjustment'!G:G,'3. Incentive Adjustment'!A:A,tbl_Data[[#This Row],[Trimmed Sector]],'3. Incentive Adjustment'!B:B,tbl_Data[[#This Row],[Trimmed Measure Name]])</f>
        <v>1.5551101216712928E-3</v>
      </c>
      <c r="AI11" s="77">
        <f>$AH11*tbl_Data[[#This Row],[2025 ]]</f>
        <v>145.64976757400623</v>
      </c>
      <c r="AJ11" s="77">
        <f>$AH11*tbl_Data[[#This Row],[2026 ]]</f>
        <v>162.00834555599656</v>
      </c>
      <c r="AK11" s="77">
        <f>$AH11*tbl_Data[[#This Row],[2027 ]]</f>
        <v>177.08746911749259</v>
      </c>
      <c r="AL11" s="77">
        <f>$AH11*tbl_Data[[#This Row],[2028 ]]</f>
        <v>191.34749700376759</v>
      </c>
      <c r="AM11" s="77">
        <f>$AH11*tbl_Data[[#This Row],[2029 ]]</f>
        <v>204.92611073774432</v>
      </c>
      <c r="AN11" s="77">
        <f>$AH11*tbl_Data[[#This Row],[2030 ]]</f>
        <v>217.3421428086597</v>
      </c>
      <c r="AO11" s="77">
        <f>$AH11*tbl_Data[[#This Row],[2031 ]]</f>
        <v>230.3063514605534</v>
      </c>
      <c r="AP11" s="77">
        <f>$AH11*tbl_Data[[#This Row],[2032 ]]</f>
        <v>244.38686729938985</v>
      </c>
      <c r="AQ11" s="77">
        <f>$AH11*tbl_Data[[#This Row],[2033 ]]</f>
        <v>259.76886742647747</v>
      </c>
      <c r="AR11" s="77">
        <f>$AH11*tbl_Data[[#This Row],[2034 ]]</f>
        <v>276.55603717926505</v>
      </c>
      <c r="AS11" s="77">
        <f>SUM(tbl_Data[[#This Row],[Adjusted 2025]:[Adjusted 2034]])</f>
        <v>2109.3794561633531</v>
      </c>
      <c r="AT11" s="80">
        <f>AVERAGEIFS('3. Incentive Adjustment'!F:F,'3. Incentive Adjustment'!A:A,tbl_Data[[#This Row],[Trimmed Sector]],'3. Incentive Adjustment'!B:B,tbl_Data[[#This Row],[Trimmed Measure Name]])</f>
        <v>500</v>
      </c>
      <c r="AU11" s="80">
        <f>IFERROR(VLOOKUP(tbl_Data[[#This Row],[All_Meas_Name_Append]],'IRA Tax Credits'!$A$3:$D$46,4,0),0)</f>
        <v>1666.6666666666667</v>
      </c>
      <c r="AV11" s="81">
        <f>tbl_Data[[#This Row],[Adj. per unit Incentive ($)]]/tbl_Data[[#This Row],[kWh Savings]]*tbl_Data[[#This Row],[Sum of Annuals]]</f>
        <v>2283.3230024932973</v>
      </c>
      <c r="AW11" s="81">
        <f>IFERROR(VLOOKUP(tbl_Data[[#This Row],[Column1]],'1. Set Program Names'!$B$2:$D$15,3,0)*tbl_Data[[#This Row],[Sum of Annuals]],"")</f>
        <v>940.45342400319748</v>
      </c>
      <c r="AX11" s="81">
        <f>tbl_Data[[#This Row],[per unit IRA tax ($)]]/tbl_Data[[#This Row],[kWh Savings]]*tbl_Data[[#This Row],[Sum of Annuals]]</f>
        <v>7611.0766749776567</v>
      </c>
      <c r="AY11" s="81">
        <f>tbl_Data[[#This Row],[Avoided Costs ($/unit)]]/tbl_Data[[#This Row],[kWh Savings]]*tbl_Data[[#This Row],[Sum of Annuals]]</f>
        <v>1004.4720209332085</v>
      </c>
      <c r="AZ11" s="81">
        <f>tbl_Data[[#This Row],[Lost Revenue ($/unit)]]/tbl_Data[[#This Row],[kWh Savings]]*tbl_Data[[#This Row],[Sum of Annuals]]</f>
        <v>2698.3678140378579</v>
      </c>
      <c r="BA11" s="81">
        <f>tbl_Data[[#This Row],[Incremental Cost ($/unit)]]/tbl_Data[[#This Row],[kWh Savings]]*tbl_Data[[#This Row],[Sum of Annuals]]</f>
        <v>7898.0142656243142</v>
      </c>
      <c r="BB11" s="77">
        <f>ROUNDUP(tbl_Data[[#This Row],[Adjusted 2025]]/$L11,0)</f>
        <v>1</v>
      </c>
      <c r="BC11" s="77">
        <f>ROUNDUP(tbl_Data[[#This Row],[Adjusted 2026]]/$L11,0)</f>
        <v>1</v>
      </c>
      <c r="BD11" s="77">
        <f>ROUNDUP(tbl_Data[[#This Row],[Adjusted 2027]]/$L11,0)</f>
        <v>1</v>
      </c>
      <c r="BE11" s="77">
        <f>ROUNDUP(tbl_Data[[#This Row],[Adjusted 2028]]/$L11,0)</f>
        <v>1</v>
      </c>
      <c r="BF11" s="77">
        <f>ROUNDUP(tbl_Data[[#This Row],[Adjusted 2029]]/$L11,0)</f>
        <v>1</v>
      </c>
      <c r="BG11" s="77">
        <f>ROUNDUP(tbl_Data[[#This Row],[Adjusted 2030]]/$L11,0)</f>
        <v>1</v>
      </c>
      <c r="BH11" s="77">
        <f>ROUNDUP(tbl_Data[[#This Row],[Adjusted 2031]]/$L11,0)</f>
        <v>1</v>
      </c>
      <c r="BI11" s="77">
        <f>ROUNDUP(tbl_Data[[#This Row],[Adjusted 2032]]/$L11,0)</f>
        <v>1</v>
      </c>
      <c r="BJ11" s="77">
        <f>ROUNDUP(tbl_Data[[#This Row],[Adjusted 2033]]/$L11,0)</f>
        <v>1</v>
      </c>
      <c r="BK11" s="77">
        <f>ROUNDUP(tbl_Data[[#This Row],[Adjusted 2034]]/$L11,0)</f>
        <v>1</v>
      </c>
      <c r="BL11" s="80">
        <f t="shared" si="12"/>
        <v>101382.10113941375</v>
      </c>
      <c r="BM11" s="77">
        <f t="shared" si="13"/>
        <v>112768.77916225676</v>
      </c>
      <c r="BN11" s="77">
        <f t="shared" si="14"/>
        <v>123264.87026812503</v>
      </c>
      <c r="BO11" s="77">
        <f t="shared" si="15"/>
        <v>133190.81531766045</v>
      </c>
      <c r="BP11" s="77">
        <f t="shared" si="16"/>
        <v>142642.44997414268</v>
      </c>
      <c r="BQ11" s="77">
        <f t="shared" si="17"/>
        <v>151284.84906704997</v>
      </c>
      <c r="BR11" s="77">
        <f t="shared" si="18"/>
        <v>160308.81618097564</v>
      </c>
      <c r="BS11" s="77">
        <f t="shared" si="19"/>
        <v>170109.80868954727</v>
      </c>
      <c r="BT11" s="77">
        <f t="shared" si="20"/>
        <v>180816.7223948403</v>
      </c>
      <c r="BU11" s="77">
        <f t="shared" si="21"/>
        <v>192501.72931293823</v>
      </c>
      <c r="BV11" s="80">
        <f>IFERROR(VLOOKUP($H11,'1. Set Program Names'!$B$2:$D$15,3,0)*V11,"NA")</f>
        <v>41757.186366137008</v>
      </c>
      <c r="BW11" s="80">
        <f>IFERROR(VLOOKUP($H11,'1. Set Program Names'!$B$2:$D$15,3,0)*W11,"NA")</f>
        <v>46447.123060556172</v>
      </c>
      <c r="BX11" s="80">
        <f>IFERROR(VLOOKUP($H11,'1. Set Program Names'!$B$2:$D$15,3,0)*X11,"NA")</f>
        <v>50770.245460840539</v>
      </c>
      <c r="BY11" s="80">
        <f>IFERROR(VLOOKUP($H11,'1. Set Program Names'!$B$2:$D$15,3,0)*Y11,"NA")</f>
        <v>54858.536516512402</v>
      </c>
      <c r="BZ11" s="80">
        <f>IFERROR(VLOOKUP($H11,'1. Set Program Names'!$B$2:$D$15,3,0)*Z11,"NA")</f>
        <v>58751.468951130621</v>
      </c>
      <c r="CA11" s="80">
        <f>IFERROR(VLOOKUP($H11,'1. Set Program Names'!$B$2:$D$15,3,0)*AA11,"NA")</f>
        <v>62311.09402811341</v>
      </c>
      <c r="CB11" s="80">
        <f>IFERROR(VLOOKUP($H11,'1. Set Program Names'!$B$2:$D$15,3,0)*AB11,"NA")</f>
        <v>66027.879065147863</v>
      </c>
      <c r="CC11" s="80">
        <f>IFERROR(VLOOKUP($H11,'1. Set Program Names'!$B$2:$D$15,3,0)*AC11,"NA")</f>
        <v>70064.704758775464</v>
      </c>
      <c r="CD11" s="80">
        <f>IFERROR(VLOOKUP($H11,'1. Set Program Names'!$B$2:$D$15,3,0)*AD11,"NA")</f>
        <v>74474.660618570269</v>
      </c>
      <c r="CE11" s="80">
        <f>IFERROR(VLOOKUP($H11,'1. Set Program Names'!$B$2:$D$15,3,0)*AE11,"NA")</f>
        <v>79287.472802228251</v>
      </c>
    </row>
    <row r="12" spans="1:83" x14ac:dyDescent="0.25">
      <c r="A12" s="79" t="s">
        <v>87</v>
      </c>
      <c r="B12" s="79" t="s">
        <v>88</v>
      </c>
      <c r="C12" s="79" t="s">
        <v>89</v>
      </c>
      <c r="D12" s="79" t="s">
        <v>90</v>
      </c>
      <c r="E12" s="79" t="s">
        <v>91</v>
      </c>
      <c r="F12" s="79" t="s">
        <v>90</v>
      </c>
      <c r="G12" s="79" t="s">
        <v>92</v>
      </c>
      <c r="H12" s="79" t="s">
        <v>5</v>
      </c>
      <c r="I12" s="79" t="s">
        <v>299</v>
      </c>
      <c r="J12" s="79" t="s">
        <v>97</v>
      </c>
      <c r="K12" s="79" t="s">
        <v>102</v>
      </c>
      <c r="L12" s="79">
        <v>408.28</v>
      </c>
      <c r="M12" s="79">
        <v>0.16567198429270899</v>
      </c>
      <c r="N12" s="79">
        <v>2.3547919008134799E-2</v>
      </c>
      <c r="O12" s="79">
        <v>128.60999999999999</v>
      </c>
      <c r="P12" s="79">
        <v>29.691921599999901</v>
      </c>
      <c r="Q12" s="79">
        <v>121.35269540373299</v>
      </c>
      <c r="R12" s="79">
        <v>238.630335182902</v>
      </c>
      <c r="S12" s="79">
        <v>423.90838942107399</v>
      </c>
      <c r="T12" s="79">
        <v>11</v>
      </c>
      <c r="U12" s="79">
        <v>0.7</v>
      </c>
      <c r="V12" s="79">
        <f>tbl_Data_old[[#This Row],[2025 ]]*IFERROR(AVERAGEIFS('Participation Adjustment'!$C:$C,'Participation Adjustment'!$A:$A,$H12,'Participation Adjustment'!$B:$B,$I12),1)</f>
        <v>25095.759796598799</v>
      </c>
      <c r="W12" s="79">
        <f>tbl_Data_old[[#This Row],[2026 ]]*IFERROR(AVERAGEIFS('Participation Adjustment'!$C:$C,'Participation Adjustment'!$A:$A,$H12,'Participation Adjustment'!$B:$B,$I12),1)</f>
        <v>20813.538441389599</v>
      </c>
      <c r="X12" s="79">
        <f>tbl_Data_old[[#This Row],[2027 ]]*IFERROR(AVERAGEIFS('Participation Adjustment'!$C:$C,'Participation Adjustment'!$A:$A,$H12,'Participation Adjustment'!$B:$B,$I12),1)</f>
        <v>17260.001134231821</v>
      </c>
      <c r="Y12" s="79">
        <f>tbl_Data_old[[#This Row],[2028 ]]*IFERROR(AVERAGEIFS('Participation Adjustment'!$C:$C,'Participation Adjustment'!$A:$A,$H12,'Participation Adjustment'!$B:$B,$I12),1)</f>
        <v>14372.44764612176</v>
      </c>
      <c r="Z12" s="79">
        <f>tbl_Data_old[[#This Row],[2029 ]]*IFERROR(AVERAGEIFS('Participation Adjustment'!$C:$C,'Participation Adjustment'!$A:$A,$H12,'Participation Adjustment'!$B:$B,$I12),1)</f>
        <v>12048.98646113352</v>
      </c>
      <c r="AA12" s="79">
        <f>tbl_Data_old[[#This Row],[2030 ]]*IFERROR(AVERAGEIFS('Participation Adjustment'!$C:$C,'Participation Adjustment'!$A:$A,$H12,'Participation Adjustment'!$B:$B,$I12),1)</f>
        <v>10151.8098957191</v>
      </c>
      <c r="AB12" s="79">
        <f>tbl_Data_old[[#This Row],[2031 ]]*IFERROR(AVERAGEIFS('Participation Adjustment'!$C:$C,'Participation Adjustment'!$A:$A,$H12,'Participation Adjustment'!$B:$B,$I12),1)</f>
        <v>8677.6531057899992</v>
      </c>
      <c r="AC12" s="79">
        <f>tbl_Data_old[[#This Row],[2032 ]]*IFERROR(AVERAGEIFS('Participation Adjustment'!$C:$C,'Participation Adjustment'!$A:$A,$H12,'Participation Adjustment'!$B:$B,$I12),1)</f>
        <v>7534.1406313020398</v>
      </c>
      <c r="AD12" s="79">
        <f>tbl_Data_old[[#This Row],[2033 ]]*IFERROR(AVERAGEIFS('Participation Adjustment'!$C:$C,'Participation Adjustment'!$A:$A,$H12,'Participation Adjustment'!$B:$B,$I12),1)</f>
        <v>6650.5423701691398</v>
      </c>
      <c r="AE12" s="79">
        <f>tbl_Data_old[[#This Row],[2034 ]]*IFERROR(AVERAGEIFS('Participation Adjustment'!$C:$C,'Participation Adjustment'!$A:$A,$H12,'Participation Adjustment'!$B:$B,$I12),1)</f>
        <v>5967.3917553011997</v>
      </c>
      <c r="AF12" s="77" t="str">
        <f t="shared" si="11"/>
        <v>Residential</v>
      </c>
      <c r="AG12" s="77" t="str">
        <f>tbl_Data[[#This Row],[All_Meas_Name_Append]]</f>
        <v>Smart Thermostat Residential</v>
      </c>
      <c r="AH12" s="77">
        <f>AVERAGEIFS('3. Incentive Adjustment'!G:G,'3. Incentive Adjustment'!A:A,tbl_Data[[#This Row],[Trimmed Sector]],'3. Incentive Adjustment'!B:B,tbl_Data[[#This Row],[Trimmed Measure Name]])</f>
        <v>1.1402432304340044</v>
      </c>
      <c r="AI12" s="77">
        <f>$AH12*tbl_Data[[#This Row],[2025 ]]</f>
        <v>28615.27022066963</v>
      </c>
      <c r="AJ12" s="77">
        <f>$AH12*tbl_Data[[#This Row],[2026 ]]</f>
        <v>23732.496309172409</v>
      </c>
      <c r="AK12" s="77">
        <f>$AH12*tbl_Data[[#This Row],[2027 ]]</f>
        <v>19680.599450591071</v>
      </c>
      <c r="AL12" s="77">
        <f>$AH12*tbl_Data[[#This Row],[2028 ]]</f>
        <v>16388.086133257479</v>
      </c>
      <c r="AM12" s="77">
        <f>$AH12*tbl_Data[[#This Row],[2029 ]]</f>
        <v>13738.775245898467</v>
      </c>
      <c r="AN12" s="77">
        <f>$AH12*tbl_Data[[#This Row],[2030 ]]</f>
        <v>11575.53251024664</v>
      </c>
      <c r="AO12" s="77">
        <f>$AH12*tbl_Data[[#This Row],[2031 ]]</f>
        <v>9894.6352099316609</v>
      </c>
      <c r="AP12" s="77">
        <f>$AH12*tbl_Data[[#This Row],[2032 ]]</f>
        <v>8590.7528519799271</v>
      </c>
      <c r="AQ12" s="77">
        <f>$AH12*tbl_Data[[#This Row],[2033 ]]</f>
        <v>7583.23591629988</v>
      </c>
      <c r="AR12" s="77">
        <f>$AH12*tbl_Data[[#This Row],[2034 ]]</f>
        <v>6804.2780523298843</v>
      </c>
      <c r="AS12" s="77">
        <f>SUM(tbl_Data[[#This Row],[Adjusted 2025]:[Adjusted 2034]])</f>
        <v>146603.66190037705</v>
      </c>
      <c r="AT12" s="80">
        <f>AVERAGEIFS('3. Incentive Adjustment'!F:F,'3. Incentive Adjustment'!A:A,tbl_Data[[#This Row],[Trimmed Sector]],'3. Incentive Adjustment'!B:B,tbl_Data[[#This Row],[Trimmed Measure Name]])</f>
        <v>50</v>
      </c>
      <c r="AU12" s="80">
        <f>IFERROR(VLOOKUP(tbl_Data[[#This Row],[All_Meas_Name_Append]],'IRA Tax Credits'!$A$3:$D$46,4,0),0)</f>
        <v>0</v>
      </c>
      <c r="AV12" s="81">
        <f>tbl_Data[[#This Row],[Adj. per unit Incentive ($)]]/tbl_Data[[#This Row],[kWh Savings]]*tbl_Data[[#This Row],[Sum of Annuals]]</f>
        <v>17953.813792051664</v>
      </c>
      <c r="AW12" s="81">
        <f>IFERROR(VLOOKUP(tbl_Data[[#This Row],[Column1]],'1. Set Program Names'!$B$2:$D$15,3,0)*tbl_Data[[#This Row],[Sum of Annuals]],"")</f>
        <v>65362.310893265647</v>
      </c>
      <c r="AX12" s="81">
        <f>tbl_Data[[#This Row],[per unit IRA tax ($)]]/tbl_Data[[#This Row],[kWh Savings]]*tbl_Data[[#This Row],[Sum of Annuals]]</f>
        <v>0</v>
      </c>
      <c r="AY12" s="81">
        <f>tbl_Data[[#This Row],[Avoided Costs ($/unit)]]/tbl_Data[[#This Row],[kWh Savings]]*tbl_Data[[#This Row],[Sum of Annuals]]</f>
        <v>85686.492060173943</v>
      </c>
      <c r="AZ12" s="81">
        <f>tbl_Data[[#This Row],[Lost Revenue ($/unit)]]/tbl_Data[[#This Row],[kWh Savings]]*tbl_Data[[#This Row],[Sum of Annuals]]</f>
        <v>152215.44577108973</v>
      </c>
      <c r="BA12" s="81">
        <f>tbl_Data[[#This Row],[Incremental Cost ($/unit)]]/tbl_Data[[#This Row],[kWh Savings]]*tbl_Data[[#This Row],[Sum of Annuals]]</f>
        <v>46180.799835915284</v>
      </c>
      <c r="BB12" s="77">
        <f>ROUNDUP(tbl_Data[[#This Row],[Adjusted 2025]]/$L12,0)</f>
        <v>71</v>
      </c>
      <c r="BC12" s="77">
        <f>ROUNDUP(tbl_Data[[#This Row],[Adjusted 2026]]/$L12,0)</f>
        <v>59</v>
      </c>
      <c r="BD12" s="77">
        <f>ROUNDUP(tbl_Data[[#This Row],[Adjusted 2027]]/$L12,0)</f>
        <v>49</v>
      </c>
      <c r="BE12" s="77">
        <f>ROUNDUP(tbl_Data[[#This Row],[Adjusted 2028]]/$L12,0)</f>
        <v>41</v>
      </c>
      <c r="BF12" s="77">
        <f>ROUNDUP(tbl_Data[[#This Row],[Adjusted 2029]]/$L12,0)</f>
        <v>34</v>
      </c>
      <c r="BG12" s="77">
        <f>ROUNDUP(tbl_Data[[#This Row],[Adjusted 2030]]/$L12,0)</f>
        <v>29</v>
      </c>
      <c r="BH12" s="77">
        <f>ROUNDUP(tbl_Data[[#This Row],[Adjusted 2031]]/$L12,0)</f>
        <v>25</v>
      </c>
      <c r="BI12" s="77">
        <f>ROUNDUP(tbl_Data[[#This Row],[Adjusted 2032]]/$L12,0)</f>
        <v>22</v>
      </c>
      <c r="BJ12" s="77">
        <f>ROUNDUP(tbl_Data[[#This Row],[Adjusted 2033]]/$L12,0)</f>
        <v>19</v>
      </c>
      <c r="BK12" s="77">
        <f>ROUNDUP(tbl_Data[[#This Row],[Adjusted 2034]]/$L12,0)</f>
        <v>17</v>
      </c>
      <c r="BL12" s="80">
        <f t="shared" si="12"/>
        <v>3073.3515965267466</v>
      </c>
      <c r="BM12" s="77">
        <f t="shared" si="13"/>
        <v>2548.9294652431668</v>
      </c>
      <c r="BN12" s="77">
        <f t="shared" si="14"/>
        <v>2113.7456076995963</v>
      </c>
      <c r="BO12" s="77">
        <f t="shared" si="15"/>
        <v>1760.1214419175274</v>
      </c>
      <c r="BP12" s="77">
        <f t="shared" si="16"/>
        <v>1475.578825944636</v>
      </c>
      <c r="BQ12" s="77">
        <f t="shared" si="17"/>
        <v>1243.2411452580461</v>
      </c>
      <c r="BR12" s="77">
        <f t="shared" si="18"/>
        <v>1062.708570808024</v>
      </c>
      <c r="BS12" s="77">
        <f t="shared" si="19"/>
        <v>922.66834418806218</v>
      </c>
      <c r="BT12" s="77">
        <f t="shared" si="20"/>
        <v>814.4585052132287</v>
      </c>
      <c r="BU12" s="77">
        <f t="shared" si="21"/>
        <v>730.79648223047911</v>
      </c>
      <c r="BV12" s="80">
        <f>IFERROR(VLOOKUP($H12,'1. Set Program Names'!$B$2:$D$15,3,0)*V12,"NA")</f>
        <v>11188.785004856614</v>
      </c>
      <c r="BW12" s="80">
        <f>IFERROR(VLOOKUP($H12,'1. Set Program Names'!$B$2:$D$15,3,0)*W12,"NA")</f>
        <v>9279.5838300376308</v>
      </c>
      <c r="BX12" s="80">
        <f>IFERROR(VLOOKUP($H12,'1. Set Program Names'!$B$2:$D$15,3,0)*X12,"NA")</f>
        <v>7695.2618067644362</v>
      </c>
      <c r="BY12" s="80">
        <f>IFERROR(VLOOKUP($H12,'1. Set Program Names'!$B$2:$D$15,3,0)*Y12,"NA")</f>
        <v>6407.864436437917</v>
      </c>
      <c r="BZ12" s="80">
        <f>IFERROR(VLOOKUP($H12,'1. Set Program Names'!$B$2:$D$15,3,0)*Z12,"NA")</f>
        <v>5371.9640342717266</v>
      </c>
      <c r="CA12" s="80">
        <f>IFERROR(VLOOKUP($H12,'1. Set Program Names'!$B$2:$D$15,3,0)*AA12,"NA")</f>
        <v>4526.1199204166396</v>
      </c>
      <c r="CB12" s="80">
        <f>IFERROR(VLOOKUP($H12,'1. Set Program Names'!$B$2:$D$15,3,0)*AB12,"NA")</f>
        <v>3868.8764848860806</v>
      </c>
      <c r="CC12" s="80">
        <f>IFERROR(VLOOKUP($H12,'1. Set Program Names'!$B$2:$D$15,3,0)*AC12,"NA")</f>
        <v>3359.0487159276213</v>
      </c>
      <c r="CD12" s="80">
        <f>IFERROR(VLOOKUP($H12,'1. Set Program Names'!$B$2:$D$15,3,0)*AD12,"NA")</f>
        <v>2965.1020470636217</v>
      </c>
      <c r="CE12" s="80">
        <f>IFERROR(VLOOKUP($H12,'1. Set Program Names'!$B$2:$D$15,3,0)*AE12,"NA")</f>
        <v>2660.5236873070498</v>
      </c>
    </row>
    <row r="13" spans="1:83" x14ac:dyDescent="0.25">
      <c r="A13" s="79" t="s">
        <v>87</v>
      </c>
      <c r="B13" s="79" t="s">
        <v>88</v>
      </c>
      <c r="C13" s="79" t="s">
        <v>89</v>
      </c>
      <c r="D13" s="79" t="s">
        <v>90</v>
      </c>
      <c r="E13" s="79" t="s">
        <v>91</v>
      </c>
      <c r="F13" s="79" t="s">
        <v>90</v>
      </c>
      <c r="G13" s="79" t="s">
        <v>92</v>
      </c>
      <c r="H13" s="79"/>
      <c r="I13" s="79" t="s">
        <v>112</v>
      </c>
      <c r="J13" s="79" t="s">
        <v>94</v>
      </c>
      <c r="K13" s="79" t="s">
        <v>108</v>
      </c>
      <c r="L13" s="79">
        <v>1330.8133333333301</v>
      </c>
      <c r="M13" s="79">
        <v>5.33311142126306E-2</v>
      </c>
      <c r="N13" s="79">
        <v>0.24737910980336</v>
      </c>
      <c r="O13" s="79">
        <v>8990.02</v>
      </c>
      <c r="P13" s="79">
        <v>8776.4394094329891</v>
      </c>
      <c r="Q13" s="79">
        <v>395.55644430103399</v>
      </c>
      <c r="R13" s="79">
        <v>713.19672296706005</v>
      </c>
      <c r="S13" s="79">
        <v>2011.6258188035599</v>
      </c>
      <c r="T13" s="79">
        <v>20</v>
      </c>
      <c r="U13" s="79">
        <v>0.7</v>
      </c>
      <c r="V13" s="79">
        <f>tbl_Data_old[[#This Row],[2025 ]]*IFERROR(AVERAGEIFS('Participation Adjustment'!$C:$C,'Participation Adjustment'!$A:$A,$H13,'Participation Adjustment'!$B:$B,$I13),1)</f>
        <v>151067.960383442</v>
      </c>
      <c r="W13" s="79">
        <f>tbl_Data_old[[#This Row],[2026 ]]*IFERROR(AVERAGEIFS('Participation Adjustment'!$C:$C,'Participation Adjustment'!$A:$A,$H13,'Participation Adjustment'!$B:$B,$I13),1)</f>
        <v>168128.627340748</v>
      </c>
      <c r="X13" s="79">
        <f>tbl_Data_old[[#This Row],[2027 ]]*IFERROR(AVERAGEIFS('Participation Adjustment'!$C:$C,'Participation Adjustment'!$A:$A,$H13,'Participation Adjustment'!$B:$B,$I13),1)</f>
        <v>183870.44690078899</v>
      </c>
      <c r="Y13" s="79">
        <f>tbl_Data_old[[#This Row],[2028 ]]*IFERROR(AVERAGEIFS('Participation Adjustment'!$C:$C,'Participation Adjustment'!$A:$A,$H13,'Participation Adjustment'!$B:$B,$I13),1)</f>
        <v>198767.89711565699</v>
      </c>
      <c r="Z13" s="79">
        <f>tbl_Data_old[[#This Row],[2029 ]]*IFERROR(AVERAGEIFS('Participation Adjustment'!$C:$C,'Participation Adjustment'!$A:$A,$H13,'Participation Adjustment'!$B:$B,$I13),1)</f>
        <v>212961.510475444</v>
      </c>
      <c r="AA13" s="79">
        <f>tbl_Data_old[[#This Row],[2030 ]]*IFERROR(AVERAGEIFS('Participation Adjustment'!$C:$C,'Participation Adjustment'!$A:$A,$H13,'Participation Adjustment'!$B:$B,$I13),1)</f>
        <v>225949.09570685</v>
      </c>
      <c r="AB13" s="79">
        <f>tbl_Data_old[[#This Row],[2031 ]]*IFERROR(AVERAGEIFS('Participation Adjustment'!$C:$C,'Participation Adjustment'!$A:$A,$H13,'Participation Adjustment'!$B:$B,$I13),1)</f>
        <v>239507.625093554</v>
      </c>
      <c r="AC13" s="79">
        <f>tbl_Data_old[[#This Row],[2032 ]]*IFERROR(AVERAGEIFS('Participation Adjustment'!$C:$C,'Participation Adjustment'!$A:$A,$H13,'Participation Adjustment'!$B:$B,$I13),1)</f>
        <v>254227.997984549</v>
      </c>
      <c r="AD13" s="79">
        <f>tbl_Data_old[[#This Row],[2033 ]]*IFERROR(AVERAGEIFS('Participation Adjustment'!$C:$C,'Participation Adjustment'!$A:$A,$H13,'Participation Adjustment'!$B:$B,$I13),1)</f>
        <v>270303.29636738199</v>
      </c>
      <c r="AE13" s="79">
        <f>tbl_Data_old[[#This Row],[2034 ]]*IFERROR(AVERAGEIFS('Participation Adjustment'!$C:$C,'Participation Adjustment'!$A:$A,$H13,'Participation Adjustment'!$B:$B,$I13),1)</f>
        <v>287841.89455214801</v>
      </c>
      <c r="AF13" s="77" t="str">
        <f t="shared" si="11"/>
        <v>Residential</v>
      </c>
      <c r="AG13" s="77" t="str">
        <f>tbl_Data[[#This Row],[All_Meas_Name_Append]]</f>
        <v>Solar Thermal Water Heating System</v>
      </c>
      <c r="AH13" s="77">
        <f>AVERAGEIFS('3. Incentive Adjustment'!G:G,'3. Incentive Adjustment'!A:A,tbl_Data[[#This Row],[Trimmed Sector]],'3. Incentive Adjustment'!B:B,tbl_Data[[#This Row],[Trimmed Measure Name]])</f>
        <v>2.7736651842107431E-8</v>
      </c>
      <c r="AI13" s="77">
        <f>$AH13*tbl_Data[[#This Row],[2025 ]]</f>
        <v>4.190119421652809E-3</v>
      </c>
      <c r="AJ13" s="77">
        <f>$AH13*tbl_Data[[#This Row],[2026 ]]</f>
        <v>4.6633252012417518E-3</v>
      </c>
      <c r="AK13" s="77">
        <f>$AH13*tbl_Data[[#This Row],[2027 ]]</f>
        <v>5.0999505697398853E-3</v>
      </c>
      <c r="AL13" s="77">
        <f>$AH13*tbl_Data[[#This Row],[2028 ]]</f>
        <v>5.5131559596848078E-3</v>
      </c>
      <c r="AM13" s="77">
        <f>$AH13*tbl_Data[[#This Row],[2029 ]]</f>
        <v>5.9068392718267049E-3</v>
      </c>
      <c r="AN13" s="77">
        <f>$AH13*tbl_Data[[#This Row],[2030 ]]</f>
        <v>6.2670714016599093E-3</v>
      </c>
      <c r="AO13" s="77">
        <f>$AH13*tbl_Data[[#This Row],[2031 ]]</f>
        <v>6.6431396107499005E-3</v>
      </c>
      <c r="AP13" s="77">
        <f>$AH13*tbl_Data[[#This Row],[2032 ]]</f>
        <v>7.0514334686134252E-3</v>
      </c>
      <c r="AQ13" s="77">
        <f>$AH13*tbl_Data[[#This Row],[2033 ]]</f>
        <v>7.4973084231160564E-3</v>
      </c>
      <c r="AR13" s="77">
        <f>$AH13*tbl_Data[[#This Row],[2034 ]]</f>
        <v>7.9837704147655286E-3</v>
      </c>
      <c r="AS13" s="77">
        <f>SUM(tbl_Data[[#This Row],[Adjusted 2025]:[Adjusted 2034]])</f>
        <v>6.0816113743050772E-2</v>
      </c>
      <c r="AT13" s="80">
        <f>AVERAGEIFS('3. Incentive Adjustment'!F:F,'3. Incentive Adjustment'!A:A,tbl_Data[[#This Row],[Trimmed Sector]],'3. Incentive Adjustment'!B:B,tbl_Data[[#This Row],[Trimmed Measure Name]])</f>
        <v>0</v>
      </c>
      <c r="AU13" s="80">
        <f>IFERROR(VLOOKUP(tbl_Data[[#This Row],[All_Meas_Name_Append]],'IRA Tax Credits'!$A$3:$D$46,4,0),0)</f>
        <v>41666.666666666672</v>
      </c>
      <c r="AV13" s="81">
        <f>tbl_Data[[#This Row],[Adj. per unit Incentive ($)]]/tbl_Data[[#This Row],[kWh Savings]]*tbl_Data[[#This Row],[Sum of Annuals]]</f>
        <v>0</v>
      </c>
      <c r="AW13" s="81" t="str">
        <f>IFERROR(VLOOKUP(tbl_Data[[#This Row],[Column1]],'1. Set Program Names'!$B$2:$D$15,3,0)*tbl_Data[[#This Row],[Sum of Annuals]],"")</f>
        <v/>
      </c>
      <c r="AX13" s="81">
        <f>tbl_Data[[#This Row],[per unit IRA tax ($)]]/tbl_Data[[#This Row],[kWh Savings]]*tbl_Data[[#This Row],[Sum of Annuals]]</f>
        <v>1.9041023078321442</v>
      </c>
      <c r="AY13" s="81">
        <f>tbl_Data[[#This Row],[Avoided Costs ($/unit)]]/tbl_Data[[#This Row],[kWh Savings]]*tbl_Data[[#This Row],[Sum of Annuals]]</f>
        <v>3.2591988627357633E-2</v>
      </c>
      <c r="AZ13" s="81">
        <f>tbl_Data[[#This Row],[Lost Revenue ($/unit)]]/tbl_Data[[#This Row],[kWh Savings]]*tbl_Data[[#This Row],[Sum of Annuals]]</f>
        <v>9.1928192737886036E-2</v>
      </c>
      <c r="BA13" s="81">
        <f>tbl_Data[[#This Row],[Incremental Cost ($/unit)]]/tbl_Data[[#This Row],[kWh Savings]]*tbl_Data[[#This Row],[Sum of Annuals]]</f>
        <v>0.41083002790697115</v>
      </c>
      <c r="BB13" s="77">
        <f>ROUNDUP(tbl_Data[[#This Row],[Adjusted 2025]]/$L13,0)</f>
        <v>1</v>
      </c>
      <c r="BC13" s="77">
        <f>ROUNDUP(tbl_Data[[#This Row],[Adjusted 2026]]/$L13,0)</f>
        <v>1</v>
      </c>
      <c r="BD13" s="77">
        <f>ROUNDUP(tbl_Data[[#This Row],[Adjusted 2027]]/$L13,0)</f>
        <v>1</v>
      </c>
      <c r="BE13" s="77">
        <f>ROUNDUP(tbl_Data[[#This Row],[Adjusted 2028]]/$L13,0)</f>
        <v>1</v>
      </c>
      <c r="BF13" s="77">
        <f>ROUNDUP(tbl_Data[[#This Row],[Adjusted 2029]]/$L13,0)</f>
        <v>1</v>
      </c>
      <c r="BG13" s="77">
        <f>ROUNDUP(tbl_Data[[#This Row],[Adjusted 2030]]/$L13,0)</f>
        <v>1</v>
      </c>
      <c r="BH13" s="77">
        <f>ROUNDUP(tbl_Data[[#This Row],[Adjusted 2031]]/$L13,0)</f>
        <v>1</v>
      </c>
      <c r="BI13" s="77">
        <f>ROUNDUP(tbl_Data[[#This Row],[Adjusted 2032]]/$L13,0)</f>
        <v>1</v>
      </c>
      <c r="BJ13" s="77">
        <f>ROUNDUP(tbl_Data[[#This Row],[Adjusted 2033]]/$L13,0)</f>
        <v>1</v>
      </c>
      <c r="BK13" s="77">
        <f>ROUNDUP(tbl_Data[[#This Row],[Adjusted 2034]]/$L13,0)</f>
        <v>1</v>
      </c>
      <c r="BL13" s="80">
        <f t="shared" si="12"/>
        <v>0</v>
      </c>
      <c r="BM13" s="77">
        <f t="shared" si="13"/>
        <v>0</v>
      </c>
      <c r="BN13" s="77">
        <f t="shared" si="14"/>
        <v>0</v>
      </c>
      <c r="BO13" s="77">
        <f t="shared" si="15"/>
        <v>0</v>
      </c>
      <c r="BP13" s="77">
        <f t="shared" si="16"/>
        <v>0</v>
      </c>
      <c r="BQ13" s="77">
        <f t="shared" si="17"/>
        <v>0</v>
      </c>
      <c r="BR13" s="77">
        <f t="shared" si="18"/>
        <v>0</v>
      </c>
      <c r="BS13" s="77">
        <f t="shared" si="19"/>
        <v>0</v>
      </c>
      <c r="BT13" s="77">
        <f t="shared" si="20"/>
        <v>0</v>
      </c>
      <c r="BU13" s="77">
        <f t="shared" si="21"/>
        <v>0</v>
      </c>
      <c r="BV13" s="80" t="str">
        <f>IFERROR(VLOOKUP($H13,'1. Set Program Names'!$B$2:$D$15,3,0)*V13,"NA")</f>
        <v>NA</v>
      </c>
      <c r="BW13" s="80" t="str">
        <f>IFERROR(VLOOKUP($H13,'1. Set Program Names'!$B$2:$D$15,3,0)*W13,"NA")</f>
        <v>NA</v>
      </c>
      <c r="BX13" s="80" t="str">
        <f>IFERROR(VLOOKUP($H13,'1. Set Program Names'!$B$2:$D$15,3,0)*X13,"NA")</f>
        <v>NA</v>
      </c>
      <c r="BY13" s="80" t="str">
        <f>IFERROR(VLOOKUP($H13,'1. Set Program Names'!$B$2:$D$15,3,0)*Y13,"NA")</f>
        <v>NA</v>
      </c>
      <c r="BZ13" s="80" t="str">
        <f>IFERROR(VLOOKUP($H13,'1. Set Program Names'!$B$2:$D$15,3,0)*Z13,"NA")</f>
        <v>NA</v>
      </c>
      <c r="CA13" s="80" t="str">
        <f>IFERROR(VLOOKUP($H13,'1. Set Program Names'!$B$2:$D$15,3,0)*AA13,"NA")</f>
        <v>NA</v>
      </c>
      <c r="CB13" s="80" t="str">
        <f>IFERROR(VLOOKUP($H13,'1. Set Program Names'!$B$2:$D$15,3,0)*AB13,"NA")</f>
        <v>NA</v>
      </c>
      <c r="CC13" s="80" t="str">
        <f>IFERROR(VLOOKUP($H13,'1. Set Program Names'!$B$2:$D$15,3,0)*AC13,"NA")</f>
        <v>NA</v>
      </c>
      <c r="CD13" s="80" t="str">
        <f>IFERROR(VLOOKUP($H13,'1. Set Program Names'!$B$2:$D$15,3,0)*AD13,"NA")</f>
        <v>NA</v>
      </c>
      <c r="CE13" s="80" t="str">
        <f>IFERROR(VLOOKUP($H13,'1. Set Program Names'!$B$2:$D$15,3,0)*AE13,"NA")</f>
        <v>NA</v>
      </c>
    </row>
    <row r="14" spans="1:83" x14ac:dyDescent="0.25">
      <c r="A14" s="79" t="s">
        <v>113</v>
      </c>
      <c r="B14" s="79" t="s">
        <v>88</v>
      </c>
      <c r="C14" s="79" t="s">
        <v>89</v>
      </c>
      <c r="D14" s="79" t="s">
        <v>90</v>
      </c>
      <c r="E14" s="79" t="s">
        <v>91</v>
      </c>
      <c r="F14" s="79" t="s">
        <v>90</v>
      </c>
      <c r="G14" s="79" t="s">
        <v>92</v>
      </c>
      <c r="H14" s="79" t="s">
        <v>5</v>
      </c>
      <c r="I14" s="79" t="s">
        <v>93</v>
      </c>
      <c r="J14" s="79" t="s">
        <v>94</v>
      </c>
      <c r="K14" s="79" t="s">
        <v>95</v>
      </c>
      <c r="L14" s="79">
        <v>1200.2266666666601</v>
      </c>
      <c r="M14" s="79">
        <v>4.8097974252120097E-2</v>
      </c>
      <c r="N14" s="79">
        <v>0.22310492157346501</v>
      </c>
      <c r="O14" s="79">
        <v>1210</v>
      </c>
      <c r="P14" s="79">
        <v>933.85922631496703</v>
      </c>
      <c r="Q14" s="79">
        <v>356.74228738962802</v>
      </c>
      <c r="R14" s="79">
        <v>571.53970184074296</v>
      </c>
      <c r="S14" s="79">
        <v>1535.35818196214</v>
      </c>
      <c r="T14" s="79">
        <v>15</v>
      </c>
      <c r="U14" s="79">
        <v>0.7</v>
      </c>
      <c r="V14" s="79">
        <f>tbl_Data_old[[#This Row],[2025 ]]*IFERROR(AVERAGEIFS('Participation Adjustment'!$C:$C,'Participation Adjustment'!$A:$A,$H14,'Participation Adjustment'!$B:$B,$I14),1)</f>
        <v>101167.3156225362</v>
      </c>
      <c r="W14" s="79">
        <f>tbl_Data_old[[#This Row],[2026 ]]*IFERROR(AVERAGEIFS('Participation Adjustment'!$C:$C,'Participation Adjustment'!$A:$A,$H14,'Participation Adjustment'!$B:$B,$I14),1)</f>
        <v>208653.90945993399</v>
      </c>
      <c r="X14" s="79">
        <f>tbl_Data_old[[#This Row],[2027 ]]*IFERROR(AVERAGEIFS('Participation Adjustment'!$C:$C,'Participation Adjustment'!$A:$A,$H14,'Participation Adjustment'!$B:$B,$I14),1)</f>
        <v>322414.40147654398</v>
      </c>
      <c r="Y14" s="79">
        <f>tbl_Data_old[[#This Row],[2028 ]]*IFERROR(AVERAGEIFS('Participation Adjustment'!$C:$C,'Participation Adjustment'!$A:$A,$H14,'Participation Adjustment'!$B:$B,$I14),1)</f>
        <v>442593.67263656599</v>
      </c>
      <c r="Z14" s="79">
        <f>tbl_Data_old[[#This Row],[2029 ]]*IFERROR(AVERAGEIFS('Participation Adjustment'!$C:$C,'Participation Adjustment'!$A:$A,$H14,'Participation Adjustment'!$B:$B,$I14),1)</f>
        <v>569329.67117665999</v>
      </c>
      <c r="AA14" s="79">
        <f>tbl_Data_old[[#This Row],[2030 ]]*IFERROR(AVERAGEIFS('Participation Adjustment'!$C:$C,'Participation Adjustment'!$A:$A,$H14,'Participation Adjustment'!$B:$B,$I14),1)</f>
        <v>702391.23123649403</v>
      </c>
      <c r="AB14" s="79">
        <f>tbl_Data_old[[#This Row],[2031 ]]*IFERROR(AVERAGEIFS('Participation Adjustment'!$C:$C,'Participation Adjustment'!$A:$A,$H14,'Participation Adjustment'!$B:$B,$I14),1)</f>
        <v>842532.76028337597</v>
      </c>
      <c r="AC14" s="79">
        <f>tbl_Data_old[[#This Row],[2032 ]]*IFERROR(AVERAGEIFS('Participation Adjustment'!$C:$C,'Participation Adjustment'!$A:$A,$H14,'Participation Adjustment'!$B:$B,$I14),1)</f>
        <v>990791.54710483795</v>
      </c>
      <c r="AD14" s="79">
        <f>tbl_Data_old[[#This Row],[2033 ]]*IFERROR(AVERAGEIFS('Participation Adjustment'!$C:$C,'Participation Adjustment'!$A:$A,$H14,'Participation Adjustment'!$B:$B,$I14),1)</f>
        <v>1148271.7154534319</v>
      </c>
      <c r="AE14" s="79">
        <f>tbl_Data_old[[#This Row],[2034 ]]*IFERROR(AVERAGEIFS('Participation Adjustment'!$C:$C,'Participation Adjustment'!$A:$A,$H14,'Participation Adjustment'!$B:$B,$I14),1)</f>
        <v>1316109.9955122501</v>
      </c>
      <c r="AF14" s="77" t="str">
        <f t="shared" si="11"/>
        <v>Residential</v>
      </c>
      <c r="AG14" s="77" t="str">
        <f>tbl_Data[[#This Row],[All_Meas_Name_Append]]</f>
        <v>120v Heat Pump Water Heater 50 Gallons</v>
      </c>
      <c r="AH14" s="77">
        <f>AVERAGEIFS('3. Incentive Adjustment'!G:G,'3. Incentive Adjustment'!A:A,tbl_Data[[#This Row],[Trimmed Sector]],'3. Incentive Adjustment'!B:B,tbl_Data[[#This Row],[Trimmed Measure Name]])</f>
        <v>0.38528347196238832</v>
      </c>
      <c r="AI14" s="77">
        <f>$AH14*tbl_Data[[#This Row],[2025 ]]</f>
        <v>38978.094612165514</v>
      </c>
      <c r="AJ14" s="77">
        <f>$AH14*tbl_Data[[#This Row],[2026 ]]</f>
        <v>80390.902675249192</v>
      </c>
      <c r="AK14" s="77">
        <f>$AH14*tbl_Data[[#This Row],[2027 ]]</f>
        <v>124220.94001155824</v>
      </c>
      <c r="AL14" s="77">
        <f>$AH14*tbl_Data[[#This Row],[2028 ]]</f>
        <v>170524.02686200084</v>
      </c>
      <c r="AM14" s="77">
        <f>$AH14*tbl_Data[[#This Row],[2029 ]]</f>
        <v>219353.31240214844</v>
      </c>
      <c r="AN14" s="77">
        <f>$AH14*tbl_Data[[#This Row],[2030 ]]</f>
        <v>270619.73224673315</v>
      </c>
      <c r="AO14" s="77">
        <f>$AH14*tbl_Data[[#This Row],[2031 ]]</f>
        <v>324613.94712403376</v>
      </c>
      <c r="AP14" s="77">
        <f>$AH14*tbl_Data[[#This Row],[2032 ]]</f>
        <v>381735.6072595382</v>
      </c>
      <c r="AQ14" s="77">
        <f>$AH14*tbl_Data[[#This Row],[2033 ]]</f>
        <v>442410.11328610592</v>
      </c>
      <c r="AR14" s="77">
        <f>$AH14*tbl_Data[[#This Row],[2034 ]]</f>
        <v>507075.42855536303</v>
      </c>
      <c r="AS14" s="77">
        <f>SUM(tbl_Data[[#This Row],[Adjusted 2025]:[Adjusted 2034]])</f>
        <v>2559922.1050348962</v>
      </c>
      <c r="AT14" s="80">
        <f>AVERAGEIFS('3. Incentive Adjustment'!F:F,'3. Incentive Adjustment'!A:A,tbl_Data[[#This Row],[Trimmed Sector]],'3. Incentive Adjustment'!B:B,tbl_Data[[#This Row],[Trimmed Measure Name]])</f>
        <v>500</v>
      </c>
      <c r="AU14" s="80">
        <f>IFERROR(VLOOKUP(tbl_Data[[#This Row],[All_Meas_Name_Append]],'IRA Tax Credits'!$A$3:$D$46,4,0),0)</f>
        <v>1666.6666666666667</v>
      </c>
      <c r="AV14" s="81">
        <f>tbl_Data[[#This Row],[Adj. per unit Incentive ($)]]/tbl_Data[[#This Row],[kWh Savings]]*tbl_Data[[#This Row],[Sum of Annuals]]</f>
        <v>1066432.7731296213</v>
      </c>
      <c r="AW14" s="81">
        <f>IFERROR(VLOOKUP(tbl_Data[[#This Row],[Column1]],'1. Set Program Names'!$B$2:$D$15,3,0)*tbl_Data[[#This Row],[Sum of Annuals]],"")</f>
        <v>1141325.0005005747</v>
      </c>
      <c r="AX14" s="81">
        <f>tbl_Data[[#This Row],[per unit IRA tax ($)]]/tbl_Data[[#This Row],[kWh Savings]]*tbl_Data[[#This Row],[Sum of Annuals]]</f>
        <v>3554775.9104320714</v>
      </c>
      <c r="AY14" s="81">
        <f>tbl_Data[[#This Row],[Avoided Costs ($/unit)]]/tbl_Data[[#This Row],[kWh Savings]]*tbl_Data[[#This Row],[Sum of Annuals]]</f>
        <v>1219017.338375401</v>
      </c>
      <c r="AZ14" s="81">
        <f>tbl_Data[[#This Row],[Lost Revenue ($/unit)]]/tbl_Data[[#This Row],[kWh Savings]]*tbl_Data[[#This Row],[Sum of Annuals]]</f>
        <v>3274712.5674742777</v>
      </c>
      <c r="BA14" s="81">
        <f>tbl_Data[[#This Row],[Incremental Cost ($/unit)]]/tbl_Data[[#This Row],[kWh Savings]]*tbl_Data[[#This Row],[Sum of Annuals]]</f>
        <v>2580767.3109736834</v>
      </c>
      <c r="BB14" s="77">
        <f>ROUNDUP(tbl_Data[[#This Row],[Adjusted 2025]]/$L14,0)</f>
        <v>33</v>
      </c>
      <c r="BC14" s="77">
        <f>ROUNDUP(tbl_Data[[#This Row],[Adjusted 2026]]/$L14,0)</f>
        <v>67</v>
      </c>
      <c r="BD14" s="77">
        <f>ROUNDUP(tbl_Data[[#This Row],[Adjusted 2027]]/$L14,0)</f>
        <v>104</v>
      </c>
      <c r="BE14" s="77">
        <f>ROUNDUP(tbl_Data[[#This Row],[Adjusted 2028]]/$L14,0)</f>
        <v>143</v>
      </c>
      <c r="BF14" s="77">
        <f>ROUNDUP(tbl_Data[[#This Row],[Adjusted 2029]]/$L14,0)</f>
        <v>183</v>
      </c>
      <c r="BG14" s="77">
        <f>ROUNDUP(tbl_Data[[#This Row],[Adjusted 2030]]/$L14,0)</f>
        <v>226</v>
      </c>
      <c r="BH14" s="77">
        <f>ROUNDUP(tbl_Data[[#This Row],[Adjusted 2031]]/$L14,0)</f>
        <v>271</v>
      </c>
      <c r="BI14" s="77">
        <f>ROUNDUP(tbl_Data[[#This Row],[Adjusted 2032]]/$L14,0)</f>
        <v>319</v>
      </c>
      <c r="BJ14" s="77">
        <f>ROUNDUP(tbl_Data[[#This Row],[Adjusted 2033]]/$L14,0)</f>
        <v>369</v>
      </c>
      <c r="BK14" s="77">
        <f>ROUNDUP(tbl_Data[[#This Row],[Adjusted 2034]]/$L14,0)</f>
        <v>423</v>
      </c>
      <c r="BL14" s="80">
        <f t="shared" si="12"/>
        <v>42145.08743731882</v>
      </c>
      <c r="BM14" s="77">
        <f t="shared" si="13"/>
        <v>86922.710207489334</v>
      </c>
      <c r="BN14" s="77">
        <f t="shared" si="14"/>
        <v>134313.96353322666</v>
      </c>
      <c r="BO14" s="77">
        <f t="shared" si="15"/>
        <v>184379.20308243236</v>
      </c>
      <c r="BP14" s="77">
        <f t="shared" si="16"/>
        <v>237175.89643206133</v>
      </c>
      <c r="BQ14" s="77">
        <f t="shared" si="17"/>
        <v>292607.74266381538</v>
      </c>
      <c r="BR14" s="77">
        <f t="shared" si="18"/>
        <v>350989.0188589574</v>
      </c>
      <c r="BS14" s="77">
        <f t="shared" si="19"/>
        <v>412751.84705590748</v>
      </c>
      <c r="BT14" s="77">
        <f t="shared" si="20"/>
        <v>478356.19193601131</v>
      </c>
      <c r="BU14" s="77">
        <f t="shared" si="21"/>
        <v>548275.60162757756</v>
      </c>
      <c r="BV14" s="80">
        <f>IFERROR(VLOOKUP($H14,'1. Set Program Names'!$B$2:$D$15,3,0)*V14,"NA")</f>
        <v>45104.804683874921</v>
      </c>
      <c r="BW14" s="80">
        <f>IFERROR(VLOOKUP($H14,'1. Set Program Names'!$B$2:$D$15,3,0)*W14,"NA")</f>
        <v>93027.019396576419</v>
      </c>
      <c r="BX14" s="80">
        <f>IFERROR(VLOOKUP($H14,'1. Set Program Names'!$B$2:$D$15,3,0)*X14,"NA")</f>
        <v>143746.41173763093</v>
      </c>
      <c r="BY14" s="80">
        <f>IFERROR(VLOOKUP($H14,'1. Set Program Names'!$B$2:$D$15,3,0)*Y14,"NA")</f>
        <v>197327.57596411079</v>
      </c>
      <c r="BZ14" s="80">
        <f>IFERROR(VLOOKUP($H14,'1. Set Program Names'!$B$2:$D$15,3,0)*Z14,"NA")</f>
        <v>253832.01542057694</v>
      </c>
      <c r="CA14" s="80">
        <f>IFERROR(VLOOKUP($H14,'1. Set Program Names'!$B$2:$D$15,3,0)*AA14,"NA")</f>
        <v>313156.66627741506</v>
      </c>
      <c r="CB14" s="80">
        <f>IFERROR(VLOOKUP($H14,'1. Set Program Names'!$B$2:$D$15,3,0)*AB14,"NA")</f>
        <v>375637.87630915683</v>
      </c>
      <c r="CC14" s="80">
        <f>IFERROR(VLOOKUP($H14,'1. Set Program Names'!$B$2:$D$15,3,0)*AC14,"NA")</f>
        <v>441738.11412905448</v>
      </c>
      <c r="CD14" s="80">
        <f>IFERROR(VLOOKUP($H14,'1. Set Program Names'!$B$2:$D$15,3,0)*AD14,"NA")</f>
        <v>511949.64629473322</v>
      </c>
      <c r="CE14" s="80">
        <f>IFERROR(VLOOKUP($H14,'1. Set Program Names'!$B$2:$D$15,3,0)*AE14,"NA")</f>
        <v>586779.27673363872</v>
      </c>
    </row>
    <row r="15" spans="1:83" x14ac:dyDescent="0.25">
      <c r="A15" s="79" t="s">
        <v>113</v>
      </c>
      <c r="B15" s="79" t="s">
        <v>88</v>
      </c>
      <c r="C15" s="79" t="s">
        <v>89</v>
      </c>
      <c r="D15" s="79" t="s">
        <v>90</v>
      </c>
      <c r="E15" s="79" t="s">
        <v>91</v>
      </c>
      <c r="F15" s="79" t="s">
        <v>90</v>
      </c>
      <c r="G15" s="79" t="s">
        <v>92</v>
      </c>
      <c r="H15" s="79" t="s">
        <v>5</v>
      </c>
      <c r="I15" s="79" t="s">
        <v>96</v>
      </c>
      <c r="J15" s="79" t="s">
        <v>97</v>
      </c>
      <c r="K15" s="79" t="s">
        <v>98</v>
      </c>
      <c r="L15" s="79">
        <v>5868.07</v>
      </c>
      <c r="M15" s="79">
        <v>0.20813520080661799</v>
      </c>
      <c r="N15" s="79">
        <v>1.1349578069705</v>
      </c>
      <c r="O15" s="79">
        <v>1935.1666666666599</v>
      </c>
      <c r="P15" s="79">
        <v>513.45064263862798</v>
      </c>
      <c r="Q15" s="79">
        <v>1744.1611426417701</v>
      </c>
      <c r="R15" s="79">
        <v>3388.0400735263802</v>
      </c>
      <c r="S15" s="79">
        <v>7811.7411984889604</v>
      </c>
      <c r="T15" s="79">
        <v>16</v>
      </c>
      <c r="U15" s="79">
        <v>0.7</v>
      </c>
      <c r="V15" s="79">
        <f>tbl_Data_old[[#This Row],[2025 ]]*IFERROR(AVERAGEIFS('Participation Adjustment'!$C:$C,'Participation Adjustment'!$A:$A,$H15,'Participation Adjustment'!$B:$B,$I15),1)</f>
        <v>632196.49417558999</v>
      </c>
      <c r="W15" s="79">
        <f>tbl_Data_old[[#This Row],[2026 ]]*IFERROR(AVERAGEIFS('Participation Adjustment'!$C:$C,'Participation Adjustment'!$A:$A,$H15,'Participation Adjustment'!$B:$B,$I15),1)</f>
        <v>1301860.4884131041</v>
      </c>
      <c r="X15" s="79">
        <f>tbl_Data_old[[#This Row],[2027 ]]*IFERROR(AVERAGEIFS('Participation Adjustment'!$C:$C,'Participation Adjustment'!$A:$A,$H15,'Participation Adjustment'!$B:$B,$I15),1)</f>
        <v>2008432.21935448</v>
      </c>
      <c r="Y15" s="79">
        <f>tbl_Data_old[[#This Row],[2028 ]]*IFERROR(AVERAGEIFS('Participation Adjustment'!$C:$C,'Participation Adjustment'!$A:$A,$H15,'Participation Adjustment'!$B:$B,$I15),1)</f>
        <v>2752534.2108486001</v>
      </c>
      <c r="Z15" s="79">
        <f>tbl_Data_old[[#This Row],[2029 ]]*IFERROR(AVERAGEIFS('Participation Adjustment'!$C:$C,'Participation Adjustment'!$A:$A,$H15,'Participation Adjustment'!$B:$B,$I15),1)</f>
        <v>3534743.27919984</v>
      </c>
      <c r="AA15" s="79">
        <f>tbl_Data_old[[#This Row],[2030 ]]*IFERROR(AVERAGEIFS('Participation Adjustment'!$C:$C,'Participation Adjustment'!$A:$A,$H15,'Participation Adjustment'!$B:$B,$I15),1)</f>
        <v>4353365.1675972603</v>
      </c>
      <c r="AB15" s="79">
        <f>tbl_Data_old[[#This Row],[2031 ]]*IFERROR(AVERAGEIFS('Participation Adjustment'!$C:$C,'Participation Adjustment'!$A:$A,$H15,'Participation Adjustment'!$B:$B,$I15),1)</f>
        <v>5212770.9622935196</v>
      </c>
      <c r="AC15" s="79">
        <f>tbl_Data_old[[#This Row],[2032 ]]*IFERROR(AVERAGEIFS('Participation Adjustment'!$C:$C,'Participation Adjustment'!$A:$A,$H15,'Participation Adjustment'!$B:$B,$I15),1)</f>
        <v>6119021.1727799801</v>
      </c>
      <c r="AD15" s="79">
        <f>tbl_Data_old[[#This Row],[2033 ]]*IFERROR(AVERAGEIFS('Participation Adjustment'!$C:$C,'Participation Adjustment'!$A:$A,$H15,'Participation Adjustment'!$B:$B,$I15),1)</f>
        <v>7078523.7987921201</v>
      </c>
      <c r="AE15" s="79">
        <f>tbl_Data_old[[#This Row],[2034 ]]*IFERROR(AVERAGEIFS('Participation Adjustment'!$C:$C,'Participation Adjustment'!$A:$A,$H15,'Participation Adjustment'!$B:$B,$I15),1)</f>
        <v>8097818.9307781402</v>
      </c>
      <c r="AF15" s="77" t="str">
        <f t="shared" si="11"/>
        <v>Residential</v>
      </c>
      <c r="AG15" s="77" t="str">
        <f>tbl_Data[[#This Row],[All_Meas_Name_Append]]</f>
        <v>ASHP - CEE Tier 2: 16.8 SEER/16 SEER2; 9.0 HSPF (from elec resistance)</v>
      </c>
      <c r="AH15" s="77">
        <f>AVERAGEIFS('3. Incentive Adjustment'!G:G,'3. Incentive Adjustment'!A:A,tbl_Data[[#This Row],[Trimmed Sector]],'3. Incentive Adjustment'!B:B,tbl_Data[[#This Row],[Trimmed Measure Name]])</f>
        <v>0.9303958662075158</v>
      </c>
      <c r="AI15" s="77">
        <f>$AH15*tbl_Data[[#This Row],[2025 ]]</f>
        <v>588193.00481185282</v>
      </c>
      <c r="AJ15" s="77">
        <f>$AH15*tbl_Data[[#This Row],[2026 ]]</f>
        <v>1211245.6167984495</v>
      </c>
      <c r="AK15" s="77">
        <f>$AH15*tbl_Data[[#This Row],[2027 ]]</f>
        <v>1868637.0344453948</v>
      </c>
      <c r="AL15" s="77">
        <f>$AH15*tbl_Data[[#This Row],[2028 ]]</f>
        <v>2560946.4513683044</v>
      </c>
      <c r="AM15" s="77">
        <f>$AH15*tbl_Data[[#This Row],[2029 ]]</f>
        <v>3288710.5350723299</v>
      </c>
      <c r="AN15" s="77">
        <f>$AH15*tbl_Data[[#This Row],[2030 ]]</f>
        <v>4050352.9560242803</v>
      </c>
      <c r="AO15" s="77">
        <f>$AH15*tbl_Data[[#This Row],[2031 ]]</f>
        <v>4849940.5548044648</v>
      </c>
      <c r="AP15" s="77">
        <f>$AH15*tbl_Data[[#This Row],[2032 ]]</f>
        <v>5693112.0043907585</v>
      </c>
      <c r="AQ15" s="77">
        <f>$AH15*tbl_Data[[#This Row],[2033 ]]</f>
        <v>6585829.2812477099</v>
      </c>
      <c r="AR15" s="77">
        <f>$AH15*tbl_Data[[#This Row],[2034 ]]</f>
        <v>7534177.2584929476</v>
      </c>
      <c r="AS15" s="77">
        <f>SUM(tbl_Data[[#This Row],[Adjusted 2025]:[Adjusted 2034]])</f>
        <v>38231144.697456494</v>
      </c>
      <c r="AT15" s="80">
        <f>AVERAGEIFS('3. Incentive Adjustment'!F:F,'3. Incentive Adjustment'!A:A,tbl_Data[[#This Row],[Trimmed Sector]],'3. Incentive Adjustment'!B:B,tbl_Data[[#This Row],[Trimmed Measure Name]])</f>
        <v>353</v>
      </c>
      <c r="AU15" s="80">
        <f>IFERROR(VLOOKUP(tbl_Data[[#This Row],[All_Meas_Name_Append]],'IRA Tax Credits'!$A$3:$D$46,4,0),0)</f>
        <v>0</v>
      </c>
      <c r="AV15" s="81">
        <f>tbl_Data[[#This Row],[Adj. per unit Incentive ($)]]/tbl_Data[[#This Row],[kWh Savings]]*tbl_Data[[#This Row],[Sum of Annuals]]</f>
        <v>2299835.223199816</v>
      </c>
      <c r="AW15" s="81">
        <f>IFERROR(VLOOKUP(tbl_Data[[#This Row],[Column1]],'1. Set Program Names'!$B$2:$D$15,3,0)*tbl_Data[[#This Row],[Sum of Annuals]],"")</f>
        <v>17045112.87868553</v>
      </c>
      <c r="AX15" s="81">
        <f>tbl_Data[[#This Row],[per unit IRA tax ($)]]/tbl_Data[[#This Row],[kWh Savings]]*tbl_Data[[#This Row],[Sum of Annuals]]</f>
        <v>0</v>
      </c>
      <c r="AY15" s="81">
        <f>tbl_Data[[#This Row],[Avoided Costs ($/unit)]]/tbl_Data[[#This Row],[kWh Savings]]*tbl_Data[[#This Row],[Sum of Annuals]]</f>
        <v>22073467.135151453</v>
      </c>
      <c r="AZ15" s="81">
        <f>tbl_Data[[#This Row],[Lost Revenue ($/unit)]]/tbl_Data[[#This Row],[kWh Savings]]*tbl_Data[[#This Row],[Sum of Annuals]]</f>
        <v>50894384.030612059</v>
      </c>
      <c r="BA15" s="81">
        <f>tbl_Data[[#This Row],[Incremental Cost ($/unit)]]/tbl_Data[[#This Row],[kWh Savings]]*tbl_Data[[#This Row],[Sum of Annuals]]</f>
        <v>12607831.339269578</v>
      </c>
      <c r="BB15" s="77">
        <f>ROUNDUP(tbl_Data[[#This Row],[Adjusted 2025]]/$L15,0)</f>
        <v>101</v>
      </c>
      <c r="BC15" s="77">
        <f>ROUNDUP(tbl_Data[[#This Row],[Adjusted 2026]]/$L15,0)</f>
        <v>207</v>
      </c>
      <c r="BD15" s="77">
        <f>ROUNDUP(tbl_Data[[#This Row],[Adjusted 2027]]/$L15,0)</f>
        <v>319</v>
      </c>
      <c r="BE15" s="77">
        <f>ROUNDUP(tbl_Data[[#This Row],[Adjusted 2028]]/$L15,0)</f>
        <v>437</v>
      </c>
      <c r="BF15" s="77">
        <f>ROUNDUP(tbl_Data[[#This Row],[Adjusted 2029]]/$L15,0)</f>
        <v>561</v>
      </c>
      <c r="BG15" s="77">
        <f>ROUNDUP(tbl_Data[[#This Row],[Adjusted 2030]]/$L15,0)</f>
        <v>691</v>
      </c>
      <c r="BH15" s="77">
        <f>ROUNDUP(tbl_Data[[#This Row],[Adjusted 2031]]/$L15,0)</f>
        <v>827</v>
      </c>
      <c r="BI15" s="77">
        <f>ROUNDUP(tbl_Data[[#This Row],[Adjusted 2032]]/$L15,0)</f>
        <v>971</v>
      </c>
      <c r="BJ15" s="77">
        <f>ROUNDUP(tbl_Data[[#This Row],[Adjusted 2033]]/$L15,0)</f>
        <v>1123</v>
      </c>
      <c r="BK15" s="77">
        <f>ROUNDUP(tbl_Data[[#This Row],[Adjusted 2034]]/$L15,0)</f>
        <v>1284</v>
      </c>
      <c r="BL15" s="80">
        <f t="shared" si="12"/>
        <v>38030.453359278821</v>
      </c>
      <c r="BM15" s="77">
        <f t="shared" si="13"/>
        <v>78314.804085470314</v>
      </c>
      <c r="BN15" s="77">
        <f t="shared" si="14"/>
        <v>120819.37901765513</v>
      </c>
      <c r="BO15" s="77">
        <f t="shared" si="15"/>
        <v>165581.62674091413</v>
      </c>
      <c r="BP15" s="77">
        <f t="shared" si="16"/>
        <v>212636.24625431251</v>
      </c>
      <c r="BQ15" s="77">
        <f t="shared" si="17"/>
        <v>261881.31773510421</v>
      </c>
      <c r="BR15" s="77">
        <f t="shared" si="18"/>
        <v>313579.78853176814</v>
      </c>
      <c r="BS15" s="77">
        <f t="shared" si="19"/>
        <v>368096.23504684388</v>
      </c>
      <c r="BT15" s="77">
        <f t="shared" si="20"/>
        <v>425816.13732856262</v>
      </c>
      <c r="BU15" s="77">
        <f t="shared" si="21"/>
        <v>487132.92148264823</v>
      </c>
      <c r="BV15" s="80">
        <f>IFERROR(VLOOKUP($H15,'1. Set Program Names'!$B$2:$D$15,3,0)*V15,"NA")</f>
        <v>281860.78889364522</v>
      </c>
      <c r="BW15" s="80">
        <f>IFERROR(VLOOKUP($H15,'1. Set Program Names'!$B$2:$D$15,3,0)*W15,"NA")</f>
        <v>580426.22455869988</v>
      </c>
      <c r="BX15" s="80">
        <f>IFERROR(VLOOKUP($H15,'1. Set Program Names'!$B$2:$D$15,3,0)*X15,"NA")</f>
        <v>895446.74005964515</v>
      </c>
      <c r="BY15" s="80">
        <f>IFERROR(VLOOKUP($H15,'1. Set Program Names'!$B$2:$D$15,3,0)*Y15,"NA")</f>
        <v>1227199.8836979468</v>
      </c>
      <c r="BZ15" s="80">
        <f>IFERROR(VLOOKUP($H15,'1. Set Program Names'!$B$2:$D$15,3,0)*Z15,"NA")</f>
        <v>1575942.8253568544</v>
      </c>
      <c r="CA15" s="80">
        <f>IFERROR(VLOOKUP($H15,'1. Set Program Names'!$B$2:$D$15,3,0)*AA15,"NA")</f>
        <v>1940920.1914053541</v>
      </c>
      <c r="CB15" s="80">
        <f>IFERROR(VLOOKUP($H15,'1. Set Program Names'!$B$2:$D$15,3,0)*AB15,"NA")</f>
        <v>2324080.8028679965</v>
      </c>
      <c r="CC15" s="80">
        <f>IFERROR(VLOOKUP($H15,'1. Set Program Names'!$B$2:$D$15,3,0)*AC15,"NA")</f>
        <v>2728126.6993828849</v>
      </c>
      <c r="CD15" s="80">
        <f>IFERROR(VLOOKUP($H15,'1. Set Program Names'!$B$2:$D$15,3,0)*AD15,"NA")</f>
        <v>3155914.8469049283</v>
      </c>
      <c r="CE15" s="80">
        <f>IFERROR(VLOOKUP($H15,'1. Set Program Names'!$B$2:$D$15,3,0)*AE15,"NA")</f>
        <v>3610361.1031937771</v>
      </c>
    </row>
    <row r="16" spans="1:83" x14ac:dyDescent="0.25">
      <c r="A16" s="79" t="s">
        <v>113</v>
      </c>
      <c r="B16" s="79" t="s">
        <v>88</v>
      </c>
      <c r="C16" s="79" t="s">
        <v>89</v>
      </c>
      <c r="D16" s="79" t="s">
        <v>90</v>
      </c>
      <c r="E16" s="79" t="s">
        <v>91</v>
      </c>
      <c r="F16" s="79" t="s">
        <v>90</v>
      </c>
      <c r="G16" s="79" t="s">
        <v>92</v>
      </c>
      <c r="H16" s="79" t="s">
        <v>5</v>
      </c>
      <c r="I16" s="79" t="s">
        <v>99</v>
      </c>
      <c r="J16" s="79" t="s">
        <v>97</v>
      </c>
      <c r="K16" s="79" t="s">
        <v>98</v>
      </c>
      <c r="L16" s="79">
        <v>253.96999999999801</v>
      </c>
      <c r="M16" s="79">
        <v>0.107126245482503</v>
      </c>
      <c r="N16" s="79">
        <v>1.33192706841354E-2</v>
      </c>
      <c r="O16" s="79">
        <v>874.99999999999898</v>
      </c>
      <c r="P16" s="79">
        <v>813.468148399999</v>
      </c>
      <c r="Q16" s="79">
        <v>75.487273566390598</v>
      </c>
      <c r="R16" s="79">
        <v>185.54516688855901</v>
      </c>
      <c r="S16" s="79">
        <v>338.09206641710699</v>
      </c>
      <c r="T16" s="79">
        <v>16</v>
      </c>
      <c r="U16" s="79">
        <v>0.7</v>
      </c>
      <c r="V16" s="79">
        <f>tbl_Data_old[[#This Row],[2025 ]]*IFERROR(AVERAGEIFS('Participation Adjustment'!$C:$C,'Participation Adjustment'!$A:$A,$H16,'Participation Adjustment'!$B:$B,$I16),1)</f>
        <v>672367.01040976797</v>
      </c>
      <c r="W16" s="79">
        <f>tbl_Data_old[[#This Row],[2026 ]]*IFERROR(AVERAGEIFS('Participation Adjustment'!$C:$C,'Participation Adjustment'!$A:$A,$H16,'Participation Adjustment'!$B:$B,$I16),1)</f>
        <v>1424390.2939523356</v>
      </c>
      <c r="X16" s="79">
        <f>tbl_Data_old[[#This Row],[2027 ]]*IFERROR(AVERAGEIFS('Participation Adjustment'!$C:$C,'Participation Adjustment'!$A:$A,$H16,'Participation Adjustment'!$B:$B,$I16),1)</f>
        <v>2250917.6703850501</v>
      </c>
      <c r="Y16" s="79">
        <f>tbl_Data_old[[#This Row],[2028 ]]*IFERROR(AVERAGEIFS('Participation Adjustment'!$C:$C,'Participation Adjustment'!$A:$A,$H16,'Participation Adjustment'!$B:$B,$I16),1)</f>
        <v>3148857.732594735</v>
      </c>
      <c r="Z16" s="79">
        <f>tbl_Data_old[[#This Row],[2029 ]]*IFERROR(AVERAGEIFS('Participation Adjustment'!$C:$C,'Participation Adjustment'!$A:$A,$H16,'Participation Adjustment'!$B:$B,$I16),1)</f>
        <v>4115705.5470966003</v>
      </c>
      <c r="AA16" s="79">
        <f>tbl_Data_old[[#This Row],[2030 ]]*IFERROR(AVERAGEIFS('Participation Adjustment'!$C:$C,'Participation Adjustment'!$A:$A,$H16,'Participation Adjustment'!$B:$B,$I16),1)</f>
        <v>5146622.3234516699</v>
      </c>
      <c r="AB16" s="79">
        <f>tbl_Data_old[[#This Row],[2031 ]]*IFERROR(AVERAGEIFS('Participation Adjustment'!$C:$C,'Participation Adjustment'!$A:$A,$H16,'Participation Adjustment'!$B:$B,$I16),1)</f>
        <v>6244840.0356432442</v>
      </c>
      <c r="AC16" s="79">
        <f>tbl_Data_old[[#This Row],[2032 ]]*IFERROR(AVERAGEIFS('Participation Adjustment'!$C:$C,'Participation Adjustment'!$A:$A,$H16,'Participation Adjustment'!$B:$B,$I16),1)</f>
        <v>7416357.259901355</v>
      </c>
      <c r="AD16" s="79">
        <f>tbl_Data_old[[#This Row],[2033 ]]*IFERROR(AVERAGEIFS('Participation Adjustment'!$C:$C,'Participation Adjustment'!$A:$A,$H16,'Participation Adjustment'!$B:$B,$I16),1)</f>
        <v>8668151.4898439851</v>
      </c>
      <c r="AE16" s="79">
        <f>tbl_Data_old[[#This Row],[2034 ]]*IFERROR(AVERAGEIFS('Participation Adjustment'!$C:$C,'Participation Adjustment'!$A:$A,$H16,'Participation Adjustment'!$B:$B,$I16),1)</f>
        <v>10007803.535448121</v>
      </c>
      <c r="AF16" s="77" t="str">
        <f t="shared" si="11"/>
        <v>Residential</v>
      </c>
      <c r="AG16" s="77" t="str">
        <f>tbl_Data[[#This Row],[All_Meas_Name_Append]]</f>
        <v>ASHP - ENERGY STAR/CEE Tier 1: 16 SEER/15.2 SEER2_ 9.0 HSPF</v>
      </c>
      <c r="AH16" s="77">
        <f>AVERAGEIFS('3. Incentive Adjustment'!G:G,'3. Incentive Adjustment'!A:A,tbl_Data[[#This Row],[Trimmed Sector]],'3. Incentive Adjustment'!B:B,tbl_Data[[#This Row],[Trimmed Measure Name]])</f>
        <v>8.3636985731950567E-3</v>
      </c>
      <c r="AI16" s="77">
        <f>$AH16*tbl_Data[[#This Row],[2025 ]]</f>
        <v>5623.4750056276025</v>
      </c>
      <c r="AJ16" s="77">
        <f>$AH16*tbl_Data[[#This Row],[2026 ]]</f>
        <v>11913.171069202037</v>
      </c>
      <c r="AK16" s="77">
        <f>$AH16*tbl_Data[[#This Row],[2027 ]]</f>
        <v>18825.996908178986</v>
      </c>
      <c r="AL16" s="77">
        <f>$AH16*tbl_Data[[#This Row],[2028 ]]</f>
        <v>26336.096925296806</v>
      </c>
      <c r="AM16" s="77">
        <f>$AH16*tbl_Data[[#This Row],[2029 ]]</f>
        <v>34422.520611942819</v>
      </c>
      <c r="AN16" s="77">
        <f>$AH16*tbl_Data[[#This Row],[2030 ]]</f>
        <v>43044.797783426562</v>
      </c>
      <c r="AO16" s="77">
        <f>$AH16*tbl_Data[[#This Row],[2031 ]]</f>
        <v>52229.959695940765</v>
      </c>
      <c r="AP16" s="77">
        <f>$AH16*tbl_Data[[#This Row],[2032 ]]</f>
        <v>62028.176632941766</v>
      </c>
      <c r="AQ16" s="77">
        <f>$AH16*tbl_Data[[#This Row],[2033 ]]</f>
        <v>72497.806247846747</v>
      </c>
      <c r="AR16" s="77">
        <f>$AH16*tbl_Data[[#This Row],[2034 ]]</f>
        <v>83702.25215024389</v>
      </c>
      <c r="AS16" s="77">
        <f>SUM(tbl_Data[[#This Row],[Adjusted 2025]:[Adjusted 2034]])</f>
        <v>410624.25303064799</v>
      </c>
      <c r="AT16" s="80">
        <f>AVERAGEIFS('3. Incentive Adjustment'!F:F,'3. Incentive Adjustment'!A:A,tbl_Data[[#This Row],[Trimmed Sector]],'3. Incentive Adjustment'!B:B,tbl_Data[[#This Row],[Trimmed Measure Name]])</f>
        <v>353</v>
      </c>
      <c r="AU16" s="80">
        <f>IFERROR(VLOOKUP(tbl_Data[[#This Row],[All_Meas_Name_Append]],'IRA Tax Credits'!$A$3:$D$46,4,0),0)</f>
        <v>0</v>
      </c>
      <c r="AV16" s="81">
        <f>tbl_Data[[#This Row],[Adj. per unit Incentive ($)]]/tbl_Data[[#This Row],[kWh Savings]]*tbl_Data[[#This Row],[Sum of Annuals]]</f>
        <v>570738.1238721892</v>
      </c>
      <c r="AW16" s="81">
        <f>IFERROR(VLOOKUP(tbl_Data[[#This Row],[Column1]],'1. Set Program Names'!$B$2:$D$15,3,0)*tbl_Data[[#This Row],[Sum of Annuals]],"")</f>
        <v>183074.21342000712</v>
      </c>
      <c r="AX16" s="81">
        <f>tbl_Data[[#This Row],[per unit IRA tax ($)]]/tbl_Data[[#This Row],[kWh Savings]]*tbl_Data[[#This Row],[Sum of Annuals]]</f>
        <v>0</v>
      </c>
      <c r="AY16" s="81">
        <f>tbl_Data[[#This Row],[Avoided Costs ($/unit)]]/tbl_Data[[#This Row],[kWh Savings]]*tbl_Data[[#This Row],[Sum of Annuals]]</f>
        <v>299993.48567571782</v>
      </c>
      <c r="AZ16" s="81">
        <f>tbl_Data[[#This Row],[Lost Revenue ($/unit)]]/tbl_Data[[#This Row],[kWh Savings]]*tbl_Data[[#This Row],[Sum of Annuals]]</f>
        <v>546634.65065997501</v>
      </c>
      <c r="BA16" s="81">
        <f>tbl_Data[[#This Row],[Incremental Cost ($/unit)]]/tbl_Data[[#This Row],[kWh Savings]]*tbl_Data[[#This Row],[Sum of Annuals]]</f>
        <v>1414719.145575538</v>
      </c>
      <c r="BB16" s="77">
        <f>ROUNDUP(tbl_Data[[#This Row],[Adjusted 2025]]/$L16,0)</f>
        <v>23</v>
      </c>
      <c r="BC16" s="77">
        <f>ROUNDUP(tbl_Data[[#This Row],[Adjusted 2026]]/$L16,0)</f>
        <v>47</v>
      </c>
      <c r="BD16" s="77">
        <f>ROUNDUP(tbl_Data[[#This Row],[Adjusted 2027]]/$L16,0)</f>
        <v>75</v>
      </c>
      <c r="BE16" s="77">
        <f>ROUNDUP(tbl_Data[[#This Row],[Adjusted 2028]]/$L16,0)</f>
        <v>104</v>
      </c>
      <c r="BF16" s="77">
        <f>ROUNDUP(tbl_Data[[#This Row],[Adjusted 2029]]/$L16,0)</f>
        <v>136</v>
      </c>
      <c r="BG16" s="77">
        <f>ROUNDUP(tbl_Data[[#This Row],[Adjusted 2030]]/$L16,0)</f>
        <v>170</v>
      </c>
      <c r="BH16" s="77">
        <f>ROUNDUP(tbl_Data[[#This Row],[Adjusted 2031]]/$L16,0)</f>
        <v>206</v>
      </c>
      <c r="BI16" s="77">
        <f>ROUNDUP(tbl_Data[[#This Row],[Adjusted 2032]]/$L16,0)</f>
        <v>245</v>
      </c>
      <c r="BJ16" s="77">
        <f>ROUNDUP(tbl_Data[[#This Row],[Adjusted 2033]]/$L16,0)</f>
        <v>286</v>
      </c>
      <c r="BK16" s="77">
        <f>ROUNDUP(tbl_Data[[#This Row],[Adjusted 2034]]/$L16,0)</f>
        <v>330</v>
      </c>
      <c r="BL16" s="80">
        <f t="shared" si="12"/>
        <v>934541.69655727036</v>
      </c>
      <c r="BM16" s="77">
        <f t="shared" si="13"/>
        <v>1979799.8730762627</v>
      </c>
      <c r="BN16" s="77">
        <f t="shared" si="14"/>
        <v>3128613.3702639248</v>
      </c>
      <c r="BO16" s="77">
        <f t="shared" si="15"/>
        <v>4376685.3549866136</v>
      </c>
      <c r="BP16" s="77">
        <f t="shared" si="16"/>
        <v>5720534.1501953434</v>
      </c>
      <c r="BQ16" s="77">
        <f t="shared" si="17"/>
        <v>7153434.1858426342</v>
      </c>
      <c r="BR16" s="77">
        <f t="shared" si="18"/>
        <v>8679877.6728829481</v>
      </c>
      <c r="BS16" s="77">
        <f t="shared" si="19"/>
        <v>10308202.200044096</v>
      </c>
      <c r="BT16" s="77">
        <f t="shared" si="20"/>
        <v>12048105.980686501</v>
      </c>
      <c r="BU16" s="77">
        <f t="shared" si="21"/>
        <v>13910125.794437194</v>
      </c>
      <c r="BV16" s="80">
        <f>IFERROR(VLOOKUP($H16,'1. Set Program Names'!$B$2:$D$15,3,0)*V16,"NA")</f>
        <v>299770.55824596569</v>
      </c>
      <c r="BW16" s="80">
        <f>IFERROR(VLOOKUP($H16,'1. Set Program Names'!$B$2:$D$15,3,0)*W16,"NA")</f>
        <v>635055.35959892115</v>
      </c>
      <c r="BX16" s="80">
        <f>IFERROR(VLOOKUP($H16,'1. Set Program Names'!$B$2:$D$15,3,0)*X16,"NA")</f>
        <v>1003557.3372432555</v>
      </c>
      <c r="BY16" s="80">
        <f>IFERROR(VLOOKUP($H16,'1. Set Program Names'!$B$2:$D$15,3,0)*Y16,"NA")</f>
        <v>1403898.2069655333</v>
      </c>
      <c r="BZ16" s="80">
        <f>IFERROR(VLOOKUP($H16,'1. Set Program Names'!$B$2:$D$15,3,0)*Z16,"NA")</f>
        <v>1834961.1600921007</v>
      </c>
      <c r="CA16" s="80">
        <f>IFERROR(VLOOKUP($H16,'1. Set Program Names'!$B$2:$D$15,3,0)*AA16,"NA")</f>
        <v>2294588.8526595123</v>
      </c>
      <c r="CB16" s="80">
        <f>IFERROR(VLOOKUP($H16,'1. Set Program Names'!$B$2:$D$15,3,0)*AB16,"NA")</f>
        <v>2784222.2397268512</v>
      </c>
      <c r="CC16" s="80">
        <f>IFERROR(VLOOKUP($H16,'1. Set Program Names'!$B$2:$D$15,3,0)*AC16,"NA")</f>
        <v>3306535.748381285</v>
      </c>
      <c r="CD16" s="80">
        <f>IFERROR(VLOOKUP($H16,'1. Set Program Names'!$B$2:$D$15,3,0)*AD16,"NA")</f>
        <v>3864640.2498057191</v>
      </c>
      <c r="CE16" s="80">
        <f>IFERROR(VLOOKUP($H16,'1. Set Program Names'!$B$2:$D$15,3,0)*AE16,"NA")</f>
        <v>4461915.5999472402</v>
      </c>
    </row>
    <row r="17" spans="1:83" x14ac:dyDescent="0.25">
      <c r="A17" s="79" t="s">
        <v>113</v>
      </c>
      <c r="B17" s="79" t="s">
        <v>88</v>
      </c>
      <c r="C17" s="79" t="s">
        <v>89</v>
      </c>
      <c r="D17" s="79" t="s">
        <v>90</v>
      </c>
      <c r="E17" s="79" t="s">
        <v>91</v>
      </c>
      <c r="F17" s="79" t="s">
        <v>90</v>
      </c>
      <c r="G17" s="79" t="s">
        <v>92</v>
      </c>
      <c r="H17" s="79" t="s">
        <v>5</v>
      </c>
      <c r="I17" s="79" t="s">
        <v>100</v>
      </c>
      <c r="J17" s="79" t="s">
        <v>101</v>
      </c>
      <c r="K17" s="79" t="s">
        <v>102</v>
      </c>
      <c r="L17" s="79">
        <v>3443.6666666666601</v>
      </c>
      <c r="M17" s="79">
        <v>1.66949913665645</v>
      </c>
      <c r="N17" s="79">
        <v>0.25022957227107101</v>
      </c>
      <c r="O17" s="79">
        <v>1269.26999999999</v>
      </c>
      <c r="P17" s="79">
        <v>446.40188399649003</v>
      </c>
      <c r="Q17" s="79">
        <v>1023.5579310081</v>
      </c>
      <c r="R17" s="79">
        <v>3363.3816217672702</v>
      </c>
      <c r="S17" s="79">
        <v>6252.5618237134204</v>
      </c>
      <c r="T17" s="79">
        <v>30</v>
      </c>
      <c r="U17" s="79">
        <v>0.9</v>
      </c>
      <c r="V17" s="79">
        <f>tbl_Data_old[[#This Row],[2025 ]]*IFERROR(AVERAGEIFS('Participation Adjustment'!$C:$C,'Participation Adjustment'!$A:$A,$H17,'Participation Adjustment'!$B:$B,$I17),1)</f>
        <v>8407.6629638000395</v>
      </c>
      <c r="W17" s="79">
        <f>tbl_Data_old[[#This Row],[2026 ]]*IFERROR(AVERAGEIFS('Participation Adjustment'!$C:$C,'Participation Adjustment'!$A:$A,$H17,'Participation Adjustment'!$B:$B,$I17),1)</f>
        <v>16544.524169391199</v>
      </c>
      <c r="X17" s="79">
        <f>tbl_Data_old[[#This Row],[2027 ]]*IFERROR(AVERAGEIFS('Participation Adjustment'!$C:$C,'Participation Adjustment'!$A:$A,$H17,'Participation Adjustment'!$B:$B,$I17),1)</f>
        <v>24425.730427212002</v>
      </c>
      <c r="Y17" s="79">
        <f>tbl_Data_old[[#This Row],[2028 ]]*IFERROR(AVERAGEIFS('Participation Adjustment'!$C:$C,'Participation Adjustment'!$A:$A,$H17,'Participation Adjustment'!$B:$B,$I17),1)</f>
        <v>32074.5267508289</v>
      </c>
      <c r="Z17" s="79">
        <f>tbl_Data_old[[#This Row],[2029 ]]*IFERROR(AVERAGEIFS('Participation Adjustment'!$C:$C,'Participation Adjustment'!$A:$A,$H17,'Participation Adjustment'!$B:$B,$I17),1)</f>
        <v>39508.090455658697</v>
      </c>
      <c r="AA17" s="79">
        <f>tbl_Data_old[[#This Row],[2030 ]]*IFERROR(AVERAGEIFS('Participation Adjustment'!$C:$C,'Participation Adjustment'!$A:$A,$H17,'Participation Adjustment'!$B:$B,$I17),1)</f>
        <v>46719.444664017399</v>
      </c>
      <c r="AB17" s="79">
        <f>tbl_Data_old[[#This Row],[2031 ]]*IFERROR(AVERAGEIFS('Participation Adjustment'!$C:$C,'Participation Adjustment'!$A:$A,$H17,'Participation Adjustment'!$B:$B,$I17),1)</f>
        <v>53752.389154794997</v>
      </c>
      <c r="AC17" s="79">
        <f>tbl_Data_old[[#This Row],[2032 ]]*IFERROR(AVERAGEIFS('Participation Adjustment'!$C:$C,'Participation Adjustment'!$A:$A,$H17,'Participation Adjustment'!$B:$B,$I17),1)</f>
        <v>60654.379946718102</v>
      </c>
      <c r="AD17" s="79">
        <f>tbl_Data_old[[#This Row],[2033 ]]*IFERROR(AVERAGEIFS('Participation Adjustment'!$C:$C,'Participation Adjustment'!$A:$A,$H17,'Participation Adjustment'!$B:$B,$I17),1)</f>
        <v>67465.320084054896</v>
      </c>
      <c r="AE17" s="79">
        <f>tbl_Data_old[[#This Row],[2034 ]]*IFERROR(AVERAGEIFS('Participation Adjustment'!$C:$C,'Participation Adjustment'!$A:$A,$H17,'Participation Adjustment'!$B:$B,$I17),1)</f>
        <v>74217.289976233398</v>
      </c>
      <c r="AF17" s="77" t="str">
        <f t="shared" si="11"/>
        <v>Residential</v>
      </c>
      <c r="AG17" s="77" t="str">
        <f>tbl_Data[[#This Row],[All_Meas_Name_Append]]</f>
        <v>Ceiling Insulation(R2 to R38) Residential</v>
      </c>
      <c r="AH17" s="77">
        <f>AVERAGEIFS('3. Incentive Adjustment'!G:G,'3. Incentive Adjustment'!A:A,tbl_Data[[#This Row],[Trimmed Sector]],'3. Incentive Adjustment'!B:B,tbl_Data[[#This Row],[Trimmed Measure Name]])</f>
        <v>0.80543313072084111</v>
      </c>
      <c r="AI17" s="77">
        <f>$AH17*tbl_Data[[#This Row],[2025 ]]</f>
        <v>6771.8103029791318</v>
      </c>
      <c r="AJ17" s="77">
        <f>$AH17*tbl_Data[[#This Row],[2026 ]]</f>
        <v>13325.507898039377</v>
      </c>
      <c r="AK17" s="77">
        <f>$AH17*tbl_Data[[#This Row],[2027 ]]</f>
        <v>19673.292528132672</v>
      </c>
      <c r="AL17" s="77">
        <f>$AH17*tbl_Data[[#This Row],[2028 ]]</f>
        <v>25833.88649730949</v>
      </c>
      <c r="AM17" s="77">
        <f>$AH17*tbl_Data[[#This Row],[2029 ]]</f>
        <v>31821.124984503367</v>
      </c>
      <c r="AN17" s="77">
        <f>$AH17*tbl_Data[[#This Row],[2030 ]]</f>
        <v>37629.388581278625</v>
      </c>
      <c r="AO17" s="77">
        <f>$AH17*tbl_Data[[#This Row],[2031 ]]</f>
        <v>43293.95508067152</v>
      </c>
      <c r="AP17" s="77">
        <f>$AH17*tbl_Data[[#This Row],[2032 ]]</f>
        <v>48853.047132416563</v>
      </c>
      <c r="AQ17" s="77">
        <f>$AH17*tbl_Data[[#This Row],[2033 ]]</f>
        <v>54338.803970383975</v>
      </c>
      <c r="AR17" s="77">
        <f>$AH17*tbl_Data[[#This Row],[2034 ]]</f>
        <v>59777.064219174164</v>
      </c>
      <c r="AS17" s="77">
        <f>SUM(tbl_Data[[#This Row],[Adjusted 2025]:[Adjusted 2034]])</f>
        <v>341317.88119488891</v>
      </c>
      <c r="AT17" s="80">
        <f>AVERAGEIFS('3. Incentive Adjustment'!F:F,'3. Incentive Adjustment'!A:A,tbl_Data[[#This Row],[Trimmed Sector]],'3. Incentive Adjustment'!B:B,tbl_Data[[#This Row],[Trimmed Measure Name]])</f>
        <v>164</v>
      </c>
      <c r="AU17" s="80">
        <f>IFERROR(VLOOKUP(tbl_Data[[#This Row],[All_Meas_Name_Append]],'IRA Tax Credits'!$A$3:$D$46,4,0),0)</f>
        <v>0</v>
      </c>
      <c r="AV17" s="81">
        <f>tbl_Data[[#This Row],[Adj. per unit Incentive ($)]]/tbl_Data[[#This Row],[kWh Savings]]*tbl_Data[[#This Row],[Sum of Annuals]]</f>
        <v>16254.805686563319</v>
      </c>
      <c r="AW17" s="81">
        <f>IFERROR(VLOOKUP(tbl_Data[[#This Row],[Column1]],'1. Set Program Names'!$B$2:$D$15,3,0)*tbl_Data[[#This Row],[Sum of Annuals]],"")</f>
        <v>152174.40802570881</v>
      </c>
      <c r="AX17" s="81">
        <f>tbl_Data[[#This Row],[per unit IRA tax ($)]]/tbl_Data[[#This Row],[kWh Savings]]*tbl_Data[[#This Row],[Sum of Annuals]]</f>
        <v>0</v>
      </c>
      <c r="AY17" s="81">
        <f>tbl_Data[[#This Row],[Avoided Costs ($/unit)]]/tbl_Data[[#This Row],[kWh Savings]]*tbl_Data[[#This Row],[Sum of Annuals]]</f>
        <v>333360.45555844624</v>
      </c>
      <c r="AZ17" s="81">
        <f>tbl_Data[[#This Row],[Lost Revenue ($/unit)]]/tbl_Data[[#This Row],[kWh Savings]]*tbl_Data[[#This Row],[Sum of Annuals]]</f>
        <v>619720.59443710744</v>
      </c>
      <c r="BA17" s="81">
        <f>tbl_Data[[#This Row],[Incremental Cost ($/unit)]]/tbl_Data[[#This Row],[kWh Savings]]*tbl_Data[[#This Row],[Sum of Annuals]]</f>
        <v>125803.27569380526</v>
      </c>
      <c r="BB17" s="77">
        <f>ROUNDUP(tbl_Data[[#This Row],[Adjusted 2025]]/$L17,0)</f>
        <v>2</v>
      </c>
      <c r="BC17" s="77">
        <f>ROUNDUP(tbl_Data[[#This Row],[Adjusted 2026]]/$L17,0)</f>
        <v>4</v>
      </c>
      <c r="BD17" s="77">
        <f>ROUNDUP(tbl_Data[[#This Row],[Adjusted 2027]]/$L17,0)</f>
        <v>6</v>
      </c>
      <c r="BE17" s="77">
        <f>ROUNDUP(tbl_Data[[#This Row],[Adjusted 2028]]/$L17,0)</f>
        <v>8</v>
      </c>
      <c r="BF17" s="77">
        <f>ROUNDUP(tbl_Data[[#This Row],[Adjusted 2029]]/$L17,0)</f>
        <v>10</v>
      </c>
      <c r="BG17" s="77">
        <f>ROUNDUP(tbl_Data[[#This Row],[Adjusted 2030]]/$L17,0)</f>
        <v>11</v>
      </c>
      <c r="BH17" s="77">
        <f>ROUNDUP(tbl_Data[[#This Row],[Adjusted 2031]]/$L17,0)</f>
        <v>13</v>
      </c>
      <c r="BI17" s="77">
        <f>ROUNDUP(tbl_Data[[#This Row],[Adjusted 2032]]/$L17,0)</f>
        <v>15</v>
      </c>
      <c r="BJ17" s="77">
        <f>ROUNDUP(tbl_Data[[#This Row],[Adjusted 2033]]/$L17,0)</f>
        <v>16</v>
      </c>
      <c r="BK17" s="77">
        <f>ROUNDUP(tbl_Data[[#This Row],[Adjusted 2034]]/$L17,0)</f>
        <v>18</v>
      </c>
      <c r="BL17" s="80">
        <f t="shared" si="12"/>
        <v>400.4036567795593</v>
      </c>
      <c r="BM17" s="77">
        <f t="shared" si="13"/>
        <v>787.91074352342321</v>
      </c>
      <c r="BN17" s="77">
        <f t="shared" si="14"/>
        <v>1163.2426067358751</v>
      </c>
      <c r="BO17" s="77">
        <f t="shared" si="15"/>
        <v>1527.5062589689137</v>
      </c>
      <c r="BP17" s="77">
        <f t="shared" si="16"/>
        <v>1881.519746799353</v>
      </c>
      <c r="BQ17" s="77">
        <f t="shared" si="17"/>
        <v>2224.9508057977546</v>
      </c>
      <c r="BR17" s="77">
        <f t="shared" si="18"/>
        <v>2559.8853416086718</v>
      </c>
      <c r="BS17" s="77">
        <f t="shared" si="19"/>
        <v>2888.5833833883808</v>
      </c>
      <c r="BT17" s="77">
        <f t="shared" si="20"/>
        <v>3212.9452600285617</v>
      </c>
      <c r="BU17" s="77">
        <f t="shared" si="21"/>
        <v>3534.4987579427839</v>
      </c>
      <c r="BV17" s="80">
        <f>IFERROR(VLOOKUP($H17,'1. Set Program Names'!$B$2:$D$15,3,0)*V17,"NA")</f>
        <v>3748.5030960490631</v>
      </c>
      <c r="BW17" s="80">
        <f>IFERROR(VLOOKUP($H17,'1. Set Program Names'!$B$2:$D$15,3,0)*W17,"NA")</f>
        <v>7376.2709493282719</v>
      </c>
      <c r="BX17" s="80">
        <f>IFERROR(VLOOKUP($H17,'1. Set Program Names'!$B$2:$D$15,3,0)*X17,"NA")</f>
        <v>10890.056669003458</v>
      </c>
      <c r="BY17" s="80">
        <f>IFERROR(VLOOKUP($H17,'1. Set Program Names'!$B$2:$D$15,3,0)*Y17,"NA")</f>
        <v>14300.223896635507</v>
      </c>
      <c r="BZ17" s="80">
        <f>IFERROR(VLOOKUP($H17,'1. Set Program Names'!$B$2:$D$15,3,0)*Z17,"NA")</f>
        <v>17614.431029129591</v>
      </c>
      <c r="CA17" s="80">
        <f>IFERROR(VLOOKUP($H17,'1. Set Program Names'!$B$2:$D$15,3,0)*AA17,"NA")</f>
        <v>20829.567469913058</v>
      </c>
      <c r="CB17" s="80">
        <f>IFERROR(VLOOKUP($H17,'1. Set Program Names'!$B$2:$D$15,3,0)*AB17,"NA")</f>
        <v>23965.161072026913</v>
      </c>
      <c r="CC17" s="80">
        <f>IFERROR(VLOOKUP($H17,'1. Set Program Names'!$B$2:$D$15,3,0)*AC17,"NA")</f>
        <v>27042.369799805456</v>
      </c>
      <c r="CD17" s="80">
        <f>IFERROR(VLOOKUP($H17,'1. Set Program Names'!$B$2:$D$15,3,0)*AD17,"NA")</f>
        <v>30078.984171924931</v>
      </c>
      <c r="CE17" s="80">
        <f>IFERROR(VLOOKUP($H17,'1. Set Program Names'!$B$2:$D$15,3,0)*AE17,"NA")</f>
        <v>33089.307035036203</v>
      </c>
    </row>
    <row r="18" spans="1:83" x14ac:dyDescent="0.25">
      <c r="A18" s="79" t="s">
        <v>113</v>
      </c>
      <c r="B18" s="79" t="s">
        <v>88</v>
      </c>
      <c r="C18" s="79" t="s">
        <v>89</v>
      </c>
      <c r="D18" s="79" t="s">
        <v>90</v>
      </c>
      <c r="E18" s="79" t="s">
        <v>91</v>
      </c>
      <c r="F18" s="79" t="s">
        <v>90</v>
      </c>
      <c r="G18" s="79" t="s">
        <v>92</v>
      </c>
      <c r="H18" s="79" t="s">
        <v>5</v>
      </c>
      <c r="I18" s="79" t="s">
        <v>103</v>
      </c>
      <c r="J18" s="79" t="s">
        <v>101</v>
      </c>
      <c r="K18" s="79" t="s">
        <v>102</v>
      </c>
      <c r="L18" s="79">
        <v>3523.57666666666</v>
      </c>
      <c r="M18" s="79">
        <v>1.7070465614975301</v>
      </c>
      <c r="N18" s="79">
        <v>0.25623328618049002</v>
      </c>
      <c r="O18" s="79">
        <v>1306.5999999999899</v>
      </c>
      <c r="P18" s="79">
        <v>465.31519597206898</v>
      </c>
      <c r="Q18" s="79">
        <v>1047.30950808685</v>
      </c>
      <c r="R18" s="79">
        <v>3440.61303289528</v>
      </c>
      <c r="S18" s="79">
        <v>6397.6520033667803</v>
      </c>
      <c r="T18" s="79">
        <v>30</v>
      </c>
      <c r="U18" s="79">
        <v>0.9</v>
      </c>
      <c r="V18" s="79">
        <f>tbl_Data_old[[#This Row],[2025 ]]*IFERROR(AVERAGEIFS('Participation Adjustment'!$C:$C,'Participation Adjustment'!$A:$A,$H18,'Participation Adjustment'!$B:$B,$I18),1)</f>
        <v>8604.8012899447895</v>
      </c>
      <c r="W18" s="79">
        <f>tbl_Data_old[[#This Row],[2026 ]]*IFERROR(AVERAGEIFS('Participation Adjustment'!$C:$C,'Participation Adjustment'!$A:$A,$H18,'Participation Adjustment'!$B:$B,$I18),1)</f>
        <v>16933.001391882099</v>
      </c>
      <c r="X18" s="79">
        <f>tbl_Data_old[[#This Row],[2027 ]]*IFERROR(AVERAGEIFS('Participation Adjustment'!$C:$C,'Participation Adjustment'!$A:$A,$H18,'Participation Adjustment'!$B:$B,$I18),1)</f>
        <v>25000.047883344301</v>
      </c>
      <c r="Y18" s="79">
        <f>tbl_Data_old[[#This Row],[2028 ]]*IFERROR(AVERAGEIFS('Participation Adjustment'!$C:$C,'Participation Adjustment'!$A:$A,$H18,'Participation Adjustment'!$B:$B,$I18),1)</f>
        <v>32829.682909826101</v>
      </c>
      <c r="Z18" s="79">
        <f>tbl_Data_old[[#This Row],[2029 ]]*IFERROR(AVERAGEIFS('Participation Adjustment'!$C:$C,'Participation Adjustment'!$A:$A,$H18,'Participation Adjustment'!$B:$B,$I18),1)</f>
        <v>40439.443303933003</v>
      </c>
      <c r="AA18" s="79">
        <f>tbl_Data_old[[#This Row],[2030 ]]*IFERROR(AVERAGEIFS('Participation Adjustment'!$C:$C,'Participation Adjustment'!$A:$A,$H18,'Participation Adjustment'!$B:$B,$I18),1)</f>
        <v>47822.142657588898</v>
      </c>
      <c r="AB18" s="79">
        <f>tbl_Data_old[[#This Row],[2031 ]]*IFERROR(AVERAGEIFS('Participation Adjustment'!$C:$C,'Participation Adjustment'!$A:$A,$H18,'Participation Adjustment'!$B:$B,$I18),1)</f>
        <v>55022.581155025298</v>
      </c>
      <c r="AC18" s="79">
        <f>tbl_Data_old[[#This Row],[2032 ]]*IFERROR(AVERAGEIFS('Participation Adjustment'!$C:$C,'Participation Adjustment'!$A:$A,$H18,'Participation Adjustment'!$B:$B,$I18),1)</f>
        <v>62089.311309771598</v>
      </c>
      <c r="AD18" s="79">
        <f>tbl_Data_old[[#This Row],[2033 ]]*IFERROR(AVERAGEIFS('Participation Adjustment'!$C:$C,'Participation Adjustment'!$A:$A,$H18,'Participation Adjustment'!$B:$B,$I18),1)</f>
        <v>69063.160766575005</v>
      </c>
      <c r="AE18" s="79">
        <f>tbl_Data_old[[#This Row],[2034 ]]*IFERROR(AVERAGEIFS('Participation Adjustment'!$C:$C,'Participation Adjustment'!$A:$A,$H18,'Participation Adjustment'!$B:$B,$I18),1)</f>
        <v>75976.954073814006</v>
      </c>
      <c r="AF18" s="77" t="str">
        <f t="shared" si="11"/>
        <v>Residential</v>
      </c>
      <c r="AG18" s="77" t="str">
        <f>tbl_Data[[#This Row],[All_Meas_Name_Append]]</f>
        <v>Ceiling Insulation(R2 to R49) Residential</v>
      </c>
      <c r="AH18" s="77">
        <f>AVERAGEIFS('3. Incentive Adjustment'!G:G,'3. Incentive Adjustment'!A:A,tbl_Data[[#This Row],[Trimmed Sector]],'3. Incentive Adjustment'!B:B,tbl_Data[[#This Row],[Trimmed Measure Name]])</f>
        <v>0.79801279130038982</v>
      </c>
      <c r="AI18" s="77">
        <f>$AH18*tbl_Data[[#This Row],[2025 ]]</f>
        <v>6866.7414959740363</v>
      </c>
      <c r="AJ18" s="77">
        <f>$AH18*tbl_Data[[#This Row],[2026 ]]</f>
        <v>13512.75170582922</v>
      </c>
      <c r="AK18" s="77">
        <f>$AH18*tbl_Data[[#This Row],[2027 ]]</f>
        <v>19950.357994030986</v>
      </c>
      <c r="AL18" s="77">
        <f>$AH18*tbl_Data[[#This Row],[2028 ]]</f>
        <v>26198.506896377032</v>
      </c>
      <c r="AM18" s="77">
        <f>$AH18*tbl_Data[[#This Row],[2029 ]]</f>
        <v>32271.193029605434</v>
      </c>
      <c r="AN18" s="77">
        <f>$AH18*tbl_Data[[#This Row],[2030 ]]</f>
        <v>38162.681548147957</v>
      </c>
      <c r="AO18" s="77">
        <f>$AH18*tbl_Data[[#This Row],[2031 ]]</f>
        <v>43908.723572073963</v>
      </c>
      <c r="AP18" s="77">
        <f>$AH18*tbl_Data[[#This Row],[2032 ]]</f>
        <v>49548.064628229695</v>
      </c>
      <c r="AQ18" s="77">
        <f>$AH18*tbl_Data[[#This Row],[2033 ]]</f>
        <v>55113.285699362088</v>
      </c>
      <c r="AR18" s="77">
        <f>$AH18*tbl_Data[[#This Row],[2034 ]]</f>
        <v>60630.581194945837</v>
      </c>
      <c r="AS18" s="77">
        <f>SUM(tbl_Data[[#This Row],[Adjusted 2025]:[Adjusted 2034]])</f>
        <v>346162.8877645763</v>
      </c>
      <c r="AT18" s="80">
        <f>AVERAGEIFS('3. Incentive Adjustment'!F:F,'3. Incentive Adjustment'!A:A,tbl_Data[[#This Row],[Trimmed Sector]],'3. Incentive Adjustment'!B:B,tbl_Data[[#This Row],[Trimmed Measure Name]])</f>
        <v>164</v>
      </c>
      <c r="AU18" s="80">
        <f>IFERROR(VLOOKUP(tbl_Data[[#This Row],[All_Meas_Name_Append]],'IRA Tax Credits'!$A$3:$D$46,4,0),0)</f>
        <v>0</v>
      </c>
      <c r="AV18" s="81">
        <f>tbl_Data[[#This Row],[Adj. per unit Incentive ($)]]/tbl_Data[[#This Row],[kWh Savings]]*tbl_Data[[#This Row],[Sum of Annuals]]</f>
        <v>16111.672588380543</v>
      </c>
      <c r="AW18" s="81">
        <f>IFERROR(VLOOKUP(tbl_Data[[#This Row],[Column1]],'1. Set Program Names'!$B$2:$D$15,3,0)*tbl_Data[[#This Row],[Sum of Annuals]],"")</f>
        <v>154334.52341152378</v>
      </c>
      <c r="AX18" s="81">
        <f>tbl_Data[[#This Row],[per unit IRA tax ($)]]/tbl_Data[[#This Row],[kWh Savings]]*tbl_Data[[#This Row],[Sum of Annuals]]</f>
        <v>0</v>
      </c>
      <c r="AY18" s="81">
        <f>tbl_Data[[#This Row],[Avoided Costs ($/unit)]]/tbl_Data[[#This Row],[kWh Savings]]*tbl_Data[[#This Row],[Sum of Annuals]]</f>
        <v>338012.38225197396</v>
      </c>
      <c r="AZ18" s="81">
        <f>tbl_Data[[#This Row],[Lost Revenue ($/unit)]]/tbl_Data[[#This Row],[kWh Savings]]*tbl_Data[[#This Row],[Sum of Annuals]]</f>
        <v>628517.52690635622</v>
      </c>
      <c r="BA18" s="81">
        <f>tbl_Data[[#This Row],[Incremental Cost ($/unit)]]/tbl_Data[[#This Row],[kWh Savings]]*tbl_Data[[#This Row],[Sum of Annuals]]</f>
        <v>128362.87441449911</v>
      </c>
      <c r="BB18" s="77">
        <f>ROUNDUP(tbl_Data[[#This Row],[Adjusted 2025]]/$L18,0)</f>
        <v>2</v>
      </c>
      <c r="BC18" s="77">
        <f>ROUNDUP(tbl_Data[[#This Row],[Adjusted 2026]]/$L18,0)</f>
        <v>4</v>
      </c>
      <c r="BD18" s="77">
        <f>ROUNDUP(tbl_Data[[#This Row],[Adjusted 2027]]/$L18,0)</f>
        <v>6</v>
      </c>
      <c r="BE18" s="77">
        <f>ROUNDUP(tbl_Data[[#This Row],[Adjusted 2028]]/$L18,0)</f>
        <v>8</v>
      </c>
      <c r="BF18" s="77">
        <f>ROUNDUP(tbl_Data[[#This Row],[Adjusted 2029]]/$L18,0)</f>
        <v>10</v>
      </c>
      <c r="BG18" s="77">
        <f>ROUNDUP(tbl_Data[[#This Row],[Adjusted 2030]]/$L18,0)</f>
        <v>11</v>
      </c>
      <c r="BH18" s="77">
        <f>ROUNDUP(tbl_Data[[#This Row],[Adjusted 2031]]/$L18,0)</f>
        <v>13</v>
      </c>
      <c r="BI18" s="77">
        <f>ROUNDUP(tbl_Data[[#This Row],[Adjusted 2032]]/$L18,0)</f>
        <v>15</v>
      </c>
      <c r="BJ18" s="77">
        <f>ROUNDUP(tbl_Data[[#This Row],[Adjusted 2033]]/$L18,0)</f>
        <v>16</v>
      </c>
      <c r="BK18" s="77">
        <f>ROUNDUP(tbl_Data[[#This Row],[Adjusted 2034]]/$L18,0)</f>
        <v>18</v>
      </c>
      <c r="BL18" s="80">
        <f t="shared" si="12"/>
        <v>400.49856865636002</v>
      </c>
      <c r="BM18" s="77">
        <f t="shared" si="13"/>
        <v>788.12311777956756</v>
      </c>
      <c r="BN18" s="77">
        <f t="shared" si="14"/>
        <v>1163.5926334894014</v>
      </c>
      <c r="BO18" s="77">
        <f t="shared" si="15"/>
        <v>1528.0121610933654</v>
      </c>
      <c r="BP18" s="77">
        <f t="shared" si="16"/>
        <v>1882.197928197492</v>
      </c>
      <c r="BQ18" s="77">
        <f t="shared" si="17"/>
        <v>2225.81545338248</v>
      </c>
      <c r="BR18" s="77">
        <f t="shared" si="18"/>
        <v>2560.9498992285771</v>
      </c>
      <c r="BS18" s="77">
        <f t="shared" si="19"/>
        <v>2889.861075290702</v>
      </c>
      <c r="BT18" s="77">
        <f t="shared" si="20"/>
        <v>3214.4492477960334</v>
      </c>
      <c r="BU18" s="77">
        <f t="shared" si="21"/>
        <v>3536.2421899260089</v>
      </c>
      <c r="BV18" s="80">
        <f>IFERROR(VLOOKUP($H18,'1. Set Program Names'!$B$2:$D$15,3,0)*V18,"NA")</f>
        <v>3836.3959658138533</v>
      </c>
      <c r="BW18" s="80">
        <f>IFERROR(VLOOKUP($H18,'1. Set Program Names'!$B$2:$D$15,3,0)*W18,"NA")</f>
        <v>7549.4710499414286</v>
      </c>
      <c r="BX18" s="80">
        <f>IFERROR(VLOOKUP($H18,'1. Set Program Names'!$B$2:$D$15,3,0)*X18,"NA")</f>
        <v>11146.112456645773</v>
      </c>
      <c r="BY18" s="80">
        <f>IFERROR(VLOOKUP($H18,'1. Set Program Names'!$B$2:$D$15,3,0)*Y18,"NA")</f>
        <v>14636.905470598376</v>
      </c>
      <c r="BZ18" s="80">
        <f>IFERROR(VLOOKUP($H18,'1. Set Program Names'!$B$2:$D$15,3,0)*Z18,"NA")</f>
        <v>18029.668777158018</v>
      </c>
      <c r="CA18" s="80">
        <f>IFERROR(VLOOKUP($H18,'1. Set Program Names'!$B$2:$D$15,3,0)*AA18,"NA")</f>
        <v>21321.198361958432</v>
      </c>
      <c r="CB18" s="80">
        <f>IFERROR(VLOOKUP($H18,'1. Set Program Names'!$B$2:$D$15,3,0)*AB18,"NA")</f>
        <v>24531.468102403884</v>
      </c>
      <c r="CC18" s="80">
        <f>IFERROR(VLOOKUP($H18,'1. Set Program Names'!$B$2:$D$15,3,0)*AC18,"NA")</f>
        <v>27682.124828067535</v>
      </c>
      <c r="CD18" s="80">
        <f>IFERROR(VLOOKUP($H18,'1. Set Program Names'!$B$2:$D$15,3,0)*AD18,"NA")</f>
        <v>30791.371284872745</v>
      </c>
      <c r="CE18" s="80">
        <f>IFERROR(VLOOKUP($H18,'1. Set Program Names'!$B$2:$D$15,3,0)*AE18,"NA")</f>
        <v>33873.842089091944</v>
      </c>
    </row>
    <row r="19" spans="1:83" x14ac:dyDescent="0.25">
      <c r="A19" s="79" t="s">
        <v>113</v>
      </c>
      <c r="B19" s="79" t="s">
        <v>88</v>
      </c>
      <c r="C19" s="79" t="s">
        <v>89</v>
      </c>
      <c r="D19" s="79" t="s">
        <v>90</v>
      </c>
      <c r="E19" s="79" t="s">
        <v>91</v>
      </c>
      <c r="F19" s="79" t="s">
        <v>90</v>
      </c>
      <c r="G19" s="79" t="s">
        <v>92</v>
      </c>
      <c r="H19" s="79" t="s">
        <v>5</v>
      </c>
      <c r="I19" s="79" t="s">
        <v>296</v>
      </c>
      <c r="J19" s="79" t="s">
        <v>97</v>
      </c>
      <c r="K19" s="79" t="s">
        <v>102</v>
      </c>
      <c r="L19" s="79">
        <v>936.45</v>
      </c>
      <c r="M19" s="79">
        <v>0.42562333070119601</v>
      </c>
      <c r="N19" s="79">
        <v>3.9115067461125599E-2</v>
      </c>
      <c r="O19" s="79">
        <v>685.00999995999996</v>
      </c>
      <c r="P19" s="79">
        <v>458.12689399999903</v>
      </c>
      <c r="Q19" s="79">
        <v>278.34018715299698</v>
      </c>
      <c r="R19" s="79">
        <v>763.90764278946904</v>
      </c>
      <c r="S19" s="79">
        <v>1415.5155729468199</v>
      </c>
      <c r="T19" s="79">
        <v>20</v>
      </c>
      <c r="U19" s="79">
        <v>0.9</v>
      </c>
      <c r="V19" s="79">
        <f>tbl_Data_old[[#This Row],[2025 ]]*IFERROR(AVERAGEIFS('Participation Adjustment'!$C:$C,'Participation Adjustment'!$A:$A,$H19,'Participation Adjustment'!$B:$B,$I19),1)</f>
        <v>91695.138181507893</v>
      </c>
      <c r="W19" s="79">
        <f>tbl_Data_old[[#This Row],[2026 ]]*IFERROR(AVERAGEIFS('Participation Adjustment'!$C:$C,'Participation Adjustment'!$A:$A,$H19,'Participation Adjustment'!$B:$B,$I19),1)</f>
        <v>180444.35253449599</v>
      </c>
      <c r="X19" s="79">
        <f>tbl_Data_old[[#This Row],[2027 ]]*IFERROR(AVERAGEIFS('Participation Adjustment'!$C:$C,'Participation Adjustment'!$A:$A,$H19,'Participation Adjustment'!$B:$B,$I19),1)</f>
        <v>266414.43250122998</v>
      </c>
      <c r="Y19" s="79">
        <f>tbl_Data_old[[#This Row],[2028 ]]*IFERROR(AVERAGEIFS('Participation Adjustment'!$C:$C,'Participation Adjustment'!$A:$A,$H19,'Participation Adjustment'!$B:$B,$I19),1)</f>
        <v>349860.28867611103</v>
      </c>
      <c r="Z19" s="79">
        <f>tbl_Data_old[[#This Row],[2029 ]]*IFERROR(AVERAGEIFS('Participation Adjustment'!$C:$C,'Participation Adjustment'!$A:$A,$H19,'Participation Adjustment'!$B:$B,$I19),1)</f>
        <v>430970.47786420898</v>
      </c>
      <c r="AA19" s="79">
        <f>tbl_Data_old[[#This Row],[2030 ]]*IFERROR(AVERAGEIFS('Participation Adjustment'!$C:$C,'Participation Adjustment'!$A:$A,$H19,'Participation Adjustment'!$B:$B,$I19),1)</f>
        <v>509669.84269339498</v>
      </c>
      <c r="AB19" s="79">
        <f>tbl_Data_old[[#This Row],[2031 ]]*IFERROR(AVERAGEIFS('Participation Adjustment'!$C:$C,'Participation Adjustment'!$A:$A,$H19,'Participation Adjustment'!$B:$B,$I19),1)</f>
        <v>586437.24366886599</v>
      </c>
      <c r="AC19" s="79">
        <f>tbl_Data_old[[#This Row],[2032 ]]*IFERROR(AVERAGEIFS('Participation Adjustment'!$C:$C,'Participation Adjustment'!$A:$A,$H19,'Participation Adjustment'!$B:$B,$I19),1)</f>
        <v>661791.59878060594</v>
      </c>
      <c r="AD19" s="79">
        <f>tbl_Data_old[[#This Row],[2033 ]]*IFERROR(AVERAGEIFS('Participation Adjustment'!$C:$C,'Participation Adjustment'!$A:$A,$H19,'Participation Adjustment'!$B:$B,$I19),1)</f>
        <v>736169.56986946403</v>
      </c>
      <c r="AE19" s="79">
        <f>tbl_Data_old[[#This Row],[2034 ]]*IFERROR(AVERAGEIFS('Participation Adjustment'!$C:$C,'Participation Adjustment'!$A:$A,$H19,'Participation Adjustment'!$B:$B,$I19),1)</f>
        <v>809922.60592371796</v>
      </c>
      <c r="AF19" s="77" t="str">
        <f t="shared" si="11"/>
        <v>Residential</v>
      </c>
      <c r="AG19" s="77" t="str">
        <f>tbl_Data[[#This Row],[All_Meas_Name_Append]]</f>
        <v>Duct Repair</v>
      </c>
      <c r="AH19" s="77">
        <f>AVERAGEIFS('3. Incentive Adjustment'!G:G,'3. Incentive Adjustment'!A:A,tbl_Data[[#This Row],[Trimmed Sector]],'3. Incentive Adjustment'!B:B,tbl_Data[[#This Row],[Trimmed Measure Name]])</f>
        <v>0.36456477469769399</v>
      </c>
      <c r="AI19" s="77">
        <f>$AH19*tbl_Data[[#This Row],[2025 ]]</f>
        <v>33428.817392015342</v>
      </c>
      <c r="AJ19" s="77">
        <f>$AH19*tbl_Data[[#This Row],[2026 ]]</f>
        <v>65783.654727209796</v>
      </c>
      <c r="AK19" s="77">
        <f>$AH19*tbl_Data[[#This Row],[2027 ]]</f>
        <v>97125.317561024916</v>
      </c>
      <c r="AL19" s="77">
        <f>$AH19*tbl_Data[[#This Row],[2028 ]]</f>
        <v>127546.73731687659</v>
      </c>
      <c r="AM19" s="77">
        <f>$AH19*tbl_Data[[#This Row],[2029 ]]</f>
        <v>157116.65516392287</v>
      </c>
      <c r="AN19" s="77">
        <f>$AH19*tbl_Data[[#This Row],[2030 ]]</f>
        <v>185807.67137172667</v>
      </c>
      <c r="AO19" s="77">
        <f>$AH19*tbl_Data[[#This Row],[2031 ]]</f>
        <v>213794.36161247682</v>
      </c>
      <c r="AP19" s="77">
        <f>$AH19*tbl_Data[[#This Row],[2032 ]]</f>
        <v>241265.90510627831</v>
      </c>
      <c r="AQ19" s="77">
        <f>$AH19*tbl_Data[[#This Row],[2033 ]]</f>
        <v>268381.49337875948</v>
      </c>
      <c r="AR19" s="77">
        <f>$AH19*tbl_Data[[#This Row],[2034 ]]</f>
        <v>295269.25235114945</v>
      </c>
      <c r="AS19" s="77">
        <f>SUM(tbl_Data[[#This Row],[Adjusted 2025]:[Adjusted 2034]])</f>
        <v>1685519.8659814405</v>
      </c>
      <c r="AT19" s="80">
        <f>AVERAGEIFS('3. Incentive Adjustment'!F:F,'3. Incentive Adjustment'!A:A,tbl_Data[[#This Row],[Trimmed Sector]],'3. Incentive Adjustment'!B:B,tbl_Data[[#This Row],[Trimmed Measure Name]])</f>
        <v>100</v>
      </c>
      <c r="AU19" s="80">
        <f>IFERROR(VLOOKUP(tbl_Data[[#This Row],[All_Meas_Name_Append]],'IRA Tax Credits'!$A$3:$D$46,4,0),0)</f>
        <v>0</v>
      </c>
      <c r="AV19" s="81">
        <f>tbl_Data[[#This Row],[Adj. per unit Incentive ($)]]/tbl_Data[[#This Row],[kWh Savings]]*tbl_Data[[#This Row],[Sum of Annuals]]</f>
        <v>179990.37492460254</v>
      </c>
      <c r="AW19" s="81">
        <f>IFERROR(VLOOKUP(tbl_Data[[#This Row],[Column1]],'1. Set Program Names'!$B$2:$D$15,3,0)*tbl_Data[[#This Row],[Sum of Annuals]],"")</f>
        <v>751478.31963378144</v>
      </c>
      <c r="AX19" s="81">
        <f>tbl_Data[[#This Row],[per unit IRA tax ($)]]/tbl_Data[[#This Row],[kWh Savings]]*tbl_Data[[#This Row],[Sum of Annuals]]</f>
        <v>0</v>
      </c>
      <c r="AY19" s="81">
        <f>tbl_Data[[#This Row],[Avoided Costs ($/unit)]]/tbl_Data[[#This Row],[kWh Savings]]*tbl_Data[[#This Row],[Sum of Annuals]]</f>
        <v>1374960.2303344589</v>
      </c>
      <c r="AZ19" s="81">
        <f>tbl_Data[[#This Row],[Lost Revenue ($/unit)]]/tbl_Data[[#This Row],[kWh Savings]]*tbl_Data[[#This Row],[Sum of Annuals]]</f>
        <v>2547791.786863117</v>
      </c>
      <c r="BA19" s="81">
        <f>tbl_Data[[#This Row],[Incremental Cost ($/unit)]]/tbl_Data[[#This Row],[kWh Savings]]*tbl_Data[[#This Row],[Sum of Annuals]]</f>
        <v>1232952.0671990237</v>
      </c>
      <c r="BB19" s="77">
        <f>ROUNDUP(tbl_Data[[#This Row],[Adjusted 2025]]/$L19,0)</f>
        <v>36</v>
      </c>
      <c r="BC19" s="77">
        <f>ROUNDUP(tbl_Data[[#This Row],[Adjusted 2026]]/$L19,0)</f>
        <v>71</v>
      </c>
      <c r="BD19" s="77">
        <f>ROUNDUP(tbl_Data[[#This Row],[Adjusted 2027]]/$L19,0)</f>
        <v>104</v>
      </c>
      <c r="BE19" s="77">
        <f>ROUNDUP(tbl_Data[[#This Row],[Adjusted 2028]]/$L19,0)</f>
        <v>137</v>
      </c>
      <c r="BF19" s="77">
        <f>ROUNDUP(tbl_Data[[#This Row],[Adjusted 2029]]/$L19,0)</f>
        <v>168</v>
      </c>
      <c r="BG19" s="77">
        <f>ROUNDUP(tbl_Data[[#This Row],[Adjusted 2030]]/$L19,0)</f>
        <v>199</v>
      </c>
      <c r="BH19" s="77">
        <f>ROUNDUP(tbl_Data[[#This Row],[Adjusted 2031]]/$L19,0)</f>
        <v>229</v>
      </c>
      <c r="BI19" s="77">
        <f>ROUNDUP(tbl_Data[[#This Row],[Adjusted 2032]]/$L19,0)</f>
        <v>258</v>
      </c>
      <c r="BJ19" s="77">
        <f>ROUNDUP(tbl_Data[[#This Row],[Adjusted 2033]]/$L19,0)</f>
        <v>287</v>
      </c>
      <c r="BK19" s="77">
        <f>ROUNDUP(tbl_Data[[#This Row],[Adjusted 2034]]/$L19,0)</f>
        <v>316</v>
      </c>
      <c r="BL19" s="80">
        <f t="shared" si="12"/>
        <v>9791.7815346796833</v>
      </c>
      <c r="BM19" s="77">
        <f t="shared" si="13"/>
        <v>19268.978860002775</v>
      </c>
      <c r="BN19" s="77">
        <f t="shared" si="14"/>
        <v>28449.402797931547</v>
      </c>
      <c r="BO19" s="77">
        <f t="shared" si="15"/>
        <v>37360.27429933376</v>
      </c>
      <c r="BP19" s="77">
        <f t="shared" si="16"/>
        <v>46021.728641594207</v>
      </c>
      <c r="BQ19" s="77">
        <f t="shared" si="17"/>
        <v>54425.740049484215</v>
      </c>
      <c r="BR19" s="77">
        <f t="shared" si="18"/>
        <v>62623.444248904474</v>
      </c>
      <c r="BS19" s="77">
        <f t="shared" si="19"/>
        <v>70670.254555032938</v>
      </c>
      <c r="BT19" s="77">
        <f t="shared" si="20"/>
        <v>78612.800455920122</v>
      </c>
      <c r="BU19" s="77">
        <f t="shared" si="21"/>
        <v>86488.611877165677</v>
      </c>
      <c r="BV19" s="80">
        <f>IFERROR(VLOOKUP($H19,'1. Set Program Names'!$B$2:$D$15,3,0)*V19,"NA")</f>
        <v>40881.69457386015</v>
      </c>
      <c r="BW19" s="80">
        <f>IFERROR(VLOOKUP($H19,'1. Set Program Names'!$B$2:$D$15,3,0)*W19,"NA")</f>
        <v>80449.967732104924</v>
      </c>
      <c r="BX19" s="80">
        <f>IFERROR(VLOOKUP($H19,'1. Set Program Names'!$B$2:$D$15,3,0)*X19,"NA")</f>
        <v>118779.18148750925</v>
      </c>
      <c r="BY19" s="80">
        <f>IFERROR(VLOOKUP($H19,'1. Set Program Names'!$B$2:$D$15,3,0)*Y19,"NA")</f>
        <v>155982.98610845834</v>
      </c>
      <c r="BZ19" s="80">
        <f>IFERROR(VLOOKUP($H19,'1. Set Program Names'!$B$2:$D$15,3,0)*Z19,"NA")</f>
        <v>192145.44844808709</v>
      </c>
      <c r="CA19" s="80">
        <f>IFERROR(VLOOKUP($H19,'1. Set Program Names'!$B$2:$D$15,3,0)*AA19,"NA")</f>
        <v>227233.0600697076</v>
      </c>
      <c r="CB19" s="80">
        <f>IFERROR(VLOOKUP($H19,'1. Set Program Names'!$B$2:$D$15,3,0)*AB19,"NA")</f>
        <v>261459.31788608083</v>
      </c>
      <c r="CC19" s="80">
        <f>IFERROR(VLOOKUP($H19,'1. Set Program Names'!$B$2:$D$15,3,0)*AC19,"NA")</f>
        <v>295055.5781849678</v>
      </c>
      <c r="CD19" s="80">
        <f>IFERROR(VLOOKUP($H19,'1. Set Program Names'!$B$2:$D$15,3,0)*AD19,"NA")</f>
        <v>328216.52387283102</v>
      </c>
      <c r="CE19" s="80">
        <f>IFERROR(VLOOKUP($H19,'1. Set Program Names'!$B$2:$D$15,3,0)*AE19,"NA")</f>
        <v>361098.84624739911</v>
      </c>
    </row>
    <row r="20" spans="1:83" x14ac:dyDescent="0.25">
      <c r="A20" s="79" t="s">
        <v>113</v>
      </c>
      <c r="B20" s="79" t="s">
        <v>88</v>
      </c>
      <c r="C20" s="79" t="s">
        <v>89</v>
      </c>
      <c r="D20" s="79" t="s">
        <v>90</v>
      </c>
      <c r="E20" s="79" t="s">
        <v>91</v>
      </c>
      <c r="F20" s="79" t="s">
        <v>90</v>
      </c>
      <c r="G20" s="79" t="s">
        <v>92</v>
      </c>
      <c r="H20" s="79" t="s">
        <v>5</v>
      </c>
      <c r="I20" s="79" t="s">
        <v>297</v>
      </c>
      <c r="J20" s="79" t="s">
        <v>97</v>
      </c>
      <c r="K20" s="79" t="s">
        <v>298</v>
      </c>
      <c r="L20" s="79">
        <v>57.93</v>
      </c>
      <c r="M20" s="79">
        <v>0</v>
      </c>
      <c r="N20" s="79">
        <v>1.1014721785810099E-2</v>
      </c>
      <c r="O20" s="79">
        <v>154.1011072</v>
      </c>
      <c r="P20" s="79">
        <v>140.06582681793901</v>
      </c>
      <c r="Q20" s="79">
        <v>17.218481543887101</v>
      </c>
      <c r="R20" s="79">
        <v>46.999759951794701</v>
      </c>
      <c r="S20" s="79">
        <v>87.565611768711094</v>
      </c>
      <c r="T20" s="79">
        <v>20</v>
      </c>
      <c r="U20" s="79">
        <v>0.8</v>
      </c>
      <c r="V20" s="79">
        <f>tbl_Data_old[[#This Row],[2025 ]]*IFERROR(AVERAGEIFS('Participation Adjustment'!$C:$C,'Participation Adjustment'!$A:$A,$H20,'Participation Adjustment'!$B:$B,$I20),1)</f>
        <v>6080.6521886545497</v>
      </c>
      <c r="W20" s="79">
        <f>tbl_Data_old[[#This Row],[2026 ]]*IFERROR(AVERAGEIFS('Participation Adjustment'!$C:$C,'Participation Adjustment'!$A:$A,$H20,'Participation Adjustment'!$B:$B,$I20),1)</f>
        <v>11738.028659575</v>
      </c>
      <c r="X20" s="79">
        <f>tbl_Data_old[[#This Row],[2027 ]]*IFERROR(AVERAGEIFS('Participation Adjustment'!$C:$C,'Participation Adjustment'!$A:$A,$H20,'Participation Adjustment'!$B:$B,$I20),1)</f>
        <v>16981.8116282952</v>
      </c>
      <c r="Y20" s="79">
        <f>tbl_Data_old[[#This Row],[2028 ]]*IFERROR(AVERAGEIFS('Participation Adjustment'!$C:$C,'Participation Adjustment'!$A:$A,$H20,'Participation Adjustment'!$B:$B,$I20),1)</f>
        <v>21831.508847945253</v>
      </c>
      <c r="Z20" s="79">
        <f>tbl_Data_old[[#This Row],[2029 ]]*IFERROR(AVERAGEIFS('Participation Adjustment'!$C:$C,'Participation Adjustment'!$A:$A,$H20,'Participation Adjustment'!$B:$B,$I20),1)</f>
        <v>26305.866369636602</v>
      </c>
      <c r="AA20" s="79">
        <f>tbl_Data_old[[#This Row],[2030 ]]*IFERROR(AVERAGEIFS('Participation Adjustment'!$C:$C,'Participation Adjustment'!$A:$A,$H20,'Participation Adjustment'!$B:$B,$I20),1)</f>
        <v>30412.358638219099</v>
      </c>
      <c r="AB20" s="79">
        <f>tbl_Data_old[[#This Row],[2031 ]]*IFERROR(AVERAGEIFS('Participation Adjustment'!$C:$C,'Participation Adjustment'!$A:$A,$H20,'Participation Adjustment'!$B:$B,$I20),1)</f>
        <v>34189.663234202999</v>
      </c>
      <c r="AC20" s="79">
        <f>tbl_Data_old[[#This Row],[2032 ]]*IFERROR(AVERAGEIFS('Participation Adjustment'!$C:$C,'Participation Adjustment'!$A:$A,$H20,'Participation Adjustment'!$B:$B,$I20),1)</f>
        <v>37676.527386334601</v>
      </c>
      <c r="AD20" s="79">
        <f>tbl_Data_old[[#This Row],[2033 ]]*IFERROR(AVERAGEIFS('Participation Adjustment'!$C:$C,'Participation Adjustment'!$A:$A,$H20,'Participation Adjustment'!$B:$B,$I20),1)</f>
        <v>40905.431286460247</v>
      </c>
      <c r="AE20" s="79">
        <f>tbl_Data_old[[#This Row],[2034 ]]*IFERROR(AVERAGEIFS('Participation Adjustment'!$C:$C,'Participation Adjustment'!$A:$A,$H20,'Participation Adjustment'!$B:$B,$I20),1)</f>
        <v>43903.035825118306</v>
      </c>
      <c r="AF20" s="77" t="str">
        <f t="shared" si="11"/>
        <v>Residential</v>
      </c>
      <c r="AG20" s="77" t="str">
        <f>tbl_Data[[#This Row],[All_Meas_Name_Append]]</f>
        <v>Energy Star Windows Residential</v>
      </c>
      <c r="AH20" s="77">
        <f>AVERAGEIFS('3. Incentive Adjustment'!G:G,'3. Incentive Adjustment'!A:A,tbl_Data[[#This Row],[Trimmed Sector]],'3. Incentive Adjustment'!B:B,tbl_Data[[#This Row],[Trimmed Measure Name]])</f>
        <v>1.5721893920937398</v>
      </c>
      <c r="AI20" s="77">
        <f>$AH20*tbl_Data[[#This Row],[2025 ]]</f>
        <v>9559.9368680142652</v>
      </c>
      <c r="AJ20" s="77">
        <f>$AH20*tbl_Data[[#This Row],[2026 ]]</f>
        <v>18454.404142676114</v>
      </c>
      <c r="AK20" s="77">
        <f>$AH20*tbl_Data[[#This Row],[2027 ]]</f>
        <v>26698.62410053983</v>
      </c>
      <c r="AL20" s="77">
        <f>$AH20*tbl_Data[[#This Row],[2028 ]]</f>
        <v>34323.266624140146</v>
      </c>
      <c r="AM20" s="77">
        <f>$AH20*tbl_Data[[#This Row],[2029 ]]</f>
        <v>41357.804056178124</v>
      </c>
      <c r="AN20" s="77">
        <f>$AH20*tbl_Data[[#This Row],[2030 ]]</f>
        <v>47813.98763955848</v>
      </c>
      <c r="AO20" s="77">
        <f>$AH20*tbl_Data[[#This Row],[2031 ]]</f>
        <v>53752.625856071296</v>
      </c>
      <c r="AP20" s="77">
        <f>$AH20*tbl_Data[[#This Row],[2032 ]]</f>
        <v>59234.636687724531</v>
      </c>
      <c r="AQ20" s="77">
        <f>$AH20*tbl_Data[[#This Row],[2033 ]]</f>
        <v>64311.085147592181</v>
      </c>
      <c r="AR20" s="77">
        <f>$AH20*tbl_Data[[#This Row],[2034 ]]</f>
        <v>69023.887204962433</v>
      </c>
      <c r="AS20" s="77">
        <f>SUM(tbl_Data[[#This Row],[Adjusted 2025]:[Adjusted 2034]])</f>
        <v>424530.25832745741</v>
      </c>
      <c r="AT20" s="80">
        <f>AVERAGEIFS('3. Incentive Adjustment'!F:F,'3. Incentive Adjustment'!A:A,tbl_Data[[#This Row],[Trimmed Sector]],'3. Incentive Adjustment'!B:B,tbl_Data[[#This Row],[Trimmed Measure Name]])</f>
        <v>150</v>
      </c>
      <c r="AU20" s="80">
        <f>IFERROR(VLOOKUP(tbl_Data[[#This Row],[All_Meas_Name_Append]],'IRA Tax Credits'!$A$3:$D$46,4,0),0)</f>
        <v>0</v>
      </c>
      <c r="AV20" s="81">
        <f>tbl_Data[[#This Row],[Adj. per unit Incentive ($)]]/tbl_Data[[#This Row],[kWh Savings]]*tbl_Data[[#This Row],[Sum of Annuals]]</f>
        <v>1099249.7626293562</v>
      </c>
      <c r="AW20" s="81">
        <f>IFERROR(VLOOKUP(tbl_Data[[#This Row],[Column1]],'1. Set Program Names'!$B$2:$D$15,3,0)*tbl_Data[[#This Row],[Sum of Annuals]],"")</f>
        <v>189274.11749955942</v>
      </c>
      <c r="AX20" s="81">
        <f>tbl_Data[[#This Row],[per unit IRA tax ($)]]/tbl_Data[[#This Row],[kWh Savings]]*tbl_Data[[#This Row],[Sum of Annuals]]</f>
        <v>0</v>
      </c>
      <c r="AY20" s="81">
        <f>tbl_Data[[#This Row],[Avoided Costs ($/unit)]]/tbl_Data[[#This Row],[kWh Savings]]*tbl_Data[[#This Row],[Sum of Annuals]]</f>
        <v>344429.83313764702</v>
      </c>
      <c r="AZ20" s="81">
        <f>tbl_Data[[#This Row],[Lost Revenue ($/unit)]]/tbl_Data[[#This Row],[kWh Savings]]*tbl_Data[[#This Row],[Sum of Annuals]]</f>
        <v>641709.85300833359</v>
      </c>
      <c r="BA20" s="81">
        <f>tbl_Data[[#This Row],[Incremental Cost ($/unit)]]/tbl_Data[[#This Row],[kWh Savings]]*tbl_Data[[#This Row],[Sum of Annuals]]</f>
        <v>1129304.0367368066</v>
      </c>
      <c r="BB20" s="77">
        <f>ROUNDUP(tbl_Data[[#This Row],[Adjusted 2025]]/$L20,0)</f>
        <v>166</v>
      </c>
      <c r="BC20" s="77">
        <f>ROUNDUP(tbl_Data[[#This Row],[Adjusted 2026]]/$L20,0)</f>
        <v>319</v>
      </c>
      <c r="BD20" s="77">
        <f>ROUNDUP(tbl_Data[[#This Row],[Adjusted 2027]]/$L20,0)</f>
        <v>461</v>
      </c>
      <c r="BE20" s="77">
        <f>ROUNDUP(tbl_Data[[#This Row],[Adjusted 2028]]/$L20,0)</f>
        <v>593</v>
      </c>
      <c r="BF20" s="77">
        <f>ROUNDUP(tbl_Data[[#This Row],[Adjusted 2029]]/$L20,0)</f>
        <v>714</v>
      </c>
      <c r="BG20" s="77">
        <f>ROUNDUP(tbl_Data[[#This Row],[Adjusted 2030]]/$L20,0)</f>
        <v>826</v>
      </c>
      <c r="BH20" s="77">
        <f>ROUNDUP(tbl_Data[[#This Row],[Adjusted 2031]]/$L20,0)</f>
        <v>928</v>
      </c>
      <c r="BI20" s="77">
        <f>ROUNDUP(tbl_Data[[#This Row],[Adjusted 2032]]/$L20,0)</f>
        <v>1023</v>
      </c>
      <c r="BJ20" s="77">
        <f>ROUNDUP(tbl_Data[[#This Row],[Adjusted 2033]]/$L20,0)</f>
        <v>1111</v>
      </c>
      <c r="BK20" s="77">
        <f>ROUNDUP(tbl_Data[[#This Row],[Adjusted 2034]]/$L20,0)</f>
        <v>1192</v>
      </c>
      <c r="BL20" s="80">
        <f t="shared" si="12"/>
        <v>15744.827003248445</v>
      </c>
      <c r="BM20" s="77">
        <f t="shared" si="13"/>
        <v>30393.652665911446</v>
      </c>
      <c r="BN20" s="77">
        <f t="shared" si="14"/>
        <v>43971.54745804039</v>
      </c>
      <c r="BO20" s="77">
        <f t="shared" si="15"/>
        <v>56529.023428133747</v>
      </c>
      <c r="BP20" s="77">
        <f t="shared" si="16"/>
        <v>68114.620325314871</v>
      </c>
      <c r="BQ20" s="77">
        <f t="shared" si="17"/>
        <v>78747.691968459607</v>
      </c>
      <c r="BR20" s="77">
        <f t="shared" si="18"/>
        <v>88528.387452622992</v>
      </c>
      <c r="BS20" s="77">
        <f t="shared" si="19"/>
        <v>97557.036215263084</v>
      </c>
      <c r="BT20" s="77">
        <f t="shared" si="20"/>
        <v>105917.74025494627</v>
      </c>
      <c r="BU20" s="77">
        <f t="shared" si="21"/>
        <v>113679.53346742182</v>
      </c>
      <c r="BV20" s="80">
        <f>IFERROR(VLOOKUP($H20,'1. Set Program Names'!$B$2:$D$15,3,0)*V20,"NA")</f>
        <v>2711.0201316712996</v>
      </c>
      <c r="BW20" s="80">
        <f>IFERROR(VLOOKUP($H20,'1. Set Program Names'!$B$2:$D$15,3,0)*W20,"NA")</f>
        <v>5233.3254747931378</v>
      </c>
      <c r="BX20" s="80">
        <f>IFERROR(VLOOKUP($H20,'1. Set Program Names'!$B$2:$D$15,3,0)*X20,"NA")</f>
        <v>7571.2327836242803</v>
      </c>
      <c r="BY20" s="80">
        <f>IFERROR(VLOOKUP($H20,'1. Set Program Names'!$B$2:$D$15,3,0)*Y20,"NA")</f>
        <v>9733.4394659128739</v>
      </c>
      <c r="BZ20" s="80">
        <f>IFERROR(VLOOKUP($H20,'1. Set Program Names'!$B$2:$D$15,3,0)*Z20,"NA")</f>
        <v>11728.30332940317</v>
      </c>
      <c r="CA20" s="80">
        <f>IFERROR(VLOOKUP($H20,'1. Set Program Names'!$B$2:$D$15,3,0)*AA20,"NA")</f>
        <v>13559.15680782635</v>
      </c>
      <c r="CB20" s="80">
        <f>IFERROR(VLOOKUP($H20,'1. Set Program Names'!$B$2:$D$15,3,0)*AB20,"NA")</f>
        <v>15243.24405463083</v>
      </c>
      <c r="CC20" s="80">
        <f>IFERROR(VLOOKUP($H20,'1. Set Program Names'!$B$2:$D$15,3,0)*AC20,"NA")</f>
        <v>16797.840275488412</v>
      </c>
      <c r="CD20" s="80">
        <f>IFERROR(VLOOKUP($H20,'1. Set Program Names'!$B$2:$D$15,3,0)*AD20,"NA")</f>
        <v>18237.42655750029</v>
      </c>
      <c r="CE20" s="80">
        <f>IFERROR(VLOOKUP($H20,'1. Set Program Names'!$B$2:$D$15,3,0)*AE20,"NA")</f>
        <v>19573.889489265082</v>
      </c>
    </row>
    <row r="21" spans="1:83" x14ac:dyDescent="0.25">
      <c r="A21" s="79" t="s">
        <v>113</v>
      </c>
      <c r="B21" s="79" t="s">
        <v>88</v>
      </c>
      <c r="C21" s="79" t="s">
        <v>89</v>
      </c>
      <c r="D21" s="79" t="s">
        <v>90</v>
      </c>
      <c r="E21" s="79" t="s">
        <v>91</v>
      </c>
      <c r="F21" s="79" t="s">
        <v>90</v>
      </c>
      <c r="G21" s="79" t="s">
        <v>92</v>
      </c>
      <c r="H21" s="79" t="s">
        <v>5</v>
      </c>
      <c r="I21" s="79" t="s">
        <v>107</v>
      </c>
      <c r="J21" s="79" t="s">
        <v>94</v>
      </c>
      <c r="K21" s="79" t="s">
        <v>108</v>
      </c>
      <c r="L21" s="79">
        <v>1663.1099999999899</v>
      </c>
      <c r="M21" s="79">
        <v>6.6647595975018806E-2</v>
      </c>
      <c r="N21" s="79">
        <v>0.309148293753995</v>
      </c>
      <c r="O21" s="79">
        <v>1389.5</v>
      </c>
      <c r="P21" s="79">
        <v>988.78817699699403</v>
      </c>
      <c r="Q21" s="79">
        <v>494.32468221049697</v>
      </c>
      <c r="R21" s="79">
        <v>791.96156853290995</v>
      </c>
      <c r="S21" s="79">
        <v>2127.4894292214699</v>
      </c>
      <c r="T21" s="79">
        <v>15</v>
      </c>
      <c r="U21" s="79">
        <v>0.7</v>
      </c>
      <c r="V21" s="79">
        <f>tbl_Data_old[[#This Row],[2025 ]]*IFERROR(AVERAGEIFS('Participation Adjustment'!$C:$C,'Participation Adjustment'!$A:$A,$H21,'Participation Adjustment'!$B:$B,$I21),1)</f>
        <v>121835.4538056726</v>
      </c>
      <c r="W21" s="79">
        <f>tbl_Data_old[[#This Row],[2026 ]]*IFERROR(AVERAGEIFS('Participation Adjustment'!$C:$C,'Participation Adjustment'!$A:$A,$H21,'Participation Adjustment'!$B:$B,$I21),1)</f>
        <v>257330.81736396201</v>
      </c>
      <c r="X21" s="79">
        <f>tbl_Data_old[[#This Row],[2027 ]]*IFERROR(AVERAGEIFS('Participation Adjustment'!$C:$C,'Participation Adjustment'!$A:$A,$H21,'Participation Adjustment'!$B:$B,$I21),1)</f>
        <v>405414.23330766201</v>
      </c>
      <c r="Y21" s="79">
        <f>tbl_Data_old[[#This Row],[2028 ]]*IFERROR(AVERAGEIFS('Participation Adjustment'!$C:$C,'Participation Adjustment'!$A:$A,$H21,'Participation Adjustment'!$B:$B,$I21),1)</f>
        <v>565399.75509260397</v>
      </c>
      <c r="Z21" s="79">
        <f>tbl_Data_old[[#This Row],[2029 ]]*IFERROR(AVERAGEIFS('Participation Adjustment'!$C:$C,'Participation Adjustment'!$A:$A,$H21,'Participation Adjustment'!$B:$B,$I21),1)</f>
        <v>736717.20963795006</v>
      </c>
      <c r="AA21" s="79">
        <f>tbl_Data_old[[#This Row],[2030 ]]*IFERROR(AVERAGEIFS('Participation Adjustment'!$C:$C,'Participation Adjustment'!$A:$A,$H21,'Participation Adjustment'!$B:$B,$I21),1)</f>
        <v>918394.71341502795</v>
      </c>
      <c r="AB21" s="79">
        <f>tbl_Data_old[[#This Row],[2031 ]]*IFERROR(AVERAGEIFS('Participation Adjustment'!$C:$C,'Participation Adjustment'!$A:$A,$H21,'Participation Adjustment'!$B:$B,$I21),1)</f>
        <v>1110890.7855013281</v>
      </c>
      <c r="AC21" s="79">
        <f>tbl_Data_old[[#This Row],[2032 ]]*IFERROR(AVERAGEIFS('Participation Adjustment'!$C:$C,'Participation Adjustment'!$A:$A,$H21,'Participation Adjustment'!$B:$B,$I21),1)</f>
        <v>1315138.7918690341</v>
      </c>
      <c r="AD21" s="79">
        <f>tbl_Data_old[[#This Row],[2033 ]]*IFERROR(AVERAGEIFS('Participation Adjustment'!$C:$C,'Participation Adjustment'!$A:$A,$H21,'Participation Adjustment'!$B:$B,$I21),1)</f>
        <v>1532226.7653224319</v>
      </c>
      <c r="AE21" s="79">
        <f>tbl_Data_old[[#This Row],[2034 ]]*IFERROR(AVERAGEIFS('Participation Adjustment'!$C:$C,'Participation Adjustment'!$A:$A,$H21,'Participation Adjustment'!$B:$B,$I21),1)</f>
        <v>1763329.2867735759</v>
      </c>
      <c r="AF21" s="77" t="str">
        <f t="shared" si="11"/>
        <v>Residential</v>
      </c>
      <c r="AG21" s="77" t="str">
        <f>tbl_Data[[#This Row],[All_Meas_Name_Append]]</f>
        <v>Heat Pump Water Heater 50 Gallons- CEE Advanced Tier</v>
      </c>
      <c r="AH21" s="77">
        <f>AVERAGEIFS('3. Incentive Adjustment'!G:G,'3. Incentive Adjustment'!A:A,tbl_Data[[#This Row],[Trimmed Sector]],'3. Incentive Adjustment'!B:B,tbl_Data[[#This Row],[Trimmed Measure Name]])</f>
        <v>0.46049099596140497</v>
      </c>
      <c r="AI21" s="77">
        <f>$AH21*tbl_Data[[#This Row],[2025 ]]</f>
        <v>56104.129466383922</v>
      </c>
      <c r="AJ21" s="77">
        <f>$AH21*tbl_Data[[#This Row],[2026 ]]</f>
        <v>118498.52437949328</v>
      </c>
      <c r="AK21" s="77">
        <f>$AH21*tbl_Data[[#This Row],[2027 ]]</f>
        <v>186689.60407277467</v>
      </c>
      <c r="AL21" s="77">
        <f>$AH21*tbl_Data[[#This Row],[2028 ]]</f>
        <v>260361.49633892765</v>
      </c>
      <c r="AM21" s="77">
        <f>$AH21*tbl_Data[[#This Row],[2029 ]]</f>
        <v>339251.64160808682</v>
      </c>
      <c r="AN21" s="77">
        <f>$AH21*tbl_Data[[#This Row],[2030 ]]</f>
        <v>422912.49626617529</v>
      </c>
      <c r="AO21" s="77">
        <f>$AH21*tbl_Data[[#This Row],[2031 ]]</f>
        <v>511555.20421985403</v>
      </c>
      <c r="AP21" s="77">
        <f>$AH21*tbl_Data[[#This Row],[2032 ]]</f>
        <v>605609.57209525036</v>
      </c>
      <c r="AQ21" s="77">
        <f>$AH21*tbl_Data[[#This Row],[2033 ]]</f>
        <v>705576.62920204864</v>
      </c>
      <c r="AR21" s="77">
        <f>$AH21*tbl_Data[[#This Row],[2034 ]]</f>
        <v>811997.25947427785</v>
      </c>
      <c r="AS21" s="77">
        <f>SUM(tbl_Data[[#This Row],[Adjusted 2025]:[Adjusted 2034]])</f>
        <v>4018556.5571232727</v>
      </c>
      <c r="AT21" s="80">
        <f>AVERAGEIFS('3. Incentive Adjustment'!F:F,'3. Incentive Adjustment'!A:A,tbl_Data[[#This Row],[Trimmed Sector]],'3. Incentive Adjustment'!B:B,tbl_Data[[#This Row],[Trimmed Measure Name]])</f>
        <v>500</v>
      </c>
      <c r="AU21" s="80">
        <f>IFERROR(VLOOKUP(tbl_Data[[#This Row],[All_Meas_Name_Append]],'IRA Tax Credits'!$A$3:$D$46,4,0),0)</f>
        <v>1666.6666666666667</v>
      </c>
      <c r="AV21" s="81">
        <f>tbl_Data[[#This Row],[Adj. per unit Incentive ($)]]/tbl_Data[[#This Row],[kWh Savings]]*tbl_Data[[#This Row],[Sum of Annuals]]</f>
        <v>1208145.1488847092</v>
      </c>
      <c r="AW21" s="81">
        <f>IFERROR(VLOOKUP(tbl_Data[[#This Row],[Column1]],'1. Set Program Names'!$B$2:$D$15,3,0)*tbl_Data[[#This Row],[Sum of Annuals]],"")</f>
        <v>1791647.9003597593</v>
      </c>
      <c r="AX21" s="81">
        <f>tbl_Data[[#This Row],[per unit IRA tax ($)]]/tbl_Data[[#This Row],[kWh Savings]]*tbl_Data[[#This Row],[Sum of Annuals]]</f>
        <v>4027150.4962823642</v>
      </c>
      <c r="AY21" s="81">
        <f>tbl_Data[[#This Row],[Avoided Costs ($/unit)]]/tbl_Data[[#This Row],[kWh Savings]]*tbl_Data[[#This Row],[Sum of Annuals]]</f>
        <v>1913609.0542523204</v>
      </c>
      <c r="AZ21" s="81">
        <f>tbl_Data[[#This Row],[Lost Revenue ($/unit)]]/tbl_Data[[#This Row],[kWh Savings]]*tbl_Data[[#This Row],[Sum of Annuals]]</f>
        <v>5140632.0664348351</v>
      </c>
      <c r="BA21" s="81">
        <f>tbl_Data[[#This Row],[Incremental Cost ($/unit)]]/tbl_Data[[#This Row],[kWh Savings]]*tbl_Data[[#This Row],[Sum of Annuals]]</f>
        <v>3357435.3687506062</v>
      </c>
      <c r="BB21" s="77">
        <f>ROUNDUP(tbl_Data[[#This Row],[Adjusted 2025]]/$L21,0)</f>
        <v>34</v>
      </c>
      <c r="BC21" s="77">
        <f>ROUNDUP(tbl_Data[[#This Row],[Adjusted 2026]]/$L21,0)</f>
        <v>72</v>
      </c>
      <c r="BD21" s="77">
        <f>ROUNDUP(tbl_Data[[#This Row],[Adjusted 2027]]/$L21,0)</f>
        <v>113</v>
      </c>
      <c r="BE21" s="77">
        <f>ROUNDUP(tbl_Data[[#This Row],[Adjusted 2028]]/$L21,0)</f>
        <v>157</v>
      </c>
      <c r="BF21" s="77">
        <f>ROUNDUP(tbl_Data[[#This Row],[Adjusted 2029]]/$L21,0)</f>
        <v>204</v>
      </c>
      <c r="BG21" s="77">
        <f>ROUNDUP(tbl_Data[[#This Row],[Adjusted 2030]]/$L21,0)</f>
        <v>255</v>
      </c>
      <c r="BH21" s="77">
        <f>ROUNDUP(tbl_Data[[#This Row],[Adjusted 2031]]/$L21,0)</f>
        <v>308</v>
      </c>
      <c r="BI21" s="77">
        <f>ROUNDUP(tbl_Data[[#This Row],[Adjusted 2032]]/$L21,0)</f>
        <v>365</v>
      </c>
      <c r="BJ21" s="77">
        <f>ROUNDUP(tbl_Data[[#This Row],[Adjusted 2033]]/$L21,0)</f>
        <v>425</v>
      </c>
      <c r="BK21" s="77">
        <f>ROUNDUP(tbl_Data[[#This Row],[Adjusted 2034]]/$L21,0)</f>
        <v>489</v>
      </c>
      <c r="BL21" s="80">
        <f t="shared" si="12"/>
        <v>36628.80200518106</v>
      </c>
      <c r="BM21" s="77">
        <f t="shared" si="13"/>
        <v>77364.340712269055</v>
      </c>
      <c r="BN21" s="77">
        <f t="shared" si="14"/>
        <v>121884.37124052663</v>
      </c>
      <c r="BO21" s="77">
        <f t="shared" si="15"/>
        <v>169982.66954459038</v>
      </c>
      <c r="BP21" s="77">
        <f t="shared" si="16"/>
        <v>221487.81789477382</v>
      </c>
      <c r="BQ21" s="77">
        <f t="shared" si="17"/>
        <v>276107.62770202622</v>
      </c>
      <c r="BR21" s="77">
        <f t="shared" si="18"/>
        <v>333979.94886127039</v>
      </c>
      <c r="BS21" s="77">
        <f t="shared" si="19"/>
        <v>395385.38998293621</v>
      </c>
      <c r="BT21" s="77">
        <f t="shared" si="20"/>
        <v>460651.05895654566</v>
      </c>
      <c r="BU21" s="77">
        <f t="shared" si="21"/>
        <v>530130.08363054355</v>
      </c>
      <c r="BV21" s="80">
        <f>IFERROR(VLOOKUP($H21,'1. Set Program Names'!$B$2:$D$15,3,0)*V21,"NA")</f>
        <v>54319.562732886938</v>
      </c>
      <c r="BW21" s="80">
        <f>IFERROR(VLOOKUP($H21,'1. Set Program Names'!$B$2:$D$15,3,0)*W21,"NA")</f>
        <v>114729.30941105085</v>
      </c>
      <c r="BX21" s="80">
        <f>IFERROR(VLOOKUP($H21,'1. Set Program Names'!$B$2:$D$15,3,0)*X21,"NA")</f>
        <v>180751.35923969842</v>
      </c>
      <c r="BY21" s="80">
        <f>IFERROR(VLOOKUP($H21,'1. Set Program Names'!$B$2:$D$15,3,0)*Y21,"NA")</f>
        <v>252079.88731176429</v>
      </c>
      <c r="BZ21" s="80">
        <f>IFERROR(VLOOKUP($H21,'1. Set Program Names'!$B$2:$D$15,3,0)*Z21,"NA")</f>
        <v>328460.68558299093</v>
      </c>
      <c r="CA21" s="80">
        <f>IFERROR(VLOOKUP($H21,'1. Set Program Names'!$B$2:$D$15,3,0)*AA21,"NA")</f>
        <v>409460.44595909427</v>
      </c>
      <c r="CB21" s="80">
        <f>IFERROR(VLOOKUP($H21,'1. Set Program Names'!$B$2:$D$15,3,0)*AB21,"NA")</f>
        <v>495283.59625657578</v>
      </c>
      <c r="CC21" s="80">
        <f>IFERROR(VLOOKUP($H21,'1. Set Program Names'!$B$2:$D$15,3,0)*AC21,"NA")</f>
        <v>586346.27176196419</v>
      </c>
      <c r="CD21" s="80">
        <f>IFERROR(VLOOKUP($H21,'1. Set Program Names'!$B$2:$D$15,3,0)*AD21,"NA")</f>
        <v>683133.56498586887</v>
      </c>
      <c r="CE21" s="80">
        <f>IFERROR(VLOOKUP($H21,'1. Set Program Names'!$B$2:$D$15,3,0)*AE21,"NA")</f>
        <v>786169.15536267671</v>
      </c>
    </row>
    <row r="22" spans="1:83" x14ac:dyDescent="0.25">
      <c r="A22" s="79" t="s">
        <v>113</v>
      </c>
      <c r="B22" s="79" t="s">
        <v>88</v>
      </c>
      <c r="C22" s="79" t="s">
        <v>89</v>
      </c>
      <c r="D22" s="79" t="s">
        <v>90</v>
      </c>
      <c r="E22" s="79" t="s">
        <v>91</v>
      </c>
      <c r="F22" s="79" t="s">
        <v>90</v>
      </c>
      <c r="G22" s="79" t="s">
        <v>92</v>
      </c>
      <c r="H22" s="79" t="s">
        <v>5</v>
      </c>
      <c r="I22" s="79" t="s">
        <v>109</v>
      </c>
      <c r="J22" s="79" t="s">
        <v>94</v>
      </c>
      <c r="K22" s="79" t="s">
        <v>95</v>
      </c>
      <c r="L22" s="79">
        <v>1590.11499999999</v>
      </c>
      <c r="M22" s="79">
        <v>6.3722388822036402E-2</v>
      </c>
      <c r="N22" s="79">
        <v>0.29557957027655002</v>
      </c>
      <c r="O22" s="79">
        <v>1389.5</v>
      </c>
      <c r="P22" s="79">
        <v>1006.47372867305</v>
      </c>
      <c r="Q22" s="79">
        <v>472.62844433209199</v>
      </c>
      <c r="R22" s="79">
        <v>757.20185047754296</v>
      </c>
      <c r="S22" s="79">
        <v>2034.1125083407001</v>
      </c>
      <c r="T22" s="79">
        <v>15</v>
      </c>
      <c r="U22" s="79">
        <v>0.7</v>
      </c>
      <c r="V22" s="79">
        <f>tbl_Data_old[[#This Row],[2025 ]]*IFERROR(AVERAGEIFS('Participation Adjustment'!$C:$C,'Participation Adjustment'!$A:$A,$H22,'Participation Adjustment'!$B:$B,$I22),1)</f>
        <v>174111.7373414246</v>
      </c>
      <c r="W22" s="79">
        <f>tbl_Data_old[[#This Row],[2026 ]]*IFERROR(AVERAGEIFS('Participation Adjustment'!$C:$C,'Participation Adjustment'!$A:$A,$H22,'Participation Adjustment'!$B:$B,$I22),1)</f>
        <v>367665.08952028397</v>
      </c>
      <c r="X22" s="79">
        <f>tbl_Data_old[[#This Row],[2027 ]]*IFERROR(AVERAGEIFS('Participation Adjustment'!$C:$C,'Participation Adjustment'!$A:$A,$H22,'Participation Adjustment'!$B:$B,$I22),1)</f>
        <v>579122.36920314399</v>
      </c>
      <c r="Y22" s="79">
        <f>tbl_Data_old[[#This Row],[2028 ]]*IFERROR(AVERAGEIFS('Participation Adjustment'!$C:$C,'Participation Adjustment'!$A:$A,$H22,'Participation Adjustment'!$B:$B,$I22),1)</f>
        <v>807500.02342475601</v>
      </c>
      <c r="Z22" s="79">
        <f>tbl_Data_old[[#This Row],[2029 ]]*IFERROR(AVERAGEIFS('Participation Adjustment'!$C:$C,'Participation Adjustment'!$A:$A,$H22,'Participation Adjustment'!$B:$B,$I22),1)</f>
        <v>1051981.9019977381</v>
      </c>
      <c r="AA22" s="79">
        <f>tbl_Data_old[[#This Row],[2030 ]]*IFERROR(AVERAGEIFS('Participation Adjustment'!$C:$C,'Participation Adjustment'!$A:$A,$H22,'Participation Adjustment'!$B:$B,$I22),1)</f>
        <v>1311180.385049572</v>
      </c>
      <c r="AB22" s="79">
        <f>tbl_Data_old[[#This Row],[2031 ]]*IFERROR(AVERAGEIFS('Participation Adjustment'!$C:$C,'Participation Adjustment'!$A:$A,$H22,'Participation Adjustment'!$B:$B,$I22),1)</f>
        <v>1585749.8466682639</v>
      </c>
      <c r="AC22" s="79">
        <f>tbl_Data_old[[#This Row],[2032 ]]*IFERROR(AVERAGEIFS('Participation Adjustment'!$C:$C,'Participation Adjustment'!$A:$A,$H22,'Participation Adjustment'!$B:$B,$I22),1)</f>
        <v>1877021.909078636</v>
      </c>
      <c r="AD22" s="79">
        <f>tbl_Data_old[[#This Row],[2033 ]]*IFERROR(AVERAGEIFS('Participation Adjustment'!$C:$C,'Participation Adjustment'!$A:$A,$H22,'Participation Adjustment'!$B:$B,$I22),1)</f>
        <v>2186548.4088815199</v>
      </c>
      <c r="AE22" s="79">
        <f>tbl_Data_old[[#This Row],[2034 ]]*IFERROR(AVERAGEIFS('Participation Adjustment'!$C:$C,'Participation Adjustment'!$A:$A,$H22,'Participation Adjustment'!$B:$B,$I22),1)</f>
        <v>2516004.21100946</v>
      </c>
      <c r="AF22" s="77" t="str">
        <f t="shared" si="11"/>
        <v>Residential</v>
      </c>
      <c r="AG22" s="77" t="str">
        <f>tbl_Data[[#This Row],[All_Meas_Name_Append]]</f>
        <v>Heat Pump Water Heater 50 Gallons-ENERGY STAR</v>
      </c>
      <c r="AH22" s="77">
        <f>AVERAGEIFS('3. Incentive Adjustment'!G:G,'3. Incentive Adjustment'!A:A,tbl_Data[[#This Row],[Trimmed Sector]],'3. Incentive Adjustment'!B:B,tbl_Data[[#This Row],[Trimmed Measure Name]])</f>
        <v>0.43153525594917136</v>
      </c>
      <c r="AI22" s="77">
        <f>$AH22*tbl_Data[[#This Row],[2025 ]]</f>
        <v>75135.353137386555</v>
      </c>
      <c r="AJ22" s="77">
        <f>$AH22*tbl_Data[[#This Row],[2026 ]]</f>
        <v>158660.44850971075</v>
      </c>
      <c r="AK22" s="77">
        <f>$AH22*tbl_Data[[#This Row],[2027 ]]</f>
        <v>249911.71981996926</v>
      </c>
      <c r="AL22" s="77">
        <f>$AH22*tbl_Data[[#This Row],[2028 ]]</f>
        <v>348464.72928756394</v>
      </c>
      <c r="AM22" s="77">
        <f>$AH22*tbl_Data[[#This Row],[2029 ]]</f>
        <v>453967.27933249</v>
      </c>
      <c r="AN22" s="77">
        <f>$AH22*tbl_Data[[#This Row],[2030 ]]</f>
        <v>565820.56305790006</v>
      </c>
      <c r="AO22" s="77">
        <f>$AH22*tbl_Data[[#This Row],[2031 ]]</f>
        <v>684306.96595334855</v>
      </c>
      <c r="AP22" s="77">
        <f>$AH22*tbl_Data[[#This Row],[2032 ]]</f>
        <v>810001.12995645148</v>
      </c>
      <c r="AQ22" s="77">
        <f>$AH22*tbl_Data[[#This Row],[2033 ]]</f>
        <v>943572.72727194009</v>
      </c>
      <c r="AR22" s="77">
        <f>$AH22*tbl_Data[[#This Row],[2034 ]]</f>
        <v>1085744.5211671602</v>
      </c>
      <c r="AS22" s="77">
        <f>SUM(tbl_Data[[#This Row],[Adjusted 2025]:[Adjusted 2034]])</f>
        <v>5375585.4374939213</v>
      </c>
      <c r="AT22" s="80">
        <f>AVERAGEIFS('3. Incentive Adjustment'!F:F,'3. Incentive Adjustment'!A:A,tbl_Data[[#This Row],[Trimmed Sector]],'3. Incentive Adjustment'!B:B,tbl_Data[[#This Row],[Trimmed Measure Name]])</f>
        <v>500</v>
      </c>
      <c r="AU22" s="80">
        <f>IFERROR(VLOOKUP(tbl_Data[[#This Row],[All_Meas_Name_Append]],'IRA Tax Credits'!$A$3:$D$46,4,0),0)</f>
        <v>1666.6666666666667</v>
      </c>
      <c r="AV22" s="81">
        <f>tbl_Data[[#This Row],[Adj. per unit Incentive ($)]]/tbl_Data[[#This Row],[kWh Savings]]*tbl_Data[[#This Row],[Sum of Annuals]]</f>
        <v>1690313.4167949974</v>
      </c>
      <c r="AW22" s="81">
        <f>IFERROR(VLOOKUP(tbl_Data[[#This Row],[Column1]],'1. Set Program Names'!$B$2:$D$15,3,0)*tbl_Data[[#This Row],[Sum of Annuals]],"")</f>
        <v>2396670.6018404406</v>
      </c>
      <c r="AX22" s="81">
        <f>tbl_Data[[#This Row],[per unit IRA tax ($)]]/tbl_Data[[#This Row],[kWh Savings]]*tbl_Data[[#This Row],[Sum of Annuals]]</f>
        <v>5634378.0559833245</v>
      </c>
      <c r="AY22" s="81">
        <f>tbl_Data[[#This Row],[Avoided Costs ($/unit)]]/tbl_Data[[#This Row],[kWh Savings]]*tbl_Data[[#This Row],[Sum of Annuals]]</f>
        <v>2559816.8941683811</v>
      </c>
      <c r="AZ22" s="81">
        <f>tbl_Data[[#This Row],[Lost Revenue ($/unit)]]/tbl_Data[[#This Row],[kWh Savings]]*tbl_Data[[#This Row],[Sum of Annuals]]</f>
        <v>6876575.3282376239</v>
      </c>
      <c r="BA22" s="81">
        <f>tbl_Data[[#This Row],[Incremental Cost ($/unit)]]/tbl_Data[[#This Row],[kWh Savings]]*tbl_Data[[#This Row],[Sum of Annuals]]</f>
        <v>4697380.9852732979</v>
      </c>
      <c r="BB22" s="77">
        <f>ROUNDUP(tbl_Data[[#This Row],[Adjusted 2025]]/$L22,0)</f>
        <v>48</v>
      </c>
      <c r="BC22" s="77">
        <f>ROUNDUP(tbl_Data[[#This Row],[Adjusted 2026]]/$L22,0)</f>
        <v>100</v>
      </c>
      <c r="BD22" s="77">
        <f>ROUNDUP(tbl_Data[[#This Row],[Adjusted 2027]]/$L22,0)</f>
        <v>158</v>
      </c>
      <c r="BE22" s="77">
        <f>ROUNDUP(tbl_Data[[#This Row],[Adjusted 2028]]/$L22,0)</f>
        <v>220</v>
      </c>
      <c r="BF22" s="77">
        <f>ROUNDUP(tbl_Data[[#This Row],[Adjusted 2029]]/$L22,0)</f>
        <v>286</v>
      </c>
      <c r="BG22" s="77">
        <f>ROUNDUP(tbl_Data[[#This Row],[Adjusted 2030]]/$L22,0)</f>
        <v>356</v>
      </c>
      <c r="BH22" s="77">
        <f>ROUNDUP(tbl_Data[[#This Row],[Adjusted 2031]]/$L22,0)</f>
        <v>431</v>
      </c>
      <c r="BI22" s="77">
        <f>ROUNDUP(tbl_Data[[#This Row],[Adjusted 2032]]/$L22,0)</f>
        <v>510</v>
      </c>
      <c r="BJ22" s="77">
        <f>ROUNDUP(tbl_Data[[#This Row],[Adjusted 2033]]/$L22,0)</f>
        <v>594</v>
      </c>
      <c r="BK22" s="77">
        <f>ROUNDUP(tbl_Data[[#This Row],[Adjusted 2034]]/$L22,0)</f>
        <v>683</v>
      </c>
      <c r="BL22" s="80">
        <f t="shared" si="12"/>
        <v>54748.158888327474</v>
      </c>
      <c r="BM22" s="77">
        <f t="shared" si="13"/>
        <v>115609.59097935881</v>
      </c>
      <c r="BN22" s="77">
        <f t="shared" si="14"/>
        <v>182100.78176834618</v>
      </c>
      <c r="BO22" s="77">
        <f t="shared" si="15"/>
        <v>253912.46023864974</v>
      </c>
      <c r="BP22" s="77">
        <f t="shared" si="16"/>
        <v>330787.99394941388</v>
      </c>
      <c r="BQ22" s="77">
        <f t="shared" si="17"/>
        <v>412291.05600839568</v>
      </c>
      <c r="BR22" s="77">
        <f t="shared" si="18"/>
        <v>498627.40954845207</v>
      </c>
      <c r="BS22" s="77">
        <f t="shared" si="19"/>
        <v>590215.77341218956</v>
      </c>
      <c r="BT22" s="77">
        <f t="shared" si="20"/>
        <v>687544.11123771977</v>
      </c>
      <c r="BU22" s="77">
        <f t="shared" si="21"/>
        <v>791139.07201978331</v>
      </c>
      <c r="BV22" s="80">
        <f>IFERROR(VLOOKUP($H22,'1. Set Program Names'!$B$2:$D$15,3,0)*V22,"NA")</f>
        <v>77626.611496308979</v>
      </c>
      <c r="BW22" s="80">
        <f>IFERROR(VLOOKUP($H22,'1. Set Program Names'!$B$2:$D$15,3,0)*W22,"NA")</f>
        <v>163921.14340333091</v>
      </c>
      <c r="BX22" s="80">
        <f>IFERROR(VLOOKUP($H22,'1. Set Program Names'!$B$2:$D$15,3,0)*X22,"NA")</f>
        <v>258198.0275964929</v>
      </c>
      <c r="BY22" s="80">
        <f>IFERROR(VLOOKUP($H22,'1. Set Program Names'!$B$2:$D$15,3,0)*Y22,"NA")</f>
        <v>360018.75323738041</v>
      </c>
      <c r="BZ22" s="80">
        <f>IFERROR(VLOOKUP($H22,'1. Set Program Names'!$B$2:$D$15,3,0)*Z22,"NA")</f>
        <v>469019.4449521334</v>
      </c>
      <c r="CA22" s="80">
        <f>IFERROR(VLOOKUP($H22,'1. Set Program Names'!$B$2:$D$15,3,0)*AA22,"NA")</f>
        <v>584581.4412398485</v>
      </c>
      <c r="CB22" s="80">
        <f>IFERROR(VLOOKUP($H22,'1. Set Program Names'!$B$2:$D$15,3,0)*AB22,"NA")</f>
        <v>706996.49062867521</v>
      </c>
      <c r="CC22" s="80">
        <f>IFERROR(VLOOKUP($H22,'1. Set Program Names'!$B$2:$D$15,3,0)*AC22,"NA")</f>
        <v>836858.28842419432</v>
      </c>
      <c r="CD22" s="80">
        <f>IFERROR(VLOOKUP($H22,'1. Set Program Names'!$B$2:$D$15,3,0)*AD22,"NA")</f>
        <v>974858.71111191984</v>
      </c>
      <c r="CE22" s="80">
        <f>IFERROR(VLOOKUP($H22,'1. Set Program Names'!$B$2:$D$15,3,0)*AE22,"NA")</f>
        <v>1121744.4865771318</v>
      </c>
    </row>
    <row r="23" spans="1:83" x14ac:dyDescent="0.25">
      <c r="A23" s="79" t="s">
        <v>113</v>
      </c>
      <c r="B23" s="79" t="s">
        <v>88</v>
      </c>
      <c r="C23" s="79" t="s">
        <v>89</v>
      </c>
      <c r="D23" s="79" t="s">
        <v>90</v>
      </c>
      <c r="E23" s="79" t="s">
        <v>91</v>
      </c>
      <c r="F23" s="79" t="s">
        <v>90</v>
      </c>
      <c r="G23" s="79" t="s">
        <v>92</v>
      </c>
      <c r="H23" s="79" t="s">
        <v>5</v>
      </c>
      <c r="I23" s="79" t="s">
        <v>110</v>
      </c>
      <c r="J23" s="79" t="s">
        <v>94</v>
      </c>
      <c r="K23" s="79" t="s">
        <v>108</v>
      </c>
      <c r="L23" s="79">
        <v>461.909999999999</v>
      </c>
      <c r="M23" s="79">
        <v>1.8510616289253799E-2</v>
      </c>
      <c r="N23" s="79">
        <v>8.5862443475120898E-2</v>
      </c>
      <c r="O23" s="79">
        <v>1729.5</v>
      </c>
      <c r="P23" s="79">
        <v>1631.9996867488601</v>
      </c>
      <c r="Q23" s="79">
        <v>137.29309183388401</v>
      </c>
      <c r="R23" s="79">
        <v>219.958372038552</v>
      </c>
      <c r="S23" s="79">
        <v>590.88613636602201</v>
      </c>
      <c r="T23" s="79">
        <v>15</v>
      </c>
      <c r="U23" s="79">
        <v>0.7</v>
      </c>
      <c r="V23" s="79">
        <f>tbl_Data_old[[#This Row],[2025 ]]*IFERROR(AVERAGEIFS('Participation Adjustment'!$C:$C,'Participation Adjustment'!$A:$A,$H23,'Participation Adjustment'!$B:$B,$I23),1)</f>
        <v>93658.812674613</v>
      </c>
      <c r="W23" s="79">
        <f>tbl_Data_old[[#This Row],[2026 ]]*IFERROR(AVERAGEIFS('Participation Adjustment'!$C:$C,'Participation Adjustment'!$A:$A,$H23,'Participation Adjustment'!$B:$B,$I23),1)</f>
        <v>197836.866240289</v>
      </c>
      <c r="X23" s="79">
        <f>tbl_Data_old[[#This Row],[2027 ]]*IFERROR(AVERAGEIFS('Participation Adjustment'!$C:$C,'Participation Adjustment'!$A:$A,$H23,'Participation Adjustment'!$B:$B,$I23),1)</f>
        <v>311711.41869138798</v>
      </c>
      <c r="Y23" s="79">
        <f>tbl_Data_old[[#This Row],[2028 ]]*IFERROR(AVERAGEIFS('Participation Adjustment'!$C:$C,'Participation Adjustment'!$A:$A,$H23,'Participation Adjustment'!$B:$B,$I23),1)</f>
        <v>434755.75769814802</v>
      </c>
      <c r="Z23" s="79">
        <f>tbl_Data_old[[#This Row],[2029 ]]*IFERROR(AVERAGEIFS('Participation Adjustment'!$C:$C,'Participation Adjustment'!$A:$A,$H23,'Participation Adjustment'!$B:$B,$I23),1)</f>
        <v>566531.70583325997</v>
      </c>
      <c r="AA23" s="79">
        <f>tbl_Data_old[[#This Row],[2030 ]]*IFERROR(AVERAGEIFS('Participation Adjustment'!$C:$C,'Participation Adjustment'!$A:$A,$H23,'Participation Adjustment'!$B:$B,$I23),1)</f>
        <v>706291.67509838205</v>
      </c>
      <c r="AB23" s="79">
        <f>tbl_Data_old[[#This Row],[2031 ]]*IFERROR(AVERAGEIFS('Participation Adjustment'!$C:$C,'Participation Adjustment'!$A:$A,$H23,'Participation Adjustment'!$B:$B,$I23),1)</f>
        <v>854388.16566269204</v>
      </c>
      <c r="AC23" s="79">
        <f>tbl_Data_old[[#This Row],[2032 ]]*IFERROR(AVERAGEIFS('Participation Adjustment'!$C:$C,'Participation Adjustment'!$A:$A,$H23,'Participation Adjustment'!$B:$B,$I23),1)</f>
        <v>1011539.009126268</v>
      </c>
      <c r="AD23" s="79">
        <f>tbl_Data_old[[#This Row],[2033 ]]*IFERROR(AVERAGEIFS('Participation Adjustment'!$C:$C,'Participation Adjustment'!$A:$A,$H23,'Participation Adjustment'!$B:$B,$I23),1)</f>
        <v>1178581.11360907</v>
      </c>
      <c r="AE23" s="79">
        <f>tbl_Data_old[[#This Row],[2034 ]]*IFERROR(AVERAGEIFS('Participation Adjustment'!$C:$C,'Participation Adjustment'!$A:$A,$H23,'Participation Adjustment'!$B:$B,$I23),1)</f>
        <v>1356418.0611829481</v>
      </c>
      <c r="AF23" s="77" t="str">
        <f t="shared" si="11"/>
        <v>Residential</v>
      </c>
      <c r="AG23" s="77" t="str">
        <f>tbl_Data[[#This Row],[All_Meas_Name_Append]]</f>
        <v>Heat Pump Water Heater 80 Gallons-ENERGY STAR</v>
      </c>
      <c r="AH23" s="77">
        <f>AVERAGEIFS('3. Incentive Adjustment'!G:G,'3. Incentive Adjustment'!A:A,tbl_Data[[#This Row],[Trimmed Sector]],'3. Incentive Adjustment'!B:B,tbl_Data[[#This Row],[Trimmed Measure Name]])</f>
        <v>1.5551101216712928E-3</v>
      </c>
      <c r="AI23" s="77">
        <f>$AH23*tbl_Data[[#This Row],[2025 ]]</f>
        <v>145.64976757400623</v>
      </c>
      <c r="AJ23" s="77">
        <f>$AH23*tbl_Data[[#This Row],[2026 ]]</f>
        <v>307.65811313000313</v>
      </c>
      <c r="AK23" s="77">
        <f>$AH23*tbl_Data[[#This Row],[2027 ]]</f>
        <v>484.74558224749563</v>
      </c>
      <c r="AL23" s="77">
        <f>$AH23*tbl_Data[[#This Row],[2028 ]]</f>
        <v>676.09307925126211</v>
      </c>
      <c r="AM23" s="77">
        <f>$AH23*tbl_Data[[#This Row],[2029 ]]</f>
        <v>881.01918998900601</v>
      </c>
      <c r="AN23" s="77">
        <f>$AH23*tbl_Data[[#This Row],[2030 ]]</f>
        <v>1098.3613327976661</v>
      </c>
      <c r="AO23" s="77">
        <f>$AH23*tbl_Data[[#This Row],[2031 ]]</f>
        <v>1328.6676842582217</v>
      </c>
      <c r="AP23" s="77">
        <f>$AH23*tbl_Data[[#This Row],[2032 ]]</f>
        <v>1573.0545515576096</v>
      </c>
      <c r="AQ23" s="77">
        <f>$AH23*tbl_Data[[#This Row],[2033 ]]</f>
        <v>1832.8234189840884</v>
      </c>
      <c r="AR23" s="77">
        <f>$AH23*tbl_Data[[#This Row],[2034 ]]</f>
        <v>2109.3794561633536</v>
      </c>
      <c r="AS23" s="77">
        <f>SUM(tbl_Data[[#This Row],[Adjusted 2025]:[Adjusted 2034]])</f>
        <v>10437.452175952712</v>
      </c>
      <c r="AT23" s="80">
        <f>AVERAGEIFS('3. Incentive Adjustment'!F:F,'3. Incentive Adjustment'!A:A,tbl_Data[[#This Row],[Trimmed Sector]],'3. Incentive Adjustment'!B:B,tbl_Data[[#This Row],[Trimmed Measure Name]])</f>
        <v>500</v>
      </c>
      <c r="AU23" s="80">
        <f>IFERROR(VLOOKUP(tbl_Data[[#This Row],[All_Meas_Name_Append]],'IRA Tax Credits'!$A$3:$D$46,4,0),0)</f>
        <v>1666.6666666666667</v>
      </c>
      <c r="AV23" s="81">
        <f>tbl_Data[[#This Row],[Adj. per unit Incentive ($)]]/tbl_Data[[#This Row],[kWh Savings]]*tbl_Data[[#This Row],[Sum of Annuals]]</f>
        <v>11298.144850677336</v>
      </c>
      <c r="AW23" s="81">
        <f>IFERROR(VLOOKUP(tbl_Data[[#This Row],[Column1]],'1. Set Program Names'!$B$2:$D$15,3,0)*tbl_Data[[#This Row],[Sum of Annuals]],"")</f>
        <v>4653.4717156097086</v>
      </c>
      <c r="AX23" s="81">
        <f>tbl_Data[[#This Row],[per unit IRA tax ($)]]/tbl_Data[[#This Row],[kWh Savings]]*tbl_Data[[#This Row],[Sum of Annuals]]</f>
        <v>37660.482835591116</v>
      </c>
      <c r="AY23" s="81">
        <f>tbl_Data[[#This Row],[Avoided Costs ($/unit)]]/tbl_Data[[#This Row],[kWh Savings]]*tbl_Data[[#This Row],[Sum of Annuals]]</f>
        <v>4970.2430968214712</v>
      </c>
      <c r="AZ23" s="81">
        <f>tbl_Data[[#This Row],[Lost Revenue ($/unit)]]/tbl_Data[[#This Row],[kWh Savings]]*tbl_Data[[#This Row],[Sum of Annuals]]</f>
        <v>13351.834317840792</v>
      </c>
      <c r="BA23" s="81">
        <f>tbl_Data[[#This Row],[Incremental Cost ($/unit)]]/tbl_Data[[#This Row],[kWh Savings]]*tbl_Data[[#This Row],[Sum of Annuals]]</f>
        <v>39080.283038492897</v>
      </c>
      <c r="BB23" s="77">
        <f>ROUNDUP(tbl_Data[[#This Row],[Adjusted 2025]]/$L23,0)</f>
        <v>1</v>
      </c>
      <c r="BC23" s="77">
        <f>ROUNDUP(tbl_Data[[#This Row],[Adjusted 2026]]/$L23,0)</f>
        <v>1</v>
      </c>
      <c r="BD23" s="77">
        <f>ROUNDUP(tbl_Data[[#This Row],[Adjusted 2027]]/$L23,0)</f>
        <v>2</v>
      </c>
      <c r="BE23" s="77">
        <f>ROUNDUP(tbl_Data[[#This Row],[Adjusted 2028]]/$L23,0)</f>
        <v>2</v>
      </c>
      <c r="BF23" s="77">
        <f>ROUNDUP(tbl_Data[[#This Row],[Adjusted 2029]]/$L23,0)</f>
        <v>2</v>
      </c>
      <c r="BG23" s="77">
        <f>ROUNDUP(tbl_Data[[#This Row],[Adjusted 2030]]/$L23,0)</f>
        <v>3</v>
      </c>
      <c r="BH23" s="77">
        <f>ROUNDUP(tbl_Data[[#This Row],[Adjusted 2031]]/$L23,0)</f>
        <v>3</v>
      </c>
      <c r="BI23" s="77">
        <f>ROUNDUP(tbl_Data[[#This Row],[Adjusted 2032]]/$L23,0)</f>
        <v>4</v>
      </c>
      <c r="BJ23" s="77">
        <f>ROUNDUP(tbl_Data[[#This Row],[Adjusted 2033]]/$L23,0)</f>
        <v>4</v>
      </c>
      <c r="BK23" s="77">
        <f>ROUNDUP(tbl_Data[[#This Row],[Adjusted 2034]]/$L23,0)</f>
        <v>5</v>
      </c>
      <c r="BL23" s="80">
        <f t="shared" si="12"/>
        <v>101382.10113941375</v>
      </c>
      <c r="BM23" s="77">
        <f t="shared" si="13"/>
        <v>214150.88030167072</v>
      </c>
      <c r="BN23" s="77">
        <f t="shared" si="14"/>
        <v>337415.75056979572</v>
      </c>
      <c r="BO23" s="77">
        <f t="shared" si="15"/>
        <v>470606.56588745536</v>
      </c>
      <c r="BP23" s="77">
        <f t="shared" si="16"/>
        <v>613249.01586159773</v>
      </c>
      <c r="BQ23" s="77">
        <f t="shared" si="17"/>
        <v>764533.86492864811</v>
      </c>
      <c r="BR23" s="77">
        <f t="shared" si="18"/>
        <v>924842.68110962526</v>
      </c>
      <c r="BS23" s="77">
        <f t="shared" si="19"/>
        <v>1094952.4897991712</v>
      </c>
      <c r="BT23" s="77">
        <f t="shared" si="20"/>
        <v>1275769.2121940125</v>
      </c>
      <c r="BU23" s="77">
        <f t="shared" si="21"/>
        <v>1468270.9415069507</v>
      </c>
      <c r="BV23" s="80">
        <f>IFERROR(VLOOKUP($H23,'1. Set Program Names'!$B$2:$D$15,3,0)*V23,"NA")</f>
        <v>41757.186366137008</v>
      </c>
      <c r="BW23" s="80">
        <f>IFERROR(VLOOKUP($H23,'1. Set Program Names'!$B$2:$D$15,3,0)*W23,"NA")</f>
        <v>88204.309426693275</v>
      </c>
      <c r="BX23" s="80">
        <f>IFERROR(VLOOKUP($H23,'1. Set Program Names'!$B$2:$D$15,3,0)*X23,"NA")</f>
        <v>138974.5548875338</v>
      </c>
      <c r="BY23" s="80">
        <f>IFERROR(VLOOKUP($H23,'1. Set Program Names'!$B$2:$D$15,3,0)*Y23,"NA")</f>
        <v>193833.09140404587</v>
      </c>
      <c r="BZ23" s="80">
        <f>IFERROR(VLOOKUP($H23,'1. Set Program Names'!$B$2:$D$15,3,0)*Z23,"NA")</f>
        <v>252584.56035517636</v>
      </c>
      <c r="CA23" s="80">
        <f>IFERROR(VLOOKUP($H23,'1. Set Program Names'!$B$2:$D$15,3,0)*AA23,"NA")</f>
        <v>314895.65438328992</v>
      </c>
      <c r="CB23" s="80">
        <f>IFERROR(VLOOKUP($H23,'1. Set Program Names'!$B$2:$D$15,3,0)*AB23,"NA")</f>
        <v>380923.53344843839</v>
      </c>
      <c r="CC23" s="80">
        <f>IFERROR(VLOOKUP($H23,'1. Set Program Names'!$B$2:$D$15,3,0)*AC23,"NA")</f>
        <v>450988.23820721329</v>
      </c>
      <c r="CD23" s="80">
        <f>IFERROR(VLOOKUP($H23,'1. Set Program Names'!$B$2:$D$15,3,0)*AD23,"NA")</f>
        <v>525462.89882578398</v>
      </c>
      <c r="CE23" s="80">
        <f>IFERROR(VLOOKUP($H23,'1. Set Program Names'!$B$2:$D$15,3,0)*AE23,"NA")</f>
        <v>604750.37162801228</v>
      </c>
    </row>
    <row r="24" spans="1:83" x14ac:dyDescent="0.25">
      <c r="A24" s="79" t="s">
        <v>113</v>
      </c>
      <c r="B24" s="79" t="s">
        <v>88</v>
      </c>
      <c r="C24" s="79" t="s">
        <v>89</v>
      </c>
      <c r="D24" s="79" t="s">
        <v>90</v>
      </c>
      <c r="E24" s="79" t="s">
        <v>91</v>
      </c>
      <c r="F24" s="79" t="s">
        <v>90</v>
      </c>
      <c r="G24" s="79" t="s">
        <v>92</v>
      </c>
      <c r="H24" s="79" t="s">
        <v>5</v>
      </c>
      <c r="I24" s="79" t="s">
        <v>299</v>
      </c>
      <c r="J24" s="79" t="s">
        <v>97</v>
      </c>
      <c r="K24" s="79" t="s">
        <v>102</v>
      </c>
      <c r="L24" s="79">
        <v>408.28</v>
      </c>
      <c r="M24" s="79">
        <v>0.16567198429270899</v>
      </c>
      <c r="N24" s="79">
        <v>2.3547919008134799E-2</v>
      </c>
      <c r="O24" s="79">
        <v>128.60999999999999</v>
      </c>
      <c r="P24" s="79">
        <v>29.691921599999901</v>
      </c>
      <c r="Q24" s="79">
        <v>121.35269540373299</v>
      </c>
      <c r="R24" s="79">
        <v>238.630335182902</v>
      </c>
      <c r="S24" s="79">
        <v>423.90838942107399</v>
      </c>
      <c r="T24" s="79">
        <v>11</v>
      </c>
      <c r="U24" s="79">
        <v>0.7</v>
      </c>
      <c r="V24" s="79">
        <f>tbl_Data_old[[#This Row],[2025 ]]*IFERROR(AVERAGEIFS('Participation Adjustment'!$C:$C,'Participation Adjustment'!$A:$A,$H24,'Participation Adjustment'!$B:$B,$I24),1)</f>
        <v>25095.759796598799</v>
      </c>
      <c r="W24" s="79">
        <f>tbl_Data_old[[#This Row],[2026 ]]*IFERROR(AVERAGEIFS('Participation Adjustment'!$C:$C,'Participation Adjustment'!$A:$A,$H24,'Participation Adjustment'!$B:$B,$I24),1)</f>
        <v>45909.298237988602</v>
      </c>
      <c r="X24" s="79">
        <f>tbl_Data_old[[#This Row],[2027 ]]*IFERROR(AVERAGEIFS('Participation Adjustment'!$C:$C,'Participation Adjustment'!$A:$A,$H24,'Participation Adjustment'!$B:$B,$I24),1)</f>
        <v>63169.299372220397</v>
      </c>
      <c r="Y24" s="79">
        <f>tbl_Data_old[[#This Row],[2028 ]]*IFERROR(AVERAGEIFS('Participation Adjustment'!$C:$C,'Participation Adjustment'!$A:$A,$H24,'Participation Adjustment'!$B:$B,$I24),1)</f>
        <v>77541.747018342197</v>
      </c>
      <c r="Z24" s="79">
        <f>tbl_Data_old[[#This Row],[2029 ]]*IFERROR(AVERAGEIFS('Participation Adjustment'!$C:$C,'Participation Adjustment'!$A:$A,$H24,'Participation Adjustment'!$B:$B,$I24),1)</f>
        <v>89590.733479475603</v>
      </c>
      <c r="AA24" s="79">
        <f>tbl_Data_old[[#This Row],[2030 ]]*IFERROR(AVERAGEIFS('Participation Adjustment'!$C:$C,'Participation Adjustment'!$A:$A,$H24,'Participation Adjustment'!$B:$B,$I24),1)</f>
        <v>99742.5433751948</v>
      </c>
      <c r="AB24" s="79">
        <f>tbl_Data_old[[#This Row],[2031 ]]*IFERROR(AVERAGEIFS('Participation Adjustment'!$C:$C,'Participation Adjustment'!$A:$A,$H24,'Participation Adjustment'!$B:$B,$I24),1)</f>
        <v>108420.1964809848</v>
      </c>
      <c r="AC24" s="79">
        <f>tbl_Data_old[[#This Row],[2032 ]]*IFERROR(AVERAGEIFS('Participation Adjustment'!$C:$C,'Participation Adjustment'!$A:$A,$H24,'Participation Adjustment'!$B:$B,$I24),1)</f>
        <v>115954.3371122868</v>
      </c>
      <c r="AD24" s="79">
        <f>tbl_Data_old[[#This Row],[2033 ]]*IFERROR(AVERAGEIFS('Participation Adjustment'!$C:$C,'Participation Adjustment'!$A:$A,$H24,'Participation Adjustment'!$B:$B,$I24),1)</f>
        <v>122604.879482456</v>
      </c>
      <c r="AE24" s="79">
        <f>tbl_Data_old[[#This Row],[2034 ]]*IFERROR(AVERAGEIFS('Participation Adjustment'!$C:$C,'Participation Adjustment'!$A:$A,$H24,'Participation Adjustment'!$B:$B,$I24),1)</f>
        <v>128572.2712377572</v>
      </c>
      <c r="AF24" s="77" t="str">
        <f t="shared" si="11"/>
        <v>Residential</v>
      </c>
      <c r="AG24" s="77" t="str">
        <f>tbl_Data[[#This Row],[All_Meas_Name_Append]]</f>
        <v>Smart Thermostat Residential</v>
      </c>
      <c r="AH24" s="77">
        <f>AVERAGEIFS('3. Incentive Adjustment'!G:G,'3. Incentive Adjustment'!A:A,tbl_Data[[#This Row],[Trimmed Sector]],'3. Incentive Adjustment'!B:B,tbl_Data[[#This Row],[Trimmed Measure Name]])</f>
        <v>1.1402432304340044</v>
      </c>
      <c r="AI24" s="77">
        <f>$AH24*tbl_Data[[#This Row],[2025 ]]</f>
        <v>28615.27022066963</v>
      </c>
      <c r="AJ24" s="77">
        <f>$AH24*tbl_Data[[#This Row],[2026 ]]</f>
        <v>52347.766529842273</v>
      </c>
      <c r="AK24" s="77">
        <f>$AH24*tbl_Data[[#This Row],[2027 ]]</f>
        <v>72028.365980433315</v>
      </c>
      <c r="AL24" s="77">
        <f>$AH24*tbl_Data[[#This Row],[2028 ]]</f>
        <v>88416.452113690844</v>
      </c>
      <c r="AM24" s="77">
        <f>$AH24*tbl_Data[[#This Row],[2029 ]]</f>
        <v>102155.22735958917</v>
      </c>
      <c r="AN24" s="77">
        <f>$AH24*tbl_Data[[#This Row],[2030 ]]</f>
        <v>113730.75986983592</v>
      </c>
      <c r="AO24" s="77">
        <f>$AH24*tbl_Data[[#This Row],[2031 ]]</f>
        <v>123625.39507976759</v>
      </c>
      <c r="AP24" s="77">
        <f>$AH24*tbl_Data[[#This Row],[2032 ]]</f>
        <v>132216.14793174746</v>
      </c>
      <c r="AQ24" s="77">
        <f>$AH24*tbl_Data[[#This Row],[2033 ]]</f>
        <v>139799.38384804744</v>
      </c>
      <c r="AR24" s="77">
        <f>$AH24*tbl_Data[[#This Row],[2034 ]]</f>
        <v>146603.66190037731</v>
      </c>
      <c r="AS24" s="77">
        <f>SUM(tbl_Data[[#This Row],[Adjusted 2025]:[Adjusted 2034]])</f>
        <v>999538.43083400093</v>
      </c>
      <c r="AT24" s="80">
        <f>AVERAGEIFS('3. Incentive Adjustment'!F:F,'3. Incentive Adjustment'!A:A,tbl_Data[[#This Row],[Trimmed Sector]],'3. Incentive Adjustment'!B:B,tbl_Data[[#This Row],[Trimmed Measure Name]])</f>
        <v>50</v>
      </c>
      <c r="AU24" s="80">
        <f>IFERROR(VLOOKUP(tbl_Data[[#This Row],[All_Meas_Name_Append]],'IRA Tax Credits'!$A$3:$D$46,4,0),0)</f>
        <v>0</v>
      </c>
      <c r="AV24" s="81">
        <f>tbl_Data[[#This Row],[Adj. per unit Incentive ($)]]/tbl_Data[[#This Row],[kWh Savings]]*tbl_Data[[#This Row],[Sum of Annuals]]</f>
        <v>122408.44896076235</v>
      </c>
      <c r="AW24" s="81">
        <f>IFERROR(VLOOKUP(tbl_Data[[#This Row],[Column1]],'1. Set Program Names'!$B$2:$D$15,3,0)*tbl_Data[[#This Row],[Sum of Annuals]],"")</f>
        <v>445637.85664736415</v>
      </c>
      <c r="AX24" s="81">
        <f>tbl_Data[[#This Row],[per unit IRA tax ($)]]/tbl_Data[[#This Row],[kWh Savings]]*tbl_Data[[#This Row],[Sum of Annuals]]</f>
        <v>0</v>
      </c>
      <c r="AY24" s="81">
        <f>tbl_Data[[#This Row],[Avoided Costs ($/unit)]]/tbl_Data[[#This Row],[kWh Savings]]*tbl_Data[[#This Row],[Sum of Annuals]]</f>
        <v>584207.38409451745</v>
      </c>
      <c r="AZ24" s="81">
        <f>tbl_Data[[#This Row],[Lost Revenue ($/unit)]]/tbl_Data[[#This Row],[kWh Savings]]*tbl_Data[[#This Row],[Sum of Annuals]]</f>
        <v>1037799.3690097701</v>
      </c>
      <c r="BA24" s="81">
        <f>tbl_Data[[#This Row],[Incremental Cost ($/unit)]]/tbl_Data[[#This Row],[kWh Savings]]*tbl_Data[[#This Row],[Sum of Annuals]]</f>
        <v>314859.01241687289</v>
      </c>
      <c r="BB24" s="77">
        <f>ROUNDUP(tbl_Data[[#This Row],[Adjusted 2025]]/$L24,0)</f>
        <v>71</v>
      </c>
      <c r="BC24" s="77">
        <f>ROUNDUP(tbl_Data[[#This Row],[Adjusted 2026]]/$L24,0)</f>
        <v>129</v>
      </c>
      <c r="BD24" s="77">
        <f>ROUNDUP(tbl_Data[[#This Row],[Adjusted 2027]]/$L24,0)</f>
        <v>177</v>
      </c>
      <c r="BE24" s="77">
        <f>ROUNDUP(tbl_Data[[#This Row],[Adjusted 2028]]/$L24,0)</f>
        <v>217</v>
      </c>
      <c r="BF24" s="77">
        <f>ROUNDUP(tbl_Data[[#This Row],[Adjusted 2029]]/$L24,0)</f>
        <v>251</v>
      </c>
      <c r="BG24" s="77">
        <f>ROUNDUP(tbl_Data[[#This Row],[Adjusted 2030]]/$L24,0)</f>
        <v>279</v>
      </c>
      <c r="BH24" s="77">
        <f>ROUNDUP(tbl_Data[[#This Row],[Adjusted 2031]]/$L24,0)</f>
        <v>303</v>
      </c>
      <c r="BI24" s="77">
        <f>ROUNDUP(tbl_Data[[#This Row],[Adjusted 2032]]/$L24,0)</f>
        <v>324</v>
      </c>
      <c r="BJ24" s="77">
        <f>ROUNDUP(tbl_Data[[#This Row],[Adjusted 2033]]/$L24,0)</f>
        <v>343</v>
      </c>
      <c r="BK24" s="77">
        <f>ROUNDUP(tbl_Data[[#This Row],[Adjusted 2034]]/$L24,0)</f>
        <v>360</v>
      </c>
      <c r="BL24" s="80">
        <f t="shared" si="12"/>
        <v>3073.3515965267466</v>
      </c>
      <c r="BM24" s="77">
        <f t="shared" si="13"/>
        <v>5622.2810617699379</v>
      </c>
      <c r="BN24" s="77">
        <f t="shared" si="14"/>
        <v>7736.026669469531</v>
      </c>
      <c r="BO24" s="77">
        <f t="shared" si="15"/>
        <v>9496.1481113870632</v>
      </c>
      <c r="BP24" s="77">
        <f t="shared" si="16"/>
        <v>10971.726937331685</v>
      </c>
      <c r="BQ24" s="77">
        <f t="shared" si="17"/>
        <v>12214.968082589743</v>
      </c>
      <c r="BR24" s="77">
        <f t="shared" si="18"/>
        <v>13277.676653397768</v>
      </c>
      <c r="BS24" s="77">
        <f t="shared" si="19"/>
        <v>14200.344997585824</v>
      </c>
      <c r="BT24" s="77">
        <f t="shared" si="20"/>
        <v>15014.803502799061</v>
      </c>
      <c r="BU24" s="77">
        <f t="shared" si="21"/>
        <v>15745.599985029541</v>
      </c>
      <c r="BV24" s="80">
        <f>IFERROR(VLOOKUP($H24,'1. Set Program Names'!$B$2:$D$15,3,0)*V24,"NA")</f>
        <v>11188.785004856614</v>
      </c>
      <c r="BW24" s="80">
        <f>IFERROR(VLOOKUP($H24,'1. Set Program Names'!$B$2:$D$15,3,0)*W24,"NA")</f>
        <v>20468.368834894336</v>
      </c>
      <c r="BX24" s="80">
        <f>IFERROR(VLOOKUP($H24,'1. Set Program Names'!$B$2:$D$15,3,0)*X24,"NA")</f>
        <v>28163.630641658761</v>
      </c>
      <c r="BY24" s="80">
        <f>IFERROR(VLOOKUP($H24,'1. Set Program Names'!$B$2:$D$15,3,0)*Y24,"NA")</f>
        <v>34571.495078096697</v>
      </c>
      <c r="BZ24" s="80">
        <f>IFERROR(VLOOKUP($H24,'1. Set Program Names'!$B$2:$D$15,3,0)*Z24,"NA")</f>
        <v>39943.459112368371</v>
      </c>
      <c r="CA24" s="80">
        <f>IFERROR(VLOOKUP($H24,'1. Set Program Names'!$B$2:$D$15,3,0)*AA24,"NA")</f>
        <v>44469.579032785055</v>
      </c>
      <c r="CB24" s="80">
        <f>IFERROR(VLOOKUP($H24,'1. Set Program Names'!$B$2:$D$15,3,0)*AB24,"NA")</f>
        <v>48338.455517671136</v>
      </c>
      <c r="CC24" s="80">
        <f>IFERROR(VLOOKUP($H24,'1. Set Program Names'!$B$2:$D$15,3,0)*AC24,"NA")</f>
        <v>51697.504233598738</v>
      </c>
      <c r="CD24" s="80">
        <f>IFERROR(VLOOKUP($H24,'1. Set Program Names'!$B$2:$D$15,3,0)*AD24,"NA")</f>
        <v>54662.606280662389</v>
      </c>
      <c r="CE24" s="80">
        <f>IFERROR(VLOOKUP($H24,'1. Set Program Names'!$B$2:$D$15,3,0)*AE24,"NA")</f>
        <v>57323.129967969442</v>
      </c>
    </row>
    <row r="25" spans="1:83" x14ac:dyDescent="0.25">
      <c r="A25" s="79" t="s">
        <v>113</v>
      </c>
      <c r="B25" s="79" t="s">
        <v>88</v>
      </c>
      <c r="C25" s="79" t="s">
        <v>89</v>
      </c>
      <c r="D25" s="79" t="s">
        <v>90</v>
      </c>
      <c r="E25" s="79" t="s">
        <v>91</v>
      </c>
      <c r="F25" s="79" t="s">
        <v>90</v>
      </c>
      <c r="G25" s="79" t="s">
        <v>92</v>
      </c>
      <c r="H25" s="79"/>
      <c r="I25" s="79" t="s">
        <v>112</v>
      </c>
      <c r="J25" s="79" t="s">
        <v>94</v>
      </c>
      <c r="K25" s="79" t="s">
        <v>108</v>
      </c>
      <c r="L25" s="79">
        <v>1330.8133333333301</v>
      </c>
      <c r="M25" s="79">
        <v>5.33311142126306E-2</v>
      </c>
      <c r="N25" s="79">
        <v>0.24737910980336</v>
      </c>
      <c r="O25" s="79">
        <v>8990.02</v>
      </c>
      <c r="P25" s="79">
        <v>8776.4394094329891</v>
      </c>
      <c r="Q25" s="79">
        <v>395.55644430103399</v>
      </c>
      <c r="R25" s="79">
        <v>713.19672296706005</v>
      </c>
      <c r="S25" s="79">
        <v>2011.6258188035599</v>
      </c>
      <c r="T25" s="79">
        <v>20</v>
      </c>
      <c r="U25" s="79">
        <v>0.7</v>
      </c>
      <c r="V25" s="79">
        <f>tbl_Data_old[[#This Row],[2025 ]]*IFERROR(AVERAGEIFS('Participation Adjustment'!$C:$C,'Participation Adjustment'!$A:$A,$H25,'Participation Adjustment'!$B:$B,$I25),1)</f>
        <v>151067.960383442</v>
      </c>
      <c r="W25" s="79">
        <f>tbl_Data_old[[#This Row],[2026 ]]*IFERROR(AVERAGEIFS('Participation Adjustment'!$C:$C,'Participation Adjustment'!$A:$A,$H25,'Participation Adjustment'!$B:$B,$I25),1)</f>
        <v>319196.58772418997</v>
      </c>
      <c r="X25" s="79">
        <f>tbl_Data_old[[#This Row],[2027 ]]*IFERROR(AVERAGEIFS('Participation Adjustment'!$C:$C,'Participation Adjustment'!$A:$A,$H25,'Participation Adjustment'!$B:$B,$I25),1)</f>
        <v>503067.03462497902</v>
      </c>
      <c r="Y25" s="79">
        <f>tbl_Data_old[[#This Row],[2028 ]]*IFERROR(AVERAGEIFS('Participation Adjustment'!$C:$C,'Participation Adjustment'!$A:$A,$H25,'Participation Adjustment'!$B:$B,$I25),1)</f>
        <v>701834.93174063601</v>
      </c>
      <c r="Z25" s="79">
        <f>tbl_Data_old[[#This Row],[2029 ]]*IFERROR(AVERAGEIFS('Participation Adjustment'!$C:$C,'Participation Adjustment'!$A:$A,$H25,'Participation Adjustment'!$B:$B,$I25),1)</f>
        <v>914796.44221608096</v>
      </c>
      <c r="AA25" s="79">
        <f>tbl_Data_old[[#This Row],[2030 ]]*IFERROR(AVERAGEIFS('Participation Adjustment'!$C:$C,'Participation Adjustment'!$A:$A,$H25,'Participation Adjustment'!$B:$B,$I25),1)</f>
        <v>1140745.53792293</v>
      </c>
      <c r="AB25" s="79">
        <f>tbl_Data_old[[#This Row],[2031 ]]*IFERROR(AVERAGEIFS('Participation Adjustment'!$C:$C,'Participation Adjustment'!$A:$A,$H25,'Participation Adjustment'!$B:$B,$I25),1)</f>
        <v>1380253.1630164799</v>
      </c>
      <c r="AC25" s="79">
        <f>tbl_Data_old[[#This Row],[2032 ]]*IFERROR(AVERAGEIFS('Participation Adjustment'!$C:$C,'Participation Adjustment'!$A:$A,$H25,'Participation Adjustment'!$B:$B,$I25),1)</f>
        <v>1634481.1610010299</v>
      </c>
      <c r="AD25" s="79">
        <f>tbl_Data_old[[#This Row],[2033 ]]*IFERROR(AVERAGEIFS('Participation Adjustment'!$C:$C,'Participation Adjustment'!$A:$A,$H25,'Participation Adjustment'!$B:$B,$I25),1)</f>
        <v>1904784.45736841</v>
      </c>
      <c r="AE25" s="79">
        <f>tbl_Data_old[[#This Row],[2034 ]]*IFERROR(AVERAGEIFS('Participation Adjustment'!$C:$C,'Participation Adjustment'!$A:$A,$H25,'Participation Adjustment'!$B:$B,$I25),1)</f>
        <v>2192626.35192056</v>
      </c>
      <c r="AF25" s="77" t="str">
        <f t="shared" si="11"/>
        <v>Residential</v>
      </c>
      <c r="AG25" s="77" t="str">
        <f>tbl_Data[[#This Row],[All_Meas_Name_Append]]</f>
        <v>Solar Thermal Water Heating System</v>
      </c>
      <c r="AH25" s="77">
        <f>AVERAGEIFS('3. Incentive Adjustment'!G:G,'3. Incentive Adjustment'!A:A,tbl_Data[[#This Row],[Trimmed Sector]],'3. Incentive Adjustment'!B:B,tbl_Data[[#This Row],[Trimmed Measure Name]])</f>
        <v>2.7736651842107431E-8</v>
      </c>
      <c r="AI25" s="77">
        <f>$AH25*tbl_Data[[#This Row],[2025 ]]</f>
        <v>4.190119421652809E-3</v>
      </c>
      <c r="AJ25" s="77">
        <f>$AH25*tbl_Data[[#This Row],[2026 ]]</f>
        <v>8.8534446228945608E-3</v>
      </c>
      <c r="AK25" s="77">
        <f>$AH25*tbl_Data[[#This Row],[2027 ]]</f>
        <v>1.3953395192634447E-2</v>
      </c>
      <c r="AL25" s="77">
        <f>$AH25*tbl_Data[[#This Row],[2028 ]]</f>
        <v>1.9466551152319253E-2</v>
      </c>
      <c r="AM25" s="77">
        <f>$AH25*tbl_Data[[#This Row],[2029 ]]</f>
        <v>2.5373390424145985E-2</v>
      </c>
      <c r="AN25" s="77">
        <f>$AH25*tbl_Data[[#This Row],[2030 ]]</f>
        <v>3.164046182580587E-2</v>
      </c>
      <c r="AO25" s="77">
        <f>$AH25*tbl_Data[[#This Row],[2031 ]]</f>
        <v>3.8283601436555653E-2</v>
      </c>
      <c r="AP25" s="77">
        <f>$AH25*tbl_Data[[#This Row],[2032 ]]</f>
        <v>4.533503490516911E-2</v>
      </c>
      <c r="AQ25" s="77">
        <f>$AH25*tbl_Data[[#This Row],[2033 ]]</f>
        <v>5.2832343328285111E-2</v>
      </c>
      <c r="AR25" s="77">
        <f>$AH25*tbl_Data[[#This Row],[2034 ]]</f>
        <v>6.0816113743050695E-2</v>
      </c>
      <c r="AS25" s="77">
        <f>SUM(tbl_Data[[#This Row],[Adjusted 2025]:[Adjusted 2034]])</f>
        <v>0.30074445605251349</v>
      </c>
      <c r="AT25" s="80">
        <f>AVERAGEIFS('3. Incentive Adjustment'!F:F,'3. Incentive Adjustment'!A:A,tbl_Data[[#This Row],[Trimmed Sector]],'3. Incentive Adjustment'!B:B,tbl_Data[[#This Row],[Trimmed Measure Name]])</f>
        <v>0</v>
      </c>
      <c r="AU25" s="80">
        <f>IFERROR(VLOOKUP(tbl_Data[[#This Row],[All_Meas_Name_Append]],'IRA Tax Credits'!$A$3:$D$46,4,0),0)</f>
        <v>41666.666666666672</v>
      </c>
      <c r="AV25" s="81">
        <f>tbl_Data[[#This Row],[Adj. per unit Incentive ($)]]/tbl_Data[[#This Row],[kWh Savings]]*tbl_Data[[#This Row],[Sum of Annuals]]</f>
        <v>0</v>
      </c>
      <c r="AW25" s="81" t="str">
        <f>IFERROR(VLOOKUP(tbl_Data[[#This Row],[Column1]],'1. Set Program Names'!$B$2:$D$15,3,0)*tbl_Data[[#This Row],[Sum of Annuals]],"")</f>
        <v/>
      </c>
      <c r="AX25" s="81">
        <f>tbl_Data[[#This Row],[per unit IRA tax ($)]]/tbl_Data[[#This Row],[kWh Savings]]*tbl_Data[[#This Row],[Sum of Annuals]]</f>
        <v>9.4160606061867629</v>
      </c>
      <c r="AY25" s="81">
        <f>tbl_Data[[#This Row],[Avoided Costs ($/unit)]]/tbl_Data[[#This Row],[kWh Savings]]*tbl_Data[[#This Row],[Sum of Annuals]]</f>
        <v>0.16117208562219906</v>
      </c>
      <c r="AZ25" s="81">
        <f>tbl_Data[[#This Row],[Lost Revenue ($/unit)]]/tbl_Data[[#This Row],[kWh Savings]]*tbl_Data[[#This Row],[Sum of Annuals]]</f>
        <v>0.45459817504378541</v>
      </c>
      <c r="BA25" s="81">
        <f>tbl_Data[[#This Row],[Incremental Cost ($/unit)]]/tbl_Data[[#This Row],[kWh Savings]]*tbl_Data[[#This Row],[Sum of Annuals]]</f>
        <v>2.0316137560999468</v>
      </c>
      <c r="BB25" s="77">
        <f>ROUNDUP(tbl_Data[[#This Row],[Adjusted 2025]]/$L25,0)</f>
        <v>1</v>
      </c>
      <c r="BC25" s="77">
        <f>ROUNDUP(tbl_Data[[#This Row],[Adjusted 2026]]/$L25,0)</f>
        <v>1</v>
      </c>
      <c r="BD25" s="77">
        <f>ROUNDUP(tbl_Data[[#This Row],[Adjusted 2027]]/$L25,0)</f>
        <v>1</v>
      </c>
      <c r="BE25" s="77">
        <f>ROUNDUP(tbl_Data[[#This Row],[Adjusted 2028]]/$L25,0)</f>
        <v>1</v>
      </c>
      <c r="BF25" s="77">
        <f>ROUNDUP(tbl_Data[[#This Row],[Adjusted 2029]]/$L25,0)</f>
        <v>1</v>
      </c>
      <c r="BG25" s="77">
        <f>ROUNDUP(tbl_Data[[#This Row],[Adjusted 2030]]/$L25,0)</f>
        <v>1</v>
      </c>
      <c r="BH25" s="77">
        <f>ROUNDUP(tbl_Data[[#This Row],[Adjusted 2031]]/$L25,0)</f>
        <v>1</v>
      </c>
      <c r="BI25" s="77">
        <f>ROUNDUP(tbl_Data[[#This Row],[Adjusted 2032]]/$L25,0)</f>
        <v>1</v>
      </c>
      <c r="BJ25" s="77">
        <f>ROUNDUP(tbl_Data[[#This Row],[Adjusted 2033]]/$L25,0)</f>
        <v>1</v>
      </c>
      <c r="BK25" s="77">
        <f>ROUNDUP(tbl_Data[[#This Row],[Adjusted 2034]]/$L25,0)</f>
        <v>1</v>
      </c>
      <c r="BL25" s="80">
        <f t="shared" si="12"/>
        <v>0</v>
      </c>
      <c r="BM25" s="77">
        <f t="shared" si="13"/>
        <v>0</v>
      </c>
      <c r="BN25" s="77">
        <f t="shared" si="14"/>
        <v>0</v>
      </c>
      <c r="BO25" s="77">
        <f t="shared" si="15"/>
        <v>0</v>
      </c>
      <c r="BP25" s="77">
        <f t="shared" si="16"/>
        <v>0</v>
      </c>
      <c r="BQ25" s="77">
        <f t="shared" si="17"/>
        <v>0</v>
      </c>
      <c r="BR25" s="77">
        <f t="shared" si="18"/>
        <v>0</v>
      </c>
      <c r="BS25" s="77">
        <f t="shared" si="19"/>
        <v>0</v>
      </c>
      <c r="BT25" s="77">
        <f t="shared" si="20"/>
        <v>0</v>
      </c>
      <c r="BU25" s="77">
        <f t="shared" si="21"/>
        <v>0</v>
      </c>
      <c r="BV25" s="80" t="str">
        <f>IFERROR(VLOOKUP($H25,'1. Set Program Names'!$B$2:$D$15,3,0)*V25,"NA")</f>
        <v>NA</v>
      </c>
      <c r="BW25" s="80" t="str">
        <f>IFERROR(VLOOKUP($H25,'1. Set Program Names'!$B$2:$D$15,3,0)*W25,"NA")</f>
        <v>NA</v>
      </c>
      <c r="BX25" s="80" t="str">
        <f>IFERROR(VLOOKUP($H25,'1. Set Program Names'!$B$2:$D$15,3,0)*X25,"NA")</f>
        <v>NA</v>
      </c>
      <c r="BY25" s="80" t="str">
        <f>IFERROR(VLOOKUP($H25,'1. Set Program Names'!$B$2:$D$15,3,0)*Y25,"NA")</f>
        <v>NA</v>
      </c>
      <c r="BZ25" s="80" t="str">
        <f>IFERROR(VLOOKUP($H25,'1. Set Program Names'!$B$2:$D$15,3,0)*Z25,"NA")</f>
        <v>NA</v>
      </c>
      <c r="CA25" s="80" t="str">
        <f>IFERROR(VLOOKUP($H25,'1. Set Program Names'!$B$2:$D$15,3,0)*AA25,"NA")</f>
        <v>NA</v>
      </c>
      <c r="CB25" s="80" t="str">
        <f>IFERROR(VLOOKUP($H25,'1. Set Program Names'!$B$2:$D$15,3,0)*AB25,"NA")</f>
        <v>NA</v>
      </c>
      <c r="CC25" s="80" t="str">
        <f>IFERROR(VLOOKUP($H25,'1. Set Program Names'!$B$2:$D$15,3,0)*AC25,"NA")</f>
        <v>NA</v>
      </c>
      <c r="CD25" s="80" t="str">
        <f>IFERROR(VLOOKUP($H25,'1. Set Program Names'!$B$2:$D$15,3,0)*AD25,"NA")</f>
        <v>NA</v>
      </c>
      <c r="CE25" s="80" t="str">
        <f>IFERROR(VLOOKUP($H25,'1. Set Program Names'!$B$2:$D$15,3,0)*AE25,"NA")</f>
        <v>NA</v>
      </c>
    </row>
    <row r="26" spans="1:83" x14ac:dyDescent="0.25">
      <c r="A26" s="79" t="s">
        <v>114</v>
      </c>
      <c r="B26" s="79" t="s">
        <v>88</v>
      </c>
      <c r="C26" s="79" t="s">
        <v>89</v>
      </c>
      <c r="D26" s="79" t="s">
        <v>90</v>
      </c>
      <c r="E26" s="79" t="s">
        <v>91</v>
      </c>
      <c r="F26" s="79" t="s">
        <v>90</v>
      </c>
      <c r="G26" s="79" t="s">
        <v>92</v>
      </c>
      <c r="H26" s="79" t="s">
        <v>5</v>
      </c>
      <c r="I26" s="79" t="s">
        <v>93</v>
      </c>
      <c r="J26" s="79" t="s">
        <v>94</v>
      </c>
      <c r="K26" s="79" t="s">
        <v>95</v>
      </c>
      <c r="L26" s="79">
        <v>1200.2266666666601</v>
      </c>
      <c r="M26" s="79">
        <v>4.8097974252120097E-2</v>
      </c>
      <c r="N26" s="79">
        <v>0.22310492157346501</v>
      </c>
      <c r="O26" s="79">
        <v>1210</v>
      </c>
      <c r="P26" s="79">
        <v>933.85922631496703</v>
      </c>
      <c r="Q26" s="79">
        <v>356.74228738962802</v>
      </c>
      <c r="R26" s="79">
        <v>571.53970184074296</v>
      </c>
      <c r="S26" s="79">
        <v>1535.35818196214</v>
      </c>
      <c r="T26" s="79">
        <v>15</v>
      </c>
      <c r="U26" s="79">
        <v>0.7</v>
      </c>
      <c r="V26" s="79">
        <f>tbl_Data_old[[#This Row],[2025 ]]*IFERROR(AVERAGEIFS('Participation Adjustment'!$C:$C,'Participation Adjustment'!$A:$A,$H26,'Participation Adjustment'!$B:$B,$I26),1)</f>
        <v>4.0541866608270203</v>
      </c>
      <c r="W26" s="79">
        <f>tbl_Data_old[[#This Row],[2026 ]]*IFERROR(AVERAGEIFS('Participation Adjustment'!$C:$C,'Participation Adjustment'!$A:$A,$H26,'Participation Adjustment'!$B:$B,$I26),1)</f>
        <v>4.3074258941416401</v>
      </c>
      <c r="X26" s="79">
        <f>tbl_Data_old[[#This Row],[2027 ]]*IFERROR(AVERAGEIFS('Participation Adjustment'!$C:$C,'Participation Adjustment'!$A:$A,$H26,'Participation Adjustment'!$B:$B,$I26),1)</f>
        <v>4.5588465644740204</v>
      </c>
      <c r="Y26" s="79">
        <f>tbl_Data_old[[#This Row],[2028 ]]*IFERROR(AVERAGEIFS('Participation Adjustment'!$C:$C,'Participation Adjustment'!$A:$A,$H26,'Participation Adjustment'!$B:$B,$I26),1)</f>
        <v>4.8160732055278404</v>
      </c>
      <c r="Z26" s="79">
        <f>tbl_Data_old[[#This Row],[2029 ]]*IFERROR(AVERAGEIFS('Participation Adjustment'!$C:$C,'Participation Adjustment'!$A:$A,$H26,'Participation Adjustment'!$B:$B,$I26),1)</f>
        <v>5.0788279946550396</v>
      </c>
      <c r="AA26" s="79">
        <f>tbl_Data_old[[#This Row],[2030 ]]*IFERROR(AVERAGEIFS('Participation Adjustment'!$C:$C,'Participation Adjustment'!$A:$A,$H26,'Participation Adjustment'!$B:$B,$I26),1)</f>
        <v>5.3323190256047797</v>
      </c>
      <c r="AB26" s="79">
        <f>tbl_Data_old[[#This Row],[2031 ]]*IFERROR(AVERAGEIFS('Participation Adjustment'!$C:$C,'Participation Adjustment'!$A:$A,$H26,'Participation Adjustment'!$B:$B,$I26),1)</f>
        <v>5.6160422384796798</v>
      </c>
      <c r="AC26" s="79">
        <f>tbl_Data_old[[#This Row],[2032 ]]*IFERROR(AVERAGEIFS('Participation Adjustment'!$C:$C,'Participation Adjustment'!$A:$A,$H26,'Participation Adjustment'!$B:$B,$I26),1)</f>
        <v>5.9413338407100396</v>
      </c>
      <c r="AD26" s="79">
        <f>tbl_Data_old[[#This Row],[2033 ]]*IFERROR(AVERAGEIFS('Participation Adjustment'!$C:$C,'Participation Adjustment'!$A:$A,$H26,'Participation Adjustment'!$B:$B,$I26),1)</f>
        <v>6.31087218174084</v>
      </c>
      <c r="AE26" s="79">
        <f>tbl_Data_old[[#This Row],[2034 ]]*IFERROR(AVERAGEIFS('Participation Adjustment'!$C:$C,'Participation Adjustment'!$A:$A,$H26,'Participation Adjustment'!$B:$B,$I26),1)</f>
        <v>6.7259639341367397</v>
      </c>
      <c r="AF26" s="77" t="str">
        <f t="shared" si="11"/>
        <v>Residential</v>
      </c>
      <c r="AG26" s="77" t="str">
        <f>tbl_Data[[#This Row],[All_Meas_Name_Append]]</f>
        <v>120v Heat Pump Water Heater 50 Gallons</v>
      </c>
      <c r="AH26" s="77">
        <f>AVERAGEIFS('3. Incentive Adjustment'!G:G,'3. Incentive Adjustment'!A:A,tbl_Data[[#This Row],[Trimmed Sector]],'3. Incentive Adjustment'!B:B,tbl_Data[[#This Row],[Trimmed Measure Name]])</f>
        <v>0.38528347196238832</v>
      </c>
      <c r="AI26" s="77">
        <f>$AH26*tbl_Data[[#This Row],[2025 ]]</f>
        <v>1.562011112667036</v>
      </c>
      <c r="AJ26" s="77">
        <f>$AH26*tbl_Data[[#This Row],[2026 ]]</f>
        <v>1.6595800037155861</v>
      </c>
      <c r="AK26" s="77">
        <f>$AH26*tbl_Data[[#This Row],[2027 ]]</f>
        <v>1.7564482325043567</v>
      </c>
      <c r="AL26" s="77">
        <f>$AH26*tbl_Data[[#This Row],[2028 ]]</f>
        <v>1.8555534058507954</v>
      </c>
      <c r="AM26" s="77">
        <f>$AH26*tbl_Data[[#This Row],[2029 ]]</f>
        <v>1.9567884832804678</v>
      </c>
      <c r="AN26" s="77">
        <f>$AH26*tbl_Data[[#This Row],[2030 ]]</f>
        <v>2.0544543877961088</v>
      </c>
      <c r="AO26" s="77">
        <f>$AH26*tbl_Data[[#This Row],[2031 ]]</f>
        <v>2.1637682523288744</v>
      </c>
      <c r="AP26" s="77">
        <f>$AH26*tbl_Data[[#This Row],[2032 ]]</f>
        <v>2.2890977302363953</v>
      </c>
      <c r="AQ26" s="77">
        <f>$AH26*tbl_Data[[#This Row],[2033 ]]</f>
        <v>2.4314747452919634</v>
      </c>
      <c r="AR26" s="77">
        <f>$AH26*tbl_Data[[#This Row],[2034 ]]</f>
        <v>2.5914027368380075</v>
      </c>
      <c r="AS26" s="77">
        <f>SUM(tbl_Data[[#This Row],[Adjusted 2025]:[Adjusted 2034]])</f>
        <v>20.320579090509593</v>
      </c>
      <c r="AT26" s="80">
        <f>AVERAGEIFS('3. Incentive Adjustment'!F:F,'3. Incentive Adjustment'!A:A,tbl_Data[[#This Row],[Trimmed Sector]],'3. Incentive Adjustment'!B:B,tbl_Data[[#This Row],[Trimmed Measure Name]])</f>
        <v>500</v>
      </c>
      <c r="AU26" s="80">
        <f>IFERROR(VLOOKUP(tbl_Data[[#This Row],[All_Meas_Name_Append]],'IRA Tax Credits'!$A$3:$D$46,4,0),0)</f>
        <v>1666.6666666666667</v>
      </c>
      <c r="AV26" s="81">
        <f>tbl_Data[[#This Row],[Adj. per unit Incentive ($)]]/tbl_Data[[#This Row],[kWh Savings]]*tbl_Data[[#This Row],[Sum of Annuals]]</f>
        <v>8.4653089515770787</v>
      </c>
      <c r="AW26" s="81">
        <f>IFERROR(VLOOKUP(tbl_Data[[#This Row],[Column1]],'1. Set Program Names'!$B$2:$D$15,3,0)*tbl_Data[[#This Row],[Sum of Annuals]],"")</f>
        <v>9.0598010365364914</v>
      </c>
      <c r="AX26" s="81">
        <f>tbl_Data[[#This Row],[per unit IRA tax ($)]]/tbl_Data[[#This Row],[kWh Savings]]*tbl_Data[[#This Row],[Sum of Annuals]]</f>
        <v>28.217696505256928</v>
      </c>
      <c r="AY26" s="81">
        <f>tbl_Data[[#This Row],[Avoided Costs ($/unit)]]/tbl_Data[[#This Row],[kWh Savings]]*tbl_Data[[#This Row],[Sum of Annuals]]</f>
        <v>9.6765203083482731</v>
      </c>
      <c r="AZ26" s="81">
        <f>tbl_Data[[#This Row],[Lost Revenue ($/unit)]]/tbl_Data[[#This Row],[kWh Savings]]*tbl_Data[[#This Row],[Sum of Annuals]]</f>
        <v>25.994562723282424</v>
      </c>
      <c r="BA26" s="81">
        <f>tbl_Data[[#This Row],[Incremental Cost ($/unit)]]/tbl_Data[[#This Row],[kWh Savings]]*tbl_Data[[#This Row],[Sum of Annuals]]</f>
        <v>20.486047662816528</v>
      </c>
      <c r="BB26" s="77">
        <f>ROUNDUP(tbl_Data[[#This Row],[Adjusted 2025]]/$L26,0)</f>
        <v>1</v>
      </c>
      <c r="BC26" s="77">
        <f>ROUNDUP(tbl_Data[[#This Row],[Adjusted 2026]]/$L26,0)</f>
        <v>1</v>
      </c>
      <c r="BD26" s="77">
        <f>ROUNDUP(tbl_Data[[#This Row],[Adjusted 2027]]/$L26,0)</f>
        <v>1</v>
      </c>
      <c r="BE26" s="77">
        <f>ROUNDUP(tbl_Data[[#This Row],[Adjusted 2028]]/$L26,0)</f>
        <v>1</v>
      </c>
      <c r="BF26" s="77">
        <f>ROUNDUP(tbl_Data[[#This Row],[Adjusted 2029]]/$L26,0)</f>
        <v>1</v>
      </c>
      <c r="BG26" s="77">
        <f>ROUNDUP(tbl_Data[[#This Row],[Adjusted 2030]]/$L26,0)</f>
        <v>1</v>
      </c>
      <c r="BH26" s="77">
        <f>ROUNDUP(tbl_Data[[#This Row],[Adjusted 2031]]/$L26,0)</f>
        <v>1</v>
      </c>
      <c r="BI26" s="77">
        <f>ROUNDUP(tbl_Data[[#This Row],[Adjusted 2032]]/$L26,0)</f>
        <v>1</v>
      </c>
      <c r="BJ26" s="77">
        <f>ROUNDUP(tbl_Data[[#This Row],[Adjusted 2033]]/$L26,0)</f>
        <v>1</v>
      </c>
      <c r="BK26" s="77">
        <f>ROUNDUP(tbl_Data[[#This Row],[Adjusted 2034]]/$L26,0)</f>
        <v>1</v>
      </c>
      <c r="BL26" s="80">
        <f t="shared" si="12"/>
        <v>1.6889254227647454</v>
      </c>
      <c r="BM26" s="77">
        <f t="shared" si="13"/>
        <v>1.794421842877594</v>
      </c>
      <c r="BN26" s="77">
        <f t="shared" si="14"/>
        <v>1.8991606715151215</v>
      </c>
      <c r="BO26" s="77">
        <f t="shared" si="15"/>
        <v>2.0063181977548128</v>
      </c>
      <c r="BP26" s="77">
        <f t="shared" si="16"/>
        <v>2.1157786840215183</v>
      </c>
      <c r="BQ26" s="77">
        <f t="shared" si="17"/>
        <v>2.2213800000020032</v>
      </c>
      <c r="BR26" s="77">
        <f t="shared" si="18"/>
        <v>2.3395756795159706</v>
      </c>
      <c r="BS26" s="77">
        <f t="shared" si="19"/>
        <v>2.4750882502930303</v>
      </c>
      <c r="BT26" s="77">
        <f t="shared" si="20"/>
        <v>2.6290334805123785</v>
      </c>
      <c r="BU26" s="77">
        <f t="shared" si="21"/>
        <v>2.8019557142554086</v>
      </c>
      <c r="BV26" s="80">
        <f>IFERROR(VLOOKUP($H26,'1. Set Program Names'!$B$2:$D$15,3,0)*V26,"NA")</f>
        <v>1.8075333556427673</v>
      </c>
      <c r="BW26" s="80">
        <f>IFERROR(VLOOKUP($H26,'1. Set Program Names'!$B$2:$D$15,3,0)*W26,"NA")</f>
        <v>1.9204384583101914</v>
      </c>
      <c r="BX26" s="80">
        <f>IFERROR(VLOOKUP($H26,'1. Set Program Names'!$B$2:$D$15,3,0)*X26,"NA")</f>
        <v>2.0325327662301769</v>
      </c>
      <c r="BY26" s="80">
        <f>IFERROR(VLOOKUP($H26,'1. Set Program Names'!$B$2:$D$15,3,0)*Y26,"NA")</f>
        <v>2.1472156292954616</v>
      </c>
      <c r="BZ26" s="80">
        <f>IFERROR(VLOOKUP($H26,'1. Set Program Names'!$B$2:$D$15,3,0)*Z26,"NA")</f>
        <v>2.2643631820441579</v>
      </c>
      <c r="CA26" s="80">
        <f>IFERROR(VLOOKUP($H26,'1. Set Program Names'!$B$2:$D$15,3,0)*AA26,"NA")</f>
        <v>2.3773805470868568</v>
      </c>
      <c r="CB26" s="80">
        <f>IFERROR(VLOOKUP($H26,'1. Set Program Names'!$B$2:$D$15,3,0)*AB26,"NA")</f>
        <v>2.5038767382950091</v>
      </c>
      <c r="CC26" s="80">
        <f>IFERROR(VLOOKUP($H26,'1. Set Program Names'!$B$2:$D$15,3,0)*AC26,"NA")</f>
        <v>2.6489059317021799</v>
      </c>
      <c r="CD26" s="80">
        <f>IFERROR(VLOOKUP($H26,'1. Set Program Names'!$B$2:$D$15,3,0)*AD26,"NA")</f>
        <v>2.8136622523856993</v>
      </c>
      <c r="CE26" s="80">
        <f>IFERROR(VLOOKUP($H26,'1. Set Program Names'!$B$2:$D$15,3,0)*AE26,"NA")</f>
        <v>2.9987282720037367</v>
      </c>
    </row>
    <row r="27" spans="1:83" x14ac:dyDescent="0.25">
      <c r="A27" s="79" t="s">
        <v>114</v>
      </c>
      <c r="B27" s="79" t="s">
        <v>88</v>
      </c>
      <c r="C27" s="79" t="s">
        <v>89</v>
      </c>
      <c r="D27" s="79" t="s">
        <v>90</v>
      </c>
      <c r="E27" s="79" t="s">
        <v>91</v>
      </c>
      <c r="F27" s="79" t="s">
        <v>90</v>
      </c>
      <c r="G27" s="79" t="s">
        <v>92</v>
      </c>
      <c r="H27" s="79" t="s">
        <v>5</v>
      </c>
      <c r="I27" s="79" t="s">
        <v>96</v>
      </c>
      <c r="J27" s="79" t="s">
        <v>97</v>
      </c>
      <c r="K27" s="79" t="s">
        <v>98</v>
      </c>
      <c r="L27" s="79">
        <v>5868.07</v>
      </c>
      <c r="M27" s="79">
        <v>0.20813520080661799</v>
      </c>
      <c r="N27" s="79">
        <v>1.1349578069705</v>
      </c>
      <c r="O27" s="79">
        <v>1935.1666666666599</v>
      </c>
      <c r="P27" s="79">
        <v>513.45064263862798</v>
      </c>
      <c r="Q27" s="79">
        <v>1744.1611426417701</v>
      </c>
      <c r="R27" s="79">
        <v>3388.0400735263802</v>
      </c>
      <c r="S27" s="79">
        <v>7811.7411984889604</v>
      </c>
      <c r="T27" s="79">
        <v>16</v>
      </c>
      <c r="U27" s="79">
        <v>0.7</v>
      </c>
      <c r="V27" s="79">
        <f>tbl_Data_old[[#This Row],[2025 ]]*IFERROR(AVERAGEIFS('Participation Adjustment'!$C:$C,'Participation Adjustment'!$A:$A,$H27,'Participation Adjustment'!$B:$B,$I27),1)</f>
        <v>45.644771482039602</v>
      </c>
      <c r="W27" s="79">
        <f>tbl_Data_old[[#This Row],[2026 ]]*IFERROR(AVERAGEIFS('Participation Adjustment'!$C:$C,'Participation Adjustment'!$A:$A,$H27,'Participation Adjustment'!$B:$B,$I27),1)</f>
        <v>48.508427164836597</v>
      </c>
      <c r="X27" s="79">
        <f>tbl_Data_old[[#This Row],[2027 ]]*IFERROR(AVERAGEIFS('Participation Adjustment'!$C:$C,'Participation Adjustment'!$A:$A,$H27,'Participation Adjustment'!$B:$B,$I27),1)</f>
        <v>51.344691714798799</v>
      </c>
      <c r="Y27" s="79">
        <f>tbl_Data_old[[#This Row],[2028 ]]*IFERROR(AVERAGEIFS('Participation Adjustment'!$C:$C,'Participation Adjustment'!$A:$A,$H27,'Participation Adjustment'!$B:$B,$I27),1)</f>
        <v>54.241181233897002</v>
      </c>
      <c r="Z27" s="79">
        <f>tbl_Data_old[[#This Row],[2029 ]]*IFERROR(AVERAGEIFS('Participation Adjustment'!$C:$C,'Participation Adjustment'!$A:$A,$H27,'Participation Adjustment'!$B:$B,$I27),1)</f>
        <v>57.1984284763072</v>
      </c>
      <c r="AA27" s="79">
        <f>tbl_Data_old[[#This Row],[2030 ]]*IFERROR(AVERAGEIFS('Participation Adjustment'!$C:$C,'Participation Adjustment'!$A:$A,$H27,'Participation Adjustment'!$B:$B,$I27),1)</f>
        <v>60.054586129831002</v>
      </c>
      <c r="AB27" s="79">
        <f>tbl_Data_old[[#This Row],[2031 ]]*IFERROR(AVERAGEIFS('Participation Adjustment'!$C:$C,'Participation Adjustment'!$A:$A,$H27,'Participation Adjustment'!$B:$B,$I27),1)</f>
        <v>63.258816000767403</v>
      </c>
      <c r="AC27" s="79">
        <f>tbl_Data_old[[#This Row],[2032 ]]*IFERROR(AVERAGEIFS('Participation Adjustment'!$C:$C,'Participation Adjustment'!$A:$A,$H27,'Participation Adjustment'!$B:$B,$I27),1)</f>
        <v>66.941669925969407</v>
      </c>
      <c r="AD27" s="79">
        <f>tbl_Data_old[[#This Row],[2033 ]]*IFERROR(AVERAGEIFS('Participation Adjustment'!$C:$C,'Participation Adjustment'!$A:$A,$H27,'Participation Adjustment'!$B:$B,$I27),1)</f>
        <v>71.134513048772604</v>
      </c>
      <c r="AE27" s="79">
        <f>tbl_Data_old[[#This Row],[2034 ]]*IFERROR(AVERAGEIFS('Participation Adjustment'!$C:$C,'Participation Adjustment'!$A:$A,$H27,'Participation Adjustment'!$B:$B,$I27),1)</f>
        <v>75.852080365228005</v>
      </c>
      <c r="AF27" s="77" t="str">
        <f t="shared" si="11"/>
        <v>Residential</v>
      </c>
      <c r="AG27" s="77" t="str">
        <f>tbl_Data[[#This Row],[All_Meas_Name_Append]]</f>
        <v>ASHP - CEE Tier 2: 16.8 SEER/16 SEER2; 9.0 HSPF (from elec resistance)</v>
      </c>
      <c r="AH27" s="77">
        <f>AVERAGEIFS('3. Incentive Adjustment'!G:G,'3. Incentive Adjustment'!A:A,tbl_Data[[#This Row],[Trimmed Sector]],'3. Incentive Adjustment'!B:B,tbl_Data[[#This Row],[Trimmed Measure Name]])</f>
        <v>0.9303958662075158</v>
      </c>
      <c r="AI27" s="77">
        <f>$AH27*tbl_Data[[#This Row],[2025 ]]</f>
        <v>42.467706700876349</v>
      </c>
      <c r="AJ27" s="77">
        <f>$AH27*tbl_Data[[#This Row],[2026 ]]</f>
        <v>45.132040110392339</v>
      </c>
      <c r="AK27" s="77">
        <f>$AH27*tbl_Data[[#This Row],[2027 ]]</f>
        <v>47.770888923148085</v>
      </c>
      <c r="AL27" s="77">
        <f>$AH27*tbl_Data[[#This Row],[2028 ]]</f>
        <v>50.465770798230452</v>
      </c>
      <c r="AM27" s="77">
        <f>$AH27*tbl_Data[[#This Row],[2029 ]]</f>
        <v>53.217181407922475</v>
      </c>
      <c r="AN27" s="77">
        <f>$AH27*tbl_Data[[#This Row],[2030 ]]</f>
        <v>55.874538681997976</v>
      </c>
      <c r="AO27" s="77">
        <f>$AH27*tbl_Data[[#This Row],[2031 ]]</f>
        <v>58.85574090829585</v>
      </c>
      <c r="AP27" s="77">
        <f>$AH27*tbl_Data[[#This Row],[2032 ]]</f>
        <v>62.28225297614992</v>
      </c>
      <c r="AQ27" s="77">
        <f>$AH27*tbl_Data[[#This Row],[2033 ]]</f>
        <v>66.183256885262622</v>
      </c>
      <c r="AR27" s="77">
        <f>$AH27*tbl_Data[[#This Row],[2034 ]]</f>
        <v>70.572462015048416</v>
      </c>
      <c r="AS27" s="77">
        <f>SUM(tbl_Data[[#This Row],[Adjusted 2025]:[Adjusted 2034]])</f>
        <v>552.82183940732443</v>
      </c>
      <c r="AT27" s="80">
        <f>AVERAGEIFS('3. Incentive Adjustment'!F:F,'3. Incentive Adjustment'!A:A,tbl_Data[[#This Row],[Trimmed Sector]],'3. Incentive Adjustment'!B:B,tbl_Data[[#This Row],[Trimmed Measure Name]])</f>
        <v>353</v>
      </c>
      <c r="AU27" s="80">
        <f>IFERROR(VLOOKUP(tbl_Data[[#This Row],[All_Meas_Name_Append]],'IRA Tax Credits'!$A$3:$D$46,4,0),0)</f>
        <v>0</v>
      </c>
      <c r="AV27" s="81">
        <f>tbl_Data[[#This Row],[Adj. per unit Incentive ($)]]/tbl_Data[[#This Row],[kWh Savings]]*tbl_Data[[#This Row],[Sum of Annuals]]</f>
        <v>33.255586472347048</v>
      </c>
      <c r="AW27" s="81">
        <f>IFERROR(VLOOKUP(tbl_Data[[#This Row],[Column1]],'1. Set Program Names'!$B$2:$D$15,3,0)*tbl_Data[[#This Row],[Sum of Annuals]],"")</f>
        <v>246.47210354460856</v>
      </c>
      <c r="AX27" s="81">
        <f>tbl_Data[[#This Row],[per unit IRA tax ($)]]/tbl_Data[[#This Row],[kWh Savings]]*tbl_Data[[#This Row],[Sum of Annuals]]</f>
        <v>0</v>
      </c>
      <c r="AY27" s="81">
        <f>tbl_Data[[#This Row],[Avoided Costs ($/unit)]]/tbl_Data[[#This Row],[kWh Savings]]*tbl_Data[[#This Row],[Sum of Annuals]]</f>
        <v>319.18203863153985</v>
      </c>
      <c r="AZ27" s="81">
        <f>tbl_Data[[#This Row],[Lost Revenue ($/unit)]]/tbl_Data[[#This Row],[kWh Savings]]*tbl_Data[[#This Row],[Sum of Annuals]]</f>
        <v>735.93211027180052</v>
      </c>
      <c r="BA27" s="81">
        <f>tbl_Data[[#This Row],[Incremental Cost ($/unit)]]/tbl_Data[[#This Row],[kWh Savings]]*tbl_Data[[#This Row],[Sum of Annuals]]</f>
        <v>182.30907201625129</v>
      </c>
      <c r="BB27" s="77">
        <f>ROUNDUP(tbl_Data[[#This Row],[Adjusted 2025]]/$L27,0)</f>
        <v>1</v>
      </c>
      <c r="BC27" s="77">
        <f>ROUNDUP(tbl_Data[[#This Row],[Adjusted 2026]]/$L27,0)</f>
        <v>1</v>
      </c>
      <c r="BD27" s="77">
        <f>ROUNDUP(tbl_Data[[#This Row],[Adjusted 2027]]/$L27,0)</f>
        <v>1</v>
      </c>
      <c r="BE27" s="77">
        <f>ROUNDUP(tbl_Data[[#This Row],[Adjusted 2028]]/$L27,0)</f>
        <v>1</v>
      </c>
      <c r="BF27" s="77">
        <f>ROUNDUP(tbl_Data[[#This Row],[Adjusted 2029]]/$L27,0)</f>
        <v>1</v>
      </c>
      <c r="BG27" s="77">
        <f>ROUNDUP(tbl_Data[[#This Row],[Adjusted 2030]]/$L27,0)</f>
        <v>1</v>
      </c>
      <c r="BH27" s="77">
        <f>ROUNDUP(tbl_Data[[#This Row],[Adjusted 2031]]/$L27,0)</f>
        <v>1</v>
      </c>
      <c r="BI27" s="77">
        <f>ROUNDUP(tbl_Data[[#This Row],[Adjusted 2032]]/$L27,0)</f>
        <v>1</v>
      </c>
      <c r="BJ27" s="77">
        <f>ROUNDUP(tbl_Data[[#This Row],[Adjusted 2033]]/$L27,0)</f>
        <v>1</v>
      </c>
      <c r="BK27" s="77">
        <f>ROUNDUP(tbl_Data[[#This Row],[Adjusted 2034]]/$L27,0)</f>
        <v>1</v>
      </c>
      <c r="BL27" s="80">
        <f t="shared" si="12"/>
        <v>2.7458098375036393</v>
      </c>
      <c r="BM27" s="77">
        <f t="shared" si="13"/>
        <v>2.9180760947274522</v>
      </c>
      <c r="BN27" s="77">
        <f t="shared" si="14"/>
        <v>3.0886946091856395</v>
      </c>
      <c r="BO27" s="77">
        <f t="shared" si="15"/>
        <v>3.2629360207982594</v>
      </c>
      <c r="BP27" s="77">
        <f t="shared" si="16"/>
        <v>3.4408323779601204</v>
      </c>
      <c r="BQ27" s="77">
        <f t="shared" si="17"/>
        <v>3.6126475832480431</v>
      </c>
      <c r="BR27" s="77">
        <f t="shared" si="18"/>
        <v>3.8054014434508954</v>
      </c>
      <c r="BS27" s="77">
        <f t="shared" si="19"/>
        <v>4.0269474433446097</v>
      </c>
      <c r="BT27" s="77">
        <f t="shared" si="20"/>
        <v>4.2791723865285745</v>
      </c>
      <c r="BU27" s="77">
        <f t="shared" si="21"/>
        <v>4.5629626723821444</v>
      </c>
      <c r="BV27" s="80">
        <f>IFERROR(VLOOKUP($H27,'1. Set Program Names'!$B$2:$D$15,3,0)*V27,"NA")</f>
        <v>20.350431262000182</v>
      </c>
      <c r="BW27" s="80">
        <f>IFERROR(VLOOKUP($H27,'1. Set Program Names'!$B$2:$D$15,3,0)*W27,"NA")</f>
        <v>21.627173947714521</v>
      </c>
      <c r="BX27" s="80">
        <f>IFERROR(VLOOKUP($H27,'1. Set Program Names'!$B$2:$D$15,3,0)*X27,"NA")</f>
        <v>22.891704470943566</v>
      </c>
      <c r="BY27" s="80">
        <f>IFERROR(VLOOKUP($H27,'1. Set Program Names'!$B$2:$D$15,3,0)*Y27,"NA")</f>
        <v>24.183085913891652</v>
      </c>
      <c r="BZ27" s="80">
        <f>IFERROR(VLOOKUP($H27,'1. Set Program Names'!$B$2:$D$15,3,0)*Z27,"NA")</f>
        <v>25.501555801622136</v>
      </c>
      <c r="CA27" s="80">
        <f>IFERROR(VLOOKUP($H27,'1. Set Program Names'!$B$2:$D$15,3,0)*AA27,"NA")</f>
        <v>26.774955538640043</v>
      </c>
      <c r="CB27" s="80">
        <f>IFERROR(VLOOKUP($H27,'1. Set Program Names'!$B$2:$D$15,3,0)*AB27,"NA")</f>
        <v>28.203541061557974</v>
      </c>
      <c r="CC27" s="80">
        <f>IFERROR(VLOOKUP($H27,'1. Set Program Names'!$B$2:$D$15,3,0)*AC27,"NA")</f>
        <v>29.845518077091977</v>
      </c>
      <c r="CD27" s="80">
        <f>IFERROR(VLOOKUP($H27,'1. Set Program Names'!$B$2:$D$15,3,0)*AD27,"NA")</f>
        <v>31.714870535051613</v>
      </c>
      <c r="CE27" s="80">
        <f>IFERROR(VLOOKUP($H27,'1. Set Program Names'!$B$2:$D$15,3,0)*AE27,"NA")</f>
        <v>33.8181679397754</v>
      </c>
    </row>
    <row r="28" spans="1:83" x14ac:dyDescent="0.25">
      <c r="A28" s="79" t="s">
        <v>114</v>
      </c>
      <c r="B28" s="79" t="s">
        <v>88</v>
      </c>
      <c r="C28" s="79" t="s">
        <v>89</v>
      </c>
      <c r="D28" s="79" t="s">
        <v>90</v>
      </c>
      <c r="E28" s="79" t="s">
        <v>91</v>
      </c>
      <c r="F28" s="79" t="s">
        <v>90</v>
      </c>
      <c r="G28" s="79" t="s">
        <v>92</v>
      </c>
      <c r="H28" s="79" t="s">
        <v>5</v>
      </c>
      <c r="I28" s="79" t="s">
        <v>99</v>
      </c>
      <c r="J28" s="79" t="s">
        <v>97</v>
      </c>
      <c r="K28" s="79" t="s">
        <v>98</v>
      </c>
      <c r="L28" s="79">
        <v>253.96999999999801</v>
      </c>
      <c r="M28" s="79">
        <v>0.107126245482503</v>
      </c>
      <c r="N28" s="79">
        <v>1.33192706841354E-2</v>
      </c>
      <c r="O28" s="79">
        <v>874.99999999999898</v>
      </c>
      <c r="P28" s="79">
        <v>813.468148399999</v>
      </c>
      <c r="Q28" s="79">
        <v>75.487273566390598</v>
      </c>
      <c r="R28" s="79">
        <v>185.54516688855901</v>
      </c>
      <c r="S28" s="79">
        <v>338.09206641710699</v>
      </c>
      <c r="T28" s="79">
        <v>16</v>
      </c>
      <c r="U28" s="79">
        <v>0.7</v>
      </c>
      <c r="V28" s="79">
        <f>tbl_Data_old[[#This Row],[2025 ]]*IFERROR(AVERAGEIFS('Participation Adjustment'!$C:$C,'Participation Adjustment'!$A:$A,$H28,'Participation Adjustment'!$B:$B,$I28),1)</f>
        <v>370.56420177092104</v>
      </c>
      <c r="W28" s="79">
        <f>tbl_Data_old[[#This Row],[2026 ]]*IFERROR(AVERAGEIFS('Participation Adjustment'!$C:$C,'Participation Adjustment'!$A:$A,$H28,'Participation Adjustment'!$B:$B,$I28),1)</f>
        <v>414.50654748079199</v>
      </c>
      <c r="X28" s="79">
        <f>tbl_Data_old[[#This Row],[2027 ]]*IFERROR(AVERAGEIFS('Participation Adjustment'!$C:$C,'Participation Adjustment'!$A:$A,$H28,'Participation Adjustment'!$B:$B,$I28),1)</f>
        <v>455.617388719524</v>
      </c>
      <c r="Y28" s="79">
        <f>tbl_Data_old[[#This Row],[2028 ]]*IFERROR(AVERAGEIFS('Participation Adjustment'!$C:$C,'Participation Adjustment'!$A:$A,$H28,'Participation Adjustment'!$B:$B,$I28),1)</f>
        <v>495.03195413137354</v>
      </c>
      <c r="Z28" s="79">
        <f>tbl_Data_old[[#This Row],[2029 ]]*IFERROR(AVERAGEIFS('Participation Adjustment'!$C:$C,'Participation Adjustment'!$A:$A,$H28,'Participation Adjustment'!$B:$B,$I28),1)</f>
        <v>533.07306613151104</v>
      </c>
      <c r="AA28" s="79">
        <f>tbl_Data_old[[#This Row],[2030 ]]*IFERROR(AVERAGEIFS('Participation Adjustment'!$C:$C,'Participation Adjustment'!$A:$A,$H28,'Participation Adjustment'!$B:$B,$I28),1)</f>
        <v>568.45338955330953</v>
      </c>
      <c r="AB28" s="79">
        <f>tbl_Data_old[[#This Row],[2031 ]]*IFERROR(AVERAGEIFS('Participation Adjustment'!$C:$C,'Participation Adjustment'!$A:$A,$H28,'Participation Adjustment'!$B:$B,$I28),1)</f>
        <v>605.62281646724398</v>
      </c>
      <c r="AC28" s="79">
        <f>tbl_Data_old[[#This Row],[2032 ]]*IFERROR(AVERAGEIFS('Participation Adjustment'!$C:$C,'Participation Adjustment'!$A:$A,$H28,'Participation Adjustment'!$B:$B,$I28),1)</f>
        <v>646.10766449791947</v>
      </c>
      <c r="AD28" s="79">
        <f>tbl_Data_old[[#This Row],[2033 ]]*IFERROR(AVERAGEIFS('Participation Adjustment'!$C:$C,'Participation Adjustment'!$A:$A,$H28,'Participation Adjustment'!$B:$B,$I28),1)</f>
        <v>690.44881524553205</v>
      </c>
      <c r="AE28" s="79">
        <f>tbl_Data_old[[#This Row],[2034 ]]*IFERROR(AVERAGEIFS('Participation Adjustment'!$C:$C,'Participation Adjustment'!$A:$A,$H28,'Participation Adjustment'!$B:$B,$I28),1)</f>
        <v>738.98016655200445</v>
      </c>
      <c r="AF28" s="77" t="str">
        <f t="shared" si="11"/>
        <v>Residential</v>
      </c>
      <c r="AG28" s="77" t="str">
        <f>tbl_Data[[#This Row],[All_Meas_Name_Append]]</f>
        <v>ASHP - ENERGY STAR/CEE Tier 1: 16 SEER/15.2 SEER2_ 9.0 HSPF</v>
      </c>
      <c r="AH28" s="77">
        <f>AVERAGEIFS('3. Incentive Adjustment'!G:G,'3. Incentive Adjustment'!A:A,tbl_Data[[#This Row],[Trimmed Sector]],'3. Incentive Adjustment'!B:B,tbl_Data[[#This Row],[Trimmed Measure Name]])</f>
        <v>8.3636985731950567E-3</v>
      </c>
      <c r="AI28" s="77">
        <f>$AH28*tbl_Data[[#This Row],[2025 ]]</f>
        <v>3.0992872856286175</v>
      </c>
      <c r="AJ28" s="77">
        <f>$AH28*tbl_Data[[#This Row],[2026 ]]</f>
        <v>3.4668078197451089</v>
      </c>
      <c r="AK28" s="77">
        <f>$AH28*tbl_Data[[#This Row],[2027 ]]</f>
        <v>3.8106465039563404</v>
      </c>
      <c r="AL28" s="77">
        <f>$AH28*tbl_Data[[#This Row],[2028 ]]</f>
        <v>4.1402980484545298</v>
      </c>
      <c r="AM28" s="77">
        <f>$AH28*tbl_Data[[#This Row],[2029 ]]</f>
        <v>4.4584624426128334</v>
      </c>
      <c r="AN28" s="77">
        <f>$AH28*tbl_Data[[#This Row],[2030 ]]</f>
        <v>4.7543728031349088</v>
      </c>
      <c r="AO28" s="77">
        <f>$AH28*tbl_Data[[#This Row],[2031 ]]</f>
        <v>5.0652466859814602</v>
      </c>
      <c r="AP28" s="77">
        <f>$AH28*tbl_Data[[#This Row],[2032 ]]</f>
        <v>5.4038497516916397</v>
      </c>
      <c r="AQ28" s="77">
        <f>$AH28*tbl_Data[[#This Row],[2033 ]]</f>
        <v>5.7747057709332736</v>
      </c>
      <c r="AR28" s="77">
        <f>$AH28*tbl_Data[[#This Row],[2034 ]]</f>
        <v>6.1806073646104451</v>
      </c>
      <c r="AS28" s="77">
        <f>SUM(tbl_Data[[#This Row],[Adjusted 2025]:[Adjusted 2034]])</f>
        <v>46.154284476749162</v>
      </c>
      <c r="AT28" s="80">
        <f>AVERAGEIFS('3. Incentive Adjustment'!F:F,'3. Incentive Adjustment'!A:A,tbl_Data[[#This Row],[Trimmed Sector]],'3. Incentive Adjustment'!B:B,tbl_Data[[#This Row],[Trimmed Measure Name]])</f>
        <v>353</v>
      </c>
      <c r="AU28" s="80">
        <f>IFERROR(VLOOKUP(tbl_Data[[#This Row],[All_Meas_Name_Append]],'IRA Tax Credits'!$A$3:$D$46,4,0),0)</f>
        <v>0</v>
      </c>
      <c r="AV28" s="81">
        <f>tbl_Data[[#This Row],[Adj. per unit Incentive ($)]]/tbl_Data[[#This Row],[kWh Savings]]*tbl_Data[[#This Row],[Sum of Annuals]]</f>
        <v>64.151129740885068</v>
      </c>
      <c r="AW28" s="81">
        <f>IFERROR(VLOOKUP(tbl_Data[[#This Row],[Column1]],'1. Set Program Names'!$B$2:$D$15,3,0)*tbl_Data[[#This Row],[Sum of Annuals]],"")</f>
        <v>20.577594392393173</v>
      </c>
      <c r="AX28" s="81">
        <f>tbl_Data[[#This Row],[per unit IRA tax ($)]]/tbl_Data[[#This Row],[kWh Savings]]*tbl_Data[[#This Row],[Sum of Annuals]]</f>
        <v>0</v>
      </c>
      <c r="AY28" s="81">
        <f>tbl_Data[[#This Row],[Avoided Costs ($/unit)]]/tbl_Data[[#This Row],[kWh Savings]]*tbl_Data[[#This Row],[Sum of Annuals]]</f>
        <v>33.719354316889863</v>
      </c>
      <c r="AZ28" s="81">
        <f>tbl_Data[[#This Row],[Lost Revenue ($/unit)]]/tbl_Data[[#This Row],[kWh Savings]]*tbl_Data[[#This Row],[Sum of Annuals]]</f>
        <v>61.441892399682047</v>
      </c>
      <c r="BA28" s="81">
        <f>tbl_Data[[#This Row],[Incremental Cost ($/unit)]]/tbl_Data[[#This Row],[kWh Savings]]*tbl_Data[[#This Row],[Sum of Annuals]]</f>
        <v>159.01484000927584</v>
      </c>
      <c r="BB28" s="77">
        <f>ROUNDUP(tbl_Data[[#This Row],[Adjusted 2025]]/$L28,0)</f>
        <v>1</v>
      </c>
      <c r="BC28" s="77">
        <f>ROUNDUP(tbl_Data[[#This Row],[Adjusted 2026]]/$L28,0)</f>
        <v>1</v>
      </c>
      <c r="BD28" s="77">
        <f>ROUNDUP(tbl_Data[[#This Row],[Adjusted 2027]]/$L28,0)</f>
        <v>1</v>
      </c>
      <c r="BE28" s="77">
        <f>ROUNDUP(tbl_Data[[#This Row],[Adjusted 2028]]/$L28,0)</f>
        <v>1</v>
      </c>
      <c r="BF28" s="77">
        <f>ROUNDUP(tbl_Data[[#This Row],[Adjusted 2029]]/$L28,0)</f>
        <v>1</v>
      </c>
      <c r="BG28" s="77">
        <f>ROUNDUP(tbl_Data[[#This Row],[Adjusted 2030]]/$L28,0)</f>
        <v>1</v>
      </c>
      <c r="BH28" s="77">
        <f>ROUNDUP(tbl_Data[[#This Row],[Adjusted 2031]]/$L28,0)</f>
        <v>1</v>
      </c>
      <c r="BI28" s="77">
        <f>ROUNDUP(tbl_Data[[#This Row],[Adjusted 2032]]/$L28,0)</f>
        <v>1</v>
      </c>
      <c r="BJ28" s="77">
        <f>ROUNDUP(tbl_Data[[#This Row],[Adjusted 2033]]/$L28,0)</f>
        <v>1</v>
      </c>
      <c r="BK28" s="77">
        <f>ROUNDUP(tbl_Data[[#This Row],[Adjusted 2034]]/$L28,0)</f>
        <v>1</v>
      </c>
      <c r="BL28" s="80">
        <f t="shared" si="12"/>
        <v>515.05753917839172</v>
      </c>
      <c r="BM28" s="77">
        <f t="shared" si="13"/>
        <v>576.13423341623309</v>
      </c>
      <c r="BN28" s="77">
        <f t="shared" si="14"/>
        <v>633.27534046538267</v>
      </c>
      <c r="BO28" s="77">
        <f t="shared" si="15"/>
        <v>688.05874634160034</v>
      </c>
      <c r="BP28" s="77">
        <f t="shared" si="16"/>
        <v>740.93315094076024</v>
      </c>
      <c r="BQ28" s="77">
        <f t="shared" si="17"/>
        <v>790.10925114115776</v>
      </c>
      <c r="BR28" s="77">
        <f t="shared" si="18"/>
        <v>841.77207628042208</v>
      </c>
      <c r="BS28" s="77">
        <f t="shared" si="19"/>
        <v>898.04309787678608</v>
      </c>
      <c r="BT28" s="77">
        <f t="shared" si="20"/>
        <v>959.67410238089042</v>
      </c>
      <c r="BU28" s="77">
        <f t="shared" si="21"/>
        <v>1027.1291837337467</v>
      </c>
      <c r="BV28" s="80">
        <f>IFERROR(VLOOKUP($H28,'1. Set Program Names'!$B$2:$D$15,3,0)*V28,"NA")</f>
        <v>165.21369417446638</v>
      </c>
      <c r="BW28" s="80">
        <f>IFERROR(VLOOKUP($H28,'1. Set Program Names'!$B$2:$D$15,3,0)*W28,"NA")</f>
        <v>184.80510972600763</v>
      </c>
      <c r="BX28" s="80">
        <f>IFERROR(VLOOKUP($H28,'1. Set Program Names'!$B$2:$D$15,3,0)*X28,"NA")</f>
        <v>203.13411700520967</v>
      </c>
      <c r="BY28" s="80">
        <f>IFERROR(VLOOKUP($H28,'1. Set Program Names'!$B$2:$D$15,3,0)*Y28,"NA")</f>
        <v>220.70685048797162</v>
      </c>
      <c r="BZ28" s="80">
        <f>IFERROR(VLOOKUP($H28,'1. Set Program Names'!$B$2:$D$15,3,0)*Z28,"NA")</f>
        <v>237.66723849634326</v>
      </c>
      <c r="CA28" s="80">
        <f>IFERROR(VLOOKUP($H28,'1. Set Program Names'!$B$2:$D$15,3,0)*AA28,"NA")</f>
        <v>253.44133082816606</v>
      </c>
      <c r="CB28" s="80">
        <f>IFERROR(VLOOKUP($H28,'1. Set Program Names'!$B$2:$D$15,3,0)*AB28,"NA")</f>
        <v>270.01308358099993</v>
      </c>
      <c r="CC28" s="80">
        <f>IFERROR(VLOOKUP($H28,'1. Set Program Names'!$B$2:$D$15,3,0)*AC28,"NA")</f>
        <v>288.06299576699848</v>
      </c>
      <c r="CD28" s="80">
        <f>IFERROR(VLOOKUP($H28,'1. Set Program Names'!$B$2:$D$15,3,0)*AD28,"NA")</f>
        <v>307.83221600994221</v>
      </c>
      <c r="CE28" s="80">
        <f>IFERROR(VLOOKUP($H28,'1. Set Program Names'!$B$2:$D$15,3,0)*AE28,"NA")</f>
        <v>329.46961054050666</v>
      </c>
    </row>
    <row r="29" spans="1:83" x14ac:dyDescent="0.25">
      <c r="A29" s="79" t="s">
        <v>114</v>
      </c>
      <c r="B29" s="79" t="s">
        <v>88</v>
      </c>
      <c r="C29" s="79" t="s">
        <v>89</v>
      </c>
      <c r="D29" s="79" t="s">
        <v>90</v>
      </c>
      <c r="E29" s="79" t="s">
        <v>91</v>
      </c>
      <c r="F29" s="79" t="s">
        <v>90</v>
      </c>
      <c r="G29" s="79" t="s">
        <v>92</v>
      </c>
      <c r="H29" s="79" t="s">
        <v>5</v>
      </c>
      <c r="I29" s="79" t="s">
        <v>100</v>
      </c>
      <c r="J29" s="79" t="s">
        <v>101</v>
      </c>
      <c r="K29" s="79" t="s">
        <v>102</v>
      </c>
      <c r="L29" s="79">
        <v>3443.6666666666601</v>
      </c>
      <c r="M29" s="79">
        <v>1.66949913665645</v>
      </c>
      <c r="N29" s="79">
        <v>0.25022957227107101</v>
      </c>
      <c r="O29" s="79">
        <v>1269.26999999999</v>
      </c>
      <c r="P29" s="79">
        <v>446.40188399649003</v>
      </c>
      <c r="Q29" s="79">
        <v>1023.5579310081</v>
      </c>
      <c r="R29" s="79">
        <v>3363.3816217672702</v>
      </c>
      <c r="S29" s="79">
        <v>6252.5618237134204</v>
      </c>
      <c r="T29" s="79">
        <v>30</v>
      </c>
      <c r="U29" s="79">
        <v>0.9</v>
      </c>
      <c r="V29" s="79">
        <f>tbl_Data_old[[#This Row],[2025 ]]*IFERROR(AVERAGEIFS('Participation Adjustment'!$C:$C,'Participation Adjustment'!$A:$A,$H29,'Participation Adjustment'!$B:$B,$I29),1)</f>
        <v>6.7971031728729603</v>
      </c>
      <c r="W29" s="79">
        <f>tbl_Data_old[[#This Row],[2026 ]]*IFERROR(AVERAGEIFS('Participation Adjustment'!$C:$C,'Participation Adjustment'!$A:$A,$H29,'Participation Adjustment'!$B:$B,$I29),1)</f>
        <v>6.5780897426663003</v>
      </c>
      <c r="X29" s="79">
        <f>tbl_Data_old[[#This Row],[2027 ]]*IFERROR(AVERAGEIFS('Participation Adjustment'!$C:$C,'Participation Adjustment'!$A:$A,$H29,'Participation Adjustment'!$B:$B,$I29),1)</f>
        <v>6.3711893626337703</v>
      </c>
      <c r="Y29" s="79">
        <f>tbl_Data_old[[#This Row],[2028 ]]*IFERROR(AVERAGEIFS('Participation Adjustment'!$C:$C,'Participation Adjustment'!$A:$A,$H29,'Participation Adjustment'!$B:$B,$I29),1)</f>
        <v>6.1829652748477502</v>
      </c>
      <c r="Z29" s="79">
        <f>tbl_Data_old[[#This Row],[2029 ]]*IFERROR(AVERAGEIFS('Participation Adjustment'!$C:$C,'Participation Adjustment'!$A:$A,$H29,'Participation Adjustment'!$B:$B,$I29),1)</f>
        <v>6.0085259768969896</v>
      </c>
      <c r="AA29" s="79">
        <f>tbl_Data_old[[#This Row],[2030 ]]*IFERROR(AVERAGEIFS('Participation Adjustment'!$C:$C,'Participation Adjustment'!$A:$A,$H29,'Participation Adjustment'!$B:$B,$I29),1)</f>
        <v>5.8283596394664396</v>
      </c>
      <c r="AB29" s="79">
        <f>tbl_Data_old[[#This Row],[2031 ]]*IFERROR(AVERAGEIFS('Participation Adjustment'!$C:$C,'Participation Adjustment'!$A:$A,$H29,'Participation Adjustment'!$B:$B,$I29),1)</f>
        <v>5.6835145531192302</v>
      </c>
      <c r="AC29" s="79">
        <f>tbl_Data_old[[#This Row],[2032 ]]*IFERROR(AVERAGEIFS('Participation Adjustment'!$C:$C,'Participation Adjustment'!$A:$A,$H29,'Participation Adjustment'!$B:$B,$I29),1)</f>
        <v>5.5769424819260598</v>
      </c>
      <c r="AD29" s="79">
        <f>tbl_Data_old[[#This Row],[2033 ]]*IFERROR(AVERAGEIFS('Participation Adjustment'!$C:$C,'Participation Adjustment'!$A:$A,$H29,'Participation Adjustment'!$B:$B,$I29),1)</f>
        <v>5.5025336594840599</v>
      </c>
      <c r="AE29" s="79">
        <f>tbl_Data_old[[#This Row],[2034 ]]*IFERROR(AVERAGEIFS('Participation Adjustment'!$C:$C,'Participation Adjustment'!$A:$A,$H29,'Participation Adjustment'!$B:$B,$I29),1)</f>
        <v>5.4539597761631198</v>
      </c>
      <c r="AF29" s="77" t="str">
        <f t="shared" si="11"/>
        <v>Residential</v>
      </c>
      <c r="AG29" s="77" t="str">
        <f>tbl_Data[[#This Row],[All_Meas_Name_Append]]</f>
        <v>Ceiling Insulation(R2 to R38) Residential</v>
      </c>
      <c r="AH29" s="77">
        <f>AVERAGEIFS('3. Incentive Adjustment'!G:G,'3. Incentive Adjustment'!A:A,tbl_Data[[#This Row],[Trimmed Sector]],'3. Incentive Adjustment'!B:B,tbl_Data[[#This Row],[Trimmed Measure Name]])</f>
        <v>0.80543313072084111</v>
      </c>
      <c r="AI29" s="77">
        <f>$AH29*tbl_Data[[#This Row],[2025 ]]</f>
        <v>5.4746120883596312</v>
      </c>
      <c r="AJ29" s="77">
        <f>$AH29*tbl_Data[[#This Row],[2026 ]]</f>
        <v>5.2982114155983702</v>
      </c>
      <c r="AK29" s="77">
        <f>$AH29*tbl_Data[[#This Row],[2027 ]]</f>
        <v>5.131566994761438</v>
      </c>
      <c r="AL29" s="77">
        <f>$AH29*tbl_Data[[#This Row],[2028 ]]</f>
        <v>4.9799650784588696</v>
      </c>
      <c r="AM29" s="77">
        <f>$AH29*tbl_Data[[#This Row],[2029 ]]</f>
        <v>4.8394658885896424</v>
      </c>
      <c r="AN29" s="77">
        <f>$AH29*tbl_Data[[#This Row],[2030 ]]</f>
        <v>4.694353951382447</v>
      </c>
      <c r="AO29" s="77">
        <f>$AH29*tbl_Data[[#This Row],[2031 ]]</f>
        <v>4.5776909200162841</v>
      </c>
      <c r="AP29" s="77">
        <f>$AH29*tbl_Data[[#This Row],[2032 ]]</f>
        <v>4.4918542430677642</v>
      </c>
      <c r="AQ29" s="77">
        <f>$AH29*tbl_Data[[#This Row],[2033 ]]</f>
        <v>4.431922912255053</v>
      </c>
      <c r="AR29" s="77">
        <f>$AH29*tbl_Data[[#This Row],[2034 ]]</f>
        <v>4.3927998973405993</v>
      </c>
      <c r="AS29" s="77">
        <f>SUM(tbl_Data[[#This Row],[Adjusted 2025]:[Adjusted 2034]])</f>
        <v>48.312443389830108</v>
      </c>
      <c r="AT29" s="80">
        <f>AVERAGEIFS('3. Incentive Adjustment'!F:F,'3. Incentive Adjustment'!A:A,tbl_Data[[#This Row],[Trimmed Sector]],'3. Incentive Adjustment'!B:B,tbl_Data[[#This Row],[Trimmed Measure Name]])</f>
        <v>164</v>
      </c>
      <c r="AU29" s="80">
        <f>IFERROR(VLOOKUP(tbl_Data[[#This Row],[All_Meas_Name_Append]],'IRA Tax Credits'!$A$3:$D$46,4,0),0)</f>
        <v>0</v>
      </c>
      <c r="AV29" s="81">
        <f>tbl_Data[[#This Row],[Adj. per unit Incentive ($)]]/tbl_Data[[#This Row],[kWh Savings]]*tbl_Data[[#This Row],[Sum of Annuals]]</f>
        <v>2.3008152306452869</v>
      </c>
      <c r="AW29" s="81">
        <f>IFERROR(VLOOKUP(tbl_Data[[#This Row],[Column1]],'1. Set Program Names'!$B$2:$D$15,3,0)*tbl_Data[[#This Row],[Sum of Annuals]],"")</f>
        <v>21.539795827236773</v>
      </c>
      <c r="AX29" s="81">
        <f>tbl_Data[[#This Row],[per unit IRA tax ($)]]/tbl_Data[[#This Row],[kWh Savings]]*tbl_Data[[#This Row],[Sum of Annuals]]</f>
        <v>0</v>
      </c>
      <c r="AY29" s="81">
        <f>tbl_Data[[#This Row],[Avoided Costs ($/unit)]]/tbl_Data[[#This Row],[kWh Savings]]*tbl_Data[[#This Row],[Sum of Annuals]]</f>
        <v>47.186095498991342</v>
      </c>
      <c r="AZ29" s="81">
        <f>tbl_Data[[#This Row],[Lost Revenue ($/unit)]]/tbl_Data[[#This Row],[kWh Savings]]*tbl_Data[[#This Row],[Sum of Annuals]]</f>
        <v>87.719448015555528</v>
      </c>
      <c r="BA29" s="81">
        <f>tbl_Data[[#This Row],[Incremental Cost ($/unit)]]/tbl_Data[[#This Row],[kWh Savings]]*tbl_Data[[#This Row],[Sum of Annuals]]</f>
        <v>17.807047242689759</v>
      </c>
      <c r="BB29" s="77">
        <f>ROUNDUP(tbl_Data[[#This Row],[Adjusted 2025]]/$L29,0)</f>
        <v>1</v>
      </c>
      <c r="BC29" s="77">
        <f>ROUNDUP(tbl_Data[[#This Row],[Adjusted 2026]]/$L29,0)</f>
        <v>1</v>
      </c>
      <c r="BD29" s="77">
        <f>ROUNDUP(tbl_Data[[#This Row],[Adjusted 2027]]/$L29,0)</f>
        <v>1</v>
      </c>
      <c r="BE29" s="77">
        <f>ROUNDUP(tbl_Data[[#This Row],[Adjusted 2028]]/$L29,0)</f>
        <v>1</v>
      </c>
      <c r="BF29" s="77">
        <f>ROUNDUP(tbl_Data[[#This Row],[Adjusted 2029]]/$L29,0)</f>
        <v>1</v>
      </c>
      <c r="BG29" s="77">
        <f>ROUNDUP(tbl_Data[[#This Row],[Adjusted 2030]]/$L29,0)</f>
        <v>1</v>
      </c>
      <c r="BH29" s="77">
        <f>ROUNDUP(tbl_Data[[#This Row],[Adjusted 2031]]/$L29,0)</f>
        <v>1</v>
      </c>
      <c r="BI29" s="77">
        <f>ROUNDUP(tbl_Data[[#This Row],[Adjusted 2032]]/$L29,0)</f>
        <v>1</v>
      </c>
      <c r="BJ29" s="77">
        <f>ROUNDUP(tbl_Data[[#This Row],[Adjusted 2033]]/$L29,0)</f>
        <v>1</v>
      </c>
      <c r="BK29" s="77">
        <f>ROUNDUP(tbl_Data[[#This Row],[Adjusted 2034]]/$L29,0)</f>
        <v>1</v>
      </c>
      <c r="BL29" s="80">
        <f t="shared" si="12"/>
        <v>0.3237029097912596</v>
      </c>
      <c r="BM29" s="77">
        <f t="shared" si="13"/>
        <v>0.31327268932260438</v>
      </c>
      <c r="BN29" s="77">
        <f t="shared" si="14"/>
        <v>0.30341933660011816</v>
      </c>
      <c r="BO29" s="77">
        <f t="shared" si="15"/>
        <v>0.2944554172127673</v>
      </c>
      <c r="BP29" s="77">
        <f t="shared" si="16"/>
        <v>0.28614797992772473</v>
      </c>
      <c r="BQ29" s="77">
        <f t="shared" si="17"/>
        <v>0.27756780007913018</v>
      </c>
      <c r="BR29" s="77">
        <f t="shared" si="18"/>
        <v>0.27066974737534277</v>
      </c>
      <c r="BS29" s="77">
        <f t="shared" si="19"/>
        <v>0.26559439561587711</v>
      </c>
      <c r="BT29" s="77">
        <f t="shared" si="20"/>
        <v>0.26205077538148897</v>
      </c>
      <c r="BU29" s="77">
        <f t="shared" si="21"/>
        <v>0.2597375094252502</v>
      </c>
      <c r="BV29" s="80">
        <f>IFERROR(VLOOKUP($H29,'1. Set Program Names'!$B$2:$D$15,3,0)*V29,"NA")</f>
        <v>3.030445249456502</v>
      </c>
      <c r="BW29" s="80">
        <f>IFERROR(VLOOKUP($H29,'1. Set Program Names'!$B$2:$D$15,3,0)*W29,"NA")</f>
        <v>2.9327995035767298</v>
      </c>
      <c r="BX29" s="80">
        <f>IFERROR(VLOOKUP($H29,'1. Set Program Names'!$B$2:$D$15,3,0)*X29,"NA")</f>
        <v>2.8405542841305009</v>
      </c>
      <c r="BY29" s="80">
        <f>IFERROR(VLOOKUP($H29,'1. Set Program Names'!$B$2:$D$15,3,0)*Y29,"NA")</f>
        <v>2.7566357708819615</v>
      </c>
      <c r="BZ29" s="80">
        <f>IFERROR(VLOOKUP($H29,'1. Set Program Names'!$B$2:$D$15,3,0)*Z29,"NA")</f>
        <v>2.6788631185698484</v>
      </c>
      <c r="CA29" s="80">
        <f>IFERROR(VLOOKUP($H29,'1. Set Program Names'!$B$2:$D$15,3,0)*AA29,"NA")</f>
        <v>2.5985371021048644</v>
      </c>
      <c r="CB29" s="80">
        <f>IFERROR(VLOOKUP($H29,'1. Set Program Names'!$B$2:$D$15,3,0)*AB29,"NA")</f>
        <v>2.5339588409450466</v>
      </c>
      <c r="CC29" s="80">
        <f>IFERROR(VLOOKUP($H29,'1. Set Program Names'!$B$2:$D$15,3,0)*AC29,"NA")</f>
        <v>2.4864443603408666</v>
      </c>
      <c r="CD29" s="80">
        <f>IFERROR(VLOOKUP($H29,'1. Set Program Names'!$B$2:$D$15,3,0)*AD29,"NA")</f>
        <v>2.4532696597732859</v>
      </c>
      <c r="CE29" s="80">
        <f>IFERROR(VLOOKUP($H29,'1. Set Program Names'!$B$2:$D$15,3,0)*AE29,"NA")</f>
        <v>2.4316133026143909</v>
      </c>
    </row>
    <row r="30" spans="1:83" x14ac:dyDescent="0.25">
      <c r="A30" s="79" t="s">
        <v>114</v>
      </c>
      <c r="B30" s="79" t="s">
        <v>88</v>
      </c>
      <c r="C30" s="79" t="s">
        <v>89</v>
      </c>
      <c r="D30" s="79" t="s">
        <v>90</v>
      </c>
      <c r="E30" s="79" t="s">
        <v>91</v>
      </c>
      <c r="F30" s="79" t="s">
        <v>90</v>
      </c>
      <c r="G30" s="79" t="s">
        <v>92</v>
      </c>
      <c r="H30" s="79" t="s">
        <v>5</v>
      </c>
      <c r="I30" s="79" t="s">
        <v>103</v>
      </c>
      <c r="J30" s="79" t="s">
        <v>101</v>
      </c>
      <c r="K30" s="79" t="s">
        <v>102</v>
      </c>
      <c r="L30" s="79">
        <v>3523.57666666666</v>
      </c>
      <c r="M30" s="79">
        <v>1.7070465614975301</v>
      </c>
      <c r="N30" s="79">
        <v>0.25623328618049002</v>
      </c>
      <c r="O30" s="79">
        <v>1306.5999999999899</v>
      </c>
      <c r="P30" s="79">
        <v>465.31519597206898</v>
      </c>
      <c r="Q30" s="79">
        <v>1047.30950808685</v>
      </c>
      <c r="R30" s="79">
        <v>3440.61303289528</v>
      </c>
      <c r="S30" s="79">
        <v>6397.6520033667803</v>
      </c>
      <c r="T30" s="79">
        <v>30</v>
      </c>
      <c r="U30" s="79">
        <v>0.9</v>
      </c>
      <c r="V30" s="79">
        <f>tbl_Data_old[[#This Row],[2025 ]]*IFERROR(AVERAGEIFS('Participation Adjustment'!$C:$C,'Participation Adjustment'!$A:$A,$H30,'Participation Adjustment'!$B:$B,$I30),1)</f>
        <v>6.9568247427069503</v>
      </c>
      <c r="W30" s="79">
        <f>tbl_Data_old[[#This Row],[2026 ]]*IFERROR(AVERAGEIFS('Participation Adjustment'!$C:$C,'Participation Adjustment'!$A:$A,$H30,'Participation Adjustment'!$B:$B,$I30),1)</f>
        <v>6.7330863332189903</v>
      </c>
      <c r="X30" s="79">
        <f>tbl_Data_old[[#This Row],[2027 ]]*IFERROR(AVERAGEIFS('Participation Adjustment'!$C:$C,'Participation Adjustment'!$A:$A,$H30,'Participation Adjustment'!$B:$B,$I30),1)</f>
        <v>6.5217039492283204</v>
      </c>
      <c r="Y30" s="79">
        <f>tbl_Data_old[[#This Row],[2028 ]]*IFERROR(AVERAGEIFS('Participation Adjustment'!$C:$C,'Participation Adjustment'!$A:$A,$H30,'Participation Adjustment'!$B:$B,$I30),1)</f>
        <v>6.3293999938820997</v>
      </c>
      <c r="Z30" s="79">
        <f>tbl_Data_old[[#This Row],[2029 ]]*IFERROR(AVERAGEIFS('Participation Adjustment'!$C:$C,'Participation Adjustment'!$A:$A,$H30,'Participation Adjustment'!$B:$B,$I30),1)</f>
        <v>6.1511715659653596</v>
      </c>
      <c r="AA30" s="79">
        <f>tbl_Data_old[[#This Row],[2030 ]]*IFERROR(AVERAGEIFS('Participation Adjustment'!$C:$C,'Participation Adjustment'!$A:$A,$H30,'Participation Adjustment'!$B:$B,$I30),1)</f>
        <v>5.9670462572540703</v>
      </c>
      <c r="AB30" s="79">
        <f>tbl_Data_old[[#This Row],[2031 ]]*IFERROR(AVERAGEIFS('Participation Adjustment'!$C:$C,'Participation Adjustment'!$A:$A,$H30,'Participation Adjustment'!$B:$B,$I30),1)</f>
        <v>5.8190517416590097</v>
      </c>
      <c r="AC30" s="79">
        <f>tbl_Data_old[[#This Row],[2032 ]]*IFERROR(AVERAGEIFS('Participation Adjustment'!$C:$C,'Participation Adjustment'!$A:$A,$H30,'Participation Adjustment'!$B:$B,$I30),1)</f>
        <v>5.7102170679332804</v>
      </c>
      <c r="AD30" s="79">
        <f>tbl_Data_old[[#This Row],[2033 ]]*IFERROR(AVERAGEIFS('Participation Adjustment'!$C:$C,'Participation Adjustment'!$A:$A,$H30,'Participation Adjustment'!$B:$B,$I30),1)</f>
        <v>5.6342928726694304</v>
      </c>
      <c r="AE30" s="79">
        <f>tbl_Data_old[[#This Row],[2034 ]]*IFERROR(AVERAGEIFS('Participation Adjustment'!$C:$C,'Participation Adjustment'!$A:$A,$H30,'Participation Adjustment'!$B:$B,$I30),1)</f>
        <v>5.5848043948298498</v>
      </c>
      <c r="AF30" s="77" t="str">
        <f t="shared" si="11"/>
        <v>Residential</v>
      </c>
      <c r="AG30" s="77" t="str">
        <f>tbl_Data[[#This Row],[All_Meas_Name_Append]]</f>
        <v>Ceiling Insulation(R2 to R49) Residential</v>
      </c>
      <c r="AH30" s="77">
        <f>AVERAGEIFS('3. Incentive Adjustment'!G:G,'3. Incentive Adjustment'!A:A,tbl_Data[[#This Row],[Trimmed Sector]],'3. Incentive Adjustment'!B:B,tbl_Data[[#This Row],[Trimmed Measure Name]])</f>
        <v>0.79801279130038982</v>
      </c>
      <c r="AI30" s="77">
        <f>$AH30*tbl_Data[[#This Row],[2025 ]]</f>
        <v>5.5516351315151899</v>
      </c>
      <c r="AJ30" s="77">
        <f>$AH30*tbl_Data[[#This Row],[2026 ]]</f>
        <v>5.3730890188385931</v>
      </c>
      <c r="AK30" s="77">
        <f>$AH30*tbl_Data[[#This Row],[2027 ]]</f>
        <v>5.2044031725584681</v>
      </c>
      <c r="AL30" s="77">
        <f>$AH30*tbl_Data[[#This Row],[2028 ]]</f>
        <v>5.0509421563745249</v>
      </c>
      <c r="AM30" s="77">
        <f>$AH30*tbl_Data[[#This Row],[2029 ]]</f>
        <v>4.9087135911236066</v>
      </c>
      <c r="AN30" s="77">
        <f>$AH30*tbl_Data[[#This Row],[2030 ]]</f>
        <v>4.761779239569865</v>
      </c>
      <c r="AO30" s="77">
        <f>$AH30*tbl_Data[[#This Row],[2031 ]]</f>
        <v>4.6436777230827015</v>
      </c>
      <c r="AP30" s="77">
        <f>$AH30*tbl_Data[[#This Row],[2032 ]]</f>
        <v>4.5568262613125645</v>
      </c>
      <c r="AQ30" s="77">
        <f>$AH30*tbl_Data[[#This Row],[2033 ]]</f>
        <v>4.4962377823228241</v>
      </c>
      <c r="AR30" s="77">
        <f>$AH30*tbl_Data[[#This Row],[2034 ]]</f>
        <v>4.4567453439848528</v>
      </c>
      <c r="AS30" s="77">
        <f>SUM(tbl_Data[[#This Row],[Adjusted 2025]:[Adjusted 2034]])</f>
        <v>49.004049420683188</v>
      </c>
      <c r="AT30" s="80">
        <f>AVERAGEIFS('3. Incentive Adjustment'!F:F,'3. Incentive Adjustment'!A:A,tbl_Data[[#This Row],[Trimmed Sector]],'3. Incentive Adjustment'!B:B,tbl_Data[[#This Row],[Trimmed Measure Name]])</f>
        <v>164</v>
      </c>
      <c r="AU30" s="80">
        <f>IFERROR(VLOOKUP(tbl_Data[[#This Row],[All_Meas_Name_Append]],'IRA Tax Credits'!$A$3:$D$46,4,0),0)</f>
        <v>0</v>
      </c>
      <c r="AV30" s="81">
        <f>tbl_Data[[#This Row],[Adj. per unit Incentive ($)]]/tbl_Data[[#This Row],[kWh Savings]]*tbl_Data[[#This Row],[Sum of Annuals]]</f>
        <v>2.2808256681398706</v>
      </c>
      <c r="AW30" s="81">
        <f>IFERROR(VLOOKUP(tbl_Data[[#This Row],[Column1]],'1. Set Program Names'!$B$2:$D$15,3,0)*tbl_Data[[#This Row],[Sum of Annuals]],"")</f>
        <v>21.848143980470457</v>
      </c>
      <c r="AX30" s="81">
        <f>tbl_Data[[#This Row],[per unit IRA tax ($)]]/tbl_Data[[#This Row],[kWh Savings]]*tbl_Data[[#This Row],[Sum of Annuals]]</f>
        <v>0</v>
      </c>
      <c r="AY30" s="81">
        <f>tbl_Data[[#This Row],[Avoided Costs ($/unit)]]/tbl_Data[[#This Row],[kWh Savings]]*tbl_Data[[#This Row],[Sum of Annuals]]</f>
        <v>47.850234875390996</v>
      </c>
      <c r="AZ30" s="81">
        <f>tbl_Data[[#This Row],[Lost Revenue ($/unit)]]/tbl_Data[[#This Row],[kWh Savings]]*tbl_Data[[#This Row],[Sum of Annuals]]</f>
        <v>88.975176250642804</v>
      </c>
      <c r="BA30" s="81">
        <f>tbl_Data[[#This Row],[Incremental Cost ($/unit)]]/tbl_Data[[#This Row],[kWh Savings]]*tbl_Data[[#This Row],[Sum of Annuals]]</f>
        <v>18.171504987753242</v>
      </c>
      <c r="BB30" s="77">
        <f>ROUNDUP(tbl_Data[[#This Row],[Adjusted 2025]]/$L30,0)</f>
        <v>1</v>
      </c>
      <c r="BC30" s="77">
        <f>ROUNDUP(tbl_Data[[#This Row],[Adjusted 2026]]/$L30,0)</f>
        <v>1</v>
      </c>
      <c r="BD30" s="77">
        <f>ROUNDUP(tbl_Data[[#This Row],[Adjusted 2027]]/$L30,0)</f>
        <v>1</v>
      </c>
      <c r="BE30" s="77">
        <f>ROUNDUP(tbl_Data[[#This Row],[Adjusted 2028]]/$L30,0)</f>
        <v>1</v>
      </c>
      <c r="BF30" s="77">
        <f>ROUNDUP(tbl_Data[[#This Row],[Adjusted 2029]]/$L30,0)</f>
        <v>1</v>
      </c>
      <c r="BG30" s="77">
        <f>ROUNDUP(tbl_Data[[#This Row],[Adjusted 2030]]/$L30,0)</f>
        <v>1</v>
      </c>
      <c r="BH30" s="77">
        <f>ROUNDUP(tbl_Data[[#This Row],[Adjusted 2031]]/$L30,0)</f>
        <v>1</v>
      </c>
      <c r="BI30" s="77">
        <f>ROUNDUP(tbl_Data[[#This Row],[Adjusted 2032]]/$L30,0)</f>
        <v>1</v>
      </c>
      <c r="BJ30" s="77">
        <f>ROUNDUP(tbl_Data[[#This Row],[Adjusted 2033]]/$L30,0)</f>
        <v>1</v>
      </c>
      <c r="BK30" s="77">
        <f>ROUNDUP(tbl_Data[[#This Row],[Adjusted 2034]]/$L30,0)</f>
        <v>1</v>
      </c>
      <c r="BL30" s="80">
        <f t="shared" si="12"/>
        <v>0.32379578074663018</v>
      </c>
      <c r="BM30" s="77">
        <f t="shared" si="13"/>
        <v>0.31338218608778667</v>
      </c>
      <c r="BN30" s="77">
        <f t="shared" si="14"/>
        <v>0.30354368553736022</v>
      </c>
      <c r="BO30" s="77">
        <f t="shared" si="15"/>
        <v>0.29459316404732683</v>
      </c>
      <c r="BP30" s="77">
        <f t="shared" si="16"/>
        <v>0.28629776850368543</v>
      </c>
      <c r="BQ30" s="77">
        <f t="shared" si="17"/>
        <v>0.27772791080360659</v>
      </c>
      <c r="BR30" s="77">
        <f t="shared" si="18"/>
        <v>0.27083971087107872</v>
      </c>
      <c r="BS30" s="77">
        <f t="shared" si="19"/>
        <v>0.26577415158869627</v>
      </c>
      <c r="BT30" s="77">
        <f t="shared" si="20"/>
        <v>0.26224036498457204</v>
      </c>
      <c r="BU30" s="77">
        <f t="shared" si="21"/>
        <v>0.25993699226603001</v>
      </c>
      <c r="BV30" s="80">
        <f>IFERROR(VLOOKUP($H30,'1. Set Program Names'!$B$2:$D$15,3,0)*V30,"NA")</f>
        <v>3.1016560962288282</v>
      </c>
      <c r="BW30" s="80">
        <f>IFERROR(VLOOKUP($H30,'1. Set Program Names'!$B$2:$D$15,3,0)*W30,"NA")</f>
        <v>3.0019037483669146</v>
      </c>
      <c r="BX30" s="80">
        <f>IFERROR(VLOOKUP($H30,'1. Set Program Names'!$B$2:$D$15,3,0)*X30,"NA")</f>
        <v>2.907660255942103</v>
      </c>
      <c r="BY30" s="80">
        <f>IFERROR(VLOOKUP($H30,'1. Set Program Names'!$B$2:$D$15,3,0)*Y30,"NA")</f>
        <v>2.8219227596721543</v>
      </c>
      <c r="BZ30" s="80">
        <f>IFERROR(VLOOKUP($H30,'1. Set Program Names'!$B$2:$D$15,3,0)*Z30,"NA")</f>
        <v>2.7424607478471827</v>
      </c>
      <c r="CA30" s="80">
        <f>IFERROR(VLOOKUP($H30,'1. Set Program Names'!$B$2:$D$15,3,0)*AA30,"NA")</f>
        <v>2.6603696491986102</v>
      </c>
      <c r="CB30" s="80">
        <f>IFERROR(VLOOKUP($H30,'1. Set Program Names'!$B$2:$D$15,3,0)*AB30,"NA")</f>
        <v>2.594387235025382</v>
      </c>
      <c r="CC30" s="80">
        <f>IFERROR(VLOOKUP($H30,'1. Set Program Names'!$B$2:$D$15,3,0)*AC30,"NA")</f>
        <v>2.5458639874624236</v>
      </c>
      <c r="CD30" s="80">
        <f>IFERROR(VLOOKUP($H30,'1. Set Program Names'!$B$2:$D$15,3,0)*AD30,"NA")</f>
        <v>2.5120136675534361</v>
      </c>
      <c r="CE30" s="80">
        <f>IFERROR(VLOOKUP($H30,'1. Set Program Names'!$B$2:$D$15,3,0)*AE30,"NA")</f>
        <v>2.4899495442412691</v>
      </c>
    </row>
    <row r="31" spans="1:83" x14ac:dyDescent="0.25">
      <c r="A31" s="79" t="s">
        <v>114</v>
      </c>
      <c r="B31" s="79" t="s">
        <v>88</v>
      </c>
      <c r="C31" s="79" t="s">
        <v>89</v>
      </c>
      <c r="D31" s="79" t="s">
        <v>90</v>
      </c>
      <c r="E31" s="79" t="s">
        <v>91</v>
      </c>
      <c r="F31" s="79" t="s">
        <v>90</v>
      </c>
      <c r="G31" s="79" t="s">
        <v>92</v>
      </c>
      <c r="H31" s="79" t="s">
        <v>5</v>
      </c>
      <c r="I31" s="79" t="s">
        <v>296</v>
      </c>
      <c r="J31" s="79" t="s">
        <v>97</v>
      </c>
      <c r="K31" s="79" t="s">
        <v>102</v>
      </c>
      <c r="L31" s="79">
        <v>936.45</v>
      </c>
      <c r="M31" s="79">
        <v>0.42562333070119601</v>
      </c>
      <c r="N31" s="79">
        <v>3.9115067461125599E-2</v>
      </c>
      <c r="O31" s="79">
        <v>685.00999995999996</v>
      </c>
      <c r="P31" s="79">
        <v>458.12689399999903</v>
      </c>
      <c r="Q31" s="79">
        <v>278.34018715299698</v>
      </c>
      <c r="R31" s="79">
        <v>763.90764278946904</v>
      </c>
      <c r="S31" s="79">
        <v>1415.5155729468199</v>
      </c>
      <c r="T31" s="79">
        <v>20</v>
      </c>
      <c r="U31" s="79">
        <v>0.9</v>
      </c>
      <c r="V31" s="79">
        <f>tbl_Data_old[[#This Row],[2025 ]]*IFERROR(AVERAGEIFS('Participation Adjustment'!$C:$C,'Participation Adjustment'!$A:$A,$H31,'Participation Adjustment'!$B:$B,$I31),1)</f>
        <v>37.155939820388198</v>
      </c>
      <c r="W31" s="79">
        <f>tbl_Data_old[[#This Row],[2026 ]]*IFERROR(AVERAGEIFS('Participation Adjustment'!$C:$C,'Participation Adjustment'!$A:$A,$H31,'Participation Adjustment'!$B:$B,$I31),1)</f>
        <v>35.960898016472797</v>
      </c>
      <c r="X31" s="79">
        <f>tbl_Data_old[[#This Row],[2027 ]]*IFERROR(AVERAGEIFS('Participation Adjustment'!$C:$C,'Participation Adjustment'!$A:$A,$H31,'Participation Adjustment'!$B:$B,$I31),1)</f>
        <v>34.831855824063702</v>
      </c>
      <c r="Y31" s="79">
        <f>tbl_Data_old[[#This Row],[2028 ]]*IFERROR(AVERAGEIFS('Participation Adjustment'!$C:$C,'Participation Adjustment'!$A:$A,$H31,'Participation Adjustment'!$B:$B,$I31),1)</f>
        <v>33.804716335617698</v>
      </c>
      <c r="Z31" s="79">
        <f>tbl_Data_old[[#This Row],[2029 ]]*IFERROR(AVERAGEIFS('Participation Adjustment'!$C:$C,'Participation Adjustment'!$A:$A,$H31,'Participation Adjustment'!$B:$B,$I31),1)</f>
        <v>32.852758800566598</v>
      </c>
      <c r="AA31" s="79">
        <f>tbl_Data_old[[#This Row],[2030 ]]*IFERROR(AVERAGEIFS('Participation Adjustment'!$C:$C,'Participation Adjustment'!$A:$A,$H31,'Participation Adjustment'!$B:$B,$I31),1)</f>
        <v>31.869312254950799</v>
      </c>
      <c r="AB31" s="79">
        <f>tbl_Data_old[[#This Row],[2031 ]]*IFERROR(AVERAGEIFS('Participation Adjustment'!$C:$C,'Participation Adjustment'!$A:$A,$H31,'Participation Adjustment'!$B:$B,$I31),1)</f>
        <v>31.078841267021801</v>
      </c>
      <c r="AC31" s="79">
        <f>tbl_Data_old[[#This Row],[2032 ]]*IFERROR(AVERAGEIFS('Participation Adjustment'!$C:$C,'Participation Adjustment'!$A:$A,$H31,'Participation Adjustment'!$B:$B,$I31),1)</f>
        <v>30.497522473604601</v>
      </c>
      <c r="AD31" s="79">
        <f>tbl_Data_old[[#This Row],[2033 ]]*IFERROR(AVERAGEIFS('Participation Adjustment'!$C:$C,'Participation Adjustment'!$A:$A,$H31,'Participation Adjustment'!$B:$B,$I31),1)</f>
        <v>30.091977781118199</v>
      </c>
      <c r="AE31" s="79">
        <f>tbl_Data_old[[#This Row],[2034 ]]*IFERROR(AVERAGEIFS('Participation Adjustment'!$C:$C,'Participation Adjustment'!$A:$A,$H31,'Participation Adjustment'!$B:$B,$I31),1)</f>
        <v>29.827625546803201</v>
      </c>
      <c r="AF31" s="77" t="str">
        <f t="shared" si="11"/>
        <v>Residential</v>
      </c>
      <c r="AG31" s="77" t="str">
        <f>tbl_Data[[#This Row],[All_Meas_Name_Append]]</f>
        <v>Duct Repair</v>
      </c>
      <c r="AH31" s="77">
        <f>AVERAGEIFS('3. Incentive Adjustment'!G:G,'3. Incentive Adjustment'!A:A,tbl_Data[[#This Row],[Trimmed Sector]],'3. Incentive Adjustment'!B:B,tbl_Data[[#This Row],[Trimmed Measure Name]])</f>
        <v>0.36456477469769399</v>
      </c>
      <c r="AI31" s="77">
        <f>$AH31*tbl_Data[[#This Row],[2025 ]]</f>
        <v>13.545746829300899</v>
      </c>
      <c r="AJ31" s="77">
        <f>$AH31*tbl_Data[[#This Row],[2026 ]]</f>
        <v>13.110076683302156</v>
      </c>
      <c r="AK31" s="77">
        <f>$AH31*tbl_Data[[#This Row],[2027 ]]</f>
        <v>12.698467670802344</v>
      </c>
      <c r="AL31" s="77">
        <f>$AH31*tbl_Data[[#This Row],[2028 ]]</f>
        <v>12.324008794613922</v>
      </c>
      <c r="AM31" s="77">
        <f>$AH31*tbl_Data[[#This Row],[2029 ]]</f>
        <v>11.976958610326244</v>
      </c>
      <c r="AN31" s="77">
        <f>$AH31*tbl_Data[[#This Row],[2030 ]]</f>
        <v>11.618428641996596</v>
      </c>
      <c r="AO31" s="77">
        <f>$AH31*tbl_Data[[#This Row],[2031 ]]</f>
        <v>11.330250764377197</v>
      </c>
      <c r="AP31" s="77">
        <f>$AH31*tbl_Data[[#This Row],[2032 ]]</f>
        <v>11.11832240942752</v>
      </c>
      <c r="AQ31" s="77">
        <f>$AH31*tbl_Data[[#This Row],[2033 ]]</f>
        <v>10.970475099981369</v>
      </c>
      <c r="AR31" s="77">
        <f>$AH31*tbl_Data[[#This Row],[2034 ]]</f>
        <v>10.87410158723749</v>
      </c>
      <c r="AS31" s="77">
        <f>SUM(tbl_Data[[#This Row],[Adjusted 2025]:[Adjusted 2034]])</f>
        <v>119.56683709136574</v>
      </c>
      <c r="AT31" s="80">
        <f>AVERAGEIFS('3. Incentive Adjustment'!F:F,'3. Incentive Adjustment'!A:A,tbl_Data[[#This Row],[Trimmed Sector]],'3. Incentive Adjustment'!B:B,tbl_Data[[#This Row],[Trimmed Measure Name]])</f>
        <v>100</v>
      </c>
      <c r="AU31" s="80">
        <f>IFERROR(VLOOKUP(tbl_Data[[#This Row],[All_Meas_Name_Append]],'IRA Tax Credits'!$A$3:$D$46,4,0),0)</f>
        <v>0</v>
      </c>
      <c r="AV31" s="81">
        <f>tbl_Data[[#This Row],[Adj. per unit Incentive ($)]]/tbl_Data[[#This Row],[kWh Savings]]*tbl_Data[[#This Row],[Sum of Annuals]]</f>
        <v>12.768096224183431</v>
      </c>
      <c r="AW31" s="81">
        <f>IFERROR(VLOOKUP(tbl_Data[[#This Row],[Column1]],'1. Set Program Names'!$B$2:$D$15,3,0)*tbl_Data[[#This Row],[Sum of Annuals]],"")</f>
        <v>53.308114389400487</v>
      </c>
      <c r="AX31" s="81">
        <f>tbl_Data[[#This Row],[per unit IRA tax ($)]]/tbl_Data[[#This Row],[kWh Savings]]*tbl_Data[[#This Row],[Sum of Annuals]]</f>
        <v>0</v>
      </c>
      <c r="AY31" s="81">
        <f>tbl_Data[[#This Row],[Avoided Costs ($/unit)]]/tbl_Data[[#This Row],[kWh Savings]]*tbl_Data[[#This Row],[Sum of Annuals]]</f>
        <v>97.53646289525085</v>
      </c>
      <c r="AZ31" s="81">
        <f>tbl_Data[[#This Row],[Lost Revenue ($/unit)]]/tbl_Data[[#This Row],[kWh Savings]]*tbl_Data[[#This Row],[Sum of Annuals]]</f>
        <v>180.73439042215136</v>
      </c>
      <c r="BA31" s="81">
        <f>tbl_Data[[#This Row],[Incremental Cost ($/unit)]]/tbl_Data[[#This Row],[kWh Savings]]*tbl_Data[[#This Row],[Sum of Annuals]]</f>
        <v>87.462735940171669</v>
      </c>
      <c r="BB31" s="77">
        <f>ROUNDUP(tbl_Data[[#This Row],[Adjusted 2025]]/$L31,0)</f>
        <v>1</v>
      </c>
      <c r="BC31" s="77">
        <f>ROUNDUP(tbl_Data[[#This Row],[Adjusted 2026]]/$L31,0)</f>
        <v>1</v>
      </c>
      <c r="BD31" s="77">
        <f>ROUNDUP(tbl_Data[[#This Row],[Adjusted 2027]]/$L31,0)</f>
        <v>1</v>
      </c>
      <c r="BE31" s="77">
        <f>ROUNDUP(tbl_Data[[#This Row],[Adjusted 2028]]/$L31,0)</f>
        <v>1</v>
      </c>
      <c r="BF31" s="77">
        <f>ROUNDUP(tbl_Data[[#This Row],[Adjusted 2029]]/$L31,0)</f>
        <v>1</v>
      </c>
      <c r="BG31" s="77">
        <f>ROUNDUP(tbl_Data[[#This Row],[Adjusted 2030]]/$L31,0)</f>
        <v>1</v>
      </c>
      <c r="BH31" s="77">
        <f>ROUNDUP(tbl_Data[[#This Row],[Adjusted 2031]]/$L31,0)</f>
        <v>1</v>
      </c>
      <c r="BI31" s="77">
        <f>ROUNDUP(tbl_Data[[#This Row],[Adjusted 2032]]/$L31,0)</f>
        <v>1</v>
      </c>
      <c r="BJ31" s="77">
        <f>ROUNDUP(tbl_Data[[#This Row],[Adjusted 2033]]/$L31,0)</f>
        <v>1</v>
      </c>
      <c r="BK31" s="77">
        <f>ROUNDUP(tbl_Data[[#This Row],[Adjusted 2034]]/$L31,0)</f>
        <v>1</v>
      </c>
      <c r="BL31" s="80">
        <f t="shared" si="12"/>
        <v>3.9677441209235087</v>
      </c>
      <c r="BM31" s="77">
        <f t="shared" si="13"/>
        <v>3.8401300674326229</v>
      </c>
      <c r="BN31" s="77">
        <f t="shared" si="14"/>
        <v>3.7195638660968231</v>
      </c>
      <c r="BO31" s="77">
        <f t="shared" si="15"/>
        <v>3.6098794741435953</v>
      </c>
      <c r="BP31" s="77">
        <f t="shared" si="16"/>
        <v>3.5082234823606808</v>
      </c>
      <c r="BQ31" s="77">
        <f t="shared" si="17"/>
        <v>3.403204896679032</v>
      </c>
      <c r="BR31" s="77">
        <f t="shared" si="18"/>
        <v>3.3187934504801966</v>
      </c>
      <c r="BS31" s="77">
        <f t="shared" si="19"/>
        <v>3.2567165864279564</v>
      </c>
      <c r="BT31" s="77">
        <f t="shared" si="20"/>
        <v>3.213409982499674</v>
      </c>
      <c r="BU31" s="77">
        <f t="shared" si="21"/>
        <v>3.1851807941484545</v>
      </c>
      <c r="BV31" s="80">
        <f>IFERROR(VLOOKUP($H31,'1. Set Program Names'!$B$2:$D$15,3,0)*V31,"NA")</f>
        <v>16.565739617895836</v>
      </c>
      <c r="BW31" s="80">
        <f>IFERROR(VLOOKUP($H31,'1. Set Program Names'!$B$2:$D$15,3,0)*W31,"NA")</f>
        <v>16.032937824915749</v>
      </c>
      <c r="BX31" s="80">
        <f>IFERROR(VLOOKUP($H31,'1. Set Program Names'!$B$2:$D$15,3,0)*X31,"NA")</f>
        <v>15.529561539253761</v>
      </c>
      <c r="BY31" s="80">
        <f>IFERROR(VLOOKUP($H31,'1. Set Program Names'!$B$2:$D$15,3,0)*Y31,"NA")</f>
        <v>15.071617926493397</v>
      </c>
      <c r="BZ31" s="80">
        <f>IFERROR(VLOOKUP($H31,'1. Set Program Names'!$B$2:$D$15,3,0)*Z31,"NA")</f>
        <v>14.647193709822199</v>
      </c>
      <c r="CA31" s="80">
        <f>IFERROR(VLOOKUP($H31,'1. Set Program Names'!$B$2:$D$15,3,0)*AA31,"NA")</f>
        <v>14.208730317924601</v>
      </c>
      <c r="CB31" s="80">
        <f>IFERROR(VLOOKUP($H31,'1. Set Program Names'!$B$2:$D$15,3,0)*AB31,"NA")</f>
        <v>13.856303851932013</v>
      </c>
      <c r="CC31" s="80">
        <f>IFERROR(VLOOKUP($H31,'1. Set Program Names'!$B$2:$D$15,3,0)*AC31,"NA")</f>
        <v>13.597126562559438</v>
      </c>
      <c r="CD31" s="80">
        <f>IFERROR(VLOOKUP($H31,'1. Set Program Names'!$B$2:$D$15,3,0)*AD31,"NA")</f>
        <v>13.416317038924054</v>
      </c>
      <c r="CE31" s="80">
        <f>IFERROR(VLOOKUP($H31,'1. Set Program Names'!$B$2:$D$15,3,0)*AE31,"NA")</f>
        <v>13.298457275391218</v>
      </c>
    </row>
    <row r="32" spans="1:83" x14ac:dyDescent="0.25">
      <c r="A32" s="79" t="s">
        <v>114</v>
      </c>
      <c r="B32" s="79" t="s">
        <v>88</v>
      </c>
      <c r="C32" s="79" t="s">
        <v>89</v>
      </c>
      <c r="D32" s="79" t="s">
        <v>90</v>
      </c>
      <c r="E32" s="79" t="s">
        <v>91</v>
      </c>
      <c r="F32" s="79" t="s">
        <v>90</v>
      </c>
      <c r="G32" s="79" t="s">
        <v>92</v>
      </c>
      <c r="H32" s="79" t="s">
        <v>5</v>
      </c>
      <c r="I32" s="79" t="s">
        <v>297</v>
      </c>
      <c r="J32" s="79" t="s">
        <v>97</v>
      </c>
      <c r="K32" s="79" t="s">
        <v>298</v>
      </c>
      <c r="L32" s="79">
        <v>57.93</v>
      </c>
      <c r="M32" s="79">
        <v>0</v>
      </c>
      <c r="N32" s="79">
        <v>1.1014721785810099E-2</v>
      </c>
      <c r="O32" s="79">
        <v>154.1011072</v>
      </c>
      <c r="P32" s="79">
        <v>140.06582681793901</v>
      </c>
      <c r="Q32" s="79">
        <v>17.218481543887101</v>
      </c>
      <c r="R32" s="79">
        <v>46.999759951794701</v>
      </c>
      <c r="S32" s="79">
        <v>87.565611768711094</v>
      </c>
      <c r="T32" s="79">
        <v>20</v>
      </c>
      <c r="U32" s="79">
        <v>0.8</v>
      </c>
      <c r="V32" s="79">
        <f>tbl_Data_old[[#This Row],[2025 ]]*IFERROR(AVERAGEIFS('Participation Adjustment'!$C:$C,'Participation Adjustment'!$A:$A,$H32,'Participation Adjustment'!$B:$B,$I32),1)</f>
        <v>0</v>
      </c>
      <c r="W32" s="79">
        <f>tbl_Data_old[[#This Row],[2026 ]]*IFERROR(AVERAGEIFS('Participation Adjustment'!$C:$C,'Participation Adjustment'!$A:$A,$H32,'Participation Adjustment'!$B:$B,$I32),1)</f>
        <v>0</v>
      </c>
      <c r="X32" s="79">
        <f>tbl_Data_old[[#This Row],[2027 ]]*IFERROR(AVERAGEIFS('Participation Adjustment'!$C:$C,'Participation Adjustment'!$A:$A,$H32,'Participation Adjustment'!$B:$B,$I32),1)</f>
        <v>0</v>
      </c>
      <c r="Y32" s="79">
        <f>tbl_Data_old[[#This Row],[2028 ]]*IFERROR(AVERAGEIFS('Participation Adjustment'!$C:$C,'Participation Adjustment'!$A:$A,$H32,'Participation Adjustment'!$B:$B,$I32),1)</f>
        <v>0</v>
      </c>
      <c r="Z32" s="79">
        <f>tbl_Data_old[[#This Row],[2029 ]]*IFERROR(AVERAGEIFS('Participation Adjustment'!$C:$C,'Participation Adjustment'!$A:$A,$H32,'Participation Adjustment'!$B:$B,$I32),1)</f>
        <v>0</v>
      </c>
      <c r="AA32" s="79">
        <f>tbl_Data_old[[#This Row],[2030 ]]*IFERROR(AVERAGEIFS('Participation Adjustment'!$C:$C,'Participation Adjustment'!$A:$A,$H32,'Participation Adjustment'!$B:$B,$I32),1)</f>
        <v>0</v>
      </c>
      <c r="AB32" s="79">
        <f>tbl_Data_old[[#This Row],[2031 ]]*IFERROR(AVERAGEIFS('Participation Adjustment'!$C:$C,'Participation Adjustment'!$A:$A,$H32,'Participation Adjustment'!$B:$B,$I32),1)</f>
        <v>0</v>
      </c>
      <c r="AC32" s="79">
        <f>tbl_Data_old[[#This Row],[2032 ]]*IFERROR(AVERAGEIFS('Participation Adjustment'!$C:$C,'Participation Adjustment'!$A:$A,$H32,'Participation Adjustment'!$B:$B,$I32),1)</f>
        <v>0</v>
      </c>
      <c r="AD32" s="79">
        <f>tbl_Data_old[[#This Row],[2033 ]]*IFERROR(AVERAGEIFS('Participation Adjustment'!$C:$C,'Participation Adjustment'!$A:$A,$H32,'Participation Adjustment'!$B:$B,$I32),1)</f>
        <v>0</v>
      </c>
      <c r="AE32" s="79">
        <f>tbl_Data_old[[#This Row],[2034 ]]*IFERROR(AVERAGEIFS('Participation Adjustment'!$C:$C,'Participation Adjustment'!$A:$A,$H32,'Participation Adjustment'!$B:$B,$I32),1)</f>
        <v>0</v>
      </c>
      <c r="AF32" s="77" t="str">
        <f t="shared" si="11"/>
        <v>Residential</v>
      </c>
      <c r="AG32" s="77" t="str">
        <f>tbl_Data[[#This Row],[All_Meas_Name_Append]]</f>
        <v>Energy Star Windows Residential</v>
      </c>
      <c r="AH32" s="77">
        <f>AVERAGEIFS('3. Incentive Adjustment'!G:G,'3. Incentive Adjustment'!A:A,tbl_Data[[#This Row],[Trimmed Sector]],'3. Incentive Adjustment'!B:B,tbl_Data[[#This Row],[Trimmed Measure Name]])</f>
        <v>1.5721893920937398</v>
      </c>
      <c r="AI32" s="77">
        <f>$AH32*tbl_Data[[#This Row],[2025 ]]</f>
        <v>0</v>
      </c>
      <c r="AJ32" s="77">
        <f>$AH32*tbl_Data[[#This Row],[2026 ]]</f>
        <v>0</v>
      </c>
      <c r="AK32" s="77">
        <f>$AH32*tbl_Data[[#This Row],[2027 ]]</f>
        <v>0</v>
      </c>
      <c r="AL32" s="77">
        <f>$AH32*tbl_Data[[#This Row],[2028 ]]</f>
        <v>0</v>
      </c>
      <c r="AM32" s="77">
        <f>$AH32*tbl_Data[[#This Row],[2029 ]]</f>
        <v>0</v>
      </c>
      <c r="AN32" s="77">
        <f>$AH32*tbl_Data[[#This Row],[2030 ]]</f>
        <v>0</v>
      </c>
      <c r="AO32" s="77">
        <f>$AH32*tbl_Data[[#This Row],[2031 ]]</f>
        <v>0</v>
      </c>
      <c r="AP32" s="77">
        <f>$AH32*tbl_Data[[#This Row],[2032 ]]</f>
        <v>0</v>
      </c>
      <c r="AQ32" s="77">
        <f>$AH32*tbl_Data[[#This Row],[2033 ]]</f>
        <v>0</v>
      </c>
      <c r="AR32" s="77">
        <f>$AH32*tbl_Data[[#This Row],[2034 ]]</f>
        <v>0</v>
      </c>
      <c r="AS32" s="77">
        <f>SUM(tbl_Data[[#This Row],[Adjusted 2025]:[Adjusted 2034]])</f>
        <v>0</v>
      </c>
      <c r="AT32" s="80">
        <f>AVERAGEIFS('3. Incentive Adjustment'!F:F,'3. Incentive Adjustment'!A:A,tbl_Data[[#This Row],[Trimmed Sector]],'3. Incentive Adjustment'!B:B,tbl_Data[[#This Row],[Trimmed Measure Name]])</f>
        <v>150</v>
      </c>
      <c r="AU32" s="80">
        <f>IFERROR(VLOOKUP(tbl_Data[[#This Row],[All_Meas_Name_Append]],'IRA Tax Credits'!$A$3:$D$46,4,0),0)</f>
        <v>0</v>
      </c>
      <c r="AV32" s="81">
        <f>tbl_Data[[#This Row],[Adj. per unit Incentive ($)]]/tbl_Data[[#This Row],[kWh Savings]]*tbl_Data[[#This Row],[Sum of Annuals]]</f>
        <v>0</v>
      </c>
      <c r="AW32" s="81">
        <f>IFERROR(VLOOKUP(tbl_Data[[#This Row],[Column1]],'1. Set Program Names'!$B$2:$D$15,3,0)*tbl_Data[[#This Row],[Sum of Annuals]],"")</f>
        <v>0</v>
      </c>
      <c r="AX32" s="81">
        <f>tbl_Data[[#This Row],[per unit IRA tax ($)]]/tbl_Data[[#This Row],[kWh Savings]]*tbl_Data[[#This Row],[Sum of Annuals]]</f>
        <v>0</v>
      </c>
      <c r="AY32" s="81">
        <f>tbl_Data[[#This Row],[Avoided Costs ($/unit)]]/tbl_Data[[#This Row],[kWh Savings]]*tbl_Data[[#This Row],[Sum of Annuals]]</f>
        <v>0</v>
      </c>
      <c r="AZ32" s="81">
        <f>tbl_Data[[#This Row],[Lost Revenue ($/unit)]]/tbl_Data[[#This Row],[kWh Savings]]*tbl_Data[[#This Row],[Sum of Annuals]]</f>
        <v>0</v>
      </c>
      <c r="BA32" s="81">
        <f>tbl_Data[[#This Row],[Incremental Cost ($/unit)]]/tbl_Data[[#This Row],[kWh Savings]]*tbl_Data[[#This Row],[Sum of Annuals]]</f>
        <v>0</v>
      </c>
      <c r="BB32" s="77">
        <f>ROUNDUP(tbl_Data[[#This Row],[Adjusted 2025]]/$L32,0)</f>
        <v>0</v>
      </c>
      <c r="BC32" s="77">
        <f>ROUNDUP(tbl_Data[[#This Row],[Adjusted 2026]]/$L32,0)</f>
        <v>0</v>
      </c>
      <c r="BD32" s="77">
        <f>ROUNDUP(tbl_Data[[#This Row],[Adjusted 2027]]/$L32,0)</f>
        <v>0</v>
      </c>
      <c r="BE32" s="77">
        <f>ROUNDUP(tbl_Data[[#This Row],[Adjusted 2028]]/$L32,0)</f>
        <v>0</v>
      </c>
      <c r="BF32" s="77">
        <f>ROUNDUP(tbl_Data[[#This Row],[Adjusted 2029]]/$L32,0)</f>
        <v>0</v>
      </c>
      <c r="BG32" s="77">
        <f>ROUNDUP(tbl_Data[[#This Row],[Adjusted 2030]]/$L32,0)</f>
        <v>0</v>
      </c>
      <c r="BH32" s="77">
        <f>ROUNDUP(tbl_Data[[#This Row],[Adjusted 2031]]/$L32,0)</f>
        <v>0</v>
      </c>
      <c r="BI32" s="77">
        <f>ROUNDUP(tbl_Data[[#This Row],[Adjusted 2032]]/$L32,0)</f>
        <v>0</v>
      </c>
      <c r="BJ32" s="77">
        <f>ROUNDUP(tbl_Data[[#This Row],[Adjusted 2033]]/$L32,0)</f>
        <v>0</v>
      </c>
      <c r="BK32" s="77">
        <f>ROUNDUP(tbl_Data[[#This Row],[Adjusted 2034]]/$L32,0)</f>
        <v>0</v>
      </c>
      <c r="BL32" s="80">
        <f t="shared" si="12"/>
        <v>0</v>
      </c>
      <c r="BM32" s="77">
        <f t="shared" si="13"/>
        <v>0</v>
      </c>
      <c r="BN32" s="77">
        <f t="shared" si="14"/>
        <v>0</v>
      </c>
      <c r="BO32" s="77">
        <f t="shared" si="15"/>
        <v>0</v>
      </c>
      <c r="BP32" s="77">
        <f t="shared" si="16"/>
        <v>0</v>
      </c>
      <c r="BQ32" s="77">
        <f t="shared" si="17"/>
        <v>0</v>
      </c>
      <c r="BR32" s="77">
        <f t="shared" si="18"/>
        <v>0</v>
      </c>
      <c r="BS32" s="77">
        <f t="shared" si="19"/>
        <v>0</v>
      </c>
      <c r="BT32" s="77">
        <f t="shared" si="20"/>
        <v>0</v>
      </c>
      <c r="BU32" s="77">
        <f t="shared" si="21"/>
        <v>0</v>
      </c>
      <c r="BV32" s="80">
        <f>IFERROR(VLOOKUP($H32,'1. Set Program Names'!$B$2:$D$15,3,0)*V32,"NA")</f>
        <v>0</v>
      </c>
      <c r="BW32" s="80">
        <f>IFERROR(VLOOKUP($H32,'1. Set Program Names'!$B$2:$D$15,3,0)*W32,"NA")</f>
        <v>0</v>
      </c>
      <c r="BX32" s="80">
        <f>IFERROR(VLOOKUP($H32,'1. Set Program Names'!$B$2:$D$15,3,0)*X32,"NA")</f>
        <v>0</v>
      </c>
      <c r="BY32" s="80">
        <f>IFERROR(VLOOKUP($H32,'1. Set Program Names'!$B$2:$D$15,3,0)*Y32,"NA")</f>
        <v>0</v>
      </c>
      <c r="BZ32" s="80">
        <f>IFERROR(VLOOKUP($H32,'1. Set Program Names'!$B$2:$D$15,3,0)*Z32,"NA")</f>
        <v>0</v>
      </c>
      <c r="CA32" s="80">
        <f>IFERROR(VLOOKUP($H32,'1. Set Program Names'!$B$2:$D$15,3,0)*AA32,"NA")</f>
        <v>0</v>
      </c>
      <c r="CB32" s="80">
        <f>IFERROR(VLOOKUP($H32,'1. Set Program Names'!$B$2:$D$15,3,0)*AB32,"NA")</f>
        <v>0</v>
      </c>
      <c r="CC32" s="80">
        <f>IFERROR(VLOOKUP($H32,'1. Set Program Names'!$B$2:$D$15,3,0)*AC32,"NA")</f>
        <v>0</v>
      </c>
      <c r="CD32" s="80">
        <f>IFERROR(VLOOKUP($H32,'1. Set Program Names'!$B$2:$D$15,3,0)*AD32,"NA")</f>
        <v>0</v>
      </c>
      <c r="CE32" s="80">
        <f>IFERROR(VLOOKUP($H32,'1. Set Program Names'!$B$2:$D$15,3,0)*AE32,"NA")</f>
        <v>0</v>
      </c>
    </row>
    <row r="33" spans="1:83" x14ac:dyDescent="0.25">
      <c r="A33" s="79" t="s">
        <v>114</v>
      </c>
      <c r="B33" s="79" t="s">
        <v>88</v>
      </c>
      <c r="C33" s="79" t="s">
        <v>89</v>
      </c>
      <c r="D33" s="79" t="s">
        <v>90</v>
      </c>
      <c r="E33" s="79" t="s">
        <v>91</v>
      </c>
      <c r="F33" s="79" t="s">
        <v>90</v>
      </c>
      <c r="G33" s="79" t="s">
        <v>92</v>
      </c>
      <c r="H33" s="79" t="s">
        <v>5</v>
      </c>
      <c r="I33" s="79" t="s">
        <v>107</v>
      </c>
      <c r="J33" s="79" t="s">
        <v>94</v>
      </c>
      <c r="K33" s="79" t="s">
        <v>108</v>
      </c>
      <c r="L33" s="79">
        <v>1663.1099999999899</v>
      </c>
      <c r="M33" s="79">
        <v>6.6647595975018806E-2</v>
      </c>
      <c r="N33" s="79">
        <v>0.309148293753995</v>
      </c>
      <c r="O33" s="79">
        <v>1389.5</v>
      </c>
      <c r="P33" s="79">
        <v>988.78817699699403</v>
      </c>
      <c r="Q33" s="79">
        <v>494.32468221049697</v>
      </c>
      <c r="R33" s="79">
        <v>791.96156853290995</v>
      </c>
      <c r="S33" s="79">
        <v>2127.4894292214699</v>
      </c>
      <c r="T33" s="79">
        <v>15</v>
      </c>
      <c r="U33" s="79">
        <v>0.7</v>
      </c>
      <c r="V33" s="79">
        <f>tbl_Data_old[[#This Row],[2025 ]]*IFERROR(AVERAGEIFS('Participation Adjustment'!$C:$C,'Participation Adjustment'!$A:$A,$H33,'Participation Adjustment'!$B:$B,$I33),1)</f>
        <v>4.88244319418052</v>
      </c>
      <c r="W33" s="79">
        <f>tbl_Data_old[[#This Row],[2026 ]]*IFERROR(AVERAGEIFS('Participation Adjustment'!$C:$C,'Participation Adjustment'!$A:$A,$H33,'Participation Adjustment'!$B:$B,$I33),1)</f>
        <v>5.4298514511494798</v>
      </c>
      <c r="X33" s="79">
        <f>tbl_Data_old[[#This Row],[2027 ]]*IFERROR(AVERAGEIFS('Participation Adjustment'!$C:$C,'Participation Adjustment'!$A:$A,$H33,'Participation Adjustment'!$B:$B,$I33),1)</f>
        <v>5.9343060148855997</v>
      </c>
      <c r="Y33" s="79">
        <f>tbl_Data_old[[#This Row],[2028 ]]*IFERROR(AVERAGEIFS('Participation Adjustment'!$C:$C,'Participation Adjustment'!$A:$A,$H33,'Participation Adjustment'!$B:$B,$I33),1)</f>
        <v>6.4112719049103601</v>
      </c>
      <c r="Z33" s="79">
        <f>tbl_Data_old[[#This Row],[2029 ]]*IFERROR(AVERAGEIFS('Participation Adjustment'!$C:$C,'Participation Adjustment'!$A:$A,$H33,'Participation Adjustment'!$B:$B,$I33),1)</f>
        <v>6.8653886357528</v>
      </c>
      <c r="AA33" s="79">
        <f>tbl_Data_old[[#This Row],[2030 ]]*IFERROR(AVERAGEIFS('Participation Adjustment'!$C:$C,'Participation Adjustment'!$A:$A,$H33,'Participation Adjustment'!$B:$B,$I33),1)</f>
        <v>7.2805580325322401</v>
      </c>
      <c r="AB33" s="79">
        <f>tbl_Data_old[[#This Row],[2031 ]]*IFERROR(AVERAGEIFS('Participation Adjustment'!$C:$C,'Participation Adjustment'!$A:$A,$H33,'Participation Adjustment'!$B:$B,$I33),1)</f>
        <v>7.7141021575156401</v>
      </c>
      <c r="AC33" s="79">
        <f>tbl_Data_old[[#This Row],[2032 ]]*IFERROR(AVERAGEIFS('Participation Adjustment'!$C:$C,'Participation Adjustment'!$A:$A,$H33,'Participation Adjustment'!$B:$B,$I33),1)</f>
        <v>8.1850500610891608</v>
      </c>
      <c r="AD33" s="79">
        <f>tbl_Data_old[[#This Row],[2033 ]]*IFERROR(AVERAGEIFS('Participation Adjustment'!$C:$C,'Participation Adjustment'!$A:$A,$H33,'Participation Adjustment'!$B:$B,$I33),1)</f>
        <v>8.6995998735848605</v>
      </c>
      <c r="AE33" s="79">
        <f>tbl_Data_old[[#This Row],[2034 ]]*IFERROR(AVERAGEIFS('Participation Adjustment'!$C:$C,'Participation Adjustment'!$A:$A,$H33,'Participation Adjustment'!$B:$B,$I33),1)</f>
        <v>9.2612199304219196</v>
      </c>
      <c r="AF33" s="77" t="str">
        <f t="shared" si="11"/>
        <v>Residential</v>
      </c>
      <c r="AG33" s="77" t="str">
        <f>tbl_Data[[#This Row],[All_Meas_Name_Append]]</f>
        <v>Heat Pump Water Heater 50 Gallons- CEE Advanced Tier</v>
      </c>
      <c r="AH33" s="77">
        <f>AVERAGEIFS('3. Incentive Adjustment'!G:G,'3. Incentive Adjustment'!A:A,tbl_Data[[#This Row],[Trimmed Sector]],'3. Incentive Adjustment'!B:B,tbl_Data[[#This Row],[Trimmed Measure Name]])</f>
        <v>0.46049099596140497</v>
      </c>
      <c r="AI33" s="77">
        <f>$AH33*tbl_Data[[#This Row],[2025 ]]</f>
        <v>2.2483211292131711</v>
      </c>
      <c r="AJ33" s="77">
        <f>$AH33*tbl_Data[[#This Row],[2026 ]]</f>
        <v>2.5003977026623039</v>
      </c>
      <c r="AK33" s="77">
        <f>$AH33*tbl_Data[[#This Row],[2027 ]]</f>
        <v>2.7326944871344261</v>
      </c>
      <c r="AL33" s="77">
        <f>$AH33*tbl_Data[[#This Row],[2028 ]]</f>
        <v>2.9523329848715458</v>
      </c>
      <c r="AM33" s="77">
        <f>$AH33*tbl_Data[[#This Row],[2029 ]]</f>
        <v>3.1614496505399181</v>
      </c>
      <c r="AN33" s="77">
        <f>$AH33*tbl_Data[[#This Row],[2030 ]]</f>
        <v>3.3526314195555784</v>
      </c>
      <c r="AO33" s="77">
        <f>$AH33*tbl_Data[[#This Row],[2031 ]]</f>
        <v>3.5522745854624</v>
      </c>
      <c r="AP33" s="77">
        <f>$AH33*tbl_Data[[#This Row],[2032 ]]</f>
        <v>3.7691418546249063</v>
      </c>
      <c r="AQ33" s="77">
        <f>$AH33*tbl_Data[[#This Row],[2033 ]]</f>
        <v>4.006087410252805</v>
      </c>
      <c r="AR33" s="77">
        <f>$AH33*tbl_Data[[#This Row],[2034 ]]</f>
        <v>4.2647083895776037</v>
      </c>
      <c r="AS33" s="77">
        <f>SUM(tbl_Data[[#This Row],[Adjusted 2025]:[Adjusted 2034]])</f>
        <v>32.540039613894656</v>
      </c>
      <c r="AT33" s="80">
        <f>AVERAGEIFS('3. Incentive Adjustment'!F:F,'3. Incentive Adjustment'!A:A,tbl_Data[[#This Row],[Trimmed Sector]],'3. Incentive Adjustment'!B:B,tbl_Data[[#This Row],[Trimmed Measure Name]])</f>
        <v>500</v>
      </c>
      <c r="AU33" s="80">
        <f>IFERROR(VLOOKUP(tbl_Data[[#This Row],[All_Meas_Name_Append]],'IRA Tax Credits'!$A$3:$D$46,4,0),0)</f>
        <v>1666.6666666666667</v>
      </c>
      <c r="AV33" s="81">
        <f>tbl_Data[[#This Row],[Adj. per unit Incentive ($)]]/tbl_Data[[#This Row],[kWh Savings]]*tbl_Data[[#This Row],[Sum of Annuals]]</f>
        <v>9.782888568373366</v>
      </c>
      <c r="AW33" s="81">
        <f>IFERROR(VLOOKUP(tbl_Data[[#This Row],[Column1]],'1. Set Program Names'!$B$2:$D$15,3,0)*tbl_Data[[#This Row],[Sum of Annuals]],"")</f>
        <v>14.50776984798558</v>
      </c>
      <c r="AX33" s="81">
        <f>tbl_Data[[#This Row],[per unit IRA tax ($)]]/tbl_Data[[#This Row],[kWh Savings]]*tbl_Data[[#This Row],[Sum of Annuals]]</f>
        <v>32.609628561244556</v>
      </c>
      <c r="AY33" s="81">
        <f>tbl_Data[[#This Row],[Avoided Costs ($/unit)]]/tbl_Data[[#This Row],[kWh Savings]]*tbl_Data[[#This Row],[Sum of Annuals]]</f>
        <v>15.495343550783288</v>
      </c>
      <c r="AZ33" s="81">
        <f>tbl_Data[[#This Row],[Lost Revenue ($/unit)]]/tbl_Data[[#This Row],[kWh Savings]]*tbl_Data[[#This Row],[Sum of Annuals]]</f>
        <v>41.625984032931783</v>
      </c>
      <c r="BA33" s="81">
        <f>tbl_Data[[#This Row],[Incremental Cost ($/unit)]]/tbl_Data[[#This Row],[kWh Savings]]*tbl_Data[[#This Row],[Sum of Annuals]]</f>
        <v>27.18664733150958</v>
      </c>
      <c r="BB33" s="77">
        <f>ROUNDUP(tbl_Data[[#This Row],[Adjusted 2025]]/$L33,0)</f>
        <v>1</v>
      </c>
      <c r="BC33" s="77">
        <f>ROUNDUP(tbl_Data[[#This Row],[Adjusted 2026]]/$L33,0)</f>
        <v>1</v>
      </c>
      <c r="BD33" s="77">
        <f>ROUNDUP(tbl_Data[[#This Row],[Adjusted 2027]]/$L33,0)</f>
        <v>1</v>
      </c>
      <c r="BE33" s="77">
        <f>ROUNDUP(tbl_Data[[#This Row],[Adjusted 2028]]/$L33,0)</f>
        <v>1</v>
      </c>
      <c r="BF33" s="77">
        <f>ROUNDUP(tbl_Data[[#This Row],[Adjusted 2029]]/$L33,0)</f>
        <v>1</v>
      </c>
      <c r="BG33" s="77">
        <f>ROUNDUP(tbl_Data[[#This Row],[Adjusted 2030]]/$L33,0)</f>
        <v>1</v>
      </c>
      <c r="BH33" s="77">
        <f>ROUNDUP(tbl_Data[[#This Row],[Adjusted 2031]]/$L33,0)</f>
        <v>1</v>
      </c>
      <c r="BI33" s="77">
        <f>ROUNDUP(tbl_Data[[#This Row],[Adjusted 2032]]/$L33,0)</f>
        <v>1</v>
      </c>
      <c r="BJ33" s="77">
        <f>ROUNDUP(tbl_Data[[#This Row],[Adjusted 2033]]/$L33,0)</f>
        <v>1</v>
      </c>
      <c r="BK33" s="77">
        <f>ROUNDUP(tbl_Data[[#This Row],[Adjusted 2034]]/$L33,0)</f>
        <v>1</v>
      </c>
      <c r="BL33" s="80">
        <f t="shared" si="12"/>
        <v>1.4678653829814474</v>
      </c>
      <c r="BM33" s="77">
        <f t="shared" si="13"/>
        <v>1.6324390602995331</v>
      </c>
      <c r="BN33" s="77">
        <f t="shared" si="14"/>
        <v>1.7840990718850935</v>
      </c>
      <c r="BO33" s="77">
        <f t="shared" si="15"/>
        <v>1.92749484547336</v>
      </c>
      <c r="BP33" s="77">
        <f t="shared" si="16"/>
        <v>2.0640212119922441</v>
      </c>
      <c r="BQ33" s="77">
        <f t="shared" si="17"/>
        <v>2.1888383908858358</v>
      </c>
      <c r="BR33" s="77">
        <f t="shared" si="18"/>
        <v>2.3191797768986078</v>
      </c>
      <c r="BS33" s="77">
        <f t="shared" si="19"/>
        <v>2.4607662935972998</v>
      </c>
      <c r="BT33" s="77">
        <f t="shared" si="20"/>
        <v>2.615461356610481</v>
      </c>
      <c r="BU33" s="77">
        <f t="shared" si="21"/>
        <v>2.7843076917407679</v>
      </c>
      <c r="BV33" s="80">
        <f>IFERROR(VLOOKUP($H33,'1. Set Program Names'!$B$2:$D$15,3,0)*V33,"NA")</f>
        <v>2.1768062669102766</v>
      </c>
      <c r="BW33" s="80">
        <f>IFERROR(VLOOKUP($H33,'1. Set Program Names'!$B$2:$D$15,3,0)*W33,"NA")</f>
        <v>2.4208647591317032</v>
      </c>
      <c r="BX33" s="80">
        <f>IFERROR(VLOOKUP($H33,'1. Set Program Names'!$B$2:$D$15,3,0)*X33,"NA")</f>
        <v>2.6457726202249203</v>
      </c>
      <c r="BY33" s="80">
        <f>IFERROR(VLOOKUP($H33,'1. Set Program Names'!$B$2:$D$15,3,0)*Y33,"NA")</f>
        <v>2.8584248308529645</v>
      </c>
      <c r="BZ33" s="80">
        <f>IFERROR(VLOOKUP($H33,'1. Set Program Names'!$B$2:$D$15,3,0)*Z33,"NA")</f>
        <v>3.0608898890813676</v>
      </c>
      <c r="CA33" s="80">
        <f>IFERROR(VLOOKUP($H33,'1. Set Program Names'!$B$2:$D$15,3,0)*AA33,"NA")</f>
        <v>3.2459905259543236</v>
      </c>
      <c r="CB33" s="80">
        <f>IFERROR(VLOOKUP($H33,'1. Set Program Names'!$B$2:$D$15,3,0)*AB33,"NA")</f>
        <v>3.4392834186132411</v>
      </c>
      <c r="CC33" s="80">
        <f>IFERROR(VLOOKUP($H33,'1. Set Program Names'!$B$2:$D$15,3,0)*AC33,"NA")</f>
        <v>3.6492525482303573</v>
      </c>
      <c r="CD33" s="80">
        <f>IFERROR(VLOOKUP($H33,'1. Set Program Names'!$B$2:$D$15,3,0)*AD33,"NA")</f>
        <v>3.8786613118209274</v>
      </c>
      <c r="CE33" s="80">
        <f>IFERROR(VLOOKUP($H33,'1. Set Program Names'!$B$2:$D$15,3,0)*AE33,"NA")</f>
        <v>4.1290560446879851</v>
      </c>
    </row>
    <row r="34" spans="1:83" x14ac:dyDescent="0.25">
      <c r="A34" s="79" t="s">
        <v>114</v>
      </c>
      <c r="B34" s="79" t="s">
        <v>88</v>
      </c>
      <c r="C34" s="79" t="s">
        <v>89</v>
      </c>
      <c r="D34" s="79" t="s">
        <v>90</v>
      </c>
      <c r="E34" s="79" t="s">
        <v>91</v>
      </c>
      <c r="F34" s="79" t="s">
        <v>90</v>
      </c>
      <c r="G34" s="79" t="s">
        <v>92</v>
      </c>
      <c r="H34" s="79" t="s">
        <v>5</v>
      </c>
      <c r="I34" s="79" t="s">
        <v>109</v>
      </c>
      <c r="J34" s="79" t="s">
        <v>94</v>
      </c>
      <c r="K34" s="79" t="s">
        <v>95</v>
      </c>
      <c r="L34" s="79">
        <v>1590.11499999999</v>
      </c>
      <c r="M34" s="79">
        <v>6.3722388822036402E-2</v>
      </c>
      <c r="N34" s="79">
        <v>0.29557957027655002</v>
      </c>
      <c r="O34" s="79">
        <v>1389.5</v>
      </c>
      <c r="P34" s="79">
        <v>1006.47372867305</v>
      </c>
      <c r="Q34" s="79">
        <v>472.62844433209199</v>
      </c>
      <c r="R34" s="79">
        <v>757.20185047754296</v>
      </c>
      <c r="S34" s="79">
        <v>2034.1125083407001</v>
      </c>
      <c r="T34" s="79">
        <v>15</v>
      </c>
      <c r="U34" s="79">
        <v>0.7</v>
      </c>
      <c r="V34" s="79">
        <f>tbl_Data_old[[#This Row],[2025 ]]*IFERROR(AVERAGEIFS('Participation Adjustment'!$C:$C,'Participation Adjustment'!$A:$A,$H34,'Participation Adjustment'!$B:$B,$I34),1)</f>
        <v>6.9773669359452404</v>
      </c>
      <c r="W34" s="79">
        <f>tbl_Data_old[[#This Row],[2026 ]]*IFERROR(AVERAGEIFS('Participation Adjustment'!$C:$C,'Participation Adjustment'!$A:$A,$H34,'Participation Adjustment'!$B:$B,$I34),1)</f>
        <v>7.75647167994138</v>
      </c>
      <c r="X34" s="79">
        <f>tbl_Data_old[[#This Row],[2027 ]]*IFERROR(AVERAGEIFS('Participation Adjustment'!$C:$C,'Participation Adjustment'!$A:$A,$H34,'Participation Adjustment'!$B:$B,$I34),1)</f>
        <v>8.4739550253920406</v>
      </c>
      <c r="Y34" s="79">
        <f>tbl_Data_old[[#This Row],[2028 ]]*IFERROR(AVERAGEIFS('Participation Adjustment'!$C:$C,'Participation Adjustment'!$A:$A,$H34,'Participation Adjustment'!$B:$B,$I34),1)</f>
        <v>9.1520233948954601</v>
      </c>
      <c r="Z34" s="79">
        <f>tbl_Data_old[[#This Row],[2029 ]]*IFERROR(AVERAGEIFS('Participation Adjustment'!$C:$C,'Participation Adjustment'!$A:$A,$H34,'Participation Adjustment'!$B:$B,$I34),1)</f>
        <v>9.7973853000377193</v>
      </c>
      <c r="AA34" s="79">
        <f>tbl_Data_old[[#This Row],[2030 ]]*IFERROR(AVERAGEIFS('Participation Adjustment'!$C:$C,'Participation Adjustment'!$A:$A,$H34,'Participation Adjustment'!$B:$B,$I34),1)</f>
        <v>10.38713962141796</v>
      </c>
      <c r="AB34" s="79">
        <f>tbl_Data_old[[#This Row],[2031 ]]*IFERROR(AVERAGEIFS('Participation Adjustment'!$C:$C,'Participation Adjustment'!$A:$A,$H34,'Participation Adjustment'!$B:$B,$I34),1)</f>
        <v>11.003117379512499</v>
      </c>
      <c r="AC34" s="79">
        <f>tbl_Data_old[[#This Row],[2032 ]]*IFERROR(AVERAGEIFS('Participation Adjustment'!$C:$C,'Participation Adjustment'!$A:$A,$H34,'Participation Adjustment'!$B:$B,$I34),1)</f>
        <v>11.67245866739848</v>
      </c>
      <c r="AD34" s="79">
        <f>tbl_Data_old[[#This Row],[2033 ]]*IFERROR(AVERAGEIFS('Participation Adjustment'!$C:$C,'Participation Adjustment'!$A:$A,$H34,'Participation Adjustment'!$B:$B,$I34),1)</f>
        <v>12.4039883726418</v>
      </c>
      <c r="AE34" s="79">
        <f>tbl_Data_old[[#This Row],[2034 ]]*IFERROR(AVERAGEIFS('Participation Adjustment'!$C:$C,'Participation Adjustment'!$A:$A,$H34,'Participation Adjustment'!$B:$B,$I34),1)</f>
        <v>13.20263674191656</v>
      </c>
      <c r="AF34" s="77" t="str">
        <f t="shared" si="11"/>
        <v>Residential</v>
      </c>
      <c r="AG34" s="77" t="str">
        <f>tbl_Data[[#This Row],[All_Meas_Name_Append]]</f>
        <v>Heat Pump Water Heater 50 Gallons-ENERGY STAR</v>
      </c>
      <c r="AH34" s="77">
        <f>AVERAGEIFS('3. Incentive Adjustment'!G:G,'3. Incentive Adjustment'!A:A,tbl_Data[[#This Row],[Trimmed Sector]],'3. Incentive Adjustment'!B:B,tbl_Data[[#This Row],[Trimmed Measure Name]])</f>
        <v>0.43153525594917136</v>
      </c>
      <c r="AI34" s="77">
        <f>$AH34*tbl_Data[[#This Row],[2025 ]]</f>
        <v>3.010979826554415</v>
      </c>
      <c r="AJ34" s="77">
        <f>$AH34*tbl_Data[[#This Row],[2026 ]]</f>
        <v>3.3471909916660025</v>
      </c>
      <c r="AK34" s="77">
        <f>$AH34*tbl_Data[[#This Row],[2027 ]]</f>
        <v>3.6568103507843213</v>
      </c>
      <c r="AL34" s="77">
        <f>$AH34*tbl_Data[[#This Row],[2028 ]]</f>
        <v>3.9494207581690164</v>
      </c>
      <c r="AM34" s="77">
        <f>$AH34*tbl_Data[[#This Row],[2029 ]]</f>
        <v>4.2279171730844265</v>
      </c>
      <c r="AN34" s="77">
        <f>$AH34*tbl_Data[[#This Row],[2030 ]]</f>
        <v>4.4824169551083779</v>
      </c>
      <c r="AO34" s="77">
        <f>$AH34*tbl_Data[[#This Row],[2031 ]]</f>
        <v>4.7482330746067021</v>
      </c>
      <c r="AP34" s="77">
        <f>$AH34*tbl_Data[[#This Row],[2032 ]]</f>
        <v>5.0370774385919272</v>
      </c>
      <c r="AQ34" s="77">
        <f>$AH34*tbl_Data[[#This Row],[2033 ]]</f>
        <v>5.352758297178525</v>
      </c>
      <c r="AR34" s="77">
        <f>$AH34*tbl_Data[[#This Row],[2034 ]]</f>
        <v>5.6974032256268963</v>
      </c>
      <c r="AS34" s="77">
        <f>SUM(tbl_Data[[#This Row],[Adjusted 2025]:[Adjusted 2034]])</f>
        <v>43.510208091370615</v>
      </c>
      <c r="AT34" s="80">
        <f>AVERAGEIFS('3. Incentive Adjustment'!F:F,'3. Incentive Adjustment'!A:A,tbl_Data[[#This Row],[Trimmed Sector]],'3. Incentive Adjustment'!B:B,tbl_Data[[#This Row],[Trimmed Measure Name]])</f>
        <v>500</v>
      </c>
      <c r="AU34" s="80">
        <f>IFERROR(VLOOKUP(tbl_Data[[#This Row],[All_Meas_Name_Append]],'IRA Tax Credits'!$A$3:$D$46,4,0),0)</f>
        <v>1666.6666666666667</v>
      </c>
      <c r="AV34" s="81">
        <f>tbl_Data[[#This Row],[Adj. per unit Incentive ($)]]/tbl_Data[[#This Row],[kWh Savings]]*tbl_Data[[#This Row],[Sum of Annuals]]</f>
        <v>13.681465834663181</v>
      </c>
      <c r="AW34" s="81">
        <f>IFERROR(VLOOKUP(tbl_Data[[#This Row],[Column1]],'1. Set Program Names'!$B$2:$D$15,3,0)*tbl_Data[[#This Row],[Sum of Annuals]],"")</f>
        <v>19.398749740858516</v>
      </c>
      <c r="AX34" s="81">
        <f>tbl_Data[[#This Row],[per unit IRA tax ($)]]/tbl_Data[[#This Row],[kWh Savings]]*tbl_Data[[#This Row],[Sum of Annuals]]</f>
        <v>45.604886115543934</v>
      </c>
      <c r="AY34" s="81">
        <f>tbl_Data[[#This Row],[Avoided Costs ($/unit)]]/tbl_Data[[#This Row],[kWh Savings]]*tbl_Data[[#This Row],[Sum of Annuals]]</f>
        <v>20.719262494504484</v>
      </c>
      <c r="AZ34" s="81">
        <f>tbl_Data[[#This Row],[Lost Revenue ($/unit)]]/tbl_Data[[#This Row],[kWh Savings]]*tbl_Data[[#This Row],[Sum of Annuals]]</f>
        <v>55.659281573448631</v>
      </c>
      <c r="BA34" s="81">
        <f>tbl_Data[[#This Row],[Incremental Cost ($/unit)]]/tbl_Data[[#This Row],[kWh Savings]]*tbl_Data[[#This Row],[Sum of Annuals]]</f>
        <v>38.020793554528979</v>
      </c>
      <c r="BB34" s="77">
        <f>ROUNDUP(tbl_Data[[#This Row],[Adjusted 2025]]/$L34,0)</f>
        <v>1</v>
      </c>
      <c r="BC34" s="77">
        <f>ROUNDUP(tbl_Data[[#This Row],[Adjusted 2026]]/$L34,0)</f>
        <v>1</v>
      </c>
      <c r="BD34" s="77">
        <f>ROUNDUP(tbl_Data[[#This Row],[Adjusted 2027]]/$L34,0)</f>
        <v>1</v>
      </c>
      <c r="BE34" s="77">
        <f>ROUNDUP(tbl_Data[[#This Row],[Adjusted 2028]]/$L34,0)</f>
        <v>1</v>
      </c>
      <c r="BF34" s="77">
        <f>ROUNDUP(tbl_Data[[#This Row],[Adjusted 2029]]/$L34,0)</f>
        <v>1</v>
      </c>
      <c r="BG34" s="77">
        <f>ROUNDUP(tbl_Data[[#This Row],[Adjusted 2030]]/$L34,0)</f>
        <v>1</v>
      </c>
      <c r="BH34" s="77">
        <f>ROUNDUP(tbl_Data[[#This Row],[Adjusted 2031]]/$L34,0)</f>
        <v>1</v>
      </c>
      <c r="BI34" s="77">
        <f>ROUNDUP(tbl_Data[[#This Row],[Adjusted 2032]]/$L34,0)</f>
        <v>1</v>
      </c>
      <c r="BJ34" s="77">
        <f>ROUNDUP(tbl_Data[[#This Row],[Adjusted 2033]]/$L34,0)</f>
        <v>1</v>
      </c>
      <c r="BK34" s="77">
        <f>ROUNDUP(tbl_Data[[#This Row],[Adjusted 2034]]/$L34,0)</f>
        <v>1</v>
      </c>
      <c r="BL34" s="80">
        <f t="shared" si="12"/>
        <v>2.1939818616720439</v>
      </c>
      <c r="BM34" s="77">
        <f t="shared" si="13"/>
        <v>2.4389656345426047</v>
      </c>
      <c r="BN34" s="77">
        <f t="shared" si="14"/>
        <v>2.664573010565932</v>
      </c>
      <c r="BO34" s="77">
        <f t="shared" si="15"/>
        <v>2.8777866364682798</v>
      </c>
      <c r="BP34" s="77">
        <f t="shared" si="16"/>
        <v>3.0807159545183147</v>
      </c>
      <c r="BQ34" s="77">
        <f t="shared" si="17"/>
        <v>3.2661598756750374</v>
      </c>
      <c r="BR34" s="77">
        <f t="shared" si="18"/>
        <v>3.4598495641864164</v>
      </c>
      <c r="BS34" s="77">
        <f t="shared" si="19"/>
        <v>3.6703190232777354</v>
      </c>
      <c r="BT34" s="77">
        <f t="shared" si="20"/>
        <v>3.9003431741232166</v>
      </c>
      <c r="BU34" s="77">
        <f t="shared" si="21"/>
        <v>4.151472296631578</v>
      </c>
      <c r="BV34" s="80">
        <f>IFERROR(VLOOKUP($H34,'1. Set Program Names'!$B$2:$D$15,3,0)*V34,"NA")</f>
        <v>3.1108147025246455</v>
      </c>
      <c r="BW34" s="80">
        <f>IFERROR(VLOOKUP($H34,'1. Set Program Names'!$B$2:$D$15,3,0)*W34,"NA")</f>
        <v>3.458173600899904</v>
      </c>
      <c r="BX34" s="80">
        <f>IFERROR(VLOOKUP($H34,'1. Set Program Names'!$B$2:$D$15,3,0)*X34,"NA")</f>
        <v>3.7780589903791539</v>
      </c>
      <c r="BY34" s="80">
        <f>IFERROR(VLOOKUP($H34,'1. Set Program Names'!$B$2:$D$15,3,0)*Y34,"NA")</f>
        <v>4.0803714633410468</v>
      </c>
      <c r="BZ34" s="80">
        <f>IFERROR(VLOOKUP($H34,'1. Set Program Names'!$B$2:$D$15,3,0)*Z34,"NA")</f>
        <v>4.3681019670391272</v>
      </c>
      <c r="CA34" s="80">
        <f>IFERROR(VLOOKUP($H34,'1. Set Program Names'!$B$2:$D$15,3,0)*AA34,"NA")</f>
        <v>4.6310401829405619</v>
      </c>
      <c r="CB34" s="80">
        <f>IFERROR(VLOOKUP($H34,'1. Set Program Names'!$B$2:$D$15,3,0)*AB34,"NA")</f>
        <v>4.9056699514334623</v>
      </c>
      <c r="CC34" s="80">
        <f>IFERROR(VLOOKUP($H34,'1. Set Program Names'!$B$2:$D$15,3,0)*AC34,"NA")</f>
        <v>5.2040915105227024</v>
      </c>
      <c r="CD34" s="80">
        <f>IFERROR(VLOOKUP($H34,'1. Set Program Names'!$B$2:$D$15,3,0)*AD34,"NA")</f>
        <v>5.530239380241432</v>
      </c>
      <c r="CE34" s="80">
        <f>IFERROR(VLOOKUP($H34,'1. Set Program Names'!$B$2:$D$15,3,0)*AE34,"NA")</f>
        <v>5.8863116797342609</v>
      </c>
    </row>
    <row r="35" spans="1:83" x14ac:dyDescent="0.25">
      <c r="A35" s="79" t="s">
        <v>114</v>
      </c>
      <c r="B35" s="79" t="s">
        <v>88</v>
      </c>
      <c r="C35" s="79" t="s">
        <v>89</v>
      </c>
      <c r="D35" s="79" t="s">
        <v>90</v>
      </c>
      <c r="E35" s="79" t="s">
        <v>91</v>
      </c>
      <c r="F35" s="79" t="s">
        <v>90</v>
      </c>
      <c r="G35" s="79" t="s">
        <v>92</v>
      </c>
      <c r="H35" s="79" t="s">
        <v>5</v>
      </c>
      <c r="I35" s="79" t="s">
        <v>110</v>
      </c>
      <c r="J35" s="79" t="s">
        <v>94</v>
      </c>
      <c r="K35" s="79" t="s">
        <v>108</v>
      </c>
      <c r="L35" s="79">
        <v>461.909999999999</v>
      </c>
      <c r="M35" s="79">
        <v>1.8510616289253799E-2</v>
      </c>
      <c r="N35" s="79">
        <v>8.5862443475120898E-2</v>
      </c>
      <c r="O35" s="79">
        <v>1729.5</v>
      </c>
      <c r="P35" s="79">
        <v>1631.9996867488601</v>
      </c>
      <c r="Q35" s="79">
        <v>137.29309183388401</v>
      </c>
      <c r="R35" s="79">
        <v>219.958372038552</v>
      </c>
      <c r="S35" s="79">
        <v>590.88613636602201</v>
      </c>
      <c r="T35" s="79">
        <v>15</v>
      </c>
      <c r="U35" s="79">
        <v>0.7</v>
      </c>
      <c r="V35" s="79">
        <f>tbl_Data_old[[#This Row],[2025 ]]*IFERROR(AVERAGEIFS('Participation Adjustment'!$C:$C,'Participation Adjustment'!$A:$A,$H35,'Participation Adjustment'!$B:$B,$I35),1)</f>
        <v>3.7532903455800199</v>
      </c>
      <c r="W35" s="79">
        <f>tbl_Data_old[[#This Row],[2026 ]]*IFERROR(AVERAGEIFS('Participation Adjustment'!$C:$C,'Participation Adjustment'!$A:$A,$H35,'Participation Adjustment'!$B:$B,$I35),1)</f>
        <v>4.1748392009602799</v>
      </c>
      <c r="X35" s="79">
        <f>tbl_Data_old[[#This Row],[2027 ]]*IFERROR(AVERAGEIFS('Participation Adjustment'!$C:$C,'Participation Adjustment'!$A:$A,$H35,'Participation Adjustment'!$B:$B,$I35),1)</f>
        <v>4.5634174309558402</v>
      </c>
      <c r="Y35" s="79">
        <f>tbl_Data_old[[#This Row],[2028 ]]*IFERROR(AVERAGEIFS('Participation Adjustment'!$C:$C,'Participation Adjustment'!$A:$A,$H35,'Participation Adjustment'!$B:$B,$I35),1)</f>
        <v>4.9308881511961804</v>
      </c>
      <c r="Z35" s="79">
        <f>tbl_Data_old[[#This Row],[2029 ]]*IFERROR(AVERAGEIFS('Participation Adjustment'!$C:$C,'Participation Adjustment'!$A:$A,$H35,'Participation Adjustment'!$B:$B,$I35),1)</f>
        <v>5.2807993160608797</v>
      </c>
      <c r="AA35" s="79">
        <f>tbl_Data_old[[#This Row],[2030 ]]*IFERROR(AVERAGEIFS('Participation Adjustment'!$C:$C,'Participation Adjustment'!$A:$A,$H35,'Participation Adjustment'!$B:$B,$I35),1)</f>
        <v>5.60075158291568</v>
      </c>
      <c r="AB35" s="79">
        <f>tbl_Data_old[[#This Row],[2031 ]]*IFERROR(AVERAGEIFS('Participation Adjustment'!$C:$C,'Participation Adjustment'!$A:$A,$H35,'Participation Adjustment'!$B:$B,$I35),1)</f>
        <v>5.9348299682211199</v>
      </c>
      <c r="AC35" s="79">
        <f>tbl_Data_old[[#This Row],[2032 ]]*IFERROR(AVERAGEIFS('Participation Adjustment'!$C:$C,'Participation Adjustment'!$A:$A,$H35,'Participation Adjustment'!$B:$B,$I35),1)</f>
        <v>6.2976747913811799</v>
      </c>
      <c r="AD35" s="79">
        <f>tbl_Data_old[[#This Row],[2033 ]]*IFERROR(AVERAGEIFS('Participation Adjustment'!$C:$C,'Participation Adjustment'!$A:$A,$H35,'Participation Adjustment'!$B:$B,$I35),1)</f>
        <v>6.6940579338628403</v>
      </c>
      <c r="AE35" s="79">
        <f>tbl_Data_old[[#This Row],[2034 ]]*IFERROR(AVERAGEIFS('Participation Adjustment'!$C:$C,'Participation Adjustment'!$A:$A,$H35,'Participation Adjustment'!$B:$B,$I35),1)</f>
        <v>7.1266512926591998</v>
      </c>
      <c r="AF35" s="77" t="str">
        <f t="shared" ref="AF35:AF66" si="22">IF(C35="Residential","Residential","NonResidential")</f>
        <v>Residential</v>
      </c>
      <c r="AG35" s="77" t="str">
        <f>tbl_Data[[#This Row],[All_Meas_Name_Append]]</f>
        <v>Heat Pump Water Heater 80 Gallons-ENERGY STAR</v>
      </c>
      <c r="AH35" s="77">
        <f>AVERAGEIFS('3. Incentive Adjustment'!G:G,'3. Incentive Adjustment'!A:A,tbl_Data[[#This Row],[Trimmed Sector]],'3. Incentive Adjustment'!B:B,tbl_Data[[#This Row],[Trimmed Measure Name]])</f>
        <v>1.5551101216712928E-3</v>
      </c>
      <c r="AI35" s="77">
        <f>$AH35*tbl_Data[[#This Row],[2025 ]]</f>
        <v>5.8367798059826333E-3</v>
      </c>
      <c r="AJ35" s="77">
        <f>$AH35*tbl_Data[[#This Row],[2026 ]]</f>
        <v>6.4923346977634241E-3</v>
      </c>
      <c r="AK35" s="77">
        <f>$AH35*tbl_Data[[#This Row],[2027 ]]</f>
        <v>7.0966166362906348E-3</v>
      </c>
      <c r="AL35" s="77">
        <f>$AH35*tbl_Data[[#This Row],[2028 ]]</f>
        <v>7.6680740727542284E-3</v>
      </c>
      <c r="AM35" s="77">
        <f>$AH35*tbl_Data[[#This Row],[2029 ]]</f>
        <v>8.2122244669211152E-3</v>
      </c>
      <c r="AN35" s="77">
        <f>$AH35*tbl_Data[[#This Row],[2030 ]]</f>
        <v>8.7097854755586891E-3</v>
      </c>
      <c r="AO35" s="77">
        <f>$AH35*tbl_Data[[#This Row],[2031 ]]</f>
        <v>9.22931415397878E-3</v>
      </c>
      <c r="AP35" s="77">
        <f>$AH35*tbl_Data[[#This Row],[2032 ]]</f>
        <v>9.7935778110710206E-3</v>
      </c>
      <c r="AQ35" s="77">
        <f>$AH35*tbl_Data[[#This Row],[2033 ]]</f>
        <v>1.0409997248004125E-2</v>
      </c>
      <c r="AR35" s="77">
        <f>$AH35*tbl_Data[[#This Row],[2034 ]]</f>
        <v>1.1082727558836124E-2</v>
      </c>
      <c r="AS35" s="77">
        <f>SUM(tbl_Data[[#This Row],[Adjusted 2025]:[Adjusted 2034]])</f>
        <v>8.4531431927160783E-2</v>
      </c>
      <c r="AT35" s="80">
        <f>AVERAGEIFS('3. Incentive Adjustment'!F:F,'3. Incentive Adjustment'!A:A,tbl_Data[[#This Row],[Trimmed Sector]],'3. Incentive Adjustment'!B:B,tbl_Data[[#This Row],[Trimmed Measure Name]])</f>
        <v>500</v>
      </c>
      <c r="AU35" s="80">
        <f>IFERROR(VLOOKUP(tbl_Data[[#This Row],[All_Meas_Name_Append]],'IRA Tax Credits'!$A$3:$D$46,4,0),0)</f>
        <v>1666.6666666666667</v>
      </c>
      <c r="AV35" s="81">
        <f>tbl_Data[[#This Row],[Adj. per unit Incentive ($)]]/tbl_Data[[#This Row],[kWh Savings]]*tbl_Data[[#This Row],[Sum of Annuals]]</f>
        <v>9.1502058763786212E-2</v>
      </c>
      <c r="AW35" s="81">
        <f>IFERROR(VLOOKUP(tbl_Data[[#This Row],[Column1]],'1. Set Program Names'!$B$2:$D$15,3,0)*tbl_Data[[#This Row],[Sum of Annuals]],"")</f>
        <v>3.768780167053791E-2</v>
      </c>
      <c r="AX35" s="81">
        <f>tbl_Data[[#This Row],[per unit IRA tax ($)]]/tbl_Data[[#This Row],[kWh Savings]]*tbl_Data[[#This Row],[Sum of Annuals]]</f>
        <v>0.30500686254595399</v>
      </c>
      <c r="AY35" s="81">
        <f>tbl_Data[[#This Row],[Avoided Costs ($/unit)]]/tbl_Data[[#This Row],[kWh Savings]]*tbl_Data[[#This Row],[Sum of Annuals]]</f>
        <v>4.0253287767716667E-2</v>
      </c>
      <c r="AZ35" s="81">
        <f>tbl_Data[[#This Row],[Lost Revenue ($/unit)]]/tbl_Data[[#This Row],[kWh Savings]]*tbl_Data[[#This Row],[Sum of Annuals]]</f>
        <v>0.10813459594494065</v>
      </c>
      <c r="BA35" s="81">
        <f>tbl_Data[[#This Row],[Incremental Cost ($/unit)]]/tbl_Data[[#This Row],[kWh Savings]]*tbl_Data[[#This Row],[Sum of Annuals]]</f>
        <v>0.31650562126393644</v>
      </c>
      <c r="BB35" s="77">
        <f>ROUNDUP(tbl_Data[[#This Row],[Adjusted 2025]]/$L35,0)</f>
        <v>1</v>
      </c>
      <c r="BC35" s="77">
        <f>ROUNDUP(tbl_Data[[#This Row],[Adjusted 2026]]/$L35,0)</f>
        <v>1</v>
      </c>
      <c r="BD35" s="77">
        <f>ROUNDUP(tbl_Data[[#This Row],[Adjusted 2027]]/$L35,0)</f>
        <v>1</v>
      </c>
      <c r="BE35" s="77">
        <f>ROUNDUP(tbl_Data[[#This Row],[Adjusted 2028]]/$L35,0)</f>
        <v>1</v>
      </c>
      <c r="BF35" s="77">
        <f>ROUNDUP(tbl_Data[[#This Row],[Adjusted 2029]]/$L35,0)</f>
        <v>1</v>
      </c>
      <c r="BG35" s="77">
        <f>ROUNDUP(tbl_Data[[#This Row],[Adjusted 2030]]/$L35,0)</f>
        <v>1</v>
      </c>
      <c r="BH35" s="77">
        <f>ROUNDUP(tbl_Data[[#This Row],[Adjusted 2031]]/$L35,0)</f>
        <v>1</v>
      </c>
      <c r="BI35" s="77">
        <f>ROUNDUP(tbl_Data[[#This Row],[Adjusted 2032]]/$L35,0)</f>
        <v>1</v>
      </c>
      <c r="BJ35" s="77">
        <f>ROUNDUP(tbl_Data[[#This Row],[Adjusted 2033]]/$L35,0)</f>
        <v>1</v>
      </c>
      <c r="BK35" s="77">
        <f>ROUNDUP(tbl_Data[[#This Row],[Adjusted 2034]]/$L35,0)</f>
        <v>1</v>
      </c>
      <c r="BL35" s="80">
        <f t="shared" ref="BL35:BL66" si="23">$AT35/$L35*V35</f>
        <v>4.0627939918815663</v>
      </c>
      <c r="BM35" s="77">
        <f t="shared" ref="BM35:BM66" si="24">$AT35/$L35*W35</f>
        <v>4.519104588513227</v>
      </c>
      <c r="BN35" s="77">
        <f t="shared" ref="BN35:BN66" si="25">$AT35/$L35*X35</f>
        <v>4.9397257376500301</v>
      </c>
      <c r="BO35" s="77">
        <f t="shared" ref="BO35:BO66" si="26">$AT35/$L35*Y35</f>
        <v>5.337498810586685</v>
      </c>
      <c r="BP35" s="77">
        <f t="shared" ref="BP35:BP66" si="27">$AT35/$L35*Z35</f>
        <v>5.7162643329446121</v>
      </c>
      <c r="BQ35" s="77">
        <f t="shared" ref="BQ35:BQ66" si="28">$AT35/$L35*AA35</f>
        <v>6.0626004880990809</v>
      </c>
      <c r="BR35" s="77">
        <f t="shared" ref="BR35:BR66" si="29">$AT35/$L35*AB35</f>
        <v>6.4242276289982172</v>
      </c>
      <c r="BS35" s="77">
        <f t="shared" ref="BS35:BS66" si="30">$AT35/$L35*AC35</f>
        <v>6.8169933443540884</v>
      </c>
      <c r="BT35" s="77">
        <f t="shared" ref="BT35:BT66" si="31">$AT35/$L35*AD35</f>
        <v>7.2460630142915887</v>
      </c>
      <c r="BU35" s="77">
        <f t="shared" ref="BU35:BU66" si="32">$AT35/$L35*AE35</f>
        <v>7.7143288656439735</v>
      </c>
      <c r="BV35" s="80">
        <f>IFERROR(VLOOKUP($H35,'1. Set Program Names'!$B$2:$D$15,3,0)*V35,"NA")</f>
        <v>1.6733806458886467</v>
      </c>
      <c r="BW35" s="80">
        <f>IFERROR(VLOOKUP($H35,'1. Set Program Names'!$B$2:$D$15,3,0)*W35,"NA")</f>
        <v>1.861325523833022</v>
      </c>
      <c r="BX35" s="80">
        <f>IFERROR(VLOOKUP($H35,'1. Set Program Names'!$B$2:$D$15,3,0)*X35,"NA")</f>
        <v>2.034570658000161</v>
      </c>
      <c r="BY35" s="80">
        <f>IFERROR(VLOOKUP($H35,'1. Set Program Names'!$B$2:$D$15,3,0)*Y35,"NA")</f>
        <v>2.1984051430953766</v>
      </c>
      <c r="BZ35" s="80">
        <f>IFERROR(VLOOKUP($H35,'1. Set Program Names'!$B$2:$D$15,3,0)*Z35,"NA")</f>
        <v>2.3544108120291645</v>
      </c>
      <c r="CA35" s="80">
        <f>IFERROR(VLOOKUP($H35,'1. Set Program Names'!$B$2:$D$15,3,0)*AA35,"NA")</f>
        <v>2.4970594966942148</v>
      </c>
      <c r="CB35" s="80">
        <f>IFERROR(VLOOKUP($H35,'1. Set Program Names'!$B$2:$D$15,3,0)*AB35,"NA")</f>
        <v>2.6460062214894857</v>
      </c>
      <c r="CC35" s="80">
        <f>IFERROR(VLOOKUP($H35,'1. Set Program Names'!$B$2:$D$15,3,0)*AC35,"NA")</f>
        <v>2.8077782797721502</v>
      </c>
      <c r="CD35" s="80">
        <f>IFERROR(VLOOKUP($H35,'1. Set Program Names'!$B$2:$D$15,3,0)*AD35,"NA")</f>
        <v>2.9845031845657406</v>
      </c>
      <c r="CE35" s="80">
        <f>IFERROR(VLOOKUP($H35,'1. Set Program Names'!$B$2:$D$15,3,0)*AE35,"NA")</f>
        <v>3.1773721841629259</v>
      </c>
    </row>
    <row r="36" spans="1:83" x14ac:dyDescent="0.25">
      <c r="A36" s="79" t="s">
        <v>114</v>
      </c>
      <c r="B36" s="79" t="s">
        <v>88</v>
      </c>
      <c r="C36" s="79" t="s">
        <v>89</v>
      </c>
      <c r="D36" s="79" t="s">
        <v>90</v>
      </c>
      <c r="E36" s="79" t="s">
        <v>91</v>
      </c>
      <c r="F36" s="79" t="s">
        <v>90</v>
      </c>
      <c r="G36" s="79" t="s">
        <v>92</v>
      </c>
      <c r="H36" s="79" t="s">
        <v>5</v>
      </c>
      <c r="I36" s="79" t="s">
        <v>299</v>
      </c>
      <c r="J36" s="79" t="s">
        <v>97</v>
      </c>
      <c r="K36" s="79" t="s">
        <v>102</v>
      </c>
      <c r="L36" s="79">
        <v>408.28</v>
      </c>
      <c r="M36" s="79">
        <v>0.16567198429270899</v>
      </c>
      <c r="N36" s="79">
        <v>2.3547919008134799E-2</v>
      </c>
      <c r="O36" s="79">
        <v>128.60999999999999</v>
      </c>
      <c r="P36" s="79">
        <v>29.691921599999901</v>
      </c>
      <c r="Q36" s="79">
        <v>121.35269540373299</v>
      </c>
      <c r="R36" s="79">
        <v>238.630335182902</v>
      </c>
      <c r="S36" s="79">
        <v>423.90838942107399</v>
      </c>
      <c r="T36" s="79">
        <v>11</v>
      </c>
      <c r="U36" s="79">
        <v>0.7</v>
      </c>
      <c r="V36" s="79">
        <f>tbl_Data_old[[#This Row],[2025 ]]*IFERROR(AVERAGEIFS('Participation Adjustment'!$C:$C,'Participation Adjustment'!$A:$A,$H36,'Participation Adjustment'!$B:$B,$I36),1)</f>
        <v>10.18443130792396</v>
      </c>
      <c r="W36" s="79">
        <f>tbl_Data_old[[#This Row],[2026 ]]*IFERROR(AVERAGEIFS('Participation Adjustment'!$C:$C,'Participation Adjustment'!$A:$A,$H36,'Participation Adjustment'!$B:$B,$I36),1)</f>
        <v>8.4494389607237395</v>
      </c>
      <c r="X36" s="79">
        <f>tbl_Data_old[[#This Row],[2027 ]]*IFERROR(AVERAGEIFS('Participation Adjustment'!$C:$C,'Participation Adjustment'!$A:$A,$H36,'Participation Adjustment'!$B:$B,$I36),1)</f>
        <v>7.0101063242648998</v>
      </c>
      <c r="Y36" s="79">
        <f>tbl_Data_old[[#This Row],[2028 ]]*IFERROR(AVERAGEIFS('Participation Adjustment'!$C:$C,'Participation Adjustment'!$A:$A,$H36,'Participation Adjustment'!$B:$B,$I36),1)</f>
        <v>5.8407910147793602</v>
      </c>
      <c r="Z36" s="79">
        <f>tbl_Data_old[[#This Row],[2029 ]]*IFERROR(AVERAGEIFS('Participation Adjustment'!$C:$C,'Participation Adjustment'!$A:$A,$H36,'Participation Adjustment'!$B:$B,$I36),1)</f>
        <v>4.9001045170357598</v>
      </c>
      <c r="AA36" s="79">
        <f>tbl_Data_old[[#This Row],[2030 ]]*IFERROR(AVERAGEIFS('Participation Adjustment'!$C:$C,'Participation Adjustment'!$A:$A,$H36,'Participation Adjustment'!$B:$B,$I36),1)</f>
        <v>4.1320936604906997</v>
      </c>
      <c r="AB36" s="79">
        <f>tbl_Data_old[[#This Row],[2031 ]]*IFERROR(AVERAGEIFS('Participation Adjustment'!$C:$C,'Participation Adjustment'!$A:$A,$H36,'Participation Adjustment'!$B:$B,$I36),1)</f>
        <v>3.5355782287245399</v>
      </c>
      <c r="AC36" s="79">
        <f>tbl_Data_old[[#This Row],[2032 ]]*IFERROR(AVERAGEIFS('Participation Adjustment'!$C:$C,'Participation Adjustment'!$A:$A,$H36,'Participation Adjustment'!$B:$B,$I36),1)</f>
        <v>3.07313088565604</v>
      </c>
      <c r="AD36" s="79">
        <f>tbl_Data_old[[#This Row],[2033 ]]*IFERROR(AVERAGEIFS('Participation Adjustment'!$C:$C,'Participation Adjustment'!$A:$A,$H36,'Participation Adjustment'!$B:$B,$I36),1)</f>
        <v>2.71612131930664</v>
      </c>
      <c r="AE36" s="79">
        <f>tbl_Data_old[[#This Row],[2034 ]]*IFERROR(AVERAGEIFS('Participation Adjustment'!$C:$C,'Participation Adjustment'!$A:$A,$H36,'Participation Adjustment'!$B:$B,$I36),1)</f>
        <v>2.4404611283002802</v>
      </c>
      <c r="AF36" s="77" t="str">
        <f t="shared" si="22"/>
        <v>Residential</v>
      </c>
      <c r="AG36" s="77" t="str">
        <f>tbl_Data[[#This Row],[All_Meas_Name_Append]]</f>
        <v>Smart Thermostat Residential</v>
      </c>
      <c r="AH36" s="77">
        <f>AVERAGEIFS('3. Incentive Adjustment'!G:G,'3. Incentive Adjustment'!A:A,tbl_Data[[#This Row],[Trimmed Sector]],'3. Incentive Adjustment'!B:B,tbl_Data[[#This Row],[Trimmed Measure Name]])</f>
        <v>1.1402432304340044</v>
      </c>
      <c r="AI36" s="77">
        <f>$AH36*tbl_Data[[#This Row],[2025 ]]</f>
        <v>11.61272885468043</v>
      </c>
      <c r="AJ36" s="77">
        <f>$AH36*tbl_Data[[#This Row],[2026 ]]</f>
        <v>9.6344155759305732</v>
      </c>
      <c r="AK36" s="77">
        <f>$AH36*tbl_Data[[#This Row],[2027 ]]</f>
        <v>7.9932262808656542</v>
      </c>
      <c r="AL36" s="77">
        <f>$AH36*tbl_Data[[#This Row],[2028 ]]</f>
        <v>6.6599224149819243</v>
      </c>
      <c r="AM36" s="77">
        <f>$AH36*tbl_Data[[#This Row],[2029 ]]</f>
        <v>5.5873110039691118</v>
      </c>
      <c r="AN36" s="77">
        <f>$AH36*tbl_Data[[#This Row],[2030 ]]</f>
        <v>4.7115918238937855</v>
      </c>
      <c r="AO36" s="77">
        <f>$AH36*tbl_Data[[#This Row],[2031 ]]</f>
        <v>4.0314191409730045</v>
      </c>
      <c r="AP36" s="77">
        <f>$AH36*tbl_Data[[#This Row],[2032 ]]</f>
        <v>3.5041166886069561</v>
      </c>
      <c r="AQ36" s="77">
        <f>$AH36*tbl_Data[[#This Row],[2033 ]]</f>
        <v>3.0970389473768734</v>
      </c>
      <c r="AR36" s="77">
        <f>$AH36*tbl_Data[[#This Row],[2034 ]]</f>
        <v>2.7827192806817269</v>
      </c>
      <c r="AS36" s="77">
        <f>SUM(tbl_Data[[#This Row],[Adjusted 2025]:[Adjusted 2034]])</f>
        <v>59.614490011960036</v>
      </c>
      <c r="AT36" s="80">
        <f>AVERAGEIFS('3. Incentive Adjustment'!F:F,'3. Incentive Adjustment'!A:A,tbl_Data[[#This Row],[Trimmed Sector]],'3. Incentive Adjustment'!B:B,tbl_Data[[#This Row],[Trimmed Measure Name]])</f>
        <v>50</v>
      </c>
      <c r="AU36" s="80">
        <f>IFERROR(VLOOKUP(tbl_Data[[#This Row],[All_Meas_Name_Append]],'IRA Tax Credits'!$A$3:$D$46,4,0),0)</f>
        <v>0</v>
      </c>
      <c r="AV36" s="81">
        <f>tbl_Data[[#This Row],[Adj. per unit Incentive ($)]]/tbl_Data[[#This Row],[kWh Savings]]*tbl_Data[[#This Row],[Sum of Annuals]]</f>
        <v>7.3006870299745321</v>
      </c>
      <c r="AW36" s="81">
        <f>IFERROR(VLOOKUP(tbl_Data[[#This Row],[Column1]],'1. Set Program Names'!$B$2:$D$15,3,0)*tbl_Data[[#This Row],[Sum of Annuals]],"")</f>
        <v>26.578741481594534</v>
      </c>
      <c r="AX36" s="81">
        <f>tbl_Data[[#This Row],[per unit IRA tax ($)]]/tbl_Data[[#This Row],[kWh Savings]]*tbl_Data[[#This Row],[Sum of Annuals]]</f>
        <v>0</v>
      </c>
      <c r="AY36" s="81">
        <f>tbl_Data[[#This Row],[Avoided Costs ($/unit)]]/tbl_Data[[#This Row],[kWh Savings]]*tbl_Data[[#This Row],[Sum of Annuals]]</f>
        <v>34.843307860565758</v>
      </c>
      <c r="AZ36" s="81">
        <f>tbl_Data[[#This Row],[Lost Revenue ($/unit)]]/tbl_Data[[#This Row],[kWh Savings]]*tbl_Data[[#This Row],[Sum of Annuals]]</f>
        <v>61.896449610876566</v>
      </c>
      <c r="BA36" s="81">
        <f>tbl_Data[[#This Row],[Incremental Cost ($/unit)]]/tbl_Data[[#This Row],[kWh Savings]]*tbl_Data[[#This Row],[Sum of Annuals]]</f>
        <v>18.778827178500492</v>
      </c>
      <c r="BB36" s="77">
        <f>ROUNDUP(tbl_Data[[#This Row],[Adjusted 2025]]/$L36,0)</f>
        <v>1</v>
      </c>
      <c r="BC36" s="77">
        <f>ROUNDUP(tbl_Data[[#This Row],[Adjusted 2026]]/$L36,0)</f>
        <v>1</v>
      </c>
      <c r="BD36" s="77">
        <f>ROUNDUP(tbl_Data[[#This Row],[Adjusted 2027]]/$L36,0)</f>
        <v>1</v>
      </c>
      <c r="BE36" s="77">
        <f>ROUNDUP(tbl_Data[[#This Row],[Adjusted 2028]]/$L36,0)</f>
        <v>1</v>
      </c>
      <c r="BF36" s="77">
        <f>ROUNDUP(tbl_Data[[#This Row],[Adjusted 2029]]/$L36,0)</f>
        <v>1</v>
      </c>
      <c r="BG36" s="77">
        <f>ROUNDUP(tbl_Data[[#This Row],[Adjusted 2030]]/$L36,0)</f>
        <v>1</v>
      </c>
      <c r="BH36" s="77">
        <f>ROUNDUP(tbl_Data[[#This Row],[Adjusted 2031]]/$L36,0)</f>
        <v>1</v>
      </c>
      <c r="BI36" s="77">
        <f>ROUNDUP(tbl_Data[[#This Row],[Adjusted 2032]]/$L36,0)</f>
        <v>1</v>
      </c>
      <c r="BJ36" s="77">
        <f>ROUNDUP(tbl_Data[[#This Row],[Adjusted 2033]]/$L36,0)</f>
        <v>1</v>
      </c>
      <c r="BK36" s="77">
        <f>ROUNDUP(tbl_Data[[#This Row],[Adjusted 2034]]/$L36,0)</f>
        <v>1</v>
      </c>
      <c r="BL36" s="80">
        <f t="shared" si="23"/>
        <v>1.2472361256887383</v>
      </c>
      <c r="BM36" s="77">
        <f t="shared" si="24"/>
        <v>1.0347603312339253</v>
      </c>
      <c r="BN36" s="77">
        <f t="shared" si="25"/>
        <v>0.85849249586863186</v>
      </c>
      <c r="BO36" s="77">
        <f t="shared" si="26"/>
        <v>0.71529232570531998</v>
      </c>
      <c r="BP36" s="77">
        <f t="shared" si="27"/>
        <v>0.60009117726018424</v>
      </c>
      <c r="BQ36" s="77">
        <f t="shared" si="28"/>
        <v>0.50603674690049727</v>
      </c>
      <c r="BR36" s="77">
        <f t="shared" si="29"/>
        <v>0.43298449945191292</v>
      </c>
      <c r="BS36" s="77">
        <f t="shared" si="30"/>
        <v>0.37635089713628395</v>
      </c>
      <c r="BT36" s="77">
        <f t="shared" si="31"/>
        <v>0.33262972951242287</v>
      </c>
      <c r="BU36" s="77">
        <f t="shared" si="32"/>
        <v>0.29887101110760755</v>
      </c>
      <c r="BV36" s="80">
        <f>IFERROR(VLOOKUP($H36,'1. Set Program Names'!$B$2:$D$15,3,0)*V36,"NA")</f>
        <v>4.54066396971713</v>
      </c>
      <c r="BW36" s="80">
        <f>IFERROR(VLOOKUP($H36,'1. Set Program Names'!$B$2:$D$15,3,0)*W36,"NA")</f>
        <v>3.7671286587628958</v>
      </c>
      <c r="BX36" s="80">
        <f>IFERROR(VLOOKUP($H36,'1. Set Program Names'!$B$2:$D$15,3,0)*X36,"NA")</f>
        <v>3.1254113507261012</v>
      </c>
      <c r="BY36" s="80">
        <f>IFERROR(VLOOKUP($H36,'1. Set Program Names'!$B$2:$D$15,3,0)*Y36,"NA")</f>
        <v>2.604079551778367</v>
      </c>
      <c r="BZ36" s="80">
        <f>IFERROR(VLOOKUP($H36,'1. Set Program Names'!$B$2:$D$15,3,0)*Z36,"NA")</f>
        <v>2.1846804554556827</v>
      </c>
      <c r="CA36" s="80">
        <f>IFERROR(VLOOKUP($H36,'1. Set Program Names'!$B$2:$D$15,3,0)*AA36,"NA")</f>
        <v>1.8422676962913609</v>
      </c>
      <c r="CB36" s="80">
        <f>IFERROR(VLOOKUP($H36,'1. Set Program Names'!$B$2:$D$15,3,0)*AB36,"NA")</f>
        <v>1.5763150822957752</v>
      </c>
      <c r="CC36" s="80">
        <f>IFERROR(VLOOKUP($H36,'1. Set Program Names'!$B$2:$D$15,3,0)*AC36,"NA")</f>
        <v>1.3701358735530349</v>
      </c>
      <c r="CD36" s="80">
        <f>IFERROR(VLOOKUP($H36,'1. Set Program Names'!$B$2:$D$15,3,0)*AD36,"NA")</f>
        <v>1.2109654274324158</v>
      </c>
      <c r="CE36" s="80">
        <f>IFERROR(VLOOKUP($H36,'1. Set Program Names'!$B$2:$D$15,3,0)*AE36,"NA")</f>
        <v>1.0880640832784172</v>
      </c>
    </row>
    <row r="37" spans="1:83" x14ac:dyDescent="0.25">
      <c r="A37" s="79" t="s">
        <v>114</v>
      </c>
      <c r="B37" s="79" t="s">
        <v>88</v>
      </c>
      <c r="C37" s="79" t="s">
        <v>89</v>
      </c>
      <c r="D37" s="79" t="s">
        <v>90</v>
      </c>
      <c r="E37" s="79" t="s">
        <v>91</v>
      </c>
      <c r="F37" s="79" t="s">
        <v>90</v>
      </c>
      <c r="G37" s="79" t="s">
        <v>92</v>
      </c>
      <c r="H37" s="79"/>
      <c r="I37" s="79" t="s">
        <v>112</v>
      </c>
      <c r="J37" s="79" t="s">
        <v>94</v>
      </c>
      <c r="K37" s="79" t="s">
        <v>108</v>
      </c>
      <c r="L37" s="79">
        <v>1330.8133333333301</v>
      </c>
      <c r="M37" s="79">
        <v>5.33311142126306E-2</v>
      </c>
      <c r="N37" s="79">
        <v>0.24737910980336</v>
      </c>
      <c r="O37" s="79">
        <v>8990.02</v>
      </c>
      <c r="P37" s="79">
        <v>8776.4394094329891</v>
      </c>
      <c r="Q37" s="79">
        <v>395.55644430103399</v>
      </c>
      <c r="R37" s="79">
        <v>713.19672296706005</v>
      </c>
      <c r="S37" s="79">
        <v>2011.6258188035599</v>
      </c>
      <c r="T37" s="79">
        <v>20</v>
      </c>
      <c r="U37" s="79">
        <v>0.7</v>
      </c>
      <c r="V37" s="79">
        <f>tbl_Data_old[[#This Row],[2025 ]]*IFERROR(AVERAGEIFS('Participation Adjustment'!$C:$C,'Participation Adjustment'!$A:$A,$H37,'Participation Adjustment'!$B:$B,$I37),1)</f>
        <v>6.0539088745818601</v>
      </c>
      <c r="W37" s="79">
        <f>tbl_Data_old[[#This Row],[2026 ]]*IFERROR(AVERAGEIFS('Participation Adjustment'!$C:$C,'Participation Adjustment'!$A:$A,$H37,'Participation Adjustment'!$B:$B,$I37),1)</f>
        <v>6.7375993330812296</v>
      </c>
      <c r="X37" s="79">
        <f>tbl_Data_old[[#This Row],[2027 ]]*IFERROR(AVERAGEIFS('Participation Adjustment'!$C:$C,'Participation Adjustment'!$A:$A,$H37,'Participation Adjustment'!$B:$B,$I37),1)</f>
        <v>7.3684382011953398</v>
      </c>
      <c r="Y37" s="79">
        <f>tbl_Data_old[[#This Row],[2028 ]]*IFERROR(AVERAGEIFS('Participation Adjustment'!$C:$C,'Participation Adjustment'!$A:$A,$H37,'Participation Adjustment'!$B:$B,$I37),1)</f>
        <v>7.9654397482839103</v>
      </c>
      <c r="Z37" s="79">
        <f>tbl_Data_old[[#This Row],[2029 ]]*IFERROR(AVERAGEIFS('Participation Adjustment'!$C:$C,'Participation Adjustment'!$A:$A,$H37,'Participation Adjustment'!$B:$B,$I37),1)</f>
        <v>8.5342356839879603</v>
      </c>
      <c r="AA37" s="79">
        <f>tbl_Data_old[[#This Row],[2030 ]]*IFERROR(AVERAGEIFS('Participation Adjustment'!$C:$C,'Participation Adjustment'!$A:$A,$H37,'Participation Adjustment'!$B:$B,$I37),1)</f>
        <v>9.0547011572241498</v>
      </c>
      <c r="AB37" s="79">
        <f>tbl_Data_old[[#This Row],[2031 ]]*IFERROR(AVERAGEIFS('Participation Adjustment'!$C:$C,'Participation Adjustment'!$A:$A,$H37,'Participation Adjustment'!$B:$B,$I37),1)</f>
        <v>9.5980466897388101</v>
      </c>
      <c r="AC37" s="79">
        <f>tbl_Data_old[[#This Row],[2032 ]]*IFERROR(AVERAGEIFS('Participation Adjustment'!$C:$C,'Participation Adjustment'!$A:$A,$H37,'Participation Adjustment'!$B:$B,$I37),1)</f>
        <v>10.1879520267524</v>
      </c>
      <c r="AD37" s="79">
        <f>tbl_Data_old[[#This Row],[2033 ]]*IFERROR(AVERAGEIFS('Participation Adjustment'!$C:$C,'Participation Adjustment'!$A:$A,$H37,'Participation Adjustment'!$B:$B,$I37),1)</f>
        <v>10.8321547504429</v>
      </c>
      <c r="AE37" s="79">
        <f>tbl_Data_old[[#This Row],[2034 ]]*IFERROR(AVERAGEIFS('Participation Adjustment'!$C:$C,'Participation Adjustment'!$A:$A,$H37,'Participation Adjustment'!$B:$B,$I37),1)</f>
        <v>11.534997861112901</v>
      </c>
      <c r="AF37" s="77" t="str">
        <f t="shared" si="22"/>
        <v>Residential</v>
      </c>
      <c r="AG37" s="77" t="str">
        <f>tbl_Data[[#This Row],[All_Meas_Name_Append]]</f>
        <v>Solar Thermal Water Heating System</v>
      </c>
      <c r="AH37" s="77">
        <f>AVERAGEIFS('3. Incentive Adjustment'!G:G,'3. Incentive Adjustment'!A:A,tbl_Data[[#This Row],[Trimmed Sector]],'3. Incentive Adjustment'!B:B,tbl_Data[[#This Row],[Trimmed Measure Name]])</f>
        <v>2.7736651842107431E-8</v>
      </c>
      <c r="AI37" s="77">
        <f>$AH37*tbl_Data[[#This Row],[2025 ]]</f>
        <v>1.6791516273812146E-7</v>
      </c>
      <c r="AJ37" s="77">
        <f>$AH37*tbl_Data[[#This Row],[2026 ]]</f>
        <v>1.8687844695328928E-7</v>
      </c>
      <c r="AK37" s="77">
        <f>$AH37*tbl_Data[[#This Row],[2027 ]]</f>
        <v>2.0437580500663948E-7</v>
      </c>
      <c r="AL37" s="77">
        <f>$AH37*tbl_Data[[#This Row],[2028 ]]</f>
        <v>2.2093462906743467E-7</v>
      </c>
      <c r="AM37" s="77">
        <f>$AH37*tbl_Data[[#This Row],[2029 ]]</f>
        <v>2.3671112390526363E-7</v>
      </c>
      <c r="AN37" s="77">
        <f>$AH37*tbl_Data[[#This Row],[2030 ]]</f>
        <v>2.5114709353225349E-7</v>
      </c>
      <c r="AO37" s="77">
        <f>$AH37*tbl_Data[[#This Row],[2031 ]]</f>
        <v>2.662176793975771E-7</v>
      </c>
      <c r="AP37" s="77">
        <f>$AH37*tbl_Data[[#This Row],[2032 ]]</f>
        <v>2.8257967835012412E-7</v>
      </c>
      <c r="AQ37" s="77">
        <f>$AH37*tbl_Data[[#This Row],[2033 ]]</f>
        <v>3.004477050128648E-7</v>
      </c>
      <c r="AR37" s="77">
        <f>$AH37*tbl_Data[[#This Row],[2034 ]]</f>
        <v>3.1994221967314242E-7</v>
      </c>
      <c r="AS37" s="77">
        <f>SUM(tbl_Data[[#This Row],[Adjusted 2025]:[Adjusted 2034]])</f>
        <v>2.4371495436367102E-6</v>
      </c>
      <c r="AT37" s="80">
        <f>AVERAGEIFS('3. Incentive Adjustment'!F:F,'3. Incentive Adjustment'!A:A,tbl_Data[[#This Row],[Trimmed Sector]],'3. Incentive Adjustment'!B:B,tbl_Data[[#This Row],[Trimmed Measure Name]])</f>
        <v>0</v>
      </c>
      <c r="AU37" s="80">
        <f>IFERROR(VLOOKUP(tbl_Data[[#This Row],[All_Meas_Name_Append]],'IRA Tax Credits'!$A$3:$D$46,4,0),0)</f>
        <v>41666.666666666672</v>
      </c>
      <c r="AV37" s="81">
        <f>tbl_Data[[#This Row],[Adj. per unit Incentive ($)]]/tbl_Data[[#This Row],[kWh Savings]]*tbl_Data[[#This Row],[Sum of Annuals]]</f>
        <v>0</v>
      </c>
      <c r="AW37" s="81" t="str">
        <f>IFERROR(VLOOKUP(tbl_Data[[#This Row],[Column1]],'1. Set Program Names'!$B$2:$D$15,3,0)*tbl_Data[[#This Row],[Sum of Annuals]],"")</f>
        <v/>
      </c>
      <c r="AX37" s="81">
        <f>tbl_Data[[#This Row],[per unit IRA tax ($)]]/tbl_Data[[#This Row],[kWh Savings]]*tbl_Data[[#This Row],[Sum of Annuals]]</f>
        <v>7.6305139953158853E-5</v>
      </c>
      <c r="AY37" s="81">
        <f>tbl_Data[[#This Row],[Avoided Costs ($/unit)]]/tbl_Data[[#This Row],[kWh Savings]]*tbl_Data[[#This Row],[Sum of Annuals]]</f>
        <v>1.3060938182432586E-6</v>
      </c>
      <c r="AZ37" s="81">
        <f>tbl_Data[[#This Row],[Lost Revenue ($/unit)]]/tbl_Data[[#This Row],[kWh Savings]]*tbl_Data[[#This Row],[Sum of Annuals]]</f>
        <v>3.6839373512926419E-6</v>
      </c>
      <c r="BA37" s="81">
        <f>tbl_Data[[#This Row],[Incremental Cost ($/unit)]]/tbl_Data[[#This Row],[kWh Savings]]*tbl_Data[[#This Row],[Sum of Annuals]]</f>
        <v>1.646363362276073E-5</v>
      </c>
      <c r="BB37" s="77">
        <f>ROUNDUP(tbl_Data[[#This Row],[Adjusted 2025]]/$L37,0)</f>
        <v>1</v>
      </c>
      <c r="BC37" s="77">
        <f>ROUNDUP(tbl_Data[[#This Row],[Adjusted 2026]]/$L37,0)</f>
        <v>1</v>
      </c>
      <c r="BD37" s="77">
        <f>ROUNDUP(tbl_Data[[#This Row],[Adjusted 2027]]/$L37,0)</f>
        <v>1</v>
      </c>
      <c r="BE37" s="77">
        <f>ROUNDUP(tbl_Data[[#This Row],[Adjusted 2028]]/$L37,0)</f>
        <v>1</v>
      </c>
      <c r="BF37" s="77">
        <f>ROUNDUP(tbl_Data[[#This Row],[Adjusted 2029]]/$L37,0)</f>
        <v>1</v>
      </c>
      <c r="BG37" s="77">
        <f>ROUNDUP(tbl_Data[[#This Row],[Adjusted 2030]]/$L37,0)</f>
        <v>1</v>
      </c>
      <c r="BH37" s="77">
        <f>ROUNDUP(tbl_Data[[#This Row],[Adjusted 2031]]/$L37,0)</f>
        <v>1</v>
      </c>
      <c r="BI37" s="77">
        <f>ROUNDUP(tbl_Data[[#This Row],[Adjusted 2032]]/$L37,0)</f>
        <v>1</v>
      </c>
      <c r="BJ37" s="77">
        <f>ROUNDUP(tbl_Data[[#This Row],[Adjusted 2033]]/$L37,0)</f>
        <v>1</v>
      </c>
      <c r="BK37" s="77">
        <f>ROUNDUP(tbl_Data[[#This Row],[Adjusted 2034]]/$L37,0)</f>
        <v>1</v>
      </c>
      <c r="BL37" s="80">
        <f t="shared" si="23"/>
        <v>0</v>
      </c>
      <c r="BM37" s="77">
        <f t="shared" si="24"/>
        <v>0</v>
      </c>
      <c r="BN37" s="77">
        <f t="shared" si="25"/>
        <v>0</v>
      </c>
      <c r="BO37" s="77">
        <f t="shared" si="26"/>
        <v>0</v>
      </c>
      <c r="BP37" s="77">
        <f t="shared" si="27"/>
        <v>0</v>
      </c>
      <c r="BQ37" s="77">
        <f t="shared" si="28"/>
        <v>0</v>
      </c>
      <c r="BR37" s="77">
        <f t="shared" si="29"/>
        <v>0</v>
      </c>
      <c r="BS37" s="77">
        <f t="shared" si="30"/>
        <v>0</v>
      </c>
      <c r="BT37" s="77">
        <f t="shared" si="31"/>
        <v>0</v>
      </c>
      <c r="BU37" s="77">
        <f t="shared" si="32"/>
        <v>0</v>
      </c>
      <c r="BV37" s="80" t="str">
        <f>IFERROR(VLOOKUP($H37,'1. Set Program Names'!$B$2:$D$15,3,0)*V37,"NA")</f>
        <v>NA</v>
      </c>
      <c r="BW37" s="80" t="str">
        <f>IFERROR(VLOOKUP($H37,'1. Set Program Names'!$B$2:$D$15,3,0)*W37,"NA")</f>
        <v>NA</v>
      </c>
      <c r="BX37" s="80" t="str">
        <f>IFERROR(VLOOKUP($H37,'1. Set Program Names'!$B$2:$D$15,3,0)*X37,"NA")</f>
        <v>NA</v>
      </c>
      <c r="BY37" s="80" t="str">
        <f>IFERROR(VLOOKUP($H37,'1. Set Program Names'!$B$2:$D$15,3,0)*Y37,"NA")</f>
        <v>NA</v>
      </c>
      <c r="BZ37" s="80" t="str">
        <f>IFERROR(VLOOKUP($H37,'1. Set Program Names'!$B$2:$D$15,3,0)*Z37,"NA")</f>
        <v>NA</v>
      </c>
      <c r="CA37" s="80" t="str">
        <f>IFERROR(VLOOKUP($H37,'1. Set Program Names'!$B$2:$D$15,3,0)*AA37,"NA")</f>
        <v>NA</v>
      </c>
      <c r="CB37" s="80" t="str">
        <f>IFERROR(VLOOKUP($H37,'1. Set Program Names'!$B$2:$D$15,3,0)*AB37,"NA")</f>
        <v>NA</v>
      </c>
      <c r="CC37" s="80" t="str">
        <f>IFERROR(VLOOKUP($H37,'1. Set Program Names'!$B$2:$D$15,3,0)*AC37,"NA")</f>
        <v>NA</v>
      </c>
      <c r="CD37" s="80" t="str">
        <f>IFERROR(VLOOKUP($H37,'1. Set Program Names'!$B$2:$D$15,3,0)*AD37,"NA")</f>
        <v>NA</v>
      </c>
      <c r="CE37" s="80" t="str">
        <f>IFERROR(VLOOKUP($H37,'1. Set Program Names'!$B$2:$D$15,3,0)*AE37,"NA")</f>
        <v>NA</v>
      </c>
    </row>
    <row r="38" spans="1:83" x14ac:dyDescent="0.25">
      <c r="A38" s="79" t="s">
        <v>115</v>
      </c>
      <c r="B38" s="79" t="s">
        <v>88</v>
      </c>
      <c r="C38" s="79" t="s">
        <v>89</v>
      </c>
      <c r="D38" s="79" t="s">
        <v>90</v>
      </c>
      <c r="E38" s="79" t="s">
        <v>91</v>
      </c>
      <c r="F38" s="79" t="s">
        <v>90</v>
      </c>
      <c r="G38" s="79" t="s">
        <v>92</v>
      </c>
      <c r="H38" s="79" t="s">
        <v>5</v>
      </c>
      <c r="I38" s="79" t="s">
        <v>93</v>
      </c>
      <c r="J38" s="79" t="s">
        <v>94</v>
      </c>
      <c r="K38" s="79" t="s">
        <v>95</v>
      </c>
      <c r="L38" s="79">
        <v>1200.2266666666601</v>
      </c>
      <c r="M38" s="79">
        <v>4.8097974252120097E-2</v>
      </c>
      <c r="N38" s="79">
        <v>0.22310492157346501</v>
      </c>
      <c r="O38" s="79">
        <v>1210</v>
      </c>
      <c r="P38" s="79">
        <v>933.85922631496703</v>
      </c>
      <c r="Q38" s="79">
        <v>356.74228738962802</v>
      </c>
      <c r="R38" s="79">
        <v>571.53970184074296</v>
      </c>
      <c r="S38" s="79">
        <v>1535.35818196214</v>
      </c>
      <c r="T38" s="79">
        <v>15</v>
      </c>
      <c r="U38" s="79">
        <v>0.7</v>
      </c>
      <c r="V38" s="79">
        <f>tbl_Data_old[[#This Row],[2025 ]]*IFERROR(AVERAGEIFS('Participation Adjustment'!$C:$C,'Participation Adjustment'!$A:$A,$H38,'Participation Adjustment'!$B:$B,$I38),1)</f>
        <v>4.0541866608270203</v>
      </c>
      <c r="W38" s="79">
        <f>tbl_Data_old[[#This Row],[2026 ]]*IFERROR(AVERAGEIFS('Participation Adjustment'!$C:$C,'Participation Adjustment'!$A:$A,$H38,'Participation Adjustment'!$B:$B,$I38),1)</f>
        <v>8.3616125549686604</v>
      </c>
      <c r="X38" s="79">
        <f>tbl_Data_old[[#This Row],[2027 ]]*IFERROR(AVERAGEIFS('Participation Adjustment'!$C:$C,'Participation Adjustment'!$A:$A,$H38,'Participation Adjustment'!$B:$B,$I38),1)</f>
        <v>12.9204591194427</v>
      </c>
      <c r="Y38" s="79">
        <f>tbl_Data_old[[#This Row],[2028 ]]*IFERROR(AVERAGEIFS('Participation Adjustment'!$C:$C,'Participation Adjustment'!$A:$A,$H38,'Participation Adjustment'!$B:$B,$I38),1)</f>
        <v>17.736532324970561</v>
      </c>
      <c r="Z38" s="79">
        <f>tbl_Data_old[[#This Row],[2029 ]]*IFERROR(AVERAGEIFS('Participation Adjustment'!$C:$C,'Participation Adjustment'!$A:$A,$H38,'Participation Adjustment'!$B:$B,$I38),1)</f>
        <v>22.815360319625601</v>
      </c>
      <c r="AA38" s="79">
        <f>tbl_Data_old[[#This Row],[2030 ]]*IFERROR(AVERAGEIFS('Participation Adjustment'!$C:$C,'Participation Adjustment'!$A:$A,$H38,'Participation Adjustment'!$B:$B,$I38),1)</f>
        <v>28.147679345230401</v>
      </c>
      <c r="AB38" s="79">
        <f>tbl_Data_old[[#This Row],[2031 ]]*IFERROR(AVERAGEIFS('Participation Adjustment'!$C:$C,'Participation Adjustment'!$A:$A,$H38,'Participation Adjustment'!$B:$B,$I38),1)</f>
        <v>33.763721583710002</v>
      </c>
      <c r="AC38" s="79">
        <f>tbl_Data_old[[#This Row],[2032 ]]*IFERROR(AVERAGEIFS('Participation Adjustment'!$C:$C,'Participation Adjustment'!$A:$A,$H38,'Participation Adjustment'!$B:$B,$I38),1)</f>
        <v>39.705055424420003</v>
      </c>
      <c r="AD38" s="79">
        <f>tbl_Data_old[[#This Row],[2033 ]]*IFERROR(AVERAGEIFS('Participation Adjustment'!$C:$C,'Participation Adjustment'!$A:$A,$H38,'Participation Adjustment'!$B:$B,$I38),1)</f>
        <v>46.015927606160801</v>
      </c>
      <c r="AE38" s="79">
        <f>tbl_Data_old[[#This Row],[2034 ]]*IFERROR(AVERAGEIFS('Participation Adjustment'!$C:$C,'Participation Adjustment'!$A:$A,$H38,'Participation Adjustment'!$B:$B,$I38),1)</f>
        <v>52.741891540297601</v>
      </c>
      <c r="AF38" s="77" t="str">
        <f t="shared" si="22"/>
        <v>Residential</v>
      </c>
      <c r="AG38" s="77" t="str">
        <f>tbl_Data[[#This Row],[All_Meas_Name_Append]]</f>
        <v>120v Heat Pump Water Heater 50 Gallons</v>
      </c>
      <c r="AH38" s="77">
        <f>AVERAGEIFS('3. Incentive Adjustment'!G:G,'3. Incentive Adjustment'!A:A,tbl_Data[[#This Row],[Trimmed Sector]],'3. Incentive Adjustment'!B:B,tbl_Data[[#This Row],[Trimmed Measure Name]])</f>
        <v>0.38528347196238832</v>
      </c>
      <c r="AI38" s="77">
        <f>$AH38*tbl_Data[[#This Row],[2025 ]]</f>
        <v>1.562011112667036</v>
      </c>
      <c r="AJ38" s="77">
        <f>$AH38*tbl_Data[[#This Row],[2026 ]]</f>
        <v>3.2215911163826219</v>
      </c>
      <c r="AK38" s="77">
        <f>$AH38*tbl_Data[[#This Row],[2027 ]]</f>
        <v>4.9780393488869858</v>
      </c>
      <c r="AL38" s="77">
        <f>$AH38*tbl_Data[[#This Row],[2028 ]]</f>
        <v>6.833592754737789</v>
      </c>
      <c r="AM38" s="77">
        <f>$AH38*tbl_Data[[#This Row],[2029 ]]</f>
        <v>8.7903812380182575</v>
      </c>
      <c r="AN38" s="77">
        <f>$AH38*tbl_Data[[#This Row],[2030 ]]</f>
        <v>10.844835625814374</v>
      </c>
      <c r="AO38" s="77">
        <f>$AH38*tbl_Data[[#This Row],[2031 ]]</f>
        <v>13.008603878143218</v>
      </c>
      <c r="AP38" s="77">
        <f>$AH38*tbl_Data[[#This Row],[2032 ]]</f>
        <v>15.297701608379599</v>
      </c>
      <c r="AQ38" s="77">
        <f>$AH38*tbl_Data[[#This Row],[2033 ]]</f>
        <v>17.729176353671544</v>
      </c>
      <c r="AR38" s="77">
        <f>$AH38*tbl_Data[[#This Row],[2034 ]]</f>
        <v>20.320579090509575</v>
      </c>
      <c r="AS38" s="77">
        <f>SUM(tbl_Data[[#This Row],[Adjusted 2025]:[Adjusted 2034]])</f>
        <v>102.58651212721102</v>
      </c>
      <c r="AT38" s="80">
        <f>AVERAGEIFS('3. Incentive Adjustment'!F:F,'3. Incentive Adjustment'!A:A,tbl_Data[[#This Row],[Trimmed Sector]],'3. Incentive Adjustment'!B:B,tbl_Data[[#This Row],[Trimmed Measure Name]])</f>
        <v>500</v>
      </c>
      <c r="AU38" s="80">
        <f>IFERROR(VLOOKUP(tbl_Data[[#This Row],[All_Meas_Name_Append]],'IRA Tax Credits'!$A$3:$D$46,4,0),0)</f>
        <v>1666.6666666666667</v>
      </c>
      <c r="AV38" s="81">
        <f>tbl_Data[[#This Row],[Adj. per unit Incentive ($)]]/tbl_Data[[#This Row],[kWh Savings]]*tbl_Data[[#This Row],[Sum of Annuals]]</f>
        <v>42.736307639339614</v>
      </c>
      <c r="AW38" s="81">
        <f>IFERROR(VLOOKUP(tbl_Data[[#This Row],[Column1]],'1. Set Program Names'!$B$2:$D$15,3,0)*tbl_Data[[#This Row],[Sum of Annuals]],"")</f>
        <v>45.737544425534495</v>
      </c>
      <c r="AX38" s="81">
        <f>tbl_Data[[#This Row],[per unit IRA tax ($)]]/tbl_Data[[#This Row],[kWh Savings]]*tbl_Data[[#This Row],[Sum of Annuals]]</f>
        <v>142.45435879779873</v>
      </c>
      <c r="AY38" s="81">
        <f>tbl_Data[[#This Row],[Avoided Costs ($/unit)]]/tbl_Data[[#This Row],[kWh Savings]]*tbl_Data[[#This Row],[Sum of Annuals]]</f>
        <v>48.850993051924867</v>
      </c>
      <c r="AZ38" s="81">
        <f>tbl_Data[[#This Row],[Lost Revenue ($/unit)]]/tbl_Data[[#This Row],[kWh Savings]]*tbl_Data[[#This Row],[Sum of Annuals]]</f>
        <v>131.23107920182238</v>
      </c>
      <c r="BA38" s="81">
        <f>tbl_Data[[#This Row],[Incremental Cost ($/unit)]]/tbl_Data[[#This Row],[kWh Savings]]*tbl_Data[[#This Row],[Sum of Annuals]]</f>
        <v>103.42186448720186</v>
      </c>
      <c r="BB38" s="77">
        <f>ROUNDUP(tbl_Data[[#This Row],[Adjusted 2025]]/$L38,0)</f>
        <v>1</v>
      </c>
      <c r="BC38" s="77">
        <f>ROUNDUP(tbl_Data[[#This Row],[Adjusted 2026]]/$L38,0)</f>
        <v>1</v>
      </c>
      <c r="BD38" s="77">
        <f>ROUNDUP(tbl_Data[[#This Row],[Adjusted 2027]]/$L38,0)</f>
        <v>1</v>
      </c>
      <c r="BE38" s="77">
        <f>ROUNDUP(tbl_Data[[#This Row],[Adjusted 2028]]/$L38,0)</f>
        <v>1</v>
      </c>
      <c r="BF38" s="77">
        <f>ROUNDUP(tbl_Data[[#This Row],[Adjusted 2029]]/$L38,0)</f>
        <v>1</v>
      </c>
      <c r="BG38" s="77">
        <f>ROUNDUP(tbl_Data[[#This Row],[Adjusted 2030]]/$L38,0)</f>
        <v>1</v>
      </c>
      <c r="BH38" s="77">
        <f>ROUNDUP(tbl_Data[[#This Row],[Adjusted 2031]]/$L38,0)</f>
        <v>1</v>
      </c>
      <c r="BI38" s="77">
        <f>ROUNDUP(tbl_Data[[#This Row],[Adjusted 2032]]/$L38,0)</f>
        <v>1</v>
      </c>
      <c r="BJ38" s="77">
        <f>ROUNDUP(tbl_Data[[#This Row],[Adjusted 2033]]/$L38,0)</f>
        <v>1</v>
      </c>
      <c r="BK38" s="77">
        <f>ROUNDUP(tbl_Data[[#This Row],[Adjusted 2034]]/$L38,0)</f>
        <v>1</v>
      </c>
      <c r="BL38" s="80">
        <f t="shared" si="23"/>
        <v>1.6889254227647454</v>
      </c>
      <c r="BM38" s="77">
        <f t="shared" si="24"/>
        <v>3.4833472656423394</v>
      </c>
      <c r="BN38" s="77">
        <f t="shared" si="25"/>
        <v>5.3825079371574693</v>
      </c>
      <c r="BO38" s="77">
        <f t="shared" si="26"/>
        <v>7.3888261349122901</v>
      </c>
      <c r="BP38" s="77">
        <f t="shared" si="27"/>
        <v>9.5046048189338084</v>
      </c>
      <c r="BQ38" s="77">
        <f t="shared" si="28"/>
        <v>11.725984818935821</v>
      </c>
      <c r="BR38" s="77">
        <f t="shared" si="29"/>
        <v>14.065560498451758</v>
      </c>
      <c r="BS38" s="77">
        <f t="shared" si="30"/>
        <v>16.540648748744772</v>
      </c>
      <c r="BT38" s="77">
        <f t="shared" si="31"/>
        <v>19.169682229257134</v>
      </c>
      <c r="BU38" s="77">
        <f t="shared" si="32"/>
        <v>21.971637943512569</v>
      </c>
      <c r="BV38" s="80">
        <f>IFERROR(VLOOKUP($H38,'1. Set Program Names'!$B$2:$D$15,3,0)*V38,"NA")</f>
        <v>1.8075333556427673</v>
      </c>
      <c r="BW38" s="80">
        <f>IFERROR(VLOOKUP($H38,'1. Set Program Names'!$B$2:$D$15,3,0)*W38,"NA")</f>
        <v>3.7279718139529585</v>
      </c>
      <c r="BX38" s="80">
        <f>IFERROR(VLOOKUP($H38,'1. Set Program Names'!$B$2:$D$15,3,0)*X38,"NA")</f>
        <v>5.7605045801831443</v>
      </c>
      <c r="BY38" s="80">
        <f>IFERROR(VLOOKUP($H38,'1. Set Program Names'!$B$2:$D$15,3,0)*Y38,"NA")</f>
        <v>7.9077202094786143</v>
      </c>
      <c r="BZ38" s="80">
        <f>IFERROR(VLOOKUP($H38,'1. Set Program Names'!$B$2:$D$15,3,0)*Z38,"NA")</f>
        <v>10.172083391522772</v>
      </c>
      <c r="CA38" s="80">
        <f>IFERROR(VLOOKUP($H38,'1. Set Program Names'!$B$2:$D$15,3,0)*AA38,"NA")</f>
        <v>12.549463938609637</v>
      </c>
      <c r="CB38" s="80">
        <f>IFERROR(VLOOKUP($H38,'1. Set Program Names'!$B$2:$D$15,3,0)*AB38,"NA")</f>
        <v>15.053340676904613</v>
      </c>
      <c r="CC38" s="80">
        <f>IFERROR(VLOOKUP($H38,'1. Set Program Names'!$B$2:$D$15,3,0)*AC38,"NA")</f>
        <v>17.702246608606774</v>
      </c>
      <c r="CD38" s="80">
        <f>IFERROR(VLOOKUP($H38,'1. Set Program Names'!$B$2:$D$15,3,0)*AD38,"NA")</f>
        <v>20.515908860992457</v>
      </c>
      <c r="CE38" s="80">
        <f>IFERROR(VLOOKUP($H38,'1. Set Program Names'!$B$2:$D$15,3,0)*AE38,"NA")</f>
        <v>23.514637132996221</v>
      </c>
    </row>
    <row r="39" spans="1:83" x14ac:dyDescent="0.25">
      <c r="A39" s="79" t="s">
        <v>115</v>
      </c>
      <c r="B39" s="79" t="s">
        <v>88</v>
      </c>
      <c r="C39" s="79" t="s">
        <v>89</v>
      </c>
      <c r="D39" s="79" t="s">
        <v>90</v>
      </c>
      <c r="E39" s="79" t="s">
        <v>91</v>
      </c>
      <c r="F39" s="79" t="s">
        <v>90</v>
      </c>
      <c r="G39" s="79" t="s">
        <v>92</v>
      </c>
      <c r="H39" s="79" t="s">
        <v>5</v>
      </c>
      <c r="I39" s="79" t="s">
        <v>96</v>
      </c>
      <c r="J39" s="79" t="s">
        <v>97</v>
      </c>
      <c r="K39" s="79" t="s">
        <v>98</v>
      </c>
      <c r="L39" s="79">
        <v>5868.07</v>
      </c>
      <c r="M39" s="79">
        <v>0.20813520080661799</v>
      </c>
      <c r="N39" s="79">
        <v>1.1349578069705</v>
      </c>
      <c r="O39" s="79">
        <v>1935.1666666666599</v>
      </c>
      <c r="P39" s="79">
        <v>513.45064263862798</v>
      </c>
      <c r="Q39" s="79">
        <v>1744.1611426417701</v>
      </c>
      <c r="R39" s="79">
        <v>3388.0400735263802</v>
      </c>
      <c r="S39" s="79">
        <v>7811.7411984889604</v>
      </c>
      <c r="T39" s="79">
        <v>16</v>
      </c>
      <c r="U39" s="79">
        <v>0.7</v>
      </c>
      <c r="V39" s="79">
        <f>tbl_Data_old[[#This Row],[2025 ]]*IFERROR(AVERAGEIFS('Participation Adjustment'!$C:$C,'Participation Adjustment'!$A:$A,$H39,'Participation Adjustment'!$B:$B,$I39),1)</f>
        <v>45.644771482039602</v>
      </c>
      <c r="W39" s="79">
        <f>tbl_Data_old[[#This Row],[2026 ]]*IFERROR(AVERAGEIFS('Participation Adjustment'!$C:$C,'Participation Adjustment'!$A:$A,$H39,'Participation Adjustment'!$B:$B,$I39),1)</f>
        <v>94.153198646876206</v>
      </c>
      <c r="X39" s="79">
        <f>tbl_Data_old[[#This Row],[2027 ]]*IFERROR(AVERAGEIFS('Participation Adjustment'!$C:$C,'Participation Adjustment'!$A:$A,$H39,'Participation Adjustment'!$B:$B,$I39),1)</f>
        <v>145.49789036167519</v>
      </c>
      <c r="Y39" s="79">
        <f>tbl_Data_old[[#This Row],[2028 ]]*IFERROR(AVERAGEIFS('Participation Adjustment'!$C:$C,'Participation Adjustment'!$A:$A,$H39,'Participation Adjustment'!$B:$B,$I39),1)</f>
        <v>199.7390715955722</v>
      </c>
      <c r="Z39" s="79">
        <f>tbl_Data_old[[#This Row],[2029 ]]*IFERROR(AVERAGEIFS('Participation Adjustment'!$C:$C,'Participation Adjustment'!$A:$A,$H39,'Participation Adjustment'!$B:$B,$I39),1)</f>
        <v>256.93750007187799</v>
      </c>
      <c r="AA39" s="79">
        <f>tbl_Data_old[[#This Row],[2030 ]]*IFERROR(AVERAGEIFS('Participation Adjustment'!$C:$C,'Participation Adjustment'!$A:$A,$H39,'Participation Adjustment'!$B:$B,$I39),1)</f>
        <v>316.99208620170998</v>
      </c>
      <c r="AB39" s="79">
        <f>tbl_Data_old[[#This Row],[2031 ]]*IFERROR(AVERAGEIFS('Participation Adjustment'!$C:$C,'Participation Adjustment'!$A:$A,$H39,'Participation Adjustment'!$B:$B,$I39),1)</f>
        <v>380.25090220247802</v>
      </c>
      <c r="AC39" s="79">
        <f>tbl_Data_old[[#This Row],[2032 ]]*IFERROR(AVERAGEIFS('Participation Adjustment'!$C:$C,'Participation Adjustment'!$A:$A,$H39,'Participation Adjustment'!$B:$B,$I39),1)</f>
        <v>447.19257212844599</v>
      </c>
      <c r="AD39" s="79">
        <f>tbl_Data_old[[#This Row],[2033 ]]*IFERROR(AVERAGEIFS('Participation Adjustment'!$C:$C,'Participation Adjustment'!$A:$A,$H39,'Participation Adjustment'!$B:$B,$I39),1)</f>
        <v>518.32708517722006</v>
      </c>
      <c r="AE39" s="79">
        <f>tbl_Data_old[[#This Row],[2034 ]]*IFERROR(AVERAGEIFS('Participation Adjustment'!$C:$C,'Participation Adjustment'!$A:$A,$H39,'Participation Adjustment'!$B:$B,$I39),1)</f>
        <v>594.179165542448</v>
      </c>
      <c r="AF39" s="77" t="str">
        <f t="shared" si="22"/>
        <v>Residential</v>
      </c>
      <c r="AG39" s="77" t="str">
        <f>tbl_Data[[#This Row],[All_Meas_Name_Append]]</f>
        <v>ASHP - CEE Tier 2: 16.8 SEER/16 SEER2; 9.0 HSPF (from elec resistance)</v>
      </c>
      <c r="AH39" s="77">
        <f>AVERAGEIFS('3. Incentive Adjustment'!G:G,'3. Incentive Adjustment'!A:A,tbl_Data[[#This Row],[Trimmed Sector]],'3. Incentive Adjustment'!B:B,tbl_Data[[#This Row],[Trimmed Measure Name]])</f>
        <v>0.9303958662075158</v>
      </c>
      <c r="AI39" s="77">
        <f>$AH39*tbl_Data[[#This Row],[2025 ]]</f>
        <v>42.467706700876349</v>
      </c>
      <c r="AJ39" s="77">
        <f>$AH39*tbl_Data[[#This Row],[2026 ]]</f>
        <v>87.599746811268687</v>
      </c>
      <c r="AK39" s="77">
        <f>$AH39*tbl_Data[[#This Row],[2027 ]]</f>
        <v>135.37063573441696</v>
      </c>
      <c r="AL39" s="77">
        <f>$AH39*tbl_Data[[#This Row],[2028 ]]</f>
        <v>185.8364065326474</v>
      </c>
      <c r="AM39" s="77">
        <f>$AH39*tbl_Data[[#This Row],[2029 ]]</f>
        <v>239.05358794056858</v>
      </c>
      <c r="AN39" s="77">
        <f>$AH39*tbl_Data[[#This Row],[2030 ]]</f>
        <v>294.92812662256745</v>
      </c>
      <c r="AO39" s="77">
        <f>$AH39*tbl_Data[[#This Row],[2031 ]]</f>
        <v>353.78386753086392</v>
      </c>
      <c r="AP39" s="77">
        <f>$AH39*tbl_Data[[#This Row],[2032 ]]</f>
        <v>416.0661205070125</v>
      </c>
      <c r="AQ39" s="77">
        <f>$AH39*tbl_Data[[#This Row],[2033 ]]</f>
        <v>482.24937739227647</v>
      </c>
      <c r="AR39" s="77">
        <f>$AH39*tbl_Data[[#This Row],[2034 ]]</f>
        <v>552.82183940732489</v>
      </c>
      <c r="AS39" s="77">
        <f>SUM(tbl_Data[[#This Row],[Adjusted 2025]:[Adjusted 2034]])</f>
        <v>2790.1774151798236</v>
      </c>
      <c r="AT39" s="80">
        <f>AVERAGEIFS('3. Incentive Adjustment'!F:F,'3. Incentive Adjustment'!A:A,tbl_Data[[#This Row],[Trimmed Sector]],'3. Incentive Adjustment'!B:B,tbl_Data[[#This Row],[Trimmed Measure Name]])</f>
        <v>353</v>
      </c>
      <c r="AU39" s="80">
        <f>IFERROR(VLOOKUP(tbl_Data[[#This Row],[All_Meas_Name_Append]],'IRA Tax Credits'!$A$3:$D$46,4,0),0)</f>
        <v>0</v>
      </c>
      <c r="AV39" s="81">
        <f>tbl_Data[[#This Row],[Adj. per unit Incentive ($)]]/tbl_Data[[#This Row],[kWh Savings]]*tbl_Data[[#This Row],[Sum of Annuals]]</f>
        <v>167.84609378526122</v>
      </c>
      <c r="AW39" s="81">
        <f>IFERROR(VLOOKUP(tbl_Data[[#This Row],[Column1]],'1. Set Program Names'!$B$2:$D$15,3,0)*tbl_Data[[#This Row],[Sum of Annuals]],"")</f>
        <v>1243.9828671011044</v>
      </c>
      <c r="AX39" s="81">
        <f>tbl_Data[[#This Row],[per unit IRA tax ($)]]/tbl_Data[[#This Row],[kWh Savings]]*tbl_Data[[#This Row],[Sum of Annuals]]</f>
        <v>0</v>
      </c>
      <c r="AY39" s="81">
        <f>tbl_Data[[#This Row],[Avoided Costs ($/unit)]]/tbl_Data[[#This Row],[kWh Savings]]*tbl_Data[[#This Row],[Sum of Annuals]]</f>
        <v>1610.9611669386177</v>
      </c>
      <c r="AZ39" s="81">
        <f>tbl_Data[[#This Row],[Lost Revenue ($/unit)]]/tbl_Data[[#This Row],[kWh Savings]]*tbl_Data[[#This Row],[Sum of Annuals]]</f>
        <v>3714.363302628235</v>
      </c>
      <c r="BA39" s="81">
        <f>tbl_Data[[#This Row],[Incremental Cost ($/unit)]]/tbl_Data[[#This Row],[kWh Savings]]*tbl_Data[[#This Row],[Sum of Annuals]]</f>
        <v>920.14211281428766</v>
      </c>
      <c r="BB39" s="77">
        <f>ROUNDUP(tbl_Data[[#This Row],[Adjusted 2025]]/$L39,0)</f>
        <v>1</v>
      </c>
      <c r="BC39" s="77">
        <f>ROUNDUP(tbl_Data[[#This Row],[Adjusted 2026]]/$L39,0)</f>
        <v>1</v>
      </c>
      <c r="BD39" s="77">
        <f>ROUNDUP(tbl_Data[[#This Row],[Adjusted 2027]]/$L39,0)</f>
        <v>1</v>
      </c>
      <c r="BE39" s="77">
        <f>ROUNDUP(tbl_Data[[#This Row],[Adjusted 2028]]/$L39,0)</f>
        <v>1</v>
      </c>
      <c r="BF39" s="77">
        <f>ROUNDUP(tbl_Data[[#This Row],[Adjusted 2029]]/$L39,0)</f>
        <v>1</v>
      </c>
      <c r="BG39" s="77">
        <f>ROUNDUP(tbl_Data[[#This Row],[Adjusted 2030]]/$L39,0)</f>
        <v>1</v>
      </c>
      <c r="BH39" s="77">
        <f>ROUNDUP(tbl_Data[[#This Row],[Adjusted 2031]]/$L39,0)</f>
        <v>1</v>
      </c>
      <c r="BI39" s="77">
        <f>ROUNDUP(tbl_Data[[#This Row],[Adjusted 2032]]/$L39,0)</f>
        <v>1</v>
      </c>
      <c r="BJ39" s="77">
        <f>ROUNDUP(tbl_Data[[#This Row],[Adjusted 2033]]/$L39,0)</f>
        <v>1</v>
      </c>
      <c r="BK39" s="77">
        <f>ROUNDUP(tbl_Data[[#This Row],[Adjusted 2034]]/$L39,0)</f>
        <v>1</v>
      </c>
      <c r="BL39" s="80">
        <f t="shared" si="23"/>
        <v>2.7458098375036393</v>
      </c>
      <c r="BM39" s="77">
        <f t="shared" si="24"/>
        <v>5.6638859322310919</v>
      </c>
      <c r="BN39" s="77">
        <f t="shared" si="25"/>
        <v>8.7525805414167426</v>
      </c>
      <c r="BO39" s="77">
        <f t="shared" si="26"/>
        <v>12.015516562215003</v>
      </c>
      <c r="BP39" s="77">
        <f t="shared" si="27"/>
        <v>15.456348940175038</v>
      </c>
      <c r="BQ39" s="77">
        <f t="shared" si="28"/>
        <v>19.068996523423142</v>
      </c>
      <c r="BR39" s="77">
        <f t="shared" si="29"/>
        <v>22.874397966874074</v>
      </c>
      <c r="BS39" s="77">
        <f t="shared" si="30"/>
        <v>26.901345410218596</v>
      </c>
      <c r="BT39" s="77">
        <f t="shared" si="31"/>
        <v>31.18051779674726</v>
      </c>
      <c r="BU39" s="77">
        <f t="shared" si="32"/>
        <v>35.743480469129402</v>
      </c>
      <c r="BV39" s="80">
        <f>IFERROR(VLOOKUP($H39,'1. Set Program Names'!$B$2:$D$15,3,0)*V39,"NA")</f>
        <v>20.350431262000182</v>
      </c>
      <c r="BW39" s="80">
        <f>IFERROR(VLOOKUP($H39,'1. Set Program Names'!$B$2:$D$15,3,0)*W39,"NA")</f>
        <v>41.97760520971471</v>
      </c>
      <c r="BX39" s="80">
        <f>IFERROR(VLOOKUP($H39,'1. Set Program Names'!$B$2:$D$15,3,0)*X39,"NA")</f>
        <v>64.869309680658347</v>
      </c>
      <c r="BY39" s="80">
        <f>IFERROR(VLOOKUP($H39,'1. Set Program Names'!$B$2:$D$15,3,0)*Y39,"NA")</f>
        <v>89.052395594550006</v>
      </c>
      <c r="BZ39" s="80">
        <f>IFERROR(VLOOKUP($H39,'1. Set Program Names'!$B$2:$D$15,3,0)*Z39,"NA")</f>
        <v>114.55395139617151</v>
      </c>
      <c r="CA39" s="80">
        <f>IFERROR(VLOOKUP($H39,'1. Set Program Names'!$B$2:$D$15,3,0)*AA39,"NA")</f>
        <v>141.32890693481201</v>
      </c>
      <c r="CB39" s="80">
        <f>IFERROR(VLOOKUP($H39,'1. Set Program Names'!$B$2:$D$15,3,0)*AB39,"NA")</f>
        <v>169.53244799637025</v>
      </c>
      <c r="CC39" s="80">
        <f>IFERROR(VLOOKUP($H39,'1. Set Program Names'!$B$2:$D$15,3,0)*AC39,"NA")</f>
        <v>199.37796607346161</v>
      </c>
      <c r="CD39" s="80">
        <f>IFERROR(VLOOKUP($H39,'1. Set Program Names'!$B$2:$D$15,3,0)*AD39,"NA")</f>
        <v>231.09283660851386</v>
      </c>
      <c r="CE39" s="80">
        <f>IFERROR(VLOOKUP($H39,'1. Set Program Names'!$B$2:$D$15,3,0)*AE39,"NA")</f>
        <v>264.91100454828921</v>
      </c>
    </row>
    <row r="40" spans="1:83" x14ac:dyDescent="0.25">
      <c r="A40" s="79" t="s">
        <v>115</v>
      </c>
      <c r="B40" s="79" t="s">
        <v>88</v>
      </c>
      <c r="C40" s="79" t="s">
        <v>89</v>
      </c>
      <c r="D40" s="79" t="s">
        <v>90</v>
      </c>
      <c r="E40" s="79" t="s">
        <v>91</v>
      </c>
      <c r="F40" s="79" t="s">
        <v>90</v>
      </c>
      <c r="G40" s="79" t="s">
        <v>92</v>
      </c>
      <c r="H40" s="79" t="s">
        <v>5</v>
      </c>
      <c r="I40" s="79" t="s">
        <v>99</v>
      </c>
      <c r="J40" s="79" t="s">
        <v>97</v>
      </c>
      <c r="K40" s="79" t="s">
        <v>98</v>
      </c>
      <c r="L40" s="79">
        <v>253.96999999999801</v>
      </c>
      <c r="M40" s="79">
        <v>0.107126245482503</v>
      </c>
      <c r="N40" s="79">
        <v>1.33192706841354E-2</v>
      </c>
      <c r="O40" s="79">
        <v>874.99999999999898</v>
      </c>
      <c r="P40" s="79">
        <v>813.468148399999</v>
      </c>
      <c r="Q40" s="79">
        <v>75.487273566390598</v>
      </c>
      <c r="R40" s="79">
        <v>185.54516688855901</v>
      </c>
      <c r="S40" s="79">
        <v>338.09206641710699</v>
      </c>
      <c r="T40" s="79">
        <v>16</v>
      </c>
      <c r="U40" s="79">
        <v>0.7</v>
      </c>
      <c r="V40" s="79">
        <f>tbl_Data_old[[#This Row],[2025 ]]*IFERROR(AVERAGEIFS('Participation Adjustment'!$C:$C,'Participation Adjustment'!$A:$A,$H40,'Participation Adjustment'!$B:$B,$I40),1)</f>
        <v>370.56420177092104</v>
      </c>
      <c r="W40" s="79">
        <f>tbl_Data_old[[#This Row],[2026 ]]*IFERROR(AVERAGEIFS('Participation Adjustment'!$C:$C,'Participation Adjustment'!$A:$A,$H40,'Participation Adjustment'!$B:$B,$I40),1)</f>
        <v>785.07074925171457</v>
      </c>
      <c r="X40" s="79">
        <f>tbl_Data_old[[#This Row],[2027 ]]*IFERROR(AVERAGEIFS('Participation Adjustment'!$C:$C,'Participation Adjustment'!$A:$A,$H40,'Participation Adjustment'!$B:$B,$I40),1)</f>
        <v>1240.6881379712402</v>
      </c>
      <c r="Y40" s="79">
        <f>tbl_Data_old[[#This Row],[2028 ]]*IFERROR(AVERAGEIFS('Participation Adjustment'!$C:$C,'Participation Adjustment'!$A:$A,$H40,'Participation Adjustment'!$B:$B,$I40),1)</f>
        <v>1735.7200921025999</v>
      </c>
      <c r="Z40" s="79">
        <f>tbl_Data_old[[#This Row],[2029 ]]*IFERROR(AVERAGEIFS('Participation Adjustment'!$C:$C,'Participation Adjustment'!$A:$A,$H40,'Participation Adjustment'!$B:$B,$I40),1)</f>
        <v>2268.7931582341203</v>
      </c>
      <c r="AA40" s="79">
        <f>tbl_Data_old[[#This Row],[2030 ]]*IFERROR(AVERAGEIFS('Participation Adjustment'!$C:$C,'Participation Adjustment'!$A:$A,$H40,'Participation Adjustment'!$B:$B,$I40),1)</f>
        <v>2837.2465477874252</v>
      </c>
      <c r="AB40" s="79">
        <f>tbl_Data_old[[#This Row],[2031 ]]*IFERROR(AVERAGEIFS('Participation Adjustment'!$C:$C,'Participation Adjustment'!$A:$A,$H40,'Participation Adjustment'!$B:$B,$I40),1)</f>
        <v>3442.869364254675</v>
      </c>
      <c r="AC40" s="79">
        <f>tbl_Data_old[[#This Row],[2032 ]]*IFERROR(AVERAGEIFS('Participation Adjustment'!$C:$C,'Participation Adjustment'!$A:$A,$H40,'Participation Adjustment'!$B:$B,$I40),1)</f>
        <v>4088.9770287525903</v>
      </c>
      <c r="AD40" s="79">
        <f>tbl_Data_old[[#This Row],[2033 ]]*IFERROR(AVERAGEIFS('Participation Adjustment'!$C:$C,'Participation Adjustment'!$A:$A,$H40,'Participation Adjustment'!$B:$B,$I40),1)</f>
        <v>4779.4258439981249</v>
      </c>
      <c r="AE40" s="79">
        <f>tbl_Data_old[[#This Row],[2034 ]]*IFERROR(AVERAGEIFS('Participation Adjustment'!$C:$C,'Participation Adjustment'!$A:$A,$H40,'Participation Adjustment'!$B:$B,$I40),1)</f>
        <v>5518.4060105501403</v>
      </c>
      <c r="AF40" s="77" t="str">
        <f t="shared" si="22"/>
        <v>Residential</v>
      </c>
      <c r="AG40" s="77" t="str">
        <f>tbl_Data[[#This Row],[All_Meas_Name_Append]]</f>
        <v>ASHP - ENERGY STAR/CEE Tier 1: 16 SEER/15.2 SEER2_ 9.0 HSPF</v>
      </c>
      <c r="AH40" s="77">
        <f>AVERAGEIFS('3. Incentive Adjustment'!G:G,'3. Incentive Adjustment'!A:A,tbl_Data[[#This Row],[Trimmed Sector]],'3. Incentive Adjustment'!B:B,tbl_Data[[#This Row],[Trimmed Measure Name]])</f>
        <v>8.3636985731950567E-3</v>
      </c>
      <c r="AI40" s="77">
        <f>$AH40*tbl_Data[[#This Row],[2025 ]]</f>
        <v>3.0992872856286175</v>
      </c>
      <c r="AJ40" s="77">
        <f>$AH40*tbl_Data[[#This Row],[2026 ]]</f>
        <v>6.5660951053737389</v>
      </c>
      <c r="AK40" s="77">
        <f>$AH40*tbl_Data[[#This Row],[2027 ]]</f>
        <v>10.376741609330093</v>
      </c>
      <c r="AL40" s="77">
        <f>$AH40*tbl_Data[[#This Row],[2028 ]]</f>
        <v>14.517039657784506</v>
      </c>
      <c r="AM40" s="77">
        <f>$AH40*tbl_Data[[#This Row],[2029 ]]</f>
        <v>18.975502100397417</v>
      </c>
      <c r="AN40" s="77">
        <f>$AH40*tbl_Data[[#This Row],[2030 ]]</f>
        <v>23.729874903532288</v>
      </c>
      <c r="AO40" s="77">
        <f>$AH40*tbl_Data[[#This Row],[2031 ]]</f>
        <v>28.795121589513798</v>
      </c>
      <c r="AP40" s="77">
        <f>$AH40*tbl_Data[[#This Row],[2032 ]]</f>
        <v>34.1989713412054</v>
      </c>
      <c r="AQ40" s="77">
        <f>$AH40*tbl_Data[[#This Row],[2033 ]]</f>
        <v>39.973677112138695</v>
      </c>
      <c r="AR40" s="77">
        <f>$AH40*tbl_Data[[#This Row],[2034 ]]</f>
        <v>46.154284476749233</v>
      </c>
      <c r="AS40" s="77">
        <f>SUM(tbl_Data[[#This Row],[Adjusted 2025]:[Adjusted 2034]])</f>
        <v>226.3865951816538</v>
      </c>
      <c r="AT40" s="80">
        <f>AVERAGEIFS('3. Incentive Adjustment'!F:F,'3. Incentive Adjustment'!A:A,tbl_Data[[#This Row],[Trimmed Sector]],'3. Incentive Adjustment'!B:B,tbl_Data[[#This Row],[Trimmed Measure Name]])</f>
        <v>353</v>
      </c>
      <c r="AU40" s="80">
        <f>IFERROR(VLOOKUP(tbl_Data[[#This Row],[All_Meas_Name_Append]],'IRA Tax Credits'!$A$3:$D$46,4,0),0)</f>
        <v>0</v>
      </c>
      <c r="AV40" s="81">
        <f>tbl_Data[[#This Row],[Adj. per unit Incentive ($)]]/tbl_Data[[#This Row],[kWh Savings]]*tbl_Data[[#This Row],[Sum of Annuals]]</f>
        <v>314.66105484555032</v>
      </c>
      <c r="AW40" s="81">
        <f>IFERROR(VLOOKUP(tbl_Data[[#This Row],[Column1]],'1. Set Program Names'!$B$2:$D$15,3,0)*tbl_Data[[#This Row],[Sum of Annuals]],"")</f>
        <v>100.93302462244344</v>
      </c>
      <c r="AX40" s="81">
        <f>tbl_Data[[#This Row],[per unit IRA tax ($)]]/tbl_Data[[#This Row],[kWh Savings]]*tbl_Data[[#This Row],[Sum of Annuals]]</f>
        <v>0</v>
      </c>
      <c r="AY40" s="81">
        <f>tbl_Data[[#This Row],[Avoided Costs ($/unit)]]/tbl_Data[[#This Row],[kWh Savings]]*tbl_Data[[#This Row],[Sum of Annuals]]</f>
        <v>165.39330859673555</v>
      </c>
      <c r="AZ40" s="81">
        <f>tbl_Data[[#This Row],[Lost Revenue ($/unit)]]/tbl_Data[[#This Row],[kWh Savings]]*tbl_Data[[#This Row],[Sum of Annuals]]</f>
        <v>301.37225567625705</v>
      </c>
      <c r="BA40" s="81">
        <f>tbl_Data[[#This Row],[Incremental Cost ($/unit)]]/tbl_Data[[#This Row],[kWh Savings]]*tbl_Data[[#This Row],[Sum of Annuals]]</f>
        <v>779.9672039372698</v>
      </c>
      <c r="BB40" s="77">
        <f>ROUNDUP(tbl_Data[[#This Row],[Adjusted 2025]]/$L40,0)</f>
        <v>1</v>
      </c>
      <c r="BC40" s="77">
        <f>ROUNDUP(tbl_Data[[#This Row],[Adjusted 2026]]/$L40,0)</f>
        <v>1</v>
      </c>
      <c r="BD40" s="77">
        <f>ROUNDUP(tbl_Data[[#This Row],[Adjusted 2027]]/$L40,0)</f>
        <v>1</v>
      </c>
      <c r="BE40" s="77">
        <f>ROUNDUP(tbl_Data[[#This Row],[Adjusted 2028]]/$L40,0)</f>
        <v>1</v>
      </c>
      <c r="BF40" s="77">
        <f>ROUNDUP(tbl_Data[[#This Row],[Adjusted 2029]]/$L40,0)</f>
        <v>1</v>
      </c>
      <c r="BG40" s="77">
        <f>ROUNDUP(tbl_Data[[#This Row],[Adjusted 2030]]/$L40,0)</f>
        <v>1</v>
      </c>
      <c r="BH40" s="77">
        <f>ROUNDUP(tbl_Data[[#This Row],[Adjusted 2031]]/$L40,0)</f>
        <v>1</v>
      </c>
      <c r="BI40" s="77">
        <f>ROUNDUP(tbl_Data[[#This Row],[Adjusted 2032]]/$L40,0)</f>
        <v>1</v>
      </c>
      <c r="BJ40" s="77">
        <f>ROUNDUP(tbl_Data[[#This Row],[Adjusted 2033]]/$L40,0)</f>
        <v>1</v>
      </c>
      <c r="BK40" s="77">
        <f>ROUNDUP(tbl_Data[[#This Row],[Adjusted 2034]]/$L40,0)</f>
        <v>1</v>
      </c>
      <c r="BL40" s="80">
        <f t="shared" si="23"/>
        <v>515.05753917839172</v>
      </c>
      <c r="BM40" s="77">
        <f t="shared" si="24"/>
        <v>1091.1917725946271</v>
      </c>
      <c r="BN40" s="77">
        <f t="shared" si="25"/>
        <v>1724.4671130600118</v>
      </c>
      <c r="BO40" s="77">
        <f t="shared" si="26"/>
        <v>2412.5258594015932</v>
      </c>
      <c r="BP40" s="77">
        <f t="shared" si="27"/>
        <v>3153.4590103423661</v>
      </c>
      <c r="BQ40" s="77">
        <f t="shared" si="28"/>
        <v>3943.5682614835177</v>
      </c>
      <c r="BR40" s="77">
        <f t="shared" si="29"/>
        <v>4785.3403377639479</v>
      </c>
      <c r="BS40" s="77">
        <f t="shared" si="30"/>
        <v>5683.3834356407278</v>
      </c>
      <c r="BT40" s="77">
        <f t="shared" si="31"/>
        <v>6643.0575380216223</v>
      </c>
      <c r="BU40" s="77">
        <f t="shared" si="32"/>
        <v>7670.1867217553836</v>
      </c>
      <c r="BV40" s="80">
        <f>IFERROR(VLOOKUP($H40,'1. Set Program Names'!$B$2:$D$15,3,0)*V40,"NA")</f>
        <v>165.21369417446638</v>
      </c>
      <c r="BW40" s="80">
        <f>IFERROR(VLOOKUP($H40,'1. Set Program Names'!$B$2:$D$15,3,0)*W40,"NA")</f>
        <v>350.01880390047472</v>
      </c>
      <c r="BX40" s="80">
        <f>IFERROR(VLOOKUP($H40,'1. Set Program Names'!$B$2:$D$15,3,0)*X40,"NA")</f>
        <v>553.15292090568505</v>
      </c>
      <c r="BY40" s="80">
        <f>IFERROR(VLOOKUP($H40,'1. Set Program Names'!$B$2:$D$15,3,0)*Y40,"NA")</f>
        <v>773.85977139365059</v>
      </c>
      <c r="BZ40" s="80">
        <f>IFERROR(VLOOKUP($H40,'1. Set Program Names'!$B$2:$D$15,3,0)*Z40,"NA")</f>
        <v>1011.527009889998</v>
      </c>
      <c r="CA40" s="80">
        <f>IFERROR(VLOOKUP($H40,'1. Set Program Names'!$B$2:$D$15,3,0)*AA40,"NA")</f>
        <v>1264.9683407181619</v>
      </c>
      <c r="CB40" s="80">
        <f>IFERROR(VLOOKUP($H40,'1. Set Program Names'!$B$2:$D$15,3,0)*AB40,"NA")</f>
        <v>1534.9814242991645</v>
      </c>
      <c r="CC40" s="80">
        <f>IFERROR(VLOOKUP($H40,'1. Set Program Names'!$B$2:$D$15,3,0)*AC40,"NA")</f>
        <v>1823.0444200661611</v>
      </c>
      <c r="CD40" s="80">
        <f>IFERROR(VLOOKUP($H40,'1. Set Program Names'!$B$2:$D$15,3,0)*AD40,"NA")</f>
        <v>2130.8766360761047</v>
      </c>
      <c r="CE40" s="80">
        <f>IFERROR(VLOOKUP($H40,'1. Set Program Names'!$B$2:$D$15,3,0)*AE40,"NA")</f>
        <v>2460.3462466166161</v>
      </c>
    </row>
    <row r="41" spans="1:83" x14ac:dyDescent="0.25">
      <c r="A41" s="79" t="s">
        <v>115</v>
      </c>
      <c r="B41" s="79" t="s">
        <v>88</v>
      </c>
      <c r="C41" s="79" t="s">
        <v>89</v>
      </c>
      <c r="D41" s="79" t="s">
        <v>90</v>
      </c>
      <c r="E41" s="79" t="s">
        <v>91</v>
      </c>
      <c r="F41" s="79" t="s">
        <v>90</v>
      </c>
      <c r="G41" s="79" t="s">
        <v>92</v>
      </c>
      <c r="H41" s="79" t="s">
        <v>5</v>
      </c>
      <c r="I41" s="79" t="s">
        <v>100</v>
      </c>
      <c r="J41" s="79" t="s">
        <v>101</v>
      </c>
      <c r="K41" s="79" t="s">
        <v>102</v>
      </c>
      <c r="L41" s="79">
        <v>3443.6666666666601</v>
      </c>
      <c r="M41" s="79">
        <v>1.66949913665645</v>
      </c>
      <c r="N41" s="79">
        <v>0.25022957227107101</v>
      </c>
      <c r="O41" s="79">
        <v>1269.26999999999</v>
      </c>
      <c r="P41" s="79">
        <v>446.40188399649003</v>
      </c>
      <c r="Q41" s="79">
        <v>1023.5579310081</v>
      </c>
      <c r="R41" s="79">
        <v>3363.3816217672702</v>
      </c>
      <c r="S41" s="79">
        <v>6252.5618237134204</v>
      </c>
      <c r="T41" s="79">
        <v>30</v>
      </c>
      <c r="U41" s="79">
        <v>0.9</v>
      </c>
      <c r="V41" s="79">
        <f>tbl_Data_old[[#This Row],[2025 ]]*IFERROR(AVERAGEIFS('Participation Adjustment'!$C:$C,'Participation Adjustment'!$A:$A,$H41,'Participation Adjustment'!$B:$B,$I41),1)</f>
        <v>6.7971031728729603</v>
      </c>
      <c r="W41" s="79">
        <f>tbl_Data_old[[#This Row],[2026 ]]*IFERROR(AVERAGEIFS('Participation Adjustment'!$C:$C,'Participation Adjustment'!$A:$A,$H41,'Participation Adjustment'!$B:$B,$I41),1)</f>
        <v>13.3751929155392</v>
      </c>
      <c r="X41" s="79">
        <f>tbl_Data_old[[#This Row],[2027 ]]*IFERROR(AVERAGEIFS('Participation Adjustment'!$C:$C,'Participation Adjustment'!$A:$A,$H41,'Participation Adjustment'!$B:$B,$I41),1)</f>
        <v>19.746382278173002</v>
      </c>
      <c r="Y41" s="79">
        <f>tbl_Data_old[[#This Row],[2028 ]]*IFERROR(AVERAGEIFS('Participation Adjustment'!$C:$C,'Participation Adjustment'!$A:$A,$H41,'Participation Adjustment'!$B:$B,$I41),1)</f>
        <v>25.929347553020801</v>
      </c>
      <c r="Z41" s="79">
        <f>tbl_Data_old[[#This Row],[2029 ]]*IFERROR(AVERAGEIFS('Participation Adjustment'!$C:$C,'Participation Adjustment'!$A:$A,$H41,'Participation Adjustment'!$B:$B,$I41),1)</f>
        <v>31.937873529917798</v>
      </c>
      <c r="AA41" s="79">
        <f>tbl_Data_old[[#This Row],[2030 ]]*IFERROR(AVERAGEIFS('Participation Adjustment'!$C:$C,'Participation Adjustment'!$A:$A,$H41,'Participation Adjustment'!$B:$B,$I41),1)</f>
        <v>37.766233169384201</v>
      </c>
      <c r="AB41" s="79">
        <f>tbl_Data_old[[#This Row],[2031 ]]*IFERROR(AVERAGEIFS('Participation Adjustment'!$C:$C,'Participation Adjustment'!$A:$A,$H41,'Participation Adjustment'!$B:$B,$I41),1)</f>
        <v>43.449747722503403</v>
      </c>
      <c r="AC41" s="79">
        <f>tbl_Data_old[[#This Row],[2032 ]]*IFERROR(AVERAGEIFS('Participation Adjustment'!$C:$C,'Participation Adjustment'!$A:$A,$H41,'Participation Adjustment'!$B:$B,$I41),1)</f>
        <v>49.026690204429499</v>
      </c>
      <c r="AD41" s="79">
        <f>tbl_Data_old[[#This Row],[2033 ]]*IFERROR(AVERAGEIFS('Participation Adjustment'!$C:$C,'Participation Adjustment'!$A:$A,$H41,'Participation Adjustment'!$B:$B,$I41),1)</f>
        <v>54.5292238639136</v>
      </c>
      <c r="AE41" s="79">
        <f>tbl_Data_old[[#This Row],[2034 ]]*IFERROR(AVERAGEIFS('Participation Adjustment'!$C:$C,'Participation Adjustment'!$A:$A,$H41,'Participation Adjustment'!$B:$B,$I41),1)</f>
        <v>59.983183640076703</v>
      </c>
      <c r="AF41" s="77" t="str">
        <f t="shared" si="22"/>
        <v>Residential</v>
      </c>
      <c r="AG41" s="77" t="str">
        <f>tbl_Data[[#This Row],[All_Meas_Name_Append]]</f>
        <v>Ceiling Insulation(R2 to R38) Residential</v>
      </c>
      <c r="AH41" s="77">
        <f>AVERAGEIFS('3. Incentive Adjustment'!G:G,'3. Incentive Adjustment'!A:A,tbl_Data[[#This Row],[Trimmed Sector]],'3. Incentive Adjustment'!B:B,tbl_Data[[#This Row],[Trimmed Measure Name]])</f>
        <v>0.80543313072084111</v>
      </c>
      <c r="AI41" s="77">
        <f>$AH41*tbl_Data[[#This Row],[2025 ]]</f>
        <v>5.4746120883596312</v>
      </c>
      <c r="AJ41" s="77">
        <f>$AH41*tbl_Data[[#This Row],[2026 ]]</f>
        <v>10.772823503957952</v>
      </c>
      <c r="AK41" s="77">
        <f>$AH41*tbl_Data[[#This Row],[2027 ]]</f>
        <v>15.904390498719415</v>
      </c>
      <c r="AL41" s="77">
        <f>$AH41*tbl_Data[[#This Row],[2028 ]]</f>
        <v>20.884355577178322</v>
      </c>
      <c r="AM41" s="77">
        <f>$AH41*tbl_Data[[#This Row],[2029 ]]</f>
        <v>25.723821465767973</v>
      </c>
      <c r="AN41" s="77">
        <f>$AH41*tbl_Data[[#This Row],[2030 ]]</f>
        <v>30.41817541715039</v>
      </c>
      <c r="AO41" s="77">
        <f>$AH41*tbl_Data[[#This Row],[2031 ]]</f>
        <v>34.995866337166653</v>
      </c>
      <c r="AP41" s="77">
        <f>$AH41*tbl_Data[[#This Row],[2032 ]]</f>
        <v>39.487720580234445</v>
      </c>
      <c r="AQ41" s="77">
        <f>$AH41*tbl_Data[[#This Row],[2033 ]]</f>
        <v>43.919643492489534</v>
      </c>
      <c r="AR41" s="77">
        <f>$AH41*tbl_Data[[#This Row],[2034 ]]</f>
        <v>48.312443389830115</v>
      </c>
      <c r="AS41" s="77">
        <f>SUM(tbl_Data[[#This Row],[Adjusted 2025]:[Adjusted 2034]])</f>
        <v>275.89385235085444</v>
      </c>
      <c r="AT41" s="80">
        <f>AVERAGEIFS('3. Incentive Adjustment'!F:F,'3. Incentive Adjustment'!A:A,tbl_Data[[#This Row],[Trimmed Sector]],'3. Incentive Adjustment'!B:B,tbl_Data[[#This Row],[Trimmed Measure Name]])</f>
        <v>164</v>
      </c>
      <c r="AU41" s="80">
        <f>IFERROR(VLOOKUP(tbl_Data[[#This Row],[All_Meas_Name_Append]],'IRA Tax Credits'!$A$3:$D$46,4,0),0)</f>
        <v>0</v>
      </c>
      <c r="AV41" s="81">
        <f>tbl_Data[[#This Row],[Adj. per unit Incentive ($)]]/tbl_Data[[#This Row],[kWh Savings]]*tbl_Data[[#This Row],[Sum of Annuals]]</f>
        <v>13.139074180294323</v>
      </c>
      <c r="AW41" s="81">
        <f>IFERROR(VLOOKUP(tbl_Data[[#This Row],[Column1]],'1. Set Program Names'!$B$2:$D$15,3,0)*tbl_Data[[#This Row],[Sum of Annuals]],"")</f>
        <v>123.00552057936623</v>
      </c>
      <c r="AX41" s="81">
        <f>tbl_Data[[#This Row],[per unit IRA tax ($)]]/tbl_Data[[#This Row],[kWh Savings]]*tbl_Data[[#This Row],[Sum of Annuals]]</f>
        <v>0</v>
      </c>
      <c r="AY41" s="81">
        <f>tbl_Data[[#This Row],[Avoided Costs ($/unit)]]/tbl_Data[[#This Row],[kWh Savings]]*tbl_Data[[#This Row],[Sum of Annuals]]</f>
        <v>269.46171112828523</v>
      </c>
      <c r="AZ41" s="81">
        <f>tbl_Data[[#This Row],[Lost Revenue ($/unit)]]/tbl_Data[[#This Row],[kWh Savings]]*tbl_Data[[#This Row],[Sum of Annuals]]</f>
        <v>500.93215621126205</v>
      </c>
      <c r="BA41" s="81">
        <f>tbl_Data[[#This Row],[Incremental Cost ($/unit)]]/tbl_Data[[#This Row],[kWh Savings]]*tbl_Data[[#This Row],[Sum of Annuals]]</f>
        <v>101.68922368793929</v>
      </c>
      <c r="BB41" s="77">
        <f>ROUNDUP(tbl_Data[[#This Row],[Adjusted 2025]]/$L41,0)</f>
        <v>1</v>
      </c>
      <c r="BC41" s="77">
        <f>ROUNDUP(tbl_Data[[#This Row],[Adjusted 2026]]/$L41,0)</f>
        <v>1</v>
      </c>
      <c r="BD41" s="77">
        <f>ROUNDUP(tbl_Data[[#This Row],[Adjusted 2027]]/$L41,0)</f>
        <v>1</v>
      </c>
      <c r="BE41" s="77">
        <f>ROUNDUP(tbl_Data[[#This Row],[Adjusted 2028]]/$L41,0)</f>
        <v>1</v>
      </c>
      <c r="BF41" s="77">
        <f>ROUNDUP(tbl_Data[[#This Row],[Adjusted 2029]]/$L41,0)</f>
        <v>1</v>
      </c>
      <c r="BG41" s="77">
        <f>ROUNDUP(tbl_Data[[#This Row],[Adjusted 2030]]/$L41,0)</f>
        <v>1</v>
      </c>
      <c r="BH41" s="77">
        <f>ROUNDUP(tbl_Data[[#This Row],[Adjusted 2031]]/$L41,0)</f>
        <v>1</v>
      </c>
      <c r="BI41" s="77">
        <f>ROUNDUP(tbl_Data[[#This Row],[Adjusted 2032]]/$L41,0)</f>
        <v>1</v>
      </c>
      <c r="BJ41" s="77">
        <f>ROUNDUP(tbl_Data[[#This Row],[Adjusted 2033]]/$L41,0)</f>
        <v>1</v>
      </c>
      <c r="BK41" s="77">
        <f>ROUNDUP(tbl_Data[[#This Row],[Adjusted 2034]]/$L41,0)</f>
        <v>1</v>
      </c>
      <c r="BL41" s="80">
        <f t="shared" si="23"/>
        <v>0.3237029097912596</v>
      </c>
      <c r="BM41" s="77">
        <f t="shared" si="24"/>
        <v>0.63697559911386104</v>
      </c>
      <c r="BN41" s="77">
        <f t="shared" si="25"/>
        <v>0.9403949357139807</v>
      </c>
      <c r="BO41" s="77">
        <f t="shared" si="26"/>
        <v>1.2348503529267503</v>
      </c>
      <c r="BP41" s="77">
        <f t="shared" si="27"/>
        <v>1.5209983328544754</v>
      </c>
      <c r="BQ41" s="77">
        <f t="shared" si="28"/>
        <v>1.7985661329336038</v>
      </c>
      <c r="BR41" s="77">
        <f t="shared" si="29"/>
        <v>2.0692358803089452</v>
      </c>
      <c r="BS41" s="77">
        <f t="shared" si="30"/>
        <v>2.3348302759248241</v>
      </c>
      <c r="BT41" s="77">
        <f t="shared" si="31"/>
        <v>2.596881051306315</v>
      </c>
      <c r="BU41" s="77">
        <f t="shared" si="32"/>
        <v>2.8566185607315644</v>
      </c>
      <c r="BV41" s="80">
        <f>IFERROR(VLOOKUP($H41,'1. Set Program Names'!$B$2:$D$15,3,0)*V41,"NA")</f>
        <v>3.030445249456502</v>
      </c>
      <c r="BW41" s="80">
        <f>IFERROR(VLOOKUP($H41,'1. Set Program Names'!$B$2:$D$15,3,0)*W41,"NA")</f>
        <v>5.9632447530332051</v>
      </c>
      <c r="BX41" s="80">
        <f>IFERROR(VLOOKUP($H41,'1. Set Program Names'!$B$2:$D$15,3,0)*X41,"NA")</f>
        <v>8.8037990371637189</v>
      </c>
      <c r="BY41" s="80">
        <f>IFERROR(VLOOKUP($H41,'1. Set Program Names'!$B$2:$D$15,3,0)*Y41,"NA")</f>
        <v>11.560434808045702</v>
      </c>
      <c r="BZ41" s="80">
        <f>IFERROR(VLOOKUP($H41,'1. Set Program Names'!$B$2:$D$15,3,0)*Z41,"NA")</f>
        <v>14.239297926615555</v>
      </c>
      <c r="CA41" s="80">
        <f>IFERROR(VLOOKUP($H41,'1. Set Program Names'!$B$2:$D$15,3,0)*AA41,"NA")</f>
        <v>16.837835028720402</v>
      </c>
      <c r="CB41" s="80">
        <f>IFERROR(VLOOKUP($H41,'1. Set Program Names'!$B$2:$D$15,3,0)*AB41,"NA")</f>
        <v>19.371793869665439</v>
      </c>
      <c r="CC41" s="80">
        <f>IFERROR(VLOOKUP($H41,'1. Set Program Names'!$B$2:$D$15,3,0)*AC41,"NA")</f>
        <v>21.858238230006318</v>
      </c>
      <c r="CD41" s="80">
        <f>IFERROR(VLOOKUP($H41,'1. Set Program Names'!$B$2:$D$15,3,0)*AD41,"NA")</f>
        <v>24.311507889779623</v>
      </c>
      <c r="CE41" s="80">
        <f>IFERROR(VLOOKUP($H41,'1. Set Program Names'!$B$2:$D$15,3,0)*AE41,"NA")</f>
        <v>26.743121192394007</v>
      </c>
    </row>
    <row r="42" spans="1:83" x14ac:dyDescent="0.25">
      <c r="A42" s="79" t="s">
        <v>115</v>
      </c>
      <c r="B42" s="79" t="s">
        <v>88</v>
      </c>
      <c r="C42" s="79" t="s">
        <v>89</v>
      </c>
      <c r="D42" s="79" t="s">
        <v>90</v>
      </c>
      <c r="E42" s="79" t="s">
        <v>91</v>
      </c>
      <c r="F42" s="79" t="s">
        <v>90</v>
      </c>
      <c r="G42" s="79" t="s">
        <v>92</v>
      </c>
      <c r="H42" s="79" t="s">
        <v>5</v>
      </c>
      <c r="I42" s="79" t="s">
        <v>103</v>
      </c>
      <c r="J42" s="79" t="s">
        <v>101</v>
      </c>
      <c r="K42" s="79" t="s">
        <v>102</v>
      </c>
      <c r="L42" s="79">
        <v>3523.57666666666</v>
      </c>
      <c r="M42" s="79">
        <v>1.7070465614975301</v>
      </c>
      <c r="N42" s="79">
        <v>0.25623328618049002</v>
      </c>
      <c r="O42" s="79">
        <v>1306.5999999999899</v>
      </c>
      <c r="P42" s="79">
        <v>465.31519597206898</v>
      </c>
      <c r="Q42" s="79">
        <v>1047.30950808685</v>
      </c>
      <c r="R42" s="79">
        <v>3440.61303289528</v>
      </c>
      <c r="S42" s="79">
        <v>6397.6520033667803</v>
      </c>
      <c r="T42" s="79">
        <v>30</v>
      </c>
      <c r="U42" s="79">
        <v>0.9</v>
      </c>
      <c r="V42" s="79">
        <f>tbl_Data_old[[#This Row],[2025 ]]*IFERROR(AVERAGEIFS('Participation Adjustment'!$C:$C,'Participation Adjustment'!$A:$A,$H42,'Participation Adjustment'!$B:$B,$I42),1)</f>
        <v>6.9568247427069503</v>
      </c>
      <c r="W42" s="79">
        <f>tbl_Data_old[[#This Row],[2026 ]]*IFERROR(AVERAGEIFS('Participation Adjustment'!$C:$C,'Participation Adjustment'!$A:$A,$H42,'Participation Adjustment'!$B:$B,$I42),1)</f>
        <v>13.689911075925901</v>
      </c>
      <c r="X42" s="79">
        <f>tbl_Data_old[[#This Row],[2027 ]]*IFERROR(AVERAGEIFS('Participation Adjustment'!$C:$C,'Participation Adjustment'!$A:$A,$H42,'Participation Adjustment'!$B:$B,$I42),1)</f>
        <v>20.211615025154199</v>
      </c>
      <c r="Y42" s="79">
        <f>tbl_Data_old[[#This Row],[2028 ]]*IFERROR(AVERAGEIFS('Participation Adjustment'!$C:$C,'Participation Adjustment'!$A:$A,$H42,'Participation Adjustment'!$B:$B,$I42),1)</f>
        <v>26.541015019036301</v>
      </c>
      <c r="Z42" s="79">
        <f>tbl_Data_old[[#This Row],[2029 ]]*IFERROR(AVERAGEIFS('Participation Adjustment'!$C:$C,'Participation Adjustment'!$A:$A,$H42,'Participation Adjustment'!$B:$B,$I42),1)</f>
        <v>32.6921865850017</v>
      </c>
      <c r="AA42" s="79">
        <f>tbl_Data_old[[#This Row],[2030 ]]*IFERROR(AVERAGEIFS('Participation Adjustment'!$C:$C,'Participation Adjustment'!$A:$A,$H42,'Participation Adjustment'!$B:$B,$I42),1)</f>
        <v>38.659232842255797</v>
      </c>
      <c r="AB42" s="79">
        <f>tbl_Data_old[[#This Row],[2031 ]]*IFERROR(AVERAGEIFS('Participation Adjustment'!$C:$C,'Participation Adjustment'!$A:$A,$H42,'Participation Adjustment'!$B:$B,$I42),1)</f>
        <v>44.4782845839148</v>
      </c>
      <c r="AC42" s="79">
        <f>tbl_Data_old[[#This Row],[2032 ]]*IFERROR(AVERAGEIFS('Participation Adjustment'!$C:$C,'Participation Adjustment'!$A:$A,$H42,'Participation Adjustment'!$B:$B,$I42),1)</f>
        <v>50.1885016518481</v>
      </c>
      <c r="AD42" s="79">
        <f>tbl_Data_old[[#This Row],[2033 ]]*IFERROR(AVERAGEIFS('Participation Adjustment'!$C:$C,'Participation Adjustment'!$A:$A,$H42,'Participation Adjustment'!$B:$B,$I42),1)</f>
        <v>55.822794524517498</v>
      </c>
      <c r="AE42" s="79">
        <f>tbl_Data_old[[#This Row],[2034 ]]*IFERROR(AVERAGEIFS('Participation Adjustment'!$C:$C,'Participation Adjustment'!$A:$A,$H42,'Participation Adjustment'!$B:$B,$I42),1)</f>
        <v>61.4075989193474</v>
      </c>
      <c r="AF42" s="77" t="str">
        <f t="shared" si="22"/>
        <v>Residential</v>
      </c>
      <c r="AG42" s="77" t="str">
        <f>tbl_Data[[#This Row],[All_Meas_Name_Append]]</f>
        <v>Ceiling Insulation(R2 to R49) Residential</v>
      </c>
      <c r="AH42" s="77">
        <f>AVERAGEIFS('3. Incentive Adjustment'!G:G,'3. Incentive Adjustment'!A:A,tbl_Data[[#This Row],[Trimmed Sector]],'3. Incentive Adjustment'!B:B,tbl_Data[[#This Row],[Trimmed Measure Name]])</f>
        <v>0.79801279130038982</v>
      </c>
      <c r="AI42" s="77">
        <f>$AH42*tbl_Data[[#This Row],[2025 ]]</f>
        <v>5.5516351315151899</v>
      </c>
      <c r="AJ42" s="77">
        <f>$AH42*tbl_Data[[#This Row],[2026 ]]</f>
        <v>10.92472415035375</v>
      </c>
      <c r="AK42" s="77">
        <f>$AH42*tbl_Data[[#This Row],[2027 ]]</f>
        <v>16.129127322912201</v>
      </c>
      <c r="AL42" s="77">
        <f>$AH42*tbl_Data[[#This Row],[2028 ]]</f>
        <v>21.180069479286729</v>
      </c>
      <c r="AM42" s="77">
        <f>$AH42*tbl_Data[[#This Row],[2029 ]]</f>
        <v>26.088783070410365</v>
      </c>
      <c r="AN42" s="77">
        <f>$AH42*tbl_Data[[#This Row],[2030 ]]</f>
        <v>30.850562309980251</v>
      </c>
      <c r="AO42" s="77">
        <f>$AH42*tbl_Data[[#This Row],[2031 ]]</f>
        <v>35.494240033062944</v>
      </c>
      <c r="AP42" s="77">
        <f>$AH42*tbl_Data[[#This Row],[2032 ]]</f>
        <v>40.051066294375531</v>
      </c>
      <c r="AQ42" s="77">
        <f>$AH42*tbl_Data[[#This Row],[2033 ]]</f>
        <v>44.547304076698325</v>
      </c>
      <c r="AR42" s="77">
        <f>$AH42*tbl_Data[[#This Row],[2034 ]]</f>
        <v>49.004049420683224</v>
      </c>
      <c r="AS42" s="77">
        <f>SUM(tbl_Data[[#This Row],[Adjusted 2025]:[Adjusted 2034]])</f>
        <v>279.82156128927846</v>
      </c>
      <c r="AT42" s="80">
        <f>AVERAGEIFS('3. Incentive Adjustment'!F:F,'3. Incentive Adjustment'!A:A,tbl_Data[[#This Row],[Trimmed Sector]],'3. Incentive Adjustment'!B:B,tbl_Data[[#This Row],[Trimmed Measure Name]])</f>
        <v>164</v>
      </c>
      <c r="AU42" s="80">
        <f>IFERROR(VLOOKUP(tbl_Data[[#This Row],[All_Meas_Name_Append]],'IRA Tax Credits'!$A$3:$D$46,4,0),0)</f>
        <v>0</v>
      </c>
      <c r="AV42" s="81">
        <f>tbl_Data[[#This Row],[Adj. per unit Incentive ($)]]/tbl_Data[[#This Row],[kWh Savings]]*tbl_Data[[#This Row],[Sum of Annuals]]</f>
        <v>13.023907351178703</v>
      </c>
      <c r="AW42" s="81">
        <f>IFERROR(VLOOKUP(tbl_Data[[#This Row],[Column1]],'1. Set Program Names'!$B$2:$D$15,3,0)*tbl_Data[[#This Row],[Sum of Annuals]],"")</f>
        <v>124.75666464632674</v>
      </c>
      <c r="AX42" s="81">
        <f>tbl_Data[[#This Row],[per unit IRA tax ($)]]/tbl_Data[[#This Row],[kWh Savings]]*tbl_Data[[#This Row],[Sum of Annuals]]</f>
        <v>0</v>
      </c>
      <c r="AY42" s="81">
        <f>tbl_Data[[#This Row],[Avoided Costs ($/unit)]]/tbl_Data[[#This Row],[kWh Savings]]*tbl_Data[[#This Row],[Sum of Annuals]]</f>
        <v>273.23308153467133</v>
      </c>
      <c r="AZ42" s="81">
        <f>tbl_Data[[#This Row],[Lost Revenue ($/unit)]]/tbl_Data[[#This Row],[kWh Savings]]*tbl_Data[[#This Row],[Sum of Annuals]]</f>
        <v>508.06357900568156</v>
      </c>
      <c r="BA42" s="81">
        <f>tbl_Data[[#This Row],[Incremental Cost ($/unit)]]/tbl_Data[[#This Row],[kWh Savings]]*tbl_Data[[#This Row],[Sum of Annuals]]</f>
        <v>103.76242283567051</v>
      </c>
      <c r="BB42" s="77">
        <f>ROUNDUP(tbl_Data[[#This Row],[Adjusted 2025]]/$L42,0)</f>
        <v>1</v>
      </c>
      <c r="BC42" s="77">
        <f>ROUNDUP(tbl_Data[[#This Row],[Adjusted 2026]]/$L42,0)</f>
        <v>1</v>
      </c>
      <c r="BD42" s="77">
        <f>ROUNDUP(tbl_Data[[#This Row],[Adjusted 2027]]/$L42,0)</f>
        <v>1</v>
      </c>
      <c r="BE42" s="77">
        <f>ROUNDUP(tbl_Data[[#This Row],[Adjusted 2028]]/$L42,0)</f>
        <v>1</v>
      </c>
      <c r="BF42" s="77">
        <f>ROUNDUP(tbl_Data[[#This Row],[Adjusted 2029]]/$L42,0)</f>
        <v>1</v>
      </c>
      <c r="BG42" s="77">
        <f>ROUNDUP(tbl_Data[[#This Row],[Adjusted 2030]]/$L42,0)</f>
        <v>1</v>
      </c>
      <c r="BH42" s="77">
        <f>ROUNDUP(tbl_Data[[#This Row],[Adjusted 2031]]/$L42,0)</f>
        <v>1</v>
      </c>
      <c r="BI42" s="77">
        <f>ROUNDUP(tbl_Data[[#This Row],[Adjusted 2032]]/$L42,0)</f>
        <v>1</v>
      </c>
      <c r="BJ42" s="77">
        <f>ROUNDUP(tbl_Data[[#This Row],[Adjusted 2033]]/$L42,0)</f>
        <v>1</v>
      </c>
      <c r="BK42" s="77">
        <f>ROUNDUP(tbl_Data[[#This Row],[Adjusted 2034]]/$L42,0)</f>
        <v>1</v>
      </c>
      <c r="BL42" s="80">
        <f t="shared" si="23"/>
        <v>0.32379578074663018</v>
      </c>
      <c r="BM42" s="77">
        <f t="shared" si="24"/>
        <v>0.63717796683441497</v>
      </c>
      <c r="BN42" s="77">
        <f t="shared" si="25"/>
        <v>0.94072165237177419</v>
      </c>
      <c r="BO42" s="77">
        <f t="shared" si="26"/>
        <v>1.235314816419101</v>
      </c>
      <c r="BP42" s="77">
        <f t="shared" si="27"/>
        <v>1.5216125849227884</v>
      </c>
      <c r="BQ42" s="77">
        <f t="shared" si="28"/>
        <v>1.7993404957263961</v>
      </c>
      <c r="BR42" s="77">
        <f t="shared" si="29"/>
        <v>2.0701802065974744</v>
      </c>
      <c r="BS42" s="77">
        <f t="shared" si="30"/>
        <v>2.3359543581861719</v>
      </c>
      <c r="BT42" s="77">
        <f t="shared" si="31"/>
        <v>2.5981947231707423</v>
      </c>
      <c r="BU42" s="77">
        <f t="shared" si="32"/>
        <v>2.8581317154367749</v>
      </c>
      <c r="BV42" s="80">
        <f>IFERROR(VLOOKUP($H42,'1. Set Program Names'!$B$2:$D$15,3,0)*V42,"NA")</f>
        <v>3.1016560962288282</v>
      </c>
      <c r="BW42" s="80">
        <f>IFERROR(VLOOKUP($H42,'1. Set Program Names'!$B$2:$D$15,3,0)*W42,"NA")</f>
        <v>6.1035598445957246</v>
      </c>
      <c r="BX42" s="80">
        <f>IFERROR(VLOOKUP($H42,'1. Set Program Names'!$B$2:$D$15,3,0)*X42,"NA")</f>
        <v>9.0112201005378179</v>
      </c>
      <c r="BY42" s="80">
        <f>IFERROR(VLOOKUP($H42,'1. Set Program Names'!$B$2:$D$15,3,0)*Y42,"NA")</f>
        <v>11.833142860209973</v>
      </c>
      <c r="BZ42" s="80">
        <f>IFERROR(VLOOKUP($H42,'1. Set Program Names'!$B$2:$D$15,3,0)*Z42,"NA")</f>
        <v>14.575603608057174</v>
      </c>
      <c r="CA42" s="80">
        <f>IFERROR(VLOOKUP($H42,'1. Set Program Names'!$B$2:$D$15,3,0)*AA42,"NA")</f>
        <v>17.235973257255797</v>
      </c>
      <c r="CB42" s="80">
        <f>IFERROR(VLOOKUP($H42,'1. Set Program Names'!$B$2:$D$15,3,0)*AB42,"NA")</f>
        <v>19.830360492281173</v>
      </c>
      <c r="CC42" s="80">
        <f>IFERROR(VLOOKUP($H42,'1. Set Program Names'!$B$2:$D$15,3,0)*AC42,"NA")</f>
        <v>22.376224479743605</v>
      </c>
      <c r="CD42" s="80">
        <f>IFERROR(VLOOKUP($H42,'1. Set Program Names'!$B$2:$D$15,3,0)*AD42,"NA")</f>
        <v>24.888238147297027</v>
      </c>
      <c r="CE42" s="80">
        <f>IFERROR(VLOOKUP($H42,'1. Set Program Names'!$B$2:$D$15,3,0)*AE42,"NA")</f>
        <v>27.378187691538322</v>
      </c>
    </row>
    <row r="43" spans="1:83" x14ac:dyDescent="0.25">
      <c r="A43" s="79" t="s">
        <v>115</v>
      </c>
      <c r="B43" s="79" t="s">
        <v>88</v>
      </c>
      <c r="C43" s="79" t="s">
        <v>89</v>
      </c>
      <c r="D43" s="79" t="s">
        <v>90</v>
      </c>
      <c r="E43" s="79" t="s">
        <v>91</v>
      </c>
      <c r="F43" s="79" t="s">
        <v>90</v>
      </c>
      <c r="G43" s="79" t="s">
        <v>92</v>
      </c>
      <c r="H43" s="79" t="s">
        <v>5</v>
      </c>
      <c r="I43" s="79" t="s">
        <v>296</v>
      </c>
      <c r="J43" s="79" t="s">
        <v>97</v>
      </c>
      <c r="K43" s="79" t="s">
        <v>102</v>
      </c>
      <c r="L43" s="79">
        <v>936.45</v>
      </c>
      <c r="M43" s="79">
        <v>0.42562333070119601</v>
      </c>
      <c r="N43" s="79">
        <v>3.9115067461125599E-2</v>
      </c>
      <c r="O43" s="79">
        <v>685.00999995999996</v>
      </c>
      <c r="P43" s="79">
        <v>458.12689399999903</v>
      </c>
      <c r="Q43" s="79">
        <v>278.34018715299698</v>
      </c>
      <c r="R43" s="79">
        <v>763.90764278946904</v>
      </c>
      <c r="S43" s="79">
        <v>1415.5155729468199</v>
      </c>
      <c r="T43" s="79">
        <v>20</v>
      </c>
      <c r="U43" s="79">
        <v>0.9</v>
      </c>
      <c r="V43" s="79">
        <f>tbl_Data_old[[#This Row],[2025 ]]*IFERROR(AVERAGEIFS('Participation Adjustment'!$C:$C,'Participation Adjustment'!$A:$A,$H43,'Participation Adjustment'!$B:$B,$I43),1)</f>
        <v>37.155939820388198</v>
      </c>
      <c r="W43" s="79">
        <f>tbl_Data_old[[#This Row],[2026 ]]*IFERROR(AVERAGEIFS('Participation Adjustment'!$C:$C,'Participation Adjustment'!$A:$A,$H43,'Participation Adjustment'!$B:$B,$I43),1)</f>
        <v>73.116837836860995</v>
      </c>
      <c r="X43" s="79">
        <f>tbl_Data_old[[#This Row],[2027 ]]*IFERROR(AVERAGEIFS('Participation Adjustment'!$C:$C,'Participation Adjustment'!$A:$A,$H43,'Participation Adjustment'!$B:$B,$I43),1)</f>
        <v>107.94869366092399</v>
      </c>
      <c r="Y43" s="79">
        <f>tbl_Data_old[[#This Row],[2028 ]]*IFERROR(AVERAGEIFS('Participation Adjustment'!$C:$C,'Participation Adjustment'!$A:$A,$H43,'Participation Adjustment'!$B:$B,$I43),1)</f>
        <v>141.75340999654199</v>
      </c>
      <c r="Z43" s="79">
        <f>tbl_Data_old[[#This Row],[2029 ]]*IFERROR(AVERAGEIFS('Participation Adjustment'!$C:$C,'Participation Adjustment'!$A:$A,$H43,'Participation Adjustment'!$B:$B,$I43),1)</f>
        <v>174.60616879710901</v>
      </c>
      <c r="AA43" s="79">
        <f>tbl_Data_old[[#This Row],[2030 ]]*IFERROR(AVERAGEIFS('Participation Adjustment'!$C:$C,'Participation Adjustment'!$A:$A,$H43,'Participation Adjustment'!$B:$B,$I43),1)</f>
        <v>206.47548105205999</v>
      </c>
      <c r="AB43" s="79">
        <f>tbl_Data_old[[#This Row],[2031 ]]*IFERROR(AVERAGEIFS('Participation Adjustment'!$C:$C,'Participation Adjustment'!$A:$A,$H43,'Participation Adjustment'!$B:$B,$I43),1)</f>
        <v>237.554322319081</v>
      </c>
      <c r="AC43" s="79">
        <f>tbl_Data_old[[#This Row],[2032 ]]*IFERROR(AVERAGEIFS('Participation Adjustment'!$C:$C,'Participation Adjustment'!$A:$A,$H43,'Participation Adjustment'!$B:$B,$I43),1)</f>
        <v>268.05184479268598</v>
      </c>
      <c r="AD43" s="79">
        <f>tbl_Data_old[[#This Row],[2033 ]]*IFERROR(AVERAGEIFS('Participation Adjustment'!$C:$C,'Participation Adjustment'!$A:$A,$H43,'Participation Adjustment'!$B:$B,$I43),1)</f>
        <v>298.14382257380402</v>
      </c>
      <c r="AE43" s="79">
        <f>tbl_Data_old[[#This Row],[2034 ]]*IFERROR(AVERAGEIFS('Participation Adjustment'!$C:$C,'Participation Adjustment'!$A:$A,$H43,'Participation Adjustment'!$B:$B,$I43),1)</f>
        <v>327.97144812060799</v>
      </c>
      <c r="AF43" s="77" t="str">
        <f t="shared" si="22"/>
        <v>Residential</v>
      </c>
      <c r="AG43" s="77" t="str">
        <f>tbl_Data[[#This Row],[All_Meas_Name_Append]]</f>
        <v>Duct Repair</v>
      </c>
      <c r="AH43" s="77">
        <f>AVERAGEIFS('3. Incentive Adjustment'!G:G,'3. Incentive Adjustment'!A:A,tbl_Data[[#This Row],[Trimmed Sector]],'3. Incentive Adjustment'!B:B,tbl_Data[[#This Row],[Trimmed Measure Name]])</f>
        <v>0.36456477469769399</v>
      </c>
      <c r="AI43" s="77">
        <f>$AH43*tbl_Data[[#This Row],[2025 ]]</f>
        <v>13.545746829300899</v>
      </c>
      <c r="AJ43" s="77">
        <f>$AH43*tbl_Data[[#This Row],[2026 ]]</f>
        <v>26.655823512603057</v>
      </c>
      <c r="AK43" s="77">
        <f>$AH43*tbl_Data[[#This Row],[2027 ]]</f>
        <v>39.354291183405145</v>
      </c>
      <c r="AL43" s="77">
        <f>$AH43*tbl_Data[[#This Row],[2028 ]]</f>
        <v>51.678299978019176</v>
      </c>
      <c r="AM43" s="77">
        <f>$AH43*tbl_Data[[#This Row],[2029 ]]</f>
        <v>63.655258588345575</v>
      </c>
      <c r="AN43" s="77">
        <f>$AH43*tbl_Data[[#This Row],[2030 ]]</f>
        <v>75.273687230342233</v>
      </c>
      <c r="AO43" s="77">
        <f>$AH43*tbl_Data[[#This Row],[2031 ]]</f>
        <v>86.603937994719146</v>
      </c>
      <c r="AP43" s="77">
        <f>$AH43*tbl_Data[[#This Row],[2032 ]]</f>
        <v>97.722260404146809</v>
      </c>
      <c r="AQ43" s="77">
        <f>$AH43*tbl_Data[[#This Row],[2033 ]]</f>
        <v>108.69273550412811</v>
      </c>
      <c r="AR43" s="77">
        <f>$AH43*tbl_Data[[#This Row],[2034 ]]</f>
        <v>119.56683709136588</v>
      </c>
      <c r="AS43" s="77">
        <f>SUM(tbl_Data[[#This Row],[Adjusted 2025]:[Adjusted 2034]])</f>
        <v>682.74887831637602</v>
      </c>
      <c r="AT43" s="80">
        <f>AVERAGEIFS('3. Incentive Adjustment'!F:F,'3. Incentive Adjustment'!A:A,tbl_Data[[#This Row],[Trimmed Sector]],'3. Incentive Adjustment'!B:B,tbl_Data[[#This Row],[Trimmed Measure Name]])</f>
        <v>100</v>
      </c>
      <c r="AU43" s="80">
        <f>IFERROR(VLOOKUP(tbl_Data[[#This Row],[All_Meas_Name_Append]],'IRA Tax Credits'!$A$3:$D$46,4,0),0)</f>
        <v>0</v>
      </c>
      <c r="AV43" s="81">
        <f>tbl_Data[[#This Row],[Adj. per unit Incentive ($)]]/tbl_Data[[#This Row],[kWh Savings]]*tbl_Data[[#This Row],[Sum of Annuals]]</f>
        <v>72.908204209127661</v>
      </c>
      <c r="AW43" s="81">
        <f>IFERROR(VLOOKUP(tbl_Data[[#This Row],[Column1]],'1. Set Program Names'!$B$2:$D$15,3,0)*tbl_Data[[#This Row],[Sum of Annuals]],"")</f>
        <v>304.39924806836353</v>
      </c>
      <c r="AX43" s="81">
        <f>tbl_Data[[#This Row],[per unit IRA tax ($)]]/tbl_Data[[#This Row],[kWh Savings]]*tbl_Data[[#This Row],[Sum of Annuals]]</f>
        <v>0</v>
      </c>
      <c r="AY43" s="81">
        <f>tbl_Data[[#This Row],[Avoided Costs ($/unit)]]/tbl_Data[[#This Row],[kWh Savings]]*tbl_Data[[#This Row],[Sum of Annuals]]</f>
        <v>556.95134417407951</v>
      </c>
      <c r="AZ43" s="81">
        <f>tbl_Data[[#This Row],[Lost Revenue ($/unit)]]/tbl_Data[[#This Row],[kWh Savings]]*tbl_Data[[#This Row],[Sum of Annuals]]</f>
        <v>1032.026984536071</v>
      </c>
      <c r="BA43" s="81">
        <f>tbl_Data[[#This Row],[Incremental Cost ($/unit)]]/tbl_Data[[#This Row],[kWh Savings]]*tbl_Data[[#This Row],[Sum of Annuals]]</f>
        <v>499.42848962378207</v>
      </c>
      <c r="BB43" s="77">
        <f>ROUNDUP(tbl_Data[[#This Row],[Adjusted 2025]]/$L43,0)</f>
        <v>1</v>
      </c>
      <c r="BC43" s="77">
        <f>ROUNDUP(tbl_Data[[#This Row],[Adjusted 2026]]/$L43,0)</f>
        <v>1</v>
      </c>
      <c r="BD43" s="77">
        <f>ROUNDUP(tbl_Data[[#This Row],[Adjusted 2027]]/$L43,0)</f>
        <v>1</v>
      </c>
      <c r="BE43" s="77">
        <f>ROUNDUP(tbl_Data[[#This Row],[Adjusted 2028]]/$L43,0)</f>
        <v>1</v>
      </c>
      <c r="BF43" s="77">
        <f>ROUNDUP(tbl_Data[[#This Row],[Adjusted 2029]]/$L43,0)</f>
        <v>1</v>
      </c>
      <c r="BG43" s="77">
        <f>ROUNDUP(tbl_Data[[#This Row],[Adjusted 2030]]/$L43,0)</f>
        <v>1</v>
      </c>
      <c r="BH43" s="77">
        <f>ROUNDUP(tbl_Data[[#This Row],[Adjusted 2031]]/$L43,0)</f>
        <v>1</v>
      </c>
      <c r="BI43" s="77">
        <f>ROUNDUP(tbl_Data[[#This Row],[Adjusted 2032]]/$L43,0)</f>
        <v>1</v>
      </c>
      <c r="BJ43" s="77">
        <f>ROUNDUP(tbl_Data[[#This Row],[Adjusted 2033]]/$L43,0)</f>
        <v>1</v>
      </c>
      <c r="BK43" s="77">
        <f>ROUNDUP(tbl_Data[[#This Row],[Adjusted 2034]]/$L43,0)</f>
        <v>1</v>
      </c>
      <c r="BL43" s="80">
        <f t="shared" si="23"/>
        <v>3.9677441209235087</v>
      </c>
      <c r="BM43" s="77">
        <f t="shared" si="24"/>
        <v>7.8078741883561316</v>
      </c>
      <c r="BN43" s="77">
        <f t="shared" si="25"/>
        <v>11.52743805445288</v>
      </c>
      <c r="BO43" s="77">
        <f t="shared" si="26"/>
        <v>15.137317528596506</v>
      </c>
      <c r="BP43" s="77">
        <f t="shared" si="27"/>
        <v>18.645541010957231</v>
      </c>
      <c r="BQ43" s="77">
        <f t="shared" si="28"/>
        <v>22.048745907636285</v>
      </c>
      <c r="BR43" s="77">
        <f t="shared" si="29"/>
        <v>25.367539358116396</v>
      </c>
      <c r="BS43" s="77">
        <f t="shared" si="30"/>
        <v>28.624255944544394</v>
      </c>
      <c r="BT43" s="77">
        <f t="shared" si="31"/>
        <v>31.83766592704405</v>
      </c>
      <c r="BU43" s="77">
        <f t="shared" si="32"/>
        <v>35.022846721192586</v>
      </c>
      <c r="BV43" s="80">
        <f>IFERROR(VLOOKUP($H43,'1. Set Program Names'!$B$2:$D$15,3,0)*V43,"NA")</f>
        <v>16.565739617895836</v>
      </c>
      <c r="BW43" s="80">
        <f>IFERROR(VLOOKUP($H43,'1. Set Program Names'!$B$2:$D$15,3,0)*W43,"NA")</f>
        <v>32.598677442811585</v>
      </c>
      <c r="BX43" s="80">
        <f>IFERROR(VLOOKUP($H43,'1. Set Program Names'!$B$2:$D$15,3,0)*X43,"NA")</f>
        <v>48.128238982065028</v>
      </c>
      <c r="BY43" s="80">
        <f>IFERROR(VLOOKUP($H43,'1. Set Program Names'!$B$2:$D$15,3,0)*Y43,"NA")</f>
        <v>63.199856908558566</v>
      </c>
      <c r="BZ43" s="80">
        <f>IFERROR(VLOOKUP($H43,'1. Set Program Names'!$B$2:$D$15,3,0)*Z43,"NA")</f>
        <v>77.847050618380948</v>
      </c>
      <c r="CA43" s="80">
        <f>IFERROR(VLOOKUP($H43,'1. Set Program Names'!$B$2:$D$15,3,0)*AA43,"NA")</f>
        <v>92.055780936305624</v>
      </c>
      <c r="CB43" s="80">
        <f>IFERROR(VLOOKUP($H43,'1. Set Program Names'!$B$2:$D$15,3,0)*AB43,"NA")</f>
        <v>105.91208478823729</v>
      </c>
      <c r="CC43" s="80">
        <f>IFERROR(VLOOKUP($H43,'1. Set Program Names'!$B$2:$D$15,3,0)*AC43,"NA")</f>
        <v>119.5092113507969</v>
      </c>
      <c r="CD43" s="80">
        <f>IFERROR(VLOOKUP($H43,'1. Set Program Names'!$B$2:$D$15,3,0)*AD43,"NA")</f>
        <v>132.92552838972088</v>
      </c>
      <c r="CE43" s="80">
        <f>IFERROR(VLOOKUP($H43,'1. Set Program Names'!$B$2:$D$15,3,0)*AE43,"NA")</f>
        <v>146.22398566511245</v>
      </c>
    </row>
    <row r="44" spans="1:83" x14ac:dyDescent="0.25">
      <c r="A44" s="79" t="s">
        <v>115</v>
      </c>
      <c r="B44" s="79" t="s">
        <v>88</v>
      </c>
      <c r="C44" s="79" t="s">
        <v>89</v>
      </c>
      <c r="D44" s="79" t="s">
        <v>90</v>
      </c>
      <c r="E44" s="79" t="s">
        <v>91</v>
      </c>
      <c r="F44" s="79" t="s">
        <v>90</v>
      </c>
      <c r="G44" s="79" t="s">
        <v>92</v>
      </c>
      <c r="H44" s="79" t="s">
        <v>5</v>
      </c>
      <c r="I44" s="79" t="s">
        <v>297</v>
      </c>
      <c r="J44" s="79" t="s">
        <v>97</v>
      </c>
      <c r="K44" s="79" t="s">
        <v>298</v>
      </c>
      <c r="L44" s="79">
        <v>57.93</v>
      </c>
      <c r="M44" s="79">
        <v>0</v>
      </c>
      <c r="N44" s="79">
        <v>1.1014721785810099E-2</v>
      </c>
      <c r="O44" s="79">
        <v>154.1011072</v>
      </c>
      <c r="P44" s="79">
        <v>140.06582681793901</v>
      </c>
      <c r="Q44" s="79">
        <v>17.218481543887101</v>
      </c>
      <c r="R44" s="79">
        <v>46.999759951794701</v>
      </c>
      <c r="S44" s="79">
        <v>87.565611768711094</v>
      </c>
      <c r="T44" s="79">
        <v>20</v>
      </c>
      <c r="U44" s="79">
        <v>0.8</v>
      </c>
      <c r="V44" s="79">
        <f>tbl_Data_old[[#This Row],[2025 ]]*IFERROR(AVERAGEIFS('Participation Adjustment'!$C:$C,'Participation Adjustment'!$A:$A,$H44,'Participation Adjustment'!$B:$B,$I44),1)</f>
        <v>0</v>
      </c>
      <c r="W44" s="79">
        <f>tbl_Data_old[[#This Row],[2026 ]]*IFERROR(AVERAGEIFS('Participation Adjustment'!$C:$C,'Participation Adjustment'!$A:$A,$H44,'Participation Adjustment'!$B:$B,$I44),1)</f>
        <v>0</v>
      </c>
      <c r="X44" s="79">
        <f>tbl_Data_old[[#This Row],[2027 ]]*IFERROR(AVERAGEIFS('Participation Adjustment'!$C:$C,'Participation Adjustment'!$A:$A,$H44,'Participation Adjustment'!$B:$B,$I44),1)</f>
        <v>0</v>
      </c>
      <c r="Y44" s="79">
        <f>tbl_Data_old[[#This Row],[2028 ]]*IFERROR(AVERAGEIFS('Participation Adjustment'!$C:$C,'Participation Adjustment'!$A:$A,$H44,'Participation Adjustment'!$B:$B,$I44),1)</f>
        <v>0</v>
      </c>
      <c r="Z44" s="79">
        <f>tbl_Data_old[[#This Row],[2029 ]]*IFERROR(AVERAGEIFS('Participation Adjustment'!$C:$C,'Participation Adjustment'!$A:$A,$H44,'Participation Adjustment'!$B:$B,$I44),1)</f>
        <v>0</v>
      </c>
      <c r="AA44" s="79">
        <f>tbl_Data_old[[#This Row],[2030 ]]*IFERROR(AVERAGEIFS('Participation Adjustment'!$C:$C,'Participation Adjustment'!$A:$A,$H44,'Participation Adjustment'!$B:$B,$I44),1)</f>
        <v>0</v>
      </c>
      <c r="AB44" s="79">
        <f>tbl_Data_old[[#This Row],[2031 ]]*IFERROR(AVERAGEIFS('Participation Adjustment'!$C:$C,'Participation Adjustment'!$A:$A,$H44,'Participation Adjustment'!$B:$B,$I44),1)</f>
        <v>0</v>
      </c>
      <c r="AC44" s="79">
        <f>tbl_Data_old[[#This Row],[2032 ]]*IFERROR(AVERAGEIFS('Participation Adjustment'!$C:$C,'Participation Adjustment'!$A:$A,$H44,'Participation Adjustment'!$B:$B,$I44),1)</f>
        <v>0</v>
      </c>
      <c r="AD44" s="79">
        <f>tbl_Data_old[[#This Row],[2033 ]]*IFERROR(AVERAGEIFS('Participation Adjustment'!$C:$C,'Participation Adjustment'!$A:$A,$H44,'Participation Adjustment'!$B:$B,$I44),1)</f>
        <v>0</v>
      </c>
      <c r="AE44" s="79">
        <f>tbl_Data_old[[#This Row],[2034 ]]*IFERROR(AVERAGEIFS('Participation Adjustment'!$C:$C,'Participation Adjustment'!$A:$A,$H44,'Participation Adjustment'!$B:$B,$I44),1)</f>
        <v>0</v>
      </c>
      <c r="AF44" s="77" t="str">
        <f t="shared" si="22"/>
        <v>Residential</v>
      </c>
      <c r="AG44" s="77" t="str">
        <f>tbl_Data[[#This Row],[All_Meas_Name_Append]]</f>
        <v>Energy Star Windows Residential</v>
      </c>
      <c r="AH44" s="77">
        <f>AVERAGEIFS('3. Incentive Adjustment'!G:G,'3. Incentive Adjustment'!A:A,tbl_Data[[#This Row],[Trimmed Sector]],'3. Incentive Adjustment'!B:B,tbl_Data[[#This Row],[Trimmed Measure Name]])</f>
        <v>1.5721893920937398</v>
      </c>
      <c r="AI44" s="77">
        <f>$AH44*tbl_Data[[#This Row],[2025 ]]</f>
        <v>0</v>
      </c>
      <c r="AJ44" s="77">
        <f>$AH44*tbl_Data[[#This Row],[2026 ]]</f>
        <v>0</v>
      </c>
      <c r="AK44" s="77">
        <f>$AH44*tbl_Data[[#This Row],[2027 ]]</f>
        <v>0</v>
      </c>
      <c r="AL44" s="77">
        <f>$AH44*tbl_Data[[#This Row],[2028 ]]</f>
        <v>0</v>
      </c>
      <c r="AM44" s="77">
        <f>$AH44*tbl_Data[[#This Row],[2029 ]]</f>
        <v>0</v>
      </c>
      <c r="AN44" s="77">
        <f>$AH44*tbl_Data[[#This Row],[2030 ]]</f>
        <v>0</v>
      </c>
      <c r="AO44" s="77">
        <f>$AH44*tbl_Data[[#This Row],[2031 ]]</f>
        <v>0</v>
      </c>
      <c r="AP44" s="77">
        <f>$AH44*tbl_Data[[#This Row],[2032 ]]</f>
        <v>0</v>
      </c>
      <c r="AQ44" s="77">
        <f>$AH44*tbl_Data[[#This Row],[2033 ]]</f>
        <v>0</v>
      </c>
      <c r="AR44" s="77">
        <f>$AH44*tbl_Data[[#This Row],[2034 ]]</f>
        <v>0</v>
      </c>
      <c r="AS44" s="77">
        <f>SUM(tbl_Data[[#This Row],[Adjusted 2025]:[Adjusted 2034]])</f>
        <v>0</v>
      </c>
      <c r="AT44" s="80">
        <f>AVERAGEIFS('3. Incentive Adjustment'!F:F,'3. Incentive Adjustment'!A:A,tbl_Data[[#This Row],[Trimmed Sector]],'3. Incentive Adjustment'!B:B,tbl_Data[[#This Row],[Trimmed Measure Name]])</f>
        <v>150</v>
      </c>
      <c r="AU44" s="80">
        <f>IFERROR(VLOOKUP(tbl_Data[[#This Row],[All_Meas_Name_Append]],'IRA Tax Credits'!$A$3:$D$46,4,0),0)</f>
        <v>0</v>
      </c>
      <c r="AV44" s="81">
        <f>tbl_Data[[#This Row],[Adj. per unit Incentive ($)]]/tbl_Data[[#This Row],[kWh Savings]]*tbl_Data[[#This Row],[Sum of Annuals]]</f>
        <v>0</v>
      </c>
      <c r="AW44" s="81">
        <f>IFERROR(VLOOKUP(tbl_Data[[#This Row],[Column1]],'1. Set Program Names'!$B$2:$D$15,3,0)*tbl_Data[[#This Row],[Sum of Annuals]],"")</f>
        <v>0</v>
      </c>
      <c r="AX44" s="81">
        <f>tbl_Data[[#This Row],[per unit IRA tax ($)]]/tbl_Data[[#This Row],[kWh Savings]]*tbl_Data[[#This Row],[Sum of Annuals]]</f>
        <v>0</v>
      </c>
      <c r="AY44" s="81">
        <f>tbl_Data[[#This Row],[Avoided Costs ($/unit)]]/tbl_Data[[#This Row],[kWh Savings]]*tbl_Data[[#This Row],[Sum of Annuals]]</f>
        <v>0</v>
      </c>
      <c r="AZ44" s="81">
        <f>tbl_Data[[#This Row],[Lost Revenue ($/unit)]]/tbl_Data[[#This Row],[kWh Savings]]*tbl_Data[[#This Row],[Sum of Annuals]]</f>
        <v>0</v>
      </c>
      <c r="BA44" s="81">
        <f>tbl_Data[[#This Row],[Incremental Cost ($/unit)]]/tbl_Data[[#This Row],[kWh Savings]]*tbl_Data[[#This Row],[Sum of Annuals]]</f>
        <v>0</v>
      </c>
      <c r="BB44" s="77">
        <f>ROUNDUP(tbl_Data[[#This Row],[Adjusted 2025]]/$L44,0)</f>
        <v>0</v>
      </c>
      <c r="BC44" s="77">
        <f>ROUNDUP(tbl_Data[[#This Row],[Adjusted 2026]]/$L44,0)</f>
        <v>0</v>
      </c>
      <c r="BD44" s="77">
        <f>ROUNDUP(tbl_Data[[#This Row],[Adjusted 2027]]/$L44,0)</f>
        <v>0</v>
      </c>
      <c r="BE44" s="77">
        <f>ROUNDUP(tbl_Data[[#This Row],[Adjusted 2028]]/$L44,0)</f>
        <v>0</v>
      </c>
      <c r="BF44" s="77">
        <f>ROUNDUP(tbl_Data[[#This Row],[Adjusted 2029]]/$L44,0)</f>
        <v>0</v>
      </c>
      <c r="BG44" s="77">
        <f>ROUNDUP(tbl_Data[[#This Row],[Adjusted 2030]]/$L44,0)</f>
        <v>0</v>
      </c>
      <c r="BH44" s="77">
        <f>ROUNDUP(tbl_Data[[#This Row],[Adjusted 2031]]/$L44,0)</f>
        <v>0</v>
      </c>
      <c r="BI44" s="77">
        <f>ROUNDUP(tbl_Data[[#This Row],[Adjusted 2032]]/$L44,0)</f>
        <v>0</v>
      </c>
      <c r="BJ44" s="77">
        <f>ROUNDUP(tbl_Data[[#This Row],[Adjusted 2033]]/$L44,0)</f>
        <v>0</v>
      </c>
      <c r="BK44" s="77">
        <f>ROUNDUP(tbl_Data[[#This Row],[Adjusted 2034]]/$L44,0)</f>
        <v>0</v>
      </c>
      <c r="BL44" s="80">
        <f t="shared" si="23"/>
        <v>0</v>
      </c>
      <c r="BM44" s="77">
        <f t="shared" si="24"/>
        <v>0</v>
      </c>
      <c r="BN44" s="77">
        <f t="shared" si="25"/>
        <v>0</v>
      </c>
      <c r="BO44" s="77">
        <f t="shared" si="26"/>
        <v>0</v>
      </c>
      <c r="BP44" s="77">
        <f t="shared" si="27"/>
        <v>0</v>
      </c>
      <c r="BQ44" s="77">
        <f t="shared" si="28"/>
        <v>0</v>
      </c>
      <c r="BR44" s="77">
        <f t="shared" si="29"/>
        <v>0</v>
      </c>
      <c r="BS44" s="77">
        <f t="shared" si="30"/>
        <v>0</v>
      </c>
      <c r="BT44" s="77">
        <f t="shared" si="31"/>
        <v>0</v>
      </c>
      <c r="BU44" s="77">
        <f t="shared" si="32"/>
        <v>0</v>
      </c>
      <c r="BV44" s="80">
        <f>IFERROR(VLOOKUP($H44,'1. Set Program Names'!$B$2:$D$15,3,0)*V44,"NA")</f>
        <v>0</v>
      </c>
      <c r="BW44" s="80">
        <f>IFERROR(VLOOKUP($H44,'1. Set Program Names'!$B$2:$D$15,3,0)*W44,"NA")</f>
        <v>0</v>
      </c>
      <c r="BX44" s="80">
        <f>IFERROR(VLOOKUP($H44,'1. Set Program Names'!$B$2:$D$15,3,0)*X44,"NA")</f>
        <v>0</v>
      </c>
      <c r="BY44" s="80">
        <f>IFERROR(VLOOKUP($H44,'1. Set Program Names'!$B$2:$D$15,3,0)*Y44,"NA")</f>
        <v>0</v>
      </c>
      <c r="BZ44" s="80">
        <f>IFERROR(VLOOKUP($H44,'1. Set Program Names'!$B$2:$D$15,3,0)*Z44,"NA")</f>
        <v>0</v>
      </c>
      <c r="CA44" s="80">
        <f>IFERROR(VLOOKUP($H44,'1. Set Program Names'!$B$2:$D$15,3,0)*AA44,"NA")</f>
        <v>0</v>
      </c>
      <c r="CB44" s="80">
        <f>IFERROR(VLOOKUP($H44,'1. Set Program Names'!$B$2:$D$15,3,0)*AB44,"NA")</f>
        <v>0</v>
      </c>
      <c r="CC44" s="80">
        <f>IFERROR(VLOOKUP($H44,'1. Set Program Names'!$B$2:$D$15,3,0)*AC44,"NA")</f>
        <v>0</v>
      </c>
      <c r="CD44" s="80">
        <f>IFERROR(VLOOKUP($H44,'1. Set Program Names'!$B$2:$D$15,3,0)*AD44,"NA")</f>
        <v>0</v>
      </c>
      <c r="CE44" s="80">
        <f>IFERROR(VLOOKUP($H44,'1. Set Program Names'!$B$2:$D$15,3,0)*AE44,"NA")</f>
        <v>0</v>
      </c>
    </row>
    <row r="45" spans="1:83" x14ac:dyDescent="0.25">
      <c r="A45" s="79" t="s">
        <v>115</v>
      </c>
      <c r="B45" s="79" t="s">
        <v>88</v>
      </c>
      <c r="C45" s="79" t="s">
        <v>89</v>
      </c>
      <c r="D45" s="79" t="s">
        <v>90</v>
      </c>
      <c r="E45" s="79" t="s">
        <v>91</v>
      </c>
      <c r="F45" s="79" t="s">
        <v>90</v>
      </c>
      <c r="G45" s="79" t="s">
        <v>92</v>
      </c>
      <c r="H45" s="79" t="s">
        <v>5</v>
      </c>
      <c r="I45" s="79" t="s">
        <v>107</v>
      </c>
      <c r="J45" s="79" t="s">
        <v>94</v>
      </c>
      <c r="K45" s="79" t="s">
        <v>108</v>
      </c>
      <c r="L45" s="79">
        <v>1663.1099999999899</v>
      </c>
      <c r="M45" s="79">
        <v>6.6647595975018806E-2</v>
      </c>
      <c r="N45" s="79">
        <v>0.309148293753995</v>
      </c>
      <c r="O45" s="79">
        <v>1389.5</v>
      </c>
      <c r="P45" s="79">
        <v>988.78817699699403</v>
      </c>
      <c r="Q45" s="79">
        <v>494.32468221049697</v>
      </c>
      <c r="R45" s="79">
        <v>791.96156853290995</v>
      </c>
      <c r="S45" s="79">
        <v>2127.4894292214699</v>
      </c>
      <c r="T45" s="79">
        <v>15</v>
      </c>
      <c r="U45" s="79">
        <v>0.7</v>
      </c>
      <c r="V45" s="79">
        <f>tbl_Data_old[[#This Row],[2025 ]]*IFERROR(AVERAGEIFS('Participation Adjustment'!$C:$C,'Participation Adjustment'!$A:$A,$H45,'Participation Adjustment'!$B:$B,$I45),1)</f>
        <v>4.88244319418052</v>
      </c>
      <c r="W45" s="79">
        <f>tbl_Data_old[[#This Row],[2026 ]]*IFERROR(AVERAGEIFS('Participation Adjustment'!$C:$C,'Participation Adjustment'!$A:$A,$H45,'Participation Adjustment'!$B:$B,$I45),1)</f>
        <v>10.312294645329979</v>
      </c>
      <c r="X45" s="79">
        <f>tbl_Data_old[[#This Row],[2027 ]]*IFERROR(AVERAGEIFS('Participation Adjustment'!$C:$C,'Participation Adjustment'!$A:$A,$H45,'Participation Adjustment'!$B:$B,$I45),1)</f>
        <v>16.246600660215599</v>
      </c>
      <c r="Y45" s="79">
        <f>tbl_Data_old[[#This Row],[2028 ]]*IFERROR(AVERAGEIFS('Participation Adjustment'!$C:$C,'Participation Adjustment'!$A:$A,$H45,'Participation Adjustment'!$B:$B,$I45),1)</f>
        <v>22.6578725651258</v>
      </c>
      <c r="Z45" s="79">
        <f>tbl_Data_old[[#This Row],[2029 ]]*IFERROR(AVERAGEIFS('Participation Adjustment'!$C:$C,'Participation Adjustment'!$A:$A,$H45,'Participation Adjustment'!$B:$B,$I45),1)</f>
        <v>29.523261200878601</v>
      </c>
      <c r="AA45" s="79">
        <f>tbl_Data_old[[#This Row],[2030 ]]*IFERROR(AVERAGEIFS('Participation Adjustment'!$C:$C,'Participation Adjustment'!$A:$A,$H45,'Participation Adjustment'!$B:$B,$I45),1)</f>
        <v>36.803819233410998</v>
      </c>
      <c r="AB45" s="79">
        <f>tbl_Data_old[[#This Row],[2031 ]]*IFERROR(AVERAGEIFS('Participation Adjustment'!$C:$C,'Participation Adjustment'!$A:$A,$H45,'Participation Adjustment'!$B:$B,$I45),1)</f>
        <v>44.517921390926602</v>
      </c>
      <c r="AC45" s="79">
        <f>tbl_Data_old[[#This Row],[2032 ]]*IFERROR(AVERAGEIFS('Participation Adjustment'!$C:$C,'Participation Adjustment'!$A:$A,$H45,'Participation Adjustment'!$B:$B,$I45),1)</f>
        <v>52.702971452015802</v>
      </c>
      <c r="AD45" s="79">
        <f>tbl_Data_old[[#This Row],[2033 ]]*IFERROR(AVERAGEIFS('Participation Adjustment'!$C:$C,'Participation Adjustment'!$A:$A,$H45,'Participation Adjustment'!$B:$B,$I45),1)</f>
        <v>61.402571325600597</v>
      </c>
      <c r="AE45" s="79">
        <f>tbl_Data_old[[#This Row],[2034 ]]*IFERROR(AVERAGEIFS('Participation Adjustment'!$C:$C,'Participation Adjustment'!$A:$A,$H45,'Participation Adjustment'!$B:$B,$I45),1)</f>
        <v>70.663791256022606</v>
      </c>
      <c r="AF45" s="77" t="str">
        <f t="shared" si="22"/>
        <v>Residential</v>
      </c>
      <c r="AG45" s="77" t="str">
        <f>tbl_Data[[#This Row],[All_Meas_Name_Append]]</f>
        <v>Heat Pump Water Heater 50 Gallons- CEE Advanced Tier</v>
      </c>
      <c r="AH45" s="77">
        <f>AVERAGEIFS('3. Incentive Adjustment'!G:G,'3. Incentive Adjustment'!A:A,tbl_Data[[#This Row],[Trimmed Sector]],'3. Incentive Adjustment'!B:B,tbl_Data[[#This Row],[Trimmed Measure Name]])</f>
        <v>0.46049099596140497</v>
      </c>
      <c r="AI45" s="77">
        <f>$AH45*tbl_Data[[#This Row],[2025 ]]</f>
        <v>2.2483211292131711</v>
      </c>
      <c r="AJ45" s="77">
        <f>$AH45*tbl_Data[[#This Row],[2026 ]]</f>
        <v>4.7487188318754656</v>
      </c>
      <c r="AK45" s="77">
        <f>$AH45*tbl_Data[[#This Row],[2027 ]]</f>
        <v>7.4814133190099001</v>
      </c>
      <c r="AL45" s="77">
        <f>$AH45*tbl_Data[[#This Row],[2028 ]]</f>
        <v>10.433746303881373</v>
      </c>
      <c r="AM45" s="77">
        <f>$AH45*tbl_Data[[#This Row],[2029 ]]</f>
        <v>13.595195954421293</v>
      </c>
      <c r="AN45" s="77">
        <f>$AH45*tbl_Data[[#This Row],[2030 ]]</f>
        <v>16.947827373976942</v>
      </c>
      <c r="AO45" s="77">
        <f>$AH45*tbl_Data[[#This Row],[2031 ]]</f>
        <v>20.500101959439327</v>
      </c>
      <c r="AP45" s="77">
        <f>$AH45*tbl_Data[[#This Row],[2032 ]]</f>
        <v>24.26924381406425</v>
      </c>
      <c r="AQ45" s="77">
        <f>$AH45*tbl_Data[[#This Row],[2033 ]]</f>
        <v>28.275331224317025</v>
      </c>
      <c r="AR45" s="77">
        <f>$AH45*tbl_Data[[#This Row],[2034 ]]</f>
        <v>32.54003961389467</v>
      </c>
      <c r="AS45" s="77">
        <f>SUM(tbl_Data[[#This Row],[Adjusted 2025]:[Adjusted 2034]])</f>
        <v>161.03993952409343</v>
      </c>
      <c r="AT45" s="80">
        <f>AVERAGEIFS('3. Incentive Adjustment'!F:F,'3. Incentive Adjustment'!A:A,tbl_Data[[#This Row],[Trimmed Sector]],'3. Incentive Adjustment'!B:B,tbl_Data[[#This Row],[Trimmed Measure Name]])</f>
        <v>500</v>
      </c>
      <c r="AU45" s="80">
        <f>IFERROR(VLOOKUP(tbl_Data[[#This Row],[All_Meas_Name_Append]],'IRA Tax Credits'!$A$3:$D$46,4,0),0)</f>
        <v>1666.6666666666667</v>
      </c>
      <c r="AV45" s="81">
        <f>tbl_Data[[#This Row],[Adj. per unit Incentive ($)]]/tbl_Data[[#This Row],[kWh Savings]]*tbl_Data[[#This Row],[Sum of Annuals]]</f>
        <v>48.415300107658069</v>
      </c>
      <c r="AW45" s="81">
        <f>IFERROR(VLOOKUP(tbl_Data[[#This Row],[Column1]],'1. Set Program Names'!$B$2:$D$15,3,0)*tbl_Data[[#This Row],[Sum of Annuals]],"")</f>
        <v>71.79863351953162</v>
      </c>
      <c r="AX45" s="81">
        <f>tbl_Data[[#This Row],[per unit IRA tax ($)]]/tbl_Data[[#This Row],[kWh Savings]]*tbl_Data[[#This Row],[Sum of Annuals]]</f>
        <v>161.38433369219356</v>
      </c>
      <c r="AY45" s="81">
        <f>tbl_Data[[#This Row],[Avoided Costs ($/unit)]]/tbl_Data[[#This Row],[kWh Savings]]*tbl_Data[[#This Row],[Sum of Annuals]]</f>
        <v>76.686114028504889</v>
      </c>
      <c r="AZ45" s="81">
        <f>tbl_Data[[#This Row],[Lost Revenue ($/unit)]]/tbl_Data[[#This Row],[kWh Savings]]*tbl_Data[[#This Row],[Sum of Annuals]]</f>
        <v>206.00607838325524</v>
      </c>
      <c r="BA45" s="81">
        <f>tbl_Data[[#This Row],[Incremental Cost ($/unit)]]/tbl_Data[[#This Row],[kWh Savings]]*tbl_Data[[#This Row],[Sum of Annuals]]</f>
        <v>134.54611899918174</v>
      </c>
      <c r="BB45" s="77">
        <f>ROUNDUP(tbl_Data[[#This Row],[Adjusted 2025]]/$L45,0)</f>
        <v>1</v>
      </c>
      <c r="BC45" s="77">
        <f>ROUNDUP(tbl_Data[[#This Row],[Adjusted 2026]]/$L45,0)</f>
        <v>1</v>
      </c>
      <c r="BD45" s="77">
        <f>ROUNDUP(tbl_Data[[#This Row],[Adjusted 2027]]/$L45,0)</f>
        <v>1</v>
      </c>
      <c r="BE45" s="77">
        <f>ROUNDUP(tbl_Data[[#This Row],[Adjusted 2028]]/$L45,0)</f>
        <v>1</v>
      </c>
      <c r="BF45" s="77">
        <f>ROUNDUP(tbl_Data[[#This Row],[Adjusted 2029]]/$L45,0)</f>
        <v>1</v>
      </c>
      <c r="BG45" s="77">
        <f>ROUNDUP(tbl_Data[[#This Row],[Adjusted 2030]]/$L45,0)</f>
        <v>1</v>
      </c>
      <c r="BH45" s="77">
        <f>ROUNDUP(tbl_Data[[#This Row],[Adjusted 2031]]/$L45,0)</f>
        <v>1</v>
      </c>
      <c r="BI45" s="77">
        <f>ROUNDUP(tbl_Data[[#This Row],[Adjusted 2032]]/$L45,0)</f>
        <v>1</v>
      </c>
      <c r="BJ45" s="77">
        <f>ROUNDUP(tbl_Data[[#This Row],[Adjusted 2033]]/$L45,0)</f>
        <v>1</v>
      </c>
      <c r="BK45" s="77">
        <f>ROUNDUP(tbl_Data[[#This Row],[Adjusted 2034]]/$L45,0)</f>
        <v>1</v>
      </c>
      <c r="BL45" s="80">
        <f t="shared" si="23"/>
        <v>1.4678653829814474</v>
      </c>
      <c r="BM45" s="77">
        <f t="shared" si="24"/>
        <v>3.1003044432809745</v>
      </c>
      <c r="BN45" s="77">
        <f t="shared" si="25"/>
        <v>4.8844035151660741</v>
      </c>
      <c r="BO45" s="77">
        <f t="shared" si="26"/>
        <v>6.8118983606393861</v>
      </c>
      <c r="BP45" s="77">
        <f t="shared" si="27"/>
        <v>8.8759195726316307</v>
      </c>
      <c r="BQ45" s="77">
        <f t="shared" si="28"/>
        <v>11.064757963517513</v>
      </c>
      <c r="BR45" s="77">
        <f t="shared" si="29"/>
        <v>13.38393774041611</v>
      </c>
      <c r="BS45" s="77">
        <f t="shared" si="30"/>
        <v>15.844704034013422</v>
      </c>
      <c r="BT45" s="77">
        <f t="shared" si="31"/>
        <v>18.460165390623885</v>
      </c>
      <c r="BU45" s="77">
        <f t="shared" si="32"/>
        <v>21.244473082364678</v>
      </c>
      <c r="BV45" s="80">
        <f>IFERROR(VLOOKUP($H45,'1. Set Program Names'!$B$2:$D$15,3,0)*V45,"NA")</f>
        <v>2.1768062669102766</v>
      </c>
      <c r="BW45" s="80">
        <f>IFERROR(VLOOKUP($H45,'1. Set Program Names'!$B$2:$D$15,3,0)*W45,"NA")</f>
        <v>4.5976710260419704</v>
      </c>
      <c r="BX45" s="80">
        <f>IFERROR(VLOOKUP($H45,'1. Set Program Names'!$B$2:$D$15,3,0)*X45,"NA")</f>
        <v>7.2434436462668996</v>
      </c>
      <c r="BY45" s="80">
        <f>IFERROR(VLOOKUP($H45,'1. Set Program Names'!$B$2:$D$15,3,0)*Y45,"NA")</f>
        <v>10.101868477119794</v>
      </c>
      <c r="BZ45" s="80">
        <f>IFERROR(VLOOKUP($H45,'1. Set Program Names'!$B$2:$D$15,3,0)*Z45,"NA")</f>
        <v>13.162758366201162</v>
      </c>
      <c r="CA45" s="80">
        <f>IFERROR(VLOOKUP($H45,'1. Set Program Names'!$B$2:$D$15,3,0)*AA45,"NA")</f>
        <v>16.408748892155554</v>
      </c>
      <c r="CB45" s="80">
        <f>IFERROR(VLOOKUP($H45,'1. Set Program Names'!$B$2:$D$15,3,0)*AB45,"NA")</f>
        <v>19.848032310768779</v>
      </c>
      <c r="CC45" s="80">
        <f>IFERROR(VLOOKUP($H45,'1. Set Program Names'!$B$2:$D$15,3,0)*AC45,"NA")</f>
        <v>23.497284858999155</v>
      </c>
      <c r="CD45" s="80">
        <f>IFERROR(VLOOKUP($H45,'1. Set Program Names'!$B$2:$D$15,3,0)*AD45,"NA")</f>
        <v>27.375946170820054</v>
      </c>
      <c r="CE45" s="80">
        <f>IFERROR(VLOOKUP($H45,'1. Set Program Names'!$B$2:$D$15,3,0)*AE45,"NA")</f>
        <v>31.505002215508078</v>
      </c>
    </row>
    <row r="46" spans="1:83" x14ac:dyDescent="0.25">
      <c r="A46" s="79" t="s">
        <v>115</v>
      </c>
      <c r="B46" s="79" t="s">
        <v>88</v>
      </c>
      <c r="C46" s="79" t="s">
        <v>89</v>
      </c>
      <c r="D46" s="79" t="s">
        <v>90</v>
      </c>
      <c r="E46" s="79" t="s">
        <v>91</v>
      </c>
      <c r="F46" s="79" t="s">
        <v>90</v>
      </c>
      <c r="G46" s="79" t="s">
        <v>92</v>
      </c>
      <c r="H46" s="79" t="s">
        <v>5</v>
      </c>
      <c r="I46" s="79" t="s">
        <v>109</v>
      </c>
      <c r="J46" s="79" t="s">
        <v>94</v>
      </c>
      <c r="K46" s="79" t="s">
        <v>95</v>
      </c>
      <c r="L46" s="79">
        <v>1590.11499999999</v>
      </c>
      <c r="M46" s="79">
        <v>6.3722388822036402E-2</v>
      </c>
      <c r="N46" s="79">
        <v>0.29557957027655002</v>
      </c>
      <c r="O46" s="79">
        <v>1389.5</v>
      </c>
      <c r="P46" s="79">
        <v>1006.47372867305</v>
      </c>
      <c r="Q46" s="79">
        <v>472.62844433209199</v>
      </c>
      <c r="R46" s="79">
        <v>757.20185047754296</v>
      </c>
      <c r="S46" s="79">
        <v>2034.1125083407001</v>
      </c>
      <c r="T46" s="79">
        <v>15</v>
      </c>
      <c r="U46" s="79">
        <v>0.7</v>
      </c>
      <c r="V46" s="79">
        <f>tbl_Data_old[[#This Row],[2025 ]]*IFERROR(AVERAGEIFS('Participation Adjustment'!$C:$C,'Participation Adjustment'!$A:$A,$H46,'Participation Adjustment'!$B:$B,$I46),1)</f>
        <v>6.9773669359452404</v>
      </c>
      <c r="W46" s="79">
        <f>tbl_Data_old[[#This Row],[2026 ]]*IFERROR(AVERAGEIFS('Participation Adjustment'!$C:$C,'Participation Adjustment'!$A:$A,$H46,'Participation Adjustment'!$B:$B,$I46),1)</f>
        <v>14.73383861588662</v>
      </c>
      <c r="X46" s="79">
        <f>tbl_Data_old[[#This Row],[2027 ]]*IFERROR(AVERAGEIFS('Participation Adjustment'!$C:$C,'Participation Adjustment'!$A:$A,$H46,'Participation Adjustment'!$B:$B,$I46),1)</f>
        <v>23.207793641278599</v>
      </c>
      <c r="Y46" s="79">
        <f>tbl_Data_old[[#This Row],[2028 ]]*IFERROR(AVERAGEIFS('Participation Adjustment'!$C:$C,'Participation Adjustment'!$A:$A,$H46,'Participation Adjustment'!$B:$B,$I46),1)</f>
        <v>32.359817036174</v>
      </c>
      <c r="Z46" s="79">
        <f>tbl_Data_old[[#This Row],[2029 ]]*IFERROR(AVERAGEIFS('Participation Adjustment'!$C:$C,'Participation Adjustment'!$A:$A,$H46,'Participation Adjustment'!$B:$B,$I46),1)</f>
        <v>42.157202336211803</v>
      </c>
      <c r="AA46" s="79">
        <f>tbl_Data_old[[#This Row],[2030 ]]*IFERROR(AVERAGEIFS('Participation Adjustment'!$C:$C,'Participation Adjustment'!$A:$A,$H46,'Participation Adjustment'!$B:$B,$I46),1)</f>
        <v>52.544341957629797</v>
      </c>
      <c r="AB46" s="79">
        <f>tbl_Data_old[[#This Row],[2031 ]]*IFERROR(AVERAGEIFS('Participation Adjustment'!$C:$C,'Participation Adjustment'!$A:$A,$H46,'Participation Adjustment'!$B:$B,$I46),1)</f>
        <v>63.5474593371422</v>
      </c>
      <c r="AC46" s="79">
        <f>tbl_Data_old[[#This Row],[2032 ]]*IFERROR(AVERAGEIFS('Participation Adjustment'!$C:$C,'Participation Adjustment'!$A:$A,$H46,'Participation Adjustment'!$B:$B,$I46),1)</f>
        <v>75.219918004540801</v>
      </c>
      <c r="AD46" s="79">
        <f>tbl_Data_old[[#This Row],[2033 ]]*IFERROR(AVERAGEIFS('Participation Adjustment'!$C:$C,'Participation Adjustment'!$A:$A,$H46,'Participation Adjustment'!$B:$B,$I46),1)</f>
        <v>87.623906377182607</v>
      </c>
      <c r="AE46" s="79">
        <f>tbl_Data_old[[#This Row],[2034 ]]*IFERROR(AVERAGEIFS('Participation Adjustment'!$C:$C,'Participation Adjustment'!$A:$A,$H46,'Participation Adjustment'!$B:$B,$I46),1)</f>
        <v>100.8265431190992</v>
      </c>
      <c r="AF46" s="77" t="str">
        <f t="shared" si="22"/>
        <v>Residential</v>
      </c>
      <c r="AG46" s="77" t="str">
        <f>tbl_Data[[#This Row],[All_Meas_Name_Append]]</f>
        <v>Heat Pump Water Heater 50 Gallons-ENERGY STAR</v>
      </c>
      <c r="AH46" s="77">
        <f>AVERAGEIFS('3. Incentive Adjustment'!G:G,'3. Incentive Adjustment'!A:A,tbl_Data[[#This Row],[Trimmed Sector]],'3. Incentive Adjustment'!B:B,tbl_Data[[#This Row],[Trimmed Measure Name]])</f>
        <v>0.43153525594917136</v>
      </c>
      <c r="AI46" s="77">
        <f>$AH46*tbl_Data[[#This Row],[2025 ]]</f>
        <v>3.010979826554415</v>
      </c>
      <c r="AJ46" s="77">
        <f>$AH46*tbl_Data[[#This Row],[2026 ]]</f>
        <v>6.3581708182204171</v>
      </c>
      <c r="AK46" s="77">
        <f>$AH46*tbl_Data[[#This Row],[2027 ]]</f>
        <v>10.014981169004711</v>
      </c>
      <c r="AL46" s="77">
        <f>$AH46*tbl_Data[[#This Row],[2028 ]]</f>
        <v>13.964401927173704</v>
      </c>
      <c r="AM46" s="77">
        <f>$AH46*tbl_Data[[#This Row],[2029 ]]</f>
        <v>18.192319100258164</v>
      </c>
      <c r="AN46" s="77">
        <f>$AH46*tbl_Data[[#This Row],[2030 ]]</f>
        <v>22.674736055366559</v>
      </c>
      <c r="AO46" s="77">
        <f>$AH46*tbl_Data[[#This Row],[2031 ]]</f>
        <v>27.422969129973218</v>
      </c>
      <c r="AP46" s="77">
        <f>$AH46*tbl_Data[[#This Row],[2032 ]]</f>
        <v>32.460046568565197</v>
      </c>
      <c r="AQ46" s="77">
        <f>$AH46*tbl_Data[[#This Row],[2033 ]]</f>
        <v>37.812804865743722</v>
      </c>
      <c r="AR46" s="77">
        <f>$AH46*tbl_Data[[#This Row],[2034 ]]</f>
        <v>43.510208091370636</v>
      </c>
      <c r="AS46" s="77">
        <f>SUM(tbl_Data[[#This Row],[Adjusted 2025]:[Adjusted 2034]])</f>
        <v>215.42161755223071</v>
      </c>
      <c r="AT46" s="80">
        <f>AVERAGEIFS('3. Incentive Adjustment'!F:F,'3. Incentive Adjustment'!A:A,tbl_Data[[#This Row],[Trimmed Sector]],'3. Incentive Adjustment'!B:B,tbl_Data[[#This Row],[Trimmed Measure Name]])</f>
        <v>500</v>
      </c>
      <c r="AU46" s="80">
        <f>IFERROR(VLOOKUP(tbl_Data[[#This Row],[All_Meas_Name_Append]],'IRA Tax Credits'!$A$3:$D$46,4,0),0)</f>
        <v>1666.6666666666667</v>
      </c>
      <c r="AV46" s="81">
        <f>tbl_Data[[#This Row],[Adj. per unit Incentive ($)]]/tbl_Data[[#This Row],[kWh Savings]]*tbl_Data[[#This Row],[Sum of Annuals]]</f>
        <v>67.73774775793953</v>
      </c>
      <c r="AW46" s="81">
        <f>IFERROR(VLOOKUP(tbl_Data[[#This Row],[Column1]],'1. Set Program Names'!$B$2:$D$15,3,0)*tbl_Data[[#This Row],[Sum of Annuals]],"")</f>
        <v>96.04435903618355</v>
      </c>
      <c r="AX46" s="81">
        <f>tbl_Data[[#This Row],[per unit IRA tax ($)]]/tbl_Data[[#This Row],[kWh Savings]]*tbl_Data[[#This Row],[Sum of Annuals]]</f>
        <v>225.79249252646514</v>
      </c>
      <c r="AY46" s="81">
        <f>tbl_Data[[#This Row],[Avoided Costs ($/unit)]]/tbl_Data[[#This Row],[kWh Savings]]*tbl_Data[[#This Row],[Sum of Annuals]]</f>
        <v>102.58229589898572</v>
      </c>
      <c r="AZ46" s="81">
        <f>tbl_Data[[#This Row],[Lost Revenue ($/unit)]]/tbl_Data[[#This Row],[kWh Savings]]*tbl_Data[[#This Row],[Sum of Annuals]]</f>
        <v>275.57240000250408</v>
      </c>
      <c r="BA46" s="81">
        <f>tbl_Data[[#This Row],[Incremental Cost ($/unit)]]/tbl_Data[[#This Row],[kWh Savings]]*tbl_Data[[#This Row],[Sum of Annuals]]</f>
        <v>188.243201019314</v>
      </c>
      <c r="BB46" s="77">
        <f>ROUNDUP(tbl_Data[[#This Row],[Adjusted 2025]]/$L46,0)</f>
        <v>1</v>
      </c>
      <c r="BC46" s="77">
        <f>ROUNDUP(tbl_Data[[#This Row],[Adjusted 2026]]/$L46,0)</f>
        <v>1</v>
      </c>
      <c r="BD46" s="77">
        <f>ROUNDUP(tbl_Data[[#This Row],[Adjusted 2027]]/$L46,0)</f>
        <v>1</v>
      </c>
      <c r="BE46" s="77">
        <f>ROUNDUP(tbl_Data[[#This Row],[Adjusted 2028]]/$L46,0)</f>
        <v>1</v>
      </c>
      <c r="BF46" s="77">
        <f>ROUNDUP(tbl_Data[[#This Row],[Adjusted 2029]]/$L46,0)</f>
        <v>1</v>
      </c>
      <c r="BG46" s="77">
        <f>ROUNDUP(tbl_Data[[#This Row],[Adjusted 2030]]/$L46,0)</f>
        <v>1</v>
      </c>
      <c r="BH46" s="77">
        <f>ROUNDUP(tbl_Data[[#This Row],[Adjusted 2031]]/$L46,0)</f>
        <v>1</v>
      </c>
      <c r="BI46" s="77">
        <f>ROUNDUP(tbl_Data[[#This Row],[Adjusted 2032]]/$L46,0)</f>
        <v>1</v>
      </c>
      <c r="BJ46" s="77">
        <f>ROUNDUP(tbl_Data[[#This Row],[Adjusted 2033]]/$L46,0)</f>
        <v>1</v>
      </c>
      <c r="BK46" s="77">
        <f>ROUNDUP(tbl_Data[[#This Row],[Adjusted 2034]]/$L46,0)</f>
        <v>1</v>
      </c>
      <c r="BL46" s="80">
        <f t="shared" si="23"/>
        <v>2.1939818616720439</v>
      </c>
      <c r="BM46" s="77">
        <f t="shared" si="24"/>
        <v>4.6329474962146486</v>
      </c>
      <c r="BN46" s="77">
        <f t="shared" si="25"/>
        <v>7.2975205067805611</v>
      </c>
      <c r="BO46" s="77">
        <f t="shared" si="26"/>
        <v>10.175307143248823</v>
      </c>
      <c r="BP46" s="77">
        <f t="shared" si="27"/>
        <v>13.256023097767162</v>
      </c>
      <c r="BQ46" s="77">
        <f t="shared" si="28"/>
        <v>16.522182973442209</v>
      </c>
      <c r="BR46" s="77">
        <f t="shared" si="29"/>
        <v>19.982032537628598</v>
      </c>
      <c r="BS46" s="77">
        <f t="shared" si="30"/>
        <v>23.652351560906371</v>
      </c>
      <c r="BT46" s="77">
        <f t="shared" si="31"/>
        <v>27.55269473502959</v>
      </c>
      <c r="BU46" s="77">
        <f t="shared" si="32"/>
        <v>31.704167031661179</v>
      </c>
      <c r="BV46" s="80">
        <f>IFERROR(VLOOKUP($H46,'1. Set Program Names'!$B$2:$D$15,3,0)*V46,"NA")</f>
        <v>3.1108147025246455</v>
      </c>
      <c r="BW46" s="80">
        <f>IFERROR(VLOOKUP($H46,'1. Set Program Names'!$B$2:$D$15,3,0)*W46,"NA")</f>
        <v>6.5689883034245495</v>
      </c>
      <c r="BX46" s="80">
        <f>IFERROR(VLOOKUP($H46,'1. Set Program Names'!$B$2:$D$15,3,0)*X46,"NA")</f>
        <v>10.347047293803676</v>
      </c>
      <c r="BY46" s="80">
        <f>IFERROR(VLOOKUP($H46,'1. Set Program Names'!$B$2:$D$15,3,0)*Y46,"NA")</f>
        <v>14.427418757144697</v>
      </c>
      <c r="BZ46" s="80">
        <f>IFERROR(VLOOKUP($H46,'1. Set Program Names'!$B$2:$D$15,3,0)*Z46,"NA")</f>
        <v>18.795520724183863</v>
      </c>
      <c r="CA46" s="80">
        <f>IFERROR(VLOOKUP($H46,'1. Set Program Names'!$B$2:$D$15,3,0)*AA46,"NA")</f>
        <v>23.426560907124436</v>
      </c>
      <c r="CB46" s="80">
        <f>IFERROR(VLOOKUP($H46,'1. Set Program Names'!$B$2:$D$15,3,0)*AB46,"NA")</f>
        <v>28.332230858557857</v>
      </c>
      <c r="CC46" s="80">
        <f>IFERROR(VLOOKUP($H46,'1. Set Program Names'!$B$2:$D$15,3,0)*AC46,"NA")</f>
        <v>33.536322369080615</v>
      </c>
      <c r="CD46" s="80">
        <f>IFERROR(VLOOKUP($H46,'1. Set Program Names'!$B$2:$D$15,3,0)*AD46,"NA")</f>
        <v>39.066561749322048</v>
      </c>
      <c r="CE46" s="80">
        <f>IFERROR(VLOOKUP($H46,'1. Set Program Names'!$B$2:$D$15,3,0)*AE46,"NA")</f>
        <v>44.952873429056325</v>
      </c>
    </row>
    <row r="47" spans="1:83" x14ac:dyDescent="0.25">
      <c r="A47" s="79" t="s">
        <v>115</v>
      </c>
      <c r="B47" s="79" t="s">
        <v>88</v>
      </c>
      <c r="C47" s="79" t="s">
        <v>89</v>
      </c>
      <c r="D47" s="79" t="s">
        <v>90</v>
      </c>
      <c r="E47" s="79" t="s">
        <v>91</v>
      </c>
      <c r="F47" s="79" t="s">
        <v>90</v>
      </c>
      <c r="G47" s="79" t="s">
        <v>92</v>
      </c>
      <c r="H47" s="79" t="s">
        <v>5</v>
      </c>
      <c r="I47" s="79" t="s">
        <v>110</v>
      </c>
      <c r="J47" s="79" t="s">
        <v>94</v>
      </c>
      <c r="K47" s="79" t="s">
        <v>108</v>
      </c>
      <c r="L47" s="79">
        <v>461.909999999999</v>
      </c>
      <c r="M47" s="79">
        <v>1.8510616289253799E-2</v>
      </c>
      <c r="N47" s="79">
        <v>8.5862443475120898E-2</v>
      </c>
      <c r="O47" s="79">
        <v>1729.5</v>
      </c>
      <c r="P47" s="79">
        <v>1631.9996867488601</v>
      </c>
      <c r="Q47" s="79">
        <v>137.29309183388401</v>
      </c>
      <c r="R47" s="79">
        <v>219.958372038552</v>
      </c>
      <c r="S47" s="79">
        <v>590.88613636602201</v>
      </c>
      <c r="T47" s="79">
        <v>15</v>
      </c>
      <c r="U47" s="79">
        <v>0.7</v>
      </c>
      <c r="V47" s="79">
        <f>tbl_Data_old[[#This Row],[2025 ]]*IFERROR(AVERAGEIFS('Participation Adjustment'!$C:$C,'Participation Adjustment'!$A:$A,$H47,'Participation Adjustment'!$B:$B,$I47),1)</f>
        <v>3.7532903455800199</v>
      </c>
      <c r="W47" s="79">
        <f>tbl_Data_old[[#This Row],[2026 ]]*IFERROR(AVERAGEIFS('Participation Adjustment'!$C:$C,'Participation Adjustment'!$A:$A,$H47,'Participation Adjustment'!$B:$B,$I47),1)</f>
        <v>7.9281295465403003</v>
      </c>
      <c r="X47" s="79">
        <f>tbl_Data_old[[#This Row],[2027 ]]*IFERROR(AVERAGEIFS('Participation Adjustment'!$C:$C,'Participation Adjustment'!$A:$A,$H47,'Participation Adjustment'!$B:$B,$I47),1)</f>
        <v>12.491546977496141</v>
      </c>
      <c r="Y47" s="79">
        <f>tbl_Data_old[[#This Row],[2028 ]]*IFERROR(AVERAGEIFS('Participation Adjustment'!$C:$C,'Participation Adjustment'!$A:$A,$H47,'Participation Adjustment'!$B:$B,$I47),1)</f>
        <v>17.422435128692339</v>
      </c>
      <c r="Z47" s="79">
        <f>tbl_Data_old[[#This Row],[2029 ]]*IFERROR(AVERAGEIFS('Participation Adjustment'!$C:$C,'Participation Adjustment'!$A:$A,$H47,'Participation Adjustment'!$B:$B,$I47),1)</f>
        <v>22.7032344447532</v>
      </c>
      <c r="AA47" s="79">
        <f>tbl_Data_old[[#This Row],[2030 ]]*IFERROR(AVERAGEIFS('Participation Adjustment'!$C:$C,'Participation Adjustment'!$A:$A,$H47,'Participation Adjustment'!$B:$B,$I47),1)</f>
        <v>28.303986027668799</v>
      </c>
      <c r="AB47" s="79">
        <f>tbl_Data_old[[#This Row],[2031 ]]*IFERROR(AVERAGEIFS('Participation Adjustment'!$C:$C,'Participation Adjustment'!$A:$A,$H47,'Participation Adjustment'!$B:$B,$I47),1)</f>
        <v>34.23881599589</v>
      </c>
      <c r="AC47" s="79">
        <f>tbl_Data_old[[#This Row],[2032 ]]*IFERROR(AVERAGEIFS('Participation Adjustment'!$C:$C,'Participation Adjustment'!$A:$A,$H47,'Participation Adjustment'!$B:$B,$I47),1)</f>
        <v>40.536490787271198</v>
      </c>
      <c r="AD47" s="79">
        <f>tbl_Data_old[[#This Row],[2033 ]]*IFERROR(AVERAGEIFS('Participation Adjustment'!$C:$C,'Participation Adjustment'!$A:$A,$H47,'Participation Adjustment'!$B:$B,$I47),1)</f>
        <v>47.230548721133999</v>
      </c>
      <c r="AE47" s="79">
        <f>tbl_Data_old[[#This Row],[2034 ]]*IFERROR(AVERAGEIFS('Participation Adjustment'!$C:$C,'Participation Adjustment'!$A:$A,$H47,'Participation Adjustment'!$B:$B,$I47),1)</f>
        <v>54.357200013793197</v>
      </c>
      <c r="AF47" s="77" t="str">
        <f t="shared" si="22"/>
        <v>Residential</v>
      </c>
      <c r="AG47" s="77" t="str">
        <f>tbl_Data[[#This Row],[All_Meas_Name_Append]]</f>
        <v>Heat Pump Water Heater 80 Gallons-ENERGY STAR</v>
      </c>
      <c r="AH47" s="77">
        <f>AVERAGEIFS('3. Incentive Adjustment'!G:G,'3. Incentive Adjustment'!A:A,tbl_Data[[#This Row],[Trimmed Sector]],'3. Incentive Adjustment'!B:B,tbl_Data[[#This Row],[Trimmed Measure Name]])</f>
        <v>1.5551101216712928E-3</v>
      </c>
      <c r="AI47" s="77">
        <f>$AH47*tbl_Data[[#This Row],[2025 ]]</f>
        <v>5.8367798059826333E-3</v>
      </c>
      <c r="AJ47" s="77">
        <f>$AH47*tbl_Data[[#This Row],[2026 ]]</f>
        <v>1.2329114503746057E-2</v>
      </c>
      <c r="AK47" s="77">
        <f>$AH47*tbl_Data[[#This Row],[2027 ]]</f>
        <v>1.9425731140036692E-2</v>
      </c>
      <c r="AL47" s="77">
        <f>$AH47*tbl_Data[[#This Row],[2028 ]]</f>
        <v>2.709380521279095E-2</v>
      </c>
      <c r="AM47" s="77">
        <f>$AH47*tbl_Data[[#This Row],[2029 ]]</f>
        <v>3.5306029679712032E-2</v>
      </c>
      <c r="AN47" s="77">
        <f>$AH47*tbl_Data[[#This Row],[2030 ]]</f>
        <v>4.4015815155270595E-2</v>
      </c>
      <c r="AO47" s="77">
        <f>$AH47*tbl_Data[[#This Row],[2031 ]]</f>
        <v>5.3245129309249503E-2</v>
      </c>
      <c r="AP47" s="77">
        <f>$AH47*tbl_Data[[#This Row],[2032 ]]</f>
        <v>6.3038707120320558E-2</v>
      </c>
      <c r="AQ47" s="77">
        <f>$AH47*tbl_Data[[#This Row],[2033 ]]</f>
        <v>7.344870436832461E-2</v>
      </c>
      <c r="AR47" s="77">
        <f>$AH47*tbl_Data[[#This Row],[2034 ]]</f>
        <v>8.4531431927160741E-2</v>
      </c>
      <c r="AS47" s="77">
        <f>SUM(tbl_Data[[#This Row],[Adjusted 2025]:[Adjusted 2034]])</f>
        <v>0.41827124822259437</v>
      </c>
      <c r="AT47" s="80">
        <f>AVERAGEIFS('3. Incentive Adjustment'!F:F,'3. Incentive Adjustment'!A:A,tbl_Data[[#This Row],[Trimmed Sector]],'3. Incentive Adjustment'!B:B,tbl_Data[[#This Row],[Trimmed Measure Name]])</f>
        <v>500</v>
      </c>
      <c r="AU47" s="80">
        <f>IFERROR(VLOOKUP(tbl_Data[[#This Row],[All_Meas_Name_Append]],'IRA Tax Credits'!$A$3:$D$46,4,0),0)</f>
        <v>1666.6666666666667</v>
      </c>
      <c r="AV47" s="81">
        <f>tbl_Data[[#This Row],[Adj. per unit Incentive ($)]]/tbl_Data[[#This Row],[kWh Savings]]*tbl_Data[[#This Row],[Sum of Annuals]]</f>
        <v>0.45276271159164699</v>
      </c>
      <c r="AW47" s="81">
        <f>IFERROR(VLOOKUP(tbl_Data[[#This Row],[Column1]],'1. Set Program Names'!$B$2:$D$15,3,0)*tbl_Data[[#This Row],[Sum of Annuals]],"")</f>
        <v>0.18648357762453127</v>
      </c>
      <c r="AX47" s="81">
        <f>tbl_Data[[#This Row],[per unit IRA tax ($)]]/tbl_Data[[#This Row],[kWh Savings]]*tbl_Data[[#This Row],[Sum of Annuals]]</f>
        <v>1.5092090386388233</v>
      </c>
      <c r="AY47" s="81">
        <f>tbl_Data[[#This Row],[Avoided Costs ($/unit)]]/tbl_Data[[#This Row],[kWh Savings]]*tbl_Data[[#This Row],[Sum of Annuals]]</f>
        <v>0.19917789792291821</v>
      </c>
      <c r="AZ47" s="81">
        <f>tbl_Data[[#This Row],[Lost Revenue ($/unit)]]/tbl_Data[[#This Row],[kWh Savings]]*tbl_Data[[#This Row],[Sum of Annuals]]</f>
        <v>0.53506241868598359</v>
      </c>
      <c r="BA47" s="81">
        <f>tbl_Data[[#This Row],[Incremental Cost ($/unit)]]/tbl_Data[[#This Row],[kWh Savings]]*tbl_Data[[#This Row],[Sum of Annuals]]</f>
        <v>1.5661062193955066</v>
      </c>
      <c r="BB47" s="77">
        <f>ROUNDUP(tbl_Data[[#This Row],[Adjusted 2025]]/$L47,0)</f>
        <v>1</v>
      </c>
      <c r="BC47" s="77">
        <f>ROUNDUP(tbl_Data[[#This Row],[Adjusted 2026]]/$L47,0)</f>
        <v>1</v>
      </c>
      <c r="BD47" s="77">
        <f>ROUNDUP(tbl_Data[[#This Row],[Adjusted 2027]]/$L47,0)</f>
        <v>1</v>
      </c>
      <c r="BE47" s="77">
        <f>ROUNDUP(tbl_Data[[#This Row],[Adjusted 2028]]/$L47,0)</f>
        <v>1</v>
      </c>
      <c r="BF47" s="77">
        <f>ROUNDUP(tbl_Data[[#This Row],[Adjusted 2029]]/$L47,0)</f>
        <v>1</v>
      </c>
      <c r="BG47" s="77">
        <f>ROUNDUP(tbl_Data[[#This Row],[Adjusted 2030]]/$L47,0)</f>
        <v>1</v>
      </c>
      <c r="BH47" s="77">
        <f>ROUNDUP(tbl_Data[[#This Row],[Adjusted 2031]]/$L47,0)</f>
        <v>1</v>
      </c>
      <c r="BI47" s="77">
        <f>ROUNDUP(tbl_Data[[#This Row],[Adjusted 2032]]/$L47,0)</f>
        <v>1</v>
      </c>
      <c r="BJ47" s="77">
        <f>ROUNDUP(tbl_Data[[#This Row],[Adjusted 2033]]/$L47,0)</f>
        <v>1</v>
      </c>
      <c r="BK47" s="77">
        <f>ROUNDUP(tbl_Data[[#This Row],[Adjusted 2034]]/$L47,0)</f>
        <v>1</v>
      </c>
      <c r="BL47" s="80">
        <f t="shared" si="23"/>
        <v>4.0627939918815663</v>
      </c>
      <c r="BM47" s="77">
        <f t="shared" si="24"/>
        <v>8.5818985803947943</v>
      </c>
      <c r="BN47" s="77">
        <f t="shared" si="25"/>
        <v>13.521624318044823</v>
      </c>
      <c r="BO47" s="77">
        <f t="shared" si="26"/>
        <v>18.859123128631527</v>
      </c>
      <c r="BP47" s="77">
        <f t="shared" si="27"/>
        <v>24.575387461576121</v>
      </c>
      <c r="BQ47" s="77">
        <f t="shared" si="28"/>
        <v>30.637987949675114</v>
      </c>
      <c r="BR47" s="77">
        <f t="shared" si="29"/>
        <v>37.062215578673417</v>
      </c>
      <c r="BS47" s="77">
        <f t="shared" si="30"/>
        <v>43.879208923027527</v>
      </c>
      <c r="BT47" s="77">
        <f t="shared" si="31"/>
        <v>51.12527193731907</v>
      </c>
      <c r="BU47" s="77">
        <f t="shared" si="32"/>
        <v>58.839600802963041</v>
      </c>
      <c r="BV47" s="80">
        <f>IFERROR(VLOOKUP($H47,'1. Set Program Names'!$B$2:$D$15,3,0)*V47,"NA")</f>
        <v>1.6733806458886467</v>
      </c>
      <c r="BW47" s="80">
        <f>IFERROR(VLOOKUP($H47,'1. Set Program Names'!$B$2:$D$15,3,0)*W47,"NA")</f>
        <v>3.5347061697216691</v>
      </c>
      <c r="BX47" s="80">
        <f>IFERROR(VLOOKUP($H47,'1. Set Program Names'!$B$2:$D$15,3,0)*X47,"NA")</f>
        <v>5.5692768277218301</v>
      </c>
      <c r="BY47" s="80">
        <f>IFERROR(VLOOKUP($H47,'1. Set Program Names'!$B$2:$D$15,3,0)*Y47,"NA")</f>
        <v>7.7676819708172147</v>
      </c>
      <c r="BZ47" s="80">
        <f>IFERROR(VLOOKUP($H47,'1. Set Program Names'!$B$2:$D$15,3,0)*Z47,"NA")</f>
        <v>10.122092782846371</v>
      </c>
      <c r="CA47" s="80">
        <f>IFERROR(VLOOKUP($H47,'1. Set Program Names'!$B$2:$D$15,3,0)*AA47,"NA")</f>
        <v>12.619152279540549</v>
      </c>
      <c r="CB47" s="80">
        <f>IFERROR(VLOOKUP($H47,'1. Set Program Names'!$B$2:$D$15,3,0)*AB47,"NA")</f>
        <v>15.265158501030072</v>
      </c>
      <c r="CC47" s="80">
        <f>IFERROR(VLOOKUP($H47,'1. Set Program Names'!$B$2:$D$15,3,0)*AC47,"NA")</f>
        <v>18.07293678080223</v>
      </c>
      <c r="CD47" s="80">
        <f>IFERROR(VLOOKUP($H47,'1. Set Program Names'!$B$2:$D$15,3,0)*AD47,"NA")</f>
        <v>21.057439965367951</v>
      </c>
      <c r="CE47" s="80">
        <f>IFERROR(VLOOKUP($H47,'1. Set Program Names'!$B$2:$D$15,3,0)*AE47,"NA")</f>
        <v>24.234812149530878</v>
      </c>
    </row>
    <row r="48" spans="1:83" x14ac:dyDescent="0.25">
      <c r="A48" s="79" t="s">
        <v>115</v>
      </c>
      <c r="B48" s="79" t="s">
        <v>88</v>
      </c>
      <c r="C48" s="79" t="s">
        <v>89</v>
      </c>
      <c r="D48" s="79" t="s">
        <v>90</v>
      </c>
      <c r="E48" s="79" t="s">
        <v>91</v>
      </c>
      <c r="F48" s="79" t="s">
        <v>90</v>
      </c>
      <c r="G48" s="79" t="s">
        <v>92</v>
      </c>
      <c r="H48" s="79" t="s">
        <v>5</v>
      </c>
      <c r="I48" s="79" t="s">
        <v>299</v>
      </c>
      <c r="J48" s="79" t="s">
        <v>97</v>
      </c>
      <c r="K48" s="79" t="s">
        <v>102</v>
      </c>
      <c r="L48" s="79">
        <v>408.28</v>
      </c>
      <c r="M48" s="79">
        <v>0.16567198429270899</v>
      </c>
      <c r="N48" s="79">
        <v>2.3547919008134799E-2</v>
      </c>
      <c r="O48" s="79">
        <v>128.60999999999999</v>
      </c>
      <c r="P48" s="79">
        <v>29.691921599999901</v>
      </c>
      <c r="Q48" s="79">
        <v>121.35269540373299</v>
      </c>
      <c r="R48" s="79">
        <v>238.630335182902</v>
      </c>
      <c r="S48" s="79">
        <v>423.90838942107399</v>
      </c>
      <c r="T48" s="79">
        <v>11</v>
      </c>
      <c r="U48" s="79">
        <v>0.7</v>
      </c>
      <c r="V48" s="79">
        <f>tbl_Data_old[[#This Row],[2025 ]]*IFERROR(AVERAGEIFS('Participation Adjustment'!$C:$C,'Participation Adjustment'!$A:$A,$H48,'Participation Adjustment'!$B:$B,$I48),1)</f>
        <v>10.18443130792396</v>
      </c>
      <c r="W48" s="79">
        <f>tbl_Data_old[[#This Row],[2026 ]]*IFERROR(AVERAGEIFS('Participation Adjustment'!$C:$C,'Participation Adjustment'!$A:$A,$H48,'Participation Adjustment'!$B:$B,$I48),1)</f>
        <v>18.633870268647719</v>
      </c>
      <c r="X48" s="79">
        <f>tbl_Data_old[[#This Row],[2027 ]]*IFERROR(AVERAGEIFS('Participation Adjustment'!$C:$C,'Participation Adjustment'!$A:$A,$H48,'Participation Adjustment'!$B:$B,$I48),1)</f>
        <v>25.643976592912601</v>
      </c>
      <c r="Y48" s="79">
        <f>tbl_Data_old[[#This Row],[2028 ]]*IFERROR(AVERAGEIFS('Participation Adjustment'!$C:$C,'Participation Adjustment'!$A:$A,$H48,'Participation Adjustment'!$B:$B,$I48),1)</f>
        <v>31.484767607692</v>
      </c>
      <c r="Z48" s="79">
        <f>tbl_Data_old[[#This Row],[2029 ]]*IFERROR(AVERAGEIFS('Participation Adjustment'!$C:$C,'Participation Adjustment'!$A:$A,$H48,'Participation Adjustment'!$B:$B,$I48),1)</f>
        <v>36.3848721247276</v>
      </c>
      <c r="AA48" s="79">
        <f>tbl_Data_old[[#This Row],[2030 ]]*IFERROR(AVERAGEIFS('Participation Adjustment'!$C:$C,'Participation Adjustment'!$A:$A,$H48,'Participation Adjustment'!$B:$B,$I48),1)</f>
        <v>40.516965785218403</v>
      </c>
      <c r="AB48" s="79">
        <f>tbl_Data_old[[#This Row],[2031 ]]*IFERROR(AVERAGEIFS('Participation Adjustment'!$C:$C,'Participation Adjustment'!$A:$A,$H48,'Participation Adjustment'!$B:$B,$I48),1)</f>
        <v>44.052544013942999</v>
      </c>
      <c r="AC48" s="79">
        <f>tbl_Data_old[[#This Row],[2032 ]]*IFERROR(AVERAGEIFS('Participation Adjustment'!$C:$C,'Participation Adjustment'!$A:$A,$H48,'Participation Adjustment'!$B:$B,$I48),1)</f>
        <v>47.125674899598998</v>
      </c>
      <c r="AD48" s="79">
        <f>tbl_Data_old[[#This Row],[2033 ]]*IFERROR(AVERAGEIFS('Participation Adjustment'!$C:$C,'Participation Adjustment'!$A:$A,$H48,'Participation Adjustment'!$B:$B,$I48),1)</f>
        <v>49.8417962189056</v>
      </c>
      <c r="AE48" s="79">
        <f>tbl_Data_old[[#This Row],[2034 ]]*IFERROR(AVERAGEIFS('Participation Adjustment'!$C:$C,'Participation Adjustment'!$A:$A,$H48,'Participation Adjustment'!$B:$B,$I48),1)</f>
        <v>52.282257347205999</v>
      </c>
      <c r="AF48" s="77" t="str">
        <f t="shared" si="22"/>
        <v>Residential</v>
      </c>
      <c r="AG48" s="77" t="str">
        <f>tbl_Data[[#This Row],[All_Meas_Name_Append]]</f>
        <v>Smart Thermostat Residential</v>
      </c>
      <c r="AH48" s="77">
        <f>AVERAGEIFS('3. Incentive Adjustment'!G:G,'3. Incentive Adjustment'!A:A,tbl_Data[[#This Row],[Trimmed Sector]],'3. Incentive Adjustment'!B:B,tbl_Data[[#This Row],[Trimmed Measure Name]])</f>
        <v>1.1402432304340044</v>
      </c>
      <c r="AI48" s="77">
        <f>$AH48*tbl_Data[[#This Row],[2025 ]]</f>
        <v>11.61272885468043</v>
      </c>
      <c r="AJ48" s="77">
        <f>$AH48*tbl_Data[[#This Row],[2026 ]]</f>
        <v>21.247144430611026</v>
      </c>
      <c r="AK48" s="77">
        <f>$AH48*tbl_Data[[#This Row],[2027 ]]</f>
        <v>29.240370711476658</v>
      </c>
      <c r="AL48" s="77">
        <f>$AH48*tbl_Data[[#This Row],[2028 ]]</f>
        <v>35.900293126458628</v>
      </c>
      <c r="AM48" s="77">
        <f>$AH48*tbl_Data[[#This Row],[2029 ]]</f>
        <v>41.487604130427556</v>
      </c>
      <c r="AN48" s="77">
        <f>$AH48*tbl_Data[[#This Row],[2030 ]]</f>
        <v>46.199195954321461</v>
      </c>
      <c r="AO48" s="77">
        <f>$AH48*tbl_Data[[#This Row],[2031 ]]</f>
        <v>50.230615095294532</v>
      </c>
      <c r="AP48" s="77">
        <f>$AH48*tbl_Data[[#This Row],[2032 ]]</f>
        <v>53.734731783901438</v>
      </c>
      <c r="AQ48" s="77">
        <f>$AH48*tbl_Data[[#This Row],[2033 ]]</f>
        <v>56.831770731278269</v>
      </c>
      <c r="AR48" s="77">
        <f>$AH48*tbl_Data[[#This Row],[2034 ]]</f>
        <v>59.614490011960129</v>
      </c>
      <c r="AS48" s="77">
        <f>SUM(tbl_Data[[#This Row],[Adjusted 2025]:[Adjusted 2034]])</f>
        <v>406.09894483041012</v>
      </c>
      <c r="AT48" s="80">
        <f>AVERAGEIFS('3. Incentive Adjustment'!F:F,'3. Incentive Adjustment'!A:A,tbl_Data[[#This Row],[Trimmed Sector]],'3. Incentive Adjustment'!B:B,tbl_Data[[#This Row],[Trimmed Measure Name]])</f>
        <v>50</v>
      </c>
      <c r="AU48" s="80">
        <f>IFERROR(VLOOKUP(tbl_Data[[#This Row],[All_Meas_Name_Append]],'IRA Tax Credits'!$A$3:$D$46,4,0),0)</f>
        <v>0</v>
      </c>
      <c r="AV48" s="81">
        <f>tbl_Data[[#This Row],[Adj. per unit Incentive ($)]]/tbl_Data[[#This Row],[kWh Savings]]*tbl_Data[[#This Row],[Sum of Annuals]]</f>
        <v>49.732897133145165</v>
      </c>
      <c r="AW48" s="81">
        <f>IFERROR(VLOOKUP(tbl_Data[[#This Row],[Column1]],'1. Set Program Names'!$B$2:$D$15,3,0)*tbl_Data[[#This Row],[Sum of Annuals]],"")</f>
        <v>181.05663352031272</v>
      </c>
      <c r="AX48" s="81">
        <f>tbl_Data[[#This Row],[per unit IRA tax ($)]]/tbl_Data[[#This Row],[kWh Savings]]*tbl_Data[[#This Row],[Sum of Annuals]]</f>
        <v>0</v>
      </c>
      <c r="AY48" s="81">
        <f>tbl_Data[[#This Row],[Avoided Costs ($/unit)]]/tbl_Data[[#This Row],[kWh Savings]]*tbl_Data[[#This Row],[Sum of Annuals]]</f>
        <v>237.35555824998431</v>
      </c>
      <c r="AZ48" s="81">
        <f>tbl_Data[[#This Row],[Lost Revenue ($/unit)]]/tbl_Data[[#This Row],[kWh Savings]]*tbl_Data[[#This Row],[Sum of Annuals]]</f>
        <v>421.64384649911034</v>
      </c>
      <c r="BA48" s="81">
        <f>tbl_Data[[#This Row],[Incremental Cost ($/unit)]]/tbl_Data[[#This Row],[kWh Savings]]*tbl_Data[[#This Row],[Sum of Annuals]]</f>
        <v>127.92295800587598</v>
      </c>
      <c r="BB48" s="77">
        <f>ROUNDUP(tbl_Data[[#This Row],[Adjusted 2025]]/$L48,0)</f>
        <v>1</v>
      </c>
      <c r="BC48" s="77">
        <f>ROUNDUP(tbl_Data[[#This Row],[Adjusted 2026]]/$L48,0)</f>
        <v>1</v>
      </c>
      <c r="BD48" s="77">
        <f>ROUNDUP(tbl_Data[[#This Row],[Adjusted 2027]]/$L48,0)</f>
        <v>1</v>
      </c>
      <c r="BE48" s="77">
        <f>ROUNDUP(tbl_Data[[#This Row],[Adjusted 2028]]/$L48,0)</f>
        <v>1</v>
      </c>
      <c r="BF48" s="77">
        <f>ROUNDUP(tbl_Data[[#This Row],[Adjusted 2029]]/$L48,0)</f>
        <v>1</v>
      </c>
      <c r="BG48" s="77">
        <f>ROUNDUP(tbl_Data[[#This Row],[Adjusted 2030]]/$L48,0)</f>
        <v>1</v>
      </c>
      <c r="BH48" s="77">
        <f>ROUNDUP(tbl_Data[[#This Row],[Adjusted 2031]]/$L48,0)</f>
        <v>1</v>
      </c>
      <c r="BI48" s="77">
        <f>ROUNDUP(tbl_Data[[#This Row],[Adjusted 2032]]/$L48,0)</f>
        <v>1</v>
      </c>
      <c r="BJ48" s="77">
        <f>ROUNDUP(tbl_Data[[#This Row],[Adjusted 2033]]/$L48,0)</f>
        <v>1</v>
      </c>
      <c r="BK48" s="77">
        <f>ROUNDUP(tbl_Data[[#This Row],[Adjusted 2034]]/$L48,0)</f>
        <v>1</v>
      </c>
      <c r="BL48" s="80">
        <f t="shared" si="23"/>
        <v>1.2472361256887383</v>
      </c>
      <c r="BM48" s="77">
        <f t="shared" si="24"/>
        <v>2.2819964569226658</v>
      </c>
      <c r="BN48" s="77">
        <f t="shared" si="25"/>
        <v>3.1404889527912956</v>
      </c>
      <c r="BO48" s="77">
        <f t="shared" si="26"/>
        <v>3.8557812784966203</v>
      </c>
      <c r="BP48" s="77">
        <f t="shared" si="27"/>
        <v>4.4558724557567855</v>
      </c>
      <c r="BQ48" s="77">
        <f t="shared" si="28"/>
        <v>4.9619092026572948</v>
      </c>
      <c r="BR48" s="77">
        <f t="shared" si="29"/>
        <v>5.3948937021092149</v>
      </c>
      <c r="BS48" s="77">
        <f t="shared" si="30"/>
        <v>5.7712445992454935</v>
      </c>
      <c r="BT48" s="77">
        <f t="shared" si="31"/>
        <v>6.1038743287579118</v>
      </c>
      <c r="BU48" s="77">
        <f t="shared" si="32"/>
        <v>6.4027453398655343</v>
      </c>
      <c r="BV48" s="80">
        <f>IFERROR(VLOOKUP($H48,'1. Set Program Names'!$B$2:$D$15,3,0)*V48,"NA")</f>
        <v>4.54066396971713</v>
      </c>
      <c r="BW48" s="80">
        <f>IFERROR(VLOOKUP($H48,'1. Set Program Names'!$B$2:$D$15,3,0)*W48,"NA")</f>
        <v>8.3077926284800334</v>
      </c>
      <c r="BX48" s="80">
        <f>IFERROR(VLOOKUP($H48,'1. Set Program Names'!$B$2:$D$15,3,0)*X48,"NA")</f>
        <v>11.433203979206127</v>
      </c>
      <c r="BY48" s="80">
        <f>IFERROR(VLOOKUP($H48,'1. Set Program Names'!$B$2:$D$15,3,0)*Y48,"NA")</f>
        <v>14.037283530984512</v>
      </c>
      <c r="BZ48" s="80">
        <f>IFERROR(VLOOKUP($H48,'1. Set Program Names'!$B$2:$D$15,3,0)*Z48,"NA")</f>
        <v>16.221963986440123</v>
      </c>
      <c r="CA48" s="80">
        <f>IFERROR(VLOOKUP($H48,'1. Set Program Names'!$B$2:$D$15,3,0)*AA48,"NA")</f>
        <v>18.064231682731531</v>
      </c>
      <c r="CB48" s="80">
        <f>IFERROR(VLOOKUP($H48,'1. Set Program Names'!$B$2:$D$15,3,0)*AB48,"NA")</f>
        <v>19.640546765027331</v>
      </c>
      <c r="CC48" s="80">
        <f>IFERROR(VLOOKUP($H48,'1. Set Program Names'!$B$2:$D$15,3,0)*AC48,"NA")</f>
        <v>21.010682638580345</v>
      </c>
      <c r="CD48" s="80">
        <f>IFERROR(VLOOKUP($H48,'1. Set Program Names'!$B$2:$D$15,3,0)*AD48,"NA")</f>
        <v>22.221648066012747</v>
      </c>
      <c r="CE48" s="80">
        <f>IFERROR(VLOOKUP($H48,'1. Set Program Names'!$B$2:$D$15,3,0)*AE48,"NA")</f>
        <v>23.309712149291215</v>
      </c>
    </row>
    <row r="49" spans="1:83" x14ac:dyDescent="0.25">
      <c r="A49" s="79" t="s">
        <v>115</v>
      </c>
      <c r="B49" s="79" t="s">
        <v>88</v>
      </c>
      <c r="C49" s="79" t="s">
        <v>89</v>
      </c>
      <c r="D49" s="79" t="s">
        <v>90</v>
      </c>
      <c r="E49" s="79" t="s">
        <v>91</v>
      </c>
      <c r="F49" s="79" t="s">
        <v>90</v>
      </c>
      <c r="G49" s="79" t="s">
        <v>92</v>
      </c>
      <c r="H49" s="79"/>
      <c r="I49" s="79" t="s">
        <v>112</v>
      </c>
      <c r="J49" s="79" t="s">
        <v>94</v>
      </c>
      <c r="K49" s="79" t="s">
        <v>108</v>
      </c>
      <c r="L49" s="79">
        <v>1330.8133333333301</v>
      </c>
      <c r="M49" s="79">
        <v>5.33311142126306E-2</v>
      </c>
      <c r="N49" s="79">
        <v>0.24737910980336</v>
      </c>
      <c r="O49" s="79">
        <v>8990.02</v>
      </c>
      <c r="P49" s="79">
        <v>8776.4394094329891</v>
      </c>
      <c r="Q49" s="79">
        <v>395.55644430103399</v>
      </c>
      <c r="R49" s="79">
        <v>713.19672296706005</v>
      </c>
      <c r="S49" s="79">
        <v>2011.6258188035599</v>
      </c>
      <c r="T49" s="79">
        <v>20</v>
      </c>
      <c r="U49" s="79">
        <v>0.7</v>
      </c>
      <c r="V49" s="79">
        <f>tbl_Data_old[[#This Row],[2025 ]]*IFERROR(AVERAGEIFS('Participation Adjustment'!$C:$C,'Participation Adjustment'!$A:$A,$H49,'Participation Adjustment'!$B:$B,$I49),1)</f>
        <v>6.0539088745818601</v>
      </c>
      <c r="W49" s="79">
        <f>tbl_Data_old[[#This Row],[2026 ]]*IFERROR(AVERAGEIFS('Participation Adjustment'!$C:$C,'Participation Adjustment'!$A:$A,$H49,'Participation Adjustment'!$B:$B,$I49),1)</f>
        <v>12.791508207663</v>
      </c>
      <c r="X49" s="79">
        <f>tbl_Data_old[[#This Row],[2027 ]]*IFERROR(AVERAGEIFS('Participation Adjustment'!$C:$C,'Participation Adjustment'!$A:$A,$H49,'Participation Adjustment'!$B:$B,$I49),1)</f>
        <v>20.159946408858399</v>
      </c>
      <c r="Y49" s="79">
        <f>tbl_Data_old[[#This Row],[2028 ]]*IFERROR(AVERAGEIFS('Participation Adjustment'!$C:$C,'Participation Adjustment'!$A:$A,$H49,'Participation Adjustment'!$B:$B,$I49),1)</f>
        <v>28.125386157142302</v>
      </c>
      <c r="Z49" s="79">
        <f>tbl_Data_old[[#This Row],[2029 ]]*IFERROR(AVERAGEIFS('Participation Adjustment'!$C:$C,'Participation Adjustment'!$A:$A,$H49,'Participation Adjustment'!$B:$B,$I49),1)</f>
        <v>36.659621841130303</v>
      </c>
      <c r="AA49" s="79">
        <f>tbl_Data_old[[#This Row],[2030 ]]*IFERROR(AVERAGEIFS('Participation Adjustment'!$C:$C,'Participation Adjustment'!$A:$A,$H49,'Participation Adjustment'!$B:$B,$I49),1)</f>
        <v>45.714322998354397</v>
      </c>
      <c r="AB49" s="79">
        <f>tbl_Data_old[[#This Row],[2031 ]]*IFERROR(AVERAGEIFS('Participation Adjustment'!$C:$C,'Participation Adjustment'!$A:$A,$H49,'Participation Adjustment'!$B:$B,$I49),1)</f>
        <v>55.312369688093199</v>
      </c>
      <c r="AC49" s="79">
        <f>tbl_Data_old[[#This Row],[2032 ]]*IFERROR(AVERAGEIFS('Participation Adjustment'!$C:$C,'Participation Adjustment'!$A:$A,$H49,'Participation Adjustment'!$B:$B,$I49),1)</f>
        <v>65.500321714845697</v>
      </c>
      <c r="AD49" s="79">
        <f>tbl_Data_old[[#This Row],[2033 ]]*IFERROR(AVERAGEIFS('Participation Adjustment'!$C:$C,'Participation Adjustment'!$A:$A,$H49,'Participation Adjustment'!$B:$B,$I49),1)</f>
        <v>76.332476465288593</v>
      </c>
      <c r="AE49" s="79">
        <f>tbl_Data_old[[#This Row],[2034 ]]*IFERROR(AVERAGEIFS('Participation Adjustment'!$C:$C,'Participation Adjustment'!$A:$A,$H49,'Participation Adjustment'!$B:$B,$I49),1)</f>
        <v>87.867474326401606</v>
      </c>
      <c r="AF49" s="77" t="str">
        <f t="shared" si="22"/>
        <v>Residential</v>
      </c>
      <c r="AG49" s="77" t="str">
        <f>tbl_Data[[#This Row],[All_Meas_Name_Append]]</f>
        <v>Solar Thermal Water Heating System</v>
      </c>
      <c r="AH49" s="77">
        <f>AVERAGEIFS('3. Incentive Adjustment'!G:G,'3. Incentive Adjustment'!A:A,tbl_Data[[#This Row],[Trimmed Sector]],'3. Incentive Adjustment'!B:B,tbl_Data[[#This Row],[Trimmed Measure Name]])</f>
        <v>2.7736651842107431E-8</v>
      </c>
      <c r="AI49" s="77">
        <f>$AH49*tbl_Data[[#This Row],[2025 ]]</f>
        <v>1.6791516273812146E-7</v>
      </c>
      <c r="AJ49" s="77">
        <f>$AH49*tbl_Data[[#This Row],[2026 ]]</f>
        <v>3.5479360969140825E-7</v>
      </c>
      <c r="AK49" s="77">
        <f>$AH49*tbl_Data[[#This Row],[2027 ]]</f>
        <v>5.5916941469804937E-7</v>
      </c>
      <c r="AL49" s="77">
        <f>$AH49*tbl_Data[[#This Row],[2028 ]]</f>
        <v>7.801040437654839E-7</v>
      </c>
      <c r="AM49" s="77">
        <f>$AH49*tbl_Data[[#This Row],[2029 ]]</f>
        <v>1.0168151676707487E-6</v>
      </c>
      <c r="AN49" s="77">
        <f>$AH49*tbl_Data[[#This Row],[2030 ]]</f>
        <v>1.2679622612030005E-6</v>
      </c>
      <c r="AO49" s="77">
        <f>$AH49*tbl_Data[[#This Row],[2031 ]]</f>
        <v>1.5341799406005774E-6</v>
      </c>
      <c r="AP49" s="77">
        <f>$AH49*tbl_Data[[#This Row],[2032 ]]</f>
        <v>1.8167596189507042E-6</v>
      </c>
      <c r="AQ49" s="77">
        <f>$AH49*tbl_Data[[#This Row],[2033 ]]</f>
        <v>2.1172073239635688E-6</v>
      </c>
      <c r="AR49" s="77">
        <f>$AH49*tbl_Data[[#This Row],[2034 ]]</f>
        <v>2.4371495436367144E-6</v>
      </c>
      <c r="AS49" s="77">
        <f>SUM(tbl_Data[[#This Row],[Adjusted 2025]:[Adjusted 2034]])</f>
        <v>1.2052056086918376E-5</v>
      </c>
      <c r="AT49" s="80">
        <f>AVERAGEIFS('3. Incentive Adjustment'!F:F,'3. Incentive Adjustment'!A:A,tbl_Data[[#This Row],[Trimmed Sector]],'3. Incentive Adjustment'!B:B,tbl_Data[[#This Row],[Trimmed Measure Name]])</f>
        <v>0</v>
      </c>
      <c r="AU49" s="80">
        <f>IFERROR(VLOOKUP(tbl_Data[[#This Row],[All_Meas_Name_Append]],'IRA Tax Credits'!$A$3:$D$46,4,0),0)</f>
        <v>41666.666666666672</v>
      </c>
      <c r="AV49" s="81">
        <f>tbl_Data[[#This Row],[Adj. per unit Incentive ($)]]/tbl_Data[[#This Row],[kWh Savings]]*tbl_Data[[#This Row],[Sum of Annuals]]</f>
        <v>0</v>
      </c>
      <c r="AW49" s="81" t="str">
        <f>IFERROR(VLOOKUP(tbl_Data[[#This Row],[Column1]],'1. Set Program Names'!$B$2:$D$15,3,0)*tbl_Data[[#This Row],[Sum of Annuals]],"")</f>
        <v/>
      </c>
      <c r="AX49" s="81">
        <f>tbl_Data[[#This Row],[per unit IRA tax ($)]]/tbl_Data[[#This Row],[kWh Savings]]*tbl_Data[[#This Row],[Sum of Annuals]]</f>
        <v>3.7733992517478056E-4</v>
      </c>
      <c r="AY49" s="81">
        <f>tbl_Data[[#This Row],[Avoided Costs ($/unit)]]/tbl_Data[[#This Row],[kWh Savings]]*tbl_Data[[#This Row],[Sum of Annuals]]</f>
        <v>6.4588223539029388E-6</v>
      </c>
      <c r="AZ49" s="81">
        <f>tbl_Data[[#This Row],[Lost Revenue ($/unit)]]/tbl_Data[[#This Row],[kWh Savings]]*tbl_Data[[#This Row],[Sum of Annuals]]</f>
        <v>1.8217601662727806E-5</v>
      </c>
      <c r="BA49" s="81">
        <f>tbl_Data[[#This Row],[Incremental Cost ($/unit)]]/tbl_Data[[#This Row],[kWh Savings]]*tbl_Data[[#This Row],[Sum of Annuals]]</f>
        <v>8.141504337887473E-5</v>
      </c>
      <c r="BB49" s="77">
        <f>ROUNDUP(tbl_Data[[#This Row],[Adjusted 2025]]/$L49,0)</f>
        <v>1</v>
      </c>
      <c r="BC49" s="77">
        <f>ROUNDUP(tbl_Data[[#This Row],[Adjusted 2026]]/$L49,0)</f>
        <v>1</v>
      </c>
      <c r="BD49" s="77">
        <f>ROUNDUP(tbl_Data[[#This Row],[Adjusted 2027]]/$L49,0)</f>
        <v>1</v>
      </c>
      <c r="BE49" s="77">
        <f>ROUNDUP(tbl_Data[[#This Row],[Adjusted 2028]]/$L49,0)</f>
        <v>1</v>
      </c>
      <c r="BF49" s="77">
        <f>ROUNDUP(tbl_Data[[#This Row],[Adjusted 2029]]/$L49,0)</f>
        <v>1</v>
      </c>
      <c r="BG49" s="77">
        <f>ROUNDUP(tbl_Data[[#This Row],[Adjusted 2030]]/$L49,0)</f>
        <v>1</v>
      </c>
      <c r="BH49" s="77">
        <f>ROUNDUP(tbl_Data[[#This Row],[Adjusted 2031]]/$L49,0)</f>
        <v>1</v>
      </c>
      <c r="BI49" s="77">
        <f>ROUNDUP(tbl_Data[[#This Row],[Adjusted 2032]]/$L49,0)</f>
        <v>1</v>
      </c>
      <c r="BJ49" s="77">
        <f>ROUNDUP(tbl_Data[[#This Row],[Adjusted 2033]]/$L49,0)</f>
        <v>1</v>
      </c>
      <c r="BK49" s="77">
        <f>ROUNDUP(tbl_Data[[#This Row],[Adjusted 2034]]/$L49,0)</f>
        <v>1</v>
      </c>
      <c r="BL49" s="80">
        <f t="shared" si="23"/>
        <v>0</v>
      </c>
      <c r="BM49" s="77">
        <f t="shared" si="24"/>
        <v>0</v>
      </c>
      <c r="BN49" s="77">
        <f t="shared" si="25"/>
        <v>0</v>
      </c>
      <c r="BO49" s="77">
        <f t="shared" si="26"/>
        <v>0</v>
      </c>
      <c r="BP49" s="77">
        <f t="shared" si="27"/>
        <v>0</v>
      </c>
      <c r="BQ49" s="77">
        <f t="shared" si="28"/>
        <v>0</v>
      </c>
      <c r="BR49" s="77">
        <f t="shared" si="29"/>
        <v>0</v>
      </c>
      <c r="BS49" s="77">
        <f t="shared" si="30"/>
        <v>0</v>
      </c>
      <c r="BT49" s="77">
        <f t="shared" si="31"/>
        <v>0</v>
      </c>
      <c r="BU49" s="77">
        <f t="shared" si="32"/>
        <v>0</v>
      </c>
      <c r="BV49" s="80" t="str">
        <f>IFERROR(VLOOKUP($H49,'1. Set Program Names'!$B$2:$D$15,3,0)*V49,"NA")</f>
        <v>NA</v>
      </c>
      <c r="BW49" s="80" t="str">
        <f>IFERROR(VLOOKUP($H49,'1. Set Program Names'!$B$2:$D$15,3,0)*W49,"NA")</f>
        <v>NA</v>
      </c>
      <c r="BX49" s="80" t="str">
        <f>IFERROR(VLOOKUP($H49,'1. Set Program Names'!$B$2:$D$15,3,0)*X49,"NA")</f>
        <v>NA</v>
      </c>
      <c r="BY49" s="80" t="str">
        <f>IFERROR(VLOOKUP($H49,'1. Set Program Names'!$B$2:$D$15,3,0)*Y49,"NA")</f>
        <v>NA</v>
      </c>
      <c r="BZ49" s="80" t="str">
        <f>IFERROR(VLOOKUP($H49,'1. Set Program Names'!$B$2:$D$15,3,0)*Z49,"NA")</f>
        <v>NA</v>
      </c>
      <c r="CA49" s="80" t="str">
        <f>IFERROR(VLOOKUP($H49,'1. Set Program Names'!$B$2:$D$15,3,0)*AA49,"NA")</f>
        <v>NA</v>
      </c>
      <c r="CB49" s="80" t="str">
        <f>IFERROR(VLOOKUP($H49,'1. Set Program Names'!$B$2:$D$15,3,0)*AB49,"NA")</f>
        <v>NA</v>
      </c>
      <c r="CC49" s="80" t="str">
        <f>IFERROR(VLOOKUP($H49,'1. Set Program Names'!$B$2:$D$15,3,0)*AC49,"NA")</f>
        <v>NA</v>
      </c>
      <c r="CD49" s="80" t="str">
        <f>IFERROR(VLOOKUP($H49,'1. Set Program Names'!$B$2:$D$15,3,0)*AD49,"NA")</f>
        <v>NA</v>
      </c>
      <c r="CE49" s="80" t="str">
        <f>IFERROR(VLOOKUP($H49,'1. Set Program Names'!$B$2:$D$15,3,0)*AE49,"NA")</f>
        <v>NA</v>
      </c>
    </row>
    <row r="50" spans="1:83" x14ac:dyDescent="0.25">
      <c r="A50" s="79" t="s">
        <v>116</v>
      </c>
      <c r="B50" s="79" t="s">
        <v>88</v>
      </c>
      <c r="C50" s="79" t="s">
        <v>89</v>
      </c>
      <c r="D50" s="79" t="s">
        <v>90</v>
      </c>
      <c r="E50" s="79" t="s">
        <v>91</v>
      </c>
      <c r="F50" s="79" t="s">
        <v>90</v>
      </c>
      <c r="G50" s="79" t="s">
        <v>92</v>
      </c>
      <c r="H50" s="79" t="s">
        <v>5</v>
      </c>
      <c r="I50" s="79" t="s">
        <v>93</v>
      </c>
      <c r="J50" s="79" t="s">
        <v>94</v>
      </c>
      <c r="K50" s="79" t="s">
        <v>95</v>
      </c>
      <c r="L50" s="79">
        <v>1200.2266666666601</v>
      </c>
      <c r="M50" s="79">
        <v>4.8097974252120097E-2</v>
      </c>
      <c r="N50" s="79">
        <v>0.22310492157346501</v>
      </c>
      <c r="O50" s="79">
        <v>1210</v>
      </c>
      <c r="P50" s="79">
        <v>933.85922631496703</v>
      </c>
      <c r="Q50" s="79">
        <v>356.74228738962802</v>
      </c>
      <c r="R50" s="79">
        <v>571.53970184074296</v>
      </c>
      <c r="S50" s="79">
        <v>1535.35818196214</v>
      </c>
      <c r="T50" s="79">
        <v>15</v>
      </c>
      <c r="U50" s="79">
        <v>0.7</v>
      </c>
      <c r="V50" s="79">
        <f>tbl_Data_old[[#This Row],[2025 ]]*IFERROR(AVERAGEIFS('Participation Adjustment'!$C:$C,'Participation Adjustment'!$A:$A,$H50,'Participation Adjustment'!$B:$B,$I50),1)</f>
        <v>18.805552854819659</v>
      </c>
      <c r="W50" s="79">
        <f>tbl_Data_old[[#This Row],[2026 ]]*IFERROR(AVERAGEIFS('Participation Adjustment'!$C:$C,'Participation Adjustment'!$A:$A,$H50,'Participation Adjustment'!$B:$B,$I50),1)</f>
        <v>19.980216032770301</v>
      </c>
      <c r="X50" s="79">
        <f>tbl_Data_old[[#This Row],[2027 ]]*IFERROR(AVERAGEIFS('Participation Adjustment'!$C:$C,'Participation Adjustment'!$A:$A,$H50,'Participation Adjustment'!$B:$B,$I50),1)</f>
        <v>21.1464437130136</v>
      </c>
      <c r="Y50" s="79">
        <f>tbl_Data_old[[#This Row],[2028 ]]*IFERROR(AVERAGEIFS('Participation Adjustment'!$C:$C,'Participation Adjustment'!$A:$A,$H50,'Participation Adjustment'!$B:$B,$I50),1)</f>
        <v>22.339602686364401</v>
      </c>
      <c r="Z50" s="79">
        <f>tbl_Data_old[[#This Row],[2029 ]]*IFERROR(AVERAGEIFS('Participation Adjustment'!$C:$C,'Participation Adjustment'!$A:$A,$H50,'Participation Adjustment'!$B:$B,$I50),1)</f>
        <v>23.5584042582142</v>
      </c>
      <c r="AA50" s="79">
        <f>tbl_Data_old[[#This Row],[2030 ]]*IFERROR(AVERAGEIFS('Participation Adjustment'!$C:$C,'Participation Adjustment'!$A:$A,$H50,'Participation Adjustment'!$B:$B,$I50),1)</f>
        <v>24.7342354124156</v>
      </c>
      <c r="AB50" s="79">
        <f>tbl_Data_old[[#This Row],[2031 ]]*IFERROR(AVERAGEIFS('Participation Adjustment'!$C:$C,'Participation Adjustment'!$A:$A,$H50,'Participation Adjustment'!$B:$B,$I50),1)</f>
        <v>26.050300093751598</v>
      </c>
      <c r="AC50" s="79">
        <f>tbl_Data_old[[#This Row],[2032 ]]*IFERROR(AVERAGEIFS('Participation Adjustment'!$C:$C,'Participation Adjustment'!$A:$A,$H50,'Participation Adjustment'!$B:$B,$I50),1)</f>
        <v>27.559181882071801</v>
      </c>
      <c r="AD50" s="79">
        <f>tbl_Data_old[[#This Row],[2033 ]]*IFERROR(AVERAGEIFS('Participation Adjustment'!$C:$C,'Participation Adjustment'!$A:$A,$H50,'Participation Adjustment'!$B:$B,$I50),1)</f>
        <v>29.273304438707999</v>
      </c>
      <c r="AE50" s="79">
        <f>tbl_Data_old[[#This Row],[2034 ]]*IFERROR(AVERAGEIFS('Participation Adjustment'!$C:$C,'Participation Adjustment'!$A:$A,$H50,'Participation Adjustment'!$B:$B,$I50),1)</f>
        <v>31.1987288313994</v>
      </c>
      <c r="AF50" s="77" t="str">
        <f t="shared" si="22"/>
        <v>Residential</v>
      </c>
      <c r="AG50" s="77" t="str">
        <f>tbl_Data[[#This Row],[All_Meas_Name_Append]]</f>
        <v>120v Heat Pump Water Heater 50 Gallons</v>
      </c>
      <c r="AH50" s="77">
        <f>AVERAGEIFS('3. Incentive Adjustment'!G:G,'3. Incentive Adjustment'!A:A,tbl_Data[[#This Row],[Trimmed Sector]],'3. Incentive Adjustment'!B:B,tbl_Data[[#This Row],[Trimmed Measure Name]])</f>
        <v>0.38528347196238832</v>
      </c>
      <c r="AI50" s="77">
        <f>$AH50*tbl_Data[[#This Row],[2025 ]]</f>
        <v>7.245468696077122</v>
      </c>
      <c r="AJ50" s="77">
        <f>$AH50*tbl_Data[[#This Row],[2026 ]]</f>
        <v>7.6980470036643176</v>
      </c>
      <c r="AK50" s="77">
        <f>$AH50*tbl_Data[[#This Row],[2027 ]]</f>
        <v>8.1473752534070982</v>
      </c>
      <c r="AL50" s="77">
        <f>$AH50*tbl_Data[[#This Row],[2028 ]]</f>
        <v>8.6070796852627733</v>
      </c>
      <c r="AM50" s="77">
        <f>$AH50*tbl_Data[[#This Row],[2029 ]]</f>
        <v>9.0766637864982798</v>
      </c>
      <c r="AN50" s="77">
        <f>$AH50*tbl_Data[[#This Row],[2030 ]]</f>
        <v>9.5296920960305389</v>
      </c>
      <c r="AO50" s="77">
        <f>$AH50*tbl_Data[[#This Row],[2031 ]]</f>
        <v>10.036750065782746</v>
      </c>
      <c r="AP50" s="77">
        <f>$AH50*tbl_Data[[#This Row],[2032 ]]</f>
        <v>10.618097279967571</v>
      </c>
      <c r="AQ50" s="77">
        <f>$AH50*tbl_Data[[#This Row],[2033 ]]</f>
        <v>11.278520369957411</v>
      </c>
      <c r="AR50" s="77">
        <f>$AH50*tbl_Data[[#This Row],[2034 ]]</f>
        <v>12.020354564974626</v>
      </c>
      <c r="AS50" s="77">
        <f>SUM(tbl_Data[[#This Row],[Adjusted 2025]:[Adjusted 2034]])</f>
        <v>94.258048801622479</v>
      </c>
      <c r="AT50" s="80">
        <f>AVERAGEIFS('3. Incentive Adjustment'!F:F,'3. Incentive Adjustment'!A:A,tbl_Data[[#This Row],[Trimmed Sector]],'3. Incentive Adjustment'!B:B,tbl_Data[[#This Row],[Trimmed Measure Name]])</f>
        <v>500</v>
      </c>
      <c r="AU50" s="80">
        <f>IFERROR(VLOOKUP(tbl_Data[[#This Row],[All_Meas_Name_Append]],'IRA Tax Credits'!$A$3:$D$46,4,0),0)</f>
        <v>1666.6666666666667</v>
      </c>
      <c r="AV50" s="81">
        <f>tbl_Data[[#This Row],[Adj. per unit Incentive ($)]]/tbl_Data[[#This Row],[kWh Savings]]*tbl_Data[[#This Row],[Sum of Annuals]]</f>
        <v>39.266769944131241</v>
      </c>
      <c r="AW50" s="81">
        <f>IFERROR(VLOOKUP(tbl_Data[[#This Row],[Column1]],'1. Set Program Names'!$B$2:$D$15,3,0)*tbl_Data[[#This Row],[Sum of Annuals]],"")</f>
        <v>42.024351984814977</v>
      </c>
      <c r="AX50" s="81">
        <f>tbl_Data[[#This Row],[per unit IRA tax ($)]]/tbl_Data[[#This Row],[kWh Savings]]*tbl_Data[[#This Row],[Sum of Annuals]]</f>
        <v>130.88923314710414</v>
      </c>
      <c r="AY50" s="81">
        <f>tbl_Data[[#This Row],[Avoided Costs ($/unit)]]/tbl_Data[[#This Row],[kWh Savings]]*tbl_Data[[#This Row],[Sum of Annuals]]</f>
        <v>44.885035972235642</v>
      </c>
      <c r="AZ50" s="81">
        <f>tbl_Data[[#This Row],[Lost Revenue ($/unit)]]/tbl_Data[[#This Row],[kWh Savings]]*tbl_Data[[#This Row],[Sum of Annuals]]</f>
        <v>120.57711302589389</v>
      </c>
      <c r="BA50" s="81">
        <f>tbl_Data[[#This Row],[Incremental Cost ($/unit)]]/tbl_Data[[#This Row],[kWh Savings]]*tbl_Data[[#This Row],[Sum of Annuals]]</f>
        <v>95.025583264797604</v>
      </c>
      <c r="BB50" s="77">
        <f>ROUNDUP(tbl_Data[[#This Row],[Adjusted 2025]]/$L50,0)</f>
        <v>1</v>
      </c>
      <c r="BC50" s="77">
        <f>ROUNDUP(tbl_Data[[#This Row],[Adjusted 2026]]/$L50,0)</f>
        <v>1</v>
      </c>
      <c r="BD50" s="77">
        <f>ROUNDUP(tbl_Data[[#This Row],[Adjusted 2027]]/$L50,0)</f>
        <v>1</v>
      </c>
      <c r="BE50" s="77">
        <f>ROUNDUP(tbl_Data[[#This Row],[Adjusted 2028]]/$L50,0)</f>
        <v>1</v>
      </c>
      <c r="BF50" s="77">
        <f>ROUNDUP(tbl_Data[[#This Row],[Adjusted 2029]]/$L50,0)</f>
        <v>1</v>
      </c>
      <c r="BG50" s="77">
        <f>ROUNDUP(tbl_Data[[#This Row],[Adjusted 2030]]/$L50,0)</f>
        <v>1</v>
      </c>
      <c r="BH50" s="77">
        <f>ROUNDUP(tbl_Data[[#This Row],[Adjusted 2031]]/$L50,0)</f>
        <v>1</v>
      </c>
      <c r="BI50" s="77">
        <f>ROUNDUP(tbl_Data[[#This Row],[Adjusted 2032]]/$L50,0)</f>
        <v>1</v>
      </c>
      <c r="BJ50" s="77">
        <f>ROUNDUP(tbl_Data[[#This Row],[Adjusted 2033]]/$L50,0)</f>
        <v>1</v>
      </c>
      <c r="BK50" s="77">
        <f>ROUNDUP(tbl_Data[[#This Row],[Adjusted 2034]]/$L50,0)</f>
        <v>1</v>
      </c>
      <c r="BL50" s="80">
        <f t="shared" si="23"/>
        <v>7.8341672356970466</v>
      </c>
      <c r="BM50" s="77">
        <f t="shared" si="24"/>
        <v>8.3235177936266513</v>
      </c>
      <c r="BN50" s="77">
        <f t="shared" si="25"/>
        <v>8.8093542246243963</v>
      </c>
      <c r="BO50" s="77">
        <f t="shared" si="26"/>
        <v>9.3064099085580452</v>
      </c>
      <c r="BP50" s="77">
        <f t="shared" si="27"/>
        <v>9.8141479907466067</v>
      </c>
      <c r="BQ50" s="77">
        <f t="shared" si="28"/>
        <v>10.303985113540666</v>
      </c>
      <c r="BR50" s="77">
        <f t="shared" si="29"/>
        <v>10.85224183782719</v>
      </c>
      <c r="BS50" s="77">
        <f t="shared" si="30"/>
        <v>11.480823850802606</v>
      </c>
      <c r="BT50" s="77">
        <f t="shared" si="31"/>
        <v>12.19490670041832</v>
      </c>
      <c r="BU50" s="77">
        <f t="shared" si="32"/>
        <v>12.99701535462728</v>
      </c>
      <c r="BV50" s="80">
        <f>IFERROR(VLOOKUP($H50,'1. Set Program Names'!$B$2:$D$15,3,0)*V50,"NA")</f>
        <v>8.3843362183663199</v>
      </c>
      <c r="BW50" s="80">
        <f>IFERROR(VLOOKUP($H50,'1. Set Program Names'!$B$2:$D$15,3,0)*W50,"NA")</f>
        <v>8.9080523304799151</v>
      </c>
      <c r="BX50" s="80">
        <f>IFERROR(VLOOKUP($H50,'1. Set Program Names'!$B$2:$D$15,3,0)*X50,"NA")</f>
        <v>9.4280075295539589</v>
      </c>
      <c r="BY50" s="80">
        <f>IFERROR(VLOOKUP($H50,'1. Set Program Names'!$B$2:$D$15,3,0)*Y50,"NA")</f>
        <v>9.9599698744934759</v>
      </c>
      <c r="BZ50" s="80">
        <f>IFERROR(VLOOKUP($H50,'1. Set Program Names'!$B$2:$D$15,3,0)*Z50,"NA")</f>
        <v>10.503364808997786</v>
      </c>
      <c r="CA50" s="80">
        <f>IFERROR(VLOOKUP($H50,'1. Set Program Names'!$B$2:$D$15,3,0)*AA50,"NA")</f>
        <v>11.027601655899506</v>
      </c>
      <c r="CB50" s="80">
        <f>IFERROR(VLOOKUP($H50,'1. Set Program Names'!$B$2:$D$15,3,0)*AB50,"NA")</f>
        <v>11.614360729595663</v>
      </c>
      <c r="CC50" s="80">
        <f>IFERROR(VLOOKUP($H50,'1. Set Program Names'!$B$2:$D$15,3,0)*AC50,"NA")</f>
        <v>12.287086084958142</v>
      </c>
      <c r="CD50" s="80">
        <f>IFERROR(VLOOKUP($H50,'1. Set Program Names'!$B$2:$D$15,3,0)*AD50,"NA")</f>
        <v>13.051316732430983</v>
      </c>
      <c r="CE50" s="80">
        <f>IFERROR(VLOOKUP($H50,'1. Set Program Names'!$B$2:$D$15,3,0)*AE50,"NA")</f>
        <v>13.909754960543543</v>
      </c>
    </row>
    <row r="51" spans="1:83" x14ac:dyDescent="0.25">
      <c r="A51" s="79" t="s">
        <v>116</v>
      </c>
      <c r="B51" s="79" t="s">
        <v>88</v>
      </c>
      <c r="C51" s="79" t="s">
        <v>89</v>
      </c>
      <c r="D51" s="79" t="s">
        <v>90</v>
      </c>
      <c r="E51" s="79" t="s">
        <v>91</v>
      </c>
      <c r="F51" s="79" t="s">
        <v>90</v>
      </c>
      <c r="G51" s="79" t="s">
        <v>92</v>
      </c>
      <c r="H51" s="79" t="s">
        <v>5</v>
      </c>
      <c r="I51" s="79" t="s">
        <v>96</v>
      </c>
      <c r="J51" s="79" t="s">
        <v>97</v>
      </c>
      <c r="K51" s="79" t="s">
        <v>98</v>
      </c>
      <c r="L51" s="79">
        <v>5868.07</v>
      </c>
      <c r="M51" s="79">
        <v>0.20813520080661799</v>
      </c>
      <c r="N51" s="79">
        <v>1.1349578069705</v>
      </c>
      <c r="O51" s="79">
        <v>1935.1666666666599</v>
      </c>
      <c r="P51" s="79">
        <v>513.45064263862798</v>
      </c>
      <c r="Q51" s="79">
        <v>1744.1611426417701</v>
      </c>
      <c r="R51" s="79">
        <v>3388.0400735263802</v>
      </c>
      <c r="S51" s="79">
        <v>7811.7411984889604</v>
      </c>
      <c r="T51" s="79">
        <v>16</v>
      </c>
      <c r="U51" s="79">
        <v>0.7</v>
      </c>
      <c r="V51" s="79">
        <f>tbl_Data_old[[#This Row],[2025 ]]*IFERROR(AVERAGEIFS('Participation Adjustment'!$C:$C,'Participation Adjustment'!$A:$A,$H51,'Participation Adjustment'!$B:$B,$I51),1)</f>
        <v>114.0539295886674</v>
      </c>
      <c r="W51" s="79">
        <f>tbl_Data_old[[#This Row],[2026 ]]*IFERROR(AVERAGEIFS('Participation Adjustment'!$C:$C,'Participation Adjustment'!$A:$A,$H51,'Participation Adjustment'!$B:$B,$I51),1)</f>
        <v>120.75729475611359</v>
      </c>
      <c r="X51" s="79">
        <f>tbl_Data_old[[#This Row],[2027 ]]*IFERROR(AVERAGEIFS('Participation Adjustment'!$C:$C,'Participation Adjustment'!$A:$A,$H51,'Participation Adjustment'!$B:$B,$I51),1)</f>
        <v>127.355062884725</v>
      </c>
      <c r="Y51" s="79">
        <f>tbl_Data_old[[#This Row],[2028 ]]*IFERROR(AVERAGEIFS('Participation Adjustment'!$C:$C,'Participation Adjustment'!$A:$A,$H51,'Participation Adjustment'!$B:$B,$I51),1)</f>
        <v>134.05973103880319</v>
      </c>
      <c r="Z51" s="79">
        <f>tbl_Data_old[[#This Row],[2029 ]]*IFERROR(AVERAGEIFS('Participation Adjustment'!$C:$C,'Participation Adjustment'!$A:$A,$H51,'Participation Adjustment'!$B:$B,$I51),1)</f>
        <v>140.86169627164841</v>
      </c>
      <c r="AA51" s="79">
        <f>tbl_Data_old[[#This Row],[2030 ]]*IFERROR(AVERAGEIFS('Participation Adjustment'!$C:$C,'Participation Adjustment'!$A:$A,$H51,'Participation Adjustment'!$B:$B,$I51),1)</f>
        <v>147.3504843554544</v>
      </c>
      <c r="AB51" s="79">
        <f>tbl_Data_old[[#This Row],[2031 ]]*IFERROR(AVERAGEIFS('Participation Adjustment'!$C:$C,'Participation Adjustment'!$A:$A,$H51,'Participation Adjustment'!$B:$B,$I51),1)</f>
        <v>154.61635773948839</v>
      </c>
      <c r="AC51" s="79">
        <f>tbl_Data_old[[#This Row],[2032 ]]*IFERROR(AVERAGEIFS('Participation Adjustment'!$C:$C,'Participation Adjustment'!$A:$A,$H51,'Participation Adjustment'!$B:$B,$I51),1)</f>
        <v>162.96106786942721</v>
      </c>
      <c r="AD51" s="79">
        <f>tbl_Data_old[[#This Row],[2033 ]]*IFERROR(AVERAGEIFS('Participation Adjustment'!$C:$C,'Participation Adjustment'!$A:$A,$H51,'Participation Adjustment'!$B:$B,$I51),1)</f>
        <v>172.44508321057319</v>
      </c>
      <c r="AE51" s="79">
        <f>tbl_Data_old[[#This Row],[2034 ]]*IFERROR(AVERAGEIFS('Participation Adjustment'!$C:$C,'Participation Adjustment'!$A:$A,$H51,'Participation Adjustment'!$B:$B,$I51),1)</f>
        <v>183.09039393148959</v>
      </c>
      <c r="AF51" s="77" t="str">
        <f t="shared" si="22"/>
        <v>Residential</v>
      </c>
      <c r="AG51" s="77" t="str">
        <f>tbl_Data[[#This Row],[All_Meas_Name_Append]]</f>
        <v>ASHP - CEE Tier 2: 16.8 SEER/16 SEER2; 9.0 HSPF (from elec resistance)</v>
      </c>
      <c r="AH51" s="77">
        <f>AVERAGEIFS('3. Incentive Adjustment'!G:G,'3. Incentive Adjustment'!A:A,tbl_Data[[#This Row],[Trimmed Sector]],'3. Incentive Adjustment'!B:B,tbl_Data[[#This Row],[Trimmed Measure Name]])</f>
        <v>0.9303958662075158</v>
      </c>
      <c r="AI51" s="77">
        <f>$AH51*tbl_Data[[#This Row],[2025 ]]</f>
        <v>106.11530461401922</v>
      </c>
      <c r="AJ51" s="77">
        <f>$AH51*tbl_Data[[#This Row],[2026 ]]</f>
        <v>112.35208785549061</v>
      </c>
      <c r="AK51" s="77">
        <f>$AH51*tbl_Data[[#This Row],[2027 ]]</f>
        <v>118.49062404854637</v>
      </c>
      <c r="AL51" s="77">
        <f>$AH51*tbl_Data[[#This Row],[2028 ]]</f>
        <v>124.72861958339389</v>
      </c>
      <c r="AM51" s="77">
        <f>$AH51*tbl_Data[[#This Row],[2029 ]]</f>
        <v>131.05713991812033</v>
      </c>
      <c r="AN51" s="77">
        <f>$AH51*tbl_Data[[#This Row],[2030 ]]</f>
        <v>137.09428152799001</v>
      </c>
      <c r="AO51" s="77">
        <f>$AH51*tbl_Data[[#This Row],[2031 ]]</f>
        <v>143.85442008888245</v>
      </c>
      <c r="AP51" s="77">
        <f>$AH51*tbl_Data[[#This Row],[2032 ]]</f>
        <v>151.61830389847751</v>
      </c>
      <c r="AQ51" s="77">
        <f>$AH51*tbl_Data[[#This Row],[2033 ]]</f>
        <v>160.44219256692838</v>
      </c>
      <c r="AR51" s="77">
        <f>$AH51*tbl_Data[[#This Row],[2034 ]]</f>
        <v>170.34654565616356</v>
      </c>
      <c r="AS51" s="77">
        <f>SUM(tbl_Data[[#This Row],[Adjusted 2025]:[Adjusted 2034]])</f>
        <v>1356.0995197580123</v>
      </c>
      <c r="AT51" s="80">
        <f>AVERAGEIFS('3. Incentive Adjustment'!F:F,'3. Incentive Adjustment'!A:A,tbl_Data[[#This Row],[Trimmed Sector]],'3. Incentive Adjustment'!B:B,tbl_Data[[#This Row],[Trimmed Measure Name]])</f>
        <v>353</v>
      </c>
      <c r="AU51" s="80">
        <f>IFERROR(VLOOKUP(tbl_Data[[#This Row],[All_Meas_Name_Append]],'IRA Tax Credits'!$A$3:$D$46,4,0),0)</f>
        <v>0</v>
      </c>
      <c r="AV51" s="81">
        <f>tbl_Data[[#This Row],[Adj. per unit Incentive ($)]]/tbl_Data[[#This Row],[kWh Savings]]*tbl_Data[[#This Row],[Sum of Annuals]]</f>
        <v>81.577610777406946</v>
      </c>
      <c r="AW51" s="81">
        <f>IFERROR(VLOOKUP(tbl_Data[[#This Row],[Column1]],'1. Set Program Names'!$B$2:$D$15,3,0)*tbl_Data[[#This Row],[Sum of Annuals]],"")</f>
        <v>604.60835195824995</v>
      </c>
      <c r="AX51" s="81">
        <f>tbl_Data[[#This Row],[per unit IRA tax ($)]]/tbl_Data[[#This Row],[kWh Savings]]*tbl_Data[[#This Row],[Sum of Annuals]]</f>
        <v>0</v>
      </c>
      <c r="AY51" s="81">
        <f>tbl_Data[[#This Row],[Avoided Costs ($/unit)]]/tbl_Data[[#This Row],[kWh Savings]]*tbl_Data[[#This Row],[Sum of Annuals]]</f>
        <v>782.96944593878823</v>
      </c>
      <c r="AZ51" s="81">
        <f>tbl_Data[[#This Row],[Lost Revenue ($/unit)]]/tbl_Data[[#This Row],[kWh Savings]]*tbl_Data[[#This Row],[Sum of Annuals]]</f>
        <v>1805.2781387653454</v>
      </c>
      <c r="BA51" s="81">
        <f>tbl_Data[[#This Row],[Incremental Cost ($/unit)]]/tbl_Data[[#This Row],[kWh Savings]]*tbl_Data[[#This Row],[Sum of Annuals]]</f>
        <v>447.21323830805892</v>
      </c>
      <c r="BB51" s="77">
        <f>ROUNDUP(tbl_Data[[#This Row],[Adjusted 2025]]/$L51,0)</f>
        <v>1</v>
      </c>
      <c r="BC51" s="77">
        <f>ROUNDUP(tbl_Data[[#This Row],[Adjusted 2026]]/$L51,0)</f>
        <v>1</v>
      </c>
      <c r="BD51" s="77">
        <f>ROUNDUP(tbl_Data[[#This Row],[Adjusted 2027]]/$L51,0)</f>
        <v>1</v>
      </c>
      <c r="BE51" s="77">
        <f>ROUNDUP(tbl_Data[[#This Row],[Adjusted 2028]]/$L51,0)</f>
        <v>1</v>
      </c>
      <c r="BF51" s="77">
        <f>ROUNDUP(tbl_Data[[#This Row],[Adjusted 2029]]/$L51,0)</f>
        <v>1</v>
      </c>
      <c r="BG51" s="77">
        <f>ROUNDUP(tbl_Data[[#This Row],[Adjusted 2030]]/$L51,0)</f>
        <v>1</v>
      </c>
      <c r="BH51" s="77">
        <f>ROUNDUP(tbl_Data[[#This Row],[Adjusted 2031]]/$L51,0)</f>
        <v>1</v>
      </c>
      <c r="BI51" s="77">
        <f>ROUNDUP(tbl_Data[[#This Row],[Adjusted 2032]]/$L51,0)</f>
        <v>1</v>
      </c>
      <c r="BJ51" s="77">
        <f>ROUNDUP(tbl_Data[[#This Row],[Adjusted 2033]]/$L51,0)</f>
        <v>1</v>
      </c>
      <c r="BK51" s="77">
        <f>ROUNDUP(tbl_Data[[#This Row],[Adjusted 2034]]/$L51,0)</f>
        <v>1</v>
      </c>
      <c r="BL51" s="80">
        <f t="shared" si="23"/>
        <v>6.8610355951445019</v>
      </c>
      <c r="BM51" s="77">
        <f t="shared" si="24"/>
        <v>7.2642836654825356</v>
      </c>
      <c r="BN51" s="77">
        <f t="shared" si="25"/>
        <v>7.6611794334948167</v>
      </c>
      <c r="BO51" s="77">
        <f t="shared" si="26"/>
        <v>8.0645058863813031</v>
      </c>
      <c r="BP51" s="77">
        <f t="shared" si="27"/>
        <v>8.4736853486566943</v>
      </c>
      <c r="BQ51" s="77">
        <f t="shared" si="28"/>
        <v>8.864025306016357</v>
      </c>
      <c r="BR51" s="77">
        <f t="shared" si="29"/>
        <v>9.3011116571614529</v>
      </c>
      <c r="BS51" s="77">
        <f t="shared" si="30"/>
        <v>9.803096581654243</v>
      </c>
      <c r="BT51" s="77">
        <f t="shared" si="31"/>
        <v>10.373617624420353</v>
      </c>
      <c r="BU51" s="77">
        <f t="shared" si="32"/>
        <v>11.013997627467946</v>
      </c>
      <c r="BV51" s="80">
        <f>IFERROR(VLOOKUP($H51,'1. Set Program Names'!$B$2:$D$15,3,0)*V51,"NA")</f>
        <v>50.850219617562878</v>
      </c>
      <c r="BW51" s="80">
        <f>IFERROR(VLOOKUP($H51,'1. Set Program Names'!$B$2:$D$15,3,0)*W51,"NA")</f>
        <v>53.838872373068021</v>
      </c>
      <c r="BX51" s="80">
        <f>IFERROR(VLOOKUP($H51,'1. Set Program Names'!$B$2:$D$15,3,0)*X51,"NA")</f>
        <v>56.780445359948978</v>
      </c>
      <c r="BY51" s="80">
        <f>IFERROR(VLOOKUP($H51,'1. Set Program Names'!$B$2:$D$15,3,0)*Y51,"NA")</f>
        <v>59.769679043762636</v>
      </c>
      <c r="BZ51" s="80">
        <f>IFERROR(VLOOKUP($H51,'1. Set Program Names'!$B$2:$D$15,3,0)*Z51,"NA")</f>
        <v>62.802292011756101</v>
      </c>
      <c r="CA51" s="80">
        <f>IFERROR(VLOOKUP($H51,'1. Set Program Names'!$B$2:$D$15,3,0)*AA51,"NA")</f>
        <v>65.695276938302158</v>
      </c>
      <c r="CB51" s="80">
        <f>IFERROR(VLOOKUP($H51,'1. Set Program Names'!$B$2:$D$15,3,0)*AB51,"NA")</f>
        <v>68.934720407054371</v>
      </c>
      <c r="CC51" s="80">
        <f>IFERROR(VLOOKUP($H51,'1. Set Program Names'!$B$2:$D$15,3,0)*AC51,"NA")</f>
        <v>72.655156382234068</v>
      </c>
      <c r="CD51" s="80">
        <f>IFERROR(VLOOKUP($H51,'1. Set Program Names'!$B$2:$D$15,3,0)*AD51,"NA")</f>
        <v>76.883544344778471</v>
      </c>
      <c r="CE51" s="80">
        <f>IFERROR(VLOOKUP($H51,'1. Set Program Names'!$B$2:$D$15,3,0)*AE51,"NA")</f>
        <v>81.629688471579186</v>
      </c>
    </row>
    <row r="52" spans="1:83" x14ac:dyDescent="0.25">
      <c r="A52" s="79" t="s">
        <v>116</v>
      </c>
      <c r="B52" s="79" t="s">
        <v>88</v>
      </c>
      <c r="C52" s="79" t="s">
        <v>89</v>
      </c>
      <c r="D52" s="79" t="s">
        <v>90</v>
      </c>
      <c r="E52" s="79" t="s">
        <v>91</v>
      </c>
      <c r="F52" s="79" t="s">
        <v>90</v>
      </c>
      <c r="G52" s="79" t="s">
        <v>92</v>
      </c>
      <c r="H52" s="79" t="s">
        <v>5</v>
      </c>
      <c r="I52" s="79" t="s">
        <v>99</v>
      </c>
      <c r="J52" s="79" t="s">
        <v>97</v>
      </c>
      <c r="K52" s="79" t="s">
        <v>98</v>
      </c>
      <c r="L52" s="79">
        <v>253.96999999999801</v>
      </c>
      <c r="M52" s="79">
        <v>0.107126245482503</v>
      </c>
      <c r="N52" s="79">
        <v>1.33192706841354E-2</v>
      </c>
      <c r="O52" s="79">
        <v>874.99999999999898</v>
      </c>
      <c r="P52" s="79">
        <v>813.468148399999</v>
      </c>
      <c r="Q52" s="79">
        <v>75.487273566390598</v>
      </c>
      <c r="R52" s="79">
        <v>185.54516688855901</v>
      </c>
      <c r="S52" s="79">
        <v>338.09206641710699</v>
      </c>
      <c r="T52" s="79">
        <v>16</v>
      </c>
      <c r="U52" s="79">
        <v>0.7</v>
      </c>
      <c r="V52" s="79">
        <f>tbl_Data_old[[#This Row],[2025 ]]*IFERROR(AVERAGEIFS('Participation Adjustment'!$C:$C,'Participation Adjustment'!$A:$A,$H52,'Participation Adjustment'!$B:$B,$I52),1)</f>
        <v>6.8761845672941853</v>
      </c>
      <c r="W52" s="79">
        <f>tbl_Data_old[[#This Row],[2026 ]]*IFERROR(AVERAGEIFS('Participation Adjustment'!$C:$C,'Participation Adjustment'!$A:$A,$H52,'Participation Adjustment'!$B:$B,$I52),1)</f>
        <v>7.6774060225768057</v>
      </c>
      <c r="X52" s="79">
        <f>tbl_Data_old[[#This Row],[2027 ]]*IFERROR(AVERAGEIFS('Participation Adjustment'!$C:$C,'Participation Adjustment'!$A:$A,$H52,'Participation Adjustment'!$B:$B,$I52),1)</f>
        <v>8.4233136229312802</v>
      </c>
      <c r="Y52" s="79">
        <f>tbl_Data_old[[#This Row],[2028 ]]*IFERROR(AVERAGEIFS('Participation Adjustment'!$C:$C,'Participation Adjustment'!$A:$A,$H52,'Participation Adjustment'!$B:$B,$I52),1)</f>
        <v>9.1351565842826243</v>
      </c>
      <c r="Z52" s="79">
        <f>tbl_Data_old[[#This Row],[2029 ]]*IFERROR(AVERAGEIFS('Participation Adjustment'!$C:$C,'Participation Adjustment'!$A:$A,$H52,'Participation Adjustment'!$B:$B,$I52),1)</f>
        <v>9.8190642415260303</v>
      </c>
      <c r="AA52" s="79">
        <f>tbl_Data_old[[#This Row],[2030 ]]*IFERROR(AVERAGEIFS('Participation Adjustment'!$C:$C,'Participation Adjustment'!$A:$A,$H52,'Participation Adjustment'!$B:$B,$I52),1)</f>
        <v>10.451517156677205</v>
      </c>
      <c r="AB52" s="79">
        <f>tbl_Data_old[[#This Row],[2031 ]]*IFERROR(AVERAGEIFS('Participation Adjustment'!$C:$C,'Participation Adjustment'!$A:$A,$H52,'Participation Adjustment'!$B:$B,$I52),1)</f>
        <v>11.114459299458121</v>
      </c>
      <c r="AC52" s="79">
        <f>tbl_Data_old[[#This Row],[2032 ]]*IFERROR(AVERAGEIFS('Participation Adjustment'!$C:$C,'Participation Adjustment'!$A:$A,$H52,'Participation Adjustment'!$B:$B,$I52),1)</f>
        <v>11.835678413581034</v>
      </c>
      <c r="AD52" s="79">
        <f>tbl_Data_old[[#This Row],[2033 ]]*IFERROR(AVERAGEIFS('Participation Adjustment'!$C:$C,'Participation Adjustment'!$A:$A,$H52,'Participation Adjustment'!$B:$B,$I52),1)</f>
        <v>12.624739442568524</v>
      </c>
      <c r="AE52" s="79">
        <f>tbl_Data_old[[#This Row],[2034 ]]*IFERROR(AVERAGEIFS('Participation Adjustment'!$C:$C,'Participation Adjustment'!$A:$A,$H52,'Participation Adjustment'!$B:$B,$I52),1)</f>
        <v>13.487358719819024</v>
      </c>
      <c r="AF52" s="77" t="str">
        <f t="shared" si="22"/>
        <v>Residential</v>
      </c>
      <c r="AG52" s="77" t="str">
        <f>tbl_Data[[#This Row],[All_Meas_Name_Append]]</f>
        <v>ASHP - ENERGY STAR/CEE Tier 1: 16 SEER/15.2 SEER2_ 9.0 HSPF</v>
      </c>
      <c r="AH52" s="77">
        <f>AVERAGEIFS('3. Incentive Adjustment'!G:G,'3. Incentive Adjustment'!A:A,tbl_Data[[#This Row],[Trimmed Sector]],'3. Incentive Adjustment'!B:B,tbl_Data[[#This Row],[Trimmed Measure Name]])</f>
        <v>8.3636985731950567E-3</v>
      </c>
      <c r="AI52" s="77">
        <f>$AH52*tbl_Data[[#This Row],[2025 ]]</f>
        <v>5.7510335054504244E-2</v>
      </c>
      <c r="AJ52" s="77">
        <f>$AH52*tbl_Data[[#This Row],[2026 ]]</f>
        <v>6.4211509796864769E-2</v>
      </c>
      <c r="AK52" s="77">
        <f>$AH52*tbl_Data[[#This Row],[2027 ]]</f>
        <v>7.0450056129684829E-2</v>
      </c>
      <c r="AL52" s="77">
        <f>$AH52*tbl_Data[[#This Row],[2028 ]]</f>
        <v>7.6403696089878015E-2</v>
      </c>
      <c r="AM52" s="77">
        <f>$AH52*tbl_Data[[#This Row],[2029 ]]</f>
        <v>8.2123693586961866E-2</v>
      </c>
      <c r="AN52" s="77">
        <f>$AH52*tbl_Data[[#This Row],[2030 ]]</f>
        <v>8.7413339131024795E-2</v>
      </c>
      <c r="AO52" s="77">
        <f>$AH52*tbl_Data[[#This Row],[2031 ]]</f>
        <v>9.2957987384712407E-2</v>
      </c>
      <c r="AP52" s="77">
        <f>$AH52*tbl_Data[[#This Row],[2032 ]]</f>
        <v>9.8990046660463224E-2</v>
      </c>
      <c r="AQ52" s="77">
        <f>$AH52*tbl_Data[[#This Row],[2033 ]]</f>
        <v>0.10558951526276972</v>
      </c>
      <c r="AR52" s="77">
        <f>$AH52*tbl_Data[[#This Row],[2034 ]]</f>
        <v>0.11280420288112028</v>
      </c>
      <c r="AS52" s="77">
        <f>SUM(tbl_Data[[#This Row],[Adjusted 2025]:[Adjusted 2034]])</f>
        <v>0.84845438197798406</v>
      </c>
      <c r="AT52" s="80">
        <f>AVERAGEIFS('3. Incentive Adjustment'!F:F,'3. Incentive Adjustment'!A:A,tbl_Data[[#This Row],[Trimmed Sector]],'3. Incentive Adjustment'!B:B,tbl_Data[[#This Row],[Trimmed Measure Name]])</f>
        <v>353</v>
      </c>
      <c r="AU52" s="80">
        <f>IFERROR(VLOOKUP(tbl_Data[[#This Row],[All_Meas_Name_Append]],'IRA Tax Credits'!$A$3:$D$46,4,0),0)</f>
        <v>0</v>
      </c>
      <c r="AV52" s="81">
        <f>tbl_Data[[#This Row],[Adj. per unit Incentive ($)]]/tbl_Data[[#This Row],[kWh Savings]]*tbl_Data[[#This Row],[Sum of Annuals]]</f>
        <v>1.1792904549286558</v>
      </c>
      <c r="AW52" s="81">
        <f>IFERROR(VLOOKUP(tbl_Data[[#This Row],[Column1]],'1. Set Program Names'!$B$2:$D$15,3,0)*tbl_Data[[#This Row],[Sum of Annuals]],"")</f>
        <v>0.37827799370580339</v>
      </c>
      <c r="AX52" s="81">
        <f>tbl_Data[[#This Row],[per unit IRA tax ($)]]/tbl_Data[[#This Row],[kWh Savings]]*tbl_Data[[#This Row],[Sum of Annuals]]</f>
        <v>0</v>
      </c>
      <c r="AY52" s="81">
        <f>tbl_Data[[#This Row],[Avoided Costs ($/unit)]]/tbl_Data[[#This Row],[kWh Savings]]*tbl_Data[[#This Row],[Sum of Annuals]]</f>
        <v>0.61986301492867457</v>
      </c>
      <c r="AZ52" s="81">
        <f>tbl_Data[[#This Row],[Lost Revenue ($/unit)]]/tbl_Data[[#This Row],[kWh Savings]]*tbl_Data[[#This Row],[Sum of Annuals]]</f>
        <v>1.1294865348804515</v>
      </c>
      <c r="BA52" s="81">
        <f>tbl_Data[[#This Row],[Incremental Cost ($/unit)]]/tbl_Data[[#This Row],[kWh Savings]]*tbl_Data[[#This Row],[Sum of Annuals]]</f>
        <v>2.9231703911121039</v>
      </c>
      <c r="BB52" s="77">
        <f>ROUNDUP(tbl_Data[[#This Row],[Adjusted 2025]]/$L52,0)</f>
        <v>1</v>
      </c>
      <c r="BC52" s="77">
        <f>ROUNDUP(tbl_Data[[#This Row],[Adjusted 2026]]/$L52,0)</f>
        <v>1</v>
      </c>
      <c r="BD52" s="77">
        <f>ROUNDUP(tbl_Data[[#This Row],[Adjusted 2027]]/$L52,0)</f>
        <v>1</v>
      </c>
      <c r="BE52" s="77">
        <f>ROUNDUP(tbl_Data[[#This Row],[Adjusted 2028]]/$L52,0)</f>
        <v>1</v>
      </c>
      <c r="BF52" s="77">
        <f>ROUNDUP(tbl_Data[[#This Row],[Adjusted 2029]]/$L52,0)</f>
        <v>1</v>
      </c>
      <c r="BG52" s="77">
        <f>ROUNDUP(tbl_Data[[#This Row],[Adjusted 2030]]/$L52,0)</f>
        <v>1</v>
      </c>
      <c r="BH52" s="77">
        <f>ROUNDUP(tbl_Data[[#This Row],[Adjusted 2031]]/$L52,0)</f>
        <v>1</v>
      </c>
      <c r="BI52" s="77">
        <f>ROUNDUP(tbl_Data[[#This Row],[Adjusted 2032]]/$L52,0)</f>
        <v>1</v>
      </c>
      <c r="BJ52" s="77">
        <f>ROUNDUP(tbl_Data[[#This Row],[Adjusted 2033]]/$L52,0)</f>
        <v>1</v>
      </c>
      <c r="BK52" s="77">
        <f>ROUNDUP(tbl_Data[[#This Row],[Adjusted 2034]]/$L52,0)</f>
        <v>1</v>
      </c>
      <c r="BL52" s="80">
        <f t="shared" si="23"/>
        <v>9.5574010798711129</v>
      </c>
      <c r="BM52" s="77">
        <f t="shared" si="24"/>
        <v>10.671041170097388</v>
      </c>
      <c r="BN52" s="77">
        <f t="shared" si="25"/>
        <v>11.707798987655098</v>
      </c>
      <c r="BO52" s="77">
        <f t="shared" si="26"/>
        <v>12.697209411551725</v>
      </c>
      <c r="BP52" s="77">
        <f t="shared" si="27"/>
        <v>13.647791775637737</v>
      </c>
      <c r="BQ52" s="77">
        <f t="shared" si="28"/>
        <v>14.526855755825816</v>
      </c>
      <c r="BR52" s="77">
        <f t="shared" si="29"/>
        <v>15.448297565494929</v>
      </c>
      <c r="BS52" s="77">
        <f t="shared" si="30"/>
        <v>16.450740166138274</v>
      </c>
      <c r="BT52" s="77">
        <f t="shared" si="31"/>
        <v>17.547478140043012</v>
      </c>
      <c r="BU52" s="77">
        <f t="shared" si="32"/>
        <v>18.746456778738249</v>
      </c>
      <c r="BV52" s="80">
        <f>IFERROR(VLOOKUP($H52,'1. Set Program Names'!$B$2:$D$15,3,0)*V52,"NA")</f>
        <v>3.0657031865436775</v>
      </c>
      <c r="BW52" s="80">
        <f>IFERROR(VLOOKUP($H52,'1. Set Program Names'!$B$2:$D$15,3,0)*W52,"NA")</f>
        <v>3.4229226800794166</v>
      </c>
      <c r="BX52" s="80">
        <f>IFERROR(VLOOKUP($H52,'1. Set Program Names'!$B$2:$D$15,3,0)*X52,"NA")</f>
        <v>3.7554808429522466</v>
      </c>
      <c r="BY52" s="80">
        <f>IFERROR(VLOOKUP($H52,'1. Set Program Names'!$B$2:$D$15,3,0)*Y52,"NA")</f>
        <v>4.0728515030292565</v>
      </c>
      <c r="BZ52" s="80">
        <f>IFERROR(VLOOKUP($H52,'1. Set Program Names'!$B$2:$D$15,3,0)*Z52,"NA")</f>
        <v>4.3777673853174157</v>
      </c>
      <c r="CA52" s="80">
        <f>IFERROR(VLOOKUP($H52,'1. Set Program Names'!$B$2:$D$15,3,0)*AA52,"NA")</f>
        <v>4.6597424978732978</v>
      </c>
      <c r="CB52" s="80">
        <f>IFERROR(VLOOKUP($H52,'1. Set Program Names'!$B$2:$D$15,3,0)*AB52,"NA")</f>
        <v>4.955311038788321</v>
      </c>
      <c r="CC52" s="80">
        <f>IFERROR(VLOOKUP($H52,'1. Set Program Names'!$B$2:$D$15,3,0)*AC52,"NA")</f>
        <v>5.2768619969867689</v>
      </c>
      <c r="CD52" s="80">
        <f>IFERROR(VLOOKUP($H52,'1. Set Program Names'!$B$2:$D$15,3,0)*AD52,"NA")</f>
        <v>5.6286598417465239</v>
      </c>
      <c r="CE52" s="80">
        <f>IFERROR(VLOOKUP($H52,'1. Set Program Names'!$B$2:$D$15,3,0)*AE52,"NA")</f>
        <v>6.0132531639821281</v>
      </c>
    </row>
    <row r="53" spans="1:83" x14ac:dyDescent="0.25">
      <c r="A53" s="79" t="s">
        <v>116</v>
      </c>
      <c r="B53" s="79" t="s">
        <v>88</v>
      </c>
      <c r="C53" s="79" t="s">
        <v>89</v>
      </c>
      <c r="D53" s="79" t="s">
        <v>90</v>
      </c>
      <c r="E53" s="79" t="s">
        <v>91</v>
      </c>
      <c r="F53" s="79" t="s">
        <v>90</v>
      </c>
      <c r="G53" s="79" t="s">
        <v>92</v>
      </c>
      <c r="H53" s="79" t="s">
        <v>5</v>
      </c>
      <c r="I53" s="79" t="s">
        <v>100</v>
      </c>
      <c r="J53" s="79" t="s">
        <v>101</v>
      </c>
      <c r="K53" s="79" t="s">
        <v>102</v>
      </c>
      <c r="L53" s="79">
        <v>3443.6666666666601</v>
      </c>
      <c r="M53" s="79">
        <v>1.66949913665645</v>
      </c>
      <c r="N53" s="79">
        <v>0.25022957227107101</v>
      </c>
      <c r="O53" s="79">
        <v>1269.26999999999</v>
      </c>
      <c r="P53" s="79">
        <v>446.40188399649003</v>
      </c>
      <c r="Q53" s="79">
        <v>1023.5579310081</v>
      </c>
      <c r="R53" s="79">
        <v>3363.3816217672702</v>
      </c>
      <c r="S53" s="79">
        <v>6252.5618237134204</v>
      </c>
      <c r="T53" s="79">
        <v>30</v>
      </c>
      <c r="U53" s="79">
        <v>0.9</v>
      </c>
      <c r="V53" s="79">
        <f>tbl_Data_old[[#This Row],[2025 ]]*IFERROR(AVERAGEIFS('Participation Adjustment'!$C:$C,'Participation Adjustment'!$A:$A,$H53,'Participation Adjustment'!$B:$B,$I53),1)</f>
        <v>0.16130897897149801</v>
      </c>
      <c r="W53" s="79">
        <f>tbl_Data_old[[#This Row],[2026 ]]*IFERROR(AVERAGEIFS('Participation Adjustment'!$C:$C,'Participation Adjustment'!$A:$A,$H53,'Participation Adjustment'!$B:$B,$I53),1)</f>
        <v>0.15612761219888199</v>
      </c>
      <c r="X53" s="79">
        <f>tbl_Data_old[[#This Row],[2027 ]]*IFERROR(AVERAGEIFS('Participation Adjustment'!$C:$C,'Participation Adjustment'!$A:$A,$H53,'Participation Adjustment'!$B:$B,$I53),1)</f>
        <v>0.15125870570604499</v>
      </c>
      <c r="Y53" s="79">
        <f>tbl_Data_old[[#This Row],[2028 ]]*IFERROR(AVERAGEIFS('Participation Adjustment'!$C:$C,'Participation Adjustment'!$A:$A,$H53,'Participation Adjustment'!$B:$B,$I53),1)</f>
        <v>0.14685493464619401</v>
      </c>
      <c r="Z53" s="79">
        <f>tbl_Data_old[[#This Row],[2029 ]]*IFERROR(AVERAGEIFS('Participation Adjustment'!$C:$C,'Participation Adjustment'!$A:$A,$H53,'Participation Adjustment'!$B:$B,$I53),1)</f>
        <v>0.14279759158622701</v>
      </c>
      <c r="AA53" s="79">
        <f>tbl_Data_old[[#This Row],[2030 ]]*IFERROR(AVERAGEIFS('Participation Adjustment'!$C:$C,'Participation Adjustment'!$A:$A,$H53,'Participation Adjustment'!$B:$B,$I53),1)</f>
        <v>0.13862070723226499</v>
      </c>
      <c r="AB53" s="79">
        <f>tbl_Data_old[[#This Row],[2031 ]]*IFERROR(AVERAGEIFS('Participation Adjustment'!$C:$C,'Participation Adjustment'!$A:$A,$H53,'Participation Adjustment'!$B:$B,$I53),1)</f>
        <v>0.13529875462220201</v>
      </c>
      <c r="AC53" s="79">
        <f>tbl_Data_old[[#This Row],[2032 ]]*IFERROR(AVERAGEIFS('Participation Adjustment'!$C:$C,'Participation Adjustment'!$A:$A,$H53,'Participation Adjustment'!$B:$B,$I53),1)</f>
        <v>0.13290255829573899</v>
      </c>
      <c r="AD53" s="79">
        <f>tbl_Data_old[[#This Row],[2033 ]]*IFERROR(AVERAGEIFS('Participation Adjustment'!$C:$C,'Participation Adjustment'!$A:$A,$H53,'Participation Adjustment'!$B:$B,$I53),1)</f>
        <v>0.13128780690848699</v>
      </c>
      <c r="AE53" s="79">
        <f>tbl_Data_old[[#This Row],[2034 ]]*IFERROR(AVERAGEIFS('Participation Adjustment'!$C:$C,'Participation Adjustment'!$A:$A,$H53,'Participation Adjustment'!$B:$B,$I53),1)</f>
        <v>0.13030510442366799</v>
      </c>
      <c r="AF53" s="77" t="str">
        <f t="shared" si="22"/>
        <v>Residential</v>
      </c>
      <c r="AG53" s="77" t="str">
        <f>tbl_Data[[#This Row],[All_Meas_Name_Append]]</f>
        <v>Ceiling Insulation(R2 to R38) Residential</v>
      </c>
      <c r="AH53" s="77">
        <f>AVERAGEIFS('3. Incentive Adjustment'!G:G,'3. Incentive Adjustment'!A:A,tbl_Data[[#This Row],[Trimmed Sector]],'3. Incentive Adjustment'!B:B,tbl_Data[[#This Row],[Trimmed Measure Name]])</f>
        <v>0.80543313072084111</v>
      </c>
      <c r="AI53" s="77">
        <f>$AH53*tbl_Data[[#This Row],[2025 ]]</f>
        <v>0.12992359594639596</v>
      </c>
      <c r="AJ53" s="77">
        <f>$AH53*tbl_Data[[#This Row],[2026 ]]</f>
        <v>0.12575035148531491</v>
      </c>
      <c r="AK53" s="77">
        <f>$AH53*tbl_Data[[#This Row],[2027 ]]</f>
        <v>0.12182877288560218</v>
      </c>
      <c r="AL53" s="77">
        <f>$AH53*tbl_Data[[#This Row],[2028 ]]</f>
        <v>0.11828182977388856</v>
      </c>
      <c r="AM53" s="77">
        <f>$AH53*tbl_Data[[#This Row],[2029 ]]</f>
        <v>0.11501391125069087</v>
      </c>
      <c r="AN53" s="77">
        <f>$AH53*tbl_Data[[#This Row],[2030 ]]</f>
        <v>0.11164971020882034</v>
      </c>
      <c r="AO53" s="77">
        <f>$AH53*tbl_Data[[#This Row],[2031 ]]</f>
        <v>0.10897409951799103</v>
      </c>
      <c r="AP53" s="77">
        <f>$AH53*tbl_Data[[#This Row],[2032 ]]</f>
        <v>0.10704412360894615</v>
      </c>
      <c r="AQ53" s="77">
        <f>$AH53*tbl_Data[[#This Row],[2033 ]]</f>
        <v>0.10574354934377594</v>
      </c>
      <c r="AR53" s="77">
        <f>$AH53*tbl_Data[[#This Row],[2034 ]]</f>
        <v>0.10495204820486104</v>
      </c>
      <c r="AS53" s="77">
        <f>SUM(tbl_Data[[#This Row],[Adjusted 2025]:[Adjusted 2034]])</f>
        <v>1.1491619922262868</v>
      </c>
      <c r="AT53" s="80">
        <f>AVERAGEIFS('3. Incentive Adjustment'!F:F,'3. Incentive Adjustment'!A:A,tbl_Data[[#This Row],[Trimmed Sector]],'3. Incentive Adjustment'!B:B,tbl_Data[[#This Row],[Trimmed Measure Name]])</f>
        <v>164</v>
      </c>
      <c r="AU53" s="80">
        <f>IFERROR(VLOOKUP(tbl_Data[[#This Row],[All_Meas_Name_Append]],'IRA Tax Credits'!$A$3:$D$46,4,0),0)</f>
        <v>0</v>
      </c>
      <c r="AV53" s="81">
        <f>tbl_Data[[#This Row],[Adj. per unit Incentive ($)]]/tbl_Data[[#This Row],[kWh Savings]]*tbl_Data[[#This Row],[Sum of Annuals]]</f>
        <v>5.4727296503275014E-2</v>
      </c>
      <c r="AW53" s="81">
        <f>IFERROR(VLOOKUP(tbl_Data[[#This Row],[Column1]],'1. Set Program Names'!$B$2:$D$15,3,0)*tbl_Data[[#This Row],[Sum of Annuals]],"")</f>
        <v>0.51234657053560206</v>
      </c>
      <c r="AX53" s="81">
        <f>tbl_Data[[#This Row],[per unit IRA tax ($)]]/tbl_Data[[#This Row],[kWh Savings]]*tbl_Data[[#This Row],[Sum of Annuals]]</f>
        <v>0</v>
      </c>
      <c r="AY53" s="81">
        <f>tbl_Data[[#This Row],[Avoided Costs ($/unit)]]/tbl_Data[[#This Row],[kWh Savings]]*tbl_Data[[#This Row],[Sum of Annuals]]</f>
        <v>1.1223706296836791</v>
      </c>
      <c r="AZ53" s="81">
        <f>tbl_Data[[#This Row],[Lost Revenue ($/unit)]]/tbl_Data[[#This Row],[kWh Savings]]*tbl_Data[[#This Row],[Sum of Annuals]]</f>
        <v>2.0864988099476971</v>
      </c>
      <c r="BA53" s="81">
        <f>tbl_Data[[#This Row],[Incremental Cost ($/unit)]]/tbl_Data[[#This Row],[kWh Savings]]*tbl_Data[[#This Row],[Sum of Annuals]]</f>
        <v>0.42355924166287395</v>
      </c>
      <c r="BB53" s="77">
        <f>ROUNDUP(tbl_Data[[#This Row],[Adjusted 2025]]/$L53,0)</f>
        <v>1</v>
      </c>
      <c r="BC53" s="77">
        <f>ROUNDUP(tbl_Data[[#This Row],[Adjusted 2026]]/$L53,0)</f>
        <v>1</v>
      </c>
      <c r="BD53" s="77">
        <f>ROUNDUP(tbl_Data[[#This Row],[Adjusted 2027]]/$L53,0)</f>
        <v>1</v>
      </c>
      <c r="BE53" s="77">
        <f>ROUNDUP(tbl_Data[[#This Row],[Adjusted 2028]]/$L53,0)</f>
        <v>1</v>
      </c>
      <c r="BF53" s="77">
        <f>ROUNDUP(tbl_Data[[#This Row],[Adjusted 2029]]/$L53,0)</f>
        <v>1</v>
      </c>
      <c r="BG53" s="77">
        <f>ROUNDUP(tbl_Data[[#This Row],[Adjusted 2030]]/$L53,0)</f>
        <v>1</v>
      </c>
      <c r="BH53" s="77">
        <f>ROUNDUP(tbl_Data[[#This Row],[Adjusted 2031]]/$L53,0)</f>
        <v>1</v>
      </c>
      <c r="BI53" s="77">
        <f>ROUNDUP(tbl_Data[[#This Row],[Adjusted 2032]]/$L53,0)</f>
        <v>1</v>
      </c>
      <c r="BJ53" s="77">
        <f>ROUNDUP(tbl_Data[[#This Row],[Adjusted 2033]]/$L53,0)</f>
        <v>1</v>
      </c>
      <c r="BK53" s="77">
        <f>ROUNDUP(tbl_Data[[#This Row],[Adjusted 2034]]/$L53,0)</f>
        <v>1</v>
      </c>
      <c r="BL53" s="80">
        <f t="shared" si="23"/>
        <v>7.6821234782670769E-3</v>
      </c>
      <c r="BM53" s="77">
        <f t="shared" si="24"/>
        <v>7.4353678445310311E-3</v>
      </c>
      <c r="BN53" s="77">
        <f t="shared" si="25"/>
        <v>7.2034927119711814E-3</v>
      </c>
      <c r="BO53" s="77">
        <f t="shared" si="26"/>
        <v>6.9937690297093786E-3</v>
      </c>
      <c r="BP53" s="77">
        <f t="shared" si="27"/>
        <v>6.8005435156735863E-3</v>
      </c>
      <c r="BQ53" s="77">
        <f t="shared" si="28"/>
        <v>6.6016250080606432E-3</v>
      </c>
      <c r="BR53" s="77">
        <f t="shared" si="29"/>
        <v>6.4434214765389129E-3</v>
      </c>
      <c r="BS53" s="77">
        <f t="shared" si="30"/>
        <v>6.3293058446910952E-3</v>
      </c>
      <c r="BT53" s="77">
        <f t="shared" si="31"/>
        <v>6.2524054785573239E-3</v>
      </c>
      <c r="BU53" s="77">
        <f t="shared" si="32"/>
        <v>6.2056055925316786E-3</v>
      </c>
      <c r="BV53" s="80">
        <f>IFERROR(VLOOKUP($H53,'1. Set Program Names'!$B$2:$D$15,3,0)*V53,"NA")</f>
        <v>7.1918583047230061E-2</v>
      </c>
      <c r="BW53" s="80">
        <f>IFERROR(VLOOKUP($H53,'1. Set Program Names'!$B$2:$D$15,3,0)*W53,"NA")</f>
        <v>6.9608503602735003E-2</v>
      </c>
      <c r="BX53" s="80">
        <f>IFERROR(VLOOKUP($H53,'1. Set Program Names'!$B$2:$D$15,3,0)*X53,"NA")</f>
        <v>6.7437732588083873E-2</v>
      </c>
      <c r="BY53" s="80">
        <f>IFERROR(VLOOKUP($H53,'1. Set Program Names'!$B$2:$D$15,3,0)*Y53,"NA")</f>
        <v>6.5474339249980598E-2</v>
      </c>
      <c r="BZ53" s="80">
        <f>IFERROR(VLOOKUP($H53,'1. Set Program Names'!$B$2:$D$15,3,0)*Z53,"NA")</f>
        <v>6.366539863384231E-2</v>
      </c>
      <c r="CA53" s="80">
        <f>IFERROR(VLOOKUP($H53,'1. Set Program Names'!$B$2:$D$15,3,0)*AA53,"NA")</f>
        <v>6.1803161291541786E-2</v>
      </c>
      <c r="CB53" s="80">
        <f>IFERROR(VLOOKUP($H53,'1. Set Program Names'!$B$2:$D$15,3,0)*AB53,"NA")</f>
        <v>6.0322089833591566E-2</v>
      </c>
      <c r="CC53" s="80">
        <f>IFERROR(VLOOKUP($H53,'1. Set Program Names'!$B$2:$D$15,3,0)*AC53,"NA")</f>
        <v>5.9253760930879668E-2</v>
      </c>
      <c r="CD53" s="80">
        <f>IFERROR(VLOOKUP($H53,'1. Set Program Names'!$B$2:$D$15,3,0)*AD53,"NA")</f>
        <v>5.8533834287706053E-2</v>
      </c>
      <c r="CE53" s="80">
        <f>IFERROR(VLOOKUP($H53,'1. Set Program Names'!$B$2:$D$15,3,0)*AE53,"NA")</f>
        <v>5.8095702630585708E-2</v>
      </c>
    </row>
    <row r="54" spans="1:83" x14ac:dyDescent="0.25">
      <c r="A54" s="79" t="s">
        <v>116</v>
      </c>
      <c r="B54" s="79" t="s">
        <v>88</v>
      </c>
      <c r="C54" s="79" t="s">
        <v>89</v>
      </c>
      <c r="D54" s="79" t="s">
        <v>90</v>
      </c>
      <c r="E54" s="79" t="s">
        <v>91</v>
      </c>
      <c r="F54" s="79" t="s">
        <v>90</v>
      </c>
      <c r="G54" s="79" t="s">
        <v>92</v>
      </c>
      <c r="H54" s="79" t="s">
        <v>5</v>
      </c>
      <c r="I54" s="79" t="s">
        <v>103</v>
      </c>
      <c r="J54" s="79" t="s">
        <v>101</v>
      </c>
      <c r="K54" s="79" t="s">
        <v>102</v>
      </c>
      <c r="L54" s="79">
        <v>3523.57666666666</v>
      </c>
      <c r="M54" s="79">
        <v>1.7070465614975301</v>
      </c>
      <c r="N54" s="79">
        <v>0.25623328618049002</v>
      </c>
      <c r="O54" s="79">
        <v>1306.5999999999899</v>
      </c>
      <c r="P54" s="79">
        <v>465.31519597206898</v>
      </c>
      <c r="Q54" s="79">
        <v>1047.30950808685</v>
      </c>
      <c r="R54" s="79">
        <v>3440.61303289528</v>
      </c>
      <c r="S54" s="79">
        <v>6397.6520033667803</v>
      </c>
      <c r="T54" s="79">
        <v>30</v>
      </c>
      <c r="U54" s="79">
        <v>0.9</v>
      </c>
      <c r="V54" s="79">
        <f>tbl_Data_old[[#This Row],[2025 ]]*IFERROR(AVERAGEIFS('Participation Adjustment'!$C:$C,'Participation Adjustment'!$A:$A,$H54,'Participation Adjustment'!$B:$B,$I54),1)</f>
        <v>0.16503396338779799</v>
      </c>
      <c r="W54" s="79">
        <f>tbl_Data_old[[#This Row],[2026 ]]*IFERROR(AVERAGEIFS('Participation Adjustment'!$C:$C,'Participation Adjustment'!$A:$A,$H54,'Participation Adjustment'!$B:$B,$I54),1)</f>
        <v>0.159747356963823</v>
      </c>
      <c r="X54" s="79">
        <f>tbl_Data_old[[#This Row],[2027 ]]*IFERROR(AVERAGEIFS('Participation Adjustment'!$C:$C,'Participation Adjustment'!$A:$A,$H54,'Participation Adjustment'!$B:$B,$I54),1)</f>
        <v>0.15477901061155</v>
      </c>
      <c r="Y54" s="79">
        <f>tbl_Data_old[[#This Row],[2028 ]]*IFERROR(AVERAGEIFS('Participation Adjustment'!$C:$C,'Participation Adjustment'!$A:$A,$H54,'Participation Adjustment'!$B:$B,$I54),1)</f>
        <v>0.15028529891631801</v>
      </c>
      <c r="Z54" s="79">
        <f>tbl_Data_old[[#This Row],[2029 ]]*IFERROR(AVERAGEIFS('Participation Adjustment'!$C:$C,'Participation Adjustment'!$A:$A,$H54,'Participation Adjustment'!$B:$B,$I54),1)</f>
        <v>0.14614489819263099</v>
      </c>
      <c r="AA54" s="79">
        <f>tbl_Data_old[[#This Row],[2030 ]]*IFERROR(AVERAGEIFS('Participation Adjustment'!$C:$C,'Participation Adjustment'!$A:$A,$H54,'Participation Adjustment'!$B:$B,$I54),1)</f>
        <v>0.14188101020629099</v>
      </c>
      <c r="AB54" s="79">
        <f>tbl_Data_old[[#This Row],[2031 ]]*IFERROR(AVERAGEIFS('Participation Adjustment'!$C:$C,'Participation Adjustment'!$A:$A,$H54,'Participation Adjustment'!$B:$B,$I54),1)</f>
        <v>0.13849111997551999</v>
      </c>
      <c r="AC54" s="79">
        <f>tbl_Data_old[[#This Row],[2032 ]]*IFERROR(AVERAGEIFS('Participation Adjustment'!$C:$C,'Participation Adjustment'!$A:$A,$H54,'Participation Adjustment'!$B:$B,$I54),1)</f>
        <v>0.13604796137584399</v>
      </c>
      <c r="AD54" s="79">
        <f>tbl_Data_old[[#This Row],[2033 ]]*IFERROR(AVERAGEIFS('Participation Adjustment'!$C:$C,'Participation Adjustment'!$A:$A,$H54,'Participation Adjustment'!$B:$B,$I54),1)</f>
        <v>0.13440402929220199</v>
      </c>
      <c r="AE54" s="79">
        <f>tbl_Data_old[[#This Row],[2034 ]]*IFERROR(AVERAGEIFS('Participation Adjustment'!$C:$C,'Participation Adjustment'!$A:$A,$H54,'Participation Adjustment'!$B:$B,$I54),1)</f>
        <v>0.13340655770288701</v>
      </c>
      <c r="AF54" s="77" t="str">
        <f t="shared" si="22"/>
        <v>Residential</v>
      </c>
      <c r="AG54" s="77" t="str">
        <f>tbl_Data[[#This Row],[All_Meas_Name_Append]]</f>
        <v>Ceiling Insulation(R2 to R49) Residential</v>
      </c>
      <c r="AH54" s="77">
        <f>AVERAGEIFS('3. Incentive Adjustment'!G:G,'3. Incentive Adjustment'!A:A,tbl_Data[[#This Row],[Trimmed Sector]],'3. Incentive Adjustment'!B:B,tbl_Data[[#This Row],[Trimmed Measure Name]])</f>
        <v>0.79801279130038982</v>
      </c>
      <c r="AI54" s="77">
        <f>$AH54*tbl_Data[[#This Row],[2025 ]]</f>
        <v>0.13169921378246302</v>
      </c>
      <c r="AJ54" s="77">
        <f>$AH54*tbl_Data[[#This Row],[2026 ]]</f>
        <v>0.12748043423356015</v>
      </c>
      <c r="AK54" s="77">
        <f>$AH54*tbl_Data[[#This Row],[2027 ]]</f>
        <v>0.12351563029283567</v>
      </c>
      <c r="AL54" s="77">
        <f>$AH54*tbl_Data[[#This Row],[2028 ]]</f>
        <v>0.11992959087962438</v>
      </c>
      <c r="AM54" s="77">
        <f>$AH54*tbl_Data[[#This Row],[2029 ]]</f>
        <v>0.11662549814101275</v>
      </c>
      <c r="AN54" s="77">
        <f>$AH54*tbl_Data[[#This Row],[2030 ]]</f>
        <v>0.11322286098724137</v>
      </c>
      <c r="AO54" s="77">
        <f>$AH54*tbl_Data[[#This Row],[2031 ]]</f>
        <v>0.11051768522198188</v>
      </c>
      <c r="AP54" s="77">
        <f>$AH54*tbl_Data[[#This Row],[2032 ]]</f>
        <v>0.10856801340826489</v>
      </c>
      <c r="AQ54" s="77">
        <f>$AH54*tbl_Data[[#This Row],[2033 ]]</f>
        <v>0.10725613457748948</v>
      </c>
      <c r="AR54" s="77">
        <f>$AH54*tbl_Data[[#This Row],[2034 ]]</f>
        <v>0.10646013949025739</v>
      </c>
      <c r="AS54" s="77">
        <f>SUM(tbl_Data[[#This Row],[Adjusted 2025]:[Adjusted 2034]])</f>
        <v>1.1652752010147309</v>
      </c>
      <c r="AT54" s="80">
        <f>AVERAGEIFS('3. Incentive Adjustment'!F:F,'3. Incentive Adjustment'!A:A,tbl_Data[[#This Row],[Trimmed Sector]],'3. Incentive Adjustment'!B:B,tbl_Data[[#This Row],[Trimmed Measure Name]])</f>
        <v>164</v>
      </c>
      <c r="AU54" s="80">
        <f>IFERROR(VLOOKUP(tbl_Data[[#This Row],[All_Meas_Name_Append]],'IRA Tax Credits'!$A$3:$D$46,4,0),0)</f>
        <v>0</v>
      </c>
      <c r="AV54" s="81">
        <f>tbl_Data[[#This Row],[Adj. per unit Incentive ($)]]/tbl_Data[[#This Row],[kWh Savings]]*tbl_Data[[#This Row],[Sum of Annuals]]</f>
        <v>5.4236121715269307E-2</v>
      </c>
      <c r="AW54" s="81">
        <f>IFERROR(VLOOKUP(tbl_Data[[#This Row],[Column1]],'1. Set Program Names'!$B$2:$D$15,3,0)*tbl_Data[[#This Row],[Sum of Annuals]],"")</f>
        <v>0.51953054226363482</v>
      </c>
      <c r="AX54" s="81">
        <f>tbl_Data[[#This Row],[per unit IRA tax ($)]]/tbl_Data[[#This Row],[kWh Savings]]*tbl_Data[[#This Row],[Sum of Annuals]]</f>
        <v>0</v>
      </c>
      <c r="AY54" s="81">
        <f>tbl_Data[[#This Row],[Avoided Costs ($/unit)]]/tbl_Data[[#This Row],[kWh Savings]]*tbl_Data[[#This Row],[Sum of Annuals]]</f>
        <v>1.1378384587027457</v>
      </c>
      <c r="AZ54" s="81">
        <f>tbl_Data[[#This Row],[Lost Revenue ($/unit)]]/tbl_Data[[#This Row],[kWh Savings]]*tbl_Data[[#This Row],[Sum of Annuals]]</f>
        <v>2.1157550777227878</v>
      </c>
      <c r="BA54" s="81">
        <f>tbl_Data[[#This Row],[Incremental Cost ($/unit)]]/tbl_Data[[#This Row],[kWh Savings]]*tbl_Data[[#This Row],[Sum of Annuals]]</f>
        <v>0.43210315020225809</v>
      </c>
      <c r="BB54" s="77">
        <f>ROUNDUP(tbl_Data[[#This Row],[Adjusted 2025]]/$L54,0)</f>
        <v>1</v>
      </c>
      <c r="BC54" s="77">
        <f>ROUNDUP(tbl_Data[[#This Row],[Adjusted 2026]]/$L54,0)</f>
        <v>1</v>
      </c>
      <c r="BD54" s="77">
        <f>ROUNDUP(tbl_Data[[#This Row],[Adjusted 2027]]/$L54,0)</f>
        <v>1</v>
      </c>
      <c r="BE54" s="77">
        <f>ROUNDUP(tbl_Data[[#This Row],[Adjusted 2028]]/$L54,0)</f>
        <v>1</v>
      </c>
      <c r="BF54" s="77">
        <f>ROUNDUP(tbl_Data[[#This Row],[Adjusted 2029]]/$L54,0)</f>
        <v>1</v>
      </c>
      <c r="BG54" s="77">
        <f>ROUNDUP(tbl_Data[[#This Row],[Adjusted 2030]]/$L54,0)</f>
        <v>1</v>
      </c>
      <c r="BH54" s="77">
        <f>ROUNDUP(tbl_Data[[#This Row],[Adjusted 2031]]/$L54,0)</f>
        <v>1</v>
      </c>
      <c r="BI54" s="77">
        <f>ROUNDUP(tbl_Data[[#This Row],[Adjusted 2032]]/$L54,0)</f>
        <v>1</v>
      </c>
      <c r="BJ54" s="77">
        <f>ROUNDUP(tbl_Data[[#This Row],[Adjusted 2033]]/$L54,0)</f>
        <v>1</v>
      </c>
      <c r="BK54" s="77">
        <f>ROUNDUP(tbl_Data[[#This Row],[Adjusted 2034]]/$L54,0)</f>
        <v>1</v>
      </c>
      <c r="BL54" s="80">
        <f t="shared" si="23"/>
        <v>7.6812774507339383E-3</v>
      </c>
      <c r="BM54" s="77">
        <f t="shared" si="24"/>
        <v>7.4352196703729133E-3</v>
      </c>
      <c r="BN54" s="77">
        <f t="shared" si="25"/>
        <v>7.203974864638747E-3</v>
      </c>
      <c r="BO54" s="77">
        <f t="shared" si="26"/>
        <v>6.994821272213801E-3</v>
      </c>
      <c r="BP54" s="77">
        <f t="shared" si="27"/>
        <v>6.8021120500452266E-3</v>
      </c>
      <c r="BQ54" s="77">
        <f t="shared" si="28"/>
        <v>6.6036552841190052E-3</v>
      </c>
      <c r="BR54" s="77">
        <f t="shared" si="29"/>
        <v>6.4458775342815461E-3</v>
      </c>
      <c r="BS54" s="77">
        <f t="shared" si="30"/>
        <v>6.3321640981195589E-3</v>
      </c>
      <c r="BT54" s="77">
        <f t="shared" si="31"/>
        <v>6.2556495541711407E-3</v>
      </c>
      <c r="BU54" s="77">
        <f t="shared" si="32"/>
        <v>6.2092236193546264E-3</v>
      </c>
      <c r="BV54" s="80">
        <f>IFERROR(VLOOKUP($H54,'1. Set Program Names'!$B$2:$D$15,3,0)*V54,"NA")</f>
        <v>7.3579343674452444E-2</v>
      </c>
      <c r="BW54" s="80">
        <f>IFERROR(VLOOKUP($H54,'1. Set Program Names'!$B$2:$D$15,3,0)*W54,"NA")</f>
        <v>7.1222343800267859E-2</v>
      </c>
      <c r="BX54" s="80">
        <f>IFERROR(VLOOKUP($H54,'1. Set Program Names'!$B$2:$D$15,3,0)*X54,"NA")</f>
        <v>6.9007238156294476E-2</v>
      </c>
      <c r="BY54" s="80">
        <f>IFERROR(VLOOKUP($H54,'1. Set Program Names'!$B$2:$D$15,3,0)*Y54,"NA")</f>
        <v>6.700374535753989E-2</v>
      </c>
      <c r="BZ54" s="80">
        <f>IFERROR(VLOOKUP($H54,'1. Set Program Names'!$B$2:$D$15,3,0)*Z54,"NA")</f>
        <v>6.5157774009919428E-2</v>
      </c>
      <c r="CA54" s="80">
        <f>IFERROR(VLOOKUP($H54,'1. Set Program Names'!$B$2:$D$15,3,0)*AA54,"NA")</f>
        <v>6.3256746651089879E-2</v>
      </c>
      <c r="CB54" s="80">
        <f>IFERROR(VLOOKUP($H54,'1. Set Program Names'!$B$2:$D$15,3,0)*AB54,"NA")</f>
        <v>6.174538563673633E-2</v>
      </c>
      <c r="CC54" s="80">
        <f>IFERROR(VLOOKUP($H54,'1. Set Program Names'!$B$2:$D$15,3,0)*AC54,"NA")</f>
        <v>6.0656118902989296E-2</v>
      </c>
      <c r="CD54" s="80">
        <f>IFERROR(VLOOKUP($H54,'1. Set Program Names'!$B$2:$D$15,3,0)*AD54,"NA")</f>
        <v>5.9923182231793187E-2</v>
      </c>
      <c r="CE54" s="80">
        <f>IFERROR(VLOOKUP($H54,'1. Set Program Names'!$B$2:$D$15,3,0)*AE54,"NA")</f>
        <v>5.9478465863300904E-2</v>
      </c>
    </row>
    <row r="55" spans="1:83" x14ac:dyDescent="0.25">
      <c r="A55" s="79" t="s">
        <v>116</v>
      </c>
      <c r="B55" s="79" t="s">
        <v>88</v>
      </c>
      <c r="C55" s="79" t="s">
        <v>89</v>
      </c>
      <c r="D55" s="79" t="s">
        <v>90</v>
      </c>
      <c r="E55" s="79" t="s">
        <v>91</v>
      </c>
      <c r="F55" s="79" t="s">
        <v>90</v>
      </c>
      <c r="G55" s="79" t="s">
        <v>92</v>
      </c>
      <c r="H55" s="79" t="s">
        <v>5</v>
      </c>
      <c r="I55" s="79" t="s">
        <v>296</v>
      </c>
      <c r="J55" s="79" t="s">
        <v>97</v>
      </c>
      <c r="K55" s="79" t="s">
        <v>102</v>
      </c>
      <c r="L55" s="79">
        <v>936.45</v>
      </c>
      <c r="M55" s="79">
        <v>0.42562333070119601</v>
      </c>
      <c r="N55" s="79">
        <v>3.9115067461125599E-2</v>
      </c>
      <c r="O55" s="79">
        <v>685.00999995999996</v>
      </c>
      <c r="P55" s="79">
        <v>458.12689399999903</v>
      </c>
      <c r="Q55" s="79">
        <v>278.34018715299698</v>
      </c>
      <c r="R55" s="79">
        <v>763.90764278946904</v>
      </c>
      <c r="S55" s="79">
        <v>1415.5155729468199</v>
      </c>
      <c r="T55" s="79">
        <v>20</v>
      </c>
      <c r="U55" s="79">
        <v>0.9</v>
      </c>
      <c r="V55" s="79">
        <f>tbl_Data_old[[#This Row],[2025 ]]*IFERROR(AVERAGEIFS('Participation Adjustment'!$C:$C,'Participation Adjustment'!$A:$A,$H55,'Participation Adjustment'!$B:$B,$I55),1)</f>
        <v>5.30562126059937</v>
      </c>
      <c r="W55" s="79">
        <f>tbl_Data_old[[#This Row],[2026 ]]*IFERROR(AVERAGEIFS('Participation Adjustment'!$C:$C,'Participation Adjustment'!$A:$A,$H55,'Participation Adjustment'!$B:$B,$I55),1)</f>
        <v>5.1355961970103001</v>
      </c>
      <c r="X55" s="79">
        <f>tbl_Data_old[[#This Row],[2027 ]]*IFERROR(AVERAGEIFS('Participation Adjustment'!$C:$C,'Participation Adjustment'!$A:$A,$H55,'Participation Adjustment'!$B:$B,$I55),1)</f>
        <v>4.9757393681938602</v>
      </c>
      <c r="Y55" s="79">
        <f>tbl_Data_old[[#This Row],[2028 ]]*IFERROR(AVERAGEIFS('Participation Adjustment'!$C:$C,'Participation Adjustment'!$A:$A,$H55,'Participation Adjustment'!$B:$B,$I55),1)</f>
        <v>4.8310858215519703</v>
      </c>
      <c r="Z55" s="79">
        <f>tbl_Data_old[[#This Row],[2029 ]]*IFERROR(AVERAGEIFS('Participation Adjustment'!$C:$C,'Participation Adjustment'!$A:$A,$H55,'Participation Adjustment'!$B:$B,$I55),1)</f>
        <v>4.6977418472019501</v>
      </c>
      <c r="AA55" s="79">
        <f>tbl_Data_old[[#This Row],[2030 ]]*IFERROR(AVERAGEIFS('Participation Adjustment'!$C:$C,'Participation Adjustment'!$A:$A,$H55,'Participation Adjustment'!$B:$B,$I55),1)</f>
        <v>4.56038680977883</v>
      </c>
      <c r="AB55" s="79">
        <f>tbl_Data_old[[#This Row],[2031 ]]*IFERROR(AVERAGEIFS('Participation Adjustment'!$C:$C,'Participation Adjustment'!$A:$A,$H55,'Participation Adjustment'!$B:$B,$I55),1)</f>
        <v>4.4510868063783597</v>
      </c>
      <c r="AC55" s="79">
        <f>tbl_Data_old[[#This Row],[2032 ]]*IFERROR(AVERAGEIFS('Participation Adjustment'!$C:$C,'Participation Adjustment'!$A:$A,$H55,'Participation Adjustment'!$B:$B,$I55),1)</f>
        <v>4.3721776189021204</v>
      </c>
      <c r="AD55" s="79">
        <f>tbl_Data_old[[#This Row],[2033 ]]*IFERROR(AVERAGEIFS('Participation Adjustment'!$C:$C,'Participation Adjustment'!$A:$A,$H55,'Participation Adjustment'!$B:$B,$I55),1)</f>
        <v>4.3189151042521203</v>
      </c>
      <c r="AE55" s="79">
        <f>tbl_Data_old[[#This Row],[2034 ]]*IFERROR(AVERAGEIFS('Participation Adjustment'!$C:$C,'Participation Adjustment'!$A:$A,$H55,'Participation Adjustment'!$B:$B,$I55),1)</f>
        <v>4.2863858217882003</v>
      </c>
      <c r="AF55" s="77" t="str">
        <f t="shared" si="22"/>
        <v>Residential</v>
      </c>
      <c r="AG55" s="77" t="str">
        <f>tbl_Data[[#This Row],[All_Meas_Name_Append]]</f>
        <v>Duct Repair</v>
      </c>
      <c r="AH55" s="77">
        <f>AVERAGEIFS('3. Incentive Adjustment'!G:G,'3. Incentive Adjustment'!A:A,tbl_Data[[#This Row],[Trimmed Sector]],'3. Incentive Adjustment'!B:B,tbl_Data[[#This Row],[Trimmed Measure Name]])</f>
        <v>0.36456477469769399</v>
      </c>
      <c r="AI55" s="77">
        <f>$AH55*tbl_Data[[#This Row],[2025 ]]</f>
        <v>1.9342426195017046</v>
      </c>
      <c r="AJ55" s="77">
        <f>$AH55*tbl_Data[[#This Row],[2026 ]]</f>
        <v>1.8722574705013941</v>
      </c>
      <c r="AK55" s="77">
        <f>$AH55*tbl_Data[[#This Row],[2027 ]]</f>
        <v>1.813979301720041</v>
      </c>
      <c r="AL55" s="77">
        <f>$AH55*tbl_Data[[#This Row],[2028 ]]</f>
        <v>1.761243714079318</v>
      </c>
      <c r="AM55" s="77">
        <f>$AH55*tbl_Data[[#This Row],[2029 ]]</f>
        <v>1.7126311981131077</v>
      </c>
      <c r="AN55" s="77">
        <f>$AH55*tbl_Data[[#This Row],[2030 ]]</f>
        <v>1.6625563898413547</v>
      </c>
      <c r="AO55" s="77">
        <f>$AH55*tbl_Data[[#This Row],[2031 ]]</f>
        <v>1.6227094587272051</v>
      </c>
      <c r="AP55" s="77">
        <f>$AH55*tbl_Data[[#This Row],[2032 ]]</f>
        <v>1.5939419485733517</v>
      </c>
      <c r="AQ55" s="77">
        <f>$AH55*tbl_Data[[#This Row],[2033 ]]</f>
        <v>1.5745243119201418</v>
      </c>
      <c r="AR55" s="77">
        <f>$AH55*tbl_Data[[#This Row],[2034 ]]</f>
        <v>1.5626652813876052</v>
      </c>
      <c r="AS55" s="77">
        <f>SUM(tbl_Data[[#This Row],[Adjusted 2025]:[Adjusted 2034]])</f>
        <v>17.110751694365224</v>
      </c>
      <c r="AT55" s="80">
        <f>AVERAGEIFS('3. Incentive Adjustment'!F:F,'3. Incentive Adjustment'!A:A,tbl_Data[[#This Row],[Trimmed Sector]],'3. Incentive Adjustment'!B:B,tbl_Data[[#This Row],[Trimmed Measure Name]])</f>
        <v>100</v>
      </c>
      <c r="AU55" s="80">
        <f>IFERROR(VLOOKUP(tbl_Data[[#This Row],[All_Meas_Name_Append]],'IRA Tax Credits'!$A$3:$D$46,4,0),0)</f>
        <v>0</v>
      </c>
      <c r="AV55" s="81">
        <f>tbl_Data[[#This Row],[Adj. per unit Incentive ($)]]/tbl_Data[[#This Row],[kWh Savings]]*tbl_Data[[#This Row],[Sum of Annuals]]</f>
        <v>1.8271933038993244</v>
      </c>
      <c r="AW55" s="81">
        <f>IFERROR(VLOOKUP(tbl_Data[[#This Row],[Column1]],'1. Set Program Names'!$B$2:$D$15,3,0)*tbl_Data[[#This Row],[Sum of Annuals]],"")</f>
        <v>7.6287198925806319</v>
      </c>
      <c r="AX55" s="81">
        <f>tbl_Data[[#This Row],[per unit IRA tax ($)]]/tbl_Data[[#This Row],[kWh Savings]]*tbl_Data[[#This Row],[Sum of Annuals]]</f>
        <v>0</v>
      </c>
      <c r="AY55" s="81">
        <f>tbl_Data[[#This Row],[Avoided Costs ($/unit)]]/tbl_Data[[#This Row],[kWh Savings]]*tbl_Data[[#This Row],[Sum of Annuals]]</f>
        <v>13.958069297024348</v>
      </c>
      <c r="AZ55" s="81">
        <f>tbl_Data[[#This Row],[Lost Revenue ($/unit)]]/tbl_Data[[#This Row],[kWh Savings]]*tbl_Data[[#This Row],[Sum of Annuals]]</f>
        <v>25.86420576453645</v>
      </c>
      <c r="BA55" s="81">
        <f>tbl_Data[[#This Row],[Incremental Cost ($/unit)]]/tbl_Data[[#This Row],[kWh Savings]]*tbl_Data[[#This Row],[Sum of Annuals]]</f>
        <v>12.516456850309885</v>
      </c>
      <c r="BB55" s="77">
        <f>ROUNDUP(tbl_Data[[#This Row],[Adjusted 2025]]/$L55,0)</f>
        <v>1</v>
      </c>
      <c r="BC55" s="77">
        <f>ROUNDUP(tbl_Data[[#This Row],[Adjusted 2026]]/$L55,0)</f>
        <v>1</v>
      </c>
      <c r="BD55" s="77">
        <f>ROUNDUP(tbl_Data[[#This Row],[Adjusted 2027]]/$L55,0)</f>
        <v>1</v>
      </c>
      <c r="BE55" s="77">
        <f>ROUNDUP(tbl_Data[[#This Row],[Adjusted 2028]]/$L55,0)</f>
        <v>1</v>
      </c>
      <c r="BF55" s="77">
        <f>ROUNDUP(tbl_Data[[#This Row],[Adjusted 2029]]/$L55,0)</f>
        <v>1</v>
      </c>
      <c r="BG55" s="77">
        <f>ROUNDUP(tbl_Data[[#This Row],[Adjusted 2030]]/$L55,0)</f>
        <v>1</v>
      </c>
      <c r="BH55" s="77">
        <f>ROUNDUP(tbl_Data[[#This Row],[Adjusted 2031]]/$L55,0)</f>
        <v>1</v>
      </c>
      <c r="BI55" s="77">
        <f>ROUNDUP(tbl_Data[[#This Row],[Adjusted 2032]]/$L55,0)</f>
        <v>1</v>
      </c>
      <c r="BJ55" s="77">
        <f>ROUNDUP(tbl_Data[[#This Row],[Adjusted 2033]]/$L55,0)</f>
        <v>1</v>
      </c>
      <c r="BK55" s="77">
        <f>ROUNDUP(tbl_Data[[#This Row],[Adjusted 2034]]/$L55,0)</f>
        <v>1</v>
      </c>
      <c r="BL55" s="80">
        <f t="shared" si="23"/>
        <v>0.56656749005279194</v>
      </c>
      <c r="BM55" s="77">
        <f t="shared" si="24"/>
        <v>0.54841114816704573</v>
      </c>
      <c r="BN55" s="77">
        <f t="shared" si="25"/>
        <v>0.53134063411755672</v>
      </c>
      <c r="BO55" s="77">
        <f t="shared" si="26"/>
        <v>0.51589362182198406</v>
      </c>
      <c r="BP55" s="77">
        <f t="shared" si="27"/>
        <v>0.50165431653606174</v>
      </c>
      <c r="BQ55" s="77">
        <f t="shared" si="28"/>
        <v>0.48698668479671414</v>
      </c>
      <c r="BR55" s="77">
        <f t="shared" si="29"/>
        <v>0.47531494541922786</v>
      </c>
      <c r="BS55" s="77">
        <f t="shared" si="30"/>
        <v>0.46688852783406698</v>
      </c>
      <c r="BT55" s="77">
        <f t="shared" si="31"/>
        <v>0.46120082270832613</v>
      </c>
      <c r="BU55" s="77">
        <f t="shared" si="32"/>
        <v>0.45772714205651133</v>
      </c>
      <c r="BV55" s="80">
        <f>IFERROR(VLOOKUP($H55,'1. Set Program Names'!$B$2:$D$15,3,0)*V55,"NA")</f>
        <v>2.365477518241474</v>
      </c>
      <c r="BW55" s="80">
        <f>IFERROR(VLOOKUP($H55,'1. Set Program Names'!$B$2:$D$15,3,0)*W55,"NA")</f>
        <v>2.2896729242640879</v>
      </c>
      <c r="BX55" s="80">
        <f>IFERROR(VLOOKUP($H55,'1. Set Program Names'!$B$2:$D$15,3,0)*X55,"NA")</f>
        <v>2.2184017731340981</v>
      </c>
      <c r="BY55" s="80">
        <f>IFERROR(VLOOKUP($H55,'1. Set Program Names'!$B$2:$D$15,3,0)*Y55,"NA")</f>
        <v>2.1539089087345329</v>
      </c>
      <c r="BZ55" s="80">
        <f>IFERROR(VLOOKUP($H55,'1. Set Program Names'!$B$2:$D$15,3,0)*Z55,"NA")</f>
        <v>2.0944583452613483</v>
      </c>
      <c r="CA55" s="80">
        <f>IFERROR(VLOOKUP($H55,'1. Set Program Names'!$B$2:$D$15,3,0)*AA55,"NA")</f>
        <v>2.0332194748100298</v>
      </c>
      <c r="CB55" s="80">
        <f>IFERROR(VLOOKUP($H55,'1. Set Program Names'!$B$2:$D$15,3,0)*AB55,"NA")</f>
        <v>1.9844887629690717</v>
      </c>
      <c r="CC55" s="80">
        <f>IFERROR(VLOOKUP($H55,'1. Set Program Names'!$B$2:$D$15,3,0)*AC55,"NA")</f>
        <v>1.9493076032538266</v>
      </c>
      <c r="CD55" s="80">
        <f>IFERROR(VLOOKUP($H55,'1. Set Program Names'!$B$2:$D$15,3,0)*AD55,"NA")</f>
        <v>1.9255608496162802</v>
      </c>
      <c r="CE55" s="80">
        <f>IFERROR(VLOOKUP($H55,'1. Set Program Names'!$B$2:$D$15,3,0)*AE55,"NA")</f>
        <v>1.9110578757752419</v>
      </c>
    </row>
    <row r="56" spans="1:83" x14ac:dyDescent="0.25">
      <c r="A56" s="79" t="s">
        <v>116</v>
      </c>
      <c r="B56" s="79" t="s">
        <v>88</v>
      </c>
      <c r="C56" s="79" t="s">
        <v>89</v>
      </c>
      <c r="D56" s="79" t="s">
        <v>90</v>
      </c>
      <c r="E56" s="79" t="s">
        <v>91</v>
      </c>
      <c r="F56" s="79" t="s">
        <v>90</v>
      </c>
      <c r="G56" s="79" t="s">
        <v>92</v>
      </c>
      <c r="H56" s="79" t="s">
        <v>5</v>
      </c>
      <c r="I56" s="79" t="s">
        <v>297</v>
      </c>
      <c r="J56" s="79" t="s">
        <v>97</v>
      </c>
      <c r="K56" s="79" t="s">
        <v>298</v>
      </c>
      <c r="L56" s="79">
        <v>57.93</v>
      </c>
      <c r="M56" s="79">
        <v>0</v>
      </c>
      <c r="N56" s="79">
        <v>1.1014721785810099E-2</v>
      </c>
      <c r="O56" s="79">
        <v>154.1011072</v>
      </c>
      <c r="P56" s="79">
        <v>140.06582681793901</v>
      </c>
      <c r="Q56" s="79">
        <v>17.218481543887101</v>
      </c>
      <c r="R56" s="79">
        <v>46.999759951794701</v>
      </c>
      <c r="S56" s="79">
        <v>87.565611768711094</v>
      </c>
      <c r="T56" s="79">
        <v>20</v>
      </c>
      <c r="U56" s="79">
        <v>0.8</v>
      </c>
      <c r="V56" s="79">
        <f>tbl_Data_old[[#This Row],[2025 ]]*IFERROR(AVERAGEIFS('Participation Adjustment'!$C:$C,'Participation Adjustment'!$A:$A,$H56,'Participation Adjustment'!$B:$B,$I56),1)</f>
        <v>1.1561659267099551</v>
      </c>
      <c r="W56" s="79">
        <f>tbl_Data_old[[#This Row],[2026 ]]*IFERROR(AVERAGEIFS('Participation Adjustment'!$C:$C,'Participation Adjustment'!$A:$A,$H56,'Participation Adjustment'!$B:$B,$I56),1)</f>
        <v>1.0756849277537999</v>
      </c>
      <c r="X56" s="79">
        <f>tbl_Data_old[[#This Row],[2027 ]]*IFERROR(AVERAGEIFS('Participation Adjustment'!$C:$C,'Participation Adjustment'!$A:$A,$H56,'Participation Adjustment'!$B:$B,$I56),1)</f>
        <v>0.99704489048199496</v>
      </c>
      <c r="Y56" s="79">
        <f>tbl_Data_old[[#This Row],[2028 ]]*IFERROR(AVERAGEIFS('Participation Adjustment'!$C:$C,'Participation Adjustment'!$A:$A,$H56,'Participation Adjustment'!$B:$B,$I56),1)</f>
        <v>0.92211402761716488</v>
      </c>
      <c r="Z56" s="79">
        <f>tbl_Data_old[[#This Row],[2029 ]]*IFERROR(AVERAGEIFS('Participation Adjustment'!$C:$C,'Participation Adjustment'!$A:$A,$H56,'Participation Adjustment'!$B:$B,$I56),1)</f>
        <v>0.85074751029996998</v>
      </c>
      <c r="AA56" s="79">
        <f>tbl_Data_old[[#This Row],[2030 ]]*IFERROR(AVERAGEIFS('Participation Adjustment'!$C:$C,'Participation Adjustment'!$A:$A,$H56,'Participation Adjustment'!$B:$B,$I56),1)</f>
        <v>0.78080217251883988</v>
      </c>
      <c r="AB56" s="79">
        <f>tbl_Data_old[[#This Row],[2031 ]]*IFERROR(AVERAGEIFS('Participation Adjustment'!$C:$C,'Participation Adjustment'!$A:$A,$H56,'Participation Adjustment'!$B:$B,$I56),1)</f>
        <v>0.718210930865255</v>
      </c>
      <c r="AC56" s="79">
        <f>tbl_Data_old[[#This Row],[2032 ]]*IFERROR(AVERAGEIFS('Participation Adjustment'!$C:$C,'Participation Adjustment'!$A:$A,$H56,'Participation Adjustment'!$B:$B,$I56),1)</f>
        <v>0.66298702814853505</v>
      </c>
      <c r="AD56" s="79">
        <f>tbl_Data_old[[#This Row],[2033 ]]*IFERROR(AVERAGEIFS('Participation Adjustment'!$C:$C,'Participation Adjustment'!$A:$A,$H56,'Participation Adjustment'!$B:$B,$I56),1)</f>
        <v>0.61393885953739002</v>
      </c>
      <c r="AE56" s="79">
        <f>tbl_Data_old[[#This Row],[2034 ]]*IFERROR(AVERAGEIFS('Participation Adjustment'!$C:$C,'Participation Adjustment'!$A:$A,$H56,'Participation Adjustment'!$B:$B,$I56),1)</f>
        <v>0.56995995196271498</v>
      </c>
      <c r="AF56" s="77" t="str">
        <f t="shared" si="22"/>
        <v>Residential</v>
      </c>
      <c r="AG56" s="77" t="str">
        <f>tbl_Data[[#This Row],[All_Meas_Name_Append]]</f>
        <v>Energy Star Windows Residential</v>
      </c>
      <c r="AH56" s="77">
        <f>AVERAGEIFS('3. Incentive Adjustment'!G:G,'3. Incentive Adjustment'!A:A,tbl_Data[[#This Row],[Trimmed Sector]],'3. Incentive Adjustment'!B:B,tbl_Data[[#This Row],[Trimmed Measure Name]])</f>
        <v>1.5721893920937398</v>
      </c>
      <c r="AI56" s="77">
        <f>$AH56*tbl_Data[[#This Row],[2025 ]]</f>
        <v>1.8177118054736197</v>
      </c>
      <c r="AJ56" s="77">
        <f>$AH56*tbl_Data[[#This Row],[2026 ]]</f>
        <v>1.6911804326496449</v>
      </c>
      <c r="AK56" s="77">
        <f>$AH56*tbl_Data[[#This Row],[2027 ]]</f>
        <v>1.567543400257057</v>
      </c>
      <c r="AL56" s="77">
        <f>$AH56*tbl_Data[[#This Row],[2028 ]]</f>
        <v>1.4497378925205404</v>
      </c>
      <c r="AM56" s="77">
        <f>$AH56*tbl_Data[[#This Row],[2029 ]]</f>
        <v>1.3375362110437723</v>
      </c>
      <c r="AN56" s="77">
        <f>$AH56*tbl_Data[[#This Row],[2030 ]]</f>
        <v>1.2275688929578661</v>
      </c>
      <c r="AO56" s="77">
        <f>$AH56*tbl_Data[[#This Row],[2031 ]]</f>
        <v>1.1291636067921242</v>
      </c>
      <c r="AP56" s="77">
        <f>$AH56*tbl_Data[[#This Row],[2032 ]]</f>
        <v>1.0423411727508805</v>
      </c>
      <c r="AQ56" s="77">
        <f>$AH56*tbl_Data[[#This Row],[2033 ]]</f>
        <v>0.96522816235881315</v>
      </c>
      <c r="AR56" s="77">
        <f>$AH56*tbl_Data[[#This Row],[2034 ]]</f>
        <v>0.89608499039403799</v>
      </c>
      <c r="AS56" s="77">
        <f>SUM(tbl_Data[[#This Row],[Adjusted 2025]:[Adjusted 2034]])</f>
        <v>13.124096567198354</v>
      </c>
      <c r="AT56" s="80">
        <f>AVERAGEIFS('3. Incentive Adjustment'!F:F,'3. Incentive Adjustment'!A:A,tbl_Data[[#This Row],[Trimmed Sector]],'3. Incentive Adjustment'!B:B,tbl_Data[[#This Row],[Trimmed Measure Name]])</f>
        <v>150</v>
      </c>
      <c r="AU56" s="80">
        <f>IFERROR(VLOOKUP(tbl_Data[[#This Row],[All_Meas_Name_Append]],'IRA Tax Credits'!$A$3:$D$46,4,0),0)</f>
        <v>0</v>
      </c>
      <c r="AV56" s="81">
        <f>tbl_Data[[#This Row],[Adj. per unit Incentive ($)]]/tbl_Data[[#This Row],[kWh Savings]]*tbl_Data[[#This Row],[Sum of Annuals]]</f>
        <v>33.982642587256223</v>
      </c>
      <c r="AW56" s="81">
        <f>IFERROR(VLOOKUP(tbl_Data[[#This Row],[Column1]],'1. Set Program Names'!$B$2:$D$15,3,0)*tbl_Data[[#This Row],[Sum of Annuals]],"")</f>
        <v>5.8512950420118601</v>
      </c>
      <c r="AX56" s="81">
        <f>tbl_Data[[#This Row],[per unit IRA tax ($)]]/tbl_Data[[#This Row],[kWh Savings]]*tbl_Data[[#This Row],[Sum of Annuals]]</f>
        <v>0</v>
      </c>
      <c r="AY56" s="81">
        <f>tbl_Data[[#This Row],[Avoided Costs ($/unit)]]/tbl_Data[[#This Row],[kWh Savings]]*tbl_Data[[#This Row],[Sum of Annuals]]</f>
        <v>10.647840294191187</v>
      </c>
      <c r="AZ56" s="81">
        <f>tbl_Data[[#This Row],[Lost Revenue ($/unit)]]/tbl_Data[[#This Row],[kWh Savings]]*tbl_Data[[#This Row],[Sum of Annuals]]</f>
        <v>19.838072584470311</v>
      </c>
      <c r="BA56" s="81">
        <f>tbl_Data[[#This Row],[Incremental Cost ($/unit)]]/tbl_Data[[#This Row],[kWh Savings]]*tbl_Data[[#This Row],[Sum of Annuals]]</f>
        <v>34.911752321853712</v>
      </c>
      <c r="BB56" s="77">
        <f>ROUNDUP(tbl_Data[[#This Row],[Adjusted 2025]]/$L56,0)</f>
        <v>1</v>
      </c>
      <c r="BC56" s="77">
        <f>ROUNDUP(tbl_Data[[#This Row],[Adjusted 2026]]/$L56,0)</f>
        <v>1</v>
      </c>
      <c r="BD56" s="77">
        <f>ROUNDUP(tbl_Data[[#This Row],[Adjusted 2027]]/$L56,0)</f>
        <v>1</v>
      </c>
      <c r="BE56" s="77">
        <f>ROUNDUP(tbl_Data[[#This Row],[Adjusted 2028]]/$L56,0)</f>
        <v>1</v>
      </c>
      <c r="BF56" s="77">
        <f>ROUNDUP(tbl_Data[[#This Row],[Adjusted 2029]]/$L56,0)</f>
        <v>1</v>
      </c>
      <c r="BG56" s="77">
        <f>ROUNDUP(tbl_Data[[#This Row],[Adjusted 2030]]/$L56,0)</f>
        <v>1</v>
      </c>
      <c r="BH56" s="77">
        <f>ROUNDUP(tbl_Data[[#This Row],[Adjusted 2031]]/$L56,0)</f>
        <v>1</v>
      </c>
      <c r="BI56" s="77">
        <f>ROUNDUP(tbl_Data[[#This Row],[Adjusted 2032]]/$L56,0)</f>
        <v>1</v>
      </c>
      <c r="BJ56" s="77">
        <f>ROUNDUP(tbl_Data[[#This Row],[Adjusted 2033]]/$L56,0)</f>
        <v>1</v>
      </c>
      <c r="BK56" s="77">
        <f>ROUNDUP(tbl_Data[[#This Row],[Adjusted 2034]]/$L56,0)</f>
        <v>1</v>
      </c>
      <c r="BL56" s="80">
        <f t="shared" si="23"/>
        <v>2.9936973762557098</v>
      </c>
      <c r="BM56" s="77">
        <f t="shared" si="24"/>
        <v>2.7853053541009838</v>
      </c>
      <c r="BN56" s="77">
        <f t="shared" si="25"/>
        <v>2.5816801928586095</v>
      </c>
      <c r="BO56" s="77">
        <f t="shared" si="26"/>
        <v>2.3876593154250774</v>
      </c>
      <c r="BP56" s="77">
        <f t="shared" si="27"/>
        <v>2.2028677118072761</v>
      </c>
      <c r="BQ56" s="77">
        <f t="shared" si="28"/>
        <v>2.0217560137722419</v>
      </c>
      <c r="BR56" s="77">
        <f t="shared" si="29"/>
        <v>1.8596865118209607</v>
      </c>
      <c r="BS56" s="77">
        <f t="shared" si="30"/>
        <v>1.7166934959827422</v>
      </c>
      <c r="BT56" s="77">
        <f t="shared" si="31"/>
        <v>1.5896915057933454</v>
      </c>
      <c r="BU56" s="77">
        <f t="shared" si="32"/>
        <v>1.4758155151805152</v>
      </c>
      <c r="BV56" s="80">
        <f>IFERROR(VLOOKUP($H56,'1. Set Program Names'!$B$2:$D$15,3,0)*V56,"NA")</f>
        <v>0.51546923021042435</v>
      </c>
      <c r="BW56" s="80">
        <f>IFERROR(VLOOKUP($H56,'1. Set Program Names'!$B$2:$D$15,3,0)*W56,"NA")</f>
        <v>0.47958728833677949</v>
      </c>
      <c r="BX56" s="80">
        <f>IFERROR(VLOOKUP($H56,'1. Set Program Names'!$B$2:$D$15,3,0)*X56,"NA")</f>
        <v>0.44452612752955079</v>
      </c>
      <c r="BY56" s="80">
        <f>IFERROR(VLOOKUP($H56,'1. Set Program Names'!$B$2:$D$15,3,0)*Y56,"NA")</f>
        <v>0.41111867855737011</v>
      </c>
      <c r="BZ56" s="80">
        <f>IFERROR(VLOOKUP($H56,'1. Set Program Names'!$B$2:$D$15,3,0)*Z56,"NA")</f>
        <v>0.37930037039378578</v>
      </c>
      <c r="CA56" s="80">
        <f>IFERROR(VLOOKUP($H56,'1. Set Program Names'!$B$2:$D$15,3,0)*AA56,"NA")</f>
        <v>0.34811568609380278</v>
      </c>
      <c r="CB56" s="80">
        <f>IFERROR(VLOOKUP($H56,'1. Set Program Names'!$B$2:$D$15,3,0)*AB56,"NA")</f>
        <v>0.32020977881205154</v>
      </c>
      <c r="CC56" s="80">
        <f>IFERROR(VLOOKUP($H56,'1. Set Program Names'!$B$2:$D$15,3,0)*AC56,"NA")</f>
        <v>0.29558855277090018</v>
      </c>
      <c r="CD56" s="80">
        <f>IFERROR(VLOOKUP($H56,'1. Set Program Names'!$B$2:$D$15,3,0)*AD56,"NA")</f>
        <v>0.27372073852976953</v>
      </c>
      <c r="CE56" s="80">
        <f>IFERROR(VLOOKUP($H56,'1. Set Program Names'!$B$2:$D$15,3,0)*AE56,"NA")</f>
        <v>0.2541130221031806</v>
      </c>
    </row>
    <row r="57" spans="1:83" x14ac:dyDescent="0.25">
      <c r="A57" s="79" t="s">
        <v>116</v>
      </c>
      <c r="B57" s="79" t="s">
        <v>88</v>
      </c>
      <c r="C57" s="79" t="s">
        <v>89</v>
      </c>
      <c r="D57" s="79" t="s">
        <v>90</v>
      </c>
      <c r="E57" s="79" t="s">
        <v>91</v>
      </c>
      <c r="F57" s="79" t="s">
        <v>90</v>
      </c>
      <c r="G57" s="79" t="s">
        <v>92</v>
      </c>
      <c r="H57" s="79" t="s">
        <v>5</v>
      </c>
      <c r="I57" s="79" t="s">
        <v>107</v>
      </c>
      <c r="J57" s="79" t="s">
        <v>94</v>
      </c>
      <c r="K57" s="79" t="s">
        <v>108</v>
      </c>
      <c r="L57" s="79">
        <v>1663.1099999999899</v>
      </c>
      <c r="M57" s="79">
        <v>6.6647595975018806E-2</v>
      </c>
      <c r="N57" s="79">
        <v>0.309148293753995</v>
      </c>
      <c r="O57" s="79">
        <v>1389.5</v>
      </c>
      <c r="P57" s="79">
        <v>988.78817699699403</v>
      </c>
      <c r="Q57" s="79">
        <v>494.32468221049697</v>
      </c>
      <c r="R57" s="79">
        <v>791.96156853290995</v>
      </c>
      <c r="S57" s="79">
        <v>2127.4894292214699</v>
      </c>
      <c r="T57" s="79">
        <v>15</v>
      </c>
      <c r="U57" s="79">
        <v>0.7</v>
      </c>
      <c r="V57" s="79">
        <f>tbl_Data_old[[#This Row],[2025 ]]*IFERROR(AVERAGEIFS('Participation Adjustment'!$C:$C,'Participation Adjustment'!$A:$A,$H57,'Participation Adjustment'!$B:$B,$I57),1)</f>
        <v>22.6474632843092</v>
      </c>
      <c r="W57" s="79">
        <f>tbl_Data_old[[#This Row],[2026 ]]*IFERROR(AVERAGEIFS('Participation Adjustment'!$C:$C,'Participation Adjustment'!$A:$A,$H57,'Participation Adjustment'!$B:$B,$I57),1)</f>
        <v>25.186644572892</v>
      </c>
      <c r="X57" s="79">
        <f>tbl_Data_old[[#This Row],[2027 ]]*IFERROR(AVERAGEIFS('Participation Adjustment'!$C:$C,'Participation Adjustment'!$A:$A,$H57,'Participation Adjustment'!$B:$B,$I57),1)</f>
        <v>27.526582951373001</v>
      </c>
      <c r="Y57" s="79">
        <f>tbl_Data_old[[#This Row],[2028 ]]*IFERROR(AVERAGEIFS('Participation Adjustment'!$C:$C,'Participation Adjustment'!$A:$A,$H57,'Participation Adjustment'!$B:$B,$I57),1)</f>
        <v>29.739013706344</v>
      </c>
      <c r="Z57" s="79">
        <f>tbl_Data_old[[#This Row],[2029 ]]*IFERROR(AVERAGEIFS('Participation Adjustment'!$C:$C,'Participation Adjustment'!$A:$A,$H57,'Participation Adjustment'!$B:$B,$I57),1)</f>
        <v>31.845457464010799</v>
      </c>
      <c r="AA57" s="79">
        <f>tbl_Data_old[[#This Row],[2030 ]]*IFERROR(AVERAGEIFS('Participation Adjustment'!$C:$C,'Participation Adjustment'!$A:$A,$H57,'Participation Adjustment'!$B:$B,$I57),1)</f>
        <v>33.771242014159398</v>
      </c>
      <c r="AB57" s="79">
        <f>tbl_Data_old[[#This Row],[2031 ]]*IFERROR(AVERAGEIFS('Participation Adjustment'!$C:$C,'Participation Adjustment'!$A:$A,$H57,'Participation Adjustment'!$B:$B,$I57),1)</f>
        <v>35.782258683926997</v>
      </c>
      <c r="AC57" s="79">
        <f>tbl_Data_old[[#This Row],[2032 ]]*IFERROR(AVERAGEIFS('Participation Adjustment'!$C:$C,'Participation Adjustment'!$A:$A,$H57,'Participation Adjustment'!$B:$B,$I57),1)</f>
        <v>37.966774699948601</v>
      </c>
      <c r="AD57" s="79">
        <f>tbl_Data_old[[#This Row],[2033 ]]*IFERROR(AVERAGEIFS('Participation Adjustment'!$C:$C,'Participation Adjustment'!$A:$A,$H57,'Participation Adjustment'!$B:$B,$I57),1)</f>
        <v>40.353540407808602</v>
      </c>
      <c r="AE57" s="79">
        <f>tbl_Data_old[[#This Row],[2034 ]]*IFERROR(AVERAGEIFS('Participation Adjustment'!$C:$C,'Participation Adjustment'!$A:$A,$H57,'Participation Adjustment'!$B:$B,$I57),1)</f>
        <v>42.958643859316197</v>
      </c>
      <c r="AF57" s="77" t="str">
        <f t="shared" si="22"/>
        <v>Residential</v>
      </c>
      <c r="AG57" s="77" t="str">
        <f>tbl_Data[[#This Row],[All_Meas_Name_Append]]</f>
        <v>Heat Pump Water Heater 50 Gallons- CEE Advanced Tier</v>
      </c>
      <c r="AH57" s="77">
        <f>AVERAGEIFS('3. Incentive Adjustment'!G:G,'3. Incentive Adjustment'!A:A,tbl_Data[[#This Row],[Trimmed Sector]],'3. Incentive Adjustment'!B:B,tbl_Data[[#This Row],[Trimmed Measure Name]])</f>
        <v>0.46049099596140497</v>
      </c>
      <c r="AI57" s="77">
        <f>$AH57*tbl_Data[[#This Row],[2025 ]]</f>
        <v>10.428952923790895</v>
      </c>
      <c r="AJ57" s="77">
        <f>$AH57*tbl_Data[[#This Row],[2026 ]]</f>
        <v>11.598223044296953</v>
      </c>
      <c r="AK57" s="77">
        <f>$AH57*tbl_Data[[#This Row],[2027 ]]</f>
        <v>12.675743598691984</v>
      </c>
      <c r="AL57" s="77">
        <f>$AH57*tbl_Data[[#This Row],[2028 ]]</f>
        <v>13.694548040544221</v>
      </c>
      <c r="AM57" s="77">
        <f>$AH57*tbl_Data[[#This Row],[2029 ]]</f>
        <v>14.66454642444889</v>
      </c>
      <c r="AN57" s="77">
        <f>$AH57*tbl_Data[[#This Row],[2030 ]]</f>
        <v>15.551352869953906</v>
      </c>
      <c r="AO57" s="77">
        <f>$AH57*tbl_Data[[#This Row],[2031 ]]</f>
        <v>16.477407939110176</v>
      </c>
      <c r="AP57" s="77">
        <f>$AH57*tbl_Data[[#This Row],[2032 ]]</f>
        <v>17.483357895021605</v>
      </c>
      <c r="AQ57" s="77">
        <f>$AH57*tbl_Data[[#This Row],[2033 ]]</f>
        <v>18.582442012960584</v>
      </c>
      <c r="AR57" s="77">
        <f>$AH57*tbl_Data[[#This Row],[2034 ]]</f>
        <v>19.782068695927808</v>
      </c>
      <c r="AS57" s="77">
        <f>SUM(tbl_Data[[#This Row],[Adjusted 2025]:[Adjusted 2034]])</f>
        <v>150.93864344474702</v>
      </c>
      <c r="AT57" s="80">
        <f>AVERAGEIFS('3. Incentive Adjustment'!F:F,'3. Incentive Adjustment'!A:A,tbl_Data[[#This Row],[Trimmed Sector]],'3. Incentive Adjustment'!B:B,tbl_Data[[#This Row],[Trimmed Measure Name]])</f>
        <v>500</v>
      </c>
      <c r="AU57" s="80">
        <f>IFERROR(VLOOKUP(tbl_Data[[#This Row],[All_Meas_Name_Append]],'IRA Tax Credits'!$A$3:$D$46,4,0),0)</f>
        <v>1666.6666666666667</v>
      </c>
      <c r="AV57" s="81">
        <f>tbl_Data[[#This Row],[Adj. per unit Incentive ($)]]/tbl_Data[[#This Row],[kWh Savings]]*tbl_Data[[#This Row],[Sum of Annuals]]</f>
        <v>45.378430604334028</v>
      </c>
      <c r="AW57" s="81">
        <f>IFERROR(VLOOKUP(tbl_Data[[#This Row],[Column1]],'1. Set Program Names'!$B$2:$D$15,3,0)*tbl_Data[[#This Row],[Sum of Annuals]],"")</f>
        <v>67.295034863095424</v>
      </c>
      <c r="AX57" s="81">
        <f>tbl_Data[[#This Row],[per unit IRA tax ($)]]/tbl_Data[[#This Row],[kWh Savings]]*tbl_Data[[#This Row],[Sum of Annuals]]</f>
        <v>151.26143534778012</v>
      </c>
      <c r="AY57" s="81">
        <f>tbl_Data[[#This Row],[Avoided Costs ($/unit)]]/tbl_Data[[#This Row],[kWh Savings]]*tbl_Data[[#This Row],[Sum of Annuals]]</f>
        <v>71.875946157940362</v>
      </c>
      <c r="AZ57" s="81">
        <f>tbl_Data[[#This Row],[Lost Revenue ($/unit)]]/tbl_Data[[#This Row],[kWh Savings]]*tbl_Data[[#This Row],[Sum of Annuals]]</f>
        <v>193.08426285076135</v>
      </c>
      <c r="BA57" s="81">
        <f>tbl_Data[[#This Row],[Incremental Cost ($/unit)]]/tbl_Data[[#This Row],[kWh Savings]]*tbl_Data[[#This Row],[Sum of Annuals]]</f>
        <v>126.10665864944426</v>
      </c>
      <c r="BB57" s="77">
        <f>ROUNDUP(tbl_Data[[#This Row],[Adjusted 2025]]/$L57,0)</f>
        <v>1</v>
      </c>
      <c r="BC57" s="77">
        <f>ROUNDUP(tbl_Data[[#This Row],[Adjusted 2026]]/$L57,0)</f>
        <v>1</v>
      </c>
      <c r="BD57" s="77">
        <f>ROUNDUP(tbl_Data[[#This Row],[Adjusted 2027]]/$L57,0)</f>
        <v>1</v>
      </c>
      <c r="BE57" s="77">
        <f>ROUNDUP(tbl_Data[[#This Row],[Adjusted 2028]]/$L57,0)</f>
        <v>1</v>
      </c>
      <c r="BF57" s="77">
        <f>ROUNDUP(tbl_Data[[#This Row],[Adjusted 2029]]/$L57,0)</f>
        <v>1</v>
      </c>
      <c r="BG57" s="77">
        <f>ROUNDUP(tbl_Data[[#This Row],[Adjusted 2030]]/$L57,0)</f>
        <v>1</v>
      </c>
      <c r="BH57" s="77">
        <f>ROUNDUP(tbl_Data[[#This Row],[Adjusted 2031]]/$L57,0)</f>
        <v>1</v>
      </c>
      <c r="BI57" s="77">
        <f>ROUNDUP(tbl_Data[[#This Row],[Adjusted 2032]]/$L57,0)</f>
        <v>1</v>
      </c>
      <c r="BJ57" s="77">
        <f>ROUNDUP(tbl_Data[[#This Row],[Adjusted 2033]]/$L57,0)</f>
        <v>1</v>
      </c>
      <c r="BK57" s="77">
        <f>ROUNDUP(tbl_Data[[#This Row],[Adjusted 2034]]/$L57,0)</f>
        <v>1</v>
      </c>
      <c r="BL57" s="80">
        <f t="shared" si="23"/>
        <v>6.808768898121393</v>
      </c>
      <c r="BM57" s="77">
        <f t="shared" si="24"/>
        <v>7.5721523449718164</v>
      </c>
      <c r="BN57" s="77">
        <f t="shared" si="25"/>
        <v>8.275635090695495</v>
      </c>
      <c r="BO57" s="77">
        <f t="shared" si="26"/>
        <v>8.9407837444138334</v>
      </c>
      <c r="BP57" s="77">
        <f t="shared" si="27"/>
        <v>9.574068300957542</v>
      </c>
      <c r="BQ57" s="77">
        <f t="shared" si="28"/>
        <v>10.153039189879083</v>
      </c>
      <c r="BR57" s="77">
        <f t="shared" si="29"/>
        <v>10.757634396981324</v>
      </c>
      <c r="BS57" s="77">
        <f t="shared" si="30"/>
        <v>11.414390719780663</v>
      </c>
      <c r="BT57" s="77">
        <f t="shared" si="31"/>
        <v>12.131951707286003</v>
      </c>
      <c r="BU57" s="77">
        <f t="shared" si="32"/>
        <v>12.915154096637162</v>
      </c>
      <c r="BV57" s="80">
        <f>IFERROR(VLOOKUP($H57,'1. Set Program Names'!$B$2:$D$15,3,0)*V57,"NA")</f>
        <v>10.097227565425703</v>
      </c>
      <c r="BW57" s="80">
        <f>IFERROR(VLOOKUP($H57,'1. Set Program Names'!$B$2:$D$15,3,0)*W57,"NA")</f>
        <v>11.229305404732969</v>
      </c>
      <c r="BX57" s="80">
        <f>IFERROR(VLOOKUP($H57,'1. Set Program Names'!$B$2:$D$15,3,0)*X57,"NA")</f>
        <v>12.272552058894243</v>
      </c>
      <c r="BY57" s="80">
        <f>IFERROR(VLOOKUP($H57,'1. Set Program Names'!$B$2:$D$15,3,0)*Y57,"NA")</f>
        <v>13.258950249510415</v>
      </c>
      <c r="BZ57" s="80">
        <f>IFERROR(VLOOKUP($H57,'1. Set Program Names'!$B$2:$D$15,3,0)*Z57,"NA")</f>
        <v>14.198094810997265</v>
      </c>
      <c r="CA57" s="80">
        <f>IFERROR(VLOOKUP($H57,'1. Set Program Names'!$B$2:$D$15,3,0)*AA57,"NA")</f>
        <v>15.056693613023075</v>
      </c>
      <c r="CB57" s="80">
        <f>IFERROR(VLOOKUP($H57,'1. Set Program Names'!$B$2:$D$15,3,0)*AB57,"NA")</f>
        <v>15.953292613873487</v>
      </c>
      <c r="CC57" s="80">
        <f>IFERROR(VLOOKUP($H57,'1. Set Program Names'!$B$2:$D$15,3,0)*AC57,"NA")</f>
        <v>16.927245195546039</v>
      </c>
      <c r="CD57" s="80">
        <f>IFERROR(VLOOKUP($H57,'1. Set Program Names'!$B$2:$D$15,3,0)*AD57,"NA")</f>
        <v>17.991369516891719</v>
      </c>
      <c r="CE57" s="80">
        <f>IFERROR(VLOOKUP($H57,'1. Set Program Names'!$B$2:$D$15,3,0)*AE57,"NA")</f>
        <v>19.152838333559259</v>
      </c>
    </row>
    <row r="58" spans="1:83" x14ac:dyDescent="0.25">
      <c r="A58" s="79" t="s">
        <v>116</v>
      </c>
      <c r="B58" s="79" t="s">
        <v>88</v>
      </c>
      <c r="C58" s="79" t="s">
        <v>89</v>
      </c>
      <c r="D58" s="79" t="s">
        <v>90</v>
      </c>
      <c r="E58" s="79" t="s">
        <v>91</v>
      </c>
      <c r="F58" s="79" t="s">
        <v>90</v>
      </c>
      <c r="G58" s="79" t="s">
        <v>92</v>
      </c>
      <c r="H58" s="79" t="s">
        <v>5</v>
      </c>
      <c r="I58" s="79" t="s">
        <v>109</v>
      </c>
      <c r="J58" s="79" t="s">
        <v>94</v>
      </c>
      <c r="K58" s="79" t="s">
        <v>95</v>
      </c>
      <c r="L58" s="79">
        <v>1590.11499999999</v>
      </c>
      <c r="M58" s="79">
        <v>6.3722388822036402E-2</v>
      </c>
      <c r="N58" s="79">
        <v>0.29557957027655002</v>
      </c>
      <c r="O58" s="79">
        <v>1389.5</v>
      </c>
      <c r="P58" s="79">
        <v>1006.47372867305</v>
      </c>
      <c r="Q58" s="79">
        <v>472.62844433209199</v>
      </c>
      <c r="R58" s="79">
        <v>757.20185047754296</v>
      </c>
      <c r="S58" s="79">
        <v>2034.1125083407001</v>
      </c>
      <c r="T58" s="79">
        <v>15</v>
      </c>
      <c r="U58" s="79">
        <v>0.7</v>
      </c>
      <c r="V58" s="79">
        <f>tbl_Data_old[[#This Row],[2025 ]]*IFERROR(AVERAGEIFS('Participation Adjustment'!$C:$C,'Participation Adjustment'!$A:$A,$H58,'Participation Adjustment'!$B:$B,$I58),1)</f>
        <v>32.364874555288203</v>
      </c>
      <c r="W58" s="79">
        <f>tbl_Data_old[[#This Row],[2026 ]]*IFERROR(AVERAGEIFS('Participation Adjustment'!$C:$C,'Participation Adjustment'!$A:$A,$H58,'Participation Adjustment'!$B:$B,$I58),1)</f>
        <v>35.978791887765198</v>
      </c>
      <c r="X58" s="79">
        <f>tbl_Data_old[[#This Row],[2027 ]]*IFERROR(AVERAGEIFS('Participation Adjustment'!$C:$C,'Participation Adjustment'!$A:$A,$H58,'Participation Adjustment'!$B:$B,$I58),1)</f>
        <v>39.306875201169603</v>
      </c>
      <c r="Y58" s="79">
        <f>tbl_Data_old[[#This Row],[2028 ]]*IFERROR(AVERAGEIFS('Participation Adjustment'!$C:$C,'Participation Adjustment'!$A:$A,$H58,'Participation Adjustment'!$B:$B,$I58),1)</f>
        <v>42.452130126180201</v>
      </c>
      <c r="Z58" s="79">
        <f>tbl_Data_old[[#This Row],[2029 ]]*IFERROR(AVERAGEIFS('Participation Adjustment'!$C:$C,'Participation Adjustment'!$A:$A,$H58,'Participation Adjustment'!$B:$B,$I58),1)</f>
        <v>45.445674438015999</v>
      </c>
      <c r="AA58" s="79">
        <f>tbl_Data_old[[#This Row],[2030 ]]*IFERROR(AVERAGEIFS('Participation Adjustment'!$C:$C,'Participation Adjustment'!$A:$A,$H58,'Participation Adjustment'!$B:$B,$I58),1)</f>
        <v>48.181280119233399</v>
      </c>
      <c r="AB58" s="79">
        <f>tbl_Data_old[[#This Row],[2031 ]]*IFERROR(AVERAGEIFS('Participation Adjustment'!$C:$C,'Participation Adjustment'!$A:$A,$H58,'Participation Adjustment'!$B:$B,$I58),1)</f>
        <v>51.0385245572282</v>
      </c>
      <c r="AC58" s="79">
        <f>tbl_Data_old[[#This Row],[2032 ]]*IFERROR(AVERAGEIFS('Participation Adjustment'!$C:$C,'Participation Adjustment'!$A:$A,$H58,'Participation Adjustment'!$B:$B,$I58),1)</f>
        <v>54.143298466351801</v>
      </c>
      <c r="AD58" s="79">
        <f>tbl_Data_old[[#This Row],[2033 ]]*IFERROR(AVERAGEIFS('Participation Adjustment'!$C:$C,'Participation Adjustment'!$A:$A,$H58,'Participation Adjustment'!$B:$B,$I58),1)</f>
        <v>57.536536540401798</v>
      </c>
      <c r="AE58" s="79">
        <f>tbl_Data_old[[#This Row],[2034 ]]*IFERROR(AVERAGEIFS('Participation Adjustment'!$C:$C,'Participation Adjustment'!$A:$A,$H58,'Participation Adjustment'!$B:$B,$I58),1)</f>
        <v>61.241107981557001</v>
      </c>
      <c r="AF58" s="77" t="str">
        <f t="shared" si="22"/>
        <v>Residential</v>
      </c>
      <c r="AG58" s="77" t="str">
        <f>tbl_Data[[#This Row],[All_Meas_Name_Append]]</f>
        <v>Heat Pump Water Heater 50 Gallons-ENERGY STAR</v>
      </c>
      <c r="AH58" s="77">
        <f>AVERAGEIFS('3. Incentive Adjustment'!G:G,'3. Incentive Adjustment'!A:A,tbl_Data[[#This Row],[Trimmed Sector]],'3. Incentive Adjustment'!B:B,tbl_Data[[#This Row],[Trimmed Measure Name]])</f>
        <v>0.43153525594917136</v>
      </c>
      <c r="AI58" s="77">
        <f>$AH58*tbl_Data[[#This Row],[2025 ]]</f>
        <v>13.966584424979118</v>
      </c>
      <c r="AJ58" s="77">
        <f>$AH58*tbl_Data[[#This Row],[2026 ]]</f>
        <v>15.526117166028724</v>
      </c>
      <c r="AK58" s="77">
        <f>$AH58*tbl_Data[[#This Row],[2027 ]]</f>
        <v>16.962302450498861</v>
      </c>
      <c r="AL58" s="77">
        <f>$AH58*tbl_Data[[#This Row],[2028 ]]</f>
        <v>18.319590839588702</v>
      </c>
      <c r="AM58" s="77">
        <f>$AH58*tbl_Data[[#This Row],[2029 ]]</f>
        <v>19.611410750391947</v>
      </c>
      <c r="AN58" s="77">
        <f>$AH58*tbl_Data[[#This Row],[2030 ]]</f>
        <v>20.791921048212107</v>
      </c>
      <c r="AO58" s="77">
        <f>$AH58*tbl_Data[[#This Row],[2031 ]]</f>
        <v>22.02492275807154</v>
      </c>
      <c r="AP58" s="77">
        <f>$AH58*tbl_Data[[#This Row],[2032 ]]</f>
        <v>23.364742161609502</v>
      </c>
      <c r="AQ58" s="77">
        <f>$AH58*tbl_Data[[#This Row],[2033 ]]</f>
        <v>24.829044022391141</v>
      </c>
      <c r="AR58" s="77">
        <f>$AH58*tbl_Data[[#This Row],[2034 ]]</f>
        <v>26.42769720743204</v>
      </c>
      <c r="AS58" s="77">
        <f>SUM(tbl_Data[[#This Row],[Adjusted 2025]:[Adjusted 2034]])</f>
        <v>201.82433282920368</v>
      </c>
      <c r="AT58" s="80">
        <f>AVERAGEIFS('3. Incentive Adjustment'!F:F,'3. Incentive Adjustment'!A:A,tbl_Data[[#This Row],[Trimmed Sector]],'3. Incentive Adjustment'!B:B,tbl_Data[[#This Row],[Trimmed Measure Name]])</f>
        <v>500</v>
      </c>
      <c r="AU58" s="80">
        <f>IFERROR(VLOOKUP(tbl_Data[[#This Row],[All_Meas_Name_Append]],'IRA Tax Credits'!$A$3:$D$46,4,0),0)</f>
        <v>1666.6666666666667</v>
      </c>
      <c r="AV58" s="81">
        <f>tbl_Data[[#This Row],[Adj. per unit Incentive ($)]]/tbl_Data[[#This Row],[kWh Savings]]*tbl_Data[[#This Row],[Sum of Annuals]]</f>
        <v>63.46218129795799</v>
      </c>
      <c r="AW58" s="81">
        <f>IFERROR(VLOOKUP(tbl_Data[[#This Row],[Column1]],'1. Set Program Names'!$B$2:$D$15,3,0)*tbl_Data[[#This Row],[Sum of Annuals]],"")</f>
        <v>89.982096062324928</v>
      </c>
      <c r="AX58" s="81">
        <f>tbl_Data[[#This Row],[per unit IRA tax ($)]]/tbl_Data[[#This Row],[kWh Savings]]*tbl_Data[[#This Row],[Sum of Annuals]]</f>
        <v>211.54060432652665</v>
      </c>
      <c r="AY58" s="81">
        <f>tbl_Data[[#This Row],[Avoided Costs ($/unit)]]/tbl_Data[[#This Row],[kWh Savings]]*tbl_Data[[#This Row],[Sum of Annuals]]</f>
        <v>96.107362228310222</v>
      </c>
      <c r="AZ58" s="81">
        <f>tbl_Data[[#This Row],[Lost Revenue ($/unit)]]/tbl_Data[[#This Row],[kWh Savings]]*tbl_Data[[#This Row],[Sum of Annuals]]</f>
        <v>258.17843356952324</v>
      </c>
      <c r="BA58" s="81">
        <f>tbl_Data[[#This Row],[Incremental Cost ($/unit)]]/tbl_Data[[#This Row],[kWh Savings]]*tbl_Data[[#This Row],[Sum of Annuals]]</f>
        <v>176.36140182702528</v>
      </c>
      <c r="BB58" s="77">
        <f>ROUNDUP(tbl_Data[[#This Row],[Adjusted 2025]]/$L58,0)</f>
        <v>1</v>
      </c>
      <c r="BC58" s="77">
        <f>ROUNDUP(tbl_Data[[#This Row],[Adjusted 2026]]/$L58,0)</f>
        <v>1</v>
      </c>
      <c r="BD58" s="77">
        <f>ROUNDUP(tbl_Data[[#This Row],[Adjusted 2027]]/$L58,0)</f>
        <v>1</v>
      </c>
      <c r="BE58" s="77">
        <f>ROUNDUP(tbl_Data[[#This Row],[Adjusted 2028]]/$L58,0)</f>
        <v>1</v>
      </c>
      <c r="BF58" s="77">
        <f>ROUNDUP(tbl_Data[[#This Row],[Adjusted 2029]]/$L58,0)</f>
        <v>1</v>
      </c>
      <c r="BG58" s="77">
        <f>ROUNDUP(tbl_Data[[#This Row],[Adjusted 2030]]/$L58,0)</f>
        <v>1</v>
      </c>
      <c r="BH58" s="77">
        <f>ROUNDUP(tbl_Data[[#This Row],[Adjusted 2031]]/$L58,0)</f>
        <v>1</v>
      </c>
      <c r="BI58" s="77">
        <f>ROUNDUP(tbl_Data[[#This Row],[Adjusted 2032]]/$L58,0)</f>
        <v>1</v>
      </c>
      <c r="BJ58" s="77">
        <f>ROUNDUP(tbl_Data[[#This Row],[Adjusted 2033]]/$L58,0)</f>
        <v>1</v>
      </c>
      <c r="BK58" s="77">
        <f>ROUNDUP(tbl_Data[[#This Row],[Adjusted 2034]]/$L58,0)</f>
        <v>1</v>
      </c>
      <c r="BL58" s="80">
        <f t="shared" si="23"/>
        <v>10.176897443042925</v>
      </c>
      <c r="BM58" s="77">
        <f t="shared" si="24"/>
        <v>11.313267244119269</v>
      </c>
      <c r="BN58" s="77">
        <f t="shared" si="25"/>
        <v>12.359758634177354</v>
      </c>
      <c r="BO58" s="77">
        <f t="shared" si="26"/>
        <v>13.348760978350768</v>
      </c>
      <c r="BP58" s="77">
        <f t="shared" si="27"/>
        <v>14.290059032842366</v>
      </c>
      <c r="BQ58" s="77">
        <f t="shared" si="28"/>
        <v>15.150250176633042</v>
      </c>
      <c r="BR58" s="77">
        <f t="shared" si="29"/>
        <v>16.048689735405464</v>
      </c>
      <c r="BS58" s="77">
        <f t="shared" si="30"/>
        <v>17.024963121017077</v>
      </c>
      <c r="BT58" s="77">
        <f t="shared" si="31"/>
        <v>18.091941947721441</v>
      </c>
      <c r="BU58" s="77">
        <f t="shared" si="32"/>
        <v>19.256817268423159</v>
      </c>
      <c r="BV58" s="80">
        <f>IFERROR(VLOOKUP($H58,'1. Set Program Names'!$B$2:$D$15,3,0)*V58,"NA")</f>
        <v>14.429673619897823</v>
      </c>
      <c r="BW58" s="80">
        <f>IFERROR(VLOOKUP($H58,'1. Set Program Names'!$B$2:$D$15,3,0)*W58,"NA")</f>
        <v>16.040915693703859</v>
      </c>
      <c r="BX58" s="80">
        <f>IFERROR(VLOOKUP($H58,'1. Set Program Names'!$B$2:$D$15,3,0)*X58,"NA")</f>
        <v>17.5247204867741</v>
      </c>
      <c r="BY58" s="80">
        <f>IFERROR(VLOOKUP($H58,'1. Set Program Names'!$B$2:$D$15,3,0)*Y58,"NA")</f>
        <v>18.927012404876514</v>
      </c>
      <c r="BZ58" s="80">
        <f>IFERROR(VLOOKUP($H58,'1. Set Program Names'!$B$2:$D$15,3,0)*Z58,"NA")</f>
        <v>20.261665110318077</v>
      </c>
      <c r="CA58" s="80">
        <f>IFERROR(VLOOKUP($H58,'1. Set Program Names'!$B$2:$D$15,3,0)*AA58,"NA")</f>
        <v>21.481317516672163</v>
      </c>
      <c r="CB58" s="80">
        <f>IFERROR(VLOOKUP($H58,'1. Set Program Names'!$B$2:$D$15,3,0)*AB58,"NA")</f>
        <v>22.755201789639219</v>
      </c>
      <c r="CC58" s="80">
        <f>IFERROR(VLOOKUP($H58,'1. Set Program Names'!$B$2:$D$15,3,0)*AC58,"NA")</f>
        <v>24.139445504092539</v>
      </c>
      <c r="CD58" s="80">
        <f>IFERROR(VLOOKUP($H58,'1. Set Program Names'!$B$2:$D$15,3,0)*AD58,"NA")</f>
        <v>25.652299133094228</v>
      </c>
      <c r="CE58" s="80">
        <f>IFERROR(VLOOKUP($H58,'1. Set Program Names'!$B$2:$D$15,3,0)*AE58,"NA")</f>
        <v>27.303958765086524</v>
      </c>
    </row>
    <row r="59" spans="1:83" x14ac:dyDescent="0.25">
      <c r="A59" s="79" t="s">
        <v>116</v>
      </c>
      <c r="B59" s="79" t="s">
        <v>88</v>
      </c>
      <c r="C59" s="79" t="s">
        <v>89</v>
      </c>
      <c r="D59" s="79" t="s">
        <v>90</v>
      </c>
      <c r="E59" s="79" t="s">
        <v>91</v>
      </c>
      <c r="F59" s="79" t="s">
        <v>90</v>
      </c>
      <c r="G59" s="79" t="s">
        <v>92</v>
      </c>
      <c r="H59" s="79" t="s">
        <v>5</v>
      </c>
      <c r="I59" s="79" t="s">
        <v>110</v>
      </c>
      <c r="J59" s="79" t="s">
        <v>94</v>
      </c>
      <c r="K59" s="79" t="s">
        <v>108</v>
      </c>
      <c r="L59" s="79">
        <v>461.909999999999</v>
      </c>
      <c r="M59" s="79">
        <v>1.8510616289253799E-2</v>
      </c>
      <c r="N59" s="79">
        <v>8.5862443475120898E-2</v>
      </c>
      <c r="O59" s="79">
        <v>1729.5</v>
      </c>
      <c r="P59" s="79">
        <v>1631.9996867488601</v>
      </c>
      <c r="Q59" s="79">
        <v>137.29309183388401</v>
      </c>
      <c r="R59" s="79">
        <v>219.958372038552</v>
      </c>
      <c r="S59" s="79">
        <v>590.88613636602201</v>
      </c>
      <c r="T59" s="79">
        <v>15</v>
      </c>
      <c r="U59" s="79">
        <v>0.7</v>
      </c>
      <c r="V59" s="79">
        <f>tbl_Data_old[[#This Row],[2025 ]]*IFERROR(AVERAGEIFS('Participation Adjustment'!$C:$C,'Participation Adjustment'!$A:$A,$H59,'Participation Adjustment'!$B:$B,$I59),1)</f>
        <v>17.40982985694378</v>
      </c>
      <c r="W59" s="79">
        <f>tbl_Data_old[[#This Row],[2026 ]]*IFERROR(AVERAGEIFS('Participation Adjustment'!$C:$C,'Participation Adjustment'!$A:$A,$H59,'Participation Adjustment'!$B:$B,$I59),1)</f>
        <v>19.36520585315532</v>
      </c>
      <c r="X59" s="79">
        <f>tbl_Data_old[[#This Row],[2027 ]]*IFERROR(AVERAGEIFS('Participation Adjustment'!$C:$C,'Participation Adjustment'!$A:$A,$H59,'Participation Adjustment'!$B:$B,$I59),1)</f>
        <v>21.167645911729799</v>
      </c>
      <c r="Y59" s="79">
        <f>tbl_Data_old[[#This Row],[2028 ]]*IFERROR(AVERAGEIFS('Participation Adjustment'!$C:$C,'Participation Adjustment'!$A:$A,$H59,'Participation Adjustment'!$B:$B,$I59),1)</f>
        <v>22.8721777032356</v>
      </c>
      <c r="Z59" s="79">
        <f>tbl_Data_old[[#This Row],[2029 ]]*IFERROR(AVERAGEIFS('Participation Adjustment'!$C:$C,'Participation Adjustment'!$A:$A,$H59,'Participation Adjustment'!$B:$B,$I59),1)</f>
        <v>24.495258596115001</v>
      </c>
      <c r="AA59" s="79">
        <f>tbl_Data_old[[#This Row],[2030 ]]*IFERROR(AVERAGEIFS('Participation Adjustment'!$C:$C,'Participation Adjustment'!$A:$A,$H59,'Participation Adjustment'!$B:$B,$I59),1)</f>
        <v>25.979373603323399</v>
      </c>
      <c r="AB59" s="79">
        <f>tbl_Data_old[[#This Row],[2031 ]]*IFERROR(AVERAGEIFS('Participation Adjustment'!$C:$C,'Participation Adjustment'!$A:$A,$H59,'Participation Adjustment'!$B:$B,$I59),1)</f>
        <v>27.529013335805001</v>
      </c>
      <c r="AC59" s="79">
        <f>tbl_Data_old[[#This Row],[2032 ]]*IFERROR(AVERAGEIFS('Participation Adjustment'!$C:$C,'Participation Adjustment'!$A:$A,$H59,'Participation Adjustment'!$B:$B,$I59),1)</f>
        <v>29.212087666339599</v>
      </c>
      <c r="AD59" s="79">
        <f>tbl_Data_old[[#This Row],[2033 ]]*IFERROR(AVERAGEIFS('Participation Adjustment'!$C:$C,'Participation Adjustment'!$A:$A,$H59,'Participation Adjustment'!$B:$B,$I59),1)</f>
        <v>31.050731211967001</v>
      </c>
      <c r="AE59" s="79">
        <f>tbl_Data_old[[#This Row],[2034 ]]*IFERROR(AVERAGEIFS('Participation Adjustment'!$C:$C,'Participation Adjustment'!$A:$A,$H59,'Participation Adjustment'!$B:$B,$I59),1)</f>
        <v>33.0573377039902</v>
      </c>
      <c r="AF59" s="77" t="str">
        <f t="shared" si="22"/>
        <v>Residential</v>
      </c>
      <c r="AG59" s="77" t="str">
        <f>tbl_Data[[#This Row],[All_Meas_Name_Append]]</f>
        <v>Heat Pump Water Heater 80 Gallons-ENERGY STAR</v>
      </c>
      <c r="AH59" s="77">
        <f>AVERAGEIFS('3. Incentive Adjustment'!G:G,'3. Incentive Adjustment'!A:A,tbl_Data[[#This Row],[Trimmed Sector]],'3. Incentive Adjustment'!B:B,tbl_Data[[#This Row],[Trimmed Measure Name]])</f>
        <v>1.5551101216712928E-3</v>
      </c>
      <c r="AI59" s="77">
        <f>$AH59*tbl_Data[[#This Row],[2025 ]]</f>
        <v>2.7074202627108346E-2</v>
      </c>
      <c r="AJ59" s="77">
        <f>$AH59*tbl_Data[[#This Row],[2026 ]]</f>
        <v>3.011502763049E-2</v>
      </c>
      <c r="AK59" s="77">
        <f>$AH59*tbl_Data[[#This Row],[2027 ]]</f>
        <v>3.2918020409284973E-2</v>
      </c>
      <c r="AL59" s="77">
        <f>$AH59*tbl_Data[[#This Row],[2028 ]]</f>
        <v>3.5568755050966142E-2</v>
      </c>
      <c r="AM59" s="77">
        <f>$AH59*tbl_Data[[#This Row],[2029 ]]</f>
        <v>3.8092824575774183E-2</v>
      </c>
      <c r="AN59" s="77">
        <f>$AH59*tbl_Data[[#This Row],[2030 ]]</f>
        <v>4.0400786845208224E-2</v>
      </c>
      <c r="AO59" s="77">
        <f>$AH59*tbl_Data[[#This Row],[2031 ]]</f>
        <v>4.2810647278134356E-2</v>
      </c>
      <c r="AP59" s="77">
        <f>$AH59*tbl_Data[[#This Row],[2032 ]]</f>
        <v>4.5428013205073843E-2</v>
      </c>
      <c r="AQ59" s="77">
        <f>$AH59*tbl_Data[[#This Row],[2033 ]]</f>
        <v>4.8287306393024615E-2</v>
      </c>
      <c r="AR59" s="77">
        <f>$AH59*tbl_Data[[#This Row],[2034 ]]</f>
        <v>5.1407800458981218E-2</v>
      </c>
      <c r="AS59" s="77">
        <f>SUM(tbl_Data[[#This Row],[Adjusted 2025]:[Adjusted 2034]])</f>
        <v>0.39210338447404591</v>
      </c>
      <c r="AT59" s="80">
        <f>AVERAGEIFS('3. Incentive Adjustment'!F:F,'3. Incentive Adjustment'!A:A,tbl_Data[[#This Row],[Trimmed Sector]],'3. Incentive Adjustment'!B:B,tbl_Data[[#This Row],[Trimmed Measure Name]])</f>
        <v>500</v>
      </c>
      <c r="AU59" s="80">
        <f>IFERROR(VLOOKUP(tbl_Data[[#This Row],[All_Meas_Name_Append]],'IRA Tax Credits'!$A$3:$D$46,4,0),0)</f>
        <v>1666.6666666666667</v>
      </c>
      <c r="AV59" s="81">
        <f>tbl_Data[[#This Row],[Adj. per unit Incentive ($)]]/tbl_Data[[#This Row],[kWh Savings]]*tbl_Data[[#This Row],[Sum of Annuals]]</f>
        <v>0.42443699473279078</v>
      </c>
      <c r="AW59" s="81">
        <f>IFERROR(VLOOKUP(tbl_Data[[#This Row],[Column1]],'1. Set Program Names'!$B$2:$D$15,3,0)*tbl_Data[[#This Row],[Sum of Annuals]],"")</f>
        <v>0.17481680188664064</v>
      </c>
      <c r="AX59" s="81">
        <f>tbl_Data[[#This Row],[per unit IRA tax ($)]]/tbl_Data[[#This Row],[kWh Savings]]*tbl_Data[[#This Row],[Sum of Annuals]]</f>
        <v>1.414789982442636</v>
      </c>
      <c r="AY59" s="81">
        <f>tbl_Data[[#This Row],[Avoided Costs ($/unit)]]/tbl_Data[[#This Row],[kWh Savings]]*tbl_Data[[#This Row],[Sum of Annuals]]</f>
        <v>0.18671694078872025</v>
      </c>
      <c r="AZ59" s="81">
        <f>tbl_Data[[#This Row],[Lost Revenue ($/unit)]]/tbl_Data[[#This Row],[kWh Savings]]*tbl_Data[[#This Row],[Sum of Annuals]]</f>
        <v>0.50158787189692866</v>
      </c>
      <c r="BA59" s="81">
        <f>tbl_Data[[#This Row],[Incremental Cost ($/unit)]]/tbl_Data[[#This Row],[kWh Savings]]*tbl_Data[[#This Row],[Sum of Annuals]]</f>
        <v>1.4681275647807233</v>
      </c>
      <c r="BB59" s="77">
        <f>ROUNDUP(tbl_Data[[#This Row],[Adjusted 2025]]/$L59,0)</f>
        <v>1</v>
      </c>
      <c r="BC59" s="77">
        <f>ROUNDUP(tbl_Data[[#This Row],[Adjusted 2026]]/$L59,0)</f>
        <v>1</v>
      </c>
      <c r="BD59" s="77">
        <f>ROUNDUP(tbl_Data[[#This Row],[Adjusted 2027]]/$L59,0)</f>
        <v>1</v>
      </c>
      <c r="BE59" s="77">
        <f>ROUNDUP(tbl_Data[[#This Row],[Adjusted 2028]]/$L59,0)</f>
        <v>1</v>
      </c>
      <c r="BF59" s="77">
        <f>ROUNDUP(tbl_Data[[#This Row],[Adjusted 2029]]/$L59,0)</f>
        <v>1</v>
      </c>
      <c r="BG59" s="77">
        <f>ROUNDUP(tbl_Data[[#This Row],[Adjusted 2030]]/$L59,0)</f>
        <v>1</v>
      </c>
      <c r="BH59" s="77">
        <f>ROUNDUP(tbl_Data[[#This Row],[Adjusted 2031]]/$L59,0)</f>
        <v>1</v>
      </c>
      <c r="BI59" s="77">
        <f>ROUNDUP(tbl_Data[[#This Row],[Adjusted 2032]]/$L59,0)</f>
        <v>1</v>
      </c>
      <c r="BJ59" s="77">
        <f>ROUNDUP(tbl_Data[[#This Row],[Adjusted 2033]]/$L59,0)</f>
        <v>1</v>
      </c>
      <c r="BK59" s="77">
        <f>ROUNDUP(tbl_Data[[#This Row],[Adjusted 2034]]/$L59,0)</f>
        <v>1</v>
      </c>
      <c r="BL59" s="80">
        <f t="shared" si="23"/>
        <v>18.845478401575868</v>
      </c>
      <c r="BM59" s="77">
        <f t="shared" si="24"/>
        <v>20.962098518277763</v>
      </c>
      <c r="BN59" s="77">
        <f t="shared" si="25"/>
        <v>22.913171301476314</v>
      </c>
      <c r="BO59" s="77">
        <f t="shared" si="26"/>
        <v>24.758262110839397</v>
      </c>
      <c r="BP59" s="77">
        <f t="shared" si="27"/>
        <v>26.515185421526983</v>
      </c>
      <c r="BQ59" s="77">
        <f t="shared" si="28"/>
        <v>28.121683448424431</v>
      </c>
      <c r="BR59" s="77">
        <f t="shared" si="29"/>
        <v>29.799109497310148</v>
      </c>
      <c r="BS59" s="77">
        <f t="shared" si="30"/>
        <v>31.620973421596918</v>
      </c>
      <c r="BT59" s="77">
        <f t="shared" si="31"/>
        <v>33.611235102040517</v>
      </c>
      <c r="BU59" s="77">
        <f t="shared" si="32"/>
        <v>35.78331028121309</v>
      </c>
      <c r="BV59" s="80">
        <f>IFERROR(VLOOKUP($H59,'1. Set Program Names'!$B$2:$D$15,3,0)*V59,"NA")</f>
        <v>7.7620619905231116</v>
      </c>
      <c r="BW59" s="80">
        <f>IFERROR(VLOOKUP($H59,'1. Set Program Names'!$B$2:$D$15,3,0)*W59,"NA")</f>
        <v>8.6338539507025125</v>
      </c>
      <c r="BX59" s="80">
        <f>IFERROR(VLOOKUP($H59,'1. Set Program Names'!$B$2:$D$15,3,0)*X59,"NA")</f>
        <v>9.4374603950973235</v>
      </c>
      <c r="BY59" s="80">
        <f>IFERROR(VLOOKUP($H59,'1. Set Program Names'!$B$2:$D$15,3,0)*Y59,"NA")</f>
        <v>10.197415060892547</v>
      </c>
      <c r="BZ59" s="80">
        <f>IFERROR(VLOOKUP($H59,'1. Set Program Names'!$B$2:$D$15,3,0)*Z59,"NA")</f>
        <v>10.921055361210515</v>
      </c>
      <c r="CA59" s="80">
        <f>IFERROR(VLOOKUP($H59,'1. Set Program Names'!$B$2:$D$15,3,0)*AA59,"NA")</f>
        <v>11.582738604623872</v>
      </c>
      <c r="CB59" s="80">
        <f>IFERROR(VLOOKUP($H59,'1. Set Program Names'!$B$2:$D$15,3,0)*AB59,"NA")</f>
        <v>12.27363563034652</v>
      </c>
      <c r="CC59" s="80">
        <f>IFERROR(VLOOKUP($H59,'1. Set Program Names'!$B$2:$D$15,3,0)*AC59,"NA")</f>
        <v>13.024023623544352</v>
      </c>
      <c r="CD59" s="80">
        <f>IFERROR(VLOOKUP($H59,'1. Set Program Names'!$B$2:$D$15,3,0)*AD59,"NA")</f>
        <v>13.843771162544165</v>
      </c>
      <c r="CE59" s="80">
        <f>IFERROR(VLOOKUP($H59,'1. Set Program Names'!$B$2:$D$15,3,0)*AE59,"NA")</f>
        <v>14.738403913676885</v>
      </c>
    </row>
    <row r="60" spans="1:83" x14ac:dyDescent="0.25">
      <c r="A60" s="79" t="s">
        <v>116</v>
      </c>
      <c r="B60" s="79" t="s">
        <v>88</v>
      </c>
      <c r="C60" s="79" t="s">
        <v>89</v>
      </c>
      <c r="D60" s="79" t="s">
        <v>90</v>
      </c>
      <c r="E60" s="79" t="s">
        <v>91</v>
      </c>
      <c r="F60" s="79" t="s">
        <v>90</v>
      </c>
      <c r="G60" s="79" t="s">
        <v>92</v>
      </c>
      <c r="H60" s="79" t="s">
        <v>5</v>
      </c>
      <c r="I60" s="79" t="s">
        <v>299</v>
      </c>
      <c r="J60" s="79" t="s">
        <v>97</v>
      </c>
      <c r="K60" s="79" t="s">
        <v>102</v>
      </c>
      <c r="L60" s="79">
        <v>408.28</v>
      </c>
      <c r="M60" s="79">
        <v>0.16567198429270899</v>
      </c>
      <c r="N60" s="79">
        <v>2.3547919008134799E-2</v>
      </c>
      <c r="O60" s="79">
        <v>128.60999999999999</v>
      </c>
      <c r="P60" s="79">
        <v>29.691921599999901</v>
      </c>
      <c r="Q60" s="79">
        <v>121.35269540373299</v>
      </c>
      <c r="R60" s="79">
        <v>238.630335182902</v>
      </c>
      <c r="S60" s="79">
        <v>423.90838942107399</v>
      </c>
      <c r="T60" s="79">
        <v>11</v>
      </c>
      <c r="U60" s="79">
        <v>0.7</v>
      </c>
      <c r="V60" s="79">
        <f>tbl_Data_old[[#This Row],[2025 ]]*IFERROR(AVERAGEIFS('Participation Adjustment'!$C:$C,'Participation Adjustment'!$A:$A,$H60,'Participation Adjustment'!$B:$B,$I60),1)</f>
        <v>1.447072653429514</v>
      </c>
      <c r="W60" s="79">
        <f>tbl_Data_old[[#This Row],[2026 ]]*IFERROR(AVERAGEIFS('Participation Adjustment'!$C:$C,'Participation Adjustment'!$A:$A,$H60,'Participation Adjustment'!$B:$B,$I60),1)</f>
        <v>1.199226998789058</v>
      </c>
      <c r="X60" s="79">
        <f>tbl_Data_old[[#This Row],[2027 ]]*IFERROR(AVERAGEIFS('Participation Adjustment'!$C:$C,'Participation Adjustment'!$A:$A,$H60,'Participation Adjustment'!$B:$B,$I60),1)</f>
        <v>0.99341732057369803</v>
      </c>
      <c r="Y60" s="79">
        <f>tbl_Data_old[[#This Row],[2028 ]]*IFERROR(AVERAGEIFS('Participation Adjustment'!$C:$C,'Participation Adjustment'!$A:$A,$H60,'Participation Adjustment'!$B:$B,$I60),1)</f>
        <v>0.82609257017426596</v>
      </c>
      <c r="Z60" s="79">
        <f>tbl_Data_old[[#This Row],[2029 ]]*IFERROR(AVERAGEIFS('Participation Adjustment'!$C:$C,'Participation Adjustment'!$A:$A,$H60,'Participation Adjustment'!$B:$B,$I60),1)</f>
        <v>0.69139008082804598</v>
      </c>
      <c r="AA60" s="79">
        <f>tbl_Data_old[[#This Row],[2030 ]]*IFERROR(AVERAGEIFS('Participation Adjustment'!$C:$C,'Participation Adjustment'!$A:$A,$H60,'Participation Adjustment'!$B:$B,$I60),1)</f>
        <v>0.58137261376666804</v>
      </c>
      <c r="AB60" s="79">
        <f>tbl_Data_old[[#This Row],[2031 ]]*IFERROR(AVERAGEIFS('Participation Adjustment'!$C:$C,'Participation Adjustment'!$A:$A,$H60,'Participation Adjustment'!$B:$B,$I60),1)</f>
        <v>0.49580466532964002</v>
      </c>
      <c r="AC60" s="79">
        <f>tbl_Data_old[[#This Row],[2032 ]]*IFERROR(AVERAGEIFS('Participation Adjustment'!$C:$C,'Participation Adjustment'!$A:$A,$H60,'Participation Adjustment'!$B:$B,$I60),1)</f>
        <v>0.42933985325277402</v>
      </c>
      <c r="AD60" s="79">
        <f>tbl_Data_old[[#This Row],[2033 ]]*IFERROR(AVERAGEIFS('Participation Adjustment'!$C:$C,'Participation Adjustment'!$A:$A,$H60,'Participation Adjustment'!$B:$B,$I60),1)</f>
        <v>0.37787571777553403</v>
      </c>
      <c r="AE60" s="79">
        <f>tbl_Data_old[[#This Row],[2034 ]]*IFERROR(AVERAGEIFS('Participation Adjustment'!$C:$C,'Participation Adjustment'!$A:$A,$H60,'Participation Adjustment'!$B:$B,$I60),1)</f>
        <v>0.33796877318232199</v>
      </c>
      <c r="AF60" s="77" t="str">
        <f t="shared" si="22"/>
        <v>Residential</v>
      </c>
      <c r="AG60" s="77" t="str">
        <f>tbl_Data[[#This Row],[All_Meas_Name_Append]]</f>
        <v>Smart Thermostat Residential</v>
      </c>
      <c r="AH60" s="77">
        <f>AVERAGEIFS('3. Incentive Adjustment'!G:G,'3. Incentive Adjustment'!A:A,tbl_Data[[#This Row],[Trimmed Sector]],'3. Incentive Adjustment'!B:B,tbl_Data[[#This Row],[Trimmed Measure Name]])</f>
        <v>1.1402432304340044</v>
      </c>
      <c r="AI60" s="77">
        <f>$AH60*tbl_Data[[#This Row],[2025 ]]</f>
        <v>1.6500147970191756</v>
      </c>
      <c r="AJ60" s="77">
        <f>$AH60*tbl_Data[[#This Row],[2026 ]]</f>
        <v>1.3674104671229115</v>
      </c>
      <c r="AK60" s="77">
        <f>$AH60*tbl_Data[[#This Row],[2027 ]]</f>
        <v>1.1327373747800464</v>
      </c>
      <c r="AL60" s="77">
        <f>$AH60*tbl_Data[[#This Row],[2028 ]]</f>
        <v>0.94194646085303457</v>
      </c>
      <c r="AM60" s="77">
        <f>$AH60*tbl_Data[[#This Row],[2029 ]]</f>
        <v>0.7883528592533986</v>
      </c>
      <c r="AN60" s="77">
        <f>$AH60*tbl_Data[[#This Row],[2030 ]]</f>
        <v>0.66290618720716632</v>
      </c>
      <c r="AO60" s="77">
        <f>$AH60*tbl_Data[[#This Row],[2031 ]]</f>
        <v>0.56533791325971916</v>
      </c>
      <c r="AP60" s="77">
        <f>$AH60*tbl_Data[[#This Row],[2032 ]]</f>
        <v>0.48955186122700445</v>
      </c>
      <c r="AQ60" s="77">
        <f>$AH60*tbl_Data[[#This Row],[2033 ]]</f>
        <v>0.43087022913894307</v>
      </c>
      <c r="AR60" s="77">
        <f>$AH60*tbl_Data[[#This Row],[2034 ]]</f>
        <v>0.38536660571922815</v>
      </c>
      <c r="AS60" s="77">
        <f>SUM(tbl_Data[[#This Row],[Adjusted 2025]:[Adjusted 2034]])</f>
        <v>8.4144947555806286</v>
      </c>
      <c r="AT60" s="80">
        <f>AVERAGEIFS('3. Incentive Adjustment'!F:F,'3. Incentive Adjustment'!A:A,tbl_Data[[#This Row],[Trimmed Sector]],'3. Incentive Adjustment'!B:B,tbl_Data[[#This Row],[Trimmed Measure Name]])</f>
        <v>50</v>
      </c>
      <c r="AU60" s="80">
        <f>IFERROR(VLOOKUP(tbl_Data[[#This Row],[All_Meas_Name_Append]],'IRA Tax Credits'!$A$3:$D$46,4,0),0)</f>
        <v>0</v>
      </c>
      <c r="AV60" s="81">
        <f>tbl_Data[[#This Row],[Adj. per unit Incentive ($)]]/tbl_Data[[#This Row],[kWh Savings]]*tbl_Data[[#This Row],[Sum of Annuals]]</f>
        <v>1.0304808900240803</v>
      </c>
      <c r="AW60" s="81">
        <f>IFERROR(VLOOKUP(tbl_Data[[#This Row],[Column1]],'1. Set Program Names'!$B$2:$D$15,3,0)*tbl_Data[[#This Row],[Sum of Annuals]],"")</f>
        <v>3.7515490069938005</v>
      </c>
      <c r="AX60" s="81">
        <f>tbl_Data[[#This Row],[per unit IRA tax ($)]]/tbl_Data[[#This Row],[kWh Savings]]*tbl_Data[[#This Row],[Sum of Annuals]]</f>
        <v>0</v>
      </c>
      <c r="AY60" s="81">
        <f>tbl_Data[[#This Row],[Avoided Costs ($/unit)]]/tbl_Data[[#This Row],[kWh Savings]]*tbl_Data[[#This Row],[Sum of Annuals]]</f>
        <v>4.9180800037204282</v>
      </c>
      <c r="AZ60" s="81">
        <f>tbl_Data[[#This Row],[Lost Revenue ($/unit)]]/tbl_Data[[#This Row],[kWh Savings]]*tbl_Data[[#This Row],[Sum of Annuals]]</f>
        <v>8.7365898883860549</v>
      </c>
      <c r="BA60" s="81">
        <f>tbl_Data[[#This Row],[Incremental Cost ($/unit)]]/tbl_Data[[#This Row],[kWh Savings]]*tbl_Data[[#This Row],[Sum of Annuals]]</f>
        <v>2.6506029453199389</v>
      </c>
      <c r="BB60" s="77">
        <f>ROUNDUP(tbl_Data[[#This Row],[Adjusted 2025]]/$L60,0)</f>
        <v>1</v>
      </c>
      <c r="BC60" s="77">
        <f>ROUNDUP(tbl_Data[[#This Row],[Adjusted 2026]]/$L60,0)</f>
        <v>1</v>
      </c>
      <c r="BD60" s="77">
        <f>ROUNDUP(tbl_Data[[#This Row],[Adjusted 2027]]/$L60,0)</f>
        <v>1</v>
      </c>
      <c r="BE60" s="77">
        <f>ROUNDUP(tbl_Data[[#This Row],[Adjusted 2028]]/$L60,0)</f>
        <v>1</v>
      </c>
      <c r="BF60" s="77">
        <f>ROUNDUP(tbl_Data[[#This Row],[Adjusted 2029]]/$L60,0)</f>
        <v>1</v>
      </c>
      <c r="BG60" s="77">
        <f>ROUNDUP(tbl_Data[[#This Row],[Adjusted 2030]]/$L60,0)</f>
        <v>1</v>
      </c>
      <c r="BH60" s="77">
        <f>ROUNDUP(tbl_Data[[#This Row],[Adjusted 2031]]/$L60,0)</f>
        <v>1</v>
      </c>
      <c r="BI60" s="77">
        <f>ROUNDUP(tbl_Data[[#This Row],[Adjusted 2032]]/$L60,0)</f>
        <v>1</v>
      </c>
      <c r="BJ60" s="77">
        <f>ROUNDUP(tbl_Data[[#This Row],[Adjusted 2033]]/$L60,0)</f>
        <v>1</v>
      </c>
      <c r="BK60" s="77">
        <f>ROUNDUP(tbl_Data[[#This Row],[Adjusted 2034]]/$L60,0)</f>
        <v>1</v>
      </c>
      <c r="BL60" s="80">
        <f t="shared" si="23"/>
        <v>0.17721571635023931</v>
      </c>
      <c r="BM60" s="77">
        <f t="shared" si="24"/>
        <v>0.14686330444658791</v>
      </c>
      <c r="BN60" s="77">
        <f t="shared" si="25"/>
        <v>0.12165882734565717</v>
      </c>
      <c r="BO60" s="77">
        <f t="shared" si="26"/>
        <v>0.10116740596824067</v>
      </c>
      <c r="BP60" s="77">
        <f t="shared" si="27"/>
        <v>8.4671068975708585E-2</v>
      </c>
      <c r="BQ60" s="77">
        <f t="shared" si="28"/>
        <v>7.119778262058736E-2</v>
      </c>
      <c r="BR60" s="77">
        <f t="shared" si="29"/>
        <v>6.0718705952978354E-2</v>
      </c>
      <c r="BS60" s="77">
        <f t="shared" si="30"/>
        <v>5.257909440246572E-2</v>
      </c>
      <c r="BT60" s="77">
        <f t="shared" si="31"/>
        <v>4.627654033696655E-2</v>
      </c>
      <c r="BU60" s="77">
        <f t="shared" si="32"/>
        <v>4.1389337364348244E-2</v>
      </c>
      <c r="BV60" s="80">
        <f>IFERROR(VLOOKUP($H60,'1. Set Program Names'!$B$2:$D$15,3,0)*V60,"NA")</f>
        <v>0.64516814541014877</v>
      </c>
      <c r="BW60" s="80">
        <f>IFERROR(VLOOKUP($H60,'1. Set Program Names'!$B$2:$D$15,3,0)*W60,"NA")</f>
        <v>0.5346677355147752</v>
      </c>
      <c r="BX60" s="80">
        <f>IFERROR(VLOOKUP($H60,'1. Set Program Names'!$B$2:$D$15,3,0)*X60,"NA")</f>
        <v>0.44290879854158677</v>
      </c>
      <c r="BY60" s="80">
        <f>IFERROR(VLOOKUP($H60,'1. Set Program Names'!$B$2:$D$15,3,0)*Y60,"NA")</f>
        <v>0.36830812203749169</v>
      </c>
      <c r="BZ60" s="80">
        <f>IFERROR(VLOOKUP($H60,'1. Set Program Names'!$B$2:$D$15,3,0)*Z60,"NA")</f>
        <v>0.30825187328752923</v>
      </c>
      <c r="CA60" s="80">
        <f>IFERROR(VLOOKUP($H60,'1. Set Program Names'!$B$2:$D$15,3,0)*AA60,"NA")</f>
        <v>0.25920128483332022</v>
      </c>
      <c r="CB60" s="80">
        <f>IFERROR(VLOOKUP($H60,'1. Set Program Names'!$B$2:$D$15,3,0)*AB60,"NA")</f>
        <v>0.2210513588646186</v>
      </c>
      <c r="CC60" s="80">
        <f>IFERROR(VLOOKUP($H60,'1. Set Program Names'!$B$2:$D$15,3,0)*AC60,"NA")</f>
        <v>0.19141844482879655</v>
      </c>
      <c r="CD60" s="80">
        <f>IFERROR(VLOOKUP($H60,'1. Set Program Names'!$B$2:$D$15,3,0)*AD60,"NA")</f>
        <v>0.16847348711551413</v>
      </c>
      <c r="CE60" s="80">
        <f>IFERROR(VLOOKUP($H60,'1. Set Program Names'!$B$2:$D$15,3,0)*AE60,"NA")</f>
        <v>0.15068122950414309</v>
      </c>
    </row>
    <row r="61" spans="1:83" x14ac:dyDescent="0.25">
      <c r="A61" s="79" t="s">
        <v>116</v>
      </c>
      <c r="B61" s="79" t="s">
        <v>88</v>
      </c>
      <c r="C61" s="79" t="s">
        <v>89</v>
      </c>
      <c r="D61" s="79" t="s">
        <v>90</v>
      </c>
      <c r="E61" s="79" t="s">
        <v>91</v>
      </c>
      <c r="F61" s="79" t="s">
        <v>90</v>
      </c>
      <c r="G61" s="79" t="s">
        <v>92</v>
      </c>
      <c r="H61" s="79"/>
      <c r="I61" s="79" t="s">
        <v>112</v>
      </c>
      <c r="J61" s="79" t="s">
        <v>94</v>
      </c>
      <c r="K61" s="79" t="s">
        <v>108</v>
      </c>
      <c r="L61" s="79">
        <v>1330.8133333333301</v>
      </c>
      <c r="M61" s="79">
        <v>5.33311142126306E-2</v>
      </c>
      <c r="N61" s="79">
        <v>0.24737910980336</v>
      </c>
      <c r="O61" s="79">
        <v>8990.02</v>
      </c>
      <c r="P61" s="79">
        <v>8776.4394094329891</v>
      </c>
      <c r="Q61" s="79">
        <v>395.55644430103399</v>
      </c>
      <c r="R61" s="79">
        <v>713.19672296706005</v>
      </c>
      <c r="S61" s="79">
        <v>2011.6258188035599</v>
      </c>
      <c r="T61" s="79">
        <v>20</v>
      </c>
      <c r="U61" s="79">
        <v>0.7</v>
      </c>
      <c r="V61" s="79">
        <f>tbl_Data_old[[#This Row],[2025 ]]*IFERROR(AVERAGEIFS('Participation Adjustment'!$C:$C,'Participation Adjustment'!$A:$A,$H61,'Participation Adjustment'!$B:$B,$I61),1)</f>
        <v>28.081366953140499</v>
      </c>
      <c r="W61" s="79">
        <f>tbl_Data_old[[#This Row],[2026 ]]*IFERROR(AVERAGEIFS('Participation Adjustment'!$C:$C,'Participation Adjustment'!$A:$A,$H61,'Participation Adjustment'!$B:$B,$I61),1)</f>
        <v>31.252700226439501</v>
      </c>
      <c r="X61" s="79">
        <f>tbl_Data_old[[#This Row],[2027 ]]*IFERROR(AVERAGEIFS('Participation Adjustment'!$C:$C,'Participation Adjustment'!$A:$A,$H61,'Participation Adjustment'!$B:$B,$I61),1)</f>
        <v>34.1788786858137</v>
      </c>
      <c r="Y61" s="79">
        <f>tbl_Data_old[[#This Row],[2028 ]]*IFERROR(AVERAGEIFS('Participation Adjustment'!$C:$C,'Participation Adjustment'!$A:$A,$H61,'Participation Adjustment'!$B:$B,$I61),1)</f>
        <v>36.948100995349201</v>
      </c>
      <c r="Z61" s="79">
        <f>tbl_Data_old[[#This Row],[2029 ]]*IFERROR(AVERAGEIFS('Participation Adjustment'!$C:$C,'Participation Adjustment'!$A:$A,$H61,'Participation Adjustment'!$B:$B,$I61),1)</f>
        <v>39.586490129190203</v>
      </c>
      <c r="AA61" s="79">
        <f>tbl_Data_old[[#This Row],[2030 ]]*IFERROR(AVERAGEIFS('Participation Adjustment'!$C:$C,'Participation Adjustment'!$A:$A,$H61,'Participation Adjustment'!$B:$B,$I61),1)</f>
        <v>42.0006959329396</v>
      </c>
      <c r="AB61" s="79">
        <f>tbl_Data_old[[#This Row],[2031 ]]*IFERROR(AVERAGEIFS('Participation Adjustment'!$C:$C,'Participation Adjustment'!$A:$A,$H61,'Participation Adjustment'!$B:$B,$I61),1)</f>
        <v>44.521032065674603</v>
      </c>
      <c r="AC61" s="79">
        <f>tbl_Data_old[[#This Row],[2032 ]]*IFERROR(AVERAGEIFS('Participation Adjustment'!$C:$C,'Participation Adjustment'!$A:$A,$H61,'Participation Adjustment'!$B:$B,$I61),1)</f>
        <v>47.257338240656303</v>
      </c>
      <c r="AD61" s="79">
        <f>tbl_Data_old[[#This Row],[2033 ]]*IFERROR(AVERAGEIFS('Participation Adjustment'!$C:$C,'Participation Adjustment'!$A:$A,$H61,'Participation Adjustment'!$B:$B,$I61),1)</f>
        <v>50.245505629848303</v>
      </c>
      <c r="AE61" s="79">
        <f>tbl_Data_old[[#This Row],[2034 ]]*IFERROR(AVERAGEIFS('Participation Adjustment'!$C:$C,'Participation Adjustment'!$A:$A,$H61,'Participation Adjustment'!$B:$B,$I61),1)</f>
        <v>53.5056794630027</v>
      </c>
      <c r="AF61" s="77" t="str">
        <f t="shared" si="22"/>
        <v>Residential</v>
      </c>
      <c r="AG61" s="77" t="str">
        <f>tbl_Data[[#This Row],[All_Meas_Name_Append]]</f>
        <v>Solar Thermal Water Heating System</v>
      </c>
      <c r="AH61" s="77">
        <f>AVERAGEIFS('3. Incentive Adjustment'!G:G,'3. Incentive Adjustment'!A:A,tbl_Data[[#This Row],[Trimmed Sector]],'3. Incentive Adjustment'!B:B,tbl_Data[[#This Row],[Trimmed Measure Name]])</f>
        <v>2.7736651842107431E-8</v>
      </c>
      <c r="AI61" s="77">
        <f>$AH61*tbl_Data[[#This Row],[2025 ]]</f>
        <v>7.7888309842971915E-7</v>
      </c>
      <c r="AJ61" s="77">
        <f>$AH61*tbl_Data[[#This Row],[2026 ]]</f>
        <v>8.6684526530650447E-7</v>
      </c>
      <c r="AK61" s="77">
        <f>$AH61*tbl_Data[[#This Row],[2027 ]]</f>
        <v>9.4800765846204102E-7</v>
      </c>
      <c r="AL61" s="77">
        <f>$AH61*tbl_Data[[#This Row],[2028 ]]</f>
        <v>1.0248166135350238E-6</v>
      </c>
      <c r="AM61" s="77">
        <f>$AH61*tbl_Data[[#This Row],[2029 ]]</f>
        <v>1.0979966943643711E-6</v>
      </c>
      <c r="AN61" s="77">
        <f>$AH61*tbl_Data[[#This Row],[2030 ]]</f>
        <v>1.1649586802181632E-6</v>
      </c>
      <c r="AO61" s="77">
        <f>$AH61*tbl_Data[[#This Row],[2031 ]]</f>
        <v>1.2348643660569176E-6</v>
      </c>
      <c r="AP61" s="77">
        <f>$AH61*tbl_Data[[#This Row],[2032 ]]</f>
        <v>1.3107603377657936E-6</v>
      </c>
      <c r="AQ61" s="77">
        <f>$AH61*tbl_Data[[#This Row],[2033 ]]</f>
        <v>1.3936420962857511E-6</v>
      </c>
      <c r="AR61" s="77">
        <f>$AH61*tbl_Data[[#This Row],[2034 ]]</f>
        <v>1.4840684028407035E-6</v>
      </c>
      <c r="AS61" s="77">
        <f>SUM(tbl_Data[[#This Row],[Adjusted 2025]:[Adjusted 2034]])</f>
        <v>1.1304843213264988E-5</v>
      </c>
      <c r="AT61" s="80">
        <f>AVERAGEIFS('3. Incentive Adjustment'!F:F,'3. Incentive Adjustment'!A:A,tbl_Data[[#This Row],[Trimmed Sector]],'3. Incentive Adjustment'!B:B,tbl_Data[[#This Row],[Trimmed Measure Name]])</f>
        <v>0</v>
      </c>
      <c r="AU61" s="80">
        <f>IFERROR(VLOOKUP(tbl_Data[[#This Row],[All_Meas_Name_Append]],'IRA Tax Credits'!$A$3:$D$46,4,0),0)</f>
        <v>41666.666666666672</v>
      </c>
      <c r="AV61" s="81">
        <f>tbl_Data[[#This Row],[Adj. per unit Incentive ($)]]/tbl_Data[[#This Row],[kWh Savings]]*tbl_Data[[#This Row],[Sum of Annuals]]</f>
        <v>0</v>
      </c>
      <c r="AW61" s="81" t="str">
        <f>IFERROR(VLOOKUP(tbl_Data[[#This Row],[Column1]],'1. Set Program Names'!$B$2:$D$15,3,0)*tbl_Data[[#This Row],[Sum of Annuals]],"")</f>
        <v/>
      </c>
      <c r="AX61" s="81">
        <f>tbl_Data[[#This Row],[per unit IRA tax ($)]]/tbl_Data[[#This Row],[kWh Savings]]*tbl_Data[[#This Row],[Sum of Annuals]]</f>
        <v>3.5394530704484651E-4</v>
      </c>
      <c r="AY61" s="81">
        <f>tbl_Data[[#This Row],[Avoided Costs ($/unit)]]/tbl_Data[[#This Row],[kWh Savings]]*tbl_Data[[#This Row],[Sum of Annuals]]</f>
        <v>6.0583831942549054E-6</v>
      </c>
      <c r="AZ61" s="81">
        <f>tbl_Data[[#This Row],[Lost Revenue ($/unit)]]/tbl_Data[[#This Row],[kWh Savings]]*tbl_Data[[#This Row],[Sum of Annuals]]</f>
        <v>1.7088132434298404E-5</v>
      </c>
      <c r="BA61" s="81">
        <f>tbl_Data[[#This Row],[Incremental Cost ($/unit)]]/tbl_Data[[#This Row],[kWh Savings]]*tbl_Data[[#This Row],[Sum of Annuals]]</f>
        <v>7.6367409341743467E-5</v>
      </c>
      <c r="BB61" s="77">
        <f>ROUNDUP(tbl_Data[[#This Row],[Adjusted 2025]]/$L61,0)</f>
        <v>1</v>
      </c>
      <c r="BC61" s="77">
        <f>ROUNDUP(tbl_Data[[#This Row],[Adjusted 2026]]/$L61,0)</f>
        <v>1</v>
      </c>
      <c r="BD61" s="77">
        <f>ROUNDUP(tbl_Data[[#This Row],[Adjusted 2027]]/$L61,0)</f>
        <v>1</v>
      </c>
      <c r="BE61" s="77">
        <f>ROUNDUP(tbl_Data[[#This Row],[Adjusted 2028]]/$L61,0)</f>
        <v>1</v>
      </c>
      <c r="BF61" s="77">
        <f>ROUNDUP(tbl_Data[[#This Row],[Adjusted 2029]]/$L61,0)</f>
        <v>1</v>
      </c>
      <c r="BG61" s="77">
        <f>ROUNDUP(tbl_Data[[#This Row],[Adjusted 2030]]/$L61,0)</f>
        <v>1</v>
      </c>
      <c r="BH61" s="77">
        <f>ROUNDUP(tbl_Data[[#This Row],[Adjusted 2031]]/$L61,0)</f>
        <v>1</v>
      </c>
      <c r="BI61" s="77">
        <f>ROUNDUP(tbl_Data[[#This Row],[Adjusted 2032]]/$L61,0)</f>
        <v>1</v>
      </c>
      <c r="BJ61" s="77">
        <f>ROUNDUP(tbl_Data[[#This Row],[Adjusted 2033]]/$L61,0)</f>
        <v>1</v>
      </c>
      <c r="BK61" s="77">
        <f>ROUNDUP(tbl_Data[[#This Row],[Adjusted 2034]]/$L61,0)</f>
        <v>1</v>
      </c>
      <c r="BL61" s="80">
        <f t="shared" si="23"/>
        <v>0</v>
      </c>
      <c r="BM61" s="77">
        <f t="shared" si="24"/>
        <v>0</v>
      </c>
      <c r="BN61" s="77">
        <f t="shared" si="25"/>
        <v>0</v>
      </c>
      <c r="BO61" s="77">
        <f t="shared" si="26"/>
        <v>0</v>
      </c>
      <c r="BP61" s="77">
        <f t="shared" si="27"/>
        <v>0</v>
      </c>
      <c r="BQ61" s="77">
        <f t="shared" si="28"/>
        <v>0</v>
      </c>
      <c r="BR61" s="77">
        <f t="shared" si="29"/>
        <v>0</v>
      </c>
      <c r="BS61" s="77">
        <f t="shared" si="30"/>
        <v>0</v>
      </c>
      <c r="BT61" s="77">
        <f t="shared" si="31"/>
        <v>0</v>
      </c>
      <c r="BU61" s="77">
        <f t="shared" si="32"/>
        <v>0</v>
      </c>
      <c r="BV61" s="80" t="str">
        <f>IFERROR(VLOOKUP($H61,'1. Set Program Names'!$B$2:$D$15,3,0)*V61,"NA")</f>
        <v>NA</v>
      </c>
      <c r="BW61" s="80" t="str">
        <f>IFERROR(VLOOKUP($H61,'1. Set Program Names'!$B$2:$D$15,3,0)*W61,"NA")</f>
        <v>NA</v>
      </c>
      <c r="BX61" s="80" t="str">
        <f>IFERROR(VLOOKUP($H61,'1. Set Program Names'!$B$2:$D$15,3,0)*X61,"NA")</f>
        <v>NA</v>
      </c>
      <c r="BY61" s="80" t="str">
        <f>IFERROR(VLOOKUP($H61,'1. Set Program Names'!$B$2:$D$15,3,0)*Y61,"NA")</f>
        <v>NA</v>
      </c>
      <c r="BZ61" s="80" t="str">
        <f>IFERROR(VLOOKUP($H61,'1. Set Program Names'!$B$2:$D$15,3,0)*Z61,"NA")</f>
        <v>NA</v>
      </c>
      <c r="CA61" s="80" t="str">
        <f>IFERROR(VLOOKUP($H61,'1. Set Program Names'!$B$2:$D$15,3,0)*AA61,"NA")</f>
        <v>NA</v>
      </c>
      <c r="CB61" s="80" t="str">
        <f>IFERROR(VLOOKUP($H61,'1. Set Program Names'!$B$2:$D$15,3,0)*AB61,"NA")</f>
        <v>NA</v>
      </c>
      <c r="CC61" s="80" t="str">
        <f>IFERROR(VLOOKUP($H61,'1. Set Program Names'!$B$2:$D$15,3,0)*AC61,"NA")</f>
        <v>NA</v>
      </c>
      <c r="CD61" s="80" t="str">
        <f>IFERROR(VLOOKUP($H61,'1. Set Program Names'!$B$2:$D$15,3,0)*AD61,"NA")</f>
        <v>NA</v>
      </c>
      <c r="CE61" s="80" t="str">
        <f>IFERROR(VLOOKUP($H61,'1. Set Program Names'!$B$2:$D$15,3,0)*AE61,"NA")</f>
        <v>NA</v>
      </c>
    </row>
    <row r="62" spans="1:83" x14ac:dyDescent="0.25">
      <c r="A62" s="79" t="s">
        <v>117</v>
      </c>
      <c r="B62" s="79" t="s">
        <v>88</v>
      </c>
      <c r="C62" s="79" t="s">
        <v>89</v>
      </c>
      <c r="D62" s="79" t="s">
        <v>90</v>
      </c>
      <c r="E62" s="79" t="s">
        <v>91</v>
      </c>
      <c r="F62" s="79" t="s">
        <v>90</v>
      </c>
      <c r="G62" s="79" t="s">
        <v>92</v>
      </c>
      <c r="H62" s="79" t="s">
        <v>5</v>
      </c>
      <c r="I62" s="79" t="s">
        <v>93</v>
      </c>
      <c r="J62" s="79" t="s">
        <v>94</v>
      </c>
      <c r="K62" s="79" t="s">
        <v>95</v>
      </c>
      <c r="L62" s="79">
        <v>1200.2266666666601</v>
      </c>
      <c r="M62" s="79">
        <v>4.8097974252120097E-2</v>
      </c>
      <c r="N62" s="79">
        <v>0.22310492157346501</v>
      </c>
      <c r="O62" s="79">
        <v>1210</v>
      </c>
      <c r="P62" s="79">
        <v>933.85922631496703</v>
      </c>
      <c r="Q62" s="79">
        <v>356.74228738962802</v>
      </c>
      <c r="R62" s="79">
        <v>571.53970184074296</v>
      </c>
      <c r="S62" s="79">
        <v>1535.35818196214</v>
      </c>
      <c r="T62" s="79">
        <v>15</v>
      </c>
      <c r="U62" s="79">
        <v>0.7</v>
      </c>
      <c r="V62" s="79">
        <f>tbl_Data_old[[#This Row],[2025 ]]*IFERROR(AVERAGEIFS('Participation Adjustment'!$C:$C,'Participation Adjustment'!$A:$A,$H62,'Participation Adjustment'!$B:$B,$I62),1)</f>
        <v>18.805552854819659</v>
      </c>
      <c r="W62" s="79">
        <f>tbl_Data_old[[#This Row],[2026 ]]*IFERROR(AVERAGEIFS('Participation Adjustment'!$C:$C,'Participation Adjustment'!$A:$A,$H62,'Participation Adjustment'!$B:$B,$I62),1)</f>
        <v>38.785768887589803</v>
      </c>
      <c r="X62" s="79">
        <f>tbl_Data_old[[#This Row],[2027 ]]*IFERROR(AVERAGEIFS('Participation Adjustment'!$C:$C,'Participation Adjustment'!$A:$A,$H62,'Participation Adjustment'!$B:$B,$I62),1)</f>
        <v>59.932212600603599</v>
      </c>
      <c r="Y62" s="79">
        <f>tbl_Data_old[[#This Row],[2028 ]]*IFERROR(AVERAGEIFS('Participation Adjustment'!$C:$C,'Participation Adjustment'!$A:$A,$H62,'Participation Adjustment'!$B:$B,$I62),1)</f>
        <v>82.271815286968007</v>
      </c>
      <c r="Z62" s="79">
        <f>tbl_Data_old[[#This Row],[2029 ]]*IFERROR(AVERAGEIFS('Participation Adjustment'!$C:$C,'Participation Adjustment'!$A:$A,$H62,'Participation Adjustment'!$B:$B,$I62),1)</f>
        <v>105.8302195451824</v>
      </c>
      <c r="AA62" s="79">
        <f>tbl_Data_old[[#This Row],[2030 ]]*IFERROR(AVERAGEIFS('Participation Adjustment'!$C:$C,'Participation Adjustment'!$A:$A,$H62,'Participation Adjustment'!$B:$B,$I62),1)</f>
        <v>130.5644549575982</v>
      </c>
      <c r="AB62" s="79">
        <f>tbl_Data_old[[#This Row],[2031 ]]*IFERROR(AVERAGEIFS('Participation Adjustment'!$C:$C,'Participation Adjustment'!$A:$A,$H62,'Participation Adjustment'!$B:$B,$I62),1)</f>
        <v>156.61475505134999</v>
      </c>
      <c r="AC62" s="79">
        <f>tbl_Data_old[[#This Row],[2032 ]]*IFERROR(AVERAGEIFS('Participation Adjustment'!$C:$C,'Participation Adjustment'!$A:$A,$H62,'Participation Adjustment'!$B:$B,$I62),1)</f>
        <v>184.1739369334218</v>
      </c>
      <c r="AD62" s="79">
        <f>tbl_Data_old[[#This Row],[2033 ]]*IFERROR(AVERAGEIFS('Participation Adjustment'!$C:$C,'Participation Adjustment'!$A:$A,$H62,'Participation Adjustment'!$B:$B,$I62),1)</f>
        <v>213.44724137213001</v>
      </c>
      <c r="AE62" s="79">
        <f>tbl_Data_old[[#This Row],[2034 ]]*IFERROR(AVERAGEIFS('Participation Adjustment'!$C:$C,'Participation Adjustment'!$A:$A,$H62,'Participation Adjustment'!$B:$B,$I62),1)</f>
        <v>244.64597020352801</v>
      </c>
      <c r="AF62" s="77" t="str">
        <f t="shared" si="22"/>
        <v>Residential</v>
      </c>
      <c r="AG62" s="77" t="str">
        <f>tbl_Data[[#This Row],[All_Meas_Name_Append]]</f>
        <v>120v Heat Pump Water Heater 50 Gallons</v>
      </c>
      <c r="AH62" s="77">
        <f>AVERAGEIFS('3. Incentive Adjustment'!G:G,'3. Incentive Adjustment'!A:A,tbl_Data[[#This Row],[Trimmed Sector]],'3. Incentive Adjustment'!B:B,tbl_Data[[#This Row],[Trimmed Measure Name]])</f>
        <v>0.38528347196238832</v>
      </c>
      <c r="AI62" s="77">
        <f>$AH62*tbl_Data[[#This Row],[2025 ]]</f>
        <v>7.245468696077122</v>
      </c>
      <c r="AJ62" s="77">
        <f>$AH62*tbl_Data[[#This Row],[2026 ]]</f>
        <v>14.943515699741379</v>
      </c>
      <c r="AK62" s="77">
        <f>$AH62*tbl_Data[[#This Row],[2027 ]]</f>
        <v>23.090890953148552</v>
      </c>
      <c r="AL62" s="77">
        <f>$AH62*tbl_Data[[#This Row],[2028 ]]</f>
        <v>31.697970638411331</v>
      </c>
      <c r="AM62" s="77">
        <f>$AH62*tbl_Data[[#This Row],[2029 ]]</f>
        <v>40.774634424909685</v>
      </c>
      <c r="AN62" s="77">
        <f>$AH62*tbl_Data[[#This Row],[2030 ]]</f>
        <v>50.3043265209403</v>
      </c>
      <c r="AO62" s="77">
        <f>$AH62*tbl_Data[[#This Row],[2031 ]]</f>
        <v>60.341076586723119</v>
      </c>
      <c r="AP62" s="77">
        <f>$AH62*tbl_Data[[#This Row],[2032 ]]</f>
        <v>70.959173866690691</v>
      </c>
      <c r="AQ62" s="77">
        <f>$AH62*tbl_Data[[#This Row],[2033 ]]</f>
        <v>82.237694236648181</v>
      </c>
      <c r="AR62" s="77">
        <f>$AH62*tbl_Data[[#This Row],[2034 ]]</f>
        <v>94.258048801622266</v>
      </c>
      <c r="AS62" s="77">
        <f>SUM(tbl_Data[[#This Row],[Adjusted 2025]:[Adjusted 2034]])</f>
        <v>475.85280042491263</v>
      </c>
      <c r="AT62" s="80">
        <f>AVERAGEIFS('3. Incentive Adjustment'!F:F,'3. Incentive Adjustment'!A:A,tbl_Data[[#This Row],[Trimmed Sector]],'3. Incentive Adjustment'!B:B,tbl_Data[[#This Row],[Trimmed Measure Name]])</f>
        <v>500</v>
      </c>
      <c r="AU62" s="80">
        <f>IFERROR(VLOOKUP(tbl_Data[[#This Row],[All_Meas_Name_Append]],'IRA Tax Credits'!$A$3:$D$46,4,0),0)</f>
        <v>1666.6666666666667</v>
      </c>
      <c r="AV62" s="81">
        <f>tbl_Data[[#This Row],[Adj. per unit Incentive ($)]]/tbl_Data[[#This Row],[kWh Savings]]*tbl_Data[[#This Row],[Sum of Annuals]]</f>
        <v>198.23455587204995</v>
      </c>
      <c r="AW62" s="81">
        <f>IFERROR(VLOOKUP(tbl_Data[[#This Row],[Column1]],'1. Set Program Names'!$B$2:$D$15,3,0)*tbl_Data[[#This Row],[Sum of Annuals]],"")</f>
        <v>212.15594670438608</v>
      </c>
      <c r="AX62" s="81">
        <f>tbl_Data[[#This Row],[per unit IRA tax ($)]]/tbl_Data[[#This Row],[kWh Savings]]*tbl_Data[[#This Row],[Sum of Annuals]]</f>
        <v>660.78185290683314</v>
      </c>
      <c r="AY62" s="81">
        <f>tbl_Data[[#This Row],[Avoided Costs ($/unit)]]/tbl_Data[[#This Row],[kWh Savings]]*tbl_Data[[#This Row],[Sum of Annuals]]</f>
        <v>226.59783791528707</v>
      </c>
      <c r="AZ62" s="81">
        <f>tbl_Data[[#This Row],[Lost Revenue ($/unit)]]/tbl_Data[[#This Row],[kWh Savings]]*tbl_Data[[#This Row],[Sum of Annuals]]</f>
        <v>608.72209461156581</v>
      </c>
      <c r="BA62" s="81">
        <f>tbl_Data[[#This Row],[Incremental Cost ($/unit)]]/tbl_Data[[#This Row],[kWh Savings]]*tbl_Data[[#This Row],[Sum of Annuals]]</f>
        <v>479.72762521036083</v>
      </c>
      <c r="BB62" s="77">
        <f>ROUNDUP(tbl_Data[[#This Row],[Adjusted 2025]]/$L62,0)</f>
        <v>1</v>
      </c>
      <c r="BC62" s="77">
        <f>ROUNDUP(tbl_Data[[#This Row],[Adjusted 2026]]/$L62,0)</f>
        <v>1</v>
      </c>
      <c r="BD62" s="77">
        <f>ROUNDUP(tbl_Data[[#This Row],[Adjusted 2027]]/$L62,0)</f>
        <v>1</v>
      </c>
      <c r="BE62" s="77">
        <f>ROUNDUP(tbl_Data[[#This Row],[Adjusted 2028]]/$L62,0)</f>
        <v>1</v>
      </c>
      <c r="BF62" s="77">
        <f>ROUNDUP(tbl_Data[[#This Row],[Adjusted 2029]]/$L62,0)</f>
        <v>1</v>
      </c>
      <c r="BG62" s="77">
        <f>ROUNDUP(tbl_Data[[#This Row],[Adjusted 2030]]/$L62,0)</f>
        <v>1</v>
      </c>
      <c r="BH62" s="77">
        <f>ROUNDUP(tbl_Data[[#This Row],[Adjusted 2031]]/$L62,0)</f>
        <v>1</v>
      </c>
      <c r="BI62" s="77">
        <f>ROUNDUP(tbl_Data[[#This Row],[Adjusted 2032]]/$L62,0)</f>
        <v>1</v>
      </c>
      <c r="BJ62" s="77">
        <f>ROUNDUP(tbl_Data[[#This Row],[Adjusted 2033]]/$L62,0)</f>
        <v>1</v>
      </c>
      <c r="BK62" s="77">
        <f>ROUNDUP(tbl_Data[[#This Row],[Adjusted 2034]]/$L62,0)</f>
        <v>1</v>
      </c>
      <c r="BL62" s="80">
        <f t="shared" si="23"/>
        <v>7.8341672356970466</v>
      </c>
      <c r="BM62" s="77">
        <f t="shared" si="24"/>
        <v>16.157685029323634</v>
      </c>
      <c r="BN62" s="77">
        <f t="shared" si="25"/>
        <v>24.967039253948112</v>
      </c>
      <c r="BO62" s="77">
        <f t="shared" si="26"/>
        <v>34.273449162506161</v>
      </c>
      <c r="BP62" s="77">
        <f t="shared" si="27"/>
        <v>44.087597153252851</v>
      </c>
      <c r="BQ62" s="77">
        <f t="shared" si="28"/>
        <v>54.391582266793598</v>
      </c>
      <c r="BR62" s="77">
        <f t="shared" si="29"/>
        <v>65.24382410462087</v>
      </c>
      <c r="BS62" s="77">
        <f t="shared" si="30"/>
        <v>76.724647955423478</v>
      </c>
      <c r="BT62" s="77">
        <f t="shared" si="31"/>
        <v>88.919554655841878</v>
      </c>
      <c r="BU62" s="77">
        <f t="shared" si="32"/>
        <v>101.91657001046858</v>
      </c>
      <c r="BV62" s="80">
        <f>IFERROR(VLOOKUP($H62,'1. Set Program Names'!$B$2:$D$15,3,0)*V62,"NA")</f>
        <v>8.3843362183663199</v>
      </c>
      <c r="BW62" s="80">
        <f>IFERROR(VLOOKUP($H62,'1. Set Program Names'!$B$2:$D$15,3,0)*W62,"NA")</f>
        <v>17.292388548846166</v>
      </c>
      <c r="BX62" s="80">
        <f>IFERROR(VLOOKUP($H62,'1. Set Program Names'!$B$2:$D$15,3,0)*X62,"NA")</f>
        <v>26.72039607840021</v>
      </c>
      <c r="BY62" s="80">
        <f>IFERROR(VLOOKUP($H62,'1. Set Program Names'!$B$2:$D$15,3,0)*Y62,"NA")</f>
        <v>36.680365952893688</v>
      </c>
      <c r="BZ62" s="80">
        <f>IFERROR(VLOOKUP($H62,'1. Set Program Names'!$B$2:$D$15,3,0)*Z62,"NA")</f>
        <v>47.183730761891567</v>
      </c>
      <c r="CA62" s="80">
        <f>IFERROR(VLOOKUP($H62,'1. Set Program Names'!$B$2:$D$15,3,0)*AA62,"NA")</f>
        <v>58.211332417791155</v>
      </c>
      <c r="CB62" s="80">
        <f>IFERROR(VLOOKUP($H62,'1. Set Program Names'!$B$2:$D$15,3,0)*AB62,"NA")</f>
        <v>69.8256931473869</v>
      </c>
      <c r="CC62" s="80">
        <f>IFERROR(VLOOKUP($H62,'1. Set Program Names'!$B$2:$D$15,3,0)*AC62,"NA")</f>
        <v>82.112779232345048</v>
      </c>
      <c r="CD62" s="80">
        <f>IFERROR(VLOOKUP($H62,'1. Set Program Names'!$B$2:$D$15,3,0)*AD62,"NA")</f>
        <v>95.164095964776124</v>
      </c>
      <c r="CE62" s="80">
        <f>IFERROR(VLOOKUP($H62,'1. Set Program Names'!$B$2:$D$15,3,0)*AE62,"NA")</f>
        <v>109.07385092531905</v>
      </c>
    </row>
    <row r="63" spans="1:83" x14ac:dyDescent="0.25">
      <c r="A63" s="79" t="s">
        <v>117</v>
      </c>
      <c r="B63" s="79" t="s">
        <v>88</v>
      </c>
      <c r="C63" s="79" t="s">
        <v>89</v>
      </c>
      <c r="D63" s="79" t="s">
        <v>90</v>
      </c>
      <c r="E63" s="79" t="s">
        <v>91</v>
      </c>
      <c r="F63" s="79" t="s">
        <v>90</v>
      </c>
      <c r="G63" s="79" t="s">
        <v>92</v>
      </c>
      <c r="H63" s="79" t="s">
        <v>5</v>
      </c>
      <c r="I63" s="79" t="s">
        <v>96</v>
      </c>
      <c r="J63" s="79" t="s">
        <v>97</v>
      </c>
      <c r="K63" s="79" t="s">
        <v>98</v>
      </c>
      <c r="L63" s="79">
        <v>5868.07</v>
      </c>
      <c r="M63" s="79">
        <v>0.20813520080661799</v>
      </c>
      <c r="N63" s="79">
        <v>1.1349578069705</v>
      </c>
      <c r="O63" s="79">
        <v>1935.1666666666599</v>
      </c>
      <c r="P63" s="79">
        <v>513.45064263862798</v>
      </c>
      <c r="Q63" s="79">
        <v>1744.1611426417701</v>
      </c>
      <c r="R63" s="79">
        <v>3388.0400735263802</v>
      </c>
      <c r="S63" s="79">
        <v>7811.7411984889604</v>
      </c>
      <c r="T63" s="79">
        <v>16</v>
      </c>
      <c r="U63" s="79">
        <v>0.7</v>
      </c>
      <c r="V63" s="79">
        <f>tbl_Data_old[[#This Row],[2025 ]]*IFERROR(AVERAGEIFS('Participation Adjustment'!$C:$C,'Participation Adjustment'!$A:$A,$H63,'Participation Adjustment'!$B:$B,$I63),1)</f>
        <v>114.0539295886674</v>
      </c>
      <c r="W63" s="79">
        <f>tbl_Data_old[[#This Row],[2026 ]]*IFERROR(AVERAGEIFS('Participation Adjustment'!$C:$C,'Participation Adjustment'!$A:$A,$H63,'Participation Adjustment'!$B:$B,$I63),1)</f>
        <v>234.81122434477999</v>
      </c>
      <c r="X63" s="79">
        <f>tbl_Data_old[[#This Row],[2027 ]]*IFERROR(AVERAGEIFS('Participation Adjustment'!$C:$C,'Participation Adjustment'!$A:$A,$H63,'Participation Adjustment'!$B:$B,$I63),1)</f>
        <v>362.166287229506</v>
      </c>
      <c r="Y63" s="79">
        <f>tbl_Data_old[[#This Row],[2028 ]]*IFERROR(AVERAGEIFS('Participation Adjustment'!$C:$C,'Participation Adjustment'!$A:$A,$H63,'Participation Adjustment'!$B:$B,$I63),1)</f>
        <v>496.226018268308</v>
      </c>
      <c r="Z63" s="79">
        <f>tbl_Data_old[[#This Row],[2029 ]]*IFERROR(AVERAGEIFS('Participation Adjustment'!$C:$C,'Participation Adjustment'!$A:$A,$H63,'Participation Adjustment'!$B:$B,$I63),1)</f>
        <v>637.08771453995598</v>
      </c>
      <c r="AA63" s="79">
        <f>tbl_Data_old[[#This Row],[2030 ]]*IFERROR(AVERAGEIFS('Participation Adjustment'!$C:$C,'Participation Adjustment'!$A:$A,$H63,'Participation Adjustment'!$B:$B,$I63),1)</f>
        <v>784.43819889541203</v>
      </c>
      <c r="AB63" s="79">
        <f>tbl_Data_old[[#This Row],[2031 ]]*IFERROR(AVERAGEIFS('Participation Adjustment'!$C:$C,'Participation Adjustment'!$A:$A,$H63,'Participation Adjustment'!$B:$B,$I63),1)</f>
        <v>939.0545566349</v>
      </c>
      <c r="AC63" s="79">
        <f>tbl_Data_old[[#This Row],[2032 ]]*IFERROR(AVERAGEIFS('Participation Adjustment'!$C:$C,'Participation Adjustment'!$A:$A,$H63,'Participation Adjustment'!$B:$B,$I63),1)</f>
        <v>1102.0156245043279</v>
      </c>
      <c r="AD63" s="79">
        <f>tbl_Data_old[[#This Row],[2033 ]]*IFERROR(AVERAGEIFS('Participation Adjustment'!$C:$C,'Participation Adjustment'!$A:$A,$H63,'Participation Adjustment'!$B:$B,$I63),1)</f>
        <v>1274.4607077149001</v>
      </c>
      <c r="AE63" s="79">
        <f>tbl_Data_old[[#This Row],[2034 ]]*IFERROR(AVERAGEIFS('Participation Adjustment'!$C:$C,'Participation Adjustment'!$A:$A,$H63,'Participation Adjustment'!$B:$B,$I63),1)</f>
        <v>1457.55110164639</v>
      </c>
      <c r="AF63" s="77" t="str">
        <f t="shared" si="22"/>
        <v>Residential</v>
      </c>
      <c r="AG63" s="77" t="str">
        <f>tbl_Data[[#This Row],[All_Meas_Name_Append]]</f>
        <v>ASHP - CEE Tier 2: 16.8 SEER/16 SEER2; 9.0 HSPF (from elec resistance)</v>
      </c>
      <c r="AH63" s="77">
        <f>AVERAGEIFS('3. Incentive Adjustment'!G:G,'3. Incentive Adjustment'!A:A,tbl_Data[[#This Row],[Trimmed Sector]],'3. Incentive Adjustment'!B:B,tbl_Data[[#This Row],[Trimmed Measure Name]])</f>
        <v>0.9303958662075158</v>
      </c>
      <c r="AI63" s="77">
        <f>$AH63*tbl_Data[[#This Row],[2025 ]]</f>
        <v>106.11530461401922</v>
      </c>
      <c r="AJ63" s="77">
        <f>$AH63*tbl_Data[[#This Row],[2026 ]]</f>
        <v>218.46739246950889</v>
      </c>
      <c r="AK63" s="77">
        <f>$AH63*tbl_Data[[#This Row],[2027 ]]</f>
        <v>336.95801651805618</v>
      </c>
      <c r="AL63" s="77">
        <f>$AH63*tbl_Data[[#This Row],[2028 ]]</f>
        <v>461.68663610144898</v>
      </c>
      <c r="AM63" s="77">
        <f>$AH63*tbl_Data[[#This Row],[2029 ]]</f>
        <v>592.74377601956894</v>
      </c>
      <c r="AN63" s="77">
        <f>$AH63*tbl_Data[[#This Row],[2030 ]]</f>
        <v>729.83805754756042</v>
      </c>
      <c r="AO63" s="77">
        <f>$AH63*tbl_Data[[#This Row],[2031 ]]</f>
        <v>873.6924776364425</v>
      </c>
      <c r="AP63" s="77">
        <f>$AH63*tbl_Data[[#This Row],[2032 ]]</f>
        <v>1025.3107815349206</v>
      </c>
      <c r="AQ63" s="77">
        <f>$AH63*tbl_Data[[#This Row],[2033 ]]</f>
        <v>1185.7529741018482</v>
      </c>
      <c r="AR63" s="77">
        <f>$AH63*tbl_Data[[#This Row],[2034 ]]</f>
        <v>1356.0995197580119</v>
      </c>
      <c r="AS63" s="77">
        <f>SUM(tbl_Data[[#This Row],[Adjusted 2025]:[Adjusted 2034]])</f>
        <v>6886.6649363013858</v>
      </c>
      <c r="AT63" s="80">
        <f>AVERAGEIFS('3. Incentive Adjustment'!F:F,'3. Incentive Adjustment'!A:A,tbl_Data[[#This Row],[Trimmed Sector]],'3. Incentive Adjustment'!B:B,tbl_Data[[#This Row],[Trimmed Measure Name]])</f>
        <v>353</v>
      </c>
      <c r="AU63" s="80">
        <f>IFERROR(VLOOKUP(tbl_Data[[#This Row],[All_Meas_Name_Append]],'IRA Tax Credits'!$A$3:$D$46,4,0),0)</f>
        <v>0</v>
      </c>
      <c r="AV63" s="81">
        <f>tbl_Data[[#This Row],[Adj. per unit Incentive ($)]]/tbl_Data[[#This Row],[kWh Savings]]*tbl_Data[[#This Row],[Sum of Annuals]]</f>
        <v>414.27466313700916</v>
      </c>
      <c r="AW63" s="81">
        <f>IFERROR(VLOOKUP(tbl_Data[[#This Row],[Column1]],'1. Set Program Names'!$B$2:$D$15,3,0)*tbl_Data[[#This Row],[Sum of Annuals]],"")</f>
        <v>3070.375792455734</v>
      </c>
      <c r="AX63" s="81">
        <f>tbl_Data[[#This Row],[per unit IRA tax ($)]]/tbl_Data[[#This Row],[kWh Savings]]*tbl_Data[[#This Row],[Sum of Annuals]]</f>
        <v>0</v>
      </c>
      <c r="AY63" s="81">
        <f>tbl_Data[[#This Row],[Avoided Costs ($/unit)]]/tbl_Data[[#This Row],[kWh Savings]]*tbl_Data[[#This Row],[Sum of Annuals]]</f>
        <v>3976.1449296170786</v>
      </c>
      <c r="AZ63" s="81">
        <f>tbl_Data[[#This Row],[Lost Revenue ($/unit)]]/tbl_Data[[#This Row],[kWh Savings]]*tbl_Data[[#This Row],[Sum of Annuals]]</f>
        <v>9167.7236643555534</v>
      </c>
      <c r="BA63" s="81">
        <f>tbl_Data[[#This Row],[Incremental Cost ($/unit)]]/tbl_Data[[#This Row],[kWh Savings]]*tbl_Data[[#This Row],[Sum of Annuals]]</f>
        <v>2271.0779573577888</v>
      </c>
      <c r="BB63" s="77">
        <f>ROUNDUP(tbl_Data[[#This Row],[Adjusted 2025]]/$L63,0)</f>
        <v>1</v>
      </c>
      <c r="BC63" s="77">
        <f>ROUNDUP(tbl_Data[[#This Row],[Adjusted 2026]]/$L63,0)</f>
        <v>1</v>
      </c>
      <c r="BD63" s="77">
        <f>ROUNDUP(tbl_Data[[#This Row],[Adjusted 2027]]/$L63,0)</f>
        <v>1</v>
      </c>
      <c r="BE63" s="77">
        <f>ROUNDUP(tbl_Data[[#This Row],[Adjusted 2028]]/$L63,0)</f>
        <v>1</v>
      </c>
      <c r="BF63" s="77">
        <f>ROUNDUP(tbl_Data[[#This Row],[Adjusted 2029]]/$L63,0)</f>
        <v>1</v>
      </c>
      <c r="BG63" s="77">
        <f>ROUNDUP(tbl_Data[[#This Row],[Adjusted 2030]]/$L63,0)</f>
        <v>1</v>
      </c>
      <c r="BH63" s="77">
        <f>ROUNDUP(tbl_Data[[#This Row],[Adjusted 2031]]/$L63,0)</f>
        <v>1</v>
      </c>
      <c r="BI63" s="77">
        <f>ROUNDUP(tbl_Data[[#This Row],[Adjusted 2032]]/$L63,0)</f>
        <v>1</v>
      </c>
      <c r="BJ63" s="77">
        <f>ROUNDUP(tbl_Data[[#This Row],[Adjusted 2033]]/$L63,0)</f>
        <v>1</v>
      </c>
      <c r="BK63" s="77">
        <f>ROUNDUP(tbl_Data[[#This Row],[Adjusted 2034]]/$L63,0)</f>
        <v>1</v>
      </c>
      <c r="BL63" s="80">
        <f t="shared" si="23"/>
        <v>6.8610355951445019</v>
      </c>
      <c r="BM63" s="77">
        <f t="shared" si="24"/>
        <v>14.125319260626975</v>
      </c>
      <c r="BN63" s="77">
        <f t="shared" si="25"/>
        <v>21.786498694121853</v>
      </c>
      <c r="BO63" s="77">
        <f t="shared" si="26"/>
        <v>29.851004580503083</v>
      </c>
      <c r="BP63" s="77">
        <f t="shared" si="27"/>
        <v>38.324689929159753</v>
      </c>
      <c r="BQ63" s="77">
        <f t="shared" si="28"/>
        <v>47.188715235176211</v>
      </c>
      <c r="BR63" s="77">
        <f t="shared" si="29"/>
        <v>56.489826892337639</v>
      </c>
      <c r="BS63" s="77">
        <f t="shared" si="30"/>
        <v>66.29292347399192</v>
      </c>
      <c r="BT63" s="77">
        <f t="shared" si="31"/>
        <v>76.66654109841221</v>
      </c>
      <c r="BU63" s="77">
        <f t="shared" si="32"/>
        <v>87.680538725880169</v>
      </c>
      <c r="BV63" s="80">
        <f>IFERROR(VLOOKUP($H63,'1. Set Program Names'!$B$2:$D$15,3,0)*V63,"NA")</f>
        <v>50.850219617562878</v>
      </c>
      <c r="BW63" s="80">
        <f>IFERROR(VLOOKUP($H63,'1. Set Program Names'!$B$2:$D$15,3,0)*W63,"NA")</f>
        <v>104.68909199063044</v>
      </c>
      <c r="BX63" s="80">
        <f>IFERROR(VLOOKUP($H63,'1. Set Program Names'!$B$2:$D$15,3,0)*X63,"NA")</f>
        <v>161.46953735057988</v>
      </c>
      <c r="BY63" s="80">
        <f>IFERROR(VLOOKUP($H63,'1. Set Program Names'!$B$2:$D$15,3,0)*Y63,"NA")</f>
        <v>221.23921639434198</v>
      </c>
      <c r="BZ63" s="80">
        <f>IFERROR(VLOOKUP($H63,'1. Set Program Names'!$B$2:$D$15,3,0)*Z63,"NA")</f>
        <v>284.04150840609788</v>
      </c>
      <c r="CA63" s="80">
        <f>IFERROR(VLOOKUP($H63,'1. Set Program Names'!$B$2:$D$15,3,0)*AA63,"NA")</f>
        <v>349.7367853444008</v>
      </c>
      <c r="CB63" s="80">
        <f>IFERROR(VLOOKUP($H63,'1. Set Program Names'!$B$2:$D$15,3,0)*AB63,"NA")</f>
        <v>418.67150575145496</v>
      </c>
      <c r="CC63" s="80">
        <f>IFERROR(VLOOKUP($H63,'1. Set Program Names'!$B$2:$D$15,3,0)*AC63,"NA")</f>
        <v>491.32666213368935</v>
      </c>
      <c r="CD63" s="80">
        <f>IFERROR(VLOOKUP($H63,'1. Set Program Names'!$B$2:$D$15,3,0)*AD63,"NA")</f>
        <v>568.2102064784674</v>
      </c>
      <c r="CE63" s="80">
        <f>IFERROR(VLOOKUP($H63,'1. Set Program Names'!$B$2:$D$15,3,0)*AE63,"NA")</f>
        <v>649.83989495004664</v>
      </c>
    </row>
    <row r="64" spans="1:83" x14ac:dyDescent="0.25">
      <c r="A64" s="79" t="s">
        <v>117</v>
      </c>
      <c r="B64" s="79" t="s">
        <v>88</v>
      </c>
      <c r="C64" s="79" t="s">
        <v>89</v>
      </c>
      <c r="D64" s="79" t="s">
        <v>90</v>
      </c>
      <c r="E64" s="79" t="s">
        <v>91</v>
      </c>
      <c r="F64" s="79" t="s">
        <v>90</v>
      </c>
      <c r="G64" s="79" t="s">
        <v>92</v>
      </c>
      <c r="H64" s="79" t="s">
        <v>5</v>
      </c>
      <c r="I64" s="79" t="s">
        <v>99</v>
      </c>
      <c r="J64" s="79" t="s">
        <v>97</v>
      </c>
      <c r="K64" s="79" t="s">
        <v>98</v>
      </c>
      <c r="L64" s="79">
        <v>253.96999999999801</v>
      </c>
      <c r="M64" s="79">
        <v>0.107126245482503</v>
      </c>
      <c r="N64" s="79">
        <v>1.33192706841354E-2</v>
      </c>
      <c r="O64" s="79">
        <v>874.99999999999898</v>
      </c>
      <c r="P64" s="79">
        <v>813.468148399999</v>
      </c>
      <c r="Q64" s="79">
        <v>75.487273566390598</v>
      </c>
      <c r="R64" s="79">
        <v>185.54516688855901</v>
      </c>
      <c r="S64" s="79">
        <v>338.09206641710699</v>
      </c>
      <c r="T64" s="79">
        <v>16</v>
      </c>
      <c r="U64" s="79">
        <v>0.7</v>
      </c>
      <c r="V64" s="79">
        <f>tbl_Data_old[[#This Row],[2025 ]]*IFERROR(AVERAGEIFS('Participation Adjustment'!$C:$C,'Participation Adjustment'!$A:$A,$H64,'Participation Adjustment'!$B:$B,$I64),1)</f>
        <v>6.8761845672941853</v>
      </c>
      <c r="W64" s="79">
        <f>tbl_Data_old[[#This Row],[2026 ]]*IFERROR(AVERAGEIFS('Participation Adjustment'!$C:$C,'Participation Adjustment'!$A:$A,$H64,'Participation Adjustment'!$B:$B,$I64),1)</f>
        <v>14.553590589870991</v>
      </c>
      <c r="X64" s="79">
        <f>tbl_Data_old[[#This Row],[2027 ]]*IFERROR(AVERAGEIFS('Participation Adjustment'!$C:$C,'Participation Adjustment'!$A:$A,$H64,'Participation Adjustment'!$B:$B,$I64),1)</f>
        <v>22.97690421280215</v>
      </c>
      <c r="Y64" s="79">
        <f>tbl_Data_old[[#This Row],[2028 ]]*IFERROR(AVERAGEIFS('Participation Adjustment'!$C:$C,'Participation Adjustment'!$A:$A,$H64,'Participation Adjustment'!$B:$B,$I64),1)</f>
        <v>32.112060797084844</v>
      </c>
      <c r="Z64" s="79">
        <f>tbl_Data_old[[#This Row],[2029 ]]*IFERROR(AVERAGEIFS('Participation Adjustment'!$C:$C,'Participation Adjustment'!$A:$A,$H64,'Participation Adjustment'!$B:$B,$I64),1)</f>
        <v>41.931125038610851</v>
      </c>
      <c r="AA64" s="79">
        <f>tbl_Data_old[[#This Row],[2030 ]]*IFERROR(AVERAGEIFS('Participation Adjustment'!$C:$C,'Participation Adjustment'!$A:$A,$H64,'Participation Adjustment'!$B:$B,$I64),1)</f>
        <v>52.382642195288099</v>
      </c>
      <c r="AB64" s="79">
        <f>tbl_Data_old[[#This Row],[2031 ]]*IFERROR(AVERAGEIFS('Participation Adjustment'!$C:$C,'Participation Adjustment'!$A:$A,$H64,'Participation Adjustment'!$B:$B,$I64),1)</f>
        <v>63.497101494746254</v>
      </c>
      <c r="AC64" s="79">
        <f>tbl_Data_old[[#This Row],[2032 ]]*IFERROR(AVERAGEIFS('Participation Adjustment'!$C:$C,'Participation Adjustment'!$A:$A,$H64,'Participation Adjustment'!$B:$B,$I64),1)</f>
        <v>75.332779908327296</v>
      </c>
      <c r="AD64" s="79">
        <f>tbl_Data_old[[#This Row],[2033 ]]*IFERROR(AVERAGEIFS('Participation Adjustment'!$C:$C,'Participation Adjustment'!$A:$A,$H64,'Participation Adjustment'!$B:$B,$I64),1)</f>
        <v>87.957519350895751</v>
      </c>
      <c r="AE64" s="79">
        <f>tbl_Data_old[[#This Row],[2034 ]]*IFERROR(AVERAGEIFS('Participation Adjustment'!$C:$C,'Participation Adjustment'!$A:$A,$H64,'Participation Adjustment'!$B:$B,$I64),1)</f>
        <v>101.44487807071485</v>
      </c>
      <c r="AF64" s="77" t="str">
        <f t="shared" si="22"/>
        <v>Residential</v>
      </c>
      <c r="AG64" s="77" t="str">
        <f>tbl_Data[[#This Row],[All_Meas_Name_Append]]</f>
        <v>ASHP - ENERGY STAR/CEE Tier 1: 16 SEER/15.2 SEER2_ 9.0 HSPF</v>
      </c>
      <c r="AH64" s="77">
        <f>AVERAGEIFS('3. Incentive Adjustment'!G:G,'3. Incentive Adjustment'!A:A,tbl_Data[[#This Row],[Trimmed Sector]],'3. Incentive Adjustment'!B:B,tbl_Data[[#This Row],[Trimmed Measure Name]])</f>
        <v>8.3636985731950567E-3</v>
      </c>
      <c r="AI64" s="77">
        <f>$AH64*tbl_Data[[#This Row],[2025 ]]</f>
        <v>5.7510335054504244E-2</v>
      </c>
      <c r="AJ64" s="77">
        <f>$AH64*tbl_Data[[#This Row],[2026 ]]</f>
        <v>0.12172184485136901</v>
      </c>
      <c r="AK64" s="77">
        <f>$AH64*tbl_Data[[#This Row],[2027 ]]</f>
        <v>0.19217190098105283</v>
      </c>
      <c r="AL64" s="77">
        <f>$AH64*tbl_Data[[#This Row],[2028 ]]</f>
        <v>0.26857559707093143</v>
      </c>
      <c r="AM64" s="77">
        <f>$AH64*tbl_Data[[#This Row],[2029 ]]</f>
        <v>0.35069929065789307</v>
      </c>
      <c r="AN64" s="77">
        <f>$AH64*tbl_Data[[#This Row],[2030 ]]</f>
        <v>0.43811262978891824</v>
      </c>
      <c r="AO64" s="77">
        <f>$AH64*tbl_Data[[#This Row],[2031 ]]</f>
        <v>0.53107061717363091</v>
      </c>
      <c r="AP64" s="77">
        <f>$AH64*tbl_Data[[#This Row],[2032 ]]</f>
        <v>0.6300606638340942</v>
      </c>
      <c r="AQ64" s="77">
        <f>$AH64*tbl_Data[[#This Row],[2033 ]]</f>
        <v>0.73565017909686337</v>
      </c>
      <c r="AR64" s="77">
        <f>$AH64*tbl_Data[[#This Row],[2034 ]]</f>
        <v>0.84845438197798428</v>
      </c>
      <c r="AS64" s="77">
        <f>SUM(tbl_Data[[#This Row],[Adjusted 2025]:[Adjusted 2034]])</f>
        <v>4.1740274404872419</v>
      </c>
      <c r="AT64" s="80">
        <f>AVERAGEIFS('3. Incentive Adjustment'!F:F,'3. Incentive Adjustment'!A:A,tbl_Data[[#This Row],[Trimmed Sector]],'3. Incentive Adjustment'!B:B,tbl_Data[[#This Row],[Trimmed Measure Name]])</f>
        <v>353</v>
      </c>
      <c r="AU64" s="80">
        <f>IFERROR(VLOOKUP(tbl_Data[[#This Row],[All_Meas_Name_Append]],'IRA Tax Credits'!$A$3:$D$46,4,0),0)</f>
        <v>0</v>
      </c>
      <c r="AV64" s="81">
        <f>tbl_Data[[#This Row],[Adj. per unit Incentive ($)]]/tbl_Data[[#This Row],[kWh Savings]]*tbl_Data[[#This Row],[Sum of Annuals]]</f>
        <v>5.8015973795802971</v>
      </c>
      <c r="AW64" s="81">
        <f>IFERROR(VLOOKUP(tbl_Data[[#This Row],[Column1]],'1. Set Program Names'!$B$2:$D$15,3,0)*tbl_Data[[#This Row],[Sum of Annuals]],"")</f>
        <v>1.8609636055854026</v>
      </c>
      <c r="AX64" s="81">
        <f>tbl_Data[[#This Row],[per unit IRA tax ($)]]/tbl_Data[[#This Row],[kWh Savings]]*tbl_Data[[#This Row],[Sum of Annuals]]</f>
        <v>0</v>
      </c>
      <c r="AY64" s="81">
        <f>tbl_Data[[#This Row],[Avoided Costs ($/unit)]]/tbl_Data[[#This Row],[kWh Savings]]*tbl_Data[[#This Row],[Sum of Annuals]]</f>
        <v>3.049457093525362</v>
      </c>
      <c r="AZ64" s="81">
        <f>tbl_Data[[#This Row],[Lost Revenue ($/unit)]]/tbl_Data[[#This Row],[kWh Savings]]*tbl_Data[[#This Row],[Sum of Annuals]]</f>
        <v>5.5565837013665025</v>
      </c>
      <c r="BA64" s="81">
        <f>tbl_Data[[#This Row],[Incremental Cost ($/unit)]]/tbl_Data[[#This Row],[kWh Savings]]*tbl_Data[[#This Row],[Sum of Annuals]]</f>
        <v>14.380730048534714</v>
      </c>
      <c r="BB64" s="77">
        <f>ROUNDUP(tbl_Data[[#This Row],[Adjusted 2025]]/$L64,0)</f>
        <v>1</v>
      </c>
      <c r="BC64" s="77">
        <f>ROUNDUP(tbl_Data[[#This Row],[Adjusted 2026]]/$L64,0)</f>
        <v>1</v>
      </c>
      <c r="BD64" s="77">
        <f>ROUNDUP(tbl_Data[[#This Row],[Adjusted 2027]]/$L64,0)</f>
        <v>1</v>
      </c>
      <c r="BE64" s="77">
        <f>ROUNDUP(tbl_Data[[#This Row],[Adjusted 2028]]/$L64,0)</f>
        <v>1</v>
      </c>
      <c r="BF64" s="77">
        <f>ROUNDUP(tbl_Data[[#This Row],[Adjusted 2029]]/$L64,0)</f>
        <v>1</v>
      </c>
      <c r="BG64" s="77">
        <f>ROUNDUP(tbl_Data[[#This Row],[Adjusted 2030]]/$L64,0)</f>
        <v>1</v>
      </c>
      <c r="BH64" s="77">
        <f>ROUNDUP(tbl_Data[[#This Row],[Adjusted 2031]]/$L64,0)</f>
        <v>1</v>
      </c>
      <c r="BI64" s="77">
        <f>ROUNDUP(tbl_Data[[#This Row],[Adjusted 2032]]/$L64,0)</f>
        <v>1</v>
      </c>
      <c r="BJ64" s="77">
        <f>ROUNDUP(tbl_Data[[#This Row],[Adjusted 2033]]/$L64,0)</f>
        <v>1</v>
      </c>
      <c r="BK64" s="77">
        <f>ROUNDUP(tbl_Data[[#This Row],[Adjusted 2034]]/$L64,0)</f>
        <v>1</v>
      </c>
      <c r="BL64" s="80">
        <f t="shared" si="23"/>
        <v>9.5574010798711129</v>
      </c>
      <c r="BM64" s="77">
        <f t="shared" si="24"/>
        <v>20.228442249968502</v>
      </c>
      <c r="BN64" s="77">
        <f t="shared" si="25"/>
        <v>31.936241237623431</v>
      </c>
      <c r="BO64" s="77">
        <f t="shared" si="26"/>
        <v>44.633450649175252</v>
      </c>
      <c r="BP64" s="77">
        <f t="shared" si="27"/>
        <v>58.281242424812959</v>
      </c>
      <c r="BQ64" s="77">
        <f t="shared" si="28"/>
        <v>72.808098180638837</v>
      </c>
      <c r="BR64" s="77">
        <f t="shared" si="29"/>
        <v>88.256395746133805</v>
      </c>
      <c r="BS64" s="77">
        <f t="shared" si="30"/>
        <v>104.70713591227209</v>
      </c>
      <c r="BT64" s="77">
        <f t="shared" si="31"/>
        <v>122.25461405231502</v>
      </c>
      <c r="BU64" s="77">
        <f t="shared" si="32"/>
        <v>141.00107083105337</v>
      </c>
      <c r="BV64" s="80">
        <f>IFERROR(VLOOKUP($H64,'1. Set Program Names'!$B$2:$D$15,3,0)*V64,"NA")</f>
        <v>3.0657031865436775</v>
      </c>
      <c r="BW64" s="80">
        <f>IFERROR(VLOOKUP($H64,'1. Set Program Names'!$B$2:$D$15,3,0)*W64,"NA")</f>
        <v>6.488625866623094</v>
      </c>
      <c r="BX64" s="80">
        <f>IFERROR(VLOOKUP($H64,'1. Set Program Names'!$B$2:$D$15,3,0)*X64,"NA")</f>
        <v>10.244106709575286</v>
      </c>
      <c r="BY64" s="80">
        <f>IFERROR(VLOOKUP($H64,'1. Set Program Names'!$B$2:$D$15,3,0)*Y64,"NA")</f>
        <v>14.316958212604574</v>
      </c>
      <c r="BZ64" s="80">
        <f>IFERROR(VLOOKUP($H64,'1. Set Program Names'!$B$2:$D$15,3,0)*Z64,"NA")</f>
        <v>18.69472559792198</v>
      </c>
      <c r="CA64" s="80">
        <f>IFERROR(VLOOKUP($H64,'1. Set Program Names'!$B$2:$D$15,3,0)*AA64,"NA")</f>
        <v>23.354468095795294</v>
      </c>
      <c r="CB64" s="80">
        <f>IFERROR(VLOOKUP($H64,'1. Set Program Names'!$B$2:$D$15,3,0)*AB64,"NA")</f>
        <v>28.309779134583632</v>
      </c>
      <c r="CC64" s="80">
        <f>IFERROR(VLOOKUP($H64,'1. Set Program Names'!$B$2:$D$15,3,0)*AC64,"NA")</f>
        <v>33.586641131570403</v>
      </c>
      <c r="CD64" s="80">
        <f>IFERROR(VLOOKUP($H64,'1. Set Program Names'!$B$2:$D$15,3,0)*AD64,"NA")</f>
        <v>39.2153009733169</v>
      </c>
      <c r="CE64" s="80">
        <f>IFERROR(VLOOKUP($H64,'1. Set Program Names'!$B$2:$D$15,3,0)*AE64,"NA")</f>
        <v>45.228554137299056</v>
      </c>
    </row>
    <row r="65" spans="1:83" x14ac:dyDescent="0.25">
      <c r="A65" s="79" t="s">
        <v>117</v>
      </c>
      <c r="B65" s="79" t="s">
        <v>88</v>
      </c>
      <c r="C65" s="79" t="s">
        <v>89</v>
      </c>
      <c r="D65" s="79" t="s">
        <v>90</v>
      </c>
      <c r="E65" s="79" t="s">
        <v>91</v>
      </c>
      <c r="F65" s="79" t="s">
        <v>90</v>
      </c>
      <c r="G65" s="79" t="s">
        <v>92</v>
      </c>
      <c r="H65" s="79" t="s">
        <v>5</v>
      </c>
      <c r="I65" s="79" t="s">
        <v>100</v>
      </c>
      <c r="J65" s="79" t="s">
        <v>101</v>
      </c>
      <c r="K65" s="79" t="s">
        <v>102</v>
      </c>
      <c r="L65" s="79">
        <v>3443.6666666666601</v>
      </c>
      <c r="M65" s="79">
        <v>1.66949913665645</v>
      </c>
      <c r="N65" s="79">
        <v>0.25022957227107101</v>
      </c>
      <c r="O65" s="79">
        <v>1269.26999999999</v>
      </c>
      <c r="P65" s="79">
        <v>446.40188399649003</v>
      </c>
      <c r="Q65" s="79">
        <v>1023.5579310081</v>
      </c>
      <c r="R65" s="79">
        <v>3363.3816217672702</v>
      </c>
      <c r="S65" s="79">
        <v>6252.5618237134204</v>
      </c>
      <c r="T65" s="79">
        <v>30</v>
      </c>
      <c r="U65" s="79">
        <v>0.9</v>
      </c>
      <c r="V65" s="79">
        <f>tbl_Data_old[[#This Row],[2025 ]]*IFERROR(AVERAGEIFS('Participation Adjustment'!$C:$C,'Participation Adjustment'!$A:$A,$H65,'Participation Adjustment'!$B:$B,$I65),1)</f>
        <v>0.16130897897149801</v>
      </c>
      <c r="W65" s="79">
        <f>tbl_Data_old[[#This Row],[2026 ]]*IFERROR(AVERAGEIFS('Participation Adjustment'!$C:$C,'Participation Adjustment'!$A:$A,$H65,'Participation Adjustment'!$B:$B,$I65),1)</f>
        <v>0.31743659117037998</v>
      </c>
      <c r="X65" s="79">
        <f>tbl_Data_old[[#This Row],[2027 ]]*IFERROR(AVERAGEIFS('Participation Adjustment'!$C:$C,'Participation Adjustment'!$A:$A,$H65,'Participation Adjustment'!$B:$B,$I65),1)</f>
        <v>0.46869529687642503</v>
      </c>
      <c r="Y65" s="79">
        <f>tbl_Data_old[[#This Row],[2028 ]]*IFERROR(AVERAGEIFS('Participation Adjustment'!$C:$C,'Participation Adjustment'!$A:$A,$H65,'Participation Adjustment'!$B:$B,$I65),1)</f>
        <v>0.61555023152262001</v>
      </c>
      <c r="Z65" s="79">
        <f>tbl_Data_old[[#This Row],[2029 ]]*IFERROR(AVERAGEIFS('Participation Adjustment'!$C:$C,'Participation Adjustment'!$A:$A,$H65,'Participation Adjustment'!$B:$B,$I65),1)</f>
        <v>0.75834782310884696</v>
      </c>
      <c r="AA65" s="79">
        <f>tbl_Data_old[[#This Row],[2030 ]]*IFERROR(AVERAGEIFS('Participation Adjustment'!$C:$C,'Participation Adjustment'!$A:$A,$H65,'Participation Adjustment'!$B:$B,$I65),1)</f>
        <v>0.89696853034111301</v>
      </c>
      <c r="AB65" s="79">
        <f>tbl_Data_old[[#This Row],[2031 ]]*IFERROR(AVERAGEIFS('Participation Adjustment'!$C:$C,'Participation Adjustment'!$A:$A,$H65,'Participation Adjustment'!$B:$B,$I65),1)</f>
        <v>1.0322672849633101</v>
      </c>
      <c r="AC65" s="79">
        <f>tbl_Data_old[[#This Row],[2032 ]]*IFERROR(AVERAGEIFS('Participation Adjustment'!$C:$C,'Participation Adjustment'!$A:$A,$H65,'Participation Adjustment'!$B:$B,$I65),1)</f>
        <v>1.16516984325905</v>
      </c>
      <c r="AD65" s="79">
        <f>tbl_Data_old[[#This Row],[2033 ]]*IFERROR(AVERAGEIFS('Participation Adjustment'!$C:$C,'Participation Adjustment'!$A:$A,$H65,'Participation Adjustment'!$B:$B,$I65),1)</f>
        <v>1.29645765016754</v>
      </c>
      <c r="AE65" s="79">
        <f>tbl_Data_old[[#This Row],[2034 ]]*IFERROR(AVERAGEIFS('Participation Adjustment'!$C:$C,'Participation Adjustment'!$A:$A,$H65,'Participation Adjustment'!$B:$B,$I65),1)</f>
        <v>1.42676275459121</v>
      </c>
      <c r="AF65" s="77" t="str">
        <f t="shared" si="22"/>
        <v>Residential</v>
      </c>
      <c r="AG65" s="77" t="str">
        <f>tbl_Data[[#This Row],[All_Meas_Name_Append]]</f>
        <v>Ceiling Insulation(R2 to R38) Residential</v>
      </c>
      <c r="AH65" s="77">
        <f>AVERAGEIFS('3. Incentive Adjustment'!G:G,'3. Incentive Adjustment'!A:A,tbl_Data[[#This Row],[Trimmed Sector]],'3. Incentive Adjustment'!B:B,tbl_Data[[#This Row],[Trimmed Measure Name]])</f>
        <v>0.80543313072084111</v>
      </c>
      <c r="AI65" s="77">
        <f>$AH65*tbl_Data[[#This Row],[2025 ]]</f>
        <v>0.12992359594639596</v>
      </c>
      <c r="AJ65" s="77">
        <f>$AH65*tbl_Data[[#This Row],[2026 ]]</f>
        <v>0.25567394743171085</v>
      </c>
      <c r="AK65" s="77">
        <f>$AH65*tbl_Data[[#This Row],[2027 ]]</f>
        <v>0.37750272031731308</v>
      </c>
      <c r="AL65" s="77">
        <f>$AH65*tbl_Data[[#This Row],[2028 ]]</f>
        <v>0.49578455009120243</v>
      </c>
      <c r="AM65" s="77">
        <f>$AH65*tbl_Data[[#This Row],[2029 ]]</f>
        <v>0.6107984613418932</v>
      </c>
      <c r="AN65" s="77">
        <f>$AH65*tbl_Data[[#This Row],[2030 ]]</f>
        <v>0.72244817155071439</v>
      </c>
      <c r="AO65" s="77">
        <f>$AH65*tbl_Data[[#This Row],[2031 ]]</f>
        <v>0.83142227106870148</v>
      </c>
      <c r="AP65" s="77">
        <f>$AH65*tbl_Data[[#This Row],[2032 ]]</f>
        <v>0.93846639467764836</v>
      </c>
      <c r="AQ65" s="77">
        <f>$AH65*tbl_Data[[#This Row],[2033 ]]</f>
        <v>1.0442099440214268</v>
      </c>
      <c r="AR65" s="77">
        <f>$AH65*tbl_Data[[#This Row],[2034 ]]</f>
        <v>1.1491619922262895</v>
      </c>
      <c r="AS65" s="77">
        <f>SUM(tbl_Data[[#This Row],[Adjusted 2025]:[Adjusted 2034]])</f>
        <v>6.5553920486732959</v>
      </c>
      <c r="AT65" s="80">
        <f>AVERAGEIFS('3. Incentive Adjustment'!F:F,'3. Incentive Adjustment'!A:A,tbl_Data[[#This Row],[Trimmed Sector]],'3. Incentive Adjustment'!B:B,tbl_Data[[#This Row],[Trimmed Measure Name]])</f>
        <v>164</v>
      </c>
      <c r="AU65" s="80">
        <f>IFERROR(VLOOKUP(tbl_Data[[#This Row],[All_Meas_Name_Append]],'IRA Tax Credits'!$A$3:$D$46,4,0),0)</f>
        <v>0</v>
      </c>
      <c r="AV65" s="81">
        <f>tbl_Data[[#This Row],[Adj. per unit Incentive ($)]]/tbl_Data[[#This Row],[kWh Savings]]*tbl_Data[[#This Row],[Sum of Annuals]]</f>
        <v>0.31219174213021661</v>
      </c>
      <c r="AW65" s="81">
        <f>IFERROR(VLOOKUP(tbl_Data[[#This Row],[Column1]],'1. Set Program Names'!$B$2:$D$15,3,0)*tbl_Data[[#This Row],[Sum of Annuals]],"")</f>
        <v>2.9226798809690822</v>
      </c>
      <c r="AX65" s="81">
        <f>tbl_Data[[#This Row],[per unit IRA tax ($)]]/tbl_Data[[#This Row],[kWh Savings]]*tbl_Data[[#This Row],[Sum of Annuals]]</f>
        <v>0</v>
      </c>
      <c r="AY65" s="81">
        <f>tbl_Data[[#This Row],[Avoided Costs ($/unit)]]/tbl_Data[[#This Row],[kWh Savings]]*tbl_Data[[#This Row],[Sum of Annuals]]</f>
        <v>6.402560780172422</v>
      </c>
      <c r="AZ65" s="81">
        <f>tbl_Data[[#This Row],[Lost Revenue ($/unit)]]/tbl_Data[[#This Row],[kWh Savings]]*tbl_Data[[#This Row],[Sum of Annuals]]</f>
        <v>11.902427856841323</v>
      </c>
      <c r="BA65" s="81">
        <f>tbl_Data[[#This Row],[Incremental Cost ($/unit)]]/tbl_Data[[#This Row],[kWh Savings]]*tbl_Data[[#This Row],[Sum of Annuals]]</f>
        <v>2.4161927593513228</v>
      </c>
      <c r="BB65" s="77">
        <f>ROUNDUP(tbl_Data[[#This Row],[Adjusted 2025]]/$L65,0)</f>
        <v>1</v>
      </c>
      <c r="BC65" s="77">
        <f>ROUNDUP(tbl_Data[[#This Row],[Adjusted 2026]]/$L65,0)</f>
        <v>1</v>
      </c>
      <c r="BD65" s="77">
        <f>ROUNDUP(tbl_Data[[#This Row],[Adjusted 2027]]/$L65,0)</f>
        <v>1</v>
      </c>
      <c r="BE65" s="77">
        <f>ROUNDUP(tbl_Data[[#This Row],[Adjusted 2028]]/$L65,0)</f>
        <v>1</v>
      </c>
      <c r="BF65" s="77">
        <f>ROUNDUP(tbl_Data[[#This Row],[Adjusted 2029]]/$L65,0)</f>
        <v>1</v>
      </c>
      <c r="BG65" s="77">
        <f>ROUNDUP(tbl_Data[[#This Row],[Adjusted 2030]]/$L65,0)</f>
        <v>1</v>
      </c>
      <c r="BH65" s="77">
        <f>ROUNDUP(tbl_Data[[#This Row],[Adjusted 2031]]/$L65,0)</f>
        <v>1</v>
      </c>
      <c r="BI65" s="77">
        <f>ROUNDUP(tbl_Data[[#This Row],[Adjusted 2032]]/$L65,0)</f>
        <v>1</v>
      </c>
      <c r="BJ65" s="77">
        <f>ROUNDUP(tbl_Data[[#This Row],[Adjusted 2033]]/$L65,0)</f>
        <v>1</v>
      </c>
      <c r="BK65" s="77">
        <f>ROUNDUP(tbl_Data[[#This Row],[Adjusted 2034]]/$L65,0)</f>
        <v>1</v>
      </c>
      <c r="BL65" s="80">
        <f t="shared" si="23"/>
        <v>7.6821234782670769E-3</v>
      </c>
      <c r="BM65" s="77">
        <f t="shared" si="24"/>
        <v>1.5117491322798106E-2</v>
      </c>
      <c r="BN65" s="77">
        <f t="shared" si="25"/>
        <v>2.232098403476929E-2</v>
      </c>
      <c r="BO65" s="77">
        <f t="shared" si="26"/>
        <v>2.9314753064478716E-2</v>
      </c>
      <c r="BP65" s="77">
        <f t="shared" si="27"/>
        <v>3.6115296580152299E-2</v>
      </c>
      <c r="BQ65" s="77">
        <f t="shared" si="28"/>
        <v>4.271692158821299E-2</v>
      </c>
      <c r="BR65" s="77">
        <f t="shared" si="29"/>
        <v>4.9160343064751671E-2</v>
      </c>
      <c r="BS65" s="77">
        <f t="shared" si="30"/>
        <v>5.5489648909442808E-2</v>
      </c>
      <c r="BT65" s="77">
        <f t="shared" si="31"/>
        <v>6.1742054388000275E-2</v>
      </c>
      <c r="BU65" s="77">
        <f t="shared" si="32"/>
        <v>6.7947659980532052E-2</v>
      </c>
      <c r="BV65" s="80">
        <f>IFERROR(VLOOKUP($H65,'1. Set Program Names'!$B$2:$D$15,3,0)*V65,"NA")</f>
        <v>7.1918583047230061E-2</v>
      </c>
      <c r="BW65" s="80">
        <f>IFERROR(VLOOKUP($H65,'1. Set Program Names'!$B$2:$D$15,3,0)*W65,"NA")</f>
        <v>0.14152708664996505</v>
      </c>
      <c r="BX65" s="80">
        <f>IFERROR(VLOOKUP($H65,'1. Set Program Names'!$B$2:$D$15,3,0)*X65,"NA")</f>
        <v>0.20896481923804894</v>
      </c>
      <c r="BY65" s="80">
        <f>IFERROR(VLOOKUP($H65,'1. Set Program Names'!$B$2:$D$15,3,0)*Y65,"NA")</f>
        <v>0.27443915848802997</v>
      </c>
      <c r="BZ65" s="80">
        <f>IFERROR(VLOOKUP($H65,'1. Set Program Names'!$B$2:$D$15,3,0)*Z65,"NA")</f>
        <v>0.33810455712187226</v>
      </c>
      <c r="CA65" s="80">
        <f>IFERROR(VLOOKUP($H65,'1. Set Program Names'!$B$2:$D$15,3,0)*AA65,"NA")</f>
        <v>0.39990771841341449</v>
      </c>
      <c r="CB65" s="80">
        <f>IFERROR(VLOOKUP($H65,'1. Set Program Names'!$B$2:$D$15,3,0)*AB65,"NA")</f>
        <v>0.46022980824700388</v>
      </c>
      <c r="CC65" s="80">
        <f>IFERROR(VLOOKUP($H65,'1. Set Program Names'!$B$2:$D$15,3,0)*AC65,"NA")</f>
        <v>0.51948356917788396</v>
      </c>
      <c r="CD65" s="80">
        <f>IFERROR(VLOOKUP($H65,'1. Set Program Names'!$B$2:$D$15,3,0)*AD65,"NA")</f>
        <v>0.57801740346559138</v>
      </c>
      <c r="CE65" s="80">
        <f>IFERROR(VLOOKUP($H65,'1. Set Program Names'!$B$2:$D$15,3,0)*AE65,"NA")</f>
        <v>0.63611310609617799</v>
      </c>
    </row>
    <row r="66" spans="1:83" x14ac:dyDescent="0.25">
      <c r="A66" s="79" t="s">
        <v>117</v>
      </c>
      <c r="B66" s="79" t="s">
        <v>88</v>
      </c>
      <c r="C66" s="79" t="s">
        <v>89</v>
      </c>
      <c r="D66" s="79" t="s">
        <v>90</v>
      </c>
      <c r="E66" s="79" t="s">
        <v>91</v>
      </c>
      <c r="F66" s="79" t="s">
        <v>90</v>
      </c>
      <c r="G66" s="79" t="s">
        <v>92</v>
      </c>
      <c r="H66" s="79" t="s">
        <v>5</v>
      </c>
      <c r="I66" s="79" t="s">
        <v>103</v>
      </c>
      <c r="J66" s="79" t="s">
        <v>101</v>
      </c>
      <c r="K66" s="79" t="s">
        <v>102</v>
      </c>
      <c r="L66" s="79">
        <v>3523.57666666666</v>
      </c>
      <c r="M66" s="79">
        <v>1.7070465614975301</v>
      </c>
      <c r="N66" s="79">
        <v>0.25623328618049002</v>
      </c>
      <c r="O66" s="79">
        <v>1306.5999999999899</v>
      </c>
      <c r="P66" s="79">
        <v>465.31519597206898</v>
      </c>
      <c r="Q66" s="79">
        <v>1047.30950808685</v>
      </c>
      <c r="R66" s="79">
        <v>3440.61303289528</v>
      </c>
      <c r="S66" s="79">
        <v>6397.6520033667803</v>
      </c>
      <c r="T66" s="79">
        <v>30</v>
      </c>
      <c r="U66" s="79">
        <v>0.9</v>
      </c>
      <c r="V66" s="79">
        <f>tbl_Data_old[[#This Row],[2025 ]]*IFERROR(AVERAGEIFS('Participation Adjustment'!$C:$C,'Participation Adjustment'!$A:$A,$H66,'Participation Adjustment'!$B:$B,$I66),1)</f>
        <v>0.16503396338779799</v>
      </c>
      <c r="W66" s="79">
        <f>tbl_Data_old[[#This Row],[2026 ]]*IFERROR(AVERAGEIFS('Participation Adjustment'!$C:$C,'Participation Adjustment'!$A:$A,$H66,'Participation Adjustment'!$B:$B,$I66),1)</f>
        <v>0.32478132035162099</v>
      </c>
      <c r="X66" s="79">
        <f>tbl_Data_old[[#This Row],[2027 ]]*IFERROR(AVERAGEIFS('Participation Adjustment'!$C:$C,'Participation Adjustment'!$A:$A,$H66,'Participation Adjustment'!$B:$B,$I66),1)</f>
        <v>0.47956033096317202</v>
      </c>
      <c r="Y66" s="79">
        <f>tbl_Data_old[[#This Row],[2028 ]]*IFERROR(AVERAGEIFS('Participation Adjustment'!$C:$C,'Participation Adjustment'!$A:$A,$H66,'Participation Adjustment'!$B:$B,$I66),1)</f>
        <v>0.62984562987949</v>
      </c>
      <c r="Z66" s="79">
        <f>tbl_Data_old[[#This Row],[2029 ]]*IFERROR(AVERAGEIFS('Participation Adjustment'!$C:$C,'Participation Adjustment'!$A:$A,$H66,'Participation Adjustment'!$B:$B,$I66),1)</f>
        <v>0.77599052807212199</v>
      </c>
      <c r="AA66" s="79">
        <f>tbl_Data_old[[#This Row],[2030 ]]*IFERROR(AVERAGEIFS('Participation Adjustment'!$C:$C,'Participation Adjustment'!$A:$A,$H66,'Participation Adjustment'!$B:$B,$I66),1)</f>
        <v>0.91787153827841395</v>
      </c>
      <c r="AB66" s="79">
        <f>tbl_Data_old[[#This Row],[2031 ]]*IFERROR(AVERAGEIFS('Participation Adjustment'!$C:$C,'Participation Adjustment'!$A:$A,$H66,'Participation Adjustment'!$B:$B,$I66),1)</f>
        <v>1.0563626582539301</v>
      </c>
      <c r="AC66" s="79">
        <f>tbl_Data_old[[#This Row],[2032 ]]*IFERROR(AVERAGEIFS('Participation Adjustment'!$C:$C,'Participation Adjustment'!$A:$A,$H66,'Participation Adjustment'!$B:$B,$I66),1)</f>
        <v>1.1924106196297699</v>
      </c>
      <c r="AD66" s="79">
        <f>tbl_Data_old[[#This Row],[2033 ]]*IFERROR(AVERAGEIFS('Participation Adjustment'!$C:$C,'Participation Adjustment'!$A:$A,$H66,'Participation Adjustment'!$B:$B,$I66),1)</f>
        <v>1.3268146489219801</v>
      </c>
      <c r="AE66" s="79">
        <f>tbl_Data_old[[#This Row],[2034 ]]*IFERROR(AVERAGEIFS('Participation Adjustment'!$C:$C,'Participation Adjustment'!$A:$A,$H66,'Participation Adjustment'!$B:$B,$I66),1)</f>
        <v>1.4602212066248601</v>
      </c>
      <c r="AF66" s="77" t="str">
        <f t="shared" si="22"/>
        <v>Residential</v>
      </c>
      <c r="AG66" s="77" t="str">
        <f>tbl_Data[[#This Row],[All_Meas_Name_Append]]</f>
        <v>Ceiling Insulation(R2 to R49) Residential</v>
      </c>
      <c r="AH66" s="77">
        <f>AVERAGEIFS('3. Incentive Adjustment'!G:G,'3. Incentive Adjustment'!A:A,tbl_Data[[#This Row],[Trimmed Sector]],'3. Incentive Adjustment'!B:B,tbl_Data[[#This Row],[Trimmed Measure Name]])</f>
        <v>0.79801279130038982</v>
      </c>
      <c r="AI66" s="77">
        <f>$AH66*tbl_Data[[#This Row],[2025 ]]</f>
        <v>0.13169921378246302</v>
      </c>
      <c r="AJ66" s="77">
        <f>$AH66*tbl_Data[[#This Row],[2026 ]]</f>
        <v>0.25917964801602317</v>
      </c>
      <c r="AK66" s="77">
        <f>$AH66*tbl_Data[[#This Row],[2027 ]]</f>
        <v>0.38269527830885969</v>
      </c>
      <c r="AL66" s="77">
        <f>$AH66*tbl_Data[[#This Row],[2028 ]]</f>
        <v>0.50262486918848404</v>
      </c>
      <c r="AM66" s="77">
        <f>$AH66*tbl_Data[[#This Row],[2029 ]]</f>
        <v>0.61925036732949756</v>
      </c>
      <c r="AN66" s="77">
        <f>$AH66*tbl_Data[[#This Row],[2030 ]]</f>
        <v>0.73247322831673967</v>
      </c>
      <c r="AO66" s="77">
        <f>$AH66*tbl_Data[[#This Row],[2031 ]]</f>
        <v>0.84299091353871847</v>
      </c>
      <c r="AP66" s="77">
        <f>$AH66*tbl_Data[[#This Row],[2032 ]]</f>
        <v>0.95155892694698008</v>
      </c>
      <c r="AQ66" s="77">
        <f>$AH66*tbl_Data[[#This Row],[2033 ]]</f>
        <v>1.058815061524476</v>
      </c>
      <c r="AR66" s="77">
        <f>$AH66*tbl_Data[[#This Row],[2034 ]]</f>
        <v>1.1652752010147278</v>
      </c>
      <c r="AS66" s="77">
        <f>SUM(tbl_Data[[#This Row],[Adjusted 2025]:[Adjusted 2034]])</f>
        <v>6.6465627079669698</v>
      </c>
      <c r="AT66" s="80">
        <f>AVERAGEIFS('3. Incentive Adjustment'!F:F,'3. Incentive Adjustment'!A:A,tbl_Data[[#This Row],[Trimmed Sector]],'3. Incentive Adjustment'!B:B,tbl_Data[[#This Row],[Trimmed Measure Name]])</f>
        <v>164</v>
      </c>
      <c r="AU66" s="80">
        <f>IFERROR(VLOOKUP(tbl_Data[[#This Row],[All_Meas_Name_Append]],'IRA Tax Credits'!$A$3:$D$46,4,0),0)</f>
        <v>0</v>
      </c>
      <c r="AV66" s="81">
        <f>tbl_Data[[#This Row],[Adj. per unit Incentive ($)]]/tbl_Data[[#This Row],[kWh Savings]]*tbl_Data[[#This Row],[Sum of Annuals]]</f>
        <v>0.30935506368242832</v>
      </c>
      <c r="AW66" s="81">
        <f>IFERROR(VLOOKUP(tbl_Data[[#This Row],[Column1]],'1. Set Program Names'!$B$2:$D$15,3,0)*tbl_Data[[#This Row],[Sum of Annuals]],"")</f>
        <v>2.9633277399642184</v>
      </c>
      <c r="AX66" s="81">
        <f>tbl_Data[[#This Row],[per unit IRA tax ($)]]/tbl_Data[[#This Row],[kWh Savings]]*tbl_Data[[#This Row],[Sum of Annuals]]</f>
        <v>0</v>
      </c>
      <c r="AY66" s="81">
        <f>tbl_Data[[#This Row],[Avoided Costs ($/unit)]]/tbl_Data[[#This Row],[kWh Savings]]*tbl_Data[[#This Row],[Sum of Annuals]]</f>
        <v>6.4900674627921475</v>
      </c>
      <c r="AZ66" s="81">
        <f>tbl_Data[[#This Row],[Lost Revenue ($/unit)]]/tbl_Data[[#This Row],[kWh Savings]]*tbl_Data[[#This Row],[Sum of Annuals]]</f>
        <v>12.067963676338691</v>
      </c>
      <c r="BA66" s="81">
        <f>tbl_Data[[#This Row],[Incremental Cost ($/unit)]]/tbl_Data[[#This Row],[kWh Savings]]*tbl_Data[[#This Row],[Sum of Annuals]]</f>
        <v>2.4646544280942542</v>
      </c>
      <c r="BB66" s="77">
        <f>ROUNDUP(tbl_Data[[#This Row],[Adjusted 2025]]/$L66,0)</f>
        <v>1</v>
      </c>
      <c r="BC66" s="77">
        <f>ROUNDUP(tbl_Data[[#This Row],[Adjusted 2026]]/$L66,0)</f>
        <v>1</v>
      </c>
      <c r="BD66" s="77">
        <f>ROUNDUP(tbl_Data[[#This Row],[Adjusted 2027]]/$L66,0)</f>
        <v>1</v>
      </c>
      <c r="BE66" s="77">
        <f>ROUNDUP(tbl_Data[[#This Row],[Adjusted 2028]]/$L66,0)</f>
        <v>1</v>
      </c>
      <c r="BF66" s="77">
        <f>ROUNDUP(tbl_Data[[#This Row],[Adjusted 2029]]/$L66,0)</f>
        <v>1</v>
      </c>
      <c r="BG66" s="77">
        <f>ROUNDUP(tbl_Data[[#This Row],[Adjusted 2030]]/$L66,0)</f>
        <v>1</v>
      </c>
      <c r="BH66" s="77">
        <f>ROUNDUP(tbl_Data[[#This Row],[Adjusted 2031]]/$L66,0)</f>
        <v>1</v>
      </c>
      <c r="BI66" s="77">
        <f>ROUNDUP(tbl_Data[[#This Row],[Adjusted 2032]]/$L66,0)</f>
        <v>1</v>
      </c>
      <c r="BJ66" s="77">
        <f>ROUNDUP(tbl_Data[[#This Row],[Adjusted 2033]]/$L66,0)</f>
        <v>1</v>
      </c>
      <c r="BK66" s="77">
        <f>ROUNDUP(tbl_Data[[#This Row],[Adjusted 2034]]/$L66,0)</f>
        <v>1</v>
      </c>
      <c r="BL66" s="80">
        <f t="shared" si="23"/>
        <v>7.6812774507339383E-3</v>
      </c>
      <c r="BM66" s="77">
        <f t="shared" si="24"/>
        <v>1.5116497121106852E-2</v>
      </c>
      <c r="BN66" s="77">
        <f t="shared" si="25"/>
        <v>2.2320471985745646E-2</v>
      </c>
      <c r="BO66" s="77">
        <f t="shared" si="26"/>
        <v>2.9315293257959448E-2</v>
      </c>
      <c r="BP66" s="77">
        <f t="shared" si="27"/>
        <v>3.6117405308004717E-2</v>
      </c>
      <c r="BQ66" s="77">
        <f t="shared" si="28"/>
        <v>4.2721060592123772E-2</v>
      </c>
      <c r="BR66" s="77">
        <f t="shared" si="29"/>
        <v>4.9166938126405137E-2</v>
      </c>
      <c r="BS66" s="77">
        <f t="shared" si="30"/>
        <v>5.5499102224524505E-2</v>
      </c>
      <c r="BT66" s="77">
        <f t="shared" si="31"/>
        <v>6.1754751778696028E-2</v>
      </c>
      <c r="BU66" s="77">
        <f t="shared" si="32"/>
        <v>6.7963975398050325E-2</v>
      </c>
      <c r="BV66" s="80">
        <f>IFERROR(VLOOKUP($H66,'1. Set Program Names'!$B$2:$D$15,3,0)*V66,"NA")</f>
        <v>7.3579343674452444E-2</v>
      </c>
      <c r="BW66" s="80">
        <f>IFERROR(VLOOKUP($H66,'1. Set Program Names'!$B$2:$D$15,3,0)*W66,"NA")</f>
        <v>0.1448016874747203</v>
      </c>
      <c r="BX66" s="80">
        <f>IFERROR(VLOOKUP($H66,'1. Set Program Names'!$B$2:$D$15,3,0)*X66,"NA")</f>
        <v>0.21380892563101522</v>
      </c>
      <c r="BY66" s="80">
        <f>IFERROR(VLOOKUP($H66,'1. Set Program Names'!$B$2:$D$15,3,0)*Y66,"NA")</f>
        <v>0.28081267098855511</v>
      </c>
      <c r="BZ66" s="80">
        <f>IFERROR(VLOOKUP($H66,'1. Set Program Names'!$B$2:$D$15,3,0)*Z66,"NA")</f>
        <v>0.34597044499847501</v>
      </c>
      <c r="CA66" s="80">
        <f>IFERROR(VLOOKUP($H66,'1. Set Program Names'!$B$2:$D$15,3,0)*AA66,"NA")</f>
        <v>0.40922719164956528</v>
      </c>
      <c r="CB66" s="80">
        <f>IFERROR(VLOOKUP($H66,'1. Set Program Names'!$B$2:$D$15,3,0)*AB66,"NA")</f>
        <v>0.47097257728629988</v>
      </c>
      <c r="CC66" s="80">
        <f>IFERROR(VLOOKUP($H66,'1. Set Program Names'!$B$2:$D$15,3,0)*AC66,"NA")</f>
        <v>0.53162869618928732</v>
      </c>
      <c r="CD66" s="80">
        <f>IFERROR(VLOOKUP($H66,'1. Set Program Names'!$B$2:$D$15,3,0)*AD66,"NA")</f>
        <v>0.59155187842108414</v>
      </c>
      <c r="CE66" s="80">
        <f>IFERROR(VLOOKUP($H66,'1. Set Program Names'!$B$2:$D$15,3,0)*AE66,"NA")</f>
        <v>0.651030344284382</v>
      </c>
    </row>
    <row r="67" spans="1:83" x14ac:dyDescent="0.25">
      <c r="A67" s="79" t="s">
        <v>117</v>
      </c>
      <c r="B67" s="79" t="s">
        <v>88</v>
      </c>
      <c r="C67" s="79" t="s">
        <v>89</v>
      </c>
      <c r="D67" s="79" t="s">
        <v>90</v>
      </c>
      <c r="E67" s="79" t="s">
        <v>91</v>
      </c>
      <c r="F67" s="79" t="s">
        <v>90</v>
      </c>
      <c r="G67" s="79" t="s">
        <v>92</v>
      </c>
      <c r="H67" s="79" t="s">
        <v>5</v>
      </c>
      <c r="I67" s="79" t="s">
        <v>296</v>
      </c>
      <c r="J67" s="79" t="s">
        <v>97</v>
      </c>
      <c r="K67" s="79" t="s">
        <v>102</v>
      </c>
      <c r="L67" s="79">
        <v>936.45</v>
      </c>
      <c r="M67" s="79">
        <v>0.42562333070119601</v>
      </c>
      <c r="N67" s="79">
        <v>3.9115067461125599E-2</v>
      </c>
      <c r="O67" s="79">
        <v>685.00999995999996</v>
      </c>
      <c r="P67" s="79">
        <v>458.12689399999903</v>
      </c>
      <c r="Q67" s="79">
        <v>278.34018715299698</v>
      </c>
      <c r="R67" s="79">
        <v>763.90764278946904</v>
      </c>
      <c r="S67" s="79">
        <v>1415.5155729468199</v>
      </c>
      <c r="T67" s="79">
        <v>20</v>
      </c>
      <c r="U67" s="79">
        <v>0.9</v>
      </c>
      <c r="V67" s="79">
        <f>tbl_Data_old[[#This Row],[2025 ]]*IFERROR(AVERAGEIFS('Participation Adjustment'!$C:$C,'Participation Adjustment'!$A:$A,$H67,'Participation Adjustment'!$B:$B,$I67),1)</f>
        <v>5.30562126059937</v>
      </c>
      <c r="W67" s="79">
        <f>tbl_Data_old[[#This Row],[2026 ]]*IFERROR(AVERAGEIFS('Participation Adjustment'!$C:$C,'Participation Adjustment'!$A:$A,$H67,'Participation Adjustment'!$B:$B,$I67),1)</f>
        <v>10.4412174576096</v>
      </c>
      <c r="X67" s="79">
        <f>tbl_Data_old[[#This Row],[2027 ]]*IFERROR(AVERAGEIFS('Participation Adjustment'!$C:$C,'Participation Adjustment'!$A:$A,$H67,'Participation Adjustment'!$B:$B,$I67),1)</f>
        <v>15.416956825803499</v>
      </c>
      <c r="Y67" s="79">
        <f>tbl_Data_old[[#This Row],[2028 ]]*IFERROR(AVERAGEIFS('Participation Adjustment'!$C:$C,'Participation Adjustment'!$A:$A,$H67,'Participation Adjustment'!$B:$B,$I67),1)</f>
        <v>20.248042647355501</v>
      </c>
      <c r="Z67" s="79">
        <f>tbl_Data_old[[#This Row],[2029 ]]*IFERROR(AVERAGEIFS('Participation Adjustment'!$C:$C,'Participation Adjustment'!$A:$A,$H67,'Participation Adjustment'!$B:$B,$I67),1)</f>
        <v>24.945784494557401</v>
      </c>
      <c r="AA67" s="79">
        <f>tbl_Data_old[[#This Row],[2030 ]]*IFERROR(AVERAGEIFS('Participation Adjustment'!$C:$C,'Participation Adjustment'!$A:$A,$H67,'Participation Adjustment'!$B:$B,$I67),1)</f>
        <v>29.506171304336299</v>
      </c>
      <c r="AB67" s="79">
        <f>tbl_Data_old[[#This Row],[2031 ]]*IFERROR(AVERAGEIFS('Participation Adjustment'!$C:$C,'Participation Adjustment'!$A:$A,$H67,'Participation Adjustment'!$B:$B,$I67),1)</f>
        <v>33.957258110714598</v>
      </c>
      <c r="AC67" s="79">
        <f>tbl_Data_old[[#This Row],[2032 ]]*IFERROR(AVERAGEIFS('Participation Adjustment'!$C:$C,'Participation Adjustment'!$A:$A,$H67,'Participation Adjustment'!$B:$B,$I67),1)</f>
        <v>38.329435729616797</v>
      </c>
      <c r="AD67" s="79">
        <f>tbl_Data_old[[#This Row],[2033 ]]*IFERROR(AVERAGEIFS('Participation Adjustment'!$C:$C,'Participation Adjustment'!$A:$A,$H67,'Participation Adjustment'!$B:$B,$I67),1)</f>
        <v>42.648350833868903</v>
      </c>
      <c r="AE67" s="79">
        <f>tbl_Data_old[[#This Row],[2034 ]]*IFERROR(AVERAGEIFS('Participation Adjustment'!$C:$C,'Participation Adjustment'!$A:$A,$H67,'Participation Adjustment'!$B:$B,$I67),1)</f>
        <v>46.934736655657098</v>
      </c>
      <c r="AF67" s="77" t="str">
        <f t="shared" ref="AF67:AF73" si="33">IF(C67="Residential","Residential","NonResidential")</f>
        <v>Residential</v>
      </c>
      <c r="AG67" s="77" t="str">
        <f>tbl_Data[[#This Row],[All_Meas_Name_Append]]</f>
        <v>Duct Repair</v>
      </c>
      <c r="AH67" s="77">
        <f>AVERAGEIFS('3. Incentive Adjustment'!G:G,'3. Incentive Adjustment'!A:A,tbl_Data[[#This Row],[Trimmed Sector]],'3. Incentive Adjustment'!B:B,tbl_Data[[#This Row],[Trimmed Measure Name]])</f>
        <v>0.36456477469769399</v>
      </c>
      <c r="AI67" s="77">
        <f>$AH67*tbl_Data[[#This Row],[2025 ]]</f>
        <v>1.9342426195017046</v>
      </c>
      <c r="AJ67" s="77">
        <f>$AH67*tbl_Data[[#This Row],[2026 ]]</f>
        <v>3.8065000900030732</v>
      </c>
      <c r="AK67" s="77">
        <f>$AH67*tbl_Data[[#This Row],[2027 ]]</f>
        <v>5.6204793917231282</v>
      </c>
      <c r="AL67" s="77">
        <f>$AH67*tbl_Data[[#This Row],[2028 ]]</f>
        <v>7.3817231058024575</v>
      </c>
      <c r="AM67" s="77">
        <f>$AH67*tbl_Data[[#This Row],[2029 ]]</f>
        <v>9.0943543039155479</v>
      </c>
      <c r="AN67" s="77">
        <f>$AH67*tbl_Data[[#This Row],[2030 ]]</f>
        <v>10.756910693756927</v>
      </c>
      <c r="AO67" s="77">
        <f>$AH67*tbl_Data[[#This Row],[2031 ]]</f>
        <v>12.37962015248411</v>
      </c>
      <c r="AP67" s="77">
        <f>$AH67*tbl_Data[[#This Row],[2032 ]]</f>
        <v>13.973562101057491</v>
      </c>
      <c r="AQ67" s="77">
        <f>$AH67*tbl_Data[[#This Row],[2033 ]]</f>
        <v>15.548086412977627</v>
      </c>
      <c r="AR67" s="77">
        <f>$AH67*tbl_Data[[#This Row],[2034 ]]</f>
        <v>17.110751694365231</v>
      </c>
      <c r="AS67" s="77">
        <f>SUM(tbl_Data[[#This Row],[Adjusted 2025]:[Adjusted 2034]])</f>
        <v>97.606230565587296</v>
      </c>
      <c r="AT67" s="80">
        <f>AVERAGEIFS('3. Incentive Adjustment'!F:F,'3. Incentive Adjustment'!A:A,tbl_Data[[#This Row],[Trimmed Sector]],'3. Incentive Adjustment'!B:B,tbl_Data[[#This Row],[Trimmed Measure Name]])</f>
        <v>100</v>
      </c>
      <c r="AU67" s="80">
        <f>IFERROR(VLOOKUP(tbl_Data[[#This Row],[All_Meas_Name_Append]],'IRA Tax Credits'!$A$3:$D$46,4,0),0)</f>
        <v>0</v>
      </c>
      <c r="AV67" s="81">
        <f>tbl_Data[[#This Row],[Adj. per unit Incentive ($)]]/tbl_Data[[#This Row],[kWh Savings]]*tbl_Data[[#This Row],[Sum of Annuals]]</f>
        <v>10.423005025958384</v>
      </c>
      <c r="AW67" s="81">
        <f>IFERROR(VLOOKUP(tbl_Data[[#This Row],[Column1]],'1. Set Program Names'!$B$2:$D$15,3,0)*tbl_Data[[#This Row],[Sum of Annuals]],"")</f>
        <v>43.517117544328386</v>
      </c>
      <c r="AX67" s="81">
        <f>tbl_Data[[#This Row],[per unit IRA tax ($)]]/tbl_Data[[#This Row],[kWh Savings]]*tbl_Data[[#This Row],[Sum of Annuals]]</f>
        <v>0</v>
      </c>
      <c r="AY67" s="81">
        <f>tbl_Data[[#This Row],[Avoided Costs ($/unit)]]/tbl_Data[[#This Row],[kWh Savings]]*tbl_Data[[#This Row],[Sum of Annuals]]</f>
        <v>79.622132001626582</v>
      </c>
      <c r="AZ67" s="81">
        <f>tbl_Data[[#This Row],[Lost Revenue ($/unit)]]/tbl_Data[[#This Row],[kWh Savings]]*tbl_Data[[#This Row],[Sum of Annuals]]</f>
        <v>147.53925931147066</v>
      </c>
      <c r="BA67" s="81">
        <f>tbl_Data[[#This Row],[Incremental Cost ($/unit)]]/tbl_Data[[#This Row],[kWh Savings]]*tbl_Data[[#This Row],[Sum of Annuals]]</f>
        <v>71.398626724148329</v>
      </c>
      <c r="BB67" s="77">
        <f>ROUNDUP(tbl_Data[[#This Row],[Adjusted 2025]]/$L67,0)</f>
        <v>1</v>
      </c>
      <c r="BC67" s="77">
        <f>ROUNDUP(tbl_Data[[#This Row],[Adjusted 2026]]/$L67,0)</f>
        <v>1</v>
      </c>
      <c r="BD67" s="77">
        <f>ROUNDUP(tbl_Data[[#This Row],[Adjusted 2027]]/$L67,0)</f>
        <v>1</v>
      </c>
      <c r="BE67" s="77">
        <f>ROUNDUP(tbl_Data[[#This Row],[Adjusted 2028]]/$L67,0)</f>
        <v>1</v>
      </c>
      <c r="BF67" s="77">
        <f>ROUNDUP(tbl_Data[[#This Row],[Adjusted 2029]]/$L67,0)</f>
        <v>1</v>
      </c>
      <c r="BG67" s="77">
        <f>ROUNDUP(tbl_Data[[#This Row],[Adjusted 2030]]/$L67,0)</f>
        <v>1</v>
      </c>
      <c r="BH67" s="77">
        <f>ROUNDUP(tbl_Data[[#This Row],[Adjusted 2031]]/$L67,0)</f>
        <v>1</v>
      </c>
      <c r="BI67" s="77">
        <f>ROUNDUP(tbl_Data[[#This Row],[Adjusted 2032]]/$L67,0)</f>
        <v>1</v>
      </c>
      <c r="BJ67" s="77">
        <f>ROUNDUP(tbl_Data[[#This Row],[Adjusted 2033]]/$L67,0)</f>
        <v>1</v>
      </c>
      <c r="BK67" s="77">
        <f>ROUNDUP(tbl_Data[[#This Row],[Adjusted 2034]]/$L67,0)</f>
        <v>1</v>
      </c>
      <c r="BL67" s="80">
        <f t="shared" ref="BL67:BL73" si="34">$AT67/$L67*V67</f>
        <v>0.56656749005279194</v>
      </c>
      <c r="BM67" s="77">
        <f t="shared" ref="BM67:BM73" si="35">$AT67/$L67*W67</f>
        <v>1.1149786382198301</v>
      </c>
      <c r="BN67" s="77">
        <f t="shared" ref="BN67:BN73" si="36">$AT67/$L67*X67</f>
        <v>1.6463192723373909</v>
      </c>
      <c r="BO67" s="77">
        <f t="shared" ref="BO67:BO73" si="37">$AT67/$L67*Y67</f>
        <v>2.1622128941593783</v>
      </c>
      <c r="BP67" s="77">
        <f t="shared" ref="BP67:BP73" si="38">$AT67/$L67*Z67</f>
        <v>2.6638672106954351</v>
      </c>
      <c r="BQ67" s="77">
        <f t="shared" ref="BQ67:BQ73" si="39">$AT67/$L67*AA67</f>
        <v>3.1508538954921561</v>
      </c>
      <c r="BR67" s="77">
        <f t="shared" ref="BR67:BR73" si="40">$AT67/$L67*AB67</f>
        <v>3.6261688409113777</v>
      </c>
      <c r="BS67" s="77">
        <f t="shared" ref="BS67:BS73" si="41">$AT67/$L67*AC67</f>
        <v>4.0930573687454528</v>
      </c>
      <c r="BT67" s="77">
        <f t="shared" ref="BT67:BT73" si="42">$AT67/$L67*AD67</f>
        <v>4.5542581914537781</v>
      </c>
      <c r="BU67" s="77">
        <f t="shared" ref="BU67:BU73" si="43">$AT67/$L67*AE67</f>
        <v>5.011985333510288</v>
      </c>
      <c r="BV67" s="80">
        <f>IFERROR(VLOOKUP($H67,'1. Set Program Names'!$B$2:$D$15,3,0)*V67,"NA")</f>
        <v>2.365477518241474</v>
      </c>
      <c r="BW67" s="80">
        <f>IFERROR(VLOOKUP($H67,'1. Set Program Names'!$B$2:$D$15,3,0)*W67,"NA")</f>
        <v>4.6551504425055308</v>
      </c>
      <c r="BX67" s="80">
        <f>IFERROR(VLOOKUP($H67,'1. Set Program Names'!$B$2:$D$15,3,0)*X67,"NA")</f>
        <v>6.8735522156396458</v>
      </c>
      <c r="BY67" s="80">
        <f>IFERROR(VLOOKUP($H67,'1. Set Program Names'!$B$2:$D$15,3,0)*Y67,"NA")</f>
        <v>9.0274611243741933</v>
      </c>
      <c r="BZ67" s="80">
        <f>IFERROR(VLOOKUP($H67,'1. Set Program Names'!$B$2:$D$15,3,0)*Z67,"NA")</f>
        <v>11.12191946963552</v>
      </c>
      <c r="CA67" s="80">
        <f>IFERROR(VLOOKUP($H67,'1. Set Program Names'!$B$2:$D$15,3,0)*AA67,"NA")</f>
        <v>13.155138944445579</v>
      </c>
      <c r="CB67" s="80">
        <f>IFERROR(VLOOKUP($H67,'1. Set Program Names'!$B$2:$D$15,3,0)*AB67,"NA")</f>
        <v>15.139627707414624</v>
      </c>
      <c r="CC67" s="80">
        <f>IFERROR(VLOOKUP($H67,'1. Set Program Names'!$B$2:$D$15,3,0)*AC67,"NA")</f>
        <v>17.088935310668486</v>
      </c>
      <c r="CD67" s="80">
        <f>IFERROR(VLOOKUP($H67,'1. Set Program Names'!$B$2:$D$15,3,0)*AD67,"NA")</f>
        <v>19.014496160284761</v>
      </c>
      <c r="CE67" s="80">
        <f>IFERROR(VLOOKUP($H67,'1. Set Program Names'!$B$2:$D$15,3,0)*AE67,"NA")</f>
        <v>20.925554036059999</v>
      </c>
    </row>
    <row r="68" spans="1:83" x14ac:dyDescent="0.25">
      <c r="A68" s="79" t="s">
        <v>117</v>
      </c>
      <c r="B68" s="79" t="s">
        <v>88</v>
      </c>
      <c r="C68" s="79" t="s">
        <v>89</v>
      </c>
      <c r="D68" s="79" t="s">
        <v>90</v>
      </c>
      <c r="E68" s="79" t="s">
        <v>91</v>
      </c>
      <c r="F68" s="79" t="s">
        <v>90</v>
      </c>
      <c r="G68" s="79" t="s">
        <v>92</v>
      </c>
      <c r="H68" s="79" t="s">
        <v>5</v>
      </c>
      <c r="I68" s="79" t="s">
        <v>297</v>
      </c>
      <c r="J68" s="79" t="s">
        <v>97</v>
      </c>
      <c r="K68" s="79" t="s">
        <v>298</v>
      </c>
      <c r="L68" s="79">
        <v>57.93</v>
      </c>
      <c r="M68" s="79">
        <v>0</v>
      </c>
      <c r="N68" s="79">
        <v>1.1014721785810099E-2</v>
      </c>
      <c r="O68" s="79">
        <v>154.1011072</v>
      </c>
      <c r="P68" s="79">
        <v>140.06582681793901</v>
      </c>
      <c r="Q68" s="79">
        <v>17.218481543887101</v>
      </c>
      <c r="R68" s="79">
        <v>46.999759951794701</v>
      </c>
      <c r="S68" s="79">
        <v>87.565611768711094</v>
      </c>
      <c r="T68" s="79">
        <v>20</v>
      </c>
      <c r="U68" s="79">
        <v>0.8</v>
      </c>
      <c r="V68" s="79">
        <f>tbl_Data_old[[#This Row],[2025 ]]*IFERROR(AVERAGEIFS('Participation Adjustment'!$C:$C,'Participation Adjustment'!$A:$A,$H68,'Participation Adjustment'!$B:$B,$I68),1)</f>
        <v>1.1561659267099551</v>
      </c>
      <c r="W68" s="79">
        <f>tbl_Data_old[[#This Row],[2026 ]]*IFERROR(AVERAGEIFS('Participation Adjustment'!$C:$C,'Participation Adjustment'!$A:$A,$H68,'Participation Adjustment'!$B:$B,$I68),1)</f>
        <v>2.231850854463755</v>
      </c>
      <c r="X68" s="79">
        <f>tbl_Data_old[[#This Row],[2027 ]]*IFERROR(AVERAGEIFS('Participation Adjustment'!$C:$C,'Participation Adjustment'!$A:$A,$H68,'Participation Adjustment'!$B:$B,$I68),1)</f>
        <v>3.22889574494575</v>
      </c>
      <c r="Y68" s="79">
        <f>tbl_Data_old[[#This Row],[2028 ]]*IFERROR(AVERAGEIFS('Participation Adjustment'!$C:$C,'Participation Adjustment'!$A:$A,$H68,'Participation Adjustment'!$B:$B,$I68),1)</f>
        <v>4.1510097725629205</v>
      </c>
      <c r="Z68" s="79">
        <f>tbl_Data_old[[#This Row],[2029 ]]*IFERROR(AVERAGEIFS('Participation Adjustment'!$C:$C,'Participation Adjustment'!$A:$A,$H68,'Participation Adjustment'!$B:$B,$I68),1)</f>
        <v>5.00175728286285</v>
      </c>
      <c r="AA68" s="79">
        <f>tbl_Data_old[[#This Row],[2030 ]]*IFERROR(AVERAGEIFS('Participation Adjustment'!$C:$C,'Participation Adjustment'!$A:$A,$H68,'Participation Adjustment'!$B:$B,$I68),1)</f>
        <v>5.7825594553816995</v>
      </c>
      <c r="AB68" s="79">
        <f>tbl_Data_old[[#This Row],[2031 ]]*IFERROR(AVERAGEIFS('Participation Adjustment'!$C:$C,'Participation Adjustment'!$A:$A,$H68,'Participation Adjustment'!$B:$B,$I68),1)</f>
        <v>6.5007703862469501</v>
      </c>
      <c r="AC68" s="79">
        <f>tbl_Data_old[[#This Row],[2032 ]]*IFERROR(AVERAGEIFS('Participation Adjustment'!$C:$C,'Participation Adjustment'!$A:$A,$H68,'Participation Adjustment'!$B:$B,$I68),1)</f>
        <v>7.1637574143954996</v>
      </c>
      <c r="AD68" s="79">
        <f>tbl_Data_old[[#This Row],[2033 ]]*IFERROR(AVERAGEIFS('Participation Adjustment'!$C:$C,'Participation Adjustment'!$A:$A,$H68,'Participation Adjustment'!$B:$B,$I68),1)</f>
        <v>7.7776962739329001</v>
      </c>
      <c r="AE68" s="79">
        <f>tbl_Data_old[[#This Row],[2034 ]]*IFERROR(AVERAGEIFS('Participation Adjustment'!$C:$C,'Participation Adjustment'!$A:$A,$H68,'Participation Adjustment'!$B:$B,$I68),1)</f>
        <v>8.3476562258955997</v>
      </c>
      <c r="AF68" s="77" t="str">
        <f t="shared" si="33"/>
        <v>Residential</v>
      </c>
      <c r="AG68" s="77" t="str">
        <f>tbl_Data[[#This Row],[All_Meas_Name_Append]]</f>
        <v>Energy Star Windows Residential</v>
      </c>
      <c r="AH68" s="77">
        <f>AVERAGEIFS('3. Incentive Adjustment'!G:G,'3. Incentive Adjustment'!A:A,tbl_Data[[#This Row],[Trimmed Sector]],'3. Incentive Adjustment'!B:B,tbl_Data[[#This Row],[Trimmed Measure Name]])</f>
        <v>1.5721893920937398</v>
      </c>
      <c r="AI68" s="77">
        <f>$AH68*tbl_Data[[#This Row],[2025 ]]</f>
        <v>1.8177118054736197</v>
      </c>
      <c r="AJ68" s="77">
        <f>$AH68*tbl_Data[[#This Row],[2026 ]]</f>
        <v>3.5088922381232646</v>
      </c>
      <c r="AK68" s="77">
        <f>$AH68*tbl_Data[[#This Row],[2027 ]]</f>
        <v>5.076435638380322</v>
      </c>
      <c r="AL68" s="77">
        <f>$AH68*tbl_Data[[#This Row],[2028 ]]</f>
        <v>6.5261735309008708</v>
      </c>
      <c r="AM68" s="77">
        <f>$AH68*tbl_Data[[#This Row],[2029 ]]</f>
        <v>7.8637097419445796</v>
      </c>
      <c r="AN68" s="77">
        <f>$AH68*tbl_Data[[#This Row],[2030 ]]</f>
        <v>9.0912786349024604</v>
      </c>
      <c r="AO68" s="77">
        <f>$AH68*tbl_Data[[#This Row],[2031 ]]</f>
        <v>10.220442241694577</v>
      </c>
      <c r="AP68" s="77">
        <f>$AH68*tbl_Data[[#This Row],[2032 ]]</f>
        <v>11.262783414445481</v>
      </c>
      <c r="AQ68" s="77">
        <f>$AH68*tbl_Data[[#This Row],[2033 ]]</f>
        <v>12.228011576804311</v>
      </c>
      <c r="AR68" s="77">
        <f>$AH68*tbl_Data[[#This Row],[2034 ]]</f>
        <v>13.124096567198325</v>
      </c>
      <c r="AS68" s="77">
        <f>SUM(tbl_Data[[#This Row],[Adjusted 2025]:[Adjusted 2034]])</f>
        <v>80.719535389867801</v>
      </c>
      <c r="AT68" s="80">
        <f>AVERAGEIFS('3. Incentive Adjustment'!F:F,'3. Incentive Adjustment'!A:A,tbl_Data[[#This Row],[Trimmed Sector]],'3. Incentive Adjustment'!B:B,tbl_Data[[#This Row],[Trimmed Measure Name]])</f>
        <v>150</v>
      </c>
      <c r="AU68" s="80">
        <f>IFERROR(VLOOKUP(tbl_Data[[#This Row],[All_Meas_Name_Append]],'IRA Tax Credits'!$A$3:$D$46,4,0),0)</f>
        <v>0</v>
      </c>
      <c r="AV68" s="81">
        <f>tbl_Data[[#This Row],[Adj. per unit Incentive ($)]]/tbl_Data[[#This Row],[kWh Savings]]*tbl_Data[[#This Row],[Sum of Annuals]]</f>
        <v>209.00967216433921</v>
      </c>
      <c r="AW68" s="81">
        <f>IFERROR(VLOOKUP(tbl_Data[[#This Row],[Column1]],'1. Set Program Names'!$B$2:$D$15,3,0)*tbl_Data[[#This Row],[Sum of Annuals]],"")</f>
        <v>35.988291826555859</v>
      </c>
      <c r="AX68" s="81">
        <f>tbl_Data[[#This Row],[per unit IRA tax ($)]]/tbl_Data[[#This Row],[kWh Savings]]*tbl_Data[[#This Row],[Sum of Annuals]]</f>
        <v>0</v>
      </c>
      <c r="AY68" s="81">
        <f>tbl_Data[[#This Row],[Avoided Costs ($/unit)]]/tbl_Data[[#This Row],[kWh Savings]]*tbl_Data[[#This Row],[Sum of Annuals]]</f>
        <v>65.489362795514992</v>
      </c>
      <c r="AZ68" s="81">
        <f>tbl_Data[[#This Row],[Lost Revenue ($/unit)]]/tbl_Data[[#This Row],[kWh Savings]]*tbl_Data[[#This Row],[Sum of Annuals]]</f>
        <v>122.01373205765407</v>
      </c>
      <c r="BA68" s="81">
        <f>tbl_Data[[#This Row],[Incremental Cost ($/unit)]]/tbl_Data[[#This Row],[kWh Savings]]*tbl_Data[[#This Row],[Sum of Annuals]]</f>
        <v>214.72414597355794</v>
      </c>
      <c r="BB68" s="77">
        <f>ROUNDUP(tbl_Data[[#This Row],[Adjusted 2025]]/$L68,0)</f>
        <v>1</v>
      </c>
      <c r="BC68" s="77">
        <f>ROUNDUP(tbl_Data[[#This Row],[Adjusted 2026]]/$L68,0)</f>
        <v>1</v>
      </c>
      <c r="BD68" s="77">
        <f>ROUNDUP(tbl_Data[[#This Row],[Adjusted 2027]]/$L68,0)</f>
        <v>1</v>
      </c>
      <c r="BE68" s="77">
        <f>ROUNDUP(tbl_Data[[#This Row],[Adjusted 2028]]/$L68,0)</f>
        <v>1</v>
      </c>
      <c r="BF68" s="77">
        <f>ROUNDUP(tbl_Data[[#This Row],[Adjusted 2029]]/$L68,0)</f>
        <v>1</v>
      </c>
      <c r="BG68" s="77">
        <f>ROUNDUP(tbl_Data[[#This Row],[Adjusted 2030]]/$L68,0)</f>
        <v>1</v>
      </c>
      <c r="BH68" s="77">
        <f>ROUNDUP(tbl_Data[[#This Row],[Adjusted 2031]]/$L68,0)</f>
        <v>1</v>
      </c>
      <c r="BI68" s="77">
        <f>ROUNDUP(tbl_Data[[#This Row],[Adjusted 2032]]/$L68,0)</f>
        <v>1</v>
      </c>
      <c r="BJ68" s="77">
        <f>ROUNDUP(tbl_Data[[#This Row],[Adjusted 2033]]/$L68,0)</f>
        <v>1</v>
      </c>
      <c r="BK68" s="77">
        <f>ROUNDUP(tbl_Data[[#This Row],[Adjusted 2034]]/$L68,0)</f>
        <v>1</v>
      </c>
      <c r="BL68" s="80">
        <f t="shared" si="34"/>
        <v>2.9936973762557098</v>
      </c>
      <c r="BM68" s="77">
        <f t="shared" si="35"/>
        <v>5.7790027303566935</v>
      </c>
      <c r="BN68" s="77">
        <f t="shared" si="36"/>
        <v>8.3606829232153039</v>
      </c>
      <c r="BO68" s="77">
        <f t="shared" si="37"/>
        <v>10.748342238640396</v>
      </c>
      <c r="BP68" s="77">
        <f t="shared" si="38"/>
        <v>12.951209950447566</v>
      </c>
      <c r="BQ68" s="77">
        <f t="shared" si="39"/>
        <v>14.972965964219833</v>
      </c>
      <c r="BR68" s="77">
        <f t="shared" si="40"/>
        <v>16.832652476040781</v>
      </c>
      <c r="BS68" s="77">
        <f t="shared" si="41"/>
        <v>18.549345972023563</v>
      </c>
      <c r="BT68" s="77">
        <f t="shared" si="42"/>
        <v>20.139037477816935</v>
      </c>
      <c r="BU68" s="77">
        <f t="shared" si="43"/>
        <v>21.61485299299741</v>
      </c>
      <c r="BV68" s="80">
        <f>IFERROR(VLOOKUP($H68,'1. Set Program Names'!$B$2:$D$15,3,0)*V68,"NA")</f>
        <v>0.51546923021042435</v>
      </c>
      <c r="BW68" s="80">
        <f>IFERROR(VLOOKUP($H68,'1. Set Program Names'!$B$2:$D$15,3,0)*W68,"NA")</f>
        <v>0.99505651854720389</v>
      </c>
      <c r="BX68" s="80">
        <f>IFERROR(VLOOKUP($H68,'1. Set Program Names'!$B$2:$D$15,3,0)*X68,"NA")</f>
        <v>1.4395826460767547</v>
      </c>
      <c r="BY68" s="80">
        <f>IFERROR(VLOOKUP($H68,'1. Set Program Names'!$B$2:$D$15,3,0)*Y68,"NA")</f>
        <v>1.8507013246341273</v>
      </c>
      <c r="BZ68" s="80">
        <f>IFERROR(VLOOKUP($H68,'1. Set Program Names'!$B$2:$D$15,3,0)*Z68,"NA")</f>
        <v>2.2300016950278949</v>
      </c>
      <c r="CA68" s="80">
        <f>IFERROR(VLOOKUP($H68,'1. Set Program Names'!$B$2:$D$15,3,0)*AA68,"NA")</f>
        <v>2.578117381121702</v>
      </c>
      <c r="CB68" s="80">
        <f>IFERROR(VLOOKUP($H68,'1. Set Program Names'!$B$2:$D$15,3,0)*AB68,"NA")</f>
        <v>2.8983271599337517</v>
      </c>
      <c r="CC68" s="80">
        <f>IFERROR(VLOOKUP($H68,'1. Set Program Names'!$B$2:$D$15,3,0)*AC68,"NA")</f>
        <v>3.1939157127046585</v>
      </c>
      <c r="CD68" s="80">
        <f>IFERROR(VLOOKUP($H68,'1. Set Program Names'!$B$2:$D$15,3,0)*AD68,"NA")</f>
        <v>3.4676364512344326</v>
      </c>
      <c r="CE68" s="80">
        <f>IFERROR(VLOOKUP($H68,'1. Set Program Names'!$B$2:$D$15,3,0)*AE68,"NA")</f>
        <v>3.7217494733376064</v>
      </c>
    </row>
    <row r="69" spans="1:83" x14ac:dyDescent="0.25">
      <c r="A69" s="79" t="s">
        <v>117</v>
      </c>
      <c r="B69" s="79" t="s">
        <v>88</v>
      </c>
      <c r="C69" s="79" t="s">
        <v>89</v>
      </c>
      <c r="D69" s="79" t="s">
        <v>90</v>
      </c>
      <c r="E69" s="79" t="s">
        <v>91</v>
      </c>
      <c r="F69" s="79" t="s">
        <v>90</v>
      </c>
      <c r="G69" s="79" t="s">
        <v>92</v>
      </c>
      <c r="H69" s="79" t="s">
        <v>5</v>
      </c>
      <c r="I69" s="79" t="s">
        <v>107</v>
      </c>
      <c r="J69" s="79" t="s">
        <v>94</v>
      </c>
      <c r="K69" s="79" t="s">
        <v>108</v>
      </c>
      <c r="L69" s="79">
        <v>1663.1099999999899</v>
      </c>
      <c r="M69" s="79">
        <v>6.6647595975018806E-2</v>
      </c>
      <c r="N69" s="79">
        <v>0.309148293753995</v>
      </c>
      <c r="O69" s="79">
        <v>1389.5</v>
      </c>
      <c r="P69" s="79">
        <v>988.78817699699403</v>
      </c>
      <c r="Q69" s="79">
        <v>494.32468221049697</v>
      </c>
      <c r="R69" s="79">
        <v>791.96156853290995</v>
      </c>
      <c r="S69" s="79">
        <v>2127.4894292214699</v>
      </c>
      <c r="T69" s="79">
        <v>15</v>
      </c>
      <c r="U69" s="79">
        <v>0.7</v>
      </c>
      <c r="V69" s="79">
        <f>tbl_Data_old[[#This Row],[2025 ]]*IFERROR(AVERAGEIFS('Participation Adjustment'!$C:$C,'Participation Adjustment'!$A:$A,$H69,'Participation Adjustment'!$B:$B,$I69),1)</f>
        <v>22.6474632843092</v>
      </c>
      <c r="W69" s="79">
        <f>tbl_Data_old[[#This Row],[2026 ]]*IFERROR(AVERAGEIFS('Participation Adjustment'!$C:$C,'Participation Adjustment'!$A:$A,$H69,'Participation Adjustment'!$B:$B,$I69),1)</f>
        <v>47.834107857201403</v>
      </c>
      <c r="X69" s="79">
        <f>tbl_Data_old[[#This Row],[2027 ]]*IFERROR(AVERAGEIFS('Participation Adjustment'!$C:$C,'Participation Adjustment'!$A:$A,$H69,'Participation Adjustment'!$B:$B,$I69),1)</f>
        <v>75.360690808574404</v>
      </c>
      <c r="Y69" s="79">
        <f>tbl_Data_old[[#This Row],[2028 ]]*IFERROR(AVERAGEIFS('Participation Adjustment'!$C:$C,'Participation Adjustment'!$A:$A,$H69,'Participation Adjustment'!$B:$B,$I69),1)</f>
        <v>105.0997045149186</v>
      </c>
      <c r="Z69" s="79">
        <f>tbl_Data_old[[#This Row],[2029 ]]*IFERROR(AVERAGEIFS('Participation Adjustment'!$C:$C,'Participation Adjustment'!$A:$A,$H69,'Participation Adjustment'!$B:$B,$I69),1)</f>
        <v>136.94516197892941</v>
      </c>
      <c r="AA69" s="79">
        <f>tbl_Data_old[[#This Row],[2030 ]]*IFERROR(AVERAGEIFS('Participation Adjustment'!$C:$C,'Participation Adjustment'!$A:$A,$H69,'Participation Adjustment'!$B:$B,$I69),1)</f>
        <v>170.71640399308899</v>
      </c>
      <c r="AB69" s="79">
        <f>tbl_Data_old[[#This Row],[2031 ]]*IFERROR(AVERAGEIFS('Participation Adjustment'!$C:$C,'Participation Adjustment'!$A:$A,$H69,'Participation Adjustment'!$B:$B,$I69),1)</f>
        <v>206.498662677016</v>
      </c>
      <c r="AC69" s="79">
        <f>tbl_Data_old[[#This Row],[2032 ]]*IFERROR(AVERAGEIFS('Participation Adjustment'!$C:$C,'Participation Adjustment'!$A:$A,$H69,'Participation Adjustment'!$B:$B,$I69),1)</f>
        <v>244.46543737696399</v>
      </c>
      <c r="AD69" s="79">
        <f>tbl_Data_old[[#This Row],[2033 ]]*IFERROR(AVERAGEIFS('Participation Adjustment'!$C:$C,'Participation Adjustment'!$A:$A,$H69,'Participation Adjustment'!$B:$B,$I69),1)</f>
        <v>284.81897778477202</v>
      </c>
      <c r="AE69" s="79">
        <f>tbl_Data_old[[#This Row],[2034 ]]*IFERROR(AVERAGEIFS('Participation Adjustment'!$C:$C,'Participation Adjustment'!$A:$A,$H69,'Participation Adjustment'!$B:$B,$I69),1)</f>
        <v>327.77762164409</v>
      </c>
      <c r="AF69" s="77" t="str">
        <f t="shared" si="33"/>
        <v>Residential</v>
      </c>
      <c r="AG69" s="77" t="str">
        <f>tbl_Data[[#This Row],[All_Meas_Name_Append]]</f>
        <v>Heat Pump Water Heater 50 Gallons- CEE Advanced Tier</v>
      </c>
      <c r="AH69" s="77">
        <f>AVERAGEIFS('3. Incentive Adjustment'!G:G,'3. Incentive Adjustment'!A:A,tbl_Data[[#This Row],[Trimmed Sector]],'3. Incentive Adjustment'!B:B,tbl_Data[[#This Row],[Trimmed Measure Name]])</f>
        <v>0.46049099596140497</v>
      </c>
      <c r="AI69" s="77">
        <f>$AH69*tbl_Data[[#This Row],[2025 ]]</f>
        <v>10.428952923790895</v>
      </c>
      <c r="AJ69" s="77">
        <f>$AH69*tbl_Data[[#This Row],[2026 ]]</f>
        <v>22.027175968087942</v>
      </c>
      <c r="AK69" s="77">
        <f>$AH69*tbl_Data[[#This Row],[2027 ]]</f>
        <v>34.702919566779926</v>
      </c>
      <c r="AL69" s="77">
        <f>$AH69*tbl_Data[[#This Row],[2028 ]]</f>
        <v>48.397467607324238</v>
      </c>
      <c r="AM69" s="77">
        <f>$AH69*tbl_Data[[#This Row],[2029 ]]</f>
        <v>63.062014031773131</v>
      </c>
      <c r="AN69" s="77">
        <f>$AH69*tbl_Data[[#This Row],[2030 ]]</f>
        <v>78.613366901727119</v>
      </c>
      <c r="AO69" s="77">
        <f>$AH69*tbl_Data[[#This Row],[2031 ]]</f>
        <v>95.090774840837298</v>
      </c>
      <c r="AP69" s="77">
        <f>$AH69*tbl_Data[[#This Row],[2032 ]]</f>
        <v>112.57413273585863</v>
      </c>
      <c r="AQ69" s="77">
        <f>$AH69*tbl_Data[[#This Row],[2033 ]]</f>
        <v>131.15657474881894</v>
      </c>
      <c r="AR69" s="77">
        <f>$AH69*tbl_Data[[#This Row],[2034 ]]</f>
        <v>150.93864344474758</v>
      </c>
      <c r="AS69" s="77">
        <f>SUM(tbl_Data[[#This Row],[Adjusted 2025]:[Adjusted 2034]])</f>
        <v>746.99202276974574</v>
      </c>
      <c r="AT69" s="80">
        <f>AVERAGEIFS('3. Incentive Adjustment'!F:F,'3. Incentive Adjustment'!A:A,tbl_Data[[#This Row],[Trimmed Sector]],'3. Incentive Adjustment'!B:B,tbl_Data[[#This Row],[Trimmed Measure Name]])</f>
        <v>500</v>
      </c>
      <c r="AU69" s="80">
        <f>IFERROR(VLOOKUP(tbl_Data[[#This Row],[All_Meas_Name_Append]],'IRA Tax Credits'!$A$3:$D$46,4,0),0)</f>
        <v>1666.6666666666667</v>
      </c>
      <c r="AV69" s="81">
        <f>tbl_Data[[#This Row],[Adj. per unit Incentive ($)]]/tbl_Data[[#This Row],[kWh Savings]]*tbl_Data[[#This Row],[Sum of Annuals]]</f>
        <v>224.57685383701329</v>
      </c>
      <c r="AW69" s="81">
        <f>IFERROR(VLOOKUP(tbl_Data[[#This Row],[Column1]],'1. Set Program Names'!$B$2:$D$15,3,0)*tbl_Data[[#This Row],[Sum of Annuals]],"")</f>
        <v>333.04164571444392</v>
      </c>
      <c r="AX69" s="81">
        <f>tbl_Data[[#This Row],[per unit IRA tax ($)]]/tbl_Data[[#This Row],[kWh Savings]]*tbl_Data[[#This Row],[Sum of Annuals]]</f>
        <v>748.5895127900443</v>
      </c>
      <c r="AY69" s="81">
        <f>tbl_Data[[#This Row],[Avoided Costs ($/unit)]]/tbl_Data[[#This Row],[kWh Savings]]*tbl_Data[[#This Row],[Sum of Annuals]]</f>
        <v>355.71247484189416</v>
      </c>
      <c r="AZ69" s="81">
        <f>tbl_Data[[#This Row],[Lost Revenue ($/unit)]]/tbl_Data[[#This Row],[kWh Savings]]*tbl_Data[[#This Row],[Sum of Annuals]]</f>
        <v>955.56976517212161</v>
      </c>
      <c r="BA69" s="81">
        <f>tbl_Data[[#This Row],[Incremental Cost ($/unit)]]/tbl_Data[[#This Row],[kWh Savings]]*tbl_Data[[#This Row],[Sum of Annuals]]</f>
        <v>624.09907681305981</v>
      </c>
      <c r="BB69" s="77">
        <f>ROUNDUP(tbl_Data[[#This Row],[Adjusted 2025]]/$L69,0)</f>
        <v>1</v>
      </c>
      <c r="BC69" s="77">
        <f>ROUNDUP(tbl_Data[[#This Row],[Adjusted 2026]]/$L69,0)</f>
        <v>1</v>
      </c>
      <c r="BD69" s="77">
        <f>ROUNDUP(tbl_Data[[#This Row],[Adjusted 2027]]/$L69,0)</f>
        <v>1</v>
      </c>
      <c r="BE69" s="77">
        <f>ROUNDUP(tbl_Data[[#This Row],[Adjusted 2028]]/$L69,0)</f>
        <v>1</v>
      </c>
      <c r="BF69" s="77">
        <f>ROUNDUP(tbl_Data[[#This Row],[Adjusted 2029]]/$L69,0)</f>
        <v>1</v>
      </c>
      <c r="BG69" s="77">
        <f>ROUNDUP(tbl_Data[[#This Row],[Adjusted 2030]]/$L69,0)</f>
        <v>1</v>
      </c>
      <c r="BH69" s="77">
        <f>ROUNDUP(tbl_Data[[#This Row],[Adjusted 2031]]/$L69,0)</f>
        <v>1</v>
      </c>
      <c r="BI69" s="77">
        <f>ROUNDUP(tbl_Data[[#This Row],[Adjusted 2032]]/$L69,0)</f>
        <v>1</v>
      </c>
      <c r="BJ69" s="77">
        <f>ROUNDUP(tbl_Data[[#This Row],[Adjusted 2033]]/$L69,0)</f>
        <v>1</v>
      </c>
      <c r="BK69" s="77">
        <f>ROUNDUP(tbl_Data[[#This Row],[Adjusted 2034]]/$L69,0)</f>
        <v>1</v>
      </c>
      <c r="BL69" s="80">
        <f t="shared" si="34"/>
        <v>6.808768898121393</v>
      </c>
      <c r="BM69" s="77">
        <f t="shared" si="35"/>
        <v>14.380921243093271</v>
      </c>
      <c r="BN69" s="77">
        <f t="shared" si="36"/>
        <v>22.656556333788764</v>
      </c>
      <c r="BO69" s="77">
        <f t="shared" si="37"/>
        <v>31.597340078202656</v>
      </c>
      <c r="BP69" s="77">
        <f t="shared" si="38"/>
        <v>41.171408379160198</v>
      </c>
      <c r="BQ69" s="77">
        <f t="shared" si="39"/>
        <v>51.324447569039343</v>
      </c>
      <c r="BR69" s="77">
        <f t="shared" si="40"/>
        <v>62.082081966020667</v>
      </c>
      <c r="BS69" s="77">
        <f t="shared" si="41"/>
        <v>73.496472685801152</v>
      </c>
      <c r="BT69" s="77">
        <f t="shared" si="42"/>
        <v>85.628424393086974</v>
      </c>
      <c r="BU69" s="77">
        <f t="shared" si="43"/>
        <v>98.54357848972468</v>
      </c>
      <c r="BV69" s="80">
        <f>IFERROR(VLOOKUP($H69,'1. Set Program Names'!$B$2:$D$15,3,0)*V69,"NA")</f>
        <v>10.097227565425703</v>
      </c>
      <c r="BW69" s="80">
        <f>IFERROR(VLOOKUP($H69,'1. Set Program Names'!$B$2:$D$15,3,0)*W69,"NA")</f>
        <v>21.326532970158762</v>
      </c>
      <c r="BX69" s="80">
        <f>IFERROR(VLOOKUP($H69,'1. Set Program Names'!$B$2:$D$15,3,0)*X69,"NA")</f>
        <v>33.599085029053008</v>
      </c>
      <c r="BY69" s="80">
        <f>IFERROR(VLOOKUP($H69,'1. Set Program Names'!$B$2:$D$15,3,0)*Y69,"NA")</f>
        <v>46.858035278563506</v>
      </c>
      <c r="BZ69" s="80">
        <f>IFERROR(VLOOKUP($H69,'1. Set Program Names'!$B$2:$D$15,3,0)*Z69,"NA")</f>
        <v>61.056130089560781</v>
      </c>
      <c r="CA69" s="80">
        <f>IFERROR(VLOOKUP($H69,'1. Set Program Names'!$B$2:$D$15,3,0)*AA69,"NA")</f>
        <v>76.112823702583938</v>
      </c>
      <c r="CB69" s="80">
        <f>IFERROR(VLOOKUP($H69,'1. Set Program Names'!$B$2:$D$15,3,0)*AB69,"NA")</f>
        <v>92.066116316457425</v>
      </c>
      <c r="CC69" s="80">
        <f>IFERROR(VLOOKUP($H69,'1. Set Program Names'!$B$2:$D$15,3,0)*AC69,"NA")</f>
        <v>108.99336151200319</v>
      </c>
      <c r="CD69" s="80">
        <f>IFERROR(VLOOKUP($H69,'1. Set Program Names'!$B$2:$D$15,3,0)*AD69,"NA")</f>
        <v>126.98473102889466</v>
      </c>
      <c r="CE69" s="80">
        <f>IFERROR(VLOOKUP($H69,'1. Set Program Names'!$B$2:$D$15,3,0)*AE69,"NA")</f>
        <v>146.13756936245471</v>
      </c>
    </row>
    <row r="70" spans="1:83" x14ac:dyDescent="0.25">
      <c r="A70" s="79" t="s">
        <v>117</v>
      </c>
      <c r="B70" s="79" t="s">
        <v>88</v>
      </c>
      <c r="C70" s="79" t="s">
        <v>89</v>
      </c>
      <c r="D70" s="79" t="s">
        <v>90</v>
      </c>
      <c r="E70" s="79" t="s">
        <v>91</v>
      </c>
      <c r="F70" s="79" t="s">
        <v>90</v>
      </c>
      <c r="G70" s="79" t="s">
        <v>92</v>
      </c>
      <c r="H70" s="79" t="s">
        <v>5</v>
      </c>
      <c r="I70" s="79" t="s">
        <v>109</v>
      </c>
      <c r="J70" s="79" t="s">
        <v>94</v>
      </c>
      <c r="K70" s="79" t="s">
        <v>95</v>
      </c>
      <c r="L70" s="79">
        <v>1590.11499999999</v>
      </c>
      <c r="M70" s="79">
        <v>6.3722388822036402E-2</v>
      </c>
      <c r="N70" s="79">
        <v>0.29557957027655002</v>
      </c>
      <c r="O70" s="79">
        <v>1389.5</v>
      </c>
      <c r="P70" s="79">
        <v>1006.47372867305</v>
      </c>
      <c r="Q70" s="79">
        <v>472.62844433209199</v>
      </c>
      <c r="R70" s="79">
        <v>757.20185047754296</v>
      </c>
      <c r="S70" s="79">
        <v>2034.1125083407001</v>
      </c>
      <c r="T70" s="79">
        <v>15</v>
      </c>
      <c r="U70" s="79">
        <v>0.7</v>
      </c>
      <c r="V70" s="79">
        <f>tbl_Data_old[[#This Row],[2025 ]]*IFERROR(AVERAGEIFS('Participation Adjustment'!$C:$C,'Participation Adjustment'!$A:$A,$H70,'Participation Adjustment'!$B:$B,$I70),1)</f>
        <v>32.364874555288203</v>
      </c>
      <c r="W70" s="79">
        <f>tbl_Data_old[[#This Row],[2026 ]]*IFERROR(AVERAGEIFS('Participation Adjustment'!$C:$C,'Participation Adjustment'!$A:$A,$H70,'Participation Adjustment'!$B:$B,$I70),1)</f>
        <v>68.343666443053394</v>
      </c>
      <c r="X70" s="79">
        <f>tbl_Data_old[[#This Row],[2027 ]]*IFERROR(AVERAGEIFS('Participation Adjustment'!$C:$C,'Participation Adjustment'!$A:$A,$H70,'Participation Adjustment'!$B:$B,$I70),1)</f>
        <v>107.6505416442232</v>
      </c>
      <c r="Y70" s="79">
        <f>tbl_Data_old[[#This Row],[2028 ]]*IFERROR(AVERAGEIFS('Participation Adjustment'!$C:$C,'Participation Adjustment'!$A:$A,$H70,'Participation Adjustment'!$B:$B,$I70),1)</f>
        <v>150.10267177040339</v>
      </c>
      <c r="Z70" s="79">
        <f>tbl_Data_old[[#This Row],[2029 ]]*IFERROR(AVERAGEIFS('Participation Adjustment'!$C:$C,'Participation Adjustment'!$A:$A,$H70,'Participation Adjustment'!$B:$B,$I70),1)</f>
        <v>195.54834620841959</v>
      </c>
      <c r="AA70" s="79">
        <f>tbl_Data_old[[#This Row],[2030 ]]*IFERROR(AVERAGEIFS('Participation Adjustment'!$C:$C,'Participation Adjustment'!$A:$A,$H70,'Participation Adjustment'!$B:$B,$I70),1)</f>
        <v>243.729626327652</v>
      </c>
      <c r="AB70" s="79">
        <f>tbl_Data_old[[#This Row],[2031 ]]*IFERROR(AVERAGEIFS('Participation Adjustment'!$C:$C,'Participation Adjustment'!$A:$A,$H70,'Participation Adjustment'!$B:$B,$I70),1)</f>
        <v>294.76815088488001</v>
      </c>
      <c r="AC70" s="79">
        <f>tbl_Data_old[[#This Row],[2032 ]]*IFERROR(AVERAGEIFS('Participation Adjustment'!$C:$C,'Participation Adjustment'!$A:$A,$H70,'Participation Adjustment'!$B:$B,$I70),1)</f>
        <v>348.91144935123202</v>
      </c>
      <c r="AD70" s="79">
        <f>tbl_Data_old[[#This Row],[2033 ]]*IFERROR(AVERAGEIFS('Participation Adjustment'!$C:$C,'Participation Adjustment'!$A:$A,$H70,'Participation Adjustment'!$B:$B,$I70),1)</f>
        <v>406.447985891634</v>
      </c>
      <c r="AE70" s="79">
        <f>tbl_Data_old[[#This Row],[2034 ]]*IFERROR(AVERAGEIFS('Participation Adjustment'!$C:$C,'Participation Adjustment'!$A:$A,$H70,'Participation Adjustment'!$B:$B,$I70),1)</f>
        <v>467.68909387319201</v>
      </c>
      <c r="AF70" s="77" t="str">
        <f t="shared" si="33"/>
        <v>Residential</v>
      </c>
      <c r="AG70" s="77" t="str">
        <f>tbl_Data[[#This Row],[All_Meas_Name_Append]]</f>
        <v>Heat Pump Water Heater 50 Gallons-ENERGY STAR</v>
      </c>
      <c r="AH70" s="77">
        <f>AVERAGEIFS('3. Incentive Adjustment'!G:G,'3. Incentive Adjustment'!A:A,tbl_Data[[#This Row],[Trimmed Sector]],'3. Incentive Adjustment'!B:B,tbl_Data[[#This Row],[Trimmed Measure Name]])</f>
        <v>0.43153525594917136</v>
      </c>
      <c r="AI70" s="77">
        <f>$AH70*tbl_Data[[#This Row],[2025 ]]</f>
        <v>13.966584424979118</v>
      </c>
      <c r="AJ70" s="77">
        <f>$AH70*tbl_Data[[#This Row],[2026 ]]</f>
        <v>29.49270159100784</v>
      </c>
      <c r="AK70" s="77">
        <f>$AH70*tbl_Data[[#This Row],[2027 ]]</f>
        <v>46.45500404150679</v>
      </c>
      <c r="AL70" s="77">
        <f>$AH70*tbl_Data[[#This Row],[2028 ]]</f>
        <v>64.774594881095481</v>
      </c>
      <c r="AM70" s="77">
        <f>$AH70*tbl_Data[[#This Row],[2029 ]]</f>
        <v>84.386005631487521</v>
      </c>
      <c r="AN70" s="77">
        <f>$AH70*tbl_Data[[#This Row],[2030 ]]</f>
        <v>105.1779266796992</v>
      </c>
      <c r="AO70" s="77">
        <f>$AH70*tbl_Data[[#This Row],[2031 ]]</f>
        <v>127.20284943777065</v>
      </c>
      <c r="AP70" s="77">
        <f>$AH70*tbl_Data[[#This Row],[2032 ]]</f>
        <v>150.56759159938025</v>
      </c>
      <c r="AQ70" s="77">
        <f>$AH70*tbl_Data[[#This Row],[2033 ]]</f>
        <v>175.39663562177148</v>
      </c>
      <c r="AR70" s="77">
        <f>$AH70*tbl_Data[[#This Row],[2034 ]]</f>
        <v>201.82433282920394</v>
      </c>
      <c r="AS70" s="77">
        <f>SUM(tbl_Data[[#This Row],[Adjusted 2025]:[Adjusted 2034]])</f>
        <v>999.2442267379023</v>
      </c>
      <c r="AT70" s="80">
        <f>AVERAGEIFS('3. Incentive Adjustment'!F:F,'3. Incentive Adjustment'!A:A,tbl_Data[[#This Row],[Trimmed Sector]],'3. Incentive Adjustment'!B:B,tbl_Data[[#This Row],[Trimmed Measure Name]])</f>
        <v>500</v>
      </c>
      <c r="AU70" s="80">
        <f>IFERROR(VLOOKUP(tbl_Data[[#This Row],[All_Meas_Name_Append]],'IRA Tax Credits'!$A$3:$D$46,4,0),0)</f>
        <v>1666.6666666666667</v>
      </c>
      <c r="AV70" s="81">
        <f>tbl_Data[[#This Row],[Adj. per unit Incentive ($)]]/tbl_Data[[#This Row],[kWh Savings]]*tbl_Data[[#This Row],[Sum of Annuals]]</f>
        <v>314.20501873698083</v>
      </c>
      <c r="AW70" s="81">
        <f>IFERROR(VLOOKUP(tbl_Data[[#This Row],[Column1]],'1. Set Program Names'!$B$2:$D$15,3,0)*tbl_Data[[#This Row],[Sum of Annuals]],"")</f>
        <v>445.50668762098377</v>
      </c>
      <c r="AX70" s="81">
        <f>tbl_Data[[#This Row],[per unit IRA tax ($)]]/tbl_Data[[#This Row],[kWh Savings]]*tbl_Data[[#This Row],[Sum of Annuals]]</f>
        <v>1047.3500624566027</v>
      </c>
      <c r="AY70" s="81">
        <f>tbl_Data[[#This Row],[Avoided Costs ($/unit)]]/tbl_Data[[#This Row],[kWh Savings]]*tbl_Data[[#This Row],[Sum of Annuals]]</f>
        <v>475.83324323394589</v>
      </c>
      <c r="AZ70" s="81">
        <f>tbl_Data[[#This Row],[Lost Revenue ($/unit)]]/tbl_Data[[#This Row],[kWh Savings]]*tbl_Data[[#This Row],[Sum of Annuals]]</f>
        <v>1278.2567175926335</v>
      </c>
      <c r="BA70" s="81">
        <f>tbl_Data[[#This Row],[Incremental Cost ($/unit)]]/tbl_Data[[#This Row],[kWh Savings]]*tbl_Data[[#This Row],[Sum of Annuals]]</f>
        <v>873.17574707006975</v>
      </c>
      <c r="BB70" s="77">
        <f>ROUNDUP(tbl_Data[[#This Row],[Adjusted 2025]]/$L70,0)</f>
        <v>1</v>
      </c>
      <c r="BC70" s="77">
        <f>ROUNDUP(tbl_Data[[#This Row],[Adjusted 2026]]/$L70,0)</f>
        <v>1</v>
      </c>
      <c r="BD70" s="77">
        <f>ROUNDUP(tbl_Data[[#This Row],[Adjusted 2027]]/$L70,0)</f>
        <v>1</v>
      </c>
      <c r="BE70" s="77">
        <f>ROUNDUP(tbl_Data[[#This Row],[Adjusted 2028]]/$L70,0)</f>
        <v>1</v>
      </c>
      <c r="BF70" s="77">
        <f>ROUNDUP(tbl_Data[[#This Row],[Adjusted 2029]]/$L70,0)</f>
        <v>1</v>
      </c>
      <c r="BG70" s="77">
        <f>ROUNDUP(tbl_Data[[#This Row],[Adjusted 2030]]/$L70,0)</f>
        <v>1</v>
      </c>
      <c r="BH70" s="77">
        <f>ROUNDUP(tbl_Data[[#This Row],[Adjusted 2031]]/$L70,0)</f>
        <v>1</v>
      </c>
      <c r="BI70" s="77">
        <f>ROUNDUP(tbl_Data[[#This Row],[Adjusted 2032]]/$L70,0)</f>
        <v>1</v>
      </c>
      <c r="BJ70" s="77">
        <f>ROUNDUP(tbl_Data[[#This Row],[Adjusted 2033]]/$L70,0)</f>
        <v>1</v>
      </c>
      <c r="BK70" s="77">
        <f>ROUNDUP(tbl_Data[[#This Row],[Adjusted 2034]]/$L70,0)</f>
        <v>1</v>
      </c>
      <c r="BL70" s="80">
        <f t="shared" si="34"/>
        <v>10.176897443042925</v>
      </c>
      <c r="BM70" s="77">
        <f t="shared" si="35"/>
        <v>21.490164687162192</v>
      </c>
      <c r="BN70" s="77">
        <f t="shared" si="36"/>
        <v>33.84992332133961</v>
      </c>
      <c r="BO70" s="77">
        <f t="shared" si="37"/>
        <v>47.198684299690377</v>
      </c>
      <c r="BP70" s="77">
        <f t="shared" si="38"/>
        <v>61.488743332532806</v>
      </c>
      <c r="BQ70" s="77">
        <f t="shared" si="39"/>
        <v>76.63899350916553</v>
      </c>
      <c r="BR70" s="77">
        <f t="shared" si="40"/>
        <v>92.687683244570948</v>
      </c>
      <c r="BS70" s="77">
        <f t="shared" si="41"/>
        <v>109.71264636558809</v>
      </c>
      <c r="BT70" s="77">
        <f t="shared" si="42"/>
        <v>127.80458831330958</v>
      </c>
      <c r="BU70" s="77">
        <f t="shared" si="43"/>
        <v>147.06140558173306</v>
      </c>
      <c r="BV70" s="80">
        <f>IFERROR(VLOOKUP($H70,'1. Set Program Names'!$B$2:$D$15,3,0)*V70,"NA")</f>
        <v>14.429673619897823</v>
      </c>
      <c r="BW70" s="80">
        <f>IFERROR(VLOOKUP($H70,'1. Set Program Names'!$B$2:$D$15,3,0)*W70,"NA")</f>
        <v>30.470589313601682</v>
      </c>
      <c r="BX70" s="80">
        <f>IFERROR(VLOOKUP($H70,'1. Set Program Names'!$B$2:$D$15,3,0)*X70,"NA")</f>
        <v>47.995309800375871</v>
      </c>
      <c r="BY70" s="80">
        <f>IFERROR(VLOOKUP($H70,'1. Set Program Names'!$B$2:$D$15,3,0)*Y70,"NA")</f>
        <v>66.922322205252385</v>
      </c>
      <c r="BZ70" s="80">
        <f>IFERROR(VLOOKUP($H70,'1. Set Program Names'!$B$2:$D$15,3,0)*Z70,"NA")</f>
        <v>87.183987315570548</v>
      </c>
      <c r="CA70" s="80">
        <f>IFERROR(VLOOKUP($H70,'1. Set Program Names'!$B$2:$D$15,3,0)*AA70,"NA")</f>
        <v>108.66530483224227</v>
      </c>
      <c r="CB70" s="80">
        <f>IFERROR(VLOOKUP($H70,'1. Set Program Names'!$B$2:$D$15,3,0)*AB70,"NA")</f>
        <v>131.4205066218814</v>
      </c>
      <c r="CC70" s="80">
        <f>IFERROR(VLOOKUP($H70,'1. Set Program Names'!$B$2:$D$15,3,0)*AC70,"NA")</f>
        <v>155.55995212597404</v>
      </c>
      <c r="CD70" s="80">
        <f>IFERROR(VLOOKUP($H70,'1. Set Program Names'!$B$2:$D$15,3,0)*AD70,"NA")</f>
        <v>181.21225125906835</v>
      </c>
      <c r="CE70" s="80">
        <f>IFERROR(VLOOKUP($H70,'1. Set Program Names'!$B$2:$D$15,3,0)*AE70,"NA")</f>
        <v>208.51621002415533</v>
      </c>
    </row>
    <row r="71" spans="1:83" x14ac:dyDescent="0.25">
      <c r="A71" s="79" t="s">
        <v>117</v>
      </c>
      <c r="B71" s="79" t="s">
        <v>88</v>
      </c>
      <c r="C71" s="79" t="s">
        <v>89</v>
      </c>
      <c r="D71" s="79" t="s">
        <v>90</v>
      </c>
      <c r="E71" s="79" t="s">
        <v>91</v>
      </c>
      <c r="F71" s="79" t="s">
        <v>90</v>
      </c>
      <c r="G71" s="79" t="s">
        <v>92</v>
      </c>
      <c r="H71" s="79" t="s">
        <v>5</v>
      </c>
      <c r="I71" s="79" t="s">
        <v>110</v>
      </c>
      <c r="J71" s="79" t="s">
        <v>94</v>
      </c>
      <c r="K71" s="79" t="s">
        <v>108</v>
      </c>
      <c r="L71" s="79">
        <v>461.909999999999</v>
      </c>
      <c r="M71" s="79">
        <v>1.8510616289253799E-2</v>
      </c>
      <c r="N71" s="79">
        <v>8.5862443475120898E-2</v>
      </c>
      <c r="O71" s="79">
        <v>1729.5</v>
      </c>
      <c r="P71" s="79">
        <v>1631.9996867488601</v>
      </c>
      <c r="Q71" s="79">
        <v>137.29309183388401</v>
      </c>
      <c r="R71" s="79">
        <v>219.958372038552</v>
      </c>
      <c r="S71" s="79">
        <v>590.88613636602201</v>
      </c>
      <c r="T71" s="79">
        <v>15</v>
      </c>
      <c r="U71" s="79">
        <v>0.7</v>
      </c>
      <c r="V71" s="79">
        <f>tbl_Data_old[[#This Row],[2025 ]]*IFERROR(AVERAGEIFS('Participation Adjustment'!$C:$C,'Participation Adjustment'!$A:$A,$H71,'Participation Adjustment'!$B:$B,$I71),1)</f>
        <v>17.40982985694378</v>
      </c>
      <c r="W71" s="79">
        <f>tbl_Data_old[[#This Row],[2026 ]]*IFERROR(AVERAGEIFS('Participation Adjustment'!$C:$C,'Participation Adjustment'!$A:$A,$H71,'Participation Adjustment'!$B:$B,$I71),1)</f>
        <v>36.775035710098997</v>
      </c>
      <c r="X71" s="79">
        <f>tbl_Data_old[[#This Row],[2027 ]]*IFERROR(AVERAGEIFS('Participation Adjustment'!$C:$C,'Participation Adjustment'!$A:$A,$H71,'Participation Adjustment'!$B:$B,$I71),1)</f>
        <v>57.942681621829003</v>
      </c>
      <c r="Y71" s="79">
        <f>tbl_Data_old[[#This Row],[2028 ]]*IFERROR(AVERAGEIFS('Participation Adjustment'!$C:$C,'Participation Adjustment'!$A:$A,$H71,'Participation Adjustment'!$B:$B,$I71),1)</f>
        <v>80.814859325064802</v>
      </c>
      <c r="Z71" s="79">
        <f>tbl_Data_old[[#This Row],[2029 ]]*IFERROR(AVERAGEIFS('Participation Adjustment'!$C:$C,'Participation Adjustment'!$A:$A,$H71,'Participation Adjustment'!$B:$B,$I71),1)</f>
        <v>105.31011792117999</v>
      </c>
      <c r="AA71" s="79">
        <f>tbl_Data_old[[#This Row],[2030 ]]*IFERROR(AVERAGEIFS('Participation Adjustment'!$C:$C,'Participation Adjustment'!$A:$A,$H71,'Participation Adjustment'!$B:$B,$I71),1)</f>
        <v>131.2894915245034</v>
      </c>
      <c r="AB71" s="79">
        <f>tbl_Data_old[[#This Row],[2031 ]]*IFERROR(AVERAGEIFS('Participation Adjustment'!$C:$C,'Participation Adjustment'!$A:$A,$H71,'Participation Adjustment'!$B:$B,$I71),1)</f>
        <v>158.81850486030859</v>
      </c>
      <c r="AC71" s="79">
        <f>tbl_Data_old[[#This Row],[2032 ]]*IFERROR(AVERAGEIFS('Participation Adjustment'!$C:$C,'Participation Adjustment'!$A:$A,$H71,'Participation Adjustment'!$B:$B,$I71),1)</f>
        <v>188.03059252664841</v>
      </c>
      <c r="AD71" s="79">
        <f>tbl_Data_old[[#This Row],[2033 ]]*IFERROR(AVERAGEIFS('Participation Adjustment'!$C:$C,'Participation Adjustment'!$A:$A,$H71,'Participation Adjustment'!$B:$B,$I71),1)</f>
        <v>219.081323738614</v>
      </c>
      <c r="AE71" s="79">
        <f>tbl_Data_old[[#This Row],[2034 ]]*IFERROR(AVERAGEIFS('Participation Adjustment'!$C:$C,'Participation Adjustment'!$A:$A,$H71,'Participation Adjustment'!$B:$B,$I71),1)</f>
        <v>252.13866144260399</v>
      </c>
      <c r="AF71" s="77" t="str">
        <f t="shared" si="33"/>
        <v>Residential</v>
      </c>
      <c r="AG71" s="77" t="str">
        <f>tbl_Data[[#This Row],[All_Meas_Name_Append]]</f>
        <v>Heat Pump Water Heater 80 Gallons-ENERGY STAR</v>
      </c>
      <c r="AH71" s="77">
        <f>AVERAGEIFS('3. Incentive Adjustment'!G:G,'3. Incentive Adjustment'!A:A,tbl_Data[[#This Row],[Trimmed Sector]],'3. Incentive Adjustment'!B:B,tbl_Data[[#This Row],[Trimmed Measure Name]])</f>
        <v>1.5551101216712928E-3</v>
      </c>
      <c r="AI71" s="77">
        <f>$AH71*tbl_Data[[#This Row],[2025 ]]</f>
        <v>2.7074202627108346E-2</v>
      </c>
      <c r="AJ71" s="77">
        <f>$AH71*tbl_Data[[#This Row],[2026 ]]</f>
        <v>5.7189230257598186E-2</v>
      </c>
      <c r="AK71" s="77">
        <f>$AH71*tbl_Data[[#This Row],[2027 ]]</f>
        <v>9.0107250666883479E-2</v>
      </c>
      <c r="AL71" s="77">
        <f>$AH71*tbl_Data[[#This Row],[2028 ]]</f>
        <v>0.12567600571784993</v>
      </c>
      <c r="AM71" s="77">
        <f>$AH71*tbl_Data[[#This Row],[2029 ]]</f>
        <v>0.16376883029362441</v>
      </c>
      <c r="AN71" s="77">
        <f>$AH71*tbl_Data[[#This Row],[2030 ]]</f>
        <v>0.20416961713883267</v>
      </c>
      <c r="AO71" s="77">
        <f>$AH71*tbl_Data[[#This Row],[2031 ]]</f>
        <v>0.2469802644169673</v>
      </c>
      <c r="AP71" s="77">
        <f>$AH71*tbl_Data[[#This Row],[2032 ]]</f>
        <v>0.29240827762204147</v>
      </c>
      <c r="AQ71" s="77">
        <f>$AH71*tbl_Data[[#This Row],[2033 ]]</f>
        <v>0.34069558401506389</v>
      </c>
      <c r="AR71" s="77">
        <f>$AH71*tbl_Data[[#This Row],[2034 ]]</f>
        <v>0.3921033844740448</v>
      </c>
      <c r="AS71" s="77">
        <f>SUM(tbl_Data[[#This Row],[Adjusted 2025]:[Adjusted 2034]])</f>
        <v>1.9401726472300145</v>
      </c>
      <c r="AT71" s="80">
        <f>AVERAGEIFS('3. Incentive Adjustment'!F:F,'3. Incentive Adjustment'!A:A,tbl_Data[[#This Row],[Trimmed Sector]],'3. Incentive Adjustment'!B:B,tbl_Data[[#This Row],[Trimmed Measure Name]])</f>
        <v>500</v>
      </c>
      <c r="AU71" s="80">
        <f>IFERROR(VLOOKUP(tbl_Data[[#This Row],[All_Meas_Name_Append]],'IRA Tax Credits'!$A$3:$D$46,4,0),0)</f>
        <v>1666.6666666666667</v>
      </c>
      <c r="AV71" s="81">
        <f>tbl_Data[[#This Row],[Adj. per unit Incentive ($)]]/tbl_Data[[#This Row],[kWh Savings]]*tbl_Data[[#This Row],[Sum of Annuals]]</f>
        <v>2.1001630698945886</v>
      </c>
      <c r="AW71" s="81">
        <f>IFERROR(VLOOKUP(tbl_Data[[#This Row],[Column1]],'1. Set Program Names'!$B$2:$D$15,3,0)*tbl_Data[[#This Row],[Sum of Annuals]],"")</f>
        <v>0.86501364366350986</v>
      </c>
      <c r="AX71" s="81">
        <f>tbl_Data[[#This Row],[per unit IRA tax ($)]]/tbl_Data[[#This Row],[kWh Savings]]*tbl_Data[[#This Row],[Sum of Annuals]]</f>
        <v>7.0005435663152955</v>
      </c>
      <c r="AY71" s="81">
        <f>tbl_Data[[#This Row],[Avoided Costs ($/unit)]]/tbl_Data[[#This Row],[kWh Savings]]*tbl_Data[[#This Row],[Sum of Annuals]]</f>
        <v>0.9238968997390028</v>
      </c>
      <c r="AZ71" s="81">
        <f>tbl_Data[[#This Row],[Lost Revenue ($/unit)]]/tbl_Data[[#This Row],[kWh Savings]]*tbl_Data[[#This Row],[Sum of Annuals]]</f>
        <v>2.481914484217234</v>
      </c>
      <c r="BA71" s="81">
        <f>tbl_Data[[#This Row],[Incremental Cost ($/unit)]]/tbl_Data[[#This Row],[kWh Savings]]*tbl_Data[[#This Row],[Sum of Annuals]]</f>
        <v>7.2644640587653813</v>
      </c>
      <c r="BB71" s="77">
        <f>ROUNDUP(tbl_Data[[#This Row],[Adjusted 2025]]/$L71,0)</f>
        <v>1</v>
      </c>
      <c r="BC71" s="77">
        <f>ROUNDUP(tbl_Data[[#This Row],[Adjusted 2026]]/$L71,0)</f>
        <v>1</v>
      </c>
      <c r="BD71" s="77">
        <f>ROUNDUP(tbl_Data[[#This Row],[Adjusted 2027]]/$L71,0)</f>
        <v>1</v>
      </c>
      <c r="BE71" s="77">
        <f>ROUNDUP(tbl_Data[[#This Row],[Adjusted 2028]]/$L71,0)</f>
        <v>1</v>
      </c>
      <c r="BF71" s="77">
        <f>ROUNDUP(tbl_Data[[#This Row],[Adjusted 2029]]/$L71,0)</f>
        <v>1</v>
      </c>
      <c r="BG71" s="77">
        <f>ROUNDUP(tbl_Data[[#This Row],[Adjusted 2030]]/$L71,0)</f>
        <v>1</v>
      </c>
      <c r="BH71" s="77">
        <f>ROUNDUP(tbl_Data[[#This Row],[Adjusted 2031]]/$L71,0)</f>
        <v>1</v>
      </c>
      <c r="BI71" s="77">
        <f>ROUNDUP(tbl_Data[[#This Row],[Adjusted 2032]]/$L71,0)</f>
        <v>1</v>
      </c>
      <c r="BJ71" s="77">
        <f>ROUNDUP(tbl_Data[[#This Row],[Adjusted 2033]]/$L71,0)</f>
        <v>1</v>
      </c>
      <c r="BK71" s="77">
        <f>ROUNDUP(tbl_Data[[#This Row],[Adjusted 2034]]/$L71,0)</f>
        <v>1</v>
      </c>
      <c r="BL71" s="80">
        <f t="shared" si="34"/>
        <v>18.845478401575868</v>
      </c>
      <c r="BM71" s="77">
        <f t="shared" si="35"/>
        <v>39.807576919853524</v>
      </c>
      <c r="BN71" s="77">
        <f t="shared" si="36"/>
        <v>62.720748221330055</v>
      </c>
      <c r="BO71" s="77">
        <f t="shared" si="37"/>
        <v>87.479010332169665</v>
      </c>
      <c r="BP71" s="77">
        <f t="shared" si="38"/>
        <v>113.99419575369686</v>
      </c>
      <c r="BQ71" s="77">
        <f t="shared" si="39"/>
        <v>142.11587920212131</v>
      </c>
      <c r="BR71" s="77">
        <f t="shared" si="40"/>
        <v>171.91498869943166</v>
      </c>
      <c r="BS71" s="77">
        <f t="shared" si="41"/>
        <v>203.5359621210288</v>
      </c>
      <c r="BT71" s="77">
        <f t="shared" si="42"/>
        <v>237.14719722306779</v>
      </c>
      <c r="BU71" s="77">
        <f t="shared" si="43"/>
        <v>272.93050750428068</v>
      </c>
      <c r="BV71" s="80">
        <f>IFERROR(VLOOKUP($H71,'1. Set Program Names'!$B$2:$D$15,3,0)*V71,"NA")</f>
        <v>7.7620619905231116</v>
      </c>
      <c r="BW71" s="80">
        <f>IFERROR(VLOOKUP($H71,'1. Set Program Names'!$B$2:$D$15,3,0)*W71,"NA")</f>
        <v>16.395915941225578</v>
      </c>
      <c r="BX71" s="80">
        <f>IFERROR(VLOOKUP($H71,'1. Set Program Names'!$B$2:$D$15,3,0)*X71,"NA")</f>
        <v>25.833376336322992</v>
      </c>
      <c r="BY71" s="80">
        <f>IFERROR(VLOOKUP($H71,'1. Set Program Names'!$B$2:$D$15,3,0)*Y71,"NA")</f>
        <v>36.03079139721563</v>
      </c>
      <c r="BZ71" s="80">
        <f>IFERROR(VLOOKUP($H71,'1. Set Program Names'!$B$2:$D$15,3,0)*Z71,"NA")</f>
        <v>46.951846758426228</v>
      </c>
      <c r="CA71" s="80">
        <f>IFERROR(VLOOKUP($H71,'1. Set Program Names'!$B$2:$D$15,3,0)*AA71,"NA")</f>
        <v>58.534585363050105</v>
      </c>
      <c r="CB71" s="80">
        <f>IFERROR(VLOOKUP($H71,'1. Set Program Names'!$B$2:$D$15,3,0)*AB71,"NA")</f>
        <v>70.808220993396716</v>
      </c>
      <c r="CC71" s="80">
        <f>IFERROR(VLOOKUP($H71,'1. Set Program Names'!$B$2:$D$15,3,0)*AC71,"NA")</f>
        <v>83.832244616941153</v>
      </c>
      <c r="CD71" s="80">
        <f>IFERROR(VLOOKUP($H71,'1. Set Program Names'!$B$2:$D$15,3,0)*AD71,"NA")</f>
        <v>97.6760157794847</v>
      </c>
      <c r="CE71" s="80">
        <f>IFERROR(VLOOKUP($H71,'1. Set Program Names'!$B$2:$D$15,3,0)*AE71,"NA")</f>
        <v>112.41441969316149</v>
      </c>
    </row>
    <row r="72" spans="1:83" x14ac:dyDescent="0.25">
      <c r="A72" s="79" t="s">
        <v>117</v>
      </c>
      <c r="B72" s="79" t="s">
        <v>88</v>
      </c>
      <c r="C72" s="79" t="s">
        <v>89</v>
      </c>
      <c r="D72" s="79" t="s">
        <v>90</v>
      </c>
      <c r="E72" s="79" t="s">
        <v>91</v>
      </c>
      <c r="F72" s="79" t="s">
        <v>90</v>
      </c>
      <c r="G72" s="79" t="s">
        <v>92</v>
      </c>
      <c r="H72" s="79" t="s">
        <v>5</v>
      </c>
      <c r="I72" s="79" t="s">
        <v>299</v>
      </c>
      <c r="J72" s="79" t="s">
        <v>97</v>
      </c>
      <c r="K72" s="79" t="s">
        <v>102</v>
      </c>
      <c r="L72" s="79">
        <v>408.28</v>
      </c>
      <c r="M72" s="79">
        <v>0.16567198429270899</v>
      </c>
      <c r="N72" s="79">
        <v>2.3547919008134799E-2</v>
      </c>
      <c r="O72" s="79">
        <v>128.60999999999999</v>
      </c>
      <c r="P72" s="79">
        <v>29.691921599999901</v>
      </c>
      <c r="Q72" s="79">
        <v>121.35269540373299</v>
      </c>
      <c r="R72" s="79">
        <v>238.630335182902</v>
      </c>
      <c r="S72" s="79">
        <v>423.90838942107399</v>
      </c>
      <c r="T72" s="79">
        <v>11</v>
      </c>
      <c r="U72" s="79">
        <v>0.7</v>
      </c>
      <c r="V72" s="79">
        <f>tbl_Data_old[[#This Row],[2025 ]]*IFERROR(AVERAGEIFS('Participation Adjustment'!$C:$C,'Participation Adjustment'!$A:$A,$H72,'Participation Adjustment'!$B:$B,$I72),1)</f>
        <v>1.447072653429514</v>
      </c>
      <c r="W72" s="79">
        <f>tbl_Data_old[[#This Row],[2026 ]]*IFERROR(AVERAGEIFS('Participation Adjustment'!$C:$C,'Participation Adjustment'!$A:$A,$H72,'Participation Adjustment'!$B:$B,$I72),1)</f>
        <v>2.64629965221856</v>
      </c>
      <c r="X72" s="79">
        <f>tbl_Data_old[[#This Row],[2027 ]]*IFERROR(AVERAGEIFS('Participation Adjustment'!$C:$C,'Participation Adjustment'!$A:$A,$H72,'Participation Adjustment'!$B:$B,$I72),1)</f>
        <v>3.63971697279226</v>
      </c>
      <c r="Y72" s="79">
        <f>tbl_Data_old[[#This Row],[2028 ]]*IFERROR(AVERAGEIFS('Participation Adjustment'!$C:$C,'Participation Adjustment'!$A:$A,$H72,'Participation Adjustment'!$B:$B,$I72),1)</f>
        <v>4.4658095429665403</v>
      </c>
      <c r="Z72" s="79">
        <f>tbl_Data_old[[#This Row],[2029 ]]*IFERROR(AVERAGEIFS('Participation Adjustment'!$C:$C,'Participation Adjustment'!$A:$A,$H72,'Participation Adjustment'!$B:$B,$I72),1)</f>
        <v>5.1571996237945799</v>
      </c>
      <c r="AA72" s="79">
        <f>tbl_Data_old[[#This Row],[2030 ]]*IFERROR(AVERAGEIFS('Participation Adjustment'!$C:$C,'Participation Adjustment'!$A:$A,$H72,'Participation Adjustment'!$B:$B,$I72),1)</f>
        <v>5.7385722375612396</v>
      </c>
      <c r="AB72" s="79">
        <f>tbl_Data_old[[#This Row],[2031 ]]*IFERROR(AVERAGEIFS('Participation Adjustment'!$C:$C,'Participation Adjustment'!$A:$A,$H72,'Participation Adjustment'!$B:$B,$I72),1)</f>
        <v>6.2343769028908804</v>
      </c>
      <c r="AC72" s="79">
        <f>tbl_Data_old[[#This Row],[2032 ]]*IFERROR(AVERAGEIFS('Participation Adjustment'!$C:$C,'Participation Adjustment'!$A:$A,$H72,'Participation Adjustment'!$B:$B,$I72),1)</f>
        <v>6.6637167561436597</v>
      </c>
      <c r="AD72" s="79">
        <f>tbl_Data_old[[#This Row],[2033 ]]*IFERROR(AVERAGEIFS('Participation Adjustment'!$C:$C,'Participation Adjustment'!$A:$A,$H72,'Participation Adjustment'!$B:$B,$I72),1)</f>
        <v>7.0415924739192004</v>
      </c>
      <c r="AE72" s="79">
        <f>tbl_Data_old[[#This Row],[2034 ]]*IFERROR(AVERAGEIFS('Participation Adjustment'!$C:$C,'Participation Adjustment'!$A:$A,$H72,'Participation Adjustment'!$B:$B,$I72),1)</f>
        <v>7.3795612471015204</v>
      </c>
      <c r="AF72" s="77" t="str">
        <f t="shared" si="33"/>
        <v>Residential</v>
      </c>
      <c r="AG72" s="77" t="str">
        <f>tbl_Data[[#This Row],[All_Meas_Name_Append]]</f>
        <v>Smart Thermostat Residential</v>
      </c>
      <c r="AH72" s="77">
        <f>AVERAGEIFS('3. Incentive Adjustment'!G:G,'3. Incentive Adjustment'!A:A,tbl_Data[[#This Row],[Trimmed Sector]],'3. Incentive Adjustment'!B:B,tbl_Data[[#This Row],[Trimmed Measure Name]])</f>
        <v>1.1402432304340044</v>
      </c>
      <c r="AI72" s="77">
        <f>$AH72*tbl_Data[[#This Row],[2025 ]]</f>
        <v>1.6500147970191756</v>
      </c>
      <c r="AJ72" s="77">
        <f>$AH72*tbl_Data[[#This Row],[2026 ]]</f>
        <v>3.0174252641420733</v>
      </c>
      <c r="AK72" s="77">
        <f>$AH72*tbl_Data[[#This Row],[2027 ]]</f>
        <v>4.1501626389221222</v>
      </c>
      <c r="AL72" s="77">
        <f>$AH72*tbl_Data[[#This Row],[2028 ]]</f>
        <v>5.0921090997751728</v>
      </c>
      <c r="AM72" s="77">
        <f>$AH72*tbl_Data[[#This Row],[2029 ]]</f>
        <v>5.8804619590285645</v>
      </c>
      <c r="AN72" s="77">
        <f>$AH72*tbl_Data[[#This Row],[2030 ]]</f>
        <v>6.5433681462357214</v>
      </c>
      <c r="AO72" s="77">
        <f>$AH72*tbl_Data[[#This Row],[2031 ]]</f>
        <v>7.1087060594954412</v>
      </c>
      <c r="AP72" s="77">
        <f>$AH72*tbl_Data[[#This Row],[2032 ]]</f>
        <v>7.5982579207224514</v>
      </c>
      <c r="AQ72" s="77">
        <f>$AH72*tbl_Data[[#This Row],[2033 ]]</f>
        <v>8.0291281498614016</v>
      </c>
      <c r="AR72" s="77">
        <f>$AH72*tbl_Data[[#This Row],[2034 ]]</f>
        <v>8.4144947555806286</v>
      </c>
      <c r="AS72" s="77">
        <f>SUM(tbl_Data[[#This Row],[Adjusted 2025]:[Adjusted 2034]])</f>
        <v>57.484128790782755</v>
      </c>
      <c r="AT72" s="80">
        <f>AVERAGEIFS('3. Incentive Adjustment'!F:F,'3. Incentive Adjustment'!A:A,tbl_Data[[#This Row],[Trimmed Sector]],'3. Incentive Adjustment'!B:B,tbl_Data[[#This Row],[Trimmed Measure Name]])</f>
        <v>50</v>
      </c>
      <c r="AU72" s="80">
        <f>IFERROR(VLOOKUP(tbl_Data[[#This Row],[All_Meas_Name_Append]],'IRA Tax Credits'!$A$3:$D$46,4,0),0)</f>
        <v>0</v>
      </c>
      <c r="AV72" s="81">
        <f>tbl_Data[[#This Row],[Adj. per unit Incentive ($)]]/tbl_Data[[#This Row],[kWh Savings]]*tbl_Data[[#This Row],[Sum of Annuals]]</f>
        <v>7.039792396245562</v>
      </c>
      <c r="AW72" s="81">
        <f>IFERROR(VLOOKUP(tbl_Data[[#This Row],[Column1]],'1. Set Program Names'!$B$2:$D$15,3,0)*tbl_Data[[#This Row],[Sum of Annuals]],"")</f>
        <v>25.628933471013127</v>
      </c>
      <c r="AX72" s="81">
        <f>tbl_Data[[#This Row],[per unit IRA tax ($)]]/tbl_Data[[#This Row],[kWh Savings]]*tbl_Data[[#This Row],[Sum of Annuals]]</f>
        <v>0</v>
      </c>
      <c r="AY72" s="81">
        <f>tbl_Data[[#This Row],[Avoided Costs ($/unit)]]/tbl_Data[[#This Row],[kWh Savings]]*tbl_Data[[#This Row],[Sum of Annuals]]</f>
        <v>33.598160382682465</v>
      </c>
      <c r="AZ72" s="81">
        <f>tbl_Data[[#This Row],[Lost Revenue ($/unit)]]/tbl_Data[[#This Row],[kWh Savings]]*tbl_Data[[#This Row],[Sum of Annuals]]</f>
        <v>59.684541131023586</v>
      </c>
      <c r="BA72" s="81">
        <f>tbl_Data[[#This Row],[Incremental Cost ($/unit)]]/tbl_Data[[#This Row],[kWh Savings]]*tbl_Data[[#This Row],[Sum of Annuals]]</f>
        <v>18.107754001622833</v>
      </c>
      <c r="BB72" s="77">
        <f>ROUNDUP(tbl_Data[[#This Row],[Adjusted 2025]]/$L72,0)</f>
        <v>1</v>
      </c>
      <c r="BC72" s="77">
        <f>ROUNDUP(tbl_Data[[#This Row],[Adjusted 2026]]/$L72,0)</f>
        <v>1</v>
      </c>
      <c r="BD72" s="77">
        <f>ROUNDUP(tbl_Data[[#This Row],[Adjusted 2027]]/$L72,0)</f>
        <v>1</v>
      </c>
      <c r="BE72" s="77">
        <f>ROUNDUP(tbl_Data[[#This Row],[Adjusted 2028]]/$L72,0)</f>
        <v>1</v>
      </c>
      <c r="BF72" s="77">
        <f>ROUNDUP(tbl_Data[[#This Row],[Adjusted 2029]]/$L72,0)</f>
        <v>1</v>
      </c>
      <c r="BG72" s="77">
        <f>ROUNDUP(tbl_Data[[#This Row],[Adjusted 2030]]/$L72,0)</f>
        <v>1</v>
      </c>
      <c r="BH72" s="77">
        <f>ROUNDUP(tbl_Data[[#This Row],[Adjusted 2031]]/$L72,0)</f>
        <v>1</v>
      </c>
      <c r="BI72" s="77">
        <f>ROUNDUP(tbl_Data[[#This Row],[Adjusted 2032]]/$L72,0)</f>
        <v>1</v>
      </c>
      <c r="BJ72" s="77">
        <f>ROUNDUP(tbl_Data[[#This Row],[Adjusted 2033]]/$L72,0)</f>
        <v>1</v>
      </c>
      <c r="BK72" s="77">
        <f>ROUNDUP(tbl_Data[[#This Row],[Adjusted 2034]]/$L72,0)</f>
        <v>1</v>
      </c>
      <c r="BL72" s="80">
        <f t="shared" si="34"/>
        <v>0.17721571635023931</v>
      </c>
      <c r="BM72" s="77">
        <f t="shared" si="35"/>
        <v>0.32407902079682577</v>
      </c>
      <c r="BN72" s="77">
        <f t="shared" si="36"/>
        <v>0.44573784814248313</v>
      </c>
      <c r="BO72" s="77">
        <f t="shared" si="37"/>
        <v>0.54690525411072555</v>
      </c>
      <c r="BP72" s="77">
        <f t="shared" si="38"/>
        <v>0.63157632308643341</v>
      </c>
      <c r="BQ72" s="77">
        <f t="shared" si="39"/>
        <v>0.7027741057070197</v>
      </c>
      <c r="BR72" s="77">
        <f t="shared" si="40"/>
        <v>0.76349281165999816</v>
      </c>
      <c r="BS72" s="77">
        <f t="shared" si="41"/>
        <v>0.81607190606246449</v>
      </c>
      <c r="BT72" s="77">
        <f t="shared" si="42"/>
        <v>0.86234844639943187</v>
      </c>
      <c r="BU72" s="77">
        <f t="shared" si="43"/>
        <v>0.90373778376377989</v>
      </c>
      <c r="BV72" s="80">
        <f>IFERROR(VLOOKUP($H72,'1. Set Program Names'!$B$2:$D$15,3,0)*V72,"NA")</f>
        <v>0.64516814541014877</v>
      </c>
      <c r="BW72" s="80">
        <f>IFERROR(VLOOKUP($H72,'1. Set Program Names'!$B$2:$D$15,3,0)*W72,"NA")</f>
        <v>1.1798358809249185</v>
      </c>
      <c r="BX72" s="80">
        <f>IFERROR(VLOOKUP($H72,'1. Set Program Names'!$B$2:$D$15,3,0)*X72,"NA")</f>
        <v>1.6227446794665061</v>
      </c>
      <c r="BY72" s="80">
        <f>IFERROR(VLOOKUP($H72,'1. Set Program Names'!$B$2:$D$15,3,0)*Y72,"NA")</f>
        <v>1.9910528015040043</v>
      </c>
      <c r="BZ72" s="80">
        <f>IFERROR(VLOOKUP($H72,'1. Set Program Names'!$B$2:$D$15,3,0)*Z72,"NA")</f>
        <v>2.2993046747915309</v>
      </c>
      <c r="CA72" s="80">
        <f>IFERROR(VLOOKUP($H72,'1. Set Program Names'!$B$2:$D$15,3,0)*AA72,"NA")</f>
        <v>2.5585059596248474</v>
      </c>
      <c r="CB72" s="80">
        <f>IFERROR(VLOOKUP($H72,'1. Set Program Names'!$B$2:$D$15,3,0)*AB72,"NA")</f>
        <v>2.779557318489466</v>
      </c>
      <c r="CC72" s="80">
        <f>IFERROR(VLOOKUP($H72,'1. Set Program Names'!$B$2:$D$15,3,0)*AC72,"NA")</f>
        <v>2.9709757633182652</v>
      </c>
      <c r="CD72" s="80">
        <f>IFERROR(VLOOKUP($H72,'1. Set Program Names'!$B$2:$D$15,3,0)*AD72,"NA")</f>
        <v>3.1394492504337821</v>
      </c>
      <c r="CE72" s="80">
        <f>IFERROR(VLOOKUP($H72,'1. Set Program Names'!$B$2:$D$15,3,0)*AE72,"NA")</f>
        <v>3.2901304799379245</v>
      </c>
    </row>
    <row r="73" spans="1:83" x14ac:dyDescent="0.25">
      <c r="A73" s="79" t="s">
        <v>117</v>
      </c>
      <c r="B73" s="79" t="s">
        <v>88</v>
      </c>
      <c r="C73" s="79" t="s">
        <v>89</v>
      </c>
      <c r="D73" s="79" t="s">
        <v>90</v>
      </c>
      <c r="E73" s="79" t="s">
        <v>91</v>
      </c>
      <c r="F73" s="79" t="s">
        <v>90</v>
      </c>
      <c r="G73" s="79" t="s">
        <v>92</v>
      </c>
      <c r="H73" s="79"/>
      <c r="I73" s="79" t="s">
        <v>112</v>
      </c>
      <c r="J73" s="79" t="s">
        <v>94</v>
      </c>
      <c r="K73" s="79" t="s">
        <v>108</v>
      </c>
      <c r="L73" s="79">
        <v>1330.8133333333301</v>
      </c>
      <c r="M73" s="79">
        <v>5.33311142126306E-2</v>
      </c>
      <c r="N73" s="79">
        <v>0.24737910980336</v>
      </c>
      <c r="O73" s="79">
        <v>8990.02</v>
      </c>
      <c r="P73" s="79">
        <v>8776.4394094329891</v>
      </c>
      <c r="Q73" s="79">
        <v>395.55644430103399</v>
      </c>
      <c r="R73" s="79">
        <v>713.19672296706005</v>
      </c>
      <c r="S73" s="79">
        <v>2011.6258188035599</v>
      </c>
      <c r="T73" s="79">
        <v>20</v>
      </c>
      <c r="U73" s="79">
        <v>0.7</v>
      </c>
      <c r="V73" s="79">
        <f>tbl_Data_old[[#This Row],[2025 ]]*IFERROR(AVERAGEIFS('Participation Adjustment'!$C:$C,'Participation Adjustment'!$A:$A,$H73,'Participation Adjustment'!$B:$B,$I73),1)</f>
        <v>28.081366953140499</v>
      </c>
      <c r="W73" s="79">
        <f>tbl_Data_old[[#This Row],[2026 ]]*IFERROR(AVERAGEIFS('Participation Adjustment'!$C:$C,'Participation Adjustment'!$A:$A,$H73,'Participation Adjustment'!$B:$B,$I73),1)</f>
        <v>59.334067179580003</v>
      </c>
      <c r="X73" s="79">
        <f>tbl_Data_old[[#This Row],[2027 ]]*IFERROR(AVERAGEIFS('Participation Adjustment'!$C:$C,'Participation Adjustment'!$A:$A,$H73,'Participation Adjustment'!$B:$B,$I73),1)</f>
        <v>93.512945865393704</v>
      </c>
      <c r="Y73" s="79">
        <f>tbl_Data_old[[#This Row],[2028 ]]*IFERROR(AVERAGEIFS('Participation Adjustment'!$C:$C,'Participation Adjustment'!$A:$A,$H73,'Participation Adjustment'!$B:$B,$I73),1)</f>
        <v>130.46104686074301</v>
      </c>
      <c r="Z73" s="79">
        <f>tbl_Data_old[[#This Row],[2029 ]]*IFERROR(AVERAGEIFS('Participation Adjustment'!$C:$C,'Participation Adjustment'!$A:$A,$H73,'Participation Adjustment'!$B:$B,$I73),1)</f>
        <v>170.04753698993301</v>
      </c>
      <c r="AA73" s="79">
        <f>tbl_Data_old[[#This Row],[2030 ]]*IFERROR(AVERAGEIFS('Participation Adjustment'!$C:$C,'Participation Adjustment'!$A:$A,$H73,'Participation Adjustment'!$B:$B,$I73),1)</f>
        <v>212.04823292287199</v>
      </c>
      <c r="AB73" s="79">
        <f>tbl_Data_old[[#This Row],[2031 ]]*IFERROR(AVERAGEIFS('Participation Adjustment'!$C:$C,'Participation Adjustment'!$A:$A,$H73,'Participation Adjustment'!$B:$B,$I73),1)</f>
        <v>256.56926498854699</v>
      </c>
      <c r="AC73" s="79">
        <f>tbl_Data_old[[#This Row],[2032 ]]*IFERROR(AVERAGEIFS('Participation Adjustment'!$C:$C,'Participation Adjustment'!$A:$A,$H73,'Participation Adjustment'!$B:$B,$I73),1)</f>
        <v>303.82660322920299</v>
      </c>
      <c r="AD73" s="79">
        <f>tbl_Data_old[[#This Row],[2033 ]]*IFERROR(AVERAGEIFS('Participation Adjustment'!$C:$C,'Participation Adjustment'!$A:$A,$H73,'Participation Adjustment'!$B:$B,$I73),1)</f>
        <v>354.07210885905198</v>
      </c>
      <c r="AE73" s="79">
        <f>tbl_Data_old[[#This Row],[2034 ]]*IFERROR(AVERAGEIFS('Participation Adjustment'!$C:$C,'Participation Adjustment'!$A:$A,$H73,'Participation Adjustment'!$B:$B,$I73),1)</f>
        <v>407.577788322054</v>
      </c>
      <c r="AF73" s="77" t="str">
        <f t="shared" si="33"/>
        <v>Residential</v>
      </c>
      <c r="AG73" s="77" t="str">
        <f>tbl_Data[[#This Row],[All_Meas_Name_Append]]</f>
        <v>Solar Thermal Water Heating System</v>
      </c>
      <c r="AH73" s="77">
        <f>AVERAGEIFS('3. Incentive Adjustment'!G:G,'3. Incentive Adjustment'!A:A,tbl_Data[[#This Row],[Trimmed Sector]],'3. Incentive Adjustment'!B:B,tbl_Data[[#This Row],[Trimmed Measure Name]])</f>
        <v>2.7736651842107431E-8</v>
      </c>
      <c r="AI73" s="77">
        <f>$AH73*tbl_Data[[#This Row],[2025 ]]</f>
        <v>7.7888309842971915E-7</v>
      </c>
      <c r="AJ73" s="77">
        <f>$AH73*tbl_Data[[#This Row],[2026 ]]</f>
        <v>1.6457283637362237E-6</v>
      </c>
      <c r="AK73" s="77">
        <f>$AH73*tbl_Data[[#This Row],[2027 ]]</f>
        <v>2.5937360221982648E-6</v>
      </c>
      <c r="AL73" s="77">
        <f>$AH73*tbl_Data[[#This Row],[2028 ]]</f>
        <v>3.6185526357332914E-6</v>
      </c>
      <c r="AM73" s="77">
        <f>$AH73*tbl_Data[[#This Row],[2029 ]]</f>
        <v>4.7165493300976566E-6</v>
      </c>
      <c r="AN73" s="77">
        <f>$AH73*tbl_Data[[#This Row],[2030 ]]</f>
        <v>5.8815080103158031E-6</v>
      </c>
      <c r="AO73" s="77">
        <f>$AH73*tbl_Data[[#This Row],[2031 ]]</f>
        <v>7.1163723763727317E-6</v>
      </c>
      <c r="AP73" s="77">
        <f>$AH73*tbl_Data[[#This Row],[2032 ]]</f>
        <v>8.4271327141385162E-6</v>
      </c>
      <c r="AQ73" s="77">
        <f>$AH73*tbl_Data[[#This Row],[2033 ]]</f>
        <v>9.8207748104242864E-6</v>
      </c>
      <c r="AR73" s="77">
        <f>$AH73*tbl_Data[[#This Row],[2034 ]]</f>
        <v>1.1304843213264971E-5</v>
      </c>
      <c r="AS73" s="77">
        <f>SUM(tbl_Data[[#This Row],[Adjusted 2025]:[Adjusted 2034]])</f>
        <v>5.5904080574711466E-5</v>
      </c>
      <c r="AT73" s="80">
        <f>AVERAGEIFS('3. Incentive Adjustment'!F:F,'3. Incentive Adjustment'!A:A,tbl_Data[[#This Row],[Trimmed Sector]],'3. Incentive Adjustment'!B:B,tbl_Data[[#This Row],[Trimmed Measure Name]])</f>
        <v>0</v>
      </c>
      <c r="AU73" s="80">
        <f>IFERROR(VLOOKUP(tbl_Data[[#This Row],[All_Meas_Name_Append]],'IRA Tax Credits'!$A$3:$D$46,4,0),0)</f>
        <v>41666.666666666672</v>
      </c>
      <c r="AV73" s="81">
        <f>tbl_Data[[#This Row],[Adj. per unit Incentive ($)]]/tbl_Data[[#This Row],[kWh Savings]]*tbl_Data[[#This Row],[Sum of Annuals]]</f>
        <v>0</v>
      </c>
      <c r="AW73" s="81" t="str">
        <f>IFERROR(VLOOKUP(tbl_Data[[#This Row],[Column1]],'1. Set Program Names'!$B$2:$D$15,3,0)*tbl_Data[[#This Row],[Sum of Annuals]],"")</f>
        <v/>
      </c>
      <c r="AX73" s="81">
        <f>tbl_Data[[#This Row],[per unit IRA tax ($)]]/tbl_Data[[#This Row],[kWh Savings]]*tbl_Data[[#This Row],[Sum of Annuals]]</f>
        <v>1.7503106050031937E-3</v>
      </c>
      <c r="AY73" s="81">
        <f>tbl_Data[[#This Row],[Avoided Costs ($/unit)]]/tbl_Data[[#This Row],[kWh Savings]]*tbl_Data[[#This Row],[Sum of Annuals]]</f>
        <v>2.9959578903906477E-5</v>
      </c>
      <c r="AZ73" s="81">
        <f>tbl_Data[[#This Row],[Lost Revenue ($/unit)]]/tbl_Data[[#This Row],[kWh Savings]]*tbl_Data[[#This Row],[Sum of Annuals]]</f>
        <v>8.4503280094802495E-5</v>
      </c>
      <c r="BA73" s="81">
        <f>tbl_Data[[#This Row],[Incremental Cost ($/unit)]]/tbl_Data[[#This Row],[kWh Savings]]*tbl_Data[[#This Row],[Sum of Annuals]]</f>
        <v>3.7764785628457943E-4</v>
      </c>
      <c r="BB73" s="77">
        <f>ROUNDUP(tbl_Data[[#This Row],[Adjusted 2025]]/$L73,0)</f>
        <v>1</v>
      </c>
      <c r="BC73" s="77">
        <f>ROUNDUP(tbl_Data[[#This Row],[Adjusted 2026]]/$L73,0)</f>
        <v>1</v>
      </c>
      <c r="BD73" s="77">
        <f>ROUNDUP(tbl_Data[[#This Row],[Adjusted 2027]]/$L73,0)</f>
        <v>1</v>
      </c>
      <c r="BE73" s="77">
        <f>ROUNDUP(tbl_Data[[#This Row],[Adjusted 2028]]/$L73,0)</f>
        <v>1</v>
      </c>
      <c r="BF73" s="77">
        <f>ROUNDUP(tbl_Data[[#This Row],[Adjusted 2029]]/$L73,0)</f>
        <v>1</v>
      </c>
      <c r="BG73" s="77">
        <f>ROUNDUP(tbl_Data[[#This Row],[Adjusted 2030]]/$L73,0)</f>
        <v>1</v>
      </c>
      <c r="BH73" s="77">
        <f>ROUNDUP(tbl_Data[[#This Row],[Adjusted 2031]]/$L73,0)</f>
        <v>1</v>
      </c>
      <c r="BI73" s="77">
        <f>ROUNDUP(tbl_Data[[#This Row],[Adjusted 2032]]/$L73,0)</f>
        <v>1</v>
      </c>
      <c r="BJ73" s="77">
        <f>ROUNDUP(tbl_Data[[#This Row],[Adjusted 2033]]/$L73,0)</f>
        <v>1</v>
      </c>
      <c r="BK73" s="77">
        <f>ROUNDUP(tbl_Data[[#This Row],[Adjusted 2034]]/$L73,0)</f>
        <v>1</v>
      </c>
      <c r="BL73" s="80">
        <f t="shared" si="34"/>
        <v>0</v>
      </c>
      <c r="BM73" s="77">
        <f t="shared" si="35"/>
        <v>0</v>
      </c>
      <c r="BN73" s="77">
        <f t="shared" si="36"/>
        <v>0</v>
      </c>
      <c r="BO73" s="77">
        <f t="shared" si="37"/>
        <v>0</v>
      </c>
      <c r="BP73" s="77">
        <f t="shared" si="38"/>
        <v>0</v>
      </c>
      <c r="BQ73" s="77">
        <f t="shared" si="39"/>
        <v>0</v>
      </c>
      <c r="BR73" s="77">
        <f t="shared" si="40"/>
        <v>0</v>
      </c>
      <c r="BS73" s="77">
        <f t="shared" si="41"/>
        <v>0</v>
      </c>
      <c r="BT73" s="77">
        <f t="shared" si="42"/>
        <v>0</v>
      </c>
      <c r="BU73" s="77">
        <f t="shared" si="43"/>
        <v>0</v>
      </c>
      <c r="BV73" s="80" t="str">
        <f>IFERROR(VLOOKUP($H73,'1. Set Program Names'!$B$2:$D$15,3,0)*V73,"NA")</f>
        <v>NA</v>
      </c>
      <c r="BW73" s="80" t="str">
        <f>IFERROR(VLOOKUP($H73,'1. Set Program Names'!$B$2:$D$15,3,0)*W73,"NA")</f>
        <v>NA</v>
      </c>
      <c r="BX73" s="80" t="str">
        <f>IFERROR(VLOOKUP($H73,'1. Set Program Names'!$B$2:$D$15,3,0)*X73,"NA")</f>
        <v>NA</v>
      </c>
      <c r="BY73" s="80" t="str">
        <f>IFERROR(VLOOKUP($H73,'1. Set Program Names'!$B$2:$D$15,3,0)*Y73,"NA")</f>
        <v>NA</v>
      </c>
      <c r="BZ73" s="80" t="str">
        <f>IFERROR(VLOOKUP($H73,'1. Set Program Names'!$B$2:$D$15,3,0)*Z73,"NA")</f>
        <v>NA</v>
      </c>
      <c r="CA73" s="80" t="str">
        <f>IFERROR(VLOOKUP($H73,'1. Set Program Names'!$B$2:$D$15,3,0)*AA73,"NA")</f>
        <v>NA</v>
      </c>
      <c r="CB73" s="80" t="str">
        <f>IFERROR(VLOOKUP($H73,'1. Set Program Names'!$B$2:$D$15,3,0)*AB73,"NA")</f>
        <v>NA</v>
      </c>
      <c r="CC73" s="80" t="str">
        <f>IFERROR(VLOOKUP($H73,'1. Set Program Names'!$B$2:$D$15,3,0)*AC73,"NA")</f>
        <v>NA</v>
      </c>
      <c r="CD73" s="80" t="str">
        <f>IFERROR(VLOOKUP($H73,'1. Set Program Names'!$B$2:$D$15,3,0)*AD73,"NA")</f>
        <v>NA</v>
      </c>
      <c r="CE73" s="80" t="str">
        <f>IFERROR(VLOOKUP($H73,'1. Set Program Names'!$B$2:$D$15,3,0)*AE73,"NA")</f>
        <v>NA</v>
      </c>
    </row>
    <row r="74" spans="1:83" x14ac:dyDescent="0.25">
      <c r="A74" s="79" t="s">
        <v>87</v>
      </c>
      <c r="B74" s="79" t="s">
        <v>88</v>
      </c>
      <c r="C74" s="79" t="s">
        <v>89</v>
      </c>
      <c r="D74" s="79" t="s">
        <v>90</v>
      </c>
      <c r="E74" s="79" t="s">
        <v>91</v>
      </c>
      <c r="F74" s="79" t="s">
        <v>90</v>
      </c>
      <c r="G74" s="79" t="s">
        <v>92</v>
      </c>
      <c r="H74" s="79" t="s">
        <v>7</v>
      </c>
      <c r="I74" s="79" t="s">
        <v>422</v>
      </c>
      <c r="J74" s="79" t="s">
        <v>94</v>
      </c>
      <c r="K74" s="79" t="s">
        <v>95</v>
      </c>
      <c r="L74" s="79">
        <v>1200.2266666666601</v>
      </c>
      <c r="M74" s="79">
        <v>4.8097974252120097E-2</v>
      </c>
      <c r="N74" s="79">
        <v>0.22310492157346501</v>
      </c>
      <c r="O74" s="79">
        <v>1210</v>
      </c>
      <c r="P74" s="79">
        <v>933.85922631496703</v>
      </c>
      <c r="Q74" s="79">
        <v>346.114635734861</v>
      </c>
      <c r="R74" s="79">
        <v>571.53970184074296</v>
      </c>
      <c r="S74" s="79">
        <v>1535.35818196214</v>
      </c>
      <c r="T74" s="79">
        <v>15</v>
      </c>
      <c r="U74" s="79">
        <v>0.1</v>
      </c>
      <c r="V74" s="79">
        <f>tbl_Data_old[[#This Row],[2025 ]]*IFERROR(AVERAGEIFS('Participation Adjustment'!$C:$C,'Participation Adjustment'!$A:$A,$H74,'Participation Adjustment'!$B:$B,$I74),1)</f>
        <v>7226.2368301811603</v>
      </c>
      <c r="W74" s="79">
        <f>tbl_Data_old[[#This Row],[2026 ]]*IFERROR(AVERAGEIFS('Participation Adjustment'!$C:$C,'Participation Adjustment'!$A:$A,$H74,'Participation Adjustment'!$B:$B,$I74),1)</f>
        <v>7677.6138455284799</v>
      </c>
      <c r="X74" s="79">
        <f>tbl_Data_old[[#This Row],[2027 ]]*IFERROR(AVERAGEIFS('Participation Adjustment'!$C:$C,'Participation Adjustment'!$A:$A,$H74,'Participation Adjustment'!$B:$B,$I74),1)</f>
        <v>8125.7494297578696</v>
      </c>
      <c r="Y74" s="79">
        <f>tbl_Data_old[[#This Row],[2028 ]]*IFERROR(AVERAGEIFS('Participation Adjustment'!$C:$C,'Participation Adjustment'!$A:$A,$H74,'Participation Adjustment'!$B:$B,$I74),1)</f>
        <v>8584.2336542872999</v>
      </c>
      <c r="Z74" s="79">
        <f>tbl_Data_old[[#This Row],[2029 ]]*IFERROR(AVERAGEIFS('Participation Adjustment'!$C:$C,'Participation Adjustment'!$A:$A,$H74,'Participation Adjustment'!$B:$B,$I74),1)</f>
        <v>9052.5713242923903</v>
      </c>
      <c r="AA74" s="79">
        <f>tbl_Data_old[[#This Row],[2030 ]]*IFERROR(AVERAGEIFS('Participation Adjustment'!$C:$C,'Participation Adjustment'!$A:$A,$H74,'Participation Adjustment'!$B:$B,$I74),1)</f>
        <v>9504.3971471310397</v>
      </c>
      <c r="AB74" s="79">
        <f>tbl_Data_old[[#This Row],[2031 ]]*IFERROR(AVERAGEIFS('Participation Adjustment'!$C:$C,'Participation Adjustment'!$A:$A,$H74,'Participation Adjustment'!$B:$B,$I74),1)</f>
        <v>10010.109217634301</v>
      </c>
      <c r="AC74" s="79">
        <f>tbl_Data_old[[#This Row],[2032 ]]*IFERROR(AVERAGEIFS('Participation Adjustment'!$C:$C,'Participation Adjustment'!$A:$A,$H74,'Participation Adjustment'!$B:$B,$I74),1)</f>
        <v>10589.913344390099</v>
      </c>
      <c r="AD74" s="79">
        <f>tbl_Data_old[[#This Row],[2033 ]]*IFERROR(AVERAGEIFS('Participation Adjustment'!$C:$C,'Participation Adjustment'!$A:$A,$H74,'Participation Adjustment'!$B:$B,$I74),1)</f>
        <v>11248.583453470899</v>
      </c>
      <c r="AE74" s="79">
        <f>tbl_Data_old[[#This Row],[2034 ]]*IFERROR(AVERAGEIFS('Participation Adjustment'!$C:$C,'Participation Adjustment'!$A:$A,$H74,'Participation Adjustment'!$B:$B,$I74),1)</f>
        <v>11988.4485756298</v>
      </c>
      <c r="AF74" s="77" t="str">
        <f t="shared" ref="AF74:AF105" si="44">IF(C74="Residential","Residential","NonResidential")</f>
        <v>Residential</v>
      </c>
      <c r="AG74" s="77" t="str">
        <f>tbl_Data[[#This Row],[All_Meas_Name_Append]]</f>
        <v>120v Heat Pump Water Heater 50 Gallons_Efficiency Delivered</v>
      </c>
      <c r="AH74" s="77">
        <f>AVERAGEIFS('3. Incentive Adjustment'!G:G,'3. Incentive Adjustment'!A:A,tbl_Data[[#This Row],[Trimmed Sector]],'3. Incentive Adjustment'!B:B,tbl_Data[[#This Row],[Trimmed Measure Name]])</f>
        <v>0.48531902873530169</v>
      </c>
      <c r="AI74" s="77">
        <f>$AH74*tbl_Data[[#This Row],[2025 ]]</f>
        <v>3507.0302398347858</v>
      </c>
      <c r="AJ74" s="77">
        <f>$AH74*tbl_Data[[#This Row],[2026 ]]</f>
        <v>3726.0920945165867</v>
      </c>
      <c r="AK74" s="77">
        <f>$AH74*tbl_Data[[#This Row],[2027 ]]</f>
        <v>3943.5808209965207</v>
      </c>
      <c r="AL74" s="77">
        <f>$AH74*tbl_Data[[#This Row],[2028 ]]</f>
        <v>4166.0919395356023</v>
      </c>
      <c r="AM74" s="77">
        <f>$AH74*tbl_Data[[#This Row],[2029 ]]</f>
        <v>4393.3851226626266</v>
      </c>
      <c r="AN74" s="77">
        <f>$AH74*tbl_Data[[#This Row],[2030 ]]</f>
        <v>4612.6647921602089</v>
      </c>
      <c r="AO74" s="77">
        <f>$AH74*tbl_Data[[#This Row],[2031 ]]</f>
        <v>4858.0964830365692</v>
      </c>
      <c r="AP74" s="77">
        <f>$AH74*tbl_Data[[#This Row],[2032 ]]</f>
        <v>5139.4864586904132</v>
      </c>
      <c r="AQ74" s="77">
        <f>$AH74*tbl_Data[[#This Row],[2033 ]]</f>
        <v>5459.1515962864823</v>
      </c>
      <c r="AR74" s="77">
        <f>$AH74*tbl_Data[[#This Row],[2034 ]]</f>
        <v>5818.2222187677653</v>
      </c>
      <c r="AS74" s="77">
        <f>SUM(tbl_Data[[#This Row],[Adjusted 2025]:[Adjusted 2034]])</f>
        <v>45623.801766487552</v>
      </c>
      <c r="AT74" s="80">
        <f>AVERAGEIFS('3. Incentive Adjustment'!F:F,'3. Incentive Adjustment'!A:A,tbl_Data[[#This Row],[Trimmed Sector]],'3. Incentive Adjustment'!B:B,tbl_Data[[#This Row],[Trimmed Measure Name]])</f>
        <v>605</v>
      </c>
      <c r="AU74" s="80">
        <f>IFERROR(VLOOKUP(tbl_Data[[#This Row],[All_Meas_Name_Append]],'IRA Tax Credits'!$A$3:$D$46,4,0),0)</f>
        <v>0</v>
      </c>
      <c r="AV74" s="81">
        <f>tbl_Data[[#This Row],[Adj. per unit Incentive ($)]]/tbl_Data[[#This Row],[kWh Savings]]*tbl_Data[[#This Row],[Sum of Annuals]]</f>
        <v>22997.656055571544</v>
      </c>
      <c r="AW74" s="81">
        <f>IFERROR(VLOOKUP(tbl_Data[[#This Row],[Column1]],'1. Set Program Names'!$B$2:$D$15,3,0)*tbl_Data[[#This Row],[Sum of Annuals]],"")</f>
        <v>19735.104169660543</v>
      </c>
      <c r="AX74" s="81">
        <f>tbl_Data[[#This Row],[per unit IRA tax ($)]]/tbl_Data[[#This Row],[kWh Savings]]*tbl_Data[[#This Row],[Sum of Annuals]]</f>
        <v>0</v>
      </c>
      <c r="AY74" s="81">
        <f>tbl_Data[[#This Row],[Avoided Costs ($/unit)]]/tbl_Data[[#This Row],[kWh Savings]]*tbl_Data[[#This Row],[Sum of Annuals]]</f>
        <v>21725.741297582346</v>
      </c>
      <c r="AZ74" s="81">
        <f>tbl_Data[[#This Row],[Lost Revenue ($/unit)]]/tbl_Data[[#This Row],[kWh Savings]]*tbl_Data[[#This Row],[Sum of Annuals]]</f>
        <v>58363.040315492442</v>
      </c>
      <c r="BA74" s="81">
        <f>tbl_Data[[#This Row],[Incremental Cost ($/unit)]]/tbl_Data[[#This Row],[kWh Savings]]*tbl_Data[[#This Row],[Sum of Annuals]]</f>
        <v>45995.312111143088</v>
      </c>
      <c r="BB74" s="77">
        <f>ROUNDUP(tbl_Data[[#This Row],[Adjusted 2025]]/$L74,0)</f>
        <v>3</v>
      </c>
      <c r="BC74" s="77">
        <f>ROUNDUP(tbl_Data[[#This Row],[Adjusted 2026]]/$L74,0)</f>
        <v>4</v>
      </c>
      <c r="BD74" s="77">
        <f>ROUNDUP(tbl_Data[[#This Row],[Adjusted 2027]]/$L74,0)</f>
        <v>4</v>
      </c>
      <c r="BE74" s="77">
        <f>ROUNDUP(tbl_Data[[#This Row],[Adjusted 2028]]/$L74,0)</f>
        <v>4</v>
      </c>
      <c r="BF74" s="77">
        <f>ROUNDUP(tbl_Data[[#This Row],[Adjusted 2029]]/$L74,0)</f>
        <v>4</v>
      </c>
      <c r="BG74" s="77">
        <f>ROUNDUP(tbl_Data[[#This Row],[Adjusted 2030]]/$L74,0)</f>
        <v>4</v>
      </c>
      <c r="BH74" s="77">
        <f>ROUNDUP(tbl_Data[[#This Row],[Adjusted 2031]]/$L74,0)</f>
        <v>5</v>
      </c>
      <c r="BI74" s="77">
        <f>ROUNDUP(tbl_Data[[#This Row],[Adjusted 2032]]/$L74,0)</f>
        <v>5</v>
      </c>
      <c r="BJ74" s="77">
        <f>ROUNDUP(tbl_Data[[#This Row],[Adjusted 2033]]/$L74,0)</f>
        <v>5</v>
      </c>
      <c r="BK74" s="77">
        <f>ROUNDUP(tbl_Data[[#This Row],[Adjusted 2034]]/$L74,0)</f>
        <v>5</v>
      </c>
      <c r="BL74" s="80">
        <f t="shared" ref="BL74:BL105" si="45">$AT74/$L74*V74</f>
        <v>3642.5396999396994</v>
      </c>
      <c r="BM74" s="80">
        <f t="shared" ref="BM74:BM105" si="46">$AT74/$L74*W74</f>
        <v>3870.0659679933419</v>
      </c>
      <c r="BN74" s="80">
        <f t="shared" ref="BN74:BN105" si="47">$AT74/$L74*X74</f>
        <v>4095.9583231530191</v>
      </c>
      <c r="BO74" s="80">
        <f t="shared" ref="BO74:BO105" si="48">$AT74/$L74*Y74</f>
        <v>4327.0671324670711</v>
      </c>
      <c r="BP74" s="80">
        <f t="shared" ref="BP74:BP105" si="49">$AT74/$L74*Z74</f>
        <v>4563.1427823607701</v>
      </c>
      <c r="BQ74" s="80">
        <f t="shared" ref="BQ74:BQ105" si="50">$AT74/$L74*AA74</f>
        <v>4790.8952814587601</v>
      </c>
      <c r="BR74" s="80">
        <f t="shared" ref="BR74:BR105" si="51">$AT74/$L74*AB74</f>
        <v>5045.810299722928</v>
      </c>
      <c r="BS74" s="80">
        <f t="shared" ref="BS74:BS105" si="52">$AT74/$L74*AC74</f>
        <v>5338.0730084506631</v>
      </c>
      <c r="BT74" s="80">
        <f t="shared" ref="BT74:BT105" si="53">$AT74/$L74*AD74</f>
        <v>5670.0898074946381</v>
      </c>
      <c r="BU74" s="80">
        <f t="shared" ref="BU74:BU105" si="54">$AT74/$L74*AE74</f>
        <v>6043.0346947710441</v>
      </c>
      <c r="BV74" s="80">
        <f>IFERROR(VLOOKUP($H74,'1. Set Program Names'!$B$2:$D$15,3,0)*V74,"NA")</f>
        <v>3125.7924827960251</v>
      </c>
      <c r="BW74" s="80">
        <f>IFERROR(VLOOKUP($H74,'1. Set Program Names'!$B$2:$D$15,3,0)*W74,"NA")</f>
        <v>3321.0408416080049</v>
      </c>
      <c r="BX74" s="80">
        <f>IFERROR(VLOOKUP($H74,'1. Set Program Names'!$B$2:$D$15,3,0)*X74,"NA")</f>
        <v>3514.8870818263063</v>
      </c>
      <c r="BY74" s="80">
        <f>IFERROR(VLOOKUP($H74,'1. Set Program Names'!$B$2:$D$15,3,0)*Y74,"NA")</f>
        <v>3713.2097463325467</v>
      </c>
      <c r="BZ74" s="80">
        <f>IFERROR(VLOOKUP($H74,'1. Set Program Names'!$B$2:$D$15,3,0)*Z74,"NA")</f>
        <v>3915.7946328668309</v>
      </c>
      <c r="CA74" s="80">
        <f>IFERROR(VLOOKUP($H74,'1. Set Program Names'!$B$2:$D$15,3,0)*AA74,"NA")</f>
        <v>4111.2371285602321</v>
      </c>
      <c r="CB74" s="80">
        <f>IFERROR(VLOOKUP($H74,'1. Set Program Names'!$B$2:$D$15,3,0)*AB74,"NA")</f>
        <v>4329.988745146632</v>
      </c>
      <c r="CC74" s="80">
        <f>IFERROR(VLOOKUP($H74,'1. Set Program Names'!$B$2:$D$15,3,0)*AC74,"NA")</f>
        <v>4580.7897392875821</v>
      </c>
      <c r="CD74" s="80">
        <f>IFERROR(VLOOKUP($H74,'1. Set Program Names'!$B$2:$D$15,3,0)*AD74,"NA")</f>
        <v>4865.7051280288042</v>
      </c>
      <c r="CE74" s="80">
        <f>IFERROR(VLOOKUP($H74,'1. Set Program Names'!$B$2:$D$15,3,0)*AE74,"NA")</f>
        <v>5185.7423606127359</v>
      </c>
    </row>
    <row r="75" spans="1:83" x14ac:dyDescent="0.25">
      <c r="A75" s="79" t="s">
        <v>87</v>
      </c>
      <c r="B75" s="79" t="s">
        <v>88</v>
      </c>
      <c r="C75" s="79" t="s">
        <v>89</v>
      </c>
      <c r="D75" s="79" t="s">
        <v>90</v>
      </c>
      <c r="E75" s="79" t="s">
        <v>91</v>
      </c>
      <c r="F75" s="79" t="s">
        <v>90</v>
      </c>
      <c r="G75" s="79" t="s">
        <v>92</v>
      </c>
      <c r="H75" s="79" t="s">
        <v>7</v>
      </c>
      <c r="I75" s="79" t="s">
        <v>423</v>
      </c>
      <c r="J75" s="79" t="s">
        <v>97</v>
      </c>
      <c r="K75" s="79" t="s">
        <v>102</v>
      </c>
      <c r="L75" s="79">
        <v>466.599999999999</v>
      </c>
      <c r="M75" s="79">
        <v>0.18933941062023901</v>
      </c>
      <c r="N75" s="79">
        <v>2.6910820932303899E-2</v>
      </c>
      <c r="O75" s="79">
        <v>674.44999999999902</v>
      </c>
      <c r="P75" s="79">
        <v>561.40215199999898</v>
      </c>
      <c r="Q75" s="79">
        <v>134.555491490957</v>
      </c>
      <c r="R75" s="79">
        <v>370.49545033119801</v>
      </c>
      <c r="S75" s="79">
        <v>705.301475078208</v>
      </c>
      <c r="T75" s="79">
        <v>20</v>
      </c>
      <c r="U75" s="79">
        <v>1</v>
      </c>
      <c r="V75" s="79">
        <f>tbl_Data_old[[#This Row],[2025 ]]*IFERROR(AVERAGEIFS('Participation Adjustment'!$C:$C,'Participation Adjustment'!$A:$A,$H75,'Participation Adjustment'!$B:$B,$I75),1)</f>
        <v>2487.29589231101</v>
      </c>
      <c r="W75" s="79">
        <f>tbl_Data_old[[#This Row],[2026 ]]*IFERROR(AVERAGEIFS('Participation Adjustment'!$C:$C,'Participation Adjustment'!$A:$A,$H75,'Participation Adjustment'!$B:$B,$I75),1)</f>
        <v>2407.1118783636398</v>
      </c>
      <c r="X75" s="79">
        <f>tbl_Data_old[[#This Row],[2027 ]]*IFERROR(AVERAGEIFS('Participation Adjustment'!$C:$C,'Participation Adjustment'!$A:$A,$H75,'Participation Adjustment'!$B:$B,$I75),1)</f>
        <v>2331.5779235125901</v>
      </c>
      <c r="Y75" s="79">
        <f>tbl_Data_old[[#This Row],[2028 ]]*IFERROR(AVERAGEIFS('Participation Adjustment'!$C:$C,'Participation Adjustment'!$A:$A,$H75,'Participation Adjustment'!$B:$B,$I75),1)</f>
        <v>2263.0689510617599</v>
      </c>
      <c r="Z75" s="79">
        <f>tbl_Data_old[[#This Row],[2029 ]]*IFERROR(AVERAGEIFS('Participation Adjustment'!$C:$C,'Participation Adjustment'!$A:$A,$H75,'Participation Adjustment'!$B:$B,$I75),1)</f>
        <v>2199.77247352121</v>
      </c>
      <c r="AA75" s="79">
        <f>tbl_Data_old[[#This Row],[2030 ]]*IFERROR(AVERAGEIFS('Participation Adjustment'!$C:$C,'Participation Adjustment'!$A:$A,$H75,'Participation Adjustment'!$B:$B,$I75),1)</f>
        <v>2134.5258516240701</v>
      </c>
      <c r="AB75" s="79">
        <f>tbl_Data_old[[#This Row],[2031 ]]*IFERROR(AVERAGEIFS('Participation Adjustment'!$C:$C,'Participation Adjustment'!$A:$A,$H75,'Participation Adjustment'!$B:$B,$I75),1)</f>
        <v>2082.34660736042</v>
      </c>
      <c r="AC75" s="79">
        <f>tbl_Data_old[[#This Row],[2032 ]]*IFERROR(AVERAGEIFS('Participation Adjustment'!$C:$C,'Participation Adjustment'!$A:$A,$H75,'Participation Adjustment'!$B:$B,$I75),1)</f>
        <v>2044.31788577567</v>
      </c>
      <c r="AD75" s="79">
        <f>tbl_Data_old[[#This Row],[2033 ]]*IFERROR(AVERAGEIFS('Participation Adjustment'!$C:$C,'Participation Adjustment'!$A:$A,$H75,'Participation Adjustment'!$B:$B,$I75),1)</f>
        <v>2018.20779502954</v>
      </c>
      <c r="AE75" s="79">
        <f>tbl_Data_old[[#This Row],[2034 ]]*IFERROR(AVERAGEIFS('Participation Adjustment'!$C:$C,'Participation Adjustment'!$A:$A,$H75,'Participation Adjustment'!$B:$B,$I75),1)</f>
        <v>2001.70598169855</v>
      </c>
      <c r="AF75" s="77" t="str">
        <f t="shared" si="44"/>
        <v>Residential</v>
      </c>
      <c r="AG75" s="77" t="str">
        <f>tbl_Data[[#This Row],[All_Meas_Name_Append]]</f>
        <v>Air Sealing-Infiltration Control_Efficiency Delivered</v>
      </c>
      <c r="AH75" s="77">
        <f>AVERAGEIFS('3. Incentive Adjustment'!G:G,'3. Incentive Adjustment'!A:A,tbl_Data[[#This Row],[Trimmed Sector]],'3. Incentive Adjustment'!B:B,tbl_Data[[#This Row],[Trimmed Measure Name]])</f>
        <v>0.28148574428673256</v>
      </c>
      <c r="AI75" s="77">
        <f>$AH75*tbl_Data[[#This Row],[2025 ]]</f>
        <v>700.13833550849722</v>
      </c>
      <c r="AJ75" s="77">
        <f>$AH75*tbl_Data[[#This Row],[2026 ]]</f>
        <v>677.56767866262396</v>
      </c>
      <c r="AK75" s="77">
        <f>$AH75*tbl_Data[[#This Row],[2027 ]]</f>
        <v>656.30594716245582</v>
      </c>
      <c r="AL75" s="77">
        <f>$AH75*tbl_Data[[#This Row],[2028 ]]</f>
        <v>637.02164806181463</v>
      </c>
      <c r="AM75" s="77">
        <f>$AH75*tbl_Data[[#This Row],[2029 ]]</f>
        <v>619.20459197058449</v>
      </c>
      <c r="AN75" s="77">
        <f>$AH75*tbl_Data[[#This Row],[2030 ]]</f>
        <v>600.83859804367307</v>
      </c>
      <c r="AO75" s="77">
        <f>$AH75*tbl_Data[[#This Row],[2031 ]]</f>
        <v>586.15088463580025</v>
      </c>
      <c r="AP75" s="77">
        <f>$AH75*tbl_Data[[#This Row],[2032 ]]</f>
        <v>575.44634163624403</v>
      </c>
      <c r="AQ75" s="77">
        <f>$AH75*tbl_Data[[#This Row],[2033 ]]</f>
        <v>568.09672330917545</v>
      </c>
      <c r="AR75" s="77">
        <f>$AH75*tbl_Data[[#This Row],[2034 ]]</f>
        <v>563.45169810162099</v>
      </c>
      <c r="AS75" s="77">
        <f>SUM(tbl_Data[[#This Row],[Adjusted 2025]:[Adjusted 2034]])</f>
        <v>6184.2224470924903</v>
      </c>
      <c r="AT75" s="80">
        <f>AVERAGEIFS('3. Incentive Adjustment'!F:F,'3. Incentive Adjustment'!A:A,tbl_Data[[#This Row],[Trimmed Sector]],'3. Incentive Adjustment'!B:B,tbl_Data[[#This Row],[Trimmed Measure Name]])</f>
        <v>337.22499999999951</v>
      </c>
      <c r="AU75" s="80">
        <f>IFERROR(VLOOKUP(tbl_Data[[#This Row],[All_Meas_Name_Append]],'IRA Tax Credits'!$A$3:$D$46,4,0),0)</f>
        <v>0</v>
      </c>
      <c r="AV75" s="81">
        <f>tbl_Data[[#This Row],[Adj. per unit Incentive ($)]]/tbl_Data[[#This Row],[kWh Savings]]*tbl_Data[[#This Row],[Sum of Annuals]]</f>
        <v>4469.512247579868</v>
      </c>
      <c r="AW75" s="81">
        <f>IFERROR(VLOOKUP(tbl_Data[[#This Row],[Column1]],'1. Set Program Names'!$B$2:$D$15,3,0)*tbl_Data[[#This Row],[Sum of Annuals]],"")</f>
        <v>2675.0570859127974</v>
      </c>
      <c r="AX75" s="81">
        <f>tbl_Data[[#This Row],[per unit IRA tax ($)]]/tbl_Data[[#This Row],[kWh Savings]]*tbl_Data[[#This Row],[Sum of Annuals]]</f>
        <v>0</v>
      </c>
      <c r="AY75" s="81">
        <f>tbl_Data[[#This Row],[Avoided Costs ($/unit)]]/tbl_Data[[#This Row],[kWh Savings]]*tbl_Data[[#This Row],[Sum of Annuals]]</f>
        <v>4910.4720970506651</v>
      </c>
      <c r="AZ75" s="81">
        <f>tbl_Data[[#This Row],[Lost Revenue ($/unit)]]/tbl_Data[[#This Row],[kWh Savings]]*tbl_Data[[#This Row],[Sum of Annuals]]</f>
        <v>9347.9237337036175</v>
      </c>
      <c r="BA75" s="81">
        <f>tbl_Data[[#This Row],[Incremental Cost ($/unit)]]/tbl_Data[[#This Row],[kWh Savings]]*tbl_Data[[#This Row],[Sum of Annuals]]</f>
        <v>8939.024495159736</v>
      </c>
      <c r="BB75" s="77">
        <f>ROUNDUP(tbl_Data[[#This Row],[Adjusted 2025]]/$L75,0)</f>
        <v>2</v>
      </c>
      <c r="BC75" s="77">
        <f>ROUNDUP(tbl_Data[[#This Row],[Adjusted 2026]]/$L75,0)</f>
        <v>2</v>
      </c>
      <c r="BD75" s="77">
        <f>ROUNDUP(tbl_Data[[#This Row],[Adjusted 2027]]/$L75,0)</f>
        <v>2</v>
      </c>
      <c r="BE75" s="77">
        <f>ROUNDUP(tbl_Data[[#This Row],[Adjusted 2028]]/$L75,0)</f>
        <v>2</v>
      </c>
      <c r="BF75" s="77">
        <f>ROUNDUP(tbl_Data[[#This Row],[Adjusted 2029]]/$L75,0)</f>
        <v>2</v>
      </c>
      <c r="BG75" s="77">
        <f>ROUNDUP(tbl_Data[[#This Row],[Adjusted 2030]]/$L75,0)</f>
        <v>2</v>
      </c>
      <c r="BH75" s="77">
        <f>ROUNDUP(tbl_Data[[#This Row],[Adjusted 2031]]/$L75,0)</f>
        <v>2</v>
      </c>
      <c r="BI75" s="77">
        <f>ROUNDUP(tbl_Data[[#This Row],[Adjusted 2032]]/$L75,0)</f>
        <v>2</v>
      </c>
      <c r="BJ75" s="77">
        <f>ROUNDUP(tbl_Data[[#This Row],[Adjusted 2033]]/$L75,0)</f>
        <v>2</v>
      </c>
      <c r="BK75" s="77">
        <f>ROUNDUP(tbl_Data[[#This Row],[Adjusted 2034]]/$L75,0)</f>
        <v>2</v>
      </c>
      <c r="BL75" s="80">
        <f t="shared" si="45"/>
        <v>1797.638999752638</v>
      </c>
      <c r="BM75" s="80">
        <f t="shared" si="46"/>
        <v>1739.6877479236582</v>
      </c>
      <c r="BN75" s="80">
        <f t="shared" si="47"/>
        <v>1685.0972251533085</v>
      </c>
      <c r="BO75" s="80">
        <f t="shared" si="48"/>
        <v>1635.5838555975192</v>
      </c>
      <c r="BP75" s="80">
        <f t="shared" si="49"/>
        <v>1589.8377033501727</v>
      </c>
      <c r="BQ75" s="80">
        <f t="shared" si="50"/>
        <v>1542.6821266908005</v>
      </c>
      <c r="BR75" s="80">
        <f t="shared" si="51"/>
        <v>1504.9707129599615</v>
      </c>
      <c r="BS75" s="80">
        <f t="shared" si="52"/>
        <v>1477.4862816774555</v>
      </c>
      <c r="BT75" s="80">
        <f t="shared" si="53"/>
        <v>1458.6157815663032</v>
      </c>
      <c r="BU75" s="80">
        <f t="shared" si="54"/>
        <v>1446.689454947051</v>
      </c>
      <c r="BV75" s="80">
        <f>IFERROR(VLOOKUP($H75,'1. Set Program Names'!$B$2:$D$15,3,0)*V75,"NA")</f>
        <v>1075.9086624732549</v>
      </c>
      <c r="BW75" s="80">
        <f>IFERROR(VLOOKUP($H75,'1. Set Program Names'!$B$2:$D$15,3,0)*W75,"NA")</f>
        <v>1041.224138020599</v>
      </c>
      <c r="BX75" s="80">
        <f>IFERROR(VLOOKUP($H75,'1. Set Program Names'!$B$2:$D$15,3,0)*X75,"NA")</f>
        <v>1008.5510505176883</v>
      </c>
      <c r="BY75" s="80">
        <f>IFERROR(VLOOKUP($H75,'1. Set Program Names'!$B$2:$D$15,3,0)*Y75,"NA")</f>
        <v>978.91670056163844</v>
      </c>
      <c r="BZ75" s="80">
        <f>IFERROR(VLOOKUP($H75,'1. Set Program Names'!$B$2:$D$15,3,0)*Z75,"NA")</f>
        <v>951.53707568450056</v>
      </c>
      <c r="CA75" s="80">
        <f>IFERROR(VLOOKUP($H75,'1. Set Program Names'!$B$2:$D$15,3,0)*AA75,"NA")</f>
        <v>923.3138932664948</v>
      </c>
      <c r="CB75" s="80">
        <f>IFERROR(VLOOKUP($H75,'1. Set Program Names'!$B$2:$D$15,3,0)*AB75,"NA")</f>
        <v>900.74315647634637</v>
      </c>
      <c r="CC75" s="80">
        <f>IFERROR(VLOOKUP($H75,'1. Set Program Names'!$B$2:$D$15,3,0)*AC75,"NA")</f>
        <v>884.29339225557226</v>
      </c>
      <c r="CD75" s="80">
        <f>IFERROR(VLOOKUP($H75,'1. Set Program Names'!$B$2:$D$15,3,0)*AD75,"NA")</f>
        <v>872.99916992417809</v>
      </c>
      <c r="CE75" s="80">
        <f>IFERROR(VLOOKUP($H75,'1. Set Program Names'!$B$2:$D$15,3,0)*AE75,"NA")</f>
        <v>865.86111933509733</v>
      </c>
    </row>
    <row r="76" spans="1:83" x14ac:dyDescent="0.25">
      <c r="A76" s="79" t="s">
        <v>87</v>
      </c>
      <c r="B76" s="79" t="s">
        <v>88</v>
      </c>
      <c r="C76" s="79" t="s">
        <v>89</v>
      </c>
      <c r="D76" s="79" t="s">
        <v>90</v>
      </c>
      <c r="E76" s="79" t="s">
        <v>91</v>
      </c>
      <c r="F76" s="79" t="s">
        <v>90</v>
      </c>
      <c r="G76" s="79" t="s">
        <v>92</v>
      </c>
      <c r="H76" s="79" t="s">
        <v>7</v>
      </c>
      <c r="I76" s="79" t="s">
        <v>424</v>
      </c>
      <c r="J76" s="79" t="s">
        <v>97</v>
      </c>
      <c r="K76" s="79" t="s">
        <v>98</v>
      </c>
      <c r="L76" s="79">
        <v>5868.07</v>
      </c>
      <c r="M76" s="79">
        <v>0.20813520080661799</v>
      </c>
      <c r="N76" s="79">
        <v>1.1349578069705</v>
      </c>
      <c r="O76" s="79">
        <v>1935.1666666666599</v>
      </c>
      <c r="P76" s="79">
        <v>513.45064263862798</v>
      </c>
      <c r="Q76" s="79">
        <v>1692.2011207744099</v>
      </c>
      <c r="R76" s="79">
        <v>3388.0400735263802</v>
      </c>
      <c r="S76" s="79">
        <v>7811.7411984889604</v>
      </c>
      <c r="T76" s="79">
        <v>16</v>
      </c>
      <c r="U76" s="79">
        <v>0.1</v>
      </c>
      <c r="V76" s="79">
        <f>tbl_Data_old[[#This Row],[2025 ]]*IFERROR(AVERAGEIFS('Participation Adjustment'!$C:$C,'Participation Adjustment'!$A:$A,$H76,'Participation Adjustment'!$B:$B,$I76),1)</f>
        <v>45156.892441113698</v>
      </c>
      <c r="W76" s="79">
        <f>tbl_Data_old[[#This Row],[2026 ]]*IFERROR(AVERAGEIFS('Participation Adjustment'!$C:$C,'Participation Adjustment'!$A:$A,$H76,'Participation Adjustment'!$B:$B,$I76),1)</f>
        <v>47833.142445536701</v>
      </c>
      <c r="X76" s="79">
        <f>tbl_Data_old[[#This Row],[2027 ]]*IFERROR(AVERAGEIFS('Participation Adjustment'!$C:$C,'Participation Adjustment'!$A:$A,$H76,'Participation Adjustment'!$B:$B,$I76),1)</f>
        <v>50469.409352955598</v>
      </c>
      <c r="Y76" s="79">
        <f>tbl_Data_old[[#This Row],[2028 ]]*IFERROR(AVERAGEIFS('Participation Adjustment'!$C:$C,'Participation Adjustment'!$A:$A,$H76,'Participation Adjustment'!$B:$B,$I76),1)</f>
        <v>53150.142249579701</v>
      </c>
      <c r="Z76" s="79">
        <f>tbl_Data_old[[#This Row],[2029 ]]*IFERROR(AVERAGEIFS('Participation Adjustment'!$C:$C,'Participation Adjustment'!$A:$A,$H76,'Participation Adjustment'!$B:$B,$I76),1)</f>
        <v>55872.076310802899</v>
      </c>
      <c r="AA76" s="79">
        <f>tbl_Data_old[[#This Row],[2030 ]]*IFERROR(AVERAGEIFS('Participation Adjustment'!$C:$C,'Participation Adjustment'!$A:$A,$H76,'Participation Adjustment'!$B:$B,$I76),1)</f>
        <v>58472.992028387998</v>
      </c>
      <c r="AB76" s="79">
        <f>tbl_Data_old[[#This Row],[2031 ]]*IFERROR(AVERAGEIFS('Participation Adjustment'!$C:$C,'Participation Adjustment'!$A:$A,$H76,'Participation Adjustment'!$B:$B,$I76),1)</f>
        <v>61386.128192589902</v>
      </c>
      <c r="AC76" s="79">
        <f>tbl_Data_old[[#This Row],[2032 ]]*IFERROR(AVERAGEIFS('Participation Adjustment'!$C:$C,'Participation Adjustment'!$A:$A,$H76,'Participation Adjustment'!$B:$B,$I76),1)</f>
        <v>64732.157891890303</v>
      </c>
      <c r="AD76" s="79">
        <f>tbl_Data_old[[#This Row],[2033 ]]*IFERROR(AVERAGEIFS('Participation Adjustment'!$C:$C,'Participation Adjustment'!$A:$A,$H76,'Participation Adjustment'!$B:$B,$I76),1)</f>
        <v>68535.901858009005</v>
      </c>
      <c r="AE76" s="79">
        <f>tbl_Data_old[[#This Row],[2034 ]]*IFERROR(AVERAGEIFS('Participation Adjustment'!$C:$C,'Participation Adjustment'!$A:$A,$H76,'Participation Adjustment'!$B:$B,$I76),1)</f>
        <v>72806.7951418593</v>
      </c>
      <c r="AF76" s="77" t="str">
        <f t="shared" si="44"/>
        <v>Residential</v>
      </c>
      <c r="AG76" s="77" t="str">
        <f>tbl_Data[[#This Row],[All_Meas_Name_Append]]</f>
        <v>ASHP - CEE Tier 2: 16.8 SEER/16 SEER2; 9.0 HSPF (from elec resistance)_Efficiency Delivered</v>
      </c>
      <c r="AH76" s="77">
        <f>AVERAGEIFS('3. Incentive Adjustment'!G:G,'3. Incentive Adjustment'!A:A,tbl_Data[[#This Row],[Trimmed Sector]],'3. Incentive Adjustment'!B:B,tbl_Data[[#This Row],[Trimmed Measure Name]])</f>
        <v>1</v>
      </c>
      <c r="AI76" s="77">
        <f>$AH76*tbl_Data[[#This Row],[2025 ]]</f>
        <v>45156.892441113698</v>
      </c>
      <c r="AJ76" s="77">
        <f>$AH76*tbl_Data[[#This Row],[2026 ]]</f>
        <v>47833.142445536701</v>
      </c>
      <c r="AK76" s="77">
        <f>$AH76*tbl_Data[[#This Row],[2027 ]]</f>
        <v>50469.409352955598</v>
      </c>
      <c r="AL76" s="77">
        <f>$AH76*tbl_Data[[#This Row],[2028 ]]</f>
        <v>53150.142249579701</v>
      </c>
      <c r="AM76" s="77">
        <f>$AH76*tbl_Data[[#This Row],[2029 ]]</f>
        <v>55872.076310802899</v>
      </c>
      <c r="AN76" s="77">
        <f>$AH76*tbl_Data[[#This Row],[2030 ]]</f>
        <v>58472.992028387998</v>
      </c>
      <c r="AO76" s="77">
        <f>$AH76*tbl_Data[[#This Row],[2031 ]]</f>
        <v>61386.128192589902</v>
      </c>
      <c r="AP76" s="77">
        <f>$AH76*tbl_Data[[#This Row],[2032 ]]</f>
        <v>64732.157891890303</v>
      </c>
      <c r="AQ76" s="77">
        <f>$AH76*tbl_Data[[#This Row],[2033 ]]</f>
        <v>68535.901858009005</v>
      </c>
      <c r="AR76" s="77">
        <f>$AH76*tbl_Data[[#This Row],[2034 ]]</f>
        <v>72806.7951418593</v>
      </c>
      <c r="AS76" s="77">
        <f>SUM(tbl_Data[[#This Row],[Adjusted 2025]:[Adjusted 2034]])</f>
        <v>578415.6379127251</v>
      </c>
      <c r="AT76" s="80">
        <f>AVERAGEIFS('3. Incentive Adjustment'!F:F,'3. Incentive Adjustment'!A:A,tbl_Data[[#This Row],[Trimmed Sector]],'3. Incentive Adjustment'!B:B,tbl_Data[[#This Row],[Trimmed Measure Name]])</f>
        <v>513.45064263862798</v>
      </c>
      <c r="AU76" s="80">
        <f>IFERROR(VLOOKUP(tbl_Data[[#This Row],[All_Meas_Name_Append]],'IRA Tax Credits'!$A$3:$D$46,4,0),0)</f>
        <v>0</v>
      </c>
      <c r="AV76" s="81">
        <f>tbl_Data[[#This Row],[Adj. per unit Incentive ($)]]/tbl_Data[[#This Row],[kWh Savings]]*tbl_Data[[#This Row],[Sum of Annuals]]</f>
        <v>50610.827921023556</v>
      </c>
      <c r="AW76" s="81">
        <f>IFERROR(VLOOKUP(tbl_Data[[#This Row],[Column1]],'1. Set Program Names'!$B$2:$D$15,3,0)*tbl_Data[[#This Row],[Sum of Annuals]],"")</f>
        <v>250200.38720125053</v>
      </c>
      <c r="AX76" s="81">
        <f>tbl_Data[[#This Row],[per unit IRA tax ($)]]/tbl_Data[[#This Row],[kWh Savings]]*tbl_Data[[#This Row],[Sum of Annuals]]</f>
        <v>0</v>
      </c>
      <c r="AY76" s="81">
        <f>tbl_Data[[#This Row],[Avoided Costs ($/unit)]]/tbl_Data[[#This Row],[kWh Savings]]*tbl_Data[[#This Row],[Sum of Annuals]]</f>
        <v>333959.09735273052</v>
      </c>
      <c r="AZ76" s="81">
        <f>tbl_Data[[#This Row],[Lost Revenue ($/unit)]]/tbl_Data[[#This Row],[kWh Savings]]*tbl_Data[[#This Row],[Sum of Annuals]]</f>
        <v>770003.30066497298</v>
      </c>
      <c r="BA76" s="81">
        <f>tbl_Data[[#This Row],[Incremental Cost ($/unit)]]/tbl_Data[[#This Row],[kWh Savings]]*tbl_Data[[#This Row],[Sum of Annuals]]</f>
        <v>190749.37108238961</v>
      </c>
      <c r="BB76" s="77">
        <f>ROUNDUP(tbl_Data[[#This Row],[Adjusted 2025]]/$L76,0)</f>
        <v>8</v>
      </c>
      <c r="BC76" s="77">
        <f>ROUNDUP(tbl_Data[[#This Row],[Adjusted 2026]]/$L76,0)</f>
        <v>9</v>
      </c>
      <c r="BD76" s="77">
        <f>ROUNDUP(tbl_Data[[#This Row],[Adjusted 2027]]/$L76,0)</f>
        <v>9</v>
      </c>
      <c r="BE76" s="77">
        <f>ROUNDUP(tbl_Data[[#This Row],[Adjusted 2028]]/$L76,0)</f>
        <v>10</v>
      </c>
      <c r="BF76" s="77">
        <f>ROUNDUP(tbl_Data[[#This Row],[Adjusted 2029]]/$L76,0)</f>
        <v>10</v>
      </c>
      <c r="BG76" s="77">
        <f>ROUNDUP(tbl_Data[[#This Row],[Adjusted 2030]]/$L76,0)</f>
        <v>10</v>
      </c>
      <c r="BH76" s="77">
        <f>ROUNDUP(tbl_Data[[#This Row],[Adjusted 2031]]/$L76,0)</f>
        <v>11</v>
      </c>
      <c r="BI76" s="77">
        <f>ROUNDUP(tbl_Data[[#This Row],[Adjusted 2032]]/$L76,0)</f>
        <v>12</v>
      </c>
      <c r="BJ76" s="77">
        <f>ROUNDUP(tbl_Data[[#This Row],[Adjusted 2033]]/$L76,0)</f>
        <v>12</v>
      </c>
      <c r="BK76" s="77">
        <f>ROUNDUP(tbl_Data[[#This Row],[Adjusted 2034]]/$L76,0)</f>
        <v>13</v>
      </c>
      <c r="BL76" s="80">
        <f t="shared" si="45"/>
        <v>3951.1858998705252</v>
      </c>
      <c r="BM76" s="80">
        <f t="shared" si="46"/>
        <v>4185.3552749176224</v>
      </c>
      <c r="BN76" s="80">
        <f t="shared" si="47"/>
        <v>4416.0261663318661</v>
      </c>
      <c r="BO76" s="80">
        <f t="shared" si="48"/>
        <v>4650.5877902583288</v>
      </c>
      <c r="BP76" s="80">
        <f t="shared" si="49"/>
        <v>4888.7544775942033</v>
      </c>
      <c r="BQ76" s="80">
        <f t="shared" si="50"/>
        <v>5116.3321729255431</v>
      </c>
      <c r="BR76" s="80">
        <f t="shared" si="51"/>
        <v>5371.2288656376777</v>
      </c>
      <c r="BS76" s="80">
        <f t="shared" si="52"/>
        <v>5664.003338231516</v>
      </c>
      <c r="BT76" s="80">
        <f t="shared" si="53"/>
        <v>5996.8273815432785</v>
      </c>
      <c r="BU76" s="80">
        <f t="shared" si="54"/>
        <v>6370.5265537129926</v>
      </c>
      <c r="BV76" s="80">
        <f>IFERROR(VLOOKUP($H76,'1. Set Program Names'!$B$2:$D$15,3,0)*V76,"NA")</f>
        <v>19533.137130149</v>
      </c>
      <c r="BW76" s="80">
        <f>IFERROR(VLOOKUP($H76,'1. Set Program Names'!$B$2:$D$15,3,0)*W76,"NA")</f>
        <v>20690.780083528171</v>
      </c>
      <c r="BX76" s="80">
        <f>IFERROR(VLOOKUP($H76,'1. Set Program Names'!$B$2:$D$15,3,0)*X76,"NA")</f>
        <v>21831.127884950467</v>
      </c>
      <c r="BY76" s="80">
        <f>IFERROR(VLOOKUP($H76,'1. Set Program Names'!$B$2:$D$15,3,0)*Y76,"NA")</f>
        <v>22990.709965301627</v>
      </c>
      <c r="BZ76" s="80">
        <f>IFERROR(VLOOKUP($H76,'1. Set Program Names'!$B$2:$D$15,3,0)*Z76,"NA")</f>
        <v>24168.114086863556</v>
      </c>
      <c r="CA76" s="80">
        <f>IFERROR(VLOOKUP($H76,'1. Set Program Names'!$B$2:$D$15,3,0)*AA76,"NA")</f>
        <v>25293.170321452773</v>
      </c>
      <c r="CB76" s="80">
        <f>IFERROR(VLOOKUP($H76,'1. Set Program Names'!$B$2:$D$15,3,0)*AB76,"NA")</f>
        <v>26553.281128421062</v>
      </c>
      <c r="CC76" s="80">
        <f>IFERROR(VLOOKUP($H76,'1. Set Program Names'!$B$2:$D$15,3,0)*AC76,"NA")</f>
        <v>28000.645050622217</v>
      </c>
      <c r="CD76" s="80">
        <f>IFERROR(VLOOKUP($H76,'1. Set Program Names'!$B$2:$D$15,3,0)*AD76,"NA")</f>
        <v>29645.99858319894</v>
      </c>
      <c r="CE76" s="80">
        <f>IFERROR(VLOOKUP($H76,'1. Set Program Names'!$B$2:$D$15,3,0)*AE76,"NA")</f>
        <v>31493.422966762715</v>
      </c>
    </row>
    <row r="77" spans="1:83" x14ac:dyDescent="0.25">
      <c r="A77" s="79" t="s">
        <v>87</v>
      </c>
      <c r="B77" s="79" t="s">
        <v>88</v>
      </c>
      <c r="C77" s="79" t="s">
        <v>89</v>
      </c>
      <c r="D77" s="79" t="s">
        <v>90</v>
      </c>
      <c r="E77" s="79" t="s">
        <v>91</v>
      </c>
      <c r="F77" s="79" t="s">
        <v>90</v>
      </c>
      <c r="G77" s="79" t="s">
        <v>92</v>
      </c>
      <c r="H77" s="79" t="s">
        <v>7</v>
      </c>
      <c r="I77" s="79" t="s">
        <v>425</v>
      </c>
      <c r="J77" s="79" t="s">
        <v>97</v>
      </c>
      <c r="K77" s="79" t="s">
        <v>98</v>
      </c>
      <c r="L77" s="79">
        <v>253.96999999999801</v>
      </c>
      <c r="M77" s="79">
        <v>0.107126245482503</v>
      </c>
      <c r="N77" s="79">
        <v>1.33192706841354E-2</v>
      </c>
      <c r="O77" s="79">
        <v>874.99999999999898</v>
      </c>
      <c r="P77" s="79">
        <v>813.468148399999</v>
      </c>
      <c r="Q77" s="79">
        <v>73.238444436258604</v>
      </c>
      <c r="R77" s="79">
        <v>185.54516688855901</v>
      </c>
      <c r="S77" s="79">
        <v>338.09206641710699</v>
      </c>
      <c r="T77" s="79">
        <v>16</v>
      </c>
      <c r="U77" s="79">
        <v>9.9999999999999895E-2</v>
      </c>
      <c r="V77" s="79">
        <f>tbl_Data_old[[#This Row],[2025 ]]*IFERROR(AVERAGEIFS('Participation Adjustment'!$C:$C,'Participation Adjustment'!$A:$A,$H77,'Participation Adjustment'!$B:$B,$I77),1)</f>
        <v>6403.4953372358796</v>
      </c>
      <c r="W77" s="79">
        <f>tbl_Data_old[[#This Row],[2026 ]]*IFERROR(AVERAGEIFS('Participation Adjustment'!$C:$C,'Participation Adjustment'!$A:$A,$H77,'Participation Adjustment'!$B:$B,$I77),1)</f>
        <v>7162.1265099292104</v>
      </c>
      <c r="X77" s="79">
        <f>tbl_Data_old[[#This Row],[2027 ]]*IFERROR(AVERAGEIFS('Participation Adjustment'!$C:$C,'Participation Adjustment'!$A:$A,$H77,'Participation Adjustment'!$B:$B,$I77),1)</f>
        <v>7871.68929935919</v>
      </c>
      <c r="Y77" s="79">
        <f>tbl_Data_old[[#This Row],[2028 ]]*IFERROR(AVERAGEIFS('Participation Adjustment'!$C:$C,'Participation Adjustment'!$A:$A,$H77,'Participation Adjustment'!$B:$B,$I77),1)</f>
        <v>8551.8101162827297</v>
      </c>
      <c r="Z77" s="79">
        <f>tbl_Data_old[[#This Row],[2029 ]]*IFERROR(AVERAGEIFS('Participation Adjustment'!$C:$C,'Participation Adjustment'!$A:$A,$H77,'Participation Adjustment'!$B:$B,$I77),1)</f>
        <v>9208.0744238273401</v>
      </c>
      <c r="AA77" s="79">
        <f>tbl_Data_old[[#This Row],[2030 ]]*IFERROR(AVERAGEIFS('Participation Adjustment'!$C:$C,'Participation Adjustment'!$A:$A,$H77,'Participation Adjustment'!$B:$B,$I77),1)</f>
        <v>9818.2550129053798</v>
      </c>
      <c r="AB77" s="79">
        <f>tbl_Data_old[[#This Row],[2031 ]]*IFERROR(AVERAGEIFS('Participation Adjustment'!$C:$C,'Participation Adjustment'!$A:$A,$H77,'Participation Adjustment'!$B:$B,$I77),1)</f>
        <v>10459.216306586401</v>
      </c>
      <c r="AC77" s="79">
        <f>tbl_Data_old[[#This Row],[2032 ]]*IFERROR(AVERAGEIFS('Participation Adjustment'!$C:$C,'Participation Adjustment'!$A:$A,$H77,'Participation Adjustment'!$B:$B,$I77),1)</f>
        <v>11157.3068976962</v>
      </c>
      <c r="AD77" s="79">
        <f>tbl_Data_old[[#This Row],[2033 ]]*IFERROR(AVERAGEIFS('Participation Adjustment'!$C:$C,'Participation Adjustment'!$A:$A,$H77,'Participation Adjustment'!$B:$B,$I77),1)</f>
        <v>11921.8498089774</v>
      </c>
      <c r="AE77" s="79">
        <f>tbl_Data_old[[#This Row],[2034 ]]*IFERROR(AVERAGEIFS('Participation Adjustment'!$C:$C,'Participation Adjustment'!$A:$A,$H77,'Participation Adjustment'!$B:$B,$I77),1)</f>
        <v>12758.590910515501</v>
      </c>
      <c r="AF77" s="77" t="str">
        <f t="shared" si="44"/>
        <v>Residential</v>
      </c>
      <c r="AG77" s="77" t="str">
        <f>tbl_Data[[#This Row],[All_Meas_Name_Append]]</f>
        <v>ASHP - ENERGY STAR/CEE Tier 1: 16 SEER/15.2 SEER2_ 9.0 HSPF_Efficiency Delivered</v>
      </c>
      <c r="AH77" s="77">
        <f>AVERAGEIFS('3. Incentive Adjustment'!G:G,'3. Incentive Adjustment'!A:A,tbl_Data[[#This Row],[Trimmed Sector]],'3. Incentive Adjustment'!B:B,tbl_Data[[#This Row],[Trimmed Measure Name]])</f>
        <v>2.0121332905056414E-2</v>
      </c>
      <c r="AI77" s="77">
        <f>$AH77*tbl_Data[[#This Row],[2025 ]]</f>
        <v>128.84686143649961</v>
      </c>
      <c r="AJ77" s="77">
        <f>$AH77*tbl_Data[[#This Row],[2026 ]]</f>
        <v>144.11153181441549</v>
      </c>
      <c r="AK77" s="77">
        <f>$AH77*tbl_Data[[#This Row],[2027 ]]</f>
        <v>158.38888091757653</v>
      </c>
      <c r="AL77" s="77">
        <f>$AH77*tbl_Data[[#This Row],[2028 ]]</f>
        <v>172.07381829055402</v>
      </c>
      <c r="AM77" s="77">
        <f>$AH77*tbl_Data[[#This Row],[2029 ]]</f>
        <v>185.27873089636543</v>
      </c>
      <c r="AN77" s="77">
        <f>$AH77*tbl_Data[[#This Row],[2030 ]]</f>
        <v>197.55637766140811</v>
      </c>
      <c r="AO77" s="77">
        <f>$AH77*tbl_Data[[#This Row],[2031 ]]</f>
        <v>210.45337323081955</v>
      </c>
      <c r="AP77" s="77">
        <f>$AH77*tbl_Data[[#This Row],[2032 ]]</f>
        <v>224.49988641242746</v>
      </c>
      <c r="AQ77" s="77">
        <f>$AH77*tbl_Data[[#This Row],[2033 ]]</f>
        <v>239.88350885051747</v>
      </c>
      <c r="AR77" s="77">
        <f>$AH77*tbl_Data[[#This Row],[2034 ]]</f>
        <v>256.71985510990919</v>
      </c>
      <c r="AS77" s="77">
        <f>SUM(tbl_Data[[#This Row],[Adjusted 2025]:[Adjusted 2034]])</f>
        <v>1917.8128246204928</v>
      </c>
      <c r="AT77" s="80">
        <f>AVERAGEIFS('3. Incentive Adjustment'!F:F,'3. Incentive Adjustment'!A:A,tbl_Data[[#This Row],[Trimmed Sector]],'3. Incentive Adjustment'!B:B,tbl_Data[[#This Row],[Trimmed Measure Name]])</f>
        <v>437.49999999999949</v>
      </c>
      <c r="AU77" s="80">
        <f>IFERROR(VLOOKUP(tbl_Data[[#This Row],[All_Meas_Name_Append]],'IRA Tax Credits'!$A$3:$D$46,4,0),0)</f>
        <v>0</v>
      </c>
      <c r="AV77" s="81">
        <f>tbl_Data[[#This Row],[Adj. per unit Incentive ($)]]/tbl_Data[[#This Row],[kWh Savings]]*tbl_Data[[#This Row],[Sum of Annuals]]</f>
        <v>3303.7095356596105</v>
      </c>
      <c r="AW77" s="81">
        <f>IFERROR(VLOOKUP(tbl_Data[[#This Row],[Column1]],'1. Set Program Names'!$B$2:$D$15,3,0)*tbl_Data[[#This Row],[Sum of Annuals]],"")</f>
        <v>829.57216203752103</v>
      </c>
      <c r="AX77" s="81">
        <f>tbl_Data[[#This Row],[per unit IRA tax ($)]]/tbl_Data[[#This Row],[kWh Savings]]*tbl_Data[[#This Row],[Sum of Annuals]]</f>
        <v>0</v>
      </c>
      <c r="AY77" s="81">
        <f>tbl_Data[[#This Row],[Avoided Costs ($/unit)]]/tbl_Data[[#This Row],[kWh Savings]]*tbl_Data[[#This Row],[Sum of Annuals]]</f>
        <v>1401.1139134749415</v>
      </c>
      <c r="AZ77" s="81">
        <f>tbl_Data[[#This Row],[Lost Revenue ($/unit)]]/tbl_Data[[#This Row],[kWh Savings]]*tbl_Data[[#This Row],[Sum of Annuals]]</f>
        <v>2553.046820006994</v>
      </c>
      <c r="BA77" s="81">
        <f>tbl_Data[[#This Row],[Incremental Cost ($/unit)]]/tbl_Data[[#This Row],[kWh Savings]]*tbl_Data[[#This Row],[Sum of Annuals]]</f>
        <v>6607.4190713192211</v>
      </c>
      <c r="BB77" s="77">
        <f>ROUNDUP(tbl_Data[[#This Row],[Adjusted 2025]]/$L77,0)</f>
        <v>1</v>
      </c>
      <c r="BC77" s="77">
        <f>ROUNDUP(tbl_Data[[#This Row],[Adjusted 2026]]/$L77,0)</f>
        <v>1</v>
      </c>
      <c r="BD77" s="77">
        <f>ROUNDUP(tbl_Data[[#This Row],[Adjusted 2027]]/$L77,0)</f>
        <v>1</v>
      </c>
      <c r="BE77" s="77">
        <f>ROUNDUP(tbl_Data[[#This Row],[Adjusted 2028]]/$L77,0)</f>
        <v>1</v>
      </c>
      <c r="BF77" s="77">
        <f>ROUNDUP(tbl_Data[[#This Row],[Adjusted 2029]]/$L77,0)</f>
        <v>1</v>
      </c>
      <c r="BG77" s="77">
        <f>ROUNDUP(tbl_Data[[#This Row],[Adjusted 2030]]/$L77,0)</f>
        <v>1</v>
      </c>
      <c r="BH77" s="77">
        <f>ROUNDUP(tbl_Data[[#This Row],[Adjusted 2031]]/$L77,0)</f>
        <v>1</v>
      </c>
      <c r="BI77" s="77">
        <f>ROUNDUP(tbl_Data[[#This Row],[Adjusted 2032]]/$L77,0)</f>
        <v>1</v>
      </c>
      <c r="BJ77" s="77">
        <f>ROUNDUP(tbl_Data[[#This Row],[Adjusted 2033]]/$L77,0)</f>
        <v>1</v>
      </c>
      <c r="BK77" s="77">
        <f>ROUNDUP(tbl_Data[[#This Row],[Adjusted 2034]]/$L77,0)</f>
        <v>2</v>
      </c>
      <c r="BL77" s="80">
        <f t="shared" si="45"/>
        <v>11030.945426785511</v>
      </c>
      <c r="BM77" s="80">
        <f t="shared" si="46"/>
        <v>12337.797173264758</v>
      </c>
      <c r="BN77" s="80">
        <f t="shared" si="47"/>
        <v>13560.121543763707</v>
      </c>
      <c r="BO77" s="80">
        <f t="shared" si="48"/>
        <v>14731.727864998698</v>
      </c>
      <c r="BP77" s="80">
        <f t="shared" si="49"/>
        <v>15862.237903785834</v>
      </c>
      <c r="BQ77" s="80">
        <f t="shared" si="50"/>
        <v>16913.362082711079</v>
      </c>
      <c r="BR77" s="80">
        <f t="shared" si="51"/>
        <v>18017.510470258618</v>
      </c>
      <c r="BS77" s="80">
        <f t="shared" si="52"/>
        <v>19220.07232248738</v>
      </c>
      <c r="BT77" s="80">
        <f t="shared" si="53"/>
        <v>20537.107892379601</v>
      </c>
      <c r="BU77" s="80">
        <f t="shared" si="54"/>
        <v>21978.515270900378</v>
      </c>
      <c r="BV77" s="80">
        <f>IFERROR(VLOOKUP($H77,'1. Set Program Names'!$B$2:$D$15,3,0)*V77,"NA")</f>
        <v>2769.9061156081029</v>
      </c>
      <c r="BW77" s="80">
        <f>IFERROR(VLOOKUP($H77,'1. Set Program Names'!$B$2:$D$15,3,0)*W77,"NA")</f>
        <v>3098.0608208227809</v>
      </c>
      <c r="BX77" s="80">
        <f>IFERROR(VLOOKUP($H77,'1. Set Program Names'!$B$2:$D$15,3,0)*X77,"NA")</f>
        <v>3404.9904282234843</v>
      </c>
      <c r="BY77" s="80">
        <f>IFERROR(VLOOKUP($H77,'1. Set Program Names'!$B$2:$D$15,3,0)*Y77,"NA")</f>
        <v>3699.1845692255579</v>
      </c>
      <c r="BZ77" s="80">
        <f>IFERROR(VLOOKUP($H77,'1. Set Program Names'!$B$2:$D$15,3,0)*Z77,"NA")</f>
        <v>3983.0593006324516</v>
      </c>
      <c r="CA77" s="80">
        <f>IFERROR(VLOOKUP($H77,'1. Set Program Names'!$B$2:$D$15,3,0)*AA77,"NA")</f>
        <v>4246.9999855712776</v>
      </c>
      <c r="CB77" s="80">
        <f>IFERROR(VLOOKUP($H77,'1. Set Program Names'!$B$2:$D$15,3,0)*AB77,"NA")</f>
        <v>4524.2552209911119</v>
      </c>
      <c r="CC77" s="80">
        <f>IFERROR(VLOOKUP($H77,'1. Set Program Names'!$B$2:$D$15,3,0)*AC77,"NA")</f>
        <v>4826.2223960618103</v>
      </c>
      <c r="CD77" s="80">
        <f>IFERROR(VLOOKUP($H77,'1. Set Program Names'!$B$2:$D$15,3,0)*AD77,"NA")</f>
        <v>5156.93429231139</v>
      </c>
      <c r="CE77" s="80">
        <f>IFERROR(VLOOKUP($H77,'1. Set Program Names'!$B$2:$D$15,3,0)*AE77,"NA")</f>
        <v>5518.8763524318701</v>
      </c>
    </row>
    <row r="78" spans="1:83" x14ac:dyDescent="0.25">
      <c r="A78" s="79" t="s">
        <v>87</v>
      </c>
      <c r="B78" s="79" t="s">
        <v>88</v>
      </c>
      <c r="C78" s="79" t="s">
        <v>89</v>
      </c>
      <c r="D78" s="79" t="s">
        <v>90</v>
      </c>
      <c r="E78" s="79" t="s">
        <v>91</v>
      </c>
      <c r="F78" s="79" t="s">
        <v>90</v>
      </c>
      <c r="G78" s="79" t="s">
        <v>92</v>
      </c>
      <c r="H78" s="79" t="s">
        <v>7</v>
      </c>
      <c r="I78" s="79" t="s">
        <v>426</v>
      </c>
      <c r="J78" s="79" t="s">
        <v>101</v>
      </c>
      <c r="K78" s="79" t="s">
        <v>102</v>
      </c>
      <c r="L78" s="79">
        <v>3443.6666666666601</v>
      </c>
      <c r="M78" s="79">
        <v>1.66949913665645</v>
      </c>
      <c r="N78" s="79">
        <v>0.25022957227107101</v>
      </c>
      <c r="O78" s="79">
        <v>1269.26999999999</v>
      </c>
      <c r="P78" s="79">
        <v>446.40188399649003</v>
      </c>
      <c r="Q78" s="79">
        <v>993.06528260685695</v>
      </c>
      <c r="R78" s="79">
        <v>3363.3816217672702</v>
      </c>
      <c r="S78" s="79">
        <v>6252.5618237134204</v>
      </c>
      <c r="T78" s="79">
        <v>30</v>
      </c>
      <c r="U78" s="79">
        <v>0.1</v>
      </c>
      <c r="V78" s="79">
        <f>tbl_Data_old[[#This Row],[2025 ]]*IFERROR(AVERAGEIFS('Participation Adjustment'!$C:$C,'Participation Adjustment'!$A:$A,$H78,'Participation Adjustment'!$B:$B,$I78),1)</f>
        <v>934.18477375556097</v>
      </c>
      <c r="W78" s="79">
        <f>tbl_Data_old[[#This Row],[2026 ]]*IFERROR(AVERAGEIFS('Participation Adjustment'!$C:$C,'Participation Adjustment'!$A:$A,$H78,'Participation Adjustment'!$B:$B,$I78),1)</f>
        <v>904.09568951013705</v>
      </c>
      <c r="X78" s="79">
        <f>tbl_Data_old[[#This Row],[2027 ]]*IFERROR(AVERAGEIFS('Participation Adjustment'!$C:$C,'Participation Adjustment'!$A:$A,$H78,'Participation Adjustment'!$B:$B,$I78),1)</f>
        <v>875.68958420230899</v>
      </c>
      <c r="Y78" s="79">
        <f>tbl_Data_old[[#This Row],[2028 ]]*IFERROR(AVERAGEIFS('Participation Adjustment'!$C:$C,'Participation Adjustment'!$A:$A,$H78,'Participation Adjustment'!$B:$B,$I78),1)</f>
        <v>849.86625817965501</v>
      </c>
      <c r="Z78" s="79">
        <f>tbl_Data_old[[#This Row],[2029 ]]*IFERROR(AVERAGEIFS('Participation Adjustment'!$C:$C,'Participation Adjustment'!$A:$A,$H78,'Participation Adjustment'!$B:$B,$I78),1)</f>
        <v>825.95152275885903</v>
      </c>
      <c r="AA78" s="79">
        <f>tbl_Data_old[[#This Row],[2030 ]]*IFERROR(AVERAGEIFS('Participation Adjustment'!$C:$C,'Participation Adjustment'!$A:$A,$H78,'Participation Adjustment'!$B:$B,$I78),1)</f>
        <v>801.26157870652298</v>
      </c>
      <c r="AB78" s="79">
        <f>tbl_Data_old[[#This Row],[2031 ]]*IFERROR(AVERAGEIFS('Participation Adjustment'!$C:$C,'Participation Adjustment'!$A:$A,$H78,'Participation Adjustment'!$B:$B,$I78),1)</f>
        <v>781.43827675307296</v>
      </c>
      <c r="AC78" s="79">
        <f>tbl_Data_old[[#This Row],[2032 ]]*IFERROR(AVERAGEIFS('Participation Adjustment'!$C:$C,'Participation Adjustment'!$A:$A,$H78,'Participation Adjustment'!$B:$B,$I78),1)</f>
        <v>766.88786576922496</v>
      </c>
      <c r="AD78" s="79">
        <f>tbl_Data_old[[#This Row],[2033 ]]*IFERROR(AVERAGEIFS('Participation Adjustment'!$C:$C,'Participation Adjustment'!$A:$A,$H78,'Participation Adjustment'!$B:$B,$I78),1)</f>
        <v>756.77112637076198</v>
      </c>
      <c r="AE78" s="79">
        <f>tbl_Data_old[[#This Row],[2034 ]]*IFERROR(AVERAGEIFS('Participation Adjustment'!$C:$C,'Participation Adjustment'!$A:$A,$H78,'Participation Adjustment'!$B:$B,$I78),1)</f>
        <v>750.21887690871904</v>
      </c>
      <c r="AF78" s="77" t="str">
        <f t="shared" si="44"/>
        <v>Residential</v>
      </c>
      <c r="AG78" s="77" t="str">
        <f>tbl_Data[[#This Row],[All_Meas_Name_Append]]</f>
        <v>Ceiling Insulation(R2 to R38) Residential_Efficiency Delivered</v>
      </c>
      <c r="AH78" s="77">
        <f>AVERAGEIFS('3. Incentive Adjustment'!G:G,'3. Incentive Adjustment'!A:A,tbl_Data[[#This Row],[Trimmed Sector]],'3. Incentive Adjustment'!B:B,tbl_Data[[#This Row],[Trimmed Measure Name]])</f>
        <v>1</v>
      </c>
      <c r="AI78" s="77">
        <f>$AH78*tbl_Data[[#This Row],[2025 ]]</f>
        <v>934.18477375556097</v>
      </c>
      <c r="AJ78" s="77">
        <f>$AH78*tbl_Data[[#This Row],[2026 ]]</f>
        <v>904.09568951013705</v>
      </c>
      <c r="AK78" s="77">
        <f>$AH78*tbl_Data[[#This Row],[2027 ]]</f>
        <v>875.68958420230899</v>
      </c>
      <c r="AL78" s="77">
        <f>$AH78*tbl_Data[[#This Row],[2028 ]]</f>
        <v>849.86625817965501</v>
      </c>
      <c r="AM78" s="77">
        <f>$AH78*tbl_Data[[#This Row],[2029 ]]</f>
        <v>825.95152275885903</v>
      </c>
      <c r="AN78" s="77">
        <f>$AH78*tbl_Data[[#This Row],[2030 ]]</f>
        <v>801.26157870652298</v>
      </c>
      <c r="AO78" s="77">
        <f>$AH78*tbl_Data[[#This Row],[2031 ]]</f>
        <v>781.43827675307296</v>
      </c>
      <c r="AP78" s="77">
        <f>$AH78*tbl_Data[[#This Row],[2032 ]]</f>
        <v>766.88786576922496</v>
      </c>
      <c r="AQ78" s="77">
        <f>$AH78*tbl_Data[[#This Row],[2033 ]]</f>
        <v>756.77112637076198</v>
      </c>
      <c r="AR78" s="77">
        <f>$AH78*tbl_Data[[#This Row],[2034 ]]</f>
        <v>750.21887690871904</v>
      </c>
      <c r="AS78" s="77">
        <f>SUM(tbl_Data[[#This Row],[Adjusted 2025]:[Adjusted 2034]])</f>
        <v>8246.3655529148236</v>
      </c>
      <c r="AT78" s="80">
        <f>AVERAGEIFS('3. Incentive Adjustment'!F:F,'3. Incentive Adjustment'!A:A,tbl_Data[[#This Row],[Trimmed Sector]],'3. Incentive Adjustment'!B:B,tbl_Data[[#This Row],[Trimmed Measure Name]])</f>
        <v>446.40188399649008</v>
      </c>
      <c r="AU78" s="80">
        <f>IFERROR(VLOOKUP(tbl_Data[[#This Row],[All_Meas_Name_Append]],'IRA Tax Credits'!$A$3:$D$46,4,0),0)</f>
        <v>0</v>
      </c>
      <c r="AV78" s="81">
        <f>tbl_Data[[#This Row],[Adj. per unit Incentive ($)]]/tbl_Data[[#This Row],[kWh Savings]]*tbl_Data[[#This Row],[Sum of Annuals]]</f>
        <v>1068.9748675670144</v>
      </c>
      <c r="AW78" s="81">
        <f>IFERROR(VLOOKUP(tbl_Data[[#This Row],[Column1]],'1. Set Program Names'!$B$2:$D$15,3,0)*tbl_Data[[#This Row],[Sum of Annuals]],"")</f>
        <v>3567.0609836687336</v>
      </c>
      <c r="AX78" s="81">
        <f>tbl_Data[[#This Row],[per unit IRA tax ($)]]/tbl_Data[[#This Row],[kWh Savings]]*tbl_Data[[#This Row],[Sum of Annuals]]</f>
        <v>0</v>
      </c>
      <c r="AY78" s="81">
        <f>tbl_Data[[#This Row],[Avoided Costs ($/unit)]]/tbl_Data[[#This Row],[kWh Savings]]*tbl_Data[[#This Row],[Sum of Annuals]]</f>
        <v>8054.1112226449895</v>
      </c>
      <c r="AZ78" s="81">
        <f>tbl_Data[[#This Row],[Lost Revenue ($/unit)]]/tbl_Data[[#This Row],[kWh Savings]]*tbl_Data[[#This Row],[Sum of Annuals]]</f>
        <v>14972.677506690756</v>
      </c>
      <c r="BA78" s="81">
        <f>tbl_Data[[#This Row],[Incremental Cost ($/unit)]]/tbl_Data[[#This Row],[kWh Savings]]*tbl_Data[[#This Row],[Sum of Annuals]]</f>
        <v>3039.4534136138232</v>
      </c>
      <c r="BB78" s="77">
        <f>ROUNDUP(tbl_Data[[#This Row],[Adjusted 2025]]/$L78,0)</f>
        <v>1</v>
      </c>
      <c r="BC78" s="77">
        <f>ROUNDUP(tbl_Data[[#This Row],[Adjusted 2026]]/$L78,0)</f>
        <v>1</v>
      </c>
      <c r="BD78" s="77">
        <f>ROUNDUP(tbl_Data[[#This Row],[Adjusted 2027]]/$L78,0)</f>
        <v>1</v>
      </c>
      <c r="BE78" s="77">
        <f>ROUNDUP(tbl_Data[[#This Row],[Adjusted 2028]]/$L78,0)</f>
        <v>1</v>
      </c>
      <c r="BF78" s="77">
        <f>ROUNDUP(tbl_Data[[#This Row],[Adjusted 2029]]/$L78,0)</f>
        <v>1</v>
      </c>
      <c r="BG78" s="77">
        <f>ROUNDUP(tbl_Data[[#This Row],[Adjusted 2030]]/$L78,0)</f>
        <v>1</v>
      </c>
      <c r="BH78" s="77">
        <f>ROUNDUP(tbl_Data[[#This Row],[Adjusted 2031]]/$L78,0)</f>
        <v>1</v>
      </c>
      <c r="BI78" s="77">
        <f>ROUNDUP(tbl_Data[[#This Row],[Adjusted 2032]]/$L78,0)</f>
        <v>1</v>
      </c>
      <c r="BJ78" s="77">
        <f>ROUNDUP(tbl_Data[[#This Row],[Adjusted 2033]]/$L78,0)</f>
        <v>1</v>
      </c>
      <c r="BK78" s="77">
        <f>ROUNDUP(tbl_Data[[#This Row],[Adjusted 2034]]/$L78,0)</f>
        <v>1</v>
      </c>
      <c r="BL78" s="80">
        <f t="shared" si="45"/>
        <v>121.09820240208636</v>
      </c>
      <c r="BM78" s="80">
        <f t="shared" si="46"/>
        <v>117.19775988106622</v>
      </c>
      <c r="BN78" s="80">
        <f t="shared" si="47"/>
        <v>113.51548161378797</v>
      </c>
      <c r="BO78" s="80">
        <f t="shared" si="48"/>
        <v>110.16800855573889</v>
      </c>
      <c r="BP78" s="80">
        <f t="shared" si="49"/>
        <v>107.06794575045743</v>
      </c>
      <c r="BQ78" s="80">
        <f t="shared" si="50"/>
        <v>103.86739279118996</v>
      </c>
      <c r="BR78" s="80">
        <f t="shared" si="51"/>
        <v>101.29770176252339</v>
      </c>
      <c r="BS78" s="80">
        <f t="shared" si="52"/>
        <v>99.411534631719121</v>
      </c>
      <c r="BT78" s="80">
        <f t="shared" si="53"/>
        <v>98.100103542557747</v>
      </c>
      <c r="BU78" s="80">
        <f t="shared" si="54"/>
        <v>97.25073663588725</v>
      </c>
      <c r="BV78" s="80">
        <f>IFERROR(VLOOKUP($H78,'1. Set Program Names'!$B$2:$D$15,3,0)*V78,"NA")</f>
        <v>404.09244977297988</v>
      </c>
      <c r="BW78" s="80">
        <f>IFERROR(VLOOKUP($H78,'1. Set Program Names'!$B$2:$D$15,3,0)*W78,"NA")</f>
        <v>391.07706769253889</v>
      </c>
      <c r="BX78" s="80">
        <f>IFERROR(VLOOKUP($H78,'1. Set Program Names'!$B$2:$D$15,3,0)*X78,"NA")</f>
        <v>378.78967765490916</v>
      </c>
      <c r="BY78" s="80">
        <f>IFERROR(VLOOKUP($H78,'1. Set Program Names'!$B$2:$D$15,3,0)*Y78,"NA")</f>
        <v>367.61949872785351</v>
      </c>
      <c r="BZ78" s="80">
        <f>IFERROR(VLOOKUP($H78,'1. Set Program Names'!$B$2:$D$15,3,0)*Z78,"NA")</f>
        <v>357.27490278350695</v>
      </c>
      <c r="CA78" s="80">
        <f>IFERROR(VLOOKUP($H78,'1. Set Program Names'!$B$2:$D$15,3,0)*AA78,"NA")</f>
        <v>346.59498136201216</v>
      </c>
      <c r="CB78" s="80">
        <f>IFERROR(VLOOKUP($H78,'1. Set Program Names'!$B$2:$D$15,3,0)*AB78,"NA")</f>
        <v>338.02018237791401</v>
      </c>
      <c r="CC78" s="80">
        <f>IFERROR(VLOOKUP($H78,'1. Set Program Names'!$B$2:$D$15,3,0)*AC78,"NA")</f>
        <v>331.7262334880927</v>
      </c>
      <c r="CD78" s="80">
        <f>IFERROR(VLOOKUP($H78,'1. Set Program Names'!$B$2:$D$15,3,0)*AD78,"NA")</f>
        <v>327.35012062253509</v>
      </c>
      <c r="CE78" s="80">
        <f>IFERROR(VLOOKUP($H78,'1. Set Program Names'!$B$2:$D$15,3,0)*AE78,"NA")</f>
        <v>324.515869186391</v>
      </c>
    </row>
    <row r="79" spans="1:83" x14ac:dyDescent="0.25">
      <c r="A79" s="79" t="s">
        <v>87</v>
      </c>
      <c r="B79" s="79" t="s">
        <v>88</v>
      </c>
      <c r="C79" s="79" t="s">
        <v>89</v>
      </c>
      <c r="D79" s="79" t="s">
        <v>90</v>
      </c>
      <c r="E79" s="79" t="s">
        <v>91</v>
      </c>
      <c r="F79" s="79" t="s">
        <v>90</v>
      </c>
      <c r="G79" s="79" t="s">
        <v>92</v>
      </c>
      <c r="H79" s="79" t="s">
        <v>7</v>
      </c>
      <c r="I79" s="79" t="s">
        <v>427</v>
      </c>
      <c r="J79" s="79" t="s">
        <v>101</v>
      </c>
      <c r="K79" s="79" t="s">
        <v>102</v>
      </c>
      <c r="L79" s="79">
        <v>3523.57666666666</v>
      </c>
      <c r="M79" s="79">
        <v>1.7070465614975301</v>
      </c>
      <c r="N79" s="79">
        <v>0.25623328618049002</v>
      </c>
      <c r="O79" s="79">
        <v>1306.5999999999899</v>
      </c>
      <c r="P79" s="79">
        <v>465.31519597206898</v>
      </c>
      <c r="Q79" s="79">
        <v>1016.10928030304</v>
      </c>
      <c r="R79" s="79">
        <v>3440.61303289528</v>
      </c>
      <c r="S79" s="79">
        <v>6397.6520033667803</v>
      </c>
      <c r="T79" s="79">
        <v>30</v>
      </c>
      <c r="U79" s="79">
        <v>0.1</v>
      </c>
      <c r="V79" s="79">
        <f>tbl_Data_old[[#This Row],[2025 ]]*IFERROR(AVERAGEIFS('Participation Adjustment'!$C:$C,'Participation Adjustment'!$A:$A,$H79,'Participation Adjustment'!$B:$B,$I79),1)</f>
        <v>956.08903221608796</v>
      </c>
      <c r="W79" s="79">
        <f>tbl_Data_old[[#This Row],[2026 ]]*IFERROR(AVERAGEIFS('Participation Adjustment'!$C:$C,'Participation Adjustment'!$A:$A,$H79,'Participation Adjustment'!$B:$B,$I79),1)</f>
        <v>925.35556688192503</v>
      </c>
      <c r="X79" s="79">
        <f>tbl_Data_old[[#This Row],[2027 ]]*IFERROR(AVERAGEIFS('Participation Adjustment'!$C:$C,'Participation Adjustment'!$A:$A,$H79,'Participation Adjustment'!$B:$B,$I79),1)</f>
        <v>896.33849905135799</v>
      </c>
      <c r="Y79" s="79">
        <f>tbl_Data_old[[#This Row],[2028 ]]*IFERROR(AVERAGEIFS('Participation Adjustment'!$C:$C,'Participation Adjustment'!$A:$A,$H79,'Participation Adjustment'!$B:$B,$I79),1)</f>
        <v>869.95944738686501</v>
      </c>
      <c r="Z79" s="79">
        <f>tbl_Data_old[[#This Row],[2029 ]]*IFERROR(AVERAGEIFS('Participation Adjustment'!$C:$C,'Participation Adjustment'!$A:$A,$H79,'Participation Adjustment'!$B:$B,$I79),1)</f>
        <v>845.52893267854904</v>
      </c>
      <c r="AA79" s="79">
        <f>tbl_Data_old[[#This Row],[2030 ]]*IFERROR(AVERAGEIFS('Participation Adjustment'!$C:$C,'Participation Adjustment'!$A:$A,$H79,'Participation Adjustment'!$B:$B,$I79),1)</f>
        <v>820.29992818398102</v>
      </c>
      <c r="AB79" s="79">
        <f>tbl_Data_old[[#This Row],[2031 ]]*IFERROR(AVERAGEIFS('Participation Adjustment'!$C:$C,'Participation Adjustment'!$A:$A,$H79,'Participation Adjustment'!$B:$B,$I79),1)</f>
        <v>800.04872193738095</v>
      </c>
      <c r="AC79" s="79">
        <f>tbl_Data_old[[#This Row],[2032 ]]*IFERROR(AVERAGEIFS('Participation Adjustment'!$C:$C,'Participation Adjustment'!$A:$A,$H79,'Participation Adjustment'!$B:$B,$I79),1)</f>
        <v>785.19223941625398</v>
      </c>
      <c r="AD79" s="79">
        <f>tbl_Data_old[[#This Row],[2033 ]]*IFERROR(AVERAGEIFS('Participation Adjustment'!$C:$C,'Participation Adjustment'!$A:$A,$H79,'Participation Adjustment'!$B:$B,$I79),1)</f>
        <v>774.872161867047</v>
      </c>
      <c r="AE79" s="79">
        <f>tbl_Data_old[[#This Row],[2034 ]]*IFERROR(AVERAGEIFS('Participation Adjustment'!$C:$C,'Participation Adjustment'!$A:$A,$H79,'Participation Adjustment'!$B:$B,$I79),1)</f>
        <v>768.19925635988295</v>
      </c>
      <c r="AF79" s="77" t="str">
        <f t="shared" si="44"/>
        <v>Residential</v>
      </c>
      <c r="AG79" s="77" t="str">
        <f>tbl_Data[[#This Row],[All_Meas_Name_Append]]</f>
        <v>Ceiling Insulation(R2 to R49) Residential_Efficiency Delivered</v>
      </c>
      <c r="AH79" s="77">
        <f>AVERAGEIFS('3. Incentive Adjustment'!G:G,'3. Incentive Adjustment'!A:A,tbl_Data[[#This Row],[Trimmed Sector]],'3. Incentive Adjustment'!B:B,tbl_Data[[#This Row],[Trimmed Measure Name]])</f>
        <v>1</v>
      </c>
      <c r="AI79" s="77">
        <f>$AH79*tbl_Data[[#This Row],[2025 ]]</f>
        <v>956.08903221608796</v>
      </c>
      <c r="AJ79" s="77">
        <f>$AH79*tbl_Data[[#This Row],[2026 ]]</f>
        <v>925.35556688192503</v>
      </c>
      <c r="AK79" s="77">
        <f>$AH79*tbl_Data[[#This Row],[2027 ]]</f>
        <v>896.33849905135799</v>
      </c>
      <c r="AL79" s="77">
        <f>$AH79*tbl_Data[[#This Row],[2028 ]]</f>
        <v>869.95944738686501</v>
      </c>
      <c r="AM79" s="77">
        <f>$AH79*tbl_Data[[#This Row],[2029 ]]</f>
        <v>845.52893267854904</v>
      </c>
      <c r="AN79" s="77">
        <f>$AH79*tbl_Data[[#This Row],[2030 ]]</f>
        <v>820.29992818398102</v>
      </c>
      <c r="AO79" s="77">
        <f>$AH79*tbl_Data[[#This Row],[2031 ]]</f>
        <v>800.04872193738095</v>
      </c>
      <c r="AP79" s="77">
        <f>$AH79*tbl_Data[[#This Row],[2032 ]]</f>
        <v>785.19223941625398</v>
      </c>
      <c r="AQ79" s="77">
        <f>$AH79*tbl_Data[[#This Row],[2033 ]]</f>
        <v>774.872161867047</v>
      </c>
      <c r="AR79" s="77">
        <f>$AH79*tbl_Data[[#This Row],[2034 ]]</f>
        <v>768.19925635988295</v>
      </c>
      <c r="AS79" s="77">
        <f>SUM(tbl_Data[[#This Row],[Adjusted 2025]:[Adjusted 2034]])</f>
        <v>8441.8837859793312</v>
      </c>
      <c r="AT79" s="80">
        <f>AVERAGEIFS('3. Incentive Adjustment'!F:F,'3. Incentive Adjustment'!A:A,tbl_Data[[#This Row],[Trimmed Sector]],'3. Incentive Adjustment'!B:B,tbl_Data[[#This Row],[Trimmed Measure Name]])</f>
        <v>465.31519597206898</v>
      </c>
      <c r="AU79" s="80">
        <f>IFERROR(VLOOKUP(tbl_Data[[#This Row],[All_Meas_Name_Append]],'IRA Tax Credits'!$A$3:$D$46,4,0),0)</f>
        <v>0</v>
      </c>
      <c r="AV79" s="81">
        <f>tbl_Data[[#This Row],[Adj. per unit Incentive ($)]]/tbl_Data[[#This Row],[kWh Savings]]*tbl_Data[[#This Row],[Sum of Annuals]]</f>
        <v>1114.815194857804</v>
      </c>
      <c r="AW79" s="81">
        <f>IFERROR(VLOOKUP(tbl_Data[[#This Row],[Column1]],'1. Set Program Names'!$B$2:$D$15,3,0)*tbl_Data[[#This Row],[Sum of Annuals]],"")</f>
        <v>3651.63466116157</v>
      </c>
      <c r="AX79" s="81">
        <f>tbl_Data[[#This Row],[per unit IRA tax ($)]]/tbl_Data[[#This Row],[kWh Savings]]*tbl_Data[[#This Row],[Sum of Annuals]]</f>
        <v>0</v>
      </c>
      <c r="AY79" s="81">
        <f>tbl_Data[[#This Row],[Avoided Costs ($/unit)]]/tbl_Data[[#This Row],[kWh Savings]]*tbl_Data[[#This Row],[Sum of Annuals]]</f>
        <v>8243.1171857273512</v>
      </c>
      <c r="AZ79" s="81">
        <f>tbl_Data[[#This Row],[Lost Revenue ($/unit)]]/tbl_Data[[#This Row],[kWh Savings]]*tbl_Data[[#This Row],[Sum of Annuals]]</f>
        <v>15327.674072337571</v>
      </c>
      <c r="BA79" s="81">
        <f>tbl_Data[[#This Row],[Incremental Cost ($/unit)]]/tbl_Data[[#This Row],[kWh Savings]]*tbl_Data[[#This Row],[Sum of Annuals]]</f>
        <v>3130.3889196187574</v>
      </c>
      <c r="BB79" s="77">
        <f>ROUNDUP(tbl_Data[[#This Row],[Adjusted 2025]]/$L79,0)</f>
        <v>1</v>
      </c>
      <c r="BC79" s="77">
        <f>ROUNDUP(tbl_Data[[#This Row],[Adjusted 2026]]/$L79,0)</f>
        <v>1</v>
      </c>
      <c r="BD79" s="77">
        <f>ROUNDUP(tbl_Data[[#This Row],[Adjusted 2027]]/$L79,0)</f>
        <v>1</v>
      </c>
      <c r="BE79" s="77">
        <f>ROUNDUP(tbl_Data[[#This Row],[Adjusted 2028]]/$L79,0)</f>
        <v>1</v>
      </c>
      <c r="BF79" s="77">
        <f>ROUNDUP(tbl_Data[[#This Row],[Adjusted 2029]]/$L79,0)</f>
        <v>1</v>
      </c>
      <c r="BG79" s="77">
        <f>ROUNDUP(tbl_Data[[#This Row],[Adjusted 2030]]/$L79,0)</f>
        <v>1</v>
      </c>
      <c r="BH79" s="77">
        <f>ROUNDUP(tbl_Data[[#This Row],[Adjusted 2031]]/$L79,0)</f>
        <v>1</v>
      </c>
      <c r="BI79" s="77">
        <f>ROUNDUP(tbl_Data[[#This Row],[Adjusted 2032]]/$L79,0)</f>
        <v>1</v>
      </c>
      <c r="BJ79" s="77">
        <f>ROUNDUP(tbl_Data[[#This Row],[Adjusted 2033]]/$L79,0)</f>
        <v>1</v>
      </c>
      <c r="BK79" s="77">
        <f>ROUNDUP(tbl_Data[[#This Row],[Adjusted 2034]]/$L79,0)</f>
        <v>1</v>
      </c>
      <c r="BL79" s="80">
        <f t="shared" si="45"/>
        <v>126.25885498703749</v>
      </c>
      <c r="BM79" s="80">
        <f t="shared" si="46"/>
        <v>122.20026628648412</v>
      </c>
      <c r="BN79" s="80">
        <f t="shared" si="47"/>
        <v>118.36834097836014</v>
      </c>
      <c r="BO79" s="80">
        <f t="shared" si="48"/>
        <v>114.88478584219993</v>
      </c>
      <c r="BP79" s="80">
        <f t="shared" si="49"/>
        <v>111.65854988521345</v>
      </c>
      <c r="BQ79" s="80">
        <f t="shared" si="50"/>
        <v>108.32686725669959</v>
      </c>
      <c r="BR79" s="80">
        <f t="shared" si="51"/>
        <v>105.65254088473449</v>
      </c>
      <c r="BS79" s="80">
        <f t="shared" si="52"/>
        <v>103.69062896121346</v>
      </c>
      <c r="BT79" s="80">
        <f t="shared" si="53"/>
        <v>102.32778394277399</v>
      </c>
      <c r="BU79" s="80">
        <f t="shared" si="54"/>
        <v>101.44657583308739</v>
      </c>
      <c r="BV79" s="80">
        <f>IFERROR(VLOOKUP($H79,'1. Set Program Names'!$B$2:$D$15,3,0)*V79,"NA")</f>
        <v>413.56739060956744</v>
      </c>
      <c r="BW79" s="80">
        <f>IFERROR(VLOOKUP($H79,'1. Set Program Names'!$B$2:$D$15,3,0)*W79,"NA")</f>
        <v>400.27327402172369</v>
      </c>
      <c r="BX79" s="80">
        <f>IFERROR(VLOOKUP($H79,'1. Set Program Names'!$B$2:$D$15,3,0)*X79,"NA")</f>
        <v>387.72160506468856</v>
      </c>
      <c r="BY79" s="80">
        <f>IFERROR(VLOOKUP($H79,'1. Set Program Names'!$B$2:$D$15,3,0)*Y79,"NA")</f>
        <v>376.31104057117847</v>
      </c>
      <c r="BZ79" s="80">
        <f>IFERROR(VLOOKUP($H79,'1. Set Program Names'!$B$2:$D$15,3,0)*Z79,"NA")</f>
        <v>365.74333831886003</v>
      </c>
      <c r="CA79" s="80">
        <f>IFERROR(VLOOKUP($H79,'1. Set Program Names'!$B$2:$D$15,3,0)*AA79,"NA")</f>
        <v>354.83024005612697</v>
      </c>
      <c r="CB79" s="80">
        <f>IFERROR(VLOOKUP($H79,'1. Set Program Names'!$B$2:$D$15,3,0)*AB79,"NA")</f>
        <v>346.07034611121907</v>
      </c>
      <c r="CC79" s="80">
        <f>IFERROR(VLOOKUP($H79,'1. Set Program Names'!$B$2:$D$15,3,0)*AC79,"NA")</f>
        <v>339.64400243100988</v>
      </c>
      <c r="CD79" s="80">
        <f>IFERROR(VLOOKUP($H79,'1. Set Program Names'!$B$2:$D$15,3,0)*AD79,"NA")</f>
        <v>335.17993329194536</v>
      </c>
      <c r="CE79" s="80">
        <f>IFERROR(VLOOKUP($H79,'1. Set Program Names'!$B$2:$D$15,3,0)*AE79,"NA")</f>
        <v>332.29349068525067</v>
      </c>
    </row>
    <row r="80" spans="1:83" x14ac:dyDescent="0.25">
      <c r="A80" s="79" t="s">
        <v>87</v>
      </c>
      <c r="B80" s="79" t="s">
        <v>88</v>
      </c>
      <c r="C80" s="79" t="s">
        <v>89</v>
      </c>
      <c r="D80" s="79" t="s">
        <v>90</v>
      </c>
      <c r="E80" s="79" t="s">
        <v>91</v>
      </c>
      <c r="F80" s="79" t="s">
        <v>90</v>
      </c>
      <c r="G80" s="79" t="s">
        <v>92</v>
      </c>
      <c r="H80" s="79" t="s">
        <v>7</v>
      </c>
      <c r="I80" s="79" t="s">
        <v>428</v>
      </c>
      <c r="J80" s="79" t="s">
        <v>97</v>
      </c>
      <c r="K80" s="79" t="s">
        <v>102</v>
      </c>
      <c r="L80" s="79">
        <v>936.45</v>
      </c>
      <c r="M80" s="79">
        <v>0.42562333070119601</v>
      </c>
      <c r="N80" s="79">
        <v>3.9115067461125599E-2</v>
      </c>
      <c r="O80" s="79">
        <v>685.00999995999996</v>
      </c>
      <c r="P80" s="79">
        <v>458.12689399999903</v>
      </c>
      <c r="Q80" s="79">
        <v>270.04819975719403</v>
      </c>
      <c r="R80" s="79">
        <v>763.90764278946904</v>
      </c>
      <c r="S80" s="79">
        <v>1415.5155729468199</v>
      </c>
      <c r="T80" s="79">
        <v>20</v>
      </c>
      <c r="U80" s="79">
        <v>0.1</v>
      </c>
      <c r="V80" s="79">
        <f>tbl_Data_old[[#This Row],[2025 ]]*IFERROR(AVERAGEIFS('Participation Adjustment'!$C:$C,'Participation Adjustment'!$A:$A,$H80,'Participation Adjustment'!$B:$B,$I80),1)</f>
        <v>10188.348686834201</v>
      </c>
      <c r="W80" s="79">
        <f>tbl_Data_old[[#This Row],[2026 ]]*IFERROR(AVERAGEIFS('Participation Adjustment'!$C:$C,'Participation Adjustment'!$A:$A,$H80,'Participation Adjustment'!$B:$B,$I80),1)</f>
        <v>9861.0238169987406</v>
      </c>
      <c r="X80" s="79">
        <f>tbl_Data_old[[#This Row],[2027 ]]*IFERROR(AVERAGEIFS('Participation Adjustment'!$C:$C,'Participation Adjustment'!$A:$A,$H80,'Participation Adjustment'!$B:$B,$I80),1)</f>
        <v>9552.2311074149002</v>
      </c>
      <c r="Y80" s="79">
        <f>tbl_Data_old[[#This Row],[2028 ]]*IFERROR(AVERAGEIFS('Participation Adjustment'!$C:$C,'Participation Adjustment'!$A:$A,$H80,'Participation Adjustment'!$B:$B,$I80),1)</f>
        <v>9271.7617972090193</v>
      </c>
      <c r="Z80" s="79">
        <f>tbl_Data_old[[#This Row],[2029 ]]*IFERROR(AVERAGEIFS('Participation Adjustment'!$C:$C,'Participation Adjustment'!$A:$A,$H80,'Participation Adjustment'!$B:$B,$I80),1)</f>
        <v>9012.2432431219295</v>
      </c>
      <c r="AA80" s="79">
        <f>tbl_Data_old[[#This Row],[2030 ]]*IFERROR(AVERAGEIFS('Participation Adjustment'!$C:$C,'Participation Adjustment'!$A:$A,$H80,'Participation Adjustment'!$B:$B,$I80),1)</f>
        <v>8744.3738699095993</v>
      </c>
      <c r="AB80" s="79">
        <f>tbl_Data_old[[#This Row],[2031 ]]*IFERROR(AVERAGEIFS('Participation Adjustment'!$C:$C,'Participation Adjustment'!$A:$A,$H80,'Participation Adjustment'!$B:$B,$I80),1)</f>
        <v>8529.7112194967904</v>
      </c>
      <c r="AC80" s="79">
        <f>tbl_Data_old[[#This Row],[2032 ]]*IFERROR(AVERAGEIFS('Participation Adjustment'!$C:$C,'Participation Adjustment'!$A:$A,$H80,'Participation Adjustment'!$B:$B,$I80),1)</f>
        <v>8372.7061235266301</v>
      </c>
      <c r="AD80" s="79">
        <f>tbl_Data_old[[#This Row],[2033 ]]*IFERROR(AVERAGEIFS('Participation Adjustment'!$C:$C,'Participation Adjustment'!$A:$A,$H80,'Participation Adjustment'!$B:$B,$I80),1)</f>
        <v>8264.2190098731207</v>
      </c>
      <c r="AE80" s="79">
        <f>tbl_Data_old[[#This Row],[2034 ]]*IFERROR(AVERAGEIFS('Participation Adjustment'!$C:$C,'Participation Adjustment'!$A:$A,$H80,'Participation Adjustment'!$B:$B,$I80),1)</f>
        <v>8194.78178380602</v>
      </c>
      <c r="AF80" s="77" t="str">
        <f t="shared" si="44"/>
        <v>Residential</v>
      </c>
      <c r="AG80" s="77" t="str">
        <f>tbl_Data[[#This Row],[All_Meas_Name_Append]]</f>
        <v>Duct Repair_Efficiency Delivered</v>
      </c>
      <c r="AH80" s="77">
        <f>AVERAGEIFS('3. Incentive Adjustment'!G:G,'3. Incentive Adjustment'!A:A,tbl_Data[[#This Row],[Trimmed Sector]],'3. Incentive Adjustment'!B:B,tbl_Data[[#This Row],[Trimmed Measure Name]])</f>
        <v>0.72196841234229292</v>
      </c>
      <c r="AI80" s="77">
        <f>$AH80*tbl_Data[[#This Row],[2025 ]]</f>
        <v>7355.6659258233731</v>
      </c>
      <c r="AJ80" s="77">
        <f>$AH80*tbl_Data[[#This Row],[2026 ]]</f>
        <v>7119.3477092281182</v>
      </c>
      <c r="AK80" s="77">
        <f>$AH80*tbl_Data[[#This Row],[2027 ]]</f>
        <v>6896.4091269469982</v>
      </c>
      <c r="AL80" s="77">
        <f>$AH80*tbl_Data[[#This Row],[2028 ]]</f>
        <v>6693.9191443469199</v>
      </c>
      <c r="AM80" s="77">
        <f>$AH80*tbl_Data[[#This Row],[2029 ]]</f>
        <v>6506.5549458792966</v>
      </c>
      <c r="AN80" s="77">
        <f>$AH80*tbl_Data[[#This Row],[2030 ]]</f>
        <v>6313.1617197860651</v>
      </c>
      <c r="AO80" s="77">
        <f>$AH80*tbl_Data[[#This Row],[2031 ]]</f>
        <v>6158.1820668783412</v>
      </c>
      <c r="AP80" s="77">
        <f>$AH80*tbl_Data[[#This Row],[2032 ]]</f>
        <v>6044.8293470111148</v>
      </c>
      <c r="AQ80" s="77">
        <f>$AH80*tbl_Data[[#This Row],[2033 ]]</f>
        <v>5966.5050778070927</v>
      </c>
      <c r="AR80" s="77">
        <f>$AH80*tbl_Data[[#This Row],[2034 ]]</f>
        <v>5916.3735939459757</v>
      </c>
      <c r="AS80" s="77">
        <f>SUM(tbl_Data[[#This Row],[Adjusted 2025]:[Adjusted 2034]])</f>
        <v>64970.948657653302</v>
      </c>
      <c r="AT80" s="80">
        <f>AVERAGEIFS('3. Incentive Adjustment'!F:F,'3. Incentive Adjustment'!A:A,tbl_Data[[#This Row],[Trimmed Sector]],'3. Incentive Adjustment'!B:B,tbl_Data[[#This Row],[Trimmed Measure Name]])</f>
        <v>342.50499997999992</v>
      </c>
      <c r="AU80" s="80">
        <f>IFERROR(VLOOKUP(tbl_Data[[#This Row],[All_Meas_Name_Append]],'IRA Tax Credits'!$A$3:$D$46,4,0),0)</f>
        <v>0</v>
      </c>
      <c r="AV80" s="81">
        <f>tbl_Data[[#This Row],[Adj. per unit Incentive ($)]]/tbl_Data[[#This Row],[kWh Savings]]*tbl_Data[[#This Row],[Sum of Annuals]]</f>
        <v>23763.014329318299</v>
      </c>
      <c r="AW80" s="81">
        <f>IFERROR(VLOOKUP(tbl_Data[[#This Row],[Column1]],'1. Set Program Names'!$B$2:$D$15,3,0)*tbl_Data[[#This Row],[Sum of Annuals]],"")</f>
        <v>28103.936763601458</v>
      </c>
      <c r="AX80" s="81">
        <f>tbl_Data[[#This Row],[per unit IRA tax ($)]]/tbl_Data[[#This Row],[kWh Savings]]*tbl_Data[[#This Row],[Sum of Annuals]]</f>
        <v>0</v>
      </c>
      <c r="AY80" s="81">
        <f>tbl_Data[[#This Row],[Avoided Costs ($/unit)]]/tbl_Data[[#This Row],[kWh Savings]]*tbl_Data[[#This Row],[Sum of Annuals]]</f>
        <v>52999.951133390517</v>
      </c>
      <c r="AZ80" s="81">
        <f>tbl_Data[[#This Row],[Lost Revenue ($/unit)]]/tbl_Data[[#This Row],[kWh Savings]]*tbl_Data[[#This Row],[Sum of Annuals]]</f>
        <v>98208.542489226907</v>
      </c>
      <c r="BA80" s="81">
        <f>tbl_Data[[#This Row],[Incremental Cost ($/unit)]]/tbl_Data[[#This Row],[kWh Savings]]*tbl_Data[[#This Row],[Sum of Annuals]]</f>
        <v>47526.028658636598</v>
      </c>
      <c r="BB80" s="77">
        <f>ROUNDUP(tbl_Data[[#This Row],[Adjusted 2025]]/$L80,0)</f>
        <v>8</v>
      </c>
      <c r="BC80" s="77">
        <f>ROUNDUP(tbl_Data[[#This Row],[Adjusted 2026]]/$L80,0)</f>
        <v>8</v>
      </c>
      <c r="BD80" s="77">
        <f>ROUNDUP(tbl_Data[[#This Row],[Adjusted 2027]]/$L80,0)</f>
        <v>8</v>
      </c>
      <c r="BE80" s="77">
        <f>ROUNDUP(tbl_Data[[#This Row],[Adjusted 2028]]/$L80,0)</f>
        <v>8</v>
      </c>
      <c r="BF80" s="77">
        <f>ROUNDUP(tbl_Data[[#This Row],[Adjusted 2029]]/$L80,0)</f>
        <v>7</v>
      </c>
      <c r="BG80" s="77">
        <f>ROUNDUP(tbl_Data[[#This Row],[Adjusted 2030]]/$L80,0)</f>
        <v>7</v>
      </c>
      <c r="BH80" s="77">
        <f>ROUNDUP(tbl_Data[[#This Row],[Adjusted 2031]]/$L80,0)</f>
        <v>7</v>
      </c>
      <c r="BI80" s="77">
        <f>ROUNDUP(tbl_Data[[#This Row],[Adjusted 2032]]/$L80,0)</f>
        <v>7</v>
      </c>
      <c r="BJ80" s="77">
        <f>ROUNDUP(tbl_Data[[#This Row],[Adjusted 2033]]/$L80,0)</f>
        <v>7</v>
      </c>
      <c r="BK80" s="77">
        <f>ROUNDUP(tbl_Data[[#This Row],[Adjusted 2034]]/$L80,0)</f>
        <v>7</v>
      </c>
      <c r="BL80" s="80">
        <f t="shared" si="45"/>
        <v>3726.3712603773615</v>
      </c>
      <c r="BM80" s="80">
        <f t="shared" si="46"/>
        <v>3606.6527441336243</v>
      </c>
      <c r="BN80" s="80">
        <f t="shared" si="47"/>
        <v>3493.7123340852099</v>
      </c>
      <c r="BO80" s="80">
        <f t="shared" si="48"/>
        <v>3391.1311593439468</v>
      </c>
      <c r="BP80" s="80">
        <f t="shared" si="49"/>
        <v>3296.2126881362924</v>
      </c>
      <c r="BQ80" s="80">
        <f t="shared" si="50"/>
        <v>3198.2399189903349</v>
      </c>
      <c r="BR80" s="80">
        <f t="shared" si="51"/>
        <v>3119.7274185094275</v>
      </c>
      <c r="BS80" s="80">
        <f t="shared" si="52"/>
        <v>3062.3030708217561</v>
      </c>
      <c r="BT80" s="80">
        <f t="shared" si="53"/>
        <v>3022.6240929161281</v>
      </c>
      <c r="BU80" s="80">
        <f t="shared" si="54"/>
        <v>2997.2275451957762</v>
      </c>
      <c r="BV80" s="80">
        <f>IFERROR(VLOOKUP($H80,'1. Set Program Names'!$B$2:$D$15,3,0)*V80,"NA")</f>
        <v>4407.0882930933094</v>
      </c>
      <c r="BW80" s="80">
        <f>IFERROR(VLOOKUP($H80,'1. Set Program Names'!$B$2:$D$15,3,0)*W80,"NA")</f>
        <v>4265.5001274120277</v>
      </c>
      <c r="BX80" s="80">
        <f>IFERROR(VLOOKUP($H80,'1. Set Program Names'!$B$2:$D$15,3,0)*X80,"NA")</f>
        <v>4131.9282624092048</v>
      </c>
      <c r="BY80" s="80">
        <f>IFERROR(VLOOKUP($H80,'1. Set Program Names'!$B$2:$D$15,3,0)*Y80,"NA")</f>
        <v>4010.6080120356023</v>
      </c>
      <c r="BZ80" s="80">
        <f>IFERROR(VLOOKUP($H80,'1. Set Program Names'!$B$2:$D$15,3,0)*Z80,"NA")</f>
        <v>3898.3502540109207</v>
      </c>
      <c r="CA80" s="80">
        <f>IFERROR(VLOOKUP($H80,'1. Set Program Names'!$B$2:$D$15,3,0)*AA80,"NA")</f>
        <v>3782.4802523993912</v>
      </c>
      <c r="CB80" s="80">
        <f>IFERROR(VLOOKUP($H80,'1. Set Program Names'!$B$2:$D$15,3,0)*AB80,"NA")</f>
        <v>3689.6254353257291</v>
      </c>
      <c r="CC80" s="80">
        <f>IFERROR(VLOOKUP($H80,'1. Set Program Names'!$B$2:$D$15,3,0)*AC80,"NA")</f>
        <v>3621.7110615960364</v>
      </c>
      <c r="CD80" s="80">
        <f>IFERROR(VLOOKUP($H80,'1. Set Program Names'!$B$2:$D$15,3,0)*AD80,"NA")</f>
        <v>3574.7837033724509</v>
      </c>
      <c r="CE80" s="80">
        <f>IFERROR(VLOOKUP($H80,'1. Set Program Names'!$B$2:$D$15,3,0)*AE80,"NA")</f>
        <v>3544.7478265575319</v>
      </c>
    </row>
    <row r="81" spans="1:83" x14ac:dyDescent="0.25">
      <c r="A81" s="79" t="s">
        <v>87</v>
      </c>
      <c r="B81" s="79" t="s">
        <v>88</v>
      </c>
      <c r="C81" s="79" t="s">
        <v>89</v>
      </c>
      <c r="D81" s="79" t="s">
        <v>90</v>
      </c>
      <c r="E81" s="79" t="s">
        <v>91</v>
      </c>
      <c r="F81" s="79" t="s">
        <v>90</v>
      </c>
      <c r="G81" s="79" t="s">
        <v>92</v>
      </c>
      <c r="H81" s="79" t="s">
        <v>7</v>
      </c>
      <c r="I81" s="79" t="s">
        <v>429</v>
      </c>
      <c r="J81" s="79" t="s">
        <v>97</v>
      </c>
      <c r="K81" s="79" t="s">
        <v>298</v>
      </c>
      <c r="L81" s="79">
        <v>57.93</v>
      </c>
      <c r="M81" s="79">
        <v>0</v>
      </c>
      <c r="N81" s="79">
        <v>1.1014721785810099E-2</v>
      </c>
      <c r="O81" s="79">
        <v>154.1011072</v>
      </c>
      <c r="P81" s="79">
        <v>140.06582681793901</v>
      </c>
      <c r="Q81" s="79">
        <v>16.705528551374101</v>
      </c>
      <c r="R81" s="79">
        <v>46.999759951794701</v>
      </c>
      <c r="S81" s="79">
        <v>87.565611768711094</v>
      </c>
      <c r="T81" s="79">
        <v>20</v>
      </c>
      <c r="U81" s="79">
        <v>0.2</v>
      </c>
      <c r="V81" s="79">
        <f>tbl_Data_old[[#This Row],[2025 ]]*IFERROR(AVERAGEIFS('Participation Adjustment'!$C:$C,'Participation Adjustment'!$A:$A,$H81,'Participation Adjustment'!$B:$B,$I81),1)</f>
        <v>304.03260943272801</v>
      </c>
      <c r="W81" s="79">
        <f>tbl_Data_old[[#This Row],[2026 ]]*IFERROR(AVERAGEIFS('Participation Adjustment'!$C:$C,'Participation Adjustment'!$A:$A,$H81,'Participation Adjustment'!$B:$B,$I81),1)</f>
        <v>282.86882354602398</v>
      </c>
      <c r="X81" s="79">
        <f>tbl_Data_old[[#This Row],[2027 ]]*IFERROR(AVERAGEIFS('Participation Adjustment'!$C:$C,'Participation Adjustment'!$A:$A,$H81,'Participation Adjustment'!$B:$B,$I81),1)</f>
        <v>262.18914843600697</v>
      </c>
      <c r="Y81" s="79">
        <f>tbl_Data_old[[#This Row],[2028 ]]*IFERROR(AVERAGEIFS('Participation Adjustment'!$C:$C,'Participation Adjustment'!$A:$A,$H81,'Participation Adjustment'!$B:$B,$I81),1)</f>
        <v>242.48486098250299</v>
      </c>
      <c r="Z81" s="79">
        <f>tbl_Data_old[[#This Row],[2029 ]]*IFERROR(AVERAGEIFS('Participation Adjustment'!$C:$C,'Participation Adjustment'!$A:$A,$H81,'Participation Adjustment'!$B:$B,$I81),1)</f>
        <v>223.71787608456799</v>
      </c>
      <c r="AA81" s="79">
        <f>tbl_Data_old[[#This Row],[2030 ]]*IFERROR(AVERAGEIFS('Participation Adjustment'!$C:$C,'Participation Adjustment'!$A:$A,$H81,'Participation Adjustment'!$B:$B,$I81),1)</f>
        <v>205.32461342912401</v>
      </c>
      <c r="AB81" s="79">
        <f>tbl_Data_old[[#This Row],[2031 ]]*IFERROR(AVERAGEIFS('Participation Adjustment'!$C:$C,'Participation Adjustment'!$A:$A,$H81,'Participation Adjustment'!$B:$B,$I81),1)</f>
        <v>188.865229799193</v>
      </c>
      <c r="AC81" s="79">
        <f>tbl_Data_old[[#This Row],[2032 ]]*IFERROR(AVERAGEIFS('Participation Adjustment'!$C:$C,'Participation Adjustment'!$A:$A,$H81,'Participation Adjustment'!$B:$B,$I81),1)</f>
        <v>174.34320760658201</v>
      </c>
      <c r="AD81" s="79">
        <f>tbl_Data_old[[#This Row],[2033 ]]*IFERROR(AVERAGEIFS('Participation Adjustment'!$C:$C,'Participation Adjustment'!$A:$A,$H81,'Participation Adjustment'!$B:$B,$I81),1)</f>
        <v>161.44519500627999</v>
      </c>
      <c r="AE81" s="79">
        <f>tbl_Data_old[[#This Row],[2034 ]]*IFERROR(AVERAGEIFS('Participation Adjustment'!$C:$C,'Participation Adjustment'!$A:$A,$H81,'Participation Adjustment'!$B:$B,$I81),1)</f>
        <v>149.88022693290199</v>
      </c>
      <c r="AF81" s="77" t="str">
        <f t="shared" si="44"/>
        <v>Residential</v>
      </c>
      <c r="AG81" s="77" t="str">
        <f>tbl_Data[[#This Row],[All_Meas_Name_Append]]</f>
        <v>Energy Star Windows Residential_Efficiency Delivered</v>
      </c>
      <c r="AH81" s="77">
        <f>AVERAGEIFS('3. Incentive Adjustment'!G:G,'3. Incentive Adjustment'!A:A,tbl_Data[[#This Row],[Trimmed Sector]],'3. Incentive Adjustment'!B:B,tbl_Data[[#This Row],[Trimmed Measure Name]])</f>
        <v>5.6690987860076834E-2</v>
      </c>
      <c r="AI81" s="77">
        <f>$AH81*tbl_Data[[#This Row],[2025 ]]</f>
        <v>17.235908970418265</v>
      </c>
      <c r="AJ81" s="77">
        <f>$AH81*tbl_Data[[#This Row],[2026 ]]</f>
        <v>16.036113041641862</v>
      </c>
      <c r="AK81" s="77">
        <f>$AH81*tbl_Data[[#This Row],[2027 ]]</f>
        <v>14.863761831029555</v>
      </c>
      <c r="AL81" s="77">
        <f>$AH81*tbl_Data[[#This Row],[2028 ]]</f>
        <v>13.746706310211495</v>
      </c>
      <c r="AM81" s="77">
        <f>$AH81*tbl_Data[[#This Row],[2029 ]]</f>
        <v>12.682787397192417</v>
      </c>
      <c r="AN81" s="77">
        <f>$AH81*tbl_Data[[#This Row],[2030 ]]</f>
        <v>11.640055167285439</v>
      </c>
      <c r="AO81" s="77">
        <f>$AH81*tbl_Data[[#This Row],[2031 ]]</f>
        <v>10.706956449736673</v>
      </c>
      <c r="AP81" s="77">
        <f>$AH81*tbl_Data[[#This Row],[2032 ]]</f>
        <v>9.8836886659115955</v>
      </c>
      <c r="AQ81" s="77">
        <f>$AH81*tbl_Data[[#This Row],[2033 ]]</f>
        <v>9.1524875901687555</v>
      </c>
      <c r="AR81" s="77">
        <f>$AH81*tbl_Data[[#This Row],[2034 ]]</f>
        <v>8.4968581255187079</v>
      </c>
      <c r="AS81" s="77">
        <f>SUM(tbl_Data[[#This Row],[Adjusted 2025]:[Adjusted 2034]])</f>
        <v>124.44532354911476</v>
      </c>
      <c r="AT81" s="80">
        <f>AVERAGEIFS('3. Incentive Adjustment'!F:F,'3. Incentive Adjustment'!A:A,tbl_Data[[#This Row],[Trimmed Sector]],'3. Incentive Adjustment'!B:B,tbl_Data[[#This Row],[Trimmed Measure Name]])</f>
        <v>77.050553600000001</v>
      </c>
      <c r="AU81" s="80">
        <f>IFERROR(VLOOKUP(tbl_Data[[#This Row],[All_Meas_Name_Append]],'IRA Tax Credits'!$A$3:$D$46,4,0),0)</f>
        <v>0</v>
      </c>
      <c r="AV81" s="81">
        <f>tbl_Data[[#This Row],[Adj. per unit Incentive ($)]]/tbl_Data[[#This Row],[kWh Savings]]*tbl_Data[[#This Row],[Sum of Annuals]]</f>
        <v>165.52012898999496</v>
      </c>
      <c r="AW81" s="81">
        <f>IFERROR(VLOOKUP(tbl_Data[[#This Row],[Column1]],'1. Set Program Names'!$B$2:$D$15,3,0)*tbl_Data[[#This Row],[Sum of Annuals]],"")</f>
        <v>53.830266847092823</v>
      </c>
      <c r="AX81" s="81">
        <f>tbl_Data[[#This Row],[per unit IRA tax ($)]]/tbl_Data[[#This Row],[kWh Savings]]*tbl_Data[[#This Row],[Sum of Annuals]]</f>
        <v>0</v>
      </c>
      <c r="AY81" s="81">
        <f>tbl_Data[[#This Row],[Avoided Costs ($/unit)]]/tbl_Data[[#This Row],[kWh Savings]]*tbl_Data[[#This Row],[Sum of Annuals]]</f>
        <v>100.96496347198028</v>
      </c>
      <c r="AZ81" s="81">
        <f>tbl_Data[[#This Row],[Lost Revenue ($/unit)]]/tbl_Data[[#This Row],[kWh Savings]]*tbl_Data[[#This Row],[Sum of Annuals]]</f>
        <v>188.10859465446958</v>
      </c>
      <c r="BA81" s="81">
        <f>tbl_Data[[#This Row],[Incremental Cost ($/unit)]]/tbl_Data[[#This Row],[kWh Savings]]*tbl_Data[[#This Row],[Sum of Annuals]]</f>
        <v>331.04025797998992</v>
      </c>
      <c r="BB81" s="77">
        <f>ROUNDUP(tbl_Data[[#This Row],[Adjusted 2025]]/$L81,0)</f>
        <v>1</v>
      </c>
      <c r="BC81" s="77">
        <f>ROUNDUP(tbl_Data[[#This Row],[Adjusted 2026]]/$L81,0)</f>
        <v>1</v>
      </c>
      <c r="BD81" s="77">
        <f>ROUNDUP(tbl_Data[[#This Row],[Adjusted 2027]]/$L81,0)</f>
        <v>1</v>
      </c>
      <c r="BE81" s="77">
        <f>ROUNDUP(tbl_Data[[#This Row],[Adjusted 2028]]/$L81,0)</f>
        <v>1</v>
      </c>
      <c r="BF81" s="77">
        <f>ROUNDUP(tbl_Data[[#This Row],[Adjusted 2029]]/$L81,0)</f>
        <v>1</v>
      </c>
      <c r="BG81" s="77">
        <f>ROUNDUP(tbl_Data[[#This Row],[Adjusted 2030]]/$L81,0)</f>
        <v>1</v>
      </c>
      <c r="BH81" s="77">
        <f>ROUNDUP(tbl_Data[[#This Row],[Adjusted 2031]]/$L81,0)</f>
        <v>1</v>
      </c>
      <c r="BI81" s="77">
        <f>ROUNDUP(tbl_Data[[#This Row],[Adjusted 2032]]/$L81,0)</f>
        <v>1</v>
      </c>
      <c r="BJ81" s="77">
        <f>ROUNDUP(tbl_Data[[#This Row],[Adjusted 2033]]/$L81,0)</f>
        <v>1</v>
      </c>
      <c r="BK81" s="77">
        <f>ROUNDUP(tbl_Data[[#This Row],[Adjusted 2034]]/$L81,0)</f>
        <v>1</v>
      </c>
      <c r="BL81" s="80">
        <f t="shared" si="45"/>
        <v>404.38254564550789</v>
      </c>
      <c r="BM81" s="80">
        <f t="shared" si="46"/>
        <v>376.23337563269223</v>
      </c>
      <c r="BN81" s="80">
        <f t="shared" si="47"/>
        <v>348.72810348536007</v>
      </c>
      <c r="BO81" s="80">
        <f t="shared" si="48"/>
        <v>322.52015843813041</v>
      </c>
      <c r="BP81" s="80">
        <f t="shared" si="49"/>
        <v>297.5588849047499</v>
      </c>
      <c r="BQ81" s="80">
        <f t="shared" si="50"/>
        <v>273.09468552425341</v>
      </c>
      <c r="BR81" s="80">
        <f t="shared" si="51"/>
        <v>251.20266721593364</v>
      </c>
      <c r="BS81" s="80">
        <f t="shared" si="52"/>
        <v>231.88746180712712</v>
      </c>
      <c r="BT81" s="80">
        <f t="shared" si="53"/>
        <v>214.73229158111218</v>
      </c>
      <c r="BU81" s="80">
        <f t="shared" si="54"/>
        <v>199.35015464998668</v>
      </c>
      <c r="BV81" s="80">
        <f>IFERROR(VLOOKUP($H81,'1. Set Program Names'!$B$2:$D$15,3,0)*V81,"NA")</f>
        <v>131.51282851960667</v>
      </c>
      <c r="BW81" s="80">
        <f>IFERROR(VLOOKUP($H81,'1. Set Program Names'!$B$2:$D$15,3,0)*W81,"NA")</f>
        <v>122.35818767585984</v>
      </c>
      <c r="BX81" s="80">
        <f>IFERROR(VLOOKUP($H81,'1. Set Program Names'!$B$2:$D$15,3,0)*X81,"NA")</f>
        <v>113.41295455873065</v>
      </c>
      <c r="BY81" s="80">
        <f>IFERROR(VLOOKUP($H81,'1. Set Program Names'!$B$2:$D$15,3,0)*Y81,"NA")</f>
        <v>104.88963667579452</v>
      </c>
      <c r="BZ81" s="80">
        <f>IFERROR(VLOOKUP($H81,'1. Set Program Names'!$B$2:$D$15,3,0)*Z81,"NA")</f>
        <v>96.771759875285468</v>
      </c>
      <c r="CA81" s="80">
        <f>IFERROR(VLOOKUP($H81,'1. Set Program Names'!$B$2:$D$15,3,0)*AA81,"NA")</f>
        <v>88.815540961680014</v>
      </c>
      <c r="CB81" s="80">
        <f>IFERROR(VLOOKUP($H81,'1. Set Program Names'!$B$2:$D$15,3,0)*AB81,"NA")</f>
        <v>81.695843831492752</v>
      </c>
      <c r="CC81" s="80">
        <f>IFERROR(VLOOKUP($H81,'1. Set Program Names'!$B$2:$D$15,3,0)*AC81,"NA")</f>
        <v>75.414174842307062</v>
      </c>
      <c r="CD81" s="80">
        <f>IFERROR(VLOOKUP($H81,'1. Set Program Names'!$B$2:$D$15,3,0)*AD81,"NA")</f>
        <v>69.834990022257131</v>
      </c>
      <c r="CE81" s="80">
        <f>IFERROR(VLOOKUP($H81,'1. Set Program Names'!$B$2:$D$15,3,0)*AE81,"NA")</f>
        <v>64.832429060435629</v>
      </c>
    </row>
    <row r="82" spans="1:83" x14ac:dyDescent="0.25">
      <c r="A82" s="79" t="s">
        <v>87</v>
      </c>
      <c r="B82" s="79" t="s">
        <v>88</v>
      </c>
      <c r="C82" s="79" t="s">
        <v>89</v>
      </c>
      <c r="D82" s="79" t="s">
        <v>90</v>
      </c>
      <c r="E82" s="79" t="s">
        <v>91</v>
      </c>
      <c r="F82" s="79" t="s">
        <v>90</v>
      </c>
      <c r="G82" s="79" t="s">
        <v>92</v>
      </c>
      <c r="H82" s="79" t="s">
        <v>7</v>
      </c>
      <c r="I82" s="79" t="s">
        <v>430</v>
      </c>
      <c r="J82" s="79" t="s">
        <v>94</v>
      </c>
      <c r="K82" s="79" t="s">
        <v>108</v>
      </c>
      <c r="L82" s="79">
        <v>1663.1099999999899</v>
      </c>
      <c r="M82" s="79">
        <v>6.6647595975018806E-2</v>
      </c>
      <c r="N82" s="79">
        <v>0.309148293753995</v>
      </c>
      <c r="O82" s="79">
        <v>1389.5</v>
      </c>
      <c r="P82" s="79">
        <v>988.78817699699403</v>
      </c>
      <c r="Q82" s="79">
        <v>479.59833573408702</v>
      </c>
      <c r="R82" s="79">
        <v>791.96156853290995</v>
      </c>
      <c r="S82" s="79">
        <v>2127.4894292214699</v>
      </c>
      <c r="T82" s="79">
        <v>15</v>
      </c>
      <c r="U82" s="79">
        <v>0.1</v>
      </c>
      <c r="V82" s="79">
        <f>tbl_Data_old[[#This Row],[2025 ]]*IFERROR(AVERAGEIFS('Participation Adjustment'!$C:$C,'Participation Adjustment'!$A:$A,$H82,'Participation Adjustment'!$B:$B,$I82),1)</f>
        <v>8702.5324146909006</v>
      </c>
      <c r="W82" s="79">
        <f>tbl_Data_old[[#This Row],[2026 ]]*IFERROR(AVERAGEIFS('Participation Adjustment'!$C:$C,'Participation Adjustment'!$A:$A,$H82,'Participation Adjustment'!$B:$B,$I82),1)</f>
        <v>9678.2402541635493</v>
      </c>
      <c r="X82" s="79">
        <f>tbl_Data_old[[#This Row],[2027 ]]*IFERROR(AVERAGEIFS('Participation Adjustment'!$C:$C,'Participation Adjustment'!$A:$A,$H82,'Participation Adjustment'!$B:$B,$I82),1)</f>
        <v>10577.386853121399</v>
      </c>
      <c r="Y82" s="79">
        <f>tbl_Data_old[[#This Row],[2028 ]]*IFERROR(AVERAGEIFS('Participation Adjustment'!$C:$C,'Participation Adjustment'!$A:$A,$H82,'Participation Adjustment'!$B:$B,$I82),1)</f>
        <v>11427.537270352999</v>
      </c>
      <c r="Z82" s="79">
        <f>tbl_Data_old[[#This Row],[2029 ]]*IFERROR(AVERAGEIFS('Participation Adjustment'!$C:$C,'Participation Adjustment'!$A:$A,$H82,'Participation Adjustment'!$B:$B,$I82),1)</f>
        <v>12236.961038953201</v>
      </c>
      <c r="AA82" s="79">
        <f>tbl_Data_old[[#This Row],[2030 ]]*IFERROR(AVERAGEIFS('Participation Adjustment'!$C:$C,'Participation Adjustment'!$A:$A,$H82,'Participation Adjustment'!$B:$B,$I82),1)</f>
        <v>12976.964555505499</v>
      </c>
      <c r="AB82" s="79">
        <f>tbl_Data_old[[#This Row],[2031 ]]*IFERROR(AVERAGEIFS('Participation Adjustment'!$C:$C,'Participation Adjustment'!$A:$A,$H82,'Participation Adjustment'!$B:$B,$I82),1)</f>
        <v>13749.7194347357</v>
      </c>
      <c r="AC82" s="79">
        <f>tbl_Data_old[[#This Row],[2032 ]]*IFERROR(AVERAGEIFS('Participation Adjustment'!$C:$C,'Participation Adjustment'!$A:$A,$H82,'Participation Adjustment'!$B:$B,$I82),1)</f>
        <v>14589.143311979</v>
      </c>
      <c r="AD82" s="79">
        <f>tbl_Data_old[[#This Row],[2033 ]]*IFERROR(AVERAGEIFS('Participation Adjustment'!$C:$C,'Participation Adjustment'!$A:$A,$H82,'Participation Adjustment'!$B:$B,$I82),1)</f>
        <v>15506.283818099801</v>
      </c>
      <c r="AE82" s="79">
        <f>tbl_Data_old[[#This Row],[2034 ]]*IFERROR(AVERAGEIFS('Participation Adjustment'!$C:$C,'Participation Adjustment'!$A:$A,$H82,'Participation Adjustment'!$B:$B,$I82),1)</f>
        <v>16507.3229607959</v>
      </c>
      <c r="AF82" s="77" t="str">
        <f t="shared" si="44"/>
        <v>Residential</v>
      </c>
      <c r="AG82" s="77" t="str">
        <f>tbl_Data[[#This Row],[All_Meas_Name_Append]]</f>
        <v>Heat Pump Water Heater 50 Gallons- CEE Advanced Tier_Efficiency Delivered</v>
      </c>
      <c r="AH82" s="77">
        <f>AVERAGEIFS('3. Incentive Adjustment'!G:G,'3. Incentive Adjustment'!A:A,tbl_Data[[#This Row],[Trimmed Sector]],'3. Incentive Adjustment'!B:B,tbl_Data[[#This Row],[Trimmed Measure Name]])</f>
        <v>0.62719907351402515</v>
      </c>
      <c r="AI82" s="77">
        <f>$AH82*tbl_Data[[#This Row],[2025 ]]</f>
        <v>5458.2202677199048</v>
      </c>
      <c r="AJ82" s="77">
        <f>$AH82*tbl_Data[[#This Row],[2026 ]]</f>
        <v>6070.1833206575211</v>
      </c>
      <c r="AK82" s="77">
        <f>$AH82*tbl_Data[[#This Row],[2027 ]]</f>
        <v>6634.1272344771714</v>
      </c>
      <c r="AL82" s="77">
        <f>$AH82*tbl_Data[[#This Row],[2028 ]]</f>
        <v>7167.3407885123934</v>
      </c>
      <c r="AM82" s="77">
        <f>$AH82*tbl_Data[[#This Row],[2029 ]]</f>
        <v>7675.0106262586705</v>
      </c>
      <c r="AN82" s="77">
        <f>$AH82*tbl_Data[[#This Row],[2030 ]]</f>
        <v>8139.1401462373924</v>
      </c>
      <c r="AO82" s="77">
        <f>$AH82*tbl_Data[[#This Row],[2031 ]]</f>
        <v>8623.8112905440157</v>
      </c>
      <c r="AP82" s="77">
        <f>$AH82*tbl_Data[[#This Row],[2032 ]]</f>
        <v>9150.2971686365654</v>
      </c>
      <c r="AQ82" s="77">
        <f>$AH82*tbl_Data[[#This Row],[2033 ]]</f>
        <v>9725.5268443577152</v>
      </c>
      <c r="AR82" s="77">
        <f>$AH82*tbl_Data[[#This Row],[2034 ]]</f>
        <v>10353.377667207984</v>
      </c>
      <c r="AS82" s="77">
        <f>SUM(tbl_Data[[#This Row],[Adjusted 2025]:[Adjusted 2034]])</f>
        <v>78997.035354609325</v>
      </c>
      <c r="AT82" s="80">
        <f>AVERAGEIFS('3. Incentive Adjustment'!F:F,'3. Incentive Adjustment'!A:A,tbl_Data[[#This Row],[Trimmed Sector]],'3. Incentive Adjustment'!B:B,tbl_Data[[#This Row],[Trimmed Measure Name]])</f>
        <v>694.75</v>
      </c>
      <c r="AU82" s="80">
        <f>IFERROR(VLOOKUP(tbl_Data[[#This Row],[All_Meas_Name_Append]],'IRA Tax Credits'!$A$3:$D$46,4,0),0)</f>
        <v>0</v>
      </c>
      <c r="AV82" s="81">
        <f>tbl_Data[[#This Row],[Adj. per unit Incentive ($)]]/tbl_Data[[#This Row],[kWh Savings]]*tbl_Data[[#This Row],[Sum of Annuals]]</f>
        <v>33000.336906527627</v>
      </c>
      <c r="AW82" s="81">
        <f>IFERROR(VLOOKUP(tbl_Data[[#This Row],[Column1]],'1. Set Program Names'!$B$2:$D$15,3,0)*tbl_Data[[#This Row],[Sum of Annuals]],"")</f>
        <v>34171.083106948099</v>
      </c>
      <c r="AX82" s="81">
        <f>tbl_Data[[#This Row],[per unit IRA tax ($)]]/tbl_Data[[#This Row],[kWh Savings]]*tbl_Data[[#This Row],[Sum of Annuals]]</f>
        <v>0</v>
      </c>
      <c r="AY82" s="81">
        <f>tbl_Data[[#This Row],[Avoided Costs ($/unit)]]/tbl_Data[[#This Row],[kWh Savings]]*tbl_Data[[#This Row],[Sum of Annuals]]</f>
        <v>37617.846100911258</v>
      </c>
      <c r="AZ82" s="81">
        <f>tbl_Data[[#This Row],[Lost Revenue ($/unit)]]/tbl_Data[[#This Row],[kWh Savings]]*tbl_Data[[#This Row],[Sum of Annuals]]</f>
        <v>101054.86567741586</v>
      </c>
      <c r="BA82" s="81">
        <f>tbl_Data[[#This Row],[Incremental Cost ($/unit)]]/tbl_Data[[#This Row],[kWh Savings]]*tbl_Data[[#This Row],[Sum of Annuals]]</f>
        <v>66000.673813055255</v>
      </c>
      <c r="BB82" s="77">
        <f>ROUNDUP(tbl_Data[[#This Row],[Adjusted 2025]]/$L82,0)</f>
        <v>4</v>
      </c>
      <c r="BC82" s="77">
        <f>ROUNDUP(tbl_Data[[#This Row],[Adjusted 2026]]/$L82,0)</f>
        <v>4</v>
      </c>
      <c r="BD82" s="77">
        <f>ROUNDUP(tbl_Data[[#This Row],[Adjusted 2027]]/$L82,0)</f>
        <v>4</v>
      </c>
      <c r="BE82" s="77">
        <f>ROUNDUP(tbl_Data[[#This Row],[Adjusted 2028]]/$L82,0)</f>
        <v>5</v>
      </c>
      <c r="BF82" s="77">
        <f>ROUNDUP(tbl_Data[[#This Row],[Adjusted 2029]]/$L82,0)</f>
        <v>5</v>
      </c>
      <c r="BG82" s="77">
        <f>ROUNDUP(tbl_Data[[#This Row],[Adjusted 2030]]/$L82,0)</f>
        <v>5</v>
      </c>
      <c r="BH82" s="77">
        <f>ROUNDUP(tbl_Data[[#This Row],[Adjusted 2031]]/$L82,0)</f>
        <v>6</v>
      </c>
      <c r="BI82" s="77">
        <f>ROUNDUP(tbl_Data[[#This Row],[Adjusted 2032]]/$L82,0)</f>
        <v>6</v>
      </c>
      <c r="BJ82" s="77">
        <f>ROUNDUP(tbl_Data[[#This Row],[Adjusted 2033]]/$L82,0)</f>
        <v>6</v>
      </c>
      <c r="BK82" s="77">
        <f>ROUNDUP(tbl_Data[[#This Row],[Adjusted 2034]]/$L82,0)</f>
        <v>7</v>
      </c>
      <c r="BL82" s="80">
        <f t="shared" si="45"/>
        <v>3635.4085990142203</v>
      </c>
      <c r="BM82" s="80">
        <f t="shared" si="46"/>
        <v>4043.0022166784915</v>
      </c>
      <c r="BN82" s="80">
        <f t="shared" si="47"/>
        <v>4418.6130299295519</v>
      </c>
      <c r="BO82" s="80">
        <f t="shared" si="48"/>
        <v>4773.7561066783283</v>
      </c>
      <c r="BP82" s="80">
        <f t="shared" si="49"/>
        <v>5111.8859737556668</v>
      </c>
      <c r="BQ82" s="80">
        <f t="shared" si="50"/>
        <v>5421.0161233697709</v>
      </c>
      <c r="BR82" s="80">
        <f t="shared" si="51"/>
        <v>5743.827875054978</v>
      </c>
      <c r="BS82" s="80">
        <f t="shared" si="52"/>
        <v>6094.4900313253311</v>
      </c>
      <c r="BT82" s="80">
        <f t="shared" si="53"/>
        <v>6477.6176456307167</v>
      </c>
      <c r="BU82" s="80">
        <f t="shared" si="54"/>
        <v>6895.7931988942528</v>
      </c>
      <c r="BV82" s="80">
        <f>IFERROR(VLOOKUP($H82,'1. Set Program Names'!$B$2:$D$15,3,0)*V82,"NA")</f>
        <v>3764.3812460610429</v>
      </c>
      <c r="BW82" s="80">
        <f>IFERROR(VLOOKUP($H82,'1. Set Program Names'!$B$2:$D$15,3,0)*W82,"NA")</f>
        <v>4186.434979103763</v>
      </c>
      <c r="BX82" s="80">
        <f>IFERROR(VLOOKUP($H82,'1. Set Program Names'!$B$2:$D$15,3,0)*X82,"NA")</f>
        <v>4575.371260324926</v>
      </c>
      <c r="BY82" s="80">
        <f>IFERROR(VLOOKUP($H82,'1. Set Program Names'!$B$2:$D$15,3,0)*Y82,"NA")</f>
        <v>4943.1136753437013</v>
      </c>
      <c r="BZ82" s="80">
        <f>IFERROR(VLOOKUP($H82,'1. Set Program Names'!$B$2:$D$15,3,0)*Z82,"NA")</f>
        <v>5293.2393065325023</v>
      </c>
      <c r="CA82" s="80">
        <f>IFERROR(VLOOKUP($H82,'1. Set Program Names'!$B$2:$D$15,3,0)*AA82,"NA")</f>
        <v>5613.336403215093</v>
      </c>
      <c r="CB82" s="80">
        <f>IFERROR(VLOOKUP($H82,'1. Set Program Names'!$B$2:$D$15,3,0)*AB82,"NA")</f>
        <v>5947.6004813661484</v>
      </c>
      <c r="CC82" s="80">
        <f>IFERROR(VLOOKUP($H82,'1. Set Program Names'!$B$2:$D$15,3,0)*AC82,"NA")</f>
        <v>6310.7030072075022</v>
      </c>
      <c r="CD82" s="80">
        <f>IFERROR(VLOOKUP($H82,'1. Set Program Names'!$B$2:$D$15,3,0)*AD82,"NA")</f>
        <v>6707.4227614960246</v>
      </c>
      <c r="CE82" s="80">
        <f>IFERROR(VLOOKUP($H82,'1. Set Program Names'!$B$2:$D$15,3,0)*AE82,"NA")</f>
        <v>7140.4338433021549</v>
      </c>
    </row>
    <row r="83" spans="1:83" x14ac:dyDescent="0.25">
      <c r="A83" s="79" t="s">
        <v>87</v>
      </c>
      <c r="B83" s="79" t="s">
        <v>88</v>
      </c>
      <c r="C83" s="79" t="s">
        <v>89</v>
      </c>
      <c r="D83" s="79" t="s">
        <v>90</v>
      </c>
      <c r="E83" s="79" t="s">
        <v>91</v>
      </c>
      <c r="F83" s="79" t="s">
        <v>90</v>
      </c>
      <c r="G83" s="79" t="s">
        <v>92</v>
      </c>
      <c r="H83" s="79" t="s">
        <v>7</v>
      </c>
      <c r="I83" s="79" t="s">
        <v>431</v>
      </c>
      <c r="J83" s="79" t="s">
        <v>94</v>
      </c>
      <c r="K83" s="79" t="s">
        <v>95</v>
      </c>
      <c r="L83" s="79">
        <v>1590.11499999999</v>
      </c>
      <c r="M83" s="79">
        <v>6.3722388822036402E-2</v>
      </c>
      <c r="N83" s="79">
        <v>0.29557957027655002</v>
      </c>
      <c r="O83" s="79">
        <v>1389.5</v>
      </c>
      <c r="P83" s="79">
        <v>1006.47372867305</v>
      </c>
      <c r="Q83" s="79">
        <v>458.54844696129999</v>
      </c>
      <c r="R83" s="79">
        <v>757.20185047754296</v>
      </c>
      <c r="S83" s="79">
        <v>2034.1125083407001</v>
      </c>
      <c r="T83" s="79">
        <v>15</v>
      </c>
      <c r="U83" s="79">
        <v>0.1</v>
      </c>
      <c r="V83" s="79">
        <f>tbl_Data_old[[#This Row],[2025 ]]*IFERROR(AVERAGEIFS('Participation Adjustment'!$C:$C,'Participation Adjustment'!$A:$A,$H83,'Participation Adjustment'!$B:$B,$I83),1)</f>
        <v>12436.552667244599</v>
      </c>
      <c r="W83" s="79">
        <f>tbl_Data_old[[#This Row],[2026 ]]*IFERROR(AVERAGEIFS('Participation Adjustment'!$C:$C,'Participation Adjustment'!$A:$A,$H83,'Participation Adjustment'!$B:$B,$I83),1)</f>
        <v>13825.239441347199</v>
      </c>
      <c r="X83" s="79">
        <f>tbl_Data_old[[#This Row],[2027 ]]*IFERROR(AVERAGEIFS('Participation Adjustment'!$C:$C,'Participation Adjustment'!$A:$A,$H83,'Participation Adjustment'!$B:$B,$I83),1)</f>
        <v>15104.0914059185</v>
      </c>
      <c r="Y83" s="79">
        <f>tbl_Data_old[[#This Row],[2028 ]]*IFERROR(AVERAGEIFS('Participation Adjustment'!$C:$C,'Participation Adjustment'!$A:$A,$H83,'Participation Adjustment'!$B:$B,$I83),1)</f>
        <v>16312.689587258001</v>
      </c>
      <c r="Z83" s="79">
        <f>tbl_Data_old[[#This Row],[2029 ]]*IFERROR(AVERAGEIFS('Participation Adjustment'!$C:$C,'Participation Adjustment'!$A:$A,$H83,'Participation Adjustment'!$B:$B,$I83),1)</f>
        <v>17462.991326641499</v>
      </c>
      <c r="AA83" s="79">
        <f>tbl_Data_old[[#This Row],[2030 ]]*IFERROR(AVERAGEIFS('Participation Adjustment'!$C:$C,'Participation Adjustment'!$A:$A,$H83,'Participation Adjustment'!$B:$B,$I83),1)</f>
        <v>18514.177360845199</v>
      </c>
      <c r="AB83" s="79">
        <f>tbl_Data_old[[#This Row],[2031 ]]*IFERROR(AVERAGEIFS('Participation Adjustment'!$C:$C,'Participation Adjustment'!$A:$A,$H83,'Participation Adjustment'!$B:$B,$I83),1)</f>
        <v>19612.104401335098</v>
      </c>
      <c r="AC83" s="79">
        <f>tbl_Data_old[[#This Row],[2032 ]]*IFERROR(AVERAGEIFS('Participation Adjustment'!$C:$C,'Participation Adjustment'!$A:$A,$H83,'Participation Adjustment'!$B:$B,$I83),1)</f>
        <v>20805.147315026599</v>
      </c>
      <c r="AD83" s="79">
        <f>tbl_Data_old[[#This Row],[2033 ]]*IFERROR(AVERAGEIFS('Participation Adjustment'!$C:$C,'Participation Adjustment'!$A:$A,$H83,'Participation Adjustment'!$B:$B,$I83),1)</f>
        <v>22109.035700205899</v>
      </c>
      <c r="AE83" s="79">
        <f>tbl_Data_old[[#This Row],[2034 ]]*IFERROR(AVERAGEIFS('Participation Adjustment'!$C:$C,'Participation Adjustment'!$A:$A,$H83,'Participation Adjustment'!$B:$B,$I83),1)</f>
        <v>23532.557294852901</v>
      </c>
      <c r="AF83" s="77" t="str">
        <f t="shared" si="44"/>
        <v>Residential</v>
      </c>
      <c r="AG83" s="77" t="str">
        <f>tbl_Data[[#This Row],[All_Meas_Name_Append]]</f>
        <v>Heat Pump Water Heater 50 Gallons-ENERGY STAR_Efficiency Delivered</v>
      </c>
      <c r="AH83" s="77">
        <f>AVERAGEIFS('3. Incentive Adjustment'!G:G,'3. Incentive Adjustment'!A:A,tbl_Data[[#This Row],[Trimmed Sector]],'3. Incentive Adjustment'!B:B,tbl_Data[[#This Row],[Trimmed Measure Name]])</f>
        <v>0.59615658026245322</v>
      </c>
      <c r="AI83" s="77">
        <f>$AH83*tbl_Data[[#This Row],[2025 ]]</f>
        <v>7414.132708358432</v>
      </c>
      <c r="AJ83" s="77">
        <f>$AH83*tbl_Data[[#This Row],[2026 ]]</f>
        <v>8242.0074666631353</v>
      </c>
      <c r="AK83" s="77">
        <f>$AH83*tbl_Data[[#This Row],[2027 ]]</f>
        <v>9004.4034805238825</v>
      </c>
      <c r="AL83" s="77">
        <f>$AH83*tbl_Data[[#This Row],[2028 ]]</f>
        <v>9724.9172392226592</v>
      </c>
      <c r="AM83" s="77">
        <f>$AH83*tbl_Data[[#This Row],[2029 ]]</f>
        <v>10410.677190443477</v>
      </c>
      <c r="AN83" s="77">
        <f>$AH83*tbl_Data[[#This Row],[2030 ]]</f>
        <v>11037.348661814005</v>
      </c>
      <c r="AO83" s="77">
        <f>$AH83*tbl_Data[[#This Row],[2031 ]]</f>
        <v>11691.88509165014</v>
      </c>
      <c r="AP83" s="77">
        <f>$AH83*tbl_Data[[#This Row],[2032 ]]</f>
        <v>12403.125475182818</v>
      </c>
      <c r="AQ83" s="77">
        <f>$AH83*tbl_Data[[#This Row],[2033 ]]</f>
        <v>13180.447115935242</v>
      </c>
      <c r="AR83" s="77">
        <f>$AH83*tbl_Data[[#This Row],[2034 ]]</f>
        <v>14029.088881729753</v>
      </c>
      <c r="AS83" s="77">
        <f>SUM(tbl_Data[[#This Row],[Adjusted 2025]:[Adjusted 2034]])</f>
        <v>107138.03331152356</v>
      </c>
      <c r="AT83" s="80">
        <f>AVERAGEIFS('3. Incentive Adjustment'!F:F,'3. Incentive Adjustment'!A:A,tbl_Data[[#This Row],[Trimmed Sector]],'3. Incentive Adjustment'!B:B,tbl_Data[[#This Row],[Trimmed Measure Name]])</f>
        <v>694.75</v>
      </c>
      <c r="AU83" s="80">
        <f>IFERROR(VLOOKUP(tbl_Data[[#This Row],[All_Meas_Name_Append]],'IRA Tax Credits'!$A$3:$D$46,4,0),0)</f>
        <v>0</v>
      </c>
      <c r="AV83" s="81">
        <f>tbl_Data[[#This Row],[Adj. per unit Incentive ($)]]/tbl_Data[[#This Row],[kWh Savings]]*tbl_Data[[#This Row],[Sum of Annuals]]</f>
        <v>46810.544295966931</v>
      </c>
      <c r="AW83" s="81">
        <f>IFERROR(VLOOKUP(tbl_Data[[#This Row],[Column1]],'1. Set Program Names'!$B$2:$D$15,3,0)*tbl_Data[[#This Row],[Sum of Annuals]],"")</f>
        <v>46343.797887719491</v>
      </c>
      <c r="AX83" s="81">
        <f>tbl_Data[[#This Row],[per unit IRA tax ($)]]/tbl_Data[[#This Row],[kWh Savings]]*tbl_Data[[#This Row],[Sum of Annuals]]</f>
        <v>0</v>
      </c>
      <c r="AY83" s="81">
        <f>tbl_Data[[#This Row],[Avoided Costs ($/unit)]]/tbl_Data[[#This Row],[kWh Savings]]*tbl_Data[[#This Row],[Sum of Annuals]]</f>
        <v>51018.396204054916</v>
      </c>
      <c r="AZ83" s="81">
        <f>tbl_Data[[#This Row],[Lost Revenue ($/unit)]]/tbl_Data[[#This Row],[kWh Savings]]*tbl_Data[[#This Row],[Sum of Annuals]]</f>
        <v>137053.49215496617</v>
      </c>
      <c r="BA83" s="81">
        <f>tbl_Data[[#This Row],[Incremental Cost ($/unit)]]/tbl_Data[[#This Row],[kWh Savings]]*tbl_Data[[#This Row],[Sum of Annuals]]</f>
        <v>93621.088591933862</v>
      </c>
      <c r="BB83" s="77">
        <f>ROUNDUP(tbl_Data[[#This Row],[Adjusted 2025]]/$L83,0)</f>
        <v>5</v>
      </c>
      <c r="BC83" s="77">
        <f>ROUNDUP(tbl_Data[[#This Row],[Adjusted 2026]]/$L83,0)</f>
        <v>6</v>
      </c>
      <c r="BD83" s="77">
        <f>ROUNDUP(tbl_Data[[#This Row],[Adjusted 2027]]/$L83,0)</f>
        <v>6</v>
      </c>
      <c r="BE83" s="77">
        <f>ROUNDUP(tbl_Data[[#This Row],[Adjusted 2028]]/$L83,0)</f>
        <v>7</v>
      </c>
      <c r="BF83" s="77">
        <f>ROUNDUP(tbl_Data[[#This Row],[Adjusted 2029]]/$L83,0)</f>
        <v>7</v>
      </c>
      <c r="BG83" s="77">
        <f>ROUNDUP(tbl_Data[[#This Row],[Adjusted 2030]]/$L83,0)</f>
        <v>7</v>
      </c>
      <c r="BH83" s="77">
        <f>ROUNDUP(tbl_Data[[#This Row],[Adjusted 2031]]/$L83,0)</f>
        <v>8</v>
      </c>
      <c r="BI83" s="77">
        <f>ROUNDUP(tbl_Data[[#This Row],[Adjusted 2032]]/$L83,0)</f>
        <v>8</v>
      </c>
      <c r="BJ83" s="77">
        <f>ROUNDUP(tbl_Data[[#This Row],[Adjusted 2033]]/$L83,0)</f>
        <v>9</v>
      </c>
      <c r="BK83" s="77">
        <f>ROUNDUP(tbl_Data[[#This Row],[Adjusted 2034]]/$L83,0)</f>
        <v>9</v>
      </c>
      <c r="BL83" s="80">
        <f t="shared" si="45"/>
        <v>5433.754769666496</v>
      </c>
      <c r="BM83" s="80">
        <f t="shared" si="46"/>
        <v>6040.4971350349042</v>
      </c>
      <c r="BN83" s="80">
        <f t="shared" si="47"/>
        <v>6599.2506858069664</v>
      </c>
      <c r="BO83" s="80">
        <f t="shared" si="48"/>
        <v>7127.309088177627</v>
      </c>
      <c r="BP83" s="80">
        <f t="shared" si="49"/>
        <v>7629.8967207933119</v>
      </c>
      <c r="BQ83" s="80">
        <f t="shared" si="50"/>
        <v>8089.1789093539037</v>
      </c>
      <c r="BR83" s="80">
        <f t="shared" si="51"/>
        <v>8568.8830888505836</v>
      </c>
      <c r="BS83" s="80">
        <f t="shared" si="52"/>
        <v>9090.1451134759573</v>
      </c>
      <c r="BT83" s="80">
        <f t="shared" si="53"/>
        <v>9659.8375291838292</v>
      </c>
      <c r="BU83" s="80">
        <f t="shared" si="54"/>
        <v>10281.79985761983</v>
      </c>
      <c r="BV83" s="80">
        <f>IFERROR(VLOOKUP($H83,'1. Set Program Names'!$B$2:$D$15,3,0)*V83,"NA")</f>
        <v>5379.5749783356405</v>
      </c>
      <c r="BW83" s="80">
        <f>IFERROR(VLOOKUP($H83,'1. Set Program Names'!$B$2:$D$15,3,0)*W83,"NA")</f>
        <v>5980.2675353964014</v>
      </c>
      <c r="BX83" s="80">
        <f>IFERROR(VLOOKUP($H83,'1. Set Program Names'!$B$2:$D$15,3,0)*X83,"NA")</f>
        <v>6533.4497727637427</v>
      </c>
      <c r="BY83" s="80">
        <f>IFERROR(VLOOKUP($H83,'1. Set Program Names'!$B$2:$D$15,3,0)*Y83,"NA")</f>
        <v>7056.2429220518279</v>
      </c>
      <c r="BZ83" s="80">
        <f>IFERROR(VLOOKUP($H83,'1. Set Program Names'!$B$2:$D$15,3,0)*Z83,"NA")</f>
        <v>7553.8192697982367</v>
      </c>
      <c r="CA83" s="80">
        <f>IFERROR(VLOOKUP($H83,'1. Set Program Names'!$B$2:$D$15,3,0)*AA83,"NA")</f>
        <v>8008.5219706577818</v>
      </c>
      <c r="CB83" s="80">
        <f>IFERROR(VLOOKUP($H83,'1. Set Program Names'!$B$2:$D$15,3,0)*AB83,"NA")</f>
        <v>8483.443035448814</v>
      </c>
      <c r="CC83" s="80">
        <f>IFERROR(VLOOKUP($H83,'1. Set Program Names'!$B$2:$D$15,3,0)*AC83,"NA")</f>
        <v>8999.507573452127</v>
      </c>
      <c r="CD83" s="80">
        <f>IFERROR(VLOOKUP($H83,'1. Set Program Names'!$B$2:$D$15,3,0)*AD83,"NA")</f>
        <v>9563.5196046902911</v>
      </c>
      <c r="CE83" s="80">
        <f>IFERROR(VLOOKUP($H83,'1. Set Program Names'!$B$2:$D$15,3,0)*AE83,"NA")</f>
        <v>10179.280367064011</v>
      </c>
    </row>
    <row r="84" spans="1:83" x14ac:dyDescent="0.25">
      <c r="A84" s="79" t="s">
        <v>87</v>
      </c>
      <c r="B84" s="79" t="s">
        <v>88</v>
      </c>
      <c r="C84" s="79" t="s">
        <v>89</v>
      </c>
      <c r="D84" s="79" t="s">
        <v>90</v>
      </c>
      <c r="E84" s="79" t="s">
        <v>91</v>
      </c>
      <c r="F84" s="79" t="s">
        <v>90</v>
      </c>
      <c r="G84" s="79" t="s">
        <v>92</v>
      </c>
      <c r="H84" s="79" t="s">
        <v>7</v>
      </c>
      <c r="I84" s="79" t="s">
        <v>432</v>
      </c>
      <c r="J84" s="79" t="s">
        <v>94</v>
      </c>
      <c r="K84" s="79" t="s">
        <v>108</v>
      </c>
      <c r="L84" s="79">
        <v>461.909999999999</v>
      </c>
      <c r="M84" s="79">
        <v>1.8510616289253799E-2</v>
      </c>
      <c r="N84" s="79">
        <v>8.5862443475120898E-2</v>
      </c>
      <c r="O84" s="79">
        <v>1729.5</v>
      </c>
      <c r="P84" s="79">
        <v>1631.9996867488601</v>
      </c>
      <c r="Q84" s="79">
        <v>133.20301559063</v>
      </c>
      <c r="R84" s="79">
        <v>219.958372038552</v>
      </c>
      <c r="S84" s="79">
        <v>590.88613636602201</v>
      </c>
      <c r="T84" s="79">
        <v>15</v>
      </c>
      <c r="U84" s="79">
        <v>0.1</v>
      </c>
      <c r="V84" s="79">
        <f>tbl_Data_old[[#This Row],[2025 ]]*IFERROR(AVERAGEIFS('Participation Adjustment'!$C:$C,'Participation Adjustment'!$A:$A,$H84,'Participation Adjustment'!$B:$B,$I84),1)</f>
        <v>6689.9151910437904</v>
      </c>
      <c r="W84" s="79">
        <f>tbl_Data_old[[#This Row],[2026 ]]*IFERROR(AVERAGEIFS('Participation Adjustment'!$C:$C,'Participation Adjustment'!$A:$A,$H84,'Participation Adjustment'!$B:$B,$I84),1)</f>
        <v>7441.2895404054198</v>
      </c>
      <c r="X84" s="79">
        <f>tbl_Data_old[[#This Row],[2027 ]]*IFERROR(AVERAGEIFS('Participation Adjustment'!$C:$C,'Participation Adjustment'!$A:$A,$H84,'Participation Adjustment'!$B:$B,$I84),1)</f>
        <v>8133.8966036499296</v>
      </c>
      <c r="Y84" s="79">
        <f>tbl_Data_old[[#This Row],[2028 ]]*IFERROR(AVERAGEIFS('Participation Adjustment'!$C:$C,'Participation Adjustment'!$A:$A,$H84,'Participation Adjustment'!$B:$B,$I84),1)</f>
        <v>8788.8813576257799</v>
      </c>
      <c r="Z84" s="79">
        <f>tbl_Data_old[[#This Row],[2029 ]]*IFERROR(AVERAGEIFS('Participation Adjustment'!$C:$C,'Participation Adjustment'!$A:$A,$H84,'Participation Adjustment'!$B:$B,$I84),1)</f>
        <v>9412.5677239365905</v>
      </c>
      <c r="AA84" s="79">
        <f>tbl_Data_old[[#This Row],[2030 ]]*IFERROR(AVERAGEIFS('Participation Adjustment'!$C:$C,'Participation Adjustment'!$A:$A,$H84,'Participation Adjustment'!$B:$B,$I84),1)</f>
        <v>9982.8549475087093</v>
      </c>
      <c r="AB84" s="79">
        <f>tbl_Data_old[[#This Row],[2031 ]]*IFERROR(AVERAGEIFS('Participation Adjustment'!$C:$C,'Participation Adjustment'!$A:$A,$H84,'Participation Adjustment'!$B:$B,$I84),1)</f>
        <v>10578.3207545934</v>
      </c>
      <c r="AC84" s="79">
        <f>tbl_Data_old[[#This Row],[2032 ]]*IFERROR(AVERAGEIFS('Participation Adjustment'!$C:$C,'Participation Adjustment'!$A:$A,$H84,'Participation Adjustment'!$B:$B,$I84),1)</f>
        <v>11225.0602473983</v>
      </c>
      <c r="AD84" s="79">
        <f>tbl_Data_old[[#This Row],[2033 ]]*IFERROR(AVERAGEIFS('Participation Adjustment'!$C:$C,'Participation Adjustment'!$A:$A,$H84,'Participation Adjustment'!$B:$B,$I84),1)</f>
        <v>11931.5788916286</v>
      </c>
      <c r="AE84" s="79">
        <f>tbl_Data_old[[#This Row],[2034 ]]*IFERROR(AVERAGEIFS('Participation Adjustment'!$C:$C,'Participation Adjustment'!$A:$A,$H84,'Participation Adjustment'!$B:$B,$I84),1)</f>
        <v>12702.6391124198</v>
      </c>
      <c r="AF84" s="77" t="str">
        <f t="shared" si="44"/>
        <v>Residential</v>
      </c>
      <c r="AG84" s="77" t="str">
        <f>tbl_Data[[#This Row],[All_Meas_Name_Append]]</f>
        <v>Heat Pump Water Heater 80 Gallons-ENERGY STAR_Efficiency Delivered</v>
      </c>
      <c r="AH84" s="77">
        <f>AVERAGEIFS('3. Incentive Adjustment'!G:G,'3. Incentive Adjustment'!A:A,tbl_Data[[#This Row],[Trimmed Sector]],'3. Incentive Adjustment'!B:B,tbl_Data[[#This Row],[Trimmed Measure Name]])</f>
        <v>1.2491787269958169E-2</v>
      </c>
      <c r="AI84" s="77">
        <f>$AH84*tbl_Data[[#This Row],[2025 ]]</f>
        <v>83.568997420580601</v>
      </c>
      <c r="AJ84" s="77">
        <f>$AH84*tbl_Data[[#This Row],[2026 ]]</f>
        <v>92.955005952909303</v>
      </c>
      <c r="AK84" s="77">
        <f>$AH84*tbl_Data[[#This Row],[2027 ]]</f>
        <v>101.60690604863018</v>
      </c>
      <c r="AL84" s="77">
        <f>$AH84*tbl_Data[[#This Row],[2028 ]]</f>
        <v>109.78883626036239</v>
      </c>
      <c r="AM84" s="77">
        <f>$AH84*tbl_Data[[#This Row],[2029 ]]</f>
        <v>117.57979367149024</v>
      </c>
      <c r="AN84" s="77">
        <f>$AH84*tbl_Data[[#This Row],[2030 ]]</f>
        <v>124.70370035112822</v>
      </c>
      <c r="AO84" s="77">
        <f>$AH84*tbl_Data[[#This Row],[2031 ]]</f>
        <v>132.14213253976413</v>
      </c>
      <c r="AP84" s="77">
        <f>$AH84*tbl_Data[[#This Row],[2032 ]]</f>
        <v>140.22106470296359</v>
      </c>
      <c r="AQ84" s="77">
        <f>$AH84*tbl_Data[[#This Row],[2033 ]]</f>
        <v>149.04674530894775</v>
      </c>
      <c r="AR84" s="77">
        <f>$AH84*tbl_Data[[#This Row],[2034 ]]</f>
        <v>158.67866555939838</v>
      </c>
      <c r="AS84" s="77">
        <f>SUM(tbl_Data[[#This Row],[Adjusted 2025]:[Adjusted 2034]])</f>
        <v>1210.2918478161746</v>
      </c>
      <c r="AT84" s="80">
        <f>AVERAGEIFS('3. Incentive Adjustment'!F:F,'3. Incentive Adjustment'!A:A,tbl_Data[[#This Row],[Trimmed Sector]],'3. Incentive Adjustment'!B:B,tbl_Data[[#This Row],[Trimmed Measure Name]])</f>
        <v>864.75</v>
      </c>
      <c r="AU84" s="80">
        <f>IFERROR(VLOOKUP(tbl_Data[[#This Row],[All_Meas_Name_Append]],'IRA Tax Credits'!$A$3:$D$46,4,0),0)</f>
        <v>0</v>
      </c>
      <c r="AV84" s="81">
        <f>tbl_Data[[#This Row],[Adj. per unit Incentive ($)]]/tbl_Data[[#This Row],[kWh Savings]]*tbl_Data[[#This Row],[Sum of Annuals]]</f>
        <v>2265.8090870495103</v>
      </c>
      <c r="AW84" s="81">
        <f>IFERROR(VLOOKUP(tbl_Data[[#This Row],[Column1]],'1. Set Program Names'!$B$2:$D$15,3,0)*tbl_Data[[#This Row],[Sum of Annuals]],"")</f>
        <v>523.525764349778</v>
      </c>
      <c r="AX84" s="81">
        <f>tbl_Data[[#This Row],[per unit IRA tax ($)]]/tbl_Data[[#This Row],[kWh Savings]]*tbl_Data[[#This Row],[Sum of Annuals]]</f>
        <v>0</v>
      </c>
      <c r="AY84" s="81">
        <f>tbl_Data[[#This Row],[Avoided Costs ($/unit)]]/tbl_Data[[#This Row],[kWh Savings]]*tbl_Data[[#This Row],[Sum of Annuals]]</f>
        <v>576.33267202956699</v>
      </c>
      <c r="AZ84" s="81">
        <f>tbl_Data[[#This Row],[Lost Revenue ($/unit)]]/tbl_Data[[#This Row],[kWh Savings]]*tbl_Data[[#This Row],[Sum of Annuals]]</f>
        <v>1548.2337984269543</v>
      </c>
      <c r="BA84" s="81">
        <f>tbl_Data[[#This Row],[Incremental Cost ($/unit)]]/tbl_Data[[#This Row],[kWh Savings]]*tbl_Data[[#This Row],[Sum of Annuals]]</f>
        <v>4531.6181740990205</v>
      </c>
      <c r="BB84" s="77">
        <f>ROUNDUP(tbl_Data[[#This Row],[Adjusted 2025]]/$L84,0)</f>
        <v>1</v>
      </c>
      <c r="BC84" s="77">
        <f>ROUNDUP(tbl_Data[[#This Row],[Adjusted 2026]]/$L84,0)</f>
        <v>1</v>
      </c>
      <c r="BD84" s="77">
        <f>ROUNDUP(tbl_Data[[#This Row],[Adjusted 2027]]/$L84,0)</f>
        <v>1</v>
      </c>
      <c r="BE84" s="77">
        <f>ROUNDUP(tbl_Data[[#This Row],[Adjusted 2028]]/$L84,0)</f>
        <v>1</v>
      </c>
      <c r="BF84" s="77">
        <f>ROUNDUP(tbl_Data[[#This Row],[Adjusted 2029]]/$L84,0)</f>
        <v>1</v>
      </c>
      <c r="BG84" s="77">
        <f>ROUNDUP(tbl_Data[[#This Row],[Adjusted 2030]]/$L84,0)</f>
        <v>1</v>
      </c>
      <c r="BH84" s="77">
        <f>ROUNDUP(tbl_Data[[#This Row],[Adjusted 2031]]/$L84,0)</f>
        <v>1</v>
      </c>
      <c r="BI84" s="77">
        <f>ROUNDUP(tbl_Data[[#This Row],[Adjusted 2032]]/$L84,0)</f>
        <v>1</v>
      </c>
      <c r="BJ84" s="77">
        <f>ROUNDUP(tbl_Data[[#This Row],[Adjusted 2033]]/$L84,0)</f>
        <v>1</v>
      </c>
      <c r="BK84" s="77">
        <f>ROUNDUP(tbl_Data[[#This Row],[Adjusted 2034]]/$L84,0)</f>
        <v>1</v>
      </c>
      <c r="BL84" s="80">
        <f t="shared" si="45"/>
        <v>12524.310280044014</v>
      </c>
      <c r="BM84" s="80">
        <f t="shared" si="46"/>
        <v>13930.97168293737</v>
      </c>
      <c r="BN84" s="80">
        <f t="shared" si="47"/>
        <v>15227.61379490873</v>
      </c>
      <c r="BO84" s="80">
        <f t="shared" si="48"/>
        <v>16453.822506563854</v>
      </c>
      <c r="BP84" s="80">
        <f t="shared" si="49"/>
        <v>17621.436945019992</v>
      </c>
      <c r="BQ84" s="80">
        <f t="shared" si="50"/>
        <v>18689.08189010451</v>
      </c>
      <c r="BR84" s="80">
        <f t="shared" si="51"/>
        <v>19803.864113213964</v>
      </c>
      <c r="BS84" s="80">
        <f t="shared" si="52"/>
        <v>21014.636723469292</v>
      </c>
      <c r="BT84" s="80">
        <f t="shared" si="53"/>
        <v>22337.322955848227</v>
      </c>
      <c r="BU84" s="80">
        <f t="shared" si="54"/>
        <v>23780.838631908911</v>
      </c>
      <c r="BV84" s="80">
        <f>IFERROR(VLOOKUP($H84,'1. Set Program Names'!$B$2:$D$15,3,0)*V84,"NA")</f>
        <v>2893.8003425751785</v>
      </c>
      <c r="BW84" s="80">
        <f>IFERROR(VLOOKUP($H84,'1. Set Program Names'!$B$2:$D$15,3,0)*W84,"NA")</f>
        <v>3218.8160247613732</v>
      </c>
      <c r="BX84" s="80">
        <f>IFERROR(VLOOKUP($H84,'1. Set Program Names'!$B$2:$D$15,3,0)*X84,"NA")</f>
        <v>3518.4112363075806</v>
      </c>
      <c r="BY84" s="80">
        <f>IFERROR(VLOOKUP($H84,'1. Set Program Names'!$B$2:$D$15,3,0)*Y84,"NA")</f>
        <v>3801.7324819900846</v>
      </c>
      <c r="BZ84" s="80">
        <f>IFERROR(VLOOKUP($H84,'1. Set Program Names'!$B$2:$D$15,3,0)*Z84,"NA")</f>
        <v>4071.5152473838707</v>
      </c>
      <c r="CA84" s="80">
        <f>IFERROR(VLOOKUP($H84,'1. Set Program Names'!$B$2:$D$15,3,0)*AA84,"NA")</f>
        <v>4318.1995947652249</v>
      </c>
      <c r="CB84" s="80">
        <f>IFERROR(VLOOKUP($H84,'1. Set Program Names'!$B$2:$D$15,3,0)*AB84,"NA")</f>
        <v>4575.775230229242</v>
      </c>
      <c r="CC84" s="80">
        <f>IFERROR(VLOOKUP($H84,'1. Set Program Names'!$B$2:$D$15,3,0)*AC84,"NA")</f>
        <v>4855.5298926412943</v>
      </c>
      <c r="CD84" s="80">
        <f>IFERROR(VLOOKUP($H84,'1. Set Program Names'!$B$2:$D$15,3,0)*AD84,"NA")</f>
        <v>5161.1427197585235</v>
      </c>
      <c r="CE84" s="80">
        <f>IFERROR(VLOOKUP($H84,'1. Set Program Names'!$B$2:$D$15,3,0)*AE84,"NA")</f>
        <v>5494.6737537630861</v>
      </c>
    </row>
    <row r="85" spans="1:83" x14ac:dyDescent="0.25">
      <c r="A85" s="79" t="s">
        <v>87</v>
      </c>
      <c r="B85" s="79" t="s">
        <v>88</v>
      </c>
      <c r="C85" s="79" t="s">
        <v>89</v>
      </c>
      <c r="D85" s="79" t="s">
        <v>90</v>
      </c>
      <c r="E85" s="79" t="s">
        <v>91</v>
      </c>
      <c r="F85" s="79" t="s">
        <v>90</v>
      </c>
      <c r="G85" s="79" t="s">
        <v>92</v>
      </c>
      <c r="H85" s="79" t="s">
        <v>7</v>
      </c>
      <c r="I85" s="79" t="s">
        <v>433</v>
      </c>
      <c r="J85" s="79" t="s">
        <v>97</v>
      </c>
      <c r="K85" s="79" t="s">
        <v>102</v>
      </c>
      <c r="L85" s="79">
        <v>408.28</v>
      </c>
      <c r="M85" s="79">
        <v>0.16567198429270899</v>
      </c>
      <c r="N85" s="79">
        <v>2.3547919008134799E-2</v>
      </c>
      <c r="O85" s="79">
        <v>128.60999999999999</v>
      </c>
      <c r="P85" s="79">
        <v>29.691921599999901</v>
      </c>
      <c r="Q85" s="79">
        <v>117.737496926549</v>
      </c>
      <c r="R85" s="79">
        <v>238.630335182902</v>
      </c>
      <c r="S85" s="79">
        <v>423.90838942107399</v>
      </c>
      <c r="T85" s="79">
        <v>11</v>
      </c>
      <c r="U85" s="79">
        <v>9.9999999999999895E-2</v>
      </c>
      <c r="V85" s="79">
        <f>tbl_Data_old[[#This Row],[2025 ]]*IFERROR(AVERAGEIFS('Participation Adjustment'!$C:$C,'Participation Adjustment'!$A:$A,$H85,'Participation Adjustment'!$B:$B,$I85),1)</f>
        <v>1792.5542711856299</v>
      </c>
      <c r="W85" s="79">
        <f>tbl_Data_old[[#This Row],[2026 ]]*IFERROR(AVERAGEIFS('Participation Adjustment'!$C:$C,'Participation Adjustment'!$A:$A,$H85,'Participation Adjustment'!$B:$B,$I85),1)</f>
        <v>1486.68131724211</v>
      </c>
      <c r="X85" s="79">
        <f>tbl_Data_old[[#This Row],[2027 ]]*IFERROR(AVERAGEIFS('Participation Adjustment'!$C:$C,'Participation Adjustment'!$A:$A,$H85,'Participation Adjustment'!$B:$B,$I85),1)</f>
        <v>1232.8572238736999</v>
      </c>
      <c r="Y85" s="79">
        <f>tbl_Data_old[[#This Row],[2028 ]]*IFERROR(AVERAGEIFS('Participation Adjustment'!$C:$C,'Participation Adjustment'!$A:$A,$H85,'Participation Adjustment'!$B:$B,$I85),1)</f>
        <v>1026.6034032944101</v>
      </c>
      <c r="Z85" s="79">
        <f>tbl_Data_old[[#This Row],[2029 ]]*IFERROR(AVERAGEIFS('Participation Adjustment'!$C:$C,'Participation Adjustment'!$A:$A,$H85,'Participation Adjustment'!$B:$B,$I85),1)</f>
        <v>860.64189008096696</v>
      </c>
      <c r="AA85" s="79">
        <f>tbl_Data_old[[#This Row],[2030 ]]*IFERROR(AVERAGEIFS('Participation Adjustment'!$C:$C,'Participation Adjustment'!$A:$A,$H85,'Participation Adjustment'!$B:$B,$I85),1)</f>
        <v>725.12927826564999</v>
      </c>
      <c r="AB85" s="79">
        <f>tbl_Data_old[[#This Row],[2031 ]]*IFERROR(AVERAGEIFS('Participation Adjustment'!$C:$C,'Participation Adjustment'!$A:$A,$H85,'Participation Adjustment'!$B:$B,$I85),1)</f>
        <v>619.83236469928499</v>
      </c>
      <c r="AC85" s="79">
        <f>tbl_Data_old[[#This Row],[2032 ]]*IFERROR(AVERAGEIFS('Participation Adjustment'!$C:$C,'Participation Adjustment'!$A:$A,$H85,'Participation Adjustment'!$B:$B,$I85),1)</f>
        <v>538.15290223586101</v>
      </c>
      <c r="AD85" s="79">
        <f>tbl_Data_old[[#This Row],[2033 ]]*IFERROR(AVERAGEIFS('Participation Adjustment'!$C:$C,'Participation Adjustment'!$A:$A,$H85,'Participation Adjustment'!$B:$B,$I85),1)</f>
        <v>475.038740726367</v>
      </c>
      <c r="AE85" s="79">
        <f>tbl_Data_old[[#This Row],[2034 ]]*IFERROR(AVERAGEIFS('Participation Adjustment'!$C:$C,'Participation Adjustment'!$A:$A,$H85,'Participation Adjustment'!$B:$B,$I85),1)</f>
        <v>426.2422682358</v>
      </c>
      <c r="AF85" s="77" t="str">
        <f t="shared" si="44"/>
        <v>Residential</v>
      </c>
      <c r="AG85" s="77" t="str">
        <f>tbl_Data[[#This Row],[All_Meas_Name_Append]]</f>
        <v>Smart Thermostat Residential_Efficiency Delivered</v>
      </c>
      <c r="AH85" s="77">
        <f>AVERAGEIFS('3. Incentive Adjustment'!G:G,'3. Incentive Adjustment'!A:A,tbl_Data[[#This Row],[Trimmed Sector]],'3. Incentive Adjustment'!B:B,tbl_Data[[#This Row],[Trimmed Measure Name]])</f>
        <v>1</v>
      </c>
      <c r="AI85" s="77">
        <f>$AH85*tbl_Data[[#This Row],[2025 ]]</f>
        <v>1792.5542711856299</v>
      </c>
      <c r="AJ85" s="77">
        <f>$AH85*tbl_Data[[#This Row],[2026 ]]</f>
        <v>1486.68131724211</v>
      </c>
      <c r="AK85" s="77">
        <f>$AH85*tbl_Data[[#This Row],[2027 ]]</f>
        <v>1232.8572238736999</v>
      </c>
      <c r="AL85" s="77">
        <f>$AH85*tbl_Data[[#This Row],[2028 ]]</f>
        <v>1026.6034032944101</v>
      </c>
      <c r="AM85" s="77">
        <f>$AH85*tbl_Data[[#This Row],[2029 ]]</f>
        <v>860.64189008096696</v>
      </c>
      <c r="AN85" s="77">
        <f>$AH85*tbl_Data[[#This Row],[2030 ]]</f>
        <v>725.12927826564999</v>
      </c>
      <c r="AO85" s="77">
        <f>$AH85*tbl_Data[[#This Row],[2031 ]]</f>
        <v>619.83236469928499</v>
      </c>
      <c r="AP85" s="77">
        <f>$AH85*tbl_Data[[#This Row],[2032 ]]</f>
        <v>538.15290223586101</v>
      </c>
      <c r="AQ85" s="77">
        <f>$AH85*tbl_Data[[#This Row],[2033 ]]</f>
        <v>475.038740726367</v>
      </c>
      <c r="AR85" s="77">
        <f>$AH85*tbl_Data[[#This Row],[2034 ]]</f>
        <v>426.2422682358</v>
      </c>
      <c r="AS85" s="77">
        <f>SUM(tbl_Data[[#This Row],[Adjusted 2025]:[Adjusted 2034]])</f>
        <v>9183.7336598397796</v>
      </c>
      <c r="AT85" s="80">
        <f>AVERAGEIFS('3. Incentive Adjustment'!F:F,'3. Incentive Adjustment'!A:A,tbl_Data[[#This Row],[Trimmed Sector]],'3. Incentive Adjustment'!B:B,tbl_Data[[#This Row],[Trimmed Measure Name]])</f>
        <v>29.691921599999898</v>
      </c>
      <c r="AU85" s="80">
        <f>IFERROR(VLOOKUP(tbl_Data[[#This Row],[All_Meas_Name_Append]],'IRA Tax Credits'!$A$3:$D$46,4,0),0)</f>
        <v>0</v>
      </c>
      <c r="AV85" s="81">
        <f>tbl_Data[[#This Row],[Adj. per unit Incentive ($)]]/tbl_Data[[#This Row],[kWh Savings]]*tbl_Data[[#This Row],[Sum of Annuals]]</f>
        <v>667.88160042922232</v>
      </c>
      <c r="AW85" s="81">
        <f>IFERROR(VLOOKUP(tbl_Data[[#This Row],[Column1]],'1. Set Program Names'!$B$2:$D$15,3,0)*tbl_Data[[#This Row],[Sum of Annuals]],"")</f>
        <v>3972.5304210944805</v>
      </c>
      <c r="AX85" s="81">
        <f>tbl_Data[[#This Row],[per unit IRA tax ($)]]/tbl_Data[[#This Row],[kWh Savings]]*tbl_Data[[#This Row],[Sum of Annuals]]</f>
        <v>0</v>
      </c>
      <c r="AY85" s="81">
        <f>tbl_Data[[#This Row],[Avoided Costs ($/unit)]]/tbl_Data[[#This Row],[kWh Savings]]*tbl_Data[[#This Row],[Sum of Annuals]]</f>
        <v>5367.682574404982</v>
      </c>
      <c r="AZ85" s="81">
        <f>tbl_Data[[#This Row],[Lost Revenue ($/unit)]]/tbl_Data[[#This Row],[kWh Savings]]*tbl_Data[[#This Row],[Sum of Annuals]]</f>
        <v>9535.274185889064</v>
      </c>
      <c r="BA85" s="81">
        <f>tbl_Data[[#This Row],[Incremental Cost ($/unit)]]/tbl_Data[[#This Row],[kWh Savings]]*tbl_Data[[#This Row],[Sum of Annuals]]</f>
        <v>2892.9165915352064</v>
      </c>
      <c r="BB85" s="77">
        <f>ROUNDUP(tbl_Data[[#This Row],[Adjusted 2025]]/$L85,0)</f>
        <v>5</v>
      </c>
      <c r="BC85" s="77">
        <f>ROUNDUP(tbl_Data[[#This Row],[Adjusted 2026]]/$L85,0)</f>
        <v>4</v>
      </c>
      <c r="BD85" s="77">
        <f>ROUNDUP(tbl_Data[[#This Row],[Adjusted 2027]]/$L85,0)</f>
        <v>4</v>
      </c>
      <c r="BE85" s="77">
        <f>ROUNDUP(tbl_Data[[#This Row],[Adjusted 2028]]/$L85,0)</f>
        <v>3</v>
      </c>
      <c r="BF85" s="77">
        <f>ROUNDUP(tbl_Data[[#This Row],[Adjusted 2029]]/$L85,0)</f>
        <v>3</v>
      </c>
      <c r="BG85" s="77">
        <f>ROUNDUP(tbl_Data[[#This Row],[Adjusted 2030]]/$L85,0)</f>
        <v>2</v>
      </c>
      <c r="BH85" s="77">
        <f>ROUNDUP(tbl_Data[[#This Row],[Adjusted 2031]]/$L85,0)</f>
        <v>2</v>
      </c>
      <c r="BI85" s="77">
        <f>ROUNDUP(tbl_Data[[#This Row],[Adjusted 2032]]/$L85,0)</f>
        <v>2</v>
      </c>
      <c r="BJ85" s="77">
        <f>ROUNDUP(tbl_Data[[#This Row],[Adjusted 2033]]/$L85,0)</f>
        <v>2</v>
      </c>
      <c r="BK85" s="77">
        <f>ROUNDUP(tbl_Data[[#This Row],[Adjusted 2034]]/$L85,0)</f>
        <v>2</v>
      </c>
      <c r="BL85" s="80">
        <f t="shared" si="45"/>
        <v>130.36244950472391</v>
      </c>
      <c r="BM85" s="80">
        <f t="shared" si="46"/>
        <v>108.11801977989936</v>
      </c>
      <c r="BN85" s="80">
        <f t="shared" si="47"/>
        <v>89.658812665943529</v>
      </c>
      <c r="BO85" s="80">
        <f t="shared" si="48"/>
        <v>74.659125514134175</v>
      </c>
      <c r="BP85" s="80">
        <f t="shared" si="49"/>
        <v>62.589672592240134</v>
      </c>
      <c r="BQ85" s="80">
        <f t="shared" si="50"/>
        <v>52.734598021279979</v>
      </c>
      <c r="BR85" s="80">
        <f t="shared" si="51"/>
        <v>45.076942240113929</v>
      </c>
      <c r="BS85" s="80">
        <f t="shared" si="52"/>
        <v>39.136851626333879</v>
      </c>
      <c r="BT85" s="80">
        <f t="shared" si="53"/>
        <v>34.546911547491838</v>
      </c>
      <c r="BU85" s="80">
        <f t="shared" si="54"/>
        <v>30.998216937061578</v>
      </c>
      <c r="BV85" s="80">
        <f>IFERROR(VLOOKUP($H85,'1. Set Program Names'!$B$2:$D$15,3,0)*V85,"NA")</f>
        <v>775.39012317915945</v>
      </c>
      <c r="BW85" s="80">
        <f>IFERROR(VLOOKUP($H85,'1. Set Program Names'!$B$2:$D$15,3,0)*W85,"NA")</f>
        <v>643.0812323144105</v>
      </c>
      <c r="BX85" s="80">
        <f>IFERROR(VLOOKUP($H85,'1. Set Program Names'!$B$2:$D$15,3,0)*X85,"NA")</f>
        <v>533.28667926436844</v>
      </c>
      <c r="BY85" s="80">
        <f>IFERROR(VLOOKUP($H85,'1. Set Program Names'!$B$2:$D$15,3,0)*Y85,"NA")</f>
        <v>444.06919898168286</v>
      </c>
      <c r="BZ85" s="80">
        <f>IFERROR(VLOOKUP($H85,'1. Set Program Names'!$B$2:$D$15,3,0)*Z85,"NA")</f>
        <v>372.280623181154</v>
      </c>
      <c r="CA85" s="80">
        <f>IFERROR(VLOOKUP($H85,'1. Set Program Names'!$B$2:$D$15,3,0)*AA85,"NA")</f>
        <v>313.66307254024116</v>
      </c>
      <c r="CB85" s="80">
        <f>IFERROR(VLOOKUP($H85,'1. Set Program Names'!$B$2:$D$15,3,0)*AB85,"NA")</f>
        <v>268.11567233427326</v>
      </c>
      <c r="CC85" s="80">
        <f>IFERROR(VLOOKUP($H85,'1. Set Program Names'!$B$2:$D$15,3,0)*AC85,"NA")</f>
        <v>232.78427429585741</v>
      </c>
      <c r="CD85" s="80">
        <f>IFERROR(VLOOKUP($H85,'1. Set Program Names'!$B$2:$D$15,3,0)*AD85,"NA")</f>
        <v>205.48351233073859</v>
      </c>
      <c r="CE85" s="80">
        <f>IFERROR(VLOOKUP($H85,'1. Set Program Names'!$B$2:$D$15,3,0)*AE85,"NA")</f>
        <v>184.37603267259493</v>
      </c>
    </row>
    <row r="86" spans="1:83" x14ac:dyDescent="0.25">
      <c r="A86" s="79" t="s">
        <v>87</v>
      </c>
      <c r="B86" s="79" t="s">
        <v>88</v>
      </c>
      <c r="C86" s="79" t="s">
        <v>89</v>
      </c>
      <c r="D86" s="79" t="s">
        <v>90</v>
      </c>
      <c r="E86" s="79" t="s">
        <v>91</v>
      </c>
      <c r="F86" s="79" t="s">
        <v>90</v>
      </c>
      <c r="G86" s="79" t="s">
        <v>92</v>
      </c>
      <c r="H86" s="79"/>
      <c r="I86" s="79" t="s">
        <v>112</v>
      </c>
      <c r="J86" s="79" t="s">
        <v>94</v>
      </c>
      <c r="K86" s="79" t="s">
        <v>108</v>
      </c>
      <c r="L86" s="79">
        <v>1330.8133333333301</v>
      </c>
      <c r="M86" s="79">
        <v>5.33311142126306E-2</v>
      </c>
      <c r="N86" s="79">
        <v>0.24737910980336</v>
      </c>
      <c r="O86" s="79">
        <v>8990.02</v>
      </c>
      <c r="P86" s="79">
        <v>8776.4394094329891</v>
      </c>
      <c r="Q86" s="79">
        <v>383.77248638959497</v>
      </c>
      <c r="R86" s="79">
        <v>713.19672296706005</v>
      </c>
      <c r="S86" s="79">
        <v>2011.6258188035599</v>
      </c>
      <c r="T86" s="79">
        <v>20</v>
      </c>
      <c r="U86" s="79">
        <v>0.1</v>
      </c>
      <c r="V86" s="79">
        <f>tbl_Data_old[[#This Row],[2025 ]]*IFERROR(AVERAGEIFS('Participation Adjustment'!$C:$C,'Participation Adjustment'!$A:$A,$H86,'Participation Adjustment'!$B:$B,$I86),1)</f>
        <v>21581.137197634602</v>
      </c>
      <c r="W86" s="79">
        <f>tbl_Data_old[[#This Row],[2026 ]]*IFERROR(AVERAGEIFS('Participation Adjustment'!$C:$C,'Participation Adjustment'!$A:$A,$H86,'Participation Adjustment'!$B:$B,$I86),1)</f>
        <v>24018.3753343926</v>
      </c>
      <c r="X86" s="79">
        <f>tbl_Data_old[[#This Row],[2027 ]]*IFERROR(AVERAGEIFS('Participation Adjustment'!$C:$C,'Participation Adjustment'!$A:$A,$H86,'Participation Adjustment'!$B:$B,$I86),1)</f>
        <v>26267.2067001127</v>
      </c>
      <c r="Y86" s="79">
        <f>tbl_Data_old[[#This Row],[2028 ]]*IFERROR(AVERAGEIFS('Participation Adjustment'!$C:$C,'Participation Adjustment'!$A:$A,$H86,'Participation Adjustment'!$B:$B,$I86),1)</f>
        <v>28395.4138736653</v>
      </c>
      <c r="Z86" s="79">
        <f>tbl_Data_old[[#This Row],[2029 ]]*IFERROR(AVERAGEIFS('Participation Adjustment'!$C:$C,'Participation Adjustment'!$A:$A,$H86,'Participation Adjustment'!$B:$B,$I86),1)</f>
        <v>30423.072925063501</v>
      </c>
      <c r="AA86" s="79">
        <f>tbl_Data_old[[#This Row],[2030 ]]*IFERROR(AVERAGEIFS('Participation Adjustment'!$C:$C,'Participation Adjustment'!$A:$A,$H86,'Participation Adjustment'!$B:$B,$I86),1)</f>
        <v>32278.4422438357</v>
      </c>
      <c r="AB86" s="79">
        <f>tbl_Data_old[[#This Row],[2031 ]]*IFERROR(AVERAGEIFS('Participation Adjustment'!$C:$C,'Participation Adjustment'!$A:$A,$H86,'Participation Adjustment'!$B:$B,$I86),1)</f>
        <v>34215.375013364901</v>
      </c>
      <c r="AC86" s="79">
        <f>tbl_Data_old[[#This Row],[2032 ]]*IFERROR(AVERAGEIFS('Participation Adjustment'!$C:$C,'Participation Adjustment'!$A:$A,$H86,'Participation Adjustment'!$B:$B,$I86),1)</f>
        <v>36318.2854263642</v>
      </c>
      <c r="AD86" s="79">
        <f>tbl_Data_old[[#This Row],[2033 ]]*IFERROR(AVERAGEIFS('Participation Adjustment'!$C:$C,'Participation Adjustment'!$A:$A,$H86,'Participation Adjustment'!$B:$B,$I86),1)</f>
        <v>38614.7566239117</v>
      </c>
      <c r="AE86" s="79">
        <f>tbl_Data_old[[#This Row],[2034 ]]*IFERROR(AVERAGEIFS('Participation Adjustment'!$C:$C,'Participation Adjustment'!$A:$A,$H86,'Participation Adjustment'!$B:$B,$I86),1)</f>
        <v>41120.270650306898</v>
      </c>
      <c r="AF86" s="77" t="str">
        <f t="shared" si="44"/>
        <v>Residential</v>
      </c>
      <c r="AG86" s="77" t="str">
        <f>tbl_Data[[#This Row],[All_Meas_Name_Append]]</f>
        <v>Solar Thermal Water Heating System</v>
      </c>
      <c r="AH86" s="77">
        <f>AVERAGEIFS('3. Incentive Adjustment'!G:G,'3. Incentive Adjustment'!A:A,tbl_Data[[#This Row],[Trimmed Sector]],'3. Incentive Adjustment'!B:B,tbl_Data[[#This Row],[Trimmed Measure Name]])</f>
        <v>2.7736651842107431E-8</v>
      </c>
      <c r="AI86" s="77">
        <f>$AH86*tbl_Data[[#This Row],[2025 ]]</f>
        <v>5.9858848880754495E-4</v>
      </c>
      <c r="AJ86" s="77">
        <f>$AH86*tbl_Data[[#This Row],[2026 ]]</f>
        <v>6.661893144631082E-4</v>
      </c>
      <c r="AK86" s="77">
        <f>$AH86*tbl_Data[[#This Row],[2027 ]]</f>
        <v>7.2856436710569752E-4</v>
      </c>
      <c r="AL86" s="77">
        <f>$AH86*tbl_Data[[#This Row],[2028 ]]</f>
        <v>7.8759370852640156E-4</v>
      </c>
      <c r="AM86" s="77">
        <f>$AH86*tbl_Data[[#This Row],[2029 ]]</f>
        <v>8.4383418168953127E-4</v>
      </c>
      <c r="AN86" s="77">
        <f>$AH86*tbl_Data[[#This Row],[2030 ]]</f>
        <v>8.9529591452284379E-4</v>
      </c>
      <c r="AO86" s="77">
        <f>$AH86*tbl_Data[[#This Row],[2031 ]]</f>
        <v>9.4901994439284415E-4</v>
      </c>
      <c r="AP86" s="77">
        <f>$AH86*tbl_Data[[#This Row],[2032 ]]</f>
        <v>1.0073476383733481E-3</v>
      </c>
      <c r="AQ86" s="77">
        <f>$AH86*tbl_Data[[#This Row],[2033 ]]</f>
        <v>1.0710440604451506E-3</v>
      </c>
      <c r="AR86" s="77">
        <f>$AH86*tbl_Data[[#This Row],[2034 ]]</f>
        <v>1.140538630680791E-3</v>
      </c>
      <c r="AS86" s="77">
        <f>SUM(tbl_Data[[#This Row],[Adjusted 2025]:[Adjusted 2034]])</f>
        <v>8.6880162490072608E-3</v>
      </c>
      <c r="AT86" s="80">
        <f>AVERAGEIFS('3. Incentive Adjustment'!F:F,'3. Incentive Adjustment'!A:A,tbl_Data[[#This Row],[Trimmed Sector]],'3. Incentive Adjustment'!B:B,tbl_Data[[#This Row],[Trimmed Measure Name]])</f>
        <v>0</v>
      </c>
      <c r="AU86" s="80">
        <f>IFERROR(VLOOKUP(tbl_Data[[#This Row],[All_Meas_Name_Append]],'IRA Tax Credits'!$A$3:$D$46,4,0),0)</f>
        <v>41666.666666666672</v>
      </c>
      <c r="AV86" s="81">
        <f>tbl_Data[[#This Row],[Adj. per unit Incentive ($)]]/tbl_Data[[#This Row],[kWh Savings]]*tbl_Data[[#This Row],[Sum of Annuals]]</f>
        <v>0</v>
      </c>
      <c r="AW86" s="81" t="str">
        <f>IFERROR(VLOOKUP(tbl_Data[[#This Row],[Column1]],'1. Set Program Names'!$B$2:$D$15,3,0)*tbl_Data[[#This Row],[Sum of Annuals]],"")</f>
        <v/>
      </c>
      <c r="AX86" s="81">
        <f>tbl_Data[[#This Row],[per unit IRA tax ($)]]/tbl_Data[[#This Row],[kWh Savings]]*tbl_Data[[#This Row],[Sum of Annuals]]</f>
        <v>0.27201461540459226</v>
      </c>
      <c r="AY86" s="81">
        <f>tbl_Data[[#This Row],[Avoided Costs ($/unit)]]/tbl_Data[[#This Row],[kWh Savings]]*tbl_Data[[#This Row],[Sum of Annuals]]</f>
        <v>4.6559983753368082E-3</v>
      </c>
      <c r="AZ86" s="81">
        <f>tbl_Data[[#This Row],[Lost Revenue ($/unit)]]/tbl_Data[[#This Row],[kWh Savings]]*tbl_Data[[#This Row],[Sum of Annuals]]</f>
        <v>1.3132598962555159E-2</v>
      </c>
      <c r="BA86" s="81">
        <f>tbl_Data[[#This Row],[Incremental Cost ($/unit)]]/tbl_Data[[#This Row],[kWh Savings]]*tbl_Data[[#This Row],[Sum of Annuals]]</f>
        <v>5.8690003986710218E-2</v>
      </c>
      <c r="BB86" s="77">
        <f>ROUNDUP(tbl_Data[[#This Row],[Adjusted 2025]]/$L86,0)</f>
        <v>1</v>
      </c>
      <c r="BC86" s="77">
        <f>ROUNDUP(tbl_Data[[#This Row],[Adjusted 2026]]/$L86,0)</f>
        <v>1</v>
      </c>
      <c r="BD86" s="77">
        <f>ROUNDUP(tbl_Data[[#This Row],[Adjusted 2027]]/$L86,0)</f>
        <v>1</v>
      </c>
      <c r="BE86" s="77">
        <f>ROUNDUP(tbl_Data[[#This Row],[Adjusted 2028]]/$L86,0)</f>
        <v>1</v>
      </c>
      <c r="BF86" s="77">
        <f>ROUNDUP(tbl_Data[[#This Row],[Adjusted 2029]]/$L86,0)</f>
        <v>1</v>
      </c>
      <c r="BG86" s="77">
        <f>ROUNDUP(tbl_Data[[#This Row],[Adjusted 2030]]/$L86,0)</f>
        <v>1</v>
      </c>
      <c r="BH86" s="77">
        <f>ROUNDUP(tbl_Data[[#This Row],[Adjusted 2031]]/$L86,0)</f>
        <v>1</v>
      </c>
      <c r="BI86" s="77">
        <f>ROUNDUP(tbl_Data[[#This Row],[Adjusted 2032]]/$L86,0)</f>
        <v>1</v>
      </c>
      <c r="BJ86" s="77">
        <f>ROUNDUP(tbl_Data[[#This Row],[Adjusted 2033]]/$L86,0)</f>
        <v>1</v>
      </c>
      <c r="BK86" s="77">
        <f>ROUNDUP(tbl_Data[[#This Row],[Adjusted 2034]]/$L86,0)</f>
        <v>1</v>
      </c>
      <c r="BL86" s="80">
        <f t="shared" si="45"/>
        <v>0</v>
      </c>
      <c r="BM86" s="80">
        <f t="shared" si="46"/>
        <v>0</v>
      </c>
      <c r="BN86" s="80">
        <f t="shared" si="47"/>
        <v>0</v>
      </c>
      <c r="BO86" s="80">
        <f t="shared" si="48"/>
        <v>0</v>
      </c>
      <c r="BP86" s="80">
        <f t="shared" si="49"/>
        <v>0</v>
      </c>
      <c r="BQ86" s="80">
        <f t="shared" si="50"/>
        <v>0</v>
      </c>
      <c r="BR86" s="80">
        <f t="shared" si="51"/>
        <v>0</v>
      </c>
      <c r="BS86" s="80">
        <f t="shared" si="52"/>
        <v>0</v>
      </c>
      <c r="BT86" s="80">
        <f t="shared" si="53"/>
        <v>0</v>
      </c>
      <c r="BU86" s="80">
        <f t="shared" si="54"/>
        <v>0</v>
      </c>
      <c r="BV86" s="80" t="str">
        <f>IFERROR(VLOOKUP($H86,'1. Set Program Names'!$B$2:$D$15,3,0)*V86,"NA")</f>
        <v>NA</v>
      </c>
      <c r="BW86" s="80" t="str">
        <f>IFERROR(VLOOKUP($H86,'1. Set Program Names'!$B$2:$D$15,3,0)*W86,"NA")</f>
        <v>NA</v>
      </c>
      <c r="BX86" s="80" t="str">
        <f>IFERROR(VLOOKUP($H86,'1. Set Program Names'!$B$2:$D$15,3,0)*X86,"NA")</f>
        <v>NA</v>
      </c>
      <c r="BY86" s="80" t="str">
        <f>IFERROR(VLOOKUP($H86,'1. Set Program Names'!$B$2:$D$15,3,0)*Y86,"NA")</f>
        <v>NA</v>
      </c>
      <c r="BZ86" s="80" t="str">
        <f>IFERROR(VLOOKUP($H86,'1. Set Program Names'!$B$2:$D$15,3,0)*Z86,"NA")</f>
        <v>NA</v>
      </c>
      <c r="CA86" s="80" t="str">
        <f>IFERROR(VLOOKUP($H86,'1. Set Program Names'!$B$2:$D$15,3,0)*AA86,"NA")</f>
        <v>NA</v>
      </c>
      <c r="CB86" s="80" t="str">
        <f>IFERROR(VLOOKUP($H86,'1. Set Program Names'!$B$2:$D$15,3,0)*AB86,"NA")</f>
        <v>NA</v>
      </c>
      <c r="CC86" s="80" t="str">
        <f>IFERROR(VLOOKUP($H86,'1. Set Program Names'!$B$2:$D$15,3,0)*AC86,"NA")</f>
        <v>NA</v>
      </c>
      <c r="CD86" s="80" t="str">
        <f>IFERROR(VLOOKUP($H86,'1. Set Program Names'!$B$2:$D$15,3,0)*AD86,"NA")</f>
        <v>NA</v>
      </c>
      <c r="CE86" s="80" t="str">
        <f>IFERROR(VLOOKUP($H86,'1. Set Program Names'!$B$2:$D$15,3,0)*AE86,"NA")</f>
        <v>NA</v>
      </c>
    </row>
    <row r="87" spans="1:83" x14ac:dyDescent="0.25">
      <c r="A87" s="79" t="s">
        <v>113</v>
      </c>
      <c r="B87" s="79" t="s">
        <v>88</v>
      </c>
      <c r="C87" s="79" t="s">
        <v>89</v>
      </c>
      <c r="D87" s="79" t="s">
        <v>90</v>
      </c>
      <c r="E87" s="79" t="s">
        <v>91</v>
      </c>
      <c r="F87" s="79" t="s">
        <v>90</v>
      </c>
      <c r="G87" s="79" t="s">
        <v>92</v>
      </c>
      <c r="H87" s="79" t="s">
        <v>7</v>
      </c>
      <c r="I87" s="79" t="s">
        <v>422</v>
      </c>
      <c r="J87" s="79" t="s">
        <v>94</v>
      </c>
      <c r="K87" s="79" t="s">
        <v>95</v>
      </c>
      <c r="L87" s="79">
        <v>1200.2266666666601</v>
      </c>
      <c r="M87" s="79">
        <v>4.8097974252120097E-2</v>
      </c>
      <c r="N87" s="79">
        <v>0.22310492157346501</v>
      </c>
      <c r="O87" s="79">
        <v>1210</v>
      </c>
      <c r="P87" s="79">
        <v>933.85922631496703</v>
      </c>
      <c r="Q87" s="79">
        <v>346.114635734861</v>
      </c>
      <c r="R87" s="79">
        <v>571.53970184074296</v>
      </c>
      <c r="S87" s="79">
        <v>1535.35818196214</v>
      </c>
      <c r="T87" s="79">
        <v>15</v>
      </c>
      <c r="U87" s="79">
        <v>0.1</v>
      </c>
      <c r="V87" s="79">
        <f>tbl_Data_old[[#This Row],[2025 ]]*IFERROR(AVERAGEIFS('Participation Adjustment'!$C:$C,'Participation Adjustment'!$A:$A,$H87,'Participation Adjustment'!$B:$B,$I87),1)</f>
        <v>7226.2368301811603</v>
      </c>
      <c r="W87" s="79">
        <f>tbl_Data_old[[#This Row],[2026 ]]*IFERROR(AVERAGEIFS('Participation Adjustment'!$C:$C,'Participation Adjustment'!$A:$A,$H87,'Participation Adjustment'!$B:$B,$I87),1)</f>
        <v>14903.8506757096</v>
      </c>
      <c r="X87" s="79">
        <f>tbl_Data_old[[#This Row],[2027 ]]*IFERROR(AVERAGEIFS('Participation Adjustment'!$C:$C,'Participation Adjustment'!$A:$A,$H87,'Participation Adjustment'!$B:$B,$I87),1)</f>
        <v>23029.6001054675</v>
      </c>
      <c r="Y87" s="79">
        <f>tbl_Data_old[[#This Row],[2028 ]]*IFERROR(AVERAGEIFS('Participation Adjustment'!$C:$C,'Participation Adjustment'!$A:$A,$H87,'Participation Adjustment'!$B:$B,$I87),1)</f>
        <v>31613.833759754802</v>
      </c>
      <c r="Z87" s="79">
        <f>tbl_Data_old[[#This Row],[2029 ]]*IFERROR(AVERAGEIFS('Participation Adjustment'!$C:$C,'Participation Adjustment'!$A:$A,$H87,'Participation Adjustment'!$B:$B,$I87),1)</f>
        <v>40666.405084047197</v>
      </c>
      <c r="AA87" s="79">
        <f>tbl_Data_old[[#This Row],[2030 ]]*IFERROR(AVERAGEIFS('Participation Adjustment'!$C:$C,'Participation Adjustment'!$A:$A,$H87,'Participation Adjustment'!$B:$B,$I87),1)</f>
        <v>50170.802231178197</v>
      </c>
      <c r="AB87" s="79">
        <f>tbl_Data_old[[#This Row],[2031 ]]*IFERROR(AVERAGEIFS('Participation Adjustment'!$C:$C,'Participation Adjustment'!$A:$A,$H87,'Participation Adjustment'!$B:$B,$I87),1)</f>
        <v>60180.9114488126</v>
      </c>
      <c r="AC87" s="79">
        <f>tbl_Data_old[[#This Row],[2032 ]]*IFERROR(AVERAGEIFS('Participation Adjustment'!$C:$C,'Participation Adjustment'!$A:$A,$H87,'Participation Adjustment'!$B:$B,$I87),1)</f>
        <v>70770.824793202803</v>
      </c>
      <c r="AD87" s="79">
        <f>tbl_Data_old[[#This Row],[2033 ]]*IFERROR(AVERAGEIFS('Participation Adjustment'!$C:$C,'Participation Adjustment'!$A:$A,$H87,'Participation Adjustment'!$B:$B,$I87),1)</f>
        <v>82019.408246673702</v>
      </c>
      <c r="AE87" s="79">
        <f>tbl_Data_old[[#This Row],[2034 ]]*IFERROR(AVERAGEIFS('Participation Adjustment'!$C:$C,'Participation Adjustment'!$A:$A,$H87,'Participation Adjustment'!$B:$B,$I87),1)</f>
        <v>94007.856822303598</v>
      </c>
      <c r="AF87" s="77" t="str">
        <f t="shared" si="44"/>
        <v>Residential</v>
      </c>
      <c r="AG87" s="77" t="str">
        <f>tbl_Data[[#This Row],[All_Meas_Name_Append]]</f>
        <v>120v Heat Pump Water Heater 50 Gallons_Efficiency Delivered</v>
      </c>
      <c r="AH87" s="77">
        <f>AVERAGEIFS('3. Incentive Adjustment'!G:G,'3. Incentive Adjustment'!A:A,tbl_Data[[#This Row],[Trimmed Sector]],'3. Incentive Adjustment'!B:B,tbl_Data[[#This Row],[Trimmed Measure Name]])</f>
        <v>0.48531902873530169</v>
      </c>
      <c r="AI87" s="77">
        <f>$AH87*tbl_Data[[#This Row],[2025 ]]</f>
        <v>3507.0302398347858</v>
      </c>
      <c r="AJ87" s="77">
        <f>$AH87*tbl_Data[[#This Row],[2026 ]]</f>
        <v>7233.1223343513529</v>
      </c>
      <c r="AK87" s="77">
        <f>$AH87*tbl_Data[[#This Row],[2027 ]]</f>
        <v>11176.703155347888</v>
      </c>
      <c r="AL87" s="77">
        <f>$AH87*tbl_Data[[#This Row],[2028 ]]</f>
        <v>15342.795094883491</v>
      </c>
      <c r="AM87" s="77">
        <f>$AH87*tbl_Data[[#This Row],[2029 ]]</f>
        <v>19736.18021754612</v>
      </c>
      <c r="AN87" s="77">
        <f>$AH87*tbl_Data[[#This Row],[2030 ]]</f>
        <v>24348.845009706311</v>
      </c>
      <c r="AO87" s="77">
        <f>$AH87*tbl_Data[[#This Row],[2031 ]]</f>
        <v>29206.941492742928</v>
      </c>
      <c r="AP87" s="77">
        <f>$AH87*tbl_Data[[#This Row],[2032 ]]</f>
        <v>34346.42795143339</v>
      </c>
      <c r="AQ87" s="77">
        <f>$AH87*tbl_Data[[#This Row],[2033 ]]</f>
        <v>39805.579547719877</v>
      </c>
      <c r="AR87" s="77">
        <f>$AH87*tbl_Data[[#This Row],[2034 ]]</f>
        <v>45623.80176648769</v>
      </c>
      <c r="AS87" s="77">
        <f>SUM(tbl_Data[[#This Row],[Adjusted 2025]:[Adjusted 2034]])</f>
        <v>230327.42681005385</v>
      </c>
      <c r="AT87" s="80">
        <f>AVERAGEIFS('3. Incentive Adjustment'!F:F,'3. Incentive Adjustment'!A:A,tbl_Data[[#This Row],[Trimmed Sector]],'3. Incentive Adjustment'!B:B,tbl_Data[[#This Row],[Trimmed Measure Name]])</f>
        <v>605</v>
      </c>
      <c r="AU87" s="80">
        <f>IFERROR(VLOOKUP(tbl_Data[[#This Row],[All_Meas_Name_Append]],'IRA Tax Credits'!$A$3:$D$46,4,0),0)</f>
        <v>0</v>
      </c>
      <c r="AV87" s="81">
        <f>tbl_Data[[#This Row],[Adj. per unit Incentive ($)]]/tbl_Data[[#This Row],[kWh Savings]]*tbl_Data[[#This Row],[Sum of Annuals]]</f>
        <v>116101.48073704133</v>
      </c>
      <c r="AW87" s="81">
        <f>IFERROR(VLOOKUP(tbl_Data[[#This Row],[Column1]],'1. Set Program Names'!$B$2:$D$15,3,0)*tbl_Data[[#This Row],[Sum of Annuals]],"")</f>
        <v>99630.797636972653</v>
      </c>
      <c r="AX87" s="81">
        <f>tbl_Data[[#This Row],[per unit IRA tax ($)]]/tbl_Data[[#This Row],[kWh Savings]]*tbl_Data[[#This Row],[Sum of Annuals]]</f>
        <v>0</v>
      </c>
      <c r="AY87" s="81">
        <f>tbl_Data[[#This Row],[Avoided Costs ($/unit)]]/tbl_Data[[#This Row],[kWh Savings]]*tbl_Data[[#This Row],[Sum of Annuals]]</f>
        <v>109680.33997308656</v>
      </c>
      <c r="AZ87" s="81">
        <f>tbl_Data[[#This Row],[Lost Revenue ($/unit)]]/tbl_Data[[#This Row],[kWh Savings]]*tbl_Data[[#This Row],[Sum of Annuals]]</f>
        <v>294640.26179758052</v>
      </c>
      <c r="BA87" s="81">
        <f>tbl_Data[[#This Row],[Incremental Cost ($/unit)]]/tbl_Data[[#This Row],[kWh Savings]]*tbl_Data[[#This Row],[Sum of Annuals]]</f>
        <v>232202.96147408267</v>
      </c>
      <c r="BB87" s="77">
        <f>ROUNDUP(tbl_Data[[#This Row],[Adjusted 2025]]/$L87,0)</f>
        <v>3</v>
      </c>
      <c r="BC87" s="77">
        <f>ROUNDUP(tbl_Data[[#This Row],[Adjusted 2026]]/$L87,0)</f>
        <v>7</v>
      </c>
      <c r="BD87" s="77">
        <f>ROUNDUP(tbl_Data[[#This Row],[Adjusted 2027]]/$L87,0)</f>
        <v>10</v>
      </c>
      <c r="BE87" s="77">
        <f>ROUNDUP(tbl_Data[[#This Row],[Adjusted 2028]]/$L87,0)</f>
        <v>13</v>
      </c>
      <c r="BF87" s="77">
        <f>ROUNDUP(tbl_Data[[#This Row],[Adjusted 2029]]/$L87,0)</f>
        <v>17</v>
      </c>
      <c r="BG87" s="77">
        <f>ROUNDUP(tbl_Data[[#This Row],[Adjusted 2030]]/$L87,0)</f>
        <v>21</v>
      </c>
      <c r="BH87" s="77">
        <f>ROUNDUP(tbl_Data[[#This Row],[Adjusted 2031]]/$L87,0)</f>
        <v>25</v>
      </c>
      <c r="BI87" s="77">
        <f>ROUNDUP(tbl_Data[[#This Row],[Adjusted 2032]]/$L87,0)</f>
        <v>29</v>
      </c>
      <c r="BJ87" s="77">
        <f>ROUNDUP(tbl_Data[[#This Row],[Adjusted 2033]]/$L87,0)</f>
        <v>34</v>
      </c>
      <c r="BK87" s="77">
        <f>ROUNDUP(tbl_Data[[#This Row],[Adjusted 2034]]/$L87,0)</f>
        <v>39</v>
      </c>
      <c r="BL87" s="80">
        <f t="shared" si="45"/>
        <v>3642.5396999396994</v>
      </c>
      <c r="BM87" s="80">
        <f t="shared" si="46"/>
        <v>7512.6056679330213</v>
      </c>
      <c r="BN87" s="80">
        <f t="shared" si="47"/>
        <v>11608.563991086055</v>
      </c>
      <c r="BO87" s="80">
        <f t="shared" si="48"/>
        <v>15935.631123553127</v>
      </c>
      <c r="BP87" s="80">
        <f t="shared" si="49"/>
        <v>20498.773905913898</v>
      </c>
      <c r="BQ87" s="80">
        <f t="shared" si="50"/>
        <v>25289.669187372641</v>
      </c>
      <c r="BR87" s="80">
        <f t="shared" si="51"/>
        <v>30335.479487095621</v>
      </c>
      <c r="BS87" s="80">
        <f t="shared" si="52"/>
        <v>35673.552495546333</v>
      </c>
      <c r="BT87" s="80">
        <f t="shared" si="53"/>
        <v>41343.642303040971</v>
      </c>
      <c r="BU87" s="80">
        <f t="shared" si="54"/>
        <v>47386.676997812065</v>
      </c>
      <c r="BV87" s="80">
        <f>IFERROR(VLOOKUP($H87,'1. Set Program Names'!$B$2:$D$15,3,0)*V87,"NA")</f>
        <v>3125.7924827960251</v>
      </c>
      <c r="BW87" s="80">
        <f>IFERROR(VLOOKUP($H87,'1. Set Program Names'!$B$2:$D$15,3,0)*W87,"NA")</f>
        <v>6446.8333244040123</v>
      </c>
      <c r="BX87" s="80">
        <f>IFERROR(VLOOKUP($H87,'1. Set Program Names'!$B$2:$D$15,3,0)*X87,"NA")</f>
        <v>9961.7204062303317</v>
      </c>
      <c r="BY87" s="80">
        <f>IFERROR(VLOOKUP($H87,'1. Set Program Names'!$B$2:$D$15,3,0)*Y87,"NA")</f>
        <v>13674.93015256288</v>
      </c>
      <c r="BZ87" s="80">
        <f>IFERROR(VLOOKUP($H87,'1. Set Program Names'!$B$2:$D$15,3,0)*Z87,"NA")</f>
        <v>17590.724785429713</v>
      </c>
      <c r="CA87" s="80">
        <f>IFERROR(VLOOKUP($H87,'1. Set Program Names'!$B$2:$D$15,3,0)*AA87,"NA")</f>
        <v>21701.961913989926</v>
      </c>
      <c r="CB87" s="80">
        <f>IFERROR(VLOOKUP($H87,'1. Set Program Names'!$B$2:$D$15,3,0)*AB87,"NA")</f>
        <v>26031.950659136604</v>
      </c>
      <c r="CC87" s="80">
        <f>IFERROR(VLOOKUP($H87,'1. Set Program Names'!$B$2:$D$15,3,0)*AC87,"NA")</f>
        <v>30612.74039842423</v>
      </c>
      <c r="CD87" s="80">
        <f>IFERROR(VLOOKUP($H87,'1. Set Program Names'!$B$2:$D$15,3,0)*AD87,"NA")</f>
        <v>35478.445526453033</v>
      </c>
      <c r="CE87" s="80">
        <f>IFERROR(VLOOKUP($H87,'1. Set Program Names'!$B$2:$D$15,3,0)*AE87,"NA")</f>
        <v>40664.187887065811</v>
      </c>
    </row>
    <row r="88" spans="1:83" x14ac:dyDescent="0.25">
      <c r="A88" s="79" t="s">
        <v>113</v>
      </c>
      <c r="B88" s="79" t="s">
        <v>88</v>
      </c>
      <c r="C88" s="79" t="s">
        <v>89</v>
      </c>
      <c r="D88" s="79" t="s">
        <v>90</v>
      </c>
      <c r="E88" s="79" t="s">
        <v>91</v>
      </c>
      <c r="F88" s="79" t="s">
        <v>90</v>
      </c>
      <c r="G88" s="79" t="s">
        <v>92</v>
      </c>
      <c r="H88" s="79" t="s">
        <v>7</v>
      </c>
      <c r="I88" s="79" t="s">
        <v>423</v>
      </c>
      <c r="J88" s="79" t="s">
        <v>97</v>
      </c>
      <c r="K88" s="79" t="s">
        <v>102</v>
      </c>
      <c r="L88" s="79">
        <v>466.599999999999</v>
      </c>
      <c r="M88" s="79">
        <v>0.18933941062023901</v>
      </c>
      <c r="N88" s="79">
        <v>2.6910820932303899E-2</v>
      </c>
      <c r="O88" s="79">
        <v>674.44999999999902</v>
      </c>
      <c r="P88" s="79">
        <v>561.40215199999898</v>
      </c>
      <c r="Q88" s="79">
        <v>134.555491490957</v>
      </c>
      <c r="R88" s="79">
        <v>370.49545033119801</v>
      </c>
      <c r="S88" s="79">
        <v>705.301475078208</v>
      </c>
      <c r="T88" s="79">
        <v>20</v>
      </c>
      <c r="U88" s="79">
        <v>1</v>
      </c>
      <c r="V88" s="79">
        <f>tbl_Data_old[[#This Row],[2025 ]]*IFERROR(AVERAGEIFS('Participation Adjustment'!$C:$C,'Participation Adjustment'!$A:$A,$H88,'Participation Adjustment'!$B:$B,$I88),1)</f>
        <v>2487.29589231101</v>
      </c>
      <c r="W88" s="79">
        <f>tbl_Data_old[[#This Row],[2026 ]]*IFERROR(AVERAGEIFS('Participation Adjustment'!$C:$C,'Participation Adjustment'!$A:$A,$H88,'Participation Adjustment'!$B:$B,$I88),1)</f>
        <v>4894.4077706746502</v>
      </c>
      <c r="X88" s="79">
        <f>tbl_Data_old[[#This Row],[2027 ]]*IFERROR(AVERAGEIFS('Participation Adjustment'!$C:$C,'Participation Adjustment'!$A:$A,$H88,'Participation Adjustment'!$B:$B,$I88),1)</f>
        <v>7225.9856941872504</v>
      </c>
      <c r="Y88" s="79">
        <f>tbl_Data_old[[#This Row],[2028 ]]*IFERROR(AVERAGEIFS('Participation Adjustment'!$C:$C,'Participation Adjustment'!$A:$A,$H88,'Participation Adjustment'!$B:$B,$I88),1)</f>
        <v>9489.0546452490107</v>
      </c>
      <c r="Z88" s="79">
        <f>tbl_Data_old[[#This Row],[2029 ]]*IFERROR(AVERAGEIFS('Participation Adjustment'!$C:$C,'Participation Adjustment'!$A:$A,$H88,'Participation Adjustment'!$B:$B,$I88),1)</f>
        <v>11688.827118770199</v>
      </c>
      <c r="AA88" s="79">
        <f>tbl_Data_old[[#This Row],[2030 ]]*IFERROR(AVERAGEIFS('Participation Adjustment'!$C:$C,'Participation Adjustment'!$A:$A,$H88,'Participation Adjustment'!$B:$B,$I88),1)</f>
        <v>13823.3529703943</v>
      </c>
      <c r="AB88" s="79">
        <f>tbl_Data_old[[#This Row],[2031 ]]*IFERROR(AVERAGEIFS('Participation Adjustment'!$C:$C,'Participation Adjustment'!$A:$A,$H88,'Participation Adjustment'!$B:$B,$I88),1)</f>
        <v>15905.6995777547</v>
      </c>
      <c r="AC88" s="79">
        <f>tbl_Data_old[[#This Row],[2032 ]]*IFERROR(AVERAGEIFS('Participation Adjustment'!$C:$C,'Participation Adjustment'!$A:$A,$H88,'Participation Adjustment'!$B:$B,$I88),1)</f>
        <v>17950.017463530399</v>
      </c>
      <c r="AD88" s="79">
        <f>tbl_Data_old[[#This Row],[2033 ]]*IFERROR(AVERAGEIFS('Participation Adjustment'!$C:$C,'Participation Adjustment'!$A:$A,$H88,'Participation Adjustment'!$B:$B,$I88),1)</f>
        <v>19968.225258559902</v>
      </c>
      <c r="AE88" s="79">
        <f>tbl_Data_old[[#This Row],[2034 ]]*IFERROR(AVERAGEIFS('Participation Adjustment'!$C:$C,'Participation Adjustment'!$A:$A,$H88,'Participation Adjustment'!$B:$B,$I88),1)</f>
        <v>21969.931240258498</v>
      </c>
      <c r="AF88" s="77" t="str">
        <f t="shared" si="44"/>
        <v>Residential</v>
      </c>
      <c r="AG88" s="77" t="str">
        <f>tbl_Data[[#This Row],[All_Meas_Name_Append]]</f>
        <v>Air Sealing-Infiltration Control_Efficiency Delivered</v>
      </c>
      <c r="AH88" s="77">
        <f>AVERAGEIFS('3. Incentive Adjustment'!G:G,'3. Incentive Adjustment'!A:A,tbl_Data[[#This Row],[Trimmed Sector]],'3. Incentive Adjustment'!B:B,tbl_Data[[#This Row],[Trimmed Measure Name]])</f>
        <v>0.28148574428673256</v>
      </c>
      <c r="AI88" s="77">
        <f>$AH88*tbl_Data[[#This Row],[2025 ]]</f>
        <v>700.13833550849722</v>
      </c>
      <c r="AJ88" s="77">
        <f>$AH88*tbl_Data[[#This Row],[2026 ]]</f>
        <v>1377.7060141711213</v>
      </c>
      <c r="AK88" s="77">
        <f>$AH88*tbl_Data[[#This Row],[2027 ]]</f>
        <v>2034.0119613335801</v>
      </c>
      <c r="AL88" s="77">
        <f>$AH88*tbl_Data[[#This Row],[2028 ]]</f>
        <v>2671.0336093953947</v>
      </c>
      <c r="AM88" s="77">
        <f>$AH88*tbl_Data[[#This Row],[2029 ]]</f>
        <v>3290.2382013659735</v>
      </c>
      <c r="AN88" s="77">
        <f>$AH88*tbl_Data[[#This Row],[2030 ]]</f>
        <v>3891.076799409655</v>
      </c>
      <c r="AO88" s="77">
        <f>$AH88*tbl_Data[[#This Row],[2031 ]]</f>
        <v>4477.2276840454497</v>
      </c>
      <c r="AP88" s="77">
        <f>$AH88*tbl_Data[[#This Row],[2032 ]]</f>
        <v>5052.674025681702</v>
      </c>
      <c r="AQ88" s="77">
        <f>$AH88*tbl_Data[[#This Row],[2033 ]]</f>
        <v>5620.7707489908671</v>
      </c>
      <c r="AR88" s="77">
        <f>$AH88*tbl_Data[[#This Row],[2034 ]]</f>
        <v>6184.2224470925012</v>
      </c>
      <c r="AS88" s="77">
        <f>SUM(tbl_Data[[#This Row],[Adjusted 2025]:[Adjusted 2034]])</f>
        <v>35299.099826994745</v>
      </c>
      <c r="AT88" s="80">
        <f>AVERAGEIFS('3. Incentive Adjustment'!F:F,'3. Incentive Adjustment'!A:A,tbl_Data[[#This Row],[Trimmed Sector]],'3. Incentive Adjustment'!B:B,tbl_Data[[#This Row],[Trimmed Measure Name]])</f>
        <v>337.22499999999951</v>
      </c>
      <c r="AU88" s="80">
        <f>IFERROR(VLOOKUP(tbl_Data[[#This Row],[All_Meas_Name_Append]],'IRA Tax Credits'!$A$3:$D$46,4,0),0)</f>
        <v>0</v>
      </c>
      <c r="AV88" s="81">
        <f>tbl_Data[[#This Row],[Adj. per unit Incentive ($)]]/tbl_Data[[#This Row],[kWh Savings]]*tbl_Data[[#This Row],[Sum of Annuals]]</f>
        <v>25511.656534844213</v>
      </c>
      <c r="AW88" s="81">
        <f>IFERROR(VLOOKUP(tbl_Data[[#This Row],[Column1]],'1. Set Program Names'!$B$2:$D$15,3,0)*tbl_Data[[#This Row],[Sum of Annuals]],"")</f>
        <v>15269.034696987712</v>
      </c>
      <c r="AX88" s="81">
        <f>tbl_Data[[#This Row],[per unit IRA tax ($)]]/tbl_Data[[#This Row],[kWh Savings]]*tbl_Data[[#This Row],[Sum of Annuals]]</f>
        <v>0</v>
      </c>
      <c r="AY88" s="81">
        <f>tbl_Data[[#This Row],[Avoided Costs ($/unit)]]/tbl_Data[[#This Row],[kWh Savings]]*tbl_Data[[#This Row],[Sum of Annuals]]</f>
        <v>28028.623846310245</v>
      </c>
      <c r="AZ88" s="81">
        <f>tbl_Data[[#This Row],[Lost Revenue ($/unit)]]/tbl_Data[[#This Row],[kWh Savings]]*tbl_Data[[#This Row],[Sum of Annuals]]</f>
        <v>53357.280704912911</v>
      </c>
      <c r="BA88" s="81">
        <f>tbl_Data[[#This Row],[Incremental Cost ($/unit)]]/tbl_Data[[#This Row],[kWh Savings]]*tbl_Data[[#This Row],[Sum of Annuals]]</f>
        <v>51023.313069688425</v>
      </c>
      <c r="BB88" s="77">
        <f>ROUNDUP(tbl_Data[[#This Row],[Adjusted 2025]]/$L88,0)</f>
        <v>2</v>
      </c>
      <c r="BC88" s="77">
        <f>ROUNDUP(tbl_Data[[#This Row],[Adjusted 2026]]/$L88,0)</f>
        <v>3</v>
      </c>
      <c r="BD88" s="77">
        <f>ROUNDUP(tbl_Data[[#This Row],[Adjusted 2027]]/$L88,0)</f>
        <v>5</v>
      </c>
      <c r="BE88" s="77">
        <f>ROUNDUP(tbl_Data[[#This Row],[Adjusted 2028]]/$L88,0)</f>
        <v>6</v>
      </c>
      <c r="BF88" s="77">
        <f>ROUNDUP(tbl_Data[[#This Row],[Adjusted 2029]]/$L88,0)</f>
        <v>8</v>
      </c>
      <c r="BG88" s="77">
        <f>ROUNDUP(tbl_Data[[#This Row],[Adjusted 2030]]/$L88,0)</f>
        <v>9</v>
      </c>
      <c r="BH88" s="77">
        <f>ROUNDUP(tbl_Data[[#This Row],[Adjusted 2031]]/$L88,0)</f>
        <v>10</v>
      </c>
      <c r="BI88" s="77">
        <f>ROUNDUP(tbl_Data[[#This Row],[Adjusted 2032]]/$L88,0)</f>
        <v>11</v>
      </c>
      <c r="BJ88" s="77">
        <f>ROUNDUP(tbl_Data[[#This Row],[Adjusted 2033]]/$L88,0)</f>
        <v>13</v>
      </c>
      <c r="BK88" s="77">
        <f>ROUNDUP(tbl_Data[[#This Row],[Adjusted 2034]]/$L88,0)</f>
        <v>14</v>
      </c>
      <c r="BL88" s="80">
        <f t="shared" si="45"/>
        <v>1797.638999752638</v>
      </c>
      <c r="BM88" s="80">
        <f t="shared" si="46"/>
        <v>3537.3267476762967</v>
      </c>
      <c r="BN88" s="80">
        <f t="shared" si="47"/>
        <v>5222.4239728296125</v>
      </c>
      <c r="BO88" s="80">
        <f t="shared" si="48"/>
        <v>6858.0078284271322</v>
      </c>
      <c r="BP88" s="80">
        <f t="shared" si="49"/>
        <v>8447.8455317772896</v>
      </c>
      <c r="BQ88" s="80">
        <f t="shared" si="50"/>
        <v>9990.5276584681123</v>
      </c>
      <c r="BR88" s="80">
        <f t="shared" si="51"/>
        <v>11495.498371428059</v>
      </c>
      <c r="BS88" s="80">
        <f t="shared" si="52"/>
        <v>12972.984653105535</v>
      </c>
      <c r="BT88" s="80">
        <f t="shared" si="53"/>
        <v>14431.600434671811</v>
      </c>
      <c r="BU88" s="80">
        <f t="shared" si="54"/>
        <v>15878.289889618896</v>
      </c>
      <c r="BV88" s="80">
        <f>IFERROR(VLOOKUP($H88,'1. Set Program Names'!$B$2:$D$15,3,0)*V88,"NA")</f>
        <v>1075.9086624732549</v>
      </c>
      <c r="BW88" s="80">
        <f>IFERROR(VLOOKUP($H88,'1. Set Program Names'!$B$2:$D$15,3,0)*W88,"NA")</f>
        <v>2117.1328004938541</v>
      </c>
      <c r="BX88" s="80">
        <f>IFERROR(VLOOKUP($H88,'1. Set Program Names'!$B$2:$D$15,3,0)*X88,"NA")</f>
        <v>3125.6838510115467</v>
      </c>
      <c r="BY88" s="80">
        <f>IFERROR(VLOOKUP($H88,'1. Set Program Names'!$B$2:$D$15,3,0)*Y88,"NA")</f>
        <v>4104.6005515731858</v>
      </c>
      <c r="BZ88" s="80">
        <f>IFERROR(VLOOKUP($H88,'1. Set Program Names'!$B$2:$D$15,3,0)*Z88,"NA")</f>
        <v>5056.1376272576772</v>
      </c>
      <c r="CA88" s="80">
        <f>IFERROR(VLOOKUP($H88,'1. Set Program Names'!$B$2:$D$15,3,0)*AA88,"NA")</f>
        <v>5979.4515205241851</v>
      </c>
      <c r="CB88" s="80">
        <f>IFERROR(VLOOKUP($H88,'1. Set Program Names'!$B$2:$D$15,3,0)*AB88,"NA")</f>
        <v>6880.1946770005225</v>
      </c>
      <c r="CC88" s="80">
        <f>IFERROR(VLOOKUP($H88,'1. Set Program Names'!$B$2:$D$15,3,0)*AC88,"NA")</f>
        <v>7764.4880692561073</v>
      </c>
      <c r="CD88" s="80">
        <f>IFERROR(VLOOKUP($H88,'1. Set Program Names'!$B$2:$D$15,3,0)*AD88,"NA")</f>
        <v>8637.4872391802692</v>
      </c>
      <c r="CE88" s="80">
        <f>IFERROR(VLOOKUP($H88,'1. Set Program Names'!$B$2:$D$15,3,0)*AE88,"NA")</f>
        <v>9503.3483585153863</v>
      </c>
    </row>
    <row r="89" spans="1:83" x14ac:dyDescent="0.25">
      <c r="A89" s="79" t="s">
        <v>113</v>
      </c>
      <c r="B89" s="79" t="s">
        <v>88</v>
      </c>
      <c r="C89" s="79" t="s">
        <v>89</v>
      </c>
      <c r="D89" s="79" t="s">
        <v>90</v>
      </c>
      <c r="E89" s="79" t="s">
        <v>91</v>
      </c>
      <c r="F89" s="79" t="s">
        <v>90</v>
      </c>
      <c r="G89" s="79" t="s">
        <v>92</v>
      </c>
      <c r="H89" s="79" t="s">
        <v>7</v>
      </c>
      <c r="I89" s="79" t="s">
        <v>424</v>
      </c>
      <c r="J89" s="79" t="s">
        <v>97</v>
      </c>
      <c r="K89" s="79" t="s">
        <v>98</v>
      </c>
      <c r="L89" s="79">
        <v>5868.07</v>
      </c>
      <c r="M89" s="79">
        <v>0.20813520080661799</v>
      </c>
      <c r="N89" s="79">
        <v>1.1349578069705</v>
      </c>
      <c r="O89" s="79">
        <v>1935.1666666666599</v>
      </c>
      <c r="P89" s="79">
        <v>513.45064263862798</v>
      </c>
      <c r="Q89" s="79">
        <v>1692.2011207744099</v>
      </c>
      <c r="R89" s="79">
        <v>3388.0400735263802</v>
      </c>
      <c r="S89" s="79">
        <v>7811.7411984889604</v>
      </c>
      <c r="T89" s="79">
        <v>16</v>
      </c>
      <c r="U89" s="79">
        <v>0.1</v>
      </c>
      <c r="V89" s="79">
        <f>tbl_Data_old[[#This Row],[2025 ]]*IFERROR(AVERAGEIFS('Participation Adjustment'!$C:$C,'Participation Adjustment'!$A:$A,$H89,'Participation Adjustment'!$B:$B,$I89),1)</f>
        <v>45156.892441113698</v>
      </c>
      <c r="W89" s="79">
        <f>tbl_Data_old[[#This Row],[2026 ]]*IFERROR(AVERAGEIFS('Participation Adjustment'!$C:$C,'Participation Adjustment'!$A:$A,$H89,'Participation Adjustment'!$B:$B,$I89),1)</f>
        <v>92990.034886650406</v>
      </c>
      <c r="X89" s="79">
        <f>tbl_Data_old[[#This Row],[2027 ]]*IFERROR(AVERAGEIFS('Participation Adjustment'!$C:$C,'Participation Adjustment'!$A:$A,$H89,'Participation Adjustment'!$B:$B,$I89),1)</f>
        <v>143459.444239606</v>
      </c>
      <c r="Y89" s="79">
        <f>tbl_Data_old[[#This Row],[2028 ]]*IFERROR(AVERAGEIFS('Participation Adjustment'!$C:$C,'Participation Adjustment'!$A:$A,$H89,'Participation Adjustment'!$B:$B,$I89),1)</f>
        <v>196609.58648918499</v>
      </c>
      <c r="Z89" s="79">
        <f>tbl_Data_old[[#This Row],[2029 ]]*IFERROR(AVERAGEIFS('Participation Adjustment'!$C:$C,'Participation Adjustment'!$A:$A,$H89,'Participation Adjustment'!$B:$B,$I89),1)</f>
        <v>252481.662799988</v>
      </c>
      <c r="AA89" s="79">
        <f>tbl_Data_old[[#This Row],[2030 ]]*IFERROR(AVERAGEIFS('Participation Adjustment'!$C:$C,'Participation Adjustment'!$A:$A,$H89,'Participation Adjustment'!$B:$B,$I89),1)</f>
        <v>310954.65482837602</v>
      </c>
      <c r="AB89" s="79">
        <f>tbl_Data_old[[#This Row],[2031 ]]*IFERROR(AVERAGEIFS('Participation Adjustment'!$C:$C,'Participation Adjustment'!$A:$A,$H89,'Participation Adjustment'!$B:$B,$I89),1)</f>
        <v>372340.78302096599</v>
      </c>
      <c r="AC89" s="79">
        <f>tbl_Data_old[[#This Row],[2032 ]]*IFERROR(AVERAGEIFS('Participation Adjustment'!$C:$C,'Participation Adjustment'!$A:$A,$H89,'Participation Adjustment'!$B:$B,$I89),1)</f>
        <v>437072.94091285701</v>
      </c>
      <c r="AD89" s="79">
        <f>tbl_Data_old[[#This Row],[2033 ]]*IFERROR(AVERAGEIFS('Participation Adjustment'!$C:$C,'Participation Adjustment'!$A:$A,$H89,'Participation Adjustment'!$B:$B,$I89),1)</f>
        <v>505608.842770866</v>
      </c>
      <c r="AE89" s="79">
        <f>tbl_Data_old[[#This Row],[2034 ]]*IFERROR(AVERAGEIFS('Participation Adjustment'!$C:$C,'Participation Adjustment'!$A:$A,$H89,'Participation Adjustment'!$B:$B,$I89),1)</f>
        <v>578415.63791272498</v>
      </c>
      <c r="AF89" s="77" t="str">
        <f t="shared" si="44"/>
        <v>Residential</v>
      </c>
      <c r="AG89" s="77" t="str">
        <f>tbl_Data[[#This Row],[All_Meas_Name_Append]]</f>
        <v>ASHP - CEE Tier 2: 16.8 SEER/16 SEER2; 9.0 HSPF (from elec resistance)_Efficiency Delivered</v>
      </c>
      <c r="AH89" s="77">
        <f>AVERAGEIFS('3. Incentive Adjustment'!G:G,'3. Incentive Adjustment'!A:A,tbl_Data[[#This Row],[Trimmed Sector]],'3. Incentive Adjustment'!B:B,tbl_Data[[#This Row],[Trimmed Measure Name]])</f>
        <v>1</v>
      </c>
      <c r="AI89" s="77">
        <f>$AH89*tbl_Data[[#This Row],[2025 ]]</f>
        <v>45156.892441113698</v>
      </c>
      <c r="AJ89" s="77">
        <f>$AH89*tbl_Data[[#This Row],[2026 ]]</f>
        <v>92990.034886650406</v>
      </c>
      <c r="AK89" s="77">
        <f>$AH89*tbl_Data[[#This Row],[2027 ]]</f>
        <v>143459.444239606</v>
      </c>
      <c r="AL89" s="77">
        <f>$AH89*tbl_Data[[#This Row],[2028 ]]</f>
        <v>196609.58648918499</v>
      </c>
      <c r="AM89" s="77">
        <f>$AH89*tbl_Data[[#This Row],[2029 ]]</f>
        <v>252481.662799988</v>
      </c>
      <c r="AN89" s="77">
        <f>$AH89*tbl_Data[[#This Row],[2030 ]]</f>
        <v>310954.65482837602</v>
      </c>
      <c r="AO89" s="77">
        <f>$AH89*tbl_Data[[#This Row],[2031 ]]</f>
        <v>372340.78302096599</v>
      </c>
      <c r="AP89" s="77">
        <f>$AH89*tbl_Data[[#This Row],[2032 ]]</f>
        <v>437072.94091285701</v>
      </c>
      <c r="AQ89" s="77">
        <f>$AH89*tbl_Data[[#This Row],[2033 ]]</f>
        <v>505608.842770866</v>
      </c>
      <c r="AR89" s="77">
        <f>$AH89*tbl_Data[[#This Row],[2034 ]]</f>
        <v>578415.63791272498</v>
      </c>
      <c r="AS89" s="77">
        <f>SUM(tbl_Data[[#This Row],[Adjusted 2025]:[Adjusted 2034]])</f>
        <v>2935090.4803023329</v>
      </c>
      <c r="AT89" s="80">
        <f>AVERAGEIFS('3. Incentive Adjustment'!F:F,'3. Incentive Adjustment'!A:A,tbl_Data[[#This Row],[Trimmed Sector]],'3. Incentive Adjustment'!B:B,tbl_Data[[#This Row],[Trimmed Measure Name]])</f>
        <v>513.45064263862798</v>
      </c>
      <c r="AU89" s="80">
        <f>IFERROR(VLOOKUP(tbl_Data[[#This Row],[All_Meas_Name_Append]],'IRA Tax Credits'!$A$3:$D$46,4,0),0)</f>
        <v>0</v>
      </c>
      <c r="AV89" s="81">
        <f>tbl_Data[[#This Row],[Adj. per unit Incentive ($)]]/tbl_Data[[#This Row],[kWh Savings]]*tbl_Data[[#This Row],[Sum of Annuals]]</f>
        <v>256817.67485966464</v>
      </c>
      <c r="AW89" s="81">
        <f>IFERROR(VLOOKUP(tbl_Data[[#This Row],[Column1]],'1. Set Program Names'!$B$2:$D$15,3,0)*tbl_Data[[#This Row],[Sum of Annuals]],"")</f>
        <v>1269607.4008171144</v>
      </c>
      <c r="AX89" s="81">
        <f>tbl_Data[[#This Row],[per unit IRA tax ($)]]/tbl_Data[[#This Row],[kWh Savings]]*tbl_Data[[#This Row],[Sum of Annuals]]</f>
        <v>0</v>
      </c>
      <c r="AY89" s="81">
        <f>tbl_Data[[#This Row],[Avoided Costs ($/unit)]]/tbl_Data[[#This Row],[kWh Savings]]*tbl_Data[[#This Row],[Sum of Annuals]]</f>
        <v>1694629.4380759082</v>
      </c>
      <c r="AZ89" s="81">
        <f>tbl_Data[[#This Row],[Lost Revenue ($/unit)]]/tbl_Data[[#This Row],[kWh Savings]]*tbl_Data[[#This Row],[Sum of Annuals]]</f>
        <v>3907275.6845556526</v>
      </c>
      <c r="BA89" s="81">
        <f>tbl_Data[[#This Row],[Incremental Cost ($/unit)]]/tbl_Data[[#This Row],[kWh Savings]]*tbl_Data[[#This Row],[Sum of Annuals]]</f>
        <v>967931.40864572371</v>
      </c>
      <c r="BB89" s="77">
        <f>ROUNDUP(tbl_Data[[#This Row],[Adjusted 2025]]/$L89,0)</f>
        <v>8</v>
      </c>
      <c r="BC89" s="77">
        <f>ROUNDUP(tbl_Data[[#This Row],[Adjusted 2026]]/$L89,0)</f>
        <v>16</v>
      </c>
      <c r="BD89" s="77">
        <f>ROUNDUP(tbl_Data[[#This Row],[Adjusted 2027]]/$L89,0)</f>
        <v>25</v>
      </c>
      <c r="BE89" s="77">
        <f>ROUNDUP(tbl_Data[[#This Row],[Adjusted 2028]]/$L89,0)</f>
        <v>34</v>
      </c>
      <c r="BF89" s="77">
        <f>ROUNDUP(tbl_Data[[#This Row],[Adjusted 2029]]/$L89,0)</f>
        <v>44</v>
      </c>
      <c r="BG89" s="77">
        <f>ROUNDUP(tbl_Data[[#This Row],[Adjusted 2030]]/$L89,0)</f>
        <v>53</v>
      </c>
      <c r="BH89" s="77">
        <f>ROUNDUP(tbl_Data[[#This Row],[Adjusted 2031]]/$L89,0)</f>
        <v>64</v>
      </c>
      <c r="BI89" s="77">
        <f>ROUNDUP(tbl_Data[[#This Row],[Adjusted 2032]]/$L89,0)</f>
        <v>75</v>
      </c>
      <c r="BJ89" s="77">
        <f>ROUNDUP(tbl_Data[[#This Row],[Adjusted 2033]]/$L89,0)</f>
        <v>87</v>
      </c>
      <c r="BK89" s="77">
        <f>ROUNDUP(tbl_Data[[#This Row],[Adjusted 2034]]/$L89,0)</f>
        <v>99</v>
      </c>
      <c r="BL89" s="80">
        <f t="shared" si="45"/>
        <v>3951.1858998705252</v>
      </c>
      <c r="BM89" s="80">
        <f t="shared" si="46"/>
        <v>8136.541174788149</v>
      </c>
      <c r="BN89" s="80">
        <f t="shared" si="47"/>
        <v>12552.567341120015</v>
      </c>
      <c r="BO89" s="80">
        <f t="shared" si="48"/>
        <v>17203.15513137828</v>
      </c>
      <c r="BP89" s="80">
        <f t="shared" si="49"/>
        <v>22091.909608972495</v>
      </c>
      <c r="BQ89" s="80">
        <f t="shared" si="50"/>
        <v>27208.241781898039</v>
      </c>
      <c r="BR89" s="80">
        <f t="shared" si="51"/>
        <v>32579.470647535723</v>
      </c>
      <c r="BS89" s="80">
        <f t="shared" si="52"/>
        <v>38243.473985767305</v>
      </c>
      <c r="BT89" s="80">
        <f t="shared" si="53"/>
        <v>44240.301367310582</v>
      </c>
      <c r="BU89" s="80">
        <f t="shared" si="54"/>
        <v>50610.827921023541</v>
      </c>
      <c r="BV89" s="80">
        <f>IFERROR(VLOOKUP($H89,'1. Set Program Names'!$B$2:$D$15,3,0)*V89,"NA")</f>
        <v>19533.137130149</v>
      </c>
      <c r="BW89" s="80">
        <f>IFERROR(VLOOKUP($H89,'1. Set Program Names'!$B$2:$D$15,3,0)*W89,"NA")</f>
        <v>40223.917213677174</v>
      </c>
      <c r="BX89" s="80">
        <f>IFERROR(VLOOKUP($H89,'1. Set Program Names'!$B$2:$D$15,3,0)*X89,"NA")</f>
        <v>62055.045098627641</v>
      </c>
      <c r="BY89" s="80">
        <f>IFERROR(VLOOKUP($H89,'1. Set Program Names'!$B$2:$D$15,3,0)*Y89,"NA")</f>
        <v>85045.755063928955</v>
      </c>
      <c r="BZ89" s="80">
        <f>IFERROR(VLOOKUP($H89,'1. Set Program Names'!$B$2:$D$15,3,0)*Z89,"NA")</f>
        <v>109213.86915079257</v>
      </c>
      <c r="CA89" s="80">
        <f>IFERROR(VLOOKUP($H89,'1. Set Program Names'!$B$2:$D$15,3,0)*AA89,"NA")</f>
        <v>134507.03947224535</v>
      </c>
      <c r="CB89" s="80">
        <f>IFERROR(VLOOKUP($H89,'1. Set Program Names'!$B$2:$D$15,3,0)*AB89,"NA")</f>
        <v>161060.32060066643</v>
      </c>
      <c r="CC89" s="80">
        <f>IFERROR(VLOOKUP($H89,'1. Set Program Names'!$B$2:$D$15,3,0)*AC89,"NA")</f>
        <v>189060.96565128898</v>
      </c>
      <c r="CD89" s="80">
        <f>IFERROR(VLOOKUP($H89,'1. Set Program Names'!$B$2:$D$15,3,0)*AD89,"NA")</f>
        <v>218706.96423448791</v>
      </c>
      <c r="CE89" s="80">
        <f>IFERROR(VLOOKUP($H89,'1. Set Program Names'!$B$2:$D$15,3,0)*AE89,"NA")</f>
        <v>250200.38720125047</v>
      </c>
    </row>
    <row r="90" spans="1:83" x14ac:dyDescent="0.25">
      <c r="A90" s="79" t="s">
        <v>113</v>
      </c>
      <c r="B90" s="79" t="s">
        <v>88</v>
      </c>
      <c r="C90" s="79" t="s">
        <v>89</v>
      </c>
      <c r="D90" s="79" t="s">
        <v>90</v>
      </c>
      <c r="E90" s="79" t="s">
        <v>91</v>
      </c>
      <c r="F90" s="79" t="s">
        <v>90</v>
      </c>
      <c r="G90" s="79" t="s">
        <v>92</v>
      </c>
      <c r="H90" s="79" t="s">
        <v>7</v>
      </c>
      <c r="I90" s="79" t="s">
        <v>425</v>
      </c>
      <c r="J90" s="79" t="s">
        <v>97</v>
      </c>
      <c r="K90" s="79" t="s">
        <v>98</v>
      </c>
      <c r="L90" s="79">
        <v>253.96999999999801</v>
      </c>
      <c r="M90" s="79">
        <v>0.107126245482503</v>
      </c>
      <c r="N90" s="79">
        <v>1.33192706841354E-2</v>
      </c>
      <c r="O90" s="79">
        <v>874.99999999999898</v>
      </c>
      <c r="P90" s="79">
        <v>813.468148399999</v>
      </c>
      <c r="Q90" s="79">
        <v>73.238444436258604</v>
      </c>
      <c r="R90" s="79">
        <v>185.54516688855901</v>
      </c>
      <c r="S90" s="79">
        <v>338.09206641710699</v>
      </c>
      <c r="T90" s="79">
        <v>16</v>
      </c>
      <c r="U90" s="79">
        <v>9.9999999999999895E-2</v>
      </c>
      <c r="V90" s="79">
        <f>tbl_Data_old[[#This Row],[2025 ]]*IFERROR(AVERAGEIFS('Participation Adjustment'!$C:$C,'Participation Adjustment'!$A:$A,$H90,'Participation Adjustment'!$B:$B,$I90),1)</f>
        <v>6403.4953372358796</v>
      </c>
      <c r="W90" s="79">
        <f>tbl_Data_old[[#This Row],[2026 ]]*IFERROR(AVERAGEIFS('Participation Adjustment'!$C:$C,'Participation Adjustment'!$A:$A,$H90,'Participation Adjustment'!$B:$B,$I90),1)</f>
        <v>13565.621847165099</v>
      </c>
      <c r="X90" s="79">
        <f>tbl_Data_old[[#This Row],[2027 ]]*IFERROR(AVERAGEIFS('Participation Adjustment'!$C:$C,'Participation Adjustment'!$A:$A,$H90,'Participation Adjustment'!$B:$B,$I90),1)</f>
        <v>21437.311146524298</v>
      </c>
      <c r="Y90" s="79">
        <f>tbl_Data_old[[#This Row],[2028 ]]*IFERROR(AVERAGEIFS('Participation Adjustment'!$C:$C,'Participation Adjustment'!$A:$A,$H90,'Participation Adjustment'!$B:$B,$I90),1)</f>
        <v>29989.121262806999</v>
      </c>
      <c r="Z90" s="79">
        <f>tbl_Data_old[[#This Row],[2029 ]]*IFERROR(AVERAGEIFS('Participation Adjustment'!$C:$C,'Participation Adjustment'!$A:$A,$H90,'Participation Adjustment'!$B:$B,$I90),1)</f>
        <v>39197.195686634303</v>
      </c>
      <c r="AA90" s="79">
        <f>tbl_Data_old[[#This Row],[2030 ]]*IFERROR(AVERAGEIFS('Participation Adjustment'!$C:$C,'Participation Adjustment'!$A:$A,$H90,'Participation Adjustment'!$B:$B,$I90),1)</f>
        <v>49015.450699539702</v>
      </c>
      <c r="AB90" s="79">
        <f>tbl_Data_old[[#This Row],[2031 ]]*IFERROR(AVERAGEIFS('Participation Adjustment'!$C:$C,'Participation Adjustment'!$A:$A,$H90,'Participation Adjustment'!$B:$B,$I90),1)</f>
        <v>59474.667006126198</v>
      </c>
      <c r="AC90" s="79">
        <f>tbl_Data_old[[#This Row],[2032 ]]*IFERROR(AVERAGEIFS('Participation Adjustment'!$C:$C,'Participation Adjustment'!$A:$A,$H90,'Participation Adjustment'!$B:$B,$I90),1)</f>
        <v>70631.973903822494</v>
      </c>
      <c r="AD90" s="79">
        <f>tbl_Data_old[[#This Row],[2033 ]]*IFERROR(AVERAGEIFS('Participation Adjustment'!$C:$C,'Participation Adjustment'!$A:$A,$H90,'Participation Adjustment'!$B:$B,$I90),1)</f>
        <v>82553.823712799902</v>
      </c>
      <c r="AE90" s="79">
        <f>tbl_Data_old[[#This Row],[2034 ]]*IFERROR(AVERAGEIFS('Participation Adjustment'!$C:$C,'Participation Adjustment'!$A:$A,$H90,'Participation Adjustment'!$B:$B,$I90),1)</f>
        <v>95312.414623315402</v>
      </c>
      <c r="AF90" s="77" t="str">
        <f t="shared" si="44"/>
        <v>Residential</v>
      </c>
      <c r="AG90" s="77" t="str">
        <f>tbl_Data[[#This Row],[All_Meas_Name_Append]]</f>
        <v>ASHP - ENERGY STAR/CEE Tier 1: 16 SEER/15.2 SEER2_ 9.0 HSPF_Efficiency Delivered</v>
      </c>
      <c r="AH90" s="77">
        <f>AVERAGEIFS('3. Incentive Adjustment'!G:G,'3. Incentive Adjustment'!A:A,tbl_Data[[#This Row],[Trimmed Sector]],'3. Incentive Adjustment'!B:B,tbl_Data[[#This Row],[Trimmed Measure Name]])</f>
        <v>2.0121332905056414E-2</v>
      </c>
      <c r="AI90" s="77">
        <f>$AH90*tbl_Data[[#This Row],[2025 ]]</f>
        <v>128.84686143649961</v>
      </c>
      <c r="AJ90" s="77">
        <f>$AH90*tbl_Data[[#This Row],[2026 ]]</f>
        <v>272.95839325091526</v>
      </c>
      <c r="AK90" s="77">
        <f>$AH90*tbl_Data[[#This Row],[2027 ]]</f>
        <v>431.34727416849199</v>
      </c>
      <c r="AL90" s="77">
        <f>$AH90*tbl_Data[[#This Row],[2028 ]]</f>
        <v>603.42109245904544</v>
      </c>
      <c r="AM90" s="77">
        <f>$AH90*tbl_Data[[#This Row],[2029 ]]</f>
        <v>788.6998233554101</v>
      </c>
      <c r="AN90" s="77">
        <f>$AH90*tbl_Data[[#This Row],[2030 ]]</f>
        <v>986.25620101681864</v>
      </c>
      <c r="AO90" s="77">
        <f>$AH90*tbl_Data[[#This Row],[2031 ]]</f>
        <v>1196.7095742476401</v>
      </c>
      <c r="AP90" s="77">
        <f>$AH90*tbl_Data[[#This Row],[2032 ]]</f>
        <v>1421.2094606600695</v>
      </c>
      <c r="AQ90" s="77">
        <f>$AH90*tbl_Data[[#This Row],[2033 ]]</f>
        <v>1661.0929695105872</v>
      </c>
      <c r="AR90" s="77">
        <f>$AH90*tbl_Data[[#This Row],[2034 ]]</f>
        <v>1917.8128246204963</v>
      </c>
      <c r="AS90" s="77">
        <f>SUM(tbl_Data[[#This Row],[Adjusted 2025]:[Adjusted 2034]])</f>
        <v>9408.3544747259748</v>
      </c>
      <c r="AT90" s="80">
        <f>AVERAGEIFS('3. Incentive Adjustment'!F:F,'3. Incentive Adjustment'!A:A,tbl_Data[[#This Row],[Trimmed Sector]],'3. Incentive Adjustment'!B:B,tbl_Data[[#This Row],[Trimmed Measure Name]])</f>
        <v>437.49999999999949</v>
      </c>
      <c r="AU90" s="80">
        <f>IFERROR(VLOOKUP(tbl_Data[[#This Row],[All_Meas_Name_Append]],'IRA Tax Credits'!$A$3:$D$46,4,0),0)</f>
        <v>0</v>
      </c>
      <c r="AV90" s="81">
        <f>tbl_Data[[#This Row],[Adj. per unit Incentive ($)]]/tbl_Data[[#This Row],[kWh Savings]]*tbl_Data[[#This Row],[Sum of Annuals]]</f>
        <v>16207.249213263935</v>
      </c>
      <c r="AW90" s="81">
        <f>IFERROR(VLOOKUP(tbl_Data[[#This Row],[Column1]],'1. Set Program Names'!$B$2:$D$15,3,0)*tbl_Data[[#This Row],[Sum of Annuals]],"")</f>
        <v>4069.692757612198</v>
      </c>
      <c r="AX90" s="81">
        <f>tbl_Data[[#This Row],[per unit IRA tax ($)]]/tbl_Data[[#This Row],[kWh Savings]]*tbl_Data[[#This Row],[Sum of Annuals]]</f>
        <v>0</v>
      </c>
      <c r="AY90" s="81">
        <f>tbl_Data[[#This Row],[Avoided Costs ($/unit)]]/tbl_Data[[#This Row],[kWh Savings]]*tbl_Data[[#This Row],[Sum of Annuals]]</f>
        <v>6873.5468801817751</v>
      </c>
      <c r="AZ90" s="81">
        <f>tbl_Data[[#This Row],[Lost Revenue ($/unit)]]/tbl_Data[[#This Row],[kWh Savings]]*tbl_Data[[#This Row],[Sum of Annuals]]</f>
        <v>12524.668291313008</v>
      </c>
      <c r="BA90" s="81">
        <f>tbl_Data[[#This Row],[Incremental Cost ($/unit)]]/tbl_Data[[#This Row],[kWh Savings]]*tbl_Data[[#This Row],[Sum of Annuals]]</f>
        <v>32414.498426527869</v>
      </c>
      <c r="BB90" s="77">
        <f>ROUNDUP(tbl_Data[[#This Row],[Adjusted 2025]]/$L90,0)</f>
        <v>1</v>
      </c>
      <c r="BC90" s="77">
        <f>ROUNDUP(tbl_Data[[#This Row],[Adjusted 2026]]/$L90,0)</f>
        <v>2</v>
      </c>
      <c r="BD90" s="77">
        <f>ROUNDUP(tbl_Data[[#This Row],[Adjusted 2027]]/$L90,0)</f>
        <v>2</v>
      </c>
      <c r="BE90" s="77">
        <f>ROUNDUP(tbl_Data[[#This Row],[Adjusted 2028]]/$L90,0)</f>
        <v>3</v>
      </c>
      <c r="BF90" s="77">
        <f>ROUNDUP(tbl_Data[[#This Row],[Adjusted 2029]]/$L90,0)</f>
        <v>4</v>
      </c>
      <c r="BG90" s="77">
        <f>ROUNDUP(tbl_Data[[#This Row],[Adjusted 2030]]/$L90,0)</f>
        <v>4</v>
      </c>
      <c r="BH90" s="77">
        <f>ROUNDUP(tbl_Data[[#This Row],[Adjusted 2031]]/$L90,0)</f>
        <v>5</v>
      </c>
      <c r="BI90" s="77">
        <f>ROUNDUP(tbl_Data[[#This Row],[Adjusted 2032]]/$L90,0)</f>
        <v>6</v>
      </c>
      <c r="BJ90" s="77">
        <f>ROUNDUP(tbl_Data[[#This Row],[Adjusted 2033]]/$L90,0)</f>
        <v>7</v>
      </c>
      <c r="BK90" s="77">
        <f>ROUNDUP(tbl_Data[[#This Row],[Adjusted 2034]]/$L90,0)</f>
        <v>8</v>
      </c>
      <c r="BL90" s="80">
        <f t="shared" si="45"/>
        <v>11030.945426785511</v>
      </c>
      <c r="BM90" s="80">
        <f t="shared" si="46"/>
        <v>23368.742600050286</v>
      </c>
      <c r="BN90" s="80">
        <f t="shared" si="47"/>
        <v>36928.864143814004</v>
      </c>
      <c r="BO90" s="80">
        <f t="shared" si="48"/>
        <v>51660.592008812651</v>
      </c>
      <c r="BP90" s="80">
        <f t="shared" si="49"/>
        <v>67522.829912598419</v>
      </c>
      <c r="BQ90" s="80">
        <f t="shared" si="50"/>
        <v>84436.191995309535</v>
      </c>
      <c r="BR90" s="80">
        <f t="shared" si="51"/>
        <v>102453.70246556832</v>
      </c>
      <c r="BS90" s="80">
        <f t="shared" si="52"/>
        <v>121673.77478805586</v>
      </c>
      <c r="BT90" s="80">
        <f t="shared" si="53"/>
        <v>142210.88268043549</v>
      </c>
      <c r="BU90" s="80">
        <f t="shared" si="54"/>
        <v>164189.39795133585</v>
      </c>
      <c r="BV90" s="80">
        <f>IFERROR(VLOOKUP($H90,'1. Set Program Names'!$B$2:$D$15,3,0)*V90,"NA")</f>
        <v>2769.9061156081029</v>
      </c>
      <c r="BW90" s="80">
        <f>IFERROR(VLOOKUP($H90,'1. Set Program Names'!$B$2:$D$15,3,0)*W90,"NA")</f>
        <v>5867.9669364308875</v>
      </c>
      <c r="BX90" s="80">
        <f>IFERROR(VLOOKUP($H90,'1. Set Program Names'!$B$2:$D$15,3,0)*X90,"NA")</f>
        <v>9272.9573646543759</v>
      </c>
      <c r="BY90" s="80">
        <f>IFERROR(VLOOKUP($H90,'1. Set Program Names'!$B$2:$D$15,3,0)*Y90,"NA")</f>
        <v>12972.141933879921</v>
      </c>
      <c r="BZ90" s="80">
        <f>IFERROR(VLOOKUP($H90,'1. Set Program Names'!$B$2:$D$15,3,0)*Z90,"NA")</f>
        <v>16955.201234512358</v>
      </c>
      <c r="CA90" s="80">
        <f>IFERROR(VLOOKUP($H90,'1. Set Program Names'!$B$2:$D$15,3,0)*AA90,"NA")</f>
        <v>21202.201220083643</v>
      </c>
      <c r="CB90" s="80">
        <f>IFERROR(VLOOKUP($H90,'1. Set Program Names'!$B$2:$D$15,3,0)*AB90,"NA")</f>
        <v>25726.456441074795</v>
      </c>
      <c r="CC90" s="80">
        <f>IFERROR(VLOOKUP($H90,'1. Set Program Names'!$B$2:$D$15,3,0)*AC90,"NA")</f>
        <v>30552.678837136649</v>
      </c>
      <c r="CD90" s="80">
        <f>IFERROR(VLOOKUP($H90,'1. Set Program Names'!$B$2:$D$15,3,0)*AD90,"NA")</f>
        <v>35709.613129448044</v>
      </c>
      <c r="CE90" s="80">
        <f>IFERROR(VLOOKUP($H90,'1. Set Program Names'!$B$2:$D$15,3,0)*AE90,"NA")</f>
        <v>41228.489481879915</v>
      </c>
    </row>
    <row r="91" spans="1:83" x14ac:dyDescent="0.25">
      <c r="A91" s="79" t="s">
        <v>113</v>
      </c>
      <c r="B91" s="79" t="s">
        <v>88</v>
      </c>
      <c r="C91" s="79" t="s">
        <v>89</v>
      </c>
      <c r="D91" s="79" t="s">
        <v>90</v>
      </c>
      <c r="E91" s="79" t="s">
        <v>91</v>
      </c>
      <c r="F91" s="79" t="s">
        <v>90</v>
      </c>
      <c r="G91" s="79" t="s">
        <v>92</v>
      </c>
      <c r="H91" s="79" t="s">
        <v>7</v>
      </c>
      <c r="I91" s="79" t="s">
        <v>426</v>
      </c>
      <c r="J91" s="79" t="s">
        <v>101</v>
      </c>
      <c r="K91" s="79" t="s">
        <v>102</v>
      </c>
      <c r="L91" s="79">
        <v>3443.6666666666601</v>
      </c>
      <c r="M91" s="79">
        <v>1.66949913665645</v>
      </c>
      <c r="N91" s="79">
        <v>0.25022957227107101</v>
      </c>
      <c r="O91" s="79">
        <v>1269.26999999999</v>
      </c>
      <c r="P91" s="79">
        <v>446.40188399649003</v>
      </c>
      <c r="Q91" s="79">
        <v>993.06528260685695</v>
      </c>
      <c r="R91" s="79">
        <v>3363.3816217672702</v>
      </c>
      <c r="S91" s="79">
        <v>6252.5618237134204</v>
      </c>
      <c r="T91" s="79">
        <v>30</v>
      </c>
      <c r="U91" s="79">
        <v>0.1</v>
      </c>
      <c r="V91" s="79">
        <f>tbl_Data_old[[#This Row],[2025 ]]*IFERROR(AVERAGEIFS('Participation Adjustment'!$C:$C,'Participation Adjustment'!$A:$A,$H91,'Participation Adjustment'!$B:$B,$I91),1)</f>
        <v>934.18477375556097</v>
      </c>
      <c r="W91" s="79">
        <f>tbl_Data_old[[#This Row],[2026 ]]*IFERROR(AVERAGEIFS('Participation Adjustment'!$C:$C,'Participation Adjustment'!$A:$A,$H91,'Participation Adjustment'!$B:$B,$I91),1)</f>
        <v>1838.2804632656901</v>
      </c>
      <c r="X91" s="79">
        <f>tbl_Data_old[[#This Row],[2027 ]]*IFERROR(AVERAGEIFS('Participation Adjustment'!$C:$C,'Participation Adjustment'!$A:$A,$H91,'Participation Adjustment'!$B:$B,$I91),1)</f>
        <v>2713.9700474679998</v>
      </c>
      <c r="Y91" s="79">
        <f>tbl_Data_old[[#This Row],[2028 ]]*IFERROR(AVERAGEIFS('Participation Adjustment'!$C:$C,'Participation Adjustment'!$A:$A,$H91,'Participation Adjustment'!$B:$B,$I91),1)</f>
        <v>3563.8363056476601</v>
      </c>
      <c r="Z91" s="79">
        <f>tbl_Data_old[[#This Row],[2029 ]]*IFERROR(AVERAGEIFS('Participation Adjustment'!$C:$C,'Participation Adjustment'!$A:$A,$H91,'Participation Adjustment'!$B:$B,$I91),1)</f>
        <v>4389.78782840652</v>
      </c>
      <c r="AA91" s="79">
        <f>tbl_Data_old[[#This Row],[2030 ]]*IFERROR(AVERAGEIFS('Participation Adjustment'!$C:$C,'Participation Adjustment'!$A:$A,$H91,'Participation Adjustment'!$B:$B,$I91),1)</f>
        <v>5191.0494071130397</v>
      </c>
      <c r="AB91" s="79">
        <f>tbl_Data_old[[#This Row],[2031 ]]*IFERROR(AVERAGEIFS('Participation Adjustment'!$C:$C,'Participation Adjustment'!$A:$A,$H91,'Participation Adjustment'!$B:$B,$I91),1)</f>
        <v>5972.4876838661203</v>
      </c>
      <c r="AC91" s="79">
        <f>tbl_Data_old[[#This Row],[2032 ]]*IFERROR(AVERAGEIFS('Participation Adjustment'!$C:$C,'Participation Adjustment'!$A:$A,$H91,'Participation Adjustment'!$B:$B,$I91),1)</f>
        <v>6739.3755496353397</v>
      </c>
      <c r="AD91" s="79">
        <f>tbl_Data_old[[#This Row],[2033 ]]*IFERROR(AVERAGEIFS('Participation Adjustment'!$C:$C,'Participation Adjustment'!$A:$A,$H91,'Participation Adjustment'!$B:$B,$I91),1)</f>
        <v>7496.1466760061003</v>
      </c>
      <c r="AE91" s="79">
        <f>tbl_Data_old[[#This Row],[2034 ]]*IFERROR(AVERAGEIFS('Participation Adjustment'!$C:$C,'Participation Adjustment'!$A:$A,$H91,'Participation Adjustment'!$B:$B,$I91),1)</f>
        <v>8246.36555291482</v>
      </c>
      <c r="AF91" s="77" t="str">
        <f t="shared" si="44"/>
        <v>Residential</v>
      </c>
      <c r="AG91" s="77" t="str">
        <f>tbl_Data[[#This Row],[All_Meas_Name_Append]]</f>
        <v>Ceiling Insulation(R2 to R38) Residential_Efficiency Delivered</v>
      </c>
      <c r="AH91" s="77">
        <f>AVERAGEIFS('3. Incentive Adjustment'!G:G,'3. Incentive Adjustment'!A:A,tbl_Data[[#This Row],[Trimmed Sector]],'3. Incentive Adjustment'!B:B,tbl_Data[[#This Row],[Trimmed Measure Name]])</f>
        <v>1</v>
      </c>
      <c r="AI91" s="77">
        <f>$AH91*tbl_Data[[#This Row],[2025 ]]</f>
        <v>934.18477375556097</v>
      </c>
      <c r="AJ91" s="77">
        <f>$AH91*tbl_Data[[#This Row],[2026 ]]</f>
        <v>1838.2804632656901</v>
      </c>
      <c r="AK91" s="77">
        <f>$AH91*tbl_Data[[#This Row],[2027 ]]</f>
        <v>2713.9700474679998</v>
      </c>
      <c r="AL91" s="77">
        <f>$AH91*tbl_Data[[#This Row],[2028 ]]</f>
        <v>3563.8363056476601</v>
      </c>
      <c r="AM91" s="77">
        <f>$AH91*tbl_Data[[#This Row],[2029 ]]</f>
        <v>4389.78782840652</v>
      </c>
      <c r="AN91" s="77">
        <f>$AH91*tbl_Data[[#This Row],[2030 ]]</f>
        <v>5191.0494071130397</v>
      </c>
      <c r="AO91" s="77">
        <f>$AH91*tbl_Data[[#This Row],[2031 ]]</f>
        <v>5972.4876838661203</v>
      </c>
      <c r="AP91" s="77">
        <f>$AH91*tbl_Data[[#This Row],[2032 ]]</f>
        <v>6739.3755496353397</v>
      </c>
      <c r="AQ91" s="77">
        <f>$AH91*tbl_Data[[#This Row],[2033 ]]</f>
        <v>7496.1466760061003</v>
      </c>
      <c r="AR91" s="77">
        <f>$AH91*tbl_Data[[#This Row],[2034 ]]</f>
        <v>8246.36555291482</v>
      </c>
      <c r="AS91" s="77">
        <f>SUM(tbl_Data[[#This Row],[Adjusted 2025]:[Adjusted 2034]])</f>
        <v>47085.484288078849</v>
      </c>
      <c r="AT91" s="80">
        <f>AVERAGEIFS('3. Incentive Adjustment'!F:F,'3. Incentive Adjustment'!A:A,tbl_Data[[#This Row],[Trimmed Sector]],'3. Incentive Adjustment'!B:B,tbl_Data[[#This Row],[Trimmed Measure Name]])</f>
        <v>446.40188399649008</v>
      </c>
      <c r="AU91" s="80">
        <f>IFERROR(VLOOKUP(tbl_Data[[#This Row],[All_Meas_Name_Append]],'IRA Tax Credits'!$A$3:$D$46,4,0),0)</f>
        <v>0</v>
      </c>
      <c r="AV91" s="81">
        <f>tbl_Data[[#This Row],[Adj. per unit Incentive ($)]]/tbl_Data[[#This Row],[kWh Savings]]*tbl_Data[[#This Row],[Sum of Annuals]]</f>
        <v>6103.6827688758794</v>
      </c>
      <c r="AW91" s="81">
        <f>IFERROR(VLOOKUP(tbl_Data[[#This Row],[Column1]],'1. Set Program Names'!$B$2:$D$15,3,0)*tbl_Data[[#This Row],[Sum of Annuals]],"")</f>
        <v>20367.371883215383</v>
      </c>
      <c r="AX91" s="81">
        <f>tbl_Data[[#This Row],[per unit IRA tax ($)]]/tbl_Data[[#This Row],[kWh Savings]]*tbl_Data[[#This Row],[Sum of Annuals]]</f>
        <v>0</v>
      </c>
      <c r="AY91" s="81">
        <f>tbl_Data[[#This Row],[Avoided Costs ($/unit)]]/tbl_Data[[#This Row],[kWh Savings]]*tbl_Data[[#This Row],[Sum of Annuals]]</f>
        <v>45987.741508044601</v>
      </c>
      <c r="AZ91" s="81">
        <f>tbl_Data[[#This Row],[Lost Revenue ($/unit)]]/tbl_Data[[#This Row],[kWh Savings]]*tbl_Data[[#This Row],[Sum of Annuals]]</f>
        <v>85491.695337537632</v>
      </c>
      <c r="BA91" s="81">
        <f>tbl_Data[[#This Row],[Incremental Cost ($/unit)]]/tbl_Data[[#This Row],[kWh Savings]]*tbl_Data[[#This Row],[Sum of Annuals]]</f>
        <v>17354.813466943029</v>
      </c>
      <c r="BB91" s="77">
        <f>ROUNDUP(tbl_Data[[#This Row],[Adjusted 2025]]/$L91,0)</f>
        <v>1</v>
      </c>
      <c r="BC91" s="77">
        <f>ROUNDUP(tbl_Data[[#This Row],[Adjusted 2026]]/$L91,0)</f>
        <v>1</v>
      </c>
      <c r="BD91" s="77">
        <f>ROUNDUP(tbl_Data[[#This Row],[Adjusted 2027]]/$L91,0)</f>
        <v>1</v>
      </c>
      <c r="BE91" s="77">
        <f>ROUNDUP(tbl_Data[[#This Row],[Adjusted 2028]]/$L91,0)</f>
        <v>2</v>
      </c>
      <c r="BF91" s="77">
        <f>ROUNDUP(tbl_Data[[#This Row],[Adjusted 2029]]/$L91,0)</f>
        <v>2</v>
      </c>
      <c r="BG91" s="77">
        <f>ROUNDUP(tbl_Data[[#This Row],[Adjusted 2030]]/$L91,0)</f>
        <v>2</v>
      </c>
      <c r="BH91" s="77">
        <f>ROUNDUP(tbl_Data[[#This Row],[Adjusted 2031]]/$L91,0)</f>
        <v>2</v>
      </c>
      <c r="BI91" s="77">
        <f>ROUNDUP(tbl_Data[[#This Row],[Adjusted 2032]]/$L91,0)</f>
        <v>2</v>
      </c>
      <c r="BJ91" s="77">
        <f>ROUNDUP(tbl_Data[[#This Row],[Adjusted 2033]]/$L91,0)</f>
        <v>3</v>
      </c>
      <c r="BK91" s="77">
        <f>ROUNDUP(tbl_Data[[#This Row],[Adjusted 2034]]/$L91,0)</f>
        <v>3</v>
      </c>
      <c r="BL91" s="80">
        <f t="shared" si="45"/>
        <v>121.09820240208636</v>
      </c>
      <c r="BM91" s="80">
        <f t="shared" si="46"/>
        <v>238.29596228315154</v>
      </c>
      <c r="BN91" s="80">
        <f t="shared" si="47"/>
        <v>351.81144389693964</v>
      </c>
      <c r="BO91" s="80">
        <f t="shared" si="48"/>
        <v>461.9794524526792</v>
      </c>
      <c r="BP91" s="80">
        <f t="shared" si="49"/>
        <v>569.04739820313671</v>
      </c>
      <c r="BQ91" s="80">
        <f t="shared" si="50"/>
        <v>672.91479099432627</v>
      </c>
      <c r="BR91" s="80">
        <f t="shared" si="51"/>
        <v>774.21249275685068</v>
      </c>
      <c r="BS91" s="80">
        <f t="shared" si="52"/>
        <v>873.62402738856906</v>
      </c>
      <c r="BT91" s="80">
        <f t="shared" si="53"/>
        <v>971.72413093112664</v>
      </c>
      <c r="BU91" s="80">
        <f t="shared" si="54"/>
        <v>1068.9748675670139</v>
      </c>
      <c r="BV91" s="80">
        <f>IFERROR(VLOOKUP($H91,'1. Set Program Names'!$B$2:$D$15,3,0)*V91,"NA")</f>
        <v>404.09244977297988</v>
      </c>
      <c r="BW91" s="80">
        <f>IFERROR(VLOOKUP($H91,'1. Set Program Names'!$B$2:$D$15,3,0)*W91,"NA")</f>
        <v>795.16951746551536</v>
      </c>
      <c r="BX91" s="80">
        <f>IFERROR(VLOOKUP($H91,'1. Set Program Names'!$B$2:$D$15,3,0)*X91,"NA")</f>
        <v>1173.9591951204247</v>
      </c>
      <c r="BY91" s="80">
        <f>IFERROR(VLOOKUP($H91,'1. Set Program Names'!$B$2:$D$15,3,0)*Y91,"NA")</f>
        <v>1541.5786938482806</v>
      </c>
      <c r="BZ91" s="80">
        <f>IFERROR(VLOOKUP($H91,'1. Set Program Names'!$B$2:$D$15,3,0)*Z91,"NA")</f>
        <v>1898.8535966317879</v>
      </c>
      <c r="CA91" s="80">
        <f>IFERROR(VLOOKUP($H91,'1. Set Program Names'!$B$2:$D$15,3,0)*AA91,"NA")</f>
        <v>2245.4485779937986</v>
      </c>
      <c r="CB91" s="80">
        <f>IFERROR(VLOOKUP($H91,'1. Set Program Names'!$B$2:$D$15,3,0)*AB91,"NA")</f>
        <v>2583.4687603717161</v>
      </c>
      <c r="CC91" s="80">
        <f>IFERROR(VLOOKUP($H91,'1. Set Program Names'!$B$2:$D$15,3,0)*AC91,"NA")</f>
        <v>2915.1949938598063</v>
      </c>
      <c r="CD91" s="80">
        <f>IFERROR(VLOOKUP($H91,'1. Set Program Names'!$B$2:$D$15,3,0)*AD91,"NA")</f>
        <v>3242.5451144823405</v>
      </c>
      <c r="CE91" s="80">
        <f>IFERROR(VLOOKUP($H91,'1. Set Program Names'!$B$2:$D$15,3,0)*AE91,"NA")</f>
        <v>3567.0609836687322</v>
      </c>
    </row>
    <row r="92" spans="1:83" x14ac:dyDescent="0.25">
      <c r="A92" s="79" t="s">
        <v>113</v>
      </c>
      <c r="B92" s="79" t="s">
        <v>88</v>
      </c>
      <c r="C92" s="79" t="s">
        <v>89</v>
      </c>
      <c r="D92" s="79" t="s">
        <v>90</v>
      </c>
      <c r="E92" s="79" t="s">
        <v>91</v>
      </c>
      <c r="F92" s="79" t="s">
        <v>90</v>
      </c>
      <c r="G92" s="79" t="s">
        <v>92</v>
      </c>
      <c r="H92" s="79" t="s">
        <v>7</v>
      </c>
      <c r="I92" s="79" t="s">
        <v>427</v>
      </c>
      <c r="J92" s="79" t="s">
        <v>101</v>
      </c>
      <c r="K92" s="79" t="s">
        <v>102</v>
      </c>
      <c r="L92" s="79">
        <v>3523.57666666666</v>
      </c>
      <c r="M92" s="79">
        <v>1.7070465614975301</v>
      </c>
      <c r="N92" s="79">
        <v>0.25623328618049002</v>
      </c>
      <c r="O92" s="79">
        <v>1306.5999999999899</v>
      </c>
      <c r="P92" s="79">
        <v>465.31519597206898</v>
      </c>
      <c r="Q92" s="79">
        <v>1016.10928030304</v>
      </c>
      <c r="R92" s="79">
        <v>3440.61303289528</v>
      </c>
      <c r="S92" s="79">
        <v>6397.6520033667803</v>
      </c>
      <c r="T92" s="79">
        <v>30</v>
      </c>
      <c r="U92" s="79">
        <v>0.1</v>
      </c>
      <c r="V92" s="79">
        <f>tbl_Data_old[[#This Row],[2025 ]]*IFERROR(AVERAGEIFS('Participation Adjustment'!$C:$C,'Participation Adjustment'!$A:$A,$H92,'Participation Adjustment'!$B:$B,$I92),1)</f>
        <v>956.08903221608796</v>
      </c>
      <c r="W92" s="79">
        <f>tbl_Data_old[[#This Row],[2026 ]]*IFERROR(AVERAGEIFS('Participation Adjustment'!$C:$C,'Participation Adjustment'!$A:$A,$H92,'Participation Adjustment'!$B:$B,$I92),1)</f>
        <v>1881.44459909801</v>
      </c>
      <c r="X92" s="79">
        <f>tbl_Data_old[[#This Row],[2027 ]]*IFERROR(AVERAGEIFS('Participation Adjustment'!$C:$C,'Participation Adjustment'!$A:$A,$H92,'Participation Adjustment'!$B:$B,$I92),1)</f>
        <v>2777.7830981493698</v>
      </c>
      <c r="Y92" s="79">
        <f>tbl_Data_old[[#This Row],[2028 ]]*IFERROR(AVERAGEIFS('Participation Adjustment'!$C:$C,'Participation Adjustment'!$A:$A,$H92,'Participation Adjustment'!$B:$B,$I92),1)</f>
        <v>3647.74254553623</v>
      </c>
      <c r="Z92" s="79">
        <f>tbl_Data_old[[#This Row],[2029 ]]*IFERROR(AVERAGEIFS('Participation Adjustment'!$C:$C,'Participation Adjustment'!$A:$A,$H92,'Participation Adjustment'!$B:$B,$I92),1)</f>
        <v>4493.2714782147796</v>
      </c>
      <c r="AA92" s="79">
        <f>tbl_Data_old[[#This Row],[2030 ]]*IFERROR(AVERAGEIFS('Participation Adjustment'!$C:$C,'Participation Adjustment'!$A:$A,$H92,'Participation Adjustment'!$B:$B,$I92),1)</f>
        <v>5313.5714063987598</v>
      </c>
      <c r="AB92" s="79">
        <f>tbl_Data_old[[#This Row],[2031 ]]*IFERROR(AVERAGEIFS('Participation Adjustment'!$C:$C,'Participation Adjustment'!$A:$A,$H92,'Participation Adjustment'!$B:$B,$I92),1)</f>
        <v>6113.6201283361497</v>
      </c>
      <c r="AC92" s="79">
        <f>tbl_Data_old[[#This Row],[2032 ]]*IFERROR(AVERAGEIFS('Participation Adjustment'!$C:$C,'Participation Adjustment'!$A:$A,$H92,'Participation Adjustment'!$B:$B,$I92),1)</f>
        <v>6898.8123677524</v>
      </c>
      <c r="AD92" s="79">
        <f>tbl_Data_old[[#This Row],[2033 ]]*IFERROR(AVERAGEIFS('Participation Adjustment'!$C:$C,'Participation Adjustment'!$A:$A,$H92,'Participation Adjustment'!$B:$B,$I92),1)</f>
        <v>7673.6845296194497</v>
      </c>
      <c r="AE92" s="79">
        <f>tbl_Data_old[[#This Row],[2034 ]]*IFERROR(AVERAGEIFS('Participation Adjustment'!$C:$C,'Participation Adjustment'!$A:$A,$H92,'Participation Adjustment'!$B:$B,$I92),1)</f>
        <v>8441.8837859793293</v>
      </c>
      <c r="AF92" s="77" t="str">
        <f t="shared" si="44"/>
        <v>Residential</v>
      </c>
      <c r="AG92" s="77" t="str">
        <f>tbl_Data[[#This Row],[All_Meas_Name_Append]]</f>
        <v>Ceiling Insulation(R2 to R49) Residential_Efficiency Delivered</v>
      </c>
      <c r="AH92" s="77">
        <f>AVERAGEIFS('3. Incentive Adjustment'!G:G,'3. Incentive Adjustment'!A:A,tbl_Data[[#This Row],[Trimmed Sector]],'3. Incentive Adjustment'!B:B,tbl_Data[[#This Row],[Trimmed Measure Name]])</f>
        <v>1</v>
      </c>
      <c r="AI92" s="77">
        <f>$AH92*tbl_Data[[#This Row],[2025 ]]</f>
        <v>956.08903221608796</v>
      </c>
      <c r="AJ92" s="77">
        <f>$AH92*tbl_Data[[#This Row],[2026 ]]</f>
        <v>1881.44459909801</v>
      </c>
      <c r="AK92" s="77">
        <f>$AH92*tbl_Data[[#This Row],[2027 ]]</f>
        <v>2777.7830981493698</v>
      </c>
      <c r="AL92" s="77">
        <f>$AH92*tbl_Data[[#This Row],[2028 ]]</f>
        <v>3647.74254553623</v>
      </c>
      <c r="AM92" s="77">
        <f>$AH92*tbl_Data[[#This Row],[2029 ]]</f>
        <v>4493.2714782147796</v>
      </c>
      <c r="AN92" s="77">
        <f>$AH92*tbl_Data[[#This Row],[2030 ]]</f>
        <v>5313.5714063987598</v>
      </c>
      <c r="AO92" s="77">
        <f>$AH92*tbl_Data[[#This Row],[2031 ]]</f>
        <v>6113.6201283361497</v>
      </c>
      <c r="AP92" s="77">
        <f>$AH92*tbl_Data[[#This Row],[2032 ]]</f>
        <v>6898.8123677524</v>
      </c>
      <c r="AQ92" s="77">
        <f>$AH92*tbl_Data[[#This Row],[2033 ]]</f>
        <v>7673.6845296194497</v>
      </c>
      <c r="AR92" s="77">
        <f>$AH92*tbl_Data[[#This Row],[2034 ]]</f>
        <v>8441.8837859793293</v>
      </c>
      <c r="AS92" s="77">
        <f>SUM(tbl_Data[[#This Row],[Adjusted 2025]:[Adjusted 2034]])</f>
        <v>48197.902971300566</v>
      </c>
      <c r="AT92" s="80">
        <f>AVERAGEIFS('3. Incentive Adjustment'!F:F,'3. Incentive Adjustment'!A:A,tbl_Data[[#This Row],[Trimmed Sector]],'3. Incentive Adjustment'!B:B,tbl_Data[[#This Row],[Trimmed Measure Name]])</f>
        <v>465.31519597206898</v>
      </c>
      <c r="AU92" s="80">
        <f>IFERROR(VLOOKUP(tbl_Data[[#This Row],[All_Meas_Name_Append]],'IRA Tax Credits'!$A$3:$D$46,4,0),0)</f>
        <v>0</v>
      </c>
      <c r="AV92" s="81">
        <f>tbl_Data[[#This Row],[Adj. per unit Incentive ($)]]/tbl_Data[[#This Row],[kWh Savings]]*tbl_Data[[#This Row],[Sum of Annuals]]</f>
        <v>6364.9010049070021</v>
      </c>
      <c r="AW92" s="81">
        <f>IFERROR(VLOOKUP(tbl_Data[[#This Row],[Column1]],'1. Set Program Names'!$B$2:$D$15,3,0)*tbl_Data[[#This Row],[Sum of Annuals]],"")</f>
        <v>20848.561476007777</v>
      </c>
      <c r="AX92" s="81">
        <f>tbl_Data[[#This Row],[per unit IRA tax ($)]]/tbl_Data[[#This Row],[kWh Savings]]*tbl_Data[[#This Row],[Sum of Annuals]]</f>
        <v>0</v>
      </c>
      <c r="AY92" s="81">
        <f>tbl_Data[[#This Row],[Avoided Costs ($/unit)]]/tbl_Data[[#This Row],[kWh Savings]]*tbl_Data[[#This Row],[Sum of Annuals]]</f>
        <v>47063.06937778541</v>
      </c>
      <c r="AZ92" s="81">
        <f>tbl_Data[[#This Row],[Lost Revenue ($/unit)]]/tbl_Data[[#This Row],[kWh Savings]]*tbl_Data[[#This Row],[Sum of Annuals]]</f>
        <v>87511.480428244598</v>
      </c>
      <c r="BA92" s="81">
        <f>tbl_Data[[#This Row],[Incremental Cost ($/unit)]]/tbl_Data[[#This Row],[kWh Savings]]*tbl_Data[[#This Row],[Sum of Annuals]]</f>
        <v>17872.572666873795</v>
      </c>
      <c r="BB92" s="77">
        <f>ROUNDUP(tbl_Data[[#This Row],[Adjusted 2025]]/$L92,0)</f>
        <v>1</v>
      </c>
      <c r="BC92" s="77">
        <f>ROUNDUP(tbl_Data[[#This Row],[Adjusted 2026]]/$L92,0)</f>
        <v>1</v>
      </c>
      <c r="BD92" s="77">
        <f>ROUNDUP(tbl_Data[[#This Row],[Adjusted 2027]]/$L92,0)</f>
        <v>1</v>
      </c>
      <c r="BE92" s="77">
        <f>ROUNDUP(tbl_Data[[#This Row],[Adjusted 2028]]/$L92,0)</f>
        <v>2</v>
      </c>
      <c r="BF92" s="77">
        <f>ROUNDUP(tbl_Data[[#This Row],[Adjusted 2029]]/$L92,0)</f>
        <v>2</v>
      </c>
      <c r="BG92" s="77">
        <f>ROUNDUP(tbl_Data[[#This Row],[Adjusted 2030]]/$L92,0)</f>
        <v>2</v>
      </c>
      <c r="BH92" s="77">
        <f>ROUNDUP(tbl_Data[[#This Row],[Adjusted 2031]]/$L92,0)</f>
        <v>2</v>
      </c>
      <c r="BI92" s="77">
        <f>ROUNDUP(tbl_Data[[#This Row],[Adjusted 2032]]/$L92,0)</f>
        <v>2</v>
      </c>
      <c r="BJ92" s="77">
        <f>ROUNDUP(tbl_Data[[#This Row],[Adjusted 2033]]/$L92,0)</f>
        <v>3</v>
      </c>
      <c r="BK92" s="77">
        <f>ROUNDUP(tbl_Data[[#This Row],[Adjusted 2034]]/$L92,0)</f>
        <v>3</v>
      </c>
      <c r="BL92" s="80">
        <f t="shared" si="45"/>
        <v>126.25885498703749</v>
      </c>
      <c r="BM92" s="80">
        <f t="shared" si="46"/>
        <v>248.45912127352122</v>
      </c>
      <c r="BN92" s="80">
        <f t="shared" si="47"/>
        <v>366.82746225188163</v>
      </c>
      <c r="BO92" s="80">
        <f t="shared" si="48"/>
        <v>481.71224809408091</v>
      </c>
      <c r="BP92" s="80">
        <f t="shared" si="49"/>
        <v>593.37079797929437</v>
      </c>
      <c r="BQ92" s="80">
        <f t="shared" si="50"/>
        <v>701.6976652359939</v>
      </c>
      <c r="BR92" s="80">
        <f t="shared" si="51"/>
        <v>807.35020612072958</v>
      </c>
      <c r="BS92" s="80">
        <f t="shared" si="52"/>
        <v>911.04083508194253</v>
      </c>
      <c r="BT92" s="80">
        <f t="shared" si="53"/>
        <v>1013.3686190247168</v>
      </c>
      <c r="BU92" s="80">
        <f t="shared" si="54"/>
        <v>1114.8151948578038</v>
      </c>
      <c r="BV92" s="80">
        <f>IFERROR(VLOOKUP($H92,'1. Set Program Names'!$B$2:$D$15,3,0)*V92,"NA")</f>
        <v>413.56739060956744</v>
      </c>
      <c r="BW92" s="80">
        <f>IFERROR(VLOOKUP($H92,'1. Set Program Names'!$B$2:$D$15,3,0)*W92,"NA")</f>
        <v>813.84066463128977</v>
      </c>
      <c r="BX92" s="80">
        <f>IFERROR(VLOOKUP($H92,'1. Set Program Names'!$B$2:$D$15,3,0)*X92,"NA")</f>
        <v>1201.5622696959792</v>
      </c>
      <c r="BY92" s="80">
        <f>IFERROR(VLOOKUP($H92,'1. Set Program Names'!$B$2:$D$15,3,0)*Y92,"NA")</f>
        <v>1577.8733102671554</v>
      </c>
      <c r="BZ92" s="80">
        <f>IFERROR(VLOOKUP($H92,'1. Set Program Names'!$B$2:$D$15,3,0)*Z92,"NA")</f>
        <v>1943.6166485860158</v>
      </c>
      <c r="CA92" s="80">
        <f>IFERROR(VLOOKUP($H92,'1. Set Program Names'!$B$2:$D$15,3,0)*AA92,"NA")</f>
        <v>2298.4468886421423</v>
      </c>
      <c r="CB92" s="80">
        <f>IFERROR(VLOOKUP($H92,'1. Set Program Names'!$B$2:$D$15,3,0)*AB92,"NA")</f>
        <v>2644.5172347533653</v>
      </c>
      <c r="CC92" s="80">
        <f>IFERROR(VLOOKUP($H92,'1. Set Program Names'!$B$2:$D$15,3,0)*AC92,"NA")</f>
        <v>2984.1612371843735</v>
      </c>
      <c r="CD92" s="80">
        <f>IFERROR(VLOOKUP($H92,'1. Set Program Names'!$B$2:$D$15,3,0)*AD92,"NA")</f>
        <v>3319.3411704763203</v>
      </c>
      <c r="CE92" s="80">
        <f>IFERROR(VLOOKUP($H92,'1. Set Program Names'!$B$2:$D$15,3,0)*AE92,"NA")</f>
        <v>3651.6346611615695</v>
      </c>
    </row>
    <row r="93" spans="1:83" x14ac:dyDescent="0.25">
      <c r="A93" s="79" t="s">
        <v>113</v>
      </c>
      <c r="B93" s="79" t="s">
        <v>88</v>
      </c>
      <c r="C93" s="79" t="s">
        <v>89</v>
      </c>
      <c r="D93" s="79" t="s">
        <v>90</v>
      </c>
      <c r="E93" s="79" t="s">
        <v>91</v>
      </c>
      <c r="F93" s="79" t="s">
        <v>90</v>
      </c>
      <c r="G93" s="79" t="s">
        <v>92</v>
      </c>
      <c r="H93" s="79" t="s">
        <v>7</v>
      </c>
      <c r="I93" s="79" t="s">
        <v>428</v>
      </c>
      <c r="J93" s="79" t="s">
        <v>97</v>
      </c>
      <c r="K93" s="79" t="s">
        <v>102</v>
      </c>
      <c r="L93" s="79">
        <v>936.45</v>
      </c>
      <c r="M93" s="79">
        <v>0.42562333070119601</v>
      </c>
      <c r="N93" s="79">
        <v>3.9115067461125599E-2</v>
      </c>
      <c r="O93" s="79">
        <v>685.00999995999996</v>
      </c>
      <c r="P93" s="79">
        <v>458.12689399999903</v>
      </c>
      <c r="Q93" s="79">
        <v>270.04819975719403</v>
      </c>
      <c r="R93" s="79">
        <v>763.90764278946904</v>
      </c>
      <c r="S93" s="79">
        <v>1415.5155729468199</v>
      </c>
      <c r="T93" s="79">
        <v>20</v>
      </c>
      <c r="U93" s="79">
        <v>0.1</v>
      </c>
      <c r="V93" s="79">
        <f>tbl_Data_old[[#This Row],[2025 ]]*IFERROR(AVERAGEIFS('Participation Adjustment'!$C:$C,'Participation Adjustment'!$A:$A,$H93,'Participation Adjustment'!$B:$B,$I93),1)</f>
        <v>10188.348686834201</v>
      </c>
      <c r="W93" s="79">
        <f>tbl_Data_old[[#This Row],[2026 ]]*IFERROR(AVERAGEIFS('Participation Adjustment'!$C:$C,'Participation Adjustment'!$A:$A,$H93,'Participation Adjustment'!$B:$B,$I93),1)</f>
        <v>20049.372503832899</v>
      </c>
      <c r="X93" s="79">
        <f>tbl_Data_old[[#This Row],[2027 ]]*IFERROR(AVERAGEIFS('Participation Adjustment'!$C:$C,'Participation Adjustment'!$A:$A,$H93,'Participation Adjustment'!$B:$B,$I93),1)</f>
        <v>29601.6036112478</v>
      </c>
      <c r="Y93" s="79">
        <f>tbl_Data_old[[#This Row],[2028 ]]*IFERROR(AVERAGEIFS('Participation Adjustment'!$C:$C,'Participation Adjustment'!$A:$A,$H93,'Participation Adjustment'!$B:$B,$I93),1)</f>
        <v>38873.365408456797</v>
      </c>
      <c r="Z93" s="79">
        <f>tbl_Data_old[[#This Row],[2029 ]]*IFERROR(AVERAGEIFS('Participation Adjustment'!$C:$C,'Participation Adjustment'!$A:$A,$H93,'Participation Adjustment'!$B:$B,$I93),1)</f>
        <v>47885.608651578797</v>
      </c>
      <c r="AA93" s="79">
        <f>tbl_Data_old[[#This Row],[2030 ]]*IFERROR(AVERAGEIFS('Participation Adjustment'!$C:$C,'Participation Adjustment'!$A:$A,$H93,'Participation Adjustment'!$B:$B,$I93),1)</f>
        <v>56629.982521488397</v>
      </c>
      <c r="AB93" s="79">
        <f>tbl_Data_old[[#This Row],[2031 ]]*IFERROR(AVERAGEIFS('Participation Adjustment'!$C:$C,'Participation Adjustment'!$A:$A,$H93,'Participation Adjustment'!$B:$B,$I93),1)</f>
        <v>65159.693740985203</v>
      </c>
      <c r="AC93" s="79">
        <f>tbl_Data_old[[#This Row],[2032 ]]*IFERROR(AVERAGEIFS('Participation Adjustment'!$C:$C,'Participation Adjustment'!$A:$A,$H93,'Participation Adjustment'!$B:$B,$I93),1)</f>
        <v>73532.399864511797</v>
      </c>
      <c r="AD93" s="79">
        <f>tbl_Data_old[[#This Row],[2033 ]]*IFERROR(AVERAGEIFS('Participation Adjustment'!$C:$C,'Participation Adjustment'!$A:$A,$H93,'Participation Adjustment'!$B:$B,$I93),1)</f>
        <v>81796.618874384905</v>
      </c>
      <c r="AE93" s="79">
        <f>tbl_Data_old[[#This Row],[2034 ]]*IFERROR(AVERAGEIFS('Participation Adjustment'!$C:$C,'Participation Adjustment'!$A:$A,$H93,'Participation Adjustment'!$B:$B,$I93),1)</f>
        <v>89991.400658190905</v>
      </c>
      <c r="AF93" s="77" t="str">
        <f t="shared" si="44"/>
        <v>Residential</v>
      </c>
      <c r="AG93" s="77" t="str">
        <f>tbl_Data[[#This Row],[All_Meas_Name_Append]]</f>
        <v>Duct Repair_Efficiency Delivered</v>
      </c>
      <c r="AH93" s="77">
        <f>AVERAGEIFS('3. Incentive Adjustment'!G:G,'3. Incentive Adjustment'!A:A,tbl_Data[[#This Row],[Trimmed Sector]],'3. Incentive Adjustment'!B:B,tbl_Data[[#This Row],[Trimmed Measure Name]])</f>
        <v>0.72196841234229292</v>
      </c>
      <c r="AI93" s="77">
        <f>$AH93*tbl_Data[[#This Row],[2025 ]]</f>
        <v>7355.6659258233731</v>
      </c>
      <c r="AJ93" s="77">
        <f>$AH93*tbl_Data[[#This Row],[2026 ]]</f>
        <v>14475.01363505146</v>
      </c>
      <c r="AK93" s="77">
        <f>$AH93*tbl_Data[[#This Row],[2027 ]]</f>
        <v>21371.422761998459</v>
      </c>
      <c r="AL93" s="77">
        <f>$AH93*tbl_Data[[#This Row],[2028 ]]</f>
        <v>28065.341906345362</v>
      </c>
      <c r="AM93" s="77">
        <f>$AH93*tbl_Data[[#This Row],[2029 ]]</f>
        <v>34571.896852224709</v>
      </c>
      <c r="AN93" s="77">
        <f>$AH93*tbl_Data[[#This Row],[2030 ]]</f>
        <v>40885.058572010777</v>
      </c>
      <c r="AO93" s="77">
        <f>$AH93*tbl_Data[[#This Row],[2031 ]]</f>
        <v>47043.240638889125</v>
      </c>
      <c r="AP93" s="77">
        <f>$AH93*tbl_Data[[#This Row],[2032 ]]</f>
        <v>53088.06998590022</v>
      </c>
      <c r="AQ93" s="77">
        <f>$AH93*tbl_Data[[#This Row],[2033 ]]</f>
        <v>59054.5750637073</v>
      </c>
      <c r="AR93" s="77">
        <f>$AH93*tbl_Data[[#This Row],[2034 ]]</f>
        <v>64970.948657653265</v>
      </c>
      <c r="AS93" s="77">
        <f>SUM(tbl_Data[[#This Row],[Adjusted 2025]:[Adjusted 2034]])</f>
        <v>370881.23399960401</v>
      </c>
      <c r="AT93" s="80">
        <f>AVERAGEIFS('3. Incentive Adjustment'!F:F,'3. Incentive Adjustment'!A:A,tbl_Data[[#This Row],[Trimmed Sector]],'3. Incentive Adjustment'!B:B,tbl_Data[[#This Row],[Trimmed Measure Name]])</f>
        <v>342.50499997999992</v>
      </c>
      <c r="AU93" s="80">
        <f>IFERROR(VLOOKUP(tbl_Data[[#This Row],[All_Meas_Name_Append]],'IRA Tax Credits'!$A$3:$D$46,4,0),0)</f>
        <v>0</v>
      </c>
      <c r="AV93" s="81">
        <f>tbl_Data[[#This Row],[Adj. per unit Incentive ($)]]/tbl_Data[[#This Row],[kWh Savings]]*tbl_Data[[#This Row],[Sum of Annuals]]</f>
        <v>135649.18259770059</v>
      </c>
      <c r="AW93" s="81">
        <f>IFERROR(VLOOKUP(tbl_Data[[#This Row],[Column1]],'1. Set Program Names'!$B$2:$D$15,3,0)*tbl_Data[[#This Row],[Sum of Annuals]],"")</f>
        <v>160428.97575736005</v>
      </c>
      <c r="AX93" s="81">
        <f>tbl_Data[[#This Row],[per unit IRA tax ($)]]/tbl_Data[[#This Row],[kWh Savings]]*tbl_Data[[#This Row],[Sum of Annuals]]</f>
        <v>0</v>
      </c>
      <c r="AY93" s="81">
        <f>tbl_Data[[#This Row],[Avoided Costs ($/unit)]]/tbl_Data[[#This Row],[kWh Savings]]*tbl_Data[[#This Row],[Sum of Annuals]]</f>
        <v>302545.79445724486</v>
      </c>
      <c r="AZ93" s="81">
        <f>tbl_Data[[#This Row],[Lost Revenue ($/unit)]]/tbl_Data[[#This Row],[kWh Savings]]*tbl_Data[[#This Row],[Sum of Annuals]]</f>
        <v>560615.26236336492</v>
      </c>
      <c r="BA93" s="81">
        <f>tbl_Data[[#This Row],[Incremental Cost ($/unit)]]/tbl_Data[[#This Row],[kWh Savings]]*tbl_Data[[#This Row],[Sum of Annuals]]</f>
        <v>271298.36519540119</v>
      </c>
      <c r="BB93" s="77">
        <f>ROUNDUP(tbl_Data[[#This Row],[Adjusted 2025]]/$L93,0)</f>
        <v>8</v>
      </c>
      <c r="BC93" s="77">
        <f>ROUNDUP(tbl_Data[[#This Row],[Adjusted 2026]]/$L93,0)</f>
        <v>16</v>
      </c>
      <c r="BD93" s="77">
        <f>ROUNDUP(tbl_Data[[#This Row],[Adjusted 2027]]/$L93,0)</f>
        <v>23</v>
      </c>
      <c r="BE93" s="77">
        <f>ROUNDUP(tbl_Data[[#This Row],[Adjusted 2028]]/$L93,0)</f>
        <v>30</v>
      </c>
      <c r="BF93" s="77">
        <f>ROUNDUP(tbl_Data[[#This Row],[Adjusted 2029]]/$L93,0)</f>
        <v>37</v>
      </c>
      <c r="BG93" s="77">
        <f>ROUNDUP(tbl_Data[[#This Row],[Adjusted 2030]]/$L93,0)</f>
        <v>44</v>
      </c>
      <c r="BH93" s="77">
        <f>ROUNDUP(tbl_Data[[#This Row],[Adjusted 2031]]/$L93,0)</f>
        <v>51</v>
      </c>
      <c r="BI93" s="77">
        <f>ROUNDUP(tbl_Data[[#This Row],[Adjusted 2032]]/$L93,0)</f>
        <v>57</v>
      </c>
      <c r="BJ93" s="77">
        <f>ROUNDUP(tbl_Data[[#This Row],[Adjusted 2033]]/$L93,0)</f>
        <v>64</v>
      </c>
      <c r="BK93" s="77">
        <f>ROUNDUP(tbl_Data[[#This Row],[Adjusted 2034]]/$L93,0)</f>
        <v>70</v>
      </c>
      <c r="BL93" s="80">
        <f t="shared" si="45"/>
        <v>3726.3712603773615</v>
      </c>
      <c r="BM93" s="80">
        <f t="shared" si="46"/>
        <v>7333.0240045109704</v>
      </c>
      <c r="BN93" s="80">
        <f t="shared" si="47"/>
        <v>10826.73633859618</v>
      </c>
      <c r="BO93" s="80">
        <f t="shared" si="48"/>
        <v>14217.867497940118</v>
      </c>
      <c r="BP93" s="80">
        <f t="shared" si="49"/>
        <v>17514.080186076437</v>
      </c>
      <c r="BQ93" s="80">
        <f t="shared" si="50"/>
        <v>20712.32010506677</v>
      </c>
      <c r="BR93" s="80">
        <f t="shared" si="51"/>
        <v>23832.047523576206</v>
      </c>
      <c r="BS93" s="80">
        <f t="shared" si="52"/>
        <v>26894.350594397947</v>
      </c>
      <c r="BT93" s="80">
        <f t="shared" si="53"/>
        <v>29916.974687314072</v>
      </c>
      <c r="BU93" s="80">
        <f t="shared" si="54"/>
        <v>32914.202232509844</v>
      </c>
      <c r="BV93" s="80">
        <f>IFERROR(VLOOKUP($H93,'1. Set Program Names'!$B$2:$D$15,3,0)*V93,"NA")</f>
        <v>4407.0882930933094</v>
      </c>
      <c r="BW93" s="80">
        <f>IFERROR(VLOOKUP($H93,'1. Set Program Names'!$B$2:$D$15,3,0)*W93,"NA")</f>
        <v>8672.5884205053189</v>
      </c>
      <c r="BX93" s="80">
        <f>IFERROR(VLOOKUP($H93,'1. Set Program Names'!$B$2:$D$15,3,0)*X93,"NA")</f>
        <v>12804.516682914524</v>
      </c>
      <c r="BY93" s="80">
        <f>IFERROR(VLOOKUP($H93,'1. Set Program Names'!$B$2:$D$15,3,0)*Y93,"NA")</f>
        <v>16815.124694950118</v>
      </c>
      <c r="BZ93" s="80">
        <f>IFERROR(VLOOKUP($H93,'1. Set Program Names'!$B$2:$D$15,3,0)*Z93,"NA")</f>
        <v>20713.474948961069</v>
      </c>
      <c r="CA93" s="80">
        <f>IFERROR(VLOOKUP($H93,'1. Set Program Names'!$B$2:$D$15,3,0)*AA93,"NA")</f>
        <v>24495.955201360459</v>
      </c>
      <c r="CB93" s="80">
        <f>IFERROR(VLOOKUP($H93,'1. Set Program Names'!$B$2:$D$15,3,0)*AB93,"NA")</f>
        <v>28185.580636686194</v>
      </c>
      <c r="CC93" s="80">
        <f>IFERROR(VLOOKUP($H93,'1. Set Program Names'!$B$2:$D$15,3,0)*AC93,"NA")</f>
        <v>31807.291698282217</v>
      </c>
      <c r="CD93" s="80">
        <f>IFERROR(VLOOKUP($H93,'1. Set Program Names'!$B$2:$D$15,3,0)*AD93,"NA")</f>
        <v>35382.075401654663</v>
      </c>
      <c r="CE93" s="80">
        <f>IFERROR(VLOOKUP($H93,'1. Set Program Names'!$B$2:$D$15,3,0)*AE93,"NA")</f>
        <v>38926.823228212183</v>
      </c>
    </row>
    <row r="94" spans="1:83" x14ac:dyDescent="0.25">
      <c r="A94" s="79" t="s">
        <v>113</v>
      </c>
      <c r="B94" s="79" t="s">
        <v>88</v>
      </c>
      <c r="C94" s="79" t="s">
        <v>89</v>
      </c>
      <c r="D94" s="79" t="s">
        <v>90</v>
      </c>
      <c r="E94" s="79" t="s">
        <v>91</v>
      </c>
      <c r="F94" s="79" t="s">
        <v>90</v>
      </c>
      <c r="G94" s="79" t="s">
        <v>92</v>
      </c>
      <c r="H94" s="79" t="s">
        <v>7</v>
      </c>
      <c r="I94" s="79" t="s">
        <v>429</v>
      </c>
      <c r="J94" s="79" t="s">
        <v>97</v>
      </c>
      <c r="K94" s="79" t="s">
        <v>298</v>
      </c>
      <c r="L94" s="79">
        <v>57.93</v>
      </c>
      <c r="M94" s="79">
        <v>0</v>
      </c>
      <c r="N94" s="79">
        <v>1.1014721785810099E-2</v>
      </c>
      <c r="O94" s="79">
        <v>154.1011072</v>
      </c>
      <c r="P94" s="79">
        <v>140.06582681793901</v>
      </c>
      <c r="Q94" s="79">
        <v>16.705528551374101</v>
      </c>
      <c r="R94" s="79">
        <v>46.999759951794701</v>
      </c>
      <c r="S94" s="79">
        <v>87.565611768711094</v>
      </c>
      <c r="T94" s="79">
        <v>20</v>
      </c>
      <c r="U94" s="79">
        <v>0.2</v>
      </c>
      <c r="V94" s="79">
        <f>tbl_Data_old[[#This Row],[2025 ]]*IFERROR(AVERAGEIFS('Participation Adjustment'!$C:$C,'Participation Adjustment'!$A:$A,$H94,'Participation Adjustment'!$B:$B,$I94),1)</f>
        <v>304.03260943272801</v>
      </c>
      <c r="W94" s="79">
        <f>tbl_Data_old[[#This Row],[2026 ]]*IFERROR(AVERAGEIFS('Participation Adjustment'!$C:$C,'Participation Adjustment'!$A:$A,$H94,'Participation Adjustment'!$B:$B,$I94),1)</f>
        <v>586.90143297875204</v>
      </c>
      <c r="X94" s="79">
        <f>tbl_Data_old[[#This Row],[2027 ]]*IFERROR(AVERAGEIFS('Participation Adjustment'!$C:$C,'Participation Adjustment'!$A:$A,$H94,'Participation Adjustment'!$B:$B,$I94),1)</f>
        <v>849.09058141475998</v>
      </c>
      <c r="Y94" s="79">
        <f>tbl_Data_old[[#This Row],[2028 ]]*IFERROR(AVERAGEIFS('Participation Adjustment'!$C:$C,'Participation Adjustment'!$A:$A,$H94,'Participation Adjustment'!$B:$B,$I94),1)</f>
        <v>1091.5754423972601</v>
      </c>
      <c r="Z94" s="79">
        <f>tbl_Data_old[[#This Row],[2029 ]]*IFERROR(AVERAGEIFS('Participation Adjustment'!$C:$C,'Participation Adjustment'!$A:$A,$H94,'Participation Adjustment'!$B:$B,$I94),1)</f>
        <v>1315.2933184818301</v>
      </c>
      <c r="AA94" s="79">
        <f>tbl_Data_old[[#This Row],[2030 ]]*IFERROR(AVERAGEIFS('Participation Adjustment'!$C:$C,'Participation Adjustment'!$A:$A,$H94,'Participation Adjustment'!$B:$B,$I94),1)</f>
        <v>1520.6179319109499</v>
      </c>
      <c r="AB94" s="79">
        <f>tbl_Data_old[[#This Row],[2031 ]]*IFERROR(AVERAGEIFS('Participation Adjustment'!$C:$C,'Participation Adjustment'!$A:$A,$H94,'Participation Adjustment'!$B:$B,$I94),1)</f>
        <v>1709.4831617101499</v>
      </c>
      <c r="AC94" s="79">
        <f>tbl_Data_old[[#This Row],[2032 ]]*IFERROR(AVERAGEIFS('Participation Adjustment'!$C:$C,'Participation Adjustment'!$A:$A,$H94,'Participation Adjustment'!$B:$B,$I94),1)</f>
        <v>1883.8263693167301</v>
      </c>
      <c r="AD94" s="79">
        <f>tbl_Data_old[[#This Row],[2033 ]]*IFERROR(AVERAGEIFS('Participation Adjustment'!$C:$C,'Participation Adjustment'!$A:$A,$H94,'Participation Adjustment'!$B:$B,$I94),1)</f>
        <v>2045.2715643230099</v>
      </c>
      <c r="AE94" s="79">
        <f>tbl_Data_old[[#This Row],[2034 ]]*IFERROR(AVERAGEIFS('Participation Adjustment'!$C:$C,'Participation Adjustment'!$A:$A,$H94,'Participation Adjustment'!$B:$B,$I94),1)</f>
        <v>2195.1517912559102</v>
      </c>
      <c r="AF94" s="77" t="str">
        <f t="shared" si="44"/>
        <v>Residential</v>
      </c>
      <c r="AG94" s="77" t="str">
        <f>tbl_Data[[#This Row],[All_Meas_Name_Append]]</f>
        <v>Energy Star Windows Residential_Efficiency Delivered</v>
      </c>
      <c r="AH94" s="77">
        <f>AVERAGEIFS('3. Incentive Adjustment'!G:G,'3. Incentive Adjustment'!A:A,tbl_Data[[#This Row],[Trimmed Sector]],'3. Incentive Adjustment'!B:B,tbl_Data[[#This Row],[Trimmed Measure Name]])</f>
        <v>5.6690987860076834E-2</v>
      </c>
      <c r="AI94" s="77">
        <f>$AH94*tbl_Data[[#This Row],[2025 ]]</f>
        <v>17.235908970418265</v>
      </c>
      <c r="AJ94" s="77">
        <f>$AH94*tbl_Data[[#This Row],[2026 ]]</f>
        <v>33.272022012060127</v>
      </c>
      <c r="AK94" s="77">
        <f>$AH94*tbl_Data[[#This Row],[2027 ]]</f>
        <v>48.13578384308974</v>
      </c>
      <c r="AL94" s="77">
        <f>$AH94*tbl_Data[[#This Row],[2028 ]]</f>
        <v>61.88249015330107</v>
      </c>
      <c r="AM94" s="77">
        <f>$AH94*tbl_Data[[#This Row],[2029 ]]</f>
        <v>74.565277550493605</v>
      </c>
      <c r="AN94" s="77">
        <f>$AH94*tbl_Data[[#This Row],[2030 ]]</f>
        <v>86.205332717778802</v>
      </c>
      <c r="AO94" s="77">
        <f>$AH94*tbl_Data[[#This Row],[2031 ]]</f>
        <v>96.91228916751588</v>
      </c>
      <c r="AP94" s="77">
        <f>$AH94*tbl_Data[[#This Row],[2032 ]]</f>
        <v>106.79597783342736</v>
      </c>
      <c r="AQ94" s="77">
        <f>$AH94*tbl_Data[[#This Row],[2033 ]]</f>
        <v>115.9484654235961</v>
      </c>
      <c r="AR94" s="77">
        <f>$AH94*tbl_Data[[#This Row],[2034 ]]</f>
        <v>124.44532354911472</v>
      </c>
      <c r="AS94" s="77">
        <f>SUM(tbl_Data[[#This Row],[Adjusted 2025]:[Adjusted 2034]])</f>
        <v>765.39887122079563</v>
      </c>
      <c r="AT94" s="80">
        <f>AVERAGEIFS('3. Incentive Adjustment'!F:F,'3. Incentive Adjustment'!A:A,tbl_Data[[#This Row],[Trimmed Sector]],'3. Incentive Adjustment'!B:B,tbl_Data[[#This Row],[Trimmed Measure Name]])</f>
        <v>77.050553600000001</v>
      </c>
      <c r="AU94" s="80">
        <f>IFERROR(VLOOKUP(tbl_Data[[#This Row],[All_Meas_Name_Append]],'IRA Tax Credits'!$A$3:$D$46,4,0),0)</f>
        <v>0</v>
      </c>
      <c r="AV94" s="81">
        <f>tbl_Data[[#This Row],[Adj. per unit Incentive ($)]]/tbl_Data[[#This Row],[kWh Savings]]*tbl_Data[[#This Row],[Sum of Annuals]]</f>
        <v>1018.0287718345833</v>
      </c>
      <c r="AW94" s="81">
        <f>IFERROR(VLOOKUP(tbl_Data[[#This Row],[Column1]],'1. Set Program Names'!$B$2:$D$15,3,0)*tbl_Data[[#This Row],[Sum of Annuals]],"")</f>
        <v>331.08215164082117</v>
      </c>
      <c r="AX94" s="81">
        <f>tbl_Data[[#This Row],[per unit IRA tax ($)]]/tbl_Data[[#This Row],[kWh Savings]]*tbl_Data[[#This Row],[Sum of Annuals]]</f>
        <v>0</v>
      </c>
      <c r="AY94" s="81">
        <f>tbl_Data[[#This Row],[Avoided Costs ($/unit)]]/tbl_Data[[#This Row],[kWh Savings]]*tbl_Data[[#This Row],[Sum of Annuals]]</f>
        <v>620.98331114710891</v>
      </c>
      <c r="AZ94" s="81">
        <f>tbl_Data[[#This Row],[Lost Revenue ($/unit)]]/tbl_Data[[#This Row],[kWh Savings]]*tbl_Data[[#This Row],[Sum of Annuals]]</f>
        <v>1156.9587503112359</v>
      </c>
      <c r="BA94" s="81">
        <f>tbl_Data[[#This Row],[Incremental Cost ($/unit)]]/tbl_Data[[#This Row],[kWh Savings]]*tbl_Data[[#This Row],[Sum of Annuals]]</f>
        <v>2036.0575436691665</v>
      </c>
      <c r="BB94" s="77">
        <f>ROUNDUP(tbl_Data[[#This Row],[Adjusted 2025]]/$L94,0)</f>
        <v>1</v>
      </c>
      <c r="BC94" s="77">
        <f>ROUNDUP(tbl_Data[[#This Row],[Adjusted 2026]]/$L94,0)</f>
        <v>1</v>
      </c>
      <c r="BD94" s="77">
        <f>ROUNDUP(tbl_Data[[#This Row],[Adjusted 2027]]/$L94,0)</f>
        <v>1</v>
      </c>
      <c r="BE94" s="77">
        <f>ROUNDUP(tbl_Data[[#This Row],[Adjusted 2028]]/$L94,0)</f>
        <v>2</v>
      </c>
      <c r="BF94" s="77">
        <f>ROUNDUP(tbl_Data[[#This Row],[Adjusted 2029]]/$L94,0)</f>
        <v>2</v>
      </c>
      <c r="BG94" s="77">
        <f>ROUNDUP(tbl_Data[[#This Row],[Adjusted 2030]]/$L94,0)</f>
        <v>2</v>
      </c>
      <c r="BH94" s="77">
        <f>ROUNDUP(tbl_Data[[#This Row],[Adjusted 2031]]/$L94,0)</f>
        <v>2</v>
      </c>
      <c r="BI94" s="77">
        <f>ROUNDUP(tbl_Data[[#This Row],[Adjusted 2032]]/$L94,0)</f>
        <v>2</v>
      </c>
      <c r="BJ94" s="77">
        <f>ROUNDUP(tbl_Data[[#This Row],[Adjusted 2033]]/$L94,0)</f>
        <v>3</v>
      </c>
      <c r="BK94" s="77">
        <f>ROUNDUP(tbl_Data[[#This Row],[Adjusted 2034]]/$L94,0)</f>
        <v>3</v>
      </c>
      <c r="BL94" s="80">
        <f t="shared" si="45"/>
        <v>404.38254564550789</v>
      </c>
      <c r="BM94" s="80">
        <f t="shared" si="46"/>
        <v>780.61592127820018</v>
      </c>
      <c r="BN94" s="80">
        <f t="shared" si="47"/>
        <v>1129.3440247635615</v>
      </c>
      <c r="BO94" s="80">
        <f t="shared" si="48"/>
        <v>1451.8641832016881</v>
      </c>
      <c r="BP94" s="80">
        <f t="shared" si="49"/>
        <v>1749.4230681064407</v>
      </c>
      <c r="BQ94" s="80">
        <f t="shared" si="50"/>
        <v>2022.5177536306885</v>
      </c>
      <c r="BR94" s="80">
        <f t="shared" si="51"/>
        <v>2273.7204208466314</v>
      </c>
      <c r="BS94" s="80">
        <f t="shared" si="52"/>
        <v>2505.607882653756</v>
      </c>
      <c r="BT94" s="80">
        <f t="shared" si="53"/>
        <v>2720.3401742348683</v>
      </c>
      <c r="BU94" s="80">
        <f t="shared" si="54"/>
        <v>2919.6903288848525</v>
      </c>
      <c r="BV94" s="80">
        <f>IFERROR(VLOOKUP($H94,'1. Set Program Names'!$B$2:$D$15,3,0)*V94,"NA")</f>
        <v>131.51282851960667</v>
      </c>
      <c r="BW94" s="80">
        <f>IFERROR(VLOOKUP($H94,'1. Set Program Names'!$B$2:$D$15,3,0)*W94,"NA")</f>
        <v>253.87101619546655</v>
      </c>
      <c r="BX94" s="80">
        <f>IFERROR(VLOOKUP($H94,'1. Set Program Names'!$B$2:$D$15,3,0)*X94,"NA")</f>
        <v>367.28397075419758</v>
      </c>
      <c r="BY94" s="80">
        <f>IFERROR(VLOOKUP($H94,'1. Set Program Names'!$B$2:$D$15,3,0)*Y94,"NA")</f>
        <v>472.17360742999085</v>
      </c>
      <c r="BZ94" s="80">
        <f>IFERROR(VLOOKUP($H94,'1. Set Program Names'!$B$2:$D$15,3,0)*Z94,"NA")</f>
        <v>568.94536730527716</v>
      </c>
      <c r="CA94" s="80">
        <f>IFERROR(VLOOKUP($H94,'1. Set Program Names'!$B$2:$D$15,3,0)*AA94,"NA")</f>
        <v>657.76090826695543</v>
      </c>
      <c r="CB94" s="80">
        <f>IFERROR(VLOOKUP($H94,'1. Set Program Names'!$B$2:$D$15,3,0)*AB94,"NA")</f>
        <v>739.45675209845126</v>
      </c>
      <c r="CC94" s="80">
        <f>IFERROR(VLOOKUP($H94,'1. Set Program Names'!$B$2:$D$15,3,0)*AC94,"NA")</f>
        <v>814.8709269407575</v>
      </c>
      <c r="CD94" s="80">
        <f>IFERROR(VLOOKUP($H94,'1. Set Program Names'!$B$2:$D$15,3,0)*AD94,"NA")</f>
        <v>884.70591696301449</v>
      </c>
      <c r="CE94" s="80">
        <f>IFERROR(VLOOKUP($H94,'1. Set Program Names'!$B$2:$D$15,3,0)*AE94,"NA")</f>
        <v>949.53834602344944</v>
      </c>
    </row>
    <row r="95" spans="1:83" x14ac:dyDescent="0.25">
      <c r="A95" s="79" t="s">
        <v>113</v>
      </c>
      <c r="B95" s="79" t="s">
        <v>88</v>
      </c>
      <c r="C95" s="79" t="s">
        <v>89</v>
      </c>
      <c r="D95" s="79" t="s">
        <v>90</v>
      </c>
      <c r="E95" s="79" t="s">
        <v>91</v>
      </c>
      <c r="F95" s="79" t="s">
        <v>90</v>
      </c>
      <c r="G95" s="79" t="s">
        <v>92</v>
      </c>
      <c r="H95" s="79" t="s">
        <v>7</v>
      </c>
      <c r="I95" s="79" t="s">
        <v>430</v>
      </c>
      <c r="J95" s="79" t="s">
        <v>94</v>
      </c>
      <c r="K95" s="79" t="s">
        <v>108</v>
      </c>
      <c r="L95" s="79">
        <v>1663.1099999999899</v>
      </c>
      <c r="M95" s="79">
        <v>6.6647595975018806E-2</v>
      </c>
      <c r="N95" s="79">
        <v>0.309148293753995</v>
      </c>
      <c r="O95" s="79">
        <v>1389.5</v>
      </c>
      <c r="P95" s="79">
        <v>988.78817699699403</v>
      </c>
      <c r="Q95" s="79">
        <v>479.59833573408702</v>
      </c>
      <c r="R95" s="79">
        <v>791.96156853290995</v>
      </c>
      <c r="S95" s="79">
        <v>2127.4894292214699</v>
      </c>
      <c r="T95" s="79">
        <v>15</v>
      </c>
      <c r="U95" s="79">
        <v>0.1</v>
      </c>
      <c r="V95" s="79">
        <f>tbl_Data_old[[#This Row],[2025 ]]*IFERROR(AVERAGEIFS('Participation Adjustment'!$C:$C,'Participation Adjustment'!$A:$A,$H95,'Participation Adjustment'!$B:$B,$I95),1)</f>
        <v>8702.5324146909006</v>
      </c>
      <c r="W95" s="79">
        <f>tbl_Data_old[[#This Row],[2026 ]]*IFERROR(AVERAGEIFS('Participation Adjustment'!$C:$C,'Participation Adjustment'!$A:$A,$H95,'Participation Adjustment'!$B:$B,$I95),1)</f>
        <v>18380.772668854399</v>
      </c>
      <c r="X95" s="79">
        <f>tbl_Data_old[[#This Row],[2027 ]]*IFERROR(AVERAGEIFS('Participation Adjustment'!$C:$C,'Participation Adjustment'!$A:$A,$H95,'Participation Adjustment'!$B:$B,$I95),1)</f>
        <v>28958.159521975798</v>
      </c>
      <c r="Y95" s="79">
        <f>tbl_Data_old[[#This Row],[2028 ]]*IFERROR(AVERAGEIFS('Participation Adjustment'!$C:$C,'Participation Adjustment'!$A:$A,$H95,'Participation Adjustment'!$B:$B,$I95),1)</f>
        <v>40385.696792328898</v>
      </c>
      <c r="Z95" s="79">
        <f>tbl_Data_old[[#This Row],[2029 ]]*IFERROR(AVERAGEIFS('Participation Adjustment'!$C:$C,'Participation Adjustment'!$A:$A,$H95,'Participation Adjustment'!$B:$B,$I95),1)</f>
        <v>52622.6578312821</v>
      </c>
      <c r="AA95" s="79">
        <f>tbl_Data_old[[#This Row],[2030 ]]*IFERROR(AVERAGEIFS('Participation Adjustment'!$C:$C,'Participation Adjustment'!$A:$A,$H95,'Participation Adjustment'!$B:$B,$I95),1)</f>
        <v>65599.622386787698</v>
      </c>
      <c r="AB95" s="79">
        <f>tbl_Data_old[[#This Row],[2031 ]]*IFERROR(AVERAGEIFS('Participation Adjustment'!$C:$C,'Participation Adjustment'!$A:$A,$H95,'Participation Adjustment'!$B:$B,$I95),1)</f>
        <v>79349.3418215235</v>
      </c>
      <c r="AC95" s="79">
        <f>tbl_Data_old[[#This Row],[2032 ]]*IFERROR(AVERAGEIFS('Participation Adjustment'!$C:$C,'Participation Adjustment'!$A:$A,$H95,'Participation Adjustment'!$B:$B,$I95),1)</f>
        <v>93938.485133502501</v>
      </c>
      <c r="AD95" s="79">
        <f>tbl_Data_old[[#This Row],[2033 ]]*IFERROR(AVERAGEIFS('Participation Adjustment'!$C:$C,'Participation Adjustment'!$A:$A,$H95,'Participation Adjustment'!$B:$B,$I95),1)</f>
        <v>109444.768951602</v>
      </c>
      <c r="AE95" s="79">
        <f>tbl_Data_old[[#This Row],[2034 ]]*IFERROR(AVERAGEIFS('Participation Adjustment'!$C:$C,'Participation Adjustment'!$A:$A,$H95,'Participation Adjustment'!$B:$B,$I95),1)</f>
        <v>125952.091912398</v>
      </c>
      <c r="AF95" s="77" t="str">
        <f t="shared" si="44"/>
        <v>Residential</v>
      </c>
      <c r="AG95" s="77" t="str">
        <f>tbl_Data[[#This Row],[All_Meas_Name_Append]]</f>
        <v>Heat Pump Water Heater 50 Gallons- CEE Advanced Tier_Efficiency Delivered</v>
      </c>
      <c r="AH95" s="77">
        <f>AVERAGEIFS('3. Incentive Adjustment'!G:G,'3. Incentive Adjustment'!A:A,tbl_Data[[#This Row],[Trimmed Sector]],'3. Incentive Adjustment'!B:B,tbl_Data[[#This Row],[Trimmed Measure Name]])</f>
        <v>0.62719907351402515</v>
      </c>
      <c r="AI95" s="77">
        <f>$AH95*tbl_Data[[#This Row],[2025 ]]</f>
        <v>5458.2202677199048</v>
      </c>
      <c r="AJ95" s="77">
        <f>$AH95*tbl_Data[[#This Row],[2026 ]]</f>
        <v>11528.403588377394</v>
      </c>
      <c r="AK95" s="77">
        <f>$AH95*tbl_Data[[#This Row],[2027 ]]</f>
        <v>18162.530822854565</v>
      </c>
      <c r="AL95" s="77">
        <f>$AH95*tbl_Data[[#This Row],[2028 ]]</f>
        <v>25329.871611367023</v>
      </c>
      <c r="AM95" s="77">
        <f>$AH95*tbl_Data[[#This Row],[2029 ]]</f>
        <v>33004.882237625694</v>
      </c>
      <c r="AN95" s="77">
        <f>$AH95*tbl_Data[[#This Row],[2030 ]]</f>
        <v>41144.02238386315</v>
      </c>
      <c r="AO95" s="77">
        <f>$AH95*tbl_Data[[#This Row],[2031 ]]</f>
        <v>49767.833674407229</v>
      </c>
      <c r="AP95" s="77">
        <f>$AH95*tbl_Data[[#This Row],[2032 ]]</f>
        <v>58918.130843043793</v>
      </c>
      <c r="AQ95" s="77">
        <f>$AH95*tbl_Data[[#This Row],[2033 ]]</f>
        <v>68643.657687401326</v>
      </c>
      <c r="AR95" s="77">
        <f>$AH95*tbl_Data[[#This Row],[2034 ]]</f>
        <v>78997.035354609368</v>
      </c>
      <c r="AS95" s="77">
        <f>SUM(tbl_Data[[#This Row],[Adjusted 2025]:[Adjusted 2034]])</f>
        <v>390954.58847126947</v>
      </c>
      <c r="AT95" s="80">
        <f>AVERAGEIFS('3. Incentive Adjustment'!F:F,'3. Incentive Adjustment'!A:A,tbl_Data[[#This Row],[Trimmed Sector]],'3. Incentive Adjustment'!B:B,tbl_Data[[#This Row],[Trimmed Measure Name]])</f>
        <v>694.75</v>
      </c>
      <c r="AU95" s="80">
        <f>IFERROR(VLOOKUP(tbl_Data[[#This Row],[All_Meas_Name_Append]],'IRA Tax Credits'!$A$3:$D$46,4,0),0)</f>
        <v>0</v>
      </c>
      <c r="AV95" s="81">
        <f>tbl_Data[[#This Row],[Adj. per unit Incentive ($)]]/tbl_Data[[#This Row],[kWh Savings]]*tbl_Data[[#This Row],[Sum of Annuals]]</f>
        <v>163317.94068968145</v>
      </c>
      <c r="AW95" s="81">
        <f>IFERROR(VLOOKUP(tbl_Data[[#This Row],[Column1]],'1. Set Program Names'!$B$2:$D$15,3,0)*tbl_Data[[#This Row],[Sum of Annuals]],"")</f>
        <v>169111.93785596854</v>
      </c>
      <c r="AX95" s="81">
        <f>tbl_Data[[#This Row],[per unit IRA tax ($)]]/tbl_Data[[#This Row],[kWh Savings]]*tbl_Data[[#This Row],[Sum of Annuals]]</f>
        <v>0</v>
      </c>
      <c r="AY95" s="81">
        <f>tbl_Data[[#This Row],[Avoided Costs ($/unit)]]/tbl_Data[[#This Row],[kWh Savings]]*tbl_Data[[#This Row],[Sum of Annuals]]</f>
        <v>186169.89201607034</v>
      </c>
      <c r="AZ95" s="81">
        <f>tbl_Data[[#This Row],[Lost Revenue ($/unit)]]/tbl_Data[[#This Row],[kWh Savings]]*tbl_Data[[#This Row],[Sum of Annuals]]</f>
        <v>500118.30502989021</v>
      </c>
      <c r="BA95" s="81">
        <f>tbl_Data[[#This Row],[Incremental Cost ($/unit)]]/tbl_Data[[#This Row],[kWh Savings]]*tbl_Data[[#This Row],[Sum of Annuals]]</f>
        <v>326635.88137936289</v>
      </c>
      <c r="BB95" s="77">
        <f>ROUNDUP(tbl_Data[[#This Row],[Adjusted 2025]]/$L95,0)</f>
        <v>4</v>
      </c>
      <c r="BC95" s="77">
        <f>ROUNDUP(tbl_Data[[#This Row],[Adjusted 2026]]/$L95,0)</f>
        <v>7</v>
      </c>
      <c r="BD95" s="77">
        <f>ROUNDUP(tbl_Data[[#This Row],[Adjusted 2027]]/$L95,0)</f>
        <v>11</v>
      </c>
      <c r="BE95" s="77">
        <f>ROUNDUP(tbl_Data[[#This Row],[Adjusted 2028]]/$L95,0)</f>
        <v>16</v>
      </c>
      <c r="BF95" s="77">
        <f>ROUNDUP(tbl_Data[[#This Row],[Adjusted 2029]]/$L95,0)</f>
        <v>20</v>
      </c>
      <c r="BG95" s="77">
        <f>ROUNDUP(tbl_Data[[#This Row],[Adjusted 2030]]/$L95,0)</f>
        <v>25</v>
      </c>
      <c r="BH95" s="77">
        <f>ROUNDUP(tbl_Data[[#This Row],[Adjusted 2031]]/$L95,0)</f>
        <v>30</v>
      </c>
      <c r="BI95" s="77">
        <f>ROUNDUP(tbl_Data[[#This Row],[Adjusted 2032]]/$L95,0)</f>
        <v>36</v>
      </c>
      <c r="BJ95" s="77">
        <f>ROUNDUP(tbl_Data[[#This Row],[Adjusted 2033]]/$L95,0)</f>
        <v>42</v>
      </c>
      <c r="BK95" s="77">
        <f>ROUNDUP(tbl_Data[[#This Row],[Adjusted 2034]]/$L95,0)</f>
        <v>48</v>
      </c>
      <c r="BL95" s="80">
        <f t="shared" si="45"/>
        <v>3635.4085990142203</v>
      </c>
      <c r="BM95" s="80">
        <f t="shared" si="46"/>
        <v>7678.4108156926904</v>
      </c>
      <c r="BN95" s="80">
        <f t="shared" si="47"/>
        <v>12097.023845622241</v>
      </c>
      <c r="BO95" s="80">
        <f t="shared" si="48"/>
        <v>16870.779952300611</v>
      </c>
      <c r="BP95" s="80">
        <f t="shared" si="49"/>
        <v>21982.665926056281</v>
      </c>
      <c r="BQ95" s="80">
        <f t="shared" si="50"/>
        <v>27403.682049426094</v>
      </c>
      <c r="BR95" s="80">
        <f t="shared" si="51"/>
        <v>33147.509924481114</v>
      </c>
      <c r="BS95" s="80">
        <f t="shared" si="52"/>
        <v>39241.999955806445</v>
      </c>
      <c r="BT95" s="80">
        <f t="shared" si="53"/>
        <v>45719.617601437036</v>
      </c>
      <c r="BU95" s="80">
        <f t="shared" si="54"/>
        <v>52615.41080033133</v>
      </c>
      <c r="BV95" s="80">
        <f>IFERROR(VLOOKUP($H95,'1. Set Program Names'!$B$2:$D$15,3,0)*V95,"NA")</f>
        <v>3764.3812460610429</v>
      </c>
      <c r="BW95" s="80">
        <f>IFERROR(VLOOKUP($H95,'1. Set Program Names'!$B$2:$D$15,3,0)*W95,"NA")</f>
        <v>7950.8162251647846</v>
      </c>
      <c r="BX95" s="80">
        <f>IFERROR(VLOOKUP($H95,'1. Set Program Names'!$B$2:$D$15,3,0)*X95,"NA")</f>
        <v>12526.187485489711</v>
      </c>
      <c r="BY95" s="80">
        <f>IFERROR(VLOOKUP($H95,'1. Set Program Names'!$B$2:$D$15,3,0)*Y95,"NA")</f>
        <v>17469.301160833453</v>
      </c>
      <c r="BZ95" s="80">
        <f>IFERROR(VLOOKUP($H95,'1. Set Program Names'!$B$2:$D$15,3,0)*Z95,"NA")</f>
        <v>22762.540467365958</v>
      </c>
      <c r="CA95" s="80">
        <f>IFERROR(VLOOKUP($H95,'1. Set Program Names'!$B$2:$D$15,3,0)*AA95,"NA")</f>
        <v>28375.876870581091</v>
      </c>
      <c r="CB95" s="80">
        <f>IFERROR(VLOOKUP($H95,'1. Set Program Names'!$B$2:$D$15,3,0)*AB95,"NA")</f>
        <v>34323.477351947287</v>
      </c>
      <c r="CC95" s="80">
        <f>IFERROR(VLOOKUP($H95,'1. Set Program Names'!$B$2:$D$15,3,0)*AC95,"NA")</f>
        <v>40634.180359154787</v>
      </c>
      <c r="CD95" s="80">
        <f>IFERROR(VLOOKUP($H95,'1. Set Program Names'!$B$2:$D$15,3,0)*AD95,"NA")</f>
        <v>47341.603120650681</v>
      </c>
      <c r="CE95" s="80">
        <f>IFERROR(VLOOKUP($H95,'1. Set Program Names'!$B$2:$D$15,3,0)*AE95,"NA")</f>
        <v>54482.03696395288</v>
      </c>
    </row>
    <row r="96" spans="1:83" x14ac:dyDescent="0.25">
      <c r="A96" s="79" t="s">
        <v>113</v>
      </c>
      <c r="B96" s="79" t="s">
        <v>88</v>
      </c>
      <c r="C96" s="79" t="s">
        <v>89</v>
      </c>
      <c r="D96" s="79" t="s">
        <v>90</v>
      </c>
      <c r="E96" s="79" t="s">
        <v>91</v>
      </c>
      <c r="F96" s="79" t="s">
        <v>90</v>
      </c>
      <c r="G96" s="79" t="s">
        <v>92</v>
      </c>
      <c r="H96" s="79" t="s">
        <v>7</v>
      </c>
      <c r="I96" s="79" t="s">
        <v>431</v>
      </c>
      <c r="J96" s="79" t="s">
        <v>94</v>
      </c>
      <c r="K96" s="79" t="s">
        <v>95</v>
      </c>
      <c r="L96" s="79">
        <v>1590.11499999999</v>
      </c>
      <c r="M96" s="79">
        <v>6.3722388822036402E-2</v>
      </c>
      <c r="N96" s="79">
        <v>0.29557957027655002</v>
      </c>
      <c r="O96" s="79">
        <v>1389.5</v>
      </c>
      <c r="P96" s="79">
        <v>1006.47372867305</v>
      </c>
      <c r="Q96" s="79">
        <v>458.54844696129999</v>
      </c>
      <c r="R96" s="79">
        <v>757.20185047754296</v>
      </c>
      <c r="S96" s="79">
        <v>2034.1125083407001</v>
      </c>
      <c r="T96" s="79">
        <v>15</v>
      </c>
      <c r="U96" s="79">
        <v>0.1</v>
      </c>
      <c r="V96" s="79">
        <f>tbl_Data_old[[#This Row],[2025 ]]*IFERROR(AVERAGEIFS('Participation Adjustment'!$C:$C,'Participation Adjustment'!$A:$A,$H96,'Participation Adjustment'!$B:$B,$I96),1)</f>
        <v>12436.552667244599</v>
      </c>
      <c r="W96" s="79">
        <f>tbl_Data_old[[#This Row],[2026 ]]*IFERROR(AVERAGEIFS('Participation Adjustment'!$C:$C,'Participation Adjustment'!$A:$A,$H96,'Participation Adjustment'!$B:$B,$I96),1)</f>
        <v>26261.792108591799</v>
      </c>
      <c r="X96" s="79">
        <f>tbl_Data_old[[#This Row],[2027 ]]*IFERROR(AVERAGEIFS('Participation Adjustment'!$C:$C,'Participation Adjustment'!$A:$A,$H96,'Participation Adjustment'!$B:$B,$I96),1)</f>
        <v>41365.8835145103</v>
      </c>
      <c r="Y96" s="79">
        <f>tbl_Data_old[[#This Row],[2028 ]]*IFERROR(AVERAGEIFS('Participation Adjustment'!$C:$C,'Participation Adjustment'!$A:$A,$H96,'Participation Adjustment'!$B:$B,$I96),1)</f>
        <v>57678.573101768299</v>
      </c>
      <c r="Z96" s="79">
        <f>tbl_Data_old[[#This Row],[2029 ]]*IFERROR(AVERAGEIFS('Participation Adjustment'!$C:$C,'Participation Adjustment'!$A:$A,$H96,'Participation Adjustment'!$B:$B,$I96),1)</f>
        <v>75141.564428409896</v>
      </c>
      <c r="AA96" s="79">
        <f>tbl_Data_old[[#This Row],[2030 ]]*IFERROR(AVERAGEIFS('Participation Adjustment'!$C:$C,'Participation Adjustment'!$A:$A,$H96,'Participation Adjustment'!$B:$B,$I96),1)</f>
        <v>93655.741789255204</v>
      </c>
      <c r="AB96" s="79">
        <f>tbl_Data_old[[#This Row],[2031 ]]*IFERROR(AVERAGEIFS('Participation Adjustment'!$C:$C,'Participation Adjustment'!$A:$A,$H96,'Participation Adjustment'!$B:$B,$I96),1)</f>
        <v>113267.84619059</v>
      </c>
      <c r="AC96" s="79">
        <f>tbl_Data_old[[#This Row],[2032 ]]*IFERROR(AVERAGEIFS('Participation Adjustment'!$C:$C,'Participation Adjustment'!$A:$A,$H96,'Participation Adjustment'!$B:$B,$I96),1)</f>
        <v>134072.99350561699</v>
      </c>
      <c r="AD96" s="79">
        <f>tbl_Data_old[[#This Row],[2033 ]]*IFERROR(AVERAGEIFS('Participation Adjustment'!$C:$C,'Participation Adjustment'!$A:$A,$H96,'Participation Adjustment'!$B:$B,$I96),1)</f>
        <v>156182.02920582201</v>
      </c>
      <c r="AE96" s="79">
        <f>tbl_Data_old[[#This Row],[2034 ]]*IFERROR(AVERAGEIFS('Participation Adjustment'!$C:$C,'Participation Adjustment'!$A:$A,$H96,'Participation Adjustment'!$B:$B,$I96),1)</f>
        <v>179714.58650067501</v>
      </c>
      <c r="AF96" s="77" t="str">
        <f t="shared" si="44"/>
        <v>Residential</v>
      </c>
      <c r="AG96" s="77" t="str">
        <f>tbl_Data[[#This Row],[All_Meas_Name_Append]]</f>
        <v>Heat Pump Water Heater 50 Gallons-ENERGY STAR_Efficiency Delivered</v>
      </c>
      <c r="AH96" s="77">
        <f>AVERAGEIFS('3. Incentive Adjustment'!G:G,'3. Incentive Adjustment'!A:A,tbl_Data[[#This Row],[Trimmed Sector]],'3. Incentive Adjustment'!B:B,tbl_Data[[#This Row],[Trimmed Measure Name]])</f>
        <v>0.59615658026245322</v>
      </c>
      <c r="AI96" s="77">
        <f>$AH96*tbl_Data[[#This Row],[2025 ]]</f>
        <v>7414.132708358432</v>
      </c>
      <c r="AJ96" s="77">
        <f>$AH96*tbl_Data[[#This Row],[2026 ]]</f>
        <v>15656.140175021566</v>
      </c>
      <c r="AK96" s="77">
        <f>$AH96*tbl_Data[[#This Row],[2027 ]]</f>
        <v>24660.543655545451</v>
      </c>
      <c r="AL96" s="77">
        <f>$AH96*tbl_Data[[#This Row],[2028 ]]</f>
        <v>34385.460894768112</v>
      </c>
      <c r="AM96" s="77">
        <f>$AH96*tbl_Data[[#This Row],[2029 ]]</f>
        <v>44796.138085211642</v>
      </c>
      <c r="AN96" s="77">
        <f>$AH96*tbl_Data[[#This Row],[2030 ]]</f>
        <v>55833.486747025716</v>
      </c>
      <c r="AO96" s="77">
        <f>$AH96*tbl_Data[[#This Row],[2031 ]]</f>
        <v>67525.371838675681</v>
      </c>
      <c r="AP96" s="77">
        <f>$AH96*tbl_Data[[#This Row],[2032 ]]</f>
        <v>79928.497313858723</v>
      </c>
      <c r="AQ96" s="77">
        <f>$AH96*tbl_Data[[#This Row],[2033 ]]</f>
        <v>93108.944429793439</v>
      </c>
      <c r="AR96" s="77">
        <f>$AH96*tbl_Data[[#This Row],[2034 ]]</f>
        <v>107138.03331152325</v>
      </c>
      <c r="AS96" s="77">
        <f>SUM(tbl_Data[[#This Row],[Adjusted 2025]:[Adjusted 2034]])</f>
        <v>530446.74915978196</v>
      </c>
      <c r="AT96" s="80">
        <f>AVERAGEIFS('3. Incentive Adjustment'!F:F,'3. Incentive Adjustment'!A:A,tbl_Data[[#This Row],[Trimmed Sector]],'3. Incentive Adjustment'!B:B,tbl_Data[[#This Row],[Trimmed Measure Name]])</f>
        <v>694.75</v>
      </c>
      <c r="AU96" s="80">
        <f>IFERROR(VLOOKUP(tbl_Data[[#This Row],[All_Meas_Name_Append]],'IRA Tax Credits'!$A$3:$D$46,4,0),0)</f>
        <v>0</v>
      </c>
      <c r="AV96" s="81">
        <f>tbl_Data[[#This Row],[Adj. per unit Incentive ($)]]/tbl_Data[[#This Row],[kWh Savings]]*tbl_Data[[#This Row],[Sum of Annuals]]</f>
        <v>231761.77759392298</v>
      </c>
      <c r="AW96" s="81">
        <f>IFERROR(VLOOKUP(tbl_Data[[#This Row],[Column1]],'1. Set Program Names'!$B$2:$D$15,3,0)*tbl_Data[[#This Row],[Sum of Annuals]],"")</f>
        <v>229450.8884793453</v>
      </c>
      <c r="AX96" s="81">
        <f>tbl_Data[[#This Row],[per unit IRA tax ($)]]/tbl_Data[[#This Row],[kWh Savings]]*tbl_Data[[#This Row],[Sum of Annuals]]</f>
        <v>0</v>
      </c>
      <c r="AY96" s="81">
        <f>tbl_Data[[#This Row],[Avoided Costs ($/unit)]]/tbl_Data[[#This Row],[kWh Savings]]*tbl_Data[[#This Row],[Sum of Annuals]]</f>
        <v>252595.10163955844</v>
      </c>
      <c r="AZ96" s="81">
        <f>tbl_Data[[#This Row],[Lost Revenue ($/unit)]]/tbl_Data[[#This Row],[kWh Savings]]*tbl_Data[[#This Row],[Sum of Annuals]]</f>
        <v>678559.95791158569</v>
      </c>
      <c r="BA96" s="81">
        <f>tbl_Data[[#This Row],[Incremental Cost ($/unit)]]/tbl_Data[[#This Row],[kWh Savings]]*tbl_Data[[#This Row],[Sum of Annuals]]</f>
        <v>463523.55518784595</v>
      </c>
      <c r="BB96" s="77">
        <f>ROUNDUP(tbl_Data[[#This Row],[Adjusted 2025]]/$L96,0)</f>
        <v>5</v>
      </c>
      <c r="BC96" s="77">
        <f>ROUNDUP(tbl_Data[[#This Row],[Adjusted 2026]]/$L96,0)</f>
        <v>10</v>
      </c>
      <c r="BD96" s="77">
        <f>ROUNDUP(tbl_Data[[#This Row],[Adjusted 2027]]/$L96,0)</f>
        <v>16</v>
      </c>
      <c r="BE96" s="77">
        <f>ROUNDUP(tbl_Data[[#This Row],[Adjusted 2028]]/$L96,0)</f>
        <v>22</v>
      </c>
      <c r="BF96" s="77">
        <f>ROUNDUP(tbl_Data[[#This Row],[Adjusted 2029]]/$L96,0)</f>
        <v>29</v>
      </c>
      <c r="BG96" s="77">
        <f>ROUNDUP(tbl_Data[[#This Row],[Adjusted 2030]]/$L96,0)</f>
        <v>36</v>
      </c>
      <c r="BH96" s="77">
        <f>ROUNDUP(tbl_Data[[#This Row],[Adjusted 2031]]/$L96,0)</f>
        <v>43</v>
      </c>
      <c r="BI96" s="77">
        <f>ROUNDUP(tbl_Data[[#This Row],[Adjusted 2032]]/$L96,0)</f>
        <v>51</v>
      </c>
      <c r="BJ96" s="77">
        <f>ROUNDUP(tbl_Data[[#This Row],[Adjusted 2033]]/$L96,0)</f>
        <v>59</v>
      </c>
      <c r="BK96" s="77">
        <f>ROUNDUP(tbl_Data[[#This Row],[Adjusted 2034]]/$L96,0)</f>
        <v>68</v>
      </c>
      <c r="BL96" s="80">
        <f t="shared" si="45"/>
        <v>5433.754769666496</v>
      </c>
      <c r="BM96" s="80">
        <f t="shared" si="46"/>
        <v>11474.251904701401</v>
      </c>
      <c r="BN96" s="80">
        <f t="shared" si="47"/>
        <v>18073.502590508368</v>
      </c>
      <c r="BO96" s="80">
        <f t="shared" si="48"/>
        <v>25200.811678685994</v>
      </c>
      <c r="BP96" s="80">
        <f t="shared" si="49"/>
        <v>32830.70839947935</v>
      </c>
      <c r="BQ96" s="80">
        <f t="shared" si="50"/>
        <v>40919.887308833298</v>
      </c>
      <c r="BR96" s="80">
        <f t="shared" si="51"/>
        <v>49488.770397683751</v>
      </c>
      <c r="BS96" s="80">
        <f t="shared" si="52"/>
        <v>58578.915511159881</v>
      </c>
      <c r="BT96" s="80">
        <f t="shared" si="53"/>
        <v>68238.753040343319</v>
      </c>
      <c r="BU96" s="80">
        <f t="shared" si="54"/>
        <v>78520.552897963193</v>
      </c>
      <c r="BV96" s="80">
        <f>IFERROR(VLOOKUP($H96,'1. Set Program Names'!$B$2:$D$15,3,0)*V96,"NA")</f>
        <v>5379.5749783356405</v>
      </c>
      <c r="BW96" s="80">
        <f>IFERROR(VLOOKUP($H96,'1. Set Program Names'!$B$2:$D$15,3,0)*W96,"NA")</f>
        <v>11359.842513732041</v>
      </c>
      <c r="BX96" s="80">
        <f>IFERROR(VLOOKUP($H96,'1. Set Program Names'!$B$2:$D$15,3,0)*X96,"NA")</f>
        <v>17893.292286495784</v>
      </c>
      <c r="BY96" s="80">
        <f>IFERROR(VLOOKUP($H96,'1. Set Program Names'!$B$2:$D$15,3,0)*Y96,"NA")</f>
        <v>24949.535208547612</v>
      </c>
      <c r="BZ96" s="80">
        <f>IFERROR(VLOOKUP($H96,'1. Set Program Names'!$B$2:$D$15,3,0)*Z96,"NA")</f>
        <v>32503.354478345893</v>
      </c>
      <c r="CA96" s="80">
        <f>IFERROR(VLOOKUP($H96,'1. Set Program Names'!$B$2:$D$15,3,0)*AA96,"NA")</f>
        <v>40511.876449003721</v>
      </c>
      <c r="CB96" s="80">
        <f>IFERROR(VLOOKUP($H96,'1. Set Program Names'!$B$2:$D$15,3,0)*AB96,"NA")</f>
        <v>48995.319484452404</v>
      </c>
      <c r="CC96" s="80">
        <f>IFERROR(VLOOKUP($H96,'1. Set Program Names'!$B$2:$D$15,3,0)*AC96,"NA")</f>
        <v>57994.827057904702</v>
      </c>
      <c r="CD96" s="80">
        <f>IFERROR(VLOOKUP($H96,'1. Set Program Names'!$B$2:$D$15,3,0)*AD96,"NA")</f>
        <v>67558.346662594617</v>
      </c>
      <c r="CE96" s="80">
        <f>IFERROR(VLOOKUP($H96,'1. Set Program Names'!$B$2:$D$15,3,0)*AE96,"NA")</f>
        <v>77737.627029658659</v>
      </c>
    </row>
    <row r="97" spans="1:83" x14ac:dyDescent="0.25">
      <c r="A97" s="79" t="s">
        <v>113</v>
      </c>
      <c r="B97" s="79" t="s">
        <v>88</v>
      </c>
      <c r="C97" s="79" t="s">
        <v>89</v>
      </c>
      <c r="D97" s="79" t="s">
        <v>90</v>
      </c>
      <c r="E97" s="79" t="s">
        <v>91</v>
      </c>
      <c r="F97" s="79" t="s">
        <v>90</v>
      </c>
      <c r="G97" s="79" t="s">
        <v>92</v>
      </c>
      <c r="H97" s="79" t="s">
        <v>7</v>
      </c>
      <c r="I97" s="79" t="s">
        <v>432</v>
      </c>
      <c r="J97" s="79" t="s">
        <v>94</v>
      </c>
      <c r="K97" s="79" t="s">
        <v>108</v>
      </c>
      <c r="L97" s="79">
        <v>461.909999999999</v>
      </c>
      <c r="M97" s="79">
        <v>1.8510616289253799E-2</v>
      </c>
      <c r="N97" s="79">
        <v>8.5862443475120898E-2</v>
      </c>
      <c r="O97" s="79">
        <v>1729.5</v>
      </c>
      <c r="P97" s="79">
        <v>1631.9996867488601</v>
      </c>
      <c r="Q97" s="79">
        <v>133.20301559063</v>
      </c>
      <c r="R97" s="79">
        <v>219.958372038552</v>
      </c>
      <c r="S97" s="79">
        <v>590.88613636602201</v>
      </c>
      <c r="T97" s="79">
        <v>15</v>
      </c>
      <c r="U97" s="79">
        <v>0.1</v>
      </c>
      <c r="V97" s="79">
        <f>tbl_Data_old[[#This Row],[2025 ]]*IFERROR(AVERAGEIFS('Participation Adjustment'!$C:$C,'Participation Adjustment'!$A:$A,$H97,'Participation Adjustment'!$B:$B,$I97),1)</f>
        <v>6689.9151910437904</v>
      </c>
      <c r="W97" s="79">
        <f>tbl_Data_old[[#This Row],[2026 ]]*IFERROR(AVERAGEIFS('Participation Adjustment'!$C:$C,'Participation Adjustment'!$A:$A,$H97,'Participation Adjustment'!$B:$B,$I97),1)</f>
        <v>14131.204731449199</v>
      </c>
      <c r="X97" s="79">
        <f>tbl_Data_old[[#This Row],[2027 ]]*IFERROR(AVERAGEIFS('Participation Adjustment'!$C:$C,'Participation Adjustment'!$A:$A,$H97,'Participation Adjustment'!$B:$B,$I97),1)</f>
        <v>22265.101335099102</v>
      </c>
      <c r="Y97" s="79">
        <f>tbl_Data_old[[#This Row],[2028 ]]*IFERROR(AVERAGEIFS('Participation Adjustment'!$C:$C,'Participation Adjustment'!$A:$A,$H97,'Participation Adjustment'!$B:$B,$I97),1)</f>
        <v>31053.982692724901</v>
      </c>
      <c r="Z97" s="79">
        <f>tbl_Data_old[[#This Row],[2029 ]]*IFERROR(AVERAGEIFS('Participation Adjustment'!$C:$C,'Participation Adjustment'!$A:$A,$H97,'Participation Adjustment'!$B:$B,$I97),1)</f>
        <v>40466.550416661499</v>
      </c>
      <c r="AA97" s="79">
        <f>tbl_Data_old[[#This Row],[2030 ]]*IFERROR(AVERAGEIFS('Participation Adjustment'!$C:$C,'Participation Adjustment'!$A:$A,$H97,'Participation Adjustment'!$B:$B,$I97),1)</f>
        <v>50449.405364170198</v>
      </c>
      <c r="AB97" s="79">
        <f>tbl_Data_old[[#This Row],[2031 ]]*IFERROR(AVERAGEIFS('Participation Adjustment'!$C:$C,'Participation Adjustment'!$A:$A,$H97,'Participation Adjustment'!$B:$B,$I97),1)</f>
        <v>61027.726118763698</v>
      </c>
      <c r="AC97" s="79">
        <f>tbl_Data_old[[#This Row],[2032 ]]*IFERROR(AVERAGEIFS('Participation Adjustment'!$C:$C,'Participation Adjustment'!$A:$A,$H97,'Participation Adjustment'!$B:$B,$I97),1)</f>
        <v>72252.786366162094</v>
      </c>
      <c r="AD97" s="79">
        <f>tbl_Data_old[[#This Row],[2033 ]]*IFERROR(AVERAGEIFS('Participation Adjustment'!$C:$C,'Participation Adjustment'!$A:$A,$H97,'Participation Adjustment'!$B:$B,$I97),1)</f>
        <v>84184.365257790705</v>
      </c>
      <c r="AE97" s="79">
        <f>tbl_Data_old[[#This Row],[2034 ]]*IFERROR(AVERAGEIFS('Participation Adjustment'!$C:$C,'Participation Adjustment'!$A:$A,$H97,'Participation Adjustment'!$B:$B,$I97),1)</f>
        <v>96887.004370210605</v>
      </c>
      <c r="AF97" s="77" t="str">
        <f t="shared" si="44"/>
        <v>Residential</v>
      </c>
      <c r="AG97" s="77" t="str">
        <f>tbl_Data[[#This Row],[All_Meas_Name_Append]]</f>
        <v>Heat Pump Water Heater 80 Gallons-ENERGY STAR_Efficiency Delivered</v>
      </c>
      <c r="AH97" s="77">
        <f>AVERAGEIFS('3. Incentive Adjustment'!G:G,'3. Incentive Adjustment'!A:A,tbl_Data[[#This Row],[Trimmed Sector]],'3. Incentive Adjustment'!B:B,tbl_Data[[#This Row],[Trimmed Measure Name]])</f>
        <v>1.2491787269958169E-2</v>
      </c>
      <c r="AI97" s="77">
        <f>$AH97*tbl_Data[[#This Row],[2025 ]]</f>
        <v>83.568997420580601</v>
      </c>
      <c r="AJ97" s="77">
        <f>$AH97*tbl_Data[[#This Row],[2026 ]]</f>
        <v>176.52400337348976</v>
      </c>
      <c r="AK97" s="77">
        <f>$AH97*tbl_Data[[#This Row],[2027 ]]</f>
        <v>278.1309094221196</v>
      </c>
      <c r="AL97" s="77">
        <f>$AH97*tbl_Data[[#This Row],[2028 ]]</f>
        <v>387.91974568248224</v>
      </c>
      <c r="AM97" s="77">
        <f>$AH97*tbl_Data[[#This Row],[2029 ]]</f>
        <v>505.49953935397258</v>
      </c>
      <c r="AN97" s="77">
        <f>$AH97*tbl_Data[[#This Row],[2030 ]]</f>
        <v>630.20323970510071</v>
      </c>
      <c r="AO97" s="77">
        <f>$AH97*tbl_Data[[#This Row],[2031 ]]</f>
        <v>762.34537224486598</v>
      </c>
      <c r="AP97" s="77">
        <f>$AH97*tbl_Data[[#This Row],[2032 ]]</f>
        <v>902.56643694783088</v>
      </c>
      <c r="AQ97" s="77">
        <f>$AH97*tbl_Data[[#This Row],[2033 ]]</f>
        <v>1051.6131822567788</v>
      </c>
      <c r="AR97" s="77">
        <f>$AH97*tbl_Data[[#This Row],[2034 ]]</f>
        <v>1210.2918478161785</v>
      </c>
      <c r="AS97" s="77">
        <f>SUM(tbl_Data[[#This Row],[Adjusted 2025]:[Adjusted 2034]])</f>
        <v>5988.6632742233987</v>
      </c>
      <c r="AT97" s="80">
        <f>AVERAGEIFS('3. Incentive Adjustment'!F:F,'3. Incentive Adjustment'!A:A,tbl_Data[[#This Row],[Trimmed Sector]],'3. Incentive Adjustment'!B:B,tbl_Data[[#This Row],[Trimmed Measure Name]])</f>
        <v>864.75</v>
      </c>
      <c r="AU97" s="80">
        <f>IFERROR(VLOOKUP(tbl_Data[[#This Row],[All_Meas_Name_Append]],'IRA Tax Credits'!$A$3:$D$46,4,0),0)</f>
        <v>0</v>
      </c>
      <c r="AV97" s="81">
        <f>tbl_Data[[#This Row],[Adj. per unit Incentive ($)]]/tbl_Data[[#This Row],[kWh Savings]]*tbl_Data[[#This Row],[Sum of Annuals]]</f>
        <v>11211.483982560878</v>
      </c>
      <c r="AW97" s="81">
        <f>IFERROR(VLOOKUP(tbl_Data[[#This Row],[Column1]],'1. Set Program Names'!$B$2:$D$15,3,0)*tbl_Data[[#This Row],[Sum of Annuals]],"")</f>
        <v>2590.4656994330535</v>
      </c>
      <c r="AX97" s="81">
        <f>tbl_Data[[#This Row],[per unit IRA tax ($)]]/tbl_Data[[#This Row],[kWh Savings]]*tbl_Data[[#This Row],[Sum of Annuals]]</f>
        <v>0</v>
      </c>
      <c r="AY97" s="81">
        <f>tbl_Data[[#This Row],[Avoided Costs ($/unit)]]/tbl_Data[[#This Row],[kWh Savings]]*tbl_Data[[#This Row],[Sum of Annuals]]</f>
        <v>2851.7603526341632</v>
      </c>
      <c r="AZ97" s="81">
        <f>tbl_Data[[#This Row],[Lost Revenue ($/unit)]]/tbl_Data[[#This Row],[kWh Savings]]*tbl_Data[[#This Row],[Sum of Annuals]]</f>
        <v>7660.8389168949852</v>
      </c>
      <c r="BA97" s="81">
        <f>tbl_Data[[#This Row],[Incremental Cost ($/unit)]]/tbl_Data[[#This Row],[kWh Savings]]*tbl_Data[[#This Row],[Sum of Annuals]]</f>
        <v>22422.967965121756</v>
      </c>
      <c r="BB97" s="77">
        <f>ROUNDUP(tbl_Data[[#This Row],[Adjusted 2025]]/$L97,0)</f>
        <v>1</v>
      </c>
      <c r="BC97" s="77">
        <f>ROUNDUP(tbl_Data[[#This Row],[Adjusted 2026]]/$L97,0)</f>
        <v>1</v>
      </c>
      <c r="BD97" s="77">
        <f>ROUNDUP(tbl_Data[[#This Row],[Adjusted 2027]]/$L97,0)</f>
        <v>1</v>
      </c>
      <c r="BE97" s="77">
        <f>ROUNDUP(tbl_Data[[#This Row],[Adjusted 2028]]/$L97,0)</f>
        <v>1</v>
      </c>
      <c r="BF97" s="77">
        <f>ROUNDUP(tbl_Data[[#This Row],[Adjusted 2029]]/$L97,0)</f>
        <v>2</v>
      </c>
      <c r="BG97" s="77">
        <f>ROUNDUP(tbl_Data[[#This Row],[Adjusted 2030]]/$L97,0)</f>
        <v>2</v>
      </c>
      <c r="BH97" s="77">
        <f>ROUNDUP(tbl_Data[[#This Row],[Adjusted 2031]]/$L97,0)</f>
        <v>2</v>
      </c>
      <c r="BI97" s="77">
        <f>ROUNDUP(tbl_Data[[#This Row],[Adjusted 2032]]/$L97,0)</f>
        <v>2</v>
      </c>
      <c r="BJ97" s="77">
        <f>ROUNDUP(tbl_Data[[#This Row],[Adjusted 2033]]/$L97,0)</f>
        <v>3</v>
      </c>
      <c r="BK97" s="77">
        <f>ROUNDUP(tbl_Data[[#This Row],[Adjusted 2034]]/$L97,0)</f>
        <v>3</v>
      </c>
      <c r="BL97" s="80">
        <f t="shared" si="45"/>
        <v>12524.310280044014</v>
      </c>
      <c r="BM97" s="80">
        <f t="shared" si="46"/>
        <v>26455.281962981364</v>
      </c>
      <c r="BN97" s="80">
        <f t="shared" si="47"/>
        <v>41682.895757890044</v>
      </c>
      <c r="BO97" s="80">
        <f t="shared" si="48"/>
        <v>58136.718264453935</v>
      </c>
      <c r="BP97" s="80">
        <f t="shared" si="49"/>
        <v>75758.155209473931</v>
      </c>
      <c r="BQ97" s="80">
        <f t="shared" si="50"/>
        <v>94447.237099578429</v>
      </c>
      <c r="BR97" s="80">
        <f t="shared" si="51"/>
        <v>114251.10121279258</v>
      </c>
      <c r="BS97" s="80">
        <f t="shared" si="52"/>
        <v>135265.73793626204</v>
      </c>
      <c r="BT97" s="80">
        <f t="shared" si="53"/>
        <v>157603.06089211031</v>
      </c>
      <c r="BU97" s="80">
        <f t="shared" si="54"/>
        <v>181383.89952401939</v>
      </c>
      <c r="BV97" s="80">
        <f>IFERROR(VLOOKUP($H97,'1. Set Program Names'!$B$2:$D$15,3,0)*V97,"NA")</f>
        <v>2893.8003425751785</v>
      </c>
      <c r="BW97" s="80">
        <f>IFERROR(VLOOKUP($H97,'1. Set Program Names'!$B$2:$D$15,3,0)*W97,"NA")</f>
        <v>6112.6163673365463</v>
      </c>
      <c r="BX97" s="80">
        <f>IFERROR(VLOOKUP($H97,'1. Set Program Names'!$B$2:$D$15,3,0)*X97,"NA")</f>
        <v>9631.0276036441155</v>
      </c>
      <c r="BY97" s="80">
        <f>IFERROR(VLOOKUP($H97,'1. Set Program Names'!$B$2:$D$15,3,0)*Y97,"NA")</f>
        <v>13432.760085634209</v>
      </c>
      <c r="BZ97" s="80">
        <f>IFERROR(VLOOKUP($H97,'1. Set Program Names'!$B$2:$D$15,3,0)*Z97,"NA")</f>
        <v>17504.275333018082</v>
      </c>
      <c r="CA97" s="80">
        <f>IFERROR(VLOOKUP($H97,'1. Set Program Names'!$B$2:$D$15,3,0)*AA97,"NA")</f>
        <v>21822.474927783303</v>
      </c>
      <c r="CB97" s="80">
        <f>IFERROR(VLOOKUP($H97,'1. Set Program Names'!$B$2:$D$15,3,0)*AB97,"NA")</f>
        <v>26398.250158012586</v>
      </c>
      <c r="CC97" s="80">
        <f>IFERROR(VLOOKUP($H97,'1. Set Program Names'!$B$2:$D$15,3,0)*AC97,"NA")</f>
        <v>31253.780050653924</v>
      </c>
      <c r="CD97" s="80">
        <f>IFERROR(VLOOKUP($H97,'1. Set Program Names'!$B$2:$D$15,3,0)*AD97,"NA")</f>
        <v>36414.92277041245</v>
      </c>
      <c r="CE97" s="80">
        <f>IFERROR(VLOOKUP($H97,'1. Set Program Names'!$B$2:$D$15,3,0)*AE97,"NA")</f>
        <v>41909.596524175584</v>
      </c>
    </row>
    <row r="98" spans="1:83" x14ac:dyDescent="0.25">
      <c r="A98" s="79" t="s">
        <v>113</v>
      </c>
      <c r="B98" s="79" t="s">
        <v>88</v>
      </c>
      <c r="C98" s="79" t="s">
        <v>89</v>
      </c>
      <c r="D98" s="79" t="s">
        <v>90</v>
      </c>
      <c r="E98" s="79" t="s">
        <v>91</v>
      </c>
      <c r="F98" s="79" t="s">
        <v>90</v>
      </c>
      <c r="G98" s="79" t="s">
        <v>92</v>
      </c>
      <c r="H98" s="79" t="s">
        <v>7</v>
      </c>
      <c r="I98" s="79" t="s">
        <v>433</v>
      </c>
      <c r="J98" s="79" t="s">
        <v>97</v>
      </c>
      <c r="K98" s="79" t="s">
        <v>102</v>
      </c>
      <c r="L98" s="79">
        <v>408.28</v>
      </c>
      <c r="M98" s="79">
        <v>0.16567198429270899</v>
      </c>
      <c r="N98" s="79">
        <v>2.3547919008134799E-2</v>
      </c>
      <c r="O98" s="79">
        <v>128.60999999999999</v>
      </c>
      <c r="P98" s="79">
        <v>29.691921599999901</v>
      </c>
      <c r="Q98" s="79">
        <v>117.737496926549</v>
      </c>
      <c r="R98" s="79">
        <v>238.630335182902</v>
      </c>
      <c r="S98" s="79">
        <v>423.90838942107399</v>
      </c>
      <c r="T98" s="79">
        <v>11</v>
      </c>
      <c r="U98" s="79">
        <v>9.9999999999999895E-2</v>
      </c>
      <c r="V98" s="79">
        <f>tbl_Data_old[[#This Row],[2025 ]]*IFERROR(AVERAGEIFS('Participation Adjustment'!$C:$C,'Participation Adjustment'!$A:$A,$H98,'Participation Adjustment'!$B:$B,$I98),1)</f>
        <v>1792.5542711856299</v>
      </c>
      <c r="W98" s="79">
        <f>tbl_Data_old[[#This Row],[2026 ]]*IFERROR(AVERAGEIFS('Participation Adjustment'!$C:$C,'Participation Adjustment'!$A:$A,$H98,'Participation Adjustment'!$B:$B,$I98),1)</f>
        <v>3279.2355884277499</v>
      </c>
      <c r="X98" s="79">
        <f>tbl_Data_old[[#This Row],[2027 ]]*IFERROR(AVERAGEIFS('Participation Adjustment'!$C:$C,'Participation Adjustment'!$A:$A,$H98,'Participation Adjustment'!$B:$B,$I98),1)</f>
        <v>4512.0928123014501</v>
      </c>
      <c r="Y98" s="79">
        <f>tbl_Data_old[[#This Row],[2028 ]]*IFERROR(AVERAGEIFS('Participation Adjustment'!$C:$C,'Participation Adjustment'!$A:$A,$H98,'Participation Adjustment'!$B:$B,$I98),1)</f>
        <v>5538.6962155958699</v>
      </c>
      <c r="Z98" s="79">
        <f>tbl_Data_old[[#This Row],[2029 ]]*IFERROR(AVERAGEIFS('Participation Adjustment'!$C:$C,'Participation Adjustment'!$A:$A,$H98,'Participation Adjustment'!$B:$B,$I98),1)</f>
        <v>6399.3381056768303</v>
      </c>
      <c r="AA98" s="79">
        <f>tbl_Data_old[[#This Row],[2030 ]]*IFERROR(AVERAGEIFS('Participation Adjustment'!$C:$C,'Participation Adjustment'!$A:$A,$H98,'Participation Adjustment'!$B:$B,$I98),1)</f>
        <v>7124.4673839424804</v>
      </c>
      <c r="AB98" s="79">
        <f>tbl_Data_old[[#This Row],[2031 ]]*IFERROR(AVERAGEIFS('Participation Adjustment'!$C:$C,'Participation Adjustment'!$A:$A,$H98,'Participation Adjustment'!$B:$B,$I98),1)</f>
        <v>7744.2997486417698</v>
      </c>
      <c r="AC98" s="79">
        <f>tbl_Data_old[[#This Row],[2032 ]]*IFERROR(AVERAGEIFS('Participation Adjustment'!$C:$C,'Participation Adjustment'!$A:$A,$H98,'Participation Adjustment'!$B:$B,$I98),1)</f>
        <v>8282.4526508776307</v>
      </c>
      <c r="AD98" s="79">
        <f>tbl_Data_old[[#This Row],[2033 ]]*IFERROR(AVERAGEIFS('Participation Adjustment'!$C:$C,'Participation Adjustment'!$A:$A,$H98,'Participation Adjustment'!$B:$B,$I98),1)</f>
        <v>8757.4913916040005</v>
      </c>
      <c r="AE98" s="79">
        <f>tbl_Data_old[[#This Row],[2034 ]]*IFERROR(AVERAGEIFS('Participation Adjustment'!$C:$C,'Participation Adjustment'!$A:$A,$H98,'Participation Adjustment'!$B:$B,$I98),1)</f>
        <v>9183.7336598397997</v>
      </c>
      <c r="AF98" s="77" t="str">
        <f t="shared" si="44"/>
        <v>Residential</v>
      </c>
      <c r="AG98" s="77" t="str">
        <f>tbl_Data[[#This Row],[All_Meas_Name_Append]]</f>
        <v>Smart Thermostat Residential_Efficiency Delivered</v>
      </c>
      <c r="AH98" s="77">
        <f>AVERAGEIFS('3. Incentive Adjustment'!G:G,'3. Incentive Adjustment'!A:A,tbl_Data[[#This Row],[Trimmed Sector]],'3. Incentive Adjustment'!B:B,tbl_Data[[#This Row],[Trimmed Measure Name]])</f>
        <v>1</v>
      </c>
      <c r="AI98" s="77">
        <f>$AH98*tbl_Data[[#This Row],[2025 ]]</f>
        <v>1792.5542711856299</v>
      </c>
      <c r="AJ98" s="77">
        <f>$AH98*tbl_Data[[#This Row],[2026 ]]</f>
        <v>3279.2355884277499</v>
      </c>
      <c r="AK98" s="77">
        <f>$AH98*tbl_Data[[#This Row],[2027 ]]</f>
        <v>4512.0928123014501</v>
      </c>
      <c r="AL98" s="77">
        <f>$AH98*tbl_Data[[#This Row],[2028 ]]</f>
        <v>5538.6962155958699</v>
      </c>
      <c r="AM98" s="77">
        <f>$AH98*tbl_Data[[#This Row],[2029 ]]</f>
        <v>6399.3381056768303</v>
      </c>
      <c r="AN98" s="77">
        <f>$AH98*tbl_Data[[#This Row],[2030 ]]</f>
        <v>7124.4673839424804</v>
      </c>
      <c r="AO98" s="77">
        <f>$AH98*tbl_Data[[#This Row],[2031 ]]</f>
        <v>7744.2997486417698</v>
      </c>
      <c r="AP98" s="77">
        <f>$AH98*tbl_Data[[#This Row],[2032 ]]</f>
        <v>8282.4526508776307</v>
      </c>
      <c r="AQ98" s="77">
        <f>$AH98*tbl_Data[[#This Row],[2033 ]]</f>
        <v>8757.4913916040005</v>
      </c>
      <c r="AR98" s="77">
        <f>$AH98*tbl_Data[[#This Row],[2034 ]]</f>
        <v>9183.7336598397997</v>
      </c>
      <c r="AS98" s="77">
        <f>SUM(tbl_Data[[#This Row],[Adjusted 2025]:[Adjusted 2034]])</f>
        <v>62614.361828093213</v>
      </c>
      <c r="AT98" s="80">
        <f>AVERAGEIFS('3. Incentive Adjustment'!F:F,'3. Incentive Adjustment'!A:A,tbl_Data[[#This Row],[Trimmed Sector]],'3. Incentive Adjustment'!B:B,tbl_Data[[#This Row],[Trimmed Measure Name]])</f>
        <v>29.691921599999898</v>
      </c>
      <c r="AU98" s="80">
        <f>IFERROR(VLOOKUP(tbl_Data[[#This Row],[All_Meas_Name_Append]],'IRA Tax Credits'!$A$3:$D$46,4,0),0)</f>
        <v>0</v>
      </c>
      <c r="AV98" s="81">
        <f>tbl_Data[[#This Row],[Adj. per unit Incentive ($)]]/tbl_Data[[#This Row],[kWh Savings]]*tbl_Data[[#This Row],[Sum of Annuals]]</f>
        <v>4553.5924425241747</v>
      </c>
      <c r="AW98" s="81">
        <f>IFERROR(VLOOKUP(tbl_Data[[#This Row],[Column1]],'1. Set Program Names'!$B$2:$D$15,3,0)*tbl_Data[[#This Row],[Sum of Annuals]],"")</f>
        <v>27084.567820954948</v>
      </c>
      <c r="AX98" s="81">
        <f>tbl_Data[[#This Row],[per unit IRA tax ($)]]/tbl_Data[[#This Row],[kWh Savings]]*tbl_Data[[#This Row],[Sum of Annuals]]</f>
        <v>0</v>
      </c>
      <c r="AY98" s="81">
        <f>tbl_Data[[#This Row],[Avoided Costs ($/unit)]]/tbl_Data[[#This Row],[kWh Savings]]*tbl_Data[[#This Row],[Sum of Annuals]]</f>
        <v>36596.664422213646</v>
      </c>
      <c r="AZ98" s="81">
        <f>tbl_Data[[#This Row],[Lost Revenue ($/unit)]]/tbl_Data[[#This Row],[kWh Savings]]*tbl_Data[[#This Row],[Sum of Annuals]]</f>
        <v>65011.152339510561</v>
      </c>
      <c r="BA98" s="81">
        <f>tbl_Data[[#This Row],[Incremental Cost ($/unit)]]/tbl_Data[[#This Row],[kWh Savings]]*tbl_Data[[#This Row],[Sum of Annuals]]</f>
        <v>19723.800026234614</v>
      </c>
      <c r="BB98" s="77">
        <f>ROUNDUP(tbl_Data[[#This Row],[Adjusted 2025]]/$L98,0)</f>
        <v>5</v>
      </c>
      <c r="BC98" s="77">
        <f>ROUNDUP(tbl_Data[[#This Row],[Adjusted 2026]]/$L98,0)</f>
        <v>9</v>
      </c>
      <c r="BD98" s="77">
        <f>ROUNDUP(tbl_Data[[#This Row],[Adjusted 2027]]/$L98,0)</f>
        <v>12</v>
      </c>
      <c r="BE98" s="77">
        <f>ROUNDUP(tbl_Data[[#This Row],[Adjusted 2028]]/$L98,0)</f>
        <v>14</v>
      </c>
      <c r="BF98" s="77">
        <f>ROUNDUP(tbl_Data[[#This Row],[Adjusted 2029]]/$L98,0)</f>
        <v>16</v>
      </c>
      <c r="BG98" s="77">
        <f>ROUNDUP(tbl_Data[[#This Row],[Adjusted 2030]]/$L98,0)</f>
        <v>18</v>
      </c>
      <c r="BH98" s="77">
        <f>ROUNDUP(tbl_Data[[#This Row],[Adjusted 2031]]/$L98,0)</f>
        <v>19</v>
      </c>
      <c r="BI98" s="77">
        <f>ROUNDUP(tbl_Data[[#This Row],[Adjusted 2032]]/$L98,0)</f>
        <v>21</v>
      </c>
      <c r="BJ98" s="77">
        <f>ROUNDUP(tbl_Data[[#This Row],[Adjusted 2033]]/$L98,0)</f>
        <v>22</v>
      </c>
      <c r="BK98" s="77">
        <f>ROUNDUP(tbl_Data[[#This Row],[Adjusted 2034]]/$L98,0)</f>
        <v>23</v>
      </c>
      <c r="BL98" s="80">
        <f t="shared" si="45"/>
        <v>130.36244950472391</v>
      </c>
      <c r="BM98" s="80">
        <f t="shared" si="46"/>
        <v>238.48046928462401</v>
      </c>
      <c r="BN98" s="80">
        <f t="shared" si="47"/>
        <v>328.13928195056752</v>
      </c>
      <c r="BO98" s="80">
        <f t="shared" si="48"/>
        <v>402.79840746470245</v>
      </c>
      <c r="BP98" s="80">
        <f t="shared" si="49"/>
        <v>465.3880800569421</v>
      </c>
      <c r="BQ98" s="80">
        <f t="shared" si="50"/>
        <v>518.12267807822207</v>
      </c>
      <c r="BR98" s="80">
        <f t="shared" si="51"/>
        <v>563.19962031833631</v>
      </c>
      <c r="BS98" s="80">
        <f t="shared" si="52"/>
        <v>602.33647194467017</v>
      </c>
      <c r="BT98" s="80">
        <f t="shared" si="53"/>
        <v>636.88338349216224</v>
      </c>
      <c r="BU98" s="80">
        <f t="shared" si="54"/>
        <v>667.88160042922368</v>
      </c>
      <c r="BV98" s="80">
        <f>IFERROR(VLOOKUP($H98,'1. Set Program Names'!$B$2:$D$15,3,0)*V98,"NA")</f>
        <v>775.39012317915945</v>
      </c>
      <c r="BW98" s="80">
        <f>IFERROR(VLOOKUP($H98,'1. Set Program Names'!$B$2:$D$15,3,0)*W98,"NA")</f>
        <v>1418.4713554935743</v>
      </c>
      <c r="BX98" s="80">
        <f>IFERROR(VLOOKUP($H98,'1. Set Program Names'!$B$2:$D$15,3,0)*X98,"NA")</f>
        <v>1951.7580347579428</v>
      </c>
      <c r="BY98" s="80">
        <f>IFERROR(VLOOKUP($H98,'1. Set Program Names'!$B$2:$D$15,3,0)*Y98,"NA")</f>
        <v>2395.8272337396302</v>
      </c>
      <c r="BZ98" s="80">
        <f>IFERROR(VLOOKUP($H98,'1. Set Program Names'!$B$2:$D$15,3,0)*Z98,"NA")</f>
        <v>2768.1078569207812</v>
      </c>
      <c r="CA98" s="80">
        <f>IFERROR(VLOOKUP($H98,'1. Set Program Names'!$B$2:$D$15,3,0)*AA98,"NA")</f>
        <v>3081.7709294610222</v>
      </c>
      <c r="CB98" s="80">
        <f>IFERROR(VLOOKUP($H98,'1. Set Program Names'!$B$2:$D$15,3,0)*AB98,"NA")</f>
        <v>3349.8866017952973</v>
      </c>
      <c r="CC98" s="80">
        <f>IFERROR(VLOOKUP($H98,'1. Set Program Names'!$B$2:$D$15,3,0)*AC98,"NA")</f>
        <v>3582.6708760911547</v>
      </c>
      <c r="CD98" s="80">
        <f>IFERROR(VLOOKUP($H98,'1. Set Program Names'!$B$2:$D$15,3,0)*AD98,"NA")</f>
        <v>3788.1543884218945</v>
      </c>
      <c r="CE98" s="80">
        <f>IFERROR(VLOOKUP($H98,'1. Set Program Names'!$B$2:$D$15,3,0)*AE98,"NA")</f>
        <v>3972.5304210944892</v>
      </c>
    </row>
    <row r="99" spans="1:83" x14ac:dyDescent="0.25">
      <c r="A99" s="79" t="s">
        <v>113</v>
      </c>
      <c r="B99" s="79" t="s">
        <v>88</v>
      </c>
      <c r="C99" s="79" t="s">
        <v>89</v>
      </c>
      <c r="D99" s="79" t="s">
        <v>90</v>
      </c>
      <c r="E99" s="79" t="s">
        <v>91</v>
      </c>
      <c r="F99" s="79" t="s">
        <v>90</v>
      </c>
      <c r="G99" s="79" t="s">
        <v>92</v>
      </c>
      <c r="H99" s="79"/>
      <c r="I99" s="79" t="s">
        <v>112</v>
      </c>
      <c r="J99" s="79" t="s">
        <v>94</v>
      </c>
      <c r="K99" s="79" t="s">
        <v>108</v>
      </c>
      <c r="L99" s="79">
        <v>1330.8133333333301</v>
      </c>
      <c r="M99" s="79">
        <v>5.33311142126306E-2</v>
      </c>
      <c r="N99" s="79">
        <v>0.24737910980336</v>
      </c>
      <c r="O99" s="79">
        <v>8990.02</v>
      </c>
      <c r="P99" s="79">
        <v>8776.4394094329891</v>
      </c>
      <c r="Q99" s="79">
        <v>383.77248638959497</v>
      </c>
      <c r="R99" s="79">
        <v>713.19672296706005</v>
      </c>
      <c r="S99" s="79">
        <v>2011.6258188035599</v>
      </c>
      <c r="T99" s="79">
        <v>20</v>
      </c>
      <c r="U99" s="79">
        <v>0.1</v>
      </c>
      <c r="V99" s="79">
        <f>tbl_Data_old[[#This Row],[2025 ]]*IFERROR(AVERAGEIFS('Participation Adjustment'!$C:$C,'Participation Adjustment'!$A:$A,$H99,'Participation Adjustment'!$B:$B,$I99),1)</f>
        <v>21581.137197634602</v>
      </c>
      <c r="W99" s="79">
        <f>tbl_Data_old[[#This Row],[2026 ]]*IFERROR(AVERAGEIFS('Participation Adjustment'!$C:$C,'Participation Adjustment'!$A:$A,$H99,'Participation Adjustment'!$B:$B,$I99),1)</f>
        <v>45599.512532027198</v>
      </c>
      <c r="X99" s="79">
        <f>tbl_Data_old[[#This Row],[2027 ]]*IFERROR(AVERAGEIFS('Participation Adjustment'!$C:$C,'Participation Adjustment'!$A:$A,$H99,'Participation Adjustment'!$B:$B,$I99),1)</f>
        <v>71866.719232139905</v>
      </c>
      <c r="Y99" s="79">
        <f>tbl_Data_old[[#This Row],[2028 ]]*IFERROR(AVERAGEIFS('Participation Adjustment'!$C:$C,'Participation Adjustment'!$A:$A,$H99,'Participation Adjustment'!$B:$B,$I99),1)</f>
        <v>100262.133105805</v>
      </c>
      <c r="Z99" s="79">
        <f>tbl_Data_old[[#This Row],[2029 ]]*IFERROR(AVERAGEIFS('Participation Adjustment'!$C:$C,'Participation Adjustment'!$A:$A,$H99,'Participation Adjustment'!$B:$B,$I99),1)</f>
        <v>130685.20603086799</v>
      </c>
      <c r="AA99" s="79">
        <f>tbl_Data_old[[#This Row],[2030 ]]*IFERROR(AVERAGEIFS('Participation Adjustment'!$C:$C,'Participation Adjustment'!$A:$A,$H99,'Participation Adjustment'!$B:$B,$I99),1)</f>
        <v>162963.648274704</v>
      </c>
      <c r="AB99" s="79">
        <f>tbl_Data_old[[#This Row],[2031 ]]*IFERROR(AVERAGEIFS('Participation Adjustment'!$C:$C,'Participation Adjustment'!$A:$A,$H99,'Participation Adjustment'!$B:$B,$I99),1)</f>
        <v>197179.023288069</v>
      </c>
      <c r="AC99" s="79">
        <f>tbl_Data_old[[#This Row],[2032 ]]*IFERROR(AVERAGEIFS('Participation Adjustment'!$C:$C,'Participation Adjustment'!$A:$A,$H99,'Participation Adjustment'!$B:$B,$I99),1)</f>
        <v>233497.30871443299</v>
      </c>
      <c r="AD99" s="79">
        <f>tbl_Data_old[[#This Row],[2033 ]]*IFERROR(AVERAGEIFS('Participation Adjustment'!$C:$C,'Participation Adjustment'!$A:$A,$H99,'Participation Adjustment'!$B:$B,$I99),1)</f>
        <v>272112.06533834501</v>
      </c>
      <c r="AE99" s="79">
        <f>tbl_Data_old[[#This Row],[2034 ]]*IFERROR(AVERAGEIFS('Participation Adjustment'!$C:$C,'Participation Adjustment'!$A:$A,$H99,'Participation Adjustment'!$B:$B,$I99),1)</f>
        <v>313232.33598865202</v>
      </c>
      <c r="AF99" s="77" t="str">
        <f t="shared" si="44"/>
        <v>Residential</v>
      </c>
      <c r="AG99" s="77" t="str">
        <f>tbl_Data[[#This Row],[All_Meas_Name_Append]]</f>
        <v>Solar Thermal Water Heating System</v>
      </c>
      <c r="AH99" s="77">
        <f>AVERAGEIFS('3. Incentive Adjustment'!G:G,'3. Incentive Adjustment'!A:A,tbl_Data[[#This Row],[Trimmed Sector]],'3. Incentive Adjustment'!B:B,tbl_Data[[#This Row],[Trimmed Measure Name]])</f>
        <v>2.7736651842107431E-8</v>
      </c>
      <c r="AI99" s="77">
        <f>$AH99*tbl_Data[[#This Row],[2025 ]]</f>
        <v>5.9858848880754495E-4</v>
      </c>
      <c r="AJ99" s="77">
        <f>$AH99*tbl_Data[[#This Row],[2026 ]]</f>
        <v>1.264777803270653E-3</v>
      </c>
      <c r="AK99" s="77">
        <f>$AH99*tbl_Data[[#This Row],[2027 ]]</f>
        <v>1.993342170376351E-3</v>
      </c>
      <c r="AL99" s="77">
        <f>$AH99*tbl_Data[[#This Row],[2028 ]]</f>
        <v>2.7809358789027466E-3</v>
      </c>
      <c r="AM99" s="77">
        <f>$AH99*tbl_Data[[#This Row],[2029 ]]</f>
        <v>3.6247700605922641E-3</v>
      </c>
      <c r="AN99" s="77">
        <f>$AH99*tbl_Data[[#This Row],[2030 ]]</f>
        <v>4.5200659751151165E-3</v>
      </c>
      <c r="AO99" s="77">
        <f>$AH99*tbl_Data[[#This Row],[2031 ]]</f>
        <v>5.4690859195079631E-3</v>
      </c>
      <c r="AP99" s="77">
        <f>$AH99*tbl_Data[[#This Row],[2032 ]]</f>
        <v>6.4764335578813056E-3</v>
      </c>
      <c r="AQ99" s="77">
        <f>$AH99*tbl_Data[[#This Row],[2033 ]]</f>
        <v>7.547477618326465E-3</v>
      </c>
      <c r="AR99" s="77">
        <f>$AH99*tbl_Data[[#This Row],[2034 ]]</f>
        <v>8.6880162490072591E-3</v>
      </c>
      <c r="AS99" s="77">
        <f>SUM(tbl_Data[[#This Row],[Adjusted 2025]:[Adjusted 2034]])</f>
        <v>4.296349372178767E-2</v>
      </c>
      <c r="AT99" s="80">
        <f>AVERAGEIFS('3. Incentive Adjustment'!F:F,'3. Incentive Adjustment'!A:A,tbl_Data[[#This Row],[Trimmed Sector]],'3. Incentive Adjustment'!B:B,tbl_Data[[#This Row],[Trimmed Measure Name]])</f>
        <v>0</v>
      </c>
      <c r="AU99" s="80">
        <f>IFERROR(VLOOKUP(tbl_Data[[#This Row],[All_Meas_Name_Append]],'IRA Tax Credits'!$A$3:$D$46,4,0),0)</f>
        <v>41666.666666666672</v>
      </c>
      <c r="AV99" s="81">
        <f>tbl_Data[[#This Row],[Adj. per unit Incentive ($)]]/tbl_Data[[#This Row],[kWh Savings]]*tbl_Data[[#This Row],[Sum of Annuals]]</f>
        <v>0</v>
      </c>
      <c r="AW99" s="81" t="str">
        <f>IFERROR(VLOOKUP(tbl_Data[[#This Row],[Column1]],'1. Set Program Names'!$B$2:$D$15,3,0)*tbl_Data[[#This Row],[Sum of Annuals]],"")</f>
        <v/>
      </c>
      <c r="AX99" s="81">
        <f>tbl_Data[[#This Row],[per unit IRA tax ($)]]/tbl_Data[[#This Row],[kWh Savings]]*tbl_Data[[#This Row],[Sum of Annuals]]</f>
        <v>1.3451515151695386</v>
      </c>
      <c r="AY99" s="81">
        <f>tbl_Data[[#This Row],[Avoided Costs ($/unit)]]/tbl_Data[[#This Row],[kWh Savings]]*tbl_Data[[#This Row],[Sum of Annuals]]</f>
        <v>2.3024583660314169E-2</v>
      </c>
      <c r="AZ99" s="81">
        <f>tbl_Data[[#This Row],[Lost Revenue ($/unit)]]/tbl_Data[[#This Row],[kWh Savings]]*tbl_Data[[#This Row],[Sum of Annuals]]</f>
        <v>6.4942596434826527E-2</v>
      </c>
      <c r="BA99" s="81">
        <f>tbl_Data[[#This Row],[Incremental Cost ($/unit)]]/tbl_Data[[#This Row],[kWh Savings]]*tbl_Data[[#This Row],[Sum of Annuals]]</f>
        <v>0.29023053658570686</v>
      </c>
      <c r="BB99" s="77">
        <f>ROUNDUP(tbl_Data[[#This Row],[Adjusted 2025]]/$L99,0)</f>
        <v>1</v>
      </c>
      <c r="BC99" s="77">
        <f>ROUNDUP(tbl_Data[[#This Row],[Adjusted 2026]]/$L99,0)</f>
        <v>1</v>
      </c>
      <c r="BD99" s="77">
        <f>ROUNDUP(tbl_Data[[#This Row],[Adjusted 2027]]/$L99,0)</f>
        <v>1</v>
      </c>
      <c r="BE99" s="77">
        <f>ROUNDUP(tbl_Data[[#This Row],[Adjusted 2028]]/$L99,0)</f>
        <v>1</v>
      </c>
      <c r="BF99" s="77">
        <f>ROUNDUP(tbl_Data[[#This Row],[Adjusted 2029]]/$L99,0)</f>
        <v>1</v>
      </c>
      <c r="BG99" s="77">
        <f>ROUNDUP(tbl_Data[[#This Row],[Adjusted 2030]]/$L99,0)</f>
        <v>1</v>
      </c>
      <c r="BH99" s="77">
        <f>ROUNDUP(tbl_Data[[#This Row],[Adjusted 2031]]/$L99,0)</f>
        <v>1</v>
      </c>
      <c r="BI99" s="77">
        <f>ROUNDUP(tbl_Data[[#This Row],[Adjusted 2032]]/$L99,0)</f>
        <v>1</v>
      </c>
      <c r="BJ99" s="77">
        <f>ROUNDUP(tbl_Data[[#This Row],[Adjusted 2033]]/$L99,0)</f>
        <v>1</v>
      </c>
      <c r="BK99" s="77">
        <f>ROUNDUP(tbl_Data[[#This Row],[Adjusted 2034]]/$L99,0)</f>
        <v>1</v>
      </c>
      <c r="BL99" s="80">
        <f t="shared" si="45"/>
        <v>0</v>
      </c>
      <c r="BM99" s="80">
        <f t="shared" si="46"/>
        <v>0</v>
      </c>
      <c r="BN99" s="80">
        <f t="shared" si="47"/>
        <v>0</v>
      </c>
      <c r="BO99" s="80">
        <f t="shared" si="48"/>
        <v>0</v>
      </c>
      <c r="BP99" s="80">
        <f t="shared" si="49"/>
        <v>0</v>
      </c>
      <c r="BQ99" s="80">
        <f t="shared" si="50"/>
        <v>0</v>
      </c>
      <c r="BR99" s="80">
        <f t="shared" si="51"/>
        <v>0</v>
      </c>
      <c r="BS99" s="80">
        <f t="shared" si="52"/>
        <v>0</v>
      </c>
      <c r="BT99" s="80">
        <f t="shared" si="53"/>
        <v>0</v>
      </c>
      <c r="BU99" s="80">
        <f t="shared" si="54"/>
        <v>0</v>
      </c>
      <c r="BV99" s="80" t="str">
        <f>IFERROR(VLOOKUP($H99,'1. Set Program Names'!$B$2:$D$15,3,0)*V99,"NA")</f>
        <v>NA</v>
      </c>
      <c r="BW99" s="80" t="str">
        <f>IFERROR(VLOOKUP($H99,'1. Set Program Names'!$B$2:$D$15,3,0)*W99,"NA")</f>
        <v>NA</v>
      </c>
      <c r="BX99" s="80" t="str">
        <f>IFERROR(VLOOKUP($H99,'1. Set Program Names'!$B$2:$D$15,3,0)*X99,"NA")</f>
        <v>NA</v>
      </c>
      <c r="BY99" s="80" t="str">
        <f>IFERROR(VLOOKUP($H99,'1. Set Program Names'!$B$2:$D$15,3,0)*Y99,"NA")</f>
        <v>NA</v>
      </c>
      <c r="BZ99" s="80" t="str">
        <f>IFERROR(VLOOKUP($H99,'1. Set Program Names'!$B$2:$D$15,3,0)*Z99,"NA")</f>
        <v>NA</v>
      </c>
      <c r="CA99" s="80" t="str">
        <f>IFERROR(VLOOKUP($H99,'1. Set Program Names'!$B$2:$D$15,3,0)*AA99,"NA")</f>
        <v>NA</v>
      </c>
      <c r="CB99" s="80" t="str">
        <f>IFERROR(VLOOKUP($H99,'1. Set Program Names'!$B$2:$D$15,3,0)*AB99,"NA")</f>
        <v>NA</v>
      </c>
      <c r="CC99" s="80" t="str">
        <f>IFERROR(VLOOKUP($H99,'1. Set Program Names'!$B$2:$D$15,3,0)*AC99,"NA")</f>
        <v>NA</v>
      </c>
      <c r="CD99" s="80" t="str">
        <f>IFERROR(VLOOKUP($H99,'1. Set Program Names'!$B$2:$D$15,3,0)*AD99,"NA")</f>
        <v>NA</v>
      </c>
      <c r="CE99" s="80" t="str">
        <f>IFERROR(VLOOKUP($H99,'1. Set Program Names'!$B$2:$D$15,3,0)*AE99,"NA")</f>
        <v>NA</v>
      </c>
    </row>
    <row r="100" spans="1:83" x14ac:dyDescent="0.25">
      <c r="A100" s="79" t="s">
        <v>114</v>
      </c>
      <c r="B100" s="79" t="s">
        <v>88</v>
      </c>
      <c r="C100" s="79" t="s">
        <v>89</v>
      </c>
      <c r="D100" s="79" t="s">
        <v>90</v>
      </c>
      <c r="E100" s="79" t="s">
        <v>91</v>
      </c>
      <c r="F100" s="79" t="s">
        <v>90</v>
      </c>
      <c r="G100" s="79" t="s">
        <v>92</v>
      </c>
      <c r="H100" s="79" t="s">
        <v>7</v>
      </c>
      <c r="I100" s="79" t="s">
        <v>422</v>
      </c>
      <c r="J100" s="79" t="s">
        <v>94</v>
      </c>
      <c r="K100" s="79" t="s">
        <v>95</v>
      </c>
      <c r="L100" s="79">
        <v>1200.2266666666601</v>
      </c>
      <c r="M100" s="79">
        <v>4.8097974252120097E-2</v>
      </c>
      <c r="N100" s="79">
        <v>0.22310492157346501</v>
      </c>
      <c r="O100" s="79">
        <v>1210</v>
      </c>
      <c r="P100" s="79">
        <v>933.85922631496703</v>
      </c>
      <c r="Q100" s="79">
        <v>346.114635734861</v>
      </c>
      <c r="R100" s="79">
        <v>571.53970184074296</v>
      </c>
      <c r="S100" s="79">
        <v>1535.35818196214</v>
      </c>
      <c r="T100" s="79">
        <v>15</v>
      </c>
      <c r="U100" s="79">
        <v>0.1</v>
      </c>
      <c r="V100" s="79">
        <f>tbl_Data_old[[#This Row],[2025 ]]*IFERROR(AVERAGEIFS('Participation Adjustment'!$C:$C,'Participation Adjustment'!$A:$A,$H100,'Participation Adjustment'!$B:$B,$I100),1)</f>
        <v>0.289584761487644</v>
      </c>
      <c r="W100" s="79">
        <f>tbl_Data_old[[#This Row],[2026 ]]*IFERROR(AVERAGEIFS('Participation Adjustment'!$C:$C,'Participation Adjustment'!$A:$A,$H100,'Participation Adjustment'!$B:$B,$I100),1)</f>
        <v>0.30767327815297502</v>
      </c>
      <c r="X100" s="79">
        <f>tbl_Data_old[[#This Row],[2027 ]]*IFERROR(AVERAGEIFS('Participation Adjustment'!$C:$C,'Participation Adjustment'!$A:$A,$H100,'Participation Adjustment'!$B:$B,$I100),1)</f>
        <v>0.32563189746243099</v>
      </c>
      <c r="Y100" s="79">
        <f>tbl_Data_old[[#This Row],[2028 ]]*IFERROR(AVERAGEIFS('Participation Adjustment'!$C:$C,'Participation Adjustment'!$A:$A,$H100,'Participation Adjustment'!$B:$B,$I100),1)</f>
        <v>0.344005228966274</v>
      </c>
      <c r="Z100" s="79">
        <f>tbl_Data_old[[#This Row],[2029 ]]*IFERROR(AVERAGEIFS('Participation Adjustment'!$C:$C,'Participation Adjustment'!$A:$A,$H100,'Participation Adjustment'!$B:$B,$I100),1)</f>
        <v>0.36277342818964597</v>
      </c>
      <c r="AA100" s="79">
        <f>tbl_Data_old[[#This Row],[2030 ]]*IFERROR(AVERAGEIFS('Participation Adjustment'!$C:$C,'Participation Adjustment'!$A:$A,$H100,'Participation Adjustment'!$B:$B,$I100),1)</f>
        <v>0.38087993040034201</v>
      </c>
      <c r="AB100" s="79">
        <f>tbl_Data_old[[#This Row],[2031 ]]*IFERROR(AVERAGEIFS('Participation Adjustment'!$C:$C,'Participation Adjustment'!$A:$A,$H100,'Participation Adjustment'!$B:$B,$I100),1)</f>
        <v>0.40114587417712</v>
      </c>
      <c r="AC100" s="79">
        <f>tbl_Data_old[[#This Row],[2032 ]]*IFERROR(AVERAGEIFS('Participation Adjustment'!$C:$C,'Participation Adjustment'!$A:$A,$H100,'Participation Adjustment'!$B:$B,$I100),1)</f>
        <v>0.42438098862214602</v>
      </c>
      <c r="AD100" s="79">
        <f>tbl_Data_old[[#This Row],[2033 ]]*IFERROR(AVERAGEIFS('Participation Adjustment'!$C:$C,'Participation Adjustment'!$A:$A,$H100,'Participation Adjustment'!$B:$B,$I100),1)</f>
        <v>0.45077658441006102</v>
      </c>
      <c r="AE100" s="79">
        <f>tbl_Data_old[[#This Row],[2034 ]]*IFERROR(AVERAGEIFS('Participation Adjustment'!$C:$C,'Participation Adjustment'!$A:$A,$H100,'Participation Adjustment'!$B:$B,$I100),1)</f>
        <v>0.48042599529548202</v>
      </c>
      <c r="AF100" s="77" t="str">
        <f t="shared" si="44"/>
        <v>Residential</v>
      </c>
      <c r="AG100" s="77" t="str">
        <f>tbl_Data[[#This Row],[All_Meas_Name_Append]]</f>
        <v>120v Heat Pump Water Heater 50 Gallons_Efficiency Delivered</v>
      </c>
      <c r="AH100" s="77">
        <f>AVERAGEIFS('3. Incentive Adjustment'!G:G,'3. Incentive Adjustment'!A:A,tbl_Data[[#This Row],[Trimmed Sector]],'3. Incentive Adjustment'!B:B,tbl_Data[[#This Row],[Trimmed Measure Name]])</f>
        <v>0.48531902873530169</v>
      </c>
      <c r="AI100" s="77">
        <f>$AH100*tbl_Data[[#This Row],[2025 ]]</f>
        <v>0.14054099518172739</v>
      </c>
      <c r="AJ100" s="77">
        <f>$AH100*tbl_Data[[#This Row],[2026 ]]</f>
        <v>0.14931969652100816</v>
      </c>
      <c r="AK100" s="77">
        <f>$AH100*tbl_Data[[#This Row],[2027 ]]</f>
        <v>0.15803535620170037</v>
      </c>
      <c r="AL100" s="77">
        <f>$AH100*tbl_Data[[#This Row],[2028 ]]</f>
        <v>0.16695228360177716</v>
      </c>
      <c r="AM100" s="77">
        <f>$AH100*tbl_Data[[#This Row],[2029 ]]</f>
        <v>0.17606084781997469</v>
      </c>
      <c r="AN100" s="77">
        <f>$AH100*tbl_Data[[#This Row],[2030 ]]</f>
        <v>0.1848482778866633</v>
      </c>
      <c r="AO100" s="77">
        <f>$AH100*tbl_Data[[#This Row],[2031 ]]</f>
        <v>0.19468372603681341</v>
      </c>
      <c r="AP100" s="77">
        <f>$AH100*tbl_Data[[#This Row],[2032 ]]</f>
        <v>0.20596016921182703</v>
      </c>
      <c r="AQ100" s="77">
        <f>$AH100*tbl_Data[[#This Row],[2033 ]]</f>
        <v>0.21877045412250756</v>
      </c>
      <c r="AR100" s="77">
        <f>$AH100*tbl_Data[[#This Row],[2034 ]]</f>
        <v>0.23315987741599395</v>
      </c>
      <c r="AS100" s="77">
        <f>SUM(tbl_Data[[#This Row],[Adjusted 2025]:[Adjusted 2034]])</f>
        <v>1.828331683999993</v>
      </c>
      <c r="AT100" s="80">
        <f>AVERAGEIFS('3. Incentive Adjustment'!F:F,'3. Incentive Adjustment'!A:A,tbl_Data[[#This Row],[Trimmed Sector]],'3. Incentive Adjustment'!B:B,tbl_Data[[#This Row],[Trimmed Measure Name]])</f>
        <v>605</v>
      </c>
      <c r="AU100" s="80">
        <f>IFERROR(VLOOKUP(tbl_Data[[#This Row],[All_Meas_Name_Append]],'IRA Tax Credits'!$A$3:$D$46,4,0),0)</f>
        <v>0</v>
      </c>
      <c r="AV100" s="81">
        <f>tbl_Data[[#This Row],[Adj. per unit Incentive ($)]]/tbl_Data[[#This Row],[kWh Savings]]*tbl_Data[[#This Row],[Sum of Annuals]]</f>
        <v>0.92160980883055565</v>
      </c>
      <c r="AW100" s="81">
        <f>IFERROR(VLOOKUP(tbl_Data[[#This Row],[Column1]],'1. Set Program Names'!$B$2:$D$15,3,0)*tbl_Data[[#This Row],[Sum of Annuals]],"")</f>
        <v>0.79086605770180685</v>
      </c>
      <c r="AX100" s="81">
        <f>tbl_Data[[#This Row],[per unit IRA tax ($)]]/tbl_Data[[#This Row],[kWh Savings]]*tbl_Data[[#This Row],[Sum of Annuals]]</f>
        <v>0</v>
      </c>
      <c r="AY100" s="81">
        <f>tbl_Data[[#This Row],[Avoided Costs ($/unit)]]/tbl_Data[[#This Row],[kWh Savings]]*tbl_Data[[#This Row],[Sum of Annuals]]</f>
        <v>0.87063900058267762</v>
      </c>
      <c r="AZ100" s="81">
        <f>tbl_Data[[#This Row],[Lost Revenue ($/unit)]]/tbl_Data[[#This Row],[kWh Savings]]*tbl_Data[[#This Row],[Sum of Annuals]]</f>
        <v>2.3388448934951365</v>
      </c>
      <c r="BA100" s="81">
        <f>tbl_Data[[#This Row],[Incremental Cost ($/unit)]]/tbl_Data[[#This Row],[kWh Savings]]*tbl_Data[[#This Row],[Sum of Annuals]]</f>
        <v>1.8432196176611113</v>
      </c>
      <c r="BB100" s="77">
        <f>ROUNDUP(tbl_Data[[#This Row],[Adjusted 2025]]/$L100,0)</f>
        <v>1</v>
      </c>
      <c r="BC100" s="77">
        <f>ROUNDUP(tbl_Data[[#This Row],[Adjusted 2026]]/$L100,0)</f>
        <v>1</v>
      </c>
      <c r="BD100" s="77">
        <f>ROUNDUP(tbl_Data[[#This Row],[Adjusted 2027]]/$L100,0)</f>
        <v>1</v>
      </c>
      <c r="BE100" s="77">
        <f>ROUNDUP(tbl_Data[[#This Row],[Adjusted 2028]]/$L100,0)</f>
        <v>1</v>
      </c>
      <c r="BF100" s="77">
        <f>ROUNDUP(tbl_Data[[#This Row],[Adjusted 2029]]/$L100,0)</f>
        <v>1</v>
      </c>
      <c r="BG100" s="77">
        <f>ROUNDUP(tbl_Data[[#This Row],[Adjusted 2030]]/$L100,0)</f>
        <v>1</v>
      </c>
      <c r="BH100" s="77">
        <f>ROUNDUP(tbl_Data[[#This Row],[Adjusted 2031]]/$L100,0)</f>
        <v>1</v>
      </c>
      <c r="BI100" s="77">
        <f>ROUNDUP(tbl_Data[[#This Row],[Adjusted 2032]]/$L100,0)</f>
        <v>1</v>
      </c>
      <c r="BJ100" s="77">
        <f>ROUNDUP(tbl_Data[[#This Row],[Adjusted 2033]]/$L100,0)</f>
        <v>1</v>
      </c>
      <c r="BK100" s="77">
        <f>ROUNDUP(tbl_Data[[#This Row],[Adjusted 2034]]/$L100,0)</f>
        <v>1</v>
      </c>
      <c r="BL100" s="80">
        <f t="shared" si="45"/>
        <v>0.14597141153895282</v>
      </c>
      <c r="BM100" s="80">
        <f t="shared" si="46"/>
        <v>0.15508931642013526</v>
      </c>
      <c r="BN100" s="80">
        <f t="shared" si="47"/>
        <v>0.16414174375237883</v>
      </c>
      <c r="BO100" s="80">
        <f t="shared" si="48"/>
        <v>0.17340321566309438</v>
      </c>
      <c r="BP100" s="80">
        <f t="shared" si="49"/>
        <v>0.18286372911900278</v>
      </c>
      <c r="BQ100" s="80">
        <f t="shared" si="50"/>
        <v>0.19199070000017343</v>
      </c>
      <c r="BR100" s="80">
        <f t="shared" si="51"/>
        <v>0.20220618372959462</v>
      </c>
      <c r="BS100" s="80">
        <f t="shared" si="52"/>
        <v>0.2139183416324692</v>
      </c>
      <c r="BT100" s="80">
        <f t="shared" si="53"/>
        <v>0.22722360795857036</v>
      </c>
      <c r="BU100" s="80">
        <f t="shared" si="54"/>
        <v>0.24216902958921774</v>
      </c>
      <c r="BV100" s="80">
        <f>IFERROR(VLOOKUP($H100,'1. Set Program Names'!$B$2:$D$15,3,0)*V100,"NA")</f>
        <v>0.12526324446076378</v>
      </c>
      <c r="BW100" s="80">
        <f>IFERROR(VLOOKUP($H100,'1. Set Program Names'!$B$2:$D$15,3,0)*W100,"NA")</f>
        <v>0.1330876419647693</v>
      </c>
      <c r="BX100" s="80">
        <f>IFERROR(VLOOKUP($H100,'1. Set Program Names'!$B$2:$D$15,3,0)*X100,"NA")</f>
        <v>0.14085585086216379</v>
      </c>
      <c r="BY100" s="80">
        <f>IFERROR(VLOOKUP($H100,'1. Set Program Names'!$B$2:$D$15,3,0)*Y100,"NA")</f>
        <v>0.14880344832517028</v>
      </c>
      <c r="BZ100" s="80">
        <f>IFERROR(VLOOKUP($H100,'1. Set Program Names'!$B$2:$D$15,3,0)*Z100,"NA")</f>
        <v>0.15692185039621942</v>
      </c>
      <c r="CA100" s="80">
        <f>IFERROR(VLOOKUP($H100,'1. Set Program Names'!$B$2:$D$15,3,0)*AA100,"NA")</f>
        <v>0.16475402775629971</v>
      </c>
      <c r="CB100" s="80">
        <f>IFERROR(VLOOKUP($H100,'1. Set Program Names'!$B$2:$D$15,3,0)*AB100,"NA")</f>
        <v>0.17352029659067328</v>
      </c>
      <c r="CC100" s="80">
        <f>IFERROR(VLOOKUP($H100,'1. Set Program Names'!$B$2:$D$15,3,0)*AC100,"NA")</f>
        <v>0.18357091460610123</v>
      </c>
      <c r="CD100" s="80">
        <f>IFERROR(VLOOKUP($H100,'1. Set Program Names'!$B$2:$D$15,3,0)*AD100,"NA")</f>
        <v>0.19498863545192061</v>
      </c>
      <c r="CE100" s="80">
        <f>IFERROR(VLOOKUP($H100,'1. Set Program Names'!$B$2:$D$15,3,0)*AE100,"NA")</f>
        <v>0.20781383172529769</v>
      </c>
    </row>
    <row r="101" spans="1:83" x14ac:dyDescent="0.25">
      <c r="A101" s="79" t="s">
        <v>114</v>
      </c>
      <c r="B101" s="79" t="s">
        <v>88</v>
      </c>
      <c r="C101" s="79" t="s">
        <v>89</v>
      </c>
      <c r="D101" s="79" t="s">
        <v>90</v>
      </c>
      <c r="E101" s="79" t="s">
        <v>91</v>
      </c>
      <c r="F101" s="79" t="s">
        <v>90</v>
      </c>
      <c r="G101" s="79" t="s">
        <v>92</v>
      </c>
      <c r="H101" s="79" t="s">
        <v>7</v>
      </c>
      <c r="I101" s="79" t="s">
        <v>423</v>
      </c>
      <c r="J101" s="79" t="s">
        <v>97</v>
      </c>
      <c r="K101" s="79" t="s">
        <v>102</v>
      </c>
      <c r="L101" s="79">
        <v>466.599999999999</v>
      </c>
      <c r="M101" s="79">
        <v>0.18933941062023901</v>
      </c>
      <c r="N101" s="79">
        <v>2.6910820932303899E-2</v>
      </c>
      <c r="O101" s="79">
        <v>674.44999999999902</v>
      </c>
      <c r="P101" s="79">
        <v>561.40215199999898</v>
      </c>
      <c r="Q101" s="79">
        <v>134.555491490957</v>
      </c>
      <c r="R101" s="79">
        <v>370.49545033119801</v>
      </c>
      <c r="S101" s="79">
        <v>705.301475078208</v>
      </c>
      <c r="T101" s="79">
        <v>20</v>
      </c>
      <c r="U101" s="79">
        <v>1</v>
      </c>
      <c r="V101" s="79">
        <f>tbl_Data_old[[#This Row],[2025 ]]*IFERROR(AVERAGEIFS('Participation Adjustment'!$C:$C,'Participation Adjustment'!$A:$A,$H101,'Participation Adjustment'!$B:$B,$I101),1)</f>
        <v>0.64663041775415497</v>
      </c>
      <c r="W101" s="79">
        <f>tbl_Data_old[[#This Row],[2026 ]]*IFERROR(AVERAGEIFS('Participation Adjustment'!$C:$C,'Participation Adjustment'!$A:$A,$H101,'Participation Adjustment'!$B:$B,$I101),1)</f>
        <v>0.62575609911549501</v>
      </c>
      <c r="X101" s="79">
        <f>tbl_Data_old[[#This Row],[2027 ]]*IFERROR(AVERAGEIFS('Participation Adjustment'!$C:$C,'Participation Adjustment'!$A:$A,$H101,'Participation Adjustment'!$B:$B,$I101),1)</f>
        <v>0.60603797988904795</v>
      </c>
      <c r="Y101" s="79">
        <f>tbl_Data_old[[#This Row],[2028 ]]*IFERROR(AVERAGEIFS('Participation Adjustment'!$C:$C,'Participation Adjustment'!$A:$A,$H101,'Participation Adjustment'!$B:$B,$I101),1)</f>
        <v>0.58809998665015495</v>
      </c>
      <c r="Z101" s="79">
        <f>tbl_Data_old[[#This Row],[2029 ]]*IFERROR(AVERAGEIFS('Participation Adjustment'!$C:$C,'Participation Adjustment'!$A:$A,$H101,'Participation Adjustment'!$B:$B,$I101),1)</f>
        <v>0.57147644743533099</v>
      </c>
      <c r="AA101" s="79">
        <f>tbl_Data_old[[#This Row],[2030 ]]*IFERROR(AVERAGEIFS('Participation Adjustment'!$C:$C,'Participation Adjustment'!$A:$A,$H101,'Participation Adjustment'!$B:$B,$I101),1)</f>
        <v>0.55431132987243004</v>
      </c>
      <c r="AB101" s="79">
        <f>tbl_Data_old[[#This Row],[2031 ]]*IFERROR(AVERAGEIFS('Participation Adjustment'!$C:$C,'Participation Adjustment'!$A:$A,$H101,'Participation Adjustment'!$B:$B,$I101),1)</f>
        <v>0.54050832477893396</v>
      </c>
      <c r="AC101" s="79">
        <f>tbl_Data_old[[#This Row],[2032 ]]*IFERROR(AVERAGEIFS('Participation Adjustment'!$C:$C,'Participation Adjustment'!$A:$A,$H101,'Participation Adjustment'!$B:$B,$I101),1)</f>
        <v>0.53034751234599897</v>
      </c>
      <c r="AD101" s="79">
        <f>tbl_Data_old[[#This Row],[2033 ]]*IFERROR(AVERAGEIFS('Participation Adjustment'!$C:$C,'Participation Adjustment'!$A:$A,$H101,'Participation Adjustment'!$B:$B,$I101),1)</f>
        <v>0.52324728422835698</v>
      </c>
      <c r="AE101" s="79">
        <f>tbl_Data_old[[#This Row],[2034 ]]*IFERROR(AVERAGEIFS('Participation Adjustment'!$C:$C,'Participation Adjustment'!$A:$A,$H101,'Participation Adjustment'!$B:$B,$I101),1)</f>
        <v>0.51860539986161103</v>
      </c>
      <c r="AF101" s="77" t="str">
        <f t="shared" si="44"/>
        <v>Residential</v>
      </c>
      <c r="AG101" s="77" t="str">
        <f>tbl_Data[[#This Row],[All_Meas_Name_Append]]</f>
        <v>Air Sealing-Infiltration Control_Efficiency Delivered</v>
      </c>
      <c r="AH101" s="77">
        <f>AVERAGEIFS('3. Incentive Adjustment'!G:G,'3. Incentive Adjustment'!A:A,tbl_Data[[#This Row],[Trimmed Sector]],'3. Incentive Adjustment'!B:B,tbl_Data[[#This Row],[Trimmed Measure Name]])</f>
        <v>0.28148574428673256</v>
      </c>
      <c r="AI101" s="77">
        <f>$AH101*tbl_Data[[#This Row],[2025 ]]</f>
        <v>0.18201724441996911</v>
      </c>
      <c r="AJ101" s="77">
        <f>$AH101*tbl_Data[[#This Row],[2026 ]]</f>
        <v>0.17614142130148749</v>
      </c>
      <c r="AK101" s="77">
        <f>$AH101*tbl_Data[[#This Row],[2027 ]]</f>
        <v>0.17059105183509651</v>
      </c>
      <c r="AL101" s="77">
        <f>$AH101*tbl_Data[[#This Row],[2028 ]]</f>
        <v>0.16554176245723634</v>
      </c>
      <c r="AM101" s="77">
        <f>$AH101*tbl_Data[[#This Row],[2029 ]]</f>
        <v>0.16086247314867194</v>
      </c>
      <c r="AN101" s="77">
        <f>$AH101*tbl_Data[[#This Row],[2030 ]]</f>
        <v>0.15603073725570951</v>
      </c>
      <c r="AO101" s="77">
        <f>$AH101*tbl_Data[[#This Row],[2031 ]]</f>
        <v>0.1521453880935732</v>
      </c>
      <c r="AP101" s="77">
        <f>$AH101*tbl_Data[[#This Row],[2032 ]]</f>
        <v>0.14928526424333061</v>
      </c>
      <c r="AQ101" s="77">
        <f>$AH101*tbl_Data[[#This Row],[2033 ]]</f>
        <v>0.14728665124703055</v>
      </c>
      <c r="AR101" s="77">
        <f>$AH101*tbl_Data[[#This Row],[2034 ]]</f>
        <v>0.14598002697116413</v>
      </c>
      <c r="AS101" s="77">
        <f>SUM(tbl_Data[[#This Row],[Adjusted 2025]:[Adjusted 2034]])</f>
        <v>1.6058820209732696</v>
      </c>
      <c r="AT101" s="80">
        <f>AVERAGEIFS('3. Incentive Adjustment'!F:F,'3. Incentive Adjustment'!A:A,tbl_Data[[#This Row],[Trimmed Sector]],'3. Incentive Adjustment'!B:B,tbl_Data[[#This Row],[Trimmed Measure Name]])</f>
        <v>337.22499999999951</v>
      </c>
      <c r="AU101" s="80">
        <f>IFERROR(VLOOKUP(tbl_Data[[#This Row],[All_Meas_Name_Append]],'IRA Tax Credits'!$A$3:$D$46,4,0),0)</f>
        <v>0</v>
      </c>
      <c r="AV101" s="81">
        <f>tbl_Data[[#This Row],[Adj. per unit Incentive ($)]]/tbl_Data[[#This Row],[kWh Savings]]*tbl_Data[[#This Row],[Sum of Annuals]]</f>
        <v>1.1606162977340575</v>
      </c>
      <c r="AW101" s="81">
        <f>IFERROR(VLOOKUP(tbl_Data[[#This Row],[Column1]],'1. Set Program Names'!$B$2:$D$15,3,0)*tbl_Data[[#This Row],[Sum of Annuals]],"")</f>
        <v>0.69464287808149416</v>
      </c>
      <c r="AX101" s="81">
        <f>tbl_Data[[#This Row],[per unit IRA tax ($)]]/tbl_Data[[#This Row],[kWh Savings]]*tbl_Data[[#This Row],[Sum of Annuals]]</f>
        <v>0</v>
      </c>
      <c r="AY101" s="81">
        <f>tbl_Data[[#This Row],[Avoided Costs ($/unit)]]/tbl_Data[[#This Row],[kWh Savings]]*tbl_Data[[#This Row],[Sum of Annuals]]</f>
        <v>1.2751221228874134</v>
      </c>
      <c r="AZ101" s="81">
        <f>tbl_Data[[#This Row],[Lost Revenue ($/unit)]]/tbl_Data[[#This Row],[kWh Savings]]*tbl_Data[[#This Row],[Sum of Annuals]]</f>
        <v>2.427413112288948</v>
      </c>
      <c r="BA101" s="81">
        <f>tbl_Data[[#This Row],[Incremental Cost ($/unit)]]/tbl_Data[[#This Row],[kWh Savings]]*tbl_Data[[#This Row],[Sum of Annuals]]</f>
        <v>2.321232595468115</v>
      </c>
      <c r="BB101" s="77">
        <f>ROUNDUP(tbl_Data[[#This Row],[Adjusted 2025]]/$L101,0)</f>
        <v>1</v>
      </c>
      <c r="BC101" s="77">
        <f>ROUNDUP(tbl_Data[[#This Row],[Adjusted 2026]]/$L101,0)</f>
        <v>1</v>
      </c>
      <c r="BD101" s="77">
        <f>ROUNDUP(tbl_Data[[#This Row],[Adjusted 2027]]/$L101,0)</f>
        <v>1</v>
      </c>
      <c r="BE101" s="77">
        <f>ROUNDUP(tbl_Data[[#This Row],[Adjusted 2028]]/$L101,0)</f>
        <v>1</v>
      </c>
      <c r="BF101" s="77">
        <f>ROUNDUP(tbl_Data[[#This Row],[Adjusted 2029]]/$L101,0)</f>
        <v>1</v>
      </c>
      <c r="BG101" s="77">
        <f>ROUNDUP(tbl_Data[[#This Row],[Adjusted 2030]]/$L101,0)</f>
        <v>1</v>
      </c>
      <c r="BH101" s="77">
        <f>ROUNDUP(tbl_Data[[#This Row],[Adjusted 2031]]/$L101,0)</f>
        <v>1</v>
      </c>
      <c r="BI101" s="77">
        <f>ROUNDUP(tbl_Data[[#This Row],[Adjusted 2032]]/$L101,0)</f>
        <v>1</v>
      </c>
      <c r="BJ101" s="77">
        <f>ROUNDUP(tbl_Data[[#This Row],[Adjusted 2033]]/$L101,0)</f>
        <v>1</v>
      </c>
      <c r="BK101" s="77">
        <f>ROUNDUP(tbl_Data[[#This Row],[Adjusted 2034]]/$L101,0)</f>
        <v>1</v>
      </c>
      <c r="BL101" s="80">
        <f t="shared" si="45"/>
        <v>0.46733806821076951</v>
      </c>
      <c r="BM101" s="80">
        <f t="shared" si="46"/>
        <v>0.45225160849597718</v>
      </c>
      <c r="BN101" s="80">
        <f t="shared" si="47"/>
        <v>0.43800076675543148</v>
      </c>
      <c r="BO101" s="80">
        <f t="shared" si="48"/>
        <v>0.42503647234911834</v>
      </c>
      <c r="BP101" s="80">
        <f t="shared" si="49"/>
        <v>0.41302217099524136</v>
      </c>
      <c r="BQ101" s="80">
        <f t="shared" si="50"/>
        <v>0.40061645567130377</v>
      </c>
      <c r="BR101" s="80">
        <f t="shared" si="51"/>
        <v>0.39064063399823429</v>
      </c>
      <c r="BS101" s="80">
        <f t="shared" si="52"/>
        <v>0.38329712784157655</v>
      </c>
      <c r="BT101" s="80">
        <f t="shared" si="53"/>
        <v>0.37816559242157693</v>
      </c>
      <c r="BU101" s="80">
        <f t="shared" si="54"/>
        <v>0.37481077147092134</v>
      </c>
      <c r="BV101" s="80">
        <f>IFERROR(VLOOKUP($H101,'1. Set Program Names'!$B$2:$D$15,3,0)*V101,"NA")</f>
        <v>0.27970748073482654</v>
      </c>
      <c r="BW101" s="80">
        <f>IFERROR(VLOOKUP($H101,'1. Set Program Names'!$B$2:$D$15,3,0)*W101,"NA")</f>
        <v>0.27067805230373865</v>
      </c>
      <c r="BX101" s="80">
        <f>IFERROR(VLOOKUP($H101,'1. Set Program Names'!$B$2:$D$15,3,0)*X101,"NA")</f>
        <v>0.26214875132712523</v>
      </c>
      <c r="BY101" s="80">
        <f>IFERROR(VLOOKUP($H101,'1. Set Program Names'!$B$2:$D$15,3,0)*Y101,"NA")</f>
        <v>0.25438946447557986</v>
      </c>
      <c r="BZ101" s="80">
        <f>IFERROR(VLOOKUP($H101,'1. Set Program Names'!$B$2:$D$15,3,0)*Z101,"NA")</f>
        <v>0.24719875994481524</v>
      </c>
      <c r="CA101" s="80">
        <f>IFERROR(VLOOKUP($H101,'1. Set Program Names'!$B$2:$D$15,3,0)*AA101,"NA")</f>
        <v>0.23977378942346012</v>
      </c>
      <c r="CB101" s="80">
        <f>IFERROR(VLOOKUP($H101,'1. Set Program Names'!$B$2:$D$15,3,0)*AB101,"NA")</f>
        <v>0.23380313961289148</v>
      </c>
      <c r="CC101" s="80">
        <f>IFERROR(VLOOKUP($H101,'1. Set Program Names'!$B$2:$D$15,3,0)*AC101,"NA")</f>
        <v>0.22940796244552863</v>
      </c>
      <c r="CD101" s="80">
        <f>IFERROR(VLOOKUP($H101,'1. Set Program Names'!$B$2:$D$15,3,0)*AD101,"NA")</f>
        <v>0.22633667649160483</v>
      </c>
      <c r="CE101" s="80">
        <f>IFERROR(VLOOKUP($H101,'1. Set Program Names'!$B$2:$D$15,3,0)*AE101,"NA")</f>
        <v>0.22432877561587072</v>
      </c>
    </row>
    <row r="102" spans="1:83" x14ac:dyDescent="0.25">
      <c r="A102" s="79" t="s">
        <v>114</v>
      </c>
      <c r="B102" s="79" t="s">
        <v>88</v>
      </c>
      <c r="C102" s="79" t="s">
        <v>89</v>
      </c>
      <c r="D102" s="79" t="s">
        <v>90</v>
      </c>
      <c r="E102" s="79" t="s">
        <v>91</v>
      </c>
      <c r="F102" s="79" t="s">
        <v>90</v>
      </c>
      <c r="G102" s="79" t="s">
        <v>92</v>
      </c>
      <c r="H102" s="79" t="s">
        <v>7</v>
      </c>
      <c r="I102" s="79" t="s">
        <v>424</v>
      </c>
      <c r="J102" s="79" t="s">
        <v>97</v>
      </c>
      <c r="K102" s="79" t="s">
        <v>98</v>
      </c>
      <c r="L102" s="79">
        <v>5868.07</v>
      </c>
      <c r="M102" s="79">
        <v>0.20813520080661799</v>
      </c>
      <c r="N102" s="79">
        <v>1.1349578069705</v>
      </c>
      <c r="O102" s="79">
        <v>1935.1666666666599</v>
      </c>
      <c r="P102" s="79">
        <v>513.45064263862798</v>
      </c>
      <c r="Q102" s="79">
        <v>1692.2011207744099</v>
      </c>
      <c r="R102" s="79">
        <v>3388.0400735263802</v>
      </c>
      <c r="S102" s="79">
        <v>7811.7411984889604</v>
      </c>
      <c r="T102" s="79">
        <v>16</v>
      </c>
      <c r="U102" s="79">
        <v>0.1</v>
      </c>
      <c r="V102" s="79">
        <f>tbl_Data_old[[#This Row],[2025 ]]*IFERROR(AVERAGEIFS('Participation Adjustment'!$C:$C,'Participation Adjustment'!$A:$A,$H102,'Participation Adjustment'!$B:$B,$I102),1)</f>
        <v>3.2603408201456898</v>
      </c>
      <c r="W102" s="79">
        <f>tbl_Data_old[[#This Row],[2026 ]]*IFERROR(AVERAGEIFS('Participation Adjustment'!$C:$C,'Participation Adjustment'!$A:$A,$H102,'Participation Adjustment'!$B:$B,$I102),1)</f>
        <v>3.4648876546311902</v>
      </c>
      <c r="X102" s="79">
        <f>tbl_Data_old[[#This Row],[2027 ]]*IFERROR(AVERAGEIFS('Participation Adjustment'!$C:$C,'Participation Adjustment'!$A:$A,$H102,'Participation Adjustment'!$B:$B,$I102),1)</f>
        <v>3.6674779796284902</v>
      </c>
      <c r="Y102" s="79">
        <f>tbl_Data_old[[#This Row],[2028 ]]*IFERROR(AVERAGEIFS('Participation Adjustment'!$C:$C,'Participation Adjustment'!$A:$A,$H102,'Participation Adjustment'!$B:$B,$I102),1)</f>
        <v>3.8743700881355001</v>
      </c>
      <c r="Z102" s="79">
        <f>tbl_Data_old[[#This Row],[2029 ]]*IFERROR(AVERAGEIFS('Participation Adjustment'!$C:$C,'Participation Adjustment'!$A:$A,$H102,'Participation Adjustment'!$B:$B,$I102),1)</f>
        <v>4.0856020340219397</v>
      </c>
      <c r="AA102" s="79">
        <f>tbl_Data_old[[#This Row],[2030 ]]*IFERROR(AVERAGEIFS('Participation Adjustment'!$C:$C,'Participation Adjustment'!$A:$A,$H102,'Participation Adjustment'!$B:$B,$I102),1)</f>
        <v>4.2896132949879302</v>
      </c>
      <c r="AB102" s="79">
        <f>tbl_Data_old[[#This Row],[2031 ]]*IFERROR(AVERAGEIFS('Participation Adjustment'!$C:$C,'Participation Adjustment'!$A:$A,$H102,'Participation Adjustment'!$B:$B,$I102),1)</f>
        <v>4.5184868571976802</v>
      </c>
      <c r="AC102" s="79">
        <f>tbl_Data_old[[#This Row],[2032 ]]*IFERROR(AVERAGEIFS('Participation Adjustment'!$C:$C,'Participation Adjustment'!$A:$A,$H102,'Participation Adjustment'!$B:$B,$I102),1)</f>
        <v>4.7815478518549499</v>
      </c>
      <c r="AD102" s="79">
        <f>tbl_Data_old[[#This Row],[2033 ]]*IFERROR(AVERAGEIFS('Participation Adjustment'!$C:$C,'Participation Adjustment'!$A:$A,$H102,'Participation Adjustment'!$B:$B,$I102),1)</f>
        <v>5.0810366463409</v>
      </c>
      <c r="AE102" s="79">
        <f>tbl_Data_old[[#This Row],[2034 ]]*IFERROR(AVERAGEIFS('Participation Adjustment'!$C:$C,'Participation Adjustment'!$A:$A,$H102,'Participation Adjustment'!$B:$B,$I102),1)</f>
        <v>5.4180057403734301</v>
      </c>
      <c r="AF102" s="77" t="str">
        <f t="shared" si="44"/>
        <v>Residential</v>
      </c>
      <c r="AG102" s="77" t="str">
        <f>tbl_Data[[#This Row],[All_Meas_Name_Append]]</f>
        <v>ASHP - CEE Tier 2: 16.8 SEER/16 SEER2; 9.0 HSPF (from elec resistance)_Efficiency Delivered</v>
      </c>
      <c r="AH102" s="77">
        <f>AVERAGEIFS('3. Incentive Adjustment'!G:G,'3. Incentive Adjustment'!A:A,tbl_Data[[#This Row],[Trimmed Sector]],'3. Incentive Adjustment'!B:B,tbl_Data[[#This Row],[Trimmed Measure Name]])</f>
        <v>1</v>
      </c>
      <c r="AI102" s="77">
        <f>$AH102*tbl_Data[[#This Row],[2025 ]]</f>
        <v>3.2603408201456898</v>
      </c>
      <c r="AJ102" s="77">
        <f>$AH102*tbl_Data[[#This Row],[2026 ]]</f>
        <v>3.4648876546311902</v>
      </c>
      <c r="AK102" s="77">
        <f>$AH102*tbl_Data[[#This Row],[2027 ]]</f>
        <v>3.6674779796284902</v>
      </c>
      <c r="AL102" s="77">
        <f>$AH102*tbl_Data[[#This Row],[2028 ]]</f>
        <v>3.8743700881355001</v>
      </c>
      <c r="AM102" s="77">
        <f>$AH102*tbl_Data[[#This Row],[2029 ]]</f>
        <v>4.0856020340219397</v>
      </c>
      <c r="AN102" s="77">
        <f>$AH102*tbl_Data[[#This Row],[2030 ]]</f>
        <v>4.2896132949879302</v>
      </c>
      <c r="AO102" s="77">
        <f>$AH102*tbl_Data[[#This Row],[2031 ]]</f>
        <v>4.5184868571976802</v>
      </c>
      <c r="AP102" s="77">
        <f>$AH102*tbl_Data[[#This Row],[2032 ]]</f>
        <v>4.7815478518549499</v>
      </c>
      <c r="AQ102" s="77">
        <f>$AH102*tbl_Data[[#This Row],[2033 ]]</f>
        <v>5.0810366463409</v>
      </c>
      <c r="AR102" s="77">
        <f>$AH102*tbl_Data[[#This Row],[2034 ]]</f>
        <v>5.4180057403734301</v>
      </c>
      <c r="AS102" s="77">
        <f>SUM(tbl_Data[[#This Row],[Adjusted 2025]:[Adjusted 2034]])</f>
        <v>42.4413689673177</v>
      </c>
      <c r="AT102" s="80">
        <f>AVERAGEIFS('3. Incentive Adjustment'!F:F,'3. Incentive Adjustment'!A:A,tbl_Data[[#This Row],[Trimmed Sector]],'3. Incentive Adjustment'!B:B,tbl_Data[[#This Row],[Trimmed Measure Name]])</f>
        <v>513.45064263862798</v>
      </c>
      <c r="AU102" s="80">
        <f>IFERROR(VLOOKUP(tbl_Data[[#This Row],[All_Meas_Name_Append]],'IRA Tax Credits'!$A$3:$D$46,4,0),0)</f>
        <v>0</v>
      </c>
      <c r="AV102" s="81">
        <f>tbl_Data[[#This Row],[Adj. per unit Incentive ($)]]/tbl_Data[[#This Row],[kWh Savings]]*tbl_Data[[#This Row],[Sum of Annuals]]</f>
        <v>3.7135801329453124</v>
      </c>
      <c r="AW102" s="81">
        <f>IFERROR(VLOOKUP(tbl_Data[[#This Row],[Column1]],'1. Set Program Names'!$B$2:$D$15,3,0)*tbl_Data[[#This Row],[Sum of Annuals]],"")</f>
        <v>18.358505982468376</v>
      </c>
      <c r="AX102" s="81">
        <f>tbl_Data[[#This Row],[per unit IRA tax ($)]]/tbl_Data[[#This Row],[kWh Savings]]*tbl_Data[[#This Row],[Sum of Annuals]]</f>
        <v>0</v>
      </c>
      <c r="AY102" s="81">
        <f>tbl_Data[[#This Row],[Avoided Costs ($/unit)]]/tbl_Data[[#This Row],[kWh Savings]]*tbl_Data[[#This Row],[Sum of Annuals]]</f>
        <v>24.504318939036395</v>
      </c>
      <c r="AZ102" s="81">
        <f>tbl_Data[[#This Row],[Lost Revenue ($/unit)]]/tbl_Data[[#This Row],[kWh Savings]]*tbl_Data[[#This Row],[Sum of Annuals]]</f>
        <v>56.499153977758716</v>
      </c>
      <c r="BA102" s="81">
        <f>tbl_Data[[#This Row],[Incremental Cost ($/unit)]]/tbl_Data[[#This Row],[kWh Savings]]*tbl_Data[[#This Row],[Sum of Annuals]]</f>
        <v>13.996275183025087</v>
      </c>
      <c r="BB102" s="77">
        <f>ROUNDUP(tbl_Data[[#This Row],[Adjusted 2025]]/$L102,0)</f>
        <v>1</v>
      </c>
      <c r="BC102" s="77">
        <f>ROUNDUP(tbl_Data[[#This Row],[Adjusted 2026]]/$L102,0)</f>
        <v>1</v>
      </c>
      <c r="BD102" s="77">
        <f>ROUNDUP(tbl_Data[[#This Row],[Adjusted 2027]]/$L102,0)</f>
        <v>1</v>
      </c>
      <c r="BE102" s="77">
        <f>ROUNDUP(tbl_Data[[#This Row],[Adjusted 2028]]/$L102,0)</f>
        <v>1</v>
      </c>
      <c r="BF102" s="77">
        <f>ROUNDUP(tbl_Data[[#This Row],[Adjusted 2029]]/$L102,0)</f>
        <v>1</v>
      </c>
      <c r="BG102" s="77">
        <f>ROUNDUP(tbl_Data[[#This Row],[Adjusted 2030]]/$L102,0)</f>
        <v>1</v>
      </c>
      <c r="BH102" s="77">
        <f>ROUNDUP(tbl_Data[[#This Row],[Adjusted 2031]]/$L102,0)</f>
        <v>1</v>
      </c>
      <c r="BI102" s="77">
        <f>ROUNDUP(tbl_Data[[#This Row],[Adjusted 2032]]/$L102,0)</f>
        <v>1</v>
      </c>
      <c r="BJ102" s="77">
        <f>ROUNDUP(tbl_Data[[#This Row],[Adjusted 2033]]/$L102,0)</f>
        <v>1</v>
      </c>
      <c r="BK102" s="77">
        <f>ROUNDUP(tbl_Data[[#This Row],[Adjusted 2034]]/$L102,0)</f>
        <v>1</v>
      </c>
      <c r="BL102" s="80">
        <f t="shared" si="45"/>
        <v>0.28527677572434479</v>
      </c>
      <c r="BM102" s="80">
        <f t="shared" si="46"/>
        <v>0.30317443263986854</v>
      </c>
      <c r="BN102" s="80">
        <f t="shared" si="47"/>
        <v>0.3209008968030827</v>
      </c>
      <c r="BO102" s="80">
        <f t="shared" si="48"/>
        <v>0.33900376300436946</v>
      </c>
      <c r="BP102" s="80">
        <f t="shared" si="49"/>
        <v>0.35748636092177677</v>
      </c>
      <c r="BQ102" s="80">
        <f t="shared" si="50"/>
        <v>0.37533715565471365</v>
      </c>
      <c r="BR102" s="80">
        <f t="shared" si="51"/>
        <v>0.39536337851837888</v>
      </c>
      <c r="BS102" s="80">
        <f t="shared" si="52"/>
        <v>0.41838096978091188</v>
      </c>
      <c r="BT102" s="80">
        <f t="shared" si="53"/>
        <v>0.44458595949505619</v>
      </c>
      <c r="BU102" s="80">
        <f t="shared" si="54"/>
        <v>0.47407044040280932</v>
      </c>
      <c r="BV102" s="80">
        <f>IFERROR(VLOOKUP($H102,'1. Set Program Names'!$B$2:$D$15,3,0)*V102,"NA")</f>
        <v>1.4102982045094326</v>
      </c>
      <c r="BW102" s="80">
        <f>IFERROR(VLOOKUP($H102,'1. Set Program Names'!$B$2:$D$15,3,0)*W102,"NA")</f>
        <v>1.4987773081756863</v>
      </c>
      <c r="BX102" s="80">
        <f>IFERROR(VLOOKUP($H102,'1. Set Program Names'!$B$2:$D$15,3,0)*X102,"NA")</f>
        <v>1.5864101009896312</v>
      </c>
      <c r="BY102" s="80">
        <f>IFERROR(VLOOKUP($H102,'1. Set Program Names'!$B$2:$D$15,3,0)*Y102,"NA")</f>
        <v>1.6759036801123097</v>
      </c>
      <c r="BZ102" s="80">
        <f>IFERROR(VLOOKUP($H102,'1. Set Program Names'!$B$2:$D$15,3,0)*Z102,"NA")</f>
        <v>1.7672745061860597</v>
      </c>
      <c r="CA102" s="80">
        <f>IFERROR(VLOOKUP($H102,'1. Set Program Names'!$B$2:$D$15,3,0)*AA102,"NA")</f>
        <v>1.8555219413199073</v>
      </c>
      <c r="CB102" s="80">
        <f>IFERROR(VLOOKUP($H102,'1. Set Program Names'!$B$2:$D$15,3,0)*AB102,"NA")</f>
        <v>1.9545238529757767</v>
      </c>
      <c r="CC102" s="80">
        <f>IFERROR(VLOOKUP($H102,'1. Set Program Names'!$B$2:$D$15,3,0)*AC102,"NA")</f>
        <v>2.0683139347209836</v>
      </c>
      <c r="CD102" s="80">
        <f>IFERROR(VLOOKUP($H102,'1. Set Program Names'!$B$2:$D$15,3,0)*AD102,"NA")</f>
        <v>2.1978612834289497</v>
      </c>
      <c r="CE102" s="80">
        <f>IFERROR(VLOOKUP($H102,'1. Set Program Names'!$B$2:$D$15,3,0)*AE102,"NA")</f>
        <v>2.3436211700496408</v>
      </c>
    </row>
    <row r="103" spans="1:83" x14ac:dyDescent="0.25">
      <c r="A103" s="79" t="s">
        <v>114</v>
      </c>
      <c r="B103" s="79" t="s">
        <v>88</v>
      </c>
      <c r="C103" s="79" t="s">
        <v>89</v>
      </c>
      <c r="D103" s="79" t="s">
        <v>90</v>
      </c>
      <c r="E103" s="79" t="s">
        <v>91</v>
      </c>
      <c r="F103" s="79" t="s">
        <v>90</v>
      </c>
      <c r="G103" s="79" t="s">
        <v>92</v>
      </c>
      <c r="H103" s="79" t="s">
        <v>7</v>
      </c>
      <c r="I103" s="79" t="s">
        <v>425</v>
      </c>
      <c r="J103" s="79" t="s">
        <v>97</v>
      </c>
      <c r="K103" s="79" t="s">
        <v>98</v>
      </c>
      <c r="L103" s="79">
        <v>253.96999999999801</v>
      </c>
      <c r="M103" s="79">
        <v>0.107126245482503</v>
      </c>
      <c r="N103" s="79">
        <v>1.33192706841354E-2</v>
      </c>
      <c r="O103" s="79">
        <v>874.99999999999898</v>
      </c>
      <c r="P103" s="79">
        <v>813.468148399999</v>
      </c>
      <c r="Q103" s="79">
        <v>73.238444436258604</v>
      </c>
      <c r="R103" s="79">
        <v>185.54516688855901</v>
      </c>
      <c r="S103" s="79">
        <v>338.09206641710699</v>
      </c>
      <c r="T103" s="79">
        <v>16</v>
      </c>
      <c r="U103" s="79">
        <v>9.9999999999999895E-2</v>
      </c>
      <c r="V103" s="79">
        <f>tbl_Data_old[[#This Row],[2025 ]]*IFERROR(AVERAGEIFS('Participation Adjustment'!$C:$C,'Participation Adjustment'!$A:$A,$H103,'Participation Adjustment'!$B:$B,$I103),1)</f>
        <v>3.5291828740087801</v>
      </c>
      <c r="W103" s="79">
        <f>tbl_Data_old[[#This Row],[2026 ]]*IFERROR(AVERAGEIFS('Participation Adjustment'!$C:$C,'Participation Adjustment'!$A:$A,$H103,'Participation Adjustment'!$B:$B,$I103),1)</f>
        <v>3.9476814045789701</v>
      </c>
      <c r="X103" s="79">
        <f>tbl_Data_old[[#This Row],[2027 ]]*IFERROR(AVERAGEIFS('Participation Adjustment'!$C:$C,'Participation Adjustment'!$A:$A,$H103,'Participation Adjustment'!$B:$B,$I103),1)</f>
        <v>4.3392132259002398</v>
      </c>
      <c r="Y103" s="79">
        <f>tbl_Data_old[[#This Row],[2028 ]]*IFERROR(AVERAGEIFS('Participation Adjustment'!$C:$C,'Participation Adjustment'!$A:$A,$H103,'Participation Adjustment'!$B:$B,$I103),1)</f>
        <v>4.7145900393464197</v>
      </c>
      <c r="Z103" s="79">
        <f>tbl_Data_old[[#This Row],[2029 ]]*IFERROR(AVERAGEIFS('Participation Adjustment'!$C:$C,'Participation Adjustment'!$A:$A,$H103,'Participation Adjustment'!$B:$B,$I103),1)</f>
        <v>5.0768863441096297</v>
      </c>
      <c r="AA103" s="79">
        <f>tbl_Data_old[[#This Row],[2030 ]]*IFERROR(AVERAGEIFS('Participation Adjustment'!$C:$C,'Participation Adjustment'!$A:$A,$H103,'Participation Adjustment'!$B:$B,$I103),1)</f>
        <v>5.4138418052696196</v>
      </c>
      <c r="AB103" s="79">
        <f>tbl_Data_old[[#This Row],[2031 ]]*IFERROR(AVERAGEIFS('Participation Adjustment'!$C:$C,'Participation Adjustment'!$A:$A,$H103,'Participation Adjustment'!$B:$B,$I103),1)</f>
        <v>5.7678363473070897</v>
      </c>
      <c r="AC103" s="79">
        <f>tbl_Data_old[[#This Row],[2032 ]]*IFERROR(AVERAGEIFS('Participation Adjustment'!$C:$C,'Participation Adjustment'!$A:$A,$H103,'Participation Adjustment'!$B:$B,$I103),1)</f>
        <v>6.1534063285516201</v>
      </c>
      <c r="AD103" s="79">
        <f>tbl_Data_old[[#This Row],[2033 ]]*IFERROR(AVERAGEIFS('Participation Adjustment'!$C:$C,'Participation Adjustment'!$A:$A,$H103,'Participation Adjustment'!$B:$B,$I103),1)</f>
        <v>6.5757030023384004</v>
      </c>
      <c r="AE103" s="79">
        <f>tbl_Data_old[[#This Row],[2034 ]]*IFERROR(AVERAGEIFS('Participation Adjustment'!$C:$C,'Participation Adjustment'!$A:$A,$H103,'Participation Adjustment'!$B:$B,$I103),1)</f>
        <v>7.0379063481143298</v>
      </c>
      <c r="AF103" s="77" t="str">
        <f t="shared" si="44"/>
        <v>Residential</v>
      </c>
      <c r="AG103" s="77" t="str">
        <f>tbl_Data[[#This Row],[All_Meas_Name_Append]]</f>
        <v>ASHP - ENERGY STAR/CEE Tier 1: 16 SEER/15.2 SEER2_ 9.0 HSPF_Efficiency Delivered</v>
      </c>
      <c r="AH103" s="77">
        <f>AVERAGEIFS('3. Incentive Adjustment'!G:G,'3. Incentive Adjustment'!A:A,tbl_Data[[#This Row],[Trimmed Sector]],'3. Incentive Adjustment'!B:B,tbl_Data[[#This Row],[Trimmed Measure Name]])</f>
        <v>2.0121332905056414E-2</v>
      </c>
      <c r="AI103" s="77">
        <f>$AH103*tbl_Data[[#This Row],[2025 ]]</f>
        <v>7.1011863490754432E-2</v>
      </c>
      <c r="AJ103" s="77">
        <f>$AH103*tbl_Data[[#This Row],[2026 ]]</f>
        <v>7.9432611744634146E-2</v>
      </c>
      <c r="AK103" s="77">
        <f>$AH103*tbl_Data[[#This Row],[2027 ]]</f>
        <v>8.7310753864362489E-2</v>
      </c>
      <c r="AL103" s="77">
        <f>$AH103*tbl_Data[[#This Row],[2028 ]]</f>
        <v>9.4863835692552329E-2</v>
      </c>
      <c r="AM103" s="77">
        <f>$AH103*tbl_Data[[#This Row],[2029 ]]</f>
        <v>0.10215372025096466</v>
      </c>
      <c r="AN103" s="77">
        <f>$AH103*tbl_Data[[#This Row],[2030 ]]</f>
        <v>0.10893371325914161</v>
      </c>
      <c r="AO103" s="77">
        <f>$AH103*tbl_Data[[#This Row],[2031 ]]</f>
        <v>0.11605655528605054</v>
      </c>
      <c r="AP103" s="77">
        <f>$AH103*tbl_Data[[#This Row],[2032 ]]</f>
        <v>0.12381473723686809</v>
      </c>
      <c r="AQ103" s="77">
        <f>$AH103*tbl_Data[[#This Row],[2033 ]]</f>
        <v>0.13231190919482991</v>
      </c>
      <c r="AR103" s="77">
        <f>$AH103*tbl_Data[[#This Row],[2034 ]]</f>
        <v>0.1416120565850183</v>
      </c>
      <c r="AS103" s="77">
        <f>SUM(tbl_Data[[#This Row],[Adjusted 2025]:[Adjusted 2034]])</f>
        <v>1.0575017566051765</v>
      </c>
      <c r="AT103" s="80">
        <f>AVERAGEIFS('3. Incentive Adjustment'!F:F,'3. Incentive Adjustment'!A:A,tbl_Data[[#This Row],[Trimmed Sector]],'3. Incentive Adjustment'!B:B,tbl_Data[[#This Row],[Trimmed Measure Name]])</f>
        <v>437.49999999999949</v>
      </c>
      <c r="AU103" s="80">
        <f>IFERROR(VLOOKUP(tbl_Data[[#This Row],[All_Meas_Name_Append]],'IRA Tax Credits'!$A$3:$D$46,4,0),0)</f>
        <v>0</v>
      </c>
      <c r="AV103" s="81">
        <f>tbl_Data[[#This Row],[Adj. per unit Incentive ($)]]/tbl_Data[[#This Row],[kWh Savings]]*tbl_Data[[#This Row],[Sum of Annuals]]</f>
        <v>1.8216994862179305</v>
      </c>
      <c r="AW103" s="81">
        <f>IFERROR(VLOOKUP(tbl_Data[[#This Row],[Column1]],'1. Set Program Names'!$B$2:$D$15,3,0)*tbl_Data[[#This Row],[Sum of Annuals]],"")</f>
        <v>0.45743463977462573</v>
      </c>
      <c r="AX103" s="81">
        <f>tbl_Data[[#This Row],[per unit IRA tax ($)]]/tbl_Data[[#This Row],[kWh Savings]]*tbl_Data[[#This Row],[Sum of Annuals]]</f>
        <v>0</v>
      </c>
      <c r="AY103" s="81">
        <f>tbl_Data[[#This Row],[Avoided Costs ($/unit)]]/tbl_Data[[#This Row],[kWh Savings]]*tbl_Data[[#This Row],[Sum of Annuals]]</f>
        <v>0.77258865186539083</v>
      </c>
      <c r="AZ103" s="81">
        <f>tbl_Data[[#This Row],[Lost Revenue ($/unit)]]/tbl_Data[[#This Row],[kWh Savings]]*tbl_Data[[#This Row],[Sum of Annuals]]</f>
        <v>1.4077763284260638</v>
      </c>
      <c r="BA103" s="81">
        <f>tbl_Data[[#This Row],[Incremental Cost ($/unit)]]/tbl_Data[[#This Row],[kWh Savings]]*tbl_Data[[#This Row],[Sum of Annuals]]</f>
        <v>3.6433989724358611</v>
      </c>
      <c r="BB103" s="77">
        <f>ROUNDUP(tbl_Data[[#This Row],[Adjusted 2025]]/$L103,0)</f>
        <v>1</v>
      </c>
      <c r="BC103" s="77">
        <f>ROUNDUP(tbl_Data[[#This Row],[Adjusted 2026]]/$L103,0)</f>
        <v>1</v>
      </c>
      <c r="BD103" s="77">
        <f>ROUNDUP(tbl_Data[[#This Row],[Adjusted 2027]]/$L103,0)</f>
        <v>1</v>
      </c>
      <c r="BE103" s="77">
        <f>ROUNDUP(tbl_Data[[#This Row],[Adjusted 2028]]/$L103,0)</f>
        <v>1</v>
      </c>
      <c r="BF103" s="77">
        <f>ROUNDUP(tbl_Data[[#This Row],[Adjusted 2029]]/$L103,0)</f>
        <v>1</v>
      </c>
      <c r="BG103" s="77">
        <f>ROUNDUP(tbl_Data[[#This Row],[Adjusted 2030]]/$L103,0)</f>
        <v>1</v>
      </c>
      <c r="BH103" s="77">
        <f>ROUNDUP(tbl_Data[[#This Row],[Adjusted 2031]]/$L103,0)</f>
        <v>1</v>
      </c>
      <c r="BI103" s="77">
        <f>ROUNDUP(tbl_Data[[#This Row],[Adjusted 2032]]/$L103,0)</f>
        <v>1</v>
      </c>
      <c r="BJ103" s="77">
        <f>ROUNDUP(tbl_Data[[#This Row],[Adjusted 2033]]/$L103,0)</f>
        <v>1</v>
      </c>
      <c r="BK103" s="77">
        <f>ROUNDUP(tbl_Data[[#This Row],[Adjusted 2034]]/$L103,0)</f>
        <v>1</v>
      </c>
      <c r="BL103" s="80">
        <f t="shared" si="45"/>
        <v>6.079527138555151</v>
      </c>
      <c r="BM103" s="80">
        <f t="shared" si="46"/>
        <v>6.8004512915041575</v>
      </c>
      <c r="BN103" s="80">
        <f t="shared" si="47"/>
        <v>7.4749213935951788</v>
      </c>
      <c r="BO103" s="80">
        <f t="shared" si="48"/>
        <v>8.1215621617280487</v>
      </c>
      <c r="BP103" s="80">
        <f t="shared" si="49"/>
        <v>8.7456698647398419</v>
      </c>
      <c r="BQ103" s="80">
        <f t="shared" si="50"/>
        <v>9.3261243052544565</v>
      </c>
      <c r="BR103" s="80">
        <f t="shared" si="51"/>
        <v>9.9359310231400109</v>
      </c>
      <c r="BS103" s="80">
        <f t="shared" si="52"/>
        <v>10.600130994768485</v>
      </c>
      <c r="BT103" s="80">
        <f t="shared" si="53"/>
        <v>11.327597997885851</v>
      </c>
      <c r="BU103" s="80">
        <f t="shared" si="54"/>
        <v>12.123810006300113</v>
      </c>
      <c r="BV103" s="80">
        <f>IFERROR(VLOOKUP($H103,'1. Set Program Names'!$B$2:$D$15,3,0)*V103,"NA")</f>
        <v>1.5265889504084462</v>
      </c>
      <c r="BW103" s="80">
        <f>IFERROR(VLOOKUP($H103,'1. Set Program Names'!$B$2:$D$15,3,0)*W103,"NA")</f>
        <v>1.7076153396147751</v>
      </c>
      <c r="BX103" s="80">
        <f>IFERROR(VLOOKUP($H103,'1. Set Program Names'!$B$2:$D$15,3,0)*X103,"NA")</f>
        <v>1.8769769662293265</v>
      </c>
      <c r="BY103" s="80">
        <f>IFERROR(VLOOKUP($H103,'1. Set Program Names'!$B$2:$D$15,3,0)*Y103,"NA")</f>
        <v>2.0393505569737331</v>
      </c>
      <c r="BZ103" s="80">
        <f>IFERROR(VLOOKUP($H103,'1. Set Program Names'!$B$2:$D$15,3,0)*Z103,"NA")</f>
        <v>2.1960660221026598</v>
      </c>
      <c r="CA103" s="80">
        <f>IFERROR(VLOOKUP($H103,'1. Set Program Names'!$B$2:$D$15,3,0)*AA103,"NA")</f>
        <v>2.3418200116663477</v>
      </c>
      <c r="CB103" s="80">
        <f>IFERROR(VLOOKUP($H103,'1. Set Program Names'!$B$2:$D$15,3,0)*AB103,"NA")</f>
        <v>2.4949444531225251</v>
      </c>
      <c r="CC103" s="80">
        <f>IFERROR(VLOOKUP($H103,'1. Set Program Names'!$B$2:$D$15,3,0)*AC103,"NA")</f>
        <v>2.6617272167225581</v>
      </c>
      <c r="CD103" s="80">
        <f>IFERROR(VLOOKUP($H103,'1. Set Program Names'!$B$2:$D$15,3,0)*AD103,"NA")</f>
        <v>2.8443965367923503</v>
      </c>
      <c r="CE103" s="80">
        <f>IFERROR(VLOOKUP($H103,'1. Set Program Names'!$B$2:$D$15,3,0)*AE103,"NA")</f>
        <v>3.044327950293138</v>
      </c>
    </row>
    <row r="104" spans="1:83" x14ac:dyDescent="0.25">
      <c r="A104" s="79" t="s">
        <v>114</v>
      </c>
      <c r="B104" s="79" t="s">
        <v>88</v>
      </c>
      <c r="C104" s="79" t="s">
        <v>89</v>
      </c>
      <c r="D104" s="79" t="s">
        <v>90</v>
      </c>
      <c r="E104" s="79" t="s">
        <v>91</v>
      </c>
      <c r="F104" s="79" t="s">
        <v>90</v>
      </c>
      <c r="G104" s="79" t="s">
        <v>92</v>
      </c>
      <c r="H104" s="79" t="s">
        <v>7</v>
      </c>
      <c r="I104" s="79" t="s">
        <v>426</v>
      </c>
      <c r="J104" s="79" t="s">
        <v>101</v>
      </c>
      <c r="K104" s="79" t="s">
        <v>102</v>
      </c>
      <c r="L104" s="79">
        <v>3443.6666666666601</v>
      </c>
      <c r="M104" s="79">
        <v>1.66949913665645</v>
      </c>
      <c r="N104" s="79">
        <v>0.25022957227107101</v>
      </c>
      <c r="O104" s="79">
        <v>1269.26999999999</v>
      </c>
      <c r="P104" s="79">
        <v>446.40188399649003</v>
      </c>
      <c r="Q104" s="79">
        <v>993.06528260685695</v>
      </c>
      <c r="R104" s="79">
        <v>3363.3816217672702</v>
      </c>
      <c r="S104" s="79">
        <v>6252.5618237134204</v>
      </c>
      <c r="T104" s="79">
        <v>30</v>
      </c>
      <c r="U104" s="79">
        <v>0.1</v>
      </c>
      <c r="V104" s="79">
        <f>tbl_Data_old[[#This Row],[2025 ]]*IFERROR(AVERAGEIFS('Participation Adjustment'!$C:$C,'Participation Adjustment'!$A:$A,$H104,'Participation Adjustment'!$B:$B,$I104),1)</f>
        <v>0.75523368587477402</v>
      </c>
      <c r="W104" s="79">
        <f>tbl_Data_old[[#This Row],[2026 ]]*IFERROR(AVERAGEIFS('Participation Adjustment'!$C:$C,'Participation Adjustment'!$A:$A,$H104,'Participation Adjustment'!$B:$B,$I104),1)</f>
        <v>0.73089886029625595</v>
      </c>
      <c r="X104" s="79">
        <f>tbl_Data_old[[#This Row],[2027 ]]*IFERROR(AVERAGEIFS('Participation Adjustment'!$C:$C,'Participation Adjustment'!$A:$A,$H104,'Participation Adjustment'!$B:$B,$I104),1)</f>
        <v>0.70790992918153095</v>
      </c>
      <c r="Y104" s="79">
        <f>tbl_Data_old[[#This Row],[2028 ]]*IFERROR(AVERAGEIFS('Participation Adjustment'!$C:$C,'Participation Adjustment'!$A:$A,$H104,'Participation Adjustment'!$B:$B,$I104),1)</f>
        <v>0.68699614164974998</v>
      </c>
      <c r="Z104" s="79">
        <f>tbl_Data_old[[#This Row],[2029 ]]*IFERROR(AVERAGEIFS('Participation Adjustment'!$C:$C,'Participation Adjustment'!$A:$A,$H104,'Participation Adjustment'!$B:$B,$I104),1)</f>
        <v>0.66761399743299898</v>
      </c>
      <c r="AA104" s="79">
        <f>tbl_Data_old[[#This Row],[2030 ]]*IFERROR(AVERAGEIFS('Participation Adjustment'!$C:$C,'Participation Adjustment'!$A:$A,$H104,'Participation Adjustment'!$B:$B,$I104),1)</f>
        <v>0.64759551549627103</v>
      </c>
      <c r="AB104" s="79">
        <f>tbl_Data_old[[#This Row],[2031 ]]*IFERROR(AVERAGEIFS('Participation Adjustment'!$C:$C,'Participation Adjustment'!$A:$A,$H104,'Participation Adjustment'!$B:$B,$I104),1)</f>
        <v>0.63150161701324703</v>
      </c>
      <c r="AC104" s="79">
        <f>tbl_Data_old[[#This Row],[2032 ]]*IFERROR(AVERAGEIFS('Participation Adjustment'!$C:$C,'Participation Adjustment'!$A:$A,$H104,'Participation Adjustment'!$B:$B,$I104),1)</f>
        <v>0.61966027576956195</v>
      </c>
      <c r="AD104" s="79">
        <f>tbl_Data_old[[#This Row],[2033 ]]*IFERROR(AVERAGEIFS('Participation Adjustment'!$C:$C,'Participation Adjustment'!$A:$A,$H104,'Participation Adjustment'!$B:$B,$I104),1)</f>
        <v>0.61139262883156198</v>
      </c>
      <c r="AE104" s="79">
        <f>tbl_Data_old[[#This Row],[2034 ]]*IFERROR(AVERAGEIFS('Participation Adjustment'!$C:$C,'Participation Adjustment'!$A:$A,$H104,'Participation Adjustment'!$B:$B,$I104),1)</f>
        <v>0.60599553068479095</v>
      </c>
      <c r="AF104" s="77" t="str">
        <f t="shared" si="44"/>
        <v>Residential</v>
      </c>
      <c r="AG104" s="77" t="str">
        <f>tbl_Data[[#This Row],[All_Meas_Name_Append]]</f>
        <v>Ceiling Insulation(R2 to R38) Residential_Efficiency Delivered</v>
      </c>
      <c r="AH104" s="77">
        <f>AVERAGEIFS('3. Incentive Adjustment'!G:G,'3. Incentive Adjustment'!A:A,tbl_Data[[#This Row],[Trimmed Sector]],'3. Incentive Adjustment'!B:B,tbl_Data[[#This Row],[Trimmed Measure Name]])</f>
        <v>1</v>
      </c>
      <c r="AI104" s="77">
        <f>$AH104*tbl_Data[[#This Row],[2025 ]]</f>
        <v>0.75523368587477402</v>
      </c>
      <c r="AJ104" s="77">
        <f>$AH104*tbl_Data[[#This Row],[2026 ]]</f>
        <v>0.73089886029625595</v>
      </c>
      <c r="AK104" s="77">
        <f>$AH104*tbl_Data[[#This Row],[2027 ]]</f>
        <v>0.70790992918153095</v>
      </c>
      <c r="AL104" s="77">
        <f>$AH104*tbl_Data[[#This Row],[2028 ]]</f>
        <v>0.68699614164974998</v>
      </c>
      <c r="AM104" s="77">
        <f>$AH104*tbl_Data[[#This Row],[2029 ]]</f>
        <v>0.66761399743299898</v>
      </c>
      <c r="AN104" s="77">
        <f>$AH104*tbl_Data[[#This Row],[2030 ]]</f>
        <v>0.64759551549627103</v>
      </c>
      <c r="AO104" s="77">
        <f>$AH104*tbl_Data[[#This Row],[2031 ]]</f>
        <v>0.63150161701324703</v>
      </c>
      <c r="AP104" s="77">
        <f>$AH104*tbl_Data[[#This Row],[2032 ]]</f>
        <v>0.61966027576956195</v>
      </c>
      <c r="AQ104" s="77">
        <f>$AH104*tbl_Data[[#This Row],[2033 ]]</f>
        <v>0.61139262883156198</v>
      </c>
      <c r="AR104" s="77">
        <f>$AH104*tbl_Data[[#This Row],[2034 ]]</f>
        <v>0.60599553068479095</v>
      </c>
      <c r="AS104" s="77">
        <f>SUM(tbl_Data[[#This Row],[Adjusted 2025]:[Adjusted 2034]])</f>
        <v>6.6647981822307436</v>
      </c>
      <c r="AT104" s="80">
        <f>AVERAGEIFS('3. Incentive Adjustment'!F:F,'3. Incentive Adjustment'!A:A,tbl_Data[[#This Row],[Trimmed Sector]],'3. Incentive Adjustment'!B:B,tbl_Data[[#This Row],[Trimmed Measure Name]])</f>
        <v>446.40188399649008</v>
      </c>
      <c r="AU104" s="80">
        <f>IFERROR(VLOOKUP(tbl_Data[[#This Row],[All_Meas_Name_Append]],'IRA Tax Credits'!$A$3:$D$46,4,0),0)</f>
        <v>0</v>
      </c>
      <c r="AV104" s="81">
        <f>tbl_Data[[#This Row],[Adj. per unit Incentive ($)]]/tbl_Data[[#This Row],[kWh Savings]]*tbl_Data[[#This Row],[Sum of Annuals]]</f>
        <v>0.8639565768088836</v>
      </c>
      <c r="AW104" s="81">
        <f>IFERROR(VLOOKUP(tbl_Data[[#This Row],[Column1]],'1. Set Program Names'!$B$2:$D$15,3,0)*tbl_Data[[#This Row],[Sum of Annuals]],"")</f>
        <v>2.8829356893423594</v>
      </c>
      <c r="AX104" s="81">
        <f>tbl_Data[[#This Row],[per unit IRA tax ($)]]/tbl_Data[[#This Row],[kWh Savings]]*tbl_Data[[#This Row],[Sum of Annuals]]</f>
        <v>0</v>
      </c>
      <c r="AY104" s="81">
        <f>tbl_Data[[#This Row],[Avoided Costs ($/unit)]]/tbl_Data[[#This Row],[kWh Savings]]*tbl_Data[[#This Row],[Sum of Annuals]]</f>
        <v>6.5094162381868648</v>
      </c>
      <c r="AZ104" s="81">
        <f>tbl_Data[[#This Row],[Lost Revenue ($/unit)]]/tbl_Data[[#This Row],[kWh Savings]]*tbl_Data[[#This Row],[Sum of Annuals]]</f>
        <v>12.101073277602543</v>
      </c>
      <c r="BA104" s="81">
        <f>tbl_Data[[#This Row],[Incremental Cost ($/unit)]]/tbl_Data[[#This Row],[kWh Savings]]*tbl_Data[[#This Row],[Sum of Annuals]]</f>
        <v>2.4565177781705447</v>
      </c>
      <c r="BB104" s="77">
        <f>ROUNDUP(tbl_Data[[#This Row],[Adjusted 2025]]/$L104,0)</f>
        <v>1</v>
      </c>
      <c r="BC104" s="77">
        <f>ROUNDUP(tbl_Data[[#This Row],[Adjusted 2026]]/$L104,0)</f>
        <v>1</v>
      </c>
      <c r="BD104" s="77">
        <f>ROUNDUP(tbl_Data[[#This Row],[Adjusted 2027]]/$L104,0)</f>
        <v>1</v>
      </c>
      <c r="BE104" s="77">
        <f>ROUNDUP(tbl_Data[[#This Row],[Adjusted 2028]]/$L104,0)</f>
        <v>1</v>
      </c>
      <c r="BF104" s="77">
        <f>ROUNDUP(tbl_Data[[#This Row],[Adjusted 2029]]/$L104,0)</f>
        <v>1</v>
      </c>
      <c r="BG104" s="77">
        <f>ROUNDUP(tbl_Data[[#This Row],[Adjusted 2030]]/$L104,0)</f>
        <v>1</v>
      </c>
      <c r="BH104" s="77">
        <f>ROUNDUP(tbl_Data[[#This Row],[Adjusted 2031]]/$L104,0)</f>
        <v>1</v>
      </c>
      <c r="BI104" s="77">
        <f>ROUNDUP(tbl_Data[[#This Row],[Adjusted 2032]]/$L104,0)</f>
        <v>1</v>
      </c>
      <c r="BJ104" s="77">
        <f>ROUNDUP(tbl_Data[[#This Row],[Adjusted 2033]]/$L104,0)</f>
        <v>1</v>
      </c>
      <c r="BK104" s="77">
        <f>ROUNDUP(tbl_Data[[#This Row],[Adjusted 2034]]/$L104,0)</f>
        <v>1</v>
      </c>
      <c r="BL104" s="80">
        <f t="shared" si="45"/>
        <v>9.7900805410544911E-2</v>
      </c>
      <c r="BM104" s="80">
        <f t="shared" si="46"/>
        <v>9.4746286394483598E-2</v>
      </c>
      <c r="BN104" s="80">
        <f t="shared" si="47"/>
        <v>9.1766235433101695E-2</v>
      </c>
      <c r="BO104" s="80">
        <f t="shared" si="48"/>
        <v>8.9055184957148939E-2</v>
      </c>
      <c r="BP104" s="80">
        <f t="shared" si="49"/>
        <v>8.6542681125695256E-2</v>
      </c>
      <c r="BQ104" s="80">
        <f t="shared" si="50"/>
        <v>8.3947688951276966E-2</v>
      </c>
      <c r="BR104" s="80">
        <f t="shared" si="51"/>
        <v>8.1861439816535847E-2</v>
      </c>
      <c r="BS104" s="80">
        <f t="shared" si="52"/>
        <v>8.0326448903683359E-2</v>
      </c>
      <c r="BT104" s="80">
        <f t="shared" si="53"/>
        <v>7.9254715334036371E-2</v>
      </c>
      <c r="BU104" s="80">
        <f t="shared" si="54"/>
        <v>7.8555090482376536E-2</v>
      </c>
      <c r="BV104" s="80">
        <f>IFERROR(VLOOKUP($H104,'1. Set Program Names'!$B$2:$D$15,3,0)*V104,"NA")</f>
        <v>0.32668508291922682</v>
      </c>
      <c r="BW104" s="80">
        <f>IFERROR(VLOOKUP($H104,'1. Set Program Names'!$B$2:$D$15,3,0)*W104,"NA")</f>
        <v>0.31615877210890464</v>
      </c>
      <c r="BX104" s="80">
        <f>IFERROR(VLOOKUP($H104,'1. Set Program Names'!$B$2:$D$15,3,0)*X104,"NA")</f>
        <v>0.30621464354591627</v>
      </c>
      <c r="BY104" s="80">
        <f>IFERROR(VLOOKUP($H104,'1. Set Program Names'!$B$2:$D$15,3,0)*Y104,"NA")</f>
        <v>0.29716814238771999</v>
      </c>
      <c r="BZ104" s="80">
        <f>IFERROR(VLOOKUP($H104,'1. Set Program Names'!$B$2:$D$15,3,0)*Z104,"NA")</f>
        <v>0.28878417129502754</v>
      </c>
      <c r="CA104" s="80">
        <f>IFERROR(VLOOKUP($H104,'1. Set Program Names'!$B$2:$D$15,3,0)*AA104,"NA")</f>
        <v>0.28012494494730161</v>
      </c>
      <c r="CB104" s="80">
        <f>IFERROR(VLOOKUP($H104,'1. Set Program Names'!$B$2:$D$15,3,0)*AB104,"NA")</f>
        <v>0.27316334265286674</v>
      </c>
      <c r="CC104" s="80">
        <f>IFERROR(VLOOKUP($H104,'1. Set Program Names'!$B$2:$D$15,3,0)*AC104,"NA")</f>
        <v>0.26804123327345336</v>
      </c>
      <c r="CD104" s="80">
        <f>IFERROR(VLOOKUP($H104,'1. Set Program Names'!$B$2:$D$15,3,0)*AD104,"NA")</f>
        <v>0.26446496678004477</v>
      </c>
      <c r="CE104" s="80">
        <f>IFERROR(VLOOKUP($H104,'1. Set Program Names'!$B$2:$D$15,3,0)*AE104,"NA")</f>
        <v>0.26213038943189743</v>
      </c>
    </row>
    <row r="105" spans="1:83" x14ac:dyDescent="0.25">
      <c r="A105" s="79" t="s">
        <v>114</v>
      </c>
      <c r="B105" s="79" t="s">
        <v>88</v>
      </c>
      <c r="C105" s="79" t="s">
        <v>89</v>
      </c>
      <c r="D105" s="79" t="s">
        <v>90</v>
      </c>
      <c r="E105" s="79" t="s">
        <v>91</v>
      </c>
      <c r="F105" s="79" t="s">
        <v>90</v>
      </c>
      <c r="G105" s="79" t="s">
        <v>92</v>
      </c>
      <c r="H105" s="79" t="s">
        <v>7</v>
      </c>
      <c r="I105" s="79" t="s">
        <v>427</v>
      </c>
      <c r="J105" s="79" t="s">
        <v>101</v>
      </c>
      <c r="K105" s="79" t="s">
        <v>102</v>
      </c>
      <c r="L105" s="79">
        <v>3523.57666666666</v>
      </c>
      <c r="M105" s="79">
        <v>1.7070465614975301</v>
      </c>
      <c r="N105" s="79">
        <v>0.25623328618049002</v>
      </c>
      <c r="O105" s="79">
        <v>1306.5999999999899</v>
      </c>
      <c r="P105" s="79">
        <v>465.31519597206898</v>
      </c>
      <c r="Q105" s="79">
        <v>1016.10928030304</v>
      </c>
      <c r="R105" s="79">
        <v>3440.61303289528</v>
      </c>
      <c r="S105" s="79">
        <v>6397.6520033667803</v>
      </c>
      <c r="T105" s="79">
        <v>30</v>
      </c>
      <c r="U105" s="79">
        <v>0.1</v>
      </c>
      <c r="V105" s="79">
        <f>tbl_Data_old[[#This Row],[2025 ]]*IFERROR(AVERAGEIFS('Participation Adjustment'!$C:$C,'Participation Adjustment'!$A:$A,$H105,'Participation Adjustment'!$B:$B,$I105),1)</f>
        <v>0.77298052696743902</v>
      </c>
      <c r="W105" s="79">
        <f>tbl_Data_old[[#This Row],[2026 ]]*IFERROR(AVERAGEIFS('Participation Adjustment'!$C:$C,'Participation Adjustment'!$A:$A,$H105,'Participation Adjustment'!$B:$B,$I105),1)</f>
        <v>0.74812070369099903</v>
      </c>
      <c r="X105" s="79">
        <f>tbl_Data_old[[#This Row],[2027 ]]*IFERROR(AVERAGEIFS('Participation Adjustment'!$C:$C,'Participation Adjustment'!$A:$A,$H105,'Participation Adjustment'!$B:$B,$I105),1)</f>
        <v>0.72463377213648095</v>
      </c>
      <c r="Y105" s="79">
        <f>tbl_Data_old[[#This Row],[2028 ]]*IFERROR(AVERAGEIFS('Participation Adjustment'!$C:$C,'Participation Adjustment'!$A:$A,$H105,'Participation Adjustment'!$B:$B,$I105),1)</f>
        <v>0.70326666598690102</v>
      </c>
      <c r="Z105" s="79">
        <f>tbl_Data_old[[#This Row],[2029 ]]*IFERROR(AVERAGEIFS('Participation Adjustment'!$C:$C,'Participation Adjustment'!$A:$A,$H105,'Participation Adjustment'!$B:$B,$I105),1)</f>
        <v>0.68346350732948502</v>
      </c>
      <c r="AA105" s="79">
        <f>tbl_Data_old[[#This Row],[2030 ]]*IFERROR(AVERAGEIFS('Participation Adjustment'!$C:$C,'Participation Adjustment'!$A:$A,$H105,'Participation Adjustment'!$B:$B,$I105),1)</f>
        <v>0.66300513969489705</v>
      </c>
      <c r="AB105" s="79">
        <f>tbl_Data_old[[#This Row],[2031 ]]*IFERROR(AVERAGEIFS('Participation Adjustment'!$C:$C,'Participation Adjustment'!$A:$A,$H105,'Participation Adjustment'!$B:$B,$I105),1)</f>
        <v>0.64656130462877903</v>
      </c>
      <c r="AC105" s="79">
        <f>tbl_Data_old[[#This Row],[2032 ]]*IFERROR(AVERAGEIFS('Participation Adjustment'!$C:$C,'Participation Adjustment'!$A:$A,$H105,'Participation Adjustment'!$B:$B,$I105),1)</f>
        <v>0.63446856310369804</v>
      </c>
      <c r="AD105" s="79">
        <f>tbl_Data_old[[#This Row],[2033 ]]*IFERROR(AVERAGEIFS('Participation Adjustment'!$C:$C,'Participation Adjustment'!$A:$A,$H105,'Participation Adjustment'!$B:$B,$I105),1)</f>
        <v>0.62603254140771503</v>
      </c>
      <c r="AE105" s="79">
        <f>tbl_Data_old[[#This Row],[2034 ]]*IFERROR(AVERAGEIFS('Participation Adjustment'!$C:$C,'Participation Adjustment'!$A:$A,$H105,'Participation Adjustment'!$B:$B,$I105),1)</f>
        <v>0.62053382164776105</v>
      </c>
      <c r="AF105" s="77" t="str">
        <f t="shared" si="44"/>
        <v>Residential</v>
      </c>
      <c r="AG105" s="77" t="str">
        <f>tbl_Data[[#This Row],[All_Meas_Name_Append]]</f>
        <v>Ceiling Insulation(R2 to R49) Residential_Efficiency Delivered</v>
      </c>
      <c r="AH105" s="77">
        <f>AVERAGEIFS('3. Incentive Adjustment'!G:G,'3. Incentive Adjustment'!A:A,tbl_Data[[#This Row],[Trimmed Sector]],'3. Incentive Adjustment'!B:B,tbl_Data[[#This Row],[Trimmed Measure Name]])</f>
        <v>1</v>
      </c>
      <c r="AI105" s="77">
        <f>$AH105*tbl_Data[[#This Row],[2025 ]]</f>
        <v>0.77298052696743902</v>
      </c>
      <c r="AJ105" s="77">
        <f>$AH105*tbl_Data[[#This Row],[2026 ]]</f>
        <v>0.74812070369099903</v>
      </c>
      <c r="AK105" s="77">
        <f>$AH105*tbl_Data[[#This Row],[2027 ]]</f>
        <v>0.72463377213648095</v>
      </c>
      <c r="AL105" s="77">
        <f>$AH105*tbl_Data[[#This Row],[2028 ]]</f>
        <v>0.70326666598690102</v>
      </c>
      <c r="AM105" s="77">
        <f>$AH105*tbl_Data[[#This Row],[2029 ]]</f>
        <v>0.68346350732948502</v>
      </c>
      <c r="AN105" s="77">
        <f>$AH105*tbl_Data[[#This Row],[2030 ]]</f>
        <v>0.66300513969489705</v>
      </c>
      <c r="AO105" s="77">
        <f>$AH105*tbl_Data[[#This Row],[2031 ]]</f>
        <v>0.64656130462877903</v>
      </c>
      <c r="AP105" s="77">
        <f>$AH105*tbl_Data[[#This Row],[2032 ]]</f>
        <v>0.63446856310369804</v>
      </c>
      <c r="AQ105" s="77">
        <f>$AH105*tbl_Data[[#This Row],[2033 ]]</f>
        <v>0.62603254140771503</v>
      </c>
      <c r="AR105" s="77">
        <f>$AH105*tbl_Data[[#This Row],[2034 ]]</f>
        <v>0.62053382164776105</v>
      </c>
      <c r="AS105" s="77">
        <f>SUM(tbl_Data[[#This Row],[Adjusted 2025]:[Adjusted 2034]])</f>
        <v>6.8230665465941556</v>
      </c>
      <c r="AT105" s="80">
        <f>AVERAGEIFS('3. Incentive Adjustment'!F:F,'3. Incentive Adjustment'!A:A,tbl_Data[[#This Row],[Trimmed Sector]],'3. Incentive Adjustment'!B:B,tbl_Data[[#This Row],[Trimmed Measure Name]])</f>
        <v>465.31519597206898</v>
      </c>
      <c r="AU105" s="80">
        <f>IFERROR(VLOOKUP(tbl_Data[[#This Row],[All_Meas_Name_Append]],'IRA Tax Credits'!$A$3:$D$46,4,0),0)</f>
        <v>0</v>
      </c>
      <c r="AV105" s="81">
        <f>tbl_Data[[#This Row],[Adj. per unit Incentive ($)]]/tbl_Data[[#This Row],[kWh Savings]]*tbl_Data[[#This Row],[Sum of Annuals]]</f>
        <v>0.90103802119407084</v>
      </c>
      <c r="AW105" s="81">
        <f>IFERROR(VLOOKUP(tbl_Data[[#This Row],[Column1]],'1. Set Program Names'!$B$2:$D$15,3,0)*tbl_Data[[#This Row],[Sum of Annuals]],"")</f>
        <v>2.9513965044550536</v>
      </c>
      <c r="AX105" s="81">
        <f>tbl_Data[[#This Row],[per unit IRA tax ($)]]/tbl_Data[[#This Row],[kWh Savings]]*tbl_Data[[#This Row],[Sum of Annuals]]</f>
        <v>0</v>
      </c>
      <c r="AY105" s="81">
        <f>tbl_Data[[#This Row],[Avoided Costs ($/unit)]]/tbl_Data[[#This Row],[kWh Savings]]*tbl_Data[[#This Row],[Sum of Annuals]]</f>
        <v>6.662415467386932</v>
      </c>
      <c r="AZ105" s="81">
        <f>tbl_Data[[#This Row],[Lost Revenue ($/unit)]]/tbl_Data[[#This Row],[kWh Savings]]*tbl_Data[[#This Row],[Sum of Annuals]]</f>
        <v>12.388436378828059</v>
      </c>
      <c r="BA105" s="81">
        <f>tbl_Data[[#This Row],[Incremental Cost ($/unit)]]/tbl_Data[[#This Row],[kWh Savings]]*tbl_Data[[#This Row],[Sum of Annuals]]</f>
        <v>2.5301049453859492</v>
      </c>
      <c r="BB105" s="77">
        <f>ROUNDUP(tbl_Data[[#This Row],[Adjusted 2025]]/$L105,0)</f>
        <v>1</v>
      </c>
      <c r="BC105" s="77">
        <f>ROUNDUP(tbl_Data[[#This Row],[Adjusted 2026]]/$L105,0)</f>
        <v>1</v>
      </c>
      <c r="BD105" s="77">
        <f>ROUNDUP(tbl_Data[[#This Row],[Adjusted 2027]]/$L105,0)</f>
        <v>1</v>
      </c>
      <c r="BE105" s="77">
        <f>ROUNDUP(tbl_Data[[#This Row],[Adjusted 2028]]/$L105,0)</f>
        <v>1</v>
      </c>
      <c r="BF105" s="77">
        <f>ROUNDUP(tbl_Data[[#This Row],[Adjusted 2029]]/$L105,0)</f>
        <v>1</v>
      </c>
      <c r="BG105" s="77">
        <f>ROUNDUP(tbl_Data[[#This Row],[Adjusted 2030]]/$L105,0)</f>
        <v>1</v>
      </c>
      <c r="BH105" s="77">
        <f>ROUNDUP(tbl_Data[[#This Row],[Adjusted 2031]]/$L105,0)</f>
        <v>1</v>
      </c>
      <c r="BI105" s="77">
        <f>ROUNDUP(tbl_Data[[#This Row],[Adjusted 2032]]/$L105,0)</f>
        <v>1</v>
      </c>
      <c r="BJ105" s="77">
        <f>ROUNDUP(tbl_Data[[#This Row],[Adjusted 2033]]/$L105,0)</f>
        <v>1</v>
      </c>
      <c r="BK105" s="77">
        <f>ROUNDUP(tbl_Data[[#This Row],[Adjusted 2034]]/$L105,0)</f>
        <v>1</v>
      </c>
      <c r="BL105" s="80">
        <f t="shared" si="45"/>
        <v>0.1020779791145307</v>
      </c>
      <c r="BM105" s="80">
        <f t="shared" si="46"/>
        <v>9.8795049684006694E-2</v>
      </c>
      <c r="BN105" s="80">
        <f t="shared" si="47"/>
        <v>9.5693421085298797E-2</v>
      </c>
      <c r="BO105" s="80">
        <f t="shared" si="48"/>
        <v>9.2871731612949829E-2</v>
      </c>
      <c r="BP105" s="80">
        <f t="shared" si="49"/>
        <v>9.0256573345297117E-2</v>
      </c>
      <c r="BQ105" s="80">
        <f t="shared" si="50"/>
        <v>8.7554889730686702E-2</v>
      </c>
      <c r="BR105" s="80">
        <f t="shared" si="51"/>
        <v>8.5383355786581669E-2</v>
      </c>
      <c r="BS105" s="80">
        <f t="shared" si="52"/>
        <v>8.3786416958539708E-2</v>
      </c>
      <c r="BT105" s="80">
        <f t="shared" si="53"/>
        <v>8.2672375897414052E-2</v>
      </c>
      <c r="BU105" s="80">
        <f t="shared" si="54"/>
        <v>8.1946227978765537E-2</v>
      </c>
      <c r="BV105" s="80">
        <f>IFERROR(VLOOKUP($H105,'1. Set Program Names'!$B$2:$D$15,3,0)*V105,"NA")</f>
        <v>0.33436168469473726</v>
      </c>
      <c r="BW105" s="80">
        <f>IFERROR(VLOOKUP($H105,'1. Set Program Names'!$B$2:$D$15,3,0)*W105,"NA")</f>
        <v>0.32360828004619552</v>
      </c>
      <c r="BX105" s="80">
        <f>IFERROR(VLOOKUP($H105,'1. Set Program Names'!$B$2:$D$15,3,0)*X105,"NA")</f>
        <v>0.31344873562185138</v>
      </c>
      <c r="BY105" s="80">
        <f>IFERROR(VLOOKUP($H105,'1. Set Program Names'!$B$2:$D$15,3,0)*Y105,"NA")</f>
        <v>0.30420614624220227</v>
      </c>
      <c r="BZ105" s="80">
        <f>IFERROR(VLOOKUP($H105,'1. Set Program Names'!$B$2:$D$15,3,0)*Z105,"NA")</f>
        <v>0.29564006047423608</v>
      </c>
      <c r="CA105" s="80">
        <f>IFERROR(VLOOKUP($H105,'1. Set Program Names'!$B$2:$D$15,3,0)*AA105,"NA")</f>
        <v>0.28679055647024543</v>
      </c>
      <c r="CB105" s="80">
        <f>IFERROR(VLOOKUP($H105,'1. Set Program Names'!$B$2:$D$15,3,0)*AB105,"NA")</f>
        <v>0.27967758505152146</v>
      </c>
      <c r="CC105" s="80">
        <f>IFERROR(VLOOKUP($H105,'1. Set Program Names'!$B$2:$D$15,3,0)*AC105,"NA")</f>
        <v>0.27444672956701527</v>
      </c>
      <c r="CD105" s="80">
        <f>IFERROR(VLOOKUP($H105,'1. Set Program Names'!$B$2:$D$15,3,0)*AD105,"NA")</f>
        <v>0.27079763062081497</v>
      </c>
      <c r="CE105" s="80">
        <f>IFERROR(VLOOKUP($H105,'1. Set Program Names'!$B$2:$D$15,3,0)*AE105,"NA")</f>
        <v>0.26841909566623406</v>
      </c>
    </row>
    <row r="106" spans="1:83" x14ac:dyDescent="0.25">
      <c r="A106" s="79" t="s">
        <v>114</v>
      </c>
      <c r="B106" s="79" t="s">
        <v>88</v>
      </c>
      <c r="C106" s="79" t="s">
        <v>89</v>
      </c>
      <c r="D106" s="79" t="s">
        <v>90</v>
      </c>
      <c r="E106" s="79" t="s">
        <v>91</v>
      </c>
      <c r="F106" s="79" t="s">
        <v>90</v>
      </c>
      <c r="G106" s="79" t="s">
        <v>92</v>
      </c>
      <c r="H106" s="79" t="s">
        <v>7</v>
      </c>
      <c r="I106" s="79" t="s">
        <v>428</v>
      </c>
      <c r="J106" s="79" t="s">
        <v>97</v>
      </c>
      <c r="K106" s="79" t="s">
        <v>102</v>
      </c>
      <c r="L106" s="79">
        <v>936.45</v>
      </c>
      <c r="M106" s="79">
        <v>0.42562333070119601</v>
      </c>
      <c r="N106" s="79">
        <v>3.9115067461125599E-2</v>
      </c>
      <c r="O106" s="79">
        <v>685.00999995999996</v>
      </c>
      <c r="P106" s="79">
        <v>458.12689399999903</v>
      </c>
      <c r="Q106" s="79">
        <v>270.04819975719403</v>
      </c>
      <c r="R106" s="79">
        <v>763.90764278946904</v>
      </c>
      <c r="S106" s="79">
        <v>1415.5155729468199</v>
      </c>
      <c r="T106" s="79">
        <v>20</v>
      </c>
      <c r="U106" s="79">
        <v>0.1</v>
      </c>
      <c r="V106" s="79">
        <f>tbl_Data_old[[#This Row],[2025 ]]*IFERROR(AVERAGEIFS('Participation Adjustment'!$C:$C,'Participation Adjustment'!$A:$A,$H106,'Participation Adjustment'!$B:$B,$I106),1)</f>
        <v>4.1284377578209099</v>
      </c>
      <c r="W106" s="79">
        <f>tbl_Data_old[[#This Row],[2026 ]]*IFERROR(AVERAGEIFS('Participation Adjustment'!$C:$C,'Participation Adjustment'!$A:$A,$H106,'Participation Adjustment'!$B:$B,$I106),1)</f>
        <v>3.9956553351636499</v>
      </c>
      <c r="X106" s="79">
        <f>tbl_Data_old[[#This Row],[2027 ]]*IFERROR(AVERAGEIFS('Participation Adjustment'!$C:$C,'Participation Adjustment'!$A:$A,$H106,'Participation Adjustment'!$B:$B,$I106),1)</f>
        <v>3.8702062026737498</v>
      </c>
      <c r="Y106" s="79">
        <f>tbl_Data_old[[#This Row],[2028 ]]*IFERROR(AVERAGEIFS('Participation Adjustment'!$C:$C,'Participation Adjustment'!$A:$A,$H106,'Participation Adjustment'!$B:$B,$I106),1)</f>
        <v>3.7560795928464099</v>
      </c>
      <c r="Z106" s="79">
        <f>tbl_Data_old[[#This Row],[2029 ]]*IFERROR(AVERAGEIFS('Participation Adjustment'!$C:$C,'Participation Adjustment'!$A:$A,$H106,'Participation Adjustment'!$B:$B,$I106),1)</f>
        <v>3.6503065333962899</v>
      </c>
      <c r="AA106" s="79">
        <f>tbl_Data_old[[#This Row],[2030 ]]*IFERROR(AVERAGEIFS('Participation Adjustment'!$C:$C,'Participation Adjustment'!$A:$A,$H106,'Participation Adjustment'!$B:$B,$I106),1)</f>
        <v>3.5410346949945302</v>
      </c>
      <c r="AB106" s="79">
        <f>tbl_Data_old[[#This Row],[2031 ]]*IFERROR(AVERAGEIFS('Participation Adjustment'!$C:$C,'Participation Adjustment'!$A:$A,$H106,'Participation Adjustment'!$B:$B,$I106),1)</f>
        <v>3.45320458522465</v>
      </c>
      <c r="AC106" s="79">
        <f>tbl_Data_old[[#This Row],[2032 ]]*IFERROR(AVERAGEIFS('Participation Adjustment'!$C:$C,'Participation Adjustment'!$A:$A,$H106,'Participation Adjustment'!$B:$B,$I106),1)</f>
        <v>3.3886136081782898</v>
      </c>
      <c r="AD106" s="79">
        <f>tbl_Data_old[[#This Row],[2033 ]]*IFERROR(AVERAGEIFS('Participation Adjustment'!$C:$C,'Participation Adjustment'!$A:$A,$H106,'Participation Adjustment'!$B:$B,$I106),1)</f>
        <v>3.34355308679091</v>
      </c>
      <c r="AE106" s="79">
        <f>tbl_Data_old[[#This Row],[2034 ]]*IFERROR(AVERAGEIFS('Participation Adjustment'!$C:$C,'Participation Adjustment'!$A:$A,$H106,'Participation Adjustment'!$B:$B,$I106),1)</f>
        <v>3.3141806163114702</v>
      </c>
      <c r="AF106" s="77" t="str">
        <f t="shared" ref="AF106:AF137" si="55">IF(C106="Residential","Residential","NonResidential")</f>
        <v>Residential</v>
      </c>
      <c r="AG106" s="77" t="str">
        <f>tbl_Data[[#This Row],[All_Meas_Name_Append]]</f>
        <v>Duct Repair_Efficiency Delivered</v>
      </c>
      <c r="AH106" s="77">
        <f>AVERAGEIFS('3. Incentive Adjustment'!G:G,'3. Incentive Adjustment'!A:A,tbl_Data[[#This Row],[Trimmed Sector]],'3. Incentive Adjustment'!B:B,tbl_Data[[#This Row],[Trimmed Measure Name]])</f>
        <v>0.72196841234229292</v>
      </c>
      <c r="AI106" s="77">
        <f>$AH106*tbl_Data[[#This Row],[2025 ]]</f>
        <v>2.980601653467938</v>
      </c>
      <c r="AJ106" s="77">
        <f>$AH106*tbl_Data[[#This Row],[2026 ]]</f>
        <v>2.8847369385951125</v>
      </c>
      <c r="AK106" s="77">
        <f>$AH106*tbl_Data[[#This Row],[2027 ]]</f>
        <v>2.7941666275816615</v>
      </c>
      <c r="AL106" s="77">
        <f>$AH106*tbl_Data[[#This Row],[2028 ]]</f>
        <v>2.7117708202786086</v>
      </c>
      <c r="AM106" s="77">
        <f>$AH106*tbl_Data[[#This Row],[2029 ]]</f>
        <v>2.6354060124788186</v>
      </c>
      <c r="AN106" s="77">
        <f>$AH106*tbl_Data[[#This Row],[2030 ]]</f>
        <v>2.5565151967941766</v>
      </c>
      <c r="AO106" s="77">
        <f>$AH106*tbl_Data[[#This Row],[2031 ]]</f>
        <v>2.4931046318877668</v>
      </c>
      <c r="AP106" s="77">
        <f>$AH106*tbl_Data[[#This Row],[2032 ]]</f>
        <v>2.4464719867379685</v>
      </c>
      <c r="AQ106" s="77">
        <f>$AH106*tbl_Data[[#This Row],[2033 ]]</f>
        <v>2.413939713652606</v>
      </c>
      <c r="AR106" s="77">
        <f>$AH106*tbl_Data[[#This Row],[2034 ]]</f>
        <v>2.3927337177739938</v>
      </c>
      <c r="AS106" s="77">
        <f>SUM(tbl_Data[[#This Row],[Adjusted 2025]:[Adjusted 2034]])</f>
        <v>26.309447299248653</v>
      </c>
      <c r="AT106" s="80">
        <f>AVERAGEIFS('3. Incentive Adjustment'!F:F,'3. Incentive Adjustment'!A:A,tbl_Data[[#This Row],[Trimmed Sector]],'3. Incentive Adjustment'!B:B,tbl_Data[[#This Row],[Trimmed Measure Name]])</f>
        <v>342.50499997999992</v>
      </c>
      <c r="AU106" s="80">
        <f>IFERROR(VLOOKUP(tbl_Data[[#This Row],[All_Meas_Name_Append]],'IRA Tax Credits'!$A$3:$D$46,4,0),0)</f>
        <v>0</v>
      </c>
      <c r="AV106" s="81">
        <f>tbl_Data[[#This Row],[Adj. per unit Incentive ($)]]/tbl_Data[[#This Row],[kWh Savings]]*tbl_Data[[#This Row],[Sum of Annuals]]</f>
        <v>9.6226357485215104</v>
      </c>
      <c r="AW106" s="81">
        <f>IFERROR(VLOOKUP(tbl_Data[[#This Row],[Column1]],'1. Set Program Names'!$B$2:$D$15,3,0)*tbl_Data[[#This Row],[Sum of Annuals]],"")</f>
        <v>11.380456318707164</v>
      </c>
      <c r="AX106" s="81">
        <f>tbl_Data[[#This Row],[per unit IRA tax ($)]]/tbl_Data[[#This Row],[kWh Savings]]*tbl_Data[[#This Row],[Sum of Annuals]]</f>
        <v>0</v>
      </c>
      <c r="AY106" s="81">
        <f>tbl_Data[[#This Row],[Avoided Costs ($/unit)]]/tbl_Data[[#This Row],[kWh Savings]]*tbl_Data[[#This Row],[Sum of Annuals]]</f>
        <v>21.461891045397831</v>
      </c>
      <c r="AZ106" s="81">
        <f>tbl_Data[[#This Row],[Lost Revenue ($/unit)]]/tbl_Data[[#This Row],[kWh Savings]]*tbl_Data[[#This Row],[Sum of Annuals]]</f>
        <v>39.768735509327911</v>
      </c>
      <c r="BA106" s="81">
        <f>tbl_Data[[#This Row],[Incremental Cost ($/unit)]]/tbl_Data[[#This Row],[kWh Savings]]*tbl_Data[[#This Row],[Sum of Annuals]]</f>
        <v>19.245271497043024</v>
      </c>
      <c r="BB106" s="77">
        <f>ROUNDUP(tbl_Data[[#This Row],[Adjusted 2025]]/$L106,0)</f>
        <v>1</v>
      </c>
      <c r="BC106" s="77">
        <f>ROUNDUP(tbl_Data[[#This Row],[Adjusted 2026]]/$L106,0)</f>
        <v>1</v>
      </c>
      <c r="BD106" s="77">
        <f>ROUNDUP(tbl_Data[[#This Row],[Adjusted 2027]]/$L106,0)</f>
        <v>1</v>
      </c>
      <c r="BE106" s="77">
        <f>ROUNDUP(tbl_Data[[#This Row],[Adjusted 2028]]/$L106,0)</f>
        <v>1</v>
      </c>
      <c r="BF106" s="77">
        <f>ROUNDUP(tbl_Data[[#This Row],[Adjusted 2029]]/$L106,0)</f>
        <v>1</v>
      </c>
      <c r="BG106" s="77">
        <f>ROUNDUP(tbl_Data[[#This Row],[Adjusted 2030]]/$L106,0)</f>
        <v>1</v>
      </c>
      <c r="BH106" s="77">
        <f>ROUNDUP(tbl_Data[[#This Row],[Adjusted 2031]]/$L106,0)</f>
        <v>1</v>
      </c>
      <c r="BI106" s="77">
        <f>ROUNDUP(tbl_Data[[#This Row],[Adjusted 2032]]/$L106,0)</f>
        <v>1</v>
      </c>
      <c r="BJ106" s="77">
        <f>ROUNDUP(tbl_Data[[#This Row],[Adjusted 2033]]/$L106,0)</f>
        <v>1</v>
      </c>
      <c r="BK106" s="77">
        <f>ROUNDUP(tbl_Data[[#This Row],[Adjusted 2034]]/$L106,0)</f>
        <v>1</v>
      </c>
      <c r="BL106" s="80">
        <f t="shared" ref="BL106:BL137" si="56">$AT106/$L106*V106</f>
        <v>1.5099691111750564</v>
      </c>
      <c r="BM106" s="80">
        <f t="shared" ref="BM106:BM137" si="57">$AT106/$L106*W106</f>
        <v>1.4614041651880105</v>
      </c>
      <c r="BN106" s="80">
        <f t="shared" ref="BN106:BN137" si="58">$AT106/$L106*X106</f>
        <v>1.4155213576478918</v>
      </c>
      <c r="BO106" s="80">
        <f t="shared" ref="BO106:BO137" si="59">$AT106/$L106*Y106</f>
        <v>1.3737797435770598</v>
      </c>
      <c r="BP106" s="80">
        <f t="shared" ref="BP106:BP137" si="60">$AT106/$L106*Z106</f>
        <v>1.3350934263953118</v>
      </c>
      <c r="BQ106" s="80">
        <f t="shared" ref="BQ106:BQ137" si="61">$AT106/$L106*AA106</f>
        <v>1.2951274367433185</v>
      </c>
      <c r="BR106" s="80">
        <f t="shared" ref="BR106:BR137" si="62">$AT106/$L106*AB106</f>
        <v>1.2630037229892725</v>
      </c>
      <c r="BS106" s="80">
        <f t="shared" ref="BS106:BS137" si="63">$AT106/$L106*AC106</f>
        <v>1.2393796826326366</v>
      </c>
      <c r="BT106" s="80">
        <f t="shared" ref="BT106:BT137" si="64">$AT106/$L106*AD106</f>
        <v>1.2228988733242023</v>
      </c>
      <c r="BU106" s="80">
        <f t="shared" ref="BU106:BU137" si="65">$AT106/$L106*AE106</f>
        <v>1.2121559420401262</v>
      </c>
      <c r="BV106" s="80">
        <f>IFERROR(VLOOKUP($H106,'1. Set Program Names'!$B$2:$D$15,3,0)*V106,"NA")</f>
        <v>1.7858035949209763</v>
      </c>
      <c r="BW106" s="80">
        <f>IFERROR(VLOOKUP($H106,'1. Set Program Names'!$B$2:$D$15,3,0)*W106,"NA")</f>
        <v>1.7283670192394258</v>
      </c>
      <c r="BX106" s="80">
        <f>IFERROR(VLOOKUP($H106,'1. Set Program Names'!$B$2:$D$15,3,0)*X106,"NA")</f>
        <v>1.6741025432022651</v>
      </c>
      <c r="BY106" s="80">
        <f>IFERROR(VLOOKUP($H106,'1. Set Program Names'!$B$2:$D$15,3,0)*Y106,"NA")</f>
        <v>1.6247357555548763</v>
      </c>
      <c r="BZ106" s="80">
        <f>IFERROR(VLOOKUP($H106,'1. Set Program Names'!$B$2:$D$15,3,0)*Z106,"NA")</f>
        <v>1.5789823929290303</v>
      </c>
      <c r="CA106" s="80">
        <f>IFERROR(VLOOKUP($H106,'1. Set Program Names'!$B$2:$D$15,3,0)*AA106,"NA")</f>
        <v>1.5317155929217354</v>
      </c>
      <c r="CB106" s="80">
        <f>IFERROR(VLOOKUP($H106,'1. Set Program Names'!$B$2:$D$15,3,0)*AB106,"NA")</f>
        <v>1.4937236611135776</v>
      </c>
      <c r="CC106" s="80">
        <f>IFERROR(VLOOKUP($H106,'1. Set Program Names'!$B$2:$D$15,3,0)*AC106,"NA")</f>
        <v>1.4657840854737765</v>
      </c>
      <c r="CD106" s="80">
        <f>IFERROR(VLOOKUP($H106,'1. Set Program Names'!$B$2:$D$15,3,0)*AD106,"NA")</f>
        <v>1.4462926347597247</v>
      </c>
      <c r="CE106" s="80">
        <f>IFERROR(VLOOKUP($H106,'1. Set Program Names'!$B$2:$D$15,3,0)*AE106,"NA")</f>
        <v>1.4335872322683039</v>
      </c>
    </row>
    <row r="107" spans="1:83" x14ac:dyDescent="0.25">
      <c r="A107" s="79" t="s">
        <v>114</v>
      </c>
      <c r="B107" s="79" t="s">
        <v>88</v>
      </c>
      <c r="C107" s="79" t="s">
        <v>89</v>
      </c>
      <c r="D107" s="79" t="s">
        <v>90</v>
      </c>
      <c r="E107" s="79" t="s">
        <v>91</v>
      </c>
      <c r="F107" s="79" t="s">
        <v>90</v>
      </c>
      <c r="G107" s="79" t="s">
        <v>92</v>
      </c>
      <c r="H107" s="79" t="s">
        <v>7</v>
      </c>
      <c r="I107" s="79" t="s">
        <v>429</v>
      </c>
      <c r="J107" s="79" t="s">
        <v>97</v>
      </c>
      <c r="K107" s="79" t="s">
        <v>298</v>
      </c>
      <c r="L107" s="79">
        <v>57.93</v>
      </c>
      <c r="M107" s="79">
        <v>0</v>
      </c>
      <c r="N107" s="79">
        <v>1.1014721785810099E-2</v>
      </c>
      <c r="O107" s="79">
        <v>154.1011072</v>
      </c>
      <c r="P107" s="79">
        <v>140.06582681793901</v>
      </c>
      <c r="Q107" s="79">
        <v>16.705528551374101</v>
      </c>
      <c r="R107" s="79">
        <v>46.999759951794701</v>
      </c>
      <c r="S107" s="79">
        <v>87.565611768711094</v>
      </c>
      <c r="T107" s="79">
        <v>20</v>
      </c>
      <c r="U107" s="79">
        <v>0.2</v>
      </c>
      <c r="V107" s="79">
        <f>tbl_Data_old[[#This Row],[2025 ]]*IFERROR(AVERAGEIFS('Participation Adjustment'!$C:$C,'Participation Adjustment'!$A:$A,$H107,'Participation Adjustment'!$B:$B,$I107),1)</f>
        <v>0</v>
      </c>
      <c r="W107" s="79">
        <f>tbl_Data_old[[#This Row],[2026 ]]*IFERROR(AVERAGEIFS('Participation Adjustment'!$C:$C,'Participation Adjustment'!$A:$A,$H107,'Participation Adjustment'!$B:$B,$I107),1)</f>
        <v>0</v>
      </c>
      <c r="X107" s="79">
        <f>tbl_Data_old[[#This Row],[2027 ]]*IFERROR(AVERAGEIFS('Participation Adjustment'!$C:$C,'Participation Adjustment'!$A:$A,$H107,'Participation Adjustment'!$B:$B,$I107),1)</f>
        <v>0</v>
      </c>
      <c r="Y107" s="79">
        <f>tbl_Data_old[[#This Row],[2028 ]]*IFERROR(AVERAGEIFS('Participation Adjustment'!$C:$C,'Participation Adjustment'!$A:$A,$H107,'Participation Adjustment'!$B:$B,$I107),1)</f>
        <v>0</v>
      </c>
      <c r="Z107" s="79">
        <f>tbl_Data_old[[#This Row],[2029 ]]*IFERROR(AVERAGEIFS('Participation Adjustment'!$C:$C,'Participation Adjustment'!$A:$A,$H107,'Participation Adjustment'!$B:$B,$I107),1)</f>
        <v>0</v>
      </c>
      <c r="AA107" s="79">
        <f>tbl_Data_old[[#This Row],[2030 ]]*IFERROR(AVERAGEIFS('Participation Adjustment'!$C:$C,'Participation Adjustment'!$A:$A,$H107,'Participation Adjustment'!$B:$B,$I107),1)</f>
        <v>0</v>
      </c>
      <c r="AB107" s="79">
        <f>tbl_Data_old[[#This Row],[2031 ]]*IFERROR(AVERAGEIFS('Participation Adjustment'!$C:$C,'Participation Adjustment'!$A:$A,$H107,'Participation Adjustment'!$B:$B,$I107),1)</f>
        <v>0</v>
      </c>
      <c r="AC107" s="79">
        <f>tbl_Data_old[[#This Row],[2032 ]]*IFERROR(AVERAGEIFS('Participation Adjustment'!$C:$C,'Participation Adjustment'!$A:$A,$H107,'Participation Adjustment'!$B:$B,$I107),1)</f>
        <v>0</v>
      </c>
      <c r="AD107" s="79">
        <f>tbl_Data_old[[#This Row],[2033 ]]*IFERROR(AVERAGEIFS('Participation Adjustment'!$C:$C,'Participation Adjustment'!$A:$A,$H107,'Participation Adjustment'!$B:$B,$I107),1)</f>
        <v>0</v>
      </c>
      <c r="AE107" s="79">
        <f>tbl_Data_old[[#This Row],[2034 ]]*IFERROR(AVERAGEIFS('Participation Adjustment'!$C:$C,'Participation Adjustment'!$A:$A,$H107,'Participation Adjustment'!$B:$B,$I107),1)</f>
        <v>0</v>
      </c>
      <c r="AF107" s="77" t="str">
        <f t="shared" si="55"/>
        <v>Residential</v>
      </c>
      <c r="AG107" s="77" t="str">
        <f>tbl_Data[[#This Row],[All_Meas_Name_Append]]</f>
        <v>Energy Star Windows Residential_Efficiency Delivered</v>
      </c>
      <c r="AH107" s="77">
        <f>AVERAGEIFS('3. Incentive Adjustment'!G:G,'3. Incentive Adjustment'!A:A,tbl_Data[[#This Row],[Trimmed Sector]],'3. Incentive Adjustment'!B:B,tbl_Data[[#This Row],[Trimmed Measure Name]])</f>
        <v>5.6690987860076834E-2</v>
      </c>
      <c r="AI107" s="77">
        <f>$AH107*tbl_Data[[#This Row],[2025 ]]</f>
        <v>0</v>
      </c>
      <c r="AJ107" s="77">
        <f>$AH107*tbl_Data[[#This Row],[2026 ]]</f>
        <v>0</v>
      </c>
      <c r="AK107" s="77">
        <f>$AH107*tbl_Data[[#This Row],[2027 ]]</f>
        <v>0</v>
      </c>
      <c r="AL107" s="77">
        <f>$AH107*tbl_Data[[#This Row],[2028 ]]</f>
        <v>0</v>
      </c>
      <c r="AM107" s="77">
        <f>$AH107*tbl_Data[[#This Row],[2029 ]]</f>
        <v>0</v>
      </c>
      <c r="AN107" s="77">
        <f>$AH107*tbl_Data[[#This Row],[2030 ]]</f>
        <v>0</v>
      </c>
      <c r="AO107" s="77">
        <f>$AH107*tbl_Data[[#This Row],[2031 ]]</f>
        <v>0</v>
      </c>
      <c r="AP107" s="77">
        <f>$AH107*tbl_Data[[#This Row],[2032 ]]</f>
        <v>0</v>
      </c>
      <c r="AQ107" s="77">
        <f>$AH107*tbl_Data[[#This Row],[2033 ]]</f>
        <v>0</v>
      </c>
      <c r="AR107" s="77">
        <f>$AH107*tbl_Data[[#This Row],[2034 ]]</f>
        <v>0</v>
      </c>
      <c r="AS107" s="77">
        <f>SUM(tbl_Data[[#This Row],[Adjusted 2025]:[Adjusted 2034]])</f>
        <v>0</v>
      </c>
      <c r="AT107" s="80">
        <f>AVERAGEIFS('3. Incentive Adjustment'!F:F,'3. Incentive Adjustment'!A:A,tbl_Data[[#This Row],[Trimmed Sector]],'3. Incentive Adjustment'!B:B,tbl_Data[[#This Row],[Trimmed Measure Name]])</f>
        <v>77.050553600000001</v>
      </c>
      <c r="AU107" s="80">
        <f>IFERROR(VLOOKUP(tbl_Data[[#This Row],[All_Meas_Name_Append]],'IRA Tax Credits'!$A$3:$D$46,4,0),0)</f>
        <v>0</v>
      </c>
      <c r="AV107" s="81">
        <f>tbl_Data[[#This Row],[Adj. per unit Incentive ($)]]/tbl_Data[[#This Row],[kWh Savings]]*tbl_Data[[#This Row],[Sum of Annuals]]</f>
        <v>0</v>
      </c>
      <c r="AW107" s="81">
        <f>IFERROR(VLOOKUP(tbl_Data[[#This Row],[Column1]],'1. Set Program Names'!$B$2:$D$15,3,0)*tbl_Data[[#This Row],[Sum of Annuals]],"")</f>
        <v>0</v>
      </c>
      <c r="AX107" s="81">
        <f>tbl_Data[[#This Row],[per unit IRA tax ($)]]/tbl_Data[[#This Row],[kWh Savings]]*tbl_Data[[#This Row],[Sum of Annuals]]</f>
        <v>0</v>
      </c>
      <c r="AY107" s="81">
        <f>tbl_Data[[#This Row],[Avoided Costs ($/unit)]]/tbl_Data[[#This Row],[kWh Savings]]*tbl_Data[[#This Row],[Sum of Annuals]]</f>
        <v>0</v>
      </c>
      <c r="AZ107" s="81">
        <f>tbl_Data[[#This Row],[Lost Revenue ($/unit)]]/tbl_Data[[#This Row],[kWh Savings]]*tbl_Data[[#This Row],[Sum of Annuals]]</f>
        <v>0</v>
      </c>
      <c r="BA107" s="81">
        <f>tbl_Data[[#This Row],[Incremental Cost ($/unit)]]/tbl_Data[[#This Row],[kWh Savings]]*tbl_Data[[#This Row],[Sum of Annuals]]</f>
        <v>0</v>
      </c>
      <c r="BB107" s="77">
        <f>ROUNDUP(tbl_Data[[#This Row],[Adjusted 2025]]/$L107,0)</f>
        <v>0</v>
      </c>
      <c r="BC107" s="77">
        <f>ROUNDUP(tbl_Data[[#This Row],[Adjusted 2026]]/$L107,0)</f>
        <v>0</v>
      </c>
      <c r="BD107" s="77">
        <f>ROUNDUP(tbl_Data[[#This Row],[Adjusted 2027]]/$L107,0)</f>
        <v>0</v>
      </c>
      <c r="BE107" s="77">
        <f>ROUNDUP(tbl_Data[[#This Row],[Adjusted 2028]]/$L107,0)</f>
        <v>0</v>
      </c>
      <c r="BF107" s="77">
        <f>ROUNDUP(tbl_Data[[#This Row],[Adjusted 2029]]/$L107,0)</f>
        <v>0</v>
      </c>
      <c r="BG107" s="77">
        <f>ROUNDUP(tbl_Data[[#This Row],[Adjusted 2030]]/$L107,0)</f>
        <v>0</v>
      </c>
      <c r="BH107" s="77">
        <f>ROUNDUP(tbl_Data[[#This Row],[Adjusted 2031]]/$L107,0)</f>
        <v>0</v>
      </c>
      <c r="BI107" s="77">
        <f>ROUNDUP(tbl_Data[[#This Row],[Adjusted 2032]]/$L107,0)</f>
        <v>0</v>
      </c>
      <c r="BJ107" s="77">
        <f>ROUNDUP(tbl_Data[[#This Row],[Adjusted 2033]]/$L107,0)</f>
        <v>0</v>
      </c>
      <c r="BK107" s="77">
        <f>ROUNDUP(tbl_Data[[#This Row],[Adjusted 2034]]/$L107,0)</f>
        <v>0</v>
      </c>
      <c r="BL107" s="80">
        <f t="shared" si="56"/>
        <v>0</v>
      </c>
      <c r="BM107" s="80">
        <f t="shared" si="57"/>
        <v>0</v>
      </c>
      <c r="BN107" s="80">
        <f t="shared" si="58"/>
        <v>0</v>
      </c>
      <c r="BO107" s="80">
        <f t="shared" si="59"/>
        <v>0</v>
      </c>
      <c r="BP107" s="80">
        <f t="shared" si="60"/>
        <v>0</v>
      </c>
      <c r="BQ107" s="80">
        <f t="shared" si="61"/>
        <v>0</v>
      </c>
      <c r="BR107" s="80">
        <f t="shared" si="62"/>
        <v>0</v>
      </c>
      <c r="BS107" s="80">
        <f t="shared" si="63"/>
        <v>0</v>
      </c>
      <c r="BT107" s="80">
        <f t="shared" si="64"/>
        <v>0</v>
      </c>
      <c r="BU107" s="80">
        <f t="shared" si="65"/>
        <v>0</v>
      </c>
      <c r="BV107" s="80">
        <f>IFERROR(VLOOKUP($H107,'1. Set Program Names'!$B$2:$D$15,3,0)*V107,"NA")</f>
        <v>0</v>
      </c>
      <c r="BW107" s="80">
        <f>IFERROR(VLOOKUP($H107,'1. Set Program Names'!$B$2:$D$15,3,0)*W107,"NA")</f>
        <v>0</v>
      </c>
      <c r="BX107" s="80">
        <f>IFERROR(VLOOKUP($H107,'1. Set Program Names'!$B$2:$D$15,3,0)*X107,"NA")</f>
        <v>0</v>
      </c>
      <c r="BY107" s="80">
        <f>IFERROR(VLOOKUP($H107,'1. Set Program Names'!$B$2:$D$15,3,0)*Y107,"NA")</f>
        <v>0</v>
      </c>
      <c r="BZ107" s="80">
        <f>IFERROR(VLOOKUP($H107,'1. Set Program Names'!$B$2:$D$15,3,0)*Z107,"NA")</f>
        <v>0</v>
      </c>
      <c r="CA107" s="80">
        <f>IFERROR(VLOOKUP($H107,'1. Set Program Names'!$B$2:$D$15,3,0)*AA107,"NA")</f>
        <v>0</v>
      </c>
      <c r="CB107" s="80">
        <f>IFERROR(VLOOKUP($H107,'1. Set Program Names'!$B$2:$D$15,3,0)*AB107,"NA")</f>
        <v>0</v>
      </c>
      <c r="CC107" s="80">
        <f>IFERROR(VLOOKUP($H107,'1. Set Program Names'!$B$2:$D$15,3,0)*AC107,"NA")</f>
        <v>0</v>
      </c>
      <c r="CD107" s="80">
        <f>IFERROR(VLOOKUP($H107,'1. Set Program Names'!$B$2:$D$15,3,0)*AD107,"NA")</f>
        <v>0</v>
      </c>
      <c r="CE107" s="80">
        <f>IFERROR(VLOOKUP($H107,'1. Set Program Names'!$B$2:$D$15,3,0)*AE107,"NA")</f>
        <v>0</v>
      </c>
    </row>
    <row r="108" spans="1:83" x14ac:dyDescent="0.25">
      <c r="A108" s="79" t="s">
        <v>114</v>
      </c>
      <c r="B108" s="79" t="s">
        <v>88</v>
      </c>
      <c r="C108" s="79" t="s">
        <v>89</v>
      </c>
      <c r="D108" s="79" t="s">
        <v>90</v>
      </c>
      <c r="E108" s="79" t="s">
        <v>91</v>
      </c>
      <c r="F108" s="79" t="s">
        <v>90</v>
      </c>
      <c r="G108" s="79" t="s">
        <v>92</v>
      </c>
      <c r="H108" s="79" t="s">
        <v>7</v>
      </c>
      <c r="I108" s="79" t="s">
        <v>430</v>
      </c>
      <c r="J108" s="79" t="s">
        <v>94</v>
      </c>
      <c r="K108" s="79" t="s">
        <v>108</v>
      </c>
      <c r="L108" s="79">
        <v>1663.1099999999899</v>
      </c>
      <c r="M108" s="79">
        <v>6.6647595975018806E-2</v>
      </c>
      <c r="N108" s="79">
        <v>0.309148293753995</v>
      </c>
      <c r="O108" s="79">
        <v>1389.5</v>
      </c>
      <c r="P108" s="79">
        <v>988.78817699699403</v>
      </c>
      <c r="Q108" s="79">
        <v>479.59833573408702</v>
      </c>
      <c r="R108" s="79">
        <v>791.96156853290995</v>
      </c>
      <c r="S108" s="79">
        <v>2127.4894292214699</v>
      </c>
      <c r="T108" s="79">
        <v>15</v>
      </c>
      <c r="U108" s="79">
        <v>0.1</v>
      </c>
      <c r="V108" s="79">
        <f>tbl_Data_old[[#This Row],[2025 ]]*IFERROR(AVERAGEIFS('Participation Adjustment'!$C:$C,'Participation Adjustment'!$A:$A,$H108,'Participation Adjustment'!$B:$B,$I108),1)</f>
        <v>0.34874594244146501</v>
      </c>
      <c r="W108" s="79">
        <f>tbl_Data_old[[#This Row],[2026 ]]*IFERROR(AVERAGEIFS('Participation Adjustment'!$C:$C,'Participation Adjustment'!$A:$A,$H108,'Participation Adjustment'!$B:$B,$I108),1)</f>
        <v>0.38784653222496301</v>
      </c>
      <c r="X108" s="79">
        <f>tbl_Data_old[[#This Row],[2027 ]]*IFERROR(AVERAGEIFS('Participation Adjustment'!$C:$C,'Participation Adjustment'!$A:$A,$H108,'Participation Adjustment'!$B:$B,$I108),1)</f>
        <v>0.42387900106325699</v>
      </c>
      <c r="Y108" s="79">
        <f>tbl_Data_old[[#This Row],[2028 ]]*IFERROR(AVERAGEIFS('Participation Adjustment'!$C:$C,'Participation Adjustment'!$A:$A,$H108,'Participation Adjustment'!$B:$B,$I108),1)</f>
        <v>0.45794799320788399</v>
      </c>
      <c r="Z108" s="79">
        <f>tbl_Data_old[[#This Row],[2029 ]]*IFERROR(AVERAGEIFS('Participation Adjustment'!$C:$C,'Participation Adjustment'!$A:$A,$H108,'Participation Adjustment'!$B:$B,$I108),1)</f>
        <v>0.49038490255377098</v>
      </c>
      <c r="AA108" s="79">
        <f>tbl_Data_old[[#This Row],[2030 ]]*IFERROR(AVERAGEIFS('Participation Adjustment'!$C:$C,'Participation Adjustment'!$A:$A,$H108,'Participation Adjustment'!$B:$B,$I108),1)</f>
        <v>0.52003985946658804</v>
      </c>
      <c r="AB108" s="79">
        <f>tbl_Data_old[[#This Row],[2031 ]]*IFERROR(AVERAGEIFS('Participation Adjustment'!$C:$C,'Participation Adjustment'!$A:$A,$H108,'Participation Adjustment'!$B:$B,$I108),1)</f>
        <v>0.55100729696540396</v>
      </c>
      <c r="AC108" s="79">
        <f>tbl_Data_old[[#This Row],[2032 ]]*IFERROR(AVERAGEIFS('Participation Adjustment'!$C:$C,'Participation Adjustment'!$A:$A,$H108,'Participation Adjustment'!$B:$B,$I108),1)</f>
        <v>0.58464643293494001</v>
      </c>
      <c r="AD108" s="79">
        <f>tbl_Data_old[[#This Row],[2033 ]]*IFERROR(AVERAGEIFS('Participation Adjustment'!$C:$C,'Participation Adjustment'!$A:$A,$H108,'Participation Adjustment'!$B:$B,$I108),1)</f>
        <v>0.62139999097034704</v>
      </c>
      <c r="AE108" s="79">
        <f>tbl_Data_old[[#This Row],[2034 ]]*IFERROR(AVERAGEIFS('Participation Adjustment'!$C:$C,'Participation Adjustment'!$A:$A,$H108,'Participation Adjustment'!$B:$B,$I108),1)</f>
        <v>0.66151570931585102</v>
      </c>
      <c r="AF108" s="77" t="str">
        <f t="shared" si="55"/>
        <v>Residential</v>
      </c>
      <c r="AG108" s="77" t="str">
        <f>tbl_Data[[#This Row],[All_Meas_Name_Append]]</f>
        <v>Heat Pump Water Heater 50 Gallons- CEE Advanced Tier_Efficiency Delivered</v>
      </c>
      <c r="AH108" s="77">
        <f>AVERAGEIFS('3. Incentive Adjustment'!G:G,'3. Incentive Adjustment'!A:A,tbl_Data[[#This Row],[Trimmed Sector]],'3. Incentive Adjustment'!B:B,tbl_Data[[#This Row],[Trimmed Measure Name]])</f>
        <v>0.62719907351402515</v>
      </c>
      <c r="AI108" s="77">
        <f>$AH108*tbl_Data[[#This Row],[2025 ]]</f>
        <v>0.2187331319910624</v>
      </c>
      <c r="AJ108" s="77">
        <f>$AH108*tbl_Data[[#This Row],[2026 ]]</f>
        <v>0.24325698567712431</v>
      </c>
      <c r="AK108" s="77">
        <f>$AH108*tbl_Data[[#This Row],[2027 ]]</f>
        <v>0.26585651674892524</v>
      </c>
      <c r="AL108" s="77">
        <f>$AH108*tbl_Data[[#This Row],[2028 ]]</f>
        <v>0.28722455705759192</v>
      </c>
      <c r="AM108" s="77">
        <f>$AH108*tbl_Data[[#This Row],[2029 ]]</f>
        <v>0.30756895654699068</v>
      </c>
      <c r="AN108" s="77">
        <f>$AH108*tbl_Data[[#This Row],[2030 ]]</f>
        <v>0.32616851804780789</v>
      </c>
      <c r="AO108" s="77">
        <f>$AH108*tbl_Data[[#This Row],[2031 ]]</f>
        <v>0.3455912661561687</v>
      </c>
      <c r="AP108" s="77">
        <f>$AH108*tbl_Data[[#This Row],[2032 ]]</f>
        <v>0.36668970107007404</v>
      </c>
      <c r="AQ108" s="77">
        <f>$AH108*tbl_Data[[#This Row],[2033 ]]</f>
        <v>0.38974149861822527</v>
      </c>
      <c r="AR108" s="77">
        <f>$AH108*tbl_Data[[#This Row],[2034 ]]</f>
        <v>0.41490203999787495</v>
      </c>
      <c r="AS108" s="77">
        <f>SUM(tbl_Data[[#This Row],[Adjusted 2025]:[Adjusted 2034]])</f>
        <v>3.1657331719118456</v>
      </c>
      <c r="AT108" s="80">
        <f>AVERAGEIFS('3. Incentive Adjustment'!F:F,'3. Incentive Adjustment'!A:A,tbl_Data[[#This Row],[Trimmed Sector]],'3. Incentive Adjustment'!B:B,tbl_Data[[#This Row],[Trimmed Measure Name]])</f>
        <v>694.75</v>
      </c>
      <c r="AU108" s="80">
        <f>IFERROR(VLOOKUP(tbl_Data[[#This Row],[All_Meas_Name_Append]],'IRA Tax Credits'!$A$3:$D$46,4,0),0)</f>
        <v>0</v>
      </c>
      <c r="AV108" s="81">
        <f>tbl_Data[[#This Row],[Adj. per unit Incentive ($)]]/tbl_Data[[#This Row],[kWh Savings]]*tbl_Data[[#This Row],[Sum of Annuals]]</f>
        <v>1.322457998079362</v>
      </c>
      <c r="AW108" s="81">
        <f>IFERROR(VLOOKUP(tbl_Data[[#This Row],[Column1]],'1. Set Program Names'!$B$2:$D$15,3,0)*tbl_Data[[#This Row],[Sum of Annuals]],"")</f>
        <v>1.3693745698965676</v>
      </c>
      <c r="AX108" s="81">
        <f>tbl_Data[[#This Row],[per unit IRA tax ($)]]/tbl_Data[[#This Row],[kWh Savings]]*tbl_Data[[#This Row],[Sum of Annuals]]</f>
        <v>0</v>
      </c>
      <c r="AY108" s="81">
        <f>tbl_Data[[#This Row],[Avoided Costs ($/unit)]]/tbl_Data[[#This Row],[kWh Savings]]*tbl_Data[[#This Row],[Sum of Annuals]]</f>
        <v>1.5075004109072669</v>
      </c>
      <c r="AZ108" s="81">
        <f>tbl_Data[[#This Row],[Lost Revenue ($/unit)]]/tbl_Data[[#This Row],[kWh Savings]]*tbl_Data[[#This Row],[Sum of Annuals]]</f>
        <v>4.0496803332180349</v>
      </c>
      <c r="BA108" s="81">
        <f>tbl_Data[[#This Row],[Incremental Cost ($/unit)]]/tbl_Data[[#This Row],[kWh Savings]]*tbl_Data[[#This Row],[Sum of Annuals]]</f>
        <v>2.6449159961587241</v>
      </c>
      <c r="BB108" s="77">
        <f>ROUNDUP(tbl_Data[[#This Row],[Adjusted 2025]]/$L108,0)</f>
        <v>1</v>
      </c>
      <c r="BC108" s="77">
        <f>ROUNDUP(tbl_Data[[#This Row],[Adjusted 2026]]/$L108,0)</f>
        <v>1</v>
      </c>
      <c r="BD108" s="77">
        <f>ROUNDUP(tbl_Data[[#This Row],[Adjusted 2027]]/$L108,0)</f>
        <v>1</v>
      </c>
      <c r="BE108" s="77">
        <f>ROUNDUP(tbl_Data[[#This Row],[Adjusted 2028]]/$L108,0)</f>
        <v>1</v>
      </c>
      <c r="BF108" s="77">
        <f>ROUNDUP(tbl_Data[[#This Row],[Adjusted 2029]]/$L108,0)</f>
        <v>1</v>
      </c>
      <c r="BG108" s="77">
        <f>ROUNDUP(tbl_Data[[#This Row],[Adjusted 2030]]/$L108,0)</f>
        <v>1</v>
      </c>
      <c r="BH108" s="77">
        <f>ROUNDUP(tbl_Data[[#This Row],[Adjusted 2031]]/$L108,0)</f>
        <v>1</v>
      </c>
      <c r="BI108" s="77">
        <f>ROUNDUP(tbl_Data[[#This Row],[Adjusted 2032]]/$L108,0)</f>
        <v>1</v>
      </c>
      <c r="BJ108" s="77">
        <f>ROUNDUP(tbl_Data[[#This Row],[Adjusted 2033]]/$L108,0)</f>
        <v>1</v>
      </c>
      <c r="BK108" s="77">
        <f>ROUNDUP(tbl_Data[[#This Row],[Adjusted 2034]]/$L108,0)</f>
        <v>1</v>
      </c>
      <c r="BL108" s="80">
        <f t="shared" si="56"/>
        <v>0.14568563926090836</v>
      </c>
      <c r="BM108" s="80">
        <f t="shared" si="57"/>
        <v>0.16201957673472872</v>
      </c>
      <c r="BN108" s="80">
        <f t="shared" si="58"/>
        <v>0.17707183288459546</v>
      </c>
      <c r="BO108" s="80">
        <f t="shared" si="59"/>
        <v>0.19130386341323141</v>
      </c>
      <c r="BP108" s="80">
        <f t="shared" si="60"/>
        <v>0.20485410529023002</v>
      </c>
      <c r="BQ108" s="80">
        <f t="shared" si="61"/>
        <v>0.21724221029541896</v>
      </c>
      <c r="BR108" s="80">
        <f t="shared" si="62"/>
        <v>0.23017859285718725</v>
      </c>
      <c r="BS108" s="80">
        <f t="shared" si="63"/>
        <v>0.24423105463953196</v>
      </c>
      <c r="BT108" s="80">
        <f t="shared" si="64"/>
        <v>0.25958453964359013</v>
      </c>
      <c r="BU108" s="80">
        <f t="shared" si="65"/>
        <v>0.27634253840527101</v>
      </c>
      <c r="BV108" s="80">
        <f>IFERROR(VLOOKUP($H108,'1. Set Program Names'!$B$2:$D$15,3,0)*V108,"NA")</f>
        <v>0.15085409887705239</v>
      </c>
      <c r="BW108" s="80">
        <f>IFERROR(VLOOKUP($H108,'1. Set Program Names'!$B$2:$D$15,3,0)*W108,"NA")</f>
        <v>0.16776751210863688</v>
      </c>
      <c r="BX108" s="80">
        <f>IFERROR(VLOOKUP($H108,'1. Set Program Names'!$B$2:$D$15,3,0)*X108,"NA")</f>
        <v>0.18335377407017542</v>
      </c>
      <c r="BY108" s="80">
        <f>IFERROR(VLOOKUP($H108,'1. Set Program Names'!$B$2:$D$15,3,0)*Y108,"NA")</f>
        <v>0.19809071143394047</v>
      </c>
      <c r="BZ108" s="80">
        <f>IFERROR(VLOOKUP($H108,'1. Set Program Names'!$B$2:$D$15,3,0)*Z108,"NA")</f>
        <v>0.21212167246957092</v>
      </c>
      <c r="CA108" s="80">
        <f>IFERROR(VLOOKUP($H108,'1. Set Program Names'!$B$2:$D$15,3,0)*AA108,"NA")</f>
        <v>0.22494926774136881</v>
      </c>
      <c r="CB108" s="80">
        <f>IFERROR(VLOOKUP($H108,'1. Set Program Names'!$B$2:$D$15,3,0)*AB108,"NA")</f>
        <v>0.23834459170044087</v>
      </c>
      <c r="CC108" s="80">
        <f>IFERROR(VLOOKUP($H108,'1. Set Program Names'!$B$2:$D$15,3,0)*AC108,"NA")</f>
        <v>0.25289558979424304</v>
      </c>
      <c r="CD108" s="80">
        <f>IFERROR(VLOOKUP($H108,'1. Set Program Names'!$B$2:$D$15,3,0)*AD108,"NA")</f>
        <v>0.26879376724440041</v>
      </c>
      <c r="CE108" s="80">
        <f>IFERROR(VLOOKUP($H108,'1. Set Program Names'!$B$2:$D$15,3,0)*AE108,"NA")</f>
        <v>0.28614628609939002</v>
      </c>
    </row>
    <row r="109" spans="1:83" x14ac:dyDescent="0.25">
      <c r="A109" s="79" t="s">
        <v>114</v>
      </c>
      <c r="B109" s="79" t="s">
        <v>88</v>
      </c>
      <c r="C109" s="79" t="s">
        <v>89</v>
      </c>
      <c r="D109" s="79" t="s">
        <v>90</v>
      </c>
      <c r="E109" s="79" t="s">
        <v>91</v>
      </c>
      <c r="F109" s="79" t="s">
        <v>90</v>
      </c>
      <c r="G109" s="79" t="s">
        <v>92</v>
      </c>
      <c r="H109" s="79" t="s">
        <v>7</v>
      </c>
      <c r="I109" s="79" t="s">
        <v>431</v>
      </c>
      <c r="J109" s="79" t="s">
        <v>94</v>
      </c>
      <c r="K109" s="79" t="s">
        <v>95</v>
      </c>
      <c r="L109" s="79">
        <v>1590.11499999999</v>
      </c>
      <c r="M109" s="79">
        <v>6.3722388822036402E-2</v>
      </c>
      <c r="N109" s="79">
        <v>0.29557957027655002</v>
      </c>
      <c r="O109" s="79">
        <v>1389.5</v>
      </c>
      <c r="P109" s="79">
        <v>1006.47372867305</v>
      </c>
      <c r="Q109" s="79">
        <v>458.54844696129999</v>
      </c>
      <c r="R109" s="79">
        <v>757.20185047754296</v>
      </c>
      <c r="S109" s="79">
        <v>2034.1125083407001</v>
      </c>
      <c r="T109" s="79">
        <v>15</v>
      </c>
      <c r="U109" s="79">
        <v>0.1</v>
      </c>
      <c r="V109" s="79">
        <f>tbl_Data_old[[#This Row],[2025 ]]*IFERROR(AVERAGEIFS('Participation Adjustment'!$C:$C,'Participation Adjustment'!$A:$A,$H109,'Participation Adjustment'!$B:$B,$I109),1)</f>
        <v>0.49838335256751698</v>
      </c>
      <c r="W109" s="79">
        <f>tbl_Data_old[[#This Row],[2026 ]]*IFERROR(AVERAGEIFS('Participation Adjustment'!$C:$C,'Participation Adjustment'!$A:$A,$H109,'Participation Adjustment'!$B:$B,$I109),1)</f>
        <v>0.55403369142438397</v>
      </c>
      <c r="X109" s="79">
        <f>tbl_Data_old[[#This Row],[2027 ]]*IFERROR(AVERAGEIFS('Participation Adjustment'!$C:$C,'Participation Adjustment'!$A:$A,$H109,'Participation Adjustment'!$B:$B,$I109),1)</f>
        <v>0.60528250181371801</v>
      </c>
      <c r="Y109" s="79">
        <f>tbl_Data_old[[#This Row],[2028 ]]*IFERROR(AVERAGEIFS('Participation Adjustment'!$C:$C,'Participation Adjustment'!$A:$A,$H109,'Participation Adjustment'!$B:$B,$I109),1)</f>
        <v>0.65371595677824801</v>
      </c>
      <c r="Z109" s="79">
        <f>tbl_Data_old[[#This Row],[2029 ]]*IFERROR(AVERAGEIFS('Participation Adjustment'!$C:$C,'Participation Adjustment'!$A:$A,$H109,'Participation Adjustment'!$B:$B,$I109),1)</f>
        <v>0.69981323571698095</v>
      </c>
      <c r="AA109" s="79">
        <f>tbl_Data_old[[#This Row],[2030 ]]*IFERROR(AVERAGEIFS('Participation Adjustment'!$C:$C,'Participation Adjustment'!$A:$A,$H109,'Participation Adjustment'!$B:$B,$I109),1)</f>
        <v>0.74193854438699702</v>
      </c>
      <c r="AB109" s="79">
        <f>tbl_Data_old[[#This Row],[2031 ]]*IFERROR(AVERAGEIFS('Participation Adjustment'!$C:$C,'Participation Adjustment'!$A:$A,$H109,'Participation Adjustment'!$B:$B,$I109),1)</f>
        <v>0.78593695567946398</v>
      </c>
      <c r="AC109" s="79">
        <f>tbl_Data_old[[#This Row],[2032 ]]*IFERROR(AVERAGEIFS('Participation Adjustment'!$C:$C,'Participation Adjustment'!$A:$A,$H109,'Participation Adjustment'!$B:$B,$I109),1)</f>
        <v>0.83374704767132002</v>
      </c>
      <c r="AD109" s="79">
        <f>tbl_Data_old[[#This Row],[2033 ]]*IFERROR(AVERAGEIFS('Participation Adjustment'!$C:$C,'Participation Adjustment'!$A:$A,$H109,'Participation Adjustment'!$B:$B,$I109),1)</f>
        <v>0.88599916947441504</v>
      </c>
      <c r="AE109" s="79">
        <f>tbl_Data_old[[#This Row],[2034 ]]*IFERROR(AVERAGEIFS('Participation Adjustment'!$C:$C,'Participation Adjustment'!$A:$A,$H109,'Participation Adjustment'!$B:$B,$I109),1)</f>
        <v>0.94304548156546897</v>
      </c>
      <c r="AF109" s="77" t="str">
        <f t="shared" si="55"/>
        <v>Residential</v>
      </c>
      <c r="AG109" s="77" t="str">
        <f>tbl_Data[[#This Row],[All_Meas_Name_Append]]</f>
        <v>Heat Pump Water Heater 50 Gallons-ENERGY STAR_Efficiency Delivered</v>
      </c>
      <c r="AH109" s="77">
        <f>AVERAGEIFS('3. Incentive Adjustment'!G:G,'3. Incentive Adjustment'!A:A,tbl_Data[[#This Row],[Trimmed Sector]],'3. Incentive Adjustment'!B:B,tbl_Data[[#This Row],[Trimmed Measure Name]])</f>
        <v>0.59615658026245322</v>
      </c>
      <c r="AI109" s="77">
        <f>$AH109*tbl_Data[[#This Row],[2025 ]]</f>
        <v>0.29711451512638748</v>
      </c>
      <c r="AJ109" s="77">
        <f>$AH109*tbl_Data[[#This Row],[2026 ]]</f>
        <v>0.33029083082974398</v>
      </c>
      <c r="AK109" s="77">
        <f>$AH109*tbl_Data[[#This Row],[2027 ]]</f>
        <v>0.36084314637396825</v>
      </c>
      <c r="AL109" s="77">
        <f>$AH109*tbl_Data[[#This Row],[2028 ]]</f>
        <v>0.38971706925591798</v>
      </c>
      <c r="AM109" s="77">
        <f>$AH109*tbl_Data[[#This Row],[2029 ]]</f>
        <v>0.41719826542743743</v>
      </c>
      <c r="AN109" s="77">
        <f>$AH109*tbl_Data[[#This Row],[2030 ]]</f>
        <v>0.44231154538665451</v>
      </c>
      <c r="AO109" s="77">
        <f>$AH109*tbl_Data[[#This Row],[2031 ]]</f>
        <v>0.46854148779975252</v>
      </c>
      <c r="AP109" s="77">
        <f>$AH109*tbl_Data[[#This Row],[2032 ]]</f>
        <v>0.49704378874365068</v>
      </c>
      <c r="AQ109" s="77">
        <f>$AH109*tbl_Data[[#This Row],[2033 ]]</f>
        <v>0.52819423498924101</v>
      </c>
      <c r="AR109" s="77">
        <f>$AH109*tbl_Data[[#This Row],[2034 ]]</f>
        <v>0.5622027693220284</v>
      </c>
      <c r="AS109" s="77">
        <f>SUM(tbl_Data[[#This Row],[Adjusted 2025]:[Adjusted 2034]])</f>
        <v>4.2934576532547819</v>
      </c>
      <c r="AT109" s="80">
        <f>AVERAGEIFS('3. Incentive Adjustment'!F:F,'3. Incentive Adjustment'!A:A,tbl_Data[[#This Row],[Trimmed Sector]],'3. Incentive Adjustment'!B:B,tbl_Data[[#This Row],[Trimmed Measure Name]])</f>
        <v>694.75</v>
      </c>
      <c r="AU109" s="80">
        <f>IFERROR(VLOOKUP(tbl_Data[[#This Row],[All_Meas_Name_Append]],'IRA Tax Credits'!$A$3:$D$46,4,0),0)</f>
        <v>0</v>
      </c>
      <c r="AV109" s="81">
        <f>tbl_Data[[#This Row],[Adj. per unit Incentive ($)]]/tbl_Data[[#This Row],[kWh Savings]]*tbl_Data[[#This Row],[Sum of Annuals]]</f>
        <v>1.875889293918225</v>
      </c>
      <c r="AW109" s="81">
        <f>IFERROR(VLOOKUP(tbl_Data[[#This Row],[Column1]],'1. Set Program Names'!$B$2:$D$15,3,0)*tbl_Data[[#This Row],[Sum of Annuals]],"")</f>
        <v>1.8571848630389285</v>
      </c>
      <c r="AX109" s="81">
        <f>tbl_Data[[#This Row],[per unit IRA tax ($)]]/tbl_Data[[#This Row],[kWh Savings]]*tbl_Data[[#This Row],[Sum of Annuals]]</f>
        <v>0</v>
      </c>
      <c r="AY109" s="81">
        <f>tbl_Data[[#This Row],[Avoided Costs ($/unit)]]/tbl_Data[[#This Row],[kWh Savings]]*tbl_Data[[#This Row],[Sum of Annuals]]</f>
        <v>2.0445150696594334</v>
      </c>
      <c r="AZ109" s="81">
        <f>tbl_Data[[#This Row],[Lost Revenue ($/unit)]]/tbl_Data[[#This Row],[kWh Savings]]*tbl_Data[[#This Row],[Sum of Annuals]]</f>
        <v>5.4922920144245637</v>
      </c>
      <c r="BA109" s="81">
        <f>tbl_Data[[#This Row],[Incremental Cost ($/unit)]]/tbl_Data[[#This Row],[kWh Savings]]*tbl_Data[[#This Row],[Sum of Annuals]]</f>
        <v>3.75177858783645</v>
      </c>
      <c r="BB109" s="77">
        <f>ROUNDUP(tbl_Data[[#This Row],[Adjusted 2025]]/$L109,0)</f>
        <v>1</v>
      </c>
      <c r="BC109" s="77">
        <f>ROUNDUP(tbl_Data[[#This Row],[Adjusted 2026]]/$L109,0)</f>
        <v>1</v>
      </c>
      <c r="BD109" s="77">
        <f>ROUNDUP(tbl_Data[[#This Row],[Adjusted 2027]]/$L109,0)</f>
        <v>1</v>
      </c>
      <c r="BE109" s="77">
        <f>ROUNDUP(tbl_Data[[#This Row],[Adjusted 2028]]/$L109,0)</f>
        <v>1</v>
      </c>
      <c r="BF109" s="77">
        <f>ROUNDUP(tbl_Data[[#This Row],[Adjusted 2029]]/$L109,0)</f>
        <v>1</v>
      </c>
      <c r="BG109" s="77">
        <f>ROUNDUP(tbl_Data[[#This Row],[Adjusted 2030]]/$L109,0)</f>
        <v>1</v>
      </c>
      <c r="BH109" s="77">
        <f>ROUNDUP(tbl_Data[[#This Row],[Adjusted 2031]]/$L109,0)</f>
        <v>1</v>
      </c>
      <c r="BI109" s="77">
        <f>ROUNDUP(tbl_Data[[#This Row],[Adjusted 2032]]/$L109,0)</f>
        <v>1</v>
      </c>
      <c r="BJ109" s="77">
        <f>ROUNDUP(tbl_Data[[#This Row],[Adjusted 2033]]/$L109,0)</f>
        <v>1</v>
      </c>
      <c r="BK109" s="77">
        <f>ROUNDUP(tbl_Data[[#This Row],[Adjusted 2034]]/$L109,0)</f>
        <v>1</v>
      </c>
      <c r="BL109" s="80">
        <f t="shared" si="56"/>
        <v>0.21775269977095027</v>
      </c>
      <c r="BM109" s="80">
        <f t="shared" si="57"/>
        <v>0.24206733922835341</v>
      </c>
      <c r="BN109" s="80">
        <f t="shared" si="58"/>
        <v>0.26445887129866913</v>
      </c>
      <c r="BO109" s="80">
        <f t="shared" si="59"/>
        <v>0.28562032366947715</v>
      </c>
      <c r="BP109" s="80">
        <f t="shared" si="60"/>
        <v>0.3057610584859432</v>
      </c>
      <c r="BQ109" s="80">
        <f t="shared" si="61"/>
        <v>0.32416636766074747</v>
      </c>
      <c r="BR109" s="80">
        <f t="shared" si="62"/>
        <v>0.34339006924550175</v>
      </c>
      <c r="BS109" s="80">
        <f t="shared" si="63"/>
        <v>0.36427916306031527</v>
      </c>
      <c r="BT109" s="80">
        <f t="shared" si="64"/>
        <v>0.38710906003172962</v>
      </c>
      <c r="BU109" s="80">
        <f t="shared" si="65"/>
        <v>0.41203362544068428</v>
      </c>
      <c r="BV109" s="80">
        <f>IFERROR(VLOOKUP($H109,'1. Set Program Names'!$B$2:$D$15,3,0)*V109,"NA")</f>
        <v>0.21558149471378046</v>
      </c>
      <c r="BW109" s="80">
        <f>IFERROR(VLOOKUP($H109,'1. Set Program Names'!$B$2:$D$15,3,0)*W109,"NA")</f>
        <v>0.23965369369531944</v>
      </c>
      <c r="BX109" s="80">
        <f>IFERROR(VLOOKUP($H109,'1. Set Program Names'!$B$2:$D$15,3,0)*X109,"NA")</f>
        <v>0.26182196053071505</v>
      </c>
      <c r="BY109" s="80">
        <f>IFERROR(VLOOKUP($H109,'1. Set Program Names'!$B$2:$D$15,3,0)*Y109,"NA")</f>
        <v>0.28277241275110987</v>
      </c>
      <c r="BZ109" s="80">
        <f>IFERROR(VLOOKUP($H109,'1. Set Program Names'!$B$2:$D$15,3,0)*Z109,"NA")</f>
        <v>0.30271232495855832</v>
      </c>
      <c r="CA109" s="80">
        <f>IFERROR(VLOOKUP($H109,'1. Set Program Names'!$B$2:$D$15,3,0)*AA109,"NA")</f>
        <v>0.32093411539673544</v>
      </c>
      <c r="CB109" s="80">
        <f>IFERROR(VLOOKUP($H109,'1. Set Program Names'!$B$2:$D$15,3,0)*AB109,"NA")</f>
        <v>0.33996613808087339</v>
      </c>
      <c r="CC109" s="80">
        <f>IFERROR(VLOOKUP($H109,'1. Set Program Names'!$B$2:$D$15,3,0)*AC109,"NA")</f>
        <v>0.3606469474235397</v>
      </c>
      <c r="CD109" s="80">
        <f>IFERROR(VLOOKUP($H109,'1. Set Program Names'!$B$2:$D$15,3,0)*AD109,"NA")</f>
        <v>0.38324920823792297</v>
      </c>
      <c r="CE109" s="80">
        <f>IFERROR(VLOOKUP($H109,'1. Set Program Names'!$B$2:$D$15,3,0)*AE109,"NA")</f>
        <v>0.40792525161927196</v>
      </c>
    </row>
    <row r="110" spans="1:83" x14ac:dyDescent="0.25">
      <c r="A110" s="79" t="s">
        <v>114</v>
      </c>
      <c r="B110" s="79" t="s">
        <v>88</v>
      </c>
      <c r="C110" s="79" t="s">
        <v>89</v>
      </c>
      <c r="D110" s="79" t="s">
        <v>90</v>
      </c>
      <c r="E110" s="79" t="s">
        <v>91</v>
      </c>
      <c r="F110" s="79" t="s">
        <v>90</v>
      </c>
      <c r="G110" s="79" t="s">
        <v>92</v>
      </c>
      <c r="H110" s="79" t="s">
        <v>7</v>
      </c>
      <c r="I110" s="79" t="s">
        <v>432</v>
      </c>
      <c r="J110" s="79" t="s">
        <v>94</v>
      </c>
      <c r="K110" s="79" t="s">
        <v>108</v>
      </c>
      <c r="L110" s="79">
        <v>461.909999999999</v>
      </c>
      <c r="M110" s="79">
        <v>1.8510616289253799E-2</v>
      </c>
      <c r="N110" s="79">
        <v>8.5862443475120898E-2</v>
      </c>
      <c r="O110" s="79">
        <v>1729.5</v>
      </c>
      <c r="P110" s="79">
        <v>1631.9996867488601</v>
      </c>
      <c r="Q110" s="79">
        <v>133.20301559063</v>
      </c>
      <c r="R110" s="79">
        <v>219.958372038552</v>
      </c>
      <c r="S110" s="79">
        <v>590.88613636602201</v>
      </c>
      <c r="T110" s="79">
        <v>15</v>
      </c>
      <c r="U110" s="79">
        <v>0.1</v>
      </c>
      <c r="V110" s="79">
        <f>tbl_Data_old[[#This Row],[2025 ]]*IFERROR(AVERAGEIFS('Participation Adjustment'!$C:$C,'Participation Adjustment'!$A:$A,$H110,'Participation Adjustment'!$B:$B,$I110),1)</f>
        <v>0.26809216754143</v>
      </c>
      <c r="W110" s="79">
        <f>tbl_Data_old[[#This Row],[2026 ]]*IFERROR(AVERAGEIFS('Participation Adjustment'!$C:$C,'Participation Adjustment'!$A:$A,$H110,'Participation Adjustment'!$B:$B,$I110),1)</f>
        <v>0.29820280006859101</v>
      </c>
      <c r="X110" s="79">
        <f>tbl_Data_old[[#This Row],[2027 ]]*IFERROR(AVERAGEIFS('Participation Adjustment'!$C:$C,'Participation Adjustment'!$A:$A,$H110,'Participation Adjustment'!$B:$B,$I110),1)</f>
        <v>0.32595838792541698</v>
      </c>
      <c r="Y110" s="79">
        <f>tbl_Data_old[[#This Row],[2028 ]]*IFERROR(AVERAGEIFS('Participation Adjustment'!$C:$C,'Participation Adjustment'!$A:$A,$H110,'Participation Adjustment'!$B:$B,$I110),1)</f>
        <v>0.35220629651401197</v>
      </c>
      <c r="Z110" s="79">
        <f>tbl_Data_old[[#This Row],[2029 ]]*IFERROR(AVERAGEIFS('Participation Adjustment'!$C:$C,'Participation Adjustment'!$A:$A,$H110,'Participation Adjustment'!$B:$B,$I110),1)</f>
        <v>0.377199951147206</v>
      </c>
      <c r="AA110" s="79">
        <f>tbl_Data_old[[#This Row],[2030 ]]*IFERROR(AVERAGEIFS('Participation Adjustment'!$C:$C,'Participation Adjustment'!$A:$A,$H110,'Participation Adjustment'!$B:$B,$I110),1)</f>
        <v>0.40005368449397799</v>
      </c>
      <c r="AB110" s="79">
        <f>tbl_Data_old[[#This Row],[2031 ]]*IFERROR(AVERAGEIFS('Participation Adjustment'!$C:$C,'Participation Adjustment'!$A:$A,$H110,'Participation Adjustment'!$B:$B,$I110),1)</f>
        <v>0.423916426301509</v>
      </c>
      <c r="AC110" s="79">
        <f>tbl_Data_old[[#This Row],[2032 ]]*IFERROR(AVERAGEIFS('Participation Adjustment'!$C:$C,'Participation Adjustment'!$A:$A,$H110,'Participation Adjustment'!$B:$B,$I110),1)</f>
        <v>0.44983391367008402</v>
      </c>
      <c r="AD110" s="79">
        <f>tbl_Data_old[[#This Row],[2033 ]]*IFERROR(AVERAGEIFS('Participation Adjustment'!$C:$C,'Participation Adjustment'!$A:$A,$H110,'Participation Adjustment'!$B:$B,$I110),1)</f>
        <v>0.47814699527591698</v>
      </c>
      <c r="AE110" s="79">
        <f>tbl_Data_old[[#This Row],[2034 ]]*IFERROR(AVERAGEIFS('Participation Adjustment'!$C:$C,'Participation Adjustment'!$A:$A,$H110,'Participation Adjustment'!$B:$B,$I110),1)</f>
        <v>0.50904652090422997</v>
      </c>
      <c r="AF110" s="77" t="str">
        <f t="shared" si="55"/>
        <v>Residential</v>
      </c>
      <c r="AG110" s="77" t="str">
        <f>tbl_Data[[#This Row],[All_Meas_Name_Append]]</f>
        <v>Heat Pump Water Heater 80 Gallons-ENERGY STAR_Efficiency Delivered</v>
      </c>
      <c r="AH110" s="77">
        <f>AVERAGEIFS('3. Incentive Adjustment'!G:G,'3. Incentive Adjustment'!A:A,tbl_Data[[#This Row],[Trimmed Sector]],'3. Incentive Adjustment'!B:B,tbl_Data[[#This Row],[Trimmed Measure Name]])</f>
        <v>1.2491787269958169E-2</v>
      </c>
      <c r="AI110" s="77">
        <f>$AH110*tbl_Data[[#This Row],[2025 ]]</f>
        <v>3.3489503256695281E-3</v>
      </c>
      <c r="AJ110" s="77">
        <f>$AH110*tbl_Data[[#This Row],[2026 ]]</f>
        <v>3.7250859417627064E-3</v>
      </c>
      <c r="AK110" s="77">
        <f>$AH110*tbl_Data[[#This Row],[2027 ]]</f>
        <v>4.0718028408228109E-3</v>
      </c>
      <c r="AL110" s="77">
        <f>$AH110*tbl_Data[[#This Row],[2028 ]]</f>
        <v>4.3996861311928473E-3</v>
      </c>
      <c r="AM110" s="77">
        <f>$AH110*tbl_Data[[#This Row],[2029 ]]</f>
        <v>4.711901547969511E-3</v>
      </c>
      <c r="AN110" s="77">
        <f>$AH110*tbl_Data[[#This Row],[2030 ]]</f>
        <v>4.997385523261736E-3</v>
      </c>
      <c r="AO110" s="77">
        <f>$AH110*tbl_Data[[#This Row],[2031 ]]</f>
        <v>5.2954738175993504E-3</v>
      </c>
      <c r="AP110" s="77">
        <f>$AH110*tbl_Data[[#This Row],[2032 ]]</f>
        <v>5.6192295563794173E-3</v>
      </c>
      <c r="AQ110" s="77">
        <f>$AH110*tbl_Data[[#This Row],[2033 ]]</f>
        <v>5.9729105487564488E-3</v>
      </c>
      <c r="AR110" s="77">
        <f>$AH110*tbl_Data[[#This Row],[2034 ]]</f>
        <v>6.3589008496479551E-3</v>
      </c>
      <c r="AS110" s="77">
        <f>SUM(tbl_Data[[#This Row],[Adjusted 2025]:[Adjusted 2034]])</f>
        <v>4.8501327083062311E-2</v>
      </c>
      <c r="AT110" s="80">
        <f>AVERAGEIFS('3. Incentive Adjustment'!F:F,'3. Incentive Adjustment'!A:A,tbl_Data[[#This Row],[Trimmed Sector]],'3. Incentive Adjustment'!B:B,tbl_Data[[#This Row],[Trimmed Measure Name]])</f>
        <v>864.75</v>
      </c>
      <c r="AU110" s="80">
        <f>IFERROR(VLOOKUP(tbl_Data[[#This Row],[All_Meas_Name_Append]],'IRA Tax Credits'!$A$3:$D$46,4,0),0)</f>
        <v>0</v>
      </c>
      <c r="AV110" s="81">
        <f>tbl_Data[[#This Row],[Adj. per unit Incentive ($)]]/tbl_Data[[#This Row],[kWh Savings]]*tbl_Data[[#This Row],[Sum of Annuals]]</f>
        <v>9.080020479114595E-2</v>
      </c>
      <c r="AW110" s="81">
        <f>IFERROR(VLOOKUP(tbl_Data[[#This Row],[Column1]],'1. Set Program Names'!$B$2:$D$15,3,0)*tbl_Data[[#This Row],[Sum of Annuals]],"")</f>
        <v>2.097981109180817E-2</v>
      </c>
      <c r="AX110" s="81">
        <f>tbl_Data[[#This Row],[per unit IRA tax ($)]]/tbl_Data[[#This Row],[kWh Savings]]*tbl_Data[[#This Row],[Sum of Annuals]]</f>
        <v>0</v>
      </c>
      <c r="AY110" s="81">
        <f>tbl_Data[[#This Row],[Avoided Costs ($/unit)]]/tbl_Data[[#This Row],[kWh Savings]]*tbl_Data[[#This Row],[Sum of Annuals]]</f>
        <v>2.3095999105669375E-2</v>
      </c>
      <c r="AZ110" s="81">
        <f>tbl_Data[[#This Row],[Lost Revenue ($/unit)]]/tbl_Data[[#This Row],[kWh Savings]]*tbl_Data[[#This Row],[Sum of Annuals]]</f>
        <v>6.2044038381363152E-2</v>
      </c>
      <c r="BA110" s="81">
        <f>tbl_Data[[#This Row],[Incremental Cost ($/unit)]]/tbl_Data[[#This Row],[kWh Savings]]*tbl_Data[[#This Row],[Sum of Annuals]]</f>
        <v>0.1816004095822919</v>
      </c>
      <c r="BB110" s="77">
        <f>ROUNDUP(tbl_Data[[#This Row],[Adjusted 2025]]/$L110,0)</f>
        <v>1</v>
      </c>
      <c r="BC110" s="77">
        <f>ROUNDUP(tbl_Data[[#This Row],[Adjusted 2026]]/$L110,0)</f>
        <v>1</v>
      </c>
      <c r="BD110" s="77">
        <f>ROUNDUP(tbl_Data[[#This Row],[Adjusted 2027]]/$L110,0)</f>
        <v>1</v>
      </c>
      <c r="BE110" s="77">
        <f>ROUNDUP(tbl_Data[[#This Row],[Adjusted 2028]]/$L110,0)</f>
        <v>1</v>
      </c>
      <c r="BF110" s="77">
        <f>ROUNDUP(tbl_Data[[#This Row],[Adjusted 2029]]/$L110,0)</f>
        <v>1</v>
      </c>
      <c r="BG110" s="77">
        <f>ROUNDUP(tbl_Data[[#This Row],[Adjusted 2030]]/$L110,0)</f>
        <v>1</v>
      </c>
      <c r="BH110" s="77">
        <f>ROUNDUP(tbl_Data[[#This Row],[Adjusted 2031]]/$L110,0)</f>
        <v>1</v>
      </c>
      <c r="BI110" s="77">
        <f>ROUNDUP(tbl_Data[[#This Row],[Adjusted 2032]]/$L110,0)</f>
        <v>1</v>
      </c>
      <c r="BJ110" s="77">
        <f>ROUNDUP(tbl_Data[[#This Row],[Adjusted 2033]]/$L110,0)</f>
        <v>1</v>
      </c>
      <c r="BK110" s="77">
        <f>ROUNDUP(tbl_Data[[#This Row],[Adjusted 2034]]/$L110,0)</f>
        <v>1</v>
      </c>
      <c r="BL110" s="80">
        <f t="shared" si="56"/>
        <v>0.50190015778279773</v>
      </c>
      <c r="BM110" s="80">
        <f t="shared" si="57"/>
        <v>0.55827081327382955</v>
      </c>
      <c r="BN110" s="80">
        <f t="shared" si="58"/>
        <v>0.61023254737612287</v>
      </c>
      <c r="BO110" s="80">
        <f t="shared" si="59"/>
        <v>0.65937172806497479</v>
      </c>
      <c r="BP110" s="80">
        <f t="shared" si="60"/>
        <v>0.70616279741626531</v>
      </c>
      <c r="BQ110" s="80">
        <f t="shared" si="61"/>
        <v>0.74894768172624149</v>
      </c>
      <c r="BR110" s="80">
        <f t="shared" si="62"/>
        <v>0.79362154888231617</v>
      </c>
      <c r="BS110" s="80">
        <f t="shared" si="63"/>
        <v>0.84214214207574201</v>
      </c>
      <c r="BT110" s="80">
        <f t="shared" si="64"/>
        <v>0.89514757022980684</v>
      </c>
      <c r="BU110" s="80">
        <f t="shared" si="65"/>
        <v>0.95299512665223485</v>
      </c>
      <c r="BV110" s="80">
        <f>IFERROR(VLOOKUP($H110,'1. Set Program Names'!$B$2:$D$15,3,0)*V110,"NA")</f>
        <v>0.11596637388045389</v>
      </c>
      <c r="BW110" s="80">
        <f>IFERROR(VLOOKUP($H110,'1. Set Program Names'!$B$2:$D$15,3,0)*W110,"NA")</f>
        <v>0.12899107691987444</v>
      </c>
      <c r="BX110" s="80">
        <f>IFERROR(VLOOKUP($H110,'1. Set Program Names'!$B$2:$D$15,3,0)*X110,"NA")</f>
        <v>0.14099707809549275</v>
      </c>
      <c r="BY110" s="80">
        <f>IFERROR(VLOOKUP($H110,'1. Set Program Names'!$B$2:$D$15,3,0)*Y110,"NA")</f>
        <v>0.15235091513175975</v>
      </c>
      <c r="BZ110" s="80">
        <f>IFERROR(VLOOKUP($H110,'1. Set Program Names'!$B$2:$D$15,3,0)*Z110,"NA")</f>
        <v>0.16316221008458226</v>
      </c>
      <c r="CA110" s="80">
        <f>IFERROR(VLOOKUP($H110,'1. Set Program Names'!$B$2:$D$15,3,0)*AA110,"NA")</f>
        <v>0.17304785728629096</v>
      </c>
      <c r="CB110" s="80">
        <f>IFERROR(VLOOKUP($H110,'1. Set Program Names'!$B$2:$D$15,3,0)*AB110,"NA")</f>
        <v>0.18336996279068707</v>
      </c>
      <c r="CC110" s="80">
        <f>IFERROR(VLOOKUP($H110,'1. Set Program Names'!$B$2:$D$15,3,0)*AC110,"NA")</f>
        <v>0.19458087229911813</v>
      </c>
      <c r="CD110" s="80">
        <f>IFERROR(VLOOKUP($H110,'1. Set Program Names'!$B$2:$D$15,3,0)*AD110,"NA")</f>
        <v>0.20682802385643631</v>
      </c>
      <c r="CE110" s="80">
        <f>IFERROR(VLOOKUP($H110,'1. Set Program Names'!$B$2:$D$15,3,0)*AE110,"NA")</f>
        <v>0.22019397174891944</v>
      </c>
    </row>
    <row r="111" spans="1:83" x14ac:dyDescent="0.25">
      <c r="A111" s="79" t="s">
        <v>114</v>
      </c>
      <c r="B111" s="79" t="s">
        <v>88</v>
      </c>
      <c r="C111" s="79" t="s">
        <v>89</v>
      </c>
      <c r="D111" s="79" t="s">
        <v>90</v>
      </c>
      <c r="E111" s="79" t="s">
        <v>91</v>
      </c>
      <c r="F111" s="79" t="s">
        <v>90</v>
      </c>
      <c r="G111" s="79" t="s">
        <v>92</v>
      </c>
      <c r="H111" s="79" t="s">
        <v>7</v>
      </c>
      <c r="I111" s="79" t="s">
        <v>433</v>
      </c>
      <c r="J111" s="79" t="s">
        <v>97</v>
      </c>
      <c r="K111" s="79" t="s">
        <v>102</v>
      </c>
      <c r="L111" s="79">
        <v>408.28</v>
      </c>
      <c r="M111" s="79">
        <v>0.16567198429270899</v>
      </c>
      <c r="N111" s="79">
        <v>2.3547919008134799E-2</v>
      </c>
      <c r="O111" s="79">
        <v>128.60999999999999</v>
      </c>
      <c r="P111" s="79">
        <v>29.691921599999901</v>
      </c>
      <c r="Q111" s="79">
        <v>117.737496926549</v>
      </c>
      <c r="R111" s="79">
        <v>238.630335182902</v>
      </c>
      <c r="S111" s="79">
        <v>423.90838942107399</v>
      </c>
      <c r="T111" s="79">
        <v>11</v>
      </c>
      <c r="U111" s="79">
        <v>9.9999999999999895E-2</v>
      </c>
      <c r="V111" s="79">
        <f>tbl_Data_old[[#This Row],[2025 ]]*IFERROR(AVERAGEIFS('Participation Adjustment'!$C:$C,'Participation Adjustment'!$A:$A,$H111,'Participation Adjustment'!$B:$B,$I111),1)</f>
        <v>0.72745937913742598</v>
      </c>
      <c r="W111" s="79">
        <f>tbl_Data_old[[#This Row],[2026 ]]*IFERROR(AVERAGEIFS('Participation Adjustment'!$C:$C,'Participation Adjustment'!$A:$A,$H111,'Participation Adjustment'!$B:$B,$I111),1)</f>
        <v>0.60353135433741101</v>
      </c>
      <c r="X111" s="79">
        <f>tbl_Data_old[[#This Row],[2027 ]]*IFERROR(AVERAGEIFS('Participation Adjustment'!$C:$C,'Participation Adjustment'!$A:$A,$H111,'Participation Adjustment'!$B:$B,$I111),1)</f>
        <v>0.50072188030463605</v>
      </c>
      <c r="Y111" s="79">
        <f>tbl_Data_old[[#This Row],[2028 ]]*IFERROR(AVERAGEIFS('Participation Adjustment'!$C:$C,'Participation Adjustment'!$A:$A,$H111,'Participation Adjustment'!$B:$B,$I111),1)</f>
        <v>0.41719935819852599</v>
      </c>
      <c r="Z111" s="79">
        <f>tbl_Data_old[[#This Row],[2029 ]]*IFERROR(AVERAGEIFS('Participation Adjustment'!$C:$C,'Participation Adjustment'!$A:$A,$H111,'Participation Adjustment'!$B:$B,$I111),1)</f>
        <v>0.35000746550255402</v>
      </c>
      <c r="AA111" s="79">
        <f>tbl_Data_old[[#This Row],[2030 ]]*IFERROR(AVERAGEIFS('Participation Adjustment'!$C:$C,'Participation Adjustment'!$A:$A,$H111,'Participation Adjustment'!$B:$B,$I111),1)</f>
        <v>0.29514954717790698</v>
      </c>
      <c r="AB111" s="79">
        <f>tbl_Data_old[[#This Row],[2031 ]]*IFERROR(AVERAGEIFS('Participation Adjustment'!$C:$C,'Participation Adjustment'!$A:$A,$H111,'Participation Adjustment'!$B:$B,$I111),1)</f>
        <v>0.25254130205175201</v>
      </c>
      <c r="AC111" s="79">
        <f>tbl_Data_old[[#This Row],[2032 ]]*IFERROR(AVERAGEIFS('Participation Adjustment'!$C:$C,'Participation Adjustment'!$A:$A,$H111,'Participation Adjustment'!$B:$B,$I111),1)</f>
        <v>0.21950934897543201</v>
      </c>
      <c r="AD111" s="79">
        <f>tbl_Data_old[[#This Row],[2033 ]]*IFERROR(AVERAGEIFS('Participation Adjustment'!$C:$C,'Participation Adjustment'!$A:$A,$H111,'Participation Adjustment'!$B:$B,$I111),1)</f>
        <v>0.19400866566476099</v>
      </c>
      <c r="AE111" s="79">
        <f>tbl_Data_old[[#This Row],[2034 ]]*IFERROR(AVERAGEIFS('Participation Adjustment'!$C:$C,'Participation Adjustment'!$A:$A,$H111,'Participation Adjustment'!$B:$B,$I111),1)</f>
        <v>0.174318652021449</v>
      </c>
      <c r="AF111" s="77" t="str">
        <f t="shared" si="55"/>
        <v>Residential</v>
      </c>
      <c r="AG111" s="77" t="str">
        <f>tbl_Data[[#This Row],[All_Meas_Name_Append]]</f>
        <v>Smart Thermostat Residential_Efficiency Delivered</v>
      </c>
      <c r="AH111" s="77">
        <f>AVERAGEIFS('3. Incentive Adjustment'!G:G,'3. Incentive Adjustment'!A:A,tbl_Data[[#This Row],[Trimmed Sector]],'3. Incentive Adjustment'!B:B,tbl_Data[[#This Row],[Trimmed Measure Name]])</f>
        <v>1</v>
      </c>
      <c r="AI111" s="77">
        <f>$AH111*tbl_Data[[#This Row],[2025 ]]</f>
        <v>0.72745937913742598</v>
      </c>
      <c r="AJ111" s="77">
        <f>$AH111*tbl_Data[[#This Row],[2026 ]]</f>
        <v>0.60353135433741101</v>
      </c>
      <c r="AK111" s="77">
        <f>$AH111*tbl_Data[[#This Row],[2027 ]]</f>
        <v>0.50072188030463605</v>
      </c>
      <c r="AL111" s="77">
        <f>$AH111*tbl_Data[[#This Row],[2028 ]]</f>
        <v>0.41719935819852599</v>
      </c>
      <c r="AM111" s="77">
        <f>$AH111*tbl_Data[[#This Row],[2029 ]]</f>
        <v>0.35000746550255402</v>
      </c>
      <c r="AN111" s="77">
        <f>$AH111*tbl_Data[[#This Row],[2030 ]]</f>
        <v>0.29514954717790698</v>
      </c>
      <c r="AO111" s="77">
        <f>$AH111*tbl_Data[[#This Row],[2031 ]]</f>
        <v>0.25254130205175201</v>
      </c>
      <c r="AP111" s="77">
        <f>$AH111*tbl_Data[[#This Row],[2032 ]]</f>
        <v>0.21950934897543201</v>
      </c>
      <c r="AQ111" s="77">
        <f>$AH111*tbl_Data[[#This Row],[2033 ]]</f>
        <v>0.19400866566476099</v>
      </c>
      <c r="AR111" s="77">
        <f>$AH111*tbl_Data[[#This Row],[2034 ]]</f>
        <v>0.174318652021449</v>
      </c>
      <c r="AS111" s="77">
        <f>SUM(tbl_Data[[#This Row],[Adjusted 2025]:[Adjusted 2034]])</f>
        <v>3.7344469533718536</v>
      </c>
      <c r="AT111" s="80">
        <f>AVERAGEIFS('3. Incentive Adjustment'!F:F,'3. Incentive Adjustment'!A:A,tbl_Data[[#This Row],[Trimmed Sector]],'3. Incentive Adjustment'!B:B,tbl_Data[[#This Row],[Trimmed Measure Name]])</f>
        <v>29.691921599999898</v>
      </c>
      <c r="AU111" s="80">
        <f>IFERROR(VLOOKUP(tbl_Data[[#This Row],[All_Meas_Name_Append]],'IRA Tax Credits'!$A$3:$D$46,4,0),0)</f>
        <v>0</v>
      </c>
      <c r="AV111" s="81">
        <f>tbl_Data[[#This Row],[Adj. per unit Incentive ($)]]/tbl_Data[[#This Row],[kWh Savings]]*tbl_Data[[#This Row],[Sum of Annuals]]</f>
        <v>0.2715854466515028</v>
      </c>
      <c r="AW111" s="81">
        <f>IFERROR(VLOOKUP(tbl_Data[[#This Row],[Column1]],'1. Set Program Names'!$B$2:$D$15,3,0)*tbl_Data[[#This Row],[Sum of Annuals]],"")</f>
        <v>1.6153783066583516</v>
      </c>
      <c r="AX111" s="81">
        <f>tbl_Data[[#This Row],[per unit IRA tax ($)]]/tbl_Data[[#This Row],[kWh Savings]]*tbl_Data[[#This Row],[Sum of Annuals]]</f>
        <v>0</v>
      </c>
      <c r="AY111" s="81">
        <f>tbl_Data[[#This Row],[Avoided Costs ($/unit)]]/tbl_Data[[#This Row],[kWh Savings]]*tbl_Data[[#This Row],[Sum of Annuals]]</f>
        <v>2.1826989522041065</v>
      </c>
      <c r="AZ111" s="81">
        <f>tbl_Data[[#This Row],[Lost Revenue ($/unit)]]/tbl_Data[[#This Row],[kWh Savings]]*tbl_Data[[#This Row],[Sum of Annuals]]</f>
        <v>3.8773963784224046</v>
      </c>
      <c r="BA111" s="81">
        <f>tbl_Data[[#This Row],[Incremental Cost ($/unit)]]/tbl_Data[[#This Row],[kWh Savings]]*tbl_Data[[#This Row],[Sum of Annuals]]</f>
        <v>1.1763672545144364</v>
      </c>
      <c r="BB111" s="77">
        <f>ROUNDUP(tbl_Data[[#This Row],[Adjusted 2025]]/$L111,0)</f>
        <v>1</v>
      </c>
      <c r="BC111" s="77">
        <f>ROUNDUP(tbl_Data[[#This Row],[Adjusted 2026]]/$L111,0)</f>
        <v>1</v>
      </c>
      <c r="BD111" s="77">
        <f>ROUNDUP(tbl_Data[[#This Row],[Adjusted 2027]]/$L111,0)</f>
        <v>1</v>
      </c>
      <c r="BE111" s="77">
        <f>ROUNDUP(tbl_Data[[#This Row],[Adjusted 2028]]/$L111,0)</f>
        <v>1</v>
      </c>
      <c r="BF111" s="77">
        <f>ROUNDUP(tbl_Data[[#This Row],[Adjusted 2029]]/$L111,0)</f>
        <v>1</v>
      </c>
      <c r="BG111" s="77">
        <f>ROUNDUP(tbl_Data[[#This Row],[Adjusted 2030]]/$L111,0)</f>
        <v>1</v>
      </c>
      <c r="BH111" s="77">
        <f>ROUNDUP(tbl_Data[[#This Row],[Adjusted 2031]]/$L111,0)</f>
        <v>1</v>
      </c>
      <c r="BI111" s="77">
        <f>ROUNDUP(tbl_Data[[#This Row],[Adjusted 2032]]/$L111,0)</f>
        <v>1</v>
      </c>
      <c r="BJ111" s="77">
        <f>ROUNDUP(tbl_Data[[#This Row],[Adjusted 2033]]/$L111,0)</f>
        <v>1</v>
      </c>
      <c r="BK111" s="77">
        <f>ROUNDUP(tbl_Data[[#This Row],[Adjusted 2034]]/$L111,0)</f>
        <v>1</v>
      </c>
      <c r="BL111" s="80">
        <f t="shared" si="56"/>
        <v>5.2904053229482349E-2</v>
      </c>
      <c r="BM111" s="80">
        <f t="shared" si="57"/>
        <v>4.3891460899696692E-2</v>
      </c>
      <c r="BN111" s="80">
        <f t="shared" si="58"/>
        <v>3.6414702687885242E-2</v>
      </c>
      <c r="BO111" s="80">
        <f t="shared" si="59"/>
        <v>3.034057665131995E-2</v>
      </c>
      <c r="BP111" s="80">
        <f t="shared" si="60"/>
        <v>2.5454085982944311E-2</v>
      </c>
      <c r="BQ111" s="80">
        <f t="shared" si="61"/>
        <v>2.1464576308126496E-2</v>
      </c>
      <c r="BR111" s="80">
        <f t="shared" si="62"/>
        <v>1.836591687391622E-2</v>
      </c>
      <c r="BS111" s="80">
        <f t="shared" si="63"/>
        <v>1.596368761694314E-2</v>
      </c>
      <c r="BT111" s="80">
        <f t="shared" si="64"/>
        <v>1.4109165500731546E-2</v>
      </c>
      <c r="BU111" s="80">
        <f t="shared" si="65"/>
        <v>1.2677220900456861E-2</v>
      </c>
      <c r="BV111" s="80">
        <f>IFERROR(VLOOKUP($H111,'1. Set Program Names'!$B$2:$D$15,3,0)*V111,"NA")</f>
        <v>0.31467098467491322</v>
      </c>
      <c r="BW111" s="80">
        <f>IFERROR(VLOOKUP($H111,'1. Set Program Names'!$B$2:$D$15,3,0)*W111,"NA")</f>
        <v>0.26106448139650701</v>
      </c>
      <c r="BX111" s="80">
        <f>IFERROR(VLOOKUP($H111,'1. Set Program Names'!$B$2:$D$15,3,0)*X111,"NA")</f>
        <v>0.21659305198671219</v>
      </c>
      <c r="BY111" s="80">
        <f>IFERROR(VLOOKUP($H111,'1. Set Program Names'!$B$2:$D$15,3,0)*Y111,"NA")</f>
        <v>0.18046441714138861</v>
      </c>
      <c r="BZ111" s="80">
        <f>IFERROR(VLOOKUP($H111,'1. Set Program Names'!$B$2:$D$15,3,0)*Z111,"NA")</f>
        <v>0.15139978529640091</v>
      </c>
      <c r="CA111" s="80">
        <f>IFERROR(VLOOKUP($H111,'1. Set Program Names'!$B$2:$D$15,3,0)*AA111,"NA")</f>
        <v>0.12767035699911092</v>
      </c>
      <c r="CB111" s="80">
        <f>IFERROR(VLOOKUP($H111,'1. Set Program Names'!$B$2:$D$15,3,0)*AB111,"NA")</f>
        <v>0.10923966680027797</v>
      </c>
      <c r="CC111" s="80">
        <f>IFERROR(VLOOKUP($H111,'1. Set Program Names'!$B$2:$D$15,3,0)*AC111,"NA")</f>
        <v>9.4951312703330432E-2</v>
      </c>
      <c r="CD111" s="80">
        <f>IFERROR(VLOOKUP($H111,'1. Set Program Names'!$B$2:$D$15,3,0)*AD111,"NA")</f>
        <v>8.3920696620317398E-2</v>
      </c>
      <c r="CE111" s="80">
        <f>IFERROR(VLOOKUP($H111,'1. Set Program Names'!$B$2:$D$15,3,0)*AE111,"NA")</f>
        <v>7.5403553039393154E-2</v>
      </c>
    </row>
    <row r="112" spans="1:83" x14ac:dyDescent="0.25">
      <c r="A112" s="79" t="s">
        <v>114</v>
      </c>
      <c r="B112" s="79" t="s">
        <v>88</v>
      </c>
      <c r="C112" s="79" t="s">
        <v>89</v>
      </c>
      <c r="D112" s="79" t="s">
        <v>90</v>
      </c>
      <c r="E112" s="79" t="s">
        <v>91</v>
      </c>
      <c r="F112" s="79" t="s">
        <v>90</v>
      </c>
      <c r="G112" s="79" t="s">
        <v>92</v>
      </c>
      <c r="H112" s="79"/>
      <c r="I112" s="79" t="s">
        <v>112</v>
      </c>
      <c r="J112" s="79" t="s">
        <v>94</v>
      </c>
      <c r="K112" s="79" t="s">
        <v>108</v>
      </c>
      <c r="L112" s="79">
        <v>1330.8133333333301</v>
      </c>
      <c r="M112" s="79">
        <v>5.33311142126306E-2</v>
      </c>
      <c r="N112" s="79">
        <v>0.24737910980336</v>
      </c>
      <c r="O112" s="79">
        <v>8990.02</v>
      </c>
      <c r="P112" s="79">
        <v>8776.4394094329891</v>
      </c>
      <c r="Q112" s="79">
        <v>383.77248638959497</v>
      </c>
      <c r="R112" s="79">
        <v>713.19672296706005</v>
      </c>
      <c r="S112" s="79">
        <v>2011.6258188035599</v>
      </c>
      <c r="T112" s="79">
        <v>20</v>
      </c>
      <c r="U112" s="79">
        <v>0.1</v>
      </c>
      <c r="V112" s="79">
        <f>tbl_Data_old[[#This Row],[2025 ]]*IFERROR(AVERAGEIFS('Participation Adjustment'!$C:$C,'Participation Adjustment'!$A:$A,$H112,'Participation Adjustment'!$B:$B,$I112),1)</f>
        <v>0.86484412494026597</v>
      </c>
      <c r="W112" s="79">
        <f>tbl_Data_old[[#This Row],[2026 ]]*IFERROR(AVERAGEIFS('Participation Adjustment'!$C:$C,'Participation Adjustment'!$A:$A,$H112,'Participation Adjustment'!$B:$B,$I112),1)</f>
        <v>0.96251419044017605</v>
      </c>
      <c r="X112" s="79">
        <f>tbl_Data_old[[#This Row],[2027 ]]*IFERROR(AVERAGEIFS('Participation Adjustment'!$C:$C,'Participation Adjustment'!$A:$A,$H112,'Participation Adjustment'!$B:$B,$I112),1)</f>
        <v>1.05263402874219</v>
      </c>
      <c r="Y112" s="79">
        <f>tbl_Data_old[[#This Row],[2028 ]]*IFERROR(AVERAGEIFS('Participation Adjustment'!$C:$C,'Participation Adjustment'!$A:$A,$H112,'Participation Adjustment'!$B:$B,$I112),1)</f>
        <v>1.13791996404055</v>
      </c>
      <c r="Z112" s="79">
        <f>tbl_Data_old[[#This Row],[2029 ]]*IFERROR(AVERAGEIFS('Participation Adjustment'!$C:$C,'Participation Adjustment'!$A:$A,$H112,'Participation Adjustment'!$B:$B,$I112),1)</f>
        <v>1.21917652628399</v>
      </c>
      <c r="AA112" s="79">
        <f>tbl_Data_old[[#This Row],[2030 ]]*IFERROR(AVERAGEIFS('Participation Adjustment'!$C:$C,'Participation Adjustment'!$A:$A,$H112,'Participation Adjustment'!$B:$B,$I112),1)</f>
        <v>1.2935287367463</v>
      </c>
      <c r="AB112" s="79">
        <f>tbl_Data_old[[#This Row],[2031 ]]*IFERROR(AVERAGEIFS('Participation Adjustment'!$C:$C,'Participation Adjustment'!$A:$A,$H112,'Participation Adjustment'!$B:$B,$I112),1)</f>
        <v>1.3711495271055401</v>
      </c>
      <c r="AC112" s="79">
        <f>tbl_Data_old[[#This Row],[2032 ]]*IFERROR(AVERAGEIFS('Participation Adjustment'!$C:$C,'Participation Adjustment'!$A:$A,$H112,'Participation Adjustment'!$B:$B,$I112),1)</f>
        <v>1.45542171810748</v>
      </c>
      <c r="AD112" s="79">
        <f>tbl_Data_old[[#This Row],[2033 ]]*IFERROR(AVERAGEIFS('Participation Adjustment'!$C:$C,'Participation Adjustment'!$A:$A,$H112,'Participation Adjustment'!$B:$B,$I112),1)</f>
        <v>1.5474506786347</v>
      </c>
      <c r="AE112" s="79">
        <f>tbl_Data_old[[#This Row],[2034 ]]*IFERROR(AVERAGEIFS('Participation Adjustment'!$C:$C,'Participation Adjustment'!$A:$A,$H112,'Participation Adjustment'!$B:$B,$I112),1)</f>
        <v>1.6478568373018501</v>
      </c>
      <c r="AF112" s="77" t="str">
        <f t="shared" si="55"/>
        <v>Residential</v>
      </c>
      <c r="AG112" s="77" t="str">
        <f>tbl_Data[[#This Row],[All_Meas_Name_Append]]</f>
        <v>Solar Thermal Water Heating System</v>
      </c>
      <c r="AH112" s="77">
        <f>AVERAGEIFS('3. Incentive Adjustment'!G:G,'3. Incentive Adjustment'!A:A,tbl_Data[[#This Row],[Trimmed Sector]],'3. Incentive Adjustment'!B:B,tbl_Data[[#This Row],[Trimmed Measure Name]])</f>
        <v>2.7736651842107431E-8</v>
      </c>
      <c r="AI112" s="77">
        <f>$AH112*tbl_Data[[#This Row],[2025 ]]</f>
        <v>2.3987880391160216E-8</v>
      </c>
      <c r="AJ112" s="77">
        <f>$AH112*tbl_Data[[#This Row],[2026 ]]</f>
        <v>2.6696920993327053E-8</v>
      </c>
      <c r="AK112" s="77">
        <f>$AH112*tbl_Data[[#This Row],[2027 ]]</f>
        <v>2.9196543572377031E-8</v>
      </c>
      <c r="AL112" s="77">
        <f>$AH112*tbl_Data[[#This Row],[2028 ]]</f>
        <v>3.1562089866776141E-8</v>
      </c>
      <c r="AM112" s="77">
        <f>$AH112*tbl_Data[[#This Row],[2029 ]]</f>
        <v>3.3815874843608971E-8</v>
      </c>
      <c r="AN112" s="77">
        <f>$AH112*tbl_Data[[#This Row],[2030 ]]</f>
        <v>3.5878156218893161E-8</v>
      </c>
      <c r="AO112" s="77">
        <f>$AH112*tbl_Data[[#This Row],[2031 ]]</f>
        <v>3.8031097056796609E-8</v>
      </c>
      <c r="AP112" s="77">
        <f>$AH112*tbl_Data[[#This Row],[2032 ]]</f>
        <v>4.0368525478588994E-8</v>
      </c>
      <c r="AQ112" s="77">
        <f>$AH112*tbl_Data[[#This Row],[2033 ]]</f>
        <v>4.2921100716123545E-8</v>
      </c>
      <c r="AR112" s="77">
        <f>$AH112*tbl_Data[[#This Row],[2034 ]]</f>
        <v>4.5706031381877683E-8</v>
      </c>
      <c r="AS112" s="77">
        <f>SUM(tbl_Data[[#This Row],[Adjusted 2025]:[Adjusted 2034]])</f>
        <v>3.4816422051952943E-7</v>
      </c>
      <c r="AT112" s="80">
        <f>AVERAGEIFS('3. Incentive Adjustment'!F:F,'3. Incentive Adjustment'!A:A,tbl_Data[[#This Row],[Trimmed Sector]],'3. Incentive Adjustment'!B:B,tbl_Data[[#This Row],[Trimmed Measure Name]])</f>
        <v>0</v>
      </c>
      <c r="AU112" s="80">
        <f>IFERROR(VLOOKUP(tbl_Data[[#This Row],[All_Meas_Name_Append]],'IRA Tax Credits'!$A$3:$D$46,4,0),0)</f>
        <v>41666.666666666672</v>
      </c>
      <c r="AV112" s="81">
        <f>tbl_Data[[#This Row],[Adj. per unit Incentive ($)]]/tbl_Data[[#This Row],[kWh Savings]]*tbl_Data[[#This Row],[Sum of Annuals]]</f>
        <v>0</v>
      </c>
      <c r="AW112" s="81" t="str">
        <f>IFERROR(VLOOKUP(tbl_Data[[#This Row],[Column1]],'1. Set Program Names'!$B$2:$D$15,3,0)*tbl_Data[[#This Row],[Sum of Annuals]],"")</f>
        <v/>
      </c>
      <c r="AX112" s="81">
        <f>tbl_Data[[#This Row],[per unit IRA tax ($)]]/tbl_Data[[#This Row],[kWh Savings]]*tbl_Data[[#This Row],[Sum of Annuals]]</f>
        <v>1.0900734279022675E-5</v>
      </c>
      <c r="AY112" s="81">
        <f>tbl_Data[[#This Row],[Avoided Costs ($/unit)]]/tbl_Data[[#This Row],[kWh Savings]]*tbl_Data[[#This Row],[Sum of Annuals]]</f>
        <v>1.8658483117760806E-7</v>
      </c>
      <c r="AZ112" s="81">
        <f>tbl_Data[[#This Row],[Lost Revenue ($/unit)]]/tbl_Data[[#This Row],[kWh Savings]]*tbl_Data[[#This Row],[Sum of Annuals]]</f>
        <v>5.2627676447037649E-7</v>
      </c>
      <c r="BA112" s="81">
        <f>tbl_Data[[#This Row],[Incremental Cost ($/unit)]]/tbl_Data[[#This Row],[kWh Savings]]*tbl_Data[[#This Row],[Sum of Annuals]]</f>
        <v>2.3519476603943861E-6</v>
      </c>
      <c r="BB112" s="77">
        <f>ROUNDUP(tbl_Data[[#This Row],[Adjusted 2025]]/$L112,0)</f>
        <v>1</v>
      </c>
      <c r="BC112" s="77">
        <f>ROUNDUP(tbl_Data[[#This Row],[Adjusted 2026]]/$L112,0)</f>
        <v>1</v>
      </c>
      <c r="BD112" s="77">
        <f>ROUNDUP(tbl_Data[[#This Row],[Adjusted 2027]]/$L112,0)</f>
        <v>1</v>
      </c>
      <c r="BE112" s="77">
        <f>ROUNDUP(tbl_Data[[#This Row],[Adjusted 2028]]/$L112,0)</f>
        <v>1</v>
      </c>
      <c r="BF112" s="77">
        <f>ROUNDUP(tbl_Data[[#This Row],[Adjusted 2029]]/$L112,0)</f>
        <v>1</v>
      </c>
      <c r="BG112" s="77">
        <f>ROUNDUP(tbl_Data[[#This Row],[Adjusted 2030]]/$L112,0)</f>
        <v>1</v>
      </c>
      <c r="BH112" s="77">
        <f>ROUNDUP(tbl_Data[[#This Row],[Adjusted 2031]]/$L112,0)</f>
        <v>1</v>
      </c>
      <c r="BI112" s="77">
        <f>ROUNDUP(tbl_Data[[#This Row],[Adjusted 2032]]/$L112,0)</f>
        <v>1</v>
      </c>
      <c r="BJ112" s="77">
        <f>ROUNDUP(tbl_Data[[#This Row],[Adjusted 2033]]/$L112,0)</f>
        <v>1</v>
      </c>
      <c r="BK112" s="77">
        <f>ROUNDUP(tbl_Data[[#This Row],[Adjusted 2034]]/$L112,0)</f>
        <v>1</v>
      </c>
      <c r="BL112" s="80">
        <f t="shared" si="56"/>
        <v>0</v>
      </c>
      <c r="BM112" s="80">
        <f t="shared" si="57"/>
        <v>0</v>
      </c>
      <c r="BN112" s="80">
        <f t="shared" si="58"/>
        <v>0</v>
      </c>
      <c r="BO112" s="80">
        <f t="shared" si="59"/>
        <v>0</v>
      </c>
      <c r="BP112" s="80">
        <f t="shared" si="60"/>
        <v>0</v>
      </c>
      <c r="BQ112" s="80">
        <f t="shared" si="61"/>
        <v>0</v>
      </c>
      <c r="BR112" s="80">
        <f t="shared" si="62"/>
        <v>0</v>
      </c>
      <c r="BS112" s="80">
        <f t="shared" si="63"/>
        <v>0</v>
      </c>
      <c r="BT112" s="80">
        <f t="shared" si="64"/>
        <v>0</v>
      </c>
      <c r="BU112" s="80">
        <f t="shared" si="65"/>
        <v>0</v>
      </c>
      <c r="BV112" s="80" t="str">
        <f>IFERROR(VLOOKUP($H112,'1. Set Program Names'!$B$2:$D$15,3,0)*V112,"NA")</f>
        <v>NA</v>
      </c>
      <c r="BW112" s="80" t="str">
        <f>IFERROR(VLOOKUP($H112,'1. Set Program Names'!$B$2:$D$15,3,0)*W112,"NA")</f>
        <v>NA</v>
      </c>
      <c r="BX112" s="80" t="str">
        <f>IFERROR(VLOOKUP($H112,'1. Set Program Names'!$B$2:$D$15,3,0)*X112,"NA")</f>
        <v>NA</v>
      </c>
      <c r="BY112" s="80" t="str">
        <f>IFERROR(VLOOKUP($H112,'1. Set Program Names'!$B$2:$D$15,3,0)*Y112,"NA")</f>
        <v>NA</v>
      </c>
      <c r="BZ112" s="80" t="str">
        <f>IFERROR(VLOOKUP($H112,'1. Set Program Names'!$B$2:$D$15,3,0)*Z112,"NA")</f>
        <v>NA</v>
      </c>
      <c r="CA112" s="80" t="str">
        <f>IFERROR(VLOOKUP($H112,'1. Set Program Names'!$B$2:$D$15,3,0)*AA112,"NA")</f>
        <v>NA</v>
      </c>
      <c r="CB112" s="80" t="str">
        <f>IFERROR(VLOOKUP($H112,'1. Set Program Names'!$B$2:$D$15,3,0)*AB112,"NA")</f>
        <v>NA</v>
      </c>
      <c r="CC112" s="80" t="str">
        <f>IFERROR(VLOOKUP($H112,'1. Set Program Names'!$B$2:$D$15,3,0)*AC112,"NA")</f>
        <v>NA</v>
      </c>
      <c r="CD112" s="80" t="str">
        <f>IFERROR(VLOOKUP($H112,'1. Set Program Names'!$B$2:$D$15,3,0)*AD112,"NA")</f>
        <v>NA</v>
      </c>
      <c r="CE112" s="80" t="str">
        <f>IFERROR(VLOOKUP($H112,'1. Set Program Names'!$B$2:$D$15,3,0)*AE112,"NA")</f>
        <v>NA</v>
      </c>
    </row>
    <row r="113" spans="1:83" x14ac:dyDescent="0.25">
      <c r="A113" s="79" t="s">
        <v>115</v>
      </c>
      <c r="B113" s="79" t="s">
        <v>88</v>
      </c>
      <c r="C113" s="79" t="s">
        <v>89</v>
      </c>
      <c r="D113" s="79" t="s">
        <v>90</v>
      </c>
      <c r="E113" s="79" t="s">
        <v>91</v>
      </c>
      <c r="F113" s="79" t="s">
        <v>90</v>
      </c>
      <c r="G113" s="79" t="s">
        <v>92</v>
      </c>
      <c r="H113" s="79" t="s">
        <v>7</v>
      </c>
      <c r="I113" s="79" t="s">
        <v>422</v>
      </c>
      <c r="J113" s="79" t="s">
        <v>94</v>
      </c>
      <c r="K113" s="79" t="s">
        <v>95</v>
      </c>
      <c r="L113" s="79">
        <v>1200.2266666666601</v>
      </c>
      <c r="M113" s="79">
        <v>4.8097974252120097E-2</v>
      </c>
      <c r="N113" s="79">
        <v>0.22310492157346501</v>
      </c>
      <c r="O113" s="79">
        <v>1210</v>
      </c>
      <c r="P113" s="79">
        <v>933.85922631496703</v>
      </c>
      <c r="Q113" s="79">
        <v>346.114635734861</v>
      </c>
      <c r="R113" s="79">
        <v>571.53970184074296</v>
      </c>
      <c r="S113" s="79">
        <v>1535.35818196214</v>
      </c>
      <c r="T113" s="79">
        <v>15</v>
      </c>
      <c r="U113" s="79">
        <v>0.1</v>
      </c>
      <c r="V113" s="79">
        <f>tbl_Data_old[[#This Row],[2025 ]]*IFERROR(AVERAGEIFS('Participation Adjustment'!$C:$C,'Participation Adjustment'!$A:$A,$H113,'Participation Adjustment'!$B:$B,$I113),1)</f>
        <v>0.289584761487644</v>
      </c>
      <c r="W113" s="79">
        <f>tbl_Data_old[[#This Row],[2026 ]]*IFERROR(AVERAGEIFS('Participation Adjustment'!$C:$C,'Participation Adjustment'!$A:$A,$H113,'Participation Adjustment'!$B:$B,$I113),1)</f>
        <v>0.59725803964061897</v>
      </c>
      <c r="X113" s="79">
        <f>tbl_Data_old[[#This Row],[2027 ]]*IFERROR(AVERAGEIFS('Participation Adjustment'!$C:$C,'Participation Adjustment'!$A:$A,$H113,'Participation Adjustment'!$B:$B,$I113),1)</f>
        <v>0.92288993710305101</v>
      </c>
      <c r="Y113" s="79">
        <f>tbl_Data_old[[#This Row],[2028 ]]*IFERROR(AVERAGEIFS('Participation Adjustment'!$C:$C,'Participation Adjustment'!$A:$A,$H113,'Participation Adjustment'!$B:$B,$I113),1)</f>
        <v>1.26689516606932</v>
      </c>
      <c r="Z113" s="79">
        <f>tbl_Data_old[[#This Row],[2029 ]]*IFERROR(AVERAGEIFS('Participation Adjustment'!$C:$C,'Participation Adjustment'!$A:$A,$H113,'Participation Adjustment'!$B:$B,$I113),1)</f>
        <v>1.6296685942589699</v>
      </c>
      <c r="AA113" s="79">
        <f>tbl_Data_old[[#This Row],[2030 ]]*IFERROR(AVERAGEIFS('Participation Adjustment'!$C:$C,'Participation Adjustment'!$A:$A,$H113,'Participation Adjustment'!$B:$B,$I113),1)</f>
        <v>2.0105485246593102</v>
      </c>
      <c r="AB113" s="79">
        <f>tbl_Data_old[[#This Row],[2031 ]]*IFERROR(AVERAGEIFS('Participation Adjustment'!$C:$C,'Participation Adjustment'!$A:$A,$H113,'Participation Adjustment'!$B:$B,$I113),1)</f>
        <v>2.4116943988364299</v>
      </c>
      <c r="AC113" s="79">
        <f>tbl_Data_old[[#This Row],[2032 ]]*IFERROR(AVERAGEIFS('Participation Adjustment'!$C:$C,'Participation Adjustment'!$A:$A,$H113,'Participation Adjustment'!$B:$B,$I113),1)</f>
        <v>2.83607538745858</v>
      </c>
      <c r="AD113" s="79">
        <f>tbl_Data_old[[#This Row],[2033 ]]*IFERROR(AVERAGEIFS('Participation Adjustment'!$C:$C,'Participation Adjustment'!$A:$A,$H113,'Participation Adjustment'!$B:$B,$I113),1)</f>
        <v>3.2868519718686402</v>
      </c>
      <c r="AE113" s="79">
        <f>tbl_Data_old[[#This Row],[2034 ]]*IFERROR(AVERAGEIFS('Participation Adjustment'!$C:$C,'Participation Adjustment'!$A:$A,$H113,'Participation Adjustment'!$B:$B,$I113),1)</f>
        <v>3.7672779671641199</v>
      </c>
      <c r="AF113" s="77" t="str">
        <f t="shared" si="55"/>
        <v>Residential</v>
      </c>
      <c r="AG113" s="77" t="str">
        <f>tbl_Data[[#This Row],[All_Meas_Name_Append]]</f>
        <v>120v Heat Pump Water Heater 50 Gallons_Efficiency Delivered</v>
      </c>
      <c r="AH113" s="77">
        <f>AVERAGEIFS('3. Incentive Adjustment'!G:G,'3. Incentive Adjustment'!A:A,tbl_Data[[#This Row],[Trimmed Sector]],'3. Incentive Adjustment'!B:B,tbl_Data[[#This Row],[Trimmed Measure Name]])</f>
        <v>0.48531902873530169</v>
      </c>
      <c r="AI113" s="77">
        <f>$AH113*tbl_Data[[#This Row],[2025 ]]</f>
        <v>0.14054099518172739</v>
      </c>
      <c r="AJ113" s="77">
        <f>$AH113*tbl_Data[[#This Row],[2026 ]]</f>
        <v>0.28986069170273554</v>
      </c>
      <c r="AK113" s="77">
        <f>$AH113*tbl_Data[[#This Row],[2027 ]]</f>
        <v>0.44789604790443638</v>
      </c>
      <c r="AL113" s="77">
        <f>$AH113*tbl_Data[[#This Row],[2028 ]]</f>
        <v>0.6148483315062111</v>
      </c>
      <c r="AM113" s="77">
        <f>$AH113*tbl_Data[[#This Row],[2029 ]]</f>
        <v>0.79090917932618776</v>
      </c>
      <c r="AN113" s="77">
        <f>$AH113*tbl_Data[[#This Row],[2030 ]]</f>
        <v>0.97575745721285023</v>
      </c>
      <c r="AO113" s="77">
        <f>$AH113*tbl_Data[[#This Row],[2031 ]]</f>
        <v>1.1704411832496635</v>
      </c>
      <c r="AP113" s="77">
        <f>$AH113*tbl_Data[[#This Row],[2032 ]]</f>
        <v>1.3764013524614924</v>
      </c>
      <c r="AQ113" s="77">
        <f>$AH113*tbl_Data[[#This Row],[2033 ]]</f>
        <v>1.5951718065839997</v>
      </c>
      <c r="AR113" s="77">
        <f>$AH113*tbl_Data[[#This Row],[2034 ]]</f>
        <v>1.8283316839999924</v>
      </c>
      <c r="AS113" s="77">
        <f>SUM(tbl_Data[[#This Row],[Adjusted 2025]:[Adjusted 2034]])</f>
        <v>9.2301587291292968</v>
      </c>
      <c r="AT113" s="80">
        <f>AVERAGEIFS('3. Incentive Adjustment'!F:F,'3. Incentive Adjustment'!A:A,tbl_Data[[#This Row],[Trimmed Sector]],'3. Incentive Adjustment'!B:B,tbl_Data[[#This Row],[Trimmed Measure Name]])</f>
        <v>605</v>
      </c>
      <c r="AU113" s="80">
        <f>IFERROR(VLOOKUP(tbl_Data[[#This Row],[All_Meas_Name_Append]],'IRA Tax Credits'!$A$3:$D$46,4,0),0)</f>
        <v>0</v>
      </c>
      <c r="AV113" s="81">
        <f>tbl_Data[[#This Row],[Adj. per unit Incentive ($)]]/tbl_Data[[#This Row],[kWh Savings]]*tbl_Data[[#This Row],[Sum of Annuals]]</f>
        <v>4.6526595235815913</v>
      </c>
      <c r="AW113" s="81">
        <f>IFERROR(VLOOKUP(tbl_Data[[#This Row],[Column1]],'1. Set Program Names'!$B$2:$D$15,3,0)*tbl_Data[[#This Row],[Sum of Annuals]],"")</f>
        <v>3.992612122816789</v>
      </c>
      <c r="AX113" s="81">
        <f>tbl_Data[[#This Row],[per unit IRA tax ($)]]/tbl_Data[[#This Row],[kWh Savings]]*tbl_Data[[#This Row],[Sum of Annuals]]</f>
        <v>0</v>
      </c>
      <c r="AY113" s="81">
        <f>tbl_Data[[#This Row],[Avoided Costs ($/unit)]]/tbl_Data[[#This Row],[kWh Savings]]*tbl_Data[[#This Row],[Sum of Annuals]]</f>
        <v>4.3953382427674645</v>
      </c>
      <c r="AZ113" s="81">
        <f>tbl_Data[[#This Row],[Lost Revenue ($/unit)]]/tbl_Data[[#This Row],[kWh Savings]]*tbl_Data[[#This Row],[Sum of Annuals]]</f>
        <v>11.807436144487717</v>
      </c>
      <c r="BA113" s="81">
        <f>tbl_Data[[#This Row],[Incremental Cost ($/unit)]]/tbl_Data[[#This Row],[kWh Savings]]*tbl_Data[[#This Row],[Sum of Annuals]]</f>
        <v>9.3053190471631826</v>
      </c>
      <c r="BB113" s="77">
        <f>ROUNDUP(tbl_Data[[#This Row],[Adjusted 2025]]/$L113,0)</f>
        <v>1</v>
      </c>
      <c r="BC113" s="77">
        <f>ROUNDUP(tbl_Data[[#This Row],[Adjusted 2026]]/$L113,0)</f>
        <v>1</v>
      </c>
      <c r="BD113" s="77">
        <f>ROUNDUP(tbl_Data[[#This Row],[Adjusted 2027]]/$L113,0)</f>
        <v>1</v>
      </c>
      <c r="BE113" s="77">
        <f>ROUNDUP(tbl_Data[[#This Row],[Adjusted 2028]]/$L113,0)</f>
        <v>1</v>
      </c>
      <c r="BF113" s="77">
        <f>ROUNDUP(tbl_Data[[#This Row],[Adjusted 2029]]/$L113,0)</f>
        <v>1</v>
      </c>
      <c r="BG113" s="77">
        <f>ROUNDUP(tbl_Data[[#This Row],[Adjusted 2030]]/$L113,0)</f>
        <v>1</v>
      </c>
      <c r="BH113" s="77">
        <f>ROUNDUP(tbl_Data[[#This Row],[Adjusted 2031]]/$L113,0)</f>
        <v>1</v>
      </c>
      <c r="BI113" s="77">
        <f>ROUNDUP(tbl_Data[[#This Row],[Adjusted 2032]]/$L113,0)</f>
        <v>1</v>
      </c>
      <c r="BJ113" s="77">
        <f>ROUNDUP(tbl_Data[[#This Row],[Adjusted 2033]]/$L113,0)</f>
        <v>1</v>
      </c>
      <c r="BK113" s="77">
        <f>ROUNDUP(tbl_Data[[#This Row],[Adjusted 2034]]/$L113,0)</f>
        <v>1</v>
      </c>
      <c r="BL113" s="80">
        <f t="shared" si="56"/>
        <v>0.14597141153895282</v>
      </c>
      <c r="BM113" s="80">
        <f t="shared" si="57"/>
        <v>0.30106072795908806</v>
      </c>
      <c r="BN113" s="80">
        <f t="shared" si="58"/>
        <v>0.46520247171146745</v>
      </c>
      <c r="BO113" s="80">
        <f t="shared" si="59"/>
        <v>0.63860568737455925</v>
      </c>
      <c r="BP113" s="80">
        <f t="shared" si="60"/>
        <v>0.82146941649356409</v>
      </c>
      <c r="BQ113" s="80">
        <f t="shared" si="61"/>
        <v>1.0134601164937367</v>
      </c>
      <c r="BR113" s="80">
        <f t="shared" si="62"/>
        <v>1.215666300223331</v>
      </c>
      <c r="BS113" s="80">
        <f t="shared" si="63"/>
        <v>1.4295846418558023</v>
      </c>
      <c r="BT113" s="80">
        <f t="shared" si="64"/>
        <v>1.6568082498143724</v>
      </c>
      <c r="BU113" s="80">
        <f t="shared" si="65"/>
        <v>1.8989772794035888</v>
      </c>
      <c r="BV113" s="80">
        <f>IFERROR(VLOOKUP($H113,'1. Set Program Names'!$B$2:$D$15,3,0)*V113,"NA")</f>
        <v>0.12526324446076378</v>
      </c>
      <c r="BW113" s="80">
        <f>IFERROR(VLOOKUP($H113,'1. Set Program Names'!$B$2:$D$15,3,0)*W113,"NA")</f>
        <v>0.25835088642553306</v>
      </c>
      <c r="BX113" s="80">
        <f>IFERROR(VLOOKUP($H113,'1. Set Program Names'!$B$2:$D$15,3,0)*X113,"NA")</f>
        <v>0.39920673728769729</v>
      </c>
      <c r="BY113" s="80">
        <f>IFERROR(VLOOKUP($H113,'1. Set Program Names'!$B$2:$D$15,3,0)*Y113,"NA")</f>
        <v>0.54801018561286541</v>
      </c>
      <c r="BZ113" s="80">
        <f>IFERROR(VLOOKUP($H113,'1. Set Program Names'!$B$2:$D$15,3,0)*Z113,"NA")</f>
        <v>0.7049320360090866</v>
      </c>
      <c r="CA113" s="80">
        <f>IFERROR(VLOOKUP($H113,'1. Set Program Names'!$B$2:$D$15,3,0)*AA113,"NA")</f>
        <v>0.8696860637653856</v>
      </c>
      <c r="CB113" s="80">
        <f>IFERROR(VLOOKUP($H113,'1. Set Program Names'!$B$2:$D$15,3,0)*AB113,"NA")</f>
        <v>1.0432063603560586</v>
      </c>
      <c r="CC113" s="80">
        <f>IFERROR(VLOOKUP($H113,'1. Set Program Names'!$B$2:$D$15,3,0)*AC113,"NA")</f>
        <v>1.2267772749621617</v>
      </c>
      <c r="CD113" s="80">
        <f>IFERROR(VLOOKUP($H113,'1. Set Program Names'!$B$2:$D$15,3,0)*AD113,"NA")</f>
        <v>1.4217659104140818</v>
      </c>
      <c r="CE113" s="80">
        <f>IFERROR(VLOOKUP($H113,'1. Set Program Names'!$B$2:$D$15,3,0)*AE113,"NA")</f>
        <v>1.6295797421393785</v>
      </c>
    </row>
    <row r="114" spans="1:83" x14ac:dyDescent="0.25">
      <c r="A114" s="79" t="s">
        <v>115</v>
      </c>
      <c r="B114" s="79" t="s">
        <v>88</v>
      </c>
      <c r="C114" s="79" t="s">
        <v>89</v>
      </c>
      <c r="D114" s="79" t="s">
        <v>90</v>
      </c>
      <c r="E114" s="79" t="s">
        <v>91</v>
      </c>
      <c r="F114" s="79" t="s">
        <v>90</v>
      </c>
      <c r="G114" s="79" t="s">
        <v>92</v>
      </c>
      <c r="H114" s="79" t="s">
        <v>7</v>
      </c>
      <c r="I114" s="79" t="s">
        <v>423</v>
      </c>
      <c r="J114" s="79" t="s">
        <v>97</v>
      </c>
      <c r="K114" s="79" t="s">
        <v>102</v>
      </c>
      <c r="L114" s="79">
        <v>466.599999999999</v>
      </c>
      <c r="M114" s="79">
        <v>0.18933941062023901</v>
      </c>
      <c r="N114" s="79">
        <v>2.6910820932303899E-2</v>
      </c>
      <c r="O114" s="79">
        <v>674.44999999999902</v>
      </c>
      <c r="P114" s="79">
        <v>561.40215199999898</v>
      </c>
      <c r="Q114" s="79">
        <v>134.555491490957</v>
      </c>
      <c r="R114" s="79">
        <v>370.49545033119801</v>
      </c>
      <c r="S114" s="79">
        <v>705.301475078208</v>
      </c>
      <c r="T114" s="79">
        <v>20</v>
      </c>
      <c r="U114" s="79">
        <v>1</v>
      </c>
      <c r="V114" s="79">
        <f>tbl_Data_old[[#This Row],[2025 ]]*IFERROR(AVERAGEIFS('Participation Adjustment'!$C:$C,'Participation Adjustment'!$A:$A,$H114,'Participation Adjustment'!$B:$B,$I114),1)</f>
        <v>0.64663041775415497</v>
      </c>
      <c r="W114" s="79">
        <f>tbl_Data_old[[#This Row],[2026 ]]*IFERROR(AVERAGEIFS('Participation Adjustment'!$C:$C,'Participation Adjustment'!$A:$A,$H114,'Participation Adjustment'!$B:$B,$I114),1)</f>
        <v>1.27238651686965</v>
      </c>
      <c r="X114" s="79">
        <f>tbl_Data_old[[#This Row],[2027 ]]*IFERROR(AVERAGEIFS('Participation Adjustment'!$C:$C,'Participation Adjustment'!$A:$A,$H114,'Participation Adjustment'!$B:$B,$I114),1)</f>
        <v>1.8784244967586901</v>
      </c>
      <c r="Y114" s="79">
        <f>tbl_Data_old[[#This Row],[2028 ]]*IFERROR(AVERAGEIFS('Participation Adjustment'!$C:$C,'Participation Adjustment'!$A:$A,$H114,'Participation Adjustment'!$B:$B,$I114),1)</f>
        <v>2.46652448340885</v>
      </c>
      <c r="Z114" s="79">
        <f>tbl_Data_old[[#This Row],[2029 ]]*IFERROR(AVERAGEIFS('Participation Adjustment'!$C:$C,'Participation Adjustment'!$A:$A,$H114,'Participation Adjustment'!$B:$B,$I114),1)</f>
        <v>3.0380009308441802</v>
      </c>
      <c r="AA114" s="79">
        <f>tbl_Data_old[[#This Row],[2030 ]]*IFERROR(AVERAGEIFS('Participation Adjustment'!$C:$C,'Participation Adjustment'!$A:$A,$H114,'Participation Adjustment'!$B:$B,$I114),1)</f>
        <v>3.5923122607166098</v>
      </c>
      <c r="AB114" s="79">
        <f>tbl_Data_old[[#This Row],[2031 ]]*IFERROR(AVERAGEIFS('Participation Adjustment'!$C:$C,'Participation Adjustment'!$A:$A,$H114,'Participation Adjustment'!$B:$B,$I114),1)</f>
        <v>4.1328205854955504</v>
      </c>
      <c r="AC114" s="79">
        <f>tbl_Data_old[[#This Row],[2032 ]]*IFERROR(AVERAGEIFS('Participation Adjustment'!$C:$C,'Participation Adjustment'!$A:$A,$H114,'Participation Adjustment'!$B:$B,$I114),1)</f>
        <v>4.6631680978415497</v>
      </c>
      <c r="AD114" s="79">
        <f>tbl_Data_old[[#This Row],[2033 ]]*IFERROR(AVERAGEIFS('Participation Adjustment'!$C:$C,'Participation Adjustment'!$A:$A,$H114,'Participation Adjustment'!$B:$B,$I114),1)</f>
        <v>5.1864153820699004</v>
      </c>
      <c r="AE114" s="79">
        <f>tbl_Data_old[[#This Row],[2034 ]]*IFERROR(AVERAGEIFS('Participation Adjustment'!$C:$C,'Participation Adjustment'!$A:$A,$H114,'Participation Adjustment'!$B:$B,$I114),1)</f>
        <v>5.70502078193151</v>
      </c>
      <c r="AF114" s="77" t="str">
        <f t="shared" si="55"/>
        <v>Residential</v>
      </c>
      <c r="AG114" s="77" t="str">
        <f>tbl_Data[[#This Row],[All_Meas_Name_Append]]</f>
        <v>Air Sealing-Infiltration Control_Efficiency Delivered</v>
      </c>
      <c r="AH114" s="77">
        <f>AVERAGEIFS('3. Incentive Adjustment'!G:G,'3. Incentive Adjustment'!A:A,tbl_Data[[#This Row],[Trimmed Sector]],'3. Incentive Adjustment'!B:B,tbl_Data[[#This Row],[Trimmed Measure Name]])</f>
        <v>0.28148574428673256</v>
      </c>
      <c r="AI114" s="77">
        <f>$AH114*tbl_Data[[#This Row],[2025 ]]</f>
        <v>0.18201724441996911</v>
      </c>
      <c r="AJ114" s="77">
        <f>$AH114*tbl_Data[[#This Row],[2026 ]]</f>
        <v>0.3581586657214566</v>
      </c>
      <c r="AK114" s="77">
        <f>$AH114*tbl_Data[[#This Row],[2027 ]]</f>
        <v>0.52874971755655098</v>
      </c>
      <c r="AL114" s="77">
        <f>$AH114*tbl_Data[[#This Row],[2028 ]]</f>
        <v>0.69429148001378871</v>
      </c>
      <c r="AM114" s="77">
        <f>$AH114*tbl_Data[[#This Row],[2029 ]]</f>
        <v>0.85515395316246046</v>
      </c>
      <c r="AN114" s="77">
        <f>$AH114*tbl_Data[[#This Row],[2030 ]]</f>
        <v>1.0111846904181698</v>
      </c>
      <c r="AO114" s="77">
        <f>$AH114*tbl_Data[[#This Row],[2031 ]]</f>
        <v>1.1633300785117449</v>
      </c>
      <c r="AP114" s="77">
        <f>$AH114*tbl_Data[[#This Row],[2032 ]]</f>
        <v>1.3126153427550755</v>
      </c>
      <c r="AQ114" s="77">
        <f>$AH114*tbl_Data[[#This Row],[2033 ]]</f>
        <v>1.4599019940021043</v>
      </c>
      <c r="AR114" s="77">
        <f>$AH114*tbl_Data[[#This Row],[2034 ]]</f>
        <v>1.605882020973268</v>
      </c>
      <c r="AS114" s="77">
        <f>SUM(tbl_Data[[#This Row],[Adjusted 2025]:[Adjusted 2034]])</f>
        <v>9.171285187534588</v>
      </c>
      <c r="AT114" s="80">
        <f>AVERAGEIFS('3. Incentive Adjustment'!F:F,'3. Incentive Adjustment'!A:A,tbl_Data[[#This Row],[Trimmed Sector]],'3. Incentive Adjustment'!B:B,tbl_Data[[#This Row],[Trimmed Measure Name]])</f>
        <v>337.22499999999951</v>
      </c>
      <c r="AU114" s="80">
        <f>IFERROR(VLOOKUP(tbl_Data[[#This Row],[All_Meas_Name_Append]],'IRA Tax Credits'!$A$3:$D$46,4,0),0)</f>
        <v>0</v>
      </c>
      <c r="AV114" s="81">
        <f>tbl_Data[[#This Row],[Adj. per unit Incentive ($)]]/tbl_Data[[#This Row],[kWh Savings]]*tbl_Data[[#This Row],[Sum of Annuals]]</f>
        <v>6.6283468653372344</v>
      </c>
      <c r="AW114" s="81">
        <f>IFERROR(VLOOKUP(tbl_Data[[#This Row],[Column1]],'1. Set Program Names'!$B$2:$D$15,3,0)*tbl_Data[[#This Row],[Sum of Annuals]],"")</f>
        <v>3.9671456901386191</v>
      </c>
      <c r="AX114" s="81">
        <f>tbl_Data[[#This Row],[per unit IRA tax ($)]]/tbl_Data[[#This Row],[kWh Savings]]*tbl_Data[[#This Row],[Sum of Annuals]]</f>
        <v>0</v>
      </c>
      <c r="AY114" s="81">
        <f>tbl_Data[[#This Row],[Avoided Costs ($/unit)]]/tbl_Data[[#This Row],[kWh Savings]]*tbl_Data[[#This Row],[Sum of Annuals]]</f>
        <v>7.2822962616191171</v>
      </c>
      <c r="AZ114" s="81">
        <f>tbl_Data[[#This Row],[Lost Revenue ($/unit)]]/tbl_Data[[#This Row],[kWh Savings]]*tbl_Data[[#This Row],[Sum of Annuals]]</f>
        <v>13.863096809110754</v>
      </c>
      <c r="BA114" s="81">
        <f>tbl_Data[[#This Row],[Incremental Cost ($/unit)]]/tbl_Data[[#This Row],[kWh Savings]]*tbl_Data[[#This Row],[Sum of Annuals]]</f>
        <v>13.256693730674469</v>
      </c>
      <c r="BB114" s="77">
        <f>ROUNDUP(tbl_Data[[#This Row],[Adjusted 2025]]/$L114,0)</f>
        <v>1</v>
      </c>
      <c r="BC114" s="77">
        <f>ROUNDUP(tbl_Data[[#This Row],[Adjusted 2026]]/$L114,0)</f>
        <v>1</v>
      </c>
      <c r="BD114" s="77">
        <f>ROUNDUP(tbl_Data[[#This Row],[Adjusted 2027]]/$L114,0)</f>
        <v>1</v>
      </c>
      <c r="BE114" s="77">
        <f>ROUNDUP(tbl_Data[[#This Row],[Adjusted 2028]]/$L114,0)</f>
        <v>1</v>
      </c>
      <c r="BF114" s="77">
        <f>ROUNDUP(tbl_Data[[#This Row],[Adjusted 2029]]/$L114,0)</f>
        <v>1</v>
      </c>
      <c r="BG114" s="77">
        <f>ROUNDUP(tbl_Data[[#This Row],[Adjusted 2030]]/$L114,0)</f>
        <v>1</v>
      </c>
      <c r="BH114" s="77">
        <f>ROUNDUP(tbl_Data[[#This Row],[Adjusted 2031]]/$L114,0)</f>
        <v>1</v>
      </c>
      <c r="BI114" s="77">
        <f>ROUNDUP(tbl_Data[[#This Row],[Adjusted 2032]]/$L114,0)</f>
        <v>1</v>
      </c>
      <c r="BJ114" s="77">
        <f>ROUNDUP(tbl_Data[[#This Row],[Adjusted 2033]]/$L114,0)</f>
        <v>1</v>
      </c>
      <c r="BK114" s="77">
        <f>ROUNDUP(tbl_Data[[#This Row],[Adjusted 2034]]/$L114,0)</f>
        <v>1</v>
      </c>
      <c r="BL114" s="80">
        <f t="shared" si="56"/>
        <v>0.46733806821076951</v>
      </c>
      <c r="BM114" s="80">
        <f t="shared" si="57"/>
        <v>0.91958967670674663</v>
      </c>
      <c r="BN114" s="80">
        <f t="shared" si="58"/>
        <v>1.3575904434621724</v>
      </c>
      <c r="BO114" s="80">
        <f t="shared" si="59"/>
        <v>1.7826269158112944</v>
      </c>
      <c r="BP114" s="80">
        <f t="shared" si="60"/>
        <v>2.1956490868065353</v>
      </c>
      <c r="BQ114" s="80">
        <f t="shared" si="61"/>
        <v>2.5962655424778385</v>
      </c>
      <c r="BR114" s="80">
        <f t="shared" si="62"/>
        <v>2.9869061764760776</v>
      </c>
      <c r="BS114" s="80">
        <f t="shared" si="63"/>
        <v>3.3702033043176547</v>
      </c>
      <c r="BT114" s="80">
        <f t="shared" si="64"/>
        <v>3.748368896739227</v>
      </c>
      <c r="BU114" s="80">
        <f t="shared" si="65"/>
        <v>4.1231796682101471</v>
      </c>
      <c r="BV114" s="80">
        <f>IFERROR(VLOOKUP($H114,'1. Set Program Names'!$B$2:$D$15,3,0)*V114,"NA")</f>
        <v>0.27970748073482654</v>
      </c>
      <c r="BW114" s="80">
        <f>IFERROR(VLOOKUP($H114,'1. Set Program Names'!$B$2:$D$15,3,0)*W114,"NA")</f>
        <v>0.55038553303856519</v>
      </c>
      <c r="BX114" s="80">
        <f>IFERROR(VLOOKUP($H114,'1. Set Program Names'!$B$2:$D$15,3,0)*X114,"NA")</f>
        <v>0.81253428436568698</v>
      </c>
      <c r="BY114" s="80">
        <f>IFERROR(VLOOKUP($H114,'1. Set Program Names'!$B$2:$D$15,3,0)*Y114,"NA")</f>
        <v>1.0669237488412691</v>
      </c>
      <c r="BZ114" s="80">
        <f>IFERROR(VLOOKUP($H114,'1. Set Program Names'!$B$2:$D$15,3,0)*Z114,"NA")</f>
        <v>1.3141225087860839</v>
      </c>
      <c r="CA114" s="80">
        <f>IFERROR(VLOOKUP($H114,'1. Set Program Names'!$B$2:$D$15,3,0)*AA114,"NA")</f>
        <v>1.5538962982095439</v>
      </c>
      <c r="CB114" s="80">
        <f>IFERROR(VLOOKUP($H114,'1. Set Program Names'!$B$2:$D$15,3,0)*AB114,"NA")</f>
        <v>1.7876994378224382</v>
      </c>
      <c r="CC114" s="80">
        <f>IFERROR(VLOOKUP($H114,'1. Set Program Names'!$B$2:$D$15,3,0)*AC114,"NA")</f>
        <v>2.017107400267967</v>
      </c>
      <c r="CD114" s="80">
        <f>IFERROR(VLOOKUP($H114,'1. Set Program Names'!$B$2:$D$15,3,0)*AD114,"NA")</f>
        <v>2.2434440767595691</v>
      </c>
      <c r="CE114" s="80">
        <f>IFERROR(VLOOKUP($H114,'1. Set Program Names'!$B$2:$D$15,3,0)*AE114,"NA")</f>
        <v>2.4677728523754392</v>
      </c>
    </row>
    <row r="115" spans="1:83" x14ac:dyDescent="0.25">
      <c r="A115" s="79" t="s">
        <v>115</v>
      </c>
      <c r="B115" s="79" t="s">
        <v>88</v>
      </c>
      <c r="C115" s="79" t="s">
        <v>89</v>
      </c>
      <c r="D115" s="79" t="s">
        <v>90</v>
      </c>
      <c r="E115" s="79" t="s">
        <v>91</v>
      </c>
      <c r="F115" s="79" t="s">
        <v>90</v>
      </c>
      <c r="G115" s="79" t="s">
        <v>92</v>
      </c>
      <c r="H115" s="79" t="s">
        <v>7</v>
      </c>
      <c r="I115" s="79" t="s">
        <v>424</v>
      </c>
      <c r="J115" s="79" t="s">
        <v>97</v>
      </c>
      <c r="K115" s="79" t="s">
        <v>98</v>
      </c>
      <c r="L115" s="79">
        <v>5868.07</v>
      </c>
      <c r="M115" s="79">
        <v>0.20813520080661799</v>
      </c>
      <c r="N115" s="79">
        <v>1.1349578069705</v>
      </c>
      <c r="O115" s="79">
        <v>1935.1666666666599</v>
      </c>
      <c r="P115" s="79">
        <v>513.45064263862798</v>
      </c>
      <c r="Q115" s="79">
        <v>1692.2011207744099</v>
      </c>
      <c r="R115" s="79">
        <v>3388.0400735263802</v>
      </c>
      <c r="S115" s="79">
        <v>7811.7411984889604</v>
      </c>
      <c r="T115" s="79">
        <v>16</v>
      </c>
      <c r="U115" s="79">
        <v>0.1</v>
      </c>
      <c r="V115" s="79">
        <f>tbl_Data_old[[#This Row],[2025 ]]*IFERROR(AVERAGEIFS('Participation Adjustment'!$C:$C,'Participation Adjustment'!$A:$A,$H115,'Participation Adjustment'!$B:$B,$I115),1)</f>
        <v>3.2603408201456898</v>
      </c>
      <c r="W115" s="79">
        <f>tbl_Data_old[[#This Row],[2026 ]]*IFERROR(AVERAGEIFS('Participation Adjustment'!$C:$C,'Participation Adjustment'!$A:$A,$H115,'Participation Adjustment'!$B:$B,$I115),1)</f>
        <v>6.7252284747768796</v>
      </c>
      <c r="X115" s="79">
        <f>tbl_Data_old[[#This Row],[2027 ]]*IFERROR(AVERAGEIFS('Participation Adjustment'!$C:$C,'Participation Adjustment'!$A:$A,$H115,'Participation Adjustment'!$B:$B,$I115),1)</f>
        <v>10.3927064544053</v>
      </c>
      <c r="Y115" s="79">
        <f>tbl_Data_old[[#This Row],[2028 ]]*IFERROR(AVERAGEIFS('Participation Adjustment'!$C:$C,'Participation Adjustment'!$A:$A,$H115,'Participation Adjustment'!$B:$B,$I115),1)</f>
        <v>14.267076542540799</v>
      </c>
      <c r="Z115" s="79">
        <f>tbl_Data_old[[#This Row],[2029 ]]*IFERROR(AVERAGEIFS('Participation Adjustment'!$C:$C,'Participation Adjustment'!$A:$A,$H115,'Participation Adjustment'!$B:$B,$I115),1)</f>
        <v>18.352678576562798</v>
      </c>
      <c r="AA115" s="79">
        <f>tbl_Data_old[[#This Row],[2030 ]]*IFERROR(AVERAGEIFS('Participation Adjustment'!$C:$C,'Participation Adjustment'!$A:$A,$H115,'Participation Adjustment'!$B:$B,$I115),1)</f>
        <v>22.6422918715507</v>
      </c>
      <c r="AB115" s="79">
        <f>tbl_Data_old[[#This Row],[2031 ]]*IFERROR(AVERAGEIFS('Participation Adjustment'!$C:$C,'Participation Adjustment'!$A:$A,$H115,'Participation Adjustment'!$B:$B,$I115),1)</f>
        <v>27.160778728748401</v>
      </c>
      <c r="AC115" s="79">
        <f>tbl_Data_old[[#This Row],[2032 ]]*IFERROR(AVERAGEIFS('Participation Adjustment'!$C:$C,'Participation Adjustment'!$A:$A,$H115,'Participation Adjustment'!$B:$B,$I115),1)</f>
        <v>31.9423265806034</v>
      </c>
      <c r="AD115" s="79">
        <f>tbl_Data_old[[#This Row],[2033 ]]*IFERROR(AVERAGEIFS('Participation Adjustment'!$C:$C,'Participation Adjustment'!$A:$A,$H115,'Participation Adjustment'!$B:$B,$I115),1)</f>
        <v>37.023363226944298</v>
      </c>
      <c r="AE115" s="79">
        <f>tbl_Data_old[[#This Row],[2034 ]]*IFERROR(AVERAGEIFS('Participation Adjustment'!$C:$C,'Participation Adjustment'!$A:$A,$H115,'Participation Adjustment'!$B:$B,$I115),1)</f>
        <v>42.4413689673177</v>
      </c>
      <c r="AF115" s="77" t="str">
        <f t="shared" si="55"/>
        <v>Residential</v>
      </c>
      <c r="AG115" s="77" t="str">
        <f>tbl_Data[[#This Row],[All_Meas_Name_Append]]</f>
        <v>ASHP - CEE Tier 2: 16.8 SEER/16 SEER2; 9.0 HSPF (from elec resistance)_Efficiency Delivered</v>
      </c>
      <c r="AH115" s="77">
        <f>AVERAGEIFS('3. Incentive Adjustment'!G:G,'3. Incentive Adjustment'!A:A,tbl_Data[[#This Row],[Trimmed Sector]],'3. Incentive Adjustment'!B:B,tbl_Data[[#This Row],[Trimmed Measure Name]])</f>
        <v>1</v>
      </c>
      <c r="AI115" s="77">
        <f>$AH115*tbl_Data[[#This Row],[2025 ]]</f>
        <v>3.2603408201456898</v>
      </c>
      <c r="AJ115" s="77">
        <f>$AH115*tbl_Data[[#This Row],[2026 ]]</f>
        <v>6.7252284747768796</v>
      </c>
      <c r="AK115" s="77">
        <f>$AH115*tbl_Data[[#This Row],[2027 ]]</f>
        <v>10.3927064544053</v>
      </c>
      <c r="AL115" s="77">
        <f>$AH115*tbl_Data[[#This Row],[2028 ]]</f>
        <v>14.267076542540799</v>
      </c>
      <c r="AM115" s="77">
        <f>$AH115*tbl_Data[[#This Row],[2029 ]]</f>
        <v>18.352678576562798</v>
      </c>
      <c r="AN115" s="77">
        <f>$AH115*tbl_Data[[#This Row],[2030 ]]</f>
        <v>22.6422918715507</v>
      </c>
      <c r="AO115" s="77">
        <f>$AH115*tbl_Data[[#This Row],[2031 ]]</f>
        <v>27.160778728748401</v>
      </c>
      <c r="AP115" s="77">
        <f>$AH115*tbl_Data[[#This Row],[2032 ]]</f>
        <v>31.9423265806034</v>
      </c>
      <c r="AQ115" s="77">
        <f>$AH115*tbl_Data[[#This Row],[2033 ]]</f>
        <v>37.023363226944298</v>
      </c>
      <c r="AR115" s="77">
        <f>$AH115*tbl_Data[[#This Row],[2034 ]]</f>
        <v>42.4413689673177</v>
      </c>
      <c r="AS115" s="77">
        <f>SUM(tbl_Data[[#This Row],[Adjusted 2025]:[Adjusted 2034]])</f>
        <v>214.20816024359596</v>
      </c>
      <c r="AT115" s="80">
        <f>AVERAGEIFS('3. Incentive Adjustment'!F:F,'3. Incentive Adjustment'!A:A,tbl_Data[[#This Row],[Trimmed Sector]],'3. Incentive Adjustment'!B:B,tbl_Data[[#This Row],[Trimmed Measure Name]])</f>
        <v>513.45064263862798</v>
      </c>
      <c r="AU115" s="80">
        <f>IFERROR(VLOOKUP(tbl_Data[[#This Row],[All_Meas_Name_Append]],'IRA Tax Credits'!$A$3:$D$46,4,0),0)</f>
        <v>0</v>
      </c>
      <c r="AV115" s="81">
        <f>tbl_Data[[#This Row],[Adj. per unit Incentive ($)]]/tbl_Data[[#This Row],[kWh Savings]]*tbl_Data[[#This Row],[Sum of Annuals]]</f>
        <v>18.743013893070898</v>
      </c>
      <c r="AW115" s="81">
        <f>IFERROR(VLOOKUP(tbl_Data[[#This Row],[Column1]],'1. Set Program Names'!$B$2:$D$15,3,0)*tbl_Data[[#This Row],[Sum of Annuals]],"")</f>
        <v>92.658222084068143</v>
      </c>
      <c r="AX115" s="81">
        <f>tbl_Data[[#This Row],[per unit IRA tax ($)]]/tbl_Data[[#This Row],[kWh Savings]]*tbl_Data[[#This Row],[Sum of Annuals]]</f>
        <v>0</v>
      </c>
      <c r="AY115" s="81">
        <f>tbl_Data[[#This Row],[Avoided Costs ($/unit)]]/tbl_Data[[#This Row],[kWh Savings]]*tbl_Data[[#This Row],[Sum of Annuals]]</f>
        <v>123.67709161302838</v>
      </c>
      <c r="AZ115" s="81">
        <f>tbl_Data[[#This Row],[Lost Revenue ($/unit)]]/tbl_Data[[#This Row],[kWh Savings]]*tbl_Data[[#This Row],[Sum of Annuals]]</f>
        <v>285.15997771455073</v>
      </c>
      <c r="BA115" s="81">
        <f>tbl_Data[[#This Row],[Incremental Cost ($/unit)]]/tbl_Data[[#This Row],[kWh Savings]]*tbl_Data[[#This Row],[Sum of Annuals]]</f>
        <v>70.64136784861077</v>
      </c>
      <c r="BB115" s="77">
        <f>ROUNDUP(tbl_Data[[#This Row],[Adjusted 2025]]/$L115,0)</f>
        <v>1</v>
      </c>
      <c r="BC115" s="77">
        <f>ROUNDUP(tbl_Data[[#This Row],[Adjusted 2026]]/$L115,0)</f>
        <v>1</v>
      </c>
      <c r="BD115" s="77">
        <f>ROUNDUP(tbl_Data[[#This Row],[Adjusted 2027]]/$L115,0)</f>
        <v>1</v>
      </c>
      <c r="BE115" s="77">
        <f>ROUNDUP(tbl_Data[[#This Row],[Adjusted 2028]]/$L115,0)</f>
        <v>1</v>
      </c>
      <c r="BF115" s="77">
        <f>ROUNDUP(tbl_Data[[#This Row],[Adjusted 2029]]/$L115,0)</f>
        <v>1</v>
      </c>
      <c r="BG115" s="77">
        <f>ROUNDUP(tbl_Data[[#This Row],[Adjusted 2030]]/$L115,0)</f>
        <v>1</v>
      </c>
      <c r="BH115" s="77">
        <f>ROUNDUP(tbl_Data[[#This Row],[Adjusted 2031]]/$L115,0)</f>
        <v>1</v>
      </c>
      <c r="BI115" s="77">
        <f>ROUNDUP(tbl_Data[[#This Row],[Adjusted 2032]]/$L115,0)</f>
        <v>1</v>
      </c>
      <c r="BJ115" s="77">
        <f>ROUNDUP(tbl_Data[[#This Row],[Adjusted 2033]]/$L115,0)</f>
        <v>1</v>
      </c>
      <c r="BK115" s="77">
        <f>ROUNDUP(tbl_Data[[#This Row],[Adjusted 2034]]/$L115,0)</f>
        <v>1</v>
      </c>
      <c r="BL115" s="80">
        <f t="shared" si="56"/>
        <v>0.28527677572434479</v>
      </c>
      <c r="BM115" s="80">
        <f t="shared" si="57"/>
        <v>0.58845120836421327</v>
      </c>
      <c r="BN115" s="80">
        <f t="shared" si="58"/>
        <v>0.90935210516728981</v>
      </c>
      <c r="BO115" s="80">
        <f t="shared" si="59"/>
        <v>1.2483558681716593</v>
      </c>
      <c r="BP115" s="80">
        <f t="shared" si="60"/>
        <v>1.6058422290934413</v>
      </c>
      <c r="BQ115" s="80">
        <f t="shared" si="61"/>
        <v>1.9811793847481525</v>
      </c>
      <c r="BR115" s="80">
        <f t="shared" si="62"/>
        <v>2.3765427632665332</v>
      </c>
      <c r="BS115" s="80">
        <f t="shared" si="63"/>
        <v>2.7949237330474492</v>
      </c>
      <c r="BT115" s="80">
        <f t="shared" si="64"/>
        <v>3.2395096925425051</v>
      </c>
      <c r="BU115" s="80">
        <f t="shared" si="65"/>
        <v>3.7135801329453124</v>
      </c>
      <c r="BV115" s="80">
        <f>IFERROR(VLOOKUP($H115,'1. Set Program Names'!$B$2:$D$15,3,0)*V115,"NA")</f>
        <v>1.4102982045094326</v>
      </c>
      <c r="BW115" s="80">
        <f>IFERROR(VLOOKUP($H115,'1. Set Program Names'!$B$2:$D$15,3,0)*W115,"NA")</f>
        <v>2.9090755126851189</v>
      </c>
      <c r="BX115" s="80">
        <f>IFERROR(VLOOKUP($H115,'1. Set Program Names'!$B$2:$D$15,3,0)*X115,"NA")</f>
        <v>4.4954856136747194</v>
      </c>
      <c r="BY115" s="80">
        <f>IFERROR(VLOOKUP($H115,'1. Set Program Names'!$B$2:$D$15,3,0)*Y115,"NA")</f>
        <v>6.1713892937870289</v>
      </c>
      <c r="BZ115" s="80">
        <f>IFERROR(VLOOKUP($H115,'1. Set Program Names'!$B$2:$D$15,3,0)*Z115,"NA")</f>
        <v>7.9386637999731144</v>
      </c>
      <c r="CA115" s="80">
        <f>IFERROR(VLOOKUP($H115,'1. Set Program Names'!$B$2:$D$15,3,0)*AA115,"NA")</f>
        <v>9.7941857412930098</v>
      </c>
      <c r="CB115" s="80">
        <f>IFERROR(VLOOKUP($H115,'1. Set Program Names'!$B$2:$D$15,3,0)*AB115,"NA")</f>
        <v>11.748709594268796</v>
      </c>
      <c r="CC115" s="80">
        <f>IFERROR(VLOOKUP($H115,'1. Set Program Names'!$B$2:$D$15,3,0)*AC115,"NA")</f>
        <v>13.8170235289898</v>
      </c>
      <c r="CD115" s="80">
        <f>IFERROR(VLOOKUP($H115,'1. Set Program Names'!$B$2:$D$15,3,0)*AD115,"NA")</f>
        <v>16.01488481241875</v>
      </c>
      <c r="CE115" s="80">
        <f>IFERROR(VLOOKUP($H115,'1. Set Program Names'!$B$2:$D$15,3,0)*AE115,"NA")</f>
        <v>18.358505982468376</v>
      </c>
    </row>
    <row r="116" spans="1:83" x14ac:dyDescent="0.25">
      <c r="A116" s="79" t="s">
        <v>115</v>
      </c>
      <c r="B116" s="79" t="s">
        <v>88</v>
      </c>
      <c r="C116" s="79" t="s">
        <v>89</v>
      </c>
      <c r="D116" s="79" t="s">
        <v>90</v>
      </c>
      <c r="E116" s="79" t="s">
        <v>91</v>
      </c>
      <c r="F116" s="79" t="s">
        <v>90</v>
      </c>
      <c r="G116" s="79" t="s">
        <v>92</v>
      </c>
      <c r="H116" s="79" t="s">
        <v>7</v>
      </c>
      <c r="I116" s="79" t="s">
        <v>425</v>
      </c>
      <c r="J116" s="79" t="s">
        <v>97</v>
      </c>
      <c r="K116" s="79" t="s">
        <v>98</v>
      </c>
      <c r="L116" s="79">
        <v>253.96999999999801</v>
      </c>
      <c r="M116" s="79">
        <v>0.107126245482503</v>
      </c>
      <c r="N116" s="79">
        <v>1.33192706841354E-2</v>
      </c>
      <c r="O116" s="79">
        <v>874.99999999999898</v>
      </c>
      <c r="P116" s="79">
        <v>813.468148399999</v>
      </c>
      <c r="Q116" s="79">
        <v>73.238444436258604</v>
      </c>
      <c r="R116" s="79">
        <v>185.54516688855901</v>
      </c>
      <c r="S116" s="79">
        <v>338.09206641710699</v>
      </c>
      <c r="T116" s="79">
        <v>16</v>
      </c>
      <c r="U116" s="79">
        <v>9.9999999999999895E-2</v>
      </c>
      <c r="V116" s="79">
        <f>tbl_Data_old[[#This Row],[2025 ]]*IFERROR(AVERAGEIFS('Participation Adjustment'!$C:$C,'Participation Adjustment'!$A:$A,$H116,'Participation Adjustment'!$B:$B,$I116),1)</f>
        <v>3.5291828740087801</v>
      </c>
      <c r="W116" s="79">
        <f>tbl_Data_old[[#This Row],[2026 ]]*IFERROR(AVERAGEIFS('Participation Adjustment'!$C:$C,'Participation Adjustment'!$A:$A,$H116,'Participation Adjustment'!$B:$B,$I116),1)</f>
        <v>7.4768642785877599</v>
      </c>
      <c r="X116" s="79">
        <f>tbl_Data_old[[#This Row],[2027 ]]*IFERROR(AVERAGEIFS('Participation Adjustment'!$C:$C,'Participation Adjustment'!$A:$A,$H116,'Participation Adjustment'!$B:$B,$I116),1)</f>
        <v>11.816077504488</v>
      </c>
      <c r="Y116" s="79">
        <f>tbl_Data_old[[#This Row],[2028 ]]*IFERROR(AVERAGEIFS('Participation Adjustment'!$C:$C,'Participation Adjustment'!$A:$A,$H116,'Participation Adjustment'!$B:$B,$I116),1)</f>
        <v>16.530667543834401</v>
      </c>
      <c r="Z116" s="79">
        <f>tbl_Data_old[[#This Row],[2029 ]]*IFERROR(AVERAGEIFS('Participation Adjustment'!$C:$C,'Participation Adjustment'!$A:$A,$H116,'Participation Adjustment'!$B:$B,$I116),1)</f>
        <v>21.607553887944</v>
      </c>
      <c r="AA116" s="79">
        <f>tbl_Data_old[[#This Row],[2030 ]]*IFERROR(AVERAGEIFS('Participation Adjustment'!$C:$C,'Participation Adjustment'!$A:$A,$H116,'Participation Adjustment'!$B:$B,$I116),1)</f>
        <v>27.021395693213599</v>
      </c>
      <c r="AB116" s="79">
        <f>tbl_Data_old[[#This Row],[2031 ]]*IFERROR(AVERAGEIFS('Participation Adjustment'!$C:$C,'Participation Adjustment'!$A:$A,$H116,'Participation Adjustment'!$B:$B,$I116),1)</f>
        <v>32.789232040520702</v>
      </c>
      <c r="AC116" s="79">
        <f>tbl_Data_old[[#This Row],[2032 ]]*IFERROR(AVERAGEIFS('Participation Adjustment'!$C:$C,'Participation Adjustment'!$A:$A,$H116,'Participation Adjustment'!$B:$B,$I116),1)</f>
        <v>38.942638369072398</v>
      </c>
      <c r="AD116" s="79">
        <f>tbl_Data_old[[#This Row],[2033 ]]*IFERROR(AVERAGEIFS('Participation Adjustment'!$C:$C,'Participation Adjustment'!$A:$A,$H116,'Participation Adjustment'!$B:$B,$I116),1)</f>
        <v>45.518341371410799</v>
      </c>
      <c r="AE116" s="79">
        <f>tbl_Data_old[[#This Row],[2034 ]]*IFERROR(AVERAGEIFS('Participation Adjustment'!$C:$C,'Participation Adjustment'!$A:$A,$H116,'Participation Adjustment'!$B:$B,$I116),1)</f>
        <v>52.556247719525103</v>
      </c>
      <c r="AF116" s="77" t="str">
        <f t="shared" si="55"/>
        <v>Residential</v>
      </c>
      <c r="AG116" s="77" t="str">
        <f>tbl_Data[[#This Row],[All_Meas_Name_Append]]</f>
        <v>ASHP - ENERGY STAR/CEE Tier 1: 16 SEER/15.2 SEER2_ 9.0 HSPF_Efficiency Delivered</v>
      </c>
      <c r="AH116" s="77">
        <f>AVERAGEIFS('3. Incentive Adjustment'!G:G,'3. Incentive Adjustment'!A:A,tbl_Data[[#This Row],[Trimmed Sector]],'3. Incentive Adjustment'!B:B,tbl_Data[[#This Row],[Trimmed Measure Name]])</f>
        <v>2.0121332905056414E-2</v>
      </c>
      <c r="AI116" s="77">
        <f>$AH116*tbl_Data[[#This Row],[2025 ]]</f>
        <v>7.1011863490754432E-2</v>
      </c>
      <c r="AJ116" s="77">
        <f>$AH116*tbl_Data[[#This Row],[2026 ]]</f>
        <v>0.15044447523538879</v>
      </c>
      <c r="AK116" s="77">
        <f>$AH116*tbl_Data[[#This Row],[2027 ]]</f>
        <v>0.23775522909975128</v>
      </c>
      <c r="AL116" s="77">
        <f>$AH116*tbl_Data[[#This Row],[2028 ]]</f>
        <v>0.33261906479230324</v>
      </c>
      <c r="AM116" s="77">
        <f>$AH116*tbl_Data[[#This Row],[2029 ]]</f>
        <v>0.43477278504326727</v>
      </c>
      <c r="AN116" s="77">
        <f>$AH116*tbl_Data[[#This Row],[2030 ]]</f>
        <v>0.54370649830240847</v>
      </c>
      <c r="AO116" s="77">
        <f>$AH116*tbl_Data[[#This Row],[2031 ]]</f>
        <v>0.65976305358845921</v>
      </c>
      <c r="AP116" s="77">
        <f>$AH116*tbl_Data[[#This Row],[2032 ]]</f>
        <v>0.78357779082532886</v>
      </c>
      <c r="AQ116" s="77">
        <f>$AH116*tbl_Data[[#This Row],[2033 ]]</f>
        <v>0.91588970002015879</v>
      </c>
      <c r="AR116" s="77">
        <f>$AH116*tbl_Data[[#This Row],[2034 ]]</f>
        <v>1.0575017566051765</v>
      </c>
      <c r="AS116" s="77">
        <f>SUM(tbl_Data[[#This Row],[Adjusted 2025]:[Adjusted 2034]])</f>
        <v>5.1870422170029968</v>
      </c>
      <c r="AT116" s="80">
        <f>AVERAGEIFS('3. Incentive Adjustment'!F:F,'3. Incentive Adjustment'!A:A,tbl_Data[[#This Row],[Trimmed Sector]],'3. Incentive Adjustment'!B:B,tbl_Data[[#This Row],[Trimmed Measure Name]])</f>
        <v>437.49999999999949</v>
      </c>
      <c r="AU116" s="80">
        <f>IFERROR(VLOOKUP(tbl_Data[[#This Row],[All_Meas_Name_Append]],'IRA Tax Credits'!$A$3:$D$46,4,0),0)</f>
        <v>0</v>
      </c>
      <c r="AV116" s="81">
        <f>tbl_Data[[#This Row],[Adj. per unit Incentive ($)]]/tbl_Data[[#This Row],[kWh Savings]]*tbl_Data[[#This Row],[Sum of Annuals]]</f>
        <v>8.9354292630579444</v>
      </c>
      <c r="AW116" s="81">
        <f>IFERROR(VLOOKUP(tbl_Data[[#This Row],[Column1]],'1. Set Program Names'!$B$2:$D$15,3,0)*tbl_Data[[#This Row],[Sum of Annuals]],"")</f>
        <v>2.2437152214740133</v>
      </c>
      <c r="AX116" s="81">
        <f>tbl_Data[[#This Row],[per unit IRA tax ($)]]/tbl_Data[[#This Row],[kWh Savings]]*tbl_Data[[#This Row],[Sum of Annuals]]</f>
        <v>0</v>
      </c>
      <c r="AY116" s="81">
        <f>tbl_Data[[#This Row],[Avoided Costs ($/unit)]]/tbl_Data[[#This Row],[kWh Savings]]*tbl_Data[[#This Row],[Sum of Annuals]]</f>
        <v>3.7895444887657188</v>
      </c>
      <c r="AZ116" s="81">
        <f>tbl_Data[[#This Row],[Lost Revenue ($/unit)]]/tbl_Data[[#This Row],[kWh Savings]]*tbl_Data[[#This Row],[Sum of Annuals]]</f>
        <v>6.9051377002769172</v>
      </c>
      <c r="BA116" s="81">
        <f>tbl_Data[[#This Row],[Incremental Cost ($/unit)]]/tbl_Data[[#This Row],[kWh Savings]]*tbl_Data[[#This Row],[Sum of Annuals]]</f>
        <v>17.870858526115889</v>
      </c>
      <c r="BB116" s="77">
        <f>ROUNDUP(tbl_Data[[#This Row],[Adjusted 2025]]/$L116,0)</f>
        <v>1</v>
      </c>
      <c r="BC116" s="77">
        <f>ROUNDUP(tbl_Data[[#This Row],[Adjusted 2026]]/$L116,0)</f>
        <v>1</v>
      </c>
      <c r="BD116" s="77">
        <f>ROUNDUP(tbl_Data[[#This Row],[Adjusted 2027]]/$L116,0)</f>
        <v>1</v>
      </c>
      <c r="BE116" s="77">
        <f>ROUNDUP(tbl_Data[[#This Row],[Adjusted 2028]]/$L116,0)</f>
        <v>1</v>
      </c>
      <c r="BF116" s="77">
        <f>ROUNDUP(tbl_Data[[#This Row],[Adjusted 2029]]/$L116,0)</f>
        <v>1</v>
      </c>
      <c r="BG116" s="77">
        <f>ROUNDUP(tbl_Data[[#This Row],[Adjusted 2030]]/$L116,0)</f>
        <v>1</v>
      </c>
      <c r="BH116" s="77">
        <f>ROUNDUP(tbl_Data[[#This Row],[Adjusted 2031]]/$L116,0)</f>
        <v>1</v>
      </c>
      <c r="BI116" s="77">
        <f>ROUNDUP(tbl_Data[[#This Row],[Adjusted 2032]]/$L116,0)</f>
        <v>1</v>
      </c>
      <c r="BJ116" s="77">
        <f>ROUNDUP(tbl_Data[[#This Row],[Adjusted 2033]]/$L116,0)</f>
        <v>1</v>
      </c>
      <c r="BK116" s="77">
        <f>ROUNDUP(tbl_Data[[#This Row],[Adjusted 2034]]/$L116,0)</f>
        <v>1</v>
      </c>
      <c r="BL116" s="80">
        <f t="shared" si="56"/>
        <v>6.079527138555151</v>
      </c>
      <c r="BM116" s="80">
        <f t="shared" si="57"/>
        <v>12.879978430059325</v>
      </c>
      <c r="BN116" s="80">
        <f t="shared" si="58"/>
        <v>20.354899823654506</v>
      </c>
      <c r="BO116" s="80">
        <f t="shared" si="59"/>
        <v>28.476461985382521</v>
      </c>
      <c r="BP116" s="80">
        <f t="shared" si="60"/>
        <v>37.22213185012231</v>
      </c>
      <c r="BQ116" s="80">
        <f t="shared" si="61"/>
        <v>46.548256155376734</v>
      </c>
      <c r="BR116" s="80">
        <f t="shared" si="62"/>
        <v>56.484187178516763</v>
      </c>
      <c r="BS116" s="80">
        <f t="shared" si="63"/>
        <v>67.084318173285382</v>
      </c>
      <c r="BT116" s="80">
        <f t="shared" si="64"/>
        <v>78.411916171171228</v>
      </c>
      <c r="BU116" s="80">
        <f t="shared" si="65"/>
        <v>90.535726177471304</v>
      </c>
      <c r="BV116" s="80">
        <f>IFERROR(VLOOKUP($H116,'1. Set Program Names'!$B$2:$D$15,3,0)*V116,"NA")</f>
        <v>1.5265889504084462</v>
      </c>
      <c r="BW116" s="80">
        <f>IFERROR(VLOOKUP($H116,'1. Set Program Names'!$B$2:$D$15,3,0)*W116,"NA")</f>
        <v>3.2342042900232255</v>
      </c>
      <c r="BX116" s="80">
        <f>IFERROR(VLOOKUP($H116,'1. Set Program Names'!$B$2:$D$15,3,0)*X116,"NA")</f>
        <v>5.1111812562525518</v>
      </c>
      <c r="BY116" s="80">
        <f>IFERROR(VLOOKUP($H116,'1. Set Program Names'!$B$2:$D$15,3,0)*Y116,"NA")</f>
        <v>7.1505318132262774</v>
      </c>
      <c r="BZ116" s="80">
        <f>IFERROR(VLOOKUP($H116,'1. Set Program Names'!$B$2:$D$15,3,0)*Z116,"NA")</f>
        <v>9.3465978353289234</v>
      </c>
      <c r="CA116" s="80">
        <f>IFERROR(VLOOKUP($H116,'1. Set Program Names'!$B$2:$D$15,3,0)*AA116,"NA")</f>
        <v>11.688417846995263</v>
      </c>
      <c r="CB116" s="80">
        <f>IFERROR(VLOOKUP($H116,'1. Set Program Names'!$B$2:$D$15,3,0)*AB116,"NA")</f>
        <v>14.183362300117793</v>
      </c>
      <c r="CC116" s="80">
        <f>IFERROR(VLOOKUP($H116,'1. Set Program Names'!$B$2:$D$15,3,0)*AC116,"NA")</f>
        <v>16.845089516840385</v>
      </c>
      <c r="CD116" s="80">
        <f>IFERROR(VLOOKUP($H116,'1. Set Program Names'!$B$2:$D$15,3,0)*AD116,"NA")</f>
        <v>19.689486053632734</v>
      </c>
      <c r="CE116" s="80">
        <f>IFERROR(VLOOKUP($H116,'1. Set Program Names'!$B$2:$D$15,3,0)*AE116,"NA")</f>
        <v>22.733814003925861</v>
      </c>
    </row>
    <row r="117" spans="1:83" x14ac:dyDescent="0.25">
      <c r="A117" s="79" t="s">
        <v>115</v>
      </c>
      <c r="B117" s="79" t="s">
        <v>88</v>
      </c>
      <c r="C117" s="79" t="s">
        <v>89</v>
      </c>
      <c r="D117" s="79" t="s">
        <v>90</v>
      </c>
      <c r="E117" s="79" t="s">
        <v>91</v>
      </c>
      <c r="F117" s="79" t="s">
        <v>90</v>
      </c>
      <c r="G117" s="79" t="s">
        <v>92</v>
      </c>
      <c r="H117" s="79" t="s">
        <v>7</v>
      </c>
      <c r="I117" s="79" t="s">
        <v>426</v>
      </c>
      <c r="J117" s="79" t="s">
        <v>101</v>
      </c>
      <c r="K117" s="79" t="s">
        <v>102</v>
      </c>
      <c r="L117" s="79">
        <v>3443.6666666666601</v>
      </c>
      <c r="M117" s="79">
        <v>1.66949913665645</v>
      </c>
      <c r="N117" s="79">
        <v>0.25022957227107101</v>
      </c>
      <c r="O117" s="79">
        <v>1269.26999999999</v>
      </c>
      <c r="P117" s="79">
        <v>446.40188399649003</v>
      </c>
      <c r="Q117" s="79">
        <v>993.06528260685695</v>
      </c>
      <c r="R117" s="79">
        <v>3363.3816217672702</v>
      </c>
      <c r="S117" s="79">
        <v>6252.5618237134204</v>
      </c>
      <c r="T117" s="79">
        <v>30</v>
      </c>
      <c r="U117" s="79">
        <v>0.1</v>
      </c>
      <c r="V117" s="79">
        <f>tbl_Data_old[[#This Row],[2025 ]]*IFERROR(AVERAGEIFS('Participation Adjustment'!$C:$C,'Participation Adjustment'!$A:$A,$H117,'Participation Adjustment'!$B:$B,$I117),1)</f>
        <v>0.75523368587477402</v>
      </c>
      <c r="W117" s="79">
        <f>tbl_Data_old[[#This Row],[2026 ]]*IFERROR(AVERAGEIFS('Participation Adjustment'!$C:$C,'Participation Adjustment'!$A:$A,$H117,'Participation Adjustment'!$B:$B,$I117),1)</f>
        <v>1.48613254617103</v>
      </c>
      <c r="X117" s="79">
        <f>tbl_Data_old[[#This Row],[2027 ]]*IFERROR(AVERAGEIFS('Participation Adjustment'!$C:$C,'Participation Adjustment'!$A:$A,$H117,'Participation Adjustment'!$B:$B,$I117),1)</f>
        <v>2.19404247535256</v>
      </c>
      <c r="Y117" s="79">
        <f>tbl_Data_old[[#This Row],[2028 ]]*IFERROR(AVERAGEIFS('Participation Adjustment'!$C:$C,'Participation Adjustment'!$A:$A,$H117,'Participation Adjustment'!$B:$B,$I117),1)</f>
        <v>2.8810386170023099</v>
      </c>
      <c r="Z117" s="79">
        <f>tbl_Data_old[[#This Row],[2029 ]]*IFERROR(AVERAGEIFS('Participation Adjustment'!$C:$C,'Participation Adjustment'!$A:$A,$H117,'Participation Adjustment'!$B:$B,$I117),1)</f>
        <v>3.5486526144353099</v>
      </c>
      <c r="AA117" s="79">
        <f>tbl_Data_old[[#This Row],[2030 ]]*IFERROR(AVERAGEIFS('Participation Adjustment'!$C:$C,'Participation Adjustment'!$A:$A,$H117,'Participation Adjustment'!$B:$B,$I117),1)</f>
        <v>4.1962481299315799</v>
      </c>
      <c r="AB117" s="79">
        <f>tbl_Data_old[[#This Row],[2031 ]]*IFERROR(AVERAGEIFS('Participation Adjustment'!$C:$C,'Participation Adjustment'!$A:$A,$H117,'Participation Adjustment'!$B:$B,$I117),1)</f>
        <v>4.8277497469448303</v>
      </c>
      <c r="AC117" s="79">
        <f>tbl_Data_old[[#This Row],[2032 ]]*IFERROR(AVERAGEIFS('Participation Adjustment'!$C:$C,'Participation Adjustment'!$A:$A,$H117,'Participation Adjustment'!$B:$B,$I117),1)</f>
        <v>5.44741002271439</v>
      </c>
      <c r="AD117" s="79">
        <f>tbl_Data_old[[#This Row],[2033 ]]*IFERROR(AVERAGEIFS('Participation Adjustment'!$C:$C,'Participation Adjustment'!$A:$A,$H117,'Participation Adjustment'!$B:$B,$I117),1)</f>
        <v>6.0588026515459497</v>
      </c>
      <c r="AE117" s="79">
        <f>tbl_Data_old[[#This Row],[2034 ]]*IFERROR(AVERAGEIFS('Participation Adjustment'!$C:$C,'Participation Adjustment'!$A:$A,$H117,'Participation Adjustment'!$B:$B,$I117),1)</f>
        <v>6.6647981822307401</v>
      </c>
      <c r="AF117" s="77" t="str">
        <f t="shared" si="55"/>
        <v>Residential</v>
      </c>
      <c r="AG117" s="77" t="str">
        <f>tbl_Data[[#This Row],[All_Meas_Name_Append]]</f>
        <v>Ceiling Insulation(R2 to R38) Residential_Efficiency Delivered</v>
      </c>
      <c r="AH117" s="77">
        <f>AVERAGEIFS('3. Incentive Adjustment'!G:G,'3. Incentive Adjustment'!A:A,tbl_Data[[#This Row],[Trimmed Sector]],'3. Incentive Adjustment'!B:B,tbl_Data[[#This Row],[Trimmed Measure Name]])</f>
        <v>1</v>
      </c>
      <c r="AI117" s="77">
        <f>$AH117*tbl_Data[[#This Row],[2025 ]]</f>
        <v>0.75523368587477402</v>
      </c>
      <c r="AJ117" s="77">
        <f>$AH117*tbl_Data[[#This Row],[2026 ]]</f>
        <v>1.48613254617103</v>
      </c>
      <c r="AK117" s="77">
        <f>$AH117*tbl_Data[[#This Row],[2027 ]]</f>
        <v>2.19404247535256</v>
      </c>
      <c r="AL117" s="77">
        <f>$AH117*tbl_Data[[#This Row],[2028 ]]</f>
        <v>2.8810386170023099</v>
      </c>
      <c r="AM117" s="77">
        <f>$AH117*tbl_Data[[#This Row],[2029 ]]</f>
        <v>3.5486526144353099</v>
      </c>
      <c r="AN117" s="77">
        <f>$AH117*tbl_Data[[#This Row],[2030 ]]</f>
        <v>4.1962481299315799</v>
      </c>
      <c r="AO117" s="77">
        <f>$AH117*tbl_Data[[#This Row],[2031 ]]</f>
        <v>4.8277497469448303</v>
      </c>
      <c r="AP117" s="77">
        <f>$AH117*tbl_Data[[#This Row],[2032 ]]</f>
        <v>5.44741002271439</v>
      </c>
      <c r="AQ117" s="77">
        <f>$AH117*tbl_Data[[#This Row],[2033 ]]</f>
        <v>6.0588026515459497</v>
      </c>
      <c r="AR117" s="77">
        <f>$AH117*tbl_Data[[#This Row],[2034 ]]</f>
        <v>6.6647981822307401</v>
      </c>
      <c r="AS117" s="77">
        <f>SUM(tbl_Data[[#This Row],[Adjusted 2025]:[Adjusted 2034]])</f>
        <v>38.060108672203476</v>
      </c>
      <c r="AT117" s="80">
        <f>AVERAGEIFS('3. Incentive Adjustment'!F:F,'3. Incentive Adjustment'!A:A,tbl_Data[[#This Row],[Trimmed Sector]],'3. Incentive Adjustment'!B:B,tbl_Data[[#This Row],[Trimmed Measure Name]])</f>
        <v>446.40188399649008</v>
      </c>
      <c r="AU117" s="80">
        <f>IFERROR(VLOOKUP(tbl_Data[[#This Row],[All_Meas_Name_Append]],'IRA Tax Credits'!$A$3:$D$46,4,0),0)</f>
        <v>0</v>
      </c>
      <c r="AV117" s="81">
        <f>tbl_Data[[#This Row],[Adj. per unit Incentive ($)]]/tbl_Data[[#This Row],[kWh Savings]]*tbl_Data[[#This Row],[Sum of Annuals]]</f>
        <v>4.933724968458856</v>
      </c>
      <c r="AW117" s="81">
        <f>IFERROR(VLOOKUP(tbl_Data[[#This Row],[Column1]],'1. Set Program Names'!$B$2:$D$15,3,0)*tbl_Data[[#This Row],[Sum of Annuals]],"")</f>
        <v>16.463341069184267</v>
      </c>
      <c r="AX117" s="81">
        <f>tbl_Data[[#This Row],[per unit IRA tax ($)]]/tbl_Data[[#This Row],[kWh Savings]]*tbl_Data[[#This Row],[Sum of Annuals]]</f>
        <v>0</v>
      </c>
      <c r="AY117" s="81">
        <f>tbl_Data[[#This Row],[Avoided Costs ($/unit)]]/tbl_Data[[#This Row],[kWh Savings]]*tbl_Data[[#This Row],[Sum of Annuals]]</f>
        <v>37.172781927370394</v>
      </c>
      <c r="AZ117" s="81">
        <f>tbl_Data[[#This Row],[Lost Revenue ($/unit)]]/tbl_Data[[#This Row],[kWh Savings]]*tbl_Data[[#This Row],[Sum of Annuals]]</f>
        <v>69.104592727771944</v>
      </c>
      <c r="BA117" s="81">
        <f>tbl_Data[[#This Row],[Incremental Cost ($/unit)]]/tbl_Data[[#This Row],[kWh Savings]]*tbl_Data[[#This Row],[Sum of Annuals]]</f>
        <v>14.028231768764133</v>
      </c>
      <c r="BB117" s="77">
        <f>ROUNDUP(tbl_Data[[#This Row],[Adjusted 2025]]/$L117,0)</f>
        <v>1</v>
      </c>
      <c r="BC117" s="77">
        <f>ROUNDUP(tbl_Data[[#This Row],[Adjusted 2026]]/$L117,0)</f>
        <v>1</v>
      </c>
      <c r="BD117" s="77">
        <f>ROUNDUP(tbl_Data[[#This Row],[Adjusted 2027]]/$L117,0)</f>
        <v>1</v>
      </c>
      <c r="BE117" s="77">
        <f>ROUNDUP(tbl_Data[[#This Row],[Adjusted 2028]]/$L117,0)</f>
        <v>1</v>
      </c>
      <c r="BF117" s="77">
        <f>ROUNDUP(tbl_Data[[#This Row],[Adjusted 2029]]/$L117,0)</f>
        <v>1</v>
      </c>
      <c r="BG117" s="77">
        <f>ROUNDUP(tbl_Data[[#This Row],[Adjusted 2030]]/$L117,0)</f>
        <v>1</v>
      </c>
      <c r="BH117" s="77">
        <f>ROUNDUP(tbl_Data[[#This Row],[Adjusted 2031]]/$L117,0)</f>
        <v>1</v>
      </c>
      <c r="BI117" s="77">
        <f>ROUNDUP(tbl_Data[[#This Row],[Adjusted 2032]]/$L117,0)</f>
        <v>1</v>
      </c>
      <c r="BJ117" s="77">
        <f>ROUNDUP(tbl_Data[[#This Row],[Adjusted 2033]]/$L117,0)</f>
        <v>1</v>
      </c>
      <c r="BK117" s="77">
        <f>ROUNDUP(tbl_Data[[#This Row],[Adjusted 2034]]/$L117,0)</f>
        <v>1</v>
      </c>
      <c r="BL117" s="80">
        <f t="shared" si="56"/>
        <v>9.7900805410544911E-2</v>
      </c>
      <c r="BM117" s="80">
        <f t="shared" si="57"/>
        <v>0.19264709180502851</v>
      </c>
      <c r="BN117" s="80">
        <f t="shared" si="58"/>
        <v>0.28441332723813006</v>
      </c>
      <c r="BO117" s="80">
        <f t="shared" si="59"/>
        <v>0.37346851219527899</v>
      </c>
      <c r="BP117" s="80">
        <f t="shared" si="60"/>
        <v>0.4600111933209744</v>
      </c>
      <c r="BQ117" s="80">
        <f t="shared" si="61"/>
        <v>0.5439588822722512</v>
      </c>
      <c r="BR117" s="80">
        <f t="shared" si="62"/>
        <v>0.62582032208878746</v>
      </c>
      <c r="BS117" s="80">
        <f t="shared" si="63"/>
        <v>0.70614677099247058</v>
      </c>
      <c r="BT117" s="80">
        <f t="shared" si="64"/>
        <v>0.78540148632650664</v>
      </c>
      <c r="BU117" s="80">
        <f t="shared" si="65"/>
        <v>0.86395657680888316</v>
      </c>
      <c r="BV117" s="80">
        <f>IFERROR(VLOOKUP($H117,'1. Set Program Names'!$B$2:$D$15,3,0)*V117,"NA")</f>
        <v>0.32668508291922682</v>
      </c>
      <c r="BW117" s="80">
        <f>IFERROR(VLOOKUP($H117,'1. Set Program Names'!$B$2:$D$15,3,0)*W117,"NA")</f>
        <v>0.64284385502813146</v>
      </c>
      <c r="BX117" s="80">
        <f>IFERROR(VLOOKUP($H117,'1. Set Program Names'!$B$2:$D$15,3,0)*X117,"NA")</f>
        <v>0.94905849857404734</v>
      </c>
      <c r="BY117" s="80">
        <f>IFERROR(VLOOKUP($H117,'1. Set Program Names'!$B$2:$D$15,3,0)*Y117,"NA")</f>
        <v>1.2462266409617673</v>
      </c>
      <c r="BZ117" s="80">
        <f>IFERROR(VLOOKUP($H117,'1. Set Program Names'!$B$2:$D$15,3,0)*Z117,"NA")</f>
        <v>1.5350108122567951</v>
      </c>
      <c r="CA117" s="80">
        <f>IFERROR(VLOOKUP($H117,'1. Set Program Names'!$B$2:$D$15,3,0)*AA117,"NA")</f>
        <v>1.8151357572040965</v>
      </c>
      <c r="CB117" s="80">
        <f>IFERROR(VLOOKUP($H117,'1. Set Program Names'!$B$2:$D$15,3,0)*AB117,"NA")</f>
        <v>2.0882990998569646</v>
      </c>
      <c r="CC117" s="80">
        <f>IFERROR(VLOOKUP($H117,'1. Set Program Names'!$B$2:$D$15,3,0)*AC117,"NA")</f>
        <v>2.3563403331304169</v>
      </c>
      <c r="CD117" s="80">
        <f>IFERROR(VLOOKUP($H117,'1. Set Program Names'!$B$2:$D$15,3,0)*AD117,"NA")</f>
        <v>2.6208052999104607</v>
      </c>
      <c r="CE117" s="80">
        <f>IFERROR(VLOOKUP($H117,'1. Set Program Names'!$B$2:$D$15,3,0)*AE117,"NA")</f>
        <v>2.8829356893423577</v>
      </c>
    </row>
    <row r="118" spans="1:83" x14ac:dyDescent="0.25">
      <c r="A118" s="79" t="s">
        <v>115</v>
      </c>
      <c r="B118" s="79" t="s">
        <v>88</v>
      </c>
      <c r="C118" s="79" t="s">
        <v>89</v>
      </c>
      <c r="D118" s="79" t="s">
        <v>90</v>
      </c>
      <c r="E118" s="79" t="s">
        <v>91</v>
      </c>
      <c r="F118" s="79" t="s">
        <v>90</v>
      </c>
      <c r="G118" s="79" t="s">
        <v>92</v>
      </c>
      <c r="H118" s="79" t="s">
        <v>7</v>
      </c>
      <c r="I118" s="79" t="s">
        <v>427</v>
      </c>
      <c r="J118" s="79" t="s">
        <v>101</v>
      </c>
      <c r="K118" s="79" t="s">
        <v>102</v>
      </c>
      <c r="L118" s="79">
        <v>3523.57666666666</v>
      </c>
      <c r="M118" s="79">
        <v>1.7070465614975301</v>
      </c>
      <c r="N118" s="79">
        <v>0.25623328618049002</v>
      </c>
      <c r="O118" s="79">
        <v>1306.5999999999899</v>
      </c>
      <c r="P118" s="79">
        <v>465.31519597206898</v>
      </c>
      <c r="Q118" s="79">
        <v>1016.10928030304</v>
      </c>
      <c r="R118" s="79">
        <v>3440.61303289528</v>
      </c>
      <c r="S118" s="79">
        <v>6397.6520033667803</v>
      </c>
      <c r="T118" s="79">
        <v>30</v>
      </c>
      <c r="U118" s="79">
        <v>0.1</v>
      </c>
      <c r="V118" s="79">
        <f>tbl_Data_old[[#This Row],[2025 ]]*IFERROR(AVERAGEIFS('Participation Adjustment'!$C:$C,'Participation Adjustment'!$A:$A,$H118,'Participation Adjustment'!$B:$B,$I118),1)</f>
        <v>0.77298052696743902</v>
      </c>
      <c r="W118" s="79">
        <f>tbl_Data_old[[#This Row],[2026 ]]*IFERROR(AVERAGEIFS('Participation Adjustment'!$C:$C,'Participation Adjustment'!$A:$A,$H118,'Participation Adjustment'!$B:$B,$I118),1)</f>
        <v>1.5211012306584299</v>
      </c>
      <c r="X118" s="79">
        <f>tbl_Data_old[[#This Row],[2027 ]]*IFERROR(AVERAGEIFS('Participation Adjustment'!$C:$C,'Participation Adjustment'!$A:$A,$H118,'Participation Adjustment'!$B:$B,$I118),1)</f>
        <v>2.2457350027949099</v>
      </c>
      <c r="Y118" s="79">
        <f>tbl_Data_old[[#This Row],[2028 ]]*IFERROR(AVERAGEIFS('Participation Adjustment'!$C:$C,'Participation Adjustment'!$A:$A,$H118,'Participation Adjustment'!$B:$B,$I118),1)</f>
        <v>2.9490016687818201</v>
      </c>
      <c r="Z118" s="79">
        <f>tbl_Data_old[[#This Row],[2029 ]]*IFERROR(AVERAGEIFS('Participation Adjustment'!$C:$C,'Participation Adjustment'!$A:$A,$H118,'Participation Adjustment'!$B:$B,$I118),1)</f>
        <v>3.6324651761113</v>
      </c>
      <c r="AA118" s="79">
        <f>tbl_Data_old[[#This Row],[2030 ]]*IFERROR(AVERAGEIFS('Participation Adjustment'!$C:$C,'Participation Adjustment'!$A:$A,$H118,'Participation Adjustment'!$B:$B,$I118),1)</f>
        <v>4.2954703158061998</v>
      </c>
      <c r="AB118" s="79">
        <f>tbl_Data_old[[#This Row],[2031 ]]*IFERROR(AVERAGEIFS('Participation Adjustment'!$C:$C,'Participation Adjustment'!$A:$A,$H118,'Participation Adjustment'!$B:$B,$I118),1)</f>
        <v>4.9420316204349799</v>
      </c>
      <c r="AC118" s="79">
        <f>tbl_Data_old[[#This Row],[2032 ]]*IFERROR(AVERAGEIFS('Participation Adjustment'!$C:$C,'Participation Adjustment'!$A:$A,$H118,'Participation Adjustment'!$B:$B,$I118),1)</f>
        <v>5.5765001835386796</v>
      </c>
      <c r="AD118" s="79">
        <f>tbl_Data_old[[#This Row],[2033 ]]*IFERROR(AVERAGEIFS('Participation Adjustment'!$C:$C,'Participation Adjustment'!$A:$A,$H118,'Participation Adjustment'!$B:$B,$I118),1)</f>
        <v>6.2025327249463897</v>
      </c>
      <c r="AE118" s="79">
        <f>tbl_Data_old[[#This Row],[2034 ]]*IFERROR(AVERAGEIFS('Participation Adjustment'!$C:$C,'Participation Adjustment'!$A:$A,$H118,'Participation Adjustment'!$B:$B,$I118),1)</f>
        <v>6.82306654659416</v>
      </c>
      <c r="AF118" s="77" t="str">
        <f t="shared" si="55"/>
        <v>Residential</v>
      </c>
      <c r="AG118" s="77" t="str">
        <f>tbl_Data[[#This Row],[All_Meas_Name_Append]]</f>
        <v>Ceiling Insulation(R2 to R49) Residential_Efficiency Delivered</v>
      </c>
      <c r="AH118" s="77">
        <f>AVERAGEIFS('3. Incentive Adjustment'!G:G,'3. Incentive Adjustment'!A:A,tbl_Data[[#This Row],[Trimmed Sector]],'3. Incentive Adjustment'!B:B,tbl_Data[[#This Row],[Trimmed Measure Name]])</f>
        <v>1</v>
      </c>
      <c r="AI118" s="77">
        <f>$AH118*tbl_Data[[#This Row],[2025 ]]</f>
        <v>0.77298052696743902</v>
      </c>
      <c r="AJ118" s="77">
        <f>$AH118*tbl_Data[[#This Row],[2026 ]]</f>
        <v>1.5211012306584299</v>
      </c>
      <c r="AK118" s="77">
        <f>$AH118*tbl_Data[[#This Row],[2027 ]]</f>
        <v>2.2457350027949099</v>
      </c>
      <c r="AL118" s="77">
        <f>$AH118*tbl_Data[[#This Row],[2028 ]]</f>
        <v>2.9490016687818201</v>
      </c>
      <c r="AM118" s="77">
        <f>$AH118*tbl_Data[[#This Row],[2029 ]]</f>
        <v>3.6324651761113</v>
      </c>
      <c r="AN118" s="77">
        <f>$AH118*tbl_Data[[#This Row],[2030 ]]</f>
        <v>4.2954703158061998</v>
      </c>
      <c r="AO118" s="77">
        <f>$AH118*tbl_Data[[#This Row],[2031 ]]</f>
        <v>4.9420316204349799</v>
      </c>
      <c r="AP118" s="77">
        <f>$AH118*tbl_Data[[#This Row],[2032 ]]</f>
        <v>5.5765001835386796</v>
      </c>
      <c r="AQ118" s="77">
        <f>$AH118*tbl_Data[[#This Row],[2033 ]]</f>
        <v>6.2025327249463897</v>
      </c>
      <c r="AR118" s="77">
        <f>$AH118*tbl_Data[[#This Row],[2034 ]]</f>
        <v>6.82306654659416</v>
      </c>
      <c r="AS118" s="77">
        <f>SUM(tbl_Data[[#This Row],[Adjusted 2025]:[Adjusted 2034]])</f>
        <v>38.960884996634313</v>
      </c>
      <c r="AT118" s="80">
        <f>AVERAGEIFS('3. Incentive Adjustment'!F:F,'3. Incentive Adjustment'!A:A,tbl_Data[[#This Row],[Trimmed Sector]],'3. Incentive Adjustment'!B:B,tbl_Data[[#This Row],[Trimmed Measure Name]])</f>
        <v>465.31519597206898</v>
      </c>
      <c r="AU118" s="80">
        <f>IFERROR(VLOOKUP(tbl_Data[[#This Row],[All_Meas_Name_Append]],'IRA Tax Credits'!$A$3:$D$46,4,0),0)</f>
        <v>0</v>
      </c>
      <c r="AV118" s="81">
        <f>tbl_Data[[#This Row],[Adj. per unit Incentive ($)]]/tbl_Data[[#This Row],[kWh Savings]]*tbl_Data[[#This Row],[Sum of Annuals]]</f>
        <v>5.14508227079516</v>
      </c>
      <c r="AW118" s="81">
        <f>IFERROR(VLOOKUP(tbl_Data[[#This Row],[Column1]],'1. Set Program Names'!$B$2:$D$15,3,0)*tbl_Data[[#This Row],[Sum of Annuals]],"")</f>
        <v>16.852982307044989</v>
      </c>
      <c r="AX118" s="81">
        <f>tbl_Data[[#This Row],[per unit IRA tax ($)]]/tbl_Data[[#This Row],[kWh Savings]]*tbl_Data[[#This Row],[Sum of Annuals]]</f>
        <v>0</v>
      </c>
      <c r="AY118" s="81">
        <f>tbl_Data[[#This Row],[Avoided Costs ($/unit)]]/tbl_Data[[#This Row],[kWh Savings]]*tbl_Data[[#This Row],[Sum of Annuals]]</f>
        <v>38.043539668278669</v>
      </c>
      <c r="AZ118" s="81">
        <f>tbl_Data[[#This Row],[Lost Revenue ($/unit)]]/tbl_Data[[#This Row],[kWh Savings]]*tbl_Data[[#This Row],[Sum of Annuals]]</f>
        <v>70.740105163501681</v>
      </c>
      <c r="BA118" s="81">
        <f>tbl_Data[[#This Row],[Incremental Cost ($/unit)]]/tbl_Data[[#This Row],[kWh Savings]]*tbl_Data[[#This Row],[Sum of Annuals]]</f>
        <v>14.447334953196826</v>
      </c>
      <c r="BB118" s="77">
        <f>ROUNDUP(tbl_Data[[#This Row],[Adjusted 2025]]/$L118,0)</f>
        <v>1</v>
      </c>
      <c r="BC118" s="77">
        <f>ROUNDUP(tbl_Data[[#This Row],[Adjusted 2026]]/$L118,0)</f>
        <v>1</v>
      </c>
      <c r="BD118" s="77">
        <f>ROUNDUP(tbl_Data[[#This Row],[Adjusted 2027]]/$L118,0)</f>
        <v>1</v>
      </c>
      <c r="BE118" s="77">
        <f>ROUNDUP(tbl_Data[[#This Row],[Adjusted 2028]]/$L118,0)</f>
        <v>1</v>
      </c>
      <c r="BF118" s="77">
        <f>ROUNDUP(tbl_Data[[#This Row],[Adjusted 2029]]/$L118,0)</f>
        <v>1</v>
      </c>
      <c r="BG118" s="77">
        <f>ROUNDUP(tbl_Data[[#This Row],[Adjusted 2030]]/$L118,0)</f>
        <v>1</v>
      </c>
      <c r="BH118" s="77">
        <f>ROUNDUP(tbl_Data[[#This Row],[Adjusted 2031]]/$L118,0)</f>
        <v>1</v>
      </c>
      <c r="BI118" s="77">
        <f>ROUNDUP(tbl_Data[[#This Row],[Adjusted 2032]]/$L118,0)</f>
        <v>1</v>
      </c>
      <c r="BJ118" s="77">
        <f>ROUNDUP(tbl_Data[[#This Row],[Adjusted 2033]]/$L118,0)</f>
        <v>1</v>
      </c>
      <c r="BK118" s="77">
        <f>ROUNDUP(tbl_Data[[#This Row],[Adjusted 2034]]/$L118,0)</f>
        <v>1</v>
      </c>
      <c r="BL118" s="80">
        <f t="shared" si="56"/>
        <v>0.1020779791145307</v>
      </c>
      <c r="BM118" s="80">
        <f t="shared" si="57"/>
        <v>0.20087302879853633</v>
      </c>
      <c r="BN118" s="80">
        <f t="shared" si="58"/>
        <v>0.29656644988383501</v>
      </c>
      <c r="BO118" s="80">
        <f t="shared" si="59"/>
        <v>0.38943818149678605</v>
      </c>
      <c r="BP118" s="80">
        <f t="shared" si="60"/>
        <v>0.47969475484208252</v>
      </c>
      <c r="BQ118" s="80">
        <f t="shared" si="61"/>
        <v>0.56724964457276961</v>
      </c>
      <c r="BR118" s="80">
        <f t="shared" si="62"/>
        <v>0.65263300035935135</v>
      </c>
      <c r="BS118" s="80">
        <f t="shared" si="63"/>
        <v>0.73641941731789129</v>
      </c>
      <c r="BT118" s="80">
        <f t="shared" si="64"/>
        <v>0.81909179321530468</v>
      </c>
      <c r="BU118" s="80">
        <f t="shared" si="65"/>
        <v>0.9010380211940715</v>
      </c>
      <c r="BV118" s="80">
        <f>IFERROR(VLOOKUP($H118,'1. Set Program Names'!$B$2:$D$15,3,0)*V118,"NA")</f>
        <v>0.33436168469473726</v>
      </c>
      <c r="BW118" s="80">
        <f>IFERROR(VLOOKUP($H118,'1. Set Program Names'!$B$2:$D$15,3,0)*W118,"NA")</f>
        <v>0.65796996474092928</v>
      </c>
      <c r="BX118" s="80">
        <f>IFERROR(VLOOKUP($H118,'1. Set Program Names'!$B$2:$D$15,3,0)*X118,"NA")</f>
        <v>0.97141870036278022</v>
      </c>
      <c r="BY118" s="80">
        <f>IFERROR(VLOOKUP($H118,'1. Set Program Names'!$B$2:$D$15,3,0)*Y118,"NA")</f>
        <v>1.2756248466049864</v>
      </c>
      <c r="BZ118" s="80">
        <f>IFERROR(VLOOKUP($H118,'1. Set Program Names'!$B$2:$D$15,3,0)*Z118,"NA")</f>
        <v>1.5712649070792204</v>
      </c>
      <c r="CA118" s="80">
        <f>IFERROR(VLOOKUP($H118,'1. Set Program Names'!$B$2:$D$15,3,0)*AA118,"NA")</f>
        <v>1.8580554635494668</v>
      </c>
      <c r="CB118" s="80">
        <f>IFERROR(VLOOKUP($H118,'1. Set Program Names'!$B$2:$D$15,3,0)*AB118,"NA")</f>
        <v>2.1377330486009889</v>
      </c>
      <c r="CC118" s="80">
        <f>IFERROR(VLOOKUP($H118,'1. Set Program Names'!$B$2:$D$15,3,0)*AC118,"NA")</f>
        <v>2.4121797781680048</v>
      </c>
      <c r="CD118" s="80">
        <f>IFERROR(VLOOKUP($H118,'1. Set Program Names'!$B$2:$D$15,3,0)*AD118,"NA")</f>
        <v>2.6829774087888176</v>
      </c>
      <c r="CE118" s="80">
        <f>IFERROR(VLOOKUP($H118,'1. Set Program Names'!$B$2:$D$15,3,0)*AE118,"NA")</f>
        <v>2.9513965044550559</v>
      </c>
    </row>
    <row r="119" spans="1:83" x14ac:dyDescent="0.25">
      <c r="A119" s="79" t="s">
        <v>115</v>
      </c>
      <c r="B119" s="79" t="s">
        <v>88</v>
      </c>
      <c r="C119" s="79" t="s">
        <v>89</v>
      </c>
      <c r="D119" s="79" t="s">
        <v>90</v>
      </c>
      <c r="E119" s="79" t="s">
        <v>91</v>
      </c>
      <c r="F119" s="79" t="s">
        <v>90</v>
      </c>
      <c r="G119" s="79" t="s">
        <v>92</v>
      </c>
      <c r="H119" s="79" t="s">
        <v>7</v>
      </c>
      <c r="I119" s="79" t="s">
        <v>428</v>
      </c>
      <c r="J119" s="79" t="s">
        <v>97</v>
      </c>
      <c r="K119" s="79" t="s">
        <v>102</v>
      </c>
      <c r="L119" s="79">
        <v>936.45</v>
      </c>
      <c r="M119" s="79">
        <v>0.42562333070119601</v>
      </c>
      <c r="N119" s="79">
        <v>3.9115067461125599E-2</v>
      </c>
      <c r="O119" s="79">
        <v>685.00999995999996</v>
      </c>
      <c r="P119" s="79">
        <v>458.12689399999903</v>
      </c>
      <c r="Q119" s="79">
        <v>270.04819975719403</v>
      </c>
      <c r="R119" s="79">
        <v>763.90764278946904</v>
      </c>
      <c r="S119" s="79">
        <v>1415.5155729468199</v>
      </c>
      <c r="T119" s="79">
        <v>20</v>
      </c>
      <c r="U119" s="79">
        <v>0.1</v>
      </c>
      <c r="V119" s="79">
        <f>tbl_Data_old[[#This Row],[2025 ]]*IFERROR(AVERAGEIFS('Participation Adjustment'!$C:$C,'Participation Adjustment'!$A:$A,$H119,'Participation Adjustment'!$B:$B,$I119),1)</f>
        <v>4.1284377578209099</v>
      </c>
      <c r="W119" s="79">
        <f>tbl_Data_old[[#This Row],[2026 ]]*IFERROR(AVERAGEIFS('Participation Adjustment'!$C:$C,'Participation Adjustment'!$A:$A,$H119,'Participation Adjustment'!$B:$B,$I119),1)</f>
        <v>8.1240930929845607</v>
      </c>
      <c r="X119" s="79">
        <f>tbl_Data_old[[#This Row],[2027 ]]*IFERROR(AVERAGEIFS('Participation Adjustment'!$C:$C,'Participation Adjustment'!$A:$A,$H119,'Participation Adjustment'!$B:$B,$I119),1)</f>
        <v>11.994299295658299</v>
      </c>
      <c r="Y119" s="79">
        <f>tbl_Data_old[[#This Row],[2028 ]]*IFERROR(AVERAGEIFS('Participation Adjustment'!$C:$C,'Participation Adjustment'!$A:$A,$H119,'Participation Adjustment'!$B:$B,$I119),1)</f>
        <v>15.7503788885047</v>
      </c>
      <c r="Z119" s="79">
        <f>tbl_Data_old[[#This Row],[2029 ]]*IFERROR(AVERAGEIFS('Participation Adjustment'!$C:$C,'Participation Adjustment'!$A:$A,$H119,'Participation Adjustment'!$B:$B,$I119),1)</f>
        <v>19.400685421900999</v>
      </c>
      <c r="AA119" s="79">
        <f>tbl_Data_old[[#This Row],[2030 ]]*IFERROR(AVERAGEIFS('Participation Adjustment'!$C:$C,'Participation Adjustment'!$A:$A,$H119,'Participation Adjustment'!$B:$B,$I119),1)</f>
        <v>22.9417201168955</v>
      </c>
      <c r="AB119" s="79">
        <f>tbl_Data_old[[#This Row],[2031 ]]*IFERROR(AVERAGEIFS('Participation Adjustment'!$C:$C,'Participation Adjustment'!$A:$A,$H119,'Participation Adjustment'!$B:$B,$I119),1)</f>
        <v>26.3949247021202</v>
      </c>
      <c r="AC119" s="79">
        <f>tbl_Data_old[[#This Row],[2032 ]]*IFERROR(AVERAGEIFS('Participation Adjustment'!$C:$C,'Participation Adjustment'!$A:$A,$H119,'Participation Adjustment'!$B:$B,$I119),1)</f>
        <v>29.7835383102985</v>
      </c>
      <c r="AD119" s="79">
        <f>tbl_Data_old[[#This Row],[2033 ]]*IFERROR(AVERAGEIFS('Participation Adjustment'!$C:$C,'Participation Adjustment'!$A:$A,$H119,'Participation Adjustment'!$B:$B,$I119),1)</f>
        <v>33.127091397089401</v>
      </c>
      <c r="AE119" s="79">
        <f>tbl_Data_old[[#This Row],[2034 ]]*IFERROR(AVERAGEIFS('Participation Adjustment'!$C:$C,'Participation Adjustment'!$A:$A,$H119,'Participation Adjustment'!$B:$B,$I119),1)</f>
        <v>36.441272013400798</v>
      </c>
      <c r="AF119" s="77" t="str">
        <f t="shared" si="55"/>
        <v>Residential</v>
      </c>
      <c r="AG119" s="77" t="str">
        <f>tbl_Data[[#This Row],[All_Meas_Name_Append]]</f>
        <v>Duct Repair_Efficiency Delivered</v>
      </c>
      <c r="AH119" s="77">
        <f>AVERAGEIFS('3. Incentive Adjustment'!G:G,'3. Incentive Adjustment'!A:A,tbl_Data[[#This Row],[Trimmed Sector]],'3. Incentive Adjustment'!B:B,tbl_Data[[#This Row],[Trimmed Measure Name]])</f>
        <v>0.72196841234229292</v>
      </c>
      <c r="AI119" s="77">
        <f>$AH119*tbl_Data[[#This Row],[2025 ]]</f>
        <v>2.980601653467938</v>
      </c>
      <c r="AJ119" s="77">
        <f>$AH119*tbl_Data[[#This Row],[2026 ]]</f>
        <v>5.8653385920630514</v>
      </c>
      <c r="AK119" s="77">
        <f>$AH119*tbl_Data[[#This Row],[2027 ]]</f>
        <v>8.6595052196447053</v>
      </c>
      <c r="AL119" s="77">
        <f>$AH119*tbl_Data[[#This Row],[2028 ]]</f>
        <v>11.371276039923307</v>
      </c>
      <c r="AM119" s="77">
        <f>$AH119*tbl_Data[[#This Row],[2029 ]]</f>
        <v>14.006682052402132</v>
      </c>
      <c r="AN119" s="77">
        <f>$AH119*tbl_Data[[#This Row],[2030 ]]</f>
        <v>16.563197249196286</v>
      </c>
      <c r="AO119" s="77">
        <f>$AH119*tbl_Data[[#This Row],[2031 ]]</f>
        <v>19.056301881084089</v>
      </c>
      <c r="AP119" s="77">
        <f>$AH119*tbl_Data[[#This Row],[2032 ]]</f>
        <v>21.502773867822064</v>
      </c>
      <c r="AQ119" s="77">
        <f>$AH119*tbl_Data[[#This Row],[2033 ]]</f>
        <v>23.916713581474664</v>
      </c>
      <c r="AR119" s="77">
        <f>$AH119*tbl_Data[[#This Row],[2034 ]]</f>
        <v>26.309447299248607</v>
      </c>
      <c r="AS119" s="77">
        <f>SUM(tbl_Data[[#This Row],[Adjusted 2025]:[Adjusted 2034]])</f>
        <v>150.23183743632686</v>
      </c>
      <c r="AT119" s="80">
        <f>AVERAGEIFS('3. Incentive Adjustment'!F:F,'3. Incentive Adjustment'!A:A,tbl_Data[[#This Row],[Trimmed Sector]],'3. Incentive Adjustment'!B:B,tbl_Data[[#This Row],[Trimmed Measure Name]])</f>
        <v>342.50499997999992</v>
      </c>
      <c r="AU119" s="80">
        <f>IFERROR(VLOOKUP(tbl_Data[[#This Row],[All_Meas_Name_Append]],'IRA Tax Credits'!$A$3:$D$46,4,0),0)</f>
        <v>0</v>
      </c>
      <c r="AV119" s="81">
        <f>tbl_Data[[#This Row],[Adj. per unit Incentive ($)]]/tbl_Data[[#This Row],[kWh Savings]]*tbl_Data[[#This Row],[Sum of Annuals]]</f>
        <v>54.947039861310778</v>
      </c>
      <c r="AW119" s="81">
        <f>IFERROR(VLOOKUP(tbl_Data[[#This Row],[Column1]],'1. Set Program Names'!$B$2:$D$15,3,0)*tbl_Data[[#This Row],[Sum of Annuals]],"")</f>
        <v>64.98452225836229</v>
      </c>
      <c r="AX119" s="81">
        <f>tbl_Data[[#This Row],[per unit IRA tax ($)]]/tbl_Data[[#This Row],[kWh Savings]]*tbl_Data[[#This Row],[Sum of Annuals]]</f>
        <v>0</v>
      </c>
      <c r="AY119" s="81">
        <f>tbl_Data[[#This Row],[Avoided Costs ($/unit)]]/tbl_Data[[#This Row],[kWh Savings]]*tbl_Data[[#This Row],[Sum of Annuals]]</f>
        <v>122.55138961814849</v>
      </c>
      <c r="AZ119" s="81">
        <f>tbl_Data[[#This Row],[Lost Revenue ($/unit)]]/tbl_Data[[#This Row],[kWh Savings]]*tbl_Data[[#This Row],[Sum of Annuals]]</f>
        <v>227.08687644138578</v>
      </c>
      <c r="BA119" s="81">
        <f>tbl_Data[[#This Row],[Incremental Cost ($/unit)]]/tbl_Data[[#This Row],[kWh Savings]]*tbl_Data[[#This Row],[Sum of Annuals]]</f>
        <v>109.89407972262158</v>
      </c>
      <c r="BB119" s="77">
        <f>ROUNDUP(tbl_Data[[#This Row],[Adjusted 2025]]/$L119,0)</f>
        <v>1</v>
      </c>
      <c r="BC119" s="77">
        <f>ROUNDUP(tbl_Data[[#This Row],[Adjusted 2026]]/$L119,0)</f>
        <v>1</v>
      </c>
      <c r="BD119" s="77">
        <f>ROUNDUP(tbl_Data[[#This Row],[Adjusted 2027]]/$L119,0)</f>
        <v>1</v>
      </c>
      <c r="BE119" s="77">
        <f>ROUNDUP(tbl_Data[[#This Row],[Adjusted 2028]]/$L119,0)</f>
        <v>1</v>
      </c>
      <c r="BF119" s="77">
        <f>ROUNDUP(tbl_Data[[#This Row],[Adjusted 2029]]/$L119,0)</f>
        <v>1</v>
      </c>
      <c r="BG119" s="77">
        <f>ROUNDUP(tbl_Data[[#This Row],[Adjusted 2030]]/$L119,0)</f>
        <v>1</v>
      </c>
      <c r="BH119" s="77">
        <f>ROUNDUP(tbl_Data[[#This Row],[Adjusted 2031]]/$L119,0)</f>
        <v>1</v>
      </c>
      <c r="BI119" s="77">
        <f>ROUNDUP(tbl_Data[[#This Row],[Adjusted 2032]]/$L119,0)</f>
        <v>1</v>
      </c>
      <c r="BJ119" s="77">
        <f>ROUNDUP(tbl_Data[[#This Row],[Adjusted 2033]]/$L119,0)</f>
        <v>1</v>
      </c>
      <c r="BK119" s="77">
        <f>ROUNDUP(tbl_Data[[#This Row],[Adjusted 2034]]/$L119,0)</f>
        <v>1</v>
      </c>
      <c r="BL119" s="80">
        <f t="shared" si="56"/>
        <v>1.5099691111750564</v>
      </c>
      <c r="BM119" s="80">
        <f t="shared" si="57"/>
        <v>2.9713732763630674</v>
      </c>
      <c r="BN119" s="80">
        <f t="shared" si="58"/>
        <v>4.3868946340109547</v>
      </c>
      <c r="BO119" s="80">
        <f t="shared" si="59"/>
        <v>5.7606743775880114</v>
      </c>
      <c r="BP119" s="80">
        <f t="shared" si="60"/>
        <v>7.0957678039833265</v>
      </c>
      <c r="BQ119" s="80">
        <f t="shared" si="61"/>
        <v>8.3908952407266337</v>
      </c>
      <c r="BR119" s="80">
        <f t="shared" si="62"/>
        <v>9.6538989637159247</v>
      </c>
      <c r="BS119" s="80">
        <f t="shared" si="63"/>
        <v>10.893278646348566</v>
      </c>
      <c r="BT119" s="80">
        <f t="shared" si="64"/>
        <v>12.116177519672766</v>
      </c>
      <c r="BU119" s="80">
        <f t="shared" si="65"/>
        <v>13.328333461712864</v>
      </c>
      <c r="BV119" s="80">
        <f>IFERROR(VLOOKUP($H119,'1. Set Program Names'!$B$2:$D$15,3,0)*V119,"NA")</f>
        <v>1.7858035949209763</v>
      </c>
      <c r="BW119" s="80">
        <f>IFERROR(VLOOKUP($H119,'1. Set Program Names'!$B$2:$D$15,3,0)*W119,"NA")</f>
        <v>3.5141706141604026</v>
      </c>
      <c r="BX119" s="80">
        <f>IFERROR(VLOOKUP($H119,'1. Set Program Names'!$B$2:$D$15,3,0)*X119,"NA")</f>
        <v>5.188273157362663</v>
      </c>
      <c r="BY119" s="80">
        <f>IFERROR(VLOOKUP($H119,'1. Set Program Names'!$B$2:$D$15,3,0)*Y119,"NA")</f>
        <v>6.8130089129175353</v>
      </c>
      <c r="BZ119" s="80">
        <f>IFERROR(VLOOKUP($H119,'1. Set Program Names'!$B$2:$D$15,3,0)*Z119,"NA")</f>
        <v>8.3919913058465685</v>
      </c>
      <c r="CA119" s="80">
        <f>IFERROR(VLOOKUP($H119,'1. Set Program Names'!$B$2:$D$15,3,0)*AA119,"NA")</f>
        <v>9.923706898768291</v>
      </c>
      <c r="CB119" s="80">
        <f>IFERROR(VLOOKUP($H119,'1. Set Program Names'!$B$2:$D$15,3,0)*AB119,"NA")</f>
        <v>11.417430559881891</v>
      </c>
      <c r="CC119" s="80">
        <f>IFERROR(VLOOKUP($H119,'1. Set Program Names'!$B$2:$D$15,3,0)*AC119,"NA")</f>
        <v>12.883214645355672</v>
      </c>
      <c r="CD119" s="80">
        <f>IFERROR(VLOOKUP($H119,'1. Set Program Names'!$B$2:$D$15,3,0)*AD119,"NA")</f>
        <v>14.329507280115394</v>
      </c>
      <c r="CE119" s="80">
        <f>IFERROR(VLOOKUP($H119,'1. Set Program Names'!$B$2:$D$15,3,0)*AE119,"NA")</f>
        <v>15.763094512383665</v>
      </c>
    </row>
    <row r="120" spans="1:83" x14ac:dyDescent="0.25">
      <c r="A120" s="79" t="s">
        <v>115</v>
      </c>
      <c r="B120" s="79" t="s">
        <v>88</v>
      </c>
      <c r="C120" s="79" t="s">
        <v>89</v>
      </c>
      <c r="D120" s="79" t="s">
        <v>90</v>
      </c>
      <c r="E120" s="79" t="s">
        <v>91</v>
      </c>
      <c r="F120" s="79" t="s">
        <v>90</v>
      </c>
      <c r="G120" s="79" t="s">
        <v>92</v>
      </c>
      <c r="H120" s="79" t="s">
        <v>7</v>
      </c>
      <c r="I120" s="79" t="s">
        <v>429</v>
      </c>
      <c r="J120" s="79" t="s">
        <v>97</v>
      </c>
      <c r="K120" s="79" t="s">
        <v>298</v>
      </c>
      <c r="L120" s="79">
        <v>57.93</v>
      </c>
      <c r="M120" s="79">
        <v>0</v>
      </c>
      <c r="N120" s="79">
        <v>1.1014721785810099E-2</v>
      </c>
      <c r="O120" s="79">
        <v>154.1011072</v>
      </c>
      <c r="P120" s="79">
        <v>140.06582681793901</v>
      </c>
      <c r="Q120" s="79">
        <v>16.705528551374101</v>
      </c>
      <c r="R120" s="79">
        <v>46.999759951794701</v>
      </c>
      <c r="S120" s="79">
        <v>87.565611768711094</v>
      </c>
      <c r="T120" s="79">
        <v>20</v>
      </c>
      <c r="U120" s="79">
        <v>0.2</v>
      </c>
      <c r="V120" s="79">
        <f>tbl_Data_old[[#This Row],[2025 ]]*IFERROR(AVERAGEIFS('Participation Adjustment'!$C:$C,'Participation Adjustment'!$A:$A,$H120,'Participation Adjustment'!$B:$B,$I120),1)</f>
        <v>0</v>
      </c>
      <c r="W120" s="79">
        <f>tbl_Data_old[[#This Row],[2026 ]]*IFERROR(AVERAGEIFS('Participation Adjustment'!$C:$C,'Participation Adjustment'!$A:$A,$H120,'Participation Adjustment'!$B:$B,$I120),1)</f>
        <v>0</v>
      </c>
      <c r="X120" s="79">
        <f>tbl_Data_old[[#This Row],[2027 ]]*IFERROR(AVERAGEIFS('Participation Adjustment'!$C:$C,'Participation Adjustment'!$A:$A,$H120,'Participation Adjustment'!$B:$B,$I120),1)</f>
        <v>0</v>
      </c>
      <c r="Y120" s="79">
        <f>tbl_Data_old[[#This Row],[2028 ]]*IFERROR(AVERAGEIFS('Participation Adjustment'!$C:$C,'Participation Adjustment'!$A:$A,$H120,'Participation Adjustment'!$B:$B,$I120),1)</f>
        <v>0</v>
      </c>
      <c r="Z120" s="79">
        <f>tbl_Data_old[[#This Row],[2029 ]]*IFERROR(AVERAGEIFS('Participation Adjustment'!$C:$C,'Participation Adjustment'!$A:$A,$H120,'Participation Adjustment'!$B:$B,$I120),1)</f>
        <v>0</v>
      </c>
      <c r="AA120" s="79">
        <f>tbl_Data_old[[#This Row],[2030 ]]*IFERROR(AVERAGEIFS('Participation Adjustment'!$C:$C,'Participation Adjustment'!$A:$A,$H120,'Participation Adjustment'!$B:$B,$I120),1)</f>
        <v>0</v>
      </c>
      <c r="AB120" s="79">
        <f>tbl_Data_old[[#This Row],[2031 ]]*IFERROR(AVERAGEIFS('Participation Adjustment'!$C:$C,'Participation Adjustment'!$A:$A,$H120,'Participation Adjustment'!$B:$B,$I120),1)</f>
        <v>0</v>
      </c>
      <c r="AC120" s="79">
        <f>tbl_Data_old[[#This Row],[2032 ]]*IFERROR(AVERAGEIFS('Participation Adjustment'!$C:$C,'Participation Adjustment'!$A:$A,$H120,'Participation Adjustment'!$B:$B,$I120),1)</f>
        <v>0</v>
      </c>
      <c r="AD120" s="79">
        <f>tbl_Data_old[[#This Row],[2033 ]]*IFERROR(AVERAGEIFS('Participation Adjustment'!$C:$C,'Participation Adjustment'!$A:$A,$H120,'Participation Adjustment'!$B:$B,$I120),1)</f>
        <v>0</v>
      </c>
      <c r="AE120" s="79">
        <f>tbl_Data_old[[#This Row],[2034 ]]*IFERROR(AVERAGEIFS('Participation Adjustment'!$C:$C,'Participation Adjustment'!$A:$A,$H120,'Participation Adjustment'!$B:$B,$I120),1)</f>
        <v>0</v>
      </c>
      <c r="AF120" s="77" t="str">
        <f t="shared" si="55"/>
        <v>Residential</v>
      </c>
      <c r="AG120" s="77" t="str">
        <f>tbl_Data[[#This Row],[All_Meas_Name_Append]]</f>
        <v>Energy Star Windows Residential_Efficiency Delivered</v>
      </c>
      <c r="AH120" s="77">
        <f>AVERAGEIFS('3. Incentive Adjustment'!G:G,'3. Incentive Adjustment'!A:A,tbl_Data[[#This Row],[Trimmed Sector]],'3. Incentive Adjustment'!B:B,tbl_Data[[#This Row],[Trimmed Measure Name]])</f>
        <v>5.6690987860076834E-2</v>
      </c>
      <c r="AI120" s="77">
        <f>$AH120*tbl_Data[[#This Row],[2025 ]]</f>
        <v>0</v>
      </c>
      <c r="AJ120" s="77">
        <f>$AH120*tbl_Data[[#This Row],[2026 ]]</f>
        <v>0</v>
      </c>
      <c r="AK120" s="77">
        <f>$AH120*tbl_Data[[#This Row],[2027 ]]</f>
        <v>0</v>
      </c>
      <c r="AL120" s="77">
        <f>$AH120*tbl_Data[[#This Row],[2028 ]]</f>
        <v>0</v>
      </c>
      <c r="AM120" s="77">
        <f>$AH120*tbl_Data[[#This Row],[2029 ]]</f>
        <v>0</v>
      </c>
      <c r="AN120" s="77">
        <f>$AH120*tbl_Data[[#This Row],[2030 ]]</f>
        <v>0</v>
      </c>
      <c r="AO120" s="77">
        <f>$AH120*tbl_Data[[#This Row],[2031 ]]</f>
        <v>0</v>
      </c>
      <c r="AP120" s="77">
        <f>$AH120*tbl_Data[[#This Row],[2032 ]]</f>
        <v>0</v>
      </c>
      <c r="AQ120" s="77">
        <f>$AH120*tbl_Data[[#This Row],[2033 ]]</f>
        <v>0</v>
      </c>
      <c r="AR120" s="77">
        <f>$AH120*tbl_Data[[#This Row],[2034 ]]</f>
        <v>0</v>
      </c>
      <c r="AS120" s="77">
        <f>SUM(tbl_Data[[#This Row],[Adjusted 2025]:[Adjusted 2034]])</f>
        <v>0</v>
      </c>
      <c r="AT120" s="80">
        <f>AVERAGEIFS('3. Incentive Adjustment'!F:F,'3. Incentive Adjustment'!A:A,tbl_Data[[#This Row],[Trimmed Sector]],'3. Incentive Adjustment'!B:B,tbl_Data[[#This Row],[Trimmed Measure Name]])</f>
        <v>77.050553600000001</v>
      </c>
      <c r="AU120" s="80">
        <f>IFERROR(VLOOKUP(tbl_Data[[#This Row],[All_Meas_Name_Append]],'IRA Tax Credits'!$A$3:$D$46,4,0),0)</f>
        <v>0</v>
      </c>
      <c r="AV120" s="81">
        <f>tbl_Data[[#This Row],[Adj. per unit Incentive ($)]]/tbl_Data[[#This Row],[kWh Savings]]*tbl_Data[[#This Row],[Sum of Annuals]]</f>
        <v>0</v>
      </c>
      <c r="AW120" s="81">
        <f>IFERROR(VLOOKUP(tbl_Data[[#This Row],[Column1]],'1. Set Program Names'!$B$2:$D$15,3,0)*tbl_Data[[#This Row],[Sum of Annuals]],"")</f>
        <v>0</v>
      </c>
      <c r="AX120" s="81">
        <f>tbl_Data[[#This Row],[per unit IRA tax ($)]]/tbl_Data[[#This Row],[kWh Savings]]*tbl_Data[[#This Row],[Sum of Annuals]]</f>
        <v>0</v>
      </c>
      <c r="AY120" s="81">
        <f>tbl_Data[[#This Row],[Avoided Costs ($/unit)]]/tbl_Data[[#This Row],[kWh Savings]]*tbl_Data[[#This Row],[Sum of Annuals]]</f>
        <v>0</v>
      </c>
      <c r="AZ120" s="81">
        <f>tbl_Data[[#This Row],[Lost Revenue ($/unit)]]/tbl_Data[[#This Row],[kWh Savings]]*tbl_Data[[#This Row],[Sum of Annuals]]</f>
        <v>0</v>
      </c>
      <c r="BA120" s="81">
        <f>tbl_Data[[#This Row],[Incremental Cost ($/unit)]]/tbl_Data[[#This Row],[kWh Savings]]*tbl_Data[[#This Row],[Sum of Annuals]]</f>
        <v>0</v>
      </c>
      <c r="BB120" s="77">
        <f>ROUNDUP(tbl_Data[[#This Row],[Adjusted 2025]]/$L120,0)</f>
        <v>0</v>
      </c>
      <c r="BC120" s="77">
        <f>ROUNDUP(tbl_Data[[#This Row],[Adjusted 2026]]/$L120,0)</f>
        <v>0</v>
      </c>
      <c r="BD120" s="77">
        <f>ROUNDUP(tbl_Data[[#This Row],[Adjusted 2027]]/$L120,0)</f>
        <v>0</v>
      </c>
      <c r="BE120" s="77">
        <f>ROUNDUP(tbl_Data[[#This Row],[Adjusted 2028]]/$L120,0)</f>
        <v>0</v>
      </c>
      <c r="BF120" s="77">
        <f>ROUNDUP(tbl_Data[[#This Row],[Adjusted 2029]]/$L120,0)</f>
        <v>0</v>
      </c>
      <c r="BG120" s="77">
        <f>ROUNDUP(tbl_Data[[#This Row],[Adjusted 2030]]/$L120,0)</f>
        <v>0</v>
      </c>
      <c r="BH120" s="77">
        <f>ROUNDUP(tbl_Data[[#This Row],[Adjusted 2031]]/$L120,0)</f>
        <v>0</v>
      </c>
      <c r="BI120" s="77">
        <f>ROUNDUP(tbl_Data[[#This Row],[Adjusted 2032]]/$L120,0)</f>
        <v>0</v>
      </c>
      <c r="BJ120" s="77">
        <f>ROUNDUP(tbl_Data[[#This Row],[Adjusted 2033]]/$L120,0)</f>
        <v>0</v>
      </c>
      <c r="BK120" s="77">
        <f>ROUNDUP(tbl_Data[[#This Row],[Adjusted 2034]]/$L120,0)</f>
        <v>0</v>
      </c>
      <c r="BL120" s="80">
        <f t="shared" si="56"/>
        <v>0</v>
      </c>
      <c r="BM120" s="80">
        <f t="shared" si="57"/>
        <v>0</v>
      </c>
      <c r="BN120" s="80">
        <f t="shared" si="58"/>
        <v>0</v>
      </c>
      <c r="BO120" s="80">
        <f t="shared" si="59"/>
        <v>0</v>
      </c>
      <c r="BP120" s="80">
        <f t="shared" si="60"/>
        <v>0</v>
      </c>
      <c r="BQ120" s="80">
        <f t="shared" si="61"/>
        <v>0</v>
      </c>
      <c r="BR120" s="80">
        <f t="shared" si="62"/>
        <v>0</v>
      </c>
      <c r="BS120" s="80">
        <f t="shared" si="63"/>
        <v>0</v>
      </c>
      <c r="BT120" s="80">
        <f t="shared" si="64"/>
        <v>0</v>
      </c>
      <c r="BU120" s="80">
        <f t="shared" si="65"/>
        <v>0</v>
      </c>
      <c r="BV120" s="80">
        <f>IFERROR(VLOOKUP($H120,'1. Set Program Names'!$B$2:$D$15,3,0)*V120,"NA")</f>
        <v>0</v>
      </c>
      <c r="BW120" s="80">
        <f>IFERROR(VLOOKUP($H120,'1. Set Program Names'!$B$2:$D$15,3,0)*W120,"NA")</f>
        <v>0</v>
      </c>
      <c r="BX120" s="80">
        <f>IFERROR(VLOOKUP($H120,'1. Set Program Names'!$B$2:$D$15,3,0)*X120,"NA")</f>
        <v>0</v>
      </c>
      <c r="BY120" s="80">
        <f>IFERROR(VLOOKUP($H120,'1. Set Program Names'!$B$2:$D$15,3,0)*Y120,"NA")</f>
        <v>0</v>
      </c>
      <c r="BZ120" s="80">
        <f>IFERROR(VLOOKUP($H120,'1. Set Program Names'!$B$2:$D$15,3,0)*Z120,"NA")</f>
        <v>0</v>
      </c>
      <c r="CA120" s="80">
        <f>IFERROR(VLOOKUP($H120,'1. Set Program Names'!$B$2:$D$15,3,0)*AA120,"NA")</f>
        <v>0</v>
      </c>
      <c r="CB120" s="80">
        <f>IFERROR(VLOOKUP($H120,'1. Set Program Names'!$B$2:$D$15,3,0)*AB120,"NA")</f>
        <v>0</v>
      </c>
      <c r="CC120" s="80">
        <f>IFERROR(VLOOKUP($H120,'1. Set Program Names'!$B$2:$D$15,3,0)*AC120,"NA")</f>
        <v>0</v>
      </c>
      <c r="CD120" s="80">
        <f>IFERROR(VLOOKUP($H120,'1. Set Program Names'!$B$2:$D$15,3,0)*AD120,"NA")</f>
        <v>0</v>
      </c>
      <c r="CE120" s="80">
        <f>IFERROR(VLOOKUP($H120,'1. Set Program Names'!$B$2:$D$15,3,0)*AE120,"NA")</f>
        <v>0</v>
      </c>
    </row>
    <row r="121" spans="1:83" x14ac:dyDescent="0.25">
      <c r="A121" s="79" t="s">
        <v>115</v>
      </c>
      <c r="B121" s="79" t="s">
        <v>88</v>
      </c>
      <c r="C121" s="79" t="s">
        <v>89</v>
      </c>
      <c r="D121" s="79" t="s">
        <v>90</v>
      </c>
      <c r="E121" s="79" t="s">
        <v>91</v>
      </c>
      <c r="F121" s="79" t="s">
        <v>90</v>
      </c>
      <c r="G121" s="79" t="s">
        <v>92</v>
      </c>
      <c r="H121" s="79" t="s">
        <v>7</v>
      </c>
      <c r="I121" s="79" t="s">
        <v>430</v>
      </c>
      <c r="J121" s="79" t="s">
        <v>94</v>
      </c>
      <c r="K121" s="79" t="s">
        <v>108</v>
      </c>
      <c r="L121" s="79">
        <v>1663.1099999999899</v>
      </c>
      <c r="M121" s="79">
        <v>6.6647595975018806E-2</v>
      </c>
      <c r="N121" s="79">
        <v>0.309148293753995</v>
      </c>
      <c r="O121" s="79">
        <v>1389.5</v>
      </c>
      <c r="P121" s="79">
        <v>988.78817699699403</v>
      </c>
      <c r="Q121" s="79">
        <v>479.59833573408702</v>
      </c>
      <c r="R121" s="79">
        <v>791.96156853290995</v>
      </c>
      <c r="S121" s="79">
        <v>2127.4894292214699</v>
      </c>
      <c r="T121" s="79">
        <v>15</v>
      </c>
      <c r="U121" s="79">
        <v>0.1</v>
      </c>
      <c r="V121" s="79">
        <f>tbl_Data_old[[#This Row],[2025 ]]*IFERROR(AVERAGEIFS('Participation Adjustment'!$C:$C,'Participation Adjustment'!$A:$A,$H121,'Participation Adjustment'!$B:$B,$I121),1)</f>
        <v>0.34874594244146501</v>
      </c>
      <c r="W121" s="79">
        <f>tbl_Data_old[[#This Row],[2026 ]]*IFERROR(AVERAGEIFS('Participation Adjustment'!$C:$C,'Participation Adjustment'!$A:$A,$H121,'Participation Adjustment'!$B:$B,$I121),1)</f>
        <v>0.73659247466642797</v>
      </c>
      <c r="X121" s="79">
        <f>tbl_Data_old[[#This Row],[2027 ]]*IFERROR(AVERAGEIFS('Participation Adjustment'!$C:$C,'Participation Adjustment'!$A:$A,$H121,'Participation Adjustment'!$B:$B,$I121),1)</f>
        <v>1.1604714757296799</v>
      </c>
      <c r="Y121" s="79">
        <f>tbl_Data_old[[#This Row],[2028 ]]*IFERROR(AVERAGEIFS('Participation Adjustment'!$C:$C,'Participation Adjustment'!$A:$A,$H121,'Participation Adjustment'!$B:$B,$I121),1)</f>
        <v>1.6184194689375699</v>
      </c>
      <c r="Z121" s="79">
        <f>tbl_Data_old[[#This Row],[2029 ]]*IFERROR(AVERAGEIFS('Participation Adjustment'!$C:$C,'Participation Adjustment'!$A:$A,$H121,'Participation Adjustment'!$B:$B,$I121),1)</f>
        <v>2.10880437149134</v>
      </c>
      <c r="AA121" s="79">
        <f>tbl_Data_old[[#This Row],[2030 ]]*IFERROR(AVERAGEIFS('Participation Adjustment'!$C:$C,'Participation Adjustment'!$A:$A,$H121,'Participation Adjustment'!$B:$B,$I121),1)</f>
        <v>2.6288442309579301</v>
      </c>
      <c r="AB121" s="79">
        <f>tbl_Data_old[[#This Row],[2031 ]]*IFERROR(AVERAGEIFS('Participation Adjustment'!$C:$C,'Participation Adjustment'!$A:$A,$H121,'Participation Adjustment'!$B:$B,$I121),1)</f>
        <v>3.1798515279233301</v>
      </c>
      <c r="AC121" s="79">
        <f>tbl_Data_old[[#This Row],[2032 ]]*IFERROR(AVERAGEIFS('Participation Adjustment'!$C:$C,'Participation Adjustment'!$A:$A,$H121,'Participation Adjustment'!$B:$B,$I121),1)</f>
        <v>3.7644979608582698</v>
      </c>
      <c r="AD121" s="79">
        <f>tbl_Data_old[[#This Row],[2033 ]]*IFERROR(AVERAGEIFS('Participation Adjustment'!$C:$C,'Participation Adjustment'!$A:$A,$H121,'Participation Adjustment'!$B:$B,$I121),1)</f>
        <v>4.3858979518286203</v>
      </c>
      <c r="AE121" s="79">
        <f>tbl_Data_old[[#This Row],[2034 ]]*IFERROR(AVERAGEIFS('Participation Adjustment'!$C:$C,'Participation Adjustment'!$A:$A,$H121,'Participation Adjustment'!$B:$B,$I121),1)</f>
        <v>5.0474136611444704</v>
      </c>
      <c r="AF121" s="77" t="str">
        <f t="shared" si="55"/>
        <v>Residential</v>
      </c>
      <c r="AG121" s="77" t="str">
        <f>tbl_Data[[#This Row],[All_Meas_Name_Append]]</f>
        <v>Heat Pump Water Heater 50 Gallons- CEE Advanced Tier_Efficiency Delivered</v>
      </c>
      <c r="AH121" s="77">
        <f>AVERAGEIFS('3. Incentive Adjustment'!G:G,'3. Incentive Adjustment'!A:A,tbl_Data[[#This Row],[Trimmed Sector]],'3. Incentive Adjustment'!B:B,tbl_Data[[#This Row],[Trimmed Measure Name]])</f>
        <v>0.62719907351402515</v>
      </c>
      <c r="AI121" s="77">
        <f>$AH121*tbl_Data[[#This Row],[2025 ]]</f>
        <v>0.2187331319910624</v>
      </c>
      <c r="AJ121" s="77">
        <f>$AH121*tbl_Data[[#This Row],[2026 ]]</f>
        <v>0.46199011766818665</v>
      </c>
      <c r="AK121" s="77">
        <f>$AH121*tbl_Data[[#This Row],[2027 ]]</f>
        <v>0.72784663441710873</v>
      </c>
      <c r="AL121" s="77">
        <f>$AH121*tbl_Data[[#This Row],[2028 ]]</f>
        <v>1.0150711914747044</v>
      </c>
      <c r="AM121" s="77">
        <f>$AH121*tbl_Data[[#This Row],[2029 ]]</f>
        <v>1.3226401480216945</v>
      </c>
      <c r="AN121" s="77">
        <f>$AH121*tbl_Data[[#This Row],[2030 ]]</f>
        <v>1.6488086660695036</v>
      </c>
      <c r="AO121" s="77">
        <f>$AH121*tbl_Data[[#This Row],[2031 ]]</f>
        <v>1.99439993222567</v>
      </c>
      <c r="AP121" s="77">
        <f>$AH121*tbl_Data[[#This Row],[2032 ]]</f>
        <v>2.3610896332957436</v>
      </c>
      <c r="AQ121" s="77">
        <f>$AH121*tbl_Data[[#This Row],[2033 ]]</f>
        <v>2.7508311319139711</v>
      </c>
      <c r="AR121" s="77">
        <f>$AH121*tbl_Data[[#This Row],[2034 ]]</f>
        <v>3.1657331719118456</v>
      </c>
      <c r="AS121" s="77">
        <f>SUM(tbl_Data[[#This Row],[Adjusted 2025]:[Adjusted 2034]])</f>
        <v>15.667143758989491</v>
      </c>
      <c r="AT121" s="80">
        <f>AVERAGEIFS('3. Incentive Adjustment'!F:F,'3. Incentive Adjustment'!A:A,tbl_Data[[#This Row],[Trimmed Sector]],'3. Incentive Adjustment'!B:B,tbl_Data[[#This Row],[Trimmed Measure Name]])</f>
        <v>694.75</v>
      </c>
      <c r="AU121" s="80">
        <f>IFERROR(VLOOKUP(tbl_Data[[#This Row],[All_Meas_Name_Append]],'IRA Tax Credits'!$A$3:$D$46,4,0),0)</f>
        <v>0</v>
      </c>
      <c r="AV121" s="81">
        <f>tbl_Data[[#This Row],[Adj. per unit Incentive ($)]]/tbl_Data[[#This Row],[kWh Savings]]*tbl_Data[[#This Row],[Sum of Annuals]]</f>
        <v>6.5448155122379248</v>
      </c>
      <c r="AW121" s="81">
        <f>IFERROR(VLOOKUP(tbl_Data[[#This Row],[Column1]],'1. Set Program Names'!$B$2:$D$15,3,0)*tbl_Data[[#This Row],[Sum of Annuals]],"")</f>
        <v>6.7770045930678808</v>
      </c>
      <c r="AX121" s="81">
        <f>tbl_Data[[#This Row],[per unit IRA tax ($)]]/tbl_Data[[#This Row],[kWh Savings]]*tbl_Data[[#This Row],[Sum of Annuals]]</f>
        <v>0</v>
      </c>
      <c r="AY121" s="81">
        <f>tbl_Data[[#This Row],[Avoided Costs ($/unit)]]/tbl_Data[[#This Row],[kWh Savings]]*tbl_Data[[#This Row],[Sum of Annuals]]</f>
        <v>7.4605863387268334</v>
      </c>
      <c r="AZ121" s="81">
        <f>tbl_Data[[#This Row],[Lost Revenue ($/unit)]]/tbl_Data[[#This Row],[kWh Savings]]*tbl_Data[[#This Row],[Sum of Annuals]]</f>
        <v>20.041778795956652</v>
      </c>
      <c r="BA121" s="81">
        <f>tbl_Data[[#This Row],[Incremental Cost ($/unit)]]/tbl_Data[[#This Row],[kWh Savings]]*tbl_Data[[#This Row],[Sum of Annuals]]</f>
        <v>13.08963102447585</v>
      </c>
      <c r="BB121" s="77">
        <f>ROUNDUP(tbl_Data[[#This Row],[Adjusted 2025]]/$L121,0)</f>
        <v>1</v>
      </c>
      <c r="BC121" s="77">
        <f>ROUNDUP(tbl_Data[[#This Row],[Adjusted 2026]]/$L121,0)</f>
        <v>1</v>
      </c>
      <c r="BD121" s="77">
        <f>ROUNDUP(tbl_Data[[#This Row],[Adjusted 2027]]/$L121,0)</f>
        <v>1</v>
      </c>
      <c r="BE121" s="77">
        <f>ROUNDUP(tbl_Data[[#This Row],[Adjusted 2028]]/$L121,0)</f>
        <v>1</v>
      </c>
      <c r="BF121" s="77">
        <f>ROUNDUP(tbl_Data[[#This Row],[Adjusted 2029]]/$L121,0)</f>
        <v>1</v>
      </c>
      <c r="BG121" s="77">
        <f>ROUNDUP(tbl_Data[[#This Row],[Adjusted 2030]]/$L121,0)</f>
        <v>1</v>
      </c>
      <c r="BH121" s="77">
        <f>ROUNDUP(tbl_Data[[#This Row],[Adjusted 2031]]/$L121,0)</f>
        <v>1</v>
      </c>
      <c r="BI121" s="77">
        <f>ROUNDUP(tbl_Data[[#This Row],[Adjusted 2032]]/$L121,0)</f>
        <v>1</v>
      </c>
      <c r="BJ121" s="77">
        <f>ROUNDUP(tbl_Data[[#This Row],[Adjusted 2033]]/$L121,0)</f>
        <v>1</v>
      </c>
      <c r="BK121" s="77">
        <f>ROUNDUP(tbl_Data[[#This Row],[Adjusted 2034]]/$L121,0)</f>
        <v>1</v>
      </c>
      <c r="BL121" s="80">
        <f t="shared" si="56"/>
        <v>0.14568563926090836</v>
      </c>
      <c r="BM121" s="80">
        <f t="shared" si="57"/>
        <v>0.30770521599563705</v>
      </c>
      <c r="BN121" s="80">
        <f t="shared" si="58"/>
        <v>0.48477704888023038</v>
      </c>
      <c r="BO121" s="80">
        <f t="shared" si="59"/>
        <v>0.67608091229346434</v>
      </c>
      <c r="BP121" s="80">
        <f t="shared" si="60"/>
        <v>0.88093501758369397</v>
      </c>
      <c r="BQ121" s="80">
        <f t="shared" si="61"/>
        <v>1.0981772278791138</v>
      </c>
      <c r="BR121" s="80">
        <f t="shared" si="62"/>
        <v>1.3283558207362993</v>
      </c>
      <c r="BS121" s="80">
        <f t="shared" si="63"/>
        <v>1.5725868753758312</v>
      </c>
      <c r="BT121" s="80">
        <f t="shared" si="64"/>
        <v>1.8321714150194228</v>
      </c>
      <c r="BU121" s="80">
        <f t="shared" si="65"/>
        <v>2.1085139534246933</v>
      </c>
      <c r="BV121" s="80">
        <f>IFERROR(VLOOKUP($H121,'1. Set Program Names'!$B$2:$D$15,3,0)*V121,"NA")</f>
        <v>0.15085409887705239</v>
      </c>
      <c r="BW121" s="80">
        <f>IFERROR(VLOOKUP($H121,'1. Set Program Names'!$B$2:$D$15,3,0)*W121,"NA")</f>
        <v>0.31862161098568925</v>
      </c>
      <c r="BX121" s="80">
        <f>IFERROR(VLOOKUP($H121,'1. Set Program Names'!$B$2:$D$15,3,0)*X121,"NA")</f>
        <v>0.50197538505586248</v>
      </c>
      <c r="BY121" s="80">
        <f>IFERROR(VLOOKUP($H121,'1. Set Program Names'!$B$2:$D$15,3,0)*Y121,"NA")</f>
        <v>0.70006609648980556</v>
      </c>
      <c r="BZ121" s="80">
        <f>IFERROR(VLOOKUP($H121,'1. Set Program Names'!$B$2:$D$15,3,0)*Z121,"NA")</f>
        <v>0.91218776895937614</v>
      </c>
      <c r="CA121" s="80">
        <f>IFERROR(VLOOKUP($H121,'1. Set Program Names'!$B$2:$D$15,3,0)*AA121,"NA")</f>
        <v>1.1371370367007458</v>
      </c>
      <c r="CB121" s="80">
        <f>IFERROR(VLOOKUP($H121,'1. Set Program Names'!$B$2:$D$15,3,0)*AB121,"NA")</f>
        <v>1.375481628401185</v>
      </c>
      <c r="CC121" s="80">
        <f>IFERROR(VLOOKUP($H121,'1. Set Program Names'!$B$2:$D$15,3,0)*AC121,"NA")</f>
        <v>1.6283772181954279</v>
      </c>
      <c r="CD121" s="80">
        <f>IFERROR(VLOOKUP($H121,'1. Set Program Names'!$B$2:$D$15,3,0)*AD121,"NA")</f>
        <v>1.8971709854398298</v>
      </c>
      <c r="CE121" s="80">
        <f>IFERROR(VLOOKUP($H121,'1. Set Program Names'!$B$2:$D$15,3,0)*AE121,"NA")</f>
        <v>2.1833172715392193</v>
      </c>
    </row>
    <row r="122" spans="1:83" x14ac:dyDescent="0.25">
      <c r="A122" s="79" t="s">
        <v>115</v>
      </c>
      <c r="B122" s="79" t="s">
        <v>88</v>
      </c>
      <c r="C122" s="79" t="s">
        <v>89</v>
      </c>
      <c r="D122" s="79" t="s">
        <v>90</v>
      </c>
      <c r="E122" s="79" t="s">
        <v>91</v>
      </c>
      <c r="F122" s="79" t="s">
        <v>90</v>
      </c>
      <c r="G122" s="79" t="s">
        <v>92</v>
      </c>
      <c r="H122" s="79" t="s">
        <v>7</v>
      </c>
      <c r="I122" s="79" t="s">
        <v>431</v>
      </c>
      <c r="J122" s="79" t="s">
        <v>94</v>
      </c>
      <c r="K122" s="79" t="s">
        <v>95</v>
      </c>
      <c r="L122" s="79">
        <v>1590.11499999999</v>
      </c>
      <c r="M122" s="79">
        <v>6.3722388822036402E-2</v>
      </c>
      <c r="N122" s="79">
        <v>0.29557957027655002</v>
      </c>
      <c r="O122" s="79">
        <v>1389.5</v>
      </c>
      <c r="P122" s="79">
        <v>1006.47372867305</v>
      </c>
      <c r="Q122" s="79">
        <v>458.54844696129999</v>
      </c>
      <c r="R122" s="79">
        <v>757.20185047754296</v>
      </c>
      <c r="S122" s="79">
        <v>2034.1125083407001</v>
      </c>
      <c r="T122" s="79">
        <v>15</v>
      </c>
      <c r="U122" s="79">
        <v>0.1</v>
      </c>
      <c r="V122" s="79">
        <f>tbl_Data_old[[#This Row],[2025 ]]*IFERROR(AVERAGEIFS('Participation Adjustment'!$C:$C,'Participation Adjustment'!$A:$A,$H122,'Participation Adjustment'!$B:$B,$I122),1)</f>
        <v>0.49838335256751698</v>
      </c>
      <c r="W122" s="79">
        <f>tbl_Data_old[[#This Row],[2026 ]]*IFERROR(AVERAGEIFS('Participation Adjustment'!$C:$C,'Participation Adjustment'!$A:$A,$H122,'Participation Adjustment'!$B:$B,$I122),1)</f>
        <v>1.0524170439919001</v>
      </c>
      <c r="X122" s="79">
        <f>tbl_Data_old[[#This Row],[2027 ]]*IFERROR(AVERAGEIFS('Participation Adjustment'!$C:$C,'Participation Adjustment'!$A:$A,$H122,'Participation Adjustment'!$B:$B,$I122),1)</f>
        <v>1.6576995458056201</v>
      </c>
      <c r="Y122" s="79">
        <f>tbl_Data_old[[#This Row],[2028 ]]*IFERROR(AVERAGEIFS('Participation Adjustment'!$C:$C,'Participation Adjustment'!$A:$A,$H122,'Participation Adjustment'!$B:$B,$I122),1)</f>
        <v>2.3114155025838601</v>
      </c>
      <c r="Z122" s="79">
        <f>tbl_Data_old[[#This Row],[2029 ]]*IFERROR(AVERAGEIFS('Participation Adjustment'!$C:$C,'Participation Adjustment'!$A:$A,$H122,'Participation Adjustment'!$B:$B,$I122),1)</f>
        <v>3.0112287383008498</v>
      </c>
      <c r="AA122" s="79">
        <f>tbl_Data_old[[#This Row],[2030 ]]*IFERROR(AVERAGEIFS('Participation Adjustment'!$C:$C,'Participation Adjustment'!$A:$A,$H122,'Participation Adjustment'!$B:$B,$I122),1)</f>
        <v>3.7531672826878402</v>
      </c>
      <c r="AB122" s="79">
        <f>tbl_Data_old[[#This Row],[2031 ]]*IFERROR(AVERAGEIFS('Participation Adjustment'!$C:$C,'Participation Adjustment'!$A:$A,$H122,'Participation Adjustment'!$B:$B,$I122),1)</f>
        <v>4.5391042383673099</v>
      </c>
      <c r="AC122" s="79">
        <f>tbl_Data_old[[#This Row],[2032 ]]*IFERROR(AVERAGEIFS('Participation Adjustment'!$C:$C,'Participation Adjustment'!$A:$A,$H122,'Participation Adjustment'!$B:$B,$I122),1)</f>
        <v>5.3728512860386299</v>
      </c>
      <c r="AD122" s="79">
        <f>tbl_Data_old[[#This Row],[2033 ]]*IFERROR(AVERAGEIFS('Participation Adjustment'!$C:$C,'Participation Adjustment'!$A:$A,$H122,'Participation Adjustment'!$B:$B,$I122),1)</f>
        <v>6.2588504555130404</v>
      </c>
      <c r="AE122" s="79">
        <f>tbl_Data_old[[#This Row],[2034 ]]*IFERROR(AVERAGEIFS('Participation Adjustment'!$C:$C,'Participation Adjustment'!$A:$A,$H122,'Participation Adjustment'!$B:$B,$I122),1)</f>
        <v>7.2018959370785103</v>
      </c>
      <c r="AF122" s="77" t="str">
        <f t="shared" si="55"/>
        <v>Residential</v>
      </c>
      <c r="AG122" s="77" t="str">
        <f>tbl_Data[[#This Row],[All_Meas_Name_Append]]</f>
        <v>Heat Pump Water Heater 50 Gallons-ENERGY STAR_Efficiency Delivered</v>
      </c>
      <c r="AH122" s="77">
        <f>AVERAGEIFS('3. Incentive Adjustment'!G:G,'3. Incentive Adjustment'!A:A,tbl_Data[[#This Row],[Trimmed Sector]],'3. Incentive Adjustment'!B:B,tbl_Data[[#This Row],[Trimmed Measure Name]])</f>
        <v>0.59615658026245322</v>
      </c>
      <c r="AI122" s="77">
        <f>$AH122*tbl_Data[[#This Row],[2025 ]]</f>
        <v>0.29711451512638748</v>
      </c>
      <c r="AJ122" s="77">
        <f>$AH122*tbl_Data[[#This Row],[2026 ]]</f>
        <v>0.62740534595613096</v>
      </c>
      <c r="AK122" s="77">
        <f>$AH122*tbl_Data[[#This Row],[2027 ]]</f>
        <v>0.98824849233010037</v>
      </c>
      <c r="AL122" s="77">
        <f>$AH122*tbl_Data[[#This Row],[2028 ]]</f>
        <v>1.3779655615860136</v>
      </c>
      <c r="AM122" s="77">
        <f>$AH122*tbl_Data[[#This Row],[2029 ]]</f>
        <v>1.7951638270134562</v>
      </c>
      <c r="AN122" s="77">
        <f>$AH122*tbl_Data[[#This Row],[2030 ]]</f>
        <v>2.2374753724001066</v>
      </c>
      <c r="AO122" s="77">
        <f>$AH122*tbl_Data[[#This Row],[2031 ]]</f>
        <v>2.7060168601998629</v>
      </c>
      <c r="AP122" s="77">
        <f>$AH122*tbl_Data[[#This Row],[2032 ]]</f>
        <v>3.2030606489435134</v>
      </c>
      <c r="AQ122" s="77">
        <f>$AH122*tbl_Data[[#This Row],[2033 ]]</f>
        <v>3.7312548839327517</v>
      </c>
      <c r="AR122" s="77">
        <f>$AH122*tbl_Data[[#This Row],[2034 ]]</f>
        <v>4.293457653254781</v>
      </c>
      <c r="AS122" s="77">
        <f>SUM(tbl_Data[[#This Row],[Adjusted 2025]:[Adjusted 2034]])</f>
        <v>21.257163160743104</v>
      </c>
      <c r="AT122" s="80">
        <f>AVERAGEIFS('3. Incentive Adjustment'!F:F,'3. Incentive Adjustment'!A:A,tbl_Data[[#This Row],[Trimmed Sector]],'3. Incentive Adjustment'!B:B,tbl_Data[[#This Row],[Trimmed Measure Name]])</f>
        <v>694.75</v>
      </c>
      <c r="AU122" s="80">
        <f>IFERROR(VLOOKUP(tbl_Data[[#This Row],[All_Meas_Name_Append]],'IRA Tax Credits'!$A$3:$D$46,4,0),0)</f>
        <v>0</v>
      </c>
      <c r="AV122" s="81">
        <f>tbl_Data[[#This Row],[Adj. per unit Incentive ($)]]/tbl_Data[[#This Row],[kWh Savings]]*tbl_Data[[#This Row],[Sum of Annuals]]</f>
        <v>9.2876390109686184</v>
      </c>
      <c r="AW122" s="81">
        <f>IFERROR(VLOOKUP(tbl_Data[[#This Row],[Column1]],'1. Set Program Names'!$B$2:$D$15,3,0)*tbl_Data[[#This Row],[Sum of Annuals]],"")</f>
        <v>9.1950322657434427</v>
      </c>
      <c r="AX122" s="81">
        <f>tbl_Data[[#This Row],[per unit IRA tax ($)]]/tbl_Data[[#This Row],[kWh Savings]]*tbl_Data[[#This Row],[Sum of Annuals]]</f>
        <v>0</v>
      </c>
      <c r="AY122" s="81">
        <f>tbl_Data[[#This Row],[Avoided Costs ($/unit)]]/tbl_Data[[#This Row],[kWh Savings]]*tbl_Data[[#This Row],[Sum of Annuals]]</f>
        <v>10.122515215074278</v>
      </c>
      <c r="AZ122" s="81">
        <f>tbl_Data[[#This Row],[Lost Revenue ($/unit)]]/tbl_Data[[#This Row],[kWh Savings]]*tbl_Data[[#This Row],[Sum of Annuals]]</f>
        <v>27.19266309487487</v>
      </c>
      <c r="BA122" s="81">
        <f>tbl_Data[[#This Row],[Incremental Cost ($/unit)]]/tbl_Data[[#This Row],[kWh Savings]]*tbl_Data[[#This Row],[Sum of Annuals]]</f>
        <v>18.575278021937237</v>
      </c>
      <c r="BB122" s="77">
        <f>ROUNDUP(tbl_Data[[#This Row],[Adjusted 2025]]/$L122,0)</f>
        <v>1</v>
      </c>
      <c r="BC122" s="77">
        <f>ROUNDUP(tbl_Data[[#This Row],[Adjusted 2026]]/$L122,0)</f>
        <v>1</v>
      </c>
      <c r="BD122" s="77">
        <f>ROUNDUP(tbl_Data[[#This Row],[Adjusted 2027]]/$L122,0)</f>
        <v>1</v>
      </c>
      <c r="BE122" s="77">
        <f>ROUNDUP(tbl_Data[[#This Row],[Adjusted 2028]]/$L122,0)</f>
        <v>1</v>
      </c>
      <c r="BF122" s="77">
        <f>ROUNDUP(tbl_Data[[#This Row],[Adjusted 2029]]/$L122,0)</f>
        <v>1</v>
      </c>
      <c r="BG122" s="77">
        <f>ROUNDUP(tbl_Data[[#This Row],[Adjusted 2030]]/$L122,0)</f>
        <v>1</v>
      </c>
      <c r="BH122" s="77">
        <f>ROUNDUP(tbl_Data[[#This Row],[Adjusted 2031]]/$L122,0)</f>
        <v>1</v>
      </c>
      <c r="BI122" s="77">
        <f>ROUNDUP(tbl_Data[[#This Row],[Adjusted 2032]]/$L122,0)</f>
        <v>1</v>
      </c>
      <c r="BJ122" s="77">
        <f>ROUNDUP(tbl_Data[[#This Row],[Adjusted 2033]]/$L122,0)</f>
        <v>1</v>
      </c>
      <c r="BK122" s="77">
        <f>ROUNDUP(tbl_Data[[#This Row],[Adjusted 2034]]/$L122,0)</f>
        <v>1</v>
      </c>
      <c r="BL122" s="80">
        <f t="shared" si="56"/>
        <v>0.21775269977095027</v>
      </c>
      <c r="BM122" s="80">
        <f t="shared" si="57"/>
        <v>0.45982003899930329</v>
      </c>
      <c r="BN122" s="80">
        <f t="shared" si="58"/>
        <v>0.72427891029797331</v>
      </c>
      <c r="BO122" s="80">
        <f t="shared" si="59"/>
        <v>1.0098992339674469</v>
      </c>
      <c r="BP122" s="80">
        <f t="shared" si="60"/>
        <v>1.315660292453394</v>
      </c>
      <c r="BQ122" s="80">
        <f t="shared" si="61"/>
        <v>1.6398266601141385</v>
      </c>
      <c r="BR122" s="80">
        <f t="shared" si="62"/>
        <v>1.9832167293596428</v>
      </c>
      <c r="BS122" s="80">
        <f t="shared" si="63"/>
        <v>2.3474958924199583</v>
      </c>
      <c r="BT122" s="80">
        <f t="shared" si="64"/>
        <v>2.7346049524516856</v>
      </c>
      <c r="BU122" s="80">
        <f t="shared" si="65"/>
        <v>3.1466385778923702</v>
      </c>
      <c r="BV122" s="80">
        <f>IFERROR(VLOOKUP($H122,'1. Set Program Names'!$B$2:$D$15,3,0)*V122,"NA")</f>
        <v>0.21558149471378046</v>
      </c>
      <c r="BW122" s="80">
        <f>IFERROR(VLOOKUP($H122,'1. Set Program Names'!$B$2:$D$15,3,0)*W122,"NA")</f>
        <v>0.45523518840909954</v>
      </c>
      <c r="BX122" s="80">
        <f>IFERROR(VLOOKUP($H122,'1. Set Program Names'!$B$2:$D$15,3,0)*X122,"NA")</f>
        <v>0.71705714893981543</v>
      </c>
      <c r="BY122" s="80">
        <f>IFERROR(VLOOKUP($H122,'1. Set Program Names'!$B$2:$D$15,3,0)*Y122,"NA")</f>
        <v>0.99982956169092185</v>
      </c>
      <c r="BZ122" s="80">
        <f>IFERROR(VLOOKUP($H122,'1. Set Program Names'!$B$2:$D$15,3,0)*Z122,"NA")</f>
        <v>1.302541886649484</v>
      </c>
      <c r="CA122" s="80">
        <f>IFERROR(VLOOKUP($H122,'1. Set Program Names'!$B$2:$D$15,3,0)*AA122,"NA")</f>
        <v>1.6234760020462164</v>
      </c>
      <c r="CB122" s="80">
        <f>IFERROR(VLOOKUP($H122,'1. Set Program Names'!$B$2:$D$15,3,0)*AB122,"NA")</f>
        <v>1.9634421401270923</v>
      </c>
      <c r="CC122" s="80">
        <f>IFERROR(VLOOKUP($H122,'1. Set Program Names'!$B$2:$D$15,3,0)*AC122,"NA")</f>
        <v>2.3240890875506319</v>
      </c>
      <c r="CD122" s="80">
        <f>IFERROR(VLOOKUP($H122,'1. Set Program Names'!$B$2:$D$15,3,0)*AD122,"NA")</f>
        <v>2.7073382957885532</v>
      </c>
      <c r="CE122" s="80">
        <f>IFERROR(VLOOKUP($H122,'1. Set Program Names'!$B$2:$D$15,3,0)*AE122,"NA")</f>
        <v>3.1152635474078254</v>
      </c>
    </row>
    <row r="123" spans="1:83" x14ac:dyDescent="0.25">
      <c r="A123" s="79" t="s">
        <v>115</v>
      </c>
      <c r="B123" s="79" t="s">
        <v>88</v>
      </c>
      <c r="C123" s="79" t="s">
        <v>89</v>
      </c>
      <c r="D123" s="79" t="s">
        <v>90</v>
      </c>
      <c r="E123" s="79" t="s">
        <v>91</v>
      </c>
      <c r="F123" s="79" t="s">
        <v>90</v>
      </c>
      <c r="G123" s="79" t="s">
        <v>92</v>
      </c>
      <c r="H123" s="79" t="s">
        <v>7</v>
      </c>
      <c r="I123" s="79" t="s">
        <v>432</v>
      </c>
      <c r="J123" s="79" t="s">
        <v>94</v>
      </c>
      <c r="K123" s="79" t="s">
        <v>108</v>
      </c>
      <c r="L123" s="79">
        <v>461.909999999999</v>
      </c>
      <c r="M123" s="79">
        <v>1.8510616289253799E-2</v>
      </c>
      <c r="N123" s="79">
        <v>8.5862443475120898E-2</v>
      </c>
      <c r="O123" s="79">
        <v>1729.5</v>
      </c>
      <c r="P123" s="79">
        <v>1631.9996867488601</v>
      </c>
      <c r="Q123" s="79">
        <v>133.20301559063</v>
      </c>
      <c r="R123" s="79">
        <v>219.958372038552</v>
      </c>
      <c r="S123" s="79">
        <v>590.88613636602201</v>
      </c>
      <c r="T123" s="79">
        <v>15</v>
      </c>
      <c r="U123" s="79">
        <v>0.1</v>
      </c>
      <c r="V123" s="79">
        <f>tbl_Data_old[[#This Row],[2025 ]]*IFERROR(AVERAGEIFS('Participation Adjustment'!$C:$C,'Participation Adjustment'!$A:$A,$H123,'Participation Adjustment'!$B:$B,$I123),1)</f>
        <v>0.26809216754143</v>
      </c>
      <c r="W123" s="79">
        <f>tbl_Data_old[[#This Row],[2026 ]]*IFERROR(AVERAGEIFS('Participation Adjustment'!$C:$C,'Participation Adjustment'!$A:$A,$H123,'Participation Adjustment'!$B:$B,$I123),1)</f>
        <v>0.56629496761002196</v>
      </c>
      <c r="X123" s="79">
        <f>tbl_Data_old[[#This Row],[2027 ]]*IFERROR(AVERAGEIFS('Participation Adjustment'!$C:$C,'Participation Adjustment'!$A:$A,$H123,'Participation Adjustment'!$B:$B,$I123),1)</f>
        <v>0.89225335553543905</v>
      </c>
      <c r="Y123" s="79">
        <f>tbl_Data_old[[#This Row],[2028 ]]*IFERROR(AVERAGEIFS('Participation Adjustment'!$C:$C,'Participation Adjustment'!$A:$A,$H123,'Participation Adjustment'!$B:$B,$I123),1)</f>
        <v>1.24445965204945</v>
      </c>
      <c r="Z123" s="79">
        <f>tbl_Data_old[[#This Row],[2029 ]]*IFERROR(AVERAGEIFS('Participation Adjustment'!$C:$C,'Participation Adjustment'!$A:$A,$H123,'Participation Adjustment'!$B:$B,$I123),1)</f>
        <v>1.6216596031966499</v>
      </c>
      <c r="AA123" s="79">
        <f>tbl_Data_old[[#This Row],[2030 ]]*IFERROR(AVERAGEIFS('Participation Adjustment'!$C:$C,'Participation Adjustment'!$A:$A,$H123,'Participation Adjustment'!$B:$B,$I123),1)</f>
        <v>2.0217132876906301</v>
      </c>
      <c r="AB123" s="79">
        <f>tbl_Data_old[[#This Row],[2031 ]]*IFERROR(AVERAGEIFS('Participation Adjustment'!$C:$C,'Participation Adjustment'!$A:$A,$H123,'Participation Adjustment'!$B:$B,$I123),1)</f>
        <v>2.4456297139921399</v>
      </c>
      <c r="AC123" s="79">
        <f>tbl_Data_old[[#This Row],[2032 ]]*IFERROR(AVERAGEIFS('Participation Adjustment'!$C:$C,'Participation Adjustment'!$A:$A,$H123,'Participation Adjustment'!$B:$B,$I123),1)</f>
        <v>2.8954636276622301</v>
      </c>
      <c r="AD123" s="79">
        <f>tbl_Data_old[[#This Row],[2033 ]]*IFERROR(AVERAGEIFS('Participation Adjustment'!$C:$C,'Participation Adjustment'!$A:$A,$H123,'Participation Adjustment'!$B:$B,$I123),1)</f>
        <v>3.37361062293814</v>
      </c>
      <c r="AE123" s="79">
        <f>tbl_Data_old[[#This Row],[2034 ]]*IFERROR(AVERAGEIFS('Participation Adjustment'!$C:$C,'Participation Adjustment'!$A:$A,$H123,'Participation Adjustment'!$B:$B,$I123),1)</f>
        <v>3.88265714384237</v>
      </c>
      <c r="AF123" s="77" t="str">
        <f t="shared" si="55"/>
        <v>Residential</v>
      </c>
      <c r="AG123" s="77" t="str">
        <f>tbl_Data[[#This Row],[All_Meas_Name_Append]]</f>
        <v>Heat Pump Water Heater 80 Gallons-ENERGY STAR_Efficiency Delivered</v>
      </c>
      <c r="AH123" s="77">
        <f>AVERAGEIFS('3. Incentive Adjustment'!G:G,'3. Incentive Adjustment'!A:A,tbl_Data[[#This Row],[Trimmed Sector]],'3. Incentive Adjustment'!B:B,tbl_Data[[#This Row],[Trimmed Measure Name]])</f>
        <v>1.2491787269958169E-2</v>
      </c>
      <c r="AI123" s="77">
        <f>$AH123*tbl_Data[[#This Row],[2025 ]]</f>
        <v>3.3489503256695281E-3</v>
      </c>
      <c r="AJ123" s="77">
        <f>$AH123*tbl_Data[[#This Row],[2026 ]]</f>
        <v>7.0740362674322462E-3</v>
      </c>
      <c r="AK123" s="77">
        <f>$AH123*tbl_Data[[#This Row],[2027 ]]</f>
        <v>1.1145839108255059E-2</v>
      </c>
      <c r="AL123" s="77">
        <f>$AH123*tbl_Data[[#This Row],[2028 ]]</f>
        <v>1.5545525239447891E-2</v>
      </c>
      <c r="AM123" s="77">
        <f>$AH123*tbl_Data[[#This Row],[2029 ]]</f>
        <v>2.0257426787417328E-2</v>
      </c>
      <c r="AN123" s="77">
        <f>$AH123*tbl_Data[[#This Row],[2030 ]]</f>
        <v>2.5254812310679092E-2</v>
      </c>
      <c r="AO123" s="77">
        <f>$AH123*tbl_Data[[#This Row],[2031 ]]</f>
        <v>3.0550286128278453E-2</v>
      </c>
      <c r="AP123" s="77">
        <f>$AH123*tbl_Data[[#This Row],[2032 ]]</f>
        <v>3.6169515684657948E-2</v>
      </c>
      <c r="AQ123" s="77">
        <f>$AH123*tbl_Data[[#This Row],[2033 ]]</f>
        <v>4.2142426233414305E-2</v>
      </c>
      <c r="AR123" s="77">
        <f>$AH123*tbl_Data[[#This Row],[2034 ]]</f>
        <v>4.8501327083062262E-2</v>
      </c>
      <c r="AS123" s="77">
        <f>SUM(tbl_Data[[#This Row],[Adjusted 2025]:[Adjusted 2034]])</f>
        <v>0.2399901451683141</v>
      </c>
      <c r="AT123" s="80">
        <f>AVERAGEIFS('3. Incentive Adjustment'!F:F,'3. Incentive Adjustment'!A:A,tbl_Data[[#This Row],[Trimmed Sector]],'3. Incentive Adjustment'!B:B,tbl_Data[[#This Row],[Trimmed Measure Name]])</f>
        <v>864.75</v>
      </c>
      <c r="AU123" s="80">
        <f>IFERROR(VLOOKUP(tbl_Data[[#This Row],[All_Meas_Name_Append]],'IRA Tax Credits'!$A$3:$D$46,4,0),0)</f>
        <v>0</v>
      </c>
      <c r="AV123" s="81">
        <f>tbl_Data[[#This Row],[Adj. per unit Incentive ($)]]/tbl_Data[[#This Row],[kWh Savings]]*tbl_Data[[#This Row],[Sum of Annuals]]</f>
        <v>0.44928985740577182</v>
      </c>
      <c r="AW123" s="81">
        <f>IFERROR(VLOOKUP(tbl_Data[[#This Row],[Column1]],'1. Set Program Names'!$B$2:$D$15,3,0)*tbl_Data[[#This Row],[Sum of Annuals]],"")</f>
        <v>0.10381051844012655</v>
      </c>
      <c r="AX123" s="81">
        <f>tbl_Data[[#This Row],[per unit IRA tax ($)]]/tbl_Data[[#This Row],[kWh Savings]]*tbl_Data[[#This Row],[Sum of Annuals]]</f>
        <v>0</v>
      </c>
      <c r="AY123" s="81">
        <f>tbl_Data[[#This Row],[Avoided Costs ($/unit)]]/tbl_Data[[#This Row],[kWh Savings]]*tbl_Data[[#This Row],[Sum of Annuals]]</f>
        <v>0.11428166014270801</v>
      </c>
      <c r="AZ123" s="81">
        <f>tbl_Data[[#This Row],[Lost Revenue ($/unit)]]/tbl_Data[[#This Row],[kWh Savings]]*tbl_Data[[#This Row],[Sum of Annuals]]</f>
        <v>0.30700103839368309</v>
      </c>
      <c r="BA123" s="81">
        <f>tbl_Data[[#This Row],[Incremental Cost ($/unit)]]/tbl_Data[[#This Row],[kWh Savings]]*tbl_Data[[#This Row],[Sum of Annuals]]</f>
        <v>0.89857971481154364</v>
      </c>
      <c r="BB123" s="77">
        <f>ROUNDUP(tbl_Data[[#This Row],[Adjusted 2025]]/$L123,0)</f>
        <v>1</v>
      </c>
      <c r="BC123" s="77">
        <f>ROUNDUP(tbl_Data[[#This Row],[Adjusted 2026]]/$L123,0)</f>
        <v>1</v>
      </c>
      <c r="BD123" s="77">
        <f>ROUNDUP(tbl_Data[[#This Row],[Adjusted 2027]]/$L123,0)</f>
        <v>1</v>
      </c>
      <c r="BE123" s="77">
        <f>ROUNDUP(tbl_Data[[#This Row],[Adjusted 2028]]/$L123,0)</f>
        <v>1</v>
      </c>
      <c r="BF123" s="77">
        <f>ROUNDUP(tbl_Data[[#This Row],[Adjusted 2029]]/$L123,0)</f>
        <v>1</v>
      </c>
      <c r="BG123" s="77">
        <f>ROUNDUP(tbl_Data[[#This Row],[Adjusted 2030]]/$L123,0)</f>
        <v>1</v>
      </c>
      <c r="BH123" s="77">
        <f>ROUNDUP(tbl_Data[[#This Row],[Adjusted 2031]]/$L123,0)</f>
        <v>1</v>
      </c>
      <c r="BI123" s="77">
        <f>ROUNDUP(tbl_Data[[#This Row],[Adjusted 2032]]/$L123,0)</f>
        <v>1</v>
      </c>
      <c r="BJ123" s="77">
        <f>ROUNDUP(tbl_Data[[#This Row],[Adjusted 2033]]/$L123,0)</f>
        <v>1</v>
      </c>
      <c r="BK123" s="77">
        <f>ROUNDUP(tbl_Data[[#This Row],[Adjusted 2034]]/$L123,0)</f>
        <v>1</v>
      </c>
      <c r="BL123" s="80">
        <f t="shared" si="56"/>
        <v>0.50190015778279773</v>
      </c>
      <c r="BM123" s="80">
        <f t="shared" si="57"/>
        <v>1.0601709710566292</v>
      </c>
      <c r="BN123" s="80">
        <f t="shared" si="58"/>
        <v>1.6704035184327521</v>
      </c>
      <c r="BO123" s="80">
        <f t="shared" si="59"/>
        <v>2.329775246497725</v>
      </c>
      <c r="BP123" s="80">
        <f t="shared" si="60"/>
        <v>3.0359380439139789</v>
      </c>
      <c r="BQ123" s="80">
        <f t="shared" si="61"/>
        <v>3.7848857256402244</v>
      </c>
      <c r="BR123" s="80">
        <f t="shared" si="62"/>
        <v>4.5785072745225426</v>
      </c>
      <c r="BS123" s="80">
        <f t="shared" si="63"/>
        <v>5.4206494165982955</v>
      </c>
      <c r="BT123" s="80">
        <f t="shared" si="64"/>
        <v>6.3157969868280892</v>
      </c>
      <c r="BU123" s="80">
        <f t="shared" si="65"/>
        <v>7.2687921134803242</v>
      </c>
      <c r="BV123" s="80">
        <f>IFERROR(VLOOKUP($H123,'1. Set Program Names'!$B$2:$D$15,3,0)*V123,"NA")</f>
        <v>0.11596637388045389</v>
      </c>
      <c r="BW123" s="80">
        <f>IFERROR(VLOOKUP($H123,'1. Set Program Names'!$B$2:$D$15,3,0)*W123,"NA")</f>
        <v>0.24495745080032874</v>
      </c>
      <c r="BX123" s="80">
        <f>IFERROR(VLOOKUP($H123,'1. Set Program Names'!$B$2:$D$15,3,0)*X123,"NA")</f>
        <v>0.38595452889582155</v>
      </c>
      <c r="BY123" s="80">
        <f>IFERROR(VLOOKUP($H123,'1. Set Program Names'!$B$2:$D$15,3,0)*Y123,"NA")</f>
        <v>0.53830544402758085</v>
      </c>
      <c r="BZ123" s="80">
        <f>IFERROR(VLOOKUP($H123,'1. Set Program Names'!$B$2:$D$15,3,0)*Z123,"NA")</f>
        <v>0.7014676541121605</v>
      </c>
      <c r="CA123" s="80">
        <f>IFERROR(VLOOKUP($H123,'1. Set Program Names'!$B$2:$D$15,3,0)*AA123,"NA")</f>
        <v>0.87451551139845241</v>
      </c>
      <c r="CB123" s="80">
        <f>IFERROR(VLOOKUP($H123,'1. Set Program Names'!$B$2:$D$15,3,0)*AB123,"NA")</f>
        <v>1.0578854741891397</v>
      </c>
      <c r="CC123" s="80">
        <f>IFERROR(VLOOKUP($H123,'1. Set Program Names'!$B$2:$D$15,3,0)*AC123,"NA")</f>
        <v>1.2524663464882606</v>
      </c>
      <c r="CD123" s="80">
        <f>IFERROR(VLOOKUP($H123,'1. Set Program Names'!$B$2:$D$15,3,0)*AD123,"NA")</f>
        <v>1.4592943703446939</v>
      </c>
      <c r="CE123" s="80">
        <f>IFERROR(VLOOKUP($H123,'1. Set Program Names'!$B$2:$D$15,3,0)*AE123,"NA")</f>
        <v>1.6794883420936133</v>
      </c>
    </row>
    <row r="124" spans="1:83" x14ac:dyDescent="0.25">
      <c r="A124" s="79" t="s">
        <v>115</v>
      </c>
      <c r="B124" s="79" t="s">
        <v>88</v>
      </c>
      <c r="C124" s="79" t="s">
        <v>89</v>
      </c>
      <c r="D124" s="79" t="s">
        <v>90</v>
      </c>
      <c r="E124" s="79" t="s">
        <v>91</v>
      </c>
      <c r="F124" s="79" t="s">
        <v>90</v>
      </c>
      <c r="G124" s="79" t="s">
        <v>92</v>
      </c>
      <c r="H124" s="79" t="s">
        <v>7</v>
      </c>
      <c r="I124" s="79" t="s">
        <v>433</v>
      </c>
      <c r="J124" s="79" t="s">
        <v>97</v>
      </c>
      <c r="K124" s="79" t="s">
        <v>102</v>
      </c>
      <c r="L124" s="79">
        <v>408.28</v>
      </c>
      <c r="M124" s="79">
        <v>0.16567198429270899</v>
      </c>
      <c r="N124" s="79">
        <v>2.3547919008134799E-2</v>
      </c>
      <c r="O124" s="79">
        <v>128.60999999999999</v>
      </c>
      <c r="P124" s="79">
        <v>29.691921599999901</v>
      </c>
      <c r="Q124" s="79">
        <v>117.737496926549</v>
      </c>
      <c r="R124" s="79">
        <v>238.630335182902</v>
      </c>
      <c r="S124" s="79">
        <v>423.90838942107399</v>
      </c>
      <c r="T124" s="79">
        <v>11</v>
      </c>
      <c r="U124" s="79">
        <v>9.9999999999999895E-2</v>
      </c>
      <c r="V124" s="79">
        <f>tbl_Data_old[[#This Row],[2025 ]]*IFERROR(AVERAGEIFS('Participation Adjustment'!$C:$C,'Participation Adjustment'!$A:$A,$H124,'Participation Adjustment'!$B:$B,$I124),1)</f>
        <v>0.72745937913742598</v>
      </c>
      <c r="W124" s="79">
        <f>tbl_Data_old[[#This Row],[2026 ]]*IFERROR(AVERAGEIFS('Participation Adjustment'!$C:$C,'Participation Adjustment'!$A:$A,$H124,'Participation Adjustment'!$B:$B,$I124),1)</f>
        <v>1.3309907334748301</v>
      </c>
      <c r="X124" s="79">
        <f>tbl_Data_old[[#This Row],[2027 ]]*IFERROR(AVERAGEIFS('Participation Adjustment'!$C:$C,'Participation Adjustment'!$A:$A,$H124,'Participation Adjustment'!$B:$B,$I124),1)</f>
        <v>1.8317126137794699</v>
      </c>
      <c r="Y124" s="79">
        <f>tbl_Data_old[[#This Row],[2028 ]]*IFERROR(AVERAGEIFS('Participation Adjustment'!$C:$C,'Participation Adjustment'!$A:$A,$H124,'Participation Adjustment'!$B:$B,$I124),1)</f>
        <v>2.248911971978</v>
      </c>
      <c r="Z124" s="79">
        <f>tbl_Data_old[[#This Row],[2029 ]]*IFERROR(AVERAGEIFS('Participation Adjustment'!$C:$C,'Participation Adjustment'!$A:$A,$H124,'Participation Adjustment'!$B:$B,$I124),1)</f>
        <v>2.59891943748055</v>
      </c>
      <c r="AA124" s="79">
        <f>tbl_Data_old[[#This Row],[2030 ]]*IFERROR(AVERAGEIFS('Participation Adjustment'!$C:$C,'Participation Adjustment'!$A:$A,$H124,'Participation Adjustment'!$B:$B,$I124),1)</f>
        <v>2.89406898465846</v>
      </c>
      <c r="AB124" s="79">
        <f>tbl_Data_old[[#This Row],[2031 ]]*IFERROR(AVERAGEIFS('Participation Adjustment'!$C:$C,'Participation Adjustment'!$A:$A,$H124,'Participation Adjustment'!$B:$B,$I124),1)</f>
        <v>3.1466102867102101</v>
      </c>
      <c r="AC124" s="79">
        <f>tbl_Data_old[[#This Row],[2032 ]]*IFERROR(AVERAGEIFS('Participation Adjustment'!$C:$C,'Participation Adjustment'!$A:$A,$H124,'Participation Adjustment'!$B:$B,$I124),1)</f>
        <v>3.36611963568564</v>
      </c>
      <c r="AD124" s="79">
        <f>tbl_Data_old[[#This Row],[2033 ]]*IFERROR(AVERAGEIFS('Participation Adjustment'!$C:$C,'Participation Adjustment'!$A:$A,$H124,'Participation Adjustment'!$B:$B,$I124),1)</f>
        <v>3.5601283013503999</v>
      </c>
      <c r="AE124" s="79">
        <f>tbl_Data_old[[#This Row],[2034 ]]*IFERROR(AVERAGEIFS('Participation Adjustment'!$C:$C,'Participation Adjustment'!$A:$A,$H124,'Participation Adjustment'!$B:$B,$I124),1)</f>
        <v>3.7344469533718501</v>
      </c>
      <c r="AF124" s="77" t="str">
        <f t="shared" si="55"/>
        <v>Residential</v>
      </c>
      <c r="AG124" s="77" t="str">
        <f>tbl_Data[[#This Row],[All_Meas_Name_Append]]</f>
        <v>Smart Thermostat Residential_Efficiency Delivered</v>
      </c>
      <c r="AH124" s="77">
        <f>AVERAGEIFS('3. Incentive Adjustment'!G:G,'3. Incentive Adjustment'!A:A,tbl_Data[[#This Row],[Trimmed Sector]],'3. Incentive Adjustment'!B:B,tbl_Data[[#This Row],[Trimmed Measure Name]])</f>
        <v>1</v>
      </c>
      <c r="AI124" s="77">
        <f>$AH124*tbl_Data[[#This Row],[2025 ]]</f>
        <v>0.72745937913742598</v>
      </c>
      <c r="AJ124" s="77">
        <f>$AH124*tbl_Data[[#This Row],[2026 ]]</f>
        <v>1.3309907334748301</v>
      </c>
      <c r="AK124" s="77">
        <f>$AH124*tbl_Data[[#This Row],[2027 ]]</f>
        <v>1.8317126137794699</v>
      </c>
      <c r="AL124" s="77">
        <f>$AH124*tbl_Data[[#This Row],[2028 ]]</f>
        <v>2.248911971978</v>
      </c>
      <c r="AM124" s="77">
        <f>$AH124*tbl_Data[[#This Row],[2029 ]]</f>
        <v>2.59891943748055</v>
      </c>
      <c r="AN124" s="77">
        <f>$AH124*tbl_Data[[#This Row],[2030 ]]</f>
        <v>2.89406898465846</v>
      </c>
      <c r="AO124" s="77">
        <f>$AH124*tbl_Data[[#This Row],[2031 ]]</f>
        <v>3.1466102867102101</v>
      </c>
      <c r="AP124" s="77">
        <f>$AH124*tbl_Data[[#This Row],[2032 ]]</f>
        <v>3.36611963568564</v>
      </c>
      <c r="AQ124" s="77">
        <f>$AH124*tbl_Data[[#This Row],[2033 ]]</f>
        <v>3.5601283013503999</v>
      </c>
      <c r="AR124" s="77">
        <f>$AH124*tbl_Data[[#This Row],[2034 ]]</f>
        <v>3.7344469533718501</v>
      </c>
      <c r="AS124" s="77">
        <f>SUM(tbl_Data[[#This Row],[Adjusted 2025]:[Adjusted 2034]])</f>
        <v>25.439368297626835</v>
      </c>
      <c r="AT124" s="80">
        <f>AVERAGEIFS('3. Incentive Adjustment'!F:F,'3. Incentive Adjustment'!A:A,tbl_Data[[#This Row],[Trimmed Sector]],'3. Incentive Adjustment'!B:B,tbl_Data[[#This Row],[Trimmed Measure Name]])</f>
        <v>29.691921599999898</v>
      </c>
      <c r="AU124" s="80">
        <f>IFERROR(VLOOKUP(tbl_Data[[#This Row],[All_Meas_Name_Append]],'IRA Tax Credits'!$A$3:$D$46,4,0),0)</f>
        <v>0</v>
      </c>
      <c r="AV124" s="81">
        <f>tbl_Data[[#This Row],[Adj. per unit Incentive ($)]]/tbl_Data[[#This Row],[kWh Savings]]*tbl_Data[[#This Row],[Sum of Annuals]]</f>
        <v>1.8500630181411259</v>
      </c>
      <c r="AW124" s="81">
        <f>IFERROR(VLOOKUP(tbl_Data[[#This Row],[Column1]],'1. Set Program Names'!$B$2:$D$15,3,0)*tbl_Data[[#This Row],[Sum of Annuals]],"")</f>
        <v>11.004093563566192</v>
      </c>
      <c r="AX124" s="81">
        <f>tbl_Data[[#This Row],[per unit IRA tax ($)]]/tbl_Data[[#This Row],[kWh Savings]]*tbl_Data[[#This Row],[Sum of Annuals]]</f>
        <v>0</v>
      </c>
      <c r="AY124" s="81">
        <f>tbl_Data[[#This Row],[Avoided Costs ($/unit)]]/tbl_Data[[#This Row],[kWh Savings]]*tbl_Data[[#This Row],[Sum of Annuals]]</f>
        <v>14.868729753365296</v>
      </c>
      <c r="AZ124" s="81">
        <f>tbl_Data[[#This Row],[Lost Revenue ($/unit)]]/tbl_Data[[#This Row],[kWh Savings]]*tbl_Data[[#This Row],[Sum of Annuals]]</f>
        <v>26.413151863761442</v>
      </c>
      <c r="BA124" s="81">
        <f>tbl_Data[[#This Row],[Incremental Cost ($/unit)]]/tbl_Data[[#This Row],[kWh Savings]]*tbl_Data[[#This Row],[Sum of Annuals]]</f>
        <v>8.013513169290162</v>
      </c>
      <c r="BB124" s="77">
        <f>ROUNDUP(tbl_Data[[#This Row],[Adjusted 2025]]/$L124,0)</f>
        <v>1</v>
      </c>
      <c r="BC124" s="77">
        <f>ROUNDUP(tbl_Data[[#This Row],[Adjusted 2026]]/$L124,0)</f>
        <v>1</v>
      </c>
      <c r="BD124" s="77">
        <f>ROUNDUP(tbl_Data[[#This Row],[Adjusted 2027]]/$L124,0)</f>
        <v>1</v>
      </c>
      <c r="BE124" s="77">
        <f>ROUNDUP(tbl_Data[[#This Row],[Adjusted 2028]]/$L124,0)</f>
        <v>1</v>
      </c>
      <c r="BF124" s="77">
        <f>ROUNDUP(tbl_Data[[#This Row],[Adjusted 2029]]/$L124,0)</f>
        <v>1</v>
      </c>
      <c r="BG124" s="77">
        <f>ROUNDUP(tbl_Data[[#This Row],[Adjusted 2030]]/$L124,0)</f>
        <v>1</v>
      </c>
      <c r="BH124" s="77">
        <f>ROUNDUP(tbl_Data[[#This Row],[Adjusted 2031]]/$L124,0)</f>
        <v>1</v>
      </c>
      <c r="BI124" s="77">
        <f>ROUNDUP(tbl_Data[[#This Row],[Adjusted 2032]]/$L124,0)</f>
        <v>1</v>
      </c>
      <c r="BJ124" s="77">
        <f>ROUNDUP(tbl_Data[[#This Row],[Adjusted 2033]]/$L124,0)</f>
        <v>1</v>
      </c>
      <c r="BK124" s="77">
        <f>ROUNDUP(tbl_Data[[#This Row],[Adjusted 2034]]/$L124,0)</f>
        <v>1</v>
      </c>
      <c r="BL124" s="80">
        <f t="shared" si="56"/>
        <v>5.2904053229482349E-2</v>
      </c>
      <c r="BM124" s="80">
        <f t="shared" si="57"/>
        <v>9.6795514129178542E-2</v>
      </c>
      <c r="BN124" s="80">
        <f t="shared" si="58"/>
        <v>0.13321021681706405</v>
      </c>
      <c r="BO124" s="80">
        <f t="shared" si="59"/>
        <v>0.1635507934683843</v>
      </c>
      <c r="BP124" s="80">
        <f t="shared" si="60"/>
        <v>0.18900487945132832</v>
      </c>
      <c r="BQ124" s="80">
        <f t="shared" si="61"/>
        <v>0.21046945575945503</v>
      </c>
      <c r="BR124" s="80">
        <f t="shared" si="62"/>
        <v>0.22883537263337111</v>
      </c>
      <c r="BS124" s="80">
        <f t="shared" si="63"/>
        <v>0.24479906025031412</v>
      </c>
      <c r="BT124" s="80">
        <f t="shared" si="64"/>
        <v>0.25890822575104555</v>
      </c>
      <c r="BU124" s="80">
        <f t="shared" si="65"/>
        <v>0.27158544665150253</v>
      </c>
      <c r="BV124" s="80">
        <f>IFERROR(VLOOKUP($H124,'1. Set Program Names'!$B$2:$D$15,3,0)*V124,"NA")</f>
        <v>0.31467098467491322</v>
      </c>
      <c r="BW124" s="80">
        <f>IFERROR(VLOOKUP($H124,'1. Set Program Names'!$B$2:$D$15,3,0)*W124,"NA")</f>
        <v>0.57573546607141723</v>
      </c>
      <c r="BX124" s="80">
        <f>IFERROR(VLOOKUP($H124,'1. Set Program Names'!$B$2:$D$15,3,0)*X124,"NA")</f>
        <v>0.79232851805813109</v>
      </c>
      <c r="BY124" s="80">
        <f>IFERROR(VLOOKUP($H124,'1. Set Program Names'!$B$2:$D$15,3,0)*Y124,"NA")</f>
        <v>0.97279293519952148</v>
      </c>
      <c r="BZ124" s="80">
        <f>IFERROR(VLOOKUP($H124,'1. Set Program Names'!$B$2:$D$15,3,0)*Z124,"NA")</f>
        <v>1.1241927204959206</v>
      </c>
      <c r="CA124" s="80">
        <f>IFERROR(VLOOKUP($H124,'1. Set Program Names'!$B$2:$D$15,3,0)*AA124,"NA")</f>
        <v>1.2518630774950328</v>
      </c>
      <c r="CB124" s="80">
        <f>IFERROR(VLOOKUP($H124,'1. Set Program Names'!$B$2:$D$15,3,0)*AB124,"NA")</f>
        <v>1.3611027442953101</v>
      </c>
      <c r="CC124" s="80">
        <f>IFERROR(VLOOKUP($H124,'1. Set Program Names'!$B$2:$D$15,3,0)*AC124,"NA")</f>
        <v>1.4560540569986395</v>
      </c>
      <c r="CD124" s="80">
        <f>IFERROR(VLOOKUP($H124,'1. Set Program Names'!$B$2:$D$15,3,0)*AD124,"NA")</f>
        <v>1.5399747536189565</v>
      </c>
      <c r="CE124" s="80">
        <f>IFERROR(VLOOKUP($H124,'1. Set Program Names'!$B$2:$D$15,3,0)*AE124,"NA")</f>
        <v>1.61537830665835</v>
      </c>
    </row>
    <row r="125" spans="1:83" x14ac:dyDescent="0.25">
      <c r="A125" s="79" t="s">
        <v>115</v>
      </c>
      <c r="B125" s="79" t="s">
        <v>88</v>
      </c>
      <c r="C125" s="79" t="s">
        <v>89</v>
      </c>
      <c r="D125" s="79" t="s">
        <v>90</v>
      </c>
      <c r="E125" s="79" t="s">
        <v>91</v>
      </c>
      <c r="F125" s="79" t="s">
        <v>90</v>
      </c>
      <c r="G125" s="79" t="s">
        <v>92</v>
      </c>
      <c r="H125" s="79"/>
      <c r="I125" s="79" t="s">
        <v>112</v>
      </c>
      <c r="J125" s="79" t="s">
        <v>94</v>
      </c>
      <c r="K125" s="79" t="s">
        <v>108</v>
      </c>
      <c r="L125" s="79">
        <v>1330.8133333333301</v>
      </c>
      <c r="M125" s="79">
        <v>5.33311142126306E-2</v>
      </c>
      <c r="N125" s="79">
        <v>0.24737910980336</v>
      </c>
      <c r="O125" s="79">
        <v>8990.02</v>
      </c>
      <c r="P125" s="79">
        <v>8776.4394094329891</v>
      </c>
      <c r="Q125" s="79">
        <v>383.77248638959497</v>
      </c>
      <c r="R125" s="79">
        <v>713.19672296706005</v>
      </c>
      <c r="S125" s="79">
        <v>2011.6258188035599</v>
      </c>
      <c r="T125" s="79">
        <v>20</v>
      </c>
      <c r="U125" s="79">
        <v>0.1</v>
      </c>
      <c r="V125" s="79">
        <f>tbl_Data_old[[#This Row],[2025 ]]*IFERROR(AVERAGEIFS('Participation Adjustment'!$C:$C,'Participation Adjustment'!$A:$A,$H125,'Participation Adjustment'!$B:$B,$I125),1)</f>
        <v>0.86484412494026597</v>
      </c>
      <c r="W125" s="79">
        <f>tbl_Data_old[[#This Row],[2026 ]]*IFERROR(AVERAGEIFS('Participation Adjustment'!$C:$C,'Participation Adjustment'!$A:$A,$H125,'Participation Adjustment'!$B:$B,$I125),1)</f>
        <v>1.82735831538044</v>
      </c>
      <c r="X125" s="79">
        <f>tbl_Data_old[[#This Row],[2027 ]]*IFERROR(AVERAGEIFS('Participation Adjustment'!$C:$C,'Participation Adjustment'!$A:$A,$H125,'Participation Adjustment'!$B:$B,$I125),1)</f>
        <v>2.8799923441226301</v>
      </c>
      <c r="Y125" s="79">
        <f>tbl_Data_old[[#This Row],[2028 ]]*IFERROR(AVERAGEIFS('Participation Adjustment'!$C:$C,'Participation Adjustment'!$A:$A,$H125,'Participation Adjustment'!$B:$B,$I125),1)</f>
        <v>4.01791230816319</v>
      </c>
      <c r="Z125" s="79">
        <f>tbl_Data_old[[#This Row],[2029 ]]*IFERROR(AVERAGEIFS('Participation Adjustment'!$C:$C,'Participation Adjustment'!$A:$A,$H125,'Participation Adjustment'!$B:$B,$I125),1)</f>
        <v>5.2370888344471798</v>
      </c>
      <c r="AA125" s="79">
        <f>tbl_Data_old[[#This Row],[2030 ]]*IFERROR(AVERAGEIFS('Participation Adjustment'!$C:$C,'Participation Adjustment'!$A:$A,$H125,'Participation Adjustment'!$B:$B,$I125),1)</f>
        <v>6.5306175711934902</v>
      </c>
      <c r="AB125" s="79">
        <f>tbl_Data_old[[#This Row],[2031 ]]*IFERROR(AVERAGEIFS('Participation Adjustment'!$C:$C,'Participation Adjustment'!$A:$A,$H125,'Participation Adjustment'!$B:$B,$I125),1)</f>
        <v>7.9017670982990396</v>
      </c>
      <c r="AC125" s="79">
        <f>tbl_Data_old[[#This Row],[2032 ]]*IFERROR(AVERAGEIFS('Participation Adjustment'!$C:$C,'Participation Adjustment'!$A:$A,$H125,'Participation Adjustment'!$B:$B,$I125),1)</f>
        <v>9.3571888164065307</v>
      </c>
      <c r="AD125" s="79">
        <f>tbl_Data_old[[#This Row],[2033 ]]*IFERROR(AVERAGEIFS('Participation Adjustment'!$C:$C,'Participation Adjustment'!$A:$A,$H125,'Participation Adjustment'!$B:$B,$I125),1)</f>
        <v>10.9046394950412</v>
      </c>
      <c r="AE125" s="79">
        <f>tbl_Data_old[[#This Row],[2034 ]]*IFERROR(AVERAGEIFS('Participation Adjustment'!$C:$C,'Participation Adjustment'!$A:$A,$H125,'Participation Adjustment'!$B:$B,$I125),1)</f>
        <v>12.552496332343001</v>
      </c>
      <c r="AF125" s="77" t="str">
        <f t="shared" si="55"/>
        <v>Residential</v>
      </c>
      <c r="AG125" s="77" t="str">
        <f>tbl_Data[[#This Row],[All_Meas_Name_Append]]</f>
        <v>Solar Thermal Water Heating System</v>
      </c>
      <c r="AH125" s="77">
        <f>AVERAGEIFS('3. Incentive Adjustment'!G:G,'3. Incentive Adjustment'!A:A,tbl_Data[[#This Row],[Trimmed Sector]],'3. Incentive Adjustment'!B:B,tbl_Data[[#This Row],[Trimmed Measure Name]])</f>
        <v>2.7736651842107431E-8</v>
      </c>
      <c r="AI125" s="77">
        <f>$AH125*tbl_Data[[#This Row],[2025 ]]</f>
        <v>2.3987880391160216E-8</v>
      </c>
      <c r="AJ125" s="77">
        <f>$AH125*tbl_Data[[#This Row],[2026 ]]</f>
        <v>5.0684801384487213E-8</v>
      </c>
      <c r="AK125" s="77">
        <f>$AH125*tbl_Data[[#This Row],[2027 ]]</f>
        <v>7.9881344956864245E-8</v>
      </c>
      <c r="AL125" s="77">
        <f>$AH125*tbl_Data[[#This Row],[2028 ]]</f>
        <v>1.1144343482364066E-7</v>
      </c>
      <c r="AM125" s="77">
        <f>$AH125*tbl_Data[[#This Row],[2029 ]]</f>
        <v>1.4525930966724962E-7</v>
      </c>
      <c r="AN125" s="77">
        <f>$AH125*tbl_Data[[#This Row],[2030 ]]</f>
        <v>1.8113746588614309E-7</v>
      </c>
      <c r="AO125" s="77">
        <f>$AH125*tbl_Data[[#This Row],[2031 ]]</f>
        <v>2.1916856294293994E-7</v>
      </c>
      <c r="AP125" s="77">
        <f>$AH125*tbl_Data[[#This Row],[2032 ]]</f>
        <v>2.5953708842152926E-7</v>
      </c>
      <c r="AQ125" s="77">
        <f>$AH125*tbl_Data[[#This Row],[2033 ]]</f>
        <v>3.0245818913765198E-7</v>
      </c>
      <c r="AR125" s="77">
        <f>$AH125*tbl_Data[[#This Row],[2034 ]]</f>
        <v>3.4816422051952826E-7</v>
      </c>
      <c r="AS125" s="77">
        <f>SUM(tbl_Data[[#This Row],[Adjusted 2025]:[Adjusted 2034]])</f>
        <v>1.7217222981311946E-6</v>
      </c>
      <c r="AT125" s="80">
        <f>AVERAGEIFS('3. Incentive Adjustment'!F:F,'3. Incentive Adjustment'!A:A,tbl_Data[[#This Row],[Trimmed Sector]],'3. Incentive Adjustment'!B:B,tbl_Data[[#This Row],[Trimmed Measure Name]])</f>
        <v>0</v>
      </c>
      <c r="AU125" s="80">
        <f>IFERROR(VLOOKUP(tbl_Data[[#This Row],[All_Meas_Name_Append]],'IRA Tax Credits'!$A$3:$D$46,4,0),0)</f>
        <v>41666.666666666672</v>
      </c>
      <c r="AV125" s="81">
        <f>tbl_Data[[#This Row],[Adj. per unit Incentive ($)]]/tbl_Data[[#This Row],[kWh Savings]]*tbl_Data[[#This Row],[Sum of Annuals]]</f>
        <v>0</v>
      </c>
      <c r="AW125" s="81" t="str">
        <f>IFERROR(VLOOKUP(tbl_Data[[#This Row],[Column1]],'1. Set Program Names'!$B$2:$D$15,3,0)*tbl_Data[[#This Row],[Sum of Annuals]],"")</f>
        <v/>
      </c>
      <c r="AX125" s="81">
        <f>tbl_Data[[#This Row],[per unit IRA tax ($)]]/tbl_Data[[#This Row],[kWh Savings]]*tbl_Data[[#This Row],[Sum of Annuals]]</f>
        <v>5.3905703596397155E-5</v>
      </c>
      <c r="AY125" s="81">
        <f>tbl_Data[[#This Row],[Avoided Costs ($/unit)]]/tbl_Data[[#This Row],[kWh Savings]]*tbl_Data[[#This Row],[Sum of Annuals]]</f>
        <v>9.2268890770041871E-7</v>
      </c>
      <c r="AZ125" s="81">
        <f>tbl_Data[[#This Row],[Lost Revenue ($/unit)]]/tbl_Data[[#This Row],[kWh Savings]]*tbl_Data[[#This Row],[Sum of Annuals]]</f>
        <v>2.6025145232468262E-6</v>
      </c>
      <c r="BA125" s="81">
        <f>tbl_Data[[#This Row],[Incremental Cost ($/unit)]]/tbl_Data[[#This Row],[kWh Savings]]*tbl_Data[[#This Row],[Sum of Annuals]]</f>
        <v>1.1630720482696375E-5</v>
      </c>
      <c r="BB125" s="77">
        <f>ROUNDUP(tbl_Data[[#This Row],[Adjusted 2025]]/$L125,0)</f>
        <v>1</v>
      </c>
      <c r="BC125" s="77">
        <f>ROUNDUP(tbl_Data[[#This Row],[Adjusted 2026]]/$L125,0)</f>
        <v>1</v>
      </c>
      <c r="BD125" s="77">
        <f>ROUNDUP(tbl_Data[[#This Row],[Adjusted 2027]]/$L125,0)</f>
        <v>1</v>
      </c>
      <c r="BE125" s="77">
        <f>ROUNDUP(tbl_Data[[#This Row],[Adjusted 2028]]/$L125,0)</f>
        <v>1</v>
      </c>
      <c r="BF125" s="77">
        <f>ROUNDUP(tbl_Data[[#This Row],[Adjusted 2029]]/$L125,0)</f>
        <v>1</v>
      </c>
      <c r="BG125" s="77">
        <f>ROUNDUP(tbl_Data[[#This Row],[Adjusted 2030]]/$L125,0)</f>
        <v>1</v>
      </c>
      <c r="BH125" s="77">
        <f>ROUNDUP(tbl_Data[[#This Row],[Adjusted 2031]]/$L125,0)</f>
        <v>1</v>
      </c>
      <c r="BI125" s="77">
        <f>ROUNDUP(tbl_Data[[#This Row],[Adjusted 2032]]/$L125,0)</f>
        <v>1</v>
      </c>
      <c r="BJ125" s="77">
        <f>ROUNDUP(tbl_Data[[#This Row],[Adjusted 2033]]/$L125,0)</f>
        <v>1</v>
      </c>
      <c r="BK125" s="77">
        <f>ROUNDUP(tbl_Data[[#This Row],[Adjusted 2034]]/$L125,0)</f>
        <v>1</v>
      </c>
      <c r="BL125" s="80">
        <f t="shared" si="56"/>
        <v>0</v>
      </c>
      <c r="BM125" s="80">
        <f t="shared" si="57"/>
        <v>0</v>
      </c>
      <c r="BN125" s="80">
        <f t="shared" si="58"/>
        <v>0</v>
      </c>
      <c r="BO125" s="80">
        <f t="shared" si="59"/>
        <v>0</v>
      </c>
      <c r="BP125" s="80">
        <f t="shared" si="60"/>
        <v>0</v>
      </c>
      <c r="BQ125" s="80">
        <f t="shared" si="61"/>
        <v>0</v>
      </c>
      <c r="BR125" s="80">
        <f t="shared" si="62"/>
        <v>0</v>
      </c>
      <c r="BS125" s="80">
        <f t="shared" si="63"/>
        <v>0</v>
      </c>
      <c r="BT125" s="80">
        <f t="shared" si="64"/>
        <v>0</v>
      </c>
      <c r="BU125" s="80">
        <f t="shared" si="65"/>
        <v>0</v>
      </c>
      <c r="BV125" s="80" t="str">
        <f>IFERROR(VLOOKUP($H125,'1. Set Program Names'!$B$2:$D$15,3,0)*V125,"NA")</f>
        <v>NA</v>
      </c>
      <c r="BW125" s="80" t="str">
        <f>IFERROR(VLOOKUP($H125,'1. Set Program Names'!$B$2:$D$15,3,0)*W125,"NA")</f>
        <v>NA</v>
      </c>
      <c r="BX125" s="80" t="str">
        <f>IFERROR(VLOOKUP($H125,'1. Set Program Names'!$B$2:$D$15,3,0)*X125,"NA")</f>
        <v>NA</v>
      </c>
      <c r="BY125" s="80" t="str">
        <f>IFERROR(VLOOKUP($H125,'1. Set Program Names'!$B$2:$D$15,3,0)*Y125,"NA")</f>
        <v>NA</v>
      </c>
      <c r="BZ125" s="80" t="str">
        <f>IFERROR(VLOOKUP($H125,'1. Set Program Names'!$B$2:$D$15,3,0)*Z125,"NA")</f>
        <v>NA</v>
      </c>
      <c r="CA125" s="80" t="str">
        <f>IFERROR(VLOOKUP($H125,'1. Set Program Names'!$B$2:$D$15,3,0)*AA125,"NA")</f>
        <v>NA</v>
      </c>
      <c r="CB125" s="80" t="str">
        <f>IFERROR(VLOOKUP($H125,'1. Set Program Names'!$B$2:$D$15,3,0)*AB125,"NA")</f>
        <v>NA</v>
      </c>
      <c r="CC125" s="80" t="str">
        <f>IFERROR(VLOOKUP($H125,'1. Set Program Names'!$B$2:$D$15,3,0)*AC125,"NA")</f>
        <v>NA</v>
      </c>
      <c r="CD125" s="80" t="str">
        <f>IFERROR(VLOOKUP($H125,'1. Set Program Names'!$B$2:$D$15,3,0)*AD125,"NA")</f>
        <v>NA</v>
      </c>
      <c r="CE125" s="80" t="str">
        <f>IFERROR(VLOOKUP($H125,'1. Set Program Names'!$B$2:$D$15,3,0)*AE125,"NA")</f>
        <v>NA</v>
      </c>
    </row>
    <row r="126" spans="1:83" x14ac:dyDescent="0.25">
      <c r="A126" s="79" t="s">
        <v>116</v>
      </c>
      <c r="B126" s="79" t="s">
        <v>88</v>
      </c>
      <c r="C126" s="79" t="s">
        <v>89</v>
      </c>
      <c r="D126" s="79" t="s">
        <v>90</v>
      </c>
      <c r="E126" s="79" t="s">
        <v>91</v>
      </c>
      <c r="F126" s="79" t="s">
        <v>90</v>
      </c>
      <c r="G126" s="79" t="s">
        <v>92</v>
      </c>
      <c r="H126" s="79" t="s">
        <v>7</v>
      </c>
      <c r="I126" s="79" t="s">
        <v>422</v>
      </c>
      <c r="J126" s="79" t="s">
        <v>94</v>
      </c>
      <c r="K126" s="79" t="s">
        <v>95</v>
      </c>
      <c r="L126" s="79">
        <v>1200.2266666666601</v>
      </c>
      <c r="M126" s="79">
        <v>4.8097974252120097E-2</v>
      </c>
      <c r="N126" s="79">
        <v>0.22310492157346501</v>
      </c>
      <c r="O126" s="79">
        <v>1210</v>
      </c>
      <c r="P126" s="79">
        <v>933.85922631496703</v>
      </c>
      <c r="Q126" s="79">
        <v>346.114635734861</v>
      </c>
      <c r="R126" s="79">
        <v>571.53970184074296</v>
      </c>
      <c r="S126" s="79">
        <v>1535.35818196214</v>
      </c>
      <c r="T126" s="79">
        <v>15</v>
      </c>
      <c r="U126" s="79">
        <v>0.1</v>
      </c>
      <c r="V126" s="79">
        <f>tbl_Data_old[[#This Row],[2025 ]]*IFERROR(AVERAGEIFS('Participation Adjustment'!$C:$C,'Participation Adjustment'!$A:$A,$H126,'Participation Adjustment'!$B:$B,$I126),1)</f>
        <v>1.3432537753442599</v>
      </c>
      <c r="W126" s="79">
        <f>tbl_Data_old[[#This Row],[2026 ]]*IFERROR(AVERAGEIFS('Participation Adjustment'!$C:$C,'Participation Adjustment'!$A:$A,$H126,'Participation Adjustment'!$B:$B,$I126),1)</f>
        <v>1.42715828805502</v>
      </c>
      <c r="X126" s="79">
        <f>tbl_Data_old[[#This Row],[2027 ]]*IFERROR(AVERAGEIFS('Participation Adjustment'!$C:$C,'Participation Adjustment'!$A:$A,$H126,'Participation Adjustment'!$B:$B,$I126),1)</f>
        <v>1.5104602652152599</v>
      </c>
      <c r="Y126" s="79">
        <f>tbl_Data_old[[#This Row],[2028 ]]*IFERROR(AVERAGEIFS('Participation Adjustment'!$C:$C,'Participation Adjustment'!$A:$A,$H126,'Participation Adjustment'!$B:$B,$I126),1)</f>
        <v>1.5956859061688899</v>
      </c>
      <c r="Z126" s="79">
        <f>tbl_Data_old[[#This Row],[2029 ]]*IFERROR(AVERAGEIFS('Participation Adjustment'!$C:$C,'Participation Adjustment'!$A:$A,$H126,'Participation Adjustment'!$B:$B,$I126),1)</f>
        <v>1.68274316130102</v>
      </c>
      <c r="AA126" s="79">
        <f>tbl_Data_old[[#This Row],[2030 ]]*IFERROR(AVERAGEIFS('Participation Adjustment'!$C:$C,'Participation Adjustment'!$A:$A,$H126,'Participation Adjustment'!$B:$B,$I126),1)</f>
        <v>1.7667311008868301</v>
      </c>
      <c r="AB126" s="79">
        <f>tbl_Data_old[[#This Row],[2031 ]]*IFERROR(AVERAGEIFS('Participation Adjustment'!$C:$C,'Participation Adjustment'!$A:$A,$H126,'Participation Adjustment'!$B:$B,$I126),1)</f>
        <v>1.8607357209822699</v>
      </c>
      <c r="AC126" s="79">
        <f>tbl_Data_old[[#This Row],[2032 ]]*IFERROR(AVERAGEIFS('Participation Adjustment'!$C:$C,'Participation Adjustment'!$A:$A,$H126,'Participation Adjustment'!$B:$B,$I126),1)</f>
        <v>1.96851299157656</v>
      </c>
      <c r="AD126" s="79">
        <f>tbl_Data_old[[#This Row],[2033 ]]*IFERROR(AVERAGEIFS('Participation Adjustment'!$C:$C,'Participation Adjustment'!$A:$A,$H126,'Participation Adjustment'!$B:$B,$I126),1)</f>
        <v>2.0909503170505701</v>
      </c>
      <c r="AE126" s="79">
        <f>tbl_Data_old[[#This Row],[2034 ]]*IFERROR(AVERAGEIFS('Participation Adjustment'!$C:$C,'Participation Adjustment'!$A:$A,$H126,'Participation Adjustment'!$B:$B,$I126),1)</f>
        <v>2.22848063081425</v>
      </c>
      <c r="AF126" s="77" t="str">
        <f t="shared" si="55"/>
        <v>Residential</v>
      </c>
      <c r="AG126" s="77" t="str">
        <f>tbl_Data[[#This Row],[All_Meas_Name_Append]]</f>
        <v>120v Heat Pump Water Heater 50 Gallons_Efficiency Delivered</v>
      </c>
      <c r="AH126" s="77">
        <f>AVERAGEIFS('3. Incentive Adjustment'!G:G,'3. Incentive Adjustment'!A:A,tbl_Data[[#This Row],[Trimmed Sector]],'3. Incentive Adjustment'!B:B,tbl_Data[[#This Row],[Trimmed Measure Name]])</f>
        <v>0.48531902873530169</v>
      </c>
      <c r="AI126" s="77">
        <f>$AH126*tbl_Data[[#This Row],[2025 ]]</f>
        <v>0.65190661759510338</v>
      </c>
      <c r="AJ126" s="77">
        <f>$AH126*tbl_Data[[#This Row],[2026 ]]</f>
        <v>0.69262707421039826</v>
      </c>
      <c r="AK126" s="77">
        <f>$AH126*tbl_Data[[#This Row],[2027 ]]</f>
        <v>0.73305510885753611</v>
      </c>
      <c r="AL126" s="77">
        <f>$AH126*tbl_Data[[#This Row],[2028 ]]</f>
        <v>0.77441673414849543</v>
      </c>
      <c r="AM126" s="77">
        <f>$AH126*tbl_Data[[#This Row],[2029 ]]</f>
        <v>0.81666727665358207</v>
      </c>
      <c r="AN126" s="77">
        <f>$AH126*tbl_Data[[#This Row],[2030 ]]</f>
        <v>0.85742822191884671</v>
      </c>
      <c r="AO126" s="77">
        <f>$AH126*tbl_Data[[#This Row],[2031 ]]</f>
        <v>0.90305045284019658</v>
      </c>
      <c r="AP126" s="77">
        <f>$AH126*tbl_Data[[#This Row],[2032 ]]</f>
        <v>0.95535681312475929</v>
      </c>
      <c r="AQ126" s="77">
        <f>$AH126*tbl_Data[[#This Row],[2033 ]]</f>
        <v>1.0147779770047538</v>
      </c>
      <c r="AR126" s="77">
        <f>$AH126*tbl_Data[[#This Row],[2034 ]]</f>
        <v>1.0815240553022043</v>
      </c>
      <c r="AS126" s="77">
        <f>SUM(tbl_Data[[#This Row],[Adjusted 2025]:[Adjusted 2034]])</f>
        <v>8.4808103316558761</v>
      </c>
      <c r="AT126" s="80">
        <f>AVERAGEIFS('3. Incentive Adjustment'!F:F,'3. Incentive Adjustment'!A:A,tbl_Data[[#This Row],[Trimmed Sector]],'3. Incentive Adjustment'!B:B,tbl_Data[[#This Row],[Trimmed Measure Name]])</f>
        <v>605</v>
      </c>
      <c r="AU126" s="80">
        <f>IFERROR(VLOOKUP(tbl_Data[[#This Row],[All_Meas_Name_Append]],'IRA Tax Credits'!$A$3:$D$46,4,0),0)</f>
        <v>0</v>
      </c>
      <c r="AV126" s="81">
        <f>tbl_Data[[#This Row],[Adj. per unit Incentive ($)]]/tbl_Data[[#This Row],[kWh Savings]]*tbl_Data[[#This Row],[Sum of Annuals]]</f>
        <v>4.2749343879365833</v>
      </c>
      <c r="AW126" s="81">
        <f>IFERROR(VLOOKUP(tbl_Data[[#This Row],[Column1]],'1. Set Program Names'!$B$2:$D$15,3,0)*tbl_Data[[#This Row],[Sum of Annuals]],"")</f>
        <v>3.6684727895977662</v>
      </c>
      <c r="AX126" s="81">
        <f>tbl_Data[[#This Row],[per unit IRA tax ($)]]/tbl_Data[[#This Row],[kWh Savings]]*tbl_Data[[#This Row],[Sum of Annuals]]</f>
        <v>0</v>
      </c>
      <c r="AY126" s="81">
        <f>tbl_Data[[#This Row],[Avoided Costs ($/unit)]]/tbl_Data[[#This Row],[kWh Savings]]*tbl_Data[[#This Row],[Sum of Annuals]]</f>
        <v>4.0385036784628339</v>
      </c>
      <c r="AZ126" s="81">
        <f>tbl_Data[[#This Row],[Lost Revenue ($/unit)]]/tbl_Data[[#This Row],[kWh Savings]]*tbl_Data[[#This Row],[Sum of Annuals]]</f>
        <v>10.848852049371482</v>
      </c>
      <c r="BA126" s="81">
        <f>tbl_Data[[#This Row],[Incremental Cost ($/unit)]]/tbl_Data[[#This Row],[kWh Savings]]*tbl_Data[[#This Row],[Sum of Annuals]]</f>
        <v>8.5498687758731666</v>
      </c>
      <c r="BB126" s="77">
        <f>ROUNDUP(tbl_Data[[#This Row],[Adjusted 2025]]/$L126,0)</f>
        <v>1</v>
      </c>
      <c r="BC126" s="77">
        <f>ROUNDUP(tbl_Data[[#This Row],[Adjusted 2026]]/$L126,0)</f>
        <v>1</v>
      </c>
      <c r="BD126" s="77">
        <f>ROUNDUP(tbl_Data[[#This Row],[Adjusted 2027]]/$L126,0)</f>
        <v>1</v>
      </c>
      <c r="BE126" s="77">
        <f>ROUNDUP(tbl_Data[[#This Row],[Adjusted 2028]]/$L126,0)</f>
        <v>1</v>
      </c>
      <c r="BF126" s="77">
        <f>ROUNDUP(tbl_Data[[#This Row],[Adjusted 2029]]/$L126,0)</f>
        <v>1</v>
      </c>
      <c r="BG126" s="77">
        <f>ROUNDUP(tbl_Data[[#This Row],[Adjusted 2030]]/$L126,0)</f>
        <v>1</v>
      </c>
      <c r="BH126" s="77">
        <f>ROUNDUP(tbl_Data[[#This Row],[Adjusted 2031]]/$L126,0)</f>
        <v>1</v>
      </c>
      <c r="BI126" s="77">
        <f>ROUNDUP(tbl_Data[[#This Row],[Adjusted 2032]]/$L126,0)</f>
        <v>1</v>
      </c>
      <c r="BJ126" s="77">
        <f>ROUNDUP(tbl_Data[[#This Row],[Adjusted 2033]]/$L126,0)</f>
        <v>1</v>
      </c>
      <c r="BK126" s="77">
        <f>ROUNDUP(tbl_Data[[#This Row],[Adjusted 2034]]/$L126,0)</f>
        <v>1</v>
      </c>
      <c r="BL126" s="80">
        <f t="shared" si="56"/>
        <v>0.67709588251381536</v>
      </c>
      <c r="BM126" s="80">
        <f t="shared" si="57"/>
        <v>0.71938975216344558</v>
      </c>
      <c r="BN126" s="80">
        <f t="shared" si="58"/>
        <v>0.76137990084253848</v>
      </c>
      <c r="BO126" s="80">
        <f t="shared" si="59"/>
        <v>0.80433971352537603</v>
      </c>
      <c r="BP126" s="80">
        <f t="shared" si="60"/>
        <v>0.84822279062881667</v>
      </c>
      <c r="BQ126" s="80">
        <f t="shared" si="61"/>
        <v>0.8905587133845867</v>
      </c>
      <c r="BR126" s="80">
        <f t="shared" si="62"/>
        <v>0.93794375884078507</v>
      </c>
      <c r="BS126" s="80">
        <f t="shared" si="63"/>
        <v>0.9922712042479408</v>
      </c>
      <c r="BT126" s="80">
        <f t="shared" si="64"/>
        <v>1.0539883648218684</v>
      </c>
      <c r="BU126" s="80">
        <f t="shared" si="65"/>
        <v>1.1233134699356471</v>
      </c>
      <c r="BV126" s="80">
        <f>IFERROR(VLOOKUP($H126,'1. Set Program Names'!$B$2:$D$15,3,0)*V126,"NA")</f>
        <v>0.58103998694341252</v>
      </c>
      <c r="BW126" s="80">
        <f>IFERROR(VLOOKUP($H126,'1. Set Program Names'!$B$2:$D$15,3,0)*W126,"NA")</f>
        <v>0.61733385625151027</v>
      </c>
      <c r="BX126" s="80">
        <f>IFERROR(VLOOKUP($H126,'1. Set Program Names'!$B$2:$D$15,3,0)*X126,"NA")</f>
        <v>0.65336709182469255</v>
      </c>
      <c r="BY126" s="80">
        <f>IFERROR(VLOOKUP($H126,'1. Set Program Names'!$B$2:$D$15,3,0)*Y126,"NA")</f>
        <v>0.6902324304642582</v>
      </c>
      <c r="BZ126" s="80">
        <f>IFERROR(VLOOKUP($H126,'1. Set Program Names'!$B$2:$D$15,3,0)*Z126,"NA")</f>
        <v>0.7278900550425611</v>
      </c>
      <c r="CA126" s="80">
        <f>IFERROR(VLOOKUP($H126,'1. Set Program Names'!$B$2:$D$15,3,0)*AA126,"NA")</f>
        <v>0.76422001161226161</v>
      </c>
      <c r="CB126" s="80">
        <f>IFERROR(VLOOKUP($H126,'1. Set Program Names'!$B$2:$D$15,3,0)*AB126,"NA")</f>
        <v>0.80488279941561336</v>
      </c>
      <c r="CC126" s="80">
        <f>IFERROR(VLOOKUP($H126,'1. Set Program Names'!$B$2:$D$15,3,0)*AC126,"NA")</f>
        <v>0.85150310679785279</v>
      </c>
      <c r="CD126" s="80">
        <f>IFERROR(VLOOKUP($H126,'1. Set Program Names'!$B$2:$D$15,3,0)*AD126,"NA")</f>
        <v>0.90446479080769127</v>
      </c>
      <c r="CE126" s="80">
        <f>IFERROR(VLOOKUP($H126,'1. Set Program Names'!$B$2:$D$15,3,0)*AE126,"NA")</f>
        <v>0.96395512180869058</v>
      </c>
    </row>
    <row r="127" spans="1:83" x14ac:dyDescent="0.25">
      <c r="A127" s="79" t="s">
        <v>116</v>
      </c>
      <c r="B127" s="79" t="s">
        <v>88</v>
      </c>
      <c r="C127" s="79" t="s">
        <v>89</v>
      </c>
      <c r="D127" s="79" t="s">
        <v>90</v>
      </c>
      <c r="E127" s="79" t="s">
        <v>91</v>
      </c>
      <c r="F127" s="79" t="s">
        <v>90</v>
      </c>
      <c r="G127" s="79" t="s">
        <v>92</v>
      </c>
      <c r="H127" s="79" t="s">
        <v>7</v>
      </c>
      <c r="I127" s="79" t="s">
        <v>423</v>
      </c>
      <c r="J127" s="79" t="s">
        <v>97</v>
      </c>
      <c r="K127" s="79" t="s">
        <v>102</v>
      </c>
      <c r="L127" s="79">
        <v>466.599999999999</v>
      </c>
      <c r="M127" s="79">
        <v>0.18933941062023901</v>
      </c>
      <c r="N127" s="79">
        <v>2.6910820932303899E-2</v>
      </c>
      <c r="O127" s="79">
        <v>674.44999999999902</v>
      </c>
      <c r="P127" s="79">
        <v>561.40215199999898</v>
      </c>
      <c r="Q127" s="79">
        <v>134.555491490957</v>
      </c>
      <c r="R127" s="79">
        <v>370.49545033119801</v>
      </c>
      <c r="S127" s="79">
        <v>705.301475078208</v>
      </c>
      <c r="T127" s="79">
        <v>20</v>
      </c>
      <c r="U127" s="79">
        <v>1</v>
      </c>
      <c r="V127" s="79">
        <f>tbl_Data_old[[#This Row],[2025 ]]*IFERROR(AVERAGEIFS('Participation Adjustment'!$C:$C,'Participation Adjustment'!$A:$A,$H127,'Participation Adjustment'!$B:$B,$I127),1)</f>
        <v>0.26184517906951599</v>
      </c>
      <c r="W127" s="79">
        <f>tbl_Data_old[[#This Row],[2026 ]]*IFERROR(AVERAGEIFS('Participation Adjustment'!$C:$C,'Participation Adjustment'!$A:$A,$H127,'Participation Adjustment'!$B:$B,$I127),1)</f>
        <v>0.25341330728164901</v>
      </c>
      <c r="X127" s="79">
        <f>tbl_Data_old[[#This Row],[2027 ]]*IFERROR(AVERAGEIFS('Participation Adjustment'!$C:$C,'Participation Adjustment'!$A:$A,$H127,'Participation Adjustment'!$B:$B,$I127),1)</f>
        <v>0.245488161912536</v>
      </c>
      <c r="Y127" s="79">
        <f>tbl_Data_old[[#This Row],[2028 ]]*IFERROR(AVERAGEIFS('Participation Adjustment'!$C:$C,'Participation Adjustment'!$A:$A,$H127,'Participation Adjustment'!$B:$B,$I127),1)</f>
        <v>0.238317633211168</v>
      </c>
      <c r="Z127" s="79">
        <f>tbl_Data_old[[#This Row],[2029 ]]*IFERROR(AVERAGEIFS('Participation Adjustment'!$C:$C,'Participation Adjustment'!$A:$A,$H127,'Participation Adjustment'!$B:$B,$I127),1)</f>
        <v>0.23170911111929701</v>
      </c>
      <c r="AA127" s="79">
        <f>tbl_Data_old[[#This Row],[2030 ]]*IFERROR(AVERAGEIFS('Participation Adjustment'!$C:$C,'Participation Adjustment'!$A:$A,$H127,'Participation Adjustment'!$B:$B,$I127),1)</f>
        <v>0.22490658391617099</v>
      </c>
      <c r="AB127" s="79">
        <f>tbl_Data_old[[#This Row],[2031 ]]*IFERROR(AVERAGEIFS('Participation Adjustment'!$C:$C,'Participation Adjustment'!$A:$A,$H127,'Participation Adjustment'!$B:$B,$I127),1)</f>
        <v>0.219491142910507</v>
      </c>
      <c r="AC127" s="79">
        <f>tbl_Data_old[[#This Row],[2032 ]]*IFERROR(AVERAGEIFS('Participation Adjustment'!$C:$C,'Participation Adjustment'!$A:$A,$H127,'Participation Adjustment'!$B:$B,$I127),1)</f>
        <v>0.215577306516472</v>
      </c>
      <c r="AD127" s="79">
        <f>tbl_Data_old[[#This Row],[2033 ]]*IFERROR(AVERAGEIFS('Participation Adjustment'!$C:$C,'Participation Adjustment'!$A:$A,$H127,'Participation Adjustment'!$B:$B,$I127),1)</f>
        <v>0.21293056594340601</v>
      </c>
      <c r="AE127" s="79">
        <f>tbl_Data_old[[#This Row],[2034 ]]*IFERROR(AVERAGEIFS('Participation Adjustment'!$C:$C,'Participation Adjustment'!$A:$A,$H127,'Participation Adjustment'!$B:$B,$I127),1)</f>
        <v>0.211308228998457</v>
      </c>
      <c r="AF127" s="77" t="str">
        <f t="shared" si="55"/>
        <v>Residential</v>
      </c>
      <c r="AG127" s="77" t="str">
        <f>tbl_Data[[#This Row],[All_Meas_Name_Append]]</f>
        <v>Air Sealing-Infiltration Control_Efficiency Delivered</v>
      </c>
      <c r="AH127" s="77">
        <f>AVERAGEIFS('3. Incentive Adjustment'!G:G,'3. Incentive Adjustment'!A:A,tbl_Data[[#This Row],[Trimmed Sector]],'3. Incentive Adjustment'!B:B,tbl_Data[[#This Row],[Trimmed Measure Name]])</f>
        <v>0.28148574428673256</v>
      </c>
      <c r="AI127" s="77">
        <f>$AH127*tbl_Data[[#This Row],[2025 ]]</f>
        <v>7.370568511827548E-2</v>
      </c>
      <c r="AJ127" s="77">
        <f>$AH127*tbl_Data[[#This Row],[2026 ]]</f>
        <v>7.1332233412337437E-2</v>
      </c>
      <c r="AK127" s="77">
        <f>$AH127*tbl_Data[[#This Row],[2027 ]]</f>
        <v>6.9101417969532106E-2</v>
      </c>
      <c r="AL127" s="77">
        <f>$AH127*tbl_Data[[#This Row],[2028 ]]</f>
        <v>6.7083016361098161E-2</v>
      </c>
      <c r="AM127" s="77">
        <f>$AH127*tbl_Data[[#This Row],[2029 ]]</f>
        <v>6.5222811601432534E-2</v>
      </c>
      <c r="AN127" s="77">
        <f>$AH127*tbl_Data[[#This Row],[2030 ]]</f>
        <v>6.3307997168629865E-2</v>
      </c>
      <c r="AO127" s="77">
        <f>$AH127*tbl_Data[[#This Row],[2031 ]]</f>
        <v>6.1783627726509645E-2</v>
      </c>
      <c r="AP127" s="77">
        <f>$AH127*tbl_Data[[#This Row],[2032 ]]</f>
        <v>6.0681938576118206E-2</v>
      </c>
      <c r="AQ127" s="77">
        <f>$AH127*tbl_Data[[#This Row],[2033 ]]</f>
        <v>5.993691883597483E-2</v>
      </c>
      <c r="AR127" s="77">
        <f>$AH127*tbl_Data[[#This Row],[2034 ]]</f>
        <v>5.9480254113541992E-2</v>
      </c>
      <c r="AS127" s="77">
        <f>SUM(tbl_Data[[#This Row],[Adjusted 2025]:[Adjusted 2034]])</f>
        <v>0.65163590088345025</v>
      </c>
      <c r="AT127" s="80">
        <f>AVERAGEIFS('3. Incentive Adjustment'!F:F,'3. Incentive Adjustment'!A:A,tbl_Data[[#This Row],[Trimmed Sector]],'3. Incentive Adjustment'!B:B,tbl_Data[[#This Row],[Trimmed Measure Name]])</f>
        <v>337.22499999999951</v>
      </c>
      <c r="AU127" s="80">
        <f>IFERROR(VLOOKUP(tbl_Data[[#This Row],[All_Meas_Name_Append]],'IRA Tax Credits'!$A$3:$D$46,4,0),0)</f>
        <v>0</v>
      </c>
      <c r="AV127" s="81">
        <f>tbl_Data[[#This Row],[Adj. per unit Incentive ($)]]/tbl_Data[[#This Row],[kWh Savings]]*tbl_Data[[#This Row],[Sum of Annuals]]</f>
        <v>0.47095567225765461</v>
      </c>
      <c r="AW127" s="81">
        <f>IFERROR(VLOOKUP(tbl_Data[[#This Row],[Column1]],'1. Set Program Names'!$B$2:$D$15,3,0)*tbl_Data[[#This Row],[Sum of Annuals]],"")</f>
        <v>0.28187266046889858</v>
      </c>
      <c r="AX127" s="81">
        <f>tbl_Data[[#This Row],[per unit IRA tax ($)]]/tbl_Data[[#This Row],[kWh Savings]]*tbl_Data[[#This Row],[Sum of Annuals]]</f>
        <v>0</v>
      </c>
      <c r="AY127" s="81">
        <f>tbl_Data[[#This Row],[Avoided Costs ($/unit)]]/tbl_Data[[#This Row],[kWh Savings]]*tbl_Data[[#This Row],[Sum of Annuals]]</f>
        <v>0.51741992402441128</v>
      </c>
      <c r="AZ127" s="81">
        <f>tbl_Data[[#This Row],[Lost Revenue ($/unit)]]/tbl_Data[[#This Row],[kWh Savings]]*tbl_Data[[#This Row],[Sum of Annuals]]</f>
        <v>0.98499734699317487</v>
      </c>
      <c r="BA127" s="81">
        <f>tbl_Data[[#This Row],[Incremental Cost ($/unit)]]/tbl_Data[[#This Row],[kWh Savings]]*tbl_Data[[#This Row],[Sum of Annuals]]</f>
        <v>0.94191134451530922</v>
      </c>
      <c r="BB127" s="77">
        <f>ROUNDUP(tbl_Data[[#This Row],[Adjusted 2025]]/$L127,0)</f>
        <v>1</v>
      </c>
      <c r="BC127" s="77">
        <f>ROUNDUP(tbl_Data[[#This Row],[Adjusted 2026]]/$L127,0)</f>
        <v>1</v>
      </c>
      <c r="BD127" s="77">
        <f>ROUNDUP(tbl_Data[[#This Row],[Adjusted 2027]]/$L127,0)</f>
        <v>1</v>
      </c>
      <c r="BE127" s="77">
        <f>ROUNDUP(tbl_Data[[#This Row],[Adjusted 2028]]/$L127,0)</f>
        <v>1</v>
      </c>
      <c r="BF127" s="77">
        <f>ROUNDUP(tbl_Data[[#This Row],[Adjusted 2029]]/$L127,0)</f>
        <v>1</v>
      </c>
      <c r="BG127" s="77">
        <f>ROUNDUP(tbl_Data[[#This Row],[Adjusted 2030]]/$L127,0)</f>
        <v>1</v>
      </c>
      <c r="BH127" s="77">
        <f>ROUNDUP(tbl_Data[[#This Row],[Adjusted 2031]]/$L127,0)</f>
        <v>1</v>
      </c>
      <c r="BI127" s="77">
        <f>ROUNDUP(tbl_Data[[#This Row],[Adjusted 2032]]/$L127,0)</f>
        <v>1</v>
      </c>
      <c r="BJ127" s="77">
        <f>ROUNDUP(tbl_Data[[#This Row],[Adjusted 2033]]/$L127,0)</f>
        <v>1</v>
      </c>
      <c r="BK127" s="77">
        <f>ROUNDUP(tbl_Data[[#This Row],[Adjusted 2034]]/$L127,0)</f>
        <v>1</v>
      </c>
      <c r="BL127" s="80">
        <f t="shared" si="56"/>
        <v>0.18924290722614143</v>
      </c>
      <c r="BM127" s="80">
        <f t="shared" si="57"/>
        <v>0.18314895531087472</v>
      </c>
      <c r="BN127" s="80">
        <f t="shared" si="58"/>
        <v>0.17742122889188813</v>
      </c>
      <c r="BO127" s="80">
        <f t="shared" si="59"/>
        <v>0.17223888525425671</v>
      </c>
      <c r="BP127" s="80">
        <f t="shared" si="60"/>
        <v>0.16746271966824899</v>
      </c>
      <c r="BQ127" s="80">
        <f t="shared" si="61"/>
        <v>0.16254634110829577</v>
      </c>
      <c r="BR127" s="80">
        <f t="shared" si="62"/>
        <v>0.15863244892412295</v>
      </c>
      <c r="BS127" s="80">
        <f t="shared" si="63"/>
        <v>0.1558038088084383</v>
      </c>
      <c r="BT127" s="80">
        <f t="shared" si="64"/>
        <v>0.15389093463408732</v>
      </c>
      <c r="BU127" s="80">
        <f t="shared" si="65"/>
        <v>0.1527184258979955</v>
      </c>
      <c r="BV127" s="80">
        <f>IFERROR(VLOOKUP($H127,'1. Set Program Names'!$B$2:$D$15,3,0)*V127,"NA")</f>
        <v>0.11326416662313477</v>
      </c>
      <c r="BW127" s="80">
        <f>IFERROR(VLOOKUP($H127,'1. Set Program Names'!$B$2:$D$15,3,0)*W127,"NA")</f>
        <v>0.10961686276778164</v>
      </c>
      <c r="BX127" s="80">
        <f>IFERROR(VLOOKUP($H127,'1. Set Program Names'!$B$2:$D$15,3,0)*X127,"NA")</f>
        <v>0.10618874929710563</v>
      </c>
      <c r="BY127" s="80">
        <f>IFERROR(VLOOKUP($H127,'1. Set Program Names'!$B$2:$D$15,3,0)*Y127,"NA")</f>
        <v>0.10308705401100644</v>
      </c>
      <c r="BZ127" s="80">
        <f>IFERROR(VLOOKUP($H127,'1. Set Program Names'!$B$2:$D$15,3,0)*Z127,"NA")</f>
        <v>0.10022846119670976</v>
      </c>
      <c r="CA127" s="80">
        <f>IFERROR(VLOOKUP($H127,'1. Set Program Names'!$B$2:$D$15,3,0)*AA127,"NA")</f>
        <v>9.7285949223293908E-2</v>
      </c>
      <c r="CB127" s="80">
        <f>IFERROR(VLOOKUP($H127,'1. Set Program Names'!$B$2:$D$15,3,0)*AB127,"NA")</f>
        <v>9.4943437458964497E-2</v>
      </c>
      <c r="CC127" s="80">
        <f>IFERROR(VLOOKUP($H127,'1. Set Program Names'!$B$2:$D$15,3,0)*AC127,"NA")</f>
        <v>9.3250462170876486E-2</v>
      </c>
      <c r="CD127" s="80">
        <f>IFERROR(VLOOKUP($H127,'1. Set Program Names'!$B$2:$D$15,3,0)*AD127,"NA")</f>
        <v>9.2105583864003512E-2</v>
      </c>
      <c r="CE127" s="80">
        <f>IFERROR(VLOOKUP($H127,'1. Set Program Names'!$B$2:$D$15,3,0)*AE127,"NA")</f>
        <v>9.1403823217866928E-2</v>
      </c>
    </row>
    <row r="128" spans="1:83" x14ac:dyDescent="0.25">
      <c r="A128" s="79" t="s">
        <v>116</v>
      </c>
      <c r="B128" s="79" t="s">
        <v>88</v>
      </c>
      <c r="C128" s="79" t="s">
        <v>89</v>
      </c>
      <c r="D128" s="79" t="s">
        <v>90</v>
      </c>
      <c r="E128" s="79" t="s">
        <v>91</v>
      </c>
      <c r="F128" s="79" t="s">
        <v>90</v>
      </c>
      <c r="G128" s="79" t="s">
        <v>92</v>
      </c>
      <c r="H128" s="79" t="s">
        <v>7</v>
      </c>
      <c r="I128" s="79" t="s">
        <v>424</v>
      </c>
      <c r="J128" s="79" t="s">
        <v>97</v>
      </c>
      <c r="K128" s="79" t="s">
        <v>98</v>
      </c>
      <c r="L128" s="79">
        <v>5868.07</v>
      </c>
      <c r="M128" s="79">
        <v>0.20813520080661799</v>
      </c>
      <c r="N128" s="79">
        <v>1.1349578069705</v>
      </c>
      <c r="O128" s="79">
        <v>1935.1666666666599</v>
      </c>
      <c r="P128" s="79">
        <v>513.45064263862798</v>
      </c>
      <c r="Q128" s="79">
        <v>1692.2011207744099</v>
      </c>
      <c r="R128" s="79">
        <v>3388.0400735263802</v>
      </c>
      <c r="S128" s="79">
        <v>7811.7411984889604</v>
      </c>
      <c r="T128" s="79">
        <v>16</v>
      </c>
      <c r="U128" s="79">
        <v>0.1</v>
      </c>
      <c r="V128" s="79">
        <f>tbl_Data_old[[#This Row],[2025 ]]*IFERROR(AVERAGEIFS('Participation Adjustment'!$C:$C,'Participation Adjustment'!$A:$A,$H128,'Participation Adjustment'!$B:$B,$I128),1)</f>
        <v>8.1467092563333896</v>
      </c>
      <c r="W128" s="79">
        <f>tbl_Data_old[[#This Row],[2026 ]]*IFERROR(AVERAGEIFS('Participation Adjustment'!$C:$C,'Participation Adjustment'!$A:$A,$H128,'Participation Adjustment'!$B:$B,$I128),1)</f>
        <v>8.6255210540081197</v>
      </c>
      <c r="X128" s="79">
        <f>tbl_Data_old[[#This Row],[2027 ]]*IFERROR(AVERAGEIFS('Participation Adjustment'!$C:$C,'Participation Adjustment'!$A:$A,$H128,'Participation Adjustment'!$B:$B,$I128),1)</f>
        <v>9.0967902060517893</v>
      </c>
      <c r="Y128" s="79">
        <f>tbl_Data_old[[#This Row],[2028 ]]*IFERROR(AVERAGEIFS('Participation Adjustment'!$C:$C,'Participation Adjustment'!$A:$A,$H128,'Participation Adjustment'!$B:$B,$I128),1)</f>
        <v>9.5756950742002402</v>
      </c>
      <c r="Z128" s="79">
        <f>tbl_Data_old[[#This Row],[2029 ]]*IFERROR(AVERAGEIFS('Participation Adjustment'!$C:$C,'Participation Adjustment'!$A:$A,$H128,'Participation Adjustment'!$B:$B,$I128),1)</f>
        <v>10.0615497336891</v>
      </c>
      <c r="AA128" s="79">
        <f>tbl_Data_old[[#This Row],[2030 ]]*IFERROR(AVERAGEIFS('Participation Adjustment'!$C:$C,'Participation Adjustment'!$A:$A,$H128,'Participation Adjustment'!$B:$B,$I128),1)</f>
        <v>10.5250345968181</v>
      </c>
      <c r="AB128" s="79">
        <f>tbl_Data_old[[#This Row],[2031 ]]*IFERROR(AVERAGEIFS('Participation Adjustment'!$C:$C,'Participation Adjustment'!$A:$A,$H128,'Participation Adjustment'!$B:$B,$I128),1)</f>
        <v>11.0440255528206</v>
      </c>
      <c r="AC128" s="79">
        <f>tbl_Data_old[[#This Row],[2032 ]]*IFERROR(AVERAGEIFS('Participation Adjustment'!$C:$C,'Participation Adjustment'!$A:$A,$H128,'Participation Adjustment'!$B:$B,$I128),1)</f>
        <v>11.6400762763876</v>
      </c>
      <c r="AD128" s="79">
        <f>tbl_Data_old[[#This Row],[2033 ]]*IFERROR(AVERAGEIFS('Participation Adjustment'!$C:$C,'Participation Adjustment'!$A:$A,$H128,'Participation Adjustment'!$B:$B,$I128),1)</f>
        <v>12.3175059436123</v>
      </c>
      <c r="AE128" s="79">
        <f>tbl_Data_old[[#This Row],[2034 ]]*IFERROR(AVERAGEIFS('Participation Adjustment'!$C:$C,'Participation Adjustment'!$A:$A,$H128,'Participation Adjustment'!$B:$B,$I128),1)</f>
        <v>13.077885280820601</v>
      </c>
      <c r="AF128" s="77" t="str">
        <f t="shared" si="55"/>
        <v>Residential</v>
      </c>
      <c r="AG128" s="77" t="str">
        <f>tbl_Data[[#This Row],[All_Meas_Name_Append]]</f>
        <v>ASHP - CEE Tier 2: 16.8 SEER/16 SEER2; 9.0 HSPF (from elec resistance)_Efficiency Delivered</v>
      </c>
      <c r="AH128" s="77">
        <f>AVERAGEIFS('3. Incentive Adjustment'!G:G,'3. Incentive Adjustment'!A:A,tbl_Data[[#This Row],[Trimmed Sector]],'3. Incentive Adjustment'!B:B,tbl_Data[[#This Row],[Trimmed Measure Name]])</f>
        <v>1</v>
      </c>
      <c r="AI128" s="77">
        <f>$AH128*tbl_Data[[#This Row],[2025 ]]</f>
        <v>8.1467092563333896</v>
      </c>
      <c r="AJ128" s="77">
        <f>$AH128*tbl_Data[[#This Row],[2026 ]]</f>
        <v>8.6255210540081197</v>
      </c>
      <c r="AK128" s="77">
        <f>$AH128*tbl_Data[[#This Row],[2027 ]]</f>
        <v>9.0967902060517893</v>
      </c>
      <c r="AL128" s="77">
        <f>$AH128*tbl_Data[[#This Row],[2028 ]]</f>
        <v>9.5756950742002402</v>
      </c>
      <c r="AM128" s="77">
        <f>$AH128*tbl_Data[[#This Row],[2029 ]]</f>
        <v>10.0615497336891</v>
      </c>
      <c r="AN128" s="77">
        <f>$AH128*tbl_Data[[#This Row],[2030 ]]</f>
        <v>10.5250345968181</v>
      </c>
      <c r="AO128" s="77">
        <f>$AH128*tbl_Data[[#This Row],[2031 ]]</f>
        <v>11.0440255528206</v>
      </c>
      <c r="AP128" s="77">
        <f>$AH128*tbl_Data[[#This Row],[2032 ]]</f>
        <v>11.6400762763876</v>
      </c>
      <c r="AQ128" s="77">
        <f>$AH128*tbl_Data[[#This Row],[2033 ]]</f>
        <v>12.3175059436123</v>
      </c>
      <c r="AR128" s="77">
        <f>$AH128*tbl_Data[[#This Row],[2034 ]]</f>
        <v>13.077885280820601</v>
      </c>
      <c r="AS128" s="77">
        <f>SUM(tbl_Data[[#This Row],[Adjusted 2025]:[Adjusted 2034]])</f>
        <v>104.11079297474184</v>
      </c>
      <c r="AT128" s="80">
        <f>AVERAGEIFS('3. Incentive Adjustment'!F:F,'3. Incentive Adjustment'!A:A,tbl_Data[[#This Row],[Trimmed Sector]],'3. Incentive Adjustment'!B:B,tbl_Data[[#This Row],[Trimmed Measure Name]])</f>
        <v>513.45064263862798</v>
      </c>
      <c r="AU128" s="80">
        <f>IFERROR(VLOOKUP(tbl_Data[[#This Row],[All_Meas_Name_Append]],'IRA Tax Credits'!$A$3:$D$46,4,0),0)</f>
        <v>0</v>
      </c>
      <c r="AV128" s="81">
        <f>tbl_Data[[#This Row],[Adj. per unit Incentive ($)]]/tbl_Data[[#This Row],[kWh Savings]]*tbl_Data[[#This Row],[Sum of Annuals]]</f>
        <v>9.1095971177062243</v>
      </c>
      <c r="AW128" s="81">
        <f>IFERROR(VLOOKUP(tbl_Data[[#This Row],[Column1]],'1. Set Program Names'!$B$2:$D$15,3,0)*tbl_Data[[#This Row],[Sum of Annuals]],"")</f>
        <v>45.034329998595247</v>
      </c>
      <c r="AX128" s="81">
        <f>tbl_Data[[#This Row],[per unit IRA tax ($)]]/tbl_Data[[#This Row],[kWh Savings]]*tbl_Data[[#This Row],[Sum of Annuals]]</f>
        <v>0</v>
      </c>
      <c r="AY128" s="81">
        <f>tbl_Data[[#This Row],[Avoided Costs ($/unit)]]/tbl_Data[[#This Row],[kWh Savings]]*tbl_Data[[#This Row],[Sum of Annuals]]</f>
        <v>60.110315433359538</v>
      </c>
      <c r="AZ128" s="81">
        <f>tbl_Data[[#This Row],[Lost Revenue ($/unit)]]/tbl_Data[[#This Row],[kWh Savings]]*tbl_Data[[#This Row],[Sum of Annuals]]</f>
        <v>138.59524011951902</v>
      </c>
      <c r="BA128" s="81">
        <f>tbl_Data[[#This Row],[Incremental Cost ($/unit)]]/tbl_Data[[#This Row],[kWh Savings]]*tbl_Data[[#This Row],[Sum of Annuals]]</f>
        <v>34.333560473026722</v>
      </c>
      <c r="BB128" s="77">
        <f>ROUNDUP(tbl_Data[[#This Row],[Adjusted 2025]]/$L128,0)</f>
        <v>1</v>
      </c>
      <c r="BC128" s="77">
        <f>ROUNDUP(tbl_Data[[#This Row],[Adjusted 2026]]/$L128,0)</f>
        <v>1</v>
      </c>
      <c r="BD128" s="77">
        <f>ROUNDUP(tbl_Data[[#This Row],[Adjusted 2027]]/$L128,0)</f>
        <v>1</v>
      </c>
      <c r="BE128" s="77">
        <f>ROUNDUP(tbl_Data[[#This Row],[Adjusted 2028]]/$L128,0)</f>
        <v>1</v>
      </c>
      <c r="BF128" s="77">
        <f>ROUNDUP(tbl_Data[[#This Row],[Adjusted 2029]]/$L128,0)</f>
        <v>1</v>
      </c>
      <c r="BG128" s="77">
        <f>ROUNDUP(tbl_Data[[#This Row],[Adjusted 2030]]/$L128,0)</f>
        <v>1</v>
      </c>
      <c r="BH128" s="77">
        <f>ROUNDUP(tbl_Data[[#This Row],[Adjusted 2031]]/$L128,0)</f>
        <v>1</v>
      </c>
      <c r="BI128" s="77">
        <f>ROUNDUP(tbl_Data[[#This Row],[Adjusted 2032]]/$L128,0)</f>
        <v>1</v>
      </c>
      <c r="BJ128" s="77">
        <f>ROUNDUP(tbl_Data[[#This Row],[Adjusted 2033]]/$L128,0)</f>
        <v>1</v>
      </c>
      <c r="BK128" s="77">
        <f>ROUNDUP(tbl_Data[[#This Row],[Adjusted 2034]]/$L128,0)</f>
        <v>1</v>
      </c>
      <c r="BL128" s="80">
        <f t="shared" si="56"/>
        <v>0.71282944870365184</v>
      </c>
      <c r="BM128" s="80">
        <f t="shared" si="57"/>
        <v>0.75472503366072408</v>
      </c>
      <c r="BN128" s="80">
        <f t="shared" si="58"/>
        <v>0.79596064417194556</v>
      </c>
      <c r="BO128" s="80">
        <f t="shared" si="59"/>
        <v>0.83786437270851544</v>
      </c>
      <c r="BP128" s="80">
        <f t="shared" si="60"/>
        <v>0.88037620149439</v>
      </c>
      <c r="BQ128" s="80">
        <f t="shared" si="61"/>
        <v>0.92093069399820504</v>
      </c>
      <c r="BR128" s="80">
        <f t="shared" si="62"/>
        <v>0.96634191777077749</v>
      </c>
      <c r="BS128" s="80">
        <f t="shared" si="63"/>
        <v>1.0184957992106198</v>
      </c>
      <c r="BT128" s="80">
        <f t="shared" si="64"/>
        <v>1.0777702621906105</v>
      </c>
      <c r="BU128" s="80">
        <f t="shared" si="65"/>
        <v>1.1443027437967837</v>
      </c>
      <c r="BV128" s="80">
        <f>IFERROR(VLOOKUP($H128,'1. Set Program Names'!$B$2:$D$15,3,0)*V128,"NA")</f>
        <v>3.5239534977063993</v>
      </c>
      <c r="BW128" s="80">
        <f>IFERROR(VLOOKUP($H128,'1. Set Program Names'!$B$2:$D$15,3,0)*W128,"NA")</f>
        <v>3.7310690895445653</v>
      </c>
      <c r="BX128" s="80">
        <f>IFERROR(VLOOKUP($H128,'1. Set Program Names'!$B$2:$D$15,3,0)*X128,"NA")</f>
        <v>3.9349220226063824</v>
      </c>
      <c r="BY128" s="80">
        <f>IFERROR(VLOOKUP($H128,'1. Set Program Names'!$B$2:$D$15,3,0)*Y128,"NA")</f>
        <v>4.142077873156512</v>
      </c>
      <c r="BZ128" s="80">
        <f>IFERROR(VLOOKUP($H128,'1. Set Program Names'!$B$2:$D$15,3,0)*Z128,"NA")</f>
        <v>4.352239936489223</v>
      </c>
      <c r="CA128" s="80">
        <f>IFERROR(VLOOKUP($H128,'1. Set Program Names'!$B$2:$D$15,3,0)*AA128,"NA")</f>
        <v>4.5527256851720619</v>
      </c>
      <c r="CB128" s="80">
        <f>IFERROR(VLOOKUP($H128,'1. Set Program Names'!$B$2:$D$15,3,0)*AB128,"NA")</f>
        <v>4.7772212375647261</v>
      </c>
      <c r="CC128" s="80">
        <f>IFERROR(VLOOKUP($H128,'1. Set Program Names'!$B$2:$D$15,3,0)*AC128,"NA")</f>
        <v>5.0350498854315227</v>
      </c>
      <c r="CD128" s="80">
        <f>IFERROR(VLOOKUP($H128,'1. Set Program Names'!$B$2:$D$15,3,0)*AD128,"NA")</f>
        <v>5.3280799384447306</v>
      </c>
      <c r="CE128" s="80">
        <f>IFERROR(VLOOKUP($H128,'1. Set Program Names'!$B$2:$D$15,3,0)*AE128,"NA")</f>
        <v>5.6569908324791225</v>
      </c>
    </row>
    <row r="129" spans="1:83" x14ac:dyDescent="0.25">
      <c r="A129" s="79" t="s">
        <v>116</v>
      </c>
      <c r="B129" s="79" t="s">
        <v>88</v>
      </c>
      <c r="C129" s="79" t="s">
        <v>89</v>
      </c>
      <c r="D129" s="79" t="s">
        <v>90</v>
      </c>
      <c r="E129" s="79" t="s">
        <v>91</v>
      </c>
      <c r="F129" s="79" t="s">
        <v>90</v>
      </c>
      <c r="G129" s="79" t="s">
        <v>92</v>
      </c>
      <c r="H129" s="79" t="s">
        <v>7</v>
      </c>
      <c r="I129" s="79" t="s">
        <v>425</v>
      </c>
      <c r="J129" s="79" t="s">
        <v>97</v>
      </c>
      <c r="K129" s="79" t="s">
        <v>98</v>
      </c>
      <c r="L129" s="79">
        <v>253.96999999999801</v>
      </c>
      <c r="M129" s="79">
        <v>0.107126245482503</v>
      </c>
      <c r="N129" s="79">
        <v>1.33192706841354E-2</v>
      </c>
      <c r="O129" s="79">
        <v>874.99999999999898</v>
      </c>
      <c r="P129" s="79">
        <v>813.468148399999</v>
      </c>
      <c r="Q129" s="79">
        <v>73.238444436258604</v>
      </c>
      <c r="R129" s="79">
        <v>185.54516688855901</v>
      </c>
      <c r="S129" s="79">
        <v>338.09206641710699</v>
      </c>
      <c r="T129" s="79">
        <v>16</v>
      </c>
      <c r="U129" s="79">
        <v>9.9999999999999895E-2</v>
      </c>
      <c r="V129" s="79">
        <f>tbl_Data_old[[#This Row],[2025 ]]*IFERROR(AVERAGEIFS('Participation Adjustment'!$C:$C,'Participation Adjustment'!$A:$A,$H129,'Participation Adjustment'!$B:$B,$I129),1)</f>
        <v>6.5487472069468394E-2</v>
      </c>
      <c r="W129" s="79">
        <f>tbl_Data_old[[#This Row],[2026 ]]*IFERROR(AVERAGEIFS('Participation Adjustment'!$C:$C,'Participation Adjustment'!$A:$A,$H129,'Participation Adjustment'!$B:$B,$I129),1)</f>
        <v>7.3118152595969599E-2</v>
      </c>
      <c r="X129" s="79">
        <f>tbl_Data_old[[#This Row],[2027 ]]*IFERROR(AVERAGEIFS('Participation Adjustment'!$C:$C,'Participation Adjustment'!$A:$A,$H129,'Participation Adjustment'!$B:$B,$I129),1)</f>
        <v>8.0222034504107503E-2</v>
      </c>
      <c r="Y129" s="79">
        <f>tbl_Data_old[[#This Row],[2028 ]]*IFERROR(AVERAGEIFS('Participation Adjustment'!$C:$C,'Participation Adjustment'!$A:$A,$H129,'Participation Adjustment'!$B:$B,$I129),1)</f>
        <v>8.7001491278882195E-2</v>
      </c>
      <c r="Z129" s="79">
        <f>tbl_Data_old[[#This Row],[2029 ]]*IFERROR(AVERAGEIFS('Participation Adjustment'!$C:$C,'Participation Adjustment'!$A:$A,$H129,'Participation Adjustment'!$B:$B,$I129),1)</f>
        <v>9.3514897538343106E-2</v>
      </c>
      <c r="AA129" s="79">
        <f>tbl_Data_old[[#This Row],[2030 ]]*IFERROR(AVERAGEIFS('Participation Adjustment'!$C:$C,'Participation Adjustment'!$A:$A,$H129,'Participation Adjustment'!$B:$B,$I129),1)</f>
        <v>9.9538258635021096E-2</v>
      </c>
      <c r="AB129" s="79">
        <f>tbl_Data_old[[#This Row],[2031 ]]*IFERROR(AVERAGEIFS('Participation Adjustment'!$C:$C,'Participation Adjustment'!$A:$A,$H129,'Participation Adjustment'!$B:$B,$I129),1)</f>
        <v>0.10585199332817199</v>
      </c>
      <c r="AC129" s="79">
        <f>tbl_Data_old[[#This Row],[2032 ]]*IFERROR(AVERAGEIFS('Participation Adjustment'!$C:$C,'Participation Adjustment'!$A:$A,$H129,'Participation Adjustment'!$B:$B,$I129),1)</f>
        <v>0.11272074679600901</v>
      </c>
      <c r="AD129" s="79">
        <f>tbl_Data_old[[#This Row],[2033 ]]*IFERROR(AVERAGEIFS('Participation Adjustment'!$C:$C,'Participation Adjustment'!$A:$A,$H129,'Participation Adjustment'!$B:$B,$I129),1)</f>
        <v>0.120235613738747</v>
      </c>
      <c r="AE129" s="79">
        <f>tbl_Data_old[[#This Row],[2034 ]]*IFERROR(AVERAGEIFS('Participation Adjustment'!$C:$C,'Participation Adjustment'!$A:$A,$H129,'Participation Adjustment'!$B:$B,$I129),1)</f>
        <v>0.12845103542684799</v>
      </c>
      <c r="AF129" s="77" t="str">
        <f t="shared" si="55"/>
        <v>Residential</v>
      </c>
      <c r="AG129" s="77" t="str">
        <f>tbl_Data[[#This Row],[All_Meas_Name_Append]]</f>
        <v>ASHP - ENERGY STAR/CEE Tier 1: 16 SEER/15.2 SEER2_ 9.0 HSPF_Efficiency Delivered</v>
      </c>
      <c r="AH129" s="77">
        <f>AVERAGEIFS('3. Incentive Adjustment'!G:G,'3. Incentive Adjustment'!A:A,tbl_Data[[#This Row],[Trimmed Sector]],'3. Incentive Adjustment'!B:B,tbl_Data[[#This Row],[Trimmed Measure Name]])</f>
        <v>2.0121332905056414E-2</v>
      </c>
      <c r="AI129" s="77">
        <f>$AH129*tbl_Data[[#This Row],[2025 ]]</f>
        <v>1.3176952266203573E-3</v>
      </c>
      <c r="AJ129" s="77">
        <f>$AH129*tbl_Data[[#This Row],[2026 ]]</f>
        <v>1.4712346897862191E-3</v>
      </c>
      <c r="AK129" s="77">
        <f>$AH129*tbl_Data[[#This Row],[2027 ]]</f>
        <v>1.6141742625780692E-3</v>
      </c>
      <c r="AL129" s="77">
        <f>$AH129*tbl_Data[[#This Row],[2028 ]]</f>
        <v>1.750585969258751E-3</v>
      </c>
      <c r="AM129" s="77">
        <f>$AH129*tbl_Data[[#This Row],[2029 ]]</f>
        <v>1.8816443849512421E-3</v>
      </c>
      <c r="AN129" s="77">
        <f>$AH129*tbl_Data[[#This Row],[2030 ]]</f>
        <v>2.0028424387848656E-3</v>
      </c>
      <c r="AO129" s="77">
        <f>$AH129*tbl_Data[[#This Row],[2031 ]]</f>
        <v>2.1298831964199592E-3</v>
      </c>
      <c r="AP129" s="77">
        <f>$AH129*tbl_Data[[#This Row],[2032 ]]</f>
        <v>2.2680916715890685E-3</v>
      </c>
      <c r="AQ129" s="77">
        <f>$AH129*tbl_Data[[#This Row],[2033 ]]</f>
        <v>2.419300811081103E-3</v>
      </c>
      <c r="AR129" s="77">
        <f>$AH129*tbl_Data[[#This Row],[2034 ]]</f>
        <v>2.5846060458228036E-3</v>
      </c>
      <c r="AS129" s="77">
        <f>SUM(tbl_Data[[#This Row],[Adjusted 2025]:[Adjusted 2034]])</f>
        <v>1.9440058696892439E-2</v>
      </c>
      <c r="AT129" s="80">
        <f>AVERAGEIFS('3. Incentive Adjustment'!F:F,'3. Incentive Adjustment'!A:A,tbl_Data[[#This Row],[Trimmed Sector]],'3. Incentive Adjustment'!B:B,tbl_Data[[#This Row],[Trimmed Measure Name]])</f>
        <v>437.49999999999949</v>
      </c>
      <c r="AU129" s="80">
        <f>IFERROR(VLOOKUP(tbl_Data[[#This Row],[All_Meas_Name_Append]],'IRA Tax Credits'!$A$3:$D$46,4,0),0)</f>
        <v>0</v>
      </c>
      <c r="AV129" s="81">
        <f>tbl_Data[[#This Row],[Adj. per unit Incentive ($)]]/tbl_Data[[#This Row],[kWh Savings]]*tbl_Data[[#This Row],[Sum of Annuals]]</f>
        <v>3.3488308382448713E-2</v>
      </c>
      <c r="AW129" s="81">
        <f>IFERROR(VLOOKUP(tbl_Data[[#This Row],[Column1]],'1. Set Program Names'!$B$2:$D$15,3,0)*tbl_Data[[#This Row],[Sum of Annuals]],"")</f>
        <v>8.4090226722248872E-3</v>
      </c>
      <c r="AX129" s="81">
        <f>tbl_Data[[#This Row],[per unit IRA tax ($)]]/tbl_Data[[#This Row],[kWh Savings]]*tbl_Data[[#This Row],[Sum of Annuals]]</f>
        <v>0</v>
      </c>
      <c r="AY129" s="81">
        <f>tbl_Data[[#This Row],[Avoided Costs ($/unit)]]/tbl_Data[[#This Row],[kWh Savings]]*tbl_Data[[#This Row],[Sum of Annuals]]</f>
        <v>1.4202500040313103E-2</v>
      </c>
      <c r="AZ129" s="81">
        <f>tbl_Data[[#This Row],[Lost Revenue ($/unit)]]/tbl_Data[[#This Row],[kWh Savings]]*tbl_Data[[#This Row],[Sum of Annuals]]</f>
        <v>2.5879157444195253E-2</v>
      </c>
      <c r="BA129" s="81">
        <f>tbl_Data[[#This Row],[Incremental Cost ($/unit)]]/tbl_Data[[#This Row],[kWh Savings]]*tbl_Data[[#This Row],[Sum of Annuals]]</f>
        <v>6.6976616764897426E-2</v>
      </c>
      <c r="BB129" s="77">
        <f>ROUNDUP(tbl_Data[[#This Row],[Adjusted 2025]]/$L129,0)</f>
        <v>1</v>
      </c>
      <c r="BC129" s="77">
        <f>ROUNDUP(tbl_Data[[#This Row],[Adjusted 2026]]/$L129,0)</f>
        <v>1</v>
      </c>
      <c r="BD129" s="77">
        <f>ROUNDUP(tbl_Data[[#This Row],[Adjusted 2027]]/$L129,0)</f>
        <v>1</v>
      </c>
      <c r="BE129" s="77">
        <f>ROUNDUP(tbl_Data[[#This Row],[Adjusted 2028]]/$L129,0)</f>
        <v>1</v>
      </c>
      <c r="BF129" s="77">
        <f>ROUNDUP(tbl_Data[[#This Row],[Adjusted 2029]]/$L129,0)</f>
        <v>1</v>
      </c>
      <c r="BG129" s="77">
        <f>ROUNDUP(tbl_Data[[#This Row],[Adjusted 2030]]/$L129,0)</f>
        <v>1</v>
      </c>
      <c r="BH129" s="77">
        <f>ROUNDUP(tbl_Data[[#This Row],[Adjusted 2031]]/$L129,0)</f>
        <v>1</v>
      </c>
      <c r="BI129" s="77">
        <f>ROUNDUP(tbl_Data[[#This Row],[Adjusted 2032]]/$L129,0)</f>
        <v>1</v>
      </c>
      <c r="BJ129" s="77">
        <f>ROUNDUP(tbl_Data[[#This Row],[Adjusted 2033]]/$L129,0)</f>
        <v>1</v>
      </c>
      <c r="BK129" s="77">
        <f>ROUNDUP(tbl_Data[[#This Row],[Adjusted 2034]]/$L129,0)</f>
        <v>1</v>
      </c>
      <c r="BL129" s="80">
        <f t="shared" si="56"/>
        <v>0.11281162747723202</v>
      </c>
      <c r="BM129" s="80">
        <f t="shared" si="57"/>
        <v>0.12595657660643741</v>
      </c>
      <c r="BN129" s="80">
        <f t="shared" si="58"/>
        <v>0.13819403904219896</v>
      </c>
      <c r="BO129" s="80">
        <f t="shared" si="59"/>
        <v>0.14987263233654061</v>
      </c>
      <c r="BP129" s="80">
        <f t="shared" si="60"/>
        <v>0.16109291519874544</v>
      </c>
      <c r="BQ129" s="80">
        <f t="shared" si="61"/>
        <v>0.17146902450219326</v>
      </c>
      <c r="BR129" s="80">
        <f t="shared" si="62"/>
        <v>0.18234534425749324</v>
      </c>
      <c r="BS129" s="80">
        <f t="shared" si="63"/>
        <v>0.19417776400068618</v>
      </c>
      <c r="BT129" s="80">
        <f t="shared" si="64"/>
        <v>0.20712320750758817</v>
      </c>
      <c r="BU129" s="80">
        <f t="shared" si="65"/>
        <v>0.22127545772826071</v>
      </c>
      <c r="BV129" s="80">
        <f>IFERROR(VLOOKUP($H129,'1. Set Program Names'!$B$2:$D$15,3,0)*V129,"NA")</f>
        <v>2.8327364951160498E-2</v>
      </c>
      <c r="BW129" s="80">
        <f>IFERROR(VLOOKUP($H129,'1. Set Program Names'!$B$2:$D$15,3,0)*W129,"NA")</f>
        <v>3.1628104241732229E-2</v>
      </c>
      <c r="BX129" s="80">
        <f>IFERROR(VLOOKUP($H129,'1. Set Program Names'!$B$2:$D$15,3,0)*X129,"NA")</f>
        <v>3.4700970685077333E-2</v>
      </c>
      <c r="BY129" s="80">
        <f>IFERROR(VLOOKUP($H129,'1. Set Program Names'!$B$2:$D$15,3,0)*Y129,"NA")</f>
        <v>3.7633503277356074E-2</v>
      </c>
      <c r="BZ129" s="80">
        <f>IFERROR(VLOOKUP($H129,'1. Set Program Names'!$B$2:$D$15,3,0)*Z129,"NA")</f>
        <v>4.0450952636085315E-2</v>
      </c>
      <c r="CA129" s="80">
        <f>IFERROR(VLOOKUP($H129,'1. Set Program Names'!$B$2:$D$15,3,0)*AA129,"NA")</f>
        <v>4.3056427280719962E-2</v>
      </c>
      <c r="CB129" s="80">
        <f>IFERROR(VLOOKUP($H129,'1. Set Program Names'!$B$2:$D$15,3,0)*AB129,"NA")</f>
        <v>4.578750638952974E-2</v>
      </c>
      <c r="CC129" s="80">
        <f>IFERROR(VLOOKUP($H129,'1. Set Program Names'!$B$2:$D$15,3,0)*AC129,"NA")</f>
        <v>4.875866530121542E-2</v>
      </c>
      <c r="CD129" s="80">
        <f>IFERROR(VLOOKUP($H129,'1. Set Program Names'!$B$2:$D$15,3,0)*AD129,"NA")</f>
        <v>5.2009308084014154E-2</v>
      </c>
      <c r="CE129" s="80">
        <f>IFERROR(VLOOKUP($H129,'1. Set Program Names'!$B$2:$D$15,3,0)*AE129,"NA")</f>
        <v>5.5562983940361882E-2</v>
      </c>
    </row>
    <row r="130" spans="1:83" x14ac:dyDescent="0.25">
      <c r="A130" s="79" t="s">
        <v>116</v>
      </c>
      <c r="B130" s="79" t="s">
        <v>88</v>
      </c>
      <c r="C130" s="79" t="s">
        <v>89</v>
      </c>
      <c r="D130" s="79" t="s">
        <v>90</v>
      </c>
      <c r="E130" s="79" t="s">
        <v>91</v>
      </c>
      <c r="F130" s="79" t="s">
        <v>90</v>
      </c>
      <c r="G130" s="79" t="s">
        <v>92</v>
      </c>
      <c r="H130" s="79" t="s">
        <v>7</v>
      </c>
      <c r="I130" s="79" t="s">
        <v>426</v>
      </c>
      <c r="J130" s="79" t="s">
        <v>101</v>
      </c>
      <c r="K130" s="79" t="s">
        <v>102</v>
      </c>
      <c r="L130" s="79">
        <v>3443.6666666666601</v>
      </c>
      <c r="M130" s="79">
        <v>1.66949913665645</v>
      </c>
      <c r="N130" s="79">
        <v>0.25022957227107101</v>
      </c>
      <c r="O130" s="79">
        <v>1269.26999999999</v>
      </c>
      <c r="P130" s="79">
        <v>446.40188399649003</v>
      </c>
      <c r="Q130" s="79">
        <v>993.06528260685695</v>
      </c>
      <c r="R130" s="79">
        <v>3363.3816217672702</v>
      </c>
      <c r="S130" s="79">
        <v>6252.5618237134204</v>
      </c>
      <c r="T130" s="79">
        <v>30</v>
      </c>
      <c r="U130" s="79">
        <v>0.1</v>
      </c>
      <c r="V130" s="79">
        <f>tbl_Data_old[[#This Row],[2025 ]]*IFERROR(AVERAGEIFS('Participation Adjustment'!$C:$C,'Participation Adjustment'!$A:$A,$H130,'Participation Adjustment'!$B:$B,$I130),1)</f>
        <v>1.7923219885722E-2</v>
      </c>
      <c r="W130" s="79">
        <f>tbl_Data_old[[#This Row],[2026 ]]*IFERROR(AVERAGEIFS('Participation Adjustment'!$C:$C,'Participation Adjustment'!$A:$A,$H130,'Participation Adjustment'!$B:$B,$I130),1)</f>
        <v>1.7347512466542502E-2</v>
      </c>
      <c r="X130" s="79">
        <f>tbl_Data_old[[#This Row],[2027 ]]*IFERROR(AVERAGEIFS('Participation Adjustment'!$C:$C,'Participation Adjustment'!$A:$A,$H130,'Participation Adjustment'!$B:$B,$I130),1)</f>
        <v>1.6806522856227201E-2</v>
      </c>
      <c r="Y130" s="79">
        <f>tbl_Data_old[[#This Row],[2028 ]]*IFERROR(AVERAGEIFS('Participation Adjustment'!$C:$C,'Participation Adjustment'!$A:$A,$H130,'Participation Adjustment'!$B:$B,$I130),1)</f>
        <v>1.6317214960688199E-2</v>
      </c>
      <c r="Z130" s="79">
        <f>tbl_Data_old[[#This Row],[2029 ]]*IFERROR(AVERAGEIFS('Participation Adjustment'!$C:$C,'Participation Adjustment'!$A:$A,$H130,'Participation Adjustment'!$B:$B,$I130),1)</f>
        <v>1.58663990651364E-2</v>
      </c>
      <c r="AA130" s="79">
        <f>tbl_Data_old[[#This Row],[2030 ]]*IFERROR(AVERAGEIFS('Participation Adjustment'!$C:$C,'Participation Adjustment'!$A:$A,$H130,'Participation Adjustment'!$B:$B,$I130),1)</f>
        <v>1.54023008035851E-2</v>
      </c>
      <c r="AB130" s="79">
        <f>tbl_Data_old[[#This Row],[2031 ]]*IFERROR(AVERAGEIFS('Participation Adjustment'!$C:$C,'Participation Adjustment'!$A:$A,$H130,'Participation Adjustment'!$B:$B,$I130),1)</f>
        <v>1.50331949580225E-2</v>
      </c>
      <c r="AC130" s="79">
        <f>tbl_Data_old[[#This Row],[2032 ]]*IFERROR(AVERAGEIFS('Participation Adjustment'!$C:$C,'Participation Adjustment'!$A:$A,$H130,'Participation Adjustment'!$B:$B,$I130),1)</f>
        <v>1.47669509217488E-2</v>
      </c>
      <c r="AD130" s="79">
        <f>tbl_Data_old[[#This Row],[2033 ]]*IFERROR(AVERAGEIFS('Participation Adjustment'!$C:$C,'Participation Adjustment'!$A:$A,$H130,'Participation Adjustment'!$B:$B,$I130),1)</f>
        <v>1.4587534100943E-2</v>
      </c>
      <c r="AE130" s="79">
        <f>tbl_Data_old[[#This Row],[2034 ]]*IFERROR(AVERAGEIFS('Participation Adjustment'!$C:$C,'Participation Adjustment'!$A:$A,$H130,'Participation Adjustment'!$B:$B,$I130),1)</f>
        <v>1.4478344935963099E-2</v>
      </c>
      <c r="AF130" s="77" t="str">
        <f t="shared" si="55"/>
        <v>Residential</v>
      </c>
      <c r="AG130" s="77" t="str">
        <f>tbl_Data[[#This Row],[All_Meas_Name_Append]]</f>
        <v>Ceiling Insulation(R2 to R38) Residential_Efficiency Delivered</v>
      </c>
      <c r="AH130" s="77">
        <f>AVERAGEIFS('3. Incentive Adjustment'!G:G,'3. Incentive Adjustment'!A:A,tbl_Data[[#This Row],[Trimmed Sector]],'3. Incentive Adjustment'!B:B,tbl_Data[[#This Row],[Trimmed Measure Name]])</f>
        <v>1</v>
      </c>
      <c r="AI130" s="77">
        <f>$AH130*tbl_Data[[#This Row],[2025 ]]</f>
        <v>1.7923219885722E-2</v>
      </c>
      <c r="AJ130" s="77">
        <f>$AH130*tbl_Data[[#This Row],[2026 ]]</f>
        <v>1.7347512466542502E-2</v>
      </c>
      <c r="AK130" s="77">
        <f>$AH130*tbl_Data[[#This Row],[2027 ]]</f>
        <v>1.6806522856227201E-2</v>
      </c>
      <c r="AL130" s="77">
        <f>$AH130*tbl_Data[[#This Row],[2028 ]]</f>
        <v>1.6317214960688199E-2</v>
      </c>
      <c r="AM130" s="77">
        <f>$AH130*tbl_Data[[#This Row],[2029 ]]</f>
        <v>1.58663990651364E-2</v>
      </c>
      <c r="AN130" s="77">
        <f>$AH130*tbl_Data[[#This Row],[2030 ]]</f>
        <v>1.54023008035851E-2</v>
      </c>
      <c r="AO130" s="77">
        <f>$AH130*tbl_Data[[#This Row],[2031 ]]</f>
        <v>1.50331949580225E-2</v>
      </c>
      <c r="AP130" s="77">
        <f>$AH130*tbl_Data[[#This Row],[2032 ]]</f>
        <v>1.47669509217488E-2</v>
      </c>
      <c r="AQ130" s="77">
        <f>$AH130*tbl_Data[[#This Row],[2033 ]]</f>
        <v>1.4587534100943E-2</v>
      </c>
      <c r="AR130" s="77">
        <f>$AH130*tbl_Data[[#This Row],[2034 ]]</f>
        <v>1.4478344935963099E-2</v>
      </c>
      <c r="AS130" s="77">
        <f>SUM(tbl_Data[[#This Row],[Adjusted 2025]:[Adjusted 2034]])</f>
        <v>0.15852919495457876</v>
      </c>
      <c r="AT130" s="80">
        <f>AVERAGEIFS('3. Incentive Adjustment'!F:F,'3. Incentive Adjustment'!A:A,tbl_Data[[#This Row],[Trimmed Sector]],'3. Incentive Adjustment'!B:B,tbl_Data[[#This Row],[Trimmed Measure Name]])</f>
        <v>446.40188399649008</v>
      </c>
      <c r="AU130" s="80">
        <f>IFERROR(VLOOKUP(tbl_Data[[#This Row],[All_Meas_Name_Append]],'IRA Tax Credits'!$A$3:$D$46,4,0),0)</f>
        <v>0</v>
      </c>
      <c r="AV130" s="81">
        <f>tbl_Data[[#This Row],[Adj. per unit Incentive ($)]]/tbl_Data[[#This Row],[kWh Savings]]*tbl_Data[[#This Row],[Sum of Annuals]]</f>
        <v>2.0550110723890513E-2</v>
      </c>
      <c r="AW130" s="81">
        <f>IFERROR(VLOOKUP(tbl_Data[[#This Row],[Column1]],'1. Set Program Names'!$B$2:$D$15,3,0)*tbl_Data[[#This Row],[Sum of Annuals]],"")</f>
        <v>6.8573640407562586E-2</v>
      </c>
      <c r="AX130" s="81">
        <f>tbl_Data[[#This Row],[per unit IRA tax ($)]]/tbl_Data[[#This Row],[kWh Savings]]*tbl_Data[[#This Row],[Sum of Annuals]]</f>
        <v>0</v>
      </c>
      <c r="AY130" s="81">
        <f>tbl_Data[[#This Row],[Avoided Costs ($/unit)]]/tbl_Data[[#This Row],[kWh Savings]]*tbl_Data[[#This Row],[Sum of Annuals]]</f>
        <v>0.15483327291369428</v>
      </c>
      <c r="AZ130" s="81">
        <f>tbl_Data[[#This Row],[Lost Revenue ($/unit)]]/tbl_Data[[#This Row],[kWh Savings]]*tbl_Data[[#This Row],[Sum of Annuals]]</f>
        <v>0.28783668347217789</v>
      </c>
      <c r="BA130" s="81">
        <f>tbl_Data[[#This Row],[Incremental Cost ($/unit)]]/tbl_Data[[#This Row],[kWh Savings]]*tbl_Data[[#This Row],[Sum of Annuals]]</f>
        <v>5.8430844433258244E-2</v>
      </c>
      <c r="BB130" s="77">
        <f>ROUNDUP(tbl_Data[[#This Row],[Adjusted 2025]]/$L130,0)</f>
        <v>1</v>
      </c>
      <c r="BC130" s="77">
        <f>ROUNDUP(tbl_Data[[#This Row],[Adjusted 2026]]/$L130,0)</f>
        <v>1</v>
      </c>
      <c r="BD130" s="77">
        <f>ROUNDUP(tbl_Data[[#This Row],[Adjusted 2027]]/$L130,0)</f>
        <v>1</v>
      </c>
      <c r="BE130" s="77">
        <f>ROUNDUP(tbl_Data[[#This Row],[Adjusted 2028]]/$L130,0)</f>
        <v>1</v>
      </c>
      <c r="BF130" s="77">
        <f>ROUNDUP(tbl_Data[[#This Row],[Adjusted 2029]]/$L130,0)</f>
        <v>1</v>
      </c>
      <c r="BG130" s="77">
        <f>ROUNDUP(tbl_Data[[#This Row],[Adjusted 2030]]/$L130,0)</f>
        <v>1</v>
      </c>
      <c r="BH130" s="77">
        <f>ROUNDUP(tbl_Data[[#This Row],[Adjusted 2031]]/$L130,0)</f>
        <v>1</v>
      </c>
      <c r="BI130" s="77">
        <f>ROUNDUP(tbl_Data[[#This Row],[Adjusted 2032]]/$L130,0)</f>
        <v>1</v>
      </c>
      <c r="BJ130" s="77">
        <f>ROUNDUP(tbl_Data[[#This Row],[Adjusted 2033]]/$L130,0)</f>
        <v>1</v>
      </c>
      <c r="BK130" s="77">
        <f>ROUNDUP(tbl_Data[[#This Row],[Adjusted 2034]]/$L130,0)</f>
        <v>1</v>
      </c>
      <c r="BL130" s="80">
        <f t="shared" si="56"/>
        <v>2.3233837356314989E-3</v>
      </c>
      <c r="BM130" s="80">
        <f t="shared" si="57"/>
        <v>2.2487548875376592E-3</v>
      </c>
      <c r="BN130" s="80">
        <f t="shared" si="58"/>
        <v>2.1786265026957435E-3</v>
      </c>
      <c r="BO130" s="80">
        <f t="shared" si="59"/>
        <v>2.1151976091453701E-3</v>
      </c>
      <c r="BP130" s="80">
        <f t="shared" si="60"/>
        <v>2.0567584265561083E-3</v>
      </c>
      <c r="BQ130" s="80">
        <f t="shared" si="61"/>
        <v>1.9965974532768528E-3</v>
      </c>
      <c r="BR130" s="80">
        <f t="shared" si="62"/>
        <v>1.9487503296141107E-3</v>
      </c>
      <c r="BS130" s="80">
        <f t="shared" si="63"/>
        <v>1.9142371635908575E-3</v>
      </c>
      <c r="BT130" s="80">
        <f t="shared" si="64"/>
        <v>1.8909793937249093E-3</v>
      </c>
      <c r="BU130" s="80">
        <f t="shared" si="65"/>
        <v>1.8768252221174082E-3</v>
      </c>
      <c r="BV130" s="80">
        <f>IFERROR(VLOOKUP($H130,'1. Set Program Names'!$B$2:$D$15,3,0)*V130,"NA")</f>
        <v>7.7528964664289228E-3</v>
      </c>
      <c r="BW130" s="80">
        <f>IFERROR(VLOOKUP($H130,'1. Set Program Names'!$B$2:$D$15,3,0)*W130,"NA")</f>
        <v>7.5038675506251679E-3</v>
      </c>
      <c r="BX130" s="80">
        <f>IFERROR(VLOOKUP($H130,'1. Set Program Names'!$B$2:$D$15,3,0)*X130,"NA")</f>
        <v>7.2698562253760996E-3</v>
      </c>
      <c r="BY130" s="80">
        <f>IFERROR(VLOOKUP($H130,'1. Set Program Names'!$B$2:$D$15,3,0)*Y130,"NA")</f>
        <v>7.0582004247717609E-3</v>
      </c>
      <c r="BZ130" s="80">
        <f>IFERROR(VLOOKUP($H130,'1. Set Program Names'!$B$2:$D$15,3,0)*Z130,"NA")</f>
        <v>6.8631947848299202E-3</v>
      </c>
      <c r="CA130" s="80">
        <f>IFERROR(VLOOKUP($H130,'1. Set Program Names'!$B$2:$D$15,3,0)*AA130,"NA")</f>
        <v>6.6624437035510929E-3</v>
      </c>
      <c r="CB130" s="80">
        <f>IFERROR(VLOOKUP($H130,'1. Set Program Names'!$B$2:$D$15,3,0)*AB130,"NA")</f>
        <v>6.5027826926364087E-3</v>
      </c>
      <c r="CC130" s="80">
        <f>IFERROR(VLOOKUP($H130,'1. Set Program Names'!$B$2:$D$15,3,0)*AC130,"NA")</f>
        <v>6.3876157493530485E-3</v>
      </c>
      <c r="CD130" s="80">
        <f>IFERROR(VLOOKUP($H130,'1. Set Program Names'!$B$2:$D$15,3,0)*AD130,"NA")</f>
        <v>6.3100069243253922E-3</v>
      </c>
      <c r="CE130" s="80">
        <f>IFERROR(VLOOKUP($H130,'1. Set Program Names'!$B$2:$D$15,3,0)*AE130,"NA")</f>
        <v>6.2627758856647914E-3</v>
      </c>
    </row>
    <row r="131" spans="1:83" x14ac:dyDescent="0.25">
      <c r="A131" s="79" t="s">
        <v>116</v>
      </c>
      <c r="B131" s="79" t="s">
        <v>88</v>
      </c>
      <c r="C131" s="79" t="s">
        <v>89</v>
      </c>
      <c r="D131" s="79" t="s">
        <v>90</v>
      </c>
      <c r="E131" s="79" t="s">
        <v>91</v>
      </c>
      <c r="F131" s="79" t="s">
        <v>90</v>
      </c>
      <c r="G131" s="79" t="s">
        <v>92</v>
      </c>
      <c r="H131" s="79" t="s">
        <v>7</v>
      </c>
      <c r="I131" s="79" t="s">
        <v>427</v>
      </c>
      <c r="J131" s="79" t="s">
        <v>101</v>
      </c>
      <c r="K131" s="79" t="s">
        <v>102</v>
      </c>
      <c r="L131" s="79">
        <v>3523.57666666666</v>
      </c>
      <c r="M131" s="79">
        <v>1.7070465614975301</v>
      </c>
      <c r="N131" s="79">
        <v>0.25623328618049002</v>
      </c>
      <c r="O131" s="79">
        <v>1306.5999999999899</v>
      </c>
      <c r="P131" s="79">
        <v>465.31519597206898</v>
      </c>
      <c r="Q131" s="79">
        <v>1016.10928030304</v>
      </c>
      <c r="R131" s="79">
        <v>3440.61303289528</v>
      </c>
      <c r="S131" s="79">
        <v>6397.6520033667803</v>
      </c>
      <c r="T131" s="79">
        <v>30</v>
      </c>
      <c r="U131" s="79">
        <v>0.1</v>
      </c>
      <c r="V131" s="79">
        <f>tbl_Data_old[[#This Row],[2025 ]]*IFERROR(AVERAGEIFS('Participation Adjustment'!$C:$C,'Participation Adjustment'!$A:$A,$H131,'Participation Adjustment'!$B:$B,$I131),1)</f>
        <v>1.8337107043088701E-2</v>
      </c>
      <c r="W131" s="79">
        <f>tbl_Data_old[[#This Row],[2026 ]]*IFERROR(AVERAGEIFS('Participation Adjustment'!$C:$C,'Participation Adjustment'!$A:$A,$H131,'Participation Adjustment'!$B:$B,$I131),1)</f>
        <v>1.7749706329313698E-2</v>
      </c>
      <c r="X131" s="79">
        <f>tbl_Data_old[[#This Row],[2027 ]]*IFERROR(AVERAGEIFS('Participation Adjustment'!$C:$C,'Participation Adjustment'!$A:$A,$H131,'Participation Adjustment'!$B:$B,$I131),1)</f>
        <v>1.71976678457278E-2</v>
      </c>
      <c r="Y131" s="79">
        <f>tbl_Data_old[[#This Row],[2028 ]]*IFERROR(AVERAGEIFS('Participation Adjustment'!$C:$C,'Participation Adjustment'!$A:$A,$H131,'Participation Adjustment'!$B:$B,$I131),1)</f>
        <v>1.66983665462575E-2</v>
      </c>
      <c r="Z131" s="79">
        <f>tbl_Data_old[[#This Row],[2029 ]]*IFERROR(AVERAGEIFS('Participation Adjustment'!$C:$C,'Participation Adjustment'!$A:$A,$H131,'Participation Adjustment'!$B:$B,$I131),1)</f>
        <v>1.62383220214035E-2</v>
      </c>
      <c r="AA131" s="79">
        <f>tbl_Data_old[[#This Row],[2030 ]]*IFERROR(AVERAGEIFS('Participation Adjustment'!$C:$C,'Participation Adjustment'!$A:$A,$H131,'Participation Adjustment'!$B:$B,$I131),1)</f>
        <v>1.57645566895879E-2</v>
      </c>
      <c r="AB131" s="79">
        <f>tbl_Data_old[[#This Row],[2031 ]]*IFERROR(AVERAGEIFS('Participation Adjustment'!$C:$C,'Participation Adjustment'!$A:$A,$H131,'Participation Adjustment'!$B:$B,$I131),1)</f>
        <v>1.53879022195023E-2</v>
      </c>
      <c r="AC131" s="79">
        <f>tbl_Data_old[[#This Row],[2032 ]]*IFERROR(AVERAGEIFS('Participation Adjustment'!$C:$C,'Participation Adjustment'!$A:$A,$H131,'Participation Adjustment'!$B:$B,$I131),1)</f>
        <v>1.51164401528715E-2</v>
      </c>
      <c r="AD131" s="79">
        <f>tbl_Data_old[[#This Row],[2033 ]]*IFERROR(AVERAGEIFS('Participation Adjustment'!$C:$C,'Participation Adjustment'!$A:$A,$H131,'Participation Adjustment'!$B:$B,$I131),1)</f>
        <v>1.4933781032466901E-2</v>
      </c>
      <c r="AE131" s="79">
        <f>tbl_Data_old[[#This Row],[2034 ]]*IFERROR(AVERAGEIFS('Participation Adjustment'!$C:$C,'Participation Adjustment'!$A:$A,$H131,'Participation Adjustment'!$B:$B,$I131),1)</f>
        <v>1.48229508558763E-2</v>
      </c>
      <c r="AF131" s="77" t="str">
        <f t="shared" si="55"/>
        <v>Residential</v>
      </c>
      <c r="AG131" s="77" t="str">
        <f>tbl_Data[[#This Row],[All_Meas_Name_Append]]</f>
        <v>Ceiling Insulation(R2 to R49) Residential_Efficiency Delivered</v>
      </c>
      <c r="AH131" s="77">
        <f>AVERAGEIFS('3. Incentive Adjustment'!G:G,'3. Incentive Adjustment'!A:A,tbl_Data[[#This Row],[Trimmed Sector]],'3. Incentive Adjustment'!B:B,tbl_Data[[#This Row],[Trimmed Measure Name]])</f>
        <v>1</v>
      </c>
      <c r="AI131" s="77">
        <f>$AH131*tbl_Data[[#This Row],[2025 ]]</f>
        <v>1.8337107043088701E-2</v>
      </c>
      <c r="AJ131" s="77">
        <f>$AH131*tbl_Data[[#This Row],[2026 ]]</f>
        <v>1.7749706329313698E-2</v>
      </c>
      <c r="AK131" s="77">
        <f>$AH131*tbl_Data[[#This Row],[2027 ]]</f>
        <v>1.71976678457278E-2</v>
      </c>
      <c r="AL131" s="77">
        <f>$AH131*tbl_Data[[#This Row],[2028 ]]</f>
        <v>1.66983665462575E-2</v>
      </c>
      <c r="AM131" s="77">
        <f>$AH131*tbl_Data[[#This Row],[2029 ]]</f>
        <v>1.62383220214035E-2</v>
      </c>
      <c r="AN131" s="77">
        <f>$AH131*tbl_Data[[#This Row],[2030 ]]</f>
        <v>1.57645566895879E-2</v>
      </c>
      <c r="AO131" s="77">
        <f>$AH131*tbl_Data[[#This Row],[2031 ]]</f>
        <v>1.53879022195023E-2</v>
      </c>
      <c r="AP131" s="77">
        <f>$AH131*tbl_Data[[#This Row],[2032 ]]</f>
        <v>1.51164401528715E-2</v>
      </c>
      <c r="AQ131" s="77">
        <f>$AH131*tbl_Data[[#This Row],[2033 ]]</f>
        <v>1.4933781032466901E-2</v>
      </c>
      <c r="AR131" s="77">
        <f>$AH131*tbl_Data[[#This Row],[2034 ]]</f>
        <v>1.48229508558763E-2</v>
      </c>
      <c r="AS131" s="77">
        <f>SUM(tbl_Data[[#This Row],[Adjusted 2025]:[Adjusted 2034]])</f>
        <v>0.16224680073609607</v>
      </c>
      <c r="AT131" s="80">
        <f>AVERAGEIFS('3. Incentive Adjustment'!F:F,'3. Incentive Adjustment'!A:A,tbl_Data[[#This Row],[Trimmed Sector]],'3. Incentive Adjustment'!B:B,tbl_Data[[#This Row],[Trimmed Measure Name]])</f>
        <v>465.31519597206898</v>
      </c>
      <c r="AU131" s="80">
        <f>IFERROR(VLOOKUP(tbl_Data[[#This Row],[All_Meas_Name_Append]],'IRA Tax Credits'!$A$3:$D$46,4,0),0)</f>
        <v>0</v>
      </c>
      <c r="AV131" s="81">
        <f>tbl_Data[[#This Row],[Adj. per unit Incentive ($)]]/tbl_Data[[#This Row],[kWh Savings]]*tbl_Data[[#This Row],[Sum of Annuals]]</f>
        <v>2.142592854429862E-2</v>
      </c>
      <c r="AW131" s="81">
        <f>IFERROR(VLOOKUP(tbl_Data[[#This Row],[Column1]],'1. Set Program Names'!$B$2:$D$15,3,0)*tbl_Data[[#This Row],[Sum of Annuals]],"")</f>
        <v>7.0181733870169807E-2</v>
      </c>
      <c r="AX131" s="81">
        <f>tbl_Data[[#This Row],[per unit IRA tax ($)]]/tbl_Data[[#This Row],[kWh Savings]]*tbl_Data[[#This Row],[Sum of Annuals]]</f>
        <v>0</v>
      </c>
      <c r="AY131" s="81">
        <f>tbl_Data[[#This Row],[Avoided Costs ($/unit)]]/tbl_Data[[#This Row],[kWh Savings]]*tbl_Data[[#This Row],[Sum of Annuals]]</f>
        <v>0.15842665279261983</v>
      </c>
      <c r="AZ131" s="81">
        <f>tbl_Data[[#This Row],[Lost Revenue ($/unit)]]/tbl_Data[[#This Row],[kWh Savings]]*tbl_Data[[#This Row],[Sum of Annuals]]</f>
        <v>0.29458662829411153</v>
      </c>
      <c r="BA131" s="81">
        <f>tbl_Data[[#This Row],[Incremental Cost ($/unit)]]/tbl_Data[[#This Row],[kWh Savings]]*tbl_Data[[#This Row],[Sum of Annuals]]</f>
        <v>6.0163773885563779E-2</v>
      </c>
      <c r="BB131" s="77">
        <f>ROUNDUP(tbl_Data[[#This Row],[Adjusted 2025]]/$L131,0)</f>
        <v>1</v>
      </c>
      <c r="BC131" s="77">
        <f>ROUNDUP(tbl_Data[[#This Row],[Adjusted 2026]]/$L131,0)</f>
        <v>1</v>
      </c>
      <c r="BD131" s="77">
        <f>ROUNDUP(tbl_Data[[#This Row],[Adjusted 2027]]/$L131,0)</f>
        <v>1</v>
      </c>
      <c r="BE131" s="77">
        <f>ROUNDUP(tbl_Data[[#This Row],[Adjusted 2028]]/$L131,0)</f>
        <v>1</v>
      </c>
      <c r="BF131" s="77">
        <f>ROUNDUP(tbl_Data[[#This Row],[Adjusted 2029]]/$L131,0)</f>
        <v>1</v>
      </c>
      <c r="BG131" s="77">
        <f>ROUNDUP(tbl_Data[[#This Row],[Adjusted 2030]]/$L131,0)</f>
        <v>1</v>
      </c>
      <c r="BH131" s="77">
        <f>ROUNDUP(tbl_Data[[#This Row],[Adjusted 2031]]/$L131,0)</f>
        <v>1</v>
      </c>
      <c r="BI131" s="77">
        <f>ROUNDUP(tbl_Data[[#This Row],[Adjusted 2032]]/$L131,0)</f>
        <v>1</v>
      </c>
      <c r="BJ131" s="77">
        <f>ROUNDUP(tbl_Data[[#This Row],[Adjusted 2033]]/$L131,0)</f>
        <v>1</v>
      </c>
      <c r="BK131" s="77">
        <f>ROUNDUP(tbl_Data[[#This Row],[Adjusted 2034]]/$L131,0)</f>
        <v>1</v>
      </c>
      <c r="BL131" s="80">
        <f t="shared" si="56"/>
        <v>2.4215549609106395E-3</v>
      </c>
      <c r="BM131" s="80">
        <f t="shared" si="57"/>
        <v>2.3439842127472633E-3</v>
      </c>
      <c r="BN131" s="80">
        <f t="shared" si="58"/>
        <v>2.2710833170171019E-3</v>
      </c>
      <c r="BO131" s="80">
        <f t="shared" si="59"/>
        <v>2.2051467690174468E-3</v>
      </c>
      <c r="BP131" s="80">
        <f t="shared" si="60"/>
        <v>2.1443943777715298E-3</v>
      </c>
      <c r="BQ131" s="80">
        <f t="shared" si="61"/>
        <v>2.0818300492288799E-3</v>
      </c>
      <c r="BR131" s="80">
        <f t="shared" si="62"/>
        <v>2.0320899512711313E-3</v>
      </c>
      <c r="BS131" s="80">
        <f t="shared" si="63"/>
        <v>1.9962413131733008E-3</v>
      </c>
      <c r="BT131" s="80">
        <f t="shared" si="64"/>
        <v>1.9721197819998191E-3</v>
      </c>
      <c r="BU131" s="80">
        <f t="shared" si="65"/>
        <v>1.9574838111615115E-3</v>
      </c>
      <c r="BV131" s="80">
        <f>IFERROR(VLOOKUP($H131,'1. Set Program Names'!$B$2:$D$15,3,0)*V131,"NA")</f>
        <v>7.9319281527167659E-3</v>
      </c>
      <c r="BW131" s="80">
        <f>IFERROR(VLOOKUP($H131,'1. Set Program Names'!$B$2:$D$15,3,0)*W131,"NA")</f>
        <v>7.6778411668269198E-3</v>
      </c>
      <c r="BX131" s="80">
        <f>IFERROR(VLOOKUP($H131,'1. Set Program Names'!$B$2:$D$15,3,0)*X131,"NA")</f>
        <v>7.4390505234037847E-3</v>
      </c>
      <c r="BY131" s="80">
        <f>IFERROR(VLOOKUP($H131,'1. Set Program Names'!$B$2:$D$15,3,0)*Y131,"NA")</f>
        <v>7.2230719601194945E-3</v>
      </c>
      <c r="BZ131" s="80">
        <f>IFERROR(VLOOKUP($H131,'1. Set Program Names'!$B$2:$D$15,3,0)*Z131,"NA")</f>
        <v>7.0240743696261794E-3</v>
      </c>
      <c r="CA131" s="80">
        <f>IFERROR(VLOOKUP($H131,'1. Set Program Names'!$B$2:$D$15,3,0)*AA131,"NA")</f>
        <v>6.8191416850768077E-3</v>
      </c>
      <c r="CB131" s="80">
        <f>IFERROR(VLOOKUP($H131,'1. Set Program Names'!$B$2:$D$15,3,0)*AB131,"NA")</f>
        <v>6.6562154291467798E-3</v>
      </c>
      <c r="CC131" s="80">
        <f>IFERROR(VLOOKUP($H131,'1. Set Program Names'!$B$2:$D$15,3,0)*AC131,"NA")</f>
        <v>6.5387913663628372E-3</v>
      </c>
      <c r="CD131" s="80">
        <f>IFERROR(VLOOKUP($H131,'1. Set Program Names'!$B$2:$D$15,3,0)*AD131,"NA")</f>
        <v>6.459780047070038E-3</v>
      </c>
      <c r="CE131" s="80">
        <f>IFERROR(VLOOKUP($H131,'1. Set Program Names'!$B$2:$D$15,3,0)*AE131,"NA")</f>
        <v>6.411839169820216E-3</v>
      </c>
    </row>
    <row r="132" spans="1:83" x14ac:dyDescent="0.25">
      <c r="A132" s="79" t="s">
        <v>116</v>
      </c>
      <c r="B132" s="79" t="s">
        <v>88</v>
      </c>
      <c r="C132" s="79" t="s">
        <v>89</v>
      </c>
      <c r="D132" s="79" t="s">
        <v>90</v>
      </c>
      <c r="E132" s="79" t="s">
        <v>91</v>
      </c>
      <c r="F132" s="79" t="s">
        <v>90</v>
      </c>
      <c r="G132" s="79" t="s">
        <v>92</v>
      </c>
      <c r="H132" s="79" t="s">
        <v>7</v>
      </c>
      <c r="I132" s="79" t="s">
        <v>428</v>
      </c>
      <c r="J132" s="79" t="s">
        <v>97</v>
      </c>
      <c r="K132" s="79" t="s">
        <v>102</v>
      </c>
      <c r="L132" s="79">
        <v>936.45</v>
      </c>
      <c r="M132" s="79">
        <v>0.42562333070119601</v>
      </c>
      <c r="N132" s="79">
        <v>3.9115067461125599E-2</v>
      </c>
      <c r="O132" s="79">
        <v>685.00999995999996</v>
      </c>
      <c r="P132" s="79">
        <v>458.12689399999903</v>
      </c>
      <c r="Q132" s="79">
        <v>270.04819975719403</v>
      </c>
      <c r="R132" s="79">
        <v>763.90764278946904</v>
      </c>
      <c r="S132" s="79">
        <v>1415.5155729468199</v>
      </c>
      <c r="T132" s="79">
        <v>20</v>
      </c>
      <c r="U132" s="79">
        <v>0.1</v>
      </c>
      <c r="V132" s="79">
        <f>tbl_Data_old[[#This Row],[2025 ]]*IFERROR(AVERAGEIFS('Participation Adjustment'!$C:$C,'Participation Adjustment'!$A:$A,$H132,'Participation Adjustment'!$B:$B,$I132),1)</f>
        <v>0.58951347339992999</v>
      </c>
      <c r="W132" s="79">
        <f>tbl_Data_old[[#This Row],[2026 ]]*IFERROR(AVERAGEIFS('Participation Adjustment'!$C:$C,'Participation Adjustment'!$A:$A,$H132,'Participation Adjustment'!$B:$B,$I132),1)</f>
        <v>0.57062179966781201</v>
      </c>
      <c r="X132" s="79">
        <f>tbl_Data_old[[#This Row],[2027 ]]*IFERROR(AVERAGEIFS('Participation Adjustment'!$C:$C,'Participation Adjustment'!$A:$A,$H132,'Participation Adjustment'!$B:$B,$I132),1)</f>
        <v>0.55285992979931797</v>
      </c>
      <c r="Y132" s="79">
        <f>tbl_Data_old[[#This Row],[2028 ]]*IFERROR(AVERAGEIFS('Participation Adjustment'!$C:$C,'Participation Adjustment'!$A:$A,$H132,'Participation Adjustment'!$B:$B,$I132),1)</f>
        <v>0.53678731350577402</v>
      </c>
      <c r="Z132" s="79">
        <f>tbl_Data_old[[#This Row],[2029 ]]*IFERROR(AVERAGEIFS('Participation Adjustment'!$C:$C,'Participation Adjustment'!$A:$A,$H132,'Participation Adjustment'!$B:$B,$I132),1)</f>
        <v>0.52197131635577199</v>
      </c>
      <c r="AA132" s="79">
        <f>tbl_Data_old[[#This Row],[2030 ]]*IFERROR(AVERAGEIFS('Participation Adjustment'!$C:$C,'Participation Adjustment'!$A:$A,$H132,'Participation Adjustment'!$B:$B,$I132),1)</f>
        <v>0.50670964553098097</v>
      </c>
      <c r="AB132" s="79">
        <f>tbl_Data_old[[#This Row],[2031 ]]*IFERROR(AVERAGEIFS('Participation Adjustment'!$C:$C,'Participation Adjustment'!$A:$A,$H132,'Participation Adjustment'!$B:$B,$I132),1)</f>
        <v>0.49456520070870702</v>
      </c>
      <c r="AC132" s="79">
        <f>tbl_Data_old[[#This Row],[2032 ]]*IFERROR(AVERAGEIFS('Participation Adjustment'!$C:$C,'Participation Adjustment'!$A:$A,$H132,'Participation Adjustment'!$B:$B,$I132),1)</f>
        <v>0.48579751321134701</v>
      </c>
      <c r="AD132" s="79">
        <f>tbl_Data_old[[#This Row],[2033 ]]*IFERROR(AVERAGEIFS('Participation Adjustment'!$C:$C,'Participation Adjustment'!$A:$A,$H132,'Participation Adjustment'!$B:$B,$I132),1)</f>
        <v>0.47987945602801402</v>
      </c>
      <c r="AE132" s="79">
        <f>tbl_Data_old[[#This Row],[2034 ]]*IFERROR(AVERAGEIFS('Participation Adjustment'!$C:$C,'Participation Adjustment'!$A:$A,$H132,'Participation Adjustment'!$B:$B,$I132),1)</f>
        <v>0.47626509130979999</v>
      </c>
      <c r="AF132" s="77" t="str">
        <f t="shared" si="55"/>
        <v>Residential</v>
      </c>
      <c r="AG132" s="77" t="str">
        <f>tbl_Data[[#This Row],[All_Meas_Name_Append]]</f>
        <v>Duct Repair_Efficiency Delivered</v>
      </c>
      <c r="AH132" s="77">
        <f>AVERAGEIFS('3. Incentive Adjustment'!G:G,'3. Incentive Adjustment'!A:A,tbl_Data[[#This Row],[Trimmed Sector]],'3. Incentive Adjustment'!B:B,tbl_Data[[#This Row],[Trimmed Measure Name]])</f>
        <v>0.72196841234229292</v>
      </c>
      <c r="AI132" s="77">
        <f>$AH132*tbl_Data[[#This Row],[2025 ]]</f>
        <v>0.42561010644493796</v>
      </c>
      <c r="AJ132" s="77">
        <f>$AH132*tbl_Data[[#This Row],[2026 ]]</f>
        <v>0.41197091475407216</v>
      </c>
      <c r="AK132" s="77">
        <f>$AH132*tbl_Data[[#This Row],[2027 ]]</f>
        <v>0.39914740576488511</v>
      </c>
      <c r="AL132" s="77">
        <f>$AH132*tbl_Data[[#This Row],[2028 ]]</f>
        <v>0.38754348449724835</v>
      </c>
      <c r="AM132" s="77">
        <f>$AH132*tbl_Data[[#This Row],[2029 ]]</f>
        <v>0.3768468025575934</v>
      </c>
      <c r="AN132" s="77">
        <f>$AH132*tbl_Data[[#This Row],[2030 ]]</f>
        <v>0.36582835830252836</v>
      </c>
      <c r="AO132" s="77">
        <f>$AH132*tbl_Data[[#This Row],[2031 ]]</f>
        <v>0.35706045275541265</v>
      </c>
      <c r="AP132" s="77">
        <f>$AH132*tbl_Data[[#This Row],[2032 ]]</f>
        <v>0.35073045933303026</v>
      </c>
      <c r="AQ132" s="77">
        <f>$AH132*tbl_Data[[#This Row],[2033 ]]</f>
        <v>0.34645780898422845</v>
      </c>
      <c r="AR132" s="77">
        <f>$AH132*tbl_Data[[#This Row],[2034 ]]</f>
        <v>0.34384835182699347</v>
      </c>
      <c r="AS132" s="77">
        <f>SUM(tbl_Data[[#This Row],[Adjusted 2025]:[Adjusted 2034]])</f>
        <v>3.76504414522093</v>
      </c>
      <c r="AT132" s="80">
        <f>AVERAGEIFS('3. Incentive Adjustment'!F:F,'3. Incentive Adjustment'!A:A,tbl_Data[[#This Row],[Trimmed Sector]],'3. Incentive Adjustment'!B:B,tbl_Data[[#This Row],[Trimmed Measure Name]])</f>
        <v>342.50499997999992</v>
      </c>
      <c r="AU132" s="80">
        <f>IFERROR(VLOOKUP(tbl_Data[[#This Row],[All_Meas_Name_Append]],'IRA Tax Credits'!$A$3:$D$46,4,0),0)</f>
        <v>0</v>
      </c>
      <c r="AV132" s="81">
        <f>tbl_Data[[#This Row],[Adj. per unit Incentive ($)]]/tbl_Data[[#This Row],[kWh Savings]]*tbl_Data[[#This Row],[Sum of Annuals]]</f>
        <v>1.3770585134108531</v>
      </c>
      <c r="AW132" s="81">
        <f>IFERROR(VLOOKUP(tbl_Data[[#This Row],[Column1]],'1. Set Program Names'!$B$2:$D$15,3,0)*tbl_Data[[#This Row],[Sum of Annuals]],"")</f>
        <v>1.6286134765710036</v>
      </c>
      <c r="AX132" s="81">
        <f>tbl_Data[[#This Row],[per unit IRA tax ($)]]/tbl_Data[[#This Row],[kWh Savings]]*tbl_Data[[#This Row],[Sum of Annuals]]</f>
        <v>0</v>
      </c>
      <c r="AY132" s="81">
        <f>tbl_Data[[#This Row],[Avoided Costs ($/unit)]]/tbl_Data[[#This Row],[kWh Savings]]*tbl_Data[[#This Row],[Sum of Annuals]]</f>
        <v>3.0713289529328973</v>
      </c>
      <c r="AZ132" s="81">
        <f>tbl_Data[[#This Row],[Lost Revenue ($/unit)]]/tbl_Data[[#This Row],[kWh Savings]]*tbl_Data[[#This Row],[Sum of Annuals]]</f>
        <v>5.6911512845239729</v>
      </c>
      <c r="BA132" s="81">
        <f>tbl_Data[[#This Row],[Incremental Cost ($/unit)]]/tbl_Data[[#This Row],[kWh Savings]]*tbl_Data[[#This Row],[Sum of Annuals]]</f>
        <v>2.7541170268217066</v>
      </c>
      <c r="BB132" s="77">
        <f>ROUNDUP(tbl_Data[[#This Row],[Adjusted 2025]]/$L132,0)</f>
        <v>1</v>
      </c>
      <c r="BC132" s="77">
        <f>ROUNDUP(tbl_Data[[#This Row],[Adjusted 2026]]/$L132,0)</f>
        <v>1</v>
      </c>
      <c r="BD132" s="77">
        <f>ROUNDUP(tbl_Data[[#This Row],[Adjusted 2027]]/$L132,0)</f>
        <v>1</v>
      </c>
      <c r="BE132" s="77">
        <f>ROUNDUP(tbl_Data[[#This Row],[Adjusted 2028]]/$L132,0)</f>
        <v>1</v>
      </c>
      <c r="BF132" s="77">
        <f>ROUNDUP(tbl_Data[[#This Row],[Adjusted 2029]]/$L132,0)</f>
        <v>1</v>
      </c>
      <c r="BG132" s="77">
        <f>ROUNDUP(tbl_Data[[#This Row],[Adjusted 2030]]/$L132,0)</f>
        <v>1</v>
      </c>
      <c r="BH132" s="77">
        <f>ROUNDUP(tbl_Data[[#This Row],[Adjusted 2031]]/$L132,0)</f>
        <v>1</v>
      </c>
      <c r="BI132" s="77">
        <f>ROUNDUP(tbl_Data[[#This Row],[Adjusted 2032]]/$L132,0)</f>
        <v>1</v>
      </c>
      <c r="BJ132" s="77">
        <f>ROUNDUP(tbl_Data[[#This Row],[Adjusted 2033]]/$L132,0)</f>
        <v>1</v>
      </c>
      <c r="BK132" s="77">
        <f>ROUNDUP(tbl_Data[[#This Row],[Adjusted 2034]]/$L132,0)</f>
        <v>1</v>
      </c>
      <c r="BL132" s="80">
        <f t="shared" si="56"/>
        <v>0.21561355352133343</v>
      </c>
      <c r="BM132" s="80">
        <f t="shared" si="57"/>
        <v>0.20870395587998447</v>
      </c>
      <c r="BN132" s="80">
        <f t="shared" si="58"/>
        <v>0.2022075820864522</v>
      </c>
      <c r="BO132" s="80">
        <f t="shared" si="59"/>
        <v>0.1963290499242451</v>
      </c>
      <c r="BP132" s="80">
        <f t="shared" si="60"/>
        <v>0.19091012408350069</v>
      </c>
      <c r="BQ132" s="80">
        <f t="shared" si="61"/>
        <v>0.18532819385173196</v>
      </c>
      <c r="BR132" s="80">
        <f t="shared" si="62"/>
        <v>0.18088638374589605</v>
      </c>
      <c r="BS132" s="80">
        <f t="shared" si="63"/>
        <v>0.17767961690718823</v>
      </c>
      <c r="BT132" s="80">
        <f t="shared" si="64"/>
        <v>0.17551509752499045</v>
      </c>
      <c r="BU132" s="80">
        <f t="shared" si="65"/>
        <v>0.17419314975656758</v>
      </c>
      <c r="BV132" s="80">
        <f>IFERROR(VLOOKUP($H132,'1. Set Program Names'!$B$2:$D$15,3,0)*V132,"NA")</f>
        <v>0.25500088454951447</v>
      </c>
      <c r="BW132" s="80">
        <f>IFERROR(VLOOKUP($H132,'1. Set Program Names'!$B$2:$D$15,3,0)*W132,"NA")</f>
        <v>0.24682907214881172</v>
      </c>
      <c r="BX132" s="80">
        <f>IFERROR(VLOOKUP($H132,'1. Set Program Names'!$B$2:$D$15,3,0)*X132,"NA")</f>
        <v>0.23914596950215405</v>
      </c>
      <c r="BY132" s="80">
        <f>IFERROR(VLOOKUP($H132,'1. Set Program Names'!$B$2:$D$15,3,0)*Y132,"NA")</f>
        <v>0.23219357306540939</v>
      </c>
      <c r="BZ132" s="80">
        <f>IFERROR(VLOOKUP($H132,'1. Set Program Names'!$B$2:$D$15,3,0)*Z132,"NA")</f>
        <v>0.22578474180164873</v>
      </c>
      <c r="CA132" s="80">
        <f>IFERROR(VLOOKUP($H132,'1. Set Program Names'!$B$2:$D$15,3,0)*AA132,"NA")</f>
        <v>0.21918312922512828</v>
      </c>
      <c r="CB132" s="80">
        <f>IFERROR(VLOOKUP($H132,'1. Set Program Names'!$B$2:$D$15,3,0)*AB132,"NA")</f>
        <v>0.21392990888025298</v>
      </c>
      <c r="CC132" s="80">
        <f>IFERROR(VLOOKUP($H132,'1. Set Program Names'!$B$2:$D$15,3,0)*AC132,"NA")</f>
        <v>0.21013734404812781</v>
      </c>
      <c r="CD132" s="80">
        <f>IFERROR(VLOOKUP($H132,'1. Set Program Names'!$B$2:$D$15,3,0)*AD132,"NA")</f>
        <v>0.20757741983153449</v>
      </c>
      <c r="CE132" s="80">
        <f>IFERROR(VLOOKUP($H132,'1. Set Program Names'!$B$2:$D$15,3,0)*AE132,"NA")</f>
        <v>0.20601398448727753</v>
      </c>
    </row>
    <row r="133" spans="1:83" x14ac:dyDescent="0.25">
      <c r="A133" s="79" t="s">
        <v>116</v>
      </c>
      <c r="B133" s="79" t="s">
        <v>88</v>
      </c>
      <c r="C133" s="79" t="s">
        <v>89</v>
      </c>
      <c r="D133" s="79" t="s">
        <v>90</v>
      </c>
      <c r="E133" s="79" t="s">
        <v>91</v>
      </c>
      <c r="F133" s="79" t="s">
        <v>90</v>
      </c>
      <c r="G133" s="79" t="s">
        <v>92</v>
      </c>
      <c r="H133" s="79" t="s">
        <v>7</v>
      </c>
      <c r="I133" s="79" t="s">
        <v>429</v>
      </c>
      <c r="J133" s="79" t="s">
        <v>97</v>
      </c>
      <c r="K133" s="79" t="s">
        <v>298</v>
      </c>
      <c r="L133" s="79">
        <v>57.93</v>
      </c>
      <c r="M133" s="79">
        <v>0</v>
      </c>
      <c r="N133" s="79">
        <v>1.1014721785810099E-2</v>
      </c>
      <c r="O133" s="79">
        <v>154.1011072</v>
      </c>
      <c r="P133" s="79">
        <v>140.06582681793901</v>
      </c>
      <c r="Q133" s="79">
        <v>16.705528551374101</v>
      </c>
      <c r="R133" s="79">
        <v>46.999759951794701</v>
      </c>
      <c r="S133" s="79">
        <v>87.565611768711094</v>
      </c>
      <c r="T133" s="79">
        <v>20</v>
      </c>
      <c r="U133" s="79">
        <v>0.2</v>
      </c>
      <c r="V133" s="79">
        <f>tbl_Data_old[[#This Row],[2025 ]]*IFERROR(AVERAGEIFS('Participation Adjustment'!$C:$C,'Participation Adjustment'!$A:$A,$H133,'Participation Adjustment'!$B:$B,$I133),1)</f>
        <v>5.7808296335497701E-2</v>
      </c>
      <c r="W133" s="79">
        <f>tbl_Data_old[[#This Row],[2026 ]]*IFERROR(AVERAGEIFS('Participation Adjustment'!$C:$C,'Participation Adjustment'!$A:$A,$H133,'Participation Adjustment'!$B:$B,$I133),1)</f>
        <v>5.3784246387689999E-2</v>
      </c>
      <c r="X133" s="79">
        <f>tbl_Data_old[[#This Row],[2027 ]]*IFERROR(AVERAGEIFS('Participation Adjustment'!$C:$C,'Participation Adjustment'!$A:$A,$H133,'Participation Adjustment'!$B:$B,$I133),1)</f>
        <v>4.9852244524099899E-2</v>
      </c>
      <c r="Y133" s="79">
        <f>tbl_Data_old[[#This Row],[2028 ]]*IFERROR(AVERAGEIFS('Participation Adjustment'!$C:$C,'Participation Adjustment'!$A:$A,$H133,'Participation Adjustment'!$B:$B,$I133),1)</f>
        <v>4.6105701380858302E-2</v>
      </c>
      <c r="Z133" s="79">
        <f>tbl_Data_old[[#This Row],[2029 ]]*IFERROR(AVERAGEIFS('Participation Adjustment'!$C:$C,'Participation Adjustment'!$A:$A,$H133,'Participation Adjustment'!$B:$B,$I133),1)</f>
        <v>4.2537375514998602E-2</v>
      </c>
      <c r="AA133" s="79">
        <f>tbl_Data_old[[#This Row],[2030 ]]*IFERROR(AVERAGEIFS('Participation Adjustment'!$C:$C,'Participation Adjustment'!$A:$A,$H133,'Participation Adjustment'!$B:$B,$I133),1)</f>
        <v>3.9040108625942198E-2</v>
      </c>
      <c r="AB133" s="79">
        <f>tbl_Data_old[[#This Row],[2031 ]]*IFERROR(AVERAGEIFS('Participation Adjustment'!$C:$C,'Participation Adjustment'!$A:$A,$H133,'Participation Adjustment'!$B:$B,$I133),1)</f>
        <v>3.5910546543262797E-2</v>
      </c>
      <c r="AC133" s="79">
        <f>tbl_Data_old[[#This Row],[2032 ]]*IFERROR(AVERAGEIFS('Participation Adjustment'!$C:$C,'Participation Adjustment'!$A:$A,$H133,'Participation Adjustment'!$B:$B,$I133),1)</f>
        <v>3.3149351407426898E-2</v>
      </c>
      <c r="AD133" s="79">
        <f>tbl_Data_old[[#This Row],[2033 ]]*IFERROR(AVERAGEIFS('Participation Adjustment'!$C:$C,'Participation Adjustment'!$A:$A,$H133,'Participation Adjustment'!$B:$B,$I133),1)</f>
        <v>3.06969429768695E-2</v>
      </c>
      <c r="AE133" s="79">
        <f>tbl_Data_old[[#This Row],[2034 ]]*IFERROR(AVERAGEIFS('Participation Adjustment'!$C:$C,'Participation Adjustment'!$A:$A,$H133,'Participation Adjustment'!$B:$B,$I133),1)</f>
        <v>2.8497997598135798E-2</v>
      </c>
      <c r="AF133" s="77" t="str">
        <f t="shared" si="55"/>
        <v>Residential</v>
      </c>
      <c r="AG133" s="77" t="str">
        <f>tbl_Data[[#This Row],[All_Meas_Name_Append]]</f>
        <v>Energy Star Windows Residential_Efficiency Delivered</v>
      </c>
      <c r="AH133" s="77">
        <f>AVERAGEIFS('3. Incentive Adjustment'!G:G,'3. Incentive Adjustment'!A:A,tbl_Data[[#This Row],[Trimmed Sector]],'3. Incentive Adjustment'!B:B,tbl_Data[[#This Row],[Trimmed Measure Name]])</f>
        <v>5.6690987860076834E-2</v>
      </c>
      <c r="AI133" s="77">
        <f>$AH133*tbl_Data[[#This Row],[2025 ]]</f>
        <v>3.2772094257674245E-3</v>
      </c>
      <c r="AJ133" s="77">
        <f>$AH133*tbl_Data[[#This Row],[2026 ]]</f>
        <v>3.0490820590279152E-3</v>
      </c>
      <c r="AK133" s="77">
        <f>$AH133*tbl_Data[[#This Row],[2027 ]]</f>
        <v>2.8261729891133291E-3</v>
      </c>
      <c r="AL133" s="77">
        <f>$AH133*tbl_Data[[#This Row],[2028 ]]</f>
        <v>2.6137777572625659E-3</v>
      </c>
      <c r="AM133" s="77">
        <f>$AH133*tbl_Data[[#This Row],[2029 ]]</f>
        <v>2.4114858389203153E-3</v>
      </c>
      <c r="AN133" s="77">
        <f>$AH133*tbl_Data[[#This Row],[2030 ]]</f>
        <v>2.2132223241693701E-3</v>
      </c>
      <c r="AO133" s="77">
        <f>$AH133*tbl_Data[[#This Row],[2031 ]]</f>
        <v>2.0358043581328355E-3</v>
      </c>
      <c r="AP133" s="77">
        <f>$AH133*tbl_Data[[#This Row],[2032 ]]</f>
        <v>1.8792694782078592E-3</v>
      </c>
      <c r="AQ133" s="77">
        <f>$AH133*tbl_Data[[#This Row],[2033 ]]</f>
        <v>1.7402400216431798E-3</v>
      </c>
      <c r="AR133" s="77">
        <f>$AH133*tbl_Data[[#This Row],[2034 ]]</f>
        <v>1.6155796358724153E-3</v>
      </c>
      <c r="AS133" s="77">
        <f>SUM(tbl_Data[[#This Row],[Adjusted 2025]:[Adjusted 2034]])</f>
        <v>2.366184388811721E-2</v>
      </c>
      <c r="AT133" s="80">
        <f>AVERAGEIFS('3. Incentive Adjustment'!F:F,'3. Incentive Adjustment'!A:A,tbl_Data[[#This Row],[Trimmed Sector]],'3. Incentive Adjustment'!B:B,tbl_Data[[#This Row],[Trimmed Measure Name]])</f>
        <v>77.050553600000001</v>
      </c>
      <c r="AU133" s="80">
        <f>IFERROR(VLOOKUP(tbl_Data[[#This Row],[All_Meas_Name_Append]],'IRA Tax Credits'!$A$3:$D$46,4,0),0)</f>
        <v>0</v>
      </c>
      <c r="AV133" s="81">
        <f>tbl_Data[[#This Row],[Adj. per unit Incentive ($)]]/tbl_Data[[#This Row],[kWh Savings]]*tbl_Data[[#This Row],[Sum of Annuals]]</f>
        <v>3.1471744705268555E-2</v>
      </c>
      <c r="AW133" s="81">
        <f>IFERROR(VLOOKUP(tbl_Data[[#This Row],[Column1]],'1. Set Program Names'!$B$2:$D$15,3,0)*tbl_Data[[#This Row],[Sum of Annuals]],"")</f>
        <v>1.0235204781229905E-2</v>
      </c>
      <c r="AX133" s="81">
        <f>tbl_Data[[#This Row],[per unit IRA tax ($)]]/tbl_Data[[#This Row],[kWh Savings]]*tbl_Data[[#This Row],[Sum of Annuals]]</f>
        <v>0</v>
      </c>
      <c r="AY133" s="81">
        <f>tbl_Data[[#This Row],[Avoided Costs ($/unit)]]/tbl_Data[[#This Row],[kWh Savings]]*tbl_Data[[#This Row],[Sum of Annuals]]</f>
        <v>1.919732405935352E-2</v>
      </c>
      <c r="AZ133" s="81">
        <f>tbl_Data[[#This Row],[Lost Revenue ($/unit)]]/tbl_Data[[#This Row],[kWh Savings]]*tbl_Data[[#This Row],[Sum of Annuals]]</f>
        <v>3.5766681091640273E-2</v>
      </c>
      <c r="BA133" s="81">
        <f>tbl_Data[[#This Row],[Incremental Cost ($/unit)]]/tbl_Data[[#This Row],[kWh Savings]]*tbl_Data[[#This Row],[Sum of Annuals]]</f>
        <v>6.294348941053711E-2</v>
      </c>
      <c r="BB133" s="77">
        <f>ROUNDUP(tbl_Data[[#This Row],[Adjusted 2025]]/$L133,0)</f>
        <v>1</v>
      </c>
      <c r="BC133" s="77">
        <f>ROUNDUP(tbl_Data[[#This Row],[Adjusted 2026]]/$L133,0)</f>
        <v>1</v>
      </c>
      <c r="BD133" s="77">
        <f>ROUNDUP(tbl_Data[[#This Row],[Adjusted 2027]]/$L133,0)</f>
        <v>1</v>
      </c>
      <c r="BE133" s="77">
        <f>ROUNDUP(tbl_Data[[#This Row],[Adjusted 2028]]/$L133,0)</f>
        <v>1</v>
      </c>
      <c r="BF133" s="77">
        <f>ROUNDUP(tbl_Data[[#This Row],[Adjusted 2029]]/$L133,0)</f>
        <v>1</v>
      </c>
      <c r="BG133" s="77">
        <f>ROUNDUP(tbl_Data[[#This Row],[Adjusted 2030]]/$L133,0)</f>
        <v>1</v>
      </c>
      <c r="BH133" s="77">
        <f>ROUNDUP(tbl_Data[[#This Row],[Adjusted 2031]]/$L133,0)</f>
        <v>1</v>
      </c>
      <c r="BI133" s="77">
        <f>ROUNDUP(tbl_Data[[#This Row],[Adjusted 2032]]/$L133,0)</f>
        <v>1</v>
      </c>
      <c r="BJ133" s="77">
        <f>ROUNDUP(tbl_Data[[#This Row],[Adjusted 2033]]/$L133,0)</f>
        <v>1</v>
      </c>
      <c r="BK133" s="77">
        <f>ROUNDUP(tbl_Data[[#This Row],[Adjusted 2034]]/$L133,0)</f>
        <v>1</v>
      </c>
      <c r="BL133" s="80">
        <f t="shared" si="56"/>
        <v>7.688868005045657E-2</v>
      </c>
      <c r="BM133" s="80">
        <f t="shared" si="57"/>
        <v>7.1536439826174941E-2</v>
      </c>
      <c r="BN133" s="80">
        <f t="shared" si="58"/>
        <v>6.6306629359303731E-2</v>
      </c>
      <c r="BO133" s="80">
        <f t="shared" si="59"/>
        <v>6.1323490687233147E-2</v>
      </c>
      <c r="BP133" s="80">
        <f t="shared" si="60"/>
        <v>5.657739223410542E-2</v>
      </c>
      <c r="BQ133" s="80">
        <f t="shared" si="61"/>
        <v>5.1925806701760426E-2</v>
      </c>
      <c r="BR133" s="80">
        <f t="shared" si="62"/>
        <v>4.7763291752752714E-2</v>
      </c>
      <c r="BS133" s="80">
        <f t="shared" si="63"/>
        <v>4.4090728075663416E-2</v>
      </c>
      <c r="BT133" s="80">
        <f t="shared" si="64"/>
        <v>4.082887019153162E-2</v>
      </c>
      <c r="BU133" s="80">
        <f t="shared" si="65"/>
        <v>3.7904134152042697E-2</v>
      </c>
      <c r="BV133" s="80">
        <f>IFERROR(VLOOKUP($H133,'1. Set Program Names'!$B$2:$D$15,3,0)*V133,"NA")</f>
        <v>2.500564849660673E-2</v>
      </c>
      <c r="BW133" s="80">
        <f>IFERROR(VLOOKUP($H133,'1. Set Program Names'!$B$2:$D$15,3,0)*W133,"NA")</f>
        <v>2.3264999058614573E-2</v>
      </c>
      <c r="BX133" s="80">
        <f>IFERROR(VLOOKUP($H133,'1. Set Program Names'!$B$2:$D$15,3,0)*X133,"NA")</f>
        <v>2.1564166086158319E-2</v>
      </c>
      <c r="BY133" s="80">
        <f>IFERROR(VLOOKUP($H133,'1. Set Program Names'!$B$2:$D$15,3,0)*Y133,"NA")</f>
        <v>1.9943555432394015E-2</v>
      </c>
      <c r="BZ133" s="80">
        <f>IFERROR(VLOOKUP($H133,'1. Set Program Names'!$B$2:$D$15,3,0)*Z133,"NA")</f>
        <v>1.8400034727248341E-2</v>
      </c>
      <c r="CA133" s="80">
        <f>IFERROR(VLOOKUP($H133,'1. Set Program Names'!$B$2:$D$15,3,0)*AA133,"NA")</f>
        <v>1.6887251405992332E-2</v>
      </c>
      <c r="CB133" s="80">
        <f>IFERROR(VLOOKUP($H133,'1. Set Program Names'!$B$2:$D$15,3,0)*AB133,"NA")</f>
        <v>1.5533523059915207E-2</v>
      </c>
      <c r="CC133" s="80">
        <f>IFERROR(VLOOKUP($H133,'1. Set Program Names'!$B$2:$D$15,3,0)*AC133,"NA")</f>
        <v>1.4339136105549027E-2</v>
      </c>
      <c r="CD133" s="80">
        <f>IFERROR(VLOOKUP($H133,'1. Set Program Names'!$B$2:$D$15,3,0)*AD133,"NA")</f>
        <v>1.3278318418953812E-2</v>
      </c>
      <c r="CE133" s="80">
        <f>IFERROR(VLOOKUP($H133,'1. Set Program Names'!$B$2:$D$15,3,0)*AE133,"NA")</f>
        <v>1.2327139112704512E-2</v>
      </c>
    </row>
    <row r="134" spans="1:83" x14ac:dyDescent="0.25">
      <c r="A134" s="79" t="s">
        <v>116</v>
      </c>
      <c r="B134" s="79" t="s">
        <v>88</v>
      </c>
      <c r="C134" s="79" t="s">
        <v>89</v>
      </c>
      <c r="D134" s="79" t="s">
        <v>90</v>
      </c>
      <c r="E134" s="79" t="s">
        <v>91</v>
      </c>
      <c r="F134" s="79" t="s">
        <v>90</v>
      </c>
      <c r="G134" s="79" t="s">
        <v>92</v>
      </c>
      <c r="H134" s="79" t="s">
        <v>7</v>
      </c>
      <c r="I134" s="79" t="s">
        <v>430</v>
      </c>
      <c r="J134" s="79" t="s">
        <v>94</v>
      </c>
      <c r="K134" s="79" t="s">
        <v>108</v>
      </c>
      <c r="L134" s="79">
        <v>1663.1099999999899</v>
      </c>
      <c r="M134" s="79">
        <v>6.6647595975018806E-2</v>
      </c>
      <c r="N134" s="79">
        <v>0.309148293753995</v>
      </c>
      <c r="O134" s="79">
        <v>1389.5</v>
      </c>
      <c r="P134" s="79">
        <v>988.78817699699403</v>
      </c>
      <c r="Q134" s="79">
        <v>479.59833573408702</v>
      </c>
      <c r="R134" s="79">
        <v>791.96156853290995</v>
      </c>
      <c r="S134" s="79">
        <v>2127.4894292214699</v>
      </c>
      <c r="T134" s="79">
        <v>15</v>
      </c>
      <c r="U134" s="79">
        <v>0.1</v>
      </c>
      <c r="V134" s="79">
        <f>tbl_Data_old[[#This Row],[2025 ]]*IFERROR(AVERAGEIFS('Participation Adjustment'!$C:$C,'Participation Adjustment'!$A:$A,$H134,'Participation Adjustment'!$B:$B,$I134),1)</f>
        <v>1.6176759488792301</v>
      </c>
      <c r="W134" s="79">
        <f>tbl_Data_old[[#This Row],[2026 ]]*IFERROR(AVERAGEIFS('Participation Adjustment'!$C:$C,'Participation Adjustment'!$A:$A,$H134,'Participation Adjustment'!$B:$B,$I134),1)</f>
        <v>1.79904604092086</v>
      </c>
      <c r="X134" s="79">
        <f>tbl_Data_old[[#This Row],[2027 ]]*IFERROR(AVERAGEIFS('Participation Adjustment'!$C:$C,'Participation Adjustment'!$A:$A,$H134,'Participation Adjustment'!$B:$B,$I134),1)</f>
        <v>1.9661844965266499</v>
      </c>
      <c r="Y134" s="79">
        <f>tbl_Data_old[[#This Row],[2028 ]]*IFERROR(AVERAGEIFS('Participation Adjustment'!$C:$C,'Participation Adjustment'!$A:$A,$H134,'Participation Adjustment'!$B:$B,$I134),1)</f>
        <v>2.1242152647388601</v>
      </c>
      <c r="Z134" s="79">
        <f>tbl_Data_old[[#This Row],[2029 ]]*IFERROR(AVERAGEIFS('Participation Adjustment'!$C:$C,'Participation Adjustment'!$A:$A,$H134,'Participation Adjustment'!$B:$B,$I134),1)</f>
        <v>2.2746755331436299</v>
      </c>
      <c r="AA134" s="79">
        <f>tbl_Data_old[[#This Row],[2030 ]]*IFERROR(AVERAGEIFS('Participation Adjustment'!$C:$C,'Participation Adjustment'!$A:$A,$H134,'Participation Adjustment'!$B:$B,$I134),1)</f>
        <v>2.4122315724399699</v>
      </c>
      <c r="AB134" s="79">
        <f>tbl_Data_old[[#This Row],[2031 ]]*IFERROR(AVERAGEIFS('Participation Adjustment'!$C:$C,'Participation Adjustment'!$A:$A,$H134,'Participation Adjustment'!$B:$B,$I134),1)</f>
        <v>2.5558756202805002</v>
      </c>
      <c r="AC134" s="79">
        <f>tbl_Data_old[[#This Row],[2032 ]]*IFERROR(AVERAGEIFS('Participation Adjustment'!$C:$C,'Participation Adjustment'!$A:$A,$H134,'Participation Adjustment'!$B:$B,$I134),1)</f>
        <v>2.71191247856776</v>
      </c>
      <c r="AD134" s="79">
        <f>tbl_Data_old[[#This Row],[2033 ]]*IFERROR(AVERAGEIFS('Participation Adjustment'!$C:$C,'Participation Adjustment'!$A:$A,$H134,'Participation Adjustment'!$B:$B,$I134),1)</f>
        <v>2.8823957434149099</v>
      </c>
      <c r="AE134" s="79">
        <f>tbl_Data_old[[#This Row],[2034 ]]*IFERROR(AVERAGEIFS('Participation Adjustment'!$C:$C,'Participation Adjustment'!$A:$A,$H134,'Participation Adjustment'!$B:$B,$I134),1)</f>
        <v>3.06847456137973</v>
      </c>
      <c r="AF134" s="77" t="str">
        <f t="shared" si="55"/>
        <v>Residential</v>
      </c>
      <c r="AG134" s="77" t="str">
        <f>tbl_Data[[#This Row],[All_Meas_Name_Append]]</f>
        <v>Heat Pump Water Heater 50 Gallons- CEE Advanced Tier_Efficiency Delivered</v>
      </c>
      <c r="AH134" s="77">
        <f>AVERAGEIFS('3. Incentive Adjustment'!G:G,'3. Incentive Adjustment'!A:A,tbl_Data[[#This Row],[Trimmed Sector]],'3. Incentive Adjustment'!B:B,tbl_Data[[#This Row],[Trimmed Measure Name]])</f>
        <v>0.62719907351402515</v>
      </c>
      <c r="AI134" s="77">
        <f>$AH134*tbl_Data[[#This Row],[2025 ]]</f>
        <v>1.0146048563829746</v>
      </c>
      <c r="AJ134" s="77">
        <f>$AH134*tbl_Data[[#This Row],[2026 ]]</f>
        <v>1.1283600100746383</v>
      </c>
      <c r="AK134" s="77">
        <f>$AH134*tbl_Data[[#This Row],[2027 ]]</f>
        <v>1.2331890945791548</v>
      </c>
      <c r="AL134" s="77">
        <f>$AH134*tbl_Data[[#This Row],[2028 ]]</f>
        <v>1.3323058459885628</v>
      </c>
      <c r="AM134" s="77">
        <f>$AH134*tbl_Data[[#This Row],[2029 ]]</f>
        <v>1.4266743869327059</v>
      </c>
      <c r="AN134" s="77">
        <f>$AH134*tbl_Data[[#This Row],[2030 ]]</f>
        <v>1.5129494073356291</v>
      </c>
      <c r="AO134" s="77">
        <f>$AH134*tbl_Data[[#This Row],[2031 ]]</f>
        <v>1.603042821057014</v>
      </c>
      <c r="AP134" s="77">
        <f>$AH134*tbl_Data[[#This Row],[2032 ]]</f>
        <v>1.7009089940088227</v>
      </c>
      <c r="AQ134" s="77">
        <f>$AH134*tbl_Data[[#This Row],[2033 ]]</f>
        <v>1.8078359397706012</v>
      </c>
      <c r="AR134" s="77">
        <f>$AH134*tbl_Data[[#This Row],[2034 ]]</f>
        <v>1.9245444019987212</v>
      </c>
      <c r="AS134" s="77">
        <f>SUM(tbl_Data[[#This Row],[Adjusted 2025]:[Adjusted 2034]])</f>
        <v>14.684415758128825</v>
      </c>
      <c r="AT134" s="80">
        <f>AVERAGEIFS('3. Incentive Adjustment'!F:F,'3. Incentive Adjustment'!A:A,tbl_Data[[#This Row],[Trimmed Sector]],'3. Incentive Adjustment'!B:B,tbl_Data[[#This Row],[Trimmed Measure Name]])</f>
        <v>694.75</v>
      </c>
      <c r="AU134" s="80">
        <f>IFERROR(VLOOKUP(tbl_Data[[#This Row],[All_Meas_Name_Append]],'IRA Tax Credits'!$A$3:$D$46,4,0),0)</f>
        <v>0</v>
      </c>
      <c r="AV134" s="81">
        <f>tbl_Data[[#This Row],[Adj. per unit Incentive ($)]]/tbl_Data[[#This Row],[kWh Savings]]*tbl_Data[[#This Row],[Sum of Annuals]]</f>
        <v>6.1342892821040476</v>
      </c>
      <c r="AW134" s="81">
        <f>IFERROR(VLOOKUP(tbl_Data[[#This Row],[Column1]],'1. Set Program Names'!$B$2:$D$15,3,0)*tbl_Data[[#This Row],[Sum of Annuals]],"")</f>
        <v>6.351914207862996</v>
      </c>
      <c r="AX134" s="81">
        <f>tbl_Data[[#This Row],[per unit IRA tax ($)]]/tbl_Data[[#This Row],[kWh Savings]]*tbl_Data[[#This Row],[Sum of Annuals]]</f>
        <v>0</v>
      </c>
      <c r="AY134" s="81">
        <f>tbl_Data[[#This Row],[Avoided Costs ($/unit)]]/tbl_Data[[#This Row],[kWh Savings]]*tbl_Data[[#This Row],[Sum of Annuals]]</f>
        <v>6.9926180089093055</v>
      </c>
      <c r="AZ134" s="81">
        <f>tbl_Data[[#This Row],[Lost Revenue ($/unit)]]/tbl_Data[[#This Row],[kWh Savings]]*tbl_Data[[#This Row],[Sum of Annuals]]</f>
        <v>18.784650022976496</v>
      </c>
      <c r="BA134" s="81">
        <f>tbl_Data[[#This Row],[Incremental Cost ($/unit)]]/tbl_Data[[#This Row],[kWh Savings]]*tbl_Data[[#This Row],[Sum of Annuals]]</f>
        <v>12.268578564208095</v>
      </c>
      <c r="BB134" s="77">
        <f>ROUNDUP(tbl_Data[[#This Row],[Adjusted 2025]]/$L134,0)</f>
        <v>1</v>
      </c>
      <c r="BC134" s="77">
        <f>ROUNDUP(tbl_Data[[#This Row],[Adjusted 2026]]/$L134,0)</f>
        <v>1</v>
      </c>
      <c r="BD134" s="77">
        <f>ROUNDUP(tbl_Data[[#This Row],[Adjusted 2027]]/$L134,0)</f>
        <v>1</v>
      </c>
      <c r="BE134" s="77">
        <f>ROUNDUP(tbl_Data[[#This Row],[Adjusted 2028]]/$L134,0)</f>
        <v>1</v>
      </c>
      <c r="BF134" s="77">
        <f>ROUNDUP(tbl_Data[[#This Row],[Adjusted 2029]]/$L134,0)</f>
        <v>1</v>
      </c>
      <c r="BG134" s="77">
        <f>ROUNDUP(tbl_Data[[#This Row],[Adjusted 2030]]/$L134,0)</f>
        <v>1</v>
      </c>
      <c r="BH134" s="77">
        <f>ROUNDUP(tbl_Data[[#This Row],[Adjusted 2031]]/$L134,0)</f>
        <v>1</v>
      </c>
      <c r="BI134" s="77">
        <f>ROUNDUP(tbl_Data[[#This Row],[Adjusted 2032]]/$L134,0)</f>
        <v>1</v>
      </c>
      <c r="BJ134" s="77">
        <f>ROUNDUP(tbl_Data[[#This Row],[Adjusted 2033]]/$L134,0)</f>
        <v>1</v>
      </c>
      <c r="BK134" s="77">
        <f>ROUNDUP(tbl_Data[[#This Row],[Adjusted 2034]]/$L134,0)</f>
        <v>1</v>
      </c>
      <c r="BL134" s="80">
        <f t="shared" si="56"/>
        <v>0.67577031313854874</v>
      </c>
      <c r="BM134" s="80">
        <f t="shared" si="57"/>
        <v>0.75153612023845384</v>
      </c>
      <c r="BN134" s="80">
        <f t="shared" si="58"/>
        <v>0.82135678275153079</v>
      </c>
      <c r="BO134" s="80">
        <f t="shared" si="59"/>
        <v>0.88737278663307417</v>
      </c>
      <c r="BP134" s="80">
        <f t="shared" si="60"/>
        <v>0.95022627887003652</v>
      </c>
      <c r="BQ134" s="80">
        <f t="shared" si="61"/>
        <v>1.0076891395955043</v>
      </c>
      <c r="BR134" s="80">
        <f t="shared" si="62"/>
        <v>1.0676952139003963</v>
      </c>
      <c r="BS134" s="80">
        <f t="shared" si="63"/>
        <v>1.1328782789382317</v>
      </c>
      <c r="BT134" s="80">
        <f t="shared" si="64"/>
        <v>1.2040962069481398</v>
      </c>
      <c r="BU134" s="80">
        <f t="shared" si="65"/>
        <v>1.2818290440912388</v>
      </c>
      <c r="BV134" s="80">
        <f>IFERROR(VLOOKUP($H134,'1. Set Program Names'!$B$2:$D$15,3,0)*V134,"NA")</f>
        <v>0.69974447827222097</v>
      </c>
      <c r="BW134" s="80">
        <f>IFERROR(VLOOKUP($H134,'1. Set Program Names'!$B$2:$D$15,3,0)*W134,"NA")</f>
        <v>0.77819821340859585</v>
      </c>
      <c r="BX134" s="80">
        <f>IFERROR(VLOOKUP($H134,'1. Set Program Names'!$B$2:$D$15,3,0)*X134,"NA")</f>
        <v>0.85049588928003805</v>
      </c>
      <c r="BY134" s="80">
        <f>IFERROR(VLOOKUP($H134,'1. Set Program Names'!$B$2:$D$15,3,0)*Y134,"NA")</f>
        <v>0.91885392942412558</v>
      </c>
      <c r="BZ134" s="80">
        <f>IFERROR(VLOOKUP($H134,'1. Set Program Names'!$B$2:$D$15,3,0)*Z134,"NA")</f>
        <v>0.98393726214508082</v>
      </c>
      <c r="CA134" s="80">
        <f>IFERROR(VLOOKUP($H134,'1. Set Program Names'!$B$2:$D$15,3,0)*AA134,"NA")</f>
        <v>1.0434387210233549</v>
      </c>
      <c r="CB134" s="80">
        <f>IFERROR(VLOOKUP($H134,'1. Set Program Names'!$B$2:$D$15,3,0)*AB134,"NA")</f>
        <v>1.1055736185488581</v>
      </c>
      <c r="CC134" s="80">
        <f>IFERROR(VLOOKUP($H134,'1. Set Program Names'!$B$2:$D$15,3,0)*AC134,"NA")</f>
        <v>1.1730691698483022</v>
      </c>
      <c r="CD134" s="80">
        <f>IFERROR(VLOOKUP($H134,'1. Set Program Names'!$B$2:$D$15,3,0)*AD134,"NA")</f>
        <v>1.2468136817187199</v>
      </c>
      <c r="CE134" s="80">
        <f>IFERROR(VLOOKUP($H134,'1. Set Program Names'!$B$2:$D$15,3,0)*AE134,"NA")</f>
        <v>1.3273042308206684</v>
      </c>
    </row>
    <row r="135" spans="1:83" x14ac:dyDescent="0.25">
      <c r="A135" s="79" t="s">
        <v>116</v>
      </c>
      <c r="B135" s="79" t="s">
        <v>88</v>
      </c>
      <c r="C135" s="79" t="s">
        <v>89</v>
      </c>
      <c r="D135" s="79" t="s">
        <v>90</v>
      </c>
      <c r="E135" s="79" t="s">
        <v>91</v>
      </c>
      <c r="F135" s="79" t="s">
        <v>90</v>
      </c>
      <c r="G135" s="79" t="s">
        <v>92</v>
      </c>
      <c r="H135" s="79" t="s">
        <v>7</v>
      </c>
      <c r="I135" s="79" t="s">
        <v>431</v>
      </c>
      <c r="J135" s="79" t="s">
        <v>94</v>
      </c>
      <c r="K135" s="79" t="s">
        <v>95</v>
      </c>
      <c r="L135" s="79">
        <v>1590.11499999999</v>
      </c>
      <c r="M135" s="79">
        <v>6.3722388822036402E-2</v>
      </c>
      <c r="N135" s="79">
        <v>0.29557957027655002</v>
      </c>
      <c r="O135" s="79">
        <v>1389.5</v>
      </c>
      <c r="P135" s="79">
        <v>1006.47372867305</v>
      </c>
      <c r="Q135" s="79">
        <v>458.54844696129999</v>
      </c>
      <c r="R135" s="79">
        <v>757.20185047754296</v>
      </c>
      <c r="S135" s="79">
        <v>2034.1125083407001</v>
      </c>
      <c r="T135" s="79">
        <v>15</v>
      </c>
      <c r="U135" s="79">
        <v>0.1</v>
      </c>
      <c r="V135" s="79">
        <f>tbl_Data_old[[#This Row],[2025 ]]*IFERROR(AVERAGEIFS('Participation Adjustment'!$C:$C,'Participation Adjustment'!$A:$A,$H135,'Participation Adjustment'!$B:$B,$I135),1)</f>
        <v>2.3117767539491498</v>
      </c>
      <c r="W135" s="79">
        <f>tbl_Data_old[[#This Row],[2026 ]]*IFERROR(AVERAGEIFS('Participation Adjustment'!$C:$C,'Participation Adjustment'!$A:$A,$H135,'Participation Adjustment'!$B:$B,$I135),1)</f>
        <v>2.5699137062689399</v>
      </c>
      <c r="X135" s="79">
        <f>tbl_Data_old[[#This Row],[2027 ]]*IFERROR(AVERAGEIFS('Participation Adjustment'!$C:$C,'Participation Adjustment'!$A:$A,$H135,'Participation Adjustment'!$B:$B,$I135),1)</f>
        <v>2.80763394294069</v>
      </c>
      <c r="Y135" s="79">
        <f>tbl_Data_old[[#This Row],[2028 ]]*IFERROR(AVERAGEIFS('Participation Adjustment'!$C:$C,'Participation Adjustment'!$A:$A,$H135,'Participation Adjustment'!$B:$B,$I135),1)</f>
        <v>3.03229500901287</v>
      </c>
      <c r="Z135" s="79">
        <f>tbl_Data_old[[#This Row],[2029 ]]*IFERROR(AVERAGEIFS('Participation Adjustment'!$C:$C,'Participation Adjustment'!$A:$A,$H135,'Participation Adjustment'!$B:$B,$I135),1)</f>
        <v>3.24611960271544</v>
      </c>
      <c r="AA135" s="79">
        <f>tbl_Data_old[[#This Row],[2030 ]]*IFERROR(AVERAGEIFS('Participation Adjustment'!$C:$C,'Participation Adjustment'!$A:$A,$H135,'Participation Adjustment'!$B:$B,$I135),1)</f>
        <v>3.4415200085166799</v>
      </c>
      <c r="AB135" s="79">
        <f>tbl_Data_old[[#This Row],[2031 ]]*IFERROR(AVERAGEIFS('Participation Adjustment'!$C:$C,'Participation Adjustment'!$A:$A,$H135,'Participation Adjustment'!$B:$B,$I135),1)</f>
        <v>3.6456088969448701</v>
      </c>
      <c r="AC135" s="79">
        <f>tbl_Data_old[[#This Row],[2032 ]]*IFERROR(AVERAGEIFS('Participation Adjustment'!$C:$C,'Participation Adjustment'!$A:$A,$H135,'Participation Adjustment'!$B:$B,$I135),1)</f>
        <v>3.8673784618822702</v>
      </c>
      <c r="AD135" s="79">
        <f>tbl_Data_old[[#This Row],[2033 ]]*IFERROR(AVERAGEIFS('Participation Adjustment'!$C:$C,'Participation Adjustment'!$A:$A,$H135,'Participation Adjustment'!$B:$B,$I135),1)</f>
        <v>4.1097526100287096</v>
      </c>
      <c r="AE135" s="79">
        <f>tbl_Data_old[[#This Row],[2034 ]]*IFERROR(AVERAGEIFS('Participation Adjustment'!$C:$C,'Participation Adjustment'!$A:$A,$H135,'Participation Adjustment'!$B:$B,$I135),1)</f>
        <v>4.3743648558255002</v>
      </c>
      <c r="AF135" s="77" t="str">
        <f t="shared" si="55"/>
        <v>Residential</v>
      </c>
      <c r="AG135" s="77" t="str">
        <f>tbl_Data[[#This Row],[All_Meas_Name_Append]]</f>
        <v>Heat Pump Water Heater 50 Gallons-ENERGY STAR_Efficiency Delivered</v>
      </c>
      <c r="AH135" s="77">
        <f>AVERAGEIFS('3. Incentive Adjustment'!G:G,'3. Incentive Adjustment'!A:A,tbl_Data[[#This Row],[Trimmed Sector]],'3. Incentive Adjustment'!B:B,tbl_Data[[#This Row],[Trimmed Measure Name]])</f>
        <v>0.59615658026245322</v>
      </c>
      <c r="AI135" s="77">
        <f>$AH135*tbl_Data[[#This Row],[2025 ]]</f>
        <v>1.3781809239645599</v>
      </c>
      <c r="AJ135" s="77">
        <f>$AH135*tbl_Data[[#This Row],[2026 ]]</f>
        <v>1.5320709666988979</v>
      </c>
      <c r="AK135" s="77">
        <f>$AH135*tbl_Data[[#This Row],[2027 ]]</f>
        <v>1.6737894500523094</v>
      </c>
      <c r="AL135" s="77">
        <f>$AH135*tbl_Data[[#This Row],[2028 ]]</f>
        <v>1.8077226229200174</v>
      </c>
      <c r="AM135" s="77">
        <f>$AH135*tbl_Data[[#This Row],[2029 ]]</f>
        <v>1.9351955614777498</v>
      </c>
      <c r="AN135" s="77">
        <f>$AH135*tbl_Data[[#This Row],[2030 ]]</f>
        <v>2.0516847991821128</v>
      </c>
      <c r="AO135" s="77">
        <f>$AH135*tbl_Data[[#This Row],[2031 ]]</f>
        <v>2.1733537329770281</v>
      </c>
      <c r="AP135" s="77">
        <f>$AH135*tbl_Data[[#This Row],[2032 ]]</f>
        <v>2.3055631184164005</v>
      </c>
      <c r="AQ135" s="77">
        <f>$AH135*tbl_Data[[#This Row],[2033 ]]</f>
        <v>2.4500560617194069</v>
      </c>
      <c r="AR135" s="77">
        <f>$AH135*tbl_Data[[#This Row],[2034 ]]</f>
        <v>2.6078063932691893</v>
      </c>
      <c r="AS135" s="77">
        <f>SUM(tbl_Data[[#This Row],[Adjusted 2025]:[Adjusted 2034]])</f>
        <v>19.915423630677676</v>
      </c>
      <c r="AT135" s="80">
        <f>AVERAGEIFS('3. Incentive Adjustment'!F:F,'3. Incentive Adjustment'!A:A,tbl_Data[[#This Row],[Trimmed Sector]],'3. Incentive Adjustment'!B:B,tbl_Data[[#This Row],[Trimmed Measure Name]])</f>
        <v>694.75</v>
      </c>
      <c r="AU135" s="80">
        <f>IFERROR(VLOOKUP(tbl_Data[[#This Row],[All_Meas_Name_Append]],'IRA Tax Credits'!$A$3:$D$46,4,0),0)</f>
        <v>0</v>
      </c>
      <c r="AV135" s="81">
        <f>tbl_Data[[#This Row],[Adj. per unit Incentive ($)]]/tbl_Data[[#This Row],[kWh Savings]]*tbl_Data[[#This Row],[Sum of Annuals]]</f>
        <v>8.7014087455394122</v>
      </c>
      <c r="AW135" s="81">
        <f>IFERROR(VLOOKUP(tbl_Data[[#This Row],[Column1]],'1. Set Program Names'!$B$2:$D$15,3,0)*tbl_Data[[#This Row],[Sum of Annuals]],"")</f>
        <v>8.6146472831433574</v>
      </c>
      <c r="AX135" s="81">
        <f>tbl_Data[[#This Row],[per unit IRA tax ($)]]/tbl_Data[[#This Row],[kWh Savings]]*tbl_Data[[#This Row],[Sum of Annuals]]</f>
        <v>0</v>
      </c>
      <c r="AY135" s="81">
        <f>tbl_Data[[#This Row],[Avoided Costs ($/unit)]]/tbl_Data[[#This Row],[kWh Savings]]*tbl_Data[[#This Row],[Sum of Annuals]]</f>
        <v>9.4835880588469497</v>
      </c>
      <c r="AZ135" s="81">
        <f>tbl_Data[[#This Row],[Lost Revenue ($/unit)]]/tbl_Data[[#This Row],[kWh Savings]]*tbl_Data[[#This Row],[Sum of Annuals]]</f>
        <v>25.476278329596084</v>
      </c>
      <c r="BA135" s="81">
        <f>tbl_Data[[#This Row],[Incremental Cost ($/unit)]]/tbl_Data[[#This Row],[kWh Savings]]*tbl_Data[[#This Row],[Sum of Annuals]]</f>
        <v>17.402817491078824</v>
      </c>
      <c r="BB135" s="77">
        <f>ROUNDUP(tbl_Data[[#This Row],[Adjusted 2025]]/$L135,0)</f>
        <v>1</v>
      </c>
      <c r="BC135" s="77">
        <f>ROUNDUP(tbl_Data[[#This Row],[Adjusted 2026]]/$L135,0)</f>
        <v>1</v>
      </c>
      <c r="BD135" s="77">
        <f>ROUNDUP(tbl_Data[[#This Row],[Adjusted 2027]]/$L135,0)</f>
        <v>1</v>
      </c>
      <c r="BE135" s="77">
        <f>ROUNDUP(tbl_Data[[#This Row],[Adjusted 2028]]/$L135,0)</f>
        <v>1</v>
      </c>
      <c r="BF135" s="77">
        <f>ROUNDUP(tbl_Data[[#This Row],[Adjusted 2029]]/$L135,0)</f>
        <v>1</v>
      </c>
      <c r="BG135" s="77">
        <f>ROUNDUP(tbl_Data[[#This Row],[Adjusted 2030]]/$L135,0)</f>
        <v>1</v>
      </c>
      <c r="BH135" s="77">
        <f>ROUNDUP(tbl_Data[[#This Row],[Adjusted 2031]]/$L135,0)</f>
        <v>1</v>
      </c>
      <c r="BI135" s="77">
        <f>ROUNDUP(tbl_Data[[#This Row],[Adjusted 2032]]/$L135,0)</f>
        <v>1</v>
      </c>
      <c r="BJ135" s="77">
        <f>ROUNDUP(tbl_Data[[#This Row],[Adjusted 2033]]/$L135,0)</f>
        <v>1</v>
      </c>
      <c r="BK135" s="77">
        <f>ROUNDUP(tbl_Data[[#This Row],[Adjusted 2034]]/$L135,0)</f>
        <v>1</v>
      </c>
      <c r="BL135" s="80">
        <f t="shared" si="56"/>
        <v>1.0100570712220072</v>
      </c>
      <c r="BM135" s="80">
        <f t="shared" si="57"/>
        <v>1.1228417739788363</v>
      </c>
      <c r="BN135" s="80">
        <f t="shared" si="58"/>
        <v>1.2267060444421043</v>
      </c>
      <c r="BO135" s="80">
        <f t="shared" si="59"/>
        <v>1.3248645271013133</v>
      </c>
      <c r="BP135" s="80">
        <f t="shared" si="60"/>
        <v>1.41828835900961</v>
      </c>
      <c r="BQ135" s="80">
        <f t="shared" si="61"/>
        <v>1.5036623300308334</v>
      </c>
      <c r="BR135" s="80">
        <f t="shared" si="62"/>
        <v>1.5928324562389917</v>
      </c>
      <c r="BS135" s="80">
        <f t="shared" si="63"/>
        <v>1.6897275897609445</v>
      </c>
      <c r="BT135" s="80">
        <f t="shared" si="64"/>
        <v>1.7956252383113573</v>
      </c>
      <c r="BU135" s="80">
        <f t="shared" si="65"/>
        <v>1.9112391138909988</v>
      </c>
      <c r="BV135" s="80">
        <f>IFERROR(VLOOKUP($H135,'1. Set Program Names'!$B$2:$D$15,3,0)*V135,"NA")</f>
        <v>0.99998582515537215</v>
      </c>
      <c r="BW135" s="80">
        <f>IFERROR(VLOOKUP($H135,'1. Set Program Names'!$B$2:$D$15,3,0)*W135,"NA")</f>
        <v>1.1116459553247908</v>
      </c>
      <c r="BX135" s="80">
        <f>IFERROR(VLOOKUP($H135,'1. Set Program Names'!$B$2:$D$15,3,0)*X135,"NA")</f>
        <v>1.2144745985396881</v>
      </c>
      <c r="BY135" s="80">
        <f>IFERROR(VLOOKUP($H135,'1. Set Program Names'!$B$2:$D$15,3,0)*Y135,"NA")</f>
        <v>1.3116543461743577</v>
      </c>
      <c r="BZ135" s="80">
        <f>IFERROR(VLOOKUP($H135,'1. Set Program Names'!$B$2:$D$15,3,0)*Z135,"NA")</f>
        <v>1.4041466521061094</v>
      </c>
      <c r="CA135" s="80">
        <f>IFERROR(VLOOKUP($H135,'1. Set Program Names'!$B$2:$D$15,3,0)*AA135,"NA")</f>
        <v>1.4886693620507676</v>
      </c>
      <c r="CB135" s="80">
        <f>IFERROR(VLOOKUP($H135,'1. Set Program Names'!$B$2:$D$15,3,0)*AB135,"NA")</f>
        <v>1.5769503758429826</v>
      </c>
      <c r="CC135" s="80">
        <f>IFERROR(VLOOKUP($H135,'1. Set Program Names'!$B$2:$D$15,3,0)*AC135,"NA")</f>
        <v>1.67287937115338</v>
      </c>
      <c r="CD135" s="80">
        <f>IFERROR(VLOOKUP($H135,'1. Set Program Names'!$B$2:$D$15,3,0)*AD135,"NA")</f>
        <v>1.7777211177089294</v>
      </c>
      <c r="CE135" s="80">
        <f>IFERROR(VLOOKUP($H135,'1. Set Program Names'!$B$2:$D$15,3,0)*AE135,"NA")</f>
        <v>1.8921822111113507</v>
      </c>
    </row>
    <row r="136" spans="1:83" x14ac:dyDescent="0.25">
      <c r="A136" s="79" t="s">
        <v>116</v>
      </c>
      <c r="B136" s="79" t="s">
        <v>88</v>
      </c>
      <c r="C136" s="79" t="s">
        <v>89</v>
      </c>
      <c r="D136" s="79" t="s">
        <v>90</v>
      </c>
      <c r="E136" s="79" t="s">
        <v>91</v>
      </c>
      <c r="F136" s="79" t="s">
        <v>90</v>
      </c>
      <c r="G136" s="79" t="s">
        <v>92</v>
      </c>
      <c r="H136" s="79" t="s">
        <v>7</v>
      </c>
      <c r="I136" s="79" t="s">
        <v>432</v>
      </c>
      <c r="J136" s="79" t="s">
        <v>94</v>
      </c>
      <c r="K136" s="79" t="s">
        <v>108</v>
      </c>
      <c r="L136" s="79">
        <v>461.909999999999</v>
      </c>
      <c r="M136" s="79">
        <v>1.8510616289253799E-2</v>
      </c>
      <c r="N136" s="79">
        <v>8.5862443475120898E-2</v>
      </c>
      <c r="O136" s="79">
        <v>1729.5</v>
      </c>
      <c r="P136" s="79">
        <v>1631.9996867488601</v>
      </c>
      <c r="Q136" s="79">
        <v>133.20301559063</v>
      </c>
      <c r="R136" s="79">
        <v>219.958372038552</v>
      </c>
      <c r="S136" s="79">
        <v>590.88613636602201</v>
      </c>
      <c r="T136" s="79">
        <v>15</v>
      </c>
      <c r="U136" s="79">
        <v>0.1</v>
      </c>
      <c r="V136" s="79">
        <f>tbl_Data_old[[#This Row],[2025 ]]*IFERROR(AVERAGEIFS('Participation Adjustment'!$C:$C,'Participation Adjustment'!$A:$A,$H136,'Participation Adjustment'!$B:$B,$I136),1)</f>
        <v>1.2435592754959801</v>
      </c>
      <c r="W136" s="79">
        <f>tbl_Data_old[[#This Row],[2026 ]]*IFERROR(AVERAGEIFS('Participation Adjustment'!$C:$C,'Participation Adjustment'!$A:$A,$H136,'Participation Adjustment'!$B:$B,$I136),1)</f>
        <v>1.3832289895110901</v>
      </c>
      <c r="X136" s="79">
        <f>tbl_Data_old[[#This Row],[2027 ]]*IFERROR(AVERAGEIFS('Participation Adjustment'!$C:$C,'Participation Adjustment'!$A:$A,$H136,'Participation Adjustment'!$B:$B,$I136),1)</f>
        <v>1.51197470798071</v>
      </c>
      <c r="Y136" s="79">
        <f>tbl_Data_old[[#This Row],[2028 ]]*IFERROR(AVERAGEIFS('Participation Adjustment'!$C:$C,'Participation Adjustment'!$A:$A,$H136,'Participation Adjustment'!$B:$B,$I136),1)</f>
        <v>1.6337269788025499</v>
      </c>
      <c r="Z136" s="79">
        <f>tbl_Data_old[[#This Row],[2029 ]]*IFERROR(AVERAGEIFS('Participation Adjustment'!$C:$C,'Participation Adjustment'!$A:$A,$H136,'Participation Adjustment'!$B:$B,$I136),1)</f>
        <v>1.7496613282939399</v>
      </c>
      <c r="AA136" s="79">
        <f>tbl_Data_old[[#This Row],[2030 ]]*IFERROR(AVERAGEIFS('Participation Adjustment'!$C:$C,'Participation Adjustment'!$A:$A,$H136,'Participation Adjustment'!$B:$B,$I136),1)</f>
        <v>1.85566954309453</v>
      </c>
      <c r="AB136" s="79">
        <f>tbl_Data_old[[#This Row],[2031 ]]*IFERROR(AVERAGEIFS('Participation Adjustment'!$C:$C,'Participation Adjustment'!$A:$A,$H136,'Participation Adjustment'!$B:$B,$I136),1)</f>
        <v>1.96635809541465</v>
      </c>
      <c r="AC136" s="79">
        <f>tbl_Data_old[[#This Row],[2032 ]]*IFERROR(AVERAGEIFS('Participation Adjustment'!$C:$C,'Participation Adjustment'!$A:$A,$H136,'Participation Adjustment'!$B:$B,$I136),1)</f>
        <v>2.0865776904528301</v>
      </c>
      <c r="AD136" s="79">
        <f>tbl_Data_old[[#This Row],[2033 ]]*IFERROR(AVERAGEIFS('Participation Adjustment'!$C:$C,'Participation Adjustment'!$A:$A,$H136,'Participation Adjustment'!$B:$B,$I136),1)</f>
        <v>2.2179093722833598</v>
      </c>
      <c r="AE136" s="79">
        <f>tbl_Data_old[[#This Row],[2034 ]]*IFERROR(AVERAGEIFS('Participation Adjustment'!$C:$C,'Participation Adjustment'!$A:$A,$H136,'Participation Adjustment'!$B:$B,$I136),1)</f>
        <v>2.36123840742788</v>
      </c>
      <c r="AF136" s="77" t="str">
        <f t="shared" si="55"/>
        <v>Residential</v>
      </c>
      <c r="AG136" s="77" t="str">
        <f>tbl_Data[[#This Row],[All_Meas_Name_Append]]</f>
        <v>Heat Pump Water Heater 80 Gallons-ENERGY STAR_Efficiency Delivered</v>
      </c>
      <c r="AH136" s="77">
        <f>AVERAGEIFS('3. Incentive Adjustment'!G:G,'3. Incentive Adjustment'!A:A,tbl_Data[[#This Row],[Trimmed Sector]],'3. Incentive Adjustment'!B:B,tbl_Data[[#This Row],[Trimmed Measure Name]])</f>
        <v>1.2491787269958169E-2</v>
      </c>
      <c r="AI136" s="77">
        <f>$AH136*tbl_Data[[#This Row],[2025 ]]</f>
        <v>1.5534277927079088E-2</v>
      </c>
      <c r="AJ136" s="77">
        <f>$AH136*tbl_Data[[#This Row],[2026 ]]</f>
        <v>1.7279002282611738E-2</v>
      </c>
      <c r="AK136" s="77">
        <f>$AH136*tbl_Data[[#This Row],[2027 ]]</f>
        <v>1.8887266409652152E-2</v>
      </c>
      <c r="AL136" s="77">
        <f>$AH136*tbl_Data[[#This Row],[2028 ]]</f>
        <v>2.0408169876392913E-2</v>
      </c>
      <c r="AM136" s="77">
        <f>$AH136*tbl_Data[[#This Row],[2029 ]]</f>
        <v>2.1856397107520339E-2</v>
      </c>
      <c r="AN136" s="77">
        <f>$AH136*tbl_Data[[#This Row],[2030 ]]</f>
        <v>2.3180629175677342E-2</v>
      </c>
      <c r="AO136" s="77">
        <f>$AH136*tbl_Data[[#This Row],[2031 ]]</f>
        <v>2.4563327024479917E-2</v>
      </c>
      <c r="AP136" s="77">
        <f>$AH136*tbl_Data[[#This Row],[2032 ]]</f>
        <v>2.606508463137738E-2</v>
      </c>
      <c r="AQ136" s="77">
        <f>$AH136*tbl_Data[[#This Row],[2033 ]]</f>
        <v>2.7705652062610189E-2</v>
      </c>
      <c r="AR136" s="77">
        <f>$AH136*tbl_Data[[#This Row],[2034 ]]</f>
        <v>2.9496087879243894E-2</v>
      </c>
      <c r="AS136" s="77">
        <f>SUM(tbl_Data[[#This Row],[Adjusted 2025]:[Adjusted 2034]])</f>
        <v>0.22497589437664497</v>
      </c>
      <c r="AT136" s="80">
        <f>AVERAGEIFS('3. Incentive Adjustment'!F:F,'3. Incentive Adjustment'!A:A,tbl_Data[[#This Row],[Trimmed Sector]],'3. Incentive Adjustment'!B:B,tbl_Data[[#This Row],[Trimmed Measure Name]])</f>
        <v>864.75</v>
      </c>
      <c r="AU136" s="80">
        <f>IFERROR(VLOOKUP(tbl_Data[[#This Row],[All_Meas_Name_Append]],'IRA Tax Credits'!$A$3:$D$46,4,0),0)</f>
        <v>0</v>
      </c>
      <c r="AV136" s="81">
        <f>tbl_Data[[#This Row],[Adj. per unit Incentive ($)]]/tbl_Data[[#This Row],[kWh Savings]]*tbl_Data[[#This Row],[Sum of Annuals]]</f>
        <v>0.4211814090671433</v>
      </c>
      <c r="AW136" s="81">
        <f>IFERROR(VLOOKUP(tbl_Data[[#This Row],[Column1]],'1. Set Program Names'!$B$2:$D$15,3,0)*tbl_Data[[#This Row],[Sum of Annuals]],"")</f>
        <v>9.7315930266182488E-2</v>
      </c>
      <c r="AX136" s="81">
        <f>tbl_Data[[#This Row],[per unit IRA tax ($)]]/tbl_Data[[#This Row],[kWh Savings]]*tbl_Data[[#This Row],[Sum of Annuals]]</f>
        <v>0</v>
      </c>
      <c r="AY136" s="81">
        <f>tbl_Data[[#This Row],[Avoided Costs ($/unit)]]/tbl_Data[[#This Row],[kWh Savings]]*tbl_Data[[#This Row],[Sum of Annuals]]</f>
        <v>0.10713197695439407</v>
      </c>
      <c r="AZ136" s="81">
        <f>tbl_Data[[#This Row],[Lost Revenue ($/unit)]]/tbl_Data[[#This Row],[kWh Savings]]*tbl_Data[[#This Row],[Sum of Annuals]]</f>
        <v>0.28779445563790845</v>
      </c>
      <c r="BA136" s="81">
        <f>tbl_Data[[#This Row],[Incremental Cost ($/unit)]]/tbl_Data[[#This Row],[kWh Savings]]*tbl_Data[[#This Row],[Sum of Annuals]]</f>
        <v>0.8423628181342866</v>
      </c>
      <c r="BB136" s="77">
        <f>ROUNDUP(tbl_Data[[#This Row],[Adjusted 2025]]/$L136,0)</f>
        <v>1</v>
      </c>
      <c r="BC136" s="77">
        <f>ROUNDUP(tbl_Data[[#This Row],[Adjusted 2026]]/$L136,0)</f>
        <v>1</v>
      </c>
      <c r="BD136" s="77">
        <f>ROUNDUP(tbl_Data[[#This Row],[Adjusted 2027]]/$L136,0)</f>
        <v>1</v>
      </c>
      <c r="BE136" s="77">
        <f>ROUNDUP(tbl_Data[[#This Row],[Adjusted 2028]]/$L136,0)</f>
        <v>1</v>
      </c>
      <c r="BF136" s="77">
        <f>ROUNDUP(tbl_Data[[#This Row],[Adjusted 2029]]/$L136,0)</f>
        <v>1</v>
      </c>
      <c r="BG136" s="77">
        <f>ROUNDUP(tbl_Data[[#This Row],[Adjusted 2030]]/$L136,0)</f>
        <v>1</v>
      </c>
      <c r="BH136" s="77">
        <f>ROUNDUP(tbl_Data[[#This Row],[Adjusted 2031]]/$L136,0)</f>
        <v>1</v>
      </c>
      <c r="BI136" s="77">
        <f>ROUNDUP(tbl_Data[[#This Row],[Adjusted 2032]]/$L136,0)</f>
        <v>1</v>
      </c>
      <c r="BJ136" s="77">
        <f>ROUNDUP(tbl_Data[[#This Row],[Adjusted 2033]]/$L136,0)</f>
        <v>1</v>
      </c>
      <c r="BK136" s="77">
        <f>ROUNDUP(tbl_Data[[#This Row],[Adjusted 2034]]/$L136,0)</f>
        <v>1</v>
      </c>
      <c r="BL136" s="80">
        <f t="shared" si="56"/>
        <v>2.3280896353946678</v>
      </c>
      <c r="BM136" s="80">
        <f t="shared" si="57"/>
        <v>2.5895678133829483</v>
      </c>
      <c r="BN136" s="80">
        <f t="shared" si="58"/>
        <v>2.8305949832788242</v>
      </c>
      <c r="BO136" s="80">
        <f t="shared" si="59"/>
        <v>3.0585295943354942</v>
      </c>
      <c r="BP136" s="80">
        <f t="shared" si="60"/>
        <v>3.2755723704665147</v>
      </c>
      <c r="BQ136" s="80">
        <f t="shared" si="61"/>
        <v>3.4740322517178632</v>
      </c>
      <c r="BR136" s="80">
        <f t="shared" si="62"/>
        <v>3.6812542768284344</v>
      </c>
      <c r="BS136" s="80">
        <f t="shared" si="63"/>
        <v>3.906319538046565</v>
      </c>
      <c r="BT136" s="80">
        <f t="shared" si="64"/>
        <v>4.1521879363556522</v>
      </c>
      <c r="BU136" s="80">
        <f t="shared" si="65"/>
        <v>4.4205167950970177</v>
      </c>
      <c r="BV136" s="80">
        <f>IFERROR(VLOOKUP($H136,'1. Set Program Names'!$B$2:$D$15,3,0)*V136,"NA")</f>
        <v>0.53791597571528205</v>
      </c>
      <c r="BW136" s="80">
        <f>IFERROR(VLOOKUP($H136,'1. Set Program Names'!$B$2:$D$15,3,0)*W136,"NA")</f>
        <v>0.59833172908767129</v>
      </c>
      <c r="BX136" s="80">
        <f>IFERROR(VLOOKUP($H136,'1. Set Program Names'!$B$2:$D$15,3,0)*X136,"NA")</f>
        <v>0.6540221815931454</v>
      </c>
      <c r="BY136" s="80">
        <f>IFERROR(VLOOKUP($H136,'1. Set Program Names'!$B$2:$D$15,3,0)*Y136,"NA")</f>
        <v>0.70668753727436961</v>
      </c>
      <c r="BZ136" s="80">
        <f>IFERROR(VLOOKUP($H136,'1. Set Program Names'!$B$2:$D$15,3,0)*Z136,"NA")</f>
        <v>0.75683628366259847</v>
      </c>
      <c r="CA136" s="80">
        <f>IFERROR(VLOOKUP($H136,'1. Set Program Names'!$B$2:$D$15,3,0)*AA136,"NA")</f>
        <v>0.80269136546040942</v>
      </c>
      <c r="CB136" s="80">
        <f>IFERROR(VLOOKUP($H136,'1. Set Program Names'!$B$2:$D$15,3,0)*AB136,"NA")</f>
        <v>0.85057098149080901</v>
      </c>
      <c r="CC136" s="80">
        <f>IFERROR(VLOOKUP($H136,'1. Set Program Names'!$B$2:$D$15,3,0)*AC136,"NA")</f>
        <v>0.90257336050025871</v>
      </c>
      <c r="CD136" s="80">
        <f>IFERROR(VLOOKUP($H136,'1. Set Program Names'!$B$2:$D$15,3,0)*AD136,"NA")</f>
        <v>0.9593824014251654</v>
      </c>
      <c r="CE136" s="80">
        <f>IFERROR(VLOOKUP($H136,'1. Set Program Names'!$B$2:$D$15,3,0)*AE136,"NA")</f>
        <v>1.0213810365584559</v>
      </c>
    </row>
    <row r="137" spans="1:83" x14ac:dyDescent="0.25">
      <c r="A137" s="79" t="s">
        <v>116</v>
      </c>
      <c r="B137" s="79" t="s">
        <v>88</v>
      </c>
      <c r="C137" s="79" t="s">
        <v>89</v>
      </c>
      <c r="D137" s="79" t="s">
        <v>90</v>
      </c>
      <c r="E137" s="79" t="s">
        <v>91</v>
      </c>
      <c r="F137" s="79" t="s">
        <v>90</v>
      </c>
      <c r="G137" s="79" t="s">
        <v>92</v>
      </c>
      <c r="H137" s="79" t="s">
        <v>7</v>
      </c>
      <c r="I137" s="79" t="s">
        <v>433</v>
      </c>
      <c r="J137" s="79" t="s">
        <v>97</v>
      </c>
      <c r="K137" s="79" t="s">
        <v>102</v>
      </c>
      <c r="L137" s="79">
        <v>408.28</v>
      </c>
      <c r="M137" s="79">
        <v>0.16567198429270899</v>
      </c>
      <c r="N137" s="79">
        <v>2.3547919008134799E-2</v>
      </c>
      <c r="O137" s="79">
        <v>128.60999999999999</v>
      </c>
      <c r="P137" s="79">
        <v>29.691921599999901</v>
      </c>
      <c r="Q137" s="79">
        <v>117.737496926549</v>
      </c>
      <c r="R137" s="79">
        <v>238.630335182902</v>
      </c>
      <c r="S137" s="79">
        <v>423.90838942107399</v>
      </c>
      <c r="T137" s="79">
        <v>11</v>
      </c>
      <c r="U137" s="79">
        <v>9.9999999999999895E-2</v>
      </c>
      <c r="V137" s="79">
        <f>tbl_Data_old[[#This Row],[2025 ]]*IFERROR(AVERAGEIFS('Participation Adjustment'!$C:$C,'Participation Adjustment'!$A:$A,$H137,'Participation Adjustment'!$B:$B,$I137),1)</f>
        <v>0.103362332387822</v>
      </c>
      <c r="W137" s="79">
        <f>tbl_Data_old[[#This Row],[2026 ]]*IFERROR(AVERAGEIFS('Participation Adjustment'!$C:$C,'Participation Adjustment'!$A:$A,$H137,'Participation Adjustment'!$B:$B,$I137),1)</f>
        <v>8.5659071342075593E-2</v>
      </c>
      <c r="X137" s="79">
        <f>tbl_Data_old[[#This Row],[2027 ]]*IFERROR(AVERAGEIFS('Participation Adjustment'!$C:$C,'Participation Adjustment'!$A:$A,$H137,'Participation Adjustment'!$B:$B,$I137),1)</f>
        <v>7.09583800409785E-2</v>
      </c>
      <c r="Y137" s="79">
        <f>tbl_Data_old[[#This Row],[2028 ]]*IFERROR(AVERAGEIFS('Participation Adjustment'!$C:$C,'Participation Adjustment'!$A:$A,$H137,'Participation Adjustment'!$B:$B,$I137),1)</f>
        <v>5.9006612155304797E-2</v>
      </c>
      <c r="Z137" s="79">
        <f>tbl_Data_old[[#This Row],[2029 ]]*IFERROR(AVERAGEIFS('Participation Adjustment'!$C:$C,'Participation Adjustment'!$A:$A,$H137,'Participation Adjustment'!$B:$B,$I137),1)</f>
        <v>4.9385005773431898E-2</v>
      </c>
      <c r="AA137" s="79">
        <f>tbl_Data_old[[#This Row],[2030 ]]*IFERROR(AVERAGEIFS('Participation Adjustment'!$C:$C,'Participation Adjustment'!$A:$A,$H137,'Participation Adjustment'!$B:$B,$I137),1)</f>
        <v>4.1526615269047697E-2</v>
      </c>
      <c r="AB137" s="79">
        <f>tbl_Data_old[[#This Row],[2031 ]]*IFERROR(AVERAGEIFS('Participation Adjustment'!$C:$C,'Participation Adjustment'!$A:$A,$H137,'Participation Adjustment'!$B:$B,$I137),1)</f>
        <v>3.5414618952117199E-2</v>
      </c>
      <c r="AC137" s="79">
        <f>tbl_Data_old[[#This Row],[2032 ]]*IFERROR(AVERAGEIFS('Participation Adjustment'!$C:$C,'Participation Adjustment'!$A:$A,$H137,'Participation Adjustment'!$B:$B,$I137),1)</f>
        <v>3.0667132375198101E-2</v>
      </c>
      <c r="AD137" s="79">
        <f>tbl_Data_old[[#This Row],[2033 ]]*IFERROR(AVERAGEIFS('Participation Adjustment'!$C:$C,'Participation Adjustment'!$A:$A,$H137,'Participation Adjustment'!$B:$B,$I137),1)</f>
        <v>2.69911226982524E-2</v>
      </c>
      <c r="AE137" s="79">
        <f>tbl_Data_old[[#This Row],[2034 ]]*IFERROR(AVERAGEIFS('Participation Adjustment'!$C:$C,'Participation Adjustment'!$A:$A,$H137,'Participation Adjustment'!$B:$B,$I137),1)</f>
        <v>2.4140626655880199E-2</v>
      </c>
      <c r="AF137" s="77" t="str">
        <f t="shared" si="55"/>
        <v>Residential</v>
      </c>
      <c r="AG137" s="77" t="str">
        <f>tbl_Data[[#This Row],[All_Meas_Name_Append]]</f>
        <v>Smart Thermostat Residential_Efficiency Delivered</v>
      </c>
      <c r="AH137" s="77">
        <f>AVERAGEIFS('3. Incentive Adjustment'!G:G,'3. Incentive Adjustment'!A:A,tbl_Data[[#This Row],[Trimmed Sector]],'3. Incentive Adjustment'!B:B,tbl_Data[[#This Row],[Trimmed Measure Name]])</f>
        <v>1</v>
      </c>
      <c r="AI137" s="77">
        <f>$AH137*tbl_Data[[#This Row],[2025 ]]</f>
        <v>0.103362332387822</v>
      </c>
      <c r="AJ137" s="77">
        <f>$AH137*tbl_Data[[#This Row],[2026 ]]</f>
        <v>8.5659071342075593E-2</v>
      </c>
      <c r="AK137" s="77">
        <f>$AH137*tbl_Data[[#This Row],[2027 ]]</f>
        <v>7.09583800409785E-2</v>
      </c>
      <c r="AL137" s="77">
        <f>$AH137*tbl_Data[[#This Row],[2028 ]]</f>
        <v>5.9006612155304797E-2</v>
      </c>
      <c r="AM137" s="77">
        <f>$AH137*tbl_Data[[#This Row],[2029 ]]</f>
        <v>4.9385005773431898E-2</v>
      </c>
      <c r="AN137" s="77">
        <f>$AH137*tbl_Data[[#This Row],[2030 ]]</f>
        <v>4.1526615269047697E-2</v>
      </c>
      <c r="AO137" s="77">
        <f>$AH137*tbl_Data[[#This Row],[2031 ]]</f>
        <v>3.5414618952117199E-2</v>
      </c>
      <c r="AP137" s="77">
        <f>$AH137*tbl_Data[[#This Row],[2032 ]]</f>
        <v>3.0667132375198101E-2</v>
      </c>
      <c r="AQ137" s="77">
        <f>$AH137*tbl_Data[[#This Row],[2033 ]]</f>
        <v>2.69911226982524E-2</v>
      </c>
      <c r="AR137" s="77">
        <f>$AH137*tbl_Data[[#This Row],[2034 ]]</f>
        <v>2.4140626655880199E-2</v>
      </c>
      <c r="AS137" s="77">
        <f>SUM(tbl_Data[[#This Row],[Adjusted 2025]:[Adjusted 2034]])</f>
        <v>0.52711151765010844</v>
      </c>
      <c r="AT137" s="80">
        <f>AVERAGEIFS('3. Incentive Adjustment'!F:F,'3. Incentive Adjustment'!A:A,tbl_Data[[#This Row],[Trimmed Sector]],'3. Incentive Adjustment'!B:B,tbl_Data[[#This Row],[Trimmed Measure Name]])</f>
        <v>29.691921599999898</v>
      </c>
      <c r="AU137" s="80">
        <f>IFERROR(VLOOKUP(tbl_Data[[#This Row],[All_Meas_Name_Append]],'IRA Tax Credits'!$A$3:$D$46,4,0),0)</f>
        <v>0</v>
      </c>
      <c r="AV137" s="81">
        <f>tbl_Data[[#This Row],[Adj. per unit Incentive ($)]]/tbl_Data[[#This Row],[kWh Savings]]*tbl_Data[[#This Row],[Sum of Annuals]]</f>
        <v>3.8333873460674003E-2</v>
      </c>
      <c r="AW137" s="81">
        <f>IFERROR(VLOOKUP(tbl_Data[[#This Row],[Column1]],'1. Set Program Names'!$B$2:$D$15,3,0)*tbl_Data[[#This Row],[Sum of Annuals]],"")</f>
        <v>0.22800819543920306</v>
      </c>
      <c r="AX137" s="81">
        <f>tbl_Data[[#This Row],[per unit IRA tax ($)]]/tbl_Data[[#This Row],[kWh Savings]]*tbl_Data[[#This Row],[Sum of Annuals]]</f>
        <v>0</v>
      </c>
      <c r="AY137" s="81">
        <f>tbl_Data[[#This Row],[Avoided Costs ($/unit)]]/tbl_Data[[#This Row],[kWh Savings]]*tbl_Data[[#This Row],[Sum of Annuals]]</f>
        <v>0.30808464322429102</v>
      </c>
      <c r="AZ137" s="81">
        <f>tbl_Data[[#This Row],[Lost Revenue ($/unit)]]/tbl_Data[[#This Row],[kWh Savings]]*tbl_Data[[#This Row],[Sum of Annuals]]</f>
        <v>0.54728861196324952</v>
      </c>
      <c r="BA137" s="81">
        <f>tbl_Data[[#This Row],[Incremental Cost ($/unit)]]/tbl_Data[[#This Row],[kWh Savings]]*tbl_Data[[#This Row],[Sum of Annuals]]</f>
        <v>0.16604245195694242</v>
      </c>
      <c r="BB137" s="77">
        <f>ROUNDUP(tbl_Data[[#This Row],[Adjusted 2025]]/$L137,0)</f>
        <v>1</v>
      </c>
      <c r="BC137" s="77">
        <f>ROUNDUP(tbl_Data[[#This Row],[Adjusted 2026]]/$L137,0)</f>
        <v>1</v>
      </c>
      <c r="BD137" s="77">
        <f>ROUNDUP(tbl_Data[[#This Row],[Adjusted 2027]]/$L137,0)</f>
        <v>1</v>
      </c>
      <c r="BE137" s="77">
        <f>ROUNDUP(tbl_Data[[#This Row],[Adjusted 2028]]/$L137,0)</f>
        <v>1</v>
      </c>
      <c r="BF137" s="77">
        <f>ROUNDUP(tbl_Data[[#This Row],[Adjusted 2029]]/$L137,0)</f>
        <v>1</v>
      </c>
      <c r="BG137" s="77">
        <f>ROUNDUP(tbl_Data[[#This Row],[Adjusted 2030]]/$L137,0)</f>
        <v>1</v>
      </c>
      <c r="BH137" s="77">
        <f>ROUNDUP(tbl_Data[[#This Row],[Adjusted 2031]]/$L137,0)</f>
        <v>1</v>
      </c>
      <c r="BI137" s="77">
        <f>ROUNDUP(tbl_Data[[#This Row],[Adjusted 2032]]/$L137,0)</f>
        <v>1</v>
      </c>
      <c r="BJ137" s="77">
        <f>ROUNDUP(tbl_Data[[#This Row],[Adjusted 2033]]/$L137,0)</f>
        <v>1</v>
      </c>
      <c r="BK137" s="77">
        <f>ROUNDUP(tbl_Data[[#This Row],[Adjusted 2034]]/$L137,0)</f>
        <v>1</v>
      </c>
      <c r="BL137" s="80">
        <f t="shared" si="56"/>
        <v>7.5169645087987194E-3</v>
      </c>
      <c r="BM137" s="80">
        <f t="shared" si="57"/>
        <v>6.2295053164928638E-3</v>
      </c>
      <c r="BN137" s="80">
        <f t="shared" si="58"/>
        <v>5.160406233564542E-3</v>
      </c>
      <c r="BO137" s="80">
        <f t="shared" si="59"/>
        <v>4.291220980691954E-3</v>
      </c>
      <c r="BP137" s="80">
        <f t="shared" si="60"/>
        <v>3.5914953454498928E-3</v>
      </c>
      <c r="BQ137" s="80">
        <f t="shared" si="61"/>
        <v>3.0199985423775911E-3</v>
      </c>
      <c r="BR137" s="80">
        <f t="shared" si="62"/>
        <v>2.5755072240132614E-3</v>
      </c>
      <c r="BS137" s="80">
        <f t="shared" si="63"/>
        <v>2.2302490697100048E-3</v>
      </c>
      <c r="BT137" s="80">
        <f t="shared" si="64"/>
        <v>1.962913439434917E-3</v>
      </c>
      <c r="BU137" s="80">
        <f t="shared" si="65"/>
        <v>1.7556128001402532E-3</v>
      </c>
      <c r="BV137" s="80">
        <f>IFERROR(VLOOKUP($H137,'1. Set Program Names'!$B$2:$D$15,3,0)*V137,"NA")</f>
        <v>4.4710574698119648E-2</v>
      </c>
      <c r="BW137" s="80">
        <f>IFERROR(VLOOKUP($H137,'1. Set Program Names'!$B$2:$D$15,3,0)*W137,"NA")</f>
        <v>3.7052823976935143E-2</v>
      </c>
      <c r="BX137" s="80">
        <f>IFERROR(VLOOKUP($H137,'1. Set Program Names'!$B$2:$D$15,3,0)*X137,"NA")</f>
        <v>3.0693869594350616E-2</v>
      </c>
      <c r="BY137" s="80">
        <f>IFERROR(VLOOKUP($H137,'1. Set Program Names'!$B$2:$D$15,3,0)*Y137,"NA")</f>
        <v>2.5523993891255894E-2</v>
      </c>
      <c r="BZ137" s="80">
        <f>IFERROR(VLOOKUP($H137,'1. Set Program Names'!$B$2:$D$15,3,0)*Z137,"NA")</f>
        <v>2.1362056549918219E-2</v>
      </c>
      <c r="CA137" s="80">
        <f>IFERROR(VLOOKUP($H137,'1. Set Program Names'!$B$2:$D$15,3,0)*AA137,"NA")</f>
        <v>1.7962818669575456E-2</v>
      </c>
      <c r="CB137" s="80">
        <f>IFERROR(VLOOKUP($H137,'1. Set Program Names'!$B$2:$D$15,3,0)*AB137,"NA")</f>
        <v>1.5319003833263293E-2</v>
      </c>
      <c r="CC137" s="80">
        <f>IFERROR(VLOOKUP($H137,'1. Set Program Names'!$B$2:$D$15,3,0)*AC137,"NA")</f>
        <v>1.3265423497737986E-2</v>
      </c>
      <c r="CD137" s="80">
        <f>IFERROR(VLOOKUP($H137,'1. Set Program Names'!$B$2:$D$15,3,0)*AD137,"NA")</f>
        <v>1.1675322912203447E-2</v>
      </c>
      <c r="CE137" s="80">
        <f>IFERROR(VLOOKUP($H137,'1. Set Program Names'!$B$2:$D$15,3,0)*AE137,"NA")</f>
        <v>1.0442307815843332E-2</v>
      </c>
    </row>
    <row r="138" spans="1:83" x14ac:dyDescent="0.25">
      <c r="A138" s="79" t="s">
        <v>116</v>
      </c>
      <c r="B138" s="79" t="s">
        <v>88</v>
      </c>
      <c r="C138" s="79" t="s">
        <v>89</v>
      </c>
      <c r="D138" s="79" t="s">
        <v>90</v>
      </c>
      <c r="E138" s="79" t="s">
        <v>91</v>
      </c>
      <c r="F138" s="79" t="s">
        <v>90</v>
      </c>
      <c r="G138" s="79" t="s">
        <v>92</v>
      </c>
      <c r="H138" s="79"/>
      <c r="I138" s="79" t="s">
        <v>112</v>
      </c>
      <c r="J138" s="79" t="s">
        <v>94</v>
      </c>
      <c r="K138" s="79" t="s">
        <v>108</v>
      </c>
      <c r="L138" s="79">
        <v>1330.8133333333301</v>
      </c>
      <c r="M138" s="79">
        <v>5.33311142126306E-2</v>
      </c>
      <c r="N138" s="79">
        <v>0.24737910980336</v>
      </c>
      <c r="O138" s="79">
        <v>8990.02</v>
      </c>
      <c r="P138" s="79">
        <v>8776.4394094329891</v>
      </c>
      <c r="Q138" s="79">
        <v>383.77248638959497</v>
      </c>
      <c r="R138" s="79">
        <v>713.19672296706005</v>
      </c>
      <c r="S138" s="79">
        <v>2011.6258188035599</v>
      </c>
      <c r="T138" s="79">
        <v>20</v>
      </c>
      <c r="U138" s="79">
        <v>0.1</v>
      </c>
      <c r="V138" s="79">
        <f>tbl_Data_old[[#This Row],[2025 ]]*IFERROR(AVERAGEIFS('Participation Adjustment'!$C:$C,'Participation Adjustment'!$A:$A,$H138,'Participation Adjustment'!$B:$B,$I138),1)</f>
        <v>4.0116238504486397</v>
      </c>
      <c r="W138" s="79">
        <f>tbl_Data_old[[#This Row],[2026 ]]*IFERROR(AVERAGEIFS('Participation Adjustment'!$C:$C,'Participation Adjustment'!$A:$A,$H138,'Participation Adjustment'!$B:$B,$I138),1)</f>
        <v>4.4646714609199298</v>
      </c>
      <c r="X138" s="79">
        <f>tbl_Data_old[[#This Row],[2027 ]]*IFERROR(AVERAGEIFS('Participation Adjustment'!$C:$C,'Participation Adjustment'!$A:$A,$H138,'Participation Adjustment'!$B:$B,$I138),1)</f>
        <v>4.8826969551162502</v>
      </c>
      <c r="Y138" s="79">
        <f>tbl_Data_old[[#This Row],[2028 ]]*IFERROR(AVERAGEIFS('Participation Adjustment'!$C:$C,'Participation Adjustment'!$A:$A,$H138,'Participation Adjustment'!$B:$B,$I138),1)</f>
        <v>5.27830014219274</v>
      </c>
      <c r="Z138" s="79">
        <f>tbl_Data_old[[#This Row],[2029 ]]*IFERROR(AVERAGEIFS('Participation Adjustment'!$C:$C,'Participation Adjustment'!$A:$A,$H138,'Participation Adjustment'!$B:$B,$I138),1)</f>
        <v>5.6552128755986004</v>
      </c>
      <c r="AA138" s="79">
        <f>tbl_Data_old[[#This Row],[2030 ]]*IFERROR(AVERAGEIFS('Participation Adjustment'!$C:$C,'Participation Adjustment'!$A:$A,$H138,'Participation Adjustment'!$B:$B,$I138),1)</f>
        <v>6.0000994189913701</v>
      </c>
      <c r="AB138" s="79">
        <f>tbl_Data_old[[#This Row],[2031 ]]*IFERROR(AVERAGEIFS('Participation Adjustment'!$C:$C,'Participation Adjustment'!$A:$A,$H138,'Participation Adjustment'!$B:$B,$I138),1)</f>
        <v>6.3601474379535103</v>
      </c>
      <c r="AC138" s="79">
        <f>tbl_Data_old[[#This Row],[2032 ]]*IFERROR(AVERAGEIFS('Participation Adjustment'!$C:$C,'Participation Adjustment'!$A:$A,$H138,'Participation Adjustment'!$B:$B,$I138),1)</f>
        <v>6.7510483200937603</v>
      </c>
      <c r="AD138" s="79">
        <f>tbl_Data_old[[#This Row],[2033 ]]*IFERROR(AVERAGEIFS('Participation Adjustment'!$C:$C,'Participation Adjustment'!$A:$A,$H138,'Participation Adjustment'!$B:$B,$I138),1)</f>
        <v>7.1779293756926101</v>
      </c>
      <c r="AE138" s="79">
        <f>tbl_Data_old[[#This Row],[2034 ]]*IFERROR(AVERAGEIFS('Participation Adjustment'!$C:$C,'Participation Adjustment'!$A:$A,$H138,'Participation Adjustment'!$B:$B,$I138),1)</f>
        <v>7.64366849471467</v>
      </c>
      <c r="AF138" s="77" t="str">
        <f t="shared" ref="AF138:AF151" si="66">IF(C138="Residential","Residential","NonResidential")</f>
        <v>Residential</v>
      </c>
      <c r="AG138" s="77" t="str">
        <f>tbl_Data[[#This Row],[All_Meas_Name_Append]]</f>
        <v>Solar Thermal Water Heating System</v>
      </c>
      <c r="AH138" s="77">
        <f>AVERAGEIFS('3. Incentive Adjustment'!G:G,'3. Incentive Adjustment'!A:A,tbl_Data[[#This Row],[Trimmed Sector]],'3. Incentive Adjustment'!B:B,tbl_Data[[#This Row],[Trimmed Measure Name]])</f>
        <v>2.7736651842107431E-8</v>
      </c>
      <c r="AI138" s="77">
        <f>$AH138*tbl_Data[[#This Row],[2025 ]]</f>
        <v>1.1126901406138837E-7</v>
      </c>
      <c r="AJ138" s="77">
        <f>$AH138*tbl_Data[[#This Row],[2026 ]]</f>
        <v>1.2383503790092926E-7</v>
      </c>
      <c r="AK138" s="77">
        <f>$AH138*tbl_Data[[#This Row],[2027 ]]</f>
        <v>1.3542966549457747E-7</v>
      </c>
      <c r="AL138" s="77">
        <f>$AH138*tbl_Data[[#This Row],[2028 ]]</f>
        <v>1.4640237336214618E-7</v>
      </c>
      <c r="AM138" s="77">
        <f>$AH138*tbl_Data[[#This Row],[2029 ]]</f>
        <v>1.5685667062348158E-7</v>
      </c>
      <c r="AN138" s="77">
        <f>$AH138*tbl_Data[[#This Row],[2030 ]]</f>
        <v>1.6642266860259472E-7</v>
      </c>
      <c r="AO138" s="77">
        <f>$AH138*tbl_Data[[#This Row],[2031 ]]</f>
        <v>1.7640919515098809E-7</v>
      </c>
      <c r="AP138" s="77">
        <f>$AH138*tbl_Data[[#This Row],[2032 ]]</f>
        <v>1.8725147682368487E-7</v>
      </c>
      <c r="AQ138" s="77">
        <f>$AH138*tbl_Data[[#This Row],[2033 ]]</f>
        <v>1.9909172804082147E-7</v>
      </c>
      <c r="AR138" s="77">
        <f>$AH138*tbl_Data[[#This Row],[2034 ]]</f>
        <v>2.1200977183438618E-7</v>
      </c>
      <c r="AS138" s="77">
        <f>SUM(tbl_Data[[#This Row],[Adjusted 2025]:[Adjusted 2034]])</f>
        <v>1.614977601894998E-6</v>
      </c>
      <c r="AT138" s="80">
        <f>AVERAGEIFS('3. Incentive Adjustment'!F:F,'3. Incentive Adjustment'!A:A,tbl_Data[[#This Row],[Trimmed Sector]],'3. Incentive Adjustment'!B:B,tbl_Data[[#This Row],[Trimmed Measure Name]])</f>
        <v>0</v>
      </c>
      <c r="AU138" s="80">
        <f>IFERROR(VLOOKUP(tbl_Data[[#This Row],[All_Meas_Name_Append]],'IRA Tax Credits'!$A$3:$D$46,4,0),0)</f>
        <v>41666.666666666672</v>
      </c>
      <c r="AV138" s="81">
        <f>tbl_Data[[#This Row],[Adj. per unit Incentive ($)]]/tbl_Data[[#This Row],[kWh Savings]]*tbl_Data[[#This Row],[Sum of Annuals]]</f>
        <v>0</v>
      </c>
      <c r="AW138" s="81" t="str">
        <f>IFERROR(VLOOKUP(tbl_Data[[#This Row],[Column1]],'1. Set Program Names'!$B$2:$D$15,3,0)*tbl_Data[[#This Row],[Sum of Annuals]],"")</f>
        <v/>
      </c>
      <c r="AX138" s="81">
        <f>tbl_Data[[#This Row],[per unit IRA tax ($)]]/tbl_Data[[#This Row],[kWh Savings]]*tbl_Data[[#This Row],[Sum of Annuals]]</f>
        <v>5.0563615292120927E-5</v>
      </c>
      <c r="AY138" s="81">
        <f>tbl_Data[[#This Row],[Avoided Costs ($/unit)]]/tbl_Data[[#This Row],[kWh Savings]]*tbl_Data[[#This Row],[Sum of Annuals]]</f>
        <v>8.654833134649863E-7</v>
      </c>
      <c r="AZ138" s="81">
        <f>tbl_Data[[#This Row],[Lost Revenue ($/unit)]]/tbl_Data[[#This Row],[kWh Savings]]*tbl_Data[[#This Row],[Sum of Annuals]]</f>
        <v>2.4411617763283429E-6</v>
      </c>
      <c r="BA138" s="81">
        <f>tbl_Data[[#This Row],[Incremental Cost ($/unit)]]/tbl_Data[[#This Row],[kWh Savings]]*tbl_Data[[#This Row],[Sum of Annuals]]</f>
        <v>1.0909629905963349E-5</v>
      </c>
      <c r="BB138" s="77">
        <f>ROUNDUP(tbl_Data[[#This Row],[Adjusted 2025]]/$L138,0)</f>
        <v>1</v>
      </c>
      <c r="BC138" s="77">
        <f>ROUNDUP(tbl_Data[[#This Row],[Adjusted 2026]]/$L138,0)</f>
        <v>1</v>
      </c>
      <c r="BD138" s="77">
        <f>ROUNDUP(tbl_Data[[#This Row],[Adjusted 2027]]/$L138,0)</f>
        <v>1</v>
      </c>
      <c r="BE138" s="77">
        <f>ROUNDUP(tbl_Data[[#This Row],[Adjusted 2028]]/$L138,0)</f>
        <v>1</v>
      </c>
      <c r="BF138" s="77">
        <f>ROUNDUP(tbl_Data[[#This Row],[Adjusted 2029]]/$L138,0)</f>
        <v>1</v>
      </c>
      <c r="BG138" s="77">
        <f>ROUNDUP(tbl_Data[[#This Row],[Adjusted 2030]]/$L138,0)</f>
        <v>1</v>
      </c>
      <c r="BH138" s="77">
        <f>ROUNDUP(tbl_Data[[#This Row],[Adjusted 2031]]/$L138,0)</f>
        <v>1</v>
      </c>
      <c r="BI138" s="77">
        <f>ROUNDUP(tbl_Data[[#This Row],[Adjusted 2032]]/$L138,0)</f>
        <v>1</v>
      </c>
      <c r="BJ138" s="77">
        <f>ROUNDUP(tbl_Data[[#This Row],[Adjusted 2033]]/$L138,0)</f>
        <v>1</v>
      </c>
      <c r="BK138" s="77">
        <f>ROUNDUP(tbl_Data[[#This Row],[Adjusted 2034]]/$L138,0)</f>
        <v>1</v>
      </c>
      <c r="BL138" s="80">
        <f t="shared" ref="BL138:BL151" si="67">$AT138/$L138*V138</f>
        <v>0</v>
      </c>
      <c r="BM138" s="80">
        <f t="shared" ref="BM138:BM151" si="68">$AT138/$L138*W138</f>
        <v>0</v>
      </c>
      <c r="BN138" s="80">
        <f t="shared" ref="BN138:BN151" si="69">$AT138/$L138*X138</f>
        <v>0</v>
      </c>
      <c r="BO138" s="80">
        <f t="shared" ref="BO138:BO151" si="70">$AT138/$L138*Y138</f>
        <v>0</v>
      </c>
      <c r="BP138" s="80">
        <f t="shared" ref="BP138:BP151" si="71">$AT138/$L138*Z138</f>
        <v>0</v>
      </c>
      <c r="BQ138" s="80">
        <f t="shared" ref="BQ138:BQ151" si="72">$AT138/$L138*AA138</f>
        <v>0</v>
      </c>
      <c r="BR138" s="80">
        <f t="shared" ref="BR138:BR151" si="73">$AT138/$L138*AB138</f>
        <v>0</v>
      </c>
      <c r="BS138" s="80">
        <f t="shared" ref="BS138:BS151" si="74">$AT138/$L138*AC138</f>
        <v>0</v>
      </c>
      <c r="BT138" s="80">
        <f t="shared" ref="BT138:BT151" si="75">$AT138/$L138*AD138</f>
        <v>0</v>
      </c>
      <c r="BU138" s="80">
        <f t="shared" ref="BU138:BU151" si="76">$AT138/$L138*AE138</f>
        <v>0</v>
      </c>
      <c r="BV138" s="80" t="str">
        <f>IFERROR(VLOOKUP($H138,'1. Set Program Names'!$B$2:$D$15,3,0)*V138,"NA")</f>
        <v>NA</v>
      </c>
      <c r="BW138" s="80" t="str">
        <f>IFERROR(VLOOKUP($H138,'1. Set Program Names'!$B$2:$D$15,3,0)*W138,"NA")</f>
        <v>NA</v>
      </c>
      <c r="BX138" s="80" t="str">
        <f>IFERROR(VLOOKUP($H138,'1. Set Program Names'!$B$2:$D$15,3,0)*X138,"NA")</f>
        <v>NA</v>
      </c>
      <c r="BY138" s="80" t="str">
        <f>IFERROR(VLOOKUP($H138,'1. Set Program Names'!$B$2:$D$15,3,0)*Y138,"NA")</f>
        <v>NA</v>
      </c>
      <c r="BZ138" s="80" t="str">
        <f>IFERROR(VLOOKUP($H138,'1. Set Program Names'!$B$2:$D$15,3,0)*Z138,"NA")</f>
        <v>NA</v>
      </c>
      <c r="CA138" s="80" t="str">
        <f>IFERROR(VLOOKUP($H138,'1. Set Program Names'!$B$2:$D$15,3,0)*AA138,"NA")</f>
        <v>NA</v>
      </c>
      <c r="CB138" s="80" t="str">
        <f>IFERROR(VLOOKUP($H138,'1. Set Program Names'!$B$2:$D$15,3,0)*AB138,"NA")</f>
        <v>NA</v>
      </c>
      <c r="CC138" s="80" t="str">
        <f>IFERROR(VLOOKUP($H138,'1. Set Program Names'!$B$2:$D$15,3,0)*AC138,"NA")</f>
        <v>NA</v>
      </c>
      <c r="CD138" s="80" t="str">
        <f>IFERROR(VLOOKUP($H138,'1. Set Program Names'!$B$2:$D$15,3,0)*AD138,"NA")</f>
        <v>NA</v>
      </c>
      <c r="CE138" s="80" t="str">
        <f>IFERROR(VLOOKUP($H138,'1. Set Program Names'!$B$2:$D$15,3,0)*AE138,"NA")</f>
        <v>NA</v>
      </c>
    </row>
    <row r="139" spans="1:83" x14ac:dyDescent="0.25">
      <c r="A139" s="79" t="s">
        <v>117</v>
      </c>
      <c r="B139" s="79" t="s">
        <v>88</v>
      </c>
      <c r="C139" s="79" t="s">
        <v>89</v>
      </c>
      <c r="D139" s="79" t="s">
        <v>90</v>
      </c>
      <c r="E139" s="79" t="s">
        <v>91</v>
      </c>
      <c r="F139" s="79" t="s">
        <v>90</v>
      </c>
      <c r="G139" s="79" t="s">
        <v>92</v>
      </c>
      <c r="H139" s="79" t="s">
        <v>7</v>
      </c>
      <c r="I139" s="79" t="s">
        <v>422</v>
      </c>
      <c r="J139" s="79" t="s">
        <v>94</v>
      </c>
      <c r="K139" s="79" t="s">
        <v>95</v>
      </c>
      <c r="L139" s="79">
        <v>1200.2266666666601</v>
      </c>
      <c r="M139" s="79">
        <v>4.8097974252120097E-2</v>
      </c>
      <c r="N139" s="79">
        <v>0.22310492157346501</v>
      </c>
      <c r="O139" s="79">
        <v>1210</v>
      </c>
      <c r="P139" s="79">
        <v>933.85922631496703</v>
      </c>
      <c r="Q139" s="79">
        <v>346.114635734861</v>
      </c>
      <c r="R139" s="79">
        <v>571.53970184074296</v>
      </c>
      <c r="S139" s="79">
        <v>1535.35818196214</v>
      </c>
      <c r="T139" s="79">
        <v>15</v>
      </c>
      <c r="U139" s="79">
        <v>0.1</v>
      </c>
      <c r="V139" s="79">
        <f>tbl_Data_old[[#This Row],[2025 ]]*IFERROR(AVERAGEIFS('Participation Adjustment'!$C:$C,'Participation Adjustment'!$A:$A,$H139,'Participation Adjustment'!$B:$B,$I139),1)</f>
        <v>1.3432537753442599</v>
      </c>
      <c r="W139" s="79">
        <f>tbl_Data_old[[#This Row],[2026 ]]*IFERROR(AVERAGEIFS('Participation Adjustment'!$C:$C,'Participation Adjustment'!$A:$A,$H139,'Participation Adjustment'!$B:$B,$I139),1)</f>
        <v>2.7704120633992799</v>
      </c>
      <c r="X139" s="79">
        <f>tbl_Data_old[[#This Row],[2027 ]]*IFERROR(AVERAGEIFS('Participation Adjustment'!$C:$C,'Participation Adjustment'!$A:$A,$H139,'Participation Adjustment'!$B:$B,$I139),1)</f>
        <v>4.2808723286145396</v>
      </c>
      <c r="Y139" s="79">
        <f>tbl_Data_old[[#This Row],[2028 ]]*IFERROR(AVERAGEIFS('Participation Adjustment'!$C:$C,'Participation Adjustment'!$A:$A,$H139,'Participation Adjustment'!$B:$B,$I139),1)</f>
        <v>5.87655823478344</v>
      </c>
      <c r="Z139" s="79">
        <f>tbl_Data_old[[#This Row],[2029 ]]*IFERROR(AVERAGEIFS('Participation Adjustment'!$C:$C,'Participation Adjustment'!$A:$A,$H139,'Participation Adjustment'!$B:$B,$I139),1)</f>
        <v>7.5593013960844599</v>
      </c>
      <c r="AA139" s="79">
        <f>tbl_Data_old[[#This Row],[2030 ]]*IFERROR(AVERAGEIFS('Participation Adjustment'!$C:$C,'Participation Adjustment'!$A:$A,$H139,'Participation Adjustment'!$B:$B,$I139),1)</f>
        <v>9.32603249697131</v>
      </c>
      <c r="AB139" s="79">
        <f>tbl_Data_old[[#This Row],[2031 ]]*IFERROR(AVERAGEIFS('Participation Adjustment'!$C:$C,'Participation Adjustment'!$A:$A,$H139,'Participation Adjustment'!$B:$B,$I139),1)</f>
        <v>11.1867682179535</v>
      </c>
      <c r="AC139" s="79">
        <f>tbl_Data_old[[#This Row],[2032 ]]*IFERROR(AVERAGEIFS('Participation Adjustment'!$C:$C,'Participation Adjustment'!$A:$A,$H139,'Participation Adjustment'!$B:$B,$I139),1)</f>
        <v>13.1552812095301</v>
      </c>
      <c r="AD139" s="79">
        <f>tbl_Data_old[[#This Row],[2033 ]]*IFERROR(AVERAGEIFS('Participation Adjustment'!$C:$C,'Participation Adjustment'!$A:$A,$H139,'Participation Adjustment'!$B:$B,$I139),1)</f>
        <v>15.246231526580701</v>
      </c>
      <c r="AE139" s="79">
        <f>tbl_Data_old[[#This Row],[2034 ]]*IFERROR(AVERAGEIFS('Participation Adjustment'!$C:$C,'Participation Adjustment'!$A:$A,$H139,'Participation Adjustment'!$B:$B,$I139),1)</f>
        <v>17.474712157394901</v>
      </c>
      <c r="AF139" s="77" t="str">
        <f t="shared" si="66"/>
        <v>Residential</v>
      </c>
      <c r="AG139" s="77" t="str">
        <f>tbl_Data[[#This Row],[All_Meas_Name_Append]]</f>
        <v>120v Heat Pump Water Heater 50 Gallons_Efficiency Delivered</v>
      </c>
      <c r="AH139" s="77">
        <f>AVERAGEIFS('3. Incentive Adjustment'!G:G,'3. Incentive Adjustment'!A:A,tbl_Data[[#This Row],[Trimmed Sector]],'3. Incentive Adjustment'!B:B,tbl_Data[[#This Row],[Trimmed Measure Name]])</f>
        <v>0.48531902873530169</v>
      </c>
      <c r="AI139" s="77">
        <f>$AH139*tbl_Data[[#This Row],[2025 ]]</f>
        <v>0.65190661759510338</v>
      </c>
      <c r="AJ139" s="77">
        <f>$AH139*tbl_Data[[#This Row],[2026 ]]</f>
        <v>1.3445336918055015</v>
      </c>
      <c r="AK139" s="77">
        <f>$AH139*tbl_Data[[#This Row],[2027 ]]</f>
        <v>2.0775888006630376</v>
      </c>
      <c r="AL139" s="77">
        <f>$AH139*tbl_Data[[#This Row],[2028 ]]</f>
        <v>2.8520055348115383</v>
      </c>
      <c r="AM139" s="77">
        <f>$AH139*tbl_Data[[#This Row],[2029 ]]</f>
        <v>3.6686728114651204</v>
      </c>
      <c r="AN139" s="77">
        <f>$AH139*tbl_Data[[#This Row],[2030 ]]</f>
        <v>4.5261010333839762</v>
      </c>
      <c r="AO139" s="77">
        <f>$AH139*tbl_Data[[#This Row],[2031 ]]</f>
        <v>5.4291514862241339</v>
      </c>
      <c r="AP139" s="77">
        <f>$AH139*tbl_Data[[#This Row],[2032 ]]</f>
        <v>6.3845082993489131</v>
      </c>
      <c r="AQ139" s="77">
        <f>$AH139*tbl_Data[[#This Row],[2033 ]]</f>
        <v>7.3992862763536813</v>
      </c>
      <c r="AR139" s="77">
        <f>$AH139*tbl_Data[[#This Row],[2034 ]]</f>
        <v>8.4808103316558618</v>
      </c>
      <c r="AS139" s="77">
        <f>SUM(tbl_Data[[#This Row],[Adjusted 2025]:[Adjusted 2034]])</f>
        <v>42.814564883306865</v>
      </c>
      <c r="AT139" s="80">
        <f>AVERAGEIFS('3. Incentive Adjustment'!F:F,'3. Incentive Adjustment'!A:A,tbl_Data[[#This Row],[Trimmed Sector]],'3. Incentive Adjustment'!B:B,tbl_Data[[#This Row],[Trimmed Measure Name]])</f>
        <v>605</v>
      </c>
      <c r="AU139" s="80">
        <f>IFERROR(VLOOKUP(tbl_Data[[#This Row],[All_Meas_Name_Append]],'IRA Tax Credits'!$A$3:$D$46,4,0),0)</f>
        <v>0</v>
      </c>
      <c r="AV139" s="81">
        <f>tbl_Data[[#This Row],[Adj. per unit Incentive ($)]]/tbl_Data[[#This Row],[kWh Savings]]*tbl_Data[[#This Row],[Sum of Annuals]]</f>
        <v>21.581599937568008</v>
      </c>
      <c r="AW139" s="81">
        <f>IFERROR(VLOOKUP(tbl_Data[[#This Row],[Column1]],'1. Set Program Names'!$B$2:$D$15,3,0)*tbl_Data[[#This Row],[Sum of Annuals]],"")</f>
        <v>18.519936200744226</v>
      </c>
      <c r="AX139" s="81">
        <f>tbl_Data[[#This Row],[per unit IRA tax ($)]]/tbl_Data[[#This Row],[kWh Savings]]*tbl_Data[[#This Row],[Sum of Annuals]]</f>
        <v>0</v>
      </c>
      <c r="AY139" s="81">
        <f>tbl_Data[[#This Row],[Avoided Costs ($/unit)]]/tbl_Data[[#This Row],[kWh Savings]]*tbl_Data[[#This Row],[Sum of Annuals]]</f>
        <v>20.388001972832758</v>
      </c>
      <c r="AZ139" s="81">
        <f>tbl_Data[[#This Row],[Lost Revenue ($/unit)]]/tbl_Data[[#This Row],[kWh Savings]]*tbl_Data[[#This Row],[Sum of Annuals]]</f>
        <v>54.76939841979943</v>
      </c>
      <c r="BA139" s="81">
        <f>tbl_Data[[#This Row],[Incremental Cost ($/unit)]]/tbl_Data[[#This Row],[kWh Savings]]*tbl_Data[[#This Row],[Sum of Annuals]]</f>
        <v>43.163199875136016</v>
      </c>
      <c r="BB139" s="77">
        <f>ROUNDUP(tbl_Data[[#This Row],[Adjusted 2025]]/$L139,0)</f>
        <v>1</v>
      </c>
      <c r="BC139" s="77">
        <f>ROUNDUP(tbl_Data[[#This Row],[Adjusted 2026]]/$L139,0)</f>
        <v>1</v>
      </c>
      <c r="BD139" s="77">
        <f>ROUNDUP(tbl_Data[[#This Row],[Adjusted 2027]]/$L139,0)</f>
        <v>1</v>
      </c>
      <c r="BE139" s="77">
        <f>ROUNDUP(tbl_Data[[#This Row],[Adjusted 2028]]/$L139,0)</f>
        <v>1</v>
      </c>
      <c r="BF139" s="77">
        <f>ROUNDUP(tbl_Data[[#This Row],[Adjusted 2029]]/$L139,0)</f>
        <v>1</v>
      </c>
      <c r="BG139" s="77">
        <f>ROUNDUP(tbl_Data[[#This Row],[Adjusted 2030]]/$L139,0)</f>
        <v>1</v>
      </c>
      <c r="BH139" s="77">
        <f>ROUNDUP(tbl_Data[[#This Row],[Adjusted 2031]]/$L139,0)</f>
        <v>1</v>
      </c>
      <c r="BI139" s="77">
        <f>ROUNDUP(tbl_Data[[#This Row],[Adjusted 2032]]/$L139,0)</f>
        <v>1</v>
      </c>
      <c r="BJ139" s="77">
        <f>ROUNDUP(tbl_Data[[#This Row],[Adjusted 2033]]/$L139,0)</f>
        <v>1</v>
      </c>
      <c r="BK139" s="77">
        <f>ROUNDUP(tbl_Data[[#This Row],[Adjusted 2034]]/$L139,0)</f>
        <v>1</v>
      </c>
      <c r="BL139" s="80">
        <f t="shared" si="67"/>
        <v>0.67709588251381536</v>
      </c>
      <c r="BM139" s="80">
        <f t="shared" si="68"/>
        <v>1.3964856346772609</v>
      </c>
      <c r="BN139" s="80">
        <f t="shared" si="69"/>
        <v>2.1578655355197993</v>
      </c>
      <c r="BO139" s="80">
        <f t="shared" si="70"/>
        <v>2.9622052490451805</v>
      </c>
      <c r="BP139" s="80">
        <f t="shared" si="71"/>
        <v>3.8104280396739973</v>
      </c>
      <c r="BQ139" s="80">
        <f t="shared" si="72"/>
        <v>4.7009867530585945</v>
      </c>
      <c r="BR139" s="80">
        <f t="shared" si="73"/>
        <v>5.6389305118993382</v>
      </c>
      <c r="BS139" s="80">
        <f t="shared" si="74"/>
        <v>6.6312017161473005</v>
      </c>
      <c r="BT139" s="80">
        <f t="shared" si="75"/>
        <v>7.6851900809691838</v>
      </c>
      <c r="BU139" s="80">
        <f t="shared" si="76"/>
        <v>8.8085035509048062</v>
      </c>
      <c r="BV139" s="80">
        <f>IFERROR(VLOOKUP($H139,'1. Set Program Names'!$B$2:$D$15,3,0)*V139,"NA")</f>
        <v>0.58103998694341252</v>
      </c>
      <c r="BW139" s="80">
        <f>IFERROR(VLOOKUP($H139,'1. Set Program Names'!$B$2:$D$15,3,0)*W139,"NA")</f>
        <v>1.1983738431949227</v>
      </c>
      <c r="BX139" s="80">
        <f>IFERROR(VLOOKUP($H139,'1. Set Program Names'!$B$2:$D$15,3,0)*X139,"NA")</f>
        <v>1.8517409350196152</v>
      </c>
      <c r="BY139" s="80">
        <f>IFERROR(VLOOKUP($H139,'1. Set Program Names'!$B$2:$D$15,3,0)*Y139,"NA")</f>
        <v>2.5419733654838779</v>
      </c>
      <c r="BZ139" s="80">
        <f>IFERROR(VLOOKUP($H139,'1. Set Program Names'!$B$2:$D$15,3,0)*Z139,"NA")</f>
        <v>3.269863420526439</v>
      </c>
      <c r="CA139" s="80">
        <f>IFERROR(VLOOKUP($H139,'1. Set Program Names'!$B$2:$D$15,3,0)*AA139,"NA")</f>
        <v>4.0340834321387096</v>
      </c>
      <c r="CB139" s="80">
        <f>IFERROR(VLOOKUP($H139,'1. Set Program Names'!$B$2:$D$15,3,0)*AB139,"NA")</f>
        <v>4.8389662315542878</v>
      </c>
      <c r="CC139" s="80">
        <f>IFERROR(VLOOKUP($H139,'1. Set Program Names'!$B$2:$D$15,3,0)*AC139,"NA")</f>
        <v>5.6904693383521581</v>
      </c>
      <c r="CD139" s="80">
        <f>IFERROR(VLOOKUP($H139,'1. Set Program Names'!$B$2:$D$15,3,0)*AD139,"NA")</f>
        <v>6.5949341291598627</v>
      </c>
      <c r="CE139" s="80">
        <f>IFERROR(VLOOKUP($H139,'1. Set Program Names'!$B$2:$D$15,3,0)*AE139,"NA")</f>
        <v>7.5588892509685319</v>
      </c>
    </row>
    <row r="140" spans="1:83" x14ac:dyDescent="0.25">
      <c r="A140" s="79" t="s">
        <v>117</v>
      </c>
      <c r="B140" s="79" t="s">
        <v>88</v>
      </c>
      <c r="C140" s="79" t="s">
        <v>89</v>
      </c>
      <c r="D140" s="79" t="s">
        <v>90</v>
      </c>
      <c r="E140" s="79" t="s">
        <v>91</v>
      </c>
      <c r="F140" s="79" t="s">
        <v>90</v>
      </c>
      <c r="G140" s="79" t="s">
        <v>92</v>
      </c>
      <c r="H140" s="79" t="s">
        <v>7</v>
      </c>
      <c r="I140" s="79" t="s">
        <v>423</v>
      </c>
      <c r="J140" s="79" t="s">
        <v>97</v>
      </c>
      <c r="K140" s="79" t="s">
        <v>102</v>
      </c>
      <c r="L140" s="79">
        <v>466.599999999999</v>
      </c>
      <c r="M140" s="79">
        <v>0.18933941062023901</v>
      </c>
      <c r="N140" s="79">
        <v>2.6910820932303899E-2</v>
      </c>
      <c r="O140" s="79">
        <v>674.44999999999902</v>
      </c>
      <c r="P140" s="79">
        <v>561.40215199999898</v>
      </c>
      <c r="Q140" s="79">
        <v>134.555491490957</v>
      </c>
      <c r="R140" s="79">
        <v>370.49545033119801</v>
      </c>
      <c r="S140" s="79">
        <v>705.301475078208</v>
      </c>
      <c r="T140" s="79">
        <v>20</v>
      </c>
      <c r="U140" s="79">
        <v>1</v>
      </c>
      <c r="V140" s="79">
        <f>tbl_Data_old[[#This Row],[2025 ]]*IFERROR(AVERAGEIFS('Participation Adjustment'!$C:$C,'Participation Adjustment'!$A:$A,$H140,'Participation Adjustment'!$B:$B,$I140),1)</f>
        <v>0.26184517906951599</v>
      </c>
      <c r="W140" s="79">
        <f>tbl_Data_old[[#This Row],[2026 ]]*IFERROR(AVERAGEIFS('Participation Adjustment'!$C:$C,'Participation Adjustment'!$A:$A,$H140,'Participation Adjustment'!$B:$B,$I140),1)</f>
        <v>0.515258486351166</v>
      </c>
      <c r="X140" s="79">
        <f>tbl_Data_old[[#This Row],[2027 ]]*IFERROR(AVERAGEIFS('Participation Adjustment'!$C:$C,'Participation Adjustment'!$A:$A,$H140,'Participation Adjustment'!$B:$B,$I140),1)</f>
        <v>0.76074664826370297</v>
      </c>
      <c r="Y140" s="79">
        <f>tbl_Data_old[[#This Row],[2028 ]]*IFERROR(AVERAGEIFS('Participation Adjustment'!$C:$C,'Participation Adjustment'!$A:$A,$H140,'Participation Adjustment'!$B:$B,$I140),1)</f>
        <v>0.99906428147487103</v>
      </c>
      <c r="Z140" s="79">
        <f>tbl_Data_old[[#This Row],[2029 ]]*IFERROR(AVERAGEIFS('Participation Adjustment'!$C:$C,'Participation Adjustment'!$A:$A,$H140,'Participation Adjustment'!$B:$B,$I140),1)</f>
        <v>1.23077339259416</v>
      </c>
      <c r="AA140" s="79">
        <f>tbl_Data_old[[#This Row],[2030 ]]*IFERROR(AVERAGEIFS('Participation Adjustment'!$C:$C,'Participation Adjustment'!$A:$A,$H140,'Participation Adjustment'!$B:$B,$I140),1)</f>
        <v>1.4556799765103401</v>
      </c>
      <c r="AB140" s="79">
        <f>tbl_Data_old[[#This Row],[2031 ]]*IFERROR(AVERAGEIFS('Participation Adjustment'!$C:$C,'Participation Adjustment'!$A:$A,$H140,'Participation Adjustment'!$B:$B,$I140),1)</f>
        <v>1.6751711194208401</v>
      </c>
      <c r="AC140" s="79">
        <f>tbl_Data_old[[#This Row],[2032 ]]*IFERROR(AVERAGEIFS('Participation Adjustment'!$C:$C,'Participation Adjustment'!$A:$A,$H140,'Participation Adjustment'!$B:$B,$I140),1)</f>
        <v>1.89074842593732</v>
      </c>
      <c r="AD140" s="79">
        <f>tbl_Data_old[[#This Row],[2033 ]]*IFERROR(AVERAGEIFS('Participation Adjustment'!$C:$C,'Participation Adjustment'!$A:$A,$H140,'Participation Adjustment'!$B:$B,$I140),1)</f>
        <v>2.1036789918807202</v>
      </c>
      <c r="AE140" s="79">
        <f>tbl_Data_old[[#This Row],[2034 ]]*IFERROR(AVERAGEIFS('Participation Adjustment'!$C:$C,'Participation Adjustment'!$A:$A,$H140,'Participation Adjustment'!$B:$B,$I140),1)</f>
        <v>2.3149872208791802</v>
      </c>
      <c r="AF140" s="77" t="str">
        <f t="shared" si="66"/>
        <v>Residential</v>
      </c>
      <c r="AG140" s="77" t="str">
        <f>tbl_Data[[#This Row],[All_Meas_Name_Append]]</f>
        <v>Air Sealing-Infiltration Control_Efficiency Delivered</v>
      </c>
      <c r="AH140" s="77">
        <f>AVERAGEIFS('3. Incentive Adjustment'!G:G,'3. Incentive Adjustment'!A:A,tbl_Data[[#This Row],[Trimmed Sector]],'3. Incentive Adjustment'!B:B,tbl_Data[[#This Row],[Trimmed Measure Name]])</f>
        <v>0.28148574428673256</v>
      </c>
      <c r="AI140" s="77">
        <f>$AH140*tbl_Data[[#This Row],[2025 ]]</f>
        <v>7.370568511827548E-2</v>
      </c>
      <c r="AJ140" s="77">
        <f>$AH140*tbl_Data[[#This Row],[2026 ]]</f>
        <v>0.14503791853061321</v>
      </c>
      <c r="AK140" s="77">
        <f>$AH140*tbl_Data[[#This Row],[2027 ]]</f>
        <v>0.21413933650014558</v>
      </c>
      <c r="AL140" s="77">
        <f>$AH140*tbl_Data[[#This Row],[2028 ]]</f>
        <v>0.28122235286124375</v>
      </c>
      <c r="AM140" s="77">
        <f>$AH140*tbl_Data[[#This Row],[2029 ]]</f>
        <v>0.34644516446267404</v>
      </c>
      <c r="AN140" s="77">
        <f>$AH140*tbl_Data[[#This Row],[2030 ]]</f>
        <v>0.40975316163130648</v>
      </c>
      <c r="AO140" s="77">
        <f>$AH140*tbl_Data[[#This Row],[2031 ]]</f>
        <v>0.47153678935781412</v>
      </c>
      <c r="AP140" s="77">
        <f>$AH140*tbl_Data[[#This Row],[2032 ]]</f>
        <v>0.53221872793393454</v>
      </c>
      <c r="AQ140" s="77">
        <f>$AH140*tbl_Data[[#This Row],[2033 ]]</f>
        <v>0.59215564676990773</v>
      </c>
      <c r="AR140" s="77">
        <f>$AH140*tbl_Data[[#This Row],[2034 ]]</f>
        <v>0.65163590088345058</v>
      </c>
      <c r="AS140" s="77">
        <f>SUM(tbl_Data[[#This Row],[Adjusted 2025]:[Adjusted 2034]])</f>
        <v>3.7178506840493655</v>
      </c>
      <c r="AT140" s="80">
        <f>AVERAGEIFS('3. Incentive Adjustment'!F:F,'3. Incentive Adjustment'!A:A,tbl_Data[[#This Row],[Trimmed Sector]],'3. Incentive Adjustment'!B:B,tbl_Data[[#This Row],[Trimmed Measure Name]])</f>
        <v>337.22499999999951</v>
      </c>
      <c r="AU140" s="80">
        <f>IFERROR(VLOOKUP(tbl_Data[[#This Row],[All_Meas_Name_Append]],'IRA Tax Credits'!$A$3:$D$46,4,0),0)</f>
        <v>0</v>
      </c>
      <c r="AV140" s="81">
        <f>tbl_Data[[#This Row],[Adj. per unit Incentive ($)]]/tbl_Data[[#This Row],[kWh Savings]]*tbl_Data[[#This Row],[Sum of Annuals]]</f>
        <v>2.6869957070907589</v>
      </c>
      <c r="AW140" s="81">
        <f>IFERROR(VLOOKUP(tbl_Data[[#This Row],[Column1]],'1. Set Program Names'!$B$2:$D$15,3,0)*tbl_Data[[#This Row],[Sum of Annuals]],"")</f>
        <v>1.6081993980355365</v>
      </c>
      <c r="AX140" s="81">
        <f>tbl_Data[[#This Row],[per unit IRA tax ($)]]/tbl_Data[[#This Row],[kWh Savings]]*tbl_Data[[#This Row],[Sum of Annuals]]</f>
        <v>0</v>
      </c>
      <c r="AY140" s="81">
        <f>tbl_Data[[#This Row],[Avoided Costs ($/unit)]]/tbl_Data[[#This Row],[kWh Savings]]*tbl_Data[[#This Row],[Sum of Annuals]]</f>
        <v>2.9520933635898525</v>
      </c>
      <c r="AZ140" s="81">
        <f>tbl_Data[[#This Row],[Lost Revenue ($/unit)]]/tbl_Data[[#This Row],[kWh Savings]]*tbl_Data[[#This Row],[Sum of Annuals]]</f>
        <v>5.6198147697825709</v>
      </c>
      <c r="BA140" s="81">
        <f>tbl_Data[[#This Row],[Incremental Cost ($/unit)]]/tbl_Data[[#This Row],[kWh Savings]]*tbl_Data[[#This Row],[Sum of Annuals]]</f>
        <v>5.3739914141815177</v>
      </c>
      <c r="BB140" s="77">
        <f>ROUNDUP(tbl_Data[[#This Row],[Adjusted 2025]]/$L140,0)</f>
        <v>1</v>
      </c>
      <c r="BC140" s="77">
        <f>ROUNDUP(tbl_Data[[#This Row],[Adjusted 2026]]/$L140,0)</f>
        <v>1</v>
      </c>
      <c r="BD140" s="77">
        <f>ROUNDUP(tbl_Data[[#This Row],[Adjusted 2027]]/$L140,0)</f>
        <v>1</v>
      </c>
      <c r="BE140" s="77">
        <f>ROUNDUP(tbl_Data[[#This Row],[Adjusted 2028]]/$L140,0)</f>
        <v>1</v>
      </c>
      <c r="BF140" s="77">
        <f>ROUNDUP(tbl_Data[[#This Row],[Adjusted 2029]]/$L140,0)</f>
        <v>1</v>
      </c>
      <c r="BG140" s="77">
        <f>ROUNDUP(tbl_Data[[#This Row],[Adjusted 2030]]/$L140,0)</f>
        <v>1</v>
      </c>
      <c r="BH140" s="77">
        <f>ROUNDUP(tbl_Data[[#This Row],[Adjusted 2031]]/$L140,0)</f>
        <v>1</v>
      </c>
      <c r="BI140" s="77">
        <f>ROUNDUP(tbl_Data[[#This Row],[Adjusted 2032]]/$L140,0)</f>
        <v>1</v>
      </c>
      <c r="BJ140" s="77">
        <f>ROUNDUP(tbl_Data[[#This Row],[Adjusted 2033]]/$L140,0)</f>
        <v>1</v>
      </c>
      <c r="BK140" s="77">
        <f>ROUNDUP(tbl_Data[[#This Row],[Adjusted 2034]]/$L140,0)</f>
        <v>1</v>
      </c>
      <c r="BL140" s="80">
        <f t="shared" si="67"/>
        <v>0.18924290722614143</v>
      </c>
      <c r="BM140" s="80">
        <f t="shared" si="68"/>
        <v>0.37239186253701684</v>
      </c>
      <c r="BN140" s="80">
        <f t="shared" si="69"/>
        <v>0.54981309142890566</v>
      </c>
      <c r="BO140" s="80">
        <f t="shared" si="70"/>
        <v>0.72205197668316246</v>
      </c>
      <c r="BP140" s="80">
        <f t="shared" si="71"/>
        <v>0.88951469635140556</v>
      </c>
      <c r="BQ140" s="80">
        <f t="shared" si="72"/>
        <v>1.0520610374597079</v>
      </c>
      <c r="BR140" s="80">
        <f t="shared" si="73"/>
        <v>1.2106934863838259</v>
      </c>
      <c r="BS140" s="80">
        <f t="shared" si="74"/>
        <v>1.3664972951922698</v>
      </c>
      <c r="BT140" s="80">
        <f t="shared" si="75"/>
        <v>1.5203882298263529</v>
      </c>
      <c r="BU140" s="80">
        <f t="shared" si="76"/>
        <v>1.6731066557243508</v>
      </c>
      <c r="BV140" s="80">
        <f>IFERROR(VLOOKUP($H140,'1. Set Program Names'!$B$2:$D$15,3,0)*V140,"NA")</f>
        <v>0.11326416662313477</v>
      </c>
      <c r="BW140" s="80">
        <f>IFERROR(VLOOKUP($H140,'1. Set Program Names'!$B$2:$D$15,3,0)*W140,"NA")</f>
        <v>0.22288102939091683</v>
      </c>
      <c r="BX140" s="80">
        <f>IFERROR(VLOOKUP($H140,'1. Set Program Names'!$B$2:$D$15,3,0)*X140,"NA")</f>
        <v>0.3290697786880229</v>
      </c>
      <c r="BY140" s="80">
        <f>IFERROR(VLOOKUP($H140,'1. Set Program Names'!$B$2:$D$15,3,0)*Y140,"NA")</f>
        <v>0.43215683269902933</v>
      </c>
      <c r="BZ140" s="80">
        <f>IFERROR(VLOOKUP($H140,'1. Set Program Names'!$B$2:$D$15,3,0)*Z140,"NA")</f>
        <v>0.53238529389573563</v>
      </c>
      <c r="CA140" s="80">
        <f>IFERROR(VLOOKUP($H140,'1. Set Program Names'!$B$2:$D$15,3,0)*AA140,"NA")</f>
        <v>0.62967124311903344</v>
      </c>
      <c r="CB140" s="80">
        <f>IFERROR(VLOOKUP($H140,'1. Set Program Names'!$B$2:$D$15,3,0)*AB140,"NA")</f>
        <v>0.72461468057799494</v>
      </c>
      <c r="CC140" s="80">
        <f>IFERROR(VLOOKUP($H140,'1. Set Program Names'!$B$2:$D$15,3,0)*AC140,"NA")</f>
        <v>0.81786514274887478</v>
      </c>
      <c r="CD140" s="80">
        <f>IFERROR(VLOOKUP($H140,'1. Set Program Names'!$B$2:$D$15,3,0)*AD140,"NA")</f>
        <v>0.90997072661287581</v>
      </c>
      <c r="CE140" s="80">
        <f>IFERROR(VLOOKUP($H140,'1. Set Program Names'!$B$2:$D$15,3,0)*AE140,"NA")</f>
        <v>1.001374549830744</v>
      </c>
    </row>
    <row r="141" spans="1:83" x14ac:dyDescent="0.25">
      <c r="A141" s="79" t="s">
        <v>117</v>
      </c>
      <c r="B141" s="79" t="s">
        <v>88</v>
      </c>
      <c r="C141" s="79" t="s">
        <v>89</v>
      </c>
      <c r="D141" s="79" t="s">
        <v>90</v>
      </c>
      <c r="E141" s="79" t="s">
        <v>91</v>
      </c>
      <c r="F141" s="79" t="s">
        <v>90</v>
      </c>
      <c r="G141" s="79" t="s">
        <v>92</v>
      </c>
      <c r="H141" s="79" t="s">
        <v>7</v>
      </c>
      <c r="I141" s="79" t="s">
        <v>424</v>
      </c>
      <c r="J141" s="79" t="s">
        <v>97</v>
      </c>
      <c r="K141" s="79" t="s">
        <v>98</v>
      </c>
      <c r="L141" s="79">
        <v>5868.07</v>
      </c>
      <c r="M141" s="79">
        <v>0.20813520080661799</v>
      </c>
      <c r="N141" s="79">
        <v>1.1349578069705</v>
      </c>
      <c r="O141" s="79">
        <v>1935.1666666666599</v>
      </c>
      <c r="P141" s="79">
        <v>513.45064263862798</v>
      </c>
      <c r="Q141" s="79">
        <v>1692.2011207744099</v>
      </c>
      <c r="R141" s="79">
        <v>3388.0400735263802</v>
      </c>
      <c r="S141" s="79">
        <v>7811.7411984889604</v>
      </c>
      <c r="T141" s="79">
        <v>16</v>
      </c>
      <c r="U141" s="79">
        <v>0.1</v>
      </c>
      <c r="V141" s="79">
        <f>tbl_Data_old[[#This Row],[2025 ]]*IFERROR(AVERAGEIFS('Participation Adjustment'!$C:$C,'Participation Adjustment'!$A:$A,$H141,'Participation Adjustment'!$B:$B,$I141),1)</f>
        <v>8.1467092563333896</v>
      </c>
      <c r="W141" s="79">
        <f>tbl_Data_old[[#This Row],[2026 ]]*IFERROR(AVERAGEIFS('Participation Adjustment'!$C:$C,'Participation Adjustment'!$A:$A,$H141,'Participation Adjustment'!$B:$B,$I141),1)</f>
        <v>16.772230310341499</v>
      </c>
      <c r="X141" s="79">
        <f>tbl_Data_old[[#This Row],[2027 ]]*IFERROR(AVERAGEIFS('Participation Adjustment'!$C:$C,'Participation Adjustment'!$A:$A,$H141,'Participation Adjustment'!$B:$B,$I141),1)</f>
        <v>25.869020516393299</v>
      </c>
      <c r="Y141" s="79">
        <f>tbl_Data_old[[#This Row],[2028 ]]*IFERROR(AVERAGEIFS('Participation Adjustment'!$C:$C,'Participation Adjustment'!$A:$A,$H141,'Participation Adjustment'!$B:$B,$I141),1)</f>
        <v>35.444715590593503</v>
      </c>
      <c r="Z141" s="79">
        <f>tbl_Data_old[[#This Row],[2029 ]]*IFERROR(AVERAGEIFS('Participation Adjustment'!$C:$C,'Participation Adjustment'!$A:$A,$H141,'Participation Adjustment'!$B:$B,$I141),1)</f>
        <v>45.506265324282701</v>
      </c>
      <c r="AA141" s="79">
        <f>tbl_Data_old[[#This Row],[2030 ]]*IFERROR(AVERAGEIFS('Participation Adjustment'!$C:$C,'Participation Adjustment'!$A:$A,$H141,'Participation Adjustment'!$B:$B,$I141),1)</f>
        <v>56.031299921100803</v>
      </c>
      <c r="AB141" s="79">
        <f>tbl_Data_old[[#This Row],[2031 ]]*IFERROR(AVERAGEIFS('Participation Adjustment'!$C:$C,'Participation Adjustment'!$A:$A,$H141,'Participation Adjustment'!$B:$B,$I141),1)</f>
        <v>67.075325473921495</v>
      </c>
      <c r="AC141" s="79">
        <f>tbl_Data_old[[#This Row],[2032 ]]*IFERROR(AVERAGEIFS('Participation Adjustment'!$C:$C,'Participation Adjustment'!$A:$A,$H141,'Participation Adjustment'!$B:$B,$I141),1)</f>
        <v>78.715401750309098</v>
      </c>
      <c r="AD141" s="79">
        <f>tbl_Data_old[[#This Row],[2033 ]]*IFERROR(AVERAGEIFS('Participation Adjustment'!$C:$C,'Participation Adjustment'!$A:$A,$H141,'Participation Adjustment'!$B:$B,$I141),1)</f>
        <v>91.032907693921501</v>
      </c>
      <c r="AE141" s="79">
        <f>tbl_Data_old[[#This Row],[2034 ]]*IFERROR(AVERAGEIFS('Participation Adjustment'!$C:$C,'Participation Adjustment'!$A:$A,$H141,'Participation Adjustment'!$B:$B,$I141),1)</f>
        <v>104.110792974742</v>
      </c>
      <c r="AF141" s="77" t="str">
        <f t="shared" si="66"/>
        <v>Residential</v>
      </c>
      <c r="AG141" s="77" t="str">
        <f>tbl_Data[[#This Row],[All_Meas_Name_Append]]</f>
        <v>ASHP - CEE Tier 2: 16.8 SEER/16 SEER2; 9.0 HSPF (from elec resistance)_Efficiency Delivered</v>
      </c>
      <c r="AH141" s="77">
        <f>AVERAGEIFS('3. Incentive Adjustment'!G:G,'3. Incentive Adjustment'!A:A,tbl_Data[[#This Row],[Trimmed Sector]],'3. Incentive Adjustment'!B:B,tbl_Data[[#This Row],[Trimmed Measure Name]])</f>
        <v>1</v>
      </c>
      <c r="AI141" s="77">
        <f>$AH141*tbl_Data[[#This Row],[2025 ]]</f>
        <v>8.1467092563333896</v>
      </c>
      <c r="AJ141" s="77">
        <f>$AH141*tbl_Data[[#This Row],[2026 ]]</f>
        <v>16.772230310341499</v>
      </c>
      <c r="AK141" s="77">
        <f>$AH141*tbl_Data[[#This Row],[2027 ]]</f>
        <v>25.869020516393299</v>
      </c>
      <c r="AL141" s="77">
        <f>$AH141*tbl_Data[[#This Row],[2028 ]]</f>
        <v>35.444715590593503</v>
      </c>
      <c r="AM141" s="77">
        <f>$AH141*tbl_Data[[#This Row],[2029 ]]</f>
        <v>45.506265324282701</v>
      </c>
      <c r="AN141" s="77">
        <f>$AH141*tbl_Data[[#This Row],[2030 ]]</f>
        <v>56.031299921100803</v>
      </c>
      <c r="AO141" s="77">
        <f>$AH141*tbl_Data[[#This Row],[2031 ]]</f>
        <v>67.075325473921495</v>
      </c>
      <c r="AP141" s="77">
        <f>$AH141*tbl_Data[[#This Row],[2032 ]]</f>
        <v>78.715401750309098</v>
      </c>
      <c r="AQ141" s="77">
        <f>$AH141*tbl_Data[[#This Row],[2033 ]]</f>
        <v>91.032907693921501</v>
      </c>
      <c r="AR141" s="77">
        <f>$AH141*tbl_Data[[#This Row],[2034 ]]</f>
        <v>104.110792974742</v>
      </c>
      <c r="AS141" s="77">
        <f>SUM(tbl_Data[[#This Row],[Adjusted 2025]:[Adjusted 2034]])</f>
        <v>528.70466881193931</v>
      </c>
      <c r="AT141" s="80">
        <f>AVERAGEIFS('3. Incentive Adjustment'!F:F,'3. Incentive Adjustment'!A:A,tbl_Data[[#This Row],[Trimmed Sector]],'3. Incentive Adjustment'!B:B,tbl_Data[[#This Row],[Trimmed Measure Name]])</f>
        <v>513.45064263862798</v>
      </c>
      <c r="AU141" s="80">
        <f>IFERROR(VLOOKUP(tbl_Data[[#This Row],[All_Meas_Name_Append]],'IRA Tax Credits'!$A$3:$D$46,4,0),0)</f>
        <v>0</v>
      </c>
      <c r="AV141" s="81">
        <f>tbl_Data[[#This Row],[Adj. per unit Incentive ($)]]/tbl_Data[[#This Row],[kWh Savings]]*tbl_Data[[#This Row],[Sum of Annuals]]</f>
        <v>46.261164568168624</v>
      </c>
      <c r="AW141" s="81">
        <f>IFERROR(VLOOKUP(tbl_Data[[#This Row],[Column1]],'1. Set Program Names'!$B$2:$D$15,3,0)*tbl_Data[[#This Row],[Sum of Annuals]],"")</f>
        <v>228.69733143662978</v>
      </c>
      <c r="AX141" s="81">
        <f>tbl_Data[[#This Row],[per unit IRA tax ($)]]/tbl_Data[[#This Row],[kWh Savings]]*tbl_Data[[#This Row],[Sum of Annuals]]</f>
        <v>0</v>
      </c>
      <c r="AY141" s="81">
        <f>tbl_Data[[#This Row],[Avoided Costs ($/unit)]]/tbl_Data[[#This Row],[kWh Savings]]*tbl_Data[[#This Row],[Sum of Annuals]]</f>
        <v>305.25753867887454</v>
      </c>
      <c r="AZ141" s="81">
        <f>tbl_Data[[#This Row],[Lost Revenue ($/unit)]]/tbl_Data[[#This Row],[kWh Savings]]*tbl_Data[[#This Row],[Sum of Annuals]]</f>
        <v>703.82664882860774</v>
      </c>
      <c r="BA141" s="81">
        <f>tbl_Data[[#This Row],[Incremental Cost ($/unit)]]/tbl_Data[[#This Row],[kWh Savings]]*tbl_Data[[#This Row],[Sum of Annuals]]</f>
        <v>174.35573392885584</v>
      </c>
      <c r="BB141" s="77">
        <f>ROUNDUP(tbl_Data[[#This Row],[Adjusted 2025]]/$L141,0)</f>
        <v>1</v>
      </c>
      <c r="BC141" s="77">
        <f>ROUNDUP(tbl_Data[[#This Row],[Adjusted 2026]]/$L141,0)</f>
        <v>1</v>
      </c>
      <c r="BD141" s="77">
        <f>ROUNDUP(tbl_Data[[#This Row],[Adjusted 2027]]/$L141,0)</f>
        <v>1</v>
      </c>
      <c r="BE141" s="77">
        <f>ROUNDUP(tbl_Data[[#This Row],[Adjusted 2028]]/$L141,0)</f>
        <v>1</v>
      </c>
      <c r="BF141" s="77">
        <f>ROUNDUP(tbl_Data[[#This Row],[Adjusted 2029]]/$L141,0)</f>
        <v>1</v>
      </c>
      <c r="BG141" s="77">
        <f>ROUNDUP(tbl_Data[[#This Row],[Adjusted 2030]]/$L141,0)</f>
        <v>1</v>
      </c>
      <c r="BH141" s="77">
        <f>ROUNDUP(tbl_Data[[#This Row],[Adjusted 2031]]/$L141,0)</f>
        <v>1</v>
      </c>
      <c r="BI141" s="77">
        <f>ROUNDUP(tbl_Data[[#This Row],[Adjusted 2032]]/$L141,0)</f>
        <v>1</v>
      </c>
      <c r="BJ141" s="77">
        <f>ROUNDUP(tbl_Data[[#This Row],[Adjusted 2033]]/$L141,0)</f>
        <v>1</v>
      </c>
      <c r="BK141" s="77">
        <f>ROUNDUP(tbl_Data[[#This Row],[Adjusted 2034]]/$L141,0)</f>
        <v>1</v>
      </c>
      <c r="BL141" s="80">
        <f t="shared" si="67"/>
        <v>0.71282944870365184</v>
      </c>
      <c r="BM141" s="80">
        <f t="shared" si="68"/>
        <v>1.4675544823643751</v>
      </c>
      <c r="BN141" s="80">
        <f t="shared" si="69"/>
        <v>2.2635151265363214</v>
      </c>
      <c r="BO141" s="80">
        <f t="shared" si="70"/>
        <v>3.101379499244834</v>
      </c>
      <c r="BP141" s="80">
        <f t="shared" si="71"/>
        <v>3.9817557007392326</v>
      </c>
      <c r="BQ141" s="80">
        <f t="shared" si="72"/>
        <v>4.9026863947374375</v>
      </c>
      <c r="BR141" s="80">
        <f t="shared" si="73"/>
        <v>5.869028312508223</v>
      </c>
      <c r="BS141" s="80">
        <f t="shared" si="74"/>
        <v>6.887524111718843</v>
      </c>
      <c r="BT141" s="80">
        <f t="shared" si="75"/>
        <v>7.9652943739094626</v>
      </c>
      <c r="BU141" s="80">
        <f t="shared" si="76"/>
        <v>9.1095971177062367</v>
      </c>
      <c r="BV141" s="80">
        <f>IFERROR(VLOOKUP($H141,'1. Set Program Names'!$B$2:$D$15,3,0)*V141,"NA")</f>
        <v>3.5239534977063993</v>
      </c>
      <c r="BW141" s="80">
        <f>IFERROR(VLOOKUP($H141,'1. Set Program Names'!$B$2:$D$15,3,0)*W141,"NA")</f>
        <v>7.2550225872509602</v>
      </c>
      <c r="BX141" s="80">
        <f>IFERROR(VLOOKUP($H141,'1. Set Program Names'!$B$2:$D$15,3,0)*X141,"NA")</f>
        <v>11.189944609857347</v>
      </c>
      <c r="BY141" s="80">
        <f>IFERROR(VLOOKUP($H141,'1. Set Program Names'!$B$2:$D$15,3,0)*Y141,"NA")</f>
        <v>15.332022483013844</v>
      </c>
      <c r="BZ141" s="80">
        <f>IFERROR(VLOOKUP($H141,'1. Set Program Names'!$B$2:$D$15,3,0)*Z141,"NA")</f>
        <v>19.68426241950311</v>
      </c>
      <c r="CA141" s="80">
        <f>IFERROR(VLOOKUP($H141,'1. Set Program Names'!$B$2:$D$15,3,0)*AA141,"NA")</f>
        <v>24.23698810467517</v>
      </c>
      <c r="CB141" s="80">
        <f>IFERROR(VLOOKUP($H141,'1. Set Program Names'!$B$2:$D$15,3,0)*AB141,"NA")</f>
        <v>29.014209342239937</v>
      </c>
      <c r="CC141" s="80">
        <f>IFERROR(VLOOKUP($H141,'1. Set Program Names'!$B$2:$D$15,3,0)*AC141,"NA")</f>
        <v>34.049259227671463</v>
      </c>
      <c r="CD141" s="80">
        <f>IFERROR(VLOOKUP($H141,'1. Set Program Names'!$B$2:$D$15,3,0)*AD141,"NA")</f>
        <v>39.377339166116236</v>
      </c>
      <c r="CE141" s="80">
        <f>IFERROR(VLOOKUP($H141,'1. Set Program Names'!$B$2:$D$15,3,0)*AE141,"NA")</f>
        <v>45.034329998595311</v>
      </c>
    </row>
    <row r="142" spans="1:83" x14ac:dyDescent="0.25">
      <c r="A142" s="79" t="s">
        <v>117</v>
      </c>
      <c r="B142" s="79" t="s">
        <v>88</v>
      </c>
      <c r="C142" s="79" t="s">
        <v>89</v>
      </c>
      <c r="D142" s="79" t="s">
        <v>90</v>
      </c>
      <c r="E142" s="79" t="s">
        <v>91</v>
      </c>
      <c r="F142" s="79" t="s">
        <v>90</v>
      </c>
      <c r="G142" s="79" t="s">
        <v>92</v>
      </c>
      <c r="H142" s="79" t="s">
        <v>7</v>
      </c>
      <c r="I142" s="79" t="s">
        <v>425</v>
      </c>
      <c r="J142" s="79" t="s">
        <v>97</v>
      </c>
      <c r="K142" s="79" t="s">
        <v>98</v>
      </c>
      <c r="L142" s="79">
        <v>253.96999999999801</v>
      </c>
      <c r="M142" s="79">
        <v>0.107126245482503</v>
      </c>
      <c r="N142" s="79">
        <v>1.33192706841354E-2</v>
      </c>
      <c r="O142" s="79">
        <v>874.99999999999898</v>
      </c>
      <c r="P142" s="79">
        <v>813.468148399999</v>
      </c>
      <c r="Q142" s="79">
        <v>73.238444436258604</v>
      </c>
      <c r="R142" s="79">
        <v>185.54516688855901</v>
      </c>
      <c r="S142" s="79">
        <v>338.09206641710699</v>
      </c>
      <c r="T142" s="79">
        <v>16</v>
      </c>
      <c r="U142" s="79">
        <v>9.9999999999999895E-2</v>
      </c>
      <c r="V142" s="79">
        <f>tbl_Data_old[[#This Row],[2025 ]]*IFERROR(AVERAGEIFS('Participation Adjustment'!$C:$C,'Participation Adjustment'!$A:$A,$H142,'Participation Adjustment'!$B:$B,$I142),1)</f>
        <v>6.5487472069468394E-2</v>
      </c>
      <c r="W142" s="79">
        <f>tbl_Data_old[[#This Row],[2026 ]]*IFERROR(AVERAGEIFS('Participation Adjustment'!$C:$C,'Participation Adjustment'!$A:$A,$H142,'Participation Adjustment'!$B:$B,$I142),1)</f>
        <v>0.13860562466543799</v>
      </c>
      <c r="X142" s="79">
        <f>tbl_Data_old[[#This Row],[2027 ]]*IFERROR(AVERAGEIFS('Participation Adjustment'!$C:$C,'Participation Adjustment'!$A:$A,$H142,'Participation Adjustment'!$B:$B,$I142),1)</f>
        <v>0.218827659169545</v>
      </c>
      <c r="Y142" s="79">
        <f>tbl_Data_old[[#This Row],[2028 ]]*IFERROR(AVERAGEIFS('Participation Adjustment'!$C:$C,'Participation Adjustment'!$A:$A,$H142,'Participation Adjustment'!$B:$B,$I142),1)</f>
        <v>0.30582915044842701</v>
      </c>
      <c r="Z142" s="79">
        <f>tbl_Data_old[[#This Row],[2029 ]]*IFERROR(AVERAGEIFS('Participation Adjustment'!$C:$C,'Participation Adjustment'!$A:$A,$H142,'Participation Adjustment'!$B:$B,$I142),1)</f>
        <v>0.39934404798677098</v>
      </c>
      <c r="AA142" s="79">
        <f>tbl_Data_old[[#This Row],[2030 ]]*IFERROR(AVERAGEIFS('Participation Adjustment'!$C:$C,'Participation Adjustment'!$A:$A,$H142,'Participation Adjustment'!$B:$B,$I142),1)</f>
        <v>0.498882306621792</v>
      </c>
      <c r="AB142" s="79">
        <f>tbl_Data_old[[#This Row],[2031 ]]*IFERROR(AVERAGEIFS('Participation Adjustment'!$C:$C,'Participation Adjustment'!$A:$A,$H142,'Participation Adjustment'!$B:$B,$I142),1)</f>
        <v>0.60473429994996397</v>
      </c>
      <c r="AC142" s="79">
        <f>tbl_Data_old[[#This Row],[2032 ]]*IFERROR(AVERAGEIFS('Participation Adjustment'!$C:$C,'Participation Adjustment'!$A:$A,$H142,'Participation Adjustment'!$B:$B,$I142),1)</f>
        <v>0.71745504674597405</v>
      </c>
      <c r="AD142" s="79">
        <f>tbl_Data_old[[#This Row],[2033 ]]*IFERROR(AVERAGEIFS('Participation Adjustment'!$C:$C,'Participation Adjustment'!$A:$A,$H142,'Participation Adjustment'!$B:$B,$I142),1)</f>
        <v>0.83769066048472196</v>
      </c>
      <c r="AE142" s="79">
        <f>tbl_Data_old[[#This Row],[2034 ]]*IFERROR(AVERAGEIFS('Participation Adjustment'!$C:$C,'Participation Adjustment'!$A:$A,$H142,'Participation Adjustment'!$B:$B,$I142),1)</f>
        <v>0.96614169591156995</v>
      </c>
      <c r="AF142" s="77" t="str">
        <f t="shared" si="66"/>
        <v>Residential</v>
      </c>
      <c r="AG142" s="77" t="str">
        <f>tbl_Data[[#This Row],[All_Meas_Name_Append]]</f>
        <v>ASHP - ENERGY STAR/CEE Tier 1: 16 SEER/15.2 SEER2_ 9.0 HSPF_Efficiency Delivered</v>
      </c>
      <c r="AH142" s="77">
        <f>AVERAGEIFS('3. Incentive Adjustment'!G:G,'3. Incentive Adjustment'!A:A,tbl_Data[[#This Row],[Trimmed Sector]],'3. Incentive Adjustment'!B:B,tbl_Data[[#This Row],[Trimmed Measure Name]])</f>
        <v>2.0121332905056414E-2</v>
      </c>
      <c r="AI142" s="77">
        <f>$AH142*tbl_Data[[#This Row],[2025 ]]</f>
        <v>1.3176952266203573E-3</v>
      </c>
      <c r="AJ142" s="77">
        <f>$AH142*tbl_Data[[#This Row],[2026 ]]</f>
        <v>2.7889299164065764E-3</v>
      </c>
      <c r="AK142" s="77">
        <f>$AH142*tbl_Data[[#This Row],[2027 ]]</f>
        <v>4.4031041789846358E-3</v>
      </c>
      <c r="AL142" s="77">
        <f>$AH142*tbl_Data[[#This Row],[2028 ]]</f>
        <v>6.1536901482433827E-3</v>
      </c>
      <c r="AM142" s="77">
        <f>$AH142*tbl_Data[[#This Row],[2029 ]]</f>
        <v>8.0353345331946428E-3</v>
      </c>
      <c r="AN142" s="77">
        <f>$AH142*tbl_Data[[#This Row],[2030 ]]</f>
        <v>1.0038176971979507E-2</v>
      </c>
      <c r="AO142" s="77">
        <f>$AH142*tbl_Data[[#This Row],[2031 ]]</f>
        <v>1.2168060168399466E-2</v>
      </c>
      <c r="AP142" s="77">
        <f>$AH142*tbl_Data[[#This Row],[2032 ]]</f>
        <v>1.4436151839988556E-2</v>
      </c>
      <c r="AQ142" s="77">
        <f>$AH142*tbl_Data[[#This Row],[2033 ]]</f>
        <v>1.6855452651069677E-2</v>
      </c>
      <c r="AR142" s="77">
        <f>$AH142*tbl_Data[[#This Row],[2034 ]]</f>
        <v>1.9440058696892481E-2</v>
      </c>
      <c r="AS142" s="77">
        <f>SUM(tbl_Data[[#This Row],[Adjusted 2025]:[Adjusted 2034]])</f>
        <v>9.5636654331779286E-2</v>
      </c>
      <c r="AT142" s="80">
        <f>AVERAGEIFS('3. Incentive Adjustment'!F:F,'3. Incentive Adjustment'!A:A,tbl_Data[[#This Row],[Trimmed Sector]],'3. Incentive Adjustment'!B:B,tbl_Data[[#This Row],[Trimmed Measure Name]])</f>
        <v>437.49999999999949</v>
      </c>
      <c r="AU142" s="80">
        <f>IFERROR(VLOOKUP(tbl_Data[[#This Row],[All_Meas_Name_Append]],'IRA Tax Credits'!$A$3:$D$46,4,0),0)</f>
        <v>0</v>
      </c>
      <c r="AV142" s="81">
        <f>tbl_Data[[#This Row],[Adj. per unit Incentive ($)]]/tbl_Data[[#This Row],[kWh Savings]]*tbl_Data[[#This Row],[Sum of Annuals]]</f>
        <v>0.16474794767159001</v>
      </c>
      <c r="AW142" s="81">
        <f>IFERROR(VLOOKUP(tbl_Data[[#This Row],[Column1]],'1. Set Program Names'!$B$2:$D$15,3,0)*tbl_Data[[#This Row],[Sum of Annuals]],"")</f>
        <v>4.1368743125257249E-2</v>
      </c>
      <c r="AX142" s="81">
        <f>tbl_Data[[#This Row],[per unit IRA tax ($)]]/tbl_Data[[#This Row],[kWh Savings]]*tbl_Data[[#This Row],[Sum of Annuals]]</f>
        <v>0</v>
      </c>
      <c r="AY142" s="81">
        <f>tbl_Data[[#This Row],[Avoided Costs ($/unit)]]/tbl_Data[[#This Row],[kWh Savings]]*tbl_Data[[#This Row],[Sum of Annuals]]</f>
        <v>6.9870138160623527E-2</v>
      </c>
      <c r="AZ142" s="81">
        <f>tbl_Data[[#This Row],[Lost Revenue ($/unit)]]/tbl_Data[[#This Row],[kWh Savings]]*tbl_Data[[#This Row],[Sum of Annuals]]</f>
        <v>0.12731422643717794</v>
      </c>
      <c r="BA142" s="81">
        <f>tbl_Data[[#This Row],[Incremental Cost ($/unit)]]/tbl_Data[[#This Row],[kWh Savings]]*tbl_Data[[#This Row],[Sum of Annuals]]</f>
        <v>0.32949589534318002</v>
      </c>
      <c r="BB142" s="77">
        <f>ROUNDUP(tbl_Data[[#This Row],[Adjusted 2025]]/$L142,0)</f>
        <v>1</v>
      </c>
      <c r="BC142" s="77">
        <f>ROUNDUP(tbl_Data[[#This Row],[Adjusted 2026]]/$L142,0)</f>
        <v>1</v>
      </c>
      <c r="BD142" s="77">
        <f>ROUNDUP(tbl_Data[[#This Row],[Adjusted 2027]]/$L142,0)</f>
        <v>1</v>
      </c>
      <c r="BE142" s="77">
        <f>ROUNDUP(tbl_Data[[#This Row],[Adjusted 2028]]/$L142,0)</f>
        <v>1</v>
      </c>
      <c r="BF142" s="77">
        <f>ROUNDUP(tbl_Data[[#This Row],[Adjusted 2029]]/$L142,0)</f>
        <v>1</v>
      </c>
      <c r="BG142" s="77">
        <f>ROUNDUP(tbl_Data[[#This Row],[Adjusted 2030]]/$L142,0)</f>
        <v>1</v>
      </c>
      <c r="BH142" s="77">
        <f>ROUNDUP(tbl_Data[[#This Row],[Adjusted 2031]]/$L142,0)</f>
        <v>1</v>
      </c>
      <c r="BI142" s="77">
        <f>ROUNDUP(tbl_Data[[#This Row],[Adjusted 2032]]/$L142,0)</f>
        <v>1</v>
      </c>
      <c r="BJ142" s="77">
        <f>ROUNDUP(tbl_Data[[#This Row],[Adjusted 2033]]/$L142,0)</f>
        <v>1</v>
      </c>
      <c r="BK142" s="77">
        <f>ROUNDUP(tbl_Data[[#This Row],[Adjusted 2034]]/$L142,0)</f>
        <v>1</v>
      </c>
      <c r="BL142" s="80">
        <f t="shared" si="67"/>
        <v>0.11281162747723202</v>
      </c>
      <c r="BM142" s="80">
        <f t="shared" si="68"/>
        <v>0.23876820408366944</v>
      </c>
      <c r="BN142" s="80">
        <f t="shared" si="69"/>
        <v>0.37696224312586751</v>
      </c>
      <c r="BO142" s="80">
        <f t="shared" si="70"/>
        <v>0.52683487546240781</v>
      </c>
      <c r="BP142" s="80">
        <f t="shared" si="71"/>
        <v>0.68792779066115473</v>
      </c>
      <c r="BQ142" s="80">
        <f t="shared" si="72"/>
        <v>0.85939681516334787</v>
      </c>
      <c r="BR142" s="80">
        <f t="shared" si="73"/>
        <v>1.0417421594208411</v>
      </c>
      <c r="BS142" s="80">
        <f t="shared" si="74"/>
        <v>1.235919923421529</v>
      </c>
      <c r="BT142" s="80">
        <f t="shared" si="75"/>
        <v>1.4430431309291187</v>
      </c>
      <c r="BU142" s="80">
        <f t="shared" si="76"/>
        <v>1.6643185886573795</v>
      </c>
      <c r="BV142" s="80">
        <f>IFERROR(VLOOKUP($H142,'1. Set Program Names'!$B$2:$D$15,3,0)*V142,"NA")</f>
        <v>2.8327364951160498E-2</v>
      </c>
      <c r="BW142" s="80">
        <f>IFERROR(VLOOKUP($H142,'1. Set Program Names'!$B$2:$D$15,3,0)*W142,"NA")</f>
        <v>5.9955469192892727E-2</v>
      </c>
      <c r="BX142" s="80">
        <f>IFERROR(VLOOKUP($H142,'1. Set Program Names'!$B$2:$D$15,3,0)*X142,"NA")</f>
        <v>9.4656439877969845E-2</v>
      </c>
      <c r="BY142" s="80">
        <f>IFERROR(VLOOKUP($H142,'1. Set Program Names'!$B$2:$D$15,3,0)*Y142,"NA")</f>
        <v>0.13228994315532583</v>
      </c>
      <c r="BZ142" s="80">
        <f>IFERROR(VLOOKUP($H142,'1. Set Program Names'!$B$2:$D$15,3,0)*Z142,"NA")</f>
        <v>0.17274089579141153</v>
      </c>
      <c r="CA142" s="80">
        <f>IFERROR(VLOOKUP($H142,'1. Set Program Names'!$B$2:$D$15,3,0)*AA142,"NA")</f>
        <v>0.21579732307213145</v>
      </c>
      <c r="CB142" s="80">
        <f>IFERROR(VLOOKUP($H142,'1. Set Program Names'!$B$2:$D$15,3,0)*AB142,"NA")</f>
        <v>0.26158482946166117</v>
      </c>
      <c r="CC142" s="80">
        <f>IFERROR(VLOOKUP($H142,'1. Set Program Names'!$B$2:$D$15,3,0)*AC142,"NA")</f>
        <v>0.31034349476287709</v>
      </c>
      <c r="CD142" s="80">
        <f>IFERROR(VLOOKUP($H142,'1. Set Program Names'!$B$2:$D$15,3,0)*AD142,"NA")</f>
        <v>0.36235280284689164</v>
      </c>
      <c r="CE142" s="80">
        <f>IFERROR(VLOOKUP($H142,'1. Set Program Names'!$B$2:$D$15,3,0)*AE142,"NA")</f>
        <v>0.4179157867872535</v>
      </c>
    </row>
    <row r="143" spans="1:83" x14ac:dyDescent="0.25">
      <c r="A143" s="79" t="s">
        <v>117</v>
      </c>
      <c r="B143" s="79" t="s">
        <v>88</v>
      </c>
      <c r="C143" s="79" t="s">
        <v>89</v>
      </c>
      <c r="D143" s="79" t="s">
        <v>90</v>
      </c>
      <c r="E143" s="79" t="s">
        <v>91</v>
      </c>
      <c r="F143" s="79" t="s">
        <v>90</v>
      </c>
      <c r="G143" s="79" t="s">
        <v>92</v>
      </c>
      <c r="H143" s="79" t="s">
        <v>7</v>
      </c>
      <c r="I143" s="79" t="s">
        <v>426</v>
      </c>
      <c r="J143" s="79" t="s">
        <v>101</v>
      </c>
      <c r="K143" s="79" t="s">
        <v>102</v>
      </c>
      <c r="L143" s="79">
        <v>3443.6666666666601</v>
      </c>
      <c r="M143" s="79">
        <v>1.66949913665645</v>
      </c>
      <c r="N143" s="79">
        <v>0.25022957227107101</v>
      </c>
      <c r="O143" s="79">
        <v>1269.26999999999</v>
      </c>
      <c r="P143" s="79">
        <v>446.40188399649003</v>
      </c>
      <c r="Q143" s="79">
        <v>993.06528260685695</v>
      </c>
      <c r="R143" s="79">
        <v>3363.3816217672702</v>
      </c>
      <c r="S143" s="79">
        <v>6252.5618237134204</v>
      </c>
      <c r="T143" s="79">
        <v>30</v>
      </c>
      <c r="U143" s="79">
        <v>0.1</v>
      </c>
      <c r="V143" s="79">
        <f>tbl_Data_old[[#This Row],[2025 ]]*IFERROR(AVERAGEIFS('Participation Adjustment'!$C:$C,'Participation Adjustment'!$A:$A,$H143,'Participation Adjustment'!$B:$B,$I143),1)</f>
        <v>1.7923219885722E-2</v>
      </c>
      <c r="W143" s="79">
        <f>tbl_Data_old[[#This Row],[2026 ]]*IFERROR(AVERAGEIFS('Participation Adjustment'!$C:$C,'Participation Adjustment'!$A:$A,$H143,'Participation Adjustment'!$B:$B,$I143),1)</f>
        <v>3.5270732352264501E-2</v>
      </c>
      <c r="X143" s="79">
        <f>tbl_Data_old[[#This Row],[2027 ]]*IFERROR(AVERAGEIFS('Participation Adjustment'!$C:$C,'Participation Adjustment'!$A:$A,$H143,'Participation Adjustment'!$B:$B,$I143),1)</f>
        <v>5.2077255208491699E-2</v>
      </c>
      <c r="Y143" s="79">
        <f>tbl_Data_old[[#This Row],[2028 ]]*IFERROR(AVERAGEIFS('Participation Adjustment'!$C:$C,'Participation Adjustment'!$A:$A,$H143,'Participation Adjustment'!$B:$B,$I143),1)</f>
        <v>6.8394470169180002E-2</v>
      </c>
      <c r="Z143" s="79">
        <f>tbl_Data_old[[#This Row],[2029 ]]*IFERROR(AVERAGEIFS('Participation Adjustment'!$C:$C,'Participation Adjustment'!$A:$A,$H143,'Participation Adjustment'!$B:$B,$I143),1)</f>
        <v>8.4260869234316402E-2</v>
      </c>
      <c r="AA143" s="79">
        <f>tbl_Data_old[[#This Row],[2030 ]]*IFERROR(AVERAGEIFS('Participation Adjustment'!$C:$C,'Participation Adjustment'!$A:$A,$H143,'Participation Adjustment'!$B:$B,$I143),1)</f>
        <v>9.9663170037901497E-2</v>
      </c>
      <c r="AB143" s="79">
        <f>tbl_Data_old[[#This Row],[2031 ]]*IFERROR(AVERAGEIFS('Participation Adjustment'!$C:$C,'Participation Adjustment'!$A:$A,$H143,'Participation Adjustment'!$B:$B,$I143),1)</f>
        <v>0.11469636499592401</v>
      </c>
      <c r="AC143" s="79">
        <f>tbl_Data_old[[#This Row],[2032 ]]*IFERROR(AVERAGEIFS('Participation Adjustment'!$C:$C,'Participation Adjustment'!$A:$A,$H143,'Participation Adjustment'!$B:$B,$I143),1)</f>
        <v>0.12946331591767199</v>
      </c>
      <c r="AD143" s="79">
        <f>tbl_Data_old[[#This Row],[2033 ]]*IFERROR(AVERAGEIFS('Participation Adjustment'!$C:$C,'Participation Adjustment'!$A:$A,$H143,'Participation Adjustment'!$B:$B,$I143),1)</f>
        <v>0.14405085001861501</v>
      </c>
      <c r="AE143" s="79">
        <f>tbl_Data_old[[#This Row],[2034 ]]*IFERROR(AVERAGEIFS('Participation Adjustment'!$C:$C,'Participation Adjustment'!$A:$A,$H143,'Participation Adjustment'!$B:$B,$I143),1)</f>
        <v>0.15852919495457901</v>
      </c>
      <c r="AF143" s="77" t="str">
        <f t="shared" si="66"/>
        <v>Residential</v>
      </c>
      <c r="AG143" s="77" t="str">
        <f>tbl_Data[[#This Row],[All_Meas_Name_Append]]</f>
        <v>Ceiling Insulation(R2 to R38) Residential_Efficiency Delivered</v>
      </c>
      <c r="AH143" s="77">
        <f>AVERAGEIFS('3. Incentive Adjustment'!G:G,'3. Incentive Adjustment'!A:A,tbl_Data[[#This Row],[Trimmed Sector]],'3. Incentive Adjustment'!B:B,tbl_Data[[#This Row],[Trimmed Measure Name]])</f>
        <v>1</v>
      </c>
      <c r="AI143" s="77">
        <f>$AH143*tbl_Data[[#This Row],[2025 ]]</f>
        <v>1.7923219885722E-2</v>
      </c>
      <c r="AJ143" s="77">
        <f>$AH143*tbl_Data[[#This Row],[2026 ]]</f>
        <v>3.5270732352264501E-2</v>
      </c>
      <c r="AK143" s="77">
        <f>$AH143*tbl_Data[[#This Row],[2027 ]]</f>
        <v>5.2077255208491699E-2</v>
      </c>
      <c r="AL143" s="77">
        <f>$AH143*tbl_Data[[#This Row],[2028 ]]</f>
        <v>6.8394470169180002E-2</v>
      </c>
      <c r="AM143" s="77">
        <f>$AH143*tbl_Data[[#This Row],[2029 ]]</f>
        <v>8.4260869234316402E-2</v>
      </c>
      <c r="AN143" s="77">
        <f>$AH143*tbl_Data[[#This Row],[2030 ]]</f>
        <v>9.9663170037901497E-2</v>
      </c>
      <c r="AO143" s="77">
        <f>$AH143*tbl_Data[[#This Row],[2031 ]]</f>
        <v>0.11469636499592401</v>
      </c>
      <c r="AP143" s="77">
        <f>$AH143*tbl_Data[[#This Row],[2032 ]]</f>
        <v>0.12946331591767199</v>
      </c>
      <c r="AQ143" s="77">
        <f>$AH143*tbl_Data[[#This Row],[2033 ]]</f>
        <v>0.14405085001861501</v>
      </c>
      <c r="AR143" s="77">
        <f>$AH143*tbl_Data[[#This Row],[2034 ]]</f>
        <v>0.15852919495457901</v>
      </c>
      <c r="AS143" s="77">
        <f>SUM(tbl_Data[[#This Row],[Adjusted 2025]:[Adjusted 2034]])</f>
        <v>0.9043294427746662</v>
      </c>
      <c r="AT143" s="80">
        <f>AVERAGEIFS('3. Incentive Adjustment'!F:F,'3. Incentive Adjustment'!A:A,tbl_Data[[#This Row],[Trimmed Sector]],'3. Incentive Adjustment'!B:B,tbl_Data[[#This Row],[Trimmed Measure Name]])</f>
        <v>446.40188399649008</v>
      </c>
      <c r="AU143" s="80">
        <f>IFERROR(VLOOKUP(tbl_Data[[#This Row],[All_Meas_Name_Append]],'IRA Tax Credits'!$A$3:$D$46,4,0),0)</f>
        <v>0</v>
      </c>
      <c r="AV143" s="81">
        <f>tbl_Data[[#This Row],[Adj. per unit Incentive ($)]]/tbl_Data[[#This Row],[kWh Savings]]*tbl_Data[[#This Row],[Sum of Annuals]]</f>
        <v>0.11722806127425453</v>
      </c>
      <c r="AW143" s="81">
        <f>IFERROR(VLOOKUP(tbl_Data[[#This Row],[Column1]],'1. Set Program Names'!$B$2:$D$15,3,0)*tbl_Data[[#This Row],[Sum of Annuals]],"")</f>
        <v>0.3911781803759819</v>
      </c>
      <c r="AX143" s="81">
        <f>tbl_Data[[#This Row],[per unit IRA tax ($)]]/tbl_Data[[#This Row],[kWh Savings]]*tbl_Data[[#This Row],[Sum of Annuals]]</f>
        <v>0</v>
      </c>
      <c r="AY143" s="81">
        <f>tbl_Data[[#This Row],[Avoided Costs ($/unit)]]/tbl_Data[[#This Row],[kWh Savings]]*tbl_Data[[#This Row],[Sum of Annuals]]</f>
        <v>0.88324606364863634</v>
      </c>
      <c r="AZ143" s="81">
        <f>tbl_Data[[#This Row],[Lost Revenue ($/unit)]]/tbl_Data[[#This Row],[kWh Savings]]*tbl_Data[[#This Row],[Sum of Annuals]]</f>
        <v>1.6419637256663204</v>
      </c>
      <c r="BA143" s="81">
        <f>tbl_Data[[#This Row],[Incremental Cost ($/unit)]]/tbl_Data[[#This Row],[kWh Savings]]*tbl_Data[[#This Row],[Sum of Annuals]]</f>
        <v>0.33331862312378097</v>
      </c>
      <c r="BB143" s="77">
        <f>ROUNDUP(tbl_Data[[#This Row],[Adjusted 2025]]/$L143,0)</f>
        <v>1</v>
      </c>
      <c r="BC143" s="77">
        <f>ROUNDUP(tbl_Data[[#This Row],[Adjusted 2026]]/$L143,0)</f>
        <v>1</v>
      </c>
      <c r="BD143" s="77">
        <f>ROUNDUP(tbl_Data[[#This Row],[Adjusted 2027]]/$L143,0)</f>
        <v>1</v>
      </c>
      <c r="BE143" s="77">
        <f>ROUNDUP(tbl_Data[[#This Row],[Adjusted 2028]]/$L143,0)</f>
        <v>1</v>
      </c>
      <c r="BF143" s="77">
        <f>ROUNDUP(tbl_Data[[#This Row],[Adjusted 2029]]/$L143,0)</f>
        <v>1</v>
      </c>
      <c r="BG143" s="77">
        <f>ROUNDUP(tbl_Data[[#This Row],[Adjusted 2030]]/$L143,0)</f>
        <v>1</v>
      </c>
      <c r="BH143" s="77">
        <f>ROUNDUP(tbl_Data[[#This Row],[Adjusted 2031]]/$L143,0)</f>
        <v>1</v>
      </c>
      <c r="BI143" s="77">
        <f>ROUNDUP(tbl_Data[[#This Row],[Adjusted 2032]]/$L143,0)</f>
        <v>1</v>
      </c>
      <c r="BJ143" s="77">
        <f>ROUNDUP(tbl_Data[[#This Row],[Adjusted 2033]]/$L143,0)</f>
        <v>1</v>
      </c>
      <c r="BK143" s="77">
        <f>ROUNDUP(tbl_Data[[#This Row],[Adjusted 2034]]/$L143,0)</f>
        <v>1</v>
      </c>
      <c r="BL143" s="80">
        <f t="shared" si="67"/>
        <v>2.3233837356314989E-3</v>
      </c>
      <c r="BM143" s="80">
        <f t="shared" si="68"/>
        <v>4.5721386231691585E-3</v>
      </c>
      <c r="BN143" s="80">
        <f t="shared" si="69"/>
        <v>6.7507651258649016E-3</v>
      </c>
      <c r="BO143" s="80">
        <f t="shared" si="70"/>
        <v>8.8659627350102851E-3</v>
      </c>
      <c r="BP143" s="80">
        <f t="shared" si="71"/>
        <v>1.0922721161566394E-2</v>
      </c>
      <c r="BQ143" s="80">
        <f t="shared" si="72"/>
        <v>1.2919318614843245E-2</v>
      </c>
      <c r="BR143" s="80">
        <f t="shared" si="73"/>
        <v>1.4868068944457358E-2</v>
      </c>
      <c r="BS143" s="80">
        <f t="shared" si="74"/>
        <v>1.6782306108048109E-2</v>
      </c>
      <c r="BT143" s="80">
        <f t="shared" si="75"/>
        <v>1.867328550177302E-2</v>
      </c>
      <c r="BU143" s="80">
        <f t="shared" si="76"/>
        <v>2.0550110723890545E-2</v>
      </c>
      <c r="BV143" s="80">
        <f>IFERROR(VLOOKUP($H143,'1. Set Program Names'!$B$2:$D$15,3,0)*V143,"NA")</f>
        <v>7.7528964664289228E-3</v>
      </c>
      <c r="BW143" s="80">
        <f>IFERROR(VLOOKUP($H143,'1. Set Program Names'!$B$2:$D$15,3,0)*W143,"NA")</f>
        <v>1.525676401705409E-2</v>
      </c>
      <c r="BX143" s="80">
        <f>IFERROR(VLOOKUP($H143,'1. Set Program Names'!$B$2:$D$15,3,0)*X143,"NA")</f>
        <v>2.2526620242430188E-2</v>
      </c>
      <c r="BY143" s="80">
        <f>IFERROR(VLOOKUP($H143,'1. Set Program Names'!$B$2:$D$15,3,0)*Y143,"NA")</f>
        <v>2.9584820667201993E-2</v>
      </c>
      <c r="BZ143" s="80">
        <f>IFERROR(VLOOKUP($H143,'1. Set Program Names'!$B$2:$D$15,3,0)*Z143,"NA")</f>
        <v>3.6448015452031912E-2</v>
      </c>
      <c r="CA143" s="80">
        <f>IFERROR(VLOOKUP($H143,'1. Set Program Names'!$B$2:$D$15,3,0)*AA143,"NA")</f>
        <v>4.3110459155583009E-2</v>
      </c>
      <c r="CB143" s="80">
        <f>IFERROR(VLOOKUP($H143,'1. Set Program Names'!$B$2:$D$15,3,0)*AB143,"NA")</f>
        <v>4.9613241848219421E-2</v>
      </c>
      <c r="CC143" s="80">
        <f>IFERROR(VLOOKUP($H143,'1. Set Program Names'!$B$2:$D$15,3,0)*AC143,"NA")</f>
        <v>5.6000857597572111E-2</v>
      </c>
      <c r="CD143" s="80">
        <f>IFERROR(VLOOKUP($H143,'1. Set Program Names'!$B$2:$D$15,3,0)*AD143,"NA")</f>
        <v>6.2310864521897512E-2</v>
      </c>
      <c r="CE143" s="80">
        <f>IFERROR(VLOOKUP($H143,'1. Set Program Names'!$B$2:$D$15,3,0)*AE143,"NA")</f>
        <v>6.8573640407562697E-2</v>
      </c>
    </row>
    <row r="144" spans="1:83" x14ac:dyDescent="0.25">
      <c r="A144" s="79" t="s">
        <v>117</v>
      </c>
      <c r="B144" s="79" t="s">
        <v>88</v>
      </c>
      <c r="C144" s="79" t="s">
        <v>89</v>
      </c>
      <c r="D144" s="79" t="s">
        <v>90</v>
      </c>
      <c r="E144" s="79" t="s">
        <v>91</v>
      </c>
      <c r="F144" s="79" t="s">
        <v>90</v>
      </c>
      <c r="G144" s="79" t="s">
        <v>92</v>
      </c>
      <c r="H144" s="79" t="s">
        <v>7</v>
      </c>
      <c r="I144" s="79" t="s">
        <v>427</v>
      </c>
      <c r="J144" s="79" t="s">
        <v>101</v>
      </c>
      <c r="K144" s="79" t="s">
        <v>102</v>
      </c>
      <c r="L144" s="79">
        <v>3523.57666666666</v>
      </c>
      <c r="M144" s="79">
        <v>1.7070465614975301</v>
      </c>
      <c r="N144" s="79">
        <v>0.25623328618049002</v>
      </c>
      <c r="O144" s="79">
        <v>1306.5999999999899</v>
      </c>
      <c r="P144" s="79">
        <v>465.31519597206898</v>
      </c>
      <c r="Q144" s="79">
        <v>1016.10928030304</v>
      </c>
      <c r="R144" s="79">
        <v>3440.61303289528</v>
      </c>
      <c r="S144" s="79">
        <v>6397.6520033667803</v>
      </c>
      <c r="T144" s="79">
        <v>30</v>
      </c>
      <c r="U144" s="79">
        <v>0.1</v>
      </c>
      <c r="V144" s="79">
        <f>tbl_Data_old[[#This Row],[2025 ]]*IFERROR(AVERAGEIFS('Participation Adjustment'!$C:$C,'Participation Adjustment'!$A:$A,$H144,'Participation Adjustment'!$B:$B,$I144),1)</f>
        <v>1.8337107043088701E-2</v>
      </c>
      <c r="W144" s="79">
        <f>tbl_Data_old[[#This Row],[2026 ]]*IFERROR(AVERAGEIFS('Participation Adjustment'!$C:$C,'Participation Adjustment'!$A:$A,$H144,'Participation Adjustment'!$B:$B,$I144),1)</f>
        <v>3.6086813372402403E-2</v>
      </c>
      <c r="X144" s="79">
        <f>tbl_Data_old[[#This Row],[2027 ]]*IFERROR(AVERAGEIFS('Participation Adjustment'!$C:$C,'Participation Adjustment'!$A:$A,$H144,'Participation Adjustment'!$B:$B,$I144),1)</f>
        <v>5.3284481218130203E-2</v>
      </c>
      <c r="Y144" s="79">
        <f>tbl_Data_old[[#This Row],[2028 ]]*IFERROR(AVERAGEIFS('Participation Adjustment'!$C:$C,'Participation Adjustment'!$A:$A,$H144,'Participation Adjustment'!$B:$B,$I144),1)</f>
        <v>6.9982847764387804E-2</v>
      </c>
      <c r="Z144" s="79">
        <f>tbl_Data_old[[#This Row],[2029 ]]*IFERROR(AVERAGEIFS('Participation Adjustment'!$C:$C,'Participation Adjustment'!$A:$A,$H144,'Participation Adjustment'!$B:$B,$I144),1)</f>
        <v>8.6221169785791293E-2</v>
      </c>
      <c r="AA144" s="79">
        <f>tbl_Data_old[[#This Row],[2030 ]]*IFERROR(AVERAGEIFS('Participation Adjustment'!$C:$C,'Participation Adjustment'!$A:$A,$H144,'Participation Adjustment'!$B:$B,$I144),1)</f>
        <v>0.101985726475379</v>
      </c>
      <c r="AB144" s="79">
        <f>tbl_Data_old[[#This Row],[2031 ]]*IFERROR(AVERAGEIFS('Participation Adjustment'!$C:$C,'Participation Adjustment'!$A:$A,$H144,'Participation Adjustment'!$B:$B,$I144),1)</f>
        <v>0.11737362869488099</v>
      </c>
      <c r="AC144" s="79">
        <f>tbl_Data_old[[#This Row],[2032 ]]*IFERROR(AVERAGEIFS('Participation Adjustment'!$C:$C,'Participation Adjustment'!$A:$A,$H144,'Participation Adjustment'!$B:$B,$I144),1)</f>
        <v>0.132490068847753</v>
      </c>
      <c r="AD144" s="79">
        <f>tbl_Data_old[[#This Row],[2033 ]]*IFERROR(AVERAGEIFS('Participation Adjustment'!$C:$C,'Participation Adjustment'!$A:$A,$H144,'Participation Adjustment'!$B:$B,$I144),1)</f>
        <v>0.14742384988022</v>
      </c>
      <c r="AE144" s="79">
        <f>tbl_Data_old[[#This Row],[2034 ]]*IFERROR(AVERAGEIFS('Participation Adjustment'!$C:$C,'Participation Adjustment'!$A:$A,$H144,'Participation Adjustment'!$B:$B,$I144),1)</f>
        <v>0.16224680073609599</v>
      </c>
      <c r="AF144" s="77" t="str">
        <f t="shared" si="66"/>
        <v>Residential</v>
      </c>
      <c r="AG144" s="77" t="str">
        <f>tbl_Data[[#This Row],[All_Meas_Name_Append]]</f>
        <v>Ceiling Insulation(R2 to R49) Residential_Efficiency Delivered</v>
      </c>
      <c r="AH144" s="77">
        <f>AVERAGEIFS('3. Incentive Adjustment'!G:G,'3. Incentive Adjustment'!A:A,tbl_Data[[#This Row],[Trimmed Sector]],'3. Incentive Adjustment'!B:B,tbl_Data[[#This Row],[Trimmed Measure Name]])</f>
        <v>1</v>
      </c>
      <c r="AI144" s="77">
        <f>$AH144*tbl_Data[[#This Row],[2025 ]]</f>
        <v>1.8337107043088701E-2</v>
      </c>
      <c r="AJ144" s="77">
        <f>$AH144*tbl_Data[[#This Row],[2026 ]]</f>
        <v>3.6086813372402403E-2</v>
      </c>
      <c r="AK144" s="77">
        <f>$AH144*tbl_Data[[#This Row],[2027 ]]</f>
        <v>5.3284481218130203E-2</v>
      </c>
      <c r="AL144" s="77">
        <f>$AH144*tbl_Data[[#This Row],[2028 ]]</f>
        <v>6.9982847764387804E-2</v>
      </c>
      <c r="AM144" s="77">
        <f>$AH144*tbl_Data[[#This Row],[2029 ]]</f>
        <v>8.6221169785791293E-2</v>
      </c>
      <c r="AN144" s="77">
        <f>$AH144*tbl_Data[[#This Row],[2030 ]]</f>
        <v>0.101985726475379</v>
      </c>
      <c r="AO144" s="77">
        <f>$AH144*tbl_Data[[#This Row],[2031 ]]</f>
        <v>0.11737362869488099</v>
      </c>
      <c r="AP144" s="77">
        <f>$AH144*tbl_Data[[#This Row],[2032 ]]</f>
        <v>0.132490068847753</v>
      </c>
      <c r="AQ144" s="77">
        <f>$AH144*tbl_Data[[#This Row],[2033 ]]</f>
        <v>0.14742384988022</v>
      </c>
      <c r="AR144" s="77">
        <f>$AH144*tbl_Data[[#This Row],[2034 ]]</f>
        <v>0.16224680073609599</v>
      </c>
      <c r="AS144" s="77">
        <f>SUM(tbl_Data[[#This Row],[Adjusted 2025]:[Adjusted 2034]])</f>
        <v>0.92543249381812953</v>
      </c>
      <c r="AT144" s="80">
        <f>AVERAGEIFS('3. Incentive Adjustment'!F:F,'3. Incentive Adjustment'!A:A,tbl_Data[[#This Row],[Trimmed Sector]],'3. Incentive Adjustment'!B:B,tbl_Data[[#This Row],[Trimmed Measure Name]])</f>
        <v>465.31519597206898</v>
      </c>
      <c r="AU144" s="80">
        <f>IFERROR(VLOOKUP(tbl_Data[[#This Row],[All_Meas_Name_Append]],'IRA Tax Credits'!$A$3:$D$46,4,0),0)</f>
        <v>0</v>
      </c>
      <c r="AV144" s="81">
        <f>tbl_Data[[#This Row],[Adj. per unit Incentive ($)]]/tbl_Data[[#This Row],[kWh Savings]]*tbl_Data[[#This Row],[Sum of Annuals]]</f>
        <v>0.12221042507562986</v>
      </c>
      <c r="AW144" s="81">
        <f>IFERROR(VLOOKUP(tbl_Data[[#This Row],[Column1]],'1. Set Program Names'!$B$2:$D$15,3,0)*tbl_Data[[#This Row],[Sum of Annuals]],"")</f>
        <v>0.40030654965945373</v>
      </c>
      <c r="AX144" s="81">
        <f>tbl_Data[[#This Row],[per unit IRA tax ($)]]/tbl_Data[[#This Row],[kWh Savings]]*tbl_Data[[#This Row],[Sum of Annuals]]</f>
        <v>0</v>
      </c>
      <c r="AY144" s="81">
        <f>tbl_Data[[#This Row],[Avoided Costs ($/unit)]]/tbl_Data[[#This Row],[kWh Savings]]*tbl_Data[[#This Row],[Sum of Annuals]]</f>
        <v>0.90364291755501558</v>
      </c>
      <c r="AZ144" s="81">
        <f>tbl_Data[[#This Row],[Lost Revenue ($/unit)]]/tbl_Data[[#This Row],[kWh Savings]]*tbl_Data[[#This Row],[Sum of Annuals]]</f>
        <v>1.6802798997012363</v>
      </c>
      <c r="BA144" s="81">
        <f>tbl_Data[[#This Row],[Incremental Cost ($/unit)]]/tbl_Data[[#This Row],[kWh Savings]]*tbl_Data[[#This Row],[Sum of Annuals]]</f>
        <v>0.3431655419510557</v>
      </c>
      <c r="BB144" s="77">
        <f>ROUNDUP(tbl_Data[[#This Row],[Adjusted 2025]]/$L144,0)</f>
        <v>1</v>
      </c>
      <c r="BC144" s="77">
        <f>ROUNDUP(tbl_Data[[#This Row],[Adjusted 2026]]/$L144,0)</f>
        <v>1</v>
      </c>
      <c r="BD144" s="77">
        <f>ROUNDUP(tbl_Data[[#This Row],[Adjusted 2027]]/$L144,0)</f>
        <v>1</v>
      </c>
      <c r="BE144" s="77">
        <f>ROUNDUP(tbl_Data[[#This Row],[Adjusted 2028]]/$L144,0)</f>
        <v>1</v>
      </c>
      <c r="BF144" s="77">
        <f>ROUNDUP(tbl_Data[[#This Row],[Adjusted 2029]]/$L144,0)</f>
        <v>1</v>
      </c>
      <c r="BG144" s="77">
        <f>ROUNDUP(tbl_Data[[#This Row],[Adjusted 2030]]/$L144,0)</f>
        <v>1</v>
      </c>
      <c r="BH144" s="77">
        <f>ROUNDUP(tbl_Data[[#This Row],[Adjusted 2031]]/$L144,0)</f>
        <v>1</v>
      </c>
      <c r="BI144" s="77">
        <f>ROUNDUP(tbl_Data[[#This Row],[Adjusted 2032]]/$L144,0)</f>
        <v>1</v>
      </c>
      <c r="BJ144" s="77">
        <f>ROUNDUP(tbl_Data[[#This Row],[Adjusted 2033]]/$L144,0)</f>
        <v>1</v>
      </c>
      <c r="BK144" s="77">
        <f>ROUNDUP(tbl_Data[[#This Row],[Adjusted 2034]]/$L144,0)</f>
        <v>1</v>
      </c>
      <c r="BL144" s="80">
        <f t="shared" si="67"/>
        <v>2.4215549609106395E-3</v>
      </c>
      <c r="BM144" s="80">
        <f t="shared" si="68"/>
        <v>4.7655391736579032E-3</v>
      </c>
      <c r="BN144" s="80">
        <f t="shared" si="69"/>
        <v>7.0366224906750052E-3</v>
      </c>
      <c r="BO144" s="80">
        <f t="shared" si="70"/>
        <v>9.2417692596924658E-3</v>
      </c>
      <c r="BP144" s="80">
        <f t="shared" si="71"/>
        <v>1.1386163637463994E-2</v>
      </c>
      <c r="BQ144" s="80">
        <f t="shared" si="72"/>
        <v>1.3467993686692848E-2</v>
      </c>
      <c r="BR144" s="80">
        <f t="shared" si="73"/>
        <v>1.5500083637963938E-2</v>
      </c>
      <c r="BS144" s="80">
        <f t="shared" si="74"/>
        <v>1.7496324951137305E-2</v>
      </c>
      <c r="BT144" s="80">
        <f t="shared" si="75"/>
        <v>1.9468444733137139E-2</v>
      </c>
      <c r="BU144" s="80">
        <f t="shared" si="76"/>
        <v>2.142592854429861E-2</v>
      </c>
      <c r="BV144" s="80">
        <f>IFERROR(VLOOKUP($H144,'1. Set Program Names'!$B$2:$D$15,3,0)*V144,"NA")</f>
        <v>7.9319281527167659E-3</v>
      </c>
      <c r="BW144" s="80">
        <f>IFERROR(VLOOKUP($H144,'1. Set Program Names'!$B$2:$D$15,3,0)*W144,"NA")</f>
        <v>1.5609769319543687E-2</v>
      </c>
      <c r="BX144" s="80">
        <f>IFERROR(VLOOKUP($H144,'1. Set Program Names'!$B$2:$D$15,3,0)*X144,"NA")</f>
        <v>2.304881984294747E-2</v>
      </c>
      <c r="BY144" s="80">
        <f>IFERROR(VLOOKUP($H144,'1. Set Program Names'!$B$2:$D$15,3,0)*Y144,"NA")</f>
        <v>3.0271891803067011E-2</v>
      </c>
      <c r="BZ144" s="80">
        <f>IFERROR(VLOOKUP($H144,'1. Set Program Names'!$B$2:$D$15,3,0)*Z144,"NA")</f>
        <v>3.7295966172693186E-2</v>
      </c>
      <c r="CA144" s="80">
        <f>IFERROR(VLOOKUP($H144,'1. Set Program Names'!$B$2:$D$15,3,0)*AA144,"NA")</f>
        <v>4.4115107857769904E-2</v>
      </c>
      <c r="CB144" s="80">
        <f>IFERROR(VLOOKUP($H144,'1. Set Program Names'!$B$2:$D$15,3,0)*AB144,"NA")</f>
        <v>5.0771323286916553E-2</v>
      </c>
      <c r="CC144" s="80">
        <f>IFERROR(VLOOKUP($H144,'1. Set Program Names'!$B$2:$D$15,3,0)*AC144,"NA")</f>
        <v>5.7310114653279606E-2</v>
      </c>
      <c r="CD144" s="80">
        <f>IFERROR(VLOOKUP($H144,'1. Set Program Names'!$B$2:$D$15,3,0)*AD144,"NA")</f>
        <v>6.3769894700349689E-2</v>
      </c>
      <c r="CE144" s="80">
        <f>IFERROR(VLOOKUP($H144,'1. Set Program Names'!$B$2:$D$15,3,0)*AE144,"NA")</f>
        <v>7.0181733870169766E-2</v>
      </c>
    </row>
    <row r="145" spans="1:83" x14ac:dyDescent="0.25">
      <c r="A145" s="79" t="s">
        <v>117</v>
      </c>
      <c r="B145" s="79" t="s">
        <v>88</v>
      </c>
      <c r="C145" s="79" t="s">
        <v>89</v>
      </c>
      <c r="D145" s="79" t="s">
        <v>90</v>
      </c>
      <c r="E145" s="79" t="s">
        <v>91</v>
      </c>
      <c r="F145" s="79" t="s">
        <v>90</v>
      </c>
      <c r="G145" s="79" t="s">
        <v>92</v>
      </c>
      <c r="H145" s="79" t="s">
        <v>7</v>
      </c>
      <c r="I145" s="79" t="s">
        <v>428</v>
      </c>
      <c r="J145" s="79" t="s">
        <v>97</v>
      </c>
      <c r="K145" s="79" t="s">
        <v>102</v>
      </c>
      <c r="L145" s="79">
        <v>936.45</v>
      </c>
      <c r="M145" s="79">
        <v>0.42562333070119601</v>
      </c>
      <c r="N145" s="79">
        <v>3.9115067461125599E-2</v>
      </c>
      <c r="O145" s="79">
        <v>685.00999995999996</v>
      </c>
      <c r="P145" s="79">
        <v>458.12689399999903</v>
      </c>
      <c r="Q145" s="79">
        <v>270.04819975719403</v>
      </c>
      <c r="R145" s="79">
        <v>763.90764278946904</v>
      </c>
      <c r="S145" s="79">
        <v>1415.5155729468199</v>
      </c>
      <c r="T145" s="79">
        <v>20</v>
      </c>
      <c r="U145" s="79">
        <v>0.1</v>
      </c>
      <c r="V145" s="79">
        <f>tbl_Data_old[[#This Row],[2025 ]]*IFERROR(AVERAGEIFS('Participation Adjustment'!$C:$C,'Participation Adjustment'!$A:$A,$H145,'Participation Adjustment'!$B:$B,$I145),1)</f>
        <v>0.58951347339992999</v>
      </c>
      <c r="W145" s="79">
        <f>tbl_Data_old[[#This Row],[2026 ]]*IFERROR(AVERAGEIFS('Participation Adjustment'!$C:$C,'Participation Adjustment'!$A:$A,$H145,'Participation Adjustment'!$B:$B,$I145),1)</f>
        <v>1.1601352730677399</v>
      </c>
      <c r="X145" s="79">
        <f>tbl_Data_old[[#This Row],[2027 ]]*IFERROR(AVERAGEIFS('Participation Adjustment'!$C:$C,'Participation Adjustment'!$A:$A,$H145,'Participation Adjustment'!$B:$B,$I145),1)</f>
        <v>1.7129952028670601</v>
      </c>
      <c r="Y145" s="79">
        <f>tbl_Data_old[[#This Row],[2028 ]]*IFERROR(AVERAGEIFS('Participation Adjustment'!$C:$C,'Participation Adjustment'!$A:$A,$H145,'Participation Adjustment'!$B:$B,$I145),1)</f>
        <v>2.24978251637283</v>
      </c>
      <c r="Z145" s="79">
        <f>tbl_Data_old[[#This Row],[2029 ]]*IFERROR(AVERAGEIFS('Participation Adjustment'!$C:$C,'Participation Adjustment'!$A:$A,$H145,'Participation Adjustment'!$B:$B,$I145),1)</f>
        <v>2.7717538327286002</v>
      </c>
      <c r="AA145" s="79">
        <f>tbl_Data_old[[#This Row],[2030 ]]*IFERROR(AVERAGEIFS('Participation Adjustment'!$C:$C,'Participation Adjustment'!$A:$A,$H145,'Participation Adjustment'!$B:$B,$I145),1)</f>
        <v>3.2784634782595798</v>
      </c>
      <c r="AB145" s="79">
        <f>tbl_Data_old[[#This Row],[2031 ]]*IFERROR(AVERAGEIFS('Participation Adjustment'!$C:$C,'Participation Adjustment'!$A:$A,$H145,'Participation Adjustment'!$B:$B,$I145),1)</f>
        <v>3.7730286789682901</v>
      </c>
      <c r="AC145" s="79">
        <f>tbl_Data_old[[#This Row],[2032 ]]*IFERROR(AVERAGEIFS('Participation Adjustment'!$C:$C,'Participation Adjustment'!$A:$A,$H145,'Participation Adjustment'!$B:$B,$I145),1)</f>
        <v>4.2588261921796402</v>
      </c>
      <c r="AD145" s="79">
        <f>tbl_Data_old[[#This Row],[2033 ]]*IFERROR(AVERAGEIFS('Participation Adjustment'!$C:$C,'Participation Adjustment'!$A:$A,$H145,'Participation Adjustment'!$B:$B,$I145),1)</f>
        <v>4.7387056482076497</v>
      </c>
      <c r="AE145" s="79">
        <f>tbl_Data_old[[#This Row],[2034 ]]*IFERROR(AVERAGEIFS('Participation Adjustment'!$C:$C,'Participation Adjustment'!$A:$A,$H145,'Participation Adjustment'!$B:$B,$I145),1)</f>
        <v>5.2149707395174598</v>
      </c>
      <c r="AF145" s="77" t="str">
        <f t="shared" si="66"/>
        <v>Residential</v>
      </c>
      <c r="AG145" s="77" t="str">
        <f>tbl_Data[[#This Row],[All_Meas_Name_Append]]</f>
        <v>Duct Repair_Efficiency Delivered</v>
      </c>
      <c r="AH145" s="77">
        <f>AVERAGEIFS('3. Incentive Adjustment'!G:G,'3. Incentive Adjustment'!A:A,tbl_Data[[#This Row],[Trimmed Sector]],'3. Incentive Adjustment'!B:B,tbl_Data[[#This Row],[Trimmed Measure Name]])</f>
        <v>0.72196841234229292</v>
      </c>
      <c r="AI145" s="77">
        <f>$AH145*tbl_Data[[#This Row],[2025 ]]</f>
        <v>0.42561010644493796</v>
      </c>
      <c r="AJ145" s="77">
        <f>$AH145*tbl_Data[[#This Row],[2026 ]]</f>
        <v>0.83758102119900868</v>
      </c>
      <c r="AK145" s="77">
        <f>$AH145*tbl_Data[[#This Row],[2027 ]]</f>
        <v>1.2367284269638954</v>
      </c>
      <c r="AL145" s="77">
        <f>$AH145*tbl_Data[[#This Row],[2028 ]]</f>
        <v>1.6242719114611408</v>
      </c>
      <c r="AM145" s="77">
        <f>$AH145*tbl_Data[[#This Row],[2029 ]]</f>
        <v>2.001118714018733</v>
      </c>
      <c r="AN145" s="77">
        <f>$AH145*tbl_Data[[#This Row],[2030 ]]</f>
        <v>2.3669470723212602</v>
      </c>
      <c r="AO145" s="77">
        <f>$AH145*tbl_Data[[#This Row],[2031 ]]</f>
        <v>2.7240075250766753</v>
      </c>
      <c r="AP145" s="77">
        <f>$AH145*tbl_Data[[#This Row],[2032 ]]</f>
        <v>3.0747379844097078</v>
      </c>
      <c r="AQ145" s="77">
        <f>$AH145*tbl_Data[[#This Row],[2033 ]]</f>
        <v>3.4211957933939328</v>
      </c>
      <c r="AR145" s="77">
        <f>$AH145*tbl_Data[[#This Row],[2034 ]]</f>
        <v>3.7650441452209336</v>
      </c>
      <c r="AS145" s="77">
        <f>SUM(tbl_Data[[#This Row],[Adjusted 2025]:[Adjusted 2034]])</f>
        <v>21.477242700510224</v>
      </c>
      <c r="AT145" s="80">
        <f>AVERAGEIFS('3. Incentive Adjustment'!F:F,'3. Incentive Adjustment'!A:A,tbl_Data[[#This Row],[Trimmed Sector]],'3. Incentive Adjustment'!B:B,tbl_Data[[#This Row],[Trimmed Measure Name]])</f>
        <v>342.50499997999992</v>
      </c>
      <c r="AU145" s="80">
        <f>IFERROR(VLOOKUP(tbl_Data[[#This Row],[All_Meas_Name_Append]],'IRA Tax Credits'!$A$3:$D$46,4,0),0)</f>
        <v>0</v>
      </c>
      <c r="AV145" s="81">
        <f>tbl_Data[[#This Row],[Adj. per unit Incentive ($)]]/tbl_Data[[#This Row],[kWh Savings]]*tbl_Data[[#This Row],[Sum of Annuals]]</f>
        <v>7.8552651083439669</v>
      </c>
      <c r="AW145" s="81">
        <f>IFERROR(VLOOKUP(tbl_Data[[#This Row],[Column1]],'1. Set Program Names'!$B$2:$D$15,3,0)*tbl_Data[[#This Row],[Sum of Annuals]],"")</f>
        <v>9.2902302210814245</v>
      </c>
      <c r="AX145" s="81">
        <f>tbl_Data[[#This Row],[per unit IRA tax ($)]]/tbl_Data[[#This Row],[kWh Savings]]*tbl_Data[[#This Row],[Sum of Annuals]]</f>
        <v>0</v>
      </c>
      <c r="AY145" s="81">
        <f>tbl_Data[[#This Row],[Avoided Costs ($/unit)]]/tbl_Data[[#This Row],[kWh Savings]]*tbl_Data[[#This Row],[Sum of Annuals]]</f>
        <v>17.520027598872439</v>
      </c>
      <c r="AZ145" s="81">
        <f>tbl_Data[[#This Row],[Lost Revenue ($/unit)]]/tbl_Data[[#This Row],[kWh Savings]]*tbl_Data[[#This Row],[Sum of Annuals]]</f>
        <v>32.464489835581865</v>
      </c>
      <c r="BA145" s="81">
        <f>tbl_Data[[#This Row],[Incremental Cost ($/unit)]]/tbl_Data[[#This Row],[kWh Savings]]*tbl_Data[[#This Row],[Sum of Annuals]]</f>
        <v>15.710530216687935</v>
      </c>
      <c r="BB145" s="77">
        <f>ROUNDUP(tbl_Data[[#This Row],[Adjusted 2025]]/$L145,0)</f>
        <v>1</v>
      </c>
      <c r="BC145" s="77">
        <f>ROUNDUP(tbl_Data[[#This Row],[Adjusted 2026]]/$L145,0)</f>
        <v>1</v>
      </c>
      <c r="BD145" s="77">
        <f>ROUNDUP(tbl_Data[[#This Row],[Adjusted 2027]]/$L145,0)</f>
        <v>1</v>
      </c>
      <c r="BE145" s="77">
        <f>ROUNDUP(tbl_Data[[#This Row],[Adjusted 2028]]/$L145,0)</f>
        <v>1</v>
      </c>
      <c r="BF145" s="77">
        <f>ROUNDUP(tbl_Data[[#This Row],[Adjusted 2029]]/$L145,0)</f>
        <v>1</v>
      </c>
      <c r="BG145" s="77">
        <f>ROUNDUP(tbl_Data[[#This Row],[Adjusted 2030]]/$L145,0)</f>
        <v>1</v>
      </c>
      <c r="BH145" s="77">
        <f>ROUNDUP(tbl_Data[[#This Row],[Adjusted 2031]]/$L145,0)</f>
        <v>1</v>
      </c>
      <c r="BI145" s="77">
        <f>ROUNDUP(tbl_Data[[#This Row],[Adjusted 2032]]/$L145,0)</f>
        <v>1</v>
      </c>
      <c r="BJ145" s="77">
        <f>ROUNDUP(tbl_Data[[#This Row],[Adjusted 2033]]/$L145,0)</f>
        <v>1</v>
      </c>
      <c r="BK145" s="77">
        <f>ROUNDUP(tbl_Data[[#This Row],[Adjusted 2034]]/$L145,0)</f>
        <v>1</v>
      </c>
      <c r="BL145" s="80">
        <f t="shared" si="67"/>
        <v>0.21561355352133343</v>
      </c>
      <c r="BM145" s="80">
        <f t="shared" si="68"/>
        <v>0.42431750940131713</v>
      </c>
      <c r="BN145" s="80">
        <f t="shared" si="69"/>
        <v>0.62652509148777014</v>
      </c>
      <c r="BO145" s="80">
        <f t="shared" si="70"/>
        <v>0.82285414141201374</v>
      </c>
      <c r="BP145" s="80">
        <f t="shared" si="71"/>
        <v>1.0137642654955139</v>
      </c>
      <c r="BQ145" s="80">
        <f t="shared" si="72"/>
        <v>1.1990924593472452</v>
      </c>
      <c r="BR145" s="80">
        <f t="shared" si="73"/>
        <v>1.3799788430931426</v>
      </c>
      <c r="BS145" s="80">
        <f t="shared" si="74"/>
        <v>1.5576584600003318</v>
      </c>
      <c r="BT145" s="80">
        <f t="shared" si="75"/>
        <v>1.7331735575253207</v>
      </c>
      <c r="BU145" s="80">
        <f t="shared" si="76"/>
        <v>1.9073667072818918</v>
      </c>
      <c r="BV145" s="80">
        <f>IFERROR(VLOOKUP($H145,'1. Set Program Names'!$B$2:$D$15,3,0)*V145,"NA")</f>
        <v>0.25500088454951447</v>
      </c>
      <c r="BW145" s="80">
        <f>IFERROR(VLOOKUP($H145,'1. Set Program Names'!$B$2:$D$15,3,0)*W145,"NA")</f>
        <v>0.50182995669832531</v>
      </c>
      <c r="BX145" s="80">
        <f>IFERROR(VLOOKUP($H145,'1. Set Program Names'!$B$2:$D$15,3,0)*X145,"NA")</f>
        <v>0.74097592620048025</v>
      </c>
      <c r="BY145" s="80">
        <f>IFERROR(VLOOKUP($H145,'1. Set Program Names'!$B$2:$D$15,3,0)*Y145,"NA")</f>
        <v>0.97316949926588792</v>
      </c>
      <c r="BZ145" s="80">
        <f>IFERROR(VLOOKUP($H145,'1. Set Program Names'!$B$2:$D$15,3,0)*Z145,"NA")</f>
        <v>1.1989542410675358</v>
      </c>
      <c r="CA145" s="80">
        <f>IFERROR(VLOOKUP($H145,'1. Set Program Names'!$B$2:$D$15,3,0)*AA145,"NA")</f>
        <v>1.4181373702926636</v>
      </c>
      <c r="CB145" s="80">
        <f>IFERROR(VLOOKUP($H145,'1. Set Program Names'!$B$2:$D$15,3,0)*AB145,"NA")</f>
        <v>1.6320672791729181</v>
      </c>
      <c r="CC145" s="80">
        <f>IFERROR(VLOOKUP($H145,'1. Set Program Names'!$B$2:$D$15,3,0)*AC145,"NA")</f>
        <v>1.8422046232210472</v>
      </c>
      <c r="CD145" s="80">
        <f>IFERROR(VLOOKUP($H145,'1. Set Program Names'!$B$2:$D$15,3,0)*AD145,"NA")</f>
        <v>2.0497820430525797</v>
      </c>
      <c r="CE145" s="80">
        <f>IFERROR(VLOOKUP($H145,'1. Set Program Names'!$B$2:$D$15,3,0)*AE145,"NA")</f>
        <v>2.2557960275398616</v>
      </c>
    </row>
    <row r="146" spans="1:83" x14ac:dyDescent="0.25">
      <c r="A146" s="79" t="s">
        <v>117</v>
      </c>
      <c r="B146" s="79" t="s">
        <v>88</v>
      </c>
      <c r="C146" s="79" t="s">
        <v>89</v>
      </c>
      <c r="D146" s="79" t="s">
        <v>90</v>
      </c>
      <c r="E146" s="79" t="s">
        <v>91</v>
      </c>
      <c r="F146" s="79" t="s">
        <v>90</v>
      </c>
      <c r="G146" s="79" t="s">
        <v>92</v>
      </c>
      <c r="H146" s="79" t="s">
        <v>7</v>
      </c>
      <c r="I146" s="79" t="s">
        <v>429</v>
      </c>
      <c r="J146" s="79" t="s">
        <v>97</v>
      </c>
      <c r="K146" s="79" t="s">
        <v>298</v>
      </c>
      <c r="L146" s="79">
        <v>57.93</v>
      </c>
      <c r="M146" s="79">
        <v>0</v>
      </c>
      <c r="N146" s="79">
        <v>1.1014721785810099E-2</v>
      </c>
      <c r="O146" s="79">
        <v>154.1011072</v>
      </c>
      <c r="P146" s="79">
        <v>140.06582681793901</v>
      </c>
      <c r="Q146" s="79">
        <v>16.705528551374101</v>
      </c>
      <c r="R146" s="79">
        <v>46.999759951794701</v>
      </c>
      <c r="S146" s="79">
        <v>87.565611768711094</v>
      </c>
      <c r="T146" s="79">
        <v>20</v>
      </c>
      <c r="U146" s="79">
        <v>0.2</v>
      </c>
      <c r="V146" s="79">
        <f>tbl_Data_old[[#This Row],[2025 ]]*IFERROR(AVERAGEIFS('Participation Adjustment'!$C:$C,'Participation Adjustment'!$A:$A,$H146,'Participation Adjustment'!$B:$B,$I146),1)</f>
        <v>5.7808296335497701E-2</v>
      </c>
      <c r="W146" s="79">
        <f>tbl_Data_old[[#This Row],[2026 ]]*IFERROR(AVERAGEIFS('Participation Adjustment'!$C:$C,'Participation Adjustment'!$A:$A,$H146,'Participation Adjustment'!$B:$B,$I146),1)</f>
        <v>0.111592542723187</v>
      </c>
      <c r="X146" s="79">
        <f>tbl_Data_old[[#This Row],[2027 ]]*IFERROR(AVERAGEIFS('Participation Adjustment'!$C:$C,'Participation Adjustment'!$A:$A,$H146,'Participation Adjustment'!$B:$B,$I146),1)</f>
        <v>0.161444787247287</v>
      </c>
      <c r="Y146" s="79">
        <f>tbl_Data_old[[#This Row],[2028 ]]*IFERROR(AVERAGEIFS('Participation Adjustment'!$C:$C,'Participation Adjustment'!$A:$A,$H146,'Participation Adjustment'!$B:$B,$I146),1)</f>
        <v>0.20755048862814601</v>
      </c>
      <c r="Z146" s="79">
        <f>tbl_Data_old[[#This Row],[2029 ]]*IFERROR(AVERAGEIFS('Participation Adjustment'!$C:$C,'Participation Adjustment'!$A:$A,$H146,'Participation Adjustment'!$B:$B,$I146),1)</f>
        <v>0.25008786414314399</v>
      </c>
      <c r="AA146" s="79">
        <f>tbl_Data_old[[#This Row],[2030 ]]*IFERROR(AVERAGEIFS('Participation Adjustment'!$C:$C,'Participation Adjustment'!$A:$A,$H146,'Participation Adjustment'!$B:$B,$I146),1)</f>
        <v>0.28912797276908703</v>
      </c>
      <c r="AB146" s="79">
        <f>tbl_Data_old[[#This Row],[2031 ]]*IFERROR(AVERAGEIFS('Participation Adjustment'!$C:$C,'Participation Adjustment'!$A:$A,$H146,'Participation Adjustment'!$B:$B,$I146),1)</f>
        <v>0.32503851931234901</v>
      </c>
      <c r="AC146" s="79">
        <f>tbl_Data_old[[#This Row],[2032 ]]*IFERROR(AVERAGEIFS('Participation Adjustment'!$C:$C,'Participation Adjustment'!$A:$A,$H146,'Participation Adjustment'!$B:$B,$I146),1)</f>
        <v>0.35818787071977598</v>
      </c>
      <c r="AD146" s="79">
        <f>tbl_Data_old[[#This Row],[2033 ]]*IFERROR(AVERAGEIFS('Participation Adjustment'!$C:$C,'Participation Adjustment'!$A:$A,$H146,'Participation Adjustment'!$B:$B,$I146),1)</f>
        <v>0.38888481369664601</v>
      </c>
      <c r="AE146" s="79">
        <f>tbl_Data_old[[#This Row],[2034 ]]*IFERROR(AVERAGEIFS('Participation Adjustment'!$C:$C,'Participation Adjustment'!$A:$A,$H146,'Participation Adjustment'!$B:$B,$I146),1)</f>
        <v>0.417382811294782</v>
      </c>
      <c r="AF146" s="77" t="str">
        <f t="shared" si="66"/>
        <v>Residential</v>
      </c>
      <c r="AG146" s="77" t="str">
        <f>tbl_Data[[#This Row],[All_Meas_Name_Append]]</f>
        <v>Energy Star Windows Residential_Efficiency Delivered</v>
      </c>
      <c r="AH146" s="77">
        <f>AVERAGEIFS('3. Incentive Adjustment'!G:G,'3. Incentive Adjustment'!A:A,tbl_Data[[#This Row],[Trimmed Sector]],'3. Incentive Adjustment'!B:B,tbl_Data[[#This Row],[Trimmed Measure Name]])</f>
        <v>5.6690987860076834E-2</v>
      </c>
      <c r="AI146" s="77">
        <f>$AH146*tbl_Data[[#This Row],[2025 ]]</f>
        <v>3.2772094257674245E-3</v>
      </c>
      <c r="AJ146" s="77">
        <f>$AH146*tbl_Data[[#This Row],[2026 ]]</f>
        <v>6.3262914847952998E-3</v>
      </c>
      <c r="AK146" s="77">
        <f>$AH146*tbl_Data[[#This Row],[2027 ]]</f>
        <v>9.1524644739086353E-3</v>
      </c>
      <c r="AL146" s="77">
        <f>$AH146*tbl_Data[[#This Row],[2028 ]]</f>
        <v>1.176624223117124E-2</v>
      </c>
      <c r="AM146" s="77">
        <f>$AH146*tbl_Data[[#This Row],[2029 ]]</f>
        <v>1.417772807009152E-2</v>
      </c>
      <c r="AN146" s="77">
        <f>$AH146*tbl_Data[[#This Row],[2030 ]]</f>
        <v>1.6390950394260938E-2</v>
      </c>
      <c r="AO146" s="77">
        <f>$AH146*tbl_Data[[#This Row],[2031 ]]</f>
        <v>1.8426754752393727E-2</v>
      </c>
      <c r="AP146" s="77">
        <f>$AH146*tbl_Data[[#This Row],[2032 ]]</f>
        <v>2.0306024230601592E-2</v>
      </c>
      <c r="AQ146" s="77">
        <f>$AH146*tbl_Data[[#This Row],[2033 ]]</f>
        <v>2.2046264252244801E-2</v>
      </c>
      <c r="AR146" s="77">
        <f>$AH146*tbl_Data[[#This Row],[2034 ]]</f>
        <v>2.3661843888117227E-2</v>
      </c>
      <c r="AS146" s="77">
        <f>SUM(tbl_Data[[#This Row],[Adjusted 2025]:[Adjusted 2034]])</f>
        <v>0.14553177320335239</v>
      </c>
      <c r="AT146" s="80">
        <f>AVERAGEIFS('3. Incentive Adjustment'!F:F,'3. Incentive Adjustment'!A:A,tbl_Data[[#This Row],[Trimmed Sector]],'3. Incentive Adjustment'!B:B,tbl_Data[[#This Row],[Trimmed Measure Name]])</f>
        <v>77.050553600000001</v>
      </c>
      <c r="AU146" s="80">
        <f>IFERROR(VLOOKUP(tbl_Data[[#This Row],[All_Meas_Name_Append]],'IRA Tax Credits'!$A$3:$D$46,4,0),0)</f>
        <v>0</v>
      </c>
      <c r="AV146" s="81">
        <f>tbl_Data[[#This Row],[Adj. per unit Incentive ($)]]/tbl_Data[[#This Row],[kWh Savings]]*tbl_Data[[#This Row],[Sum of Annuals]]</f>
        <v>0.19356643693609438</v>
      </c>
      <c r="AW146" s="81">
        <f>IFERROR(VLOOKUP(tbl_Data[[#This Row],[Column1]],'1. Set Program Names'!$B$2:$D$15,3,0)*tbl_Data[[#This Row],[Sum of Annuals]],"")</f>
        <v>6.295145500726837E-2</v>
      </c>
      <c r="AX146" s="81">
        <f>tbl_Data[[#This Row],[per unit IRA tax ($)]]/tbl_Data[[#This Row],[kWh Savings]]*tbl_Data[[#This Row],[Sum of Annuals]]</f>
        <v>0</v>
      </c>
      <c r="AY146" s="81">
        <f>tbl_Data[[#This Row],[Avoided Costs ($/unit)]]/tbl_Data[[#This Row],[kWh Savings]]*tbl_Data[[#This Row],[Sum of Annuals]]</f>
        <v>0.11807281902151892</v>
      </c>
      <c r="AZ146" s="81">
        <f>tbl_Data[[#This Row],[Lost Revenue ($/unit)]]/tbl_Data[[#This Row],[kWh Savings]]*tbl_Data[[#This Row],[Sum of Annuals]]</f>
        <v>0.21998237100529724</v>
      </c>
      <c r="BA146" s="81">
        <f>tbl_Data[[#This Row],[Incremental Cost ($/unit)]]/tbl_Data[[#This Row],[kWh Savings]]*tbl_Data[[#This Row],[Sum of Annuals]]</f>
        <v>0.38713287387218875</v>
      </c>
      <c r="BB146" s="77">
        <f>ROUNDUP(tbl_Data[[#This Row],[Adjusted 2025]]/$L146,0)</f>
        <v>1</v>
      </c>
      <c r="BC146" s="77">
        <f>ROUNDUP(tbl_Data[[#This Row],[Adjusted 2026]]/$L146,0)</f>
        <v>1</v>
      </c>
      <c r="BD146" s="77">
        <f>ROUNDUP(tbl_Data[[#This Row],[Adjusted 2027]]/$L146,0)</f>
        <v>1</v>
      </c>
      <c r="BE146" s="77">
        <f>ROUNDUP(tbl_Data[[#This Row],[Adjusted 2028]]/$L146,0)</f>
        <v>1</v>
      </c>
      <c r="BF146" s="77">
        <f>ROUNDUP(tbl_Data[[#This Row],[Adjusted 2029]]/$L146,0)</f>
        <v>1</v>
      </c>
      <c r="BG146" s="77">
        <f>ROUNDUP(tbl_Data[[#This Row],[Adjusted 2030]]/$L146,0)</f>
        <v>1</v>
      </c>
      <c r="BH146" s="77">
        <f>ROUNDUP(tbl_Data[[#This Row],[Adjusted 2031]]/$L146,0)</f>
        <v>1</v>
      </c>
      <c r="BI146" s="77">
        <f>ROUNDUP(tbl_Data[[#This Row],[Adjusted 2032]]/$L146,0)</f>
        <v>1</v>
      </c>
      <c r="BJ146" s="77">
        <f>ROUNDUP(tbl_Data[[#This Row],[Adjusted 2033]]/$L146,0)</f>
        <v>1</v>
      </c>
      <c r="BK146" s="77">
        <f>ROUNDUP(tbl_Data[[#This Row],[Adjusted 2034]]/$L146,0)</f>
        <v>1</v>
      </c>
      <c r="BL146" s="80">
        <f t="shared" si="67"/>
        <v>7.688868005045657E-2</v>
      </c>
      <c r="BM146" s="80">
        <f t="shared" si="68"/>
        <v>0.14842511987663057</v>
      </c>
      <c r="BN146" s="80">
        <f t="shared" si="69"/>
        <v>0.21473174923593447</v>
      </c>
      <c r="BO146" s="80">
        <f t="shared" si="70"/>
        <v>0.27605523992316855</v>
      </c>
      <c r="BP146" s="80">
        <f t="shared" si="71"/>
        <v>0.33263263215727312</v>
      </c>
      <c r="BQ146" s="80">
        <f t="shared" si="72"/>
        <v>0.38455843885903468</v>
      </c>
      <c r="BR146" s="80">
        <f t="shared" si="73"/>
        <v>0.4323217306117863</v>
      </c>
      <c r="BS146" s="80">
        <f t="shared" si="74"/>
        <v>0.4764124586874498</v>
      </c>
      <c r="BT146" s="80">
        <f t="shared" si="75"/>
        <v>0.51724132887898211</v>
      </c>
      <c r="BU146" s="80">
        <f t="shared" si="76"/>
        <v>0.55514546303102508</v>
      </c>
      <c r="BV146" s="80">
        <f>IFERROR(VLOOKUP($H146,'1. Set Program Names'!$B$2:$D$15,3,0)*V146,"NA")</f>
        <v>2.500564849660673E-2</v>
      </c>
      <c r="BW146" s="80">
        <f>IFERROR(VLOOKUP($H146,'1. Set Program Names'!$B$2:$D$15,3,0)*W146,"NA")</f>
        <v>4.8270647555221001E-2</v>
      </c>
      <c r="BX146" s="80">
        <f>IFERROR(VLOOKUP($H146,'1. Set Program Names'!$B$2:$D$15,3,0)*X146,"NA")</f>
        <v>6.9834813641379362E-2</v>
      </c>
      <c r="BY146" s="80">
        <f>IFERROR(VLOOKUP($H146,'1. Set Program Names'!$B$2:$D$15,3,0)*Y146,"NA")</f>
        <v>8.9778369073773678E-2</v>
      </c>
      <c r="BZ146" s="80">
        <f>IFERROR(VLOOKUP($H146,'1. Set Program Names'!$B$2:$D$15,3,0)*Z146,"NA")</f>
        <v>0.10817840380102176</v>
      </c>
      <c r="CA146" s="80">
        <f>IFERROR(VLOOKUP($H146,'1. Set Program Names'!$B$2:$D$15,3,0)*AA146,"NA")</f>
        <v>0.12506565520701446</v>
      </c>
      <c r="CB146" s="80">
        <f>IFERROR(VLOOKUP($H146,'1. Set Program Names'!$B$2:$D$15,3,0)*AB146,"NA")</f>
        <v>0.1405991782669293</v>
      </c>
      <c r="CC146" s="80">
        <f>IFERROR(VLOOKUP($H146,'1. Set Program Names'!$B$2:$D$15,3,0)*AC146,"NA")</f>
        <v>0.15493831437247838</v>
      </c>
      <c r="CD146" s="80">
        <f>IFERROR(VLOOKUP($H146,'1. Set Program Names'!$B$2:$D$15,3,0)*AD146,"NA")</f>
        <v>0.1682166327914324</v>
      </c>
      <c r="CE146" s="80">
        <f>IFERROR(VLOOKUP($H146,'1. Set Program Names'!$B$2:$D$15,3,0)*AE146,"NA")</f>
        <v>0.18054377190413701</v>
      </c>
    </row>
    <row r="147" spans="1:83" x14ac:dyDescent="0.25">
      <c r="A147" s="79" t="s">
        <v>117</v>
      </c>
      <c r="B147" s="79" t="s">
        <v>88</v>
      </c>
      <c r="C147" s="79" t="s">
        <v>89</v>
      </c>
      <c r="D147" s="79" t="s">
        <v>90</v>
      </c>
      <c r="E147" s="79" t="s">
        <v>91</v>
      </c>
      <c r="F147" s="79" t="s">
        <v>90</v>
      </c>
      <c r="G147" s="79" t="s">
        <v>92</v>
      </c>
      <c r="H147" s="79" t="s">
        <v>7</v>
      </c>
      <c r="I147" s="79" t="s">
        <v>430</v>
      </c>
      <c r="J147" s="79" t="s">
        <v>94</v>
      </c>
      <c r="K147" s="79" t="s">
        <v>108</v>
      </c>
      <c r="L147" s="79">
        <v>1663.1099999999899</v>
      </c>
      <c r="M147" s="79">
        <v>6.6647595975018806E-2</v>
      </c>
      <c r="N147" s="79">
        <v>0.309148293753995</v>
      </c>
      <c r="O147" s="79">
        <v>1389.5</v>
      </c>
      <c r="P147" s="79">
        <v>988.78817699699403</v>
      </c>
      <c r="Q147" s="79">
        <v>479.59833573408702</v>
      </c>
      <c r="R147" s="79">
        <v>791.96156853290995</v>
      </c>
      <c r="S147" s="79">
        <v>2127.4894292214699</v>
      </c>
      <c r="T147" s="79">
        <v>15</v>
      </c>
      <c r="U147" s="79">
        <v>0.1</v>
      </c>
      <c r="V147" s="79">
        <f>tbl_Data_old[[#This Row],[2025 ]]*IFERROR(AVERAGEIFS('Participation Adjustment'!$C:$C,'Participation Adjustment'!$A:$A,$H147,'Participation Adjustment'!$B:$B,$I147),1)</f>
        <v>1.6176759488792301</v>
      </c>
      <c r="W147" s="79">
        <f>tbl_Data_old[[#This Row],[2026 ]]*IFERROR(AVERAGEIFS('Participation Adjustment'!$C:$C,'Participation Adjustment'!$A:$A,$H147,'Participation Adjustment'!$B:$B,$I147),1)</f>
        <v>3.4167219898001</v>
      </c>
      <c r="X147" s="79">
        <f>tbl_Data_old[[#This Row],[2027 ]]*IFERROR(AVERAGEIFS('Participation Adjustment'!$C:$C,'Participation Adjustment'!$A:$A,$H147,'Participation Adjustment'!$B:$B,$I147),1)</f>
        <v>5.3829064863267497</v>
      </c>
      <c r="Y147" s="79">
        <f>tbl_Data_old[[#This Row],[2028 ]]*IFERROR(AVERAGEIFS('Participation Adjustment'!$C:$C,'Participation Adjustment'!$A:$A,$H147,'Participation Adjustment'!$B:$B,$I147),1)</f>
        <v>7.5071217510656103</v>
      </c>
      <c r="Z147" s="79">
        <f>tbl_Data_old[[#This Row],[2029 ]]*IFERROR(AVERAGEIFS('Participation Adjustment'!$C:$C,'Participation Adjustment'!$A:$A,$H147,'Participation Adjustment'!$B:$B,$I147),1)</f>
        <v>9.7817972842092509</v>
      </c>
      <c r="AA147" s="79">
        <f>tbl_Data_old[[#This Row],[2030 ]]*IFERROR(AVERAGEIFS('Participation Adjustment'!$C:$C,'Participation Adjustment'!$A:$A,$H147,'Participation Adjustment'!$B:$B,$I147),1)</f>
        <v>12.194028856649201</v>
      </c>
      <c r="AB147" s="79">
        <f>tbl_Data_old[[#This Row],[2031 ]]*IFERROR(AVERAGEIFS('Participation Adjustment'!$C:$C,'Participation Adjustment'!$A:$A,$H147,'Participation Adjustment'!$B:$B,$I147),1)</f>
        <v>14.7499044769297</v>
      </c>
      <c r="AC147" s="79">
        <f>tbl_Data_old[[#This Row],[2032 ]]*IFERROR(AVERAGEIFS('Participation Adjustment'!$C:$C,'Participation Adjustment'!$A:$A,$H147,'Participation Adjustment'!$B:$B,$I147),1)</f>
        <v>17.4618169554975</v>
      </c>
      <c r="AD147" s="79">
        <f>tbl_Data_old[[#This Row],[2033 ]]*IFERROR(AVERAGEIFS('Participation Adjustment'!$C:$C,'Participation Adjustment'!$A:$A,$H147,'Participation Adjustment'!$B:$B,$I147),1)</f>
        <v>20.344212698912401</v>
      </c>
      <c r="AE147" s="79">
        <f>tbl_Data_old[[#This Row],[2034 ]]*IFERROR(AVERAGEIFS('Participation Adjustment'!$C:$C,'Participation Adjustment'!$A:$A,$H147,'Participation Adjustment'!$B:$B,$I147),1)</f>
        <v>23.412687260292099</v>
      </c>
      <c r="AF147" s="77" t="str">
        <f t="shared" si="66"/>
        <v>Residential</v>
      </c>
      <c r="AG147" s="77" t="str">
        <f>tbl_Data[[#This Row],[All_Meas_Name_Append]]</f>
        <v>Heat Pump Water Heater 50 Gallons- CEE Advanced Tier_Efficiency Delivered</v>
      </c>
      <c r="AH147" s="77">
        <f>AVERAGEIFS('3. Incentive Adjustment'!G:G,'3. Incentive Adjustment'!A:A,tbl_Data[[#This Row],[Trimmed Sector]],'3. Incentive Adjustment'!B:B,tbl_Data[[#This Row],[Trimmed Measure Name]])</f>
        <v>0.62719907351402515</v>
      </c>
      <c r="AI147" s="77">
        <f>$AH147*tbl_Data[[#This Row],[2025 ]]</f>
        <v>1.0146048563829746</v>
      </c>
      <c r="AJ147" s="77">
        <f>$AH147*tbl_Data[[#This Row],[2026 ]]</f>
        <v>2.1429648664576191</v>
      </c>
      <c r="AK147" s="77">
        <f>$AH147*tbl_Data[[#This Row],[2027 ]]</f>
        <v>3.3761539610367741</v>
      </c>
      <c r="AL147" s="77">
        <f>$AH147*tbl_Data[[#This Row],[2028 ]]</f>
        <v>4.7084598070253367</v>
      </c>
      <c r="AM147" s="77">
        <f>$AH147*tbl_Data[[#This Row],[2029 ]]</f>
        <v>6.1351341939580495</v>
      </c>
      <c r="AN147" s="77">
        <f>$AH147*tbl_Data[[#This Row],[2030 ]]</f>
        <v>7.6480836012936662</v>
      </c>
      <c r="AO147" s="77">
        <f>$AH147*tbl_Data[[#This Row],[2031 ]]</f>
        <v>9.2511264223506799</v>
      </c>
      <c r="AP147" s="77">
        <f>$AH147*tbl_Data[[#This Row],[2032 ]]</f>
        <v>10.952035416359527</v>
      </c>
      <c r="AQ147" s="77">
        <f>$AH147*tbl_Data[[#This Row],[2033 ]]</f>
        <v>12.759871356130123</v>
      </c>
      <c r="AR147" s="77">
        <f>$AH147*tbl_Data[[#This Row],[2034 ]]</f>
        <v>14.684415758128825</v>
      </c>
      <c r="AS147" s="77">
        <f>SUM(tbl_Data[[#This Row],[Adjusted 2025]:[Adjusted 2034]])</f>
        <v>72.672850239123576</v>
      </c>
      <c r="AT147" s="80">
        <f>AVERAGEIFS('3. Incentive Adjustment'!F:F,'3. Incentive Adjustment'!A:A,tbl_Data[[#This Row],[Trimmed Sector]],'3. Incentive Adjustment'!B:B,tbl_Data[[#This Row],[Trimmed Measure Name]])</f>
        <v>694.75</v>
      </c>
      <c r="AU147" s="80">
        <f>IFERROR(VLOOKUP(tbl_Data[[#This Row],[All_Meas_Name_Append]],'IRA Tax Credits'!$A$3:$D$46,4,0),0)</f>
        <v>0</v>
      </c>
      <c r="AV147" s="81">
        <f>tbl_Data[[#This Row],[Adj. per unit Incentive ($)]]/tbl_Data[[#This Row],[kWh Savings]]*tbl_Data[[#This Row],[Sum of Annuals]]</f>
        <v>30.358462581327398</v>
      </c>
      <c r="AW147" s="81">
        <f>IFERROR(VLOOKUP(tbl_Data[[#This Row],[Column1]],'1. Set Program Names'!$B$2:$D$15,3,0)*tbl_Data[[#This Row],[Sum of Annuals]],"")</f>
        <v>31.435483546851717</v>
      </c>
      <c r="AX147" s="81">
        <f>tbl_Data[[#This Row],[per unit IRA tax ($)]]/tbl_Data[[#This Row],[kWh Savings]]*tbl_Data[[#This Row],[Sum of Annuals]]</f>
        <v>0</v>
      </c>
      <c r="AY147" s="81">
        <f>tbl_Data[[#This Row],[Avoided Costs ($/unit)]]/tbl_Data[[#This Row],[kWh Savings]]*tbl_Data[[#This Row],[Sum of Annuals]]</f>
        <v>34.606312550062185</v>
      </c>
      <c r="AZ147" s="81">
        <f>tbl_Data[[#This Row],[Lost Revenue ($/unit)]]/tbl_Data[[#This Row],[kWh Savings]]*tbl_Data[[#This Row],[Sum of Annuals]]</f>
        <v>92.964819329527998</v>
      </c>
      <c r="BA147" s="81">
        <f>tbl_Data[[#This Row],[Incremental Cost ($/unit)]]/tbl_Data[[#This Row],[kWh Savings]]*tbl_Data[[#This Row],[Sum of Annuals]]</f>
        <v>60.716925162654796</v>
      </c>
      <c r="BB147" s="77">
        <f>ROUNDUP(tbl_Data[[#This Row],[Adjusted 2025]]/$L147,0)</f>
        <v>1</v>
      </c>
      <c r="BC147" s="77">
        <f>ROUNDUP(tbl_Data[[#This Row],[Adjusted 2026]]/$L147,0)</f>
        <v>1</v>
      </c>
      <c r="BD147" s="77">
        <f>ROUNDUP(tbl_Data[[#This Row],[Adjusted 2027]]/$L147,0)</f>
        <v>1</v>
      </c>
      <c r="BE147" s="77">
        <f>ROUNDUP(tbl_Data[[#This Row],[Adjusted 2028]]/$L147,0)</f>
        <v>1</v>
      </c>
      <c r="BF147" s="77">
        <f>ROUNDUP(tbl_Data[[#This Row],[Adjusted 2029]]/$L147,0)</f>
        <v>1</v>
      </c>
      <c r="BG147" s="77">
        <f>ROUNDUP(tbl_Data[[#This Row],[Adjusted 2030]]/$L147,0)</f>
        <v>1</v>
      </c>
      <c r="BH147" s="77">
        <f>ROUNDUP(tbl_Data[[#This Row],[Adjusted 2031]]/$L147,0)</f>
        <v>1</v>
      </c>
      <c r="BI147" s="77">
        <f>ROUNDUP(tbl_Data[[#This Row],[Adjusted 2032]]/$L147,0)</f>
        <v>1</v>
      </c>
      <c r="BJ147" s="77">
        <f>ROUNDUP(tbl_Data[[#This Row],[Adjusted 2033]]/$L147,0)</f>
        <v>1</v>
      </c>
      <c r="BK147" s="77">
        <f>ROUNDUP(tbl_Data[[#This Row],[Adjusted 2034]]/$L147,0)</f>
        <v>1</v>
      </c>
      <c r="BL147" s="80">
        <f t="shared" si="67"/>
        <v>0.67577031313854874</v>
      </c>
      <c r="BM147" s="80">
        <f t="shared" si="68"/>
        <v>1.4273064333770067</v>
      </c>
      <c r="BN147" s="80">
        <f t="shared" si="69"/>
        <v>2.2486632161285374</v>
      </c>
      <c r="BO147" s="80">
        <f t="shared" si="70"/>
        <v>3.1360360027616117</v>
      </c>
      <c r="BP147" s="80">
        <f t="shared" si="71"/>
        <v>4.0862622816316527</v>
      </c>
      <c r="BQ147" s="80">
        <f t="shared" si="72"/>
        <v>5.0939514212271488</v>
      </c>
      <c r="BR147" s="80">
        <f t="shared" si="73"/>
        <v>6.1616466351275445</v>
      </c>
      <c r="BS147" s="80">
        <f t="shared" si="74"/>
        <v>7.2945249140657937</v>
      </c>
      <c r="BT147" s="80">
        <f t="shared" si="75"/>
        <v>8.4986211210139295</v>
      </c>
      <c r="BU147" s="80">
        <f t="shared" si="76"/>
        <v>9.7804501651051545</v>
      </c>
      <c r="BV147" s="80">
        <f>IFERROR(VLOOKUP($H147,'1. Set Program Names'!$B$2:$D$15,3,0)*V147,"NA")</f>
        <v>0.69974447827222097</v>
      </c>
      <c r="BW147" s="80">
        <f>IFERROR(VLOOKUP($H147,'1. Set Program Names'!$B$2:$D$15,3,0)*W147,"NA")</f>
        <v>1.4779426916808212</v>
      </c>
      <c r="BX147" s="80">
        <f>IFERROR(VLOOKUP($H147,'1. Set Program Names'!$B$2:$D$15,3,0)*X147,"NA")</f>
        <v>2.3284385809608592</v>
      </c>
      <c r="BY147" s="80">
        <f>IFERROR(VLOOKUP($H147,'1. Set Program Names'!$B$2:$D$15,3,0)*Y147,"NA")</f>
        <v>3.2472925103849848</v>
      </c>
      <c r="BZ147" s="80">
        <f>IFERROR(VLOOKUP($H147,'1. Set Program Names'!$B$2:$D$15,3,0)*Z147,"NA")</f>
        <v>4.23122977253007</v>
      </c>
      <c r="CA147" s="80">
        <f>IFERROR(VLOOKUP($H147,'1. Set Program Names'!$B$2:$D$15,3,0)*AA147,"NA")</f>
        <v>5.2746684935534169</v>
      </c>
      <c r="CB147" s="80">
        <f>IFERROR(VLOOKUP($H147,'1. Set Program Names'!$B$2:$D$15,3,0)*AB147,"NA")</f>
        <v>6.3802421121022741</v>
      </c>
      <c r="CC147" s="80">
        <f>IFERROR(VLOOKUP($H147,'1. Set Program Names'!$B$2:$D$15,3,0)*AC147,"NA")</f>
        <v>7.5533112819505943</v>
      </c>
      <c r="CD147" s="80">
        <f>IFERROR(VLOOKUP($H147,'1. Set Program Names'!$B$2:$D$15,3,0)*AD147,"NA")</f>
        <v>8.80012496366931</v>
      </c>
      <c r="CE147" s="80">
        <f>IFERROR(VLOOKUP($H147,'1. Set Program Names'!$B$2:$D$15,3,0)*AE147,"NA")</f>
        <v>10.127429194489965</v>
      </c>
    </row>
    <row r="148" spans="1:83" x14ac:dyDescent="0.25">
      <c r="A148" s="79" t="s">
        <v>117</v>
      </c>
      <c r="B148" s="79" t="s">
        <v>88</v>
      </c>
      <c r="C148" s="79" t="s">
        <v>89</v>
      </c>
      <c r="D148" s="79" t="s">
        <v>90</v>
      </c>
      <c r="E148" s="79" t="s">
        <v>91</v>
      </c>
      <c r="F148" s="79" t="s">
        <v>90</v>
      </c>
      <c r="G148" s="79" t="s">
        <v>92</v>
      </c>
      <c r="H148" s="79" t="s">
        <v>7</v>
      </c>
      <c r="I148" s="79" t="s">
        <v>431</v>
      </c>
      <c r="J148" s="79" t="s">
        <v>94</v>
      </c>
      <c r="K148" s="79" t="s">
        <v>95</v>
      </c>
      <c r="L148" s="79">
        <v>1590.11499999999</v>
      </c>
      <c r="M148" s="79">
        <v>6.3722388822036402E-2</v>
      </c>
      <c r="N148" s="79">
        <v>0.29557957027655002</v>
      </c>
      <c r="O148" s="79">
        <v>1389.5</v>
      </c>
      <c r="P148" s="79">
        <v>1006.47372867305</v>
      </c>
      <c r="Q148" s="79">
        <v>458.54844696129999</v>
      </c>
      <c r="R148" s="79">
        <v>757.20185047754296</v>
      </c>
      <c r="S148" s="79">
        <v>2034.1125083407001</v>
      </c>
      <c r="T148" s="79">
        <v>15</v>
      </c>
      <c r="U148" s="79">
        <v>0.1</v>
      </c>
      <c r="V148" s="79">
        <f>tbl_Data_old[[#This Row],[2025 ]]*IFERROR(AVERAGEIFS('Participation Adjustment'!$C:$C,'Participation Adjustment'!$A:$A,$H148,'Participation Adjustment'!$B:$B,$I148),1)</f>
        <v>2.3117767539491498</v>
      </c>
      <c r="W148" s="79">
        <f>tbl_Data_old[[#This Row],[2026 ]]*IFERROR(AVERAGEIFS('Participation Adjustment'!$C:$C,'Participation Adjustment'!$A:$A,$H148,'Participation Adjustment'!$B:$B,$I148),1)</f>
        <v>4.8816904602180999</v>
      </c>
      <c r="X148" s="79">
        <f>tbl_Data_old[[#This Row],[2027 ]]*IFERROR(AVERAGEIFS('Participation Adjustment'!$C:$C,'Participation Adjustment'!$A:$A,$H148,'Participation Adjustment'!$B:$B,$I148),1)</f>
        <v>7.6893244031587997</v>
      </c>
      <c r="Y148" s="79">
        <f>tbl_Data_old[[#This Row],[2028 ]]*IFERROR(AVERAGEIFS('Participation Adjustment'!$C:$C,'Participation Adjustment'!$A:$A,$H148,'Participation Adjustment'!$B:$B,$I148),1)</f>
        <v>10.7216194121716</v>
      </c>
      <c r="Z148" s="79">
        <f>tbl_Data_old[[#This Row],[2029 ]]*IFERROR(AVERAGEIFS('Participation Adjustment'!$C:$C,'Participation Adjustment'!$A:$A,$H148,'Participation Adjustment'!$B:$B,$I148),1)</f>
        <v>13.967739014887099</v>
      </c>
      <c r="AA148" s="79">
        <f>tbl_Data_old[[#This Row],[2030 ]]*IFERROR(AVERAGEIFS('Participation Adjustment'!$C:$C,'Participation Adjustment'!$A:$A,$H148,'Participation Adjustment'!$B:$B,$I148),1)</f>
        <v>17.409259023403798</v>
      </c>
      <c r="AB148" s="79">
        <f>tbl_Data_old[[#This Row],[2031 ]]*IFERROR(AVERAGEIFS('Participation Adjustment'!$C:$C,'Participation Adjustment'!$A:$A,$H148,'Participation Adjustment'!$B:$B,$I148),1)</f>
        <v>21.054867920348599</v>
      </c>
      <c r="AC148" s="79">
        <f>tbl_Data_old[[#This Row],[2032 ]]*IFERROR(AVERAGEIFS('Participation Adjustment'!$C:$C,'Participation Adjustment'!$A:$A,$H148,'Participation Adjustment'!$B:$B,$I148),1)</f>
        <v>24.922246382230899</v>
      </c>
      <c r="AD148" s="79">
        <f>tbl_Data_old[[#This Row],[2033 ]]*IFERROR(AVERAGEIFS('Participation Adjustment'!$C:$C,'Participation Adjustment'!$A:$A,$H148,'Participation Adjustment'!$B:$B,$I148),1)</f>
        <v>29.031998992259599</v>
      </c>
      <c r="AE148" s="79">
        <f>tbl_Data_old[[#This Row],[2034 ]]*IFERROR(AVERAGEIFS('Participation Adjustment'!$C:$C,'Participation Adjustment'!$A:$A,$H148,'Participation Adjustment'!$B:$B,$I148),1)</f>
        <v>33.4063638480851</v>
      </c>
      <c r="AF148" s="77" t="str">
        <f t="shared" si="66"/>
        <v>Residential</v>
      </c>
      <c r="AG148" s="77" t="str">
        <f>tbl_Data[[#This Row],[All_Meas_Name_Append]]</f>
        <v>Heat Pump Water Heater 50 Gallons-ENERGY STAR_Efficiency Delivered</v>
      </c>
      <c r="AH148" s="77">
        <f>AVERAGEIFS('3. Incentive Adjustment'!G:G,'3. Incentive Adjustment'!A:A,tbl_Data[[#This Row],[Trimmed Sector]],'3. Incentive Adjustment'!B:B,tbl_Data[[#This Row],[Trimmed Measure Name]])</f>
        <v>0.59615658026245322</v>
      </c>
      <c r="AI148" s="77">
        <f>$AH148*tbl_Data[[#This Row],[2025 ]]</f>
        <v>1.3781809239645599</v>
      </c>
      <c r="AJ148" s="77">
        <f>$AH148*tbl_Data[[#This Row],[2026 ]]</f>
        <v>2.910251890663464</v>
      </c>
      <c r="AK148" s="77">
        <f>$AH148*tbl_Data[[#This Row],[2027 ]]</f>
        <v>4.5840413407157792</v>
      </c>
      <c r="AL148" s="77">
        <f>$AH148*tbl_Data[[#This Row],[2028 ]]</f>
        <v>6.3917639636357553</v>
      </c>
      <c r="AM148" s="77">
        <f>$AH148*tbl_Data[[#This Row],[2029 ]]</f>
        <v>8.3269595251135406</v>
      </c>
      <c r="AN148" s="77">
        <f>$AH148*tbl_Data[[#This Row],[2030 ]]</f>
        <v>10.378644324295664</v>
      </c>
      <c r="AO148" s="77">
        <f>$AH148*tbl_Data[[#This Row],[2031 ]]</f>
        <v>12.551998057272652</v>
      </c>
      <c r="AP148" s="77">
        <f>$AH148*tbl_Data[[#This Row],[2032 ]]</f>
        <v>14.857561175689069</v>
      </c>
      <c r="AQ148" s="77">
        <f>$AH148*tbl_Data[[#This Row],[2033 ]]</f>
        <v>17.307617237408472</v>
      </c>
      <c r="AR148" s="77">
        <f>$AH148*tbl_Data[[#This Row],[2034 ]]</f>
        <v>19.915423630677662</v>
      </c>
      <c r="AS148" s="77">
        <f>SUM(tbl_Data[[#This Row],[Adjusted 2025]:[Adjusted 2034]])</f>
        <v>98.602442069436634</v>
      </c>
      <c r="AT148" s="80">
        <f>AVERAGEIFS('3. Incentive Adjustment'!F:F,'3. Incentive Adjustment'!A:A,tbl_Data[[#This Row],[Trimmed Sector]],'3. Incentive Adjustment'!B:B,tbl_Data[[#This Row],[Trimmed Measure Name]])</f>
        <v>694.75</v>
      </c>
      <c r="AU148" s="80">
        <f>IFERROR(VLOOKUP(tbl_Data[[#This Row],[All_Meas_Name_Append]],'IRA Tax Credits'!$A$3:$D$46,4,0),0)</f>
        <v>0</v>
      </c>
      <c r="AV148" s="81">
        <f>tbl_Data[[#This Row],[Adj. per unit Incentive ($)]]/tbl_Data[[#This Row],[kWh Savings]]*tbl_Data[[#This Row],[Sum of Annuals]]</f>
        <v>43.081190120048888</v>
      </c>
      <c r="AW148" s="81">
        <f>IFERROR(VLOOKUP(tbl_Data[[#This Row],[Column1]],'1. Set Program Names'!$B$2:$D$15,3,0)*tbl_Data[[#This Row],[Sum of Annuals]],"")</f>
        <v>42.65162898048122</v>
      </c>
      <c r="AX148" s="81">
        <f>tbl_Data[[#This Row],[per unit IRA tax ($)]]/tbl_Data[[#This Row],[kWh Savings]]*tbl_Data[[#This Row],[Sum of Annuals]]</f>
        <v>0</v>
      </c>
      <c r="AY148" s="81">
        <f>tbl_Data[[#This Row],[Avoided Costs ($/unit)]]/tbl_Data[[#This Row],[kWh Savings]]*tbl_Data[[#This Row],[Sum of Annuals]]</f>
        <v>46.953806231991159</v>
      </c>
      <c r="AZ148" s="81">
        <f>tbl_Data[[#This Row],[Lost Revenue ($/unit)]]/tbl_Data[[#This Row],[kWh Savings]]*tbl_Data[[#This Row],[Sum of Annuals]]</f>
        <v>126.13456307649547</v>
      </c>
      <c r="BA148" s="81">
        <f>tbl_Data[[#This Row],[Incremental Cost ($/unit)]]/tbl_Data[[#This Row],[kWh Savings]]*tbl_Data[[#This Row],[Sum of Annuals]]</f>
        <v>86.162380240097775</v>
      </c>
      <c r="BB148" s="77">
        <f>ROUNDUP(tbl_Data[[#This Row],[Adjusted 2025]]/$L148,0)</f>
        <v>1</v>
      </c>
      <c r="BC148" s="77">
        <f>ROUNDUP(tbl_Data[[#This Row],[Adjusted 2026]]/$L148,0)</f>
        <v>1</v>
      </c>
      <c r="BD148" s="77">
        <f>ROUNDUP(tbl_Data[[#This Row],[Adjusted 2027]]/$L148,0)</f>
        <v>1</v>
      </c>
      <c r="BE148" s="77">
        <f>ROUNDUP(tbl_Data[[#This Row],[Adjusted 2028]]/$L148,0)</f>
        <v>1</v>
      </c>
      <c r="BF148" s="77">
        <f>ROUNDUP(tbl_Data[[#This Row],[Adjusted 2029]]/$L148,0)</f>
        <v>1</v>
      </c>
      <c r="BG148" s="77">
        <f>ROUNDUP(tbl_Data[[#This Row],[Adjusted 2030]]/$L148,0)</f>
        <v>1</v>
      </c>
      <c r="BH148" s="77">
        <f>ROUNDUP(tbl_Data[[#This Row],[Adjusted 2031]]/$L148,0)</f>
        <v>1</v>
      </c>
      <c r="BI148" s="77">
        <f>ROUNDUP(tbl_Data[[#This Row],[Adjusted 2032]]/$L148,0)</f>
        <v>1</v>
      </c>
      <c r="BJ148" s="77">
        <f>ROUNDUP(tbl_Data[[#This Row],[Adjusted 2033]]/$L148,0)</f>
        <v>1</v>
      </c>
      <c r="BK148" s="77">
        <f>ROUNDUP(tbl_Data[[#This Row],[Adjusted 2034]]/$L148,0)</f>
        <v>1</v>
      </c>
      <c r="BL148" s="80">
        <f t="shared" si="67"/>
        <v>1.0100570712220072</v>
      </c>
      <c r="BM148" s="80">
        <f t="shared" si="68"/>
        <v>2.1328988452008479</v>
      </c>
      <c r="BN148" s="80">
        <f t="shared" si="69"/>
        <v>3.3596048896429567</v>
      </c>
      <c r="BO148" s="80">
        <f t="shared" si="70"/>
        <v>4.6844694167442391</v>
      </c>
      <c r="BP148" s="80">
        <f t="shared" si="71"/>
        <v>6.1027577757538758</v>
      </c>
      <c r="BQ148" s="80">
        <f t="shared" si="72"/>
        <v>7.6064201057847169</v>
      </c>
      <c r="BR148" s="80">
        <f t="shared" si="73"/>
        <v>9.1992525620236787</v>
      </c>
      <c r="BS148" s="80">
        <f t="shared" si="74"/>
        <v>10.888980151784637</v>
      </c>
      <c r="BT148" s="80">
        <f t="shared" si="75"/>
        <v>12.684605390095989</v>
      </c>
      <c r="BU148" s="80">
        <f t="shared" si="76"/>
        <v>14.595844503986989</v>
      </c>
      <c r="BV148" s="80">
        <f>IFERROR(VLOOKUP($H148,'1. Set Program Names'!$B$2:$D$15,3,0)*V148,"NA")</f>
        <v>0.99998582515537215</v>
      </c>
      <c r="BW148" s="80">
        <f>IFERROR(VLOOKUP($H148,'1. Set Program Names'!$B$2:$D$15,3,0)*W148,"NA")</f>
        <v>2.1116317804801672</v>
      </c>
      <c r="BX148" s="80">
        <f>IFERROR(VLOOKUP($H148,'1. Set Program Names'!$B$2:$D$15,3,0)*X148,"NA")</f>
        <v>3.3261063790198597</v>
      </c>
      <c r="BY148" s="80">
        <f>IFERROR(VLOOKUP($H148,'1. Set Program Names'!$B$2:$D$15,3,0)*Y148,"NA")</f>
        <v>4.6377607251941875</v>
      </c>
      <c r="BZ148" s="80">
        <f>IFERROR(VLOOKUP($H148,'1. Set Program Names'!$B$2:$D$15,3,0)*Z148,"NA")</f>
        <v>6.0419073773003227</v>
      </c>
      <c r="CA148" s="80">
        <f>IFERROR(VLOOKUP($H148,'1. Set Program Names'!$B$2:$D$15,3,0)*AA148,"NA")</f>
        <v>7.5305767393510985</v>
      </c>
      <c r="CB148" s="80">
        <f>IFERROR(VLOOKUP($H148,'1. Set Program Names'!$B$2:$D$15,3,0)*AB148,"NA")</f>
        <v>9.1075271151940509</v>
      </c>
      <c r="CC148" s="80">
        <f>IFERROR(VLOOKUP($H148,'1. Set Program Names'!$B$2:$D$15,3,0)*AC148,"NA")</f>
        <v>10.780406486347443</v>
      </c>
      <c r="CD148" s="80">
        <f>IFERROR(VLOOKUP($H148,'1. Set Program Names'!$B$2:$D$15,3,0)*AD148,"NA")</f>
        <v>12.558127604056368</v>
      </c>
      <c r="CE148" s="80">
        <f>IFERROR(VLOOKUP($H148,'1. Set Program Names'!$B$2:$D$15,3,0)*AE148,"NA")</f>
        <v>14.450309815167719</v>
      </c>
    </row>
    <row r="149" spans="1:83" x14ac:dyDescent="0.25">
      <c r="A149" s="79" t="s">
        <v>117</v>
      </c>
      <c r="B149" s="79" t="s">
        <v>88</v>
      </c>
      <c r="C149" s="79" t="s">
        <v>89</v>
      </c>
      <c r="D149" s="79" t="s">
        <v>90</v>
      </c>
      <c r="E149" s="79" t="s">
        <v>91</v>
      </c>
      <c r="F149" s="79" t="s">
        <v>90</v>
      </c>
      <c r="G149" s="79" t="s">
        <v>92</v>
      </c>
      <c r="H149" s="79" t="s">
        <v>7</v>
      </c>
      <c r="I149" s="79" t="s">
        <v>432</v>
      </c>
      <c r="J149" s="79" t="s">
        <v>94</v>
      </c>
      <c r="K149" s="79" t="s">
        <v>108</v>
      </c>
      <c r="L149" s="79">
        <v>461.909999999999</v>
      </c>
      <c r="M149" s="79">
        <v>1.8510616289253799E-2</v>
      </c>
      <c r="N149" s="79">
        <v>8.5862443475120898E-2</v>
      </c>
      <c r="O149" s="79">
        <v>1729.5</v>
      </c>
      <c r="P149" s="79">
        <v>1631.9996867488601</v>
      </c>
      <c r="Q149" s="79">
        <v>133.20301559063</v>
      </c>
      <c r="R149" s="79">
        <v>219.958372038552</v>
      </c>
      <c r="S149" s="79">
        <v>590.88613636602201</v>
      </c>
      <c r="T149" s="79">
        <v>15</v>
      </c>
      <c r="U149" s="79">
        <v>0.1</v>
      </c>
      <c r="V149" s="79">
        <f>tbl_Data_old[[#This Row],[2025 ]]*IFERROR(AVERAGEIFS('Participation Adjustment'!$C:$C,'Participation Adjustment'!$A:$A,$H149,'Participation Adjustment'!$B:$B,$I149),1)</f>
        <v>1.2435592754959801</v>
      </c>
      <c r="W149" s="79">
        <f>tbl_Data_old[[#This Row],[2026 ]]*IFERROR(AVERAGEIFS('Participation Adjustment'!$C:$C,'Participation Adjustment'!$A:$A,$H149,'Participation Adjustment'!$B:$B,$I149),1)</f>
        <v>2.6267882650070802</v>
      </c>
      <c r="X149" s="79">
        <f>tbl_Data_old[[#This Row],[2027 ]]*IFERROR(AVERAGEIFS('Participation Adjustment'!$C:$C,'Participation Adjustment'!$A:$A,$H149,'Participation Adjustment'!$B:$B,$I149),1)</f>
        <v>4.1387629729877897</v>
      </c>
      <c r="Y149" s="79">
        <f>tbl_Data_old[[#This Row],[2028 ]]*IFERROR(AVERAGEIFS('Participation Adjustment'!$C:$C,'Participation Adjustment'!$A:$A,$H149,'Participation Adjustment'!$B:$B,$I149),1)</f>
        <v>5.7724899517903498</v>
      </c>
      <c r="Z149" s="79">
        <f>tbl_Data_old[[#This Row],[2029 ]]*IFERROR(AVERAGEIFS('Participation Adjustment'!$C:$C,'Participation Adjustment'!$A:$A,$H149,'Participation Adjustment'!$B:$B,$I149),1)</f>
        <v>7.5221512800842802</v>
      </c>
      <c r="AA149" s="79">
        <f>tbl_Data_old[[#This Row],[2030 ]]*IFERROR(AVERAGEIFS('Participation Adjustment'!$C:$C,'Participation Adjustment'!$A:$A,$H149,'Participation Adjustment'!$B:$B,$I149),1)</f>
        <v>9.3778208231788192</v>
      </c>
      <c r="AB149" s="79">
        <f>tbl_Data_old[[#This Row],[2031 ]]*IFERROR(AVERAGEIFS('Participation Adjustment'!$C:$C,'Participation Adjustment'!$A:$A,$H149,'Participation Adjustment'!$B:$B,$I149),1)</f>
        <v>11.3441789185934</v>
      </c>
      <c r="AC149" s="79">
        <f>tbl_Data_old[[#This Row],[2032 ]]*IFERROR(AVERAGEIFS('Participation Adjustment'!$C:$C,'Participation Adjustment'!$A:$A,$H149,'Participation Adjustment'!$B:$B,$I149),1)</f>
        <v>13.4307566090463</v>
      </c>
      <c r="AD149" s="79">
        <f>tbl_Data_old[[#This Row],[2033 ]]*IFERROR(AVERAGEIFS('Participation Adjustment'!$C:$C,'Participation Adjustment'!$A:$A,$H149,'Participation Adjustment'!$B:$B,$I149),1)</f>
        <v>15.6486659813296</v>
      </c>
      <c r="AE149" s="79">
        <f>tbl_Data_old[[#This Row],[2034 ]]*IFERROR(AVERAGEIFS('Participation Adjustment'!$C:$C,'Participation Adjustment'!$A:$A,$H149,'Participation Adjustment'!$B:$B,$I149),1)</f>
        <v>18.009904388757501</v>
      </c>
      <c r="AF149" s="77" t="str">
        <f t="shared" si="66"/>
        <v>Residential</v>
      </c>
      <c r="AG149" s="77" t="str">
        <f>tbl_Data[[#This Row],[All_Meas_Name_Append]]</f>
        <v>Heat Pump Water Heater 80 Gallons-ENERGY STAR_Efficiency Delivered</v>
      </c>
      <c r="AH149" s="77">
        <f>AVERAGEIFS('3. Incentive Adjustment'!G:G,'3. Incentive Adjustment'!A:A,tbl_Data[[#This Row],[Trimmed Sector]],'3. Incentive Adjustment'!B:B,tbl_Data[[#This Row],[Trimmed Measure Name]])</f>
        <v>1.2491787269958169E-2</v>
      </c>
      <c r="AI149" s="77">
        <f>$AH149*tbl_Data[[#This Row],[2025 ]]</f>
        <v>1.5534277927079088E-2</v>
      </c>
      <c r="AJ149" s="77">
        <f>$AH149*tbl_Data[[#This Row],[2026 ]]</f>
        <v>3.2813280209690952E-2</v>
      </c>
      <c r="AK149" s="77">
        <f>$AH149*tbl_Data[[#This Row],[2027 ]]</f>
        <v>5.1700546619343098E-2</v>
      </c>
      <c r="AL149" s="77">
        <f>$AH149*tbl_Data[[#This Row],[2028 ]]</f>
        <v>7.2108716495736136E-2</v>
      </c>
      <c r="AM149" s="77">
        <f>$AH149*tbl_Data[[#This Row],[2029 ]]</f>
        <v>9.3965113603256364E-2</v>
      </c>
      <c r="AN149" s="77">
        <f>$AH149*tbl_Data[[#This Row],[2030 ]]</f>
        <v>0.11714574277893382</v>
      </c>
      <c r="AO149" s="77">
        <f>$AH149*tbl_Data[[#This Row],[2031 ]]</f>
        <v>0.14170906980341286</v>
      </c>
      <c r="AP149" s="77">
        <f>$AH149*tbl_Data[[#This Row],[2032 ]]</f>
        <v>0.16777415443479113</v>
      </c>
      <c r="AQ149" s="77">
        <f>$AH149*tbl_Data[[#This Row],[2033 ]]</f>
        <v>0.19547980649740057</v>
      </c>
      <c r="AR149" s="77">
        <f>$AH149*tbl_Data[[#This Row],[2034 ]]</f>
        <v>0.22497589437664473</v>
      </c>
      <c r="AS149" s="77">
        <f>SUM(tbl_Data[[#This Row],[Adjusted 2025]:[Adjusted 2034]])</f>
        <v>1.1132066027462888</v>
      </c>
      <c r="AT149" s="80">
        <f>AVERAGEIFS('3. Incentive Adjustment'!F:F,'3. Incentive Adjustment'!A:A,tbl_Data[[#This Row],[Trimmed Sector]],'3. Incentive Adjustment'!B:B,tbl_Data[[#This Row],[Trimmed Measure Name]])</f>
        <v>864.75</v>
      </c>
      <c r="AU149" s="80">
        <f>IFERROR(VLOOKUP(tbl_Data[[#This Row],[All_Meas_Name_Append]],'IRA Tax Credits'!$A$3:$D$46,4,0),0)</f>
        <v>0</v>
      </c>
      <c r="AV149" s="81">
        <f>tbl_Data[[#This Row],[Adj. per unit Incentive ($)]]/tbl_Data[[#This Row],[kWh Savings]]*tbl_Data[[#This Row],[Sum of Annuals]]</f>
        <v>2.0840540575541886</v>
      </c>
      <c r="AW149" s="81">
        <f>IFERROR(VLOOKUP(tbl_Data[[#This Row],[Column1]],'1. Set Program Names'!$B$2:$D$15,3,0)*tbl_Data[[#This Row],[Sum of Annuals]],"")</f>
        <v>0.4815304165136276</v>
      </c>
      <c r="AX149" s="81">
        <f>tbl_Data[[#This Row],[per unit IRA tax ($)]]/tbl_Data[[#This Row],[kWh Savings]]*tbl_Data[[#This Row],[Sum of Annuals]]</f>
        <v>0</v>
      </c>
      <c r="AY149" s="81">
        <f>tbl_Data[[#This Row],[Avoided Costs ($/unit)]]/tbl_Data[[#This Row],[kWh Savings]]*tbl_Data[[#This Row],[Sum of Annuals]]</f>
        <v>0.53010134459665581</v>
      </c>
      <c r="AZ149" s="81">
        <f>tbl_Data[[#This Row],[Lost Revenue ($/unit)]]/tbl_Data[[#This Row],[kWh Savings]]*tbl_Data[[#This Row],[Sum of Annuals]]</f>
        <v>1.424040069437555</v>
      </c>
      <c r="BA149" s="81">
        <f>tbl_Data[[#This Row],[Incremental Cost ($/unit)]]/tbl_Data[[#This Row],[kWh Savings]]*tbl_Data[[#This Row],[Sum of Annuals]]</f>
        <v>4.1681081151083772</v>
      </c>
      <c r="BB149" s="77">
        <f>ROUNDUP(tbl_Data[[#This Row],[Adjusted 2025]]/$L149,0)</f>
        <v>1</v>
      </c>
      <c r="BC149" s="77">
        <f>ROUNDUP(tbl_Data[[#This Row],[Adjusted 2026]]/$L149,0)</f>
        <v>1</v>
      </c>
      <c r="BD149" s="77">
        <f>ROUNDUP(tbl_Data[[#This Row],[Adjusted 2027]]/$L149,0)</f>
        <v>1</v>
      </c>
      <c r="BE149" s="77">
        <f>ROUNDUP(tbl_Data[[#This Row],[Adjusted 2028]]/$L149,0)</f>
        <v>1</v>
      </c>
      <c r="BF149" s="77">
        <f>ROUNDUP(tbl_Data[[#This Row],[Adjusted 2029]]/$L149,0)</f>
        <v>1</v>
      </c>
      <c r="BG149" s="77">
        <f>ROUNDUP(tbl_Data[[#This Row],[Adjusted 2030]]/$L149,0)</f>
        <v>1</v>
      </c>
      <c r="BH149" s="77">
        <f>ROUNDUP(tbl_Data[[#This Row],[Adjusted 2031]]/$L149,0)</f>
        <v>1</v>
      </c>
      <c r="BI149" s="77">
        <f>ROUNDUP(tbl_Data[[#This Row],[Adjusted 2032]]/$L149,0)</f>
        <v>1</v>
      </c>
      <c r="BJ149" s="77">
        <f>ROUNDUP(tbl_Data[[#This Row],[Adjusted 2033]]/$L149,0)</f>
        <v>1</v>
      </c>
      <c r="BK149" s="77">
        <f>ROUNDUP(tbl_Data[[#This Row],[Adjusted 2034]]/$L149,0)</f>
        <v>1</v>
      </c>
      <c r="BL149" s="80">
        <f t="shared" si="67"/>
        <v>2.3280896353946678</v>
      </c>
      <c r="BM149" s="80">
        <f t="shared" si="68"/>
        <v>4.9176574487776348</v>
      </c>
      <c r="BN149" s="80">
        <f t="shared" si="69"/>
        <v>7.748252432056459</v>
      </c>
      <c r="BO149" s="80">
        <f t="shared" si="70"/>
        <v>10.806782026391971</v>
      </c>
      <c r="BP149" s="80">
        <f t="shared" si="71"/>
        <v>14.082354396858468</v>
      </c>
      <c r="BQ149" s="80">
        <f t="shared" si="72"/>
        <v>17.55638664857635</v>
      </c>
      <c r="BR149" s="80">
        <f t="shared" si="73"/>
        <v>21.237640925404655</v>
      </c>
      <c r="BS149" s="80">
        <f t="shared" si="74"/>
        <v>25.14396046345135</v>
      </c>
      <c r="BT149" s="80">
        <f t="shared" si="75"/>
        <v>29.296148399806889</v>
      </c>
      <c r="BU149" s="80">
        <f t="shared" si="76"/>
        <v>33.716665194903946</v>
      </c>
      <c r="BV149" s="80">
        <f>IFERROR(VLOOKUP($H149,'1. Set Program Names'!$B$2:$D$15,3,0)*V149,"NA")</f>
        <v>0.53791597571528205</v>
      </c>
      <c r="BW149" s="80">
        <f>IFERROR(VLOOKUP($H149,'1. Set Program Names'!$B$2:$D$15,3,0)*W149,"NA")</f>
        <v>1.1362477048029578</v>
      </c>
      <c r="BX149" s="80">
        <f>IFERROR(VLOOKUP($H149,'1. Set Program Names'!$B$2:$D$15,3,0)*X149,"NA")</f>
        <v>1.7902698863961028</v>
      </c>
      <c r="BY149" s="80">
        <f>IFERROR(VLOOKUP($H149,'1. Set Program Names'!$B$2:$D$15,3,0)*Y149,"NA")</f>
        <v>2.496957423670477</v>
      </c>
      <c r="BZ149" s="80">
        <f>IFERROR(VLOOKUP($H149,'1. Set Program Names'!$B$2:$D$15,3,0)*Z149,"NA")</f>
        <v>3.2537937073330712</v>
      </c>
      <c r="CA149" s="80">
        <f>IFERROR(VLOOKUP($H149,'1. Set Program Names'!$B$2:$D$15,3,0)*AA149,"NA")</f>
        <v>4.0564850727934845</v>
      </c>
      <c r="CB149" s="80">
        <f>IFERROR(VLOOKUP($H149,'1. Set Program Names'!$B$2:$D$15,3,0)*AB149,"NA")</f>
        <v>4.9070560542842632</v>
      </c>
      <c r="CC149" s="80">
        <f>IFERROR(VLOOKUP($H149,'1. Set Program Names'!$B$2:$D$15,3,0)*AC149,"NA")</f>
        <v>5.8096294147845526</v>
      </c>
      <c r="CD149" s="80">
        <f>IFERROR(VLOOKUP($H149,'1. Set Program Names'!$B$2:$D$15,3,0)*AD149,"NA")</f>
        <v>6.7690118162096917</v>
      </c>
      <c r="CE149" s="80">
        <f>IFERROR(VLOOKUP($H149,'1. Set Program Names'!$B$2:$D$15,3,0)*AE149,"NA")</f>
        <v>7.7903928527681572</v>
      </c>
    </row>
    <row r="150" spans="1:83" x14ac:dyDescent="0.25">
      <c r="A150" s="79" t="s">
        <v>117</v>
      </c>
      <c r="B150" s="79" t="s">
        <v>88</v>
      </c>
      <c r="C150" s="79" t="s">
        <v>89</v>
      </c>
      <c r="D150" s="79" t="s">
        <v>90</v>
      </c>
      <c r="E150" s="79" t="s">
        <v>91</v>
      </c>
      <c r="F150" s="79" t="s">
        <v>90</v>
      </c>
      <c r="G150" s="79" t="s">
        <v>92</v>
      </c>
      <c r="H150" s="79" t="s">
        <v>7</v>
      </c>
      <c r="I150" s="79" t="s">
        <v>433</v>
      </c>
      <c r="J150" s="79" t="s">
        <v>97</v>
      </c>
      <c r="K150" s="79" t="s">
        <v>102</v>
      </c>
      <c r="L150" s="79">
        <v>408.28</v>
      </c>
      <c r="M150" s="79">
        <v>0.16567198429270899</v>
      </c>
      <c r="N150" s="79">
        <v>2.3547919008134799E-2</v>
      </c>
      <c r="O150" s="79">
        <v>128.60999999999999</v>
      </c>
      <c r="P150" s="79">
        <v>29.691921599999901</v>
      </c>
      <c r="Q150" s="79">
        <v>117.737496926549</v>
      </c>
      <c r="R150" s="79">
        <v>238.630335182902</v>
      </c>
      <c r="S150" s="79">
        <v>423.90838942107399</v>
      </c>
      <c r="T150" s="79">
        <v>11</v>
      </c>
      <c r="U150" s="79">
        <v>9.9999999999999895E-2</v>
      </c>
      <c r="V150" s="79">
        <f>tbl_Data_old[[#This Row],[2025 ]]*IFERROR(AVERAGEIFS('Participation Adjustment'!$C:$C,'Participation Adjustment'!$A:$A,$H150,'Participation Adjustment'!$B:$B,$I150),1)</f>
        <v>0.103362332387822</v>
      </c>
      <c r="W150" s="79">
        <f>tbl_Data_old[[#This Row],[2026 ]]*IFERROR(AVERAGEIFS('Participation Adjustment'!$C:$C,'Participation Adjustment'!$A:$A,$H150,'Participation Adjustment'!$B:$B,$I150),1)</f>
        <v>0.18902140372989801</v>
      </c>
      <c r="X150" s="79">
        <f>tbl_Data_old[[#This Row],[2027 ]]*IFERROR(AVERAGEIFS('Participation Adjustment'!$C:$C,'Participation Adjustment'!$A:$A,$H150,'Participation Adjustment'!$B:$B,$I150),1)</f>
        <v>0.25997978377087599</v>
      </c>
      <c r="Y150" s="79">
        <f>tbl_Data_old[[#This Row],[2028 ]]*IFERROR(AVERAGEIFS('Participation Adjustment'!$C:$C,'Participation Adjustment'!$A:$A,$H150,'Participation Adjustment'!$B:$B,$I150),1)</f>
        <v>0.318986395926181</v>
      </c>
      <c r="Z150" s="79">
        <f>tbl_Data_old[[#This Row],[2029 ]]*IFERROR(AVERAGEIFS('Participation Adjustment'!$C:$C,'Participation Adjustment'!$A:$A,$H150,'Participation Adjustment'!$B:$B,$I150),1)</f>
        <v>0.36837140169961302</v>
      </c>
      <c r="AA150" s="79">
        <f>tbl_Data_old[[#This Row],[2030 ]]*IFERROR(AVERAGEIFS('Participation Adjustment'!$C:$C,'Participation Adjustment'!$A:$A,$H150,'Participation Adjustment'!$B:$B,$I150),1)</f>
        <v>0.40989801696866102</v>
      </c>
      <c r="AB150" s="79">
        <f>tbl_Data_old[[#This Row],[2031 ]]*IFERROR(AVERAGEIFS('Participation Adjustment'!$C:$C,'Participation Adjustment'!$A:$A,$H150,'Participation Adjustment'!$B:$B,$I150),1)</f>
        <v>0.44531263592077802</v>
      </c>
      <c r="AC150" s="79">
        <f>tbl_Data_old[[#This Row],[2032 ]]*IFERROR(AVERAGEIFS('Participation Adjustment'!$C:$C,'Participation Adjustment'!$A:$A,$H150,'Participation Adjustment'!$B:$B,$I150),1)</f>
        <v>0.47597976829597599</v>
      </c>
      <c r="AD150" s="79">
        <f>tbl_Data_old[[#This Row],[2033 ]]*IFERROR(AVERAGEIFS('Participation Adjustment'!$C:$C,'Participation Adjustment'!$A:$A,$H150,'Participation Adjustment'!$B:$B,$I150),1)</f>
        <v>0.50297089099422898</v>
      </c>
      <c r="AE150" s="79">
        <f>tbl_Data_old[[#This Row],[2034 ]]*IFERROR(AVERAGEIFS('Participation Adjustment'!$C:$C,'Participation Adjustment'!$A:$A,$H150,'Participation Adjustment'!$B:$B,$I150),1)</f>
        <v>0.527111517650109</v>
      </c>
      <c r="AF150" s="77" t="str">
        <f t="shared" si="66"/>
        <v>Residential</v>
      </c>
      <c r="AG150" s="77" t="str">
        <f>tbl_Data[[#This Row],[All_Meas_Name_Append]]</f>
        <v>Smart Thermostat Residential_Efficiency Delivered</v>
      </c>
      <c r="AH150" s="77">
        <f>AVERAGEIFS('3. Incentive Adjustment'!G:G,'3. Incentive Adjustment'!A:A,tbl_Data[[#This Row],[Trimmed Sector]],'3. Incentive Adjustment'!B:B,tbl_Data[[#This Row],[Trimmed Measure Name]])</f>
        <v>1</v>
      </c>
      <c r="AI150" s="77">
        <f>$AH150*tbl_Data[[#This Row],[2025 ]]</f>
        <v>0.103362332387822</v>
      </c>
      <c r="AJ150" s="77">
        <f>$AH150*tbl_Data[[#This Row],[2026 ]]</f>
        <v>0.18902140372989801</v>
      </c>
      <c r="AK150" s="77">
        <f>$AH150*tbl_Data[[#This Row],[2027 ]]</f>
        <v>0.25997978377087599</v>
      </c>
      <c r="AL150" s="77">
        <f>$AH150*tbl_Data[[#This Row],[2028 ]]</f>
        <v>0.318986395926181</v>
      </c>
      <c r="AM150" s="77">
        <f>$AH150*tbl_Data[[#This Row],[2029 ]]</f>
        <v>0.36837140169961302</v>
      </c>
      <c r="AN150" s="77">
        <f>$AH150*tbl_Data[[#This Row],[2030 ]]</f>
        <v>0.40989801696866102</v>
      </c>
      <c r="AO150" s="77">
        <f>$AH150*tbl_Data[[#This Row],[2031 ]]</f>
        <v>0.44531263592077802</v>
      </c>
      <c r="AP150" s="77">
        <f>$AH150*tbl_Data[[#This Row],[2032 ]]</f>
        <v>0.47597976829597599</v>
      </c>
      <c r="AQ150" s="77">
        <f>$AH150*tbl_Data[[#This Row],[2033 ]]</f>
        <v>0.50297089099422898</v>
      </c>
      <c r="AR150" s="77">
        <f>$AH150*tbl_Data[[#This Row],[2034 ]]</f>
        <v>0.527111517650109</v>
      </c>
      <c r="AS150" s="77">
        <f>SUM(tbl_Data[[#This Row],[Adjusted 2025]:[Adjusted 2034]])</f>
        <v>3.6009941473441431</v>
      </c>
      <c r="AT150" s="80">
        <f>AVERAGEIFS('3. Incentive Adjustment'!F:F,'3. Incentive Adjustment'!A:A,tbl_Data[[#This Row],[Trimmed Sector]],'3. Incentive Adjustment'!B:B,tbl_Data[[#This Row],[Trimmed Measure Name]])</f>
        <v>29.691921599999898</v>
      </c>
      <c r="AU150" s="80">
        <f>IFERROR(VLOOKUP(tbl_Data[[#This Row],[All_Meas_Name_Append]],'IRA Tax Credits'!$A$3:$D$46,4,0),0)</f>
        <v>0</v>
      </c>
      <c r="AV150" s="81">
        <f>tbl_Data[[#This Row],[Adj. per unit Incentive ($)]]/tbl_Data[[#This Row],[kWh Savings]]*tbl_Data[[#This Row],[Sum of Annuals]]</f>
        <v>0.26188017023856369</v>
      </c>
      <c r="AW150" s="81">
        <f>IFERROR(VLOOKUP(tbl_Data[[#This Row],[Column1]],'1. Set Program Names'!$B$2:$D$15,3,0)*tbl_Data[[#This Row],[Sum of Annuals]],"")</f>
        <v>1.5576517488811144</v>
      </c>
      <c r="AX150" s="81">
        <f>tbl_Data[[#This Row],[per unit IRA tax ($)]]/tbl_Data[[#This Row],[kWh Savings]]*tbl_Data[[#This Row],[Sum of Annuals]]</f>
        <v>0</v>
      </c>
      <c r="AY150" s="81">
        <f>tbl_Data[[#This Row],[Avoided Costs ($/unit)]]/tbl_Data[[#This Row],[kWh Savings]]*tbl_Data[[#This Row],[Sum of Annuals]]</f>
        <v>2.1046988350455602</v>
      </c>
      <c r="AZ150" s="81">
        <f>tbl_Data[[#This Row],[Lost Revenue ($/unit)]]/tbl_Data[[#This Row],[kWh Savings]]*tbl_Data[[#This Row],[Sum of Annuals]]</f>
        <v>3.7388351849597568</v>
      </c>
      <c r="BA150" s="81">
        <f>tbl_Data[[#This Row],[Incremental Cost ($/unit)]]/tbl_Data[[#This Row],[kWh Savings]]*tbl_Data[[#This Row],[Sum of Annuals]]</f>
        <v>1.1343290322571036</v>
      </c>
      <c r="BB150" s="77">
        <f>ROUNDUP(tbl_Data[[#This Row],[Adjusted 2025]]/$L150,0)</f>
        <v>1</v>
      </c>
      <c r="BC150" s="77">
        <f>ROUNDUP(tbl_Data[[#This Row],[Adjusted 2026]]/$L150,0)</f>
        <v>1</v>
      </c>
      <c r="BD150" s="77">
        <f>ROUNDUP(tbl_Data[[#This Row],[Adjusted 2027]]/$L150,0)</f>
        <v>1</v>
      </c>
      <c r="BE150" s="77">
        <f>ROUNDUP(tbl_Data[[#This Row],[Adjusted 2028]]/$L150,0)</f>
        <v>1</v>
      </c>
      <c r="BF150" s="77">
        <f>ROUNDUP(tbl_Data[[#This Row],[Adjusted 2029]]/$L150,0)</f>
        <v>1</v>
      </c>
      <c r="BG150" s="77">
        <f>ROUNDUP(tbl_Data[[#This Row],[Adjusted 2030]]/$L150,0)</f>
        <v>1</v>
      </c>
      <c r="BH150" s="77">
        <f>ROUNDUP(tbl_Data[[#This Row],[Adjusted 2031]]/$L150,0)</f>
        <v>1</v>
      </c>
      <c r="BI150" s="77">
        <f>ROUNDUP(tbl_Data[[#This Row],[Adjusted 2032]]/$L150,0)</f>
        <v>1</v>
      </c>
      <c r="BJ150" s="77">
        <f>ROUNDUP(tbl_Data[[#This Row],[Adjusted 2033]]/$L150,0)</f>
        <v>1</v>
      </c>
      <c r="BK150" s="77">
        <f>ROUNDUP(tbl_Data[[#This Row],[Adjusted 2034]]/$L150,0)</f>
        <v>1</v>
      </c>
      <c r="BL150" s="80">
        <f t="shared" si="67"/>
        <v>7.5169645087987194E-3</v>
      </c>
      <c r="BM150" s="80">
        <f t="shared" si="68"/>
        <v>1.3746469825291614E-2</v>
      </c>
      <c r="BN150" s="80">
        <f t="shared" si="69"/>
        <v>1.8906876058856117E-2</v>
      </c>
      <c r="BO150" s="80">
        <f t="shared" si="70"/>
        <v>2.3198097039548088E-2</v>
      </c>
      <c r="BP150" s="80">
        <f t="shared" si="71"/>
        <v>2.6789592384997989E-2</v>
      </c>
      <c r="BQ150" s="80">
        <f t="shared" si="72"/>
        <v>2.9809590927375604E-2</v>
      </c>
      <c r="BR150" s="80">
        <f t="shared" si="73"/>
        <v>3.2385098151388847E-2</v>
      </c>
      <c r="BS150" s="80">
        <f t="shared" si="74"/>
        <v>3.4615347221098845E-2</v>
      </c>
      <c r="BT150" s="80">
        <f t="shared" si="75"/>
        <v>3.6578260660533803E-2</v>
      </c>
      <c r="BU150" s="80">
        <f t="shared" si="76"/>
        <v>3.8333873460674045E-2</v>
      </c>
      <c r="BV150" s="80">
        <f>IFERROR(VLOOKUP($H150,'1. Set Program Names'!$B$2:$D$15,3,0)*V150,"NA")</f>
        <v>4.4710574698119648E-2</v>
      </c>
      <c r="BW150" s="80">
        <f>IFERROR(VLOOKUP($H150,'1. Set Program Names'!$B$2:$D$15,3,0)*W150,"NA")</f>
        <v>8.1763398675054971E-2</v>
      </c>
      <c r="BX150" s="80">
        <f>IFERROR(VLOOKUP($H150,'1. Set Program Names'!$B$2:$D$15,3,0)*X150,"NA")</f>
        <v>0.11245726826940536</v>
      </c>
      <c r="BY150" s="80">
        <f>IFERROR(VLOOKUP($H150,'1. Set Program Names'!$B$2:$D$15,3,0)*Y150,"NA")</f>
        <v>0.13798126216066134</v>
      </c>
      <c r="BZ150" s="80">
        <f>IFERROR(VLOOKUP($H150,'1. Set Program Names'!$B$2:$D$15,3,0)*Z150,"NA")</f>
        <v>0.15934331871057961</v>
      </c>
      <c r="CA150" s="80">
        <f>IFERROR(VLOOKUP($H150,'1. Set Program Names'!$B$2:$D$15,3,0)*AA150,"NA")</f>
        <v>0.17730613738015519</v>
      </c>
      <c r="CB150" s="80">
        <f>IFERROR(VLOOKUP($H150,'1. Set Program Names'!$B$2:$D$15,3,0)*AB150,"NA")</f>
        <v>0.19262514121341842</v>
      </c>
      <c r="CC150" s="80">
        <f>IFERROR(VLOOKUP($H150,'1. Set Program Names'!$B$2:$D$15,3,0)*AC150,"NA")</f>
        <v>0.20589056471115633</v>
      </c>
      <c r="CD150" s="80">
        <f>IFERROR(VLOOKUP($H150,'1. Set Program Names'!$B$2:$D$15,3,0)*AD150,"NA")</f>
        <v>0.21756588762336004</v>
      </c>
      <c r="CE150" s="80">
        <f>IFERROR(VLOOKUP($H150,'1. Set Program Names'!$B$2:$D$15,3,0)*AE150,"NA")</f>
        <v>0.22800819543920328</v>
      </c>
    </row>
    <row r="151" spans="1:83" x14ac:dyDescent="0.25">
      <c r="A151" s="79" t="s">
        <v>117</v>
      </c>
      <c r="B151" s="79" t="s">
        <v>88</v>
      </c>
      <c r="C151" s="79" t="s">
        <v>89</v>
      </c>
      <c r="D151" s="79" t="s">
        <v>90</v>
      </c>
      <c r="E151" s="79" t="s">
        <v>91</v>
      </c>
      <c r="F151" s="79" t="s">
        <v>90</v>
      </c>
      <c r="G151" s="79" t="s">
        <v>92</v>
      </c>
      <c r="H151" s="79"/>
      <c r="I151" s="79" t="s">
        <v>112</v>
      </c>
      <c r="J151" s="79" t="s">
        <v>94</v>
      </c>
      <c r="K151" s="79" t="s">
        <v>108</v>
      </c>
      <c r="L151" s="79">
        <v>1330.8133333333301</v>
      </c>
      <c r="M151" s="79">
        <v>5.33311142126306E-2</v>
      </c>
      <c r="N151" s="79">
        <v>0.24737910980336</v>
      </c>
      <c r="O151" s="79">
        <v>8990.02</v>
      </c>
      <c r="P151" s="79">
        <v>8776.4394094329891</v>
      </c>
      <c r="Q151" s="79">
        <v>383.77248638959497</v>
      </c>
      <c r="R151" s="79">
        <v>713.19672296706005</v>
      </c>
      <c r="S151" s="79">
        <v>2011.6258188035599</v>
      </c>
      <c r="T151" s="79">
        <v>20</v>
      </c>
      <c r="U151" s="79">
        <v>0.1</v>
      </c>
      <c r="V151" s="79">
        <f>tbl_Data_old[[#This Row],[2025 ]]*IFERROR(AVERAGEIFS('Participation Adjustment'!$C:$C,'Participation Adjustment'!$A:$A,$H151,'Participation Adjustment'!$B:$B,$I151),1)</f>
        <v>4.0116238504486397</v>
      </c>
      <c r="W151" s="79">
        <f>tbl_Data_old[[#This Row],[2026 ]]*IFERROR(AVERAGEIFS('Participation Adjustment'!$C:$C,'Participation Adjustment'!$A:$A,$H151,'Participation Adjustment'!$B:$B,$I151),1)</f>
        <v>8.4762953113685704</v>
      </c>
      <c r="X151" s="79">
        <f>tbl_Data_old[[#This Row],[2027 ]]*IFERROR(AVERAGEIFS('Participation Adjustment'!$C:$C,'Participation Adjustment'!$A:$A,$H151,'Participation Adjustment'!$B:$B,$I151),1)</f>
        <v>13.358992266484799</v>
      </c>
      <c r="Y151" s="79">
        <f>tbl_Data_old[[#This Row],[2028 ]]*IFERROR(AVERAGEIFS('Participation Adjustment'!$C:$C,'Participation Adjustment'!$A:$A,$H151,'Participation Adjustment'!$B:$B,$I151),1)</f>
        <v>18.637292408677499</v>
      </c>
      <c r="Z151" s="79">
        <f>tbl_Data_old[[#This Row],[2029 ]]*IFERROR(AVERAGEIFS('Participation Adjustment'!$C:$C,'Participation Adjustment'!$A:$A,$H151,'Participation Adjustment'!$B:$B,$I151),1)</f>
        <v>24.2925052842761</v>
      </c>
      <c r="AA151" s="79">
        <f>tbl_Data_old[[#This Row],[2030 ]]*IFERROR(AVERAGEIFS('Participation Adjustment'!$C:$C,'Participation Adjustment'!$A:$A,$H151,'Participation Adjustment'!$B:$B,$I151),1)</f>
        <v>30.2926047032675</v>
      </c>
      <c r="AB151" s="79">
        <f>tbl_Data_old[[#This Row],[2031 ]]*IFERROR(AVERAGEIFS('Participation Adjustment'!$C:$C,'Participation Adjustment'!$A:$A,$H151,'Participation Adjustment'!$B:$B,$I151),1)</f>
        <v>36.652752141221001</v>
      </c>
      <c r="AC151" s="79">
        <f>tbl_Data_old[[#This Row],[2032 ]]*IFERROR(AVERAGEIFS('Participation Adjustment'!$C:$C,'Participation Adjustment'!$A:$A,$H151,'Participation Adjustment'!$B:$B,$I151),1)</f>
        <v>43.403800461314802</v>
      </c>
      <c r="AD151" s="79">
        <f>tbl_Data_old[[#This Row],[2033 ]]*IFERROR(AVERAGEIFS('Participation Adjustment'!$C:$C,'Participation Adjustment'!$A:$A,$H151,'Participation Adjustment'!$B:$B,$I151),1)</f>
        <v>50.581729837007401</v>
      </c>
      <c r="AE151" s="79">
        <f>tbl_Data_old[[#This Row],[2034 ]]*IFERROR(AVERAGEIFS('Participation Adjustment'!$C:$C,'Participation Adjustment'!$A:$A,$H151,'Participation Adjustment'!$B:$B,$I151),1)</f>
        <v>58.225398331722097</v>
      </c>
      <c r="AF151" s="77" t="str">
        <f t="shared" si="66"/>
        <v>Residential</v>
      </c>
      <c r="AG151" s="77" t="str">
        <f>tbl_Data[[#This Row],[All_Meas_Name_Append]]</f>
        <v>Solar Thermal Water Heating System</v>
      </c>
      <c r="AH151" s="77">
        <f>AVERAGEIFS('3. Incentive Adjustment'!G:G,'3. Incentive Adjustment'!A:A,tbl_Data[[#This Row],[Trimmed Sector]],'3. Incentive Adjustment'!B:B,tbl_Data[[#This Row],[Trimmed Measure Name]])</f>
        <v>2.7736651842107431E-8</v>
      </c>
      <c r="AI151" s="77">
        <f>$AH151*tbl_Data[[#This Row],[2025 ]]</f>
        <v>1.1126901406138837E-7</v>
      </c>
      <c r="AJ151" s="77">
        <f>$AH151*tbl_Data[[#This Row],[2026 ]]</f>
        <v>2.3510405196231764E-7</v>
      </c>
      <c r="AK151" s="77">
        <f>$AH151*tbl_Data[[#This Row],[2027 ]]</f>
        <v>3.7053371745689455E-7</v>
      </c>
      <c r="AL151" s="77">
        <f>$AH151*tbl_Data[[#This Row],[2028 ]]</f>
        <v>5.1693609081903959E-7</v>
      </c>
      <c r="AM151" s="77">
        <f>$AH151*tbl_Data[[#This Row],[2029 ]]</f>
        <v>6.7379276144252115E-7</v>
      </c>
      <c r="AN151" s="77">
        <f>$AH151*tbl_Data[[#This Row],[2030 ]]</f>
        <v>8.4021543004511677E-7</v>
      </c>
      <c r="AO151" s="77">
        <f>$AH151*tbl_Data[[#This Row],[2031 ]]</f>
        <v>1.0166246251961046E-6</v>
      </c>
      <c r="AP151" s="77">
        <f>$AH151*tbl_Data[[#This Row],[2032 ]]</f>
        <v>1.2038761020197907E-6</v>
      </c>
      <c r="AQ151" s="77">
        <f>$AH151*tbl_Data[[#This Row],[2033 ]]</f>
        <v>1.4029678300606117E-6</v>
      </c>
      <c r="AR151" s="77">
        <f>$AH151*tbl_Data[[#This Row],[2034 ]]</f>
        <v>1.6149776018949987E-6</v>
      </c>
      <c r="AS151" s="77">
        <f>SUM(tbl_Data[[#This Row],[Adjusted 2025]:[Adjusted 2034]])</f>
        <v>7.986297224958783E-6</v>
      </c>
      <c r="AT151" s="80">
        <f>AVERAGEIFS('3. Incentive Adjustment'!F:F,'3. Incentive Adjustment'!A:A,tbl_Data[[#This Row],[Trimmed Sector]],'3. Incentive Adjustment'!B:B,tbl_Data[[#This Row],[Trimmed Measure Name]])</f>
        <v>0</v>
      </c>
      <c r="AU151" s="80">
        <f>IFERROR(VLOOKUP(tbl_Data[[#This Row],[All_Meas_Name_Append]],'IRA Tax Credits'!$A$3:$D$46,4,0),0)</f>
        <v>41666.666666666672</v>
      </c>
      <c r="AV151" s="81">
        <f>tbl_Data[[#This Row],[Adj. per unit Incentive ($)]]/tbl_Data[[#This Row],[kWh Savings]]*tbl_Data[[#This Row],[Sum of Annuals]]</f>
        <v>0</v>
      </c>
      <c r="AW151" s="81" t="str">
        <f>IFERROR(VLOOKUP(tbl_Data[[#This Row],[Column1]],'1. Set Program Names'!$B$2:$D$15,3,0)*tbl_Data[[#This Row],[Sum of Annuals]],"")</f>
        <v/>
      </c>
      <c r="AX151" s="81">
        <f>tbl_Data[[#This Row],[per unit IRA tax ($)]]/tbl_Data[[#This Row],[kWh Savings]]*tbl_Data[[#This Row],[Sum of Annuals]]</f>
        <v>2.5004437214331345E-4</v>
      </c>
      <c r="AY151" s="81">
        <f>tbl_Data[[#This Row],[Avoided Costs ($/unit)]]/tbl_Data[[#This Row],[kWh Savings]]*tbl_Data[[#This Row],[Sum of Annuals]]</f>
        <v>4.2799398434152123E-6</v>
      </c>
      <c r="AZ151" s="81">
        <f>tbl_Data[[#This Row],[Lost Revenue ($/unit)]]/tbl_Data[[#This Row],[kWh Savings]]*tbl_Data[[#This Row],[Sum of Annuals]]</f>
        <v>1.207189715640036E-5</v>
      </c>
      <c r="BA151" s="81">
        <f>tbl_Data[[#This Row],[Incremental Cost ($/unit)]]/tbl_Data[[#This Row],[kWh Savings]]*tbl_Data[[#This Row],[Sum of Annuals]]</f>
        <v>5.3949693754939938E-5</v>
      </c>
      <c r="BB151" s="77">
        <f>ROUNDUP(tbl_Data[[#This Row],[Adjusted 2025]]/$L151,0)</f>
        <v>1</v>
      </c>
      <c r="BC151" s="77">
        <f>ROUNDUP(tbl_Data[[#This Row],[Adjusted 2026]]/$L151,0)</f>
        <v>1</v>
      </c>
      <c r="BD151" s="77">
        <f>ROUNDUP(tbl_Data[[#This Row],[Adjusted 2027]]/$L151,0)</f>
        <v>1</v>
      </c>
      <c r="BE151" s="77">
        <f>ROUNDUP(tbl_Data[[#This Row],[Adjusted 2028]]/$L151,0)</f>
        <v>1</v>
      </c>
      <c r="BF151" s="77">
        <f>ROUNDUP(tbl_Data[[#This Row],[Adjusted 2029]]/$L151,0)</f>
        <v>1</v>
      </c>
      <c r="BG151" s="77">
        <f>ROUNDUP(tbl_Data[[#This Row],[Adjusted 2030]]/$L151,0)</f>
        <v>1</v>
      </c>
      <c r="BH151" s="77">
        <f>ROUNDUP(tbl_Data[[#This Row],[Adjusted 2031]]/$L151,0)</f>
        <v>1</v>
      </c>
      <c r="BI151" s="77">
        <f>ROUNDUP(tbl_Data[[#This Row],[Adjusted 2032]]/$L151,0)</f>
        <v>1</v>
      </c>
      <c r="BJ151" s="77">
        <f>ROUNDUP(tbl_Data[[#This Row],[Adjusted 2033]]/$L151,0)</f>
        <v>1</v>
      </c>
      <c r="BK151" s="77">
        <f>ROUNDUP(tbl_Data[[#This Row],[Adjusted 2034]]/$L151,0)</f>
        <v>1</v>
      </c>
      <c r="BL151" s="80">
        <f t="shared" si="67"/>
        <v>0</v>
      </c>
      <c r="BM151" s="80">
        <f t="shared" si="68"/>
        <v>0</v>
      </c>
      <c r="BN151" s="80">
        <f t="shared" si="69"/>
        <v>0</v>
      </c>
      <c r="BO151" s="80">
        <f t="shared" si="70"/>
        <v>0</v>
      </c>
      <c r="BP151" s="80">
        <f t="shared" si="71"/>
        <v>0</v>
      </c>
      <c r="BQ151" s="80">
        <f t="shared" si="72"/>
        <v>0</v>
      </c>
      <c r="BR151" s="80">
        <f t="shared" si="73"/>
        <v>0</v>
      </c>
      <c r="BS151" s="80">
        <f t="shared" si="74"/>
        <v>0</v>
      </c>
      <c r="BT151" s="80">
        <f t="shared" si="75"/>
        <v>0</v>
      </c>
      <c r="BU151" s="80">
        <f t="shared" si="76"/>
        <v>0</v>
      </c>
      <c r="BV151" s="80" t="str">
        <f>IFERROR(VLOOKUP($H151,'1. Set Program Names'!$B$2:$D$15,3,0)*V151,"NA")</f>
        <v>NA</v>
      </c>
      <c r="BW151" s="80" t="str">
        <f>IFERROR(VLOOKUP($H151,'1. Set Program Names'!$B$2:$D$15,3,0)*W151,"NA")</f>
        <v>NA</v>
      </c>
      <c r="BX151" s="80" t="str">
        <f>IFERROR(VLOOKUP($H151,'1. Set Program Names'!$B$2:$D$15,3,0)*X151,"NA")</f>
        <v>NA</v>
      </c>
      <c r="BY151" s="80" t="str">
        <f>IFERROR(VLOOKUP($H151,'1. Set Program Names'!$B$2:$D$15,3,0)*Y151,"NA")</f>
        <v>NA</v>
      </c>
      <c r="BZ151" s="80" t="str">
        <f>IFERROR(VLOOKUP($H151,'1. Set Program Names'!$B$2:$D$15,3,0)*Z151,"NA")</f>
        <v>NA</v>
      </c>
      <c r="CA151" s="80" t="str">
        <f>IFERROR(VLOOKUP($H151,'1. Set Program Names'!$B$2:$D$15,3,0)*AA151,"NA")</f>
        <v>NA</v>
      </c>
      <c r="CB151" s="80" t="str">
        <f>IFERROR(VLOOKUP($H151,'1. Set Program Names'!$B$2:$D$15,3,0)*AB151,"NA")</f>
        <v>NA</v>
      </c>
      <c r="CC151" s="80" t="str">
        <f>IFERROR(VLOOKUP($H151,'1. Set Program Names'!$B$2:$D$15,3,0)*AC151,"NA")</f>
        <v>NA</v>
      </c>
      <c r="CD151" s="80" t="str">
        <f>IFERROR(VLOOKUP($H151,'1. Set Program Names'!$B$2:$D$15,3,0)*AD151,"NA")</f>
        <v>NA</v>
      </c>
      <c r="CE151" s="80" t="str">
        <f>IFERROR(VLOOKUP($H151,'1. Set Program Names'!$B$2:$D$15,3,0)*AE151,"NA")</f>
        <v>NA</v>
      </c>
    </row>
    <row r="152" spans="1:83" x14ac:dyDescent="0.25">
      <c r="A152" s="79" t="s">
        <v>87</v>
      </c>
      <c r="B152" s="79" t="s">
        <v>88</v>
      </c>
      <c r="C152" s="79" t="s">
        <v>89</v>
      </c>
      <c r="D152" s="79" t="s">
        <v>90</v>
      </c>
      <c r="E152" s="79" t="s">
        <v>91</v>
      </c>
      <c r="F152" s="79" t="s">
        <v>90</v>
      </c>
      <c r="G152" s="79" t="s">
        <v>92</v>
      </c>
      <c r="H152" s="79" t="s">
        <v>9</v>
      </c>
      <c r="I152" s="79" t="s">
        <v>93</v>
      </c>
      <c r="J152" s="79" t="s">
        <v>94</v>
      </c>
      <c r="K152" s="79" t="s">
        <v>95</v>
      </c>
      <c r="L152" s="79">
        <v>1200.2266666666601</v>
      </c>
      <c r="M152" s="79">
        <v>4.8097974252120097E-2</v>
      </c>
      <c r="N152" s="79">
        <v>0.22310492157346501</v>
      </c>
      <c r="O152" s="79">
        <v>1210</v>
      </c>
      <c r="P152" s="79">
        <v>933.85922631496703</v>
      </c>
      <c r="Q152" s="79">
        <v>360.56616574297698</v>
      </c>
      <c r="R152" s="79">
        <v>571.53970184074296</v>
      </c>
      <c r="S152" s="79">
        <v>1535.35818196214</v>
      </c>
      <c r="T152" s="79">
        <v>15</v>
      </c>
      <c r="U152" s="79">
        <v>0.2</v>
      </c>
      <c r="V152" s="79">
        <f>tbl_Data_old[[#This Row],[2025 ]]*IFERROR(AVERAGEIFS('Participation Adjustment'!$C:$C,'Participation Adjustment'!$A:$A,$H152,'Participation Adjustment'!$B:$B,$I152),1)</f>
        <v>14452.473660362301</v>
      </c>
      <c r="W152" s="79">
        <f>tbl_Data_old[[#This Row],[2026 ]]*IFERROR(AVERAGEIFS('Participation Adjustment'!$C:$C,'Participation Adjustment'!$A:$A,$H152,'Participation Adjustment'!$B:$B,$I152),1)</f>
        <v>15355.2276910569</v>
      </c>
      <c r="X152" s="79">
        <f>tbl_Data_old[[#This Row],[2027 ]]*IFERROR(AVERAGEIFS('Participation Adjustment'!$C:$C,'Participation Adjustment'!$A:$A,$H152,'Participation Adjustment'!$B:$B,$I152),1)</f>
        <v>16251.498859515699</v>
      </c>
      <c r="Y152" s="79">
        <f>tbl_Data_old[[#This Row],[2028 ]]*IFERROR(AVERAGEIFS('Participation Adjustment'!$C:$C,'Participation Adjustment'!$A:$A,$H152,'Participation Adjustment'!$B:$B,$I152),1)</f>
        <v>17168.4673085746</v>
      </c>
      <c r="Z152" s="79">
        <f>tbl_Data_old[[#This Row],[2029 ]]*IFERROR(AVERAGEIFS('Participation Adjustment'!$C:$C,'Participation Adjustment'!$A:$A,$H152,'Participation Adjustment'!$B:$B,$I152),1)</f>
        <v>18105.142648584701</v>
      </c>
      <c r="AA152" s="79">
        <f>tbl_Data_old[[#This Row],[2030 ]]*IFERROR(AVERAGEIFS('Participation Adjustment'!$C:$C,'Participation Adjustment'!$A:$A,$H152,'Participation Adjustment'!$B:$B,$I152),1)</f>
        <v>19008.794294261999</v>
      </c>
      <c r="AB152" s="79">
        <f>tbl_Data_old[[#This Row],[2031 ]]*IFERROR(AVERAGEIFS('Participation Adjustment'!$C:$C,'Participation Adjustment'!$A:$A,$H152,'Participation Adjustment'!$B:$B,$I152),1)</f>
        <v>20020.2184352687</v>
      </c>
      <c r="AC152" s="79">
        <f>tbl_Data_old[[#This Row],[2032 ]]*IFERROR(AVERAGEIFS('Participation Adjustment'!$C:$C,'Participation Adjustment'!$A:$A,$H152,'Participation Adjustment'!$B:$B,$I152),1)</f>
        <v>21179.8266887803</v>
      </c>
      <c r="AD152" s="79">
        <f>tbl_Data_old[[#This Row],[2033 ]]*IFERROR(AVERAGEIFS('Participation Adjustment'!$C:$C,'Participation Adjustment'!$A:$A,$H152,'Participation Adjustment'!$B:$B,$I152),1)</f>
        <v>22497.1669069419</v>
      </c>
      <c r="AE152" s="79">
        <f>tbl_Data_old[[#This Row],[2034 ]]*IFERROR(AVERAGEIFS('Participation Adjustment'!$C:$C,'Participation Adjustment'!$A:$A,$H152,'Participation Adjustment'!$B:$B,$I152),1)</f>
        <v>23976.8971512596</v>
      </c>
      <c r="AF152" s="77" t="str">
        <f t="shared" ref="AF152:AF183" si="77">IF(C152="Residential","Residential","NonResidential")</f>
        <v>Residential</v>
      </c>
      <c r="AG152" s="77" t="str">
        <f>tbl_Data[[#This Row],[All_Meas_Name_Append]]</f>
        <v>120v Heat Pump Water Heater 50 Gallons</v>
      </c>
      <c r="AH152" s="77">
        <f>AVERAGEIFS('3. Incentive Adjustment'!G:G,'3. Incentive Adjustment'!A:A,tbl_Data[[#This Row],[Trimmed Sector]],'3. Incentive Adjustment'!B:B,tbl_Data[[#This Row],[Trimmed Measure Name]])</f>
        <v>0.38528347196238832</v>
      </c>
      <c r="AI152" s="77">
        <f>$AH152*tbl_Data[[#This Row],[2025 ]]</f>
        <v>5568.2992303093542</v>
      </c>
      <c r="AJ152" s="77">
        <f>$AH152*tbl_Data[[#This Row],[2026 ]]</f>
        <v>5916.1154375834103</v>
      </c>
      <c r="AK152" s="77">
        <f>$AH152*tbl_Data[[#This Row],[2027 ]]</f>
        <v>6261.4339051870029</v>
      </c>
      <c r="AL152" s="77">
        <f>$AH152*tbl_Data[[#This Row],[2028 ]]</f>
        <v>6614.7266929203824</v>
      </c>
      <c r="AM152" s="77">
        <f>$AH152*tbl_Data[[#This Row],[2029 ]]</f>
        <v>6975.6122200210248</v>
      </c>
      <c r="AN152" s="77">
        <f>$AH152*tbl_Data[[#This Row],[2030 ]]</f>
        <v>7323.7742635121003</v>
      </c>
      <c r="AO152" s="77">
        <f>$AH152*tbl_Data[[#This Row],[2031 ]]</f>
        <v>7713.4592681857384</v>
      </c>
      <c r="AP152" s="77">
        <f>$AH152*tbl_Data[[#This Row],[2032 ]]</f>
        <v>8160.2371622149285</v>
      </c>
      <c r="AQ152" s="77">
        <f>$AH152*tbl_Data[[#This Row],[2033 ]]</f>
        <v>8667.7865752239195</v>
      </c>
      <c r="AR152" s="77">
        <f>$AH152*tbl_Data[[#This Row],[2034 ]]</f>
        <v>9237.9021813223972</v>
      </c>
      <c r="AS152" s="77">
        <f>SUM(tbl_Data[[#This Row],[Adjusted 2025]:[Adjusted 2034]])</f>
        <v>72439.346936480259</v>
      </c>
      <c r="AT152" s="80">
        <f>AVERAGEIFS('3. Incentive Adjustment'!F:F,'3. Incentive Adjustment'!A:A,tbl_Data[[#This Row],[Trimmed Sector]],'3. Incentive Adjustment'!B:B,tbl_Data[[#This Row],[Trimmed Measure Name]])</f>
        <v>500</v>
      </c>
      <c r="AU152" s="80">
        <f>IFERROR(VLOOKUP(tbl_Data[[#This Row],[All_Meas_Name_Append]],'IRA Tax Credits'!$A$3:$D$46,4,0),0)</f>
        <v>1666.6666666666667</v>
      </c>
      <c r="AV152" s="81">
        <f>tbl_Data[[#This Row],[Adj. per unit Incentive ($)]]/tbl_Data[[#This Row],[kWh Savings]]*tbl_Data[[#This Row],[Sum of Annuals]]</f>
        <v>30177.361055334262</v>
      </c>
      <c r="AW152" s="81">
        <f>IFERROR(VLOOKUP(tbl_Data[[#This Row],[Column1]],'1. Set Program Names'!$B$2:$D$15,3,0)*tbl_Data[[#This Row],[Sum of Annuals]],"")</f>
        <v>32642.80610388994</v>
      </c>
      <c r="AX152" s="81">
        <f>tbl_Data[[#This Row],[per unit IRA tax ($)]]/tbl_Data[[#This Row],[kWh Savings]]*tbl_Data[[#This Row],[Sum of Annuals]]</f>
        <v>100591.20351778089</v>
      </c>
      <c r="AY152" s="81">
        <f>tbl_Data[[#This Row],[Avoided Costs ($/unit)]]/tbl_Data[[#This Row],[kWh Savings]]*tbl_Data[[#This Row],[Sum of Annuals]]</f>
        <v>34495.119879812388</v>
      </c>
      <c r="AZ152" s="81">
        <f>tbl_Data[[#This Row],[Lost Revenue ($/unit)]]/tbl_Data[[#This Row],[kWh Savings]]*tbl_Data[[#This Row],[Sum of Annuals]]</f>
        <v>92666.116412666204</v>
      </c>
      <c r="BA152" s="81">
        <f>tbl_Data[[#This Row],[Incremental Cost ($/unit)]]/tbl_Data[[#This Row],[kWh Savings]]*tbl_Data[[#This Row],[Sum of Annuals]]</f>
        <v>73029.213753908916</v>
      </c>
      <c r="BB152" s="77">
        <f>ROUNDUP(tbl_Data[[#This Row],[Adjusted 2025]]/$L152,0)</f>
        <v>5</v>
      </c>
      <c r="BC152" s="77">
        <f>ROUNDUP(tbl_Data[[#This Row],[Adjusted 2026]]/$L152,0)</f>
        <v>5</v>
      </c>
      <c r="BD152" s="77">
        <f>ROUNDUP(tbl_Data[[#This Row],[Adjusted 2027]]/$L152,0)</f>
        <v>6</v>
      </c>
      <c r="BE152" s="77">
        <f>ROUNDUP(tbl_Data[[#This Row],[Adjusted 2028]]/$L152,0)</f>
        <v>6</v>
      </c>
      <c r="BF152" s="77">
        <f>ROUNDUP(tbl_Data[[#This Row],[Adjusted 2029]]/$L152,0)</f>
        <v>6</v>
      </c>
      <c r="BG152" s="77">
        <f>ROUNDUP(tbl_Data[[#This Row],[Adjusted 2030]]/$L152,0)</f>
        <v>7</v>
      </c>
      <c r="BH152" s="77">
        <f>ROUNDUP(tbl_Data[[#This Row],[Adjusted 2031]]/$L152,0)</f>
        <v>7</v>
      </c>
      <c r="BI152" s="77">
        <f>ROUNDUP(tbl_Data[[#This Row],[Adjusted 2032]]/$L152,0)</f>
        <v>7</v>
      </c>
      <c r="BJ152" s="77">
        <f>ROUNDUP(tbl_Data[[#This Row],[Adjusted 2033]]/$L152,0)</f>
        <v>8</v>
      </c>
      <c r="BK152" s="77">
        <f>ROUNDUP(tbl_Data[[#This Row],[Adjusted 2034]]/$L152,0)</f>
        <v>8</v>
      </c>
      <c r="BL152" s="80">
        <f t="shared" ref="BL152:BL183" si="78">$AT152/$L152*V152</f>
        <v>6020.726776759825</v>
      </c>
      <c r="BM152" s="80">
        <f t="shared" ref="BM152:BM183" si="79">$AT152/$L152*W152</f>
        <v>6396.803252881532</v>
      </c>
      <c r="BN152" s="80">
        <f t="shared" ref="BN152:BN183" si="80">$AT152/$L152*X152</f>
        <v>6770.1790465338991</v>
      </c>
      <c r="BO152" s="80">
        <f t="shared" ref="BO152:BO183" si="81">$AT152/$L152*Y152</f>
        <v>7152.1770784579685</v>
      </c>
      <c r="BP152" s="80">
        <f t="shared" ref="BP152:BP183" si="82">$AT152/$L152*Z152</f>
        <v>7542.3847642326446</v>
      </c>
      <c r="BQ152" s="80">
        <f t="shared" ref="BQ152:BQ183" si="83">$AT152/$L152*AA152</f>
        <v>7918.8351759648604</v>
      </c>
      <c r="BR152" s="80">
        <f t="shared" ref="BR152:BR183" si="84">$AT152/$L152*AB152</f>
        <v>8340.1823135916584</v>
      </c>
      <c r="BS152" s="80">
        <f t="shared" ref="BS152:BS183" si="85">$AT152/$L152*AC152</f>
        <v>8823.2611709928751</v>
      </c>
      <c r="BT152" s="80">
        <f t="shared" ref="BT152:BT183" si="86">$AT152/$L152*AD152</f>
        <v>9372.0492685862209</v>
      </c>
      <c r="BU152" s="80">
        <f t="shared" ref="BU152:BU183" si="87">$AT152/$L152*AE152</f>
        <v>9988.4870987951144</v>
      </c>
      <c r="BV152" s="80">
        <f>IFERROR(VLOOKUP($H152,'1. Set Program Names'!$B$2:$D$15,3,0)*V152,"NA")</f>
        <v>6512.6111066470885</v>
      </c>
      <c r="BW152" s="80">
        <f>IFERROR(VLOOKUP($H152,'1. Set Program Names'!$B$2:$D$15,3,0)*W152,"NA")</f>
        <v>6919.4124657110906</v>
      </c>
      <c r="BX152" s="80">
        <f>IFERROR(VLOOKUP($H152,'1. Set Program Names'!$B$2:$D$15,3,0)*X152,"NA")</f>
        <v>7323.2925006065152</v>
      </c>
      <c r="BY152" s="80">
        <f>IFERROR(VLOOKUP($H152,'1. Set Program Names'!$B$2:$D$15,3,0)*Y152,"NA")</f>
        <v>7736.4991976831907</v>
      </c>
      <c r="BZ152" s="80">
        <f>IFERROR(VLOOKUP($H152,'1. Set Program Names'!$B$2:$D$15,3,0)*Z152,"NA")</f>
        <v>8158.5862649928358</v>
      </c>
      <c r="CA152" s="80">
        <f>IFERROR(VLOOKUP($H152,'1. Set Program Names'!$B$2:$D$15,3,0)*AA152,"NA")</f>
        <v>8565.7921096447863</v>
      </c>
      <c r="CB152" s="80">
        <f>IFERROR(VLOOKUP($H152,'1. Set Program Names'!$B$2:$D$15,3,0)*AB152,"NA")</f>
        <v>9021.5626752274056</v>
      </c>
      <c r="CC152" s="80">
        <f>IFERROR(VLOOKUP($H152,'1. Set Program Names'!$B$2:$D$15,3,0)*AC152,"NA")</f>
        <v>9544.10834932137</v>
      </c>
      <c r="CD152" s="80">
        <f>IFERROR(VLOOKUP($H152,'1. Set Program Names'!$B$2:$D$15,3,0)*AD152,"NA")</f>
        <v>10137.731609785216</v>
      </c>
      <c r="CE152" s="80">
        <f>IFERROR(VLOOKUP($H152,'1. Set Program Names'!$B$2:$D$15,3,0)*AE152,"NA")</f>
        <v>10804.53148435724</v>
      </c>
    </row>
    <row r="153" spans="1:83" x14ac:dyDescent="0.25">
      <c r="A153" s="79" t="s">
        <v>87</v>
      </c>
      <c r="B153" s="79" t="s">
        <v>88</v>
      </c>
      <c r="C153" s="79" t="s">
        <v>89</v>
      </c>
      <c r="D153" s="79" t="s">
        <v>90</v>
      </c>
      <c r="E153" s="79" t="s">
        <v>91</v>
      </c>
      <c r="F153" s="79" t="s">
        <v>90</v>
      </c>
      <c r="G153" s="79" t="s">
        <v>92</v>
      </c>
      <c r="H153" s="79" t="s">
        <v>9</v>
      </c>
      <c r="I153" s="79" t="s">
        <v>96</v>
      </c>
      <c r="J153" s="79" t="s">
        <v>97</v>
      </c>
      <c r="K153" s="79" t="s">
        <v>98</v>
      </c>
      <c r="L153" s="79">
        <v>5868.07</v>
      </c>
      <c r="M153" s="79">
        <v>0.20813520080661799</v>
      </c>
      <c r="N153" s="79">
        <v>1.1349578069705</v>
      </c>
      <c r="O153" s="79">
        <v>1935.1666666666599</v>
      </c>
      <c r="P153" s="79">
        <v>513.45064263862798</v>
      </c>
      <c r="Q153" s="79">
        <v>1762.8565994851499</v>
      </c>
      <c r="R153" s="79">
        <v>3388.0400735263802</v>
      </c>
      <c r="S153" s="79">
        <v>7811.7411984889604</v>
      </c>
      <c r="T153" s="79">
        <v>16</v>
      </c>
      <c r="U153" s="79">
        <v>0.2</v>
      </c>
      <c r="V153" s="79">
        <f>tbl_Data_old[[#This Row],[2025 ]]*IFERROR(AVERAGEIFS('Participation Adjustment'!$C:$C,'Participation Adjustment'!$A:$A,$H153,'Participation Adjustment'!$B:$B,$I153),1)</f>
        <v>90313.784882227395</v>
      </c>
      <c r="W153" s="79">
        <f>tbl_Data_old[[#This Row],[2026 ]]*IFERROR(AVERAGEIFS('Participation Adjustment'!$C:$C,'Participation Adjustment'!$A:$A,$H153,'Participation Adjustment'!$B:$B,$I153),1)</f>
        <v>95666.284891073403</v>
      </c>
      <c r="X153" s="79">
        <f>tbl_Data_old[[#This Row],[2027 ]]*IFERROR(AVERAGEIFS('Participation Adjustment'!$C:$C,'Participation Adjustment'!$A:$A,$H153,'Participation Adjustment'!$B:$B,$I153),1)</f>
        <v>100938.81870591101</v>
      </c>
      <c r="Y153" s="79">
        <f>tbl_Data_old[[#This Row],[2028 ]]*IFERROR(AVERAGEIFS('Participation Adjustment'!$C:$C,'Participation Adjustment'!$A:$A,$H153,'Participation Adjustment'!$B:$B,$I153),1)</f>
        <v>106300.284499159</v>
      </c>
      <c r="Z153" s="79">
        <f>tbl_Data_old[[#This Row],[2029 ]]*IFERROR(AVERAGEIFS('Participation Adjustment'!$C:$C,'Participation Adjustment'!$A:$A,$H153,'Participation Adjustment'!$B:$B,$I153),1)</f>
        <v>111744.152621605</v>
      </c>
      <c r="AA153" s="79">
        <f>tbl_Data_old[[#This Row],[2030 ]]*IFERROR(AVERAGEIFS('Participation Adjustment'!$C:$C,'Participation Adjustment'!$A:$A,$H153,'Participation Adjustment'!$B:$B,$I153),1)</f>
        <v>116945.984056776</v>
      </c>
      <c r="AB153" s="79">
        <f>tbl_Data_old[[#This Row],[2031 ]]*IFERROR(AVERAGEIFS('Participation Adjustment'!$C:$C,'Participation Adjustment'!$A:$A,$H153,'Participation Adjustment'!$B:$B,$I153),1)</f>
        <v>122772.256385179</v>
      </c>
      <c r="AC153" s="79">
        <f>tbl_Data_old[[#This Row],[2032 ]]*IFERROR(AVERAGEIFS('Participation Adjustment'!$C:$C,'Participation Adjustment'!$A:$A,$H153,'Participation Adjustment'!$B:$B,$I153),1)</f>
        <v>129464.31578378</v>
      </c>
      <c r="AD153" s="79">
        <f>tbl_Data_old[[#This Row],[2033 ]]*IFERROR(AVERAGEIFS('Participation Adjustment'!$C:$C,'Participation Adjustment'!$A:$A,$H153,'Participation Adjustment'!$B:$B,$I153),1)</f>
        <v>137071.80371601801</v>
      </c>
      <c r="AE153" s="79">
        <f>tbl_Data_old[[#This Row],[2034 ]]*IFERROR(AVERAGEIFS('Participation Adjustment'!$C:$C,'Participation Adjustment'!$A:$A,$H153,'Participation Adjustment'!$B:$B,$I153),1)</f>
        <v>145613.59028371799</v>
      </c>
      <c r="AF153" s="77" t="str">
        <f t="shared" si="77"/>
        <v>Residential</v>
      </c>
      <c r="AG153" s="77" t="str">
        <f>tbl_Data[[#This Row],[All_Meas_Name_Append]]</f>
        <v>ASHP - CEE Tier 2: 16.8 SEER/16 SEER2; 9.0 HSPF (from elec resistance)</v>
      </c>
      <c r="AH153" s="77">
        <f>AVERAGEIFS('3. Incentive Adjustment'!G:G,'3. Incentive Adjustment'!A:A,tbl_Data[[#This Row],[Trimmed Sector]],'3. Incentive Adjustment'!B:B,tbl_Data[[#This Row],[Trimmed Measure Name]])</f>
        <v>0.9303958662075158</v>
      </c>
      <c r="AI153" s="77">
        <f>$AH153*tbl_Data[[#This Row],[2025 ]]</f>
        <v>84027.572115979201</v>
      </c>
      <c r="AJ153" s="77">
        <f>$AH153*tbl_Data[[#This Row],[2026 ]]</f>
        <v>89007.515998085219</v>
      </c>
      <c r="AK153" s="77">
        <f>$AH153*tbl_Data[[#This Row],[2027 ]]</f>
        <v>93913.059663849475</v>
      </c>
      <c r="AL153" s="77">
        <f>$AH153*tbl_Data[[#This Row],[2028 ]]</f>
        <v>98901.345274700405</v>
      </c>
      <c r="AM153" s="77">
        <f>$AH153*tbl_Data[[#This Row],[2029 ]]</f>
        <v>103966.29767200303</v>
      </c>
      <c r="AN153" s="77">
        <f>$AH153*tbl_Data[[#This Row],[2030 ]]</f>
        <v>108806.06013599444</v>
      </c>
      <c r="AO153" s="77">
        <f>$AH153*tbl_Data[[#This Row],[2031 ]]</f>
        <v>114226.79982573983</v>
      </c>
      <c r="AP153" s="77">
        <f>$AH153*tbl_Data[[#This Row],[2032 ]]</f>
        <v>120453.06422661335</v>
      </c>
      <c r="AQ153" s="77">
        <f>$AH153*tbl_Data[[#This Row],[2033 ]]</f>
        <v>127531.03955099116</v>
      </c>
      <c r="AR153" s="77">
        <f>$AH153*tbl_Data[[#This Row],[2034 ]]</f>
        <v>135478.2824636061</v>
      </c>
      <c r="AS153" s="77">
        <f>SUM(tbl_Data[[#This Row],[Adjusted 2025]:[Adjusted 2034]])</f>
        <v>1076311.0369275622</v>
      </c>
      <c r="AT153" s="80">
        <f>AVERAGEIFS('3. Incentive Adjustment'!F:F,'3. Incentive Adjustment'!A:A,tbl_Data[[#This Row],[Trimmed Sector]],'3. Incentive Adjustment'!B:B,tbl_Data[[#This Row],[Trimmed Measure Name]])</f>
        <v>353</v>
      </c>
      <c r="AU153" s="80">
        <f>IFERROR(VLOOKUP(tbl_Data[[#This Row],[All_Meas_Name_Append]],'IRA Tax Credits'!$A$3:$D$46,4,0),0)</f>
        <v>0</v>
      </c>
      <c r="AV153" s="81">
        <f>tbl_Data[[#This Row],[Adj. per unit Incentive ($)]]/tbl_Data[[#This Row],[kWh Savings]]*tbl_Data[[#This Row],[Sum of Annuals]]</f>
        <v>64746.636634435083</v>
      </c>
      <c r="AW153" s="81">
        <f>IFERROR(VLOOKUP(tbl_Data[[#This Row],[Column1]],'1. Set Program Names'!$B$2:$D$15,3,0)*tbl_Data[[#This Row],[Sum of Annuals]],"")</f>
        <v>485010.06665218627</v>
      </c>
      <c r="AX153" s="81">
        <f>tbl_Data[[#This Row],[per unit IRA tax ($)]]/tbl_Data[[#This Row],[kWh Savings]]*tbl_Data[[#This Row],[Sum of Annuals]]</f>
        <v>0</v>
      </c>
      <c r="AY153" s="81">
        <f>tbl_Data[[#This Row],[Avoided Costs ($/unit)]]/tbl_Data[[#This Row],[kWh Savings]]*tbl_Data[[#This Row],[Sum of Annuals]]</f>
        <v>621428.32731874578</v>
      </c>
      <c r="AZ153" s="81">
        <f>tbl_Data[[#This Row],[Lost Revenue ($/unit)]]/tbl_Data[[#This Row],[kWh Savings]]*tbl_Data[[#This Row],[Sum of Annuals]]</f>
        <v>1432815.7758096633</v>
      </c>
      <c r="BA153" s="81">
        <f>tbl_Data[[#This Row],[Incremental Cost ($/unit)]]/tbl_Data[[#This Row],[kWh Savings]]*tbl_Data[[#This Row],[Sum of Annuals]]</f>
        <v>354944.85267347645</v>
      </c>
      <c r="BB153" s="77">
        <f>ROUNDUP(tbl_Data[[#This Row],[Adjusted 2025]]/$L153,0)</f>
        <v>15</v>
      </c>
      <c r="BC153" s="77">
        <f>ROUNDUP(tbl_Data[[#This Row],[Adjusted 2026]]/$L153,0)</f>
        <v>16</v>
      </c>
      <c r="BD153" s="77">
        <f>ROUNDUP(tbl_Data[[#This Row],[Adjusted 2027]]/$L153,0)</f>
        <v>17</v>
      </c>
      <c r="BE153" s="77">
        <f>ROUNDUP(tbl_Data[[#This Row],[Adjusted 2028]]/$L153,0)</f>
        <v>17</v>
      </c>
      <c r="BF153" s="77">
        <f>ROUNDUP(tbl_Data[[#This Row],[Adjusted 2029]]/$L153,0)</f>
        <v>18</v>
      </c>
      <c r="BG153" s="77">
        <f>ROUNDUP(tbl_Data[[#This Row],[Adjusted 2030]]/$L153,0)</f>
        <v>19</v>
      </c>
      <c r="BH153" s="77">
        <f>ROUNDUP(tbl_Data[[#This Row],[Adjusted 2031]]/$L153,0)</f>
        <v>20</v>
      </c>
      <c r="BI153" s="77">
        <f>ROUNDUP(tbl_Data[[#This Row],[Adjusted 2032]]/$L153,0)</f>
        <v>21</v>
      </c>
      <c r="BJ153" s="77">
        <f>ROUNDUP(tbl_Data[[#This Row],[Adjusted 2033]]/$L153,0)</f>
        <v>22</v>
      </c>
      <c r="BK153" s="77">
        <f>ROUNDUP(tbl_Data[[#This Row],[Adjusted 2034]]/$L153,0)</f>
        <v>24</v>
      </c>
      <c r="BL153" s="80">
        <f t="shared" si="78"/>
        <v>5432.9219084684182</v>
      </c>
      <c r="BM153" s="80">
        <f t="shared" si="79"/>
        <v>5754.907246598782</v>
      </c>
      <c r="BN153" s="80">
        <f t="shared" si="80"/>
        <v>6072.0821331692678</v>
      </c>
      <c r="BO153" s="80">
        <f t="shared" si="81"/>
        <v>6394.6068176083663</v>
      </c>
      <c r="BP153" s="80">
        <f t="shared" si="82"/>
        <v>6722.0885019140132</v>
      </c>
      <c r="BQ153" s="80">
        <f t="shared" si="83"/>
        <v>7035.0102115417722</v>
      </c>
      <c r="BR153" s="80">
        <f t="shared" si="84"/>
        <v>7385.4958280947894</v>
      </c>
      <c r="BS153" s="80">
        <f t="shared" si="85"/>
        <v>7788.0637878679599</v>
      </c>
      <c r="BT153" s="80">
        <f t="shared" si="86"/>
        <v>8245.7003259597041</v>
      </c>
      <c r="BU153" s="80">
        <f t="shared" si="87"/>
        <v>8759.54059344085</v>
      </c>
      <c r="BV153" s="80">
        <f>IFERROR(VLOOKUP($H153,'1. Set Program Names'!$B$2:$D$15,3,0)*V153,"NA")</f>
        <v>40697.431618262177</v>
      </c>
      <c r="BW153" s="80">
        <f>IFERROR(VLOOKUP($H153,'1. Set Program Names'!$B$2:$D$15,3,0)*W153,"NA")</f>
        <v>43109.389032967149</v>
      </c>
      <c r="BX153" s="80">
        <f>IFERROR(VLOOKUP($H153,'1. Set Program Names'!$B$2:$D$15,3,0)*X153,"NA")</f>
        <v>45485.311874249324</v>
      </c>
      <c r="BY153" s="80">
        <f>IFERROR(VLOOKUP($H153,'1. Set Program Names'!$B$2:$D$15,3,0)*Y153,"NA")</f>
        <v>47901.309473939116</v>
      </c>
      <c r="BZ153" s="80">
        <f>IFERROR(VLOOKUP($H153,'1. Set Program Names'!$B$2:$D$15,3,0)*Z153,"NA")</f>
        <v>50354.439424599419</v>
      </c>
      <c r="CA153" s="80">
        <f>IFERROR(VLOOKUP($H153,'1. Set Program Names'!$B$2:$D$15,3,0)*AA153,"NA")</f>
        <v>52698.502176466864</v>
      </c>
      <c r="CB153" s="80">
        <f>IFERROR(VLOOKUP($H153,'1. Set Program Names'!$B$2:$D$15,3,0)*AB153,"NA")</f>
        <v>55323.952100681207</v>
      </c>
      <c r="CC153" s="80">
        <f>IFERROR(VLOOKUP($H153,'1. Set Program Names'!$B$2:$D$15,3,0)*AC153,"NA")</f>
        <v>58339.545236491722</v>
      </c>
      <c r="CD153" s="80">
        <f>IFERROR(VLOOKUP($H153,'1. Set Program Names'!$B$2:$D$15,3,0)*AD153,"NA")</f>
        <v>61767.651148703779</v>
      </c>
      <c r="CE153" s="80">
        <f>IFERROR(VLOOKUP($H153,'1. Set Program Names'!$B$2:$D$15,3,0)*AE153,"NA")</f>
        <v>65616.773131467329</v>
      </c>
    </row>
    <row r="154" spans="1:83" x14ac:dyDescent="0.25">
      <c r="A154" s="79" t="s">
        <v>87</v>
      </c>
      <c r="B154" s="79" t="s">
        <v>88</v>
      </c>
      <c r="C154" s="79" t="s">
        <v>89</v>
      </c>
      <c r="D154" s="79" t="s">
        <v>90</v>
      </c>
      <c r="E154" s="79" t="s">
        <v>91</v>
      </c>
      <c r="F154" s="79" t="s">
        <v>90</v>
      </c>
      <c r="G154" s="79" t="s">
        <v>92</v>
      </c>
      <c r="H154" s="79" t="s">
        <v>9</v>
      </c>
      <c r="I154" s="79" t="s">
        <v>99</v>
      </c>
      <c r="J154" s="79" t="s">
        <v>97</v>
      </c>
      <c r="K154" s="79" t="s">
        <v>98</v>
      </c>
      <c r="L154" s="79">
        <v>253.96999999999801</v>
      </c>
      <c r="M154" s="79">
        <v>0.107126245482503</v>
      </c>
      <c r="N154" s="79">
        <v>1.33192706841354E-2</v>
      </c>
      <c r="O154" s="79">
        <v>874.99999999999898</v>
      </c>
      <c r="P154" s="79">
        <v>813.468148399999</v>
      </c>
      <c r="Q154" s="79">
        <v>76.296412716828996</v>
      </c>
      <c r="R154" s="79">
        <v>185.54516688855901</v>
      </c>
      <c r="S154" s="79">
        <v>338.09206641710699</v>
      </c>
      <c r="T154" s="79">
        <v>16</v>
      </c>
      <c r="U154" s="79">
        <v>0.19999999999999901</v>
      </c>
      <c r="V154" s="79">
        <f>tbl_Data_old[[#This Row],[2025 ]]*IFERROR(AVERAGEIFS('Participation Adjustment'!$C:$C,'Participation Adjustment'!$A:$A,$H154,'Participation Adjustment'!$B:$B,$I154),1)</f>
        <v>12806.990674471699</v>
      </c>
      <c r="W154" s="79">
        <f>tbl_Data_old[[#This Row],[2026 ]]*IFERROR(AVERAGEIFS('Participation Adjustment'!$C:$C,'Participation Adjustment'!$A:$A,$H154,'Participation Adjustment'!$B:$B,$I154),1)</f>
        <v>14324.253019858401</v>
      </c>
      <c r="X154" s="79">
        <f>tbl_Data_old[[#This Row],[2027 ]]*IFERROR(AVERAGEIFS('Participation Adjustment'!$C:$C,'Participation Adjustment'!$A:$A,$H154,'Participation Adjustment'!$B:$B,$I154),1)</f>
        <v>15743.3785987183</v>
      </c>
      <c r="Y154" s="79">
        <f>tbl_Data_old[[#This Row],[2028 ]]*IFERROR(AVERAGEIFS('Participation Adjustment'!$C:$C,'Participation Adjustment'!$A:$A,$H154,'Participation Adjustment'!$B:$B,$I154),1)</f>
        <v>17103.620232565401</v>
      </c>
      <c r="Z154" s="79">
        <f>tbl_Data_old[[#This Row],[2029 ]]*IFERROR(AVERAGEIFS('Participation Adjustment'!$C:$C,'Participation Adjustment'!$A:$A,$H154,'Participation Adjustment'!$B:$B,$I154),1)</f>
        <v>18416.1488476546</v>
      </c>
      <c r="AA154" s="79">
        <f>tbl_Data_old[[#This Row],[2030 ]]*IFERROR(AVERAGEIFS('Participation Adjustment'!$C:$C,'Participation Adjustment'!$A:$A,$H154,'Participation Adjustment'!$B:$B,$I154),1)</f>
        <v>19636.510025810701</v>
      </c>
      <c r="AB154" s="79">
        <f>tbl_Data_old[[#This Row],[2031 ]]*IFERROR(AVERAGEIFS('Participation Adjustment'!$C:$C,'Participation Adjustment'!$A:$A,$H154,'Participation Adjustment'!$B:$B,$I154),1)</f>
        <v>20918.432613172899</v>
      </c>
      <c r="AC154" s="79">
        <f>tbl_Data_old[[#This Row],[2032 ]]*IFERROR(AVERAGEIFS('Participation Adjustment'!$C:$C,'Participation Adjustment'!$A:$A,$H154,'Participation Adjustment'!$B:$B,$I154),1)</f>
        <v>22314.613795392401</v>
      </c>
      <c r="AD154" s="79">
        <f>tbl_Data_old[[#This Row],[2033 ]]*IFERROR(AVERAGEIFS('Participation Adjustment'!$C:$C,'Participation Adjustment'!$A:$A,$H154,'Participation Adjustment'!$B:$B,$I154),1)</f>
        <v>23843.6996179548</v>
      </c>
      <c r="AE154" s="79">
        <f>tbl_Data_old[[#This Row],[2034 ]]*IFERROR(AVERAGEIFS('Participation Adjustment'!$C:$C,'Participation Adjustment'!$A:$A,$H154,'Participation Adjustment'!$B:$B,$I154),1)</f>
        <v>25517.181821031001</v>
      </c>
      <c r="AF154" s="77" t="str">
        <f t="shared" si="77"/>
        <v>Residential</v>
      </c>
      <c r="AG154" s="77" t="str">
        <f>tbl_Data[[#This Row],[All_Meas_Name_Append]]</f>
        <v>ASHP - ENERGY STAR/CEE Tier 1: 16 SEER/15.2 SEER2_ 9.0 HSPF</v>
      </c>
      <c r="AH154" s="77">
        <f>AVERAGEIFS('3. Incentive Adjustment'!G:G,'3. Incentive Adjustment'!A:A,tbl_Data[[#This Row],[Trimmed Sector]],'3. Incentive Adjustment'!B:B,tbl_Data[[#This Row],[Trimmed Measure Name]])</f>
        <v>8.3636985731950567E-3</v>
      </c>
      <c r="AI154" s="77">
        <f>$AH154*tbl_Data[[#This Row],[2025 ]]</f>
        <v>107.11380963100135</v>
      </c>
      <c r="AJ154" s="77">
        <f>$AH154*tbl_Data[[#This Row],[2026 ]]</f>
        <v>119.80373454427469</v>
      </c>
      <c r="AK154" s="77">
        <f>$AH154*tbl_Data[[#This Row],[2027 ]]</f>
        <v>131.67287312336984</v>
      </c>
      <c r="AL154" s="77">
        <f>$AH154*tbl_Data[[#This Row],[2028 ]]</f>
        <v>143.04952413557734</v>
      </c>
      <c r="AM154" s="77">
        <f>$AH154*tbl_Data[[#This Row],[2029 ]]</f>
        <v>154.02711784087657</v>
      </c>
      <c r="AN154" s="77">
        <f>$AH154*tbl_Data[[#This Row],[2030 ]]</f>
        <v>164.2338508854034</v>
      </c>
      <c r="AO154" s="77">
        <f>$AH154*tbl_Data[[#This Row],[2031 ]]</f>
        <v>174.95546500027112</v>
      </c>
      <c r="AP154" s="77">
        <f>$AH154*tbl_Data[[#This Row],[2032 ]]</f>
        <v>186.63270356192214</v>
      </c>
      <c r="AQ154" s="77">
        <f>$AH154*tbl_Data[[#This Row],[2033 ]]</f>
        <v>199.42151647438007</v>
      </c>
      <c r="AR154" s="77">
        <f>$AH154*tbl_Data[[#This Row],[2034 ]]</f>
        <v>213.41801718851582</v>
      </c>
      <c r="AS154" s="77">
        <f>SUM(tbl_Data[[#This Row],[Adjusted 2025]:[Adjusted 2034]])</f>
        <v>1594.3286123855924</v>
      </c>
      <c r="AT154" s="80">
        <f>AVERAGEIFS('3. Incentive Adjustment'!F:F,'3. Incentive Adjustment'!A:A,tbl_Data[[#This Row],[Trimmed Sector]],'3. Incentive Adjustment'!B:B,tbl_Data[[#This Row],[Trimmed Measure Name]])</f>
        <v>353</v>
      </c>
      <c r="AU154" s="80">
        <f>IFERROR(VLOOKUP(tbl_Data[[#This Row],[All_Meas_Name_Append]],'IRA Tax Credits'!$A$3:$D$46,4,0),0)</f>
        <v>0</v>
      </c>
      <c r="AV154" s="81">
        <f>tbl_Data[[#This Row],[Adj. per unit Incentive ($)]]/tbl_Data[[#This Row],[kWh Savings]]*tbl_Data[[#This Row],[Sum of Annuals]]</f>
        <v>2216.0018906647183</v>
      </c>
      <c r="AW154" s="81">
        <f>IFERROR(VLOOKUP(tbl_Data[[#This Row],[Column1]],'1. Set Program Names'!$B$2:$D$15,3,0)*tbl_Data[[#This Row],[Sum of Annuals]],"")</f>
        <v>718.44048795224433</v>
      </c>
      <c r="AX154" s="81">
        <f>tbl_Data[[#This Row],[per unit IRA tax ($)]]/tbl_Data[[#This Row],[kWh Savings]]*tbl_Data[[#This Row],[Sum of Annuals]]</f>
        <v>0</v>
      </c>
      <c r="AY154" s="81">
        <f>tbl_Data[[#This Row],[Avoided Costs ($/unit)]]/tbl_Data[[#This Row],[kWh Savings]]*tbl_Data[[#This Row],[Sum of Annuals]]</f>
        <v>1164.7831179284631</v>
      </c>
      <c r="AZ154" s="81">
        <f>tbl_Data[[#This Row],[Lost Revenue ($/unit)]]/tbl_Data[[#This Row],[kWh Savings]]*tbl_Data[[#This Row],[Sum of Annuals]]</f>
        <v>2122.4154628868287</v>
      </c>
      <c r="BA154" s="81">
        <f>tbl_Data[[#This Row],[Incremental Cost ($/unit)]]/tbl_Data[[#This Row],[kWh Savings]]*tbl_Data[[#This Row],[Sum of Annuals]]</f>
        <v>5492.9225335173551</v>
      </c>
      <c r="BB154" s="77">
        <f>ROUNDUP(tbl_Data[[#This Row],[Adjusted 2025]]/$L154,0)</f>
        <v>1</v>
      </c>
      <c r="BC154" s="77">
        <f>ROUNDUP(tbl_Data[[#This Row],[Adjusted 2026]]/$L154,0)</f>
        <v>1</v>
      </c>
      <c r="BD154" s="77">
        <f>ROUNDUP(tbl_Data[[#This Row],[Adjusted 2027]]/$L154,0)</f>
        <v>1</v>
      </c>
      <c r="BE154" s="77">
        <f>ROUNDUP(tbl_Data[[#This Row],[Adjusted 2028]]/$L154,0)</f>
        <v>1</v>
      </c>
      <c r="BF154" s="77">
        <f>ROUNDUP(tbl_Data[[#This Row],[Adjusted 2029]]/$L154,0)</f>
        <v>1</v>
      </c>
      <c r="BG154" s="77">
        <f>ROUNDUP(tbl_Data[[#This Row],[Adjusted 2030]]/$L154,0)</f>
        <v>1</v>
      </c>
      <c r="BH154" s="77">
        <f>ROUNDUP(tbl_Data[[#This Row],[Adjusted 2031]]/$L154,0)</f>
        <v>1</v>
      </c>
      <c r="BI154" s="77">
        <f>ROUNDUP(tbl_Data[[#This Row],[Adjusted 2032]]/$L154,0)</f>
        <v>1</v>
      </c>
      <c r="BJ154" s="77">
        <f>ROUNDUP(tbl_Data[[#This Row],[Adjusted 2033]]/$L154,0)</f>
        <v>1</v>
      </c>
      <c r="BK154" s="77">
        <f>ROUNDUP(tbl_Data[[#This Row],[Adjusted 2034]]/$L154,0)</f>
        <v>1</v>
      </c>
      <c r="BL154" s="80">
        <f t="shared" si="78"/>
        <v>17800.794220138385</v>
      </c>
      <c r="BM154" s="80">
        <f t="shared" si="79"/>
        <v>19909.679552742666</v>
      </c>
      <c r="BN154" s="80">
        <f t="shared" si="80"/>
        <v>21882.161851193461</v>
      </c>
      <c r="BO154" s="80">
        <f t="shared" si="81"/>
        <v>23772.799709003561</v>
      </c>
      <c r="BP154" s="80">
        <f t="shared" si="82"/>
        <v>25597.119908737743</v>
      </c>
      <c r="BQ154" s="80">
        <f t="shared" si="83"/>
        <v>27293.334012329142</v>
      </c>
      <c r="BR154" s="80">
        <f t="shared" si="84"/>
        <v>29075.114038863219</v>
      </c>
      <c r="BS154" s="80">
        <f t="shared" si="85"/>
        <v>31015.705279259673</v>
      </c>
      <c r="BT154" s="80">
        <f t="shared" si="86"/>
        <v>33141.024393188607</v>
      </c>
      <c r="BU154" s="80">
        <f t="shared" si="87"/>
        <v>35467.044071441567</v>
      </c>
      <c r="BV154" s="80">
        <f>IFERROR(VLOOKUP($H154,'1. Set Program Names'!$B$2:$D$15,3,0)*V154,"NA")</f>
        <v>5771.1193024377526</v>
      </c>
      <c r="BW154" s="80">
        <f>IFERROR(VLOOKUP($H154,'1. Set Program Names'!$B$2:$D$15,3,0)*W154,"NA")</f>
        <v>6454.8319895858112</v>
      </c>
      <c r="BX154" s="80">
        <f>IFERROR(VLOOKUP($H154,'1. Set Program Names'!$B$2:$D$15,3,0)*X154,"NA")</f>
        <v>7094.3220328687039</v>
      </c>
      <c r="BY154" s="80">
        <f>IFERROR(VLOOKUP($H154,'1. Set Program Names'!$B$2:$D$15,3,0)*Y154,"NA")</f>
        <v>7707.2776403653334</v>
      </c>
      <c r="BZ154" s="80">
        <f>IFERROR(VLOOKUP($H154,'1. Set Program Names'!$B$2:$D$15,3,0)*Z154,"NA")</f>
        <v>8298.7326837926721</v>
      </c>
      <c r="CA154" s="80">
        <f>IFERROR(VLOOKUP($H154,'1. Set Program Names'!$B$2:$D$15,3,0)*AA154,"NA")</f>
        <v>8848.6549981144053</v>
      </c>
      <c r="CB154" s="80">
        <f>IFERROR(VLOOKUP($H154,'1. Set Program Names'!$B$2:$D$15,3,0)*AB154,"NA")</f>
        <v>9426.3182740706925</v>
      </c>
      <c r="CC154" s="80">
        <f>IFERROR(VLOOKUP($H154,'1. Set Program Names'!$B$2:$D$15,3,0)*AC154,"NA")</f>
        <v>10055.469053923174</v>
      </c>
      <c r="CD154" s="80">
        <f>IFERROR(VLOOKUP($H154,'1. Set Program Names'!$B$2:$D$15,3,0)*AD154,"NA")</f>
        <v>10744.509666973967</v>
      </c>
      <c r="CE154" s="80">
        <f>IFERROR(VLOOKUP($H154,'1. Set Program Names'!$B$2:$D$15,3,0)*AE154,"NA")</f>
        <v>11498.618550937648</v>
      </c>
    </row>
    <row r="155" spans="1:83" x14ac:dyDescent="0.25">
      <c r="A155" s="79" t="s">
        <v>87</v>
      </c>
      <c r="B155" s="79" t="s">
        <v>88</v>
      </c>
      <c r="C155" s="79" t="s">
        <v>89</v>
      </c>
      <c r="D155" s="79" t="s">
        <v>90</v>
      </c>
      <c r="E155" s="79" t="s">
        <v>91</v>
      </c>
      <c r="F155" s="79" t="s">
        <v>90</v>
      </c>
      <c r="G155" s="79" t="s">
        <v>92</v>
      </c>
      <c r="H155" s="79" t="s">
        <v>9</v>
      </c>
      <c r="I155" s="79" t="s">
        <v>107</v>
      </c>
      <c r="J155" s="79" t="s">
        <v>94</v>
      </c>
      <c r="K155" s="79" t="s">
        <v>108</v>
      </c>
      <c r="L155" s="79">
        <v>1663.1099999999899</v>
      </c>
      <c r="M155" s="79">
        <v>6.6647595975018806E-2</v>
      </c>
      <c r="N155" s="79">
        <v>0.309148293753995</v>
      </c>
      <c r="O155" s="79">
        <v>1389.5</v>
      </c>
      <c r="P155" s="79">
        <v>988.78817699699403</v>
      </c>
      <c r="Q155" s="79">
        <v>499.623289969231</v>
      </c>
      <c r="R155" s="79">
        <v>791.96156853290995</v>
      </c>
      <c r="S155" s="79">
        <v>2127.4894292214699</v>
      </c>
      <c r="T155" s="79">
        <v>15</v>
      </c>
      <c r="U155" s="79">
        <v>0.2</v>
      </c>
      <c r="V155" s="79">
        <f>tbl_Data_old[[#This Row],[2025 ]]*IFERROR(AVERAGEIFS('Participation Adjustment'!$C:$C,'Participation Adjustment'!$A:$A,$H155,'Participation Adjustment'!$B:$B,$I155),1)</f>
        <v>17405.064829381801</v>
      </c>
      <c r="W155" s="79">
        <f>tbl_Data_old[[#This Row],[2026 ]]*IFERROR(AVERAGEIFS('Participation Adjustment'!$C:$C,'Participation Adjustment'!$A:$A,$H155,'Participation Adjustment'!$B:$B,$I155),1)</f>
        <v>19356.480508327099</v>
      </c>
      <c r="X155" s="79">
        <f>tbl_Data_old[[#This Row],[2027 ]]*IFERROR(AVERAGEIFS('Participation Adjustment'!$C:$C,'Participation Adjustment'!$A:$A,$H155,'Participation Adjustment'!$B:$B,$I155),1)</f>
        <v>21154.773706242799</v>
      </c>
      <c r="Y155" s="79">
        <f>tbl_Data_old[[#This Row],[2028 ]]*IFERROR(AVERAGEIFS('Participation Adjustment'!$C:$C,'Participation Adjustment'!$A:$A,$H155,'Participation Adjustment'!$B:$B,$I155),1)</f>
        <v>22855.0745407061</v>
      </c>
      <c r="Z155" s="79">
        <f>tbl_Data_old[[#This Row],[2029 ]]*IFERROR(AVERAGEIFS('Participation Adjustment'!$C:$C,'Participation Adjustment'!$A:$A,$H155,'Participation Adjustment'!$B:$B,$I155),1)</f>
        <v>24473.922077906402</v>
      </c>
      <c r="AA155" s="79">
        <f>tbl_Data_old[[#This Row],[2030 ]]*IFERROR(AVERAGEIFS('Participation Adjustment'!$C:$C,'Participation Adjustment'!$A:$A,$H155,'Participation Adjustment'!$B:$B,$I155),1)</f>
        <v>25953.929111011101</v>
      </c>
      <c r="AB155" s="79">
        <f>tbl_Data_old[[#This Row],[2031 ]]*IFERROR(AVERAGEIFS('Participation Adjustment'!$C:$C,'Participation Adjustment'!$A:$A,$H155,'Participation Adjustment'!$B:$B,$I155),1)</f>
        <v>27499.4388694714</v>
      </c>
      <c r="AC155" s="79">
        <f>tbl_Data_old[[#This Row],[2032 ]]*IFERROR(AVERAGEIFS('Participation Adjustment'!$C:$C,'Participation Adjustment'!$A:$A,$H155,'Participation Adjustment'!$B:$B,$I155),1)</f>
        <v>29178.286623958</v>
      </c>
      <c r="AD155" s="79">
        <f>tbl_Data_old[[#This Row],[2033 ]]*IFERROR(AVERAGEIFS('Participation Adjustment'!$C:$C,'Participation Adjustment'!$A:$A,$H155,'Participation Adjustment'!$B:$B,$I155),1)</f>
        <v>31012.567636199699</v>
      </c>
      <c r="AE155" s="79">
        <f>tbl_Data_old[[#This Row],[2034 ]]*IFERROR(AVERAGEIFS('Participation Adjustment'!$C:$C,'Participation Adjustment'!$A:$A,$H155,'Participation Adjustment'!$B:$B,$I155),1)</f>
        <v>33014.645921591902</v>
      </c>
      <c r="AF155" s="77" t="str">
        <f t="shared" si="77"/>
        <v>Residential</v>
      </c>
      <c r="AG155" s="77" t="str">
        <f>tbl_Data[[#This Row],[All_Meas_Name_Append]]</f>
        <v>Heat Pump Water Heater 50 Gallons- CEE Advanced Tier</v>
      </c>
      <c r="AH155" s="77">
        <f>AVERAGEIFS('3. Incentive Adjustment'!G:G,'3. Incentive Adjustment'!A:A,tbl_Data[[#This Row],[Trimmed Sector]],'3. Incentive Adjustment'!B:B,tbl_Data[[#This Row],[Trimmed Measure Name]])</f>
        <v>0.46049099596140497</v>
      </c>
      <c r="AI155" s="77">
        <f>$AH155*tbl_Data[[#This Row],[2025 ]]</f>
        <v>8014.8756380548466</v>
      </c>
      <c r="AJ155" s="77">
        <f>$AH155*tbl_Data[[#This Row],[2026 ]]</f>
        <v>8913.4849875870677</v>
      </c>
      <c r="AK155" s="77">
        <f>$AH155*tbl_Data[[#This Row],[2027 ]]</f>
        <v>9741.5828133258892</v>
      </c>
      <c r="AL155" s="77">
        <f>$AH155*tbl_Data[[#This Row],[2028 ]]</f>
        <v>10524.556038021903</v>
      </c>
      <c r="AM155" s="77">
        <f>$AH155*tbl_Data[[#This Row],[2029 ]]</f>
        <v>11270.020752736937</v>
      </c>
      <c r="AN155" s="77">
        <f>$AH155*tbl_Data[[#This Row],[2030 ]]</f>
        <v>11951.550665441204</v>
      </c>
      <c r="AO155" s="77">
        <f>$AH155*tbl_Data[[#This Row],[2031 ]]</f>
        <v>12663.243993382657</v>
      </c>
      <c r="AP155" s="77">
        <f>$AH155*tbl_Data[[#This Row],[2032 ]]</f>
        <v>13436.338267913759</v>
      </c>
      <c r="AQ155" s="77">
        <f>$AH155*tbl_Data[[#This Row],[2033 ]]</f>
        <v>14281.008158114035</v>
      </c>
      <c r="AR155" s="77">
        <f>$AH155*tbl_Data[[#This Row],[2034 ]]</f>
        <v>15202.947181746991</v>
      </c>
      <c r="AS155" s="77">
        <f>SUM(tbl_Data[[#This Row],[Adjusted 2025]:[Adjusted 2034]])</f>
        <v>115999.60849632529</v>
      </c>
      <c r="AT155" s="80">
        <f>AVERAGEIFS('3. Incentive Adjustment'!F:F,'3. Incentive Adjustment'!A:A,tbl_Data[[#This Row],[Trimmed Sector]],'3. Incentive Adjustment'!B:B,tbl_Data[[#This Row],[Trimmed Measure Name]])</f>
        <v>500</v>
      </c>
      <c r="AU155" s="80">
        <f>IFERROR(VLOOKUP(tbl_Data[[#This Row],[All_Meas_Name_Append]],'IRA Tax Credits'!$A$3:$D$46,4,0),0)</f>
        <v>1666.6666666666667</v>
      </c>
      <c r="AV155" s="81">
        <f>tbl_Data[[#This Row],[Adj. per unit Incentive ($)]]/tbl_Data[[#This Row],[kWh Savings]]*tbl_Data[[#This Row],[Sum of Annuals]]</f>
        <v>34874.304314304529</v>
      </c>
      <c r="AW155" s="81">
        <f>IFERROR(VLOOKUP(tbl_Data[[#This Row],[Column1]],'1. Set Program Names'!$B$2:$D$15,3,0)*tbl_Data[[#This Row],[Sum of Annuals]],"")</f>
        <v>52272.043970702791</v>
      </c>
      <c r="AX155" s="81">
        <f>tbl_Data[[#This Row],[per unit IRA tax ($)]]/tbl_Data[[#This Row],[kWh Savings]]*tbl_Data[[#This Row],[Sum of Annuals]]</f>
        <v>116247.68104768176</v>
      </c>
      <c r="AY155" s="81">
        <f>tbl_Data[[#This Row],[Avoided Costs ($/unit)]]/tbl_Data[[#This Row],[kWh Savings]]*tbl_Data[[#This Row],[Sum of Annuals]]</f>
        <v>55238.217492501281</v>
      </c>
      <c r="AZ155" s="81">
        <f>tbl_Data[[#This Row],[Lost Revenue ($/unit)]]/tbl_Data[[#This Row],[kWh Savings]]*tbl_Data[[#This Row],[Sum of Annuals]]</f>
        <v>148389.42756027114</v>
      </c>
      <c r="BA155" s="81">
        <f>tbl_Data[[#This Row],[Incremental Cost ($/unit)]]/tbl_Data[[#This Row],[kWh Savings]]*tbl_Data[[#This Row],[Sum of Annuals]]</f>
        <v>96915.691689452273</v>
      </c>
      <c r="BB155" s="77">
        <f>ROUNDUP(tbl_Data[[#This Row],[Adjusted 2025]]/$L155,0)</f>
        <v>5</v>
      </c>
      <c r="BC155" s="77">
        <f>ROUNDUP(tbl_Data[[#This Row],[Adjusted 2026]]/$L155,0)</f>
        <v>6</v>
      </c>
      <c r="BD155" s="77">
        <f>ROUNDUP(tbl_Data[[#This Row],[Adjusted 2027]]/$L155,0)</f>
        <v>6</v>
      </c>
      <c r="BE155" s="77">
        <f>ROUNDUP(tbl_Data[[#This Row],[Adjusted 2028]]/$L155,0)</f>
        <v>7</v>
      </c>
      <c r="BF155" s="77">
        <f>ROUNDUP(tbl_Data[[#This Row],[Adjusted 2029]]/$L155,0)</f>
        <v>7</v>
      </c>
      <c r="BG155" s="77">
        <f>ROUNDUP(tbl_Data[[#This Row],[Adjusted 2030]]/$L155,0)</f>
        <v>8</v>
      </c>
      <c r="BH155" s="77">
        <f>ROUNDUP(tbl_Data[[#This Row],[Adjusted 2031]]/$L155,0)</f>
        <v>8</v>
      </c>
      <c r="BI155" s="77">
        <f>ROUNDUP(tbl_Data[[#This Row],[Adjusted 2032]]/$L155,0)</f>
        <v>9</v>
      </c>
      <c r="BJ155" s="77">
        <f>ROUNDUP(tbl_Data[[#This Row],[Adjusted 2033]]/$L155,0)</f>
        <v>9</v>
      </c>
      <c r="BK155" s="77">
        <f>ROUNDUP(tbl_Data[[#This Row],[Adjusted 2034]]/$L155,0)</f>
        <v>10</v>
      </c>
      <c r="BL155" s="80">
        <f t="shared" si="78"/>
        <v>5232.6860007401519</v>
      </c>
      <c r="BM155" s="80">
        <f t="shared" si="79"/>
        <v>5819.3626724411542</v>
      </c>
      <c r="BN155" s="80">
        <f t="shared" si="80"/>
        <v>6360.0043611796355</v>
      </c>
      <c r="BO155" s="80">
        <f t="shared" si="81"/>
        <v>6871.1854720091396</v>
      </c>
      <c r="BP155" s="80">
        <f t="shared" si="82"/>
        <v>7357.8783357404354</v>
      </c>
      <c r="BQ155" s="80">
        <f t="shared" si="83"/>
        <v>7802.8299724646176</v>
      </c>
      <c r="BR155" s="80">
        <f t="shared" si="84"/>
        <v>8267.4744513205878</v>
      </c>
      <c r="BS155" s="80">
        <f t="shared" si="85"/>
        <v>8772.2058745236864</v>
      </c>
      <c r="BT155" s="80">
        <f t="shared" si="86"/>
        <v>9323.666996229922</v>
      </c>
      <c r="BU155" s="80">
        <f t="shared" si="87"/>
        <v>9925.5749534282477</v>
      </c>
      <c r="BV155" s="80">
        <f>IFERROR(VLOOKUP($H155,'1. Set Program Names'!$B$2:$D$15,3,0)*V155,"NA")</f>
        <v>7843.1153851971776</v>
      </c>
      <c r="BW155" s="80">
        <f>IFERROR(VLOOKUP($H155,'1. Set Program Names'!$B$2:$D$15,3,0)*W155,"NA")</f>
        <v>8722.4673717875357</v>
      </c>
      <c r="BX155" s="80">
        <f>IFERROR(VLOOKUP($H155,'1. Set Program Names'!$B$2:$D$15,3,0)*X155,"NA")</f>
        <v>9532.8189094536556</v>
      </c>
      <c r="BY155" s="80">
        <f>IFERROR(VLOOKUP($H155,'1. Set Program Names'!$B$2:$D$15,3,0)*Y155,"NA")</f>
        <v>10299.012874541942</v>
      </c>
      <c r="BZ155" s="80">
        <f>IFERROR(VLOOKUP($H155,'1. Set Program Names'!$B$2:$D$15,3,0)*Z155,"NA")</f>
        <v>11028.50214388787</v>
      </c>
      <c r="CA155" s="80">
        <f>IFERROR(VLOOKUP($H155,'1. Set Program Names'!$B$2:$D$15,3,0)*AA155,"NA")</f>
        <v>11695.426745739858</v>
      </c>
      <c r="CB155" s="80">
        <f>IFERROR(VLOOKUP($H155,'1. Set Program Names'!$B$2:$D$15,3,0)*AB155,"NA")</f>
        <v>12391.868355316034</v>
      </c>
      <c r="CC155" s="80">
        <f>IFERROR(VLOOKUP($H155,'1. Set Program Names'!$B$2:$D$15,3,0)*AC155,"NA")</f>
        <v>13148.395077950785</v>
      </c>
      <c r="CD155" s="80">
        <f>IFERROR(VLOOKUP($H155,'1. Set Program Names'!$B$2:$D$15,3,0)*AD155,"NA")</f>
        <v>13974.963537701757</v>
      </c>
      <c r="CE155" s="80">
        <f>IFERROR(VLOOKUP($H155,'1. Set Program Names'!$B$2:$D$15,3,0)*AE155,"NA")</f>
        <v>14877.145239204016</v>
      </c>
    </row>
    <row r="156" spans="1:83" x14ac:dyDescent="0.25">
      <c r="A156" s="79" t="s">
        <v>87</v>
      </c>
      <c r="B156" s="79" t="s">
        <v>88</v>
      </c>
      <c r="C156" s="79" t="s">
        <v>89</v>
      </c>
      <c r="D156" s="79" t="s">
        <v>90</v>
      </c>
      <c r="E156" s="79" t="s">
        <v>91</v>
      </c>
      <c r="F156" s="79" t="s">
        <v>90</v>
      </c>
      <c r="G156" s="79" t="s">
        <v>92</v>
      </c>
      <c r="H156" s="79" t="s">
        <v>9</v>
      </c>
      <c r="I156" s="79" t="s">
        <v>109</v>
      </c>
      <c r="J156" s="79" t="s">
        <v>94</v>
      </c>
      <c r="K156" s="79" t="s">
        <v>95</v>
      </c>
      <c r="L156" s="79">
        <v>1590.11499999999</v>
      </c>
      <c r="M156" s="79">
        <v>6.3722388822036402E-2</v>
      </c>
      <c r="N156" s="79">
        <v>0.29557957027655002</v>
      </c>
      <c r="O156" s="79">
        <v>1389.5</v>
      </c>
      <c r="P156" s="79">
        <v>1006.47372867305</v>
      </c>
      <c r="Q156" s="79">
        <v>477.694492685044</v>
      </c>
      <c r="R156" s="79">
        <v>757.20185047754296</v>
      </c>
      <c r="S156" s="79">
        <v>2034.1125083407001</v>
      </c>
      <c r="T156" s="79">
        <v>15</v>
      </c>
      <c r="U156" s="79">
        <v>0.2</v>
      </c>
      <c r="V156" s="79">
        <f>tbl_Data_old[[#This Row],[2025 ]]*IFERROR(AVERAGEIFS('Participation Adjustment'!$C:$C,'Participation Adjustment'!$A:$A,$H156,'Participation Adjustment'!$B:$B,$I156),1)</f>
        <v>24873.105334489199</v>
      </c>
      <c r="W156" s="79">
        <f>tbl_Data_old[[#This Row],[2026 ]]*IFERROR(AVERAGEIFS('Participation Adjustment'!$C:$C,'Participation Adjustment'!$A:$A,$H156,'Participation Adjustment'!$B:$B,$I156),1)</f>
        <v>27650.478882694399</v>
      </c>
      <c r="X156" s="79">
        <f>tbl_Data_old[[#This Row],[2027 ]]*IFERROR(AVERAGEIFS('Participation Adjustment'!$C:$C,'Participation Adjustment'!$A:$A,$H156,'Participation Adjustment'!$B:$B,$I156),1)</f>
        <v>30208.182811836999</v>
      </c>
      <c r="Y156" s="79">
        <f>tbl_Data_old[[#This Row],[2028 ]]*IFERROR(AVERAGEIFS('Participation Adjustment'!$C:$C,'Participation Adjustment'!$A:$A,$H156,'Participation Adjustment'!$B:$B,$I156),1)</f>
        <v>32625.379174516002</v>
      </c>
      <c r="Z156" s="79">
        <f>tbl_Data_old[[#This Row],[2029 ]]*IFERROR(AVERAGEIFS('Participation Adjustment'!$C:$C,'Participation Adjustment'!$A:$A,$H156,'Participation Adjustment'!$B:$B,$I156),1)</f>
        <v>34925.982653283099</v>
      </c>
      <c r="AA156" s="79">
        <f>tbl_Data_old[[#This Row],[2030 ]]*IFERROR(AVERAGEIFS('Participation Adjustment'!$C:$C,'Participation Adjustment'!$A:$A,$H156,'Participation Adjustment'!$B:$B,$I156),1)</f>
        <v>37028.354721690499</v>
      </c>
      <c r="AB156" s="79">
        <f>tbl_Data_old[[#This Row],[2031 ]]*IFERROR(AVERAGEIFS('Participation Adjustment'!$C:$C,'Participation Adjustment'!$A:$A,$H156,'Participation Adjustment'!$B:$B,$I156),1)</f>
        <v>39224.208802670197</v>
      </c>
      <c r="AC156" s="79">
        <f>tbl_Data_old[[#This Row],[2032 ]]*IFERROR(AVERAGEIFS('Participation Adjustment'!$C:$C,'Participation Adjustment'!$A:$A,$H156,'Participation Adjustment'!$B:$B,$I156),1)</f>
        <v>41610.2946300533</v>
      </c>
      <c r="AD156" s="79">
        <f>tbl_Data_old[[#This Row],[2033 ]]*IFERROR(AVERAGEIFS('Participation Adjustment'!$C:$C,'Participation Adjustment'!$A:$A,$H156,'Participation Adjustment'!$B:$B,$I156),1)</f>
        <v>44218.071400411798</v>
      </c>
      <c r="AE156" s="79">
        <f>tbl_Data_old[[#This Row],[2034 ]]*IFERROR(AVERAGEIFS('Participation Adjustment'!$C:$C,'Participation Adjustment'!$A:$A,$H156,'Participation Adjustment'!$B:$B,$I156),1)</f>
        <v>47065.114589705903</v>
      </c>
      <c r="AF156" s="77" t="str">
        <f t="shared" si="77"/>
        <v>Residential</v>
      </c>
      <c r="AG156" s="77" t="str">
        <f>tbl_Data[[#This Row],[All_Meas_Name_Append]]</f>
        <v>Heat Pump Water Heater 50 Gallons-ENERGY STAR</v>
      </c>
      <c r="AH156" s="77">
        <f>AVERAGEIFS('3. Incentive Adjustment'!G:G,'3. Incentive Adjustment'!A:A,tbl_Data[[#This Row],[Trimmed Sector]],'3. Incentive Adjustment'!B:B,tbl_Data[[#This Row],[Trimmed Measure Name]])</f>
        <v>0.43153525594917136</v>
      </c>
      <c r="AI156" s="77">
        <f>$AH156*tbl_Data[[#This Row],[2025 ]]</f>
        <v>10733.621876769495</v>
      </c>
      <c r="AJ156" s="77">
        <f>$AH156*tbl_Data[[#This Row],[2026 ]]</f>
        <v>11932.156481760685</v>
      </c>
      <c r="AK156" s="77">
        <f>$AH156*tbl_Data[[#This Row],[2027 ]]</f>
        <v>13035.895901465439</v>
      </c>
      <c r="AL156" s="77">
        <f>$AH156*tbl_Data[[#This Row],[2028 ]]</f>
        <v>14079.001352513527</v>
      </c>
      <c r="AM156" s="77">
        <f>$AH156*tbl_Data[[#This Row],[2029 ]]</f>
        <v>15071.79286356084</v>
      </c>
      <c r="AN156" s="77">
        <f>$AH156*tbl_Data[[#This Row],[2030 ]]</f>
        <v>15979.040532201418</v>
      </c>
      <c r="AO156" s="77">
        <f>$AH156*tbl_Data[[#This Row],[2031 ]]</f>
        <v>16926.628985064024</v>
      </c>
      <c r="AP156" s="77">
        <f>$AH156*tbl_Data[[#This Row],[2032 ]]</f>
        <v>17956.309143300481</v>
      </c>
      <c r="AQ156" s="77">
        <f>$AH156*tbl_Data[[#This Row],[2033 ]]</f>
        <v>19081.656759355439</v>
      </c>
      <c r="AR156" s="77">
        <f>$AH156*tbl_Data[[#This Row],[2034 ]]</f>
        <v>20310.256270745816</v>
      </c>
      <c r="AS156" s="77">
        <f>SUM(tbl_Data[[#This Row],[Adjusted 2025]:[Adjusted 2034]])</f>
        <v>155106.3601667372</v>
      </c>
      <c r="AT156" s="80">
        <f>AVERAGEIFS('3. Incentive Adjustment'!F:F,'3. Incentive Adjustment'!A:A,tbl_Data[[#This Row],[Trimmed Sector]],'3. Incentive Adjustment'!B:B,tbl_Data[[#This Row],[Trimmed Measure Name]])</f>
        <v>500</v>
      </c>
      <c r="AU156" s="80">
        <f>IFERROR(VLOOKUP(tbl_Data[[#This Row],[All_Meas_Name_Append]],'IRA Tax Credits'!$A$3:$D$46,4,0),0)</f>
        <v>1666.6666666666667</v>
      </c>
      <c r="AV156" s="81">
        <f>tbl_Data[[#This Row],[Adj. per unit Incentive ($)]]/tbl_Data[[#This Row],[kWh Savings]]*tbl_Data[[#This Row],[Sum of Annuals]]</f>
        <v>48772.057419349592</v>
      </c>
      <c r="AW156" s="81">
        <f>IFERROR(VLOOKUP(tbl_Data[[#This Row],[Column1]],'1. Set Program Names'!$B$2:$D$15,3,0)*tbl_Data[[#This Row],[Sum of Annuals]],"")</f>
        <v>69894.429678425964</v>
      </c>
      <c r="AX156" s="81">
        <f>tbl_Data[[#This Row],[per unit IRA tax ($)]]/tbl_Data[[#This Row],[kWh Savings]]*tbl_Data[[#This Row],[Sum of Annuals]]</f>
        <v>162573.52473116532</v>
      </c>
      <c r="AY156" s="81">
        <f>tbl_Data[[#This Row],[Avoided Costs ($/unit)]]/tbl_Data[[#This Row],[kWh Savings]]*tbl_Data[[#This Row],[Sum of Annuals]]</f>
        <v>73860.584259056996</v>
      </c>
      <c r="AZ156" s="81">
        <f>tbl_Data[[#This Row],[Lost Revenue ($/unit)]]/tbl_Data[[#This Row],[kWh Savings]]*tbl_Data[[#This Row],[Sum of Annuals]]</f>
        <v>198415.70410841974</v>
      </c>
      <c r="BA156" s="81">
        <f>tbl_Data[[#This Row],[Incremental Cost ($/unit)]]/tbl_Data[[#This Row],[kWh Savings]]*tbl_Data[[#This Row],[Sum of Annuals]]</f>
        <v>135537.54756837254</v>
      </c>
      <c r="BB156" s="77">
        <f>ROUNDUP(tbl_Data[[#This Row],[Adjusted 2025]]/$L156,0)</f>
        <v>7</v>
      </c>
      <c r="BC156" s="77">
        <f>ROUNDUP(tbl_Data[[#This Row],[Adjusted 2026]]/$L156,0)</f>
        <v>8</v>
      </c>
      <c r="BD156" s="77">
        <f>ROUNDUP(tbl_Data[[#This Row],[Adjusted 2027]]/$L156,0)</f>
        <v>9</v>
      </c>
      <c r="BE156" s="77">
        <f>ROUNDUP(tbl_Data[[#This Row],[Adjusted 2028]]/$L156,0)</f>
        <v>9</v>
      </c>
      <c r="BF156" s="77">
        <f>ROUNDUP(tbl_Data[[#This Row],[Adjusted 2029]]/$L156,0)</f>
        <v>10</v>
      </c>
      <c r="BG156" s="77">
        <f>ROUNDUP(tbl_Data[[#This Row],[Adjusted 2030]]/$L156,0)</f>
        <v>11</v>
      </c>
      <c r="BH156" s="77">
        <f>ROUNDUP(tbl_Data[[#This Row],[Adjusted 2031]]/$L156,0)</f>
        <v>11</v>
      </c>
      <c r="BI156" s="77">
        <f>ROUNDUP(tbl_Data[[#This Row],[Adjusted 2032]]/$L156,0)</f>
        <v>12</v>
      </c>
      <c r="BJ156" s="77">
        <f>ROUNDUP(tbl_Data[[#This Row],[Adjusted 2033]]/$L156,0)</f>
        <v>13</v>
      </c>
      <c r="BK156" s="77">
        <f>ROUNDUP(tbl_Data[[#This Row],[Adjusted 2034]]/$L156,0)</f>
        <v>13</v>
      </c>
      <c r="BL156" s="80">
        <f t="shared" si="78"/>
        <v>7821.1655554753443</v>
      </c>
      <c r="BM156" s="80">
        <f t="shared" si="79"/>
        <v>8694.4902987188252</v>
      </c>
      <c r="BN156" s="80">
        <f t="shared" si="80"/>
        <v>9498.7415412838654</v>
      </c>
      <c r="BO156" s="80">
        <f t="shared" si="81"/>
        <v>10258.811210043363</v>
      </c>
      <c r="BP156" s="80">
        <f t="shared" si="82"/>
        <v>10982.219101537725</v>
      </c>
      <c r="BQ156" s="80">
        <f t="shared" si="83"/>
        <v>11643.294579854517</v>
      </c>
      <c r="BR156" s="80">
        <f t="shared" si="84"/>
        <v>12333.764791436606</v>
      </c>
      <c r="BS156" s="80">
        <f t="shared" si="85"/>
        <v>13084.051980533974</v>
      </c>
      <c r="BT156" s="80">
        <f t="shared" si="86"/>
        <v>13904.048260789965</v>
      </c>
      <c r="BU156" s="80">
        <f t="shared" si="87"/>
        <v>14799.280111723427</v>
      </c>
      <c r="BV156" s="80">
        <f>IFERROR(VLOOKUP($H156,'1. Set Program Names'!$B$2:$D$15,3,0)*V156,"NA")</f>
        <v>11208.383136685577</v>
      </c>
      <c r="BW156" s="80">
        <f>IFERROR(VLOOKUP($H156,'1. Set Program Names'!$B$2:$D$15,3,0)*W156,"NA")</f>
        <v>12459.930397204549</v>
      </c>
      <c r="BX156" s="80">
        <f>IFERROR(VLOOKUP($H156,'1. Set Program Names'!$B$2:$D$15,3,0)*X156,"NA")</f>
        <v>13612.489565129814</v>
      </c>
      <c r="BY156" s="80">
        <f>IFERROR(VLOOKUP($H156,'1. Set Program Names'!$B$2:$D$15,3,0)*Y156,"NA")</f>
        <v>14701.732849599885</v>
      </c>
      <c r="BZ156" s="80">
        <f>IFERROR(VLOOKUP($H156,'1. Set Program Names'!$B$2:$D$15,3,0)*Z156,"NA")</f>
        <v>15738.436746795151</v>
      </c>
      <c r="CA156" s="80">
        <f>IFERROR(VLOOKUP($H156,'1. Set Program Names'!$B$2:$D$15,3,0)*AA156,"NA")</f>
        <v>16685.81309251834</v>
      </c>
      <c r="CB156" s="80">
        <f>IFERROR(VLOOKUP($H156,'1. Set Program Names'!$B$2:$D$15,3,0)*AB156,"NA")</f>
        <v>17675.314544825862</v>
      </c>
      <c r="CC156" s="80">
        <f>IFERROR(VLOOKUP($H156,'1. Set Program Names'!$B$2:$D$15,3,0)*AC156,"NA")</f>
        <v>18750.538719317719</v>
      </c>
      <c r="CD156" s="80">
        <f>IFERROR(VLOOKUP($H156,'1. Set Program Names'!$B$2:$D$15,3,0)*AD156,"NA")</f>
        <v>19925.661840619247</v>
      </c>
      <c r="CE156" s="80">
        <f>IFERROR(VLOOKUP($H156,'1. Set Program Names'!$B$2:$D$15,3,0)*AE156,"NA")</f>
        <v>21208.6038152207</v>
      </c>
    </row>
    <row r="157" spans="1:83" x14ac:dyDescent="0.25">
      <c r="A157" s="79" t="s">
        <v>87</v>
      </c>
      <c r="B157" s="79" t="s">
        <v>88</v>
      </c>
      <c r="C157" s="79" t="s">
        <v>89</v>
      </c>
      <c r="D157" s="79" t="s">
        <v>90</v>
      </c>
      <c r="E157" s="79" t="s">
        <v>91</v>
      </c>
      <c r="F157" s="79" t="s">
        <v>90</v>
      </c>
      <c r="G157" s="79" t="s">
        <v>92</v>
      </c>
      <c r="H157" s="79" t="s">
        <v>9</v>
      </c>
      <c r="I157" s="79" t="s">
        <v>110</v>
      </c>
      <c r="J157" s="79" t="s">
        <v>94</v>
      </c>
      <c r="K157" s="79" t="s">
        <v>108</v>
      </c>
      <c r="L157" s="79">
        <v>461.909999999999</v>
      </c>
      <c r="M157" s="79">
        <v>1.8510616289253799E-2</v>
      </c>
      <c r="N157" s="79">
        <v>8.5862443475120898E-2</v>
      </c>
      <c r="O157" s="79">
        <v>1729.5</v>
      </c>
      <c r="P157" s="79">
        <v>1631.9996867488601</v>
      </c>
      <c r="Q157" s="79">
        <v>138.764720234794</v>
      </c>
      <c r="R157" s="79">
        <v>219.958372038552</v>
      </c>
      <c r="S157" s="79">
        <v>590.88613636602201</v>
      </c>
      <c r="T157" s="79">
        <v>15</v>
      </c>
      <c r="U157" s="79">
        <v>0.2</v>
      </c>
      <c r="V157" s="79">
        <f>tbl_Data_old[[#This Row],[2025 ]]*IFERROR(AVERAGEIFS('Participation Adjustment'!$C:$C,'Participation Adjustment'!$A:$A,$H157,'Participation Adjustment'!$B:$B,$I157),1)</f>
        <v>13379.830382087501</v>
      </c>
      <c r="W157" s="79">
        <f>tbl_Data_old[[#This Row],[2026 ]]*IFERROR(AVERAGEIFS('Participation Adjustment'!$C:$C,'Participation Adjustment'!$A:$A,$H157,'Participation Adjustment'!$B:$B,$I157),1)</f>
        <v>14882.579080810799</v>
      </c>
      <c r="X157" s="79">
        <f>tbl_Data_old[[#This Row],[2027 ]]*IFERROR(AVERAGEIFS('Participation Adjustment'!$C:$C,'Participation Adjustment'!$A:$A,$H157,'Participation Adjustment'!$B:$B,$I157),1)</f>
        <v>16267.793207299799</v>
      </c>
      <c r="Y157" s="79">
        <f>tbl_Data_old[[#This Row],[2028 ]]*IFERROR(AVERAGEIFS('Participation Adjustment'!$C:$C,'Participation Adjustment'!$A:$A,$H157,'Participation Adjustment'!$B:$B,$I157),1)</f>
        <v>17577.762715251502</v>
      </c>
      <c r="Z157" s="79">
        <f>tbl_Data_old[[#This Row],[2029 ]]*IFERROR(AVERAGEIFS('Participation Adjustment'!$C:$C,'Participation Adjustment'!$A:$A,$H157,'Participation Adjustment'!$B:$B,$I157),1)</f>
        <v>18825.135447873101</v>
      </c>
      <c r="AA157" s="79">
        <f>tbl_Data_old[[#This Row],[2030 ]]*IFERROR(AVERAGEIFS('Participation Adjustment'!$C:$C,'Participation Adjustment'!$A:$A,$H157,'Participation Adjustment'!$B:$B,$I157),1)</f>
        <v>19965.7098950174</v>
      </c>
      <c r="AB157" s="79">
        <f>tbl_Data_old[[#This Row],[2031 ]]*IFERROR(AVERAGEIFS('Participation Adjustment'!$C:$C,'Participation Adjustment'!$A:$A,$H157,'Participation Adjustment'!$B:$B,$I157),1)</f>
        <v>21156.641509186898</v>
      </c>
      <c r="AC157" s="79">
        <f>tbl_Data_old[[#This Row],[2032 ]]*IFERROR(AVERAGEIFS('Participation Adjustment'!$C:$C,'Participation Adjustment'!$A:$A,$H157,'Participation Adjustment'!$B:$B,$I157),1)</f>
        <v>22450.120494796702</v>
      </c>
      <c r="AD157" s="79">
        <f>tbl_Data_old[[#This Row],[2033 ]]*IFERROR(AVERAGEIFS('Participation Adjustment'!$C:$C,'Participation Adjustment'!$A:$A,$H157,'Participation Adjustment'!$B:$B,$I157),1)</f>
        <v>23863.1577832572</v>
      </c>
      <c r="AE157" s="79">
        <f>tbl_Data_old[[#This Row],[2034 ]]*IFERROR(AVERAGEIFS('Participation Adjustment'!$C:$C,'Participation Adjustment'!$A:$A,$H157,'Participation Adjustment'!$B:$B,$I157),1)</f>
        <v>25405.278224839702</v>
      </c>
      <c r="AF157" s="77" t="str">
        <f t="shared" si="77"/>
        <v>Residential</v>
      </c>
      <c r="AG157" s="77" t="str">
        <f>tbl_Data[[#This Row],[All_Meas_Name_Append]]</f>
        <v>Heat Pump Water Heater 80 Gallons-ENERGY STAR</v>
      </c>
      <c r="AH157" s="77">
        <f>AVERAGEIFS('3. Incentive Adjustment'!G:G,'3. Incentive Adjustment'!A:A,tbl_Data[[#This Row],[Trimmed Sector]],'3. Incentive Adjustment'!B:B,tbl_Data[[#This Row],[Trimmed Measure Name]])</f>
        <v>1.5551101216712928E-3</v>
      </c>
      <c r="AI157" s="77">
        <f>$AH157*tbl_Data[[#This Row],[2025 ]]</f>
        <v>20.807109653429354</v>
      </c>
      <c r="AJ157" s="77">
        <f>$AH157*tbl_Data[[#This Row],[2026 ]]</f>
        <v>23.144049365142319</v>
      </c>
      <c r="AK157" s="77">
        <f>$AH157*tbl_Data[[#This Row],[2027 ]]</f>
        <v>25.298209873927423</v>
      </c>
      <c r="AL157" s="77">
        <f>$AH157*tbl_Data[[#This Row],[2028 ]]</f>
        <v>27.335356714823877</v>
      </c>
      <c r="AM157" s="77">
        <f>$AH157*tbl_Data[[#This Row],[2029 ]]</f>
        <v>29.275158676820507</v>
      </c>
      <c r="AN157" s="77">
        <f>$AH157*tbl_Data[[#This Row],[2030 ]]</f>
        <v>31.048877544094243</v>
      </c>
      <c r="AO157" s="77">
        <f>$AH157*tbl_Data[[#This Row],[2031 ]]</f>
        <v>32.900907351507563</v>
      </c>
      <c r="AP157" s="77">
        <f>$AH157*tbl_Data[[#This Row],[2032 ]]</f>
        <v>34.912409614198481</v>
      </c>
      <c r="AQ157" s="77">
        <f>$AH157*tbl_Data[[#This Row],[2033 ]]</f>
        <v>37.10983820378236</v>
      </c>
      <c r="AR157" s="77">
        <f>$AH157*tbl_Data[[#This Row],[2034 ]]</f>
        <v>39.508005311323515</v>
      </c>
      <c r="AS157" s="77">
        <f>SUM(tbl_Data[[#This Row],[Adjusted 2025]:[Adjusted 2034]])</f>
        <v>301.33992230904965</v>
      </c>
      <c r="AT157" s="80">
        <f>AVERAGEIFS('3. Incentive Adjustment'!F:F,'3. Incentive Adjustment'!A:A,tbl_Data[[#This Row],[Trimmed Sector]],'3. Incentive Adjustment'!B:B,tbl_Data[[#This Row],[Trimmed Measure Name]])</f>
        <v>500</v>
      </c>
      <c r="AU157" s="80">
        <f>IFERROR(VLOOKUP(tbl_Data[[#This Row],[All_Meas_Name_Append]],'IRA Tax Credits'!$A$3:$D$46,4,0),0)</f>
        <v>1666.6666666666667</v>
      </c>
      <c r="AV157" s="81">
        <f>tbl_Data[[#This Row],[Adj. per unit Incentive ($)]]/tbl_Data[[#This Row],[kWh Savings]]*tbl_Data[[#This Row],[Sum of Annuals]]</f>
        <v>326.18900035618447</v>
      </c>
      <c r="AW157" s="81">
        <f>IFERROR(VLOOKUP(tbl_Data[[#This Row],[Column1]],'1. Set Program Names'!$B$2:$D$15,3,0)*tbl_Data[[#This Row],[Sum of Annuals]],"")</f>
        <v>135.79057613427889</v>
      </c>
      <c r="AX157" s="81">
        <f>tbl_Data[[#This Row],[per unit IRA tax ($)]]/tbl_Data[[#This Row],[kWh Savings]]*tbl_Data[[#This Row],[Sum of Annuals]]</f>
        <v>1087.2966678539481</v>
      </c>
      <c r="AY157" s="81">
        <f>tbl_Data[[#This Row],[Avoided Costs ($/unit)]]/tbl_Data[[#This Row],[kWh Savings]]*tbl_Data[[#This Row],[Sum of Annuals]]</f>
        <v>143.49600299045798</v>
      </c>
      <c r="AZ157" s="81">
        <f>tbl_Data[[#This Row],[Lost Revenue ($/unit)]]/tbl_Data[[#This Row],[kWh Savings]]*tbl_Data[[#This Row],[Sum of Annuals]]</f>
        <v>385.48111629112157</v>
      </c>
      <c r="BA157" s="81">
        <f>tbl_Data[[#This Row],[Incremental Cost ($/unit)]]/tbl_Data[[#This Row],[kWh Savings]]*tbl_Data[[#This Row],[Sum of Annuals]]</f>
        <v>1128.2877522320418</v>
      </c>
      <c r="BB157" s="77">
        <f>ROUNDUP(tbl_Data[[#This Row],[Adjusted 2025]]/$L157,0)</f>
        <v>1</v>
      </c>
      <c r="BC157" s="77">
        <f>ROUNDUP(tbl_Data[[#This Row],[Adjusted 2026]]/$L157,0)</f>
        <v>1</v>
      </c>
      <c r="BD157" s="77">
        <f>ROUNDUP(tbl_Data[[#This Row],[Adjusted 2027]]/$L157,0)</f>
        <v>1</v>
      </c>
      <c r="BE157" s="77">
        <f>ROUNDUP(tbl_Data[[#This Row],[Adjusted 2028]]/$L157,0)</f>
        <v>1</v>
      </c>
      <c r="BF157" s="77">
        <f>ROUNDUP(tbl_Data[[#This Row],[Adjusted 2029]]/$L157,0)</f>
        <v>1</v>
      </c>
      <c r="BG157" s="77">
        <f>ROUNDUP(tbl_Data[[#This Row],[Adjusted 2030]]/$L157,0)</f>
        <v>1</v>
      </c>
      <c r="BH157" s="77">
        <f>ROUNDUP(tbl_Data[[#This Row],[Adjusted 2031]]/$L157,0)</f>
        <v>1</v>
      </c>
      <c r="BI157" s="77">
        <f>ROUNDUP(tbl_Data[[#This Row],[Adjusted 2032]]/$L157,0)</f>
        <v>1</v>
      </c>
      <c r="BJ157" s="77">
        <f>ROUNDUP(tbl_Data[[#This Row],[Adjusted 2033]]/$L157,0)</f>
        <v>1</v>
      </c>
      <c r="BK157" s="77">
        <f>ROUNDUP(tbl_Data[[#This Row],[Adjusted 2034]]/$L157,0)</f>
        <v>1</v>
      </c>
      <c r="BL157" s="80">
        <f t="shared" si="78"/>
        <v>14483.157305630459</v>
      </c>
      <c r="BM157" s="80">
        <f t="shared" si="79"/>
        <v>16109.825594608077</v>
      </c>
      <c r="BN157" s="80">
        <f t="shared" si="80"/>
        <v>17609.267181160656</v>
      </c>
      <c r="BO157" s="80">
        <f t="shared" si="81"/>
        <v>19027.259331094305</v>
      </c>
      <c r="BP157" s="80">
        <f t="shared" si="82"/>
        <v>20377.492853448879</v>
      </c>
      <c r="BQ157" s="80">
        <f t="shared" si="83"/>
        <v>21612.121295292854</v>
      </c>
      <c r="BR157" s="80">
        <f t="shared" si="84"/>
        <v>22901.259454425046</v>
      </c>
      <c r="BS157" s="80">
        <f t="shared" si="85"/>
        <v>24301.401241363852</v>
      </c>
      <c r="BT157" s="80">
        <f t="shared" si="86"/>
        <v>25830.960342119954</v>
      </c>
      <c r="BU157" s="80">
        <f t="shared" si="87"/>
        <v>27500.247044705418</v>
      </c>
      <c r="BV157" s="80">
        <f>IFERROR(VLOOKUP($H157,'1. Set Program Names'!$B$2:$D$15,3,0)*V157,"NA")</f>
        <v>6029.2538148969588</v>
      </c>
      <c r="BW157" s="80">
        <f>IFERROR(VLOOKUP($H157,'1. Set Program Names'!$B$2:$D$15,3,0)*W157,"NA")</f>
        <v>6706.4263250013273</v>
      </c>
      <c r="BX157" s="80">
        <f>IFERROR(VLOOKUP($H157,'1. Set Program Names'!$B$2:$D$15,3,0)*X157,"NA")</f>
        <v>7330.6351018004789</v>
      </c>
      <c r="BY157" s="80">
        <f>IFERROR(VLOOKUP($H157,'1. Set Program Names'!$B$2:$D$15,3,0)*Y157,"NA")</f>
        <v>7920.9369537425091</v>
      </c>
      <c r="BZ157" s="80">
        <f>IFERROR(VLOOKUP($H157,'1. Set Program Names'!$B$2:$D$15,3,0)*Z157,"NA")</f>
        <v>8483.031284686027</v>
      </c>
      <c r="CA157" s="80">
        <f>IFERROR(VLOOKUP($H157,'1. Set Program Names'!$B$2:$D$15,3,0)*AA157,"NA")</f>
        <v>8996.9998956652216</v>
      </c>
      <c r="CB157" s="80">
        <f>IFERROR(VLOOKUP($H157,'1. Set Program Names'!$B$2:$D$15,3,0)*AB157,"NA")</f>
        <v>9533.6605836531489</v>
      </c>
      <c r="CC157" s="80">
        <f>IFERROR(VLOOKUP($H157,'1. Set Program Names'!$B$2:$D$15,3,0)*AC157,"NA")</f>
        <v>10116.531433713972</v>
      </c>
      <c r="CD157" s="80">
        <f>IFERROR(VLOOKUP($H157,'1. Set Program Names'!$B$2:$D$15,3,0)*AD157,"NA")</f>
        <v>10753.27795581098</v>
      </c>
      <c r="CE157" s="80">
        <f>IFERROR(VLOOKUP($H157,'1. Set Program Names'!$B$2:$D$15,3,0)*AE157,"NA")</f>
        <v>11448.19226263878</v>
      </c>
    </row>
    <row r="158" spans="1:83" x14ac:dyDescent="0.25">
      <c r="A158" s="79" t="s">
        <v>87</v>
      </c>
      <c r="B158" s="79" t="s">
        <v>88</v>
      </c>
      <c r="C158" s="79" t="s">
        <v>89</v>
      </c>
      <c r="D158" s="79" t="s">
        <v>90</v>
      </c>
      <c r="E158" s="79" t="s">
        <v>91</v>
      </c>
      <c r="F158" s="79" t="s">
        <v>90</v>
      </c>
      <c r="G158" s="79" t="s">
        <v>92</v>
      </c>
      <c r="H158" s="79"/>
      <c r="I158" s="79" t="s">
        <v>300</v>
      </c>
      <c r="J158" s="79" t="s">
        <v>120</v>
      </c>
      <c r="K158" s="79" t="s">
        <v>121</v>
      </c>
      <c r="L158" s="79">
        <v>1988.02171595288</v>
      </c>
      <c r="M158" s="79">
        <v>0.57653488407092901</v>
      </c>
      <c r="N158" s="79">
        <v>0.213799538654902</v>
      </c>
      <c r="O158" s="79">
        <v>1475.381509522</v>
      </c>
      <c r="P158" s="79">
        <v>647.28493209175997</v>
      </c>
      <c r="Q158" s="79">
        <v>597.23166252061401</v>
      </c>
      <c r="R158" s="79">
        <v>1282.4247459138801</v>
      </c>
      <c r="S158" s="79">
        <v>3005.0463968047102</v>
      </c>
      <c r="T158" s="79">
        <v>20</v>
      </c>
      <c r="U158" s="79">
        <v>1</v>
      </c>
      <c r="V158" s="79">
        <f>tbl_Data_old[[#This Row],[2025 ]]*IFERROR(AVERAGEIFS('Participation Adjustment'!$C:$C,'Participation Adjustment'!$A:$A,$H158,'Participation Adjustment'!$B:$B,$I158),1)</f>
        <v>174176.96172562701</v>
      </c>
      <c r="W158" s="79">
        <f>tbl_Data_old[[#This Row],[2026 ]]*IFERROR(AVERAGEIFS('Participation Adjustment'!$C:$C,'Participation Adjustment'!$A:$A,$H158,'Participation Adjustment'!$B:$B,$I158),1)</f>
        <v>185439.11013523201</v>
      </c>
      <c r="X158" s="79">
        <f>tbl_Data_old[[#This Row],[2027 ]]*IFERROR(AVERAGEIFS('Participation Adjustment'!$C:$C,'Participation Adjustment'!$A:$A,$H158,'Participation Adjustment'!$B:$B,$I158),1)</f>
        <v>191005.24972435</v>
      </c>
      <c r="Y158" s="79">
        <f>tbl_Data_old[[#This Row],[2028 ]]*IFERROR(AVERAGEIFS('Participation Adjustment'!$C:$C,'Participation Adjustment'!$A:$A,$H158,'Participation Adjustment'!$B:$B,$I158),1)</f>
        <v>195595.212580241</v>
      </c>
      <c r="Z158" s="79">
        <f>tbl_Data_old[[#This Row],[2029 ]]*IFERROR(AVERAGEIFS('Participation Adjustment'!$C:$C,'Participation Adjustment'!$A:$A,$H158,'Participation Adjustment'!$B:$B,$I158),1)</f>
        <v>201680.49920213901</v>
      </c>
      <c r="AA158" s="79">
        <f>tbl_Data_old[[#This Row],[2030 ]]*IFERROR(AVERAGEIFS('Participation Adjustment'!$C:$C,'Participation Adjustment'!$A:$A,$H158,'Participation Adjustment'!$B:$B,$I158),1)</f>
        <v>208079.94151249199</v>
      </c>
      <c r="AB158" s="79">
        <f>tbl_Data_old[[#This Row],[2031 ]]*IFERROR(AVERAGEIFS('Participation Adjustment'!$C:$C,'Participation Adjustment'!$A:$A,$H158,'Participation Adjustment'!$B:$B,$I158),1)</f>
        <v>216784.396516829</v>
      </c>
      <c r="AC158" s="79">
        <f>tbl_Data_old[[#This Row],[2032 ]]*IFERROR(AVERAGEIFS('Participation Adjustment'!$C:$C,'Participation Adjustment'!$A:$A,$H158,'Participation Adjustment'!$B:$B,$I158),1)</f>
        <v>226791.12726082001</v>
      </c>
      <c r="AD158" s="79">
        <f>tbl_Data_old[[#This Row],[2033 ]]*IFERROR(AVERAGEIFS('Participation Adjustment'!$C:$C,'Participation Adjustment'!$A:$A,$H158,'Participation Adjustment'!$B:$B,$I158),1)</f>
        <v>238480.42962767399</v>
      </c>
      <c r="AE158" s="79">
        <f>tbl_Data_old[[#This Row],[2034 ]]*IFERROR(AVERAGEIFS('Participation Adjustment'!$C:$C,'Participation Adjustment'!$A:$A,$H158,'Participation Adjustment'!$B:$B,$I158),1)</f>
        <v>251554.462384946</v>
      </c>
      <c r="AF158" s="77" t="str">
        <f t="shared" si="77"/>
        <v>Residential</v>
      </c>
      <c r="AG158" s="77" t="str">
        <f>tbl_Data[[#This Row],[All_Meas_Name_Append]]</f>
        <v>New Construction - Whole Home Improvements - Tier 1</v>
      </c>
      <c r="AH158" s="77">
        <f>AVERAGEIFS('3. Incentive Adjustment'!G:G,'3. Incentive Adjustment'!A:A,tbl_Data[[#This Row],[Trimmed Sector]],'3. Incentive Adjustment'!B:B,tbl_Data[[#This Row],[Trimmed Measure Name]])</f>
        <v>0.42355026786158312</v>
      </c>
      <c r="AI158" s="77">
        <f>$AH158*tbl_Data[[#This Row],[2025 ]]</f>
        <v>73772.698794206037</v>
      </c>
      <c r="AJ158" s="77">
        <f>$AH158*tbl_Data[[#This Row],[2026 ]]</f>
        <v>78542.784769791135</v>
      </c>
      <c r="AK158" s="77">
        <f>$AH158*tbl_Data[[#This Row],[2027 ]]</f>
        <v>80900.324683717015</v>
      </c>
      <c r="AL158" s="77">
        <f>$AH158*tbl_Data[[#This Row],[2028 ]]</f>
        <v>82844.404680804364</v>
      </c>
      <c r="AM158" s="77">
        <f>$AH158*tbl_Data[[#This Row],[2029 ]]</f>
        <v>85421.829459523782</v>
      </c>
      <c r="AN158" s="77">
        <f>$AH158*tbl_Data[[#This Row],[2030 ]]</f>
        <v>88132.314964238525</v>
      </c>
      <c r="AO158" s="77">
        <f>$AH158*tbl_Data[[#This Row],[2031 ]]</f>
        <v>91819.089212914565</v>
      </c>
      <c r="AP158" s="77">
        <f>$AH158*tbl_Data[[#This Row],[2032 ]]</f>
        <v>96057.442699950698</v>
      </c>
      <c r="AQ158" s="77">
        <f>$AH158*tbl_Data[[#This Row],[2033 ]]</f>
        <v>101008.44984854675</v>
      </c>
      <c r="AR158" s="77">
        <f>$AH158*tbl_Data[[#This Row],[2034 ]]</f>
        <v>106545.95992492042</v>
      </c>
      <c r="AS158" s="77">
        <f>SUM(tbl_Data[[#This Row],[Adjusted 2025]:[Adjusted 2034]])</f>
        <v>885045.29903861333</v>
      </c>
      <c r="AT158" s="80">
        <f>AVERAGEIFS('3. Incentive Adjustment'!F:F,'3. Incentive Adjustment'!A:A,tbl_Data[[#This Row],[Trimmed Sector]],'3. Incentive Adjustment'!B:B,tbl_Data[[#This Row],[Trimmed Measure Name]])</f>
        <v>0</v>
      </c>
      <c r="AU158" s="80">
        <f>IFERROR(VLOOKUP(tbl_Data[[#This Row],[All_Meas_Name_Append]],'IRA Tax Credits'!$A$3:$D$46,4,0),0)</f>
        <v>0</v>
      </c>
      <c r="AV158" s="81">
        <f>tbl_Data[[#This Row],[Adj. per unit Incentive ($)]]/tbl_Data[[#This Row],[kWh Savings]]*tbl_Data[[#This Row],[Sum of Annuals]]</f>
        <v>0</v>
      </c>
      <c r="AW158" s="81" t="str">
        <f>IFERROR(VLOOKUP(tbl_Data[[#This Row],[Column1]],'1. Set Program Names'!$B$2:$D$15,3,0)*tbl_Data[[#This Row],[Sum of Annuals]],"")</f>
        <v/>
      </c>
      <c r="AX158" s="81">
        <f>tbl_Data[[#This Row],[per unit IRA tax ($)]]/tbl_Data[[#This Row],[kWh Savings]]*tbl_Data[[#This Row],[Sum of Annuals]]</f>
        <v>0</v>
      </c>
      <c r="AY158" s="81">
        <f>tbl_Data[[#This Row],[Avoided Costs ($/unit)]]/tbl_Data[[#This Row],[kWh Savings]]*tbl_Data[[#This Row],[Sum of Annuals]]</f>
        <v>570921.32527226862</v>
      </c>
      <c r="AZ158" s="81">
        <f>tbl_Data[[#This Row],[Lost Revenue ($/unit)]]/tbl_Data[[#This Row],[kWh Savings]]*tbl_Data[[#This Row],[Sum of Annuals]]</f>
        <v>1337813.4481846727</v>
      </c>
      <c r="BA158" s="81">
        <f>tbl_Data[[#This Row],[Incremental Cost ($/unit)]]/tbl_Data[[#This Row],[kWh Savings]]*tbl_Data[[#This Row],[Sum of Annuals]]</f>
        <v>656823.54413571639</v>
      </c>
      <c r="BB158" s="77">
        <f>ROUNDUP(tbl_Data[[#This Row],[Adjusted 2025]]/$L158,0)</f>
        <v>38</v>
      </c>
      <c r="BC158" s="77">
        <f>ROUNDUP(tbl_Data[[#This Row],[Adjusted 2026]]/$L158,0)</f>
        <v>40</v>
      </c>
      <c r="BD158" s="77">
        <f>ROUNDUP(tbl_Data[[#This Row],[Adjusted 2027]]/$L158,0)</f>
        <v>41</v>
      </c>
      <c r="BE158" s="77">
        <f>ROUNDUP(tbl_Data[[#This Row],[Adjusted 2028]]/$L158,0)</f>
        <v>42</v>
      </c>
      <c r="BF158" s="77">
        <f>ROUNDUP(tbl_Data[[#This Row],[Adjusted 2029]]/$L158,0)</f>
        <v>43</v>
      </c>
      <c r="BG158" s="77">
        <f>ROUNDUP(tbl_Data[[#This Row],[Adjusted 2030]]/$L158,0)</f>
        <v>45</v>
      </c>
      <c r="BH158" s="77">
        <f>ROUNDUP(tbl_Data[[#This Row],[Adjusted 2031]]/$L158,0)</f>
        <v>47</v>
      </c>
      <c r="BI158" s="77">
        <f>ROUNDUP(tbl_Data[[#This Row],[Adjusted 2032]]/$L158,0)</f>
        <v>49</v>
      </c>
      <c r="BJ158" s="77">
        <f>ROUNDUP(tbl_Data[[#This Row],[Adjusted 2033]]/$L158,0)</f>
        <v>51</v>
      </c>
      <c r="BK158" s="77">
        <f>ROUNDUP(tbl_Data[[#This Row],[Adjusted 2034]]/$L158,0)</f>
        <v>54</v>
      </c>
      <c r="BL158" s="80">
        <f t="shared" si="78"/>
        <v>0</v>
      </c>
      <c r="BM158" s="80">
        <f t="shared" si="79"/>
        <v>0</v>
      </c>
      <c r="BN158" s="80">
        <f t="shared" si="80"/>
        <v>0</v>
      </c>
      <c r="BO158" s="80">
        <f t="shared" si="81"/>
        <v>0</v>
      </c>
      <c r="BP158" s="80">
        <f t="shared" si="82"/>
        <v>0</v>
      </c>
      <c r="BQ158" s="80">
        <f t="shared" si="83"/>
        <v>0</v>
      </c>
      <c r="BR158" s="80">
        <f t="shared" si="84"/>
        <v>0</v>
      </c>
      <c r="BS158" s="80">
        <f t="shared" si="85"/>
        <v>0</v>
      </c>
      <c r="BT158" s="80">
        <f t="shared" si="86"/>
        <v>0</v>
      </c>
      <c r="BU158" s="80">
        <f t="shared" si="87"/>
        <v>0</v>
      </c>
      <c r="BV158" s="80" t="str">
        <f>IFERROR(VLOOKUP($H158,'1. Set Program Names'!$B$2:$D$15,3,0)*V158,"NA")</f>
        <v>NA</v>
      </c>
      <c r="BW158" s="80" t="str">
        <f>IFERROR(VLOOKUP($H158,'1. Set Program Names'!$B$2:$D$15,3,0)*W158,"NA")</f>
        <v>NA</v>
      </c>
      <c r="BX158" s="80" t="str">
        <f>IFERROR(VLOOKUP($H158,'1. Set Program Names'!$B$2:$D$15,3,0)*X158,"NA")</f>
        <v>NA</v>
      </c>
      <c r="BY158" s="80" t="str">
        <f>IFERROR(VLOOKUP($H158,'1. Set Program Names'!$B$2:$D$15,3,0)*Y158,"NA")</f>
        <v>NA</v>
      </c>
      <c r="BZ158" s="80" t="str">
        <f>IFERROR(VLOOKUP($H158,'1. Set Program Names'!$B$2:$D$15,3,0)*Z158,"NA")</f>
        <v>NA</v>
      </c>
      <c r="CA158" s="80" t="str">
        <f>IFERROR(VLOOKUP($H158,'1. Set Program Names'!$B$2:$D$15,3,0)*AA158,"NA")</f>
        <v>NA</v>
      </c>
      <c r="CB158" s="80" t="str">
        <f>IFERROR(VLOOKUP($H158,'1. Set Program Names'!$B$2:$D$15,3,0)*AB158,"NA")</f>
        <v>NA</v>
      </c>
      <c r="CC158" s="80" t="str">
        <f>IFERROR(VLOOKUP($H158,'1. Set Program Names'!$B$2:$D$15,3,0)*AC158,"NA")</f>
        <v>NA</v>
      </c>
      <c r="CD158" s="80" t="str">
        <f>IFERROR(VLOOKUP($H158,'1. Set Program Names'!$B$2:$D$15,3,0)*AD158,"NA")</f>
        <v>NA</v>
      </c>
      <c r="CE158" s="80" t="str">
        <f>IFERROR(VLOOKUP($H158,'1. Set Program Names'!$B$2:$D$15,3,0)*AE158,"NA")</f>
        <v>NA</v>
      </c>
    </row>
    <row r="159" spans="1:83" x14ac:dyDescent="0.25">
      <c r="A159" s="79" t="s">
        <v>87</v>
      </c>
      <c r="B159" s="79" t="s">
        <v>88</v>
      </c>
      <c r="C159" s="79" t="s">
        <v>89</v>
      </c>
      <c r="D159" s="79" t="s">
        <v>90</v>
      </c>
      <c r="E159" s="79" t="s">
        <v>91</v>
      </c>
      <c r="F159" s="79" t="s">
        <v>90</v>
      </c>
      <c r="G159" s="79" t="s">
        <v>92</v>
      </c>
      <c r="H159" s="79"/>
      <c r="I159" s="79" t="s">
        <v>119</v>
      </c>
      <c r="J159" s="79" t="s">
        <v>120</v>
      </c>
      <c r="K159" s="79" t="s">
        <v>121</v>
      </c>
      <c r="L159" s="79">
        <v>6673.4968833372895</v>
      </c>
      <c r="M159" s="79">
        <v>1.73762506704112</v>
      </c>
      <c r="N159" s="79">
        <v>0.78936762832777396</v>
      </c>
      <c r="O159" s="79">
        <v>2151.0039802452802</v>
      </c>
      <c r="P159" s="79">
        <v>549.54451231238204</v>
      </c>
      <c r="Q159" s="79">
        <v>2004.8189647422</v>
      </c>
      <c r="R159" s="79">
        <v>4267.3988807063497</v>
      </c>
      <c r="S159" s="79">
        <v>10087.499347937401</v>
      </c>
      <c r="T159" s="79">
        <v>20</v>
      </c>
      <c r="U159" s="79">
        <v>1</v>
      </c>
      <c r="V159" s="79">
        <f>tbl_Data_old[[#This Row],[2025 ]]*IFERROR(AVERAGEIFS('Participation Adjustment'!$C:$C,'Participation Adjustment'!$A:$A,$H159,'Participation Adjustment'!$B:$B,$I159),1)</f>
        <v>294670.61931632401</v>
      </c>
      <c r="W159" s="79">
        <f>tbl_Data_old[[#This Row],[2026 ]]*IFERROR(AVERAGEIFS('Participation Adjustment'!$C:$C,'Participation Adjustment'!$A:$A,$H159,'Participation Adjustment'!$B:$B,$I159),1)</f>
        <v>314732.13801839302</v>
      </c>
      <c r="X159" s="79">
        <f>tbl_Data_old[[#This Row],[2027 ]]*IFERROR(AVERAGEIFS('Participation Adjustment'!$C:$C,'Participation Adjustment'!$A:$A,$H159,'Participation Adjustment'!$B:$B,$I159),1)</f>
        <v>325217.32748651103</v>
      </c>
      <c r="Y159" s="79">
        <f>tbl_Data_old[[#This Row],[2028 ]]*IFERROR(AVERAGEIFS('Participation Adjustment'!$C:$C,'Participation Adjustment'!$A:$A,$H159,'Participation Adjustment'!$B:$B,$I159),1)</f>
        <v>334094.42684604402</v>
      </c>
      <c r="Z159" s="79">
        <f>tbl_Data_old[[#This Row],[2029 ]]*IFERROR(AVERAGEIFS('Participation Adjustment'!$C:$C,'Participation Adjustment'!$A:$A,$H159,'Participation Adjustment'!$B:$B,$I159),1)</f>
        <v>345581.29506027303</v>
      </c>
      <c r="AA159" s="79">
        <f>tbl_Data_old[[#This Row],[2030 ]]*IFERROR(AVERAGEIFS('Participation Adjustment'!$C:$C,'Participation Adjustment'!$A:$A,$H159,'Participation Adjustment'!$B:$B,$I159),1)</f>
        <v>357670.49590767699</v>
      </c>
      <c r="AB159" s="79">
        <f>tbl_Data_old[[#This Row],[2031 ]]*IFERROR(AVERAGEIFS('Participation Adjustment'!$C:$C,'Participation Adjustment'!$A:$A,$H159,'Participation Adjustment'!$B:$B,$I159),1)</f>
        <v>373798.66477783601</v>
      </c>
      <c r="AC159" s="79">
        <f>tbl_Data_old[[#This Row],[2032 ]]*IFERROR(AVERAGEIFS('Participation Adjustment'!$C:$C,'Participation Adjustment'!$A:$A,$H159,'Participation Adjustment'!$B:$B,$I159),1)</f>
        <v>392267.62956103298</v>
      </c>
      <c r="AD159" s="79">
        <f>tbl_Data_old[[#This Row],[2033 ]]*IFERROR(AVERAGEIFS('Participation Adjustment'!$C:$C,'Participation Adjustment'!$A:$A,$H159,'Participation Adjustment'!$B:$B,$I159),1)</f>
        <v>413757.50883525301</v>
      </c>
      <c r="AE159" s="79">
        <f>tbl_Data_old[[#This Row],[2034 ]]*IFERROR(AVERAGEIFS('Participation Adjustment'!$C:$C,'Participation Adjustment'!$A:$A,$H159,'Participation Adjustment'!$B:$B,$I159),1)</f>
        <v>437776.499244473</v>
      </c>
      <c r="AF159" s="77" t="str">
        <f t="shared" si="77"/>
        <v>Residential</v>
      </c>
      <c r="AG159" s="77" t="str">
        <f>tbl_Data[[#This Row],[All_Meas_Name_Append]]</f>
        <v>New Construction - Whole Home Improvements - Tier 2</v>
      </c>
      <c r="AH159" s="77">
        <f>AVERAGEIFS('3. Incentive Adjustment'!G:G,'3. Incentive Adjustment'!A:A,tbl_Data[[#This Row],[Trimmed Sector]],'3. Incentive Adjustment'!B:B,tbl_Data[[#This Row],[Trimmed Measure Name]])</f>
        <v>0.80470846489720416</v>
      </c>
      <c r="AI159" s="77">
        <f>$AH159*tbl_Data[[#This Row],[2025 ]]</f>
        <v>237123.94172034753</v>
      </c>
      <c r="AJ159" s="77">
        <f>$AH159*tbl_Data[[#This Row],[2026 ]]</f>
        <v>253267.61563859603</v>
      </c>
      <c r="AK159" s="77">
        <f>$AH159*tbl_Data[[#This Row],[2027 ]]</f>
        <v>261705.13635964162</v>
      </c>
      <c r="AL159" s="77">
        <f>$AH159*tbl_Data[[#This Row],[2028 ]]</f>
        <v>268848.61335799133</v>
      </c>
      <c r="AM159" s="77">
        <f>$AH159*tbl_Data[[#This Row],[2029 ]]</f>
        <v>278092.19344514009</v>
      </c>
      <c r="AN159" s="77">
        <f>$AH159*tbl_Data[[#This Row],[2030 ]]</f>
        <v>287820.47570088849</v>
      </c>
      <c r="AO159" s="77">
        <f>$AH159*tbl_Data[[#This Row],[2031 ]]</f>
        <v>300798.94971399702</v>
      </c>
      <c r="AP159" s="77">
        <f>$AH159*tbl_Data[[#This Row],[2032 ]]</f>
        <v>315661.08201292402</v>
      </c>
      <c r="AQ159" s="77">
        <f>$AH159*tbl_Data[[#This Row],[2033 ]]</f>
        <v>332954.16977450781</v>
      </c>
      <c r="AR159" s="77">
        <f>$AH159*tbl_Data[[#This Row],[2034 ]]</f>
        <v>352282.4546750919</v>
      </c>
      <c r="AS159" s="77">
        <f>SUM(tbl_Data[[#This Row],[Adjusted 2025]:[Adjusted 2034]])</f>
        <v>2888554.632399126</v>
      </c>
      <c r="AT159" s="80">
        <f>AVERAGEIFS('3. Incentive Adjustment'!F:F,'3. Incentive Adjustment'!A:A,tbl_Data[[#This Row],[Trimmed Sector]],'3. Incentive Adjustment'!B:B,tbl_Data[[#This Row],[Trimmed Measure Name]])</f>
        <v>0</v>
      </c>
      <c r="AU159" s="80">
        <f>IFERROR(VLOOKUP(tbl_Data[[#This Row],[All_Meas_Name_Append]],'IRA Tax Credits'!$A$3:$D$46,4,0),0)</f>
        <v>0</v>
      </c>
      <c r="AV159" s="81">
        <f>tbl_Data[[#This Row],[Adj. per unit Incentive ($)]]/tbl_Data[[#This Row],[kWh Savings]]*tbl_Data[[#This Row],[Sum of Annuals]]</f>
        <v>0</v>
      </c>
      <c r="AW159" s="81" t="str">
        <f>IFERROR(VLOOKUP(tbl_Data[[#This Row],[Column1]],'1. Set Program Names'!$B$2:$D$15,3,0)*tbl_Data[[#This Row],[Sum of Annuals]],"")</f>
        <v/>
      </c>
      <c r="AX159" s="81">
        <f>tbl_Data[[#This Row],[per unit IRA tax ($)]]/tbl_Data[[#This Row],[kWh Savings]]*tbl_Data[[#This Row],[Sum of Annuals]]</f>
        <v>0</v>
      </c>
      <c r="AY159" s="81">
        <f>tbl_Data[[#This Row],[Avoided Costs ($/unit)]]/tbl_Data[[#This Row],[kWh Savings]]*tbl_Data[[#This Row],[Sum of Annuals]]</f>
        <v>1847099.8069897748</v>
      </c>
      <c r="AZ159" s="81">
        <f>tbl_Data[[#This Row],[Lost Revenue ($/unit)]]/tbl_Data[[#This Row],[kWh Savings]]*tbl_Data[[#This Row],[Sum of Annuals]]</f>
        <v>4366270.5595265413</v>
      </c>
      <c r="BA159" s="81">
        <f>tbl_Data[[#This Row],[Incremental Cost ($/unit)]]/tbl_Data[[#This Row],[kWh Savings]]*tbl_Data[[#This Row],[Sum of Annuals]]</f>
        <v>931039.99598173366</v>
      </c>
      <c r="BB159" s="77">
        <f>ROUNDUP(tbl_Data[[#This Row],[Adjusted 2025]]/$L159,0)</f>
        <v>36</v>
      </c>
      <c r="BC159" s="77">
        <f>ROUNDUP(tbl_Data[[#This Row],[Adjusted 2026]]/$L159,0)</f>
        <v>38</v>
      </c>
      <c r="BD159" s="77">
        <f>ROUNDUP(tbl_Data[[#This Row],[Adjusted 2027]]/$L159,0)</f>
        <v>40</v>
      </c>
      <c r="BE159" s="77">
        <f>ROUNDUP(tbl_Data[[#This Row],[Adjusted 2028]]/$L159,0)</f>
        <v>41</v>
      </c>
      <c r="BF159" s="77">
        <f>ROUNDUP(tbl_Data[[#This Row],[Adjusted 2029]]/$L159,0)</f>
        <v>42</v>
      </c>
      <c r="BG159" s="77">
        <f>ROUNDUP(tbl_Data[[#This Row],[Adjusted 2030]]/$L159,0)</f>
        <v>44</v>
      </c>
      <c r="BH159" s="77">
        <f>ROUNDUP(tbl_Data[[#This Row],[Adjusted 2031]]/$L159,0)</f>
        <v>46</v>
      </c>
      <c r="BI159" s="77">
        <f>ROUNDUP(tbl_Data[[#This Row],[Adjusted 2032]]/$L159,0)</f>
        <v>48</v>
      </c>
      <c r="BJ159" s="77">
        <f>ROUNDUP(tbl_Data[[#This Row],[Adjusted 2033]]/$L159,0)</f>
        <v>50</v>
      </c>
      <c r="BK159" s="77">
        <f>ROUNDUP(tbl_Data[[#This Row],[Adjusted 2034]]/$L159,0)</f>
        <v>53</v>
      </c>
      <c r="BL159" s="80">
        <f t="shared" si="78"/>
        <v>0</v>
      </c>
      <c r="BM159" s="80">
        <f t="shared" si="79"/>
        <v>0</v>
      </c>
      <c r="BN159" s="80">
        <f t="shared" si="80"/>
        <v>0</v>
      </c>
      <c r="BO159" s="80">
        <f t="shared" si="81"/>
        <v>0</v>
      </c>
      <c r="BP159" s="80">
        <f t="shared" si="82"/>
        <v>0</v>
      </c>
      <c r="BQ159" s="80">
        <f t="shared" si="83"/>
        <v>0</v>
      </c>
      <c r="BR159" s="80">
        <f t="shared" si="84"/>
        <v>0</v>
      </c>
      <c r="BS159" s="80">
        <f t="shared" si="85"/>
        <v>0</v>
      </c>
      <c r="BT159" s="80">
        <f t="shared" si="86"/>
        <v>0</v>
      </c>
      <c r="BU159" s="80">
        <f t="shared" si="87"/>
        <v>0</v>
      </c>
      <c r="BV159" s="80" t="str">
        <f>IFERROR(VLOOKUP($H159,'1. Set Program Names'!$B$2:$D$15,3,0)*V159,"NA")</f>
        <v>NA</v>
      </c>
      <c r="BW159" s="80" t="str">
        <f>IFERROR(VLOOKUP($H159,'1. Set Program Names'!$B$2:$D$15,3,0)*W159,"NA")</f>
        <v>NA</v>
      </c>
      <c r="BX159" s="80" t="str">
        <f>IFERROR(VLOOKUP($H159,'1. Set Program Names'!$B$2:$D$15,3,0)*X159,"NA")</f>
        <v>NA</v>
      </c>
      <c r="BY159" s="80" t="str">
        <f>IFERROR(VLOOKUP($H159,'1. Set Program Names'!$B$2:$D$15,3,0)*Y159,"NA")</f>
        <v>NA</v>
      </c>
      <c r="BZ159" s="80" t="str">
        <f>IFERROR(VLOOKUP($H159,'1. Set Program Names'!$B$2:$D$15,3,0)*Z159,"NA")</f>
        <v>NA</v>
      </c>
      <c r="CA159" s="80" t="str">
        <f>IFERROR(VLOOKUP($H159,'1. Set Program Names'!$B$2:$D$15,3,0)*AA159,"NA")</f>
        <v>NA</v>
      </c>
      <c r="CB159" s="80" t="str">
        <f>IFERROR(VLOOKUP($H159,'1. Set Program Names'!$B$2:$D$15,3,0)*AB159,"NA")</f>
        <v>NA</v>
      </c>
      <c r="CC159" s="80" t="str">
        <f>IFERROR(VLOOKUP($H159,'1. Set Program Names'!$B$2:$D$15,3,0)*AC159,"NA")</f>
        <v>NA</v>
      </c>
      <c r="CD159" s="80" t="str">
        <f>IFERROR(VLOOKUP($H159,'1. Set Program Names'!$B$2:$D$15,3,0)*AD159,"NA")</f>
        <v>NA</v>
      </c>
      <c r="CE159" s="80" t="str">
        <f>IFERROR(VLOOKUP($H159,'1. Set Program Names'!$B$2:$D$15,3,0)*AE159,"NA")</f>
        <v>NA</v>
      </c>
    </row>
    <row r="160" spans="1:83" x14ac:dyDescent="0.25">
      <c r="A160" s="79" t="s">
        <v>87</v>
      </c>
      <c r="B160" s="79" t="s">
        <v>88</v>
      </c>
      <c r="C160" s="79" t="s">
        <v>89</v>
      </c>
      <c r="D160" s="79" t="s">
        <v>90</v>
      </c>
      <c r="E160" s="79" t="s">
        <v>91</v>
      </c>
      <c r="F160" s="79" t="s">
        <v>90</v>
      </c>
      <c r="G160" s="79" t="s">
        <v>92</v>
      </c>
      <c r="H160" s="79" t="s">
        <v>9</v>
      </c>
      <c r="I160" s="79" t="s">
        <v>299</v>
      </c>
      <c r="J160" s="79" t="s">
        <v>97</v>
      </c>
      <c r="K160" s="79" t="s">
        <v>102</v>
      </c>
      <c r="L160" s="79">
        <v>408.28</v>
      </c>
      <c r="M160" s="79">
        <v>0.16567198429270899</v>
      </c>
      <c r="N160" s="79">
        <v>2.3547919008134799E-2</v>
      </c>
      <c r="O160" s="79">
        <v>128.60999999999999</v>
      </c>
      <c r="P160" s="79">
        <v>29.691921599999901</v>
      </c>
      <c r="Q160" s="79">
        <v>122.65346058206499</v>
      </c>
      <c r="R160" s="79">
        <v>238.630335182902</v>
      </c>
      <c r="S160" s="79">
        <v>423.90838942107399</v>
      </c>
      <c r="T160" s="79">
        <v>11</v>
      </c>
      <c r="U160" s="79">
        <v>0.19999999999999901</v>
      </c>
      <c r="V160" s="79">
        <f>tbl_Data_old[[#This Row],[2025 ]]*IFERROR(AVERAGEIFS('Participation Adjustment'!$C:$C,'Participation Adjustment'!$A:$A,$H160,'Participation Adjustment'!$B:$B,$I160),1)</f>
        <v>3585.1085423712698</v>
      </c>
      <c r="W160" s="79">
        <f>tbl_Data_old[[#This Row],[2026 ]]*IFERROR(AVERAGEIFS('Participation Adjustment'!$C:$C,'Participation Adjustment'!$A:$A,$H160,'Participation Adjustment'!$B:$B,$I160),1)</f>
        <v>2973.3626344842301</v>
      </c>
      <c r="X160" s="79">
        <f>tbl_Data_old[[#This Row],[2027 ]]*IFERROR(AVERAGEIFS('Participation Adjustment'!$C:$C,'Participation Adjustment'!$A:$A,$H160,'Participation Adjustment'!$B:$B,$I160),1)</f>
        <v>2465.7144477473998</v>
      </c>
      <c r="Y160" s="79">
        <f>tbl_Data_old[[#This Row],[2028 ]]*IFERROR(AVERAGEIFS('Participation Adjustment'!$C:$C,'Participation Adjustment'!$A:$A,$H160,'Participation Adjustment'!$B:$B,$I160),1)</f>
        <v>2053.2068065888202</v>
      </c>
      <c r="Z160" s="79">
        <f>tbl_Data_old[[#This Row],[2029 ]]*IFERROR(AVERAGEIFS('Participation Adjustment'!$C:$C,'Participation Adjustment'!$A:$A,$H160,'Participation Adjustment'!$B:$B,$I160),1)</f>
        <v>1721.2837801619301</v>
      </c>
      <c r="AA160" s="79">
        <f>tbl_Data_old[[#This Row],[2030 ]]*IFERROR(AVERAGEIFS('Participation Adjustment'!$C:$C,'Participation Adjustment'!$A:$A,$H160,'Participation Adjustment'!$B:$B,$I160),1)</f>
        <v>1450.2585565313</v>
      </c>
      <c r="AB160" s="79">
        <f>tbl_Data_old[[#This Row],[2031 ]]*IFERROR(AVERAGEIFS('Participation Adjustment'!$C:$C,'Participation Adjustment'!$A:$A,$H160,'Participation Adjustment'!$B:$B,$I160),1)</f>
        <v>1239.66472939857</v>
      </c>
      <c r="AC160" s="79">
        <f>tbl_Data_old[[#This Row],[2032 ]]*IFERROR(AVERAGEIFS('Participation Adjustment'!$C:$C,'Participation Adjustment'!$A:$A,$H160,'Participation Adjustment'!$B:$B,$I160),1)</f>
        <v>1076.30580447172</v>
      </c>
      <c r="AD160" s="79">
        <f>tbl_Data_old[[#This Row],[2033 ]]*IFERROR(AVERAGEIFS('Participation Adjustment'!$C:$C,'Participation Adjustment'!$A:$A,$H160,'Participation Adjustment'!$B:$B,$I160),1)</f>
        <v>950.07748145273501</v>
      </c>
      <c r="AE160" s="79">
        <f>tbl_Data_old[[#This Row],[2034 ]]*IFERROR(AVERAGEIFS('Participation Adjustment'!$C:$C,'Participation Adjustment'!$A:$A,$H160,'Participation Adjustment'!$B:$B,$I160),1)</f>
        <v>852.48453647159999</v>
      </c>
      <c r="AF160" s="77" t="str">
        <f t="shared" si="77"/>
        <v>Residential</v>
      </c>
      <c r="AG160" s="77" t="str">
        <f>tbl_Data[[#This Row],[All_Meas_Name_Append]]</f>
        <v>Smart Thermostat Residential</v>
      </c>
      <c r="AH160" s="77">
        <f>AVERAGEIFS('3. Incentive Adjustment'!G:G,'3. Incentive Adjustment'!A:A,tbl_Data[[#This Row],[Trimmed Sector]],'3. Incentive Adjustment'!B:B,tbl_Data[[#This Row],[Trimmed Measure Name]])</f>
        <v>1.1402432304340044</v>
      </c>
      <c r="AI160" s="77">
        <f>$AH160*tbl_Data[[#This Row],[2025 ]]</f>
        <v>4087.8957458099617</v>
      </c>
      <c r="AJ160" s="77">
        <f>$AH160*tbl_Data[[#This Row],[2026 ]]</f>
        <v>3390.3566155960602</v>
      </c>
      <c r="AK160" s="77">
        <f>$AH160*tbl_Data[[#This Row],[2027 ]]</f>
        <v>2811.5142072272924</v>
      </c>
      <c r="AL160" s="77">
        <f>$AH160*tbl_Data[[#This Row],[2028 ]]</f>
        <v>2341.1551618939225</v>
      </c>
      <c r="AM160" s="77">
        <f>$AH160*tbl_Data[[#This Row],[2029 ]]</f>
        <v>1962.6821779854938</v>
      </c>
      <c r="AN160" s="77">
        <f>$AH160*tbl_Data[[#This Row],[2030 ]]</f>
        <v>1653.6475014638058</v>
      </c>
      <c r="AO160" s="77">
        <f>$AH160*tbl_Data[[#This Row],[2031 ]]</f>
        <v>1413.5193157045214</v>
      </c>
      <c r="AP160" s="77">
        <f>$AH160*tbl_Data[[#This Row],[2032 ]]</f>
        <v>1227.250407425704</v>
      </c>
      <c r="AQ160" s="77">
        <f>$AH160*tbl_Data[[#This Row],[2033 ]]</f>
        <v>1083.3194166142696</v>
      </c>
      <c r="AR160" s="77">
        <f>$AH160*tbl_Data[[#This Row],[2034 ]]</f>
        <v>972.03972176141201</v>
      </c>
      <c r="AS160" s="77">
        <f>SUM(tbl_Data[[#This Row],[Adjusted 2025]:[Adjusted 2034]])</f>
        <v>20943.380271482449</v>
      </c>
      <c r="AT160" s="80">
        <f>AVERAGEIFS('3. Incentive Adjustment'!F:F,'3. Incentive Adjustment'!A:A,tbl_Data[[#This Row],[Trimmed Sector]],'3. Incentive Adjustment'!B:B,tbl_Data[[#This Row],[Trimmed Measure Name]])</f>
        <v>50</v>
      </c>
      <c r="AU160" s="80">
        <f>IFERROR(VLOOKUP(tbl_Data[[#This Row],[All_Meas_Name_Append]],'IRA Tax Credits'!$A$3:$D$46,4,0),0)</f>
        <v>0</v>
      </c>
      <c r="AV160" s="81">
        <f>tbl_Data[[#This Row],[Adj. per unit Incentive ($)]]/tbl_Data[[#This Row],[kWh Savings]]*tbl_Data[[#This Row],[Sum of Annuals]]</f>
        <v>2564.8305417216679</v>
      </c>
      <c r="AW160" s="81">
        <f>IFERROR(VLOOKUP(tbl_Data[[#This Row],[Column1]],'1. Set Program Names'!$B$2:$D$15,3,0)*tbl_Data[[#This Row],[Sum of Annuals]],"")</f>
        <v>9437.5602524620608</v>
      </c>
      <c r="AX160" s="81">
        <f>tbl_Data[[#This Row],[per unit IRA tax ($)]]/tbl_Data[[#This Row],[kWh Savings]]*tbl_Data[[#This Row],[Sum of Annuals]]</f>
        <v>0</v>
      </c>
      <c r="AY160" s="81">
        <f>tbl_Data[[#This Row],[Avoided Costs ($/unit)]]/tbl_Data[[#This Row],[kWh Savings]]*tbl_Data[[#This Row],[Sum of Annuals]]</f>
        <v>12240.927437167713</v>
      </c>
      <c r="AZ160" s="81">
        <f>tbl_Data[[#This Row],[Lost Revenue ($/unit)]]/tbl_Data[[#This Row],[kWh Savings]]*tbl_Data[[#This Row],[Sum of Annuals]]</f>
        <v>21745.063681584259</v>
      </c>
      <c r="BA160" s="81">
        <f>tbl_Data[[#This Row],[Incremental Cost ($/unit)]]/tbl_Data[[#This Row],[kWh Savings]]*tbl_Data[[#This Row],[Sum of Annuals]]</f>
        <v>6597.2571194164739</v>
      </c>
      <c r="BB160" s="77">
        <f>ROUNDUP(tbl_Data[[#This Row],[Adjusted 2025]]/$L160,0)</f>
        <v>11</v>
      </c>
      <c r="BC160" s="77">
        <f>ROUNDUP(tbl_Data[[#This Row],[Adjusted 2026]]/$L160,0)</f>
        <v>9</v>
      </c>
      <c r="BD160" s="77">
        <f>ROUNDUP(tbl_Data[[#This Row],[Adjusted 2027]]/$L160,0)</f>
        <v>7</v>
      </c>
      <c r="BE160" s="77">
        <f>ROUNDUP(tbl_Data[[#This Row],[Adjusted 2028]]/$L160,0)</f>
        <v>6</v>
      </c>
      <c r="BF160" s="77">
        <f>ROUNDUP(tbl_Data[[#This Row],[Adjusted 2029]]/$L160,0)</f>
        <v>5</v>
      </c>
      <c r="BG160" s="77">
        <f>ROUNDUP(tbl_Data[[#This Row],[Adjusted 2030]]/$L160,0)</f>
        <v>5</v>
      </c>
      <c r="BH160" s="77">
        <f>ROUNDUP(tbl_Data[[#This Row],[Adjusted 2031]]/$L160,0)</f>
        <v>4</v>
      </c>
      <c r="BI160" s="77">
        <f>ROUNDUP(tbl_Data[[#This Row],[Adjusted 2032]]/$L160,0)</f>
        <v>4</v>
      </c>
      <c r="BJ160" s="77">
        <f>ROUNDUP(tbl_Data[[#This Row],[Adjusted 2033]]/$L160,0)</f>
        <v>3</v>
      </c>
      <c r="BK160" s="77">
        <f>ROUNDUP(tbl_Data[[#This Row],[Adjusted 2034]]/$L160,0)</f>
        <v>3</v>
      </c>
      <c r="BL160" s="80">
        <f t="shared" si="78"/>
        <v>439.05022807525108</v>
      </c>
      <c r="BM160" s="80">
        <f t="shared" si="79"/>
        <v>364.13278074902399</v>
      </c>
      <c r="BN160" s="80">
        <f t="shared" si="80"/>
        <v>301.96365824279906</v>
      </c>
      <c r="BO160" s="80">
        <f t="shared" si="81"/>
        <v>251.44592027393216</v>
      </c>
      <c r="BP160" s="80">
        <f t="shared" si="82"/>
        <v>210.79697513494784</v>
      </c>
      <c r="BQ160" s="80">
        <f t="shared" si="83"/>
        <v>177.60587789400657</v>
      </c>
      <c r="BR160" s="80">
        <f t="shared" si="84"/>
        <v>151.81551011543183</v>
      </c>
      <c r="BS160" s="80">
        <f t="shared" si="85"/>
        <v>131.80976345543746</v>
      </c>
      <c r="BT160" s="80">
        <f t="shared" si="86"/>
        <v>116.35121503046133</v>
      </c>
      <c r="BU160" s="80">
        <f t="shared" si="87"/>
        <v>104.39949746149702</v>
      </c>
      <c r="BV160" s="80">
        <f>IFERROR(VLOOKUP($H160,'1. Set Program Names'!$B$2:$D$15,3,0)*V160,"NA")</f>
        <v>1615.5308952832354</v>
      </c>
      <c r="BW160" s="80">
        <f>IFERROR(VLOOKUP($H160,'1. Set Program Names'!$B$2:$D$15,3,0)*W160,"NA")</f>
        <v>1339.8643701071453</v>
      </c>
      <c r="BX160" s="80">
        <f>IFERROR(VLOOKUP($H160,'1. Set Program Names'!$B$2:$D$15,3,0)*X160,"NA")</f>
        <v>1111.1066296049803</v>
      </c>
      <c r="BY160" s="80">
        <f>IFERROR(VLOOKUP($H160,'1. Set Program Names'!$B$2:$D$15,3,0)*Y160,"NA")</f>
        <v>925.22136812519489</v>
      </c>
      <c r="BZ160" s="80">
        <f>IFERROR(VLOOKUP($H160,'1. Set Program Names'!$B$2:$D$15,3,0)*Z160,"NA")</f>
        <v>775.64935441598675</v>
      </c>
      <c r="CA160" s="80">
        <f>IFERROR(VLOOKUP($H160,'1. Set Program Names'!$B$2:$D$15,3,0)*AA160,"NA")</f>
        <v>653.51926630246828</v>
      </c>
      <c r="CB160" s="80">
        <f>IFERROR(VLOOKUP($H160,'1. Set Program Names'!$B$2:$D$15,3,0)*AB160,"NA")</f>
        <v>558.62093057067682</v>
      </c>
      <c r="CC160" s="80">
        <f>IFERROR(VLOOKUP($H160,'1. Set Program Names'!$B$2:$D$15,3,0)*AC160,"NA")</f>
        <v>485.00770878938482</v>
      </c>
      <c r="CD160" s="80">
        <f>IFERROR(VLOOKUP($H160,'1. Set Program Names'!$B$2:$D$15,3,0)*AD160,"NA")</f>
        <v>428.1263749924222</v>
      </c>
      <c r="CE160" s="80">
        <f>IFERROR(VLOOKUP($H160,'1. Set Program Names'!$B$2:$D$15,3,0)*AE160,"NA")</f>
        <v>384.148789400434</v>
      </c>
    </row>
    <row r="161" spans="1:83" x14ac:dyDescent="0.25">
      <c r="A161" s="79" t="s">
        <v>87</v>
      </c>
      <c r="B161" s="79" t="s">
        <v>88</v>
      </c>
      <c r="C161" s="79" t="s">
        <v>89</v>
      </c>
      <c r="D161" s="79" t="s">
        <v>90</v>
      </c>
      <c r="E161" s="79" t="s">
        <v>91</v>
      </c>
      <c r="F161" s="79" t="s">
        <v>90</v>
      </c>
      <c r="G161" s="79" t="s">
        <v>92</v>
      </c>
      <c r="H161" s="79"/>
      <c r="I161" s="79" t="s">
        <v>112</v>
      </c>
      <c r="J161" s="79" t="s">
        <v>94</v>
      </c>
      <c r="K161" s="79" t="s">
        <v>108</v>
      </c>
      <c r="L161" s="79">
        <v>1330.8133333333301</v>
      </c>
      <c r="M161" s="79">
        <v>5.33311142126306E-2</v>
      </c>
      <c r="N161" s="79">
        <v>0.24737910980336</v>
      </c>
      <c r="O161" s="79">
        <v>8990.02</v>
      </c>
      <c r="P161" s="79">
        <v>8776.4394094329891</v>
      </c>
      <c r="Q161" s="79">
        <v>399.796367008147</v>
      </c>
      <c r="R161" s="79">
        <v>713.19672296706005</v>
      </c>
      <c r="S161" s="79">
        <v>2011.6258188035599</v>
      </c>
      <c r="T161" s="79">
        <v>20</v>
      </c>
      <c r="U161" s="79">
        <v>0.2</v>
      </c>
      <c r="V161" s="79">
        <f>tbl_Data_old[[#This Row],[2025 ]]*IFERROR(AVERAGEIFS('Participation Adjustment'!$C:$C,'Participation Adjustment'!$A:$A,$H161,'Participation Adjustment'!$B:$B,$I161),1)</f>
        <v>43162.274395269204</v>
      </c>
      <c r="W161" s="79">
        <f>tbl_Data_old[[#This Row],[2026 ]]*IFERROR(AVERAGEIFS('Participation Adjustment'!$C:$C,'Participation Adjustment'!$A:$A,$H161,'Participation Adjustment'!$B:$B,$I161),1)</f>
        <v>48036.7506687852</v>
      </c>
      <c r="X161" s="79">
        <f>tbl_Data_old[[#This Row],[2027 ]]*IFERROR(AVERAGEIFS('Participation Adjustment'!$C:$C,'Participation Adjustment'!$A:$A,$H161,'Participation Adjustment'!$B:$B,$I161),1)</f>
        <v>52534.4134002254</v>
      </c>
      <c r="Y161" s="79">
        <f>tbl_Data_old[[#This Row],[2028 ]]*IFERROR(AVERAGEIFS('Participation Adjustment'!$C:$C,'Participation Adjustment'!$A:$A,$H161,'Participation Adjustment'!$B:$B,$I161),1)</f>
        <v>56790.827747330601</v>
      </c>
      <c r="Z161" s="79">
        <f>tbl_Data_old[[#This Row],[2029 ]]*IFERROR(AVERAGEIFS('Participation Adjustment'!$C:$C,'Participation Adjustment'!$A:$A,$H161,'Participation Adjustment'!$B:$B,$I161),1)</f>
        <v>60846.145850127003</v>
      </c>
      <c r="AA161" s="79">
        <f>tbl_Data_old[[#This Row],[2030 ]]*IFERROR(AVERAGEIFS('Participation Adjustment'!$C:$C,'Participation Adjustment'!$A:$A,$H161,'Participation Adjustment'!$B:$B,$I161),1)</f>
        <v>64556.884487671501</v>
      </c>
      <c r="AB161" s="79">
        <f>tbl_Data_old[[#This Row],[2031 ]]*IFERROR(AVERAGEIFS('Participation Adjustment'!$C:$C,'Participation Adjustment'!$A:$A,$H161,'Participation Adjustment'!$B:$B,$I161),1)</f>
        <v>68430.750026729802</v>
      </c>
      <c r="AC161" s="79">
        <f>tbl_Data_old[[#This Row],[2032 ]]*IFERROR(AVERAGEIFS('Participation Adjustment'!$C:$C,'Participation Adjustment'!$A:$A,$H161,'Participation Adjustment'!$B:$B,$I161),1)</f>
        <v>72636.570852728502</v>
      </c>
      <c r="AD161" s="79">
        <f>tbl_Data_old[[#This Row],[2033 ]]*IFERROR(AVERAGEIFS('Participation Adjustment'!$C:$C,'Participation Adjustment'!$A:$A,$H161,'Participation Adjustment'!$B:$B,$I161),1)</f>
        <v>77229.513247823503</v>
      </c>
      <c r="AE161" s="79">
        <f>tbl_Data_old[[#This Row],[2034 ]]*IFERROR(AVERAGEIFS('Participation Adjustment'!$C:$C,'Participation Adjustment'!$A:$A,$H161,'Participation Adjustment'!$B:$B,$I161),1)</f>
        <v>82240.541300613899</v>
      </c>
      <c r="AF161" s="77" t="str">
        <f t="shared" si="77"/>
        <v>Residential</v>
      </c>
      <c r="AG161" s="77" t="str">
        <f>tbl_Data[[#This Row],[All_Meas_Name_Append]]</f>
        <v>Solar Thermal Water Heating System</v>
      </c>
      <c r="AH161" s="77">
        <f>AVERAGEIFS('3. Incentive Adjustment'!G:G,'3. Incentive Adjustment'!A:A,tbl_Data[[#This Row],[Trimmed Sector]],'3. Incentive Adjustment'!B:B,tbl_Data[[#This Row],[Trimmed Measure Name]])</f>
        <v>2.7736651842107431E-8</v>
      </c>
      <c r="AI161" s="77">
        <f>$AH161*tbl_Data[[#This Row],[2025 ]]</f>
        <v>1.1971769776150899E-3</v>
      </c>
      <c r="AJ161" s="77">
        <f>$AH161*tbl_Data[[#This Row],[2026 ]]</f>
        <v>1.3323786289262164E-3</v>
      </c>
      <c r="AK161" s="77">
        <f>$AH161*tbl_Data[[#This Row],[2027 ]]</f>
        <v>1.457128734211395E-3</v>
      </c>
      <c r="AL161" s="77">
        <f>$AH161*tbl_Data[[#This Row],[2028 ]]</f>
        <v>1.5751874170528031E-3</v>
      </c>
      <c r="AM161" s="77">
        <f>$AH161*tbl_Data[[#This Row],[2029 ]]</f>
        <v>1.6876683633790625E-3</v>
      </c>
      <c r="AN161" s="77">
        <f>$AH161*tbl_Data[[#This Row],[2030 ]]</f>
        <v>1.7905918290456904E-3</v>
      </c>
      <c r="AO161" s="77">
        <f>$AH161*tbl_Data[[#This Row],[2031 ]]</f>
        <v>1.8980398887856883E-3</v>
      </c>
      <c r="AP161" s="77">
        <f>$AH161*tbl_Data[[#This Row],[2032 ]]</f>
        <v>2.0146952767466988E-3</v>
      </c>
      <c r="AQ161" s="77">
        <f>$AH161*tbl_Data[[#This Row],[2033 ]]</f>
        <v>2.1420881208903042E-3</v>
      </c>
      <c r="AR161" s="77">
        <f>$AH161*tbl_Data[[#This Row],[2034 ]]</f>
        <v>2.2810772613615846E-3</v>
      </c>
      <c r="AS161" s="77">
        <f>SUM(tbl_Data[[#This Row],[Adjusted 2025]:[Adjusted 2034]])</f>
        <v>1.7376032498014532E-2</v>
      </c>
      <c r="AT161" s="80">
        <f>AVERAGEIFS('3. Incentive Adjustment'!F:F,'3. Incentive Adjustment'!A:A,tbl_Data[[#This Row],[Trimmed Sector]],'3. Incentive Adjustment'!B:B,tbl_Data[[#This Row],[Trimmed Measure Name]])</f>
        <v>0</v>
      </c>
      <c r="AU161" s="80">
        <f>IFERROR(VLOOKUP(tbl_Data[[#This Row],[All_Meas_Name_Append]],'IRA Tax Credits'!$A$3:$D$46,4,0),0)</f>
        <v>41666.666666666672</v>
      </c>
      <c r="AV161" s="81">
        <f>tbl_Data[[#This Row],[Adj. per unit Incentive ($)]]/tbl_Data[[#This Row],[kWh Savings]]*tbl_Data[[#This Row],[Sum of Annuals]]</f>
        <v>0</v>
      </c>
      <c r="AW161" s="81" t="str">
        <f>IFERROR(VLOOKUP(tbl_Data[[#This Row],[Column1]],'1. Set Program Names'!$B$2:$D$15,3,0)*tbl_Data[[#This Row],[Sum of Annuals]],"")</f>
        <v/>
      </c>
      <c r="AX161" s="81">
        <f>tbl_Data[[#This Row],[per unit IRA tax ($)]]/tbl_Data[[#This Row],[kWh Savings]]*tbl_Data[[#This Row],[Sum of Annuals]]</f>
        <v>0.54402923080918486</v>
      </c>
      <c r="AY161" s="81">
        <f>tbl_Data[[#This Row],[Avoided Costs ($/unit)]]/tbl_Data[[#This Row],[kWh Savings]]*tbl_Data[[#This Row],[Sum of Annuals]]</f>
        <v>9.3119967506736234E-3</v>
      </c>
      <c r="AZ161" s="81">
        <f>tbl_Data[[#This Row],[Lost Revenue ($/unit)]]/tbl_Data[[#This Row],[kWh Savings]]*tbl_Data[[#This Row],[Sum of Annuals]]</f>
        <v>2.6265197925110336E-2</v>
      </c>
      <c r="BA161" s="81">
        <f>tbl_Data[[#This Row],[Incremental Cost ($/unit)]]/tbl_Data[[#This Row],[kWh Savings]]*tbl_Data[[#This Row],[Sum of Annuals]]</f>
        <v>0.11738000797342051</v>
      </c>
      <c r="BB161" s="77">
        <f>ROUNDUP(tbl_Data[[#This Row],[Adjusted 2025]]/$L161,0)</f>
        <v>1</v>
      </c>
      <c r="BC161" s="77">
        <f>ROUNDUP(tbl_Data[[#This Row],[Adjusted 2026]]/$L161,0)</f>
        <v>1</v>
      </c>
      <c r="BD161" s="77">
        <f>ROUNDUP(tbl_Data[[#This Row],[Adjusted 2027]]/$L161,0)</f>
        <v>1</v>
      </c>
      <c r="BE161" s="77">
        <f>ROUNDUP(tbl_Data[[#This Row],[Adjusted 2028]]/$L161,0)</f>
        <v>1</v>
      </c>
      <c r="BF161" s="77">
        <f>ROUNDUP(tbl_Data[[#This Row],[Adjusted 2029]]/$L161,0)</f>
        <v>1</v>
      </c>
      <c r="BG161" s="77">
        <f>ROUNDUP(tbl_Data[[#This Row],[Adjusted 2030]]/$L161,0)</f>
        <v>1</v>
      </c>
      <c r="BH161" s="77">
        <f>ROUNDUP(tbl_Data[[#This Row],[Adjusted 2031]]/$L161,0)</f>
        <v>1</v>
      </c>
      <c r="BI161" s="77">
        <f>ROUNDUP(tbl_Data[[#This Row],[Adjusted 2032]]/$L161,0)</f>
        <v>1</v>
      </c>
      <c r="BJ161" s="77">
        <f>ROUNDUP(tbl_Data[[#This Row],[Adjusted 2033]]/$L161,0)</f>
        <v>1</v>
      </c>
      <c r="BK161" s="77">
        <f>ROUNDUP(tbl_Data[[#This Row],[Adjusted 2034]]/$L161,0)</f>
        <v>1</v>
      </c>
      <c r="BL161" s="80">
        <f t="shared" si="78"/>
        <v>0</v>
      </c>
      <c r="BM161" s="80">
        <f t="shared" si="79"/>
        <v>0</v>
      </c>
      <c r="BN161" s="80">
        <f t="shared" si="80"/>
        <v>0</v>
      </c>
      <c r="BO161" s="80">
        <f t="shared" si="81"/>
        <v>0</v>
      </c>
      <c r="BP161" s="80">
        <f t="shared" si="82"/>
        <v>0</v>
      </c>
      <c r="BQ161" s="80">
        <f t="shared" si="83"/>
        <v>0</v>
      </c>
      <c r="BR161" s="80">
        <f t="shared" si="84"/>
        <v>0</v>
      </c>
      <c r="BS161" s="80">
        <f t="shared" si="85"/>
        <v>0</v>
      </c>
      <c r="BT161" s="80">
        <f t="shared" si="86"/>
        <v>0</v>
      </c>
      <c r="BU161" s="80">
        <f t="shared" si="87"/>
        <v>0</v>
      </c>
      <c r="BV161" s="80" t="str">
        <f>IFERROR(VLOOKUP($H161,'1. Set Program Names'!$B$2:$D$15,3,0)*V161,"NA")</f>
        <v>NA</v>
      </c>
      <c r="BW161" s="80" t="str">
        <f>IFERROR(VLOOKUP($H161,'1. Set Program Names'!$B$2:$D$15,3,0)*W161,"NA")</f>
        <v>NA</v>
      </c>
      <c r="BX161" s="80" t="str">
        <f>IFERROR(VLOOKUP($H161,'1. Set Program Names'!$B$2:$D$15,3,0)*X161,"NA")</f>
        <v>NA</v>
      </c>
      <c r="BY161" s="80" t="str">
        <f>IFERROR(VLOOKUP($H161,'1. Set Program Names'!$B$2:$D$15,3,0)*Y161,"NA")</f>
        <v>NA</v>
      </c>
      <c r="BZ161" s="80" t="str">
        <f>IFERROR(VLOOKUP($H161,'1. Set Program Names'!$B$2:$D$15,3,0)*Z161,"NA")</f>
        <v>NA</v>
      </c>
      <c r="CA161" s="80" t="str">
        <f>IFERROR(VLOOKUP($H161,'1. Set Program Names'!$B$2:$D$15,3,0)*AA161,"NA")</f>
        <v>NA</v>
      </c>
      <c r="CB161" s="80" t="str">
        <f>IFERROR(VLOOKUP($H161,'1. Set Program Names'!$B$2:$D$15,3,0)*AB161,"NA")</f>
        <v>NA</v>
      </c>
      <c r="CC161" s="80" t="str">
        <f>IFERROR(VLOOKUP($H161,'1. Set Program Names'!$B$2:$D$15,3,0)*AC161,"NA")</f>
        <v>NA</v>
      </c>
      <c r="CD161" s="80" t="str">
        <f>IFERROR(VLOOKUP($H161,'1. Set Program Names'!$B$2:$D$15,3,0)*AD161,"NA")</f>
        <v>NA</v>
      </c>
      <c r="CE161" s="80" t="str">
        <f>IFERROR(VLOOKUP($H161,'1. Set Program Names'!$B$2:$D$15,3,0)*AE161,"NA")</f>
        <v>NA</v>
      </c>
    </row>
    <row r="162" spans="1:83" x14ac:dyDescent="0.25">
      <c r="A162" s="79" t="s">
        <v>113</v>
      </c>
      <c r="B162" s="79" t="s">
        <v>88</v>
      </c>
      <c r="C162" s="79" t="s">
        <v>89</v>
      </c>
      <c r="D162" s="79" t="s">
        <v>90</v>
      </c>
      <c r="E162" s="79" t="s">
        <v>91</v>
      </c>
      <c r="F162" s="79" t="s">
        <v>90</v>
      </c>
      <c r="G162" s="79" t="s">
        <v>92</v>
      </c>
      <c r="H162" s="79" t="s">
        <v>9</v>
      </c>
      <c r="I162" s="79" t="s">
        <v>93</v>
      </c>
      <c r="J162" s="79" t="s">
        <v>94</v>
      </c>
      <c r="K162" s="79" t="s">
        <v>95</v>
      </c>
      <c r="L162" s="79">
        <v>1200.2266666666601</v>
      </c>
      <c r="M162" s="79">
        <v>4.8097974252120097E-2</v>
      </c>
      <c r="N162" s="79">
        <v>0.22310492157346501</v>
      </c>
      <c r="O162" s="79">
        <v>1210</v>
      </c>
      <c r="P162" s="79">
        <v>933.85922631496703</v>
      </c>
      <c r="Q162" s="79">
        <v>360.56616574297698</v>
      </c>
      <c r="R162" s="79">
        <v>571.53970184074296</v>
      </c>
      <c r="S162" s="79">
        <v>1535.35818196214</v>
      </c>
      <c r="T162" s="79">
        <v>15</v>
      </c>
      <c r="U162" s="79">
        <v>0.2</v>
      </c>
      <c r="V162" s="79">
        <f>tbl_Data_old[[#This Row],[2025 ]]*IFERROR(AVERAGEIFS('Participation Adjustment'!$C:$C,'Participation Adjustment'!$A:$A,$H162,'Participation Adjustment'!$B:$B,$I162),1)</f>
        <v>14452.473660362301</v>
      </c>
      <c r="W162" s="79">
        <f>tbl_Data_old[[#This Row],[2026 ]]*IFERROR(AVERAGEIFS('Participation Adjustment'!$C:$C,'Participation Adjustment'!$A:$A,$H162,'Participation Adjustment'!$B:$B,$I162),1)</f>
        <v>29807.701351419299</v>
      </c>
      <c r="X162" s="79">
        <f>tbl_Data_old[[#This Row],[2027 ]]*IFERROR(AVERAGEIFS('Participation Adjustment'!$C:$C,'Participation Adjustment'!$A:$A,$H162,'Participation Adjustment'!$B:$B,$I162),1)</f>
        <v>46059.200210935</v>
      </c>
      <c r="Y162" s="79">
        <f>tbl_Data_old[[#This Row],[2028 ]]*IFERROR(AVERAGEIFS('Participation Adjustment'!$C:$C,'Participation Adjustment'!$A:$A,$H162,'Participation Adjustment'!$B:$B,$I162),1)</f>
        <v>63227.667519509603</v>
      </c>
      <c r="Z162" s="79">
        <f>tbl_Data_old[[#This Row],[2029 ]]*IFERROR(AVERAGEIFS('Participation Adjustment'!$C:$C,'Participation Adjustment'!$A:$A,$H162,'Participation Adjustment'!$B:$B,$I162),1)</f>
        <v>81332.810168094395</v>
      </c>
      <c r="AA162" s="79">
        <f>tbl_Data_old[[#This Row],[2030 ]]*IFERROR(AVERAGEIFS('Participation Adjustment'!$C:$C,'Participation Adjustment'!$A:$A,$H162,'Participation Adjustment'!$B:$B,$I162),1)</f>
        <v>100341.604462356</v>
      </c>
      <c r="AB162" s="79">
        <f>tbl_Data_old[[#This Row],[2031 ]]*IFERROR(AVERAGEIFS('Participation Adjustment'!$C:$C,'Participation Adjustment'!$A:$A,$H162,'Participation Adjustment'!$B:$B,$I162),1)</f>
        <v>120361.822897625</v>
      </c>
      <c r="AC162" s="79">
        <f>tbl_Data_old[[#This Row],[2032 ]]*IFERROR(AVERAGEIFS('Participation Adjustment'!$C:$C,'Participation Adjustment'!$A:$A,$H162,'Participation Adjustment'!$B:$B,$I162),1)</f>
        <v>141541.64958640499</v>
      </c>
      <c r="AD162" s="79">
        <f>tbl_Data_old[[#This Row],[2033 ]]*IFERROR(AVERAGEIFS('Participation Adjustment'!$C:$C,'Participation Adjustment'!$A:$A,$H162,'Participation Adjustment'!$B:$B,$I162),1)</f>
        <v>164038.816493347</v>
      </c>
      <c r="AE162" s="79">
        <f>tbl_Data_old[[#This Row],[2034 ]]*IFERROR(AVERAGEIFS('Participation Adjustment'!$C:$C,'Participation Adjustment'!$A:$A,$H162,'Participation Adjustment'!$B:$B,$I162),1)</f>
        <v>188015.71364460699</v>
      </c>
      <c r="AF162" s="77" t="str">
        <f t="shared" si="77"/>
        <v>Residential</v>
      </c>
      <c r="AG162" s="77" t="str">
        <f>tbl_Data[[#This Row],[All_Meas_Name_Append]]</f>
        <v>120v Heat Pump Water Heater 50 Gallons</v>
      </c>
      <c r="AH162" s="77">
        <f>AVERAGEIFS('3. Incentive Adjustment'!G:G,'3. Incentive Adjustment'!A:A,tbl_Data[[#This Row],[Trimmed Sector]],'3. Incentive Adjustment'!B:B,tbl_Data[[#This Row],[Trimmed Measure Name]])</f>
        <v>0.38528347196238832</v>
      </c>
      <c r="AI162" s="77">
        <f>$AH162*tbl_Data[[#This Row],[2025 ]]</f>
        <v>5568.2992303093542</v>
      </c>
      <c r="AJ162" s="77">
        <f>$AH162*tbl_Data[[#This Row],[2026 ]]</f>
        <v>11484.414667892803</v>
      </c>
      <c r="AK162" s="77">
        <f>$AH162*tbl_Data[[#This Row],[2027 ]]</f>
        <v>17745.848573079806</v>
      </c>
      <c r="AL162" s="77">
        <f>$AH162*tbl_Data[[#This Row],[2028 ]]</f>
        <v>24360.575266000189</v>
      </c>
      <c r="AM162" s="77">
        <f>$AH162*tbl_Data[[#This Row],[2029 ]]</f>
        <v>31336.187486021248</v>
      </c>
      <c r="AN162" s="77">
        <f>$AH162*tbl_Data[[#This Row],[2030 ]]</f>
        <v>38659.961749533199</v>
      </c>
      <c r="AO162" s="77">
        <f>$AH162*tbl_Data[[#This Row],[2031 ]]</f>
        <v>46373.421017719047</v>
      </c>
      <c r="AP162" s="77">
        <f>$AH162*tbl_Data[[#This Row],[2032 ]]</f>
        <v>54533.65817993386</v>
      </c>
      <c r="AQ162" s="77">
        <f>$AH162*tbl_Data[[#This Row],[2033 ]]</f>
        <v>63201.44475515782</v>
      </c>
      <c r="AR162" s="77">
        <f>$AH162*tbl_Data[[#This Row],[2034 ]]</f>
        <v>72439.346936480375</v>
      </c>
      <c r="AS162" s="77">
        <f>SUM(tbl_Data[[#This Row],[Adjusted 2025]:[Adjusted 2034]])</f>
        <v>365703.1578621277</v>
      </c>
      <c r="AT162" s="80">
        <f>AVERAGEIFS('3. Incentive Adjustment'!F:F,'3. Incentive Adjustment'!A:A,tbl_Data[[#This Row],[Trimmed Sector]],'3. Incentive Adjustment'!B:B,tbl_Data[[#This Row],[Trimmed Measure Name]])</f>
        <v>500</v>
      </c>
      <c r="AU162" s="80">
        <f>IFERROR(VLOOKUP(tbl_Data[[#This Row],[All_Meas_Name_Append]],'IRA Tax Credits'!$A$3:$D$46,4,0),0)</f>
        <v>1666.6666666666667</v>
      </c>
      <c r="AV162" s="81">
        <f>tbl_Data[[#This Row],[Adj. per unit Incentive ($)]]/tbl_Data[[#This Row],[kWh Savings]]*tbl_Data[[#This Row],[Sum of Annuals]]</f>
        <v>152347.53901851721</v>
      </c>
      <c r="AW162" s="81">
        <f>IFERROR(VLOOKUP(tbl_Data[[#This Row],[Column1]],'1. Set Program Names'!$B$2:$D$15,3,0)*tbl_Data[[#This Row],[Sum of Annuals]],"")</f>
        <v>164794.10401285597</v>
      </c>
      <c r="AX162" s="81">
        <f>tbl_Data[[#This Row],[per unit IRA tax ($)]]/tbl_Data[[#This Row],[kWh Savings]]*tbl_Data[[#This Row],[Sum of Annuals]]</f>
        <v>507825.13006172405</v>
      </c>
      <c r="AY162" s="81">
        <f>tbl_Data[[#This Row],[Avoided Costs ($/unit)]]/tbl_Data[[#This Row],[kWh Savings]]*tbl_Data[[#This Row],[Sum of Annuals]]</f>
        <v>174145.33405362855</v>
      </c>
      <c r="AZ162" s="81">
        <f>tbl_Data[[#This Row],[Lost Revenue ($/unit)]]/tbl_Data[[#This Row],[kWh Savings]]*tbl_Data[[#This Row],[Sum of Annuals]]</f>
        <v>467816.08106775355</v>
      </c>
      <c r="BA162" s="81">
        <f>tbl_Data[[#This Row],[Incremental Cost ($/unit)]]/tbl_Data[[#This Row],[kWh Savings]]*tbl_Data[[#This Row],[Sum of Annuals]]</f>
        <v>368681.04442481161</v>
      </c>
      <c r="BB162" s="77">
        <f>ROUNDUP(tbl_Data[[#This Row],[Adjusted 2025]]/$L162,0)</f>
        <v>5</v>
      </c>
      <c r="BC162" s="77">
        <f>ROUNDUP(tbl_Data[[#This Row],[Adjusted 2026]]/$L162,0)</f>
        <v>10</v>
      </c>
      <c r="BD162" s="77">
        <f>ROUNDUP(tbl_Data[[#This Row],[Adjusted 2027]]/$L162,0)</f>
        <v>15</v>
      </c>
      <c r="BE162" s="77">
        <f>ROUNDUP(tbl_Data[[#This Row],[Adjusted 2028]]/$L162,0)</f>
        <v>21</v>
      </c>
      <c r="BF162" s="77">
        <f>ROUNDUP(tbl_Data[[#This Row],[Adjusted 2029]]/$L162,0)</f>
        <v>27</v>
      </c>
      <c r="BG162" s="77">
        <f>ROUNDUP(tbl_Data[[#This Row],[Adjusted 2030]]/$L162,0)</f>
        <v>33</v>
      </c>
      <c r="BH162" s="77">
        <f>ROUNDUP(tbl_Data[[#This Row],[Adjusted 2031]]/$L162,0)</f>
        <v>39</v>
      </c>
      <c r="BI162" s="77">
        <f>ROUNDUP(tbl_Data[[#This Row],[Adjusted 2032]]/$L162,0)</f>
        <v>46</v>
      </c>
      <c r="BJ162" s="77">
        <f>ROUNDUP(tbl_Data[[#This Row],[Adjusted 2033]]/$L162,0)</f>
        <v>53</v>
      </c>
      <c r="BK162" s="77">
        <f>ROUNDUP(tbl_Data[[#This Row],[Adjusted 2034]]/$L162,0)</f>
        <v>61</v>
      </c>
      <c r="BL162" s="80">
        <f t="shared" si="78"/>
        <v>6020.726776759825</v>
      </c>
      <c r="BM162" s="80">
        <f t="shared" si="79"/>
        <v>12417.530029641399</v>
      </c>
      <c r="BN162" s="80">
        <f t="shared" si="80"/>
        <v>19187.709076175299</v>
      </c>
      <c r="BO162" s="80">
        <f t="shared" si="81"/>
        <v>26339.88615463327</v>
      </c>
      <c r="BP162" s="80">
        <f t="shared" si="82"/>
        <v>33882.27091886595</v>
      </c>
      <c r="BQ162" s="80">
        <f t="shared" si="83"/>
        <v>41801.106094830648</v>
      </c>
      <c r="BR162" s="80">
        <f t="shared" si="84"/>
        <v>50141.288408422428</v>
      </c>
      <c r="BS162" s="80">
        <f t="shared" si="85"/>
        <v>58964.549579415179</v>
      </c>
      <c r="BT162" s="80">
        <f t="shared" si="86"/>
        <v>68336.598848001435</v>
      </c>
      <c r="BU162" s="80">
        <f t="shared" si="87"/>
        <v>78325.085946796724</v>
      </c>
      <c r="BV162" s="80">
        <f>IFERROR(VLOOKUP($H162,'1. Set Program Names'!$B$2:$D$15,3,0)*V162,"NA")</f>
        <v>6512.6111066470885</v>
      </c>
      <c r="BW162" s="80">
        <f>IFERROR(VLOOKUP($H162,'1. Set Program Names'!$B$2:$D$15,3,0)*W162,"NA")</f>
        <v>13432.023572358223</v>
      </c>
      <c r="BX162" s="80">
        <f>IFERROR(VLOOKUP($H162,'1. Set Program Names'!$B$2:$D$15,3,0)*X162,"NA")</f>
        <v>20755.316072964739</v>
      </c>
      <c r="BY162" s="80">
        <f>IFERROR(VLOOKUP($H162,'1. Set Program Names'!$B$2:$D$15,3,0)*Y162,"NA")</f>
        <v>28491.81527064793</v>
      </c>
      <c r="BZ162" s="80">
        <f>IFERROR(VLOOKUP($H162,'1. Set Program Names'!$B$2:$D$15,3,0)*Z162,"NA")</f>
        <v>36650.401535640805</v>
      </c>
      <c r="CA162" s="80">
        <f>IFERROR(VLOOKUP($H162,'1. Set Program Names'!$B$2:$D$15,3,0)*AA162,"NA")</f>
        <v>45216.193645285421</v>
      </c>
      <c r="CB162" s="80">
        <f>IFERROR(VLOOKUP($H162,'1. Set Program Names'!$B$2:$D$15,3,0)*AB162,"NA")</f>
        <v>54237.756320512955</v>
      </c>
      <c r="CC162" s="80">
        <f>IFERROR(VLOOKUP($H162,'1. Set Program Names'!$B$2:$D$15,3,0)*AC162,"NA")</f>
        <v>63781.864669834191</v>
      </c>
      <c r="CD162" s="80">
        <f>IFERROR(VLOOKUP($H162,'1. Set Program Names'!$B$2:$D$15,3,0)*AD162,"NA")</f>
        <v>73919.596279619451</v>
      </c>
      <c r="CE162" s="80">
        <f>IFERROR(VLOOKUP($H162,'1. Set Program Names'!$B$2:$D$15,3,0)*AE162,"NA")</f>
        <v>84724.127763976867</v>
      </c>
    </row>
    <row r="163" spans="1:83" x14ac:dyDescent="0.25">
      <c r="A163" s="79" t="s">
        <v>113</v>
      </c>
      <c r="B163" s="79" t="s">
        <v>88</v>
      </c>
      <c r="C163" s="79" t="s">
        <v>89</v>
      </c>
      <c r="D163" s="79" t="s">
        <v>90</v>
      </c>
      <c r="E163" s="79" t="s">
        <v>91</v>
      </c>
      <c r="F163" s="79" t="s">
        <v>90</v>
      </c>
      <c r="G163" s="79" t="s">
        <v>92</v>
      </c>
      <c r="H163" s="79" t="s">
        <v>9</v>
      </c>
      <c r="I163" s="79" t="s">
        <v>96</v>
      </c>
      <c r="J163" s="79" t="s">
        <v>97</v>
      </c>
      <c r="K163" s="79" t="s">
        <v>98</v>
      </c>
      <c r="L163" s="79">
        <v>5868.07</v>
      </c>
      <c r="M163" s="79">
        <v>0.20813520080661799</v>
      </c>
      <c r="N163" s="79">
        <v>1.1349578069705</v>
      </c>
      <c r="O163" s="79">
        <v>1935.1666666666599</v>
      </c>
      <c r="P163" s="79">
        <v>513.45064263862798</v>
      </c>
      <c r="Q163" s="79">
        <v>1762.8565994851499</v>
      </c>
      <c r="R163" s="79">
        <v>3388.0400735263802</v>
      </c>
      <c r="S163" s="79">
        <v>7811.7411984889604</v>
      </c>
      <c r="T163" s="79">
        <v>16</v>
      </c>
      <c r="U163" s="79">
        <v>0.2</v>
      </c>
      <c r="V163" s="79">
        <f>tbl_Data_old[[#This Row],[2025 ]]*IFERROR(AVERAGEIFS('Participation Adjustment'!$C:$C,'Participation Adjustment'!$A:$A,$H163,'Participation Adjustment'!$B:$B,$I163),1)</f>
        <v>90313.784882227395</v>
      </c>
      <c r="W163" s="79">
        <f>tbl_Data_old[[#This Row],[2026 ]]*IFERROR(AVERAGEIFS('Participation Adjustment'!$C:$C,'Participation Adjustment'!$A:$A,$H163,'Participation Adjustment'!$B:$B,$I163),1)</f>
        <v>185980.0697733</v>
      </c>
      <c r="X163" s="79">
        <f>tbl_Data_old[[#This Row],[2027 ]]*IFERROR(AVERAGEIFS('Participation Adjustment'!$C:$C,'Participation Adjustment'!$A:$A,$H163,'Participation Adjustment'!$B:$B,$I163),1)</f>
        <v>286918.88847921201</v>
      </c>
      <c r="Y163" s="79">
        <f>tbl_Data_old[[#This Row],[2028 ]]*IFERROR(AVERAGEIFS('Participation Adjustment'!$C:$C,'Participation Adjustment'!$A:$A,$H163,'Participation Adjustment'!$B:$B,$I163),1)</f>
        <v>393219.17297837097</v>
      </c>
      <c r="Z163" s="79">
        <f>tbl_Data_old[[#This Row],[2029 ]]*IFERROR(AVERAGEIFS('Participation Adjustment'!$C:$C,'Participation Adjustment'!$A:$A,$H163,'Participation Adjustment'!$B:$B,$I163),1)</f>
        <v>504963.32559997699</v>
      </c>
      <c r="AA163" s="79">
        <f>tbl_Data_old[[#This Row],[2030 ]]*IFERROR(AVERAGEIFS('Participation Adjustment'!$C:$C,'Participation Adjustment'!$A:$A,$H163,'Participation Adjustment'!$B:$B,$I163),1)</f>
        <v>621909.30965675297</v>
      </c>
      <c r="AB163" s="79">
        <f>tbl_Data_old[[#This Row],[2031 ]]*IFERROR(AVERAGEIFS('Participation Adjustment'!$C:$C,'Participation Adjustment'!$A:$A,$H163,'Participation Adjustment'!$B:$B,$I163),1)</f>
        <v>744681.56604193302</v>
      </c>
      <c r="AC163" s="79">
        <f>tbl_Data_old[[#This Row],[2032 ]]*IFERROR(AVERAGEIFS('Participation Adjustment'!$C:$C,'Participation Adjustment'!$A:$A,$H163,'Participation Adjustment'!$B:$B,$I163),1)</f>
        <v>874145.88182571402</v>
      </c>
      <c r="AD163" s="79">
        <f>tbl_Data_old[[#This Row],[2033 ]]*IFERROR(AVERAGEIFS('Participation Adjustment'!$C:$C,'Participation Adjustment'!$A:$A,$H163,'Participation Adjustment'!$B:$B,$I163),1)</f>
        <v>1011217.68554173</v>
      </c>
      <c r="AE163" s="79">
        <f>tbl_Data_old[[#This Row],[2034 ]]*IFERROR(AVERAGEIFS('Participation Adjustment'!$C:$C,'Participation Adjustment'!$A:$A,$H163,'Participation Adjustment'!$B:$B,$I163),1)</f>
        <v>1156831.27582545</v>
      </c>
      <c r="AF163" s="77" t="str">
        <f t="shared" si="77"/>
        <v>Residential</v>
      </c>
      <c r="AG163" s="77" t="str">
        <f>tbl_Data[[#This Row],[All_Meas_Name_Append]]</f>
        <v>ASHP - CEE Tier 2: 16.8 SEER/16 SEER2; 9.0 HSPF (from elec resistance)</v>
      </c>
      <c r="AH163" s="77">
        <f>AVERAGEIFS('3. Incentive Adjustment'!G:G,'3. Incentive Adjustment'!A:A,tbl_Data[[#This Row],[Trimmed Sector]],'3. Incentive Adjustment'!B:B,tbl_Data[[#This Row],[Trimmed Measure Name]])</f>
        <v>0.9303958662075158</v>
      </c>
      <c r="AI163" s="77">
        <f>$AH163*tbl_Data[[#This Row],[2025 ]]</f>
        <v>84027.572115979201</v>
      </c>
      <c r="AJ163" s="77">
        <f>$AH163*tbl_Data[[#This Row],[2026 ]]</f>
        <v>173035.08811406369</v>
      </c>
      <c r="AK163" s="77">
        <f>$AH163*tbl_Data[[#This Row],[2027 ]]</f>
        <v>266948.14777791407</v>
      </c>
      <c r="AL163" s="77">
        <f>$AH163*tbl_Data[[#This Row],[2028 ]]</f>
        <v>365849.49305261445</v>
      </c>
      <c r="AM163" s="77">
        <f>$AH163*tbl_Data[[#This Row],[2029 ]]</f>
        <v>469815.79072461842</v>
      </c>
      <c r="AN163" s="77">
        <f>$AH163*tbl_Data[[#This Row],[2030 ]]</f>
        <v>578621.85086061282</v>
      </c>
      <c r="AO163" s="77">
        <f>$AH163*tbl_Data[[#This Row],[2031 ]]</f>
        <v>692848.65068635368</v>
      </c>
      <c r="AP163" s="77">
        <f>$AH163*tbl_Data[[#This Row],[2032 ]]</f>
        <v>813301.71491296799</v>
      </c>
      <c r="AQ163" s="77">
        <f>$AH163*tbl_Data[[#This Row],[2033 ]]</f>
        <v>940832.75446395727</v>
      </c>
      <c r="AR163" s="77">
        <f>$AH163*tbl_Data[[#This Row],[2034 ]]</f>
        <v>1076311.0369275652</v>
      </c>
      <c r="AS163" s="77">
        <f>SUM(tbl_Data[[#This Row],[Adjusted 2025]:[Adjusted 2034]])</f>
        <v>5461592.0996366469</v>
      </c>
      <c r="AT163" s="80">
        <f>AVERAGEIFS('3. Incentive Adjustment'!F:F,'3. Incentive Adjustment'!A:A,tbl_Data[[#This Row],[Trimmed Sector]],'3. Incentive Adjustment'!B:B,tbl_Data[[#This Row],[Trimmed Measure Name]])</f>
        <v>353</v>
      </c>
      <c r="AU163" s="80">
        <f>IFERROR(VLOOKUP(tbl_Data[[#This Row],[All_Meas_Name_Append]],'IRA Tax Credits'!$A$3:$D$46,4,0),0)</f>
        <v>0</v>
      </c>
      <c r="AV163" s="81">
        <f>tbl_Data[[#This Row],[Adj. per unit Incentive ($)]]/tbl_Data[[#This Row],[kWh Savings]]*tbl_Data[[#This Row],[Sum of Annuals]]</f>
        <v>328547.88902854541</v>
      </c>
      <c r="AW163" s="81">
        <f>IFERROR(VLOOKUP(tbl_Data[[#This Row],[Column1]],'1. Set Program Names'!$B$2:$D$15,3,0)*tbl_Data[[#This Row],[Sum of Annuals]],"")</f>
        <v>2461116.7751595788</v>
      </c>
      <c r="AX163" s="81">
        <f>tbl_Data[[#This Row],[per unit IRA tax ($)]]/tbl_Data[[#This Row],[kWh Savings]]*tbl_Data[[#This Row],[Sum of Annuals]]</f>
        <v>0</v>
      </c>
      <c r="AY163" s="81">
        <f>tbl_Data[[#This Row],[Avoided Costs ($/unit)]]/tbl_Data[[#This Row],[kWh Savings]]*tbl_Data[[#This Row],[Sum of Annuals]]</f>
        <v>3153352.4478787817</v>
      </c>
      <c r="AZ163" s="81">
        <f>tbl_Data[[#This Row],[Lost Revenue ($/unit)]]/tbl_Data[[#This Row],[kWh Savings]]*tbl_Data[[#This Row],[Sum of Annuals]]</f>
        <v>7270626.2900874428</v>
      </c>
      <c r="BA163" s="81">
        <f>tbl_Data[[#This Row],[Incremental Cost ($/unit)]]/tbl_Data[[#This Row],[kWh Savings]]*tbl_Data[[#This Row],[Sum of Annuals]]</f>
        <v>1801118.7627527986</v>
      </c>
      <c r="BB163" s="77">
        <f>ROUNDUP(tbl_Data[[#This Row],[Adjusted 2025]]/$L163,0)</f>
        <v>15</v>
      </c>
      <c r="BC163" s="77">
        <f>ROUNDUP(tbl_Data[[#This Row],[Adjusted 2026]]/$L163,0)</f>
        <v>30</v>
      </c>
      <c r="BD163" s="77">
        <f>ROUNDUP(tbl_Data[[#This Row],[Adjusted 2027]]/$L163,0)</f>
        <v>46</v>
      </c>
      <c r="BE163" s="77">
        <f>ROUNDUP(tbl_Data[[#This Row],[Adjusted 2028]]/$L163,0)</f>
        <v>63</v>
      </c>
      <c r="BF163" s="77">
        <f>ROUNDUP(tbl_Data[[#This Row],[Adjusted 2029]]/$L163,0)</f>
        <v>81</v>
      </c>
      <c r="BG163" s="77">
        <f>ROUNDUP(tbl_Data[[#This Row],[Adjusted 2030]]/$L163,0)</f>
        <v>99</v>
      </c>
      <c r="BH163" s="77">
        <f>ROUNDUP(tbl_Data[[#This Row],[Adjusted 2031]]/$L163,0)</f>
        <v>119</v>
      </c>
      <c r="BI163" s="77">
        <f>ROUNDUP(tbl_Data[[#This Row],[Adjusted 2032]]/$L163,0)</f>
        <v>139</v>
      </c>
      <c r="BJ163" s="77">
        <f>ROUNDUP(tbl_Data[[#This Row],[Adjusted 2033]]/$L163,0)</f>
        <v>161</v>
      </c>
      <c r="BK163" s="77">
        <f>ROUNDUP(tbl_Data[[#This Row],[Adjusted 2034]]/$L163,0)</f>
        <v>184</v>
      </c>
      <c r="BL163" s="80">
        <f t="shared" si="78"/>
        <v>5432.9219084684182</v>
      </c>
      <c r="BM163" s="80">
        <f t="shared" si="79"/>
        <v>11187.829155067153</v>
      </c>
      <c r="BN163" s="80">
        <f t="shared" si="80"/>
        <v>17259.911288236479</v>
      </c>
      <c r="BO163" s="80">
        <f t="shared" si="81"/>
        <v>23654.518105844847</v>
      </c>
      <c r="BP163" s="80">
        <f t="shared" si="82"/>
        <v>30376.60660775892</v>
      </c>
      <c r="BQ163" s="80">
        <f t="shared" si="83"/>
        <v>37411.616819300689</v>
      </c>
      <c r="BR163" s="80">
        <f t="shared" si="84"/>
        <v>44797.112647395545</v>
      </c>
      <c r="BS163" s="80">
        <f t="shared" si="85"/>
        <v>52585.176435263566</v>
      </c>
      <c r="BT163" s="80">
        <f t="shared" si="86"/>
        <v>60830.876761223146</v>
      </c>
      <c r="BU163" s="80">
        <f t="shared" si="87"/>
        <v>69590.41735466411</v>
      </c>
      <c r="BV163" s="80">
        <f>IFERROR(VLOOKUP($H163,'1. Set Program Names'!$B$2:$D$15,3,0)*V163,"NA")</f>
        <v>40697.431618262177</v>
      </c>
      <c r="BW163" s="80">
        <f>IFERROR(VLOOKUP($H163,'1. Set Program Names'!$B$2:$D$15,3,0)*W163,"NA")</f>
        <v>83806.820651228976</v>
      </c>
      <c r="BX163" s="80">
        <f>IFERROR(VLOOKUP($H163,'1. Set Program Names'!$B$2:$D$15,3,0)*X163,"NA")</f>
        <v>129292.13252547875</v>
      </c>
      <c r="BY163" s="80">
        <f>IFERROR(VLOOKUP($H163,'1. Set Program Names'!$B$2:$D$15,3,0)*Y163,"NA")</f>
        <v>177193.44199941785</v>
      </c>
      <c r="BZ163" s="80">
        <f>IFERROR(VLOOKUP($H163,'1. Set Program Names'!$B$2:$D$15,3,0)*Z163,"NA")</f>
        <v>227547.88142401772</v>
      </c>
      <c r="CA163" s="80">
        <f>IFERROR(VLOOKUP($H163,'1. Set Program Names'!$B$2:$D$15,3,0)*AA163,"NA")</f>
        <v>280246.38360048458</v>
      </c>
      <c r="CB163" s="80">
        <f>IFERROR(VLOOKUP($H163,'1. Set Program Names'!$B$2:$D$15,3,0)*AB163,"NA")</f>
        <v>335570.33570116624</v>
      </c>
      <c r="CC163" s="80">
        <f>IFERROR(VLOOKUP($H163,'1. Set Program Names'!$B$2:$D$15,3,0)*AC163,"NA")</f>
        <v>393909.88093765842</v>
      </c>
      <c r="CD163" s="80">
        <f>IFERROR(VLOOKUP($H163,'1. Set Program Names'!$B$2:$D$15,3,0)*AD163,"NA")</f>
        <v>455677.53208636132</v>
      </c>
      <c r="CE163" s="80">
        <f>IFERROR(VLOOKUP($H163,'1. Set Program Names'!$B$2:$D$15,3,0)*AE163,"NA")</f>
        <v>521294.30521782953</v>
      </c>
    </row>
    <row r="164" spans="1:83" x14ac:dyDescent="0.25">
      <c r="A164" s="79" t="s">
        <v>113</v>
      </c>
      <c r="B164" s="79" t="s">
        <v>88</v>
      </c>
      <c r="C164" s="79" t="s">
        <v>89</v>
      </c>
      <c r="D164" s="79" t="s">
        <v>90</v>
      </c>
      <c r="E164" s="79" t="s">
        <v>91</v>
      </c>
      <c r="F164" s="79" t="s">
        <v>90</v>
      </c>
      <c r="G164" s="79" t="s">
        <v>92</v>
      </c>
      <c r="H164" s="79" t="s">
        <v>9</v>
      </c>
      <c r="I164" s="79" t="s">
        <v>99</v>
      </c>
      <c r="J164" s="79" t="s">
        <v>97</v>
      </c>
      <c r="K164" s="79" t="s">
        <v>98</v>
      </c>
      <c r="L164" s="79">
        <v>253.96999999999801</v>
      </c>
      <c r="M164" s="79">
        <v>0.107126245482503</v>
      </c>
      <c r="N164" s="79">
        <v>1.33192706841354E-2</v>
      </c>
      <c r="O164" s="79">
        <v>874.99999999999898</v>
      </c>
      <c r="P164" s="79">
        <v>813.468148399999</v>
      </c>
      <c r="Q164" s="79">
        <v>76.296412716828996</v>
      </c>
      <c r="R164" s="79">
        <v>185.54516688855901</v>
      </c>
      <c r="S164" s="79">
        <v>338.09206641710699</v>
      </c>
      <c r="T164" s="79">
        <v>16</v>
      </c>
      <c r="U164" s="79">
        <v>0.19999999999999901</v>
      </c>
      <c r="V164" s="79">
        <f>tbl_Data_old[[#This Row],[2025 ]]*IFERROR(AVERAGEIFS('Participation Adjustment'!$C:$C,'Participation Adjustment'!$A:$A,$H164,'Participation Adjustment'!$B:$B,$I164),1)</f>
        <v>12806.990674471699</v>
      </c>
      <c r="W164" s="79">
        <f>tbl_Data_old[[#This Row],[2026 ]]*IFERROR(AVERAGEIFS('Participation Adjustment'!$C:$C,'Participation Adjustment'!$A:$A,$H164,'Participation Adjustment'!$B:$B,$I164),1)</f>
        <v>27131.243694330198</v>
      </c>
      <c r="X164" s="79">
        <f>tbl_Data_old[[#This Row],[2027 ]]*IFERROR(AVERAGEIFS('Participation Adjustment'!$C:$C,'Participation Adjustment'!$A:$A,$H164,'Participation Adjustment'!$B:$B,$I164),1)</f>
        <v>42874.622293048596</v>
      </c>
      <c r="Y164" s="79">
        <f>tbl_Data_old[[#This Row],[2028 ]]*IFERROR(AVERAGEIFS('Participation Adjustment'!$C:$C,'Participation Adjustment'!$A:$A,$H164,'Participation Adjustment'!$B:$B,$I164),1)</f>
        <v>59978.242525613998</v>
      </c>
      <c r="Z164" s="79">
        <f>tbl_Data_old[[#This Row],[2029 ]]*IFERROR(AVERAGEIFS('Participation Adjustment'!$C:$C,'Participation Adjustment'!$A:$A,$H164,'Participation Adjustment'!$B:$B,$I164),1)</f>
        <v>78394.391373268707</v>
      </c>
      <c r="AA164" s="79">
        <f>tbl_Data_old[[#This Row],[2030 ]]*IFERROR(AVERAGEIFS('Participation Adjustment'!$C:$C,'Participation Adjustment'!$A:$A,$H164,'Participation Adjustment'!$B:$B,$I164),1)</f>
        <v>98030.901399079507</v>
      </c>
      <c r="AB164" s="79">
        <f>tbl_Data_old[[#This Row],[2031 ]]*IFERROR(AVERAGEIFS('Participation Adjustment'!$C:$C,'Participation Adjustment'!$A:$A,$H164,'Participation Adjustment'!$B:$B,$I164),1)</f>
        <v>118949.334012252</v>
      </c>
      <c r="AC164" s="79">
        <f>tbl_Data_old[[#This Row],[2032 ]]*IFERROR(AVERAGEIFS('Participation Adjustment'!$C:$C,'Participation Adjustment'!$A:$A,$H164,'Participation Adjustment'!$B:$B,$I164),1)</f>
        <v>141263.94780764499</v>
      </c>
      <c r="AD164" s="79">
        <f>tbl_Data_old[[#This Row],[2033 ]]*IFERROR(AVERAGEIFS('Participation Adjustment'!$C:$C,'Participation Adjustment'!$A:$A,$H164,'Participation Adjustment'!$B:$B,$I164),1)</f>
        <v>165107.64742559899</v>
      </c>
      <c r="AE164" s="79">
        <f>tbl_Data_old[[#This Row],[2034 ]]*IFERROR(AVERAGEIFS('Participation Adjustment'!$C:$C,'Participation Adjustment'!$A:$A,$H164,'Participation Adjustment'!$B:$B,$I164),1)</f>
        <v>190624.82924662999</v>
      </c>
      <c r="AF164" s="77" t="str">
        <f t="shared" si="77"/>
        <v>Residential</v>
      </c>
      <c r="AG164" s="77" t="str">
        <f>tbl_Data[[#This Row],[All_Meas_Name_Append]]</f>
        <v>ASHP - ENERGY STAR/CEE Tier 1: 16 SEER/15.2 SEER2_ 9.0 HSPF</v>
      </c>
      <c r="AH164" s="77">
        <f>AVERAGEIFS('3. Incentive Adjustment'!G:G,'3. Incentive Adjustment'!A:A,tbl_Data[[#This Row],[Trimmed Sector]],'3. Incentive Adjustment'!B:B,tbl_Data[[#This Row],[Trimmed Measure Name]])</f>
        <v>8.3636985731950567E-3</v>
      </c>
      <c r="AI164" s="77">
        <f>$AH164*tbl_Data[[#This Row],[2025 ]]</f>
        <v>107.11380963100135</v>
      </c>
      <c r="AJ164" s="77">
        <f>$AH164*tbl_Data[[#This Row],[2026 ]]</f>
        <v>226.91754417527684</v>
      </c>
      <c r="AK164" s="77">
        <f>$AH164*tbl_Data[[#This Row],[2027 ]]</f>
        <v>358.59041729864754</v>
      </c>
      <c r="AL164" s="77">
        <f>$AH164*tbl_Data[[#This Row],[2028 ]]</f>
        <v>501.63994143422485</v>
      </c>
      <c r="AM164" s="77">
        <f>$AH164*tbl_Data[[#This Row],[2029 ]]</f>
        <v>655.66705927510236</v>
      </c>
      <c r="AN164" s="77">
        <f>$AH164*tbl_Data[[#This Row],[2030 ]]</f>
        <v>819.90091016050656</v>
      </c>
      <c r="AO164" s="77">
        <f>$AH164*tbl_Data[[#This Row],[2031 ]]</f>
        <v>994.85637516077429</v>
      </c>
      <c r="AP164" s="77">
        <f>$AH164*tbl_Data[[#This Row],[2032 ]]</f>
        <v>1181.4890787227014</v>
      </c>
      <c r="AQ164" s="77">
        <f>$AH164*tbl_Data[[#This Row],[2033 ]]</f>
        <v>1380.9105951970748</v>
      </c>
      <c r="AR164" s="77">
        <f>$AH164*tbl_Data[[#This Row],[2034 ]]</f>
        <v>1594.3286123855905</v>
      </c>
      <c r="AS164" s="77">
        <f>SUM(tbl_Data[[#This Row],[Adjusted 2025]:[Adjusted 2034]])</f>
        <v>7821.4143434409007</v>
      </c>
      <c r="AT164" s="80">
        <f>AVERAGEIFS('3. Incentive Adjustment'!F:F,'3. Incentive Adjustment'!A:A,tbl_Data[[#This Row],[Trimmed Sector]],'3. Incentive Adjustment'!B:B,tbl_Data[[#This Row],[Trimmed Measure Name]])</f>
        <v>353</v>
      </c>
      <c r="AU164" s="80">
        <f>IFERROR(VLOOKUP(tbl_Data[[#This Row],[All_Meas_Name_Append]],'IRA Tax Credits'!$A$3:$D$46,4,0),0)</f>
        <v>0</v>
      </c>
      <c r="AV164" s="81">
        <f>tbl_Data[[#This Row],[Adj. per unit Incentive ($)]]/tbl_Data[[#This Row],[kWh Savings]]*tbl_Data[[#This Row],[Sum of Annuals]]</f>
        <v>10871.202359470251</v>
      </c>
      <c r="AW164" s="81">
        <f>IFERROR(VLOOKUP(tbl_Data[[#This Row],[Column1]],'1. Set Program Names'!$B$2:$D$15,3,0)*tbl_Data[[#This Row],[Sum of Annuals]],"")</f>
        <v>3524.5059856075272</v>
      </c>
      <c r="AX164" s="81">
        <f>tbl_Data[[#This Row],[per unit IRA tax ($)]]/tbl_Data[[#This Row],[kWh Savings]]*tbl_Data[[#This Row],[Sum of Annuals]]</f>
        <v>0</v>
      </c>
      <c r="AY164" s="81">
        <f>tbl_Data[[#This Row],[Avoided Costs ($/unit)]]/tbl_Data[[#This Row],[kWh Savings]]*tbl_Data[[#This Row],[Sum of Annuals]]</f>
        <v>5714.161631918425</v>
      </c>
      <c r="AZ164" s="81">
        <f>tbl_Data[[#This Row],[Lost Revenue ($/unit)]]/tbl_Data[[#This Row],[kWh Savings]]*tbl_Data[[#This Row],[Sum of Annuals]]</f>
        <v>10412.088583999508</v>
      </c>
      <c r="BA164" s="81">
        <f>tbl_Data[[#This Row],[Incremental Cost ($/unit)]]/tbl_Data[[#This Row],[kWh Savings]]*tbl_Data[[#This Row],[Sum of Annuals]]</f>
        <v>26947.031344295916</v>
      </c>
      <c r="BB164" s="77">
        <f>ROUNDUP(tbl_Data[[#This Row],[Adjusted 2025]]/$L164,0)</f>
        <v>1</v>
      </c>
      <c r="BC164" s="77">
        <f>ROUNDUP(tbl_Data[[#This Row],[Adjusted 2026]]/$L164,0)</f>
        <v>1</v>
      </c>
      <c r="BD164" s="77">
        <f>ROUNDUP(tbl_Data[[#This Row],[Adjusted 2027]]/$L164,0)</f>
        <v>2</v>
      </c>
      <c r="BE164" s="77">
        <f>ROUNDUP(tbl_Data[[#This Row],[Adjusted 2028]]/$L164,0)</f>
        <v>2</v>
      </c>
      <c r="BF164" s="77">
        <f>ROUNDUP(tbl_Data[[#This Row],[Adjusted 2029]]/$L164,0)</f>
        <v>3</v>
      </c>
      <c r="BG164" s="77">
        <f>ROUNDUP(tbl_Data[[#This Row],[Adjusted 2030]]/$L164,0)</f>
        <v>4</v>
      </c>
      <c r="BH164" s="77">
        <f>ROUNDUP(tbl_Data[[#This Row],[Adjusted 2031]]/$L164,0)</f>
        <v>4</v>
      </c>
      <c r="BI164" s="77">
        <f>ROUNDUP(tbl_Data[[#This Row],[Adjusted 2032]]/$L164,0)</f>
        <v>5</v>
      </c>
      <c r="BJ164" s="77">
        <f>ROUNDUP(tbl_Data[[#This Row],[Adjusted 2033]]/$L164,0)</f>
        <v>6</v>
      </c>
      <c r="BK164" s="77">
        <f>ROUNDUP(tbl_Data[[#This Row],[Adjusted 2034]]/$L164,0)</f>
        <v>7</v>
      </c>
      <c r="BL164" s="80">
        <f t="shared" si="78"/>
        <v>17800.794220138385</v>
      </c>
      <c r="BM164" s="80">
        <f t="shared" si="79"/>
        <v>37710.473772881189</v>
      </c>
      <c r="BN164" s="80">
        <f t="shared" si="80"/>
        <v>59592.635624074785</v>
      </c>
      <c r="BO164" s="80">
        <f t="shared" si="81"/>
        <v>83365.435333078349</v>
      </c>
      <c r="BP164" s="80">
        <f t="shared" si="82"/>
        <v>108962.55524181624</v>
      </c>
      <c r="BQ164" s="80">
        <f t="shared" si="83"/>
        <v>136255.88925414553</v>
      </c>
      <c r="BR164" s="80">
        <f t="shared" si="84"/>
        <v>165331.00329300817</v>
      </c>
      <c r="BS164" s="80">
        <f t="shared" si="85"/>
        <v>196346.70857226866</v>
      </c>
      <c r="BT164" s="80">
        <f t="shared" si="86"/>
        <v>229487.73296545615</v>
      </c>
      <c r="BU164" s="80">
        <f t="shared" si="87"/>
        <v>264954.77703689772</v>
      </c>
      <c r="BV164" s="80">
        <f>IFERROR(VLOOKUP($H164,'1. Set Program Names'!$B$2:$D$15,3,0)*V164,"NA")</f>
        <v>5771.1193024377526</v>
      </c>
      <c r="BW164" s="80">
        <f>IFERROR(VLOOKUP($H164,'1. Set Program Names'!$B$2:$D$15,3,0)*W164,"NA")</f>
        <v>12225.951292023608</v>
      </c>
      <c r="BX164" s="80">
        <f>IFERROR(VLOOKUP($H164,'1. Set Program Names'!$B$2:$D$15,3,0)*X164,"NA")</f>
        <v>19320.273324892358</v>
      </c>
      <c r="BY164" s="80">
        <f>IFERROR(VLOOKUP($H164,'1. Set Program Names'!$B$2:$D$15,3,0)*Y164,"NA")</f>
        <v>27027.550965257691</v>
      </c>
      <c r="BZ164" s="80">
        <f>IFERROR(VLOOKUP($H164,'1. Set Program Names'!$B$2:$D$15,3,0)*Z164,"NA")</f>
        <v>35326.283649050412</v>
      </c>
      <c r="CA164" s="80">
        <f>IFERROR(VLOOKUP($H164,'1. Set Program Names'!$B$2:$D$15,3,0)*AA164,"NA")</f>
        <v>44174.938647164861</v>
      </c>
      <c r="CB164" s="80">
        <f>IFERROR(VLOOKUP($H164,'1. Set Program Names'!$B$2:$D$15,3,0)*AB164,"NA")</f>
        <v>53601.25692123537</v>
      </c>
      <c r="CC164" s="80">
        <f>IFERROR(VLOOKUP($H164,'1. Set Program Names'!$B$2:$D$15,3,0)*AC164,"NA")</f>
        <v>63656.725975158806</v>
      </c>
      <c r="CD164" s="80">
        <f>IFERROR(VLOOKUP($H164,'1. Set Program Names'!$B$2:$D$15,3,0)*AD164,"NA")</f>
        <v>74401.235642132422</v>
      </c>
      <c r="CE164" s="80">
        <f>IFERROR(VLOOKUP($H164,'1. Set Program Names'!$B$2:$D$15,3,0)*AE164,"NA")</f>
        <v>85899.854193070059</v>
      </c>
    </row>
    <row r="165" spans="1:83" x14ac:dyDescent="0.25">
      <c r="A165" s="79" t="s">
        <v>113</v>
      </c>
      <c r="B165" s="79" t="s">
        <v>88</v>
      </c>
      <c r="C165" s="79" t="s">
        <v>89</v>
      </c>
      <c r="D165" s="79" t="s">
        <v>90</v>
      </c>
      <c r="E165" s="79" t="s">
        <v>91</v>
      </c>
      <c r="F165" s="79" t="s">
        <v>90</v>
      </c>
      <c r="G165" s="79" t="s">
        <v>92</v>
      </c>
      <c r="H165" s="79" t="s">
        <v>9</v>
      </c>
      <c r="I165" s="79" t="s">
        <v>107</v>
      </c>
      <c r="J165" s="79" t="s">
        <v>94</v>
      </c>
      <c r="K165" s="79" t="s">
        <v>108</v>
      </c>
      <c r="L165" s="79">
        <v>1663.1099999999899</v>
      </c>
      <c r="M165" s="79">
        <v>6.6647595975018806E-2</v>
      </c>
      <c r="N165" s="79">
        <v>0.309148293753995</v>
      </c>
      <c r="O165" s="79">
        <v>1389.5</v>
      </c>
      <c r="P165" s="79">
        <v>988.78817699699403</v>
      </c>
      <c r="Q165" s="79">
        <v>499.623289969231</v>
      </c>
      <c r="R165" s="79">
        <v>791.96156853290995</v>
      </c>
      <c r="S165" s="79">
        <v>2127.4894292214699</v>
      </c>
      <c r="T165" s="79">
        <v>15</v>
      </c>
      <c r="U165" s="79">
        <v>0.2</v>
      </c>
      <c r="V165" s="79">
        <f>tbl_Data_old[[#This Row],[2025 ]]*IFERROR(AVERAGEIFS('Participation Adjustment'!$C:$C,'Participation Adjustment'!$A:$A,$H165,'Participation Adjustment'!$B:$B,$I165),1)</f>
        <v>17405.064829381801</v>
      </c>
      <c r="W165" s="79">
        <f>tbl_Data_old[[#This Row],[2026 ]]*IFERROR(AVERAGEIFS('Participation Adjustment'!$C:$C,'Participation Adjustment'!$A:$A,$H165,'Participation Adjustment'!$B:$B,$I165),1)</f>
        <v>36761.5453377089</v>
      </c>
      <c r="X165" s="79">
        <f>tbl_Data_old[[#This Row],[2027 ]]*IFERROR(AVERAGEIFS('Participation Adjustment'!$C:$C,'Participation Adjustment'!$A:$A,$H165,'Participation Adjustment'!$B:$B,$I165),1)</f>
        <v>57916.319043951698</v>
      </c>
      <c r="Y165" s="79">
        <f>tbl_Data_old[[#This Row],[2028 ]]*IFERROR(AVERAGEIFS('Participation Adjustment'!$C:$C,'Participation Adjustment'!$A:$A,$H165,'Participation Adjustment'!$B:$B,$I165),1)</f>
        <v>80771.393584657897</v>
      </c>
      <c r="Z165" s="79">
        <f>tbl_Data_old[[#This Row],[2029 ]]*IFERROR(AVERAGEIFS('Participation Adjustment'!$C:$C,'Participation Adjustment'!$A:$A,$H165,'Participation Adjustment'!$B:$B,$I165),1)</f>
        <v>105245.315662564</v>
      </c>
      <c r="AA165" s="79">
        <f>tbl_Data_old[[#This Row],[2030 ]]*IFERROR(AVERAGEIFS('Participation Adjustment'!$C:$C,'Participation Adjustment'!$A:$A,$H165,'Participation Adjustment'!$B:$B,$I165),1)</f>
        <v>131199.24477357499</v>
      </c>
      <c r="AB165" s="79">
        <f>tbl_Data_old[[#This Row],[2031 ]]*IFERROR(AVERAGEIFS('Participation Adjustment'!$C:$C,'Participation Adjustment'!$A:$A,$H165,'Participation Adjustment'!$B:$B,$I165),1)</f>
        <v>158698.683643047</v>
      </c>
      <c r="AC165" s="79">
        <f>tbl_Data_old[[#This Row],[2032 ]]*IFERROR(AVERAGEIFS('Participation Adjustment'!$C:$C,'Participation Adjustment'!$A:$A,$H165,'Participation Adjustment'!$B:$B,$I165),1)</f>
        <v>187876.970267005</v>
      </c>
      <c r="AD165" s="79">
        <f>tbl_Data_old[[#This Row],[2033 ]]*IFERROR(AVERAGEIFS('Participation Adjustment'!$C:$C,'Participation Adjustment'!$A:$A,$H165,'Participation Adjustment'!$B:$B,$I165),1)</f>
        <v>218889.53790320401</v>
      </c>
      <c r="AE165" s="79">
        <f>tbl_Data_old[[#This Row],[2034 ]]*IFERROR(AVERAGEIFS('Participation Adjustment'!$C:$C,'Participation Adjustment'!$A:$A,$H165,'Participation Adjustment'!$B:$B,$I165),1)</f>
        <v>251904.183824796</v>
      </c>
      <c r="AF165" s="77" t="str">
        <f t="shared" si="77"/>
        <v>Residential</v>
      </c>
      <c r="AG165" s="77" t="str">
        <f>tbl_Data[[#This Row],[All_Meas_Name_Append]]</f>
        <v>Heat Pump Water Heater 50 Gallons- CEE Advanced Tier</v>
      </c>
      <c r="AH165" s="77">
        <f>AVERAGEIFS('3. Incentive Adjustment'!G:G,'3. Incentive Adjustment'!A:A,tbl_Data[[#This Row],[Trimmed Sector]],'3. Incentive Adjustment'!B:B,tbl_Data[[#This Row],[Trimmed Measure Name]])</f>
        <v>0.46049099596140497</v>
      </c>
      <c r="AI165" s="77">
        <f>$AH165*tbl_Data[[#This Row],[2025 ]]</f>
        <v>8014.8756380548466</v>
      </c>
      <c r="AJ165" s="77">
        <f>$AH165*tbl_Data[[#This Row],[2026 ]]</f>
        <v>16928.360625641915</v>
      </c>
      <c r="AK165" s="77">
        <f>$AH165*tbl_Data[[#This Row],[2027 ]]</f>
        <v>26669.943438967803</v>
      </c>
      <c r="AL165" s="77">
        <f>$AH165*tbl_Data[[#This Row],[2028 ]]</f>
        <v>37194.499476989753</v>
      </c>
      <c r="AM165" s="77">
        <f>$AH165*tbl_Data[[#This Row],[2029 ]]</f>
        <v>48464.52022972655</v>
      </c>
      <c r="AN165" s="77">
        <f>$AH165*tbl_Data[[#This Row],[2030 ]]</f>
        <v>60416.070895167701</v>
      </c>
      <c r="AO165" s="77">
        <f>$AH165*tbl_Data[[#This Row],[2031 ]]</f>
        <v>73079.314888550638</v>
      </c>
      <c r="AP165" s="77">
        <f>$AH165*tbl_Data[[#This Row],[2032 ]]</f>
        <v>86515.653156464396</v>
      </c>
      <c r="AQ165" s="77">
        <f>$AH165*tbl_Data[[#This Row],[2033 ]]</f>
        <v>100796.66131457812</v>
      </c>
      <c r="AR165" s="77">
        <f>$AH165*tbl_Data[[#This Row],[2034 ]]</f>
        <v>115999.60849632515</v>
      </c>
      <c r="AS165" s="77">
        <f>SUM(tbl_Data[[#This Row],[Adjusted 2025]:[Adjusted 2034]])</f>
        <v>574079.50816046679</v>
      </c>
      <c r="AT165" s="80">
        <f>AVERAGEIFS('3. Incentive Adjustment'!F:F,'3. Incentive Adjustment'!A:A,tbl_Data[[#This Row],[Trimmed Sector]],'3. Incentive Adjustment'!B:B,tbl_Data[[#This Row],[Trimmed Measure Name]])</f>
        <v>500</v>
      </c>
      <c r="AU165" s="80">
        <f>IFERROR(VLOOKUP(tbl_Data[[#This Row],[All_Meas_Name_Append]],'IRA Tax Credits'!$A$3:$D$46,4,0),0)</f>
        <v>1666.6666666666667</v>
      </c>
      <c r="AV165" s="81">
        <f>tbl_Data[[#This Row],[Adj. per unit Incentive ($)]]/tbl_Data[[#This Row],[kWh Savings]]*tbl_Data[[#This Row],[Sum of Annuals]]</f>
        <v>172592.16412638681</v>
      </c>
      <c r="AW165" s="81">
        <f>IFERROR(VLOOKUP(tbl_Data[[#This Row],[Column1]],'1. Set Program Names'!$B$2:$D$15,3,0)*tbl_Data[[#This Row],[Sum of Annuals]],"")</f>
        <v>258693.19459120391</v>
      </c>
      <c r="AX165" s="81">
        <f>tbl_Data[[#This Row],[per unit IRA tax ($)]]/tbl_Data[[#This Row],[kWh Savings]]*tbl_Data[[#This Row],[Sum of Annuals]]</f>
        <v>575307.21375462273</v>
      </c>
      <c r="AY165" s="81">
        <f>tbl_Data[[#This Row],[Avoided Costs ($/unit)]]/tbl_Data[[#This Row],[kWh Savings]]*tbl_Data[[#This Row],[Sum of Annuals]]</f>
        <v>273372.72203604545</v>
      </c>
      <c r="AZ165" s="81">
        <f>tbl_Data[[#This Row],[Lost Revenue ($/unit)]]/tbl_Data[[#This Row],[kWh Savings]]*tbl_Data[[#This Row],[Sum of Annuals]]</f>
        <v>734376.00949068973</v>
      </c>
      <c r="BA165" s="81">
        <f>tbl_Data[[#This Row],[Incremental Cost ($/unit)]]/tbl_Data[[#This Row],[kWh Savings]]*tbl_Data[[#This Row],[Sum of Annuals]]</f>
        <v>479633.62410722888</v>
      </c>
      <c r="BB165" s="77">
        <f>ROUNDUP(tbl_Data[[#This Row],[Adjusted 2025]]/$L165,0)</f>
        <v>5</v>
      </c>
      <c r="BC165" s="77">
        <f>ROUNDUP(tbl_Data[[#This Row],[Adjusted 2026]]/$L165,0)</f>
        <v>11</v>
      </c>
      <c r="BD165" s="77">
        <f>ROUNDUP(tbl_Data[[#This Row],[Adjusted 2027]]/$L165,0)</f>
        <v>17</v>
      </c>
      <c r="BE165" s="77">
        <f>ROUNDUP(tbl_Data[[#This Row],[Adjusted 2028]]/$L165,0)</f>
        <v>23</v>
      </c>
      <c r="BF165" s="77">
        <f>ROUNDUP(tbl_Data[[#This Row],[Adjusted 2029]]/$L165,0)</f>
        <v>30</v>
      </c>
      <c r="BG165" s="77">
        <f>ROUNDUP(tbl_Data[[#This Row],[Adjusted 2030]]/$L165,0)</f>
        <v>37</v>
      </c>
      <c r="BH165" s="77">
        <f>ROUNDUP(tbl_Data[[#This Row],[Adjusted 2031]]/$L165,0)</f>
        <v>44</v>
      </c>
      <c r="BI165" s="77">
        <f>ROUNDUP(tbl_Data[[#This Row],[Adjusted 2032]]/$L165,0)</f>
        <v>53</v>
      </c>
      <c r="BJ165" s="77">
        <f>ROUNDUP(tbl_Data[[#This Row],[Adjusted 2033]]/$L165,0)</f>
        <v>61</v>
      </c>
      <c r="BK165" s="77">
        <f>ROUNDUP(tbl_Data[[#This Row],[Adjusted 2034]]/$L165,0)</f>
        <v>70</v>
      </c>
      <c r="BL165" s="80">
        <f t="shared" si="78"/>
        <v>5232.6860007401519</v>
      </c>
      <c r="BM165" s="80">
        <f t="shared" si="79"/>
        <v>11052.048673181307</v>
      </c>
      <c r="BN165" s="80">
        <f t="shared" si="80"/>
        <v>17412.053034360943</v>
      </c>
      <c r="BO165" s="80">
        <f t="shared" si="81"/>
        <v>24283.238506370111</v>
      </c>
      <c r="BP165" s="80">
        <f t="shared" si="82"/>
        <v>31641.116842110456</v>
      </c>
      <c r="BQ165" s="80">
        <f t="shared" si="83"/>
        <v>39443.946814575043</v>
      </c>
      <c r="BR165" s="80">
        <f t="shared" si="84"/>
        <v>47711.421265895813</v>
      </c>
      <c r="BS165" s="80">
        <f t="shared" si="85"/>
        <v>56483.627140419499</v>
      </c>
      <c r="BT165" s="80">
        <f t="shared" si="86"/>
        <v>65807.294136649216</v>
      </c>
      <c r="BU165" s="80">
        <f t="shared" si="87"/>
        <v>75732.869090077482</v>
      </c>
      <c r="BV165" s="80">
        <f>IFERROR(VLOOKUP($H165,'1. Set Program Names'!$B$2:$D$15,3,0)*V165,"NA")</f>
        <v>7843.1153851971776</v>
      </c>
      <c r="BW165" s="80">
        <f>IFERROR(VLOOKUP($H165,'1. Set Program Names'!$B$2:$D$15,3,0)*W165,"NA")</f>
        <v>16565.582756984713</v>
      </c>
      <c r="BX165" s="80">
        <f>IFERROR(VLOOKUP($H165,'1. Set Program Names'!$B$2:$D$15,3,0)*X165,"NA")</f>
        <v>26098.401666438371</v>
      </c>
      <c r="BY165" s="80">
        <f>IFERROR(VLOOKUP($H165,'1. Set Program Names'!$B$2:$D$15,3,0)*Y165,"NA")</f>
        <v>36397.414540980353</v>
      </c>
      <c r="BZ165" s="80">
        <f>IFERROR(VLOOKUP($H165,'1. Set Program Names'!$B$2:$D$15,3,0)*Z165,"NA")</f>
        <v>47425.916684868091</v>
      </c>
      <c r="CA165" s="80">
        <f>IFERROR(VLOOKUP($H165,'1. Set Program Names'!$B$2:$D$15,3,0)*AA165,"NA")</f>
        <v>59121.3434306079</v>
      </c>
      <c r="CB165" s="80">
        <f>IFERROR(VLOOKUP($H165,'1. Set Program Names'!$B$2:$D$15,3,0)*AB165,"NA")</f>
        <v>71513.211785924213</v>
      </c>
      <c r="CC165" s="80">
        <f>IFERROR(VLOOKUP($H165,'1. Set Program Names'!$B$2:$D$15,3,0)*AC165,"NA")</f>
        <v>84661.606863875</v>
      </c>
      <c r="CD165" s="80">
        <f>IFERROR(VLOOKUP($H165,'1. Set Program Names'!$B$2:$D$15,3,0)*AD165,"NA")</f>
        <v>98636.57040157645</v>
      </c>
      <c r="CE165" s="80">
        <f>IFERROR(VLOOKUP($H165,'1. Set Program Names'!$B$2:$D$15,3,0)*AE165,"NA")</f>
        <v>113513.7156407805</v>
      </c>
    </row>
    <row r="166" spans="1:83" x14ac:dyDescent="0.25">
      <c r="A166" s="79" t="s">
        <v>113</v>
      </c>
      <c r="B166" s="79" t="s">
        <v>88</v>
      </c>
      <c r="C166" s="79" t="s">
        <v>89</v>
      </c>
      <c r="D166" s="79" t="s">
        <v>90</v>
      </c>
      <c r="E166" s="79" t="s">
        <v>91</v>
      </c>
      <c r="F166" s="79" t="s">
        <v>90</v>
      </c>
      <c r="G166" s="79" t="s">
        <v>92</v>
      </c>
      <c r="H166" s="79" t="s">
        <v>9</v>
      </c>
      <c r="I166" s="79" t="s">
        <v>109</v>
      </c>
      <c r="J166" s="79" t="s">
        <v>94</v>
      </c>
      <c r="K166" s="79" t="s">
        <v>95</v>
      </c>
      <c r="L166" s="79">
        <v>1590.11499999999</v>
      </c>
      <c r="M166" s="79">
        <v>6.3722388822036402E-2</v>
      </c>
      <c r="N166" s="79">
        <v>0.29557957027655002</v>
      </c>
      <c r="O166" s="79">
        <v>1389.5</v>
      </c>
      <c r="P166" s="79">
        <v>1006.47372867305</v>
      </c>
      <c r="Q166" s="79">
        <v>477.694492685044</v>
      </c>
      <c r="R166" s="79">
        <v>757.20185047754296</v>
      </c>
      <c r="S166" s="79">
        <v>2034.1125083407001</v>
      </c>
      <c r="T166" s="79">
        <v>15</v>
      </c>
      <c r="U166" s="79">
        <v>0.2</v>
      </c>
      <c r="V166" s="79">
        <f>tbl_Data_old[[#This Row],[2025 ]]*IFERROR(AVERAGEIFS('Participation Adjustment'!$C:$C,'Participation Adjustment'!$A:$A,$H166,'Participation Adjustment'!$B:$B,$I166),1)</f>
        <v>24873.105334489199</v>
      </c>
      <c r="W166" s="79">
        <f>tbl_Data_old[[#This Row],[2026 ]]*IFERROR(AVERAGEIFS('Participation Adjustment'!$C:$C,'Participation Adjustment'!$A:$A,$H166,'Participation Adjustment'!$B:$B,$I166),1)</f>
        <v>52523.584217183699</v>
      </c>
      <c r="X166" s="79">
        <f>tbl_Data_old[[#This Row],[2027 ]]*IFERROR(AVERAGEIFS('Participation Adjustment'!$C:$C,'Participation Adjustment'!$A:$A,$H166,'Participation Adjustment'!$B:$B,$I166),1)</f>
        <v>82731.767029020702</v>
      </c>
      <c r="Y166" s="79">
        <f>tbl_Data_old[[#This Row],[2028 ]]*IFERROR(AVERAGEIFS('Participation Adjustment'!$C:$C,'Participation Adjustment'!$A:$A,$H166,'Participation Adjustment'!$B:$B,$I166),1)</f>
        <v>115357.146203536</v>
      </c>
      <c r="Z166" s="79">
        <f>tbl_Data_old[[#This Row],[2029 ]]*IFERROR(AVERAGEIFS('Participation Adjustment'!$C:$C,'Participation Adjustment'!$A:$A,$H166,'Participation Adjustment'!$B:$B,$I166),1)</f>
        <v>150283.12885681901</v>
      </c>
      <c r="AA166" s="79">
        <f>tbl_Data_old[[#This Row],[2030 ]]*IFERROR(AVERAGEIFS('Participation Adjustment'!$C:$C,'Participation Adjustment'!$A:$A,$H166,'Participation Adjustment'!$B:$B,$I166),1)</f>
        <v>187311.48357851</v>
      </c>
      <c r="AB166" s="79">
        <f>tbl_Data_old[[#This Row],[2031 ]]*IFERROR(AVERAGEIFS('Participation Adjustment'!$C:$C,'Participation Adjustment'!$A:$A,$H166,'Participation Adjustment'!$B:$B,$I166),1)</f>
        <v>226535.69238118001</v>
      </c>
      <c r="AC166" s="79">
        <f>tbl_Data_old[[#This Row],[2032 ]]*IFERROR(AVERAGEIFS('Participation Adjustment'!$C:$C,'Participation Adjustment'!$A:$A,$H166,'Participation Adjustment'!$B:$B,$I166),1)</f>
        <v>268145.98701123398</v>
      </c>
      <c r="AD166" s="79">
        <f>tbl_Data_old[[#This Row],[2033 ]]*IFERROR(AVERAGEIFS('Participation Adjustment'!$C:$C,'Participation Adjustment'!$A:$A,$H166,'Participation Adjustment'!$B:$B,$I166),1)</f>
        <v>312364.058411645</v>
      </c>
      <c r="AE166" s="79">
        <f>tbl_Data_old[[#This Row],[2034 ]]*IFERROR(AVERAGEIFS('Participation Adjustment'!$C:$C,'Participation Adjustment'!$A:$A,$H166,'Participation Adjustment'!$B:$B,$I166),1)</f>
        <v>359429.17300135101</v>
      </c>
      <c r="AF166" s="77" t="str">
        <f t="shared" si="77"/>
        <v>Residential</v>
      </c>
      <c r="AG166" s="77" t="str">
        <f>tbl_Data[[#This Row],[All_Meas_Name_Append]]</f>
        <v>Heat Pump Water Heater 50 Gallons-ENERGY STAR</v>
      </c>
      <c r="AH166" s="77">
        <f>AVERAGEIFS('3. Incentive Adjustment'!G:G,'3. Incentive Adjustment'!A:A,tbl_Data[[#This Row],[Trimmed Sector]],'3. Incentive Adjustment'!B:B,tbl_Data[[#This Row],[Trimmed Measure Name]])</f>
        <v>0.43153525594917136</v>
      </c>
      <c r="AI166" s="77">
        <f>$AH166*tbl_Data[[#This Row],[2025 ]]</f>
        <v>10733.621876769495</v>
      </c>
      <c r="AJ166" s="77">
        <f>$AH166*tbl_Data[[#This Row],[2026 ]]</f>
        <v>22665.778358530224</v>
      </c>
      <c r="AK166" s="77">
        <f>$AH166*tbl_Data[[#This Row],[2027 ]]</f>
        <v>35701.674259995663</v>
      </c>
      <c r="AL166" s="77">
        <f>$AH166*tbl_Data[[#This Row],[2028 ]]</f>
        <v>49780.675612508887</v>
      </c>
      <c r="AM166" s="77">
        <f>$AH166*tbl_Data[[#This Row],[2029 ]]</f>
        <v>64852.468476069691</v>
      </c>
      <c r="AN166" s="77">
        <f>$AH166*tbl_Data[[#This Row],[2030 ]]</f>
        <v>80831.509008271314</v>
      </c>
      <c r="AO166" s="77">
        <f>$AH166*tbl_Data[[#This Row],[2031 ]]</f>
        <v>97758.137993335258</v>
      </c>
      <c r="AP166" s="77">
        <f>$AH166*tbl_Data[[#This Row],[2032 ]]</f>
        <v>115714.44713663604</v>
      </c>
      <c r="AQ166" s="77">
        <f>$AH166*tbl_Data[[#This Row],[2033 ]]</f>
        <v>134796.10389599114</v>
      </c>
      <c r="AR166" s="77">
        <f>$AH166*tbl_Data[[#This Row],[2034 ]]</f>
        <v>155106.36016673699</v>
      </c>
      <c r="AS166" s="77">
        <f>SUM(tbl_Data[[#This Row],[Adjusted 2025]:[Adjusted 2034]])</f>
        <v>767940.7767848447</v>
      </c>
      <c r="AT166" s="80">
        <f>AVERAGEIFS('3. Incentive Adjustment'!F:F,'3. Incentive Adjustment'!A:A,tbl_Data[[#This Row],[Trimmed Sector]],'3. Incentive Adjustment'!B:B,tbl_Data[[#This Row],[Trimmed Measure Name]])</f>
        <v>500</v>
      </c>
      <c r="AU166" s="80">
        <f>IFERROR(VLOOKUP(tbl_Data[[#This Row],[All_Meas_Name_Append]],'IRA Tax Credits'!$A$3:$D$46,4,0),0)</f>
        <v>1666.6666666666667</v>
      </c>
      <c r="AV166" s="81">
        <f>tbl_Data[[#This Row],[Adj. per unit Incentive ($)]]/tbl_Data[[#This Row],[kWh Savings]]*tbl_Data[[#This Row],[Sum of Annuals]]</f>
        <v>241473.34525642783</v>
      </c>
      <c r="AW166" s="81">
        <f>IFERROR(VLOOKUP(tbl_Data[[#This Row],[Column1]],'1. Set Program Names'!$B$2:$D$15,3,0)*tbl_Data[[#This Row],[Sum of Annuals]],"")</f>
        <v>346051.46147768846</v>
      </c>
      <c r="AX166" s="81">
        <f>tbl_Data[[#This Row],[per unit IRA tax ($)]]/tbl_Data[[#This Row],[kWh Savings]]*tbl_Data[[#This Row],[Sum of Annuals]]</f>
        <v>804911.1508547595</v>
      </c>
      <c r="AY166" s="81">
        <f>tbl_Data[[#This Row],[Avoided Costs ($/unit)]]/tbl_Data[[#This Row],[kWh Savings]]*tbl_Data[[#This Row],[Sum of Annuals]]</f>
        <v>365688.12773833959</v>
      </c>
      <c r="AZ166" s="81">
        <f>tbl_Data[[#This Row],[Lost Revenue ($/unit)]]/tbl_Data[[#This Row],[kWh Savings]]*tbl_Data[[#This Row],[Sum of Annuals]]</f>
        <v>982367.90403394471</v>
      </c>
      <c r="BA166" s="81">
        <f>tbl_Data[[#This Row],[Incremental Cost ($/unit)]]/tbl_Data[[#This Row],[kWh Savings]]*tbl_Data[[#This Row],[Sum of Annuals]]</f>
        <v>671054.42646761297</v>
      </c>
      <c r="BB166" s="77">
        <f>ROUNDUP(tbl_Data[[#This Row],[Adjusted 2025]]/$L166,0)</f>
        <v>7</v>
      </c>
      <c r="BC166" s="77">
        <f>ROUNDUP(tbl_Data[[#This Row],[Adjusted 2026]]/$L166,0)</f>
        <v>15</v>
      </c>
      <c r="BD166" s="77">
        <f>ROUNDUP(tbl_Data[[#This Row],[Adjusted 2027]]/$L166,0)</f>
        <v>23</v>
      </c>
      <c r="BE166" s="77">
        <f>ROUNDUP(tbl_Data[[#This Row],[Adjusted 2028]]/$L166,0)</f>
        <v>32</v>
      </c>
      <c r="BF166" s="77">
        <f>ROUNDUP(tbl_Data[[#This Row],[Adjusted 2029]]/$L166,0)</f>
        <v>41</v>
      </c>
      <c r="BG166" s="77">
        <f>ROUNDUP(tbl_Data[[#This Row],[Adjusted 2030]]/$L166,0)</f>
        <v>51</v>
      </c>
      <c r="BH166" s="77">
        <f>ROUNDUP(tbl_Data[[#This Row],[Adjusted 2031]]/$L166,0)</f>
        <v>62</v>
      </c>
      <c r="BI166" s="77">
        <f>ROUNDUP(tbl_Data[[#This Row],[Adjusted 2032]]/$L166,0)</f>
        <v>73</v>
      </c>
      <c r="BJ166" s="77">
        <f>ROUNDUP(tbl_Data[[#This Row],[Adjusted 2033]]/$L166,0)</f>
        <v>85</v>
      </c>
      <c r="BK166" s="77">
        <f>ROUNDUP(tbl_Data[[#This Row],[Adjusted 2034]]/$L166,0)</f>
        <v>98</v>
      </c>
      <c r="BL166" s="80">
        <f t="shared" si="78"/>
        <v>7821.1655554753443</v>
      </c>
      <c r="BM166" s="80">
        <f t="shared" si="79"/>
        <v>16515.655854194203</v>
      </c>
      <c r="BN166" s="80">
        <f t="shared" si="80"/>
        <v>26014.397395478067</v>
      </c>
      <c r="BO166" s="80">
        <f t="shared" si="81"/>
        <v>36273.208605521213</v>
      </c>
      <c r="BP166" s="80">
        <f t="shared" si="82"/>
        <v>47255.427707058901</v>
      </c>
      <c r="BQ166" s="80">
        <f t="shared" si="83"/>
        <v>58898.722286913573</v>
      </c>
      <c r="BR166" s="80">
        <f t="shared" si="84"/>
        <v>71232.487078350125</v>
      </c>
      <c r="BS166" s="80">
        <f t="shared" si="85"/>
        <v>84316.539058884315</v>
      </c>
      <c r="BT166" s="80">
        <f t="shared" si="86"/>
        <v>98220.587319674029</v>
      </c>
      <c r="BU166" s="80">
        <f t="shared" si="87"/>
        <v>113019.86743139749</v>
      </c>
      <c r="BV166" s="80">
        <f>IFERROR(VLOOKUP($H166,'1. Set Program Names'!$B$2:$D$15,3,0)*V166,"NA")</f>
        <v>11208.383136685577</v>
      </c>
      <c r="BW166" s="80">
        <f>IFERROR(VLOOKUP($H166,'1. Set Program Names'!$B$2:$D$15,3,0)*W166,"NA")</f>
        <v>23668.313533890174</v>
      </c>
      <c r="BX166" s="80">
        <f>IFERROR(VLOOKUP($H166,'1. Set Program Names'!$B$2:$D$15,3,0)*X166,"NA")</f>
        <v>37280.803099019991</v>
      </c>
      <c r="BY166" s="80">
        <f>IFERROR(VLOOKUP($H166,'1. Set Program Names'!$B$2:$D$15,3,0)*Y166,"NA")</f>
        <v>51982.535948619559</v>
      </c>
      <c r="BZ166" s="80">
        <f>IFERROR(VLOOKUP($H166,'1. Set Program Names'!$B$2:$D$15,3,0)*Z166,"NA")</f>
        <v>67720.972695414661</v>
      </c>
      <c r="CA166" s="80">
        <f>IFERROR(VLOOKUP($H166,'1. Set Program Names'!$B$2:$D$15,3,0)*AA166,"NA")</f>
        <v>84406.78578793323</v>
      </c>
      <c r="CB166" s="80">
        <f>IFERROR(VLOOKUP($H166,'1. Set Program Names'!$B$2:$D$15,3,0)*AB166,"NA")</f>
        <v>102082.100332759</v>
      </c>
      <c r="CC166" s="80">
        <f>IFERROR(VLOOKUP($H166,'1. Set Program Names'!$B$2:$D$15,3,0)*AC166,"NA")</f>
        <v>120832.63905207702</v>
      </c>
      <c r="CD166" s="80">
        <f>IFERROR(VLOOKUP($H166,'1. Set Program Names'!$B$2:$D$15,3,0)*AD166,"NA")</f>
        <v>140758.30089269593</v>
      </c>
      <c r="CE166" s="80">
        <f>IFERROR(VLOOKUP($H166,'1. Set Program Names'!$B$2:$D$15,3,0)*AE166,"NA")</f>
        <v>161966.90470791666</v>
      </c>
    </row>
    <row r="167" spans="1:83" x14ac:dyDescent="0.25">
      <c r="A167" s="79" t="s">
        <v>113</v>
      </c>
      <c r="B167" s="79" t="s">
        <v>88</v>
      </c>
      <c r="C167" s="79" t="s">
        <v>89</v>
      </c>
      <c r="D167" s="79" t="s">
        <v>90</v>
      </c>
      <c r="E167" s="79" t="s">
        <v>91</v>
      </c>
      <c r="F167" s="79" t="s">
        <v>90</v>
      </c>
      <c r="G167" s="79" t="s">
        <v>92</v>
      </c>
      <c r="H167" s="79" t="s">
        <v>9</v>
      </c>
      <c r="I167" s="79" t="s">
        <v>110</v>
      </c>
      <c r="J167" s="79" t="s">
        <v>94</v>
      </c>
      <c r="K167" s="79" t="s">
        <v>108</v>
      </c>
      <c r="L167" s="79">
        <v>461.909999999999</v>
      </c>
      <c r="M167" s="79">
        <v>1.8510616289253799E-2</v>
      </c>
      <c r="N167" s="79">
        <v>8.5862443475120898E-2</v>
      </c>
      <c r="O167" s="79">
        <v>1729.5</v>
      </c>
      <c r="P167" s="79">
        <v>1631.9996867488601</v>
      </c>
      <c r="Q167" s="79">
        <v>138.764720234794</v>
      </c>
      <c r="R167" s="79">
        <v>219.958372038552</v>
      </c>
      <c r="S167" s="79">
        <v>590.88613636602201</v>
      </c>
      <c r="T167" s="79">
        <v>15</v>
      </c>
      <c r="U167" s="79">
        <v>0.2</v>
      </c>
      <c r="V167" s="79">
        <f>tbl_Data_old[[#This Row],[2025 ]]*IFERROR(AVERAGEIFS('Participation Adjustment'!$C:$C,'Participation Adjustment'!$A:$A,$H167,'Participation Adjustment'!$B:$B,$I167),1)</f>
        <v>13379.830382087501</v>
      </c>
      <c r="W167" s="79">
        <f>tbl_Data_old[[#This Row],[2026 ]]*IFERROR(AVERAGEIFS('Participation Adjustment'!$C:$C,'Participation Adjustment'!$A:$A,$H167,'Participation Adjustment'!$B:$B,$I167),1)</f>
        <v>28262.409462898398</v>
      </c>
      <c r="X167" s="79">
        <f>tbl_Data_old[[#This Row],[2027 ]]*IFERROR(AVERAGEIFS('Participation Adjustment'!$C:$C,'Participation Adjustment'!$A:$A,$H167,'Participation Adjustment'!$B:$B,$I167),1)</f>
        <v>44530.202670198298</v>
      </c>
      <c r="Y167" s="79">
        <f>tbl_Data_old[[#This Row],[2028 ]]*IFERROR(AVERAGEIFS('Participation Adjustment'!$C:$C,'Participation Adjustment'!$A:$A,$H167,'Participation Adjustment'!$B:$B,$I167),1)</f>
        <v>62107.965385449803</v>
      </c>
      <c r="Z167" s="79">
        <f>tbl_Data_old[[#This Row],[2029 ]]*IFERROR(AVERAGEIFS('Participation Adjustment'!$C:$C,'Participation Adjustment'!$A:$A,$H167,'Participation Adjustment'!$B:$B,$I167),1)</f>
        <v>80933.100833322998</v>
      </c>
      <c r="AA167" s="79">
        <f>tbl_Data_old[[#This Row],[2030 ]]*IFERROR(AVERAGEIFS('Participation Adjustment'!$C:$C,'Participation Adjustment'!$A:$A,$H167,'Participation Adjustment'!$B:$B,$I167),1)</f>
        <v>100898.81072834</v>
      </c>
      <c r="AB167" s="79">
        <f>tbl_Data_old[[#This Row],[2031 ]]*IFERROR(AVERAGEIFS('Participation Adjustment'!$C:$C,'Participation Adjustment'!$A:$A,$H167,'Participation Adjustment'!$B:$B,$I167),1)</f>
        <v>122055.452237527</v>
      </c>
      <c r="AC167" s="79">
        <f>tbl_Data_old[[#This Row],[2032 ]]*IFERROR(AVERAGEIFS('Participation Adjustment'!$C:$C,'Participation Adjustment'!$A:$A,$H167,'Participation Adjustment'!$B:$B,$I167),1)</f>
        <v>144505.57273232401</v>
      </c>
      <c r="AD167" s="79">
        <f>tbl_Data_old[[#This Row],[2033 ]]*IFERROR(AVERAGEIFS('Participation Adjustment'!$C:$C,'Participation Adjustment'!$A:$A,$H167,'Participation Adjustment'!$B:$B,$I167),1)</f>
        <v>168368.730515581</v>
      </c>
      <c r="AE167" s="79">
        <f>tbl_Data_old[[#This Row],[2034 ]]*IFERROR(AVERAGEIFS('Participation Adjustment'!$C:$C,'Participation Adjustment'!$A:$A,$H167,'Participation Adjustment'!$B:$B,$I167),1)</f>
        <v>193774.00874042101</v>
      </c>
      <c r="AF167" s="77" t="str">
        <f t="shared" si="77"/>
        <v>Residential</v>
      </c>
      <c r="AG167" s="77" t="str">
        <f>tbl_Data[[#This Row],[All_Meas_Name_Append]]</f>
        <v>Heat Pump Water Heater 80 Gallons-ENERGY STAR</v>
      </c>
      <c r="AH167" s="77">
        <f>AVERAGEIFS('3. Incentive Adjustment'!G:G,'3. Incentive Adjustment'!A:A,tbl_Data[[#This Row],[Trimmed Sector]],'3. Incentive Adjustment'!B:B,tbl_Data[[#This Row],[Trimmed Measure Name]])</f>
        <v>1.5551101216712928E-3</v>
      </c>
      <c r="AI167" s="77">
        <f>$AH167*tbl_Data[[#This Row],[2025 ]]</f>
        <v>20.807109653429354</v>
      </c>
      <c r="AJ167" s="77">
        <f>$AH167*tbl_Data[[#This Row],[2026 ]]</f>
        <v>43.951159018571822</v>
      </c>
      <c r="AK167" s="77">
        <f>$AH167*tbl_Data[[#This Row],[2027 ]]</f>
        <v>69.249368892499405</v>
      </c>
      <c r="AL167" s="77">
        <f>$AH167*tbl_Data[[#This Row],[2028 ]]</f>
        <v>96.584725607323278</v>
      </c>
      <c r="AM167" s="77">
        <f>$AH167*tbl_Data[[#This Row],[2029 ]]</f>
        <v>125.85988428414393</v>
      </c>
      <c r="AN167" s="77">
        <f>$AH167*tbl_Data[[#This Row],[2030 ]]</f>
        <v>156.90876182823757</v>
      </c>
      <c r="AO167" s="77">
        <f>$AH167*tbl_Data[[#This Row],[2031 ]]</f>
        <v>189.80966917974527</v>
      </c>
      <c r="AP167" s="77">
        <f>$AH167*tbl_Data[[#This Row],[2032 ]]</f>
        <v>224.72207879394423</v>
      </c>
      <c r="AQ167" s="77">
        <f>$AH167*tbl_Data[[#This Row],[2033 ]]</f>
        <v>261.8319169977263</v>
      </c>
      <c r="AR167" s="77">
        <f>$AH167*tbl_Data[[#This Row],[2034 ]]</f>
        <v>301.33992230905028</v>
      </c>
      <c r="AS167" s="77">
        <f>SUM(tbl_Data[[#This Row],[Adjusted 2025]:[Adjusted 2034]])</f>
        <v>1491.0645965646715</v>
      </c>
      <c r="AT167" s="80">
        <f>AVERAGEIFS('3. Incentive Adjustment'!F:F,'3. Incentive Adjustment'!A:A,tbl_Data[[#This Row],[Trimmed Sector]],'3. Incentive Adjustment'!B:B,tbl_Data[[#This Row],[Trimmed Measure Name]])</f>
        <v>500</v>
      </c>
      <c r="AU167" s="80">
        <f>IFERROR(VLOOKUP(tbl_Data[[#This Row],[All_Meas_Name_Append]],'IRA Tax Credits'!$A$3:$D$46,4,0),0)</f>
        <v>1666.6666666666667</v>
      </c>
      <c r="AV167" s="81">
        <f>tbl_Data[[#This Row],[Adj. per unit Incentive ($)]]/tbl_Data[[#This Row],[kWh Savings]]*tbl_Data[[#This Row],[Sum of Annuals]]</f>
        <v>1614.0206929539033</v>
      </c>
      <c r="AW167" s="81">
        <f>IFERROR(VLOOKUP(tbl_Data[[#This Row],[Column1]],'1. Set Program Names'!$B$2:$D$15,3,0)*tbl_Data[[#This Row],[Sum of Annuals]],"")</f>
        <v>671.90738973274892</v>
      </c>
      <c r="AX167" s="81">
        <f>tbl_Data[[#This Row],[per unit IRA tax ($)]]/tbl_Data[[#This Row],[kWh Savings]]*tbl_Data[[#This Row],[Sum of Annuals]]</f>
        <v>5380.068976513011</v>
      </c>
      <c r="AY167" s="81">
        <f>tbl_Data[[#This Row],[Avoided Costs ($/unit)]]/tbl_Data[[#This Row],[kWh Savings]]*tbl_Data[[#This Row],[Sum of Annuals]]</f>
        <v>710.0347281173523</v>
      </c>
      <c r="AZ167" s="81">
        <f>tbl_Data[[#This Row],[Lost Revenue ($/unit)]]/tbl_Data[[#This Row],[kWh Savings]]*tbl_Data[[#This Row],[Sum of Annuals]]</f>
        <v>1907.4049025486827</v>
      </c>
      <c r="BA167" s="81">
        <f>tbl_Data[[#This Row],[Incremental Cost ($/unit)]]/tbl_Data[[#This Row],[kWh Savings]]*tbl_Data[[#This Row],[Sum of Annuals]]</f>
        <v>5582.8975769275503</v>
      </c>
      <c r="BB167" s="77">
        <f>ROUNDUP(tbl_Data[[#This Row],[Adjusted 2025]]/$L167,0)</f>
        <v>1</v>
      </c>
      <c r="BC167" s="77">
        <f>ROUNDUP(tbl_Data[[#This Row],[Adjusted 2026]]/$L167,0)</f>
        <v>1</v>
      </c>
      <c r="BD167" s="77">
        <f>ROUNDUP(tbl_Data[[#This Row],[Adjusted 2027]]/$L167,0)</f>
        <v>1</v>
      </c>
      <c r="BE167" s="77">
        <f>ROUNDUP(tbl_Data[[#This Row],[Adjusted 2028]]/$L167,0)</f>
        <v>1</v>
      </c>
      <c r="BF167" s="77">
        <f>ROUNDUP(tbl_Data[[#This Row],[Adjusted 2029]]/$L167,0)</f>
        <v>1</v>
      </c>
      <c r="BG167" s="77">
        <f>ROUNDUP(tbl_Data[[#This Row],[Adjusted 2030]]/$L167,0)</f>
        <v>1</v>
      </c>
      <c r="BH167" s="77">
        <f>ROUNDUP(tbl_Data[[#This Row],[Adjusted 2031]]/$L167,0)</f>
        <v>1</v>
      </c>
      <c r="BI167" s="77">
        <f>ROUNDUP(tbl_Data[[#This Row],[Adjusted 2032]]/$L167,0)</f>
        <v>1</v>
      </c>
      <c r="BJ167" s="77">
        <f>ROUNDUP(tbl_Data[[#This Row],[Adjusted 2033]]/$L167,0)</f>
        <v>1</v>
      </c>
      <c r="BK167" s="77">
        <f>ROUNDUP(tbl_Data[[#This Row],[Adjusted 2034]]/$L167,0)</f>
        <v>1</v>
      </c>
      <c r="BL167" s="80">
        <f t="shared" si="78"/>
        <v>14483.157305630459</v>
      </c>
      <c r="BM167" s="80">
        <f t="shared" si="79"/>
        <v>30592.982900238643</v>
      </c>
      <c r="BN167" s="80">
        <f t="shared" si="80"/>
        <v>48202.250081399405</v>
      </c>
      <c r="BO167" s="80">
        <f t="shared" si="81"/>
        <v>67229.509412493717</v>
      </c>
      <c r="BP167" s="80">
        <f t="shared" si="82"/>
        <v>87607.00226594269</v>
      </c>
      <c r="BQ167" s="80">
        <f t="shared" si="83"/>
        <v>109219.12356123512</v>
      </c>
      <c r="BR167" s="80">
        <f t="shared" si="84"/>
        <v>132120.38301566028</v>
      </c>
      <c r="BS167" s="80">
        <f t="shared" si="85"/>
        <v>156421.78425702447</v>
      </c>
      <c r="BT167" s="80">
        <f t="shared" si="86"/>
        <v>182252.74459914418</v>
      </c>
      <c r="BU167" s="80">
        <f t="shared" si="87"/>
        <v>209752.99164384993</v>
      </c>
      <c r="BV167" s="80">
        <f>IFERROR(VLOOKUP($H167,'1. Set Program Names'!$B$2:$D$15,3,0)*V167,"NA")</f>
        <v>6029.2538148969588</v>
      </c>
      <c r="BW167" s="80">
        <f>IFERROR(VLOOKUP($H167,'1. Set Program Names'!$B$2:$D$15,3,0)*W167,"NA")</f>
        <v>12735.68013989833</v>
      </c>
      <c r="BX167" s="80">
        <f>IFERROR(VLOOKUP($H167,'1. Set Program Names'!$B$2:$D$15,3,0)*X167,"NA")</f>
        <v>20066.315241698856</v>
      </c>
      <c r="BY167" s="80">
        <f>IFERROR(VLOOKUP($H167,'1. Set Program Names'!$B$2:$D$15,3,0)*Y167,"NA")</f>
        <v>27987.252195441364</v>
      </c>
      <c r="BZ167" s="80">
        <f>IFERROR(VLOOKUP($H167,'1. Set Program Names'!$B$2:$D$15,3,0)*Z167,"NA")</f>
        <v>36470.283480127437</v>
      </c>
      <c r="CA167" s="80">
        <f>IFERROR(VLOOKUP($H167,'1. Set Program Names'!$B$2:$D$15,3,0)*AA167,"NA")</f>
        <v>45467.283375792475</v>
      </c>
      <c r="CB167" s="80">
        <f>IFERROR(VLOOKUP($H167,'1. Set Program Names'!$B$2:$D$15,3,0)*AB167,"NA")</f>
        <v>55000.943959445671</v>
      </c>
      <c r="CC167" s="80">
        <f>IFERROR(VLOOKUP($H167,'1. Set Program Names'!$B$2:$D$15,3,0)*AC167,"NA")</f>
        <v>65117.475393159781</v>
      </c>
      <c r="CD167" s="80">
        <f>IFERROR(VLOOKUP($H167,'1. Set Program Names'!$B$2:$D$15,3,0)*AD167,"NA")</f>
        <v>75870.753348970669</v>
      </c>
      <c r="CE167" s="80">
        <f>IFERROR(VLOOKUP($H167,'1. Set Program Names'!$B$2:$D$15,3,0)*AE167,"NA")</f>
        <v>87318.945611609583</v>
      </c>
    </row>
    <row r="168" spans="1:83" x14ac:dyDescent="0.25">
      <c r="A168" s="79" t="s">
        <v>113</v>
      </c>
      <c r="B168" s="79" t="s">
        <v>88</v>
      </c>
      <c r="C168" s="79" t="s">
        <v>89</v>
      </c>
      <c r="D168" s="79" t="s">
        <v>90</v>
      </c>
      <c r="E168" s="79" t="s">
        <v>91</v>
      </c>
      <c r="F168" s="79" t="s">
        <v>90</v>
      </c>
      <c r="G168" s="79" t="s">
        <v>92</v>
      </c>
      <c r="H168" s="79"/>
      <c r="I168" s="79" t="s">
        <v>300</v>
      </c>
      <c r="J168" s="79" t="s">
        <v>120</v>
      </c>
      <c r="K168" s="79" t="s">
        <v>121</v>
      </c>
      <c r="L168" s="79">
        <v>1988.02171595288</v>
      </c>
      <c r="M168" s="79">
        <v>0.57653488407092901</v>
      </c>
      <c r="N168" s="79">
        <v>0.213799538654902</v>
      </c>
      <c r="O168" s="79">
        <v>1475.381509522</v>
      </c>
      <c r="P168" s="79">
        <v>647.28493209175997</v>
      </c>
      <c r="Q168" s="79">
        <v>597.23166252061401</v>
      </c>
      <c r="R168" s="79">
        <v>1282.4247459138801</v>
      </c>
      <c r="S168" s="79">
        <v>3005.0463968047102</v>
      </c>
      <c r="T168" s="79">
        <v>20</v>
      </c>
      <c r="U168" s="79">
        <v>1</v>
      </c>
      <c r="V168" s="79">
        <f>tbl_Data_old[[#This Row],[2025 ]]*IFERROR(AVERAGEIFS('Participation Adjustment'!$C:$C,'Participation Adjustment'!$A:$A,$H168,'Participation Adjustment'!$B:$B,$I168),1)</f>
        <v>174176.96172562701</v>
      </c>
      <c r="W168" s="79">
        <f>tbl_Data_old[[#This Row],[2026 ]]*IFERROR(AVERAGEIFS('Participation Adjustment'!$C:$C,'Participation Adjustment'!$A:$A,$H168,'Participation Adjustment'!$B:$B,$I168),1)</f>
        <v>359616.071860859</v>
      </c>
      <c r="X168" s="79">
        <f>tbl_Data_old[[#This Row],[2027 ]]*IFERROR(AVERAGEIFS('Participation Adjustment'!$C:$C,'Participation Adjustment'!$A:$A,$H168,'Participation Adjustment'!$B:$B,$I168),1)</f>
        <v>550621.32158520899</v>
      </c>
      <c r="Y168" s="79">
        <f>tbl_Data_old[[#This Row],[2028 ]]*IFERROR(AVERAGEIFS('Participation Adjustment'!$C:$C,'Participation Adjustment'!$A:$A,$H168,'Participation Adjustment'!$B:$B,$I168),1)</f>
        <v>746216.53416545095</v>
      </c>
      <c r="Z168" s="79">
        <f>tbl_Data_old[[#This Row],[2029 ]]*IFERROR(AVERAGEIFS('Participation Adjustment'!$C:$C,'Participation Adjustment'!$A:$A,$H168,'Participation Adjustment'!$B:$B,$I168),1)</f>
        <v>947897.03336759098</v>
      </c>
      <c r="AA168" s="79">
        <f>tbl_Data_old[[#This Row],[2030 ]]*IFERROR(AVERAGEIFS('Participation Adjustment'!$C:$C,'Participation Adjustment'!$A:$A,$H168,'Participation Adjustment'!$B:$B,$I168),1)</f>
        <v>1155976.97488008</v>
      </c>
      <c r="AB168" s="79">
        <f>tbl_Data_old[[#This Row],[2031 ]]*IFERROR(AVERAGEIFS('Participation Adjustment'!$C:$C,'Participation Adjustment'!$A:$A,$H168,'Participation Adjustment'!$B:$B,$I168),1)</f>
        <v>1372761.3713969099</v>
      </c>
      <c r="AC168" s="79">
        <f>tbl_Data_old[[#This Row],[2032 ]]*IFERROR(AVERAGEIFS('Participation Adjustment'!$C:$C,'Participation Adjustment'!$A:$A,$H168,'Participation Adjustment'!$B:$B,$I168),1)</f>
        <v>1599552.4986577299</v>
      </c>
      <c r="AD168" s="79">
        <f>tbl_Data_old[[#This Row],[2033 ]]*IFERROR(AVERAGEIFS('Participation Adjustment'!$C:$C,'Participation Adjustment'!$A:$A,$H168,'Participation Adjustment'!$B:$B,$I168),1)</f>
        <v>1838032.9282853999</v>
      </c>
      <c r="AE168" s="79">
        <f>tbl_Data_old[[#This Row],[2034 ]]*IFERROR(AVERAGEIFS('Participation Adjustment'!$C:$C,'Participation Adjustment'!$A:$A,$H168,'Participation Adjustment'!$B:$B,$I168),1)</f>
        <v>2089587.3906703501</v>
      </c>
      <c r="AF168" s="77" t="str">
        <f t="shared" si="77"/>
        <v>Residential</v>
      </c>
      <c r="AG168" s="77" t="str">
        <f>tbl_Data[[#This Row],[All_Meas_Name_Append]]</f>
        <v>New Construction - Whole Home Improvements - Tier 1</v>
      </c>
      <c r="AH168" s="77">
        <f>AVERAGEIFS('3. Incentive Adjustment'!G:G,'3. Incentive Adjustment'!A:A,tbl_Data[[#This Row],[Trimmed Sector]],'3. Incentive Adjustment'!B:B,tbl_Data[[#This Row],[Trimmed Measure Name]])</f>
        <v>0.42355026786158312</v>
      </c>
      <c r="AI168" s="77">
        <f>$AH168*tbl_Data[[#This Row],[2025 ]]</f>
        <v>73772.698794206037</v>
      </c>
      <c r="AJ168" s="77">
        <f>$AH168*tbl_Data[[#This Row],[2026 ]]</f>
        <v>152315.48356399714</v>
      </c>
      <c r="AK168" s="77">
        <f>$AH168*tbl_Data[[#This Row],[2027 ]]</f>
        <v>233215.80824771416</v>
      </c>
      <c r="AL168" s="77">
        <f>$AH168*tbl_Data[[#This Row],[2028 ]]</f>
        <v>316060.21292851894</v>
      </c>
      <c r="AM168" s="77">
        <f>$AH168*tbl_Data[[#This Row],[2029 ]]</f>
        <v>401482.04238804313</v>
      </c>
      <c r="AN168" s="77">
        <f>$AH168*tbl_Data[[#This Row],[2030 ]]</f>
        <v>489614.35735228041</v>
      </c>
      <c r="AO168" s="77">
        <f>$AH168*tbl_Data[[#This Row],[2031 ]]</f>
        <v>581433.44656519534</v>
      </c>
      <c r="AP168" s="77">
        <f>$AH168*tbl_Data[[#This Row],[2032 ]]</f>
        <v>677490.88926514611</v>
      </c>
      <c r="AQ168" s="77">
        <f>$AH168*tbl_Data[[#This Row],[2033 ]]</f>
        <v>778499.33911369112</v>
      </c>
      <c r="AR168" s="77">
        <f>$AH168*tbl_Data[[#This Row],[2034 ]]</f>
        <v>885045.29903861333</v>
      </c>
      <c r="AS168" s="77">
        <f>SUM(tbl_Data[[#This Row],[Adjusted 2025]:[Adjusted 2034]])</f>
        <v>4588929.577257406</v>
      </c>
      <c r="AT168" s="80">
        <f>AVERAGEIFS('3. Incentive Adjustment'!F:F,'3. Incentive Adjustment'!A:A,tbl_Data[[#This Row],[Trimmed Sector]],'3. Incentive Adjustment'!B:B,tbl_Data[[#This Row],[Trimmed Measure Name]])</f>
        <v>0</v>
      </c>
      <c r="AU168" s="80">
        <f>IFERROR(VLOOKUP(tbl_Data[[#This Row],[All_Meas_Name_Append]],'IRA Tax Credits'!$A$3:$D$46,4,0),0)</f>
        <v>0</v>
      </c>
      <c r="AV168" s="81">
        <f>tbl_Data[[#This Row],[Adj. per unit Incentive ($)]]/tbl_Data[[#This Row],[kWh Savings]]*tbl_Data[[#This Row],[Sum of Annuals]]</f>
        <v>0</v>
      </c>
      <c r="AW168" s="81" t="str">
        <f>IFERROR(VLOOKUP(tbl_Data[[#This Row],[Column1]],'1. Set Program Names'!$B$2:$D$15,3,0)*tbl_Data[[#This Row],[Sum of Annuals]],"")</f>
        <v/>
      </c>
      <c r="AX168" s="81">
        <f>tbl_Data[[#This Row],[per unit IRA tax ($)]]/tbl_Data[[#This Row],[kWh Savings]]*tbl_Data[[#This Row],[Sum of Annuals]]</f>
        <v>0</v>
      </c>
      <c r="AY168" s="81">
        <f>tbl_Data[[#This Row],[Avoided Costs ($/unit)]]/tbl_Data[[#This Row],[kWh Savings]]*tbl_Data[[#This Row],[Sum of Annuals]]</f>
        <v>2960207.5268631033</v>
      </c>
      <c r="AZ168" s="81">
        <f>tbl_Data[[#This Row],[Lost Revenue ($/unit)]]/tbl_Data[[#This Row],[kWh Savings]]*tbl_Data[[#This Row],[Sum of Annuals]]</f>
        <v>6936516.9307108205</v>
      </c>
      <c r="BA168" s="81">
        <f>tbl_Data[[#This Row],[Incremental Cost ($/unit)]]/tbl_Data[[#This Row],[kWh Savings]]*tbl_Data[[#This Row],[Sum of Annuals]]</f>
        <v>3405607.5909306905</v>
      </c>
      <c r="BB168" s="77">
        <f>ROUNDUP(tbl_Data[[#This Row],[Adjusted 2025]]/$L168,0)</f>
        <v>38</v>
      </c>
      <c r="BC168" s="77">
        <f>ROUNDUP(tbl_Data[[#This Row],[Adjusted 2026]]/$L168,0)</f>
        <v>77</v>
      </c>
      <c r="BD168" s="77">
        <f>ROUNDUP(tbl_Data[[#This Row],[Adjusted 2027]]/$L168,0)</f>
        <v>118</v>
      </c>
      <c r="BE168" s="77">
        <f>ROUNDUP(tbl_Data[[#This Row],[Adjusted 2028]]/$L168,0)</f>
        <v>159</v>
      </c>
      <c r="BF168" s="77">
        <f>ROUNDUP(tbl_Data[[#This Row],[Adjusted 2029]]/$L168,0)</f>
        <v>202</v>
      </c>
      <c r="BG168" s="77">
        <f>ROUNDUP(tbl_Data[[#This Row],[Adjusted 2030]]/$L168,0)</f>
        <v>247</v>
      </c>
      <c r="BH168" s="77">
        <f>ROUNDUP(tbl_Data[[#This Row],[Adjusted 2031]]/$L168,0)</f>
        <v>293</v>
      </c>
      <c r="BI168" s="77">
        <f>ROUNDUP(tbl_Data[[#This Row],[Adjusted 2032]]/$L168,0)</f>
        <v>341</v>
      </c>
      <c r="BJ168" s="77">
        <f>ROUNDUP(tbl_Data[[#This Row],[Adjusted 2033]]/$L168,0)</f>
        <v>392</v>
      </c>
      <c r="BK168" s="77">
        <f>ROUNDUP(tbl_Data[[#This Row],[Adjusted 2034]]/$L168,0)</f>
        <v>446</v>
      </c>
      <c r="BL168" s="80">
        <f t="shared" si="78"/>
        <v>0</v>
      </c>
      <c r="BM168" s="80">
        <f t="shared" si="79"/>
        <v>0</v>
      </c>
      <c r="BN168" s="80">
        <f t="shared" si="80"/>
        <v>0</v>
      </c>
      <c r="BO168" s="80">
        <f t="shared" si="81"/>
        <v>0</v>
      </c>
      <c r="BP168" s="80">
        <f t="shared" si="82"/>
        <v>0</v>
      </c>
      <c r="BQ168" s="80">
        <f t="shared" si="83"/>
        <v>0</v>
      </c>
      <c r="BR168" s="80">
        <f t="shared" si="84"/>
        <v>0</v>
      </c>
      <c r="BS168" s="80">
        <f t="shared" si="85"/>
        <v>0</v>
      </c>
      <c r="BT168" s="80">
        <f t="shared" si="86"/>
        <v>0</v>
      </c>
      <c r="BU168" s="80">
        <f t="shared" si="87"/>
        <v>0</v>
      </c>
      <c r="BV168" s="80" t="str">
        <f>IFERROR(VLOOKUP($H168,'1. Set Program Names'!$B$2:$D$15,3,0)*V168,"NA")</f>
        <v>NA</v>
      </c>
      <c r="BW168" s="80" t="str">
        <f>IFERROR(VLOOKUP($H168,'1. Set Program Names'!$B$2:$D$15,3,0)*W168,"NA")</f>
        <v>NA</v>
      </c>
      <c r="BX168" s="80" t="str">
        <f>IFERROR(VLOOKUP($H168,'1. Set Program Names'!$B$2:$D$15,3,0)*X168,"NA")</f>
        <v>NA</v>
      </c>
      <c r="BY168" s="80" t="str">
        <f>IFERROR(VLOOKUP($H168,'1. Set Program Names'!$B$2:$D$15,3,0)*Y168,"NA")</f>
        <v>NA</v>
      </c>
      <c r="BZ168" s="80" t="str">
        <f>IFERROR(VLOOKUP($H168,'1. Set Program Names'!$B$2:$D$15,3,0)*Z168,"NA")</f>
        <v>NA</v>
      </c>
      <c r="CA168" s="80" t="str">
        <f>IFERROR(VLOOKUP($H168,'1. Set Program Names'!$B$2:$D$15,3,0)*AA168,"NA")</f>
        <v>NA</v>
      </c>
      <c r="CB168" s="80" t="str">
        <f>IFERROR(VLOOKUP($H168,'1. Set Program Names'!$B$2:$D$15,3,0)*AB168,"NA")</f>
        <v>NA</v>
      </c>
      <c r="CC168" s="80" t="str">
        <f>IFERROR(VLOOKUP($H168,'1. Set Program Names'!$B$2:$D$15,3,0)*AC168,"NA")</f>
        <v>NA</v>
      </c>
      <c r="CD168" s="80" t="str">
        <f>IFERROR(VLOOKUP($H168,'1. Set Program Names'!$B$2:$D$15,3,0)*AD168,"NA")</f>
        <v>NA</v>
      </c>
      <c r="CE168" s="80" t="str">
        <f>IFERROR(VLOOKUP($H168,'1. Set Program Names'!$B$2:$D$15,3,0)*AE168,"NA")</f>
        <v>NA</v>
      </c>
    </row>
    <row r="169" spans="1:83" x14ac:dyDescent="0.25">
      <c r="A169" s="79" t="s">
        <v>113</v>
      </c>
      <c r="B169" s="79" t="s">
        <v>88</v>
      </c>
      <c r="C169" s="79" t="s">
        <v>89</v>
      </c>
      <c r="D169" s="79" t="s">
        <v>90</v>
      </c>
      <c r="E169" s="79" t="s">
        <v>91</v>
      </c>
      <c r="F169" s="79" t="s">
        <v>90</v>
      </c>
      <c r="G169" s="79" t="s">
        <v>92</v>
      </c>
      <c r="H169" s="79"/>
      <c r="I169" s="79" t="s">
        <v>119</v>
      </c>
      <c r="J169" s="79" t="s">
        <v>120</v>
      </c>
      <c r="K169" s="79" t="s">
        <v>121</v>
      </c>
      <c r="L169" s="79">
        <v>6673.4968833372895</v>
      </c>
      <c r="M169" s="79">
        <v>1.73762506704112</v>
      </c>
      <c r="N169" s="79">
        <v>0.78936762832777396</v>
      </c>
      <c r="O169" s="79">
        <v>2151.0039802452802</v>
      </c>
      <c r="P169" s="79">
        <v>549.54451231238204</v>
      </c>
      <c r="Q169" s="79">
        <v>2004.8189647422</v>
      </c>
      <c r="R169" s="79">
        <v>4267.3988807063497</v>
      </c>
      <c r="S169" s="79">
        <v>10087.499347937401</v>
      </c>
      <c r="T169" s="79">
        <v>20</v>
      </c>
      <c r="U169" s="79">
        <v>1</v>
      </c>
      <c r="V169" s="79">
        <f>tbl_Data_old[[#This Row],[2025 ]]*IFERROR(AVERAGEIFS('Participation Adjustment'!$C:$C,'Participation Adjustment'!$A:$A,$H169,'Participation Adjustment'!$B:$B,$I169),1)</f>
        <v>294670.61931632401</v>
      </c>
      <c r="W169" s="79">
        <f>tbl_Data_old[[#This Row],[2026 ]]*IFERROR(AVERAGEIFS('Participation Adjustment'!$C:$C,'Participation Adjustment'!$A:$A,$H169,'Participation Adjustment'!$B:$B,$I169),1)</f>
        <v>609402.75733471697</v>
      </c>
      <c r="X169" s="79">
        <f>tbl_Data_old[[#This Row],[2027 ]]*IFERROR(AVERAGEIFS('Participation Adjustment'!$C:$C,'Participation Adjustment'!$A:$A,$H169,'Participation Adjustment'!$B:$B,$I169),1)</f>
        <v>934620.08482122805</v>
      </c>
      <c r="Y169" s="79">
        <f>tbl_Data_old[[#This Row],[2028 ]]*IFERROR(AVERAGEIFS('Participation Adjustment'!$C:$C,'Participation Adjustment'!$A:$A,$H169,'Participation Adjustment'!$B:$B,$I169),1)</f>
        <v>1268714.51166727</v>
      </c>
      <c r="Z169" s="79">
        <f>tbl_Data_old[[#This Row],[2029 ]]*IFERROR(AVERAGEIFS('Participation Adjustment'!$C:$C,'Participation Adjustment'!$A:$A,$H169,'Participation Adjustment'!$B:$B,$I169),1)</f>
        <v>1614295.80672754</v>
      </c>
      <c r="AA169" s="79">
        <f>tbl_Data_old[[#This Row],[2030 ]]*IFERROR(AVERAGEIFS('Participation Adjustment'!$C:$C,'Participation Adjustment'!$A:$A,$H169,'Participation Adjustment'!$B:$B,$I169),1)</f>
        <v>1971966.3026352201</v>
      </c>
      <c r="AB169" s="79">
        <f>tbl_Data_old[[#This Row],[2031 ]]*IFERROR(AVERAGEIFS('Participation Adjustment'!$C:$C,'Participation Adjustment'!$A:$A,$H169,'Participation Adjustment'!$B:$B,$I169),1)</f>
        <v>2345764.9674130599</v>
      </c>
      <c r="AC169" s="79">
        <f>tbl_Data_old[[#This Row],[2032 ]]*IFERROR(AVERAGEIFS('Participation Adjustment'!$C:$C,'Participation Adjustment'!$A:$A,$H169,'Participation Adjustment'!$B:$B,$I169),1)</f>
        <v>2738032.5969740902</v>
      </c>
      <c r="AD169" s="79">
        <f>tbl_Data_old[[#This Row],[2033 ]]*IFERROR(AVERAGEIFS('Participation Adjustment'!$C:$C,'Participation Adjustment'!$A:$A,$H169,'Participation Adjustment'!$B:$B,$I169),1)</f>
        <v>3151790.1058093398</v>
      </c>
      <c r="AE169" s="79">
        <f>tbl_Data_old[[#This Row],[2034 ]]*IFERROR(AVERAGEIFS('Participation Adjustment'!$C:$C,'Participation Adjustment'!$A:$A,$H169,'Participation Adjustment'!$B:$B,$I169),1)</f>
        <v>3589566.6050538099</v>
      </c>
      <c r="AF169" s="77" t="str">
        <f t="shared" si="77"/>
        <v>Residential</v>
      </c>
      <c r="AG169" s="77" t="str">
        <f>tbl_Data[[#This Row],[All_Meas_Name_Append]]</f>
        <v>New Construction - Whole Home Improvements - Tier 2</v>
      </c>
      <c r="AH169" s="77">
        <f>AVERAGEIFS('3. Incentive Adjustment'!G:G,'3. Incentive Adjustment'!A:A,tbl_Data[[#This Row],[Trimmed Sector]],'3. Incentive Adjustment'!B:B,tbl_Data[[#This Row],[Trimmed Measure Name]])</f>
        <v>0.80470846489720416</v>
      </c>
      <c r="AI169" s="77">
        <f>$AH169*tbl_Data[[#This Row],[2025 ]]</f>
        <v>237123.94172034753</v>
      </c>
      <c r="AJ169" s="77">
        <f>$AH169*tbl_Data[[#This Row],[2026 ]]</f>
        <v>490391.55735894351</v>
      </c>
      <c r="AK169" s="77">
        <f>$AH169*tbl_Data[[#This Row],[2027 ]]</f>
        <v>752096.69371858519</v>
      </c>
      <c r="AL169" s="77">
        <f>$AH169*tbl_Data[[#This Row],[2028 ]]</f>
        <v>1020945.3070765749</v>
      </c>
      <c r="AM169" s="77">
        <f>$AH169*tbl_Data[[#This Row],[2029 ]]</f>
        <v>1299037.5005217125</v>
      </c>
      <c r="AN169" s="77">
        <f>$AH169*tbl_Data[[#This Row],[2030 ]]</f>
        <v>1586857.9762226036</v>
      </c>
      <c r="AO169" s="77">
        <f>$AH169*tbl_Data[[#This Row],[2031 ]]</f>
        <v>1887656.9259366035</v>
      </c>
      <c r="AP169" s="77">
        <f>$AH169*tbl_Data[[#This Row],[2032 ]]</f>
        <v>2203318.0079495255</v>
      </c>
      <c r="AQ169" s="77">
        <f>$AH169*tbl_Data[[#This Row],[2033 ]]</f>
        <v>2536272.1777240303</v>
      </c>
      <c r="AR169" s="77">
        <f>$AH169*tbl_Data[[#This Row],[2034 ]]</f>
        <v>2888554.6323991199</v>
      </c>
      <c r="AS169" s="77">
        <f>SUM(tbl_Data[[#This Row],[Adjusted 2025]:[Adjusted 2034]])</f>
        <v>14902254.720628045</v>
      </c>
      <c r="AT169" s="80">
        <f>AVERAGEIFS('3. Incentive Adjustment'!F:F,'3. Incentive Adjustment'!A:A,tbl_Data[[#This Row],[Trimmed Sector]],'3. Incentive Adjustment'!B:B,tbl_Data[[#This Row],[Trimmed Measure Name]])</f>
        <v>0</v>
      </c>
      <c r="AU169" s="80">
        <f>IFERROR(VLOOKUP(tbl_Data[[#This Row],[All_Meas_Name_Append]],'IRA Tax Credits'!$A$3:$D$46,4,0),0)</f>
        <v>0</v>
      </c>
      <c r="AV169" s="81">
        <f>tbl_Data[[#This Row],[Adj. per unit Incentive ($)]]/tbl_Data[[#This Row],[kWh Savings]]*tbl_Data[[#This Row],[Sum of Annuals]]</f>
        <v>0</v>
      </c>
      <c r="AW169" s="81" t="str">
        <f>IFERROR(VLOOKUP(tbl_Data[[#This Row],[Column1]],'1. Set Program Names'!$B$2:$D$15,3,0)*tbl_Data[[#This Row],[Sum of Annuals]],"")</f>
        <v/>
      </c>
      <c r="AX169" s="81">
        <f>tbl_Data[[#This Row],[per unit IRA tax ($)]]/tbl_Data[[#This Row],[kWh Savings]]*tbl_Data[[#This Row],[Sum of Annuals]]</f>
        <v>0</v>
      </c>
      <c r="AY169" s="81">
        <f>tbl_Data[[#This Row],[Avoided Costs ($/unit)]]/tbl_Data[[#This Row],[kWh Savings]]*tbl_Data[[#This Row],[Sum of Annuals]]</f>
        <v>9529316.6725818478</v>
      </c>
      <c r="AZ169" s="81">
        <f>tbl_Data[[#This Row],[Lost Revenue ($/unit)]]/tbl_Data[[#This Row],[kWh Savings]]*tbl_Data[[#This Row],[Sum of Annuals]]</f>
        <v>22525894.205851045</v>
      </c>
      <c r="BA169" s="81">
        <f>tbl_Data[[#This Row],[Incremental Cost ($/unit)]]/tbl_Data[[#This Row],[kWh Savings]]*tbl_Data[[#This Row],[Sum of Annuals]]</f>
        <v>4803300.2455932731</v>
      </c>
      <c r="BB169" s="77">
        <f>ROUNDUP(tbl_Data[[#This Row],[Adjusted 2025]]/$L169,0)</f>
        <v>36</v>
      </c>
      <c r="BC169" s="77">
        <f>ROUNDUP(tbl_Data[[#This Row],[Adjusted 2026]]/$L169,0)</f>
        <v>74</v>
      </c>
      <c r="BD169" s="77">
        <f>ROUNDUP(tbl_Data[[#This Row],[Adjusted 2027]]/$L169,0)</f>
        <v>113</v>
      </c>
      <c r="BE169" s="77">
        <f>ROUNDUP(tbl_Data[[#This Row],[Adjusted 2028]]/$L169,0)</f>
        <v>153</v>
      </c>
      <c r="BF169" s="77">
        <f>ROUNDUP(tbl_Data[[#This Row],[Adjusted 2029]]/$L169,0)</f>
        <v>195</v>
      </c>
      <c r="BG169" s="77">
        <f>ROUNDUP(tbl_Data[[#This Row],[Adjusted 2030]]/$L169,0)</f>
        <v>238</v>
      </c>
      <c r="BH169" s="77">
        <f>ROUNDUP(tbl_Data[[#This Row],[Adjusted 2031]]/$L169,0)</f>
        <v>283</v>
      </c>
      <c r="BI169" s="77">
        <f>ROUNDUP(tbl_Data[[#This Row],[Adjusted 2032]]/$L169,0)</f>
        <v>331</v>
      </c>
      <c r="BJ169" s="77">
        <f>ROUNDUP(tbl_Data[[#This Row],[Adjusted 2033]]/$L169,0)</f>
        <v>381</v>
      </c>
      <c r="BK169" s="77">
        <f>ROUNDUP(tbl_Data[[#This Row],[Adjusted 2034]]/$L169,0)</f>
        <v>433</v>
      </c>
      <c r="BL169" s="80">
        <f t="shared" si="78"/>
        <v>0</v>
      </c>
      <c r="BM169" s="80">
        <f t="shared" si="79"/>
        <v>0</v>
      </c>
      <c r="BN169" s="80">
        <f t="shared" si="80"/>
        <v>0</v>
      </c>
      <c r="BO169" s="80">
        <f t="shared" si="81"/>
        <v>0</v>
      </c>
      <c r="BP169" s="80">
        <f t="shared" si="82"/>
        <v>0</v>
      </c>
      <c r="BQ169" s="80">
        <f t="shared" si="83"/>
        <v>0</v>
      </c>
      <c r="BR169" s="80">
        <f t="shared" si="84"/>
        <v>0</v>
      </c>
      <c r="BS169" s="80">
        <f t="shared" si="85"/>
        <v>0</v>
      </c>
      <c r="BT169" s="80">
        <f t="shared" si="86"/>
        <v>0</v>
      </c>
      <c r="BU169" s="80">
        <f t="shared" si="87"/>
        <v>0</v>
      </c>
      <c r="BV169" s="80" t="str">
        <f>IFERROR(VLOOKUP($H169,'1. Set Program Names'!$B$2:$D$15,3,0)*V169,"NA")</f>
        <v>NA</v>
      </c>
      <c r="BW169" s="80" t="str">
        <f>IFERROR(VLOOKUP($H169,'1. Set Program Names'!$B$2:$D$15,3,0)*W169,"NA")</f>
        <v>NA</v>
      </c>
      <c r="BX169" s="80" t="str">
        <f>IFERROR(VLOOKUP($H169,'1. Set Program Names'!$B$2:$D$15,3,0)*X169,"NA")</f>
        <v>NA</v>
      </c>
      <c r="BY169" s="80" t="str">
        <f>IFERROR(VLOOKUP($H169,'1. Set Program Names'!$B$2:$D$15,3,0)*Y169,"NA")</f>
        <v>NA</v>
      </c>
      <c r="BZ169" s="80" t="str">
        <f>IFERROR(VLOOKUP($H169,'1. Set Program Names'!$B$2:$D$15,3,0)*Z169,"NA")</f>
        <v>NA</v>
      </c>
      <c r="CA169" s="80" t="str">
        <f>IFERROR(VLOOKUP($H169,'1. Set Program Names'!$B$2:$D$15,3,0)*AA169,"NA")</f>
        <v>NA</v>
      </c>
      <c r="CB169" s="80" t="str">
        <f>IFERROR(VLOOKUP($H169,'1. Set Program Names'!$B$2:$D$15,3,0)*AB169,"NA")</f>
        <v>NA</v>
      </c>
      <c r="CC169" s="80" t="str">
        <f>IFERROR(VLOOKUP($H169,'1. Set Program Names'!$B$2:$D$15,3,0)*AC169,"NA")</f>
        <v>NA</v>
      </c>
      <c r="CD169" s="80" t="str">
        <f>IFERROR(VLOOKUP($H169,'1. Set Program Names'!$B$2:$D$15,3,0)*AD169,"NA")</f>
        <v>NA</v>
      </c>
      <c r="CE169" s="80" t="str">
        <f>IFERROR(VLOOKUP($H169,'1. Set Program Names'!$B$2:$D$15,3,0)*AE169,"NA")</f>
        <v>NA</v>
      </c>
    </row>
    <row r="170" spans="1:83" x14ac:dyDescent="0.25">
      <c r="A170" s="79" t="s">
        <v>113</v>
      </c>
      <c r="B170" s="79" t="s">
        <v>88</v>
      </c>
      <c r="C170" s="79" t="s">
        <v>89</v>
      </c>
      <c r="D170" s="79" t="s">
        <v>90</v>
      </c>
      <c r="E170" s="79" t="s">
        <v>91</v>
      </c>
      <c r="F170" s="79" t="s">
        <v>90</v>
      </c>
      <c r="G170" s="79" t="s">
        <v>92</v>
      </c>
      <c r="H170" s="79" t="s">
        <v>9</v>
      </c>
      <c r="I170" s="79" t="s">
        <v>299</v>
      </c>
      <c r="J170" s="79" t="s">
        <v>97</v>
      </c>
      <c r="K170" s="79" t="s">
        <v>102</v>
      </c>
      <c r="L170" s="79">
        <v>408.28</v>
      </c>
      <c r="M170" s="79">
        <v>0.16567198429270899</v>
      </c>
      <c r="N170" s="79">
        <v>2.3547919008134799E-2</v>
      </c>
      <c r="O170" s="79">
        <v>128.60999999999999</v>
      </c>
      <c r="P170" s="79">
        <v>29.691921599999901</v>
      </c>
      <c r="Q170" s="79">
        <v>122.65346058206499</v>
      </c>
      <c r="R170" s="79">
        <v>238.630335182902</v>
      </c>
      <c r="S170" s="79">
        <v>423.90838942107399</v>
      </c>
      <c r="T170" s="79">
        <v>11</v>
      </c>
      <c r="U170" s="79">
        <v>0.19999999999999901</v>
      </c>
      <c r="V170" s="79">
        <f>tbl_Data_old[[#This Row],[2025 ]]*IFERROR(AVERAGEIFS('Participation Adjustment'!$C:$C,'Participation Adjustment'!$A:$A,$H170,'Participation Adjustment'!$B:$B,$I170),1)</f>
        <v>3585.1085423712698</v>
      </c>
      <c r="W170" s="79">
        <f>tbl_Data_old[[#This Row],[2026 ]]*IFERROR(AVERAGEIFS('Participation Adjustment'!$C:$C,'Participation Adjustment'!$A:$A,$H170,'Participation Adjustment'!$B:$B,$I170),1)</f>
        <v>6558.4711768555098</v>
      </c>
      <c r="X170" s="79">
        <f>tbl_Data_old[[#This Row],[2027 ]]*IFERROR(AVERAGEIFS('Participation Adjustment'!$C:$C,'Participation Adjustment'!$A:$A,$H170,'Participation Adjustment'!$B:$B,$I170),1)</f>
        <v>9024.1856246029092</v>
      </c>
      <c r="Y170" s="79">
        <f>tbl_Data_old[[#This Row],[2028 ]]*IFERROR(AVERAGEIFS('Participation Adjustment'!$C:$C,'Participation Adjustment'!$A:$A,$H170,'Participation Adjustment'!$B:$B,$I170),1)</f>
        <v>11077.3924311917</v>
      </c>
      <c r="Z170" s="79">
        <f>tbl_Data_old[[#This Row],[2029 ]]*IFERROR(AVERAGEIFS('Participation Adjustment'!$C:$C,'Participation Adjustment'!$A:$A,$H170,'Participation Adjustment'!$B:$B,$I170),1)</f>
        <v>12798.676211353601</v>
      </c>
      <c r="AA170" s="79">
        <f>tbl_Data_old[[#This Row],[2030 ]]*IFERROR(AVERAGEIFS('Participation Adjustment'!$C:$C,'Participation Adjustment'!$A:$A,$H170,'Participation Adjustment'!$B:$B,$I170),1)</f>
        <v>14248.934767884901</v>
      </c>
      <c r="AB170" s="79">
        <f>tbl_Data_old[[#This Row],[2031 ]]*IFERROR(AVERAGEIFS('Participation Adjustment'!$C:$C,'Participation Adjustment'!$A:$A,$H170,'Participation Adjustment'!$B:$B,$I170),1)</f>
        <v>15488.5994972835</v>
      </c>
      <c r="AC170" s="79">
        <f>tbl_Data_old[[#This Row],[2032 ]]*IFERROR(AVERAGEIFS('Participation Adjustment'!$C:$C,'Participation Adjustment'!$A:$A,$H170,'Participation Adjustment'!$B:$B,$I170),1)</f>
        <v>16564.9053017552</v>
      </c>
      <c r="AD170" s="79">
        <f>tbl_Data_old[[#This Row],[2033 ]]*IFERROR(AVERAGEIFS('Participation Adjustment'!$C:$C,'Participation Adjustment'!$A:$A,$H170,'Participation Adjustment'!$B:$B,$I170),1)</f>
        <v>17514.982783208001</v>
      </c>
      <c r="AE170" s="79">
        <f>tbl_Data_old[[#This Row],[2034 ]]*IFERROR(AVERAGEIFS('Participation Adjustment'!$C:$C,'Participation Adjustment'!$A:$A,$H170,'Participation Adjustment'!$B:$B,$I170),1)</f>
        <v>18367.467319679599</v>
      </c>
      <c r="AF170" s="77" t="str">
        <f t="shared" si="77"/>
        <v>Residential</v>
      </c>
      <c r="AG170" s="77" t="str">
        <f>tbl_Data[[#This Row],[All_Meas_Name_Append]]</f>
        <v>Smart Thermostat Residential</v>
      </c>
      <c r="AH170" s="77">
        <f>AVERAGEIFS('3. Incentive Adjustment'!G:G,'3. Incentive Adjustment'!A:A,tbl_Data[[#This Row],[Trimmed Sector]],'3. Incentive Adjustment'!B:B,tbl_Data[[#This Row],[Trimmed Measure Name]])</f>
        <v>1.1402432304340044</v>
      </c>
      <c r="AI170" s="77">
        <f>$AH170*tbl_Data[[#This Row],[2025 ]]</f>
        <v>4087.8957458099617</v>
      </c>
      <c r="AJ170" s="77">
        <f>$AH170*tbl_Data[[#This Row],[2026 ]]</f>
        <v>7478.2523614060337</v>
      </c>
      <c r="AK170" s="77">
        <f>$AH170*tbl_Data[[#This Row],[2027 ]]</f>
        <v>10289.766568633326</v>
      </c>
      <c r="AL170" s="77">
        <f>$AH170*tbl_Data[[#This Row],[2028 ]]</f>
        <v>12630.921730527214</v>
      </c>
      <c r="AM170" s="77">
        <f>$AH170*tbl_Data[[#This Row],[2029 ]]</f>
        <v>14593.603908512674</v>
      </c>
      <c r="AN170" s="77">
        <f>$AH170*tbl_Data[[#This Row],[2030 ]]</f>
        <v>16247.251409976481</v>
      </c>
      <c r="AO170" s="77">
        <f>$AH170*tbl_Data[[#This Row],[2031 ]]</f>
        <v>17660.770725681035</v>
      </c>
      <c r="AP170" s="77">
        <f>$AH170*tbl_Data[[#This Row],[2032 ]]</f>
        <v>18888.021133106715</v>
      </c>
      <c r="AQ170" s="77">
        <f>$AH170*tbl_Data[[#This Row],[2033 ]]</f>
        <v>19971.340549721062</v>
      </c>
      <c r="AR170" s="77">
        <f>$AH170*tbl_Data[[#This Row],[2034 ]]</f>
        <v>20943.380271482471</v>
      </c>
      <c r="AS170" s="77">
        <f>SUM(tbl_Data[[#This Row],[Adjusted 2025]:[Adjusted 2034]])</f>
        <v>142791.20440485695</v>
      </c>
      <c r="AT170" s="80">
        <f>AVERAGEIFS('3. Incentive Adjustment'!F:F,'3. Incentive Adjustment'!A:A,tbl_Data[[#This Row],[Trimmed Sector]],'3. Incentive Adjustment'!B:B,tbl_Data[[#This Row],[Trimmed Measure Name]])</f>
        <v>50</v>
      </c>
      <c r="AU170" s="80">
        <f>IFERROR(VLOOKUP(tbl_Data[[#This Row],[All_Meas_Name_Append]],'IRA Tax Credits'!$A$3:$D$46,4,0),0)</f>
        <v>0</v>
      </c>
      <c r="AV170" s="81">
        <f>tbl_Data[[#This Row],[Adj. per unit Incentive ($)]]/tbl_Data[[#This Row],[kWh Savings]]*tbl_Data[[#This Row],[Sum of Annuals]]</f>
        <v>17486.921280108869</v>
      </c>
      <c r="AW170" s="81">
        <f>IFERROR(VLOOKUP(tbl_Data[[#This Row],[Column1]],'1. Set Program Names'!$B$2:$D$15,3,0)*tbl_Data[[#This Row],[Sum of Annuals]],"")</f>
        <v>64344.942297945265</v>
      </c>
      <c r="AX170" s="81">
        <f>tbl_Data[[#This Row],[per unit IRA tax ($)]]/tbl_Data[[#This Row],[kWh Savings]]*tbl_Data[[#This Row],[Sum of Annuals]]</f>
        <v>0</v>
      </c>
      <c r="AY170" s="81">
        <f>tbl_Data[[#This Row],[Avoided Costs ($/unit)]]/tbl_Data[[#This Row],[kWh Savings]]*tbl_Data[[#This Row],[Sum of Annuals]]</f>
        <v>83458.197727788007</v>
      </c>
      <c r="AZ170" s="81">
        <f>tbl_Data[[#This Row],[Lost Revenue ($/unit)]]/tbl_Data[[#This Row],[kWh Savings]]*tbl_Data[[#This Row],[Sum of Annuals]]</f>
        <v>148257.05271568111</v>
      </c>
      <c r="BA170" s="81">
        <f>tbl_Data[[#This Row],[Incremental Cost ($/unit)]]/tbl_Data[[#This Row],[kWh Savings]]*tbl_Data[[#This Row],[Sum of Annuals]]</f>
        <v>44979.858916696023</v>
      </c>
      <c r="BB170" s="77">
        <f>ROUNDUP(tbl_Data[[#This Row],[Adjusted 2025]]/$L170,0)</f>
        <v>11</v>
      </c>
      <c r="BC170" s="77">
        <f>ROUNDUP(tbl_Data[[#This Row],[Adjusted 2026]]/$L170,0)</f>
        <v>19</v>
      </c>
      <c r="BD170" s="77">
        <f>ROUNDUP(tbl_Data[[#This Row],[Adjusted 2027]]/$L170,0)</f>
        <v>26</v>
      </c>
      <c r="BE170" s="77">
        <f>ROUNDUP(tbl_Data[[#This Row],[Adjusted 2028]]/$L170,0)</f>
        <v>31</v>
      </c>
      <c r="BF170" s="77">
        <f>ROUNDUP(tbl_Data[[#This Row],[Adjusted 2029]]/$L170,0)</f>
        <v>36</v>
      </c>
      <c r="BG170" s="77">
        <f>ROUNDUP(tbl_Data[[#This Row],[Adjusted 2030]]/$L170,0)</f>
        <v>40</v>
      </c>
      <c r="BH170" s="77">
        <f>ROUNDUP(tbl_Data[[#This Row],[Adjusted 2031]]/$L170,0)</f>
        <v>44</v>
      </c>
      <c r="BI170" s="77">
        <f>ROUNDUP(tbl_Data[[#This Row],[Adjusted 2032]]/$L170,0)</f>
        <v>47</v>
      </c>
      <c r="BJ170" s="77">
        <f>ROUNDUP(tbl_Data[[#This Row],[Adjusted 2033]]/$L170,0)</f>
        <v>49</v>
      </c>
      <c r="BK170" s="77">
        <f>ROUNDUP(tbl_Data[[#This Row],[Adjusted 2034]]/$L170,0)</f>
        <v>52</v>
      </c>
      <c r="BL170" s="80">
        <f t="shared" si="78"/>
        <v>439.05022807525108</v>
      </c>
      <c r="BM170" s="80">
        <f t="shared" si="79"/>
        <v>803.18300882427627</v>
      </c>
      <c r="BN170" s="80">
        <f t="shared" si="80"/>
        <v>1105.1466670670752</v>
      </c>
      <c r="BO170" s="80">
        <f t="shared" si="81"/>
        <v>1356.5925873410038</v>
      </c>
      <c r="BP170" s="80">
        <f t="shared" si="82"/>
        <v>1567.3895624759482</v>
      </c>
      <c r="BQ170" s="80">
        <f t="shared" si="83"/>
        <v>1744.9954403699546</v>
      </c>
      <c r="BR170" s="80">
        <f t="shared" si="84"/>
        <v>1896.8109504853901</v>
      </c>
      <c r="BS170" s="80">
        <f t="shared" si="85"/>
        <v>2028.620713940825</v>
      </c>
      <c r="BT170" s="80">
        <f t="shared" si="86"/>
        <v>2144.9719289712943</v>
      </c>
      <c r="BU170" s="80">
        <f t="shared" si="87"/>
        <v>2249.3714264327914</v>
      </c>
      <c r="BV170" s="80">
        <f>IFERROR(VLOOKUP($H170,'1. Set Program Names'!$B$2:$D$15,3,0)*V170,"NA")</f>
        <v>1615.5308952832354</v>
      </c>
      <c r="BW170" s="80">
        <f>IFERROR(VLOOKUP($H170,'1. Set Program Names'!$B$2:$D$15,3,0)*W170,"NA")</f>
        <v>2955.3952653903852</v>
      </c>
      <c r="BX170" s="80">
        <f>IFERROR(VLOOKUP($H170,'1. Set Program Names'!$B$2:$D$15,3,0)*X170,"NA")</f>
        <v>4066.5018949953651</v>
      </c>
      <c r="BY170" s="80">
        <f>IFERROR(VLOOKUP($H170,'1. Set Program Names'!$B$2:$D$15,3,0)*Y170,"NA")</f>
        <v>4991.723263120547</v>
      </c>
      <c r="BZ170" s="80">
        <f>IFERROR(VLOOKUP($H170,'1. Set Program Names'!$B$2:$D$15,3,0)*Z170,"NA")</f>
        <v>5767.37261753652</v>
      </c>
      <c r="CA170" s="80">
        <f>IFERROR(VLOOKUP($H170,'1. Set Program Names'!$B$2:$D$15,3,0)*AA170,"NA")</f>
        <v>6420.8918838389891</v>
      </c>
      <c r="CB170" s="80">
        <f>IFERROR(VLOOKUP($H170,'1. Set Program Names'!$B$2:$D$15,3,0)*AB170,"NA")</f>
        <v>6979.5128144096789</v>
      </c>
      <c r="CC170" s="80">
        <f>IFERROR(VLOOKUP($H170,'1. Set Program Names'!$B$2:$D$15,3,0)*AC170,"NA")</f>
        <v>7464.520523199054</v>
      </c>
      <c r="CD170" s="80">
        <f>IFERROR(VLOOKUP($H170,'1. Set Program Names'!$B$2:$D$15,3,0)*AD170,"NA")</f>
        <v>7892.6468981915068</v>
      </c>
      <c r="CE170" s="80">
        <f>IFERROR(VLOOKUP($H170,'1. Set Program Names'!$B$2:$D$15,3,0)*AE170,"NA")</f>
        <v>8276.795687591939</v>
      </c>
    </row>
    <row r="171" spans="1:83" x14ac:dyDescent="0.25">
      <c r="A171" s="79" t="s">
        <v>113</v>
      </c>
      <c r="B171" s="79" t="s">
        <v>88</v>
      </c>
      <c r="C171" s="79" t="s">
        <v>89</v>
      </c>
      <c r="D171" s="79" t="s">
        <v>90</v>
      </c>
      <c r="E171" s="79" t="s">
        <v>91</v>
      </c>
      <c r="F171" s="79" t="s">
        <v>90</v>
      </c>
      <c r="G171" s="79" t="s">
        <v>92</v>
      </c>
      <c r="H171" s="79"/>
      <c r="I171" s="79" t="s">
        <v>112</v>
      </c>
      <c r="J171" s="79" t="s">
        <v>94</v>
      </c>
      <c r="K171" s="79" t="s">
        <v>108</v>
      </c>
      <c r="L171" s="79">
        <v>1330.8133333333301</v>
      </c>
      <c r="M171" s="79">
        <v>5.33311142126306E-2</v>
      </c>
      <c r="N171" s="79">
        <v>0.24737910980336</v>
      </c>
      <c r="O171" s="79">
        <v>8990.02</v>
      </c>
      <c r="P171" s="79">
        <v>8776.4394094329891</v>
      </c>
      <c r="Q171" s="79">
        <v>399.796367008147</v>
      </c>
      <c r="R171" s="79">
        <v>713.19672296706005</v>
      </c>
      <c r="S171" s="79">
        <v>2011.6258188035599</v>
      </c>
      <c r="T171" s="79">
        <v>20</v>
      </c>
      <c r="U171" s="79">
        <v>0.2</v>
      </c>
      <c r="V171" s="79">
        <f>tbl_Data_old[[#This Row],[2025 ]]*IFERROR(AVERAGEIFS('Participation Adjustment'!$C:$C,'Participation Adjustment'!$A:$A,$H171,'Participation Adjustment'!$B:$B,$I171),1)</f>
        <v>43162.274395269204</v>
      </c>
      <c r="W171" s="79">
        <f>tbl_Data_old[[#This Row],[2026 ]]*IFERROR(AVERAGEIFS('Participation Adjustment'!$C:$C,'Participation Adjustment'!$A:$A,$H171,'Participation Adjustment'!$B:$B,$I171),1)</f>
        <v>91199.025064054396</v>
      </c>
      <c r="X171" s="79">
        <f>tbl_Data_old[[#This Row],[2027 ]]*IFERROR(AVERAGEIFS('Participation Adjustment'!$C:$C,'Participation Adjustment'!$A:$A,$H171,'Participation Adjustment'!$B:$B,$I171),1)</f>
        <v>143733.438464279</v>
      </c>
      <c r="Y171" s="79">
        <f>tbl_Data_old[[#This Row],[2028 ]]*IFERROR(AVERAGEIFS('Participation Adjustment'!$C:$C,'Participation Adjustment'!$A:$A,$H171,'Participation Adjustment'!$B:$B,$I171),1)</f>
        <v>200524.26621161</v>
      </c>
      <c r="Z171" s="79">
        <f>tbl_Data_old[[#This Row],[2029 ]]*IFERROR(AVERAGEIFS('Participation Adjustment'!$C:$C,'Participation Adjustment'!$A:$A,$H171,'Participation Adjustment'!$B:$B,$I171),1)</f>
        <v>261370.41206173701</v>
      </c>
      <c r="AA171" s="79">
        <f>tbl_Data_old[[#This Row],[2030 ]]*IFERROR(AVERAGEIFS('Participation Adjustment'!$C:$C,'Participation Adjustment'!$A:$A,$H171,'Participation Adjustment'!$B:$B,$I171),1)</f>
        <v>325927.29654940899</v>
      </c>
      <c r="AB171" s="79">
        <f>tbl_Data_old[[#This Row],[2031 ]]*IFERROR(AVERAGEIFS('Participation Adjustment'!$C:$C,'Participation Adjustment'!$A:$A,$H171,'Participation Adjustment'!$B:$B,$I171),1)</f>
        <v>394358.04657613899</v>
      </c>
      <c r="AC171" s="79">
        <f>tbl_Data_old[[#This Row],[2032 ]]*IFERROR(AVERAGEIFS('Participation Adjustment'!$C:$C,'Participation Adjustment'!$A:$A,$H171,'Participation Adjustment'!$B:$B,$I171),1)</f>
        <v>466994.61742886697</v>
      </c>
      <c r="AD171" s="79">
        <f>tbl_Data_old[[#This Row],[2033 ]]*IFERROR(AVERAGEIFS('Participation Adjustment'!$C:$C,'Participation Adjustment'!$A:$A,$H171,'Participation Adjustment'!$B:$B,$I171),1)</f>
        <v>544224.13067669095</v>
      </c>
      <c r="AE171" s="79">
        <f>tbl_Data_old[[#This Row],[2034 ]]*IFERROR(AVERAGEIFS('Participation Adjustment'!$C:$C,'Participation Adjustment'!$A:$A,$H171,'Participation Adjustment'!$B:$B,$I171),1)</f>
        <v>626464.67197730497</v>
      </c>
      <c r="AF171" s="77" t="str">
        <f t="shared" si="77"/>
        <v>Residential</v>
      </c>
      <c r="AG171" s="77" t="str">
        <f>tbl_Data[[#This Row],[All_Meas_Name_Append]]</f>
        <v>Solar Thermal Water Heating System</v>
      </c>
      <c r="AH171" s="77">
        <f>AVERAGEIFS('3. Incentive Adjustment'!G:G,'3. Incentive Adjustment'!A:A,tbl_Data[[#This Row],[Trimmed Sector]],'3. Incentive Adjustment'!B:B,tbl_Data[[#This Row],[Trimmed Measure Name]])</f>
        <v>2.7736651842107431E-8</v>
      </c>
      <c r="AI171" s="77">
        <f>$AH171*tbl_Data[[#This Row],[2025 ]]</f>
        <v>1.1971769776150899E-3</v>
      </c>
      <c r="AJ171" s="77">
        <f>$AH171*tbl_Data[[#This Row],[2026 ]]</f>
        <v>2.5295556065413061E-3</v>
      </c>
      <c r="AK171" s="77">
        <f>$AH171*tbl_Data[[#This Row],[2027 ]]</f>
        <v>3.9866843407526794E-3</v>
      </c>
      <c r="AL171" s="77">
        <f>$AH171*tbl_Data[[#This Row],[2028 ]]</f>
        <v>5.5618717578054932E-3</v>
      </c>
      <c r="AM171" s="77">
        <f>$AH171*tbl_Data[[#This Row],[2029 ]]</f>
        <v>7.2495401211845559E-3</v>
      </c>
      <c r="AN171" s="77">
        <f>$AH171*tbl_Data[[#This Row],[2030 ]]</f>
        <v>9.0401319502302589E-3</v>
      </c>
      <c r="AO171" s="77">
        <f>$AH171*tbl_Data[[#This Row],[2031 ]]</f>
        <v>1.0938171839015954E-2</v>
      </c>
      <c r="AP171" s="77">
        <f>$AH171*tbl_Data[[#This Row],[2032 ]]</f>
        <v>1.2952867115762637E-2</v>
      </c>
      <c r="AQ171" s="77">
        <f>$AH171*tbl_Data[[#This Row],[2033 ]]</f>
        <v>1.5094955236652956E-2</v>
      </c>
      <c r="AR171" s="77">
        <f>$AH171*tbl_Data[[#This Row],[2034 ]]</f>
        <v>1.7376032498014542E-2</v>
      </c>
      <c r="AS171" s="77">
        <f>SUM(tbl_Data[[#This Row],[Adjusted 2025]:[Adjusted 2034]])</f>
        <v>8.5926987443575478E-2</v>
      </c>
      <c r="AT171" s="80">
        <f>AVERAGEIFS('3. Incentive Adjustment'!F:F,'3. Incentive Adjustment'!A:A,tbl_Data[[#This Row],[Trimmed Sector]],'3. Incentive Adjustment'!B:B,tbl_Data[[#This Row],[Trimmed Measure Name]])</f>
        <v>0</v>
      </c>
      <c r="AU171" s="80">
        <f>IFERROR(VLOOKUP(tbl_Data[[#This Row],[All_Meas_Name_Append]],'IRA Tax Credits'!$A$3:$D$46,4,0),0)</f>
        <v>41666.666666666672</v>
      </c>
      <c r="AV171" s="81">
        <f>tbl_Data[[#This Row],[Adj. per unit Incentive ($)]]/tbl_Data[[#This Row],[kWh Savings]]*tbl_Data[[#This Row],[Sum of Annuals]]</f>
        <v>0</v>
      </c>
      <c r="AW171" s="81" t="str">
        <f>IFERROR(VLOOKUP(tbl_Data[[#This Row],[Column1]],'1. Set Program Names'!$B$2:$D$15,3,0)*tbl_Data[[#This Row],[Sum of Annuals]],"")</f>
        <v/>
      </c>
      <c r="AX171" s="81">
        <f>tbl_Data[[#This Row],[per unit IRA tax ($)]]/tbl_Data[[#This Row],[kWh Savings]]*tbl_Data[[#This Row],[Sum of Annuals]]</f>
        <v>2.6903030303390816</v>
      </c>
      <c r="AY171" s="81">
        <f>tbl_Data[[#This Row],[Avoided Costs ($/unit)]]/tbl_Data[[#This Row],[kWh Savings]]*tbl_Data[[#This Row],[Sum of Annuals]]</f>
        <v>4.6049167320628408E-2</v>
      </c>
      <c r="AZ171" s="81">
        <f>tbl_Data[[#This Row],[Lost Revenue ($/unit)]]/tbl_Data[[#This Row],[kWh Savings]]*tbl_Data[[#This Row],[Sum of Annuals]]</f>
        <v>0.12988519286965328</v>
      </c>
      <c r="BA171" s="81">
        <f>tbl_Data[[#This Row],[Incremental Cost ($/unit)]]/tbl_Data[[#This Row],[kWh Savings]]*tbl_Data[[#This Row],[Sum of Annuals]]</f>
        <v>0.58046107317141471</v>
      </c>
      <c r="BB171" s="77">
        <f>ROUNDUP(tbl_Data[[#This Row],[Adjusted 2025]]/$L171,0)</f>
        <v>1</v>
      </c>
      <c r="BC171" s="77">
        <f>ROUNDUP(tbl_Data[[#This Row],[Adjusted 2026]]/$L171,0)</f>
        <v>1</v>
      </c>
      <c r="BD171" s="77">
        <f>ROUNDUP(tbl_Data[[#This Row],[Adjusted 2027]]/$L171,0)</f>
        <v>1</v>
      </c>
      <c r="BE171" s="77">
        <f>ROUNDUP(tbl_Data[[#This Row],[Adjusted 2028]]/$L171,0)</f>
        <v>1</v>
      </c>
      <c r="BF171" s="77">
        <f>ROUNDUP(tbl_Data[[#This Row],[Adjusted 2029]]/$L171,0)</f>
        <v>1</v>
      </c>
      <c r="BG171" s="77">
        <f>ROUNDUP(tbl_Data[[#This Row],[Adjusted 2030]]/$L171,0)</f>
        <v>1</v>
      </c>
      <c r="BH171" s="77">
        <f>ROUNDUP(tbl_Data[[#This Row],[Adjusted 2031]]/$L171,0)</f>
        <v>1</v>
      </c>
      <c r="BI171" s="77">
        <f>ROUNDUP(tbl_Data[[#This Row],[Adjusted 2032]]/$L171,0)</f>
        <v>1</v>
      </c>
      <c r="BJ171" s="77">
        <f>ROUNDUP(tbl_Data[[#This Row],[Adjusted 2033]]/$L171,0)</f>
        <v>1</v>
      </c>
      <c r="BK171" s="77">
        <f>ROUNDUP(tbl_Data[[#This Row],[Adjusted 2034]]/$L171,0)</f>
        <v>1</v>
      </c>
      <c r="BL171" s="80">
        <f t="shared" si="78"/>
        <v>0</v>
      </c>
      <c r="BM171" s="80">
        <f t="shared" si="79"/>
        <v>0</v>
      </c>
      <c r="BN171" s="80">
        <f t="shared" si="80"/>
        <v>0</v>
      </c>
      <c r="BO171" s="80">
        <f t="shared" si="81"/>
        <v>0</v>
      </c>
      <c r="BP171" s="80">
        <f t="shared" si="82"/>
        <v>0</v>
      </c>
      <c r="BQ171" s="80">
        <f t="shared" si="83"/>
        <v>0</v>
      </c>
      <c r="BR171" s="80">
        <f t="shared" si="84"/>
        <v>0</v>
      </c>
      <c r="BS171" s="80">
        <f t="shared" si="85"/>
        <v>0</v>
      </c>
      <c r="BT171" s="80">
        <f t="shared" si="86"/>
        <v>0</v>
      </c>
      <c r="BU171" s="80">
        <f t="shared" si="87"/>
        <v>0</v>
      </c>
      <c r="BV171" s="80" t="str">
        <f>IFERROR(VLOOKUP($H171,'1. Set Program Names'!$B$2:$D$15,3,0)*V171,"NA")</f>
        <v>NA</v>
      </c>
      <c r="BW171" s="80" t="str">
        <f>IFERROR(VLOOKUP($H171,'1. Set Program Names'!$B$2:$D$15,3,0)*W171,"NA")</f>
        <v>NA</v>
      </c>
      <c r="BX171" s="80" t="str">
        <f>IFERROR(VLOOKUP($H171,'1. Set Program Names'!$B$2:$D$15,3,0)*X171,"NA")</f>
        <v>NA</v>
      </c>
      <c r="BY171" s="80" t="str">
        <f>IFERROR(VLOOKUP($H171,'1. Set Program Names'!$B$2:$D$15,3,0)*Y171,"NA")</f>
        <v>NA</v>
      </c>
      <c r="BZ171" s="80" t="str">
        <f>IFERROR(VLOOKUP($H171,'1. Set Program Names'!$B$2:$D$15,3,0)*Z171,"NA")</f>
        <v>NA</v>
      </c>
      <c r="CA171" s="80" t="str">
        <f>IFERROR(VLOOKUP($H171,'1. Set Program Names'!$B$2:$D$15,3,0)*AA171,"NA")</f>
        <v>NA</v>
      </c>
      <c r="CB171" s="80" t="str">
        <f>IFERROR(VLOOKUP($H171,'1. Set Program Names'!$B$2:$D$15,3,0)*AB171,"NA")</f>
        <v>NA</v>
      </c>
      <c r="CC171" s="80" t="str">
        <f>IFERROR(VLOOKUP($H171,'1. Set Program Names'!$B$2:$D$15,3,0)*AC171,"NA")</f>
        <v>NA</v>
      </c>
      <c r="CD171" s="80" t="str">
        <f>IFERROR(VLOOKUP($H171,'1. Set Program Names'!$B$2:$D$15,3,0)*AD171,"NA")</f>
        <v>NA</v>
      </c>
      <c r="CE171" s="80" t="str">
        <f>IFERROR(VLOOKUP($H171,'1. Set Program Names'!$B$2:$D$15,3,0)*AE171,"NA")</f>
        <v>NA</v>
      </c>
    </row>
    <row r="172" spans="1:83" x14ac:dyDescent="0.25">
      <c r="A172" s="79" t="s">
        <v>114</v>
      </c>
      <c r="B172" s="79" t="s">
        <v>88</v>
      </c>
      <c r="C172" s="79" t="s">
        <v>89</v>
      </c>
      <c r="D172" s="79" t="s">
        <v>90</v>
      </c>
      <c r="E172" s="79" t="s">
        <v>91</v>
      </c>
      <c r="F172" s="79" t="s">
        <v>90</v>
      </c>
      <c r="G172" s="79" t="s">
        <v>92</v>
      </c>
      <c r="H172" s="79" t="s">
        <v>9</v>
      </c>
      <c r="I172" s="79" t="s">
        <v>93</v>
      </c>
      <c r="J172" s="79" t="s">
        <v>94</v>
      </c>
      <c r="K172" s="79" t="s">
        <v>95</v>
      </c>
      <c r="L172" s="79">
        <v>1200.2266666666601</v>
      </c>
      <c r="M172" s="79">
        <v>4.8097974252120097E-2</v>
      </c>
      <c r="N172" s="79">
        <v>0.22310492157346501</v>
      </c>
      <c r="O172" s="79">
        <v>1210</v>
      </c>
      <c r="P172" s="79">
        <v>933.85922631496703</v>
      </c>
      <c r="Q172" s="79">
        <v>360.56616574297698</v>
      </c>
      <c r="R172" s="79">
        <v>571.53970184074296</v>
      </c>
      <c r="S172" s="79">
        <v>1535.35818196214</v>
      </c>
      <c r="T172" s="79">
        <v>15</v>
      </c>
      <c r="U172" s="79">
        <v>0.2</v>
      </c>
      <c r="V172" s="79">
        <f>tbl_Data_old[[#This Row],[2025 ]]*IFERROR(AVERAGEIFS('Participation Adjustment'!$C:$C,'Participation Adjustment'!$A:$A,$H172,'Participation Adjustment'!$B:$B,$I172),1)</f>
        <v>0.57916952297528901</v>
      </c>
      <c r="W172" s="79">
        <f>tbl_Data_old[[#This Row],[2026 ]]*IFERROR(AVERAGEIFS('Participation Adjustment'!$C:$C,'Participation Adjustment'!$A:$A,$H172,'Participation Adjustment'!$B:$B,$I172),1)</f>
        <v>0.61534655630595003</v>
      </c>
      <c r="X172" s="79">
        <f>tbl_Data_old[[#This Row],[2027 ]]*IFERROR(AVERAGEIFS('Participation Adjustment'!$C:$C,'Participation Adjustment'!$A:$A,$H172,'Participation Adjustment'!$B:$B,$I172),1)</f>
        <v>0.65126379492486197</v>
      </c>
      <c r="Y172" s="79">
        <f>tbl_Data_old[[#This Row],[2028 ]]*IFERROR(AVERAGEIFS('Participation Adjustment'!$C:$C,'Participation Adjustment'!$A:$A,$H172,'Participation Adjustment'!$B:$B,$I172),1)</f>
        <v>0.688010457932549</v>
      </c>
      <c r="Z172" s="79">
        <f>tbl_Data_old[[#This Row],[2029 ]]*IFERROR(AVERAGEIFS('Participation Adjustment'!$C:$C,'Participation Adjustment'!$A:$A,$H172,'Participation Adjustment'!$B:$B,$I172),1)</f>
        <v>0.72554685637929195</v>
      </c>
      <c r="AA172" s="79">
        <f>tbl_Data_old[[#This Row],[2030 ]]*IFERROR(AVERAGEIFS('Participation Adjustment'!$C:$C,'Participation Adjustment'!$A:$A,$H172,'Participation Adjustment'!$B:$B,$I172),1)</f>
        <v>0.76175986080068403</v>
      </c>
      <c r="AB172" s="79">
        <f>tbl_Data_old[[#This Row],[2031 ]]*IFERROR(AVERAGEIFS('Participation Adjustment'!$C:$C,'Participation Adjustment'!$A:$A,$H172,'Participation Adjustment'!$B:$B,$I172),1)</f>
        <v>0.802291748354241</v>
      </c>
      <c r="AC172" s="79">
        <f>tbl_Data_old[[#This Row],[2032 ]]*IFERROR(AVERAGEIFS('Participation Adjustment'!$C:$C,'Participation Adjustment'!$A:$A,$H172,'Participation Adjustment'!$B:$B,$I172),1)</f>
        <v>0.84876197724429303</v>
      </c>
      <c r="AD172" s="79">
        <f>tbl_Data_old[[#This Row],[2033 ]]*IFERROR(AVERAGEIFS('Participation Adjustment'!$C:$C,'Participation Adjustment'!$A:$A,$H172,'Participation Adjustment'!$B:$B,$I172),1)</f>
        <v>0.90155316882012204</v>
      </c>
      <c r="AE172" s="79">
        <f>tbl_Data_old[[#This Row],[2034 ]]*IFERROR(AVERAGEIFS('Participation Adjustment'!$C:$C,'Participation Adjustment'!$A:$A,$H172,'Participation Adjustment'!$B:$B,$I172),1)</f>
        <v>0.96085199059096404</v>
      </c>
      <c r="AF172" s="77" t="str">
        <f t="shared" si="77"/>
        <v>Residential</v>
      </c>
      <c r="AG172" s="77" t="str">
        <f>tbl_Data[[#This Row],[All_Meas_Name_Append]]</f>
        <v>120v Heat Pump Water Heater 50 Gallons</v>
      </c>
      <c r="AH172" s="77">
        <f>AVERAGEIFS('3. Incentive Adjustment'!G:G,'3. Incentive Adjustment'!A:A,tbl_Data[[#This Row],[Trimmed Sector]],'3. Incentive Adjustment'!B:B,tbl_Data[[#This Row],[Trimmed Measure Name]])</f>
        <v>0.38528347196238832</v>
      </c>
      <c r="AI172" s="77">
        <f>$AH172*tbl_Data[[#This Row],[2025 ]]</f>
        <v>0.22314444466671959</v>
      </c>
      <c r="AJ172" s="77">
        <f>$AH172*tbl_Data[[#This Row],[2026 ]]</f>
        <v>0.23708285767365569</v>
      </c>
      <c r="AK172" s="77">
        <f>$AH172*tbl_Data[[#This Row],[2027 ]]</f>
        <v>0.25092117607205167</v>
      </c>
      <c r="AL172" s="77">
        <f>$AH172*tbl_Data[[#This Row],[2028 ]]</f>
        <v>0.2650790579786852</v>
      </c>
      <c r="AM172" s="77">
        <f>$AH172*tbl_Data[[#This Row],[2029 ]]</f>
        <v>0.27954121189720993</v>
      </c>
      <c r="AN172" s="77">
        <f>$AH172*tbl_Data[[#This Row],[2030 ]]</f>
        <v>0.29349348397087316</v>
      </c>
      <c r="AO172" s="77">
        <f>$AH172*tbl_Data[[#This Row],[2031 ]]</f>
        <v>0.30910975033269672</v>
      </c>
      <c r="AP172" s="77">
        <f>$AH172*tbl_Data[[#This Row],[2032 ]]</f>
        <v>0.32701396146234285</v>
      </c>
      <c r="AQ172" s="77">
        <f>$AH172*tbl_Data[[#This Row],[2033 ]]</f>
        <v>0.34735353504170985</v>
      </c>
      <c r="AR172" s="77">
        <f>$AH172*tbl_Data[[#This Row],[2034 ]]</f>
        <v>0.3702003909768587</v>
      </c>
      <c r="AS172" s="77">
        <f>SUM(tbl_Data[[#This Row],[Adjusted 2025]:[Adjusted 2034]])</f>
        <v>2.9029398700728031</v>
      </c>
      <c r="AT172" s="80">
        <f>AVERAGEIFS('3. Incentive Adjustment'!F:F,'3. Incentive Adjustment'!A:A,tbl_Data[[#This Row],[Trimmed Sector]],'3. Incentive Adjustment'!B:B,tbl_Data[[#This Row],[Trimmed Measure Name]])</f>
        <v>500</v>
      </c>
      <c r="AU172" s="80">
        <f>IFERROR(VLOOKUP(tbl_Data[[#This Row],[All_Meas_Name_Append]],'IRA Tax Credits'!$A$3:$D$46,4,0),0)</f>
        <v>1666.6666666666667</v>
      </c>
      <c r="AV172" s="81">
        <f>tbl_Data[[#This Row],[Adj. per unit Incentive ($)]]/tbl_Data[[#This Row],[kWh Savings]]*tbl_Data[[#This Row],[Sum of Annuals]]</f>
        <v>1.2093298502252987</v>
      </c>
      <c r="AW172" s="81">
        <f>IFERROR(VLOOKUP(tbl_Data[[#This Row],[Column1]],'1. Set Program Names'!$B$2:$D$15,3,0)*tbl_Data[[#This Row],[Sum of Annuals]],"")</f>
        <v>1.3081302816427935</v>
      </c>
      <c r="AX172" s="81">
        <f>tbl_Data[[#This Row],[per unit IRA tax ($)]]/tbl_Data[[#This Row],[kWh Savings]]*tbl_Data[[#This Row],[Sum of Annuals]]</f>
        <v>4.0310995007509955</v>
      </c>
      <c r="AY172" s="81">
        <f>tbl_Data[[#This Row],[Avoided Costs ($/unit)]]/tbl_Data[[#This Row],[kWh Savings]]*tbl_Data[[#This Row],[Sum of Annuals]]</f>
        <v>1.3823600440497552</v>
      </c>
      <c r="AZ172" s="81">
        <f>tbl_Data[[#This Row],[Lost Revenue ($/unit)]]/tbl_Data[[#This Row],[kWh Savings]]*tbl_Data[[#This Row],[Sum of Annuals]]</f>
        <v>3.7135089604689231</v>
      </c>
      <c r="BA172" s="81">
        <f>tbl_Data[[#This Row],[Incremental Cost ($/unit)]]/tbl_Data[[#This Row],[kWh Savings]]*tbl_Data[[#This Row],[Sum of Annuals]]</f>
        <v>2.9265782375452223</v>
      </c>
      <c r="BB172" s="77">
        <f>ROUNDUP(tbl_Data[[#This Row],[Adjusted 2025]]/$L172,0)</f>
        <v>1</v>
      </c>
      <c r="BC172" s="77">
        <f>ROUNDUP(tbl_Data[[#This Row],[Adjusted 2026]]/$L172,0)</f>
        <v>1</v>
      </c>
      <c r="BD172" s="77">
        <f>ROUNDUP(tbl_Data[[#This Row],[Adjusted 2027]]/$L172,0)</f>
        <v>1</v>
      </c>
      <c r="BE172" s="77">
        <f>ROUNDUP(tbl_Data[[#This Row],[Adjusted 2028]]/$L172,0)</f>
        <v>1</v>
      </c>
      <c r="BF172" s="77">
        <f>ROUNDUP(tbl_Data[[#This Row],[Adjusted 2029]]/$L172,0)</f>
        <v>1</v>
      </c>
      <c r="BG172" s="77">
        <f>ROUNDUP(tbl_Data[[#This Row],[Adjusted 2030]]/$L172,0)</f>
        <v>1</v>
      </c>
      <c r="BH172" s="77">
        <f>ROUNDUP(tbl_Data[[#This Row],[Adjusted 2031]]/$L172,0)</f>
        <v>1</v>
      </c>
      <c r="BI172" s="77">
        <f>ROUNDUP(tbl_Data[[#This Row],[Adjusted 2032]]/$L172,0)</f>
        <v>1</v>
      </c>
      <c r="BJ172" s="77">
        <f>ROUNDUP(tbl_Data[[#This Row],[Adjusted 2033]]/$L172,0)</f>
        <v>1</v>
      </c>
      <c r="BK172" s="77">
        <f>ROUNDUP(tbl_Data[[#This Row],[Adjusted 2034]]/$L172,0)</f>
        <v>1</v>
      </c>
      <c r="BL172" s="80">
        <f t="shared" si="78"/>
        <v>0.2412750603949638</v>
      </c>
      <c r="BM172" s="80">
        <f t="shared" si="79"/>
        <v>0.25634597755394262</v>
      </c>
      <c r="BN172" s="80">
        <f t="shared" si="80"/>
        <v>0.27130866735930387</v>
      </c>
      <c r="BO172" s="80">
        <f t="shared" si="81"/>
        <v>0.28661688539354485</v>
      </c>
      <c r="BP172" s="80">
        <f t="shared" si="82"/>
        <v>0.30225409771736</v>
      </c>
      <c r="BQ172" s="80">
        <f t="shared" si="83"/>
        <v>0.31734000000028667</v>
      </c>
      <c r="BR172" s="80">
        <f t="shared" si="84"/>
        <v>0.33422509707371051</v>
      </c>
      <c r="BS172" s="80">
        <f t="shared" si="85"/>
        <v>0.35358403575614783</v>
      </c>
      <c r="BT172" s="80">
        <f t="shared" si="86"/>
        <v>0.37557621150176923</v>
      </c>
      <c r="BU172" s="80">
        <f t="shared" si="87"/>
        <v>0.40027938775077315</v>
      </c>
      <c r="BV172" s="80">
        <f>IFERROR(VLOOKUP($H172,'1. Set Program Names'!$B$2:$D$15,3,0)*V172,"NA")</f>
        <v>0.26098687024805189</v>
      </c>
      <c r="BW172" s="80">
        <f>IFERROR(VLOOKUP($H172,'1. Set Program Names'!$B$2:$D$15,3,0)*W172,"NA")</f>
        <v>0.27728905869078097</v>
      </c>
      <c r="BX172" s="80">
        <f>IFERROR(VLOOKUP($H172,'1. Set Program Names'!$B$2:$D$15,3,0)*X172,"NA")</f>
        <v>0.29347417776774293</v>
      </c>
      <c r="BY172" s="80">
        <f>IFERROR(VLOOKUP($H172,'1. Set Program Names'!$B$2:$D$15,3,0)*Y172,"NA")</f>
        <v>0.31003305421063421</v>
      </c>
      <c r="BZ172" s="80">
        <f>IFERROR(VLOOKUP($H172,'1. Set Program Names'!$B$2:$D$15,3,0)*Z172,"NA")</f>
        <v>0.32694780328215478</v>
      </c>
      <c r="CA172" s="80">
        <f>IFERROR(VLOOKUP($H172,'1. Set Program Names'!$B$2:$D$15,3,0)*AA172,"NA")</f>
        <v>0.34326620111093903</v>
      </c>
      <c r="CB172" s="80">
        <f>IFERROR(VLOOKUP($H172,'1. Set Program Names'!$B$2:$D$15,3,0)*AB172,"NA")</f>
        <v>0.36153078524082621</v>
      </c>
      <c r="CC172" s="80">
        <f>IFERROR(VLOOKUP($H172,'1. Set Program Names'!$B$2:$D$15,3,0)*AC172,"NA")</f>
        <v>0.38247132012156571</v>
      </c>
      <c r="CD172" s="80">
        <f>IFERROR(VLOOKUP($H172,'1. Set Program Names'!$B$2:$D$15,3,0)*AD172,"NA")</f>
        <v>0.4062602235763989</v>
      </c>
      <c r="CE172" s="80">
        <f>IFERROR(VLOOKUP($H172,'1. Set Program Names'!$B$2:$D$15,3,0)*AE172,"NA")</f>
        <v>0.43298161220172787</v>
      </c>
    </row>
    <row r="173" spans="1:83" x14ac:dyDescent="0.25">
      <c r="A173" s="79" t="s">
        <v>114</v>
      </c>
      <c r="B173" s="79" t="s">
        <v>88</v>
      </c>
      <c r="C173" s="79" t="s">
        <v>89</v>
      </c>
      <c r="D173" s="79" t="s">
        <v>90</v>
      </c>
      <c r="E173" s="79" t="s">
        <v>91</v>
      </c>
      <c r="F173" s="79" t="s">
        <v>90</v>
      </c>
      <c r="G173" s="79" t="s">
        <v>92</v>
      </c>
      <c r="H173" s="79" t="s">
        <v>9</v>
      </c>
      <c r="I173" s="79" t="s">
        <v>96</v>
      </c>
      <c r="J173" s="79" t="s">
        <v>97</v>
      </c>
      <c r="K173" s="79" t="s">
        <v>98</v>
      </c>
      <c r="L173" s="79">
        <v>5868.07</v>
      </c>
      <c r="M173" s="79">
        <v>0.20813520080661799</v>
      </c>
      <c r="N173" s="79">
        <v>1.1349578069705</v>
      </c>
      <c r="O173" s="79">
        <v>1935.1666666666599</v>
      </c>
      <c r="P173" s="79">
        <v>513.45064263862798</v>
      </c>
      <c r="Q173" s="79">
        <v>1762.8565994851499</v>
      </c>
      <c r="R173" s="79">
        <v>3388.0400735263802</v>
      </c>
      <c r="S173" s="79">
        <v>7811.7411984889604</v>
      </c>
      <c r="T173" s="79">
        <v>16</v>
      </c>
      <c r="U173" s="79">
        <v>0.2</v>
      </c>
      <c r="V173" s="79">
        <f>tbl_Data_old[[#This Row],[2025 ]]*IFERROR(AVERAGEIFS('Participation Adjustment'!$C:$C,'Participation Adjustment'!$A:$A,$H173,'Participation Adjustment'!$B:$B,$I173),1)</f>
        <v>6.5206816402913796</v>
      </c>
      <c r="W173" s="79">
        <f>tbl_Data_old[[#This Row],[2026 ]]*IFERROR(AVERAGEIFS('Participation Adjustment'!$C:$C,'Participation Adjustment'!$A:$A,$H173,'Participation Adjustment'!$B:$B,$I173),1)</f>
        <v>6.9297753092623902</v>
      </c>
      <c r="X173" s="79">
        <f>tbl_Data_old[[#This Row],[2027 ]]*IFERROR(AVERAGEIFS('Participation Adjustment'!$C:$C,'Participation Adjustment'!$A:$A,$H173,'Participation Adjustment'!$B:$B,$I173),1)</f>
        <v>7.3349559592569804</v>
      </c>
      <c r="Y173" s="79">
        <f>tbl_Data_old[[#This Row],[2028 ]]*IFERROR(AVERAGEIFS('Participation Adjustment'!$C:$C,'Participation Adjustment'!$A:$A,$H173,'Participation Adjustment'!$B:$B,$I173),1)</f>
        <v>7.7487401762710002</v>
      </c>
      <c r="Z173" s="79">
        <f>tbl_Data_old[[#This Row],[2029 ]]*IFERROR(AVERAGEIFS('Participation Adjustment'!$C:$C,'Participation Adjustment'!$A:$A,$H173,'Participation Adjustment'!$B:$B,$I173),1)</f>
        <v>8.17120406804389</v>
      </c>
      <c r="AA173" s="79">
        <f>tbl_Data_old[[#This Row],[2030 ]]*IFERROR(AVERAGEIFS('Participation Adjustment'!$C:$C,'Participation Adjustment'!$A:$A,$H173,'Participation Adjustment'!$B:$B,$I173),1)</f>
        <v>8.5792265899758604</v>
      </c>
      <c r="AB173" s="79">
        <f>tbl_Data_old[[#This Row],[2031 ]]*IFERROR(AVERAGEIFS('Participation Adjustment'!$C:$C,'Participation Adjustment'!$A:$A,$H173,'Participation Adjustment'!$B:$B,$I173),1)</f>
        <v>9.0369737143953603</v>
      </c>
      <c r="AC173" s="79">
        <f>tbl_Data_old[[#This Row],[2032 ]]*IFERROR(AVERAGEIFS('Participation Adjustment'!$C:$C,'Participation Adjustment'!$A:$A,$H173,'Participation Adjustment'!$B:$B,$I173),1)</f>
        <v>9.5630957037099105</v>
      </c>
      <c r="AD173" s="79">
        <f>tbl_Data_old[[#This Row],[2033 ]]*IFERROR(AVERAGEIFS('Participation Adjustment'!$C:$C,'Participation Adjustment'!$A:$A,$H173,'Participation Adjustment'!$B:$B,$I173),1)</f>
        <v>10.1620732926818</v>
      </c>
      <c r="AE173" s="79">
        <f>tbl_Data_old[[#This Row],[2034 ]]*IFERROR(AVERAGEIFS('Participation Adjustment'!$C:$C,'Participation Adjustment'!$A:$A,$H173,'Participation Adjustment'!$B:$B,$I173),1)</f>
        <v>10.8360114807468</v>
      </c>
      <c r="AF173" s="77" t="str">
        <f t="shared" si="77"/>
        <v>Residential</v>
      </c>
      <c r="AG173" s="77" t="str">
        <f>tbl_Data[[#This Row],[All_Meas_Name_Append]]</f>
        <v>ASHP - CEE Tier 2: 16.8 SEER/16 SEER2; 9.0 HSPF (from elec resistance)</v>
      </c>
      <c r="AH173" s="77">
        <f>AVERAGEIFS('3. Incentive Adjustment'!G:G,'3. Incentive Adjustment'!A:A,tbl_Data[[#This Row],[Trimmed Sector]],'3. Incentive Adjustment'!B:B,tbl_Data[[#This Row],[Trimmed Measure Name]])</f>
        <v>0.9303958662075158</v>
      </c>
      <c r="AI173" s="77">
        <f>$AH173*tbl_Data[[#This Row],[2025 ]]</f>
        <v>6.0668152429823428</v>
      </c>
      <c r="AJ173" s="77">
        <f>$AH173*tbl_Data[[#This Row],[2026 ]]</f>
        <v>6.4474343014846376</v>
      </c>
      <c r="AK173" s="77">
        <f>$AH173*tbl_Data[[#This Row],[2027 ]]</f>
        <v>6.8244127033068782</v>
      </c>
      <c r="AL173" s="77">
        <f>$AH173*tbl_Data[[#This Row],[2028 ]]</f>
        <v>7.2093958283186357</v>
      </c>
      <c r="AM173" s="77">
        <f>$AH173*tbl_Data[[#This Row],[2029 ]]</f>
        <v>7.6024544868460717</v>
      </c>
      <c r="AN173" s="77">
        <f>$AH173*tbl_Data[[#This Row],[2030 ]]</f>
        <v>7.9820769545711423</v>
      </c>
      <c r="AO173" s="77">
        <f>$AH173*tbl_Data[[#This Row],[2031 ]]</f>
        <v>8.4079629868994221</v>
      </c>
      <c r="AP173" s="77">
        <f>$AH173*tbl_Data[[#This Row],[2032 ]]</f>
        <v>8.8974647108785554</v>
      </c>
      <c r="AQ173" s="77">
        <f>$AH173*tbl_Data[[#This Row],[2033 ]]</f>
        <v>9.4547509836089461</v>
      </c>
      <c r="AR173" s="77">
        <f>$AH173*tbl_Data[[#This Row],[2034 ]]</f>
        <v>10.081780287864005</v>
      </c>
      <c r="AS173" s="77">
        <f>SUM(tbl_Data[[#This Row],[Adjusted 2025]:[Adjusted 2034]])</f>
        <v>78.974548486760639</v>
      </c>
      <c r="AT173" s="80">
        <f>AVERAGEIFS('3. Incentive Adjustment'!F:F,'3. Incentive Adjustment'!A:A,tbl_Data[[#This Row],[Trimmed Sector]],'3. Incentive Adjustment'!B:B,tbl_Data[[#This Row],[Trimmed Measure Name]])</f>
        <v>353</v>
      </c>
      <c r="AU173" s="80">
        <f>IFERROR(VLOOKUP(tbl_Data[[#This Row],[All_Meas_Name_Append]],'IRA Tax Credits'!$A$3:$D$46,4,0),0)</f>
        <v>0</v>
      </c>
      <c r="AV173" s="81">
        <f>tbl_Data[[#This Row],[Adj. per unit Incentive ($)]]/tbl_Data[[#This Row],[kWh Savings]]*tbl_Data[[#This Row],[Sum of Annuals]]</f>
        <v>4.7507980674781498</v>
      </c>
      <c r="AW173" s="81">
        <f>IFERROR(VLOOKUP(tbl_Data[[#This Row],[Column1]],'1. Set Program Names'!$B$2:$D$15,3,0)*tbl_Data[[#This Row],[Sum of Annuals]],"")</f>
        <v>35.587715549894519</v>
      </c>
      <c r="AX173" s="81">
        <f>tbl_Data[[#This Row],[per unit IRA tax ($)]]/tbl_Data[[#This Row],[kWh Savings]]*tbl_Data[[#This Row],[Sum of Annuals]]</f>
        <v>0</v>
      </c>
      <c r="AY173" s="81">
        <f>tbl_Data[[#This Row],[Avoided Costs ($/unit)]]/tbl_Data[[#This Row],[kWh Savings]]*tbl_Data[[#This Row],[Sum of Annuals]]</f>
        <v>45.597434090219984</v>
      </c>
      <c r="AZ173" s="81">
        <f>tbl_Data[[#This Row],[Lost Revenue ($/unit)]]/tbl_Data[[#This Row],[kWh Savings]]*tbl_Data[[#This Row],[Sum of Annuals]]</f>
        <v>105.13315861025723</v>
      </c>
      <c r="BA173" s="81">
        <f>tbl_Data[[#This Row],[Incremental Cost ($/unit)]]/tbl_Data[[#This Row],[kWh Savings]]*tbl_Data[[#This Row],[Sum of Annuals]]</f>
        <v>26.044153145178758</v>
      </c>
      <c r="BB173" s="77">
        <f>ROUNDUP(tbl_Data[[#This Row],[Adjusted 2025]]/$L173,0)</f>
        <v>1</v>
      </c>
      <c r="BC173" s="77">
        <f>ROUNDUP(tbl_Data[[#This Row],[Adjusted 2026]]/$L173,0)</f>
        <v>1</v>
      </c>
      <c r="BD173" s="77">
        <f>ROUNDUP(tbl_Data[[#This Row],[Adjusted 2027]]/$L173,0)</f>
        <v>1</v>
      </c>
      <c r="BE173" s="77">
        <f>ROUNDUP(tbl_Data[[#This Row],[Adjusted 2028]]/$L173,0)</f>
        <v>1</v>
      </c>
      <c r="BF173" s="77">
        <f>ROUNDUP(tbl_Data[[#This Row],[Adjusted 2029]]/$L173,0)</f>
        <v>1</v>
      </c>
      <c r="BG173" s="77">
        <f>ROUNDUP(tbl_Data[[#This Row],[Adjusted 2030]]/$L173,0)</f>
        <v>1</v>
      </c>
      <c r="BH173" s="77">
        <f>ROUNDUP(tbl_Data[[#This Row],[Adjusted 2031]]/$L173,0)</f>
        <v>1</v>
      </c>
      <c r="BI173" s="77">
        <f>ROUNDUP(tbl_Data[[#This Row],[Adjusted 2032]]/$L173,0)</f>
        <v>1</v>
      </c>
      <c r="BJ173" s="77">
        <f>ROUNDUP(tbl_Data[[#This Row],[Adjusted 2033]]/$L173,0)</f>
        <v>1</v>
      </c>
      <c r="BK173" s="77">
        <f>ROUNDUP(tbl_Data[[#This Row],[Adjusted 2034]]/$L173,0)</f>
        <v>1</v>
      </c>
      <c r="BL173" s="80">
        <f t="shared" si="78"/>
        <v>0.3922585482148061</v>
      </c>
      <c r="BM173" s="80">
        <f t="shared" si="79"/>
        <v>0.41686801353249431</v>
      </c>
      <c r="BN173" s="80">
        <f t="shared" si="80"/>
        <v>0.44124208702652051</v>
      </c>
      <c r="BO173" s="80">
        <f t="shared" si="81"/>
        <v>0.46613371725689423</v>
      </c>
      <c r="BP173" s="80">
        <f t="shared" si="82"/>
        <v>0.49154748256573172</v>
      </c>
      <c r="BQ173" s="80">
        <f t="shared" si="83"/>
        <v>0.51609251189257777</v>
      </c>
      <c r="BR173" s="80">
        <f t="shared" si="84"/>
        <v>0.54362877763584316</v>
      </c>
      <c r="BS173" s="80">
        <f t="shared" si="85"/>
        <v>0.57527820619208681</v>
      </c>
      <c r="BT173" s="80">
        <f t="shared" si="86"/>
        <v>0.61131034093265346</v>
      </c>
      <c r="BU173" s="80">
        <f t="shared" si="87"/>
        <v>0.65185181034030282</v>
      </c>
      <c r="BV173" s="80">
        <f>IFERROR(VLOOKUP($H173,'1. Set Program Names'!$B$2:$D$15,3,0)*V173,"NA")</f>
        <v>2.9383664465648867</v>
      </c>
      <c r="BW173" s="80">
        <f>IFERROR(VLOOKUP($H173,'1. Set Program Names'!$B$2:$D$15,3,0)*W173,"NA")</f>
        <v>3.1227132950567609</v>
      </c>
      <c r="BX173" s="80">
        <f>IFERROR(VLOOKUP($H173,'1. Set Program Names'!$B$2:$D$15,3,0)*X173,"NA")</f>
        <v>3.3052968488044105</v>
      </c>
      <c r="BY173" s="80">
        <f>IFERROR(VLOOKUP($H173,'1. Set Program Names'!$B$2:$D$15,3,0)*Y173,"NA")</f>
        <v>3.4917573642019679</v>
      </c>
      <c r="BZ173" s="80">
        <f>IFERROR(VLOOKUP($H173,'1. Set Program Names'!$B$2:$D$15,3,0)*Z173,"NA")</f>
        <v>3.6821291371160658</v>
      </c>
      <c r="CA173" s="80">
        <f>IFERROR(VLOOKUP($H173,'1. Set Program Names'!$B$2:$D$15,3,0)*AA173,"NA")</f>
        <v>3.8659933025553883</v>
      </c>
      <c r="CB173" s="80">
        <f>IFERROR(VLOOKUP($H173,'1. Set Program Names'!$B$2:$D$15,3,0)*AB173,"NA")</f>
        <v>4.0722644971334017</v>
      </c>
      <c r="CC173" s="80">
        <f>IFERROR(VLOOKUP($H173,'1. Set Program Names'!$B$2:$D$15,3,0)*AC173,"NA")</f>
        <v>4.3093469503925004</v>
      </c>
      <c r="CD173" s="80">
        <f>IFERROR(VLOOKUP($H173,'1. Set Program Names'!$B$2:$D$15,3,0)*AD173,"NA")</f>
        <v>4.5792597826344812</v>
      </c>
      <c r="CE173" s="80">
        <f>IFERROR(VLOOKUP($H173,'1. Set Program Names'!$B$2:$D$15,3,0)*AE173,"NA")</f>
        <v>4.8829515541561532</v>
      </c>
    </row>
    <row r="174" spans="1:83" x14ac:dyDescent="0.25">
      <c r="A174" s="79" t="s">
        <v>114</v>
      </c>
      <c r="B174" s="79" t="s">
        <v>88</v>
      </c>
      <c r="C174" s="79" t="s">
        <v>89</v>
      </c>
      <c r="D174" s="79" t="s">
        <v>90</v>
      </c>
      <c r="E174" s="79" t="s">
        <v>91</v>
      </c>
      <c r="F174" s="79" t="s">
        <v>90</v>
      </c>
      <c r="G174" s="79" t="s">
        <v>92</v>
      </c>
      <c r="H174" s="79" t="s">
        <v>9</v>
      </c>
      <c r="I174" s="79" t="s">
        <v>99</v>
      </c>
      <c r="J174" s="79" t="s">
        <v>97</v>
      </c>
      <c r="K174" s="79" t="s">
        <v>98</v>
      </c>
      <c r="L174" s="79">
        <v>253.96999999999801</v>
      </c>
      <c r="M174" s="79">
        <v>0.107126245482503</v>
      </c>
      <c r="N174" s="79">
        <v>1.33192706841354E-2</v>
      </c>
      <c r="O174" s="79">
        <v>874.99999999999898</v>
      </c>
      <c r="P174" s="79">
        <v>813.468148399999</v>
      </c>
      <c r="Q174" s="79">
        <v>76.296412716828996</v>
      </c>
      <c r="R174" s="79">
        <v>185.54516688855901</v>
      </c>
      <c r="S174" s="79">
        <v>338.09206641710699</v>
      </c>
      <c r="T174" s="79">
        <v>16</v>
      </c>
      <c r="U174" s="79">
        <v>0.19999999999999901</v>
      </c>
      <c r="V174" s="79">
        <f>tbl_Data_old[[#This Row],[2025 ]]*IFERROR(AVERAGEIFS('Participation Adjustment'!$C:$C,'Participation Adjustment'!$A:$A,$H174,'Participation Adjustment'!$B:$B,$I174),1)</f>
        <v>7.0583657480175601</v>
      </c>
      <c r="W174" s="79">
        <f>tbl_Data_old[[#This Row],[2026 ]]*IFERROR(AVERAGEIFS('Participation Adjustment'!$C:$C,'Participation Adjustment'!$A:$A,$H174,'Participation Adjustment'!$B:$B,$I174),1)</f>
        <v>7.89536280915795</v>
      </c>
      <c r="X174" s="79">
        <f>tbl_Data_old[[#This Row],[2027 ]]*IFERROR(AVERAGEIFS('Participation Adjustment'!$C:$C,'Participation Adjustment'!$A:$A,$H174,'Participation Adjustment'!$B:$B,$I174),1)</f>
        <v>8.6784264518004797</v>
      </c>
      <c r="Y174" s="79">
        <f>tbl_Data_old[[#This Row],[2028 ]]*IFERROR(AVERAGEIFS('Participation Adjustment'!$C:$C,'Participation Adjustment'!$A:$A,$H174,'Participation Adjustment'!$B:$B,$I174),1)</f>
        <v>9.4291800786928501</v>
      </c>
      <c r="Z174" s="79">
        <f>tbl_Data_old[[#This Row],[2029 ]]*IFERROR(AVERAGEIFS('Participation Adjustment'!$C:$C,'Participation Adjustment'!$A:$A,$H174,'Participation Adjustment'!$B:$B,$I174),1)</f>
        <v>10.153772688219201</v>
      </c>
      <c r="AA174" s="79">
        <f>tbl_Data_old[[#This Row],[2030 ]]*IFERROR(AVERAGEIFS('Participation Adjustment'!$C:$C,'Participation Adjustment'!$A:$A,$H174,'Participation Adjustment'!$B:$B,$I174),1)</f>
        <v>10.8276836105392</v>
      </c>
      <c r="AB174" s="79">
        <f>tbl_Data_old[[#This Row],[2031 ]]*IFERROR(AVERAGEIFS('Participation Adjustment'!$C:$C,'Participation Adjustment'!$A:$A,$H174,'Participation Adjustment'!$B:$B,$I174),1)</f>
        <v>11.535672694614099</v>
      </c>
      <c r="AC174" s="79">
        <f>tbl_Data_old[[#This Row],[2032 ]]*IFERROR(AVERAGEIFS('Participation Adjustment'!$C:$C,'Participation Adjustment'!$A:$A,$H174,'Participation Adjustment'!$B:$B,$I174),1)</f>
        <v>12.306812657103199</v>
      </c>
      <c r="AD174" s="79">
        <f>tbl_Data_old[[#This Row],[2033 ]]*IFERROR(AVERAGEIFS('Participation Adjustment'!$C:$C,'Participation Adjustment'!$A:$A,$H174,'Participation Adjustment'!$B:$B,$I174),1)</f>
        <v>13.151406004676801</v>
      </c>
      <c r="AE174" s="79">
        <f>tbl_Data_old[[#This Row],[2034 ]]*IFERROR(AVERAGEIFS('Participation Adjustment'!$C:$C,'Participation Adjustment'!$A:$A,$H174,'Participation Adjustment'!$B:$B,$I174),1)</f>
        <v>14.075812696228599</v>
      </c>
      <c r="AF174" s="77" t="str">
        <f t="shared" si="77"/>
        <v>Residential</v>
      </c>
      <c r="AG174" s="77" t="str">
        <f>tbl_Data[[#This Row],[All_Meas_Name_Append]]</f>
        <v>ASHP - ENERGY STAR/CEE Tier 1: 16 SEER/15.2 SEER2_ 9.0 HSPF</v>
      </c>
      <c r="AH174" s="77">
        <f>AVERAGEIFS('3. Incentive Adjustment'!G:G,'3. Incentive Adjustment'!A:A,tbl_Data[[#This Row],[Trimmed Sector]],'3. Incentive Adjustment'!B:B,tbl_Data[[#This Row],[Trimmed Measure Name]])</f>
        <v>8.3636985731950567E-3</v>
      </c>
      <c r="AI174" s="77">
        <f>$AH174*tbl_Data[[#This Row],[2025 ]]</f>
        <v>5.9034043535783329E-2</v>
      </c>
      <c r="AJ174" s="77">
        <f>$AH174*tbl_Data[[#This Row],[2026 ]]</f>
        <v>6.6034434661811664E-2</v>
      </c>
      <c r="AK174" s="77">
        <f>$AH174*tbl_Data[[#This Row],[2027 ]]</f>
        <v>7.2583742932501916E-2</v>
      </c>
      <c r="AL174" s="77">
        <f>$AH174*tbl_Data[[#This Row],[2028 ]]</f>
        <v>7.8862819970562645E-2</v>
      </c>
      <c r="AM174" s="77">
        <f>$AH174*tbl_Data[[#This Row],[2029 ]]</f>
        <v>8.4923094145005859E-2</v>
      </c>
      <c r="AN174" s="77">
        <f>$AH174*tbl_Data[[#This Row],[2030 ]]</f>
        <v>9.0559481964474206E-2</v>
      </c>
      <c r="AO174" s="77">
        <f>$AH174*tbl_Data[[#This Row],[2031 ]]</f>
        <v>9.6480889256789118E-2</v>
      </c>
      <c r="AP174" s="77">
        <f>$AH174*tbl_Data[[#This Row],[2032 ]]</f>
        <v>0.10293047146079289</v>
      </c>
      <c r="AQ174" s="77">
        <f>$AH174*tbl_Data[[#This Row],[2033 ]]</f>
        <v>0.10999439563682425</v>
      </c>
      <c r="AR174" s="77">
        <f>$AH174*tbl_Data[[#This Row],[2034 ]]</f>
        <v>0.117725854564008</v>
      </c>
      <c r="AS174" s="77">
        <f>SUM(tbl_Data[[#This Row],[Adjusted 2025]:[Adjusted 2034]])</f>
        <v>0.87912922812855387</v>
      </c>
      <c r="AT174" s="80">
        <f>AVERAGEIFS('3. Incentive Adjustment'!F:F,'3. Incentive Adjustment'!A:A,tbl_Data[[#This Row],[Trimmed Sector]],'3. Incentive Adjustment'!B:B,tbl_Data[[#This Row],[Trimmed Measure Name]])</f>
        <v>353</v>
      </c>
      <c r="AU174" s="80">
        <f>IFERROR(VLOOKUP(tbl_Data[[#This Row],[All_Meas_Name_Append]],'IRA Tax Credits'!$A$3:$D$46,4,0),0)</f>
        <v>0</v>
      </c>
      <c r="AV174" s="81">
        <f>tbl_Data[[#This Row],[Adj. per unit Incentive ($)]]/tbl_Data[[#This Row],[kWh Savings]]*tbl_Data[[#This Row],[Sum of Annuals]]</f>
        <v>1.2219262807787612</v>
      </c>
      <c r="AW174" s="81">
        <f>IFERROR(VLOOKUP(tbl_Data[[#This Row],[Column1]],'1. Set Program Names'!$B$2:$D$15,3,0)*tbl_Data[[#This Row],[Sum of Annuals]],"")</f>
        <v>0.39615548935341044</v>
      </c>
      <c r="AX174" s="81">
        <f>tbl_Data[[#This Row],[per unit IRA tax ($)]]/tbl_Data[[#This Row],[kWh Savings]]*tbl_Data[[#This Row],[Sum of Annuals]]</f>
        <v>0</v>
      </c>
      <c r="AY174" s="81">
        <f>tbl_Data[[#This Row],[Avoided Costs ($/unit)]]/tbl_Data[[#This Row],[kWh Savings]]*tbl_Data[[#This Row],[Sum of Annuals]]</f>
        <v>0.64227341555980577</v>
      </c>
      <c r="AZ174" s="81">
        <f>tbl_Data[[#This Row],[Lost Revenue ($/unit)]]/tbl_Data[[#This Row],[kWh Savings]]*tbl_Data[[#This Row],[Sum of Annuals]]</f>
        <v>1.1703217599939417</v>
      </c>
      <c r="BA174" s="81">
        <f>tbl_Data[[#This Row],[Incremental Cost ($/unit)]]/tbl_Data[[#This Row],[kWh Savings]]*tbl_Data[[#This Row],[Sum of Annuals]]</f>
        <v>3.0288540954147725</v>
      </c>
      <c r="BB174" s="77">
        <f>ROUNDUP(tbl_Data[[#This Row],[Adjusted 2025]]/$L174,0)</f>
        <v>1</v>
      </c>
      <c r="BC174" s="77">
        <f>ROUNDUP(tbl_Data[[#This Row],[Adjusted 2026]]/$L174,0)</f>
        <v>1</v>
      </c>
      <c r="BD174" s="77">
        <f>ROUNDUP(tbl_Data[[#This Row],[Adjusted 2027]]/$L174,0)</f>
        <v>1</v>
      </c>
      <c r="BE174" s="77">
        <f>ROUNDUP(tbl_Data[[#This Row],[Adjusted 2028]]/$L174,0)</f>
        <v>1</v>
      </c>
      <c r="BF174" s="77">
        <f>ROUNDUP(tbl_Data[[#This Row],[Adjusted 2029]]/$L174,0)</f>
        <v>1</v>
      </c>
      <c r="BG174" s="77">
        <f>ROUNDUP(tbl_Data[[#This Row],[Adjusted 2030]]/$L174,0)</f>
        <v>1</v>
      </c>
      <c r="BH174" s="77">
        <f>ROUNDUP(tbl_Data[[#This Row],[Adjusted 2031]]/$L174,0)</f>
        <v>1</v>
      </c>
      <c r="BI174" s="77">
        <f>ROUNDUP(tbl_Data[[#This Row],[Adjusted 2032]]/$L174,0)</f>
        <v>1</v>
      </c>
      <c r="BJ174" s="77">
        <f>ROUNDUP(tbl_Data[[#This Row],[Adjusted 2033]]/$L174,0)</f>
        <v>1</v>
      </c>
      <c r="BK174" s="77">
        <f>ROUNDUP(tbl_Data[[#This Row],[Adjusted 2034]]/$L174,0)</f>
        <v>1</v>
      </c>
      <c r="BL174" s="80">
        <f t="shared" si="78"/>
        <v>9.8106197938741513</v>
      </c>
      <c r="BM174" s="80">
        <f t="shared" si="79"/>
        <v>10.97398539840445</v>
      </c>
      <c r="BN174" s="80">
        <f t="shared" si="80"/>
        <v>12.062387437435891</v>
      </c>
      <c r="BO174" s="80">
        <f t="shared" si="81"/>
        <v>13.105880882697178</v>
      </c>
      <c r="BP174" s="80">
        <f t="shared" si="82"/>
        <v>14.113012398871543</v>
      </c>
      <c r="BQ174" s="80">
        <f t="shared" si="83"/>
        <v>15.049700021736298</v>
      </c>
      <c r="BR174" s="80">
        <f t="shared" si="84"/>
        <v>16.033753833912701</v>
      </c>
      <c r="BS174" s="80">
        <f t="shared" si="85"/>
        <v>17.105582816700647</v>
      </c>
      <c r="BT174" s="80">
        <f t="shared" si="86"/>
        <v>18.279506712016961</v>
      </c>
      <c r="BU174" s="80">
        <f t="shared" si="87"/>
        <v>19.564365404452236</v>
      </c>
      <c r="BV174" s="80">
        <f>IFERROR(VLOOKUP($H174,'1. Set Program Names'!$B$2:$D$15,3,0)*V174,"NA")</f>
        <v>3.180659051563647</v>
      </c>
      <c r="BW174" s="80">
        <f>IFERROR(VLOOKUP($H174,'1. Set Program Names'!$B$2:$D$15,3,0)*W174,"NA")</f>
        <v>3.5578288347242983</v>
      </c>
      <c r="BX174" s="80">
        <f>IFERROR(VLOOKUP($H174,'1. Set Program Names'!$B$2:$D$15,3,0)*X174,"NA")</f>
        <v>3.9106950011766251</v>
      </c>
      <c r="BY174" s="80">
        <f>IFERROR(VLOOKUP($H174,'1. Set Program Names'!$B$2:$D$15,3,0)*Y174,"NA")</f>
        <v>4.2490015446622929</v>
      </c>
      <c r="BZ174" s="80">
        <f>IFERROR(VLOOKUP($H174,'1. Set Program Names'!$B$2:$D$15,3,0)*Z174,"NA")</f>
        <v>4.5755193427564782</v>
      </c>
      <c r="CA174" s="80">
        <f>IFERROR(VLOOKUP($H174,'1. Set Program Names'!$B$2:$D$15,3,0)*AA174,"NA")</f>
        <v>4.8791988277175316</v>
      </c>
      <c r="CB174" s="80">
        <f>IFERROR(VLOOKUP($H174,'1. Set Program Names'!$B$2:$D$15,3,0)*AB174,"NA")</f>
        <v>5.1982347021766522</v>
      </c>
      <c r="CC174" s="80">
        <f>IFERROR(VLOOKUP($H174,'1. Set Program Names'!$B$2:$D$15,3,0)*AC174,"NA")</f>
        <v>5.5457277890009342</v>
      </c>
      <c r="CD174" s="80">
        <f>IFERROR(VLOOKUP($H174,'1. Set Program Names'!$B$2:$D$15,3,0)*AD174,"NA")</f>
        <v>5.9263206304252991</v>
      </c>
      <c r="CE174" s="80">
        <f>IFERROR(VLOOKUP($H174,'1. Set Program Names'!$B$2:$D$15,3,0)*AE174,"NA")</f>
        <v>6.3428791675960365</v>
      </c>
    </row>
    <row r="175" spans="1:83" x14ac:dyDescent="0.25">
      <c r="A175" s="79" t="s">
        <v>114</v>
      </c>
      <c r="B175" s="79" t="s">
        <v>88</v>
      </c>
      <c r="C175" s="79" t="s">
        <v>89</v>
      </c>
      <c r="D175" s="79" t="s">
        <v>90</v>
      </c>
      <c r="E175" s="79" t="s">
        <v>91</v>
      </c>
      <c r="F175" s="79" t="s">
        <v>90</v>
      </c>
      <c r="G175" s="79" t="s">
        <v>92</v>
      </c>
      <c r="H175" s="79" t="s">
        <v>9</v>
      </c>
      <c r="I175" s="79" t="s">
        <v>107</v>
      </c>
      <c r="J175" s="79" t="s">
        <v>94</v>
      </c>
      <c r="K175" s="79" t="s">
        <v>108</v>
      </c>
      <c r="L175" s="79">
        <v>1663.1099999999899</v>
      </c>
      <c r="M175" s="79">
        <v>6.6647595975018806E-2</v>
      </c>
      <c r="N175" s="79">
        <v>0.309148293753995</v>
      </c>
      <c r="O175" s="79">
        <v>1389.5</v>
      </c>
      <c r="P175" s="79">
        <v>988.78817699699403</v>
      </c>
      <c r="Q175" s="79">
        <v>499.623289969231</v>
      </c>
      <c r="R175" s="79">
        <v>791.96156853290995</v>
      </c>
      <c r="S175" s="79">
        <v>2127.4894292214699</v>
      </c>
      <c r="T175" s="79">
        <v>15</v>
      </c>
      <c r="U175" s="79">
        <v>0.2</v>
      </c>
      <c r="V175" s="79">
        <f>tbl_Data_old[[#This Row],[2025 ]]*IFERROR(AVERAGEIFS('Participation Adjustment'!$C:$C,'Participation Adjustment'!$A:$A,$H175,'Participation Adjustment'!$B:$B,$I175),1)</f>
        <v>0.69749188488293101</v>
      </c>
      <c r="W175" s="79">
        <f>tbl_Data_old[[#This Row],[2026 ]]*IFERROR(AVERAGEIFS('Participation Adjustment'!$C:$C,'Participation Adjustment'!$A:$A,$H175,'Participation Adjustment'!$B:$B,$I175),1)</f>
        <v>0.77569306444992603</v>
      </c>
      <c r="X175" s="79">
        <f>tbl_Data_old[[#This Row],[2027 ]]*IFERROR(AVERAGEIFS('Participation Adjustment'!$C:$C,'Participation Adjustment'!$A:$A,$H175,'Participation Adjustment'!$B:$B,$I175),1)</f>
        <v>0.84775800212651498</v>
      </c>
      <c r="Y175" s="79">
        <f>tbl_Data_old[[#This Row],[2028 ]]*IFERROR(AVERAGEIFS('Participation Adjustment'!$C:$C,'Participation Adjustment'!$A:$A,$H175,'Participation Adjustment'!$B:$B,$I175),1)</f>
        <v>0.91589598641576797</v>
      </c>
      <c r="Z175" s="79">
        <f>tbl_Data_old[[#This Row],[2029 ]]*IFERROR(AVERAGEIFS('Participation Adjustment'!$C:$C,'Participation Adjustment'!$A:$A,$H175,'Participation Adjustment'!$B:$B,$I175),1)</f>
        <v>0.98076980510754297</v>
      </c>
      <c r="AA175" s="79">
        <f>tbl_Data_old[[#This Row],[2030 ]]*IFERROR(AVERAGEIFS('Participation Adjustment'!$C:$C,'Participation Adjustment'!$A:$A,$H175,'Participation Adjustment'!$B:$B,$I175),1)</f>
        <v>1.0400797189331701</v>
      </c>
      <c r="AB175" s="79">
        <f>tbl_Data_old[[#This Row],[2031 ]]*IFERROR(AVERAGEIFS('Participation Adjustment'!$C:$C,'Participation Adjustment'!$A:$A,$H175,'Participation Adjustment'!$B:$B,$I175),1)</f>
        <v>1.1020145939307999</v>
      </c>
      <c r="AC175" s="79">
        <f>tbl_Data_old[[#This Row],[2032 ]]*IFERROR(AVERAGEIFS('Participation Adjustment'!$C:$C,'Participation Adjustment'!$A:$A,$H175,'Participation Adjustment'!$B:$B,$I175),1)</f>
        <v>1.16929286586988</v>
      </c>
      <c r="AD175" s="79">
        <f>tbl_Data_old[[#This Row],[2033 ]]*IFERROR(AVERAGEIFS('Participation Adjustment'!$C:$C,'Participation Adjustment'!$A:$A,$H175,'Participation Adjustment'!$B:$B,$I175),1)</f>
        <v>1.2427999819406901</v>
      </c>
      <c r="AE175" s="79">
        <f>tbl_Data_old[[#This Row],[2034 ]]*IFERROR(AVERAGEIFS('Participation Adjustment'!$C:$C,'Participation Adjustment'!$A:$A,$H175,'Participation Adjustment'!$B:$B,$I175),1)</f>
        <v>1.3230314186317</v>
      </c>
      <c r="AF175" s="77" t="str">
        <f t="shared" si="77"/>
        <v>Residential</v>
      </c>
      <c r="AG175" s="77" t="str">
        <f>tbl_Data[[#This Row],[All_Meas_Name_Append]]</f>
        <v>Heat Pump Water Heater 50 Gallons- CEE Advanced Tier</v>
      </c>
      <c r="AH175" s="77">
        <f>AVERAGEIFS('3. Incentive Adjustment'!G:G,'3. Incentive Adjustment'!A:A,tbl_Data[[#This Row],[Trimmed Sector]],'3. Incentive Adjustment'!B:B,tbl_Data[[#This Row],[Trimmed Measure Name]])</f>
        <v>0.46049099596140497</v>
      </c>
      <c r="AI175" s="77">
        <f>$AH175*tbl_Data[[#This Row],[2025 ]]</f>
        <v>0.32118873274473853</v>
      </c>
      <c r="AJ175" s="77">
        <f>$AH175*tbl_Data[[#This Row],[2026 ]]</f>
        <v>0.35719967180890072</v>
      </c>
      <c r="AK175" s="77">
        <f>$AH175*tbl_Data[[#This Row],[2027 ]]</f>
        <v>0.39038492673348973</v>
      </c>
      <c r="AL175" s="77">
        <f>$AH175*tbl_Data[[#This Row],[2028 ]]</f>
        <v>0.42176185498165042</v>
      </c>
      <c r="AM175" s="77">
        <f>$AH175*tbl_Data[[#This Row],[2029 ]]</f>
        <v>0.45163566436284552</v>
      </c>
      <c r="AN175" s="77">
        <f>$AH175*tbl_Data[[#This Row],[2030 ]]</f>
        <v>0.47894734565079367</v>
      </c>
      <c r="AO175" s="77">
        <f>$AH175*tbl_Data[[#This Row],[2031 ]]</f>
        <v>0.50746779792319729</v>
      </c>
      <c r="AP175" s="77">
        <f>$AH175*tbl_Data[[#This Row],[2032 ]]</f>
        <v>0.53844883637498653</v>
      </c>
      <c r="AQ175" s="77">
        <f>$AH175*tbl_Data[[#This Row],[2033 ]]</f>
        <v>0.57229820146468446</v>
      </c>
      <c r="AR175" s="77">
        <f>$AH175*tbl_Data[[#This Row],[2034 ]]</f>
        <v>0.60924405565394202</v>
      </c>
      <c r="AS175" s="77">
        <f>SUM(tbl_Data[[#This Row],[Adjusted 2025]:[Adjusted 2034]])</f>
        <v>4.6485770876992287</v>
      </c>
      <c r="AT175" s="80">
        <f>AVERAGEIFS('3. Incentive Adjustment'!F:F,'3. Incentive Adjustment'!A:A,tbl_Data[[#This Row],[Trimmed Sector]],'3. Incentive Adjustment'!B:B,tbl_Data[[#This Row],[Trimmed Measure Name]])</f>
        <v>500</v>
      </c>
      <c r="AU175" s="80">
        <f>IFERROR(VLOOKUP(tbl_Data[[#This Row],[All_Meas_Name_Append]],'IRA Tax Credits'!$A$3:$D$46,4,0),0)</f>
        <v>1666.6666666666667</v>
      </c>
      <c r="AV175" s="81">
        <f>tbl_Data[[#This Row],[Adj. per unit Incentive ($)]]/tbl_Data[[#This Row],[kWh Savings]]*tbl_Data[[#This Row],[Sum of Annuals]]</f>
        <v>1.3975555097676213</v>
      </c>
      <c r="AW175" s="81">
        <f>IFERROR(VLOOKUP(tbl_Data[[#This Row],[Column1]],'1. Set Program Names'!$B$2:$D$15,3,0)*tbl_Data[[#This Row],[Sum of Annuals]],"")</f>
        <v>2.0947538451141687</v>
      </c>
      <c r="AX175" s="81">
        <f>tbl_Data[[#This Row],[per unit IRA tax ($)]]/tbl_Data[[#This Row],[kWh Savings]]*tbl_Data[[#This Row],[Sum of Annuals]]</f>
        <v>4.6585183658920712</v>
      </c>
      <c r="AY175" s="81">
        <f>tbl_Data[[#This Row],[Avoided Costs ($/unit)]]/tbl_Data[[#This Row],[kWh Savings]]*tbl_Data[[#This Row],[Sum of Annuals]]</f>
        <v>2.2136205072547517</v>
      </c>
      <c r="AZ175" s="81">
        <f>tbl_Data[[#This Row],[Lost Revenue ($/unit)]]/tbl_Data[[#This Row],[kWh Savings]]*tbl_Data[[#This Row],[Sum of Annuals]]</f>
        <v>5.9465691475616733</v>
      </c>
      <c r="BA175" s="81">
        <f>tbl_Data[[#This Row],[Incremental Cost ($/unit)]]/tbl_Data[[#This Row],[kWh Savings]]*tbl_Data[[#This Row],[Sum of Annuals]]</f>
        <v>3.8838067616442191</v>
      </c>
      <c r="BB175" s="77">
        <f>ROUNDUP(tbl_Data[[#This Row],[Adjusted 2025]]/$L175,0)</f>
        <v>1</v>
      </c>
      <c r="BC175" s="77">
        <f>ROUNDUP(tbl_Data[[#This Row],[Adjusted 2026]]/$L175,0)</f>
        <v>1</v>
      </c>
      <c r="BD175" s="77">
        <f>ROUNDUP(tbl_Data[[#This Row],[Adjusted 2027]]/$L175,0)</f>
        <v>1</v>
      </c>
      <c r="BE175" s="77">
        <f>ROUNDUP(tbl_Data[[#This Row],[Adjusted 2028]]/$L175,0)</f>
        <v>1</v>
      </c>
      <c r="BF175" s="77">
        <f>ROUNDUP(tbl_Data[[#This Row],[Adjusted 2029]]/$L175,0)</f>
        <v>1</v>
      </c>
      <c r="BG175" s="77">
        <f>ROUNDUP(tbl_Data[[#This Row],[Adjusted 2030]]/$L175,0)</f>
        <v>1</v>
      </c>
      <c r="BH175" s="77">
        <f>ROUNDUP(tbl_Data[[#This Row],[Adjusted 2031]]/$L175,0)</f>
        <v>1</v>
      </c>
      <c r="BI175" s="77">
        <f>ROUNDUP(tbl_Data[[#This Row],[Adjusted 2032]]/$L175,0)</f>
        <v>1</v>
      </c>
      <c r="BJ175" s="77">
        <f>ROUNDUP(tbl_Data[[#This Row],[Adjusted 2033]]/$L175,0)</f>
        <v>1</v>
      </c>
      <c r="BK175" s="77">
        <f>ROUNDUP(tbl_Data[[#This Row],[Adjusted 2034]]/$L175,0)</f>
        <v>1</v>
      </c>
      <c r="BL175" s="80">
        <f t="shared" si="78"/>
        <v>0.20969505471163521</v>
      </c>
      <c r="BM175" s="80">
        <f t="shared" si="79"/>
        <v>0.23320558004279054</v>
      </c>
      <c r="BN175" s="80">
        <f t="shared" si="80"/>
        <v>0.25487129598358504</v>
      </c>
      <c r="BO175" s="80">
        <f t="shared" si="81"/>
        <v>0.27535640649619497</v>
      </c>
      <c r="BP175" s="80">
        <f t="shared" si="82"/>
        <v>0.29486017314174917</v>
      </c>
      <c r="BQ175" s="80">
        <f t="shared" si="83"/>
        <v>0.3126911986979744</v>
      </c>
      <c r="BR175" s="80">
        <f t="shared" si="84"/>
        <v>0.33131139669979937</v>
      </c>
      <c r="BS175" s="80">
        <f t="shared" si="85"/>
        <v>0.3515380419424714</v>
      </c>
      <c r="BT175" s="80">
        <f t="shared" si="86"/>
        <v>0.37363733665863885</v>
      </c>
      <c r="BU175" s="80">
        <f t="shared" si="87"/>
        <v>0.39775824167725171</v>
      </c>
      <c r="BV175" s="80">
        <f>IFERROR(VLOOKUP($H175,'1. Set Program Names'!$B$2:$D$15,3,0)*V175,"NA")</f>
        <v>0.31430559937591446</v>
      </c>
      <c r="BW175" s="80">
        <f>IFERROR(VLOOKUP($H175,'1. Set Program Names'!$B$2:$D$15,3,0)*W175,"NA")</f>
        <v>0.34954481742048465</v>
      </c>
      <c r="BX175" s="80">
        <f>IFERROR(VLOOKUP($H175,'1. Set Program Names'!$B$2:$D$15,3,0)*X175,"NA")</f>
        <v>0.38201890625412022</v>
      </c>
      <c r="BY175" s="80">
        <f>IFERROR(VLOOKUP($H175,'1. Set Program Names'!$B$2:$D$15,3,0)*Y175,"NA")</f>
        <v>0.41272342118320049</v>
      </c>
      <c r="BZ175" s="80">
        <f>IFERROR(VLOOKUP($H175,'1. Set Program Names'!$B$2:$D$15,3,0)*Z175,"NA")</f>
        <v>0.4419570293579323</v>
      </c>
      <c r="CA175" s="80">
        <f>IFERROR(VLOOKUP($H175,'1. Set Program Names'!$B$2:$D$15,3,0)*AA175,"NA")</f>
        <v>0.4686834163137123</v>
      </c>
      <c r="CB175" s="80">
        <f>IFERROR(VLOOKUP($H175,'1. Set Program Names'!$B$2:$D$15,3,0)*AB175,"NA")</f>
        <v>0.49659267007036306</v>
      </c>
      <c r="CC175" s="80">
        <f>IFERROR(VLOOKUP($H175,'1. Set Program Names'!$B$2:$D$15,3,0)*AC175,"NA")</f>
        <v>0.52690977919391591</v>
      </c>
      <c r="CD175" s="80">
        <f>IFERROR(VLOOKUP($H175,'1. Set Program Names'!$B$2:$D$15,3,0)*AD175,"NA")</f>
        <v>0.56003374619018942</v>
      </c>
      <c r="CE175" s="80">
        <f>IFERROR(VLOOKUP($H175,'1. Set Program Names'!$B$2:$D$15,3,0)*AE175,"NA")</f>
        <v>0.59618784395749347</v>
      </c>
    </row>
    <row r="176" spans="1:83" x14ac:dyDescent="0.25">
      <c r="A176" s="79" t="s">
        <v>114</v>
      </c>
      <c r="B176" s="79" t="s">
        <v>88</v>
      </c>
      <c r="C176" s="79" t="s">
        <v>89</v>
      </c>
      <c r="D176" s="79" t="s">
        <v>90</v>
      </c>
      <c r="E176" s="79" t="s">
        <v>91</v>
      </c>
      <c r="F176" s="79" t="s">
        <v>90</v>
      </c>
      <c r="G176" s="79" t="s">
        <v>92</v>
      </c>
      <c r="H176" s="79" t="s">
        <v>9</v>
      </c>
      <c r="I176" s="79" t="s">
        <v>109</v>
      </c>
      <c r="J176" s="79" t="s">
        <v>94</v>
      </c>
      <c r="K176" s="79" t="s">
        <v>95</v>
      </c>
      <c r="L176" s="79">
        <v>1590.11499999999</v>
      </c>
      <c r="M176" s="79">
        <v>6.3722388822036402E-2</v>
      </c>
      <c r="N176" s="79">
        <v>0.29557957027655002</v>
      </c>
      <c r="O176" s="79">
        <v>1389.5</v>
      </c>
      <c r="P176" s="79">
        <v>1006.47372867305</v>
      </c>
      <c r="Q176" s="79">
        <v>477.694492685044</v>
      </c>
      <c r="R176" s="79">
        <v>757.20185047754296</v>
      </c>
      <c r="S176" s="79">
        <v>2034.1125083407001</v>
      </c>
      <c r="T176" s="79">
        <v>15</v>
      </c>
      <c r="U176" s="79">
        <v>0.2</v>
      </c>
      <c r="V176" s="79">
        <f>tbl_Data_old[[#This Row],[2025 ]]*IFERROR(AVERAGEIFS('Participation Adjustment'!$C:$C,'Participation Adjustment'!$A:$A,$H176,'Participation Adjustment'!$B:$B,$I176),1)</f>
        <v>0.99676670513503496</v>
      </c>
      <c r="W176" s="79">
        <f>tbl_Data_old[[#This Row],[2026 ]]*IFERROR(AVERAGEIFS('Participation Adjustment'!$C:$C,'Participation Adjustment'!$A:$A,$H176,'Participation Adjustment'!$B:$B,$I176),1)</f>
        <v>1.1080673828487599</v>
      </c>
      <c r="X176" s="79">
        <f>tbl_Data_old[[#This Row],[2027 ]]*IFERROR(AVERAGEIFS('Participation Adjustment'!$C:$C,'Participation Adjustment'!$A:$A,$H176,'Participation Adjustment'!$B:$B,$I176),1)</f>
        <v>1.21056500362743</v>
      </c>
      <c r="Y176" s="79">
        <f>tbl_Data_old[[#This Row],[2028 ]]*IFERROR(AVERAGEIFS('Participation Adjustment'!$C:$C,'Participation Adjustment'!$A:$A,$H176,'Participation Adjustment'!$B:$B,$I176),1)</f>
        <v>1.30743191355649</v>
      </c>
      <c r="Z176" s="79">
        <f>tbl_Data_old[[#This Row],[2029 ]]*IFERROR(AVERAGEIFS('Participation Adjustment'!$C:$C,'Participation Adjustment'!$A:$A,$H176,'Participation Adjustment'!$B:$B,$I176),1)</f>
        <v>1.3996264714339599</v>
      </c>
      <c r="AA176" s="79">
        <f>tbl_Data_old[[#This Row],[2030 ]]*IFERROR(AVERAGEIFS('Participation Adjustment'!$C:$C,'Participation Adjustment'!$A:$A,$H176,'Participation Adjustment'!$B:$B,$I176),1)</f>
        <v>1.48387708877399</v>
      </c>
      <c r="AB176" s="79">
        <f>tbl_Data_old[[#This Row],[2031 ]]*IFERROR(AVERAGEIFS('Participation Adjustment'!$C:$C,'Participation Adjustment'!$A:$A,$H176,'Participation Adjustment'!$B:$B,$I176),1)</f>
        <v>1.57187391135892</v>
      </c>
      <c r="AC176" s="79">
        <f>tbl_Data_old[[#This Row],[2032 ]]*IFERROR(AVERAGEIFS('Participation Adjustment'!$C:$C,'Participation Adjustment'!$A:$A,$H176,'Participation Adjustment'!$B:$B,$I176),1)</f>
        <v>1.66749409534264</v>
      </c>
      <c r="AD176" s="79">
        <f>tbl_Data_old[[#This Row],[2033 ]]*IFERROR(AVERAGEIFS('Participation Adjustment'!$C:$C,'Participation Adjustment'!$A:$A,$H176,'Participation Adjustment'!$B:$B,$I176),1)</f>
        <v>1.7719983389488301</v>
      </c>
      <c r="AE176" s="79">
        <f>tbl_Data_old[[#This Row],[2034 ]]*IFERROR(AVERAGEIFS('Participation Adjustment'!$C:$C,'Participation Adjustment'!$A:$A,$H176,'Participation Adjustment'!$B:$B,$I176),1)</f>
        <v>1.8860909631309299</v>
      </c>
      <c r="AF176" s="77" t="str">
        <f t="shared" si="77"/>
        <v>Residential</v>
      </c>
      <c r="AG176" s="77" t="str">
        <f>tbl_Data[[#This Row],[All_Meas_Name_Append]]</f>
        <v>Heat Pump Water Heater 50 Gallons-ENERGY STAR</v>
      </c>
      <c r="AH176" s="77">
        <f>AVERAGEIFS('3. Incentive Adjustment'!G:G,'3. Incentive Adjustment'!A:A,tbl_Data[[#This Row],[Trimmed Sector]],'3. Incentive Adjustment'!B:B,tbl_Data[[#This Row],[Trimmed Measure Name]])</f>
        <v>0.43153525594917136</v>
      </c>
      <c r="AI176" s="77">
        <f>$AH176*tbl_Data[[#This Row],[2025 ]]</f>
        <v>0.43013997522205955</v>
      </c>
      <c r="AJ176" s="77">
        <f>$AH176*tbl_Data[[#This Row],[2026 ]]</f>
        <v>0.47817014166656807</v>
      </c>
      <c r="AK176" s="77">
        <f>$AH176*tbl_Data[[#This Row],[2027 ]]</f>
        <v>0.52240147868347253</v>
      </c>
      <c r="AL176" s="77">
        <f>$AH176*tbl_Data[[#This Row],[2028 ]]</f>
        <v>0.56420296545271476</v>
      </c>
      <c r="AM176" s="77">
        <f>$AH176*tbl_Data[[#This Row],[2029 ]]</f>
        <v>0.6039881675834895</v>
      </c>
      <c r="AN176" s="77">
        <f>$AH176*tbl_Data[[#This Row],[2030 ]]</f>
        <v>0.64034527930119511</v>
      </c>
      <c r="AO176" s="77">
        <f>$AH176*tbl_Data[[#This Row],[2031 ]]</f>
        <v>0.67831901065809663</v>
      </c>
      <c r="AP176" s="77">
        <f>$AH176*tbl_Data[[#This Row],[2032 ]]</f>
        <v>0.71958249122741813</v>
      </c>
      <c r="AQ176" s="77">
        <f>$AH176*tbl_Data[[#This Row],[2033 ]]</f>
        <v>0.76467975673978994</v>
      </c>
      <c r="AR176" s="77">
        <f>$AH176*tbl_Data[[#This Row],[2034 ]]</f>
        <v>0.81391474651812501</v>
      </c>
      <c r="AS176" s="77">
        <f>SUM(tbl_Data[[#This Row],[Adjusted 2025]:[Adjusted 2034]])</f>
        <v>6.2157440130529293</v>
      </c>
      <c r="AT176" s="80">
        <f>AVERAGEIFS('3. Incentive Adjustment'!F:F,'3. Incentive Adjustment'!A:A,tbl_Data[[#This Row],[Trimmed Sector]],'3. Incentive Adjustment'!B:B,tbl_Data[[#This Row],[Trimmed Measure Name]])</f>
        <v>500</v>
      </c>
      <c r="AU176" s="80">
        <f>IFERROR(VLOOKUP(tbl_Data[[#This Row],[All_Meas_Name_Append]],'IRA Tax Credits'!$A$3:$D$46,4,0),0)</f>
        <v>1666.6666666666667</v>
      </c>
      <c r="AV176" s="81">
        <f>tbl_Data[[#This Row],[Adj. per unit Incentive ($)]]/tbl_Data[[#This Row],[kWh Savings]]*tbl_Data[[#This Row],[Sum of Annuals]]</f>
        <v>1.9544951192375921</v>
      </c>
      <c r="AW176" s="81">
        <f>IFERROR(VLOOKUP(tbl_Data[[#This Row],[Column1]],'1. Set Program Names'!$B$2:$D$15,3,0)*tbl_Data[[#This Row],[Sum of Annuals]],"")</f>
        <v>2.8009546633187821</v>
      </c>
      <c r="AX176" s="81">
        <f>tbl_Data[[#This Row],[per unit IRA tax ($)]]/tbl_Data[[#This Row],[kWh Savings]]*tbl_Data[[#This Row],[Sum of Annuals]]</f>
        <v>6.5149837307919745</v>
      </c>
      <c r="AY176" s="81">
        <f>tbl_Data[[#This Row],[Avoided Costs ($/unit)]]/tbl_Data[[#This Row],[kWh Savings]]*tbl_Data[[#This Row],[Sum of Annuals]]</f>
        <v>2.959894642072062</v>
      </c>
      <c r="AZ176" s="81">
        <f>tbl_Data[[#This Row],[Lost Revenue ($/unit)]]/tbl_Data[[#This Row],[kWh Savings]]*tbl_Data[[#This Row],[Sum of Annuals]]</f>
        <v>7.9513259390640698</v>
      </c>
      <c r="BA176" s="81">
        <f>tbl_Data[[#This Row],[Incremental Cost ($/unit)]]/tbl_Data[[#This Row],[kWh Savings]]*tbl_Data[[#This Row],[Sum of Annuals]]</f>
        <v>5.4315419363612696</v>
      </c>
      <c r="BB176" s="77">
        <f>ROUNDUP(tbl_Data[[#This Row],[Adjusted 2025]]/$L176,0)</f>
        <v>1</v>
      </c>
      <c r="BC176" s="77">
        <f>ROUNDUP(tbl_Data[[#This Row],[Adjusted 2026]]/$L176,0)</f>
        <v>1</v>
      </c>
      <c r="BD176" s="77">
        <f>ROUNDUP(tbl_Data[[#This Row],[Adjusted 2027]]/$L176,0)</f>
        <v>1</v>
      </c>
      <c r="BE176" s="77">
        <f>ROUNDUP(tbl_Data[[#This Row],[Adjusted 2028]]/$L176,0)</f>
        <v>1</v>
      </c>
      <c r="BF176" s="77">
        <f>ROUNDUP(tbl_Data[[#This Row],[Adjusted 2029]]/$L176,0)</f>
        <v>1</v>
      </c>
      <c r="BG176" s="77">
        <f>ROUNDUP(tbl_Data[[#This Row],[Adjusted 2030]]/$L176,0)</f>
        <v>1</v>
      </c>
      <c r="BH176" s="77">
        <f>ROUNDUP(tbl_Data[[#This Row],[Adjusted 2031]]/$L176,0)</f>
        <v>1</v>
      </c>
      <c r="BI176" s="77">
        <f>ROUNDUP(tbl_Data[[#This Row],[Adjusted 2032]]/$L176,0)</f>
        <v>1</v>
      </c>
      <c r="BJ176" s="77">
        <f>ROUNDUP(tbl_Data[[#This Row],[Adjusted 2033]]/$L176,0)</f>
        <v>1</v>
      </c>
      <c r="BK176" s="77">
        <f>ROUNDUP(tbl_Data[[#This Row],[Adjusted 2034]]/$L176,0)</f>
        <v>1</v>
      </c>
      <c r="BL176" s="80">
        <f t="shared" si="78"/>
        <v>0.31342598023886359</v>
      </c>
      <c r="BM176" s="80">
        <f t="shared" si="79"/>
        <v>0.34842366207751224</v>
      </c>
      <c r="BN176" s="80">
        <f t="shared" si="80"/>
        <v>0.38065328722370317</v>
      </c>
      <c r="BO176" s="80">
        <f t="shared" si="81"/>
        <v>0.41111237663832434</v>
      </c>
      <c r="BP176" s="80">
        <f t="shared" si="82"/>
        <v>0.44010227921690209</v>
      </c>
      <c r="BQ176" s="80">
        <f t="shared" si="83"/>
        <v>0.46659426795357545</v>
      </c>
      <c r="BR176" s="80">
        <f t="shared" si="84"/>
        <v>0.49426422345519971</v>
      </c>
      <c r="BS176" s="80">
        <f t="shared" si="85"/>
        <v>0.52433128903967652</v>
      </c>
      <c r="BT176" s="80">
        <f t="shared" si="86"/>
        <v>0.55719188201760284</v>
      </c>
      <c r="BU176" s="80">
        <f t="shared" si="87"/>
        <v>0.593067470947366</v>
      </c>
      <c r="BV176" s="80">
        <f>IFERROR(VLOOKUP($H176,'1. Set Program Names'!$B$2:$D$15,3,0)*V176,"NA")</f>
        <v>0.44916559387354865</v>
      </c>
      <c r="BW176" s="80">
        <f>IFERROR(VLOOKUP($H176,'1. Set Program Names'!$B$2:$D$15,3,0)*W176,"NA")</f>
        <v>0.49932019348674611</v>
      </c>
      <c r="BX176" s="80">
        <f>IFERROR(VLOOKUP($H176,'1. Set Program Names'!$B$2:$D$15,3,0)*X176,"NA")</f>
        <v>0.54550793678766241</v>
      </c>
      <c r="BY176" s="80">
        <f>IFERROR(VLOOKUP($H176,'1. Set Program Names'!$B$2:$D$15,3,0)*Y176,"NA")</f>
        <v>0.58915835458435983</v>
      </c>
      <c r="BZ176" s="80">
        <f>IFERROR(VLOOKUP($H176,'1. Set Program Names'!$B$2:$D$15,3,0)*Z176,"NA")</f>
        <v>0.63070330500014737</v>
      </c>
      <c r="CA176" s="80">
        <f>IFERROR(VLOOKUP($H176,'1. Set Program Names'!$B$2:$D$15,3,0)*AA176,"NA")</f>
        <v>0.66866853635949652</v>
      </c>
      <c r="CB176" s="80">
        <f>IFERROR(VLOOKUP($H176,'1. Set Program Names'!$B$2:$D$15,3,0)*AB176,"NA")</f>
        <v>0.70832189242739485</v>
      </c>
      <c r="CC176" s="80">
        <f>IFERROR(VLOOKUP($H176,'1. Set Program Names'!$B$2:$D$15,3,0)*AC176,"NA")</f>
        <v>0.7514105073501085</v>
      </c>
      <c r="CD176" s="80">
        <f>IFERROR(VLOOKUP($H176,'1. Set Program Names'!$B$2:$D$15,3,0)*AD176,"NA")</f>
        <v>0.79850248022586912</v>
      </c>
      <c r="CE176" s="80">
        <f>IFERROR(VLOOKUP($H176,'1. Set Program Names'!$B$2:$D$15,3,0)*AE176,"NA")</f>
        <v>0.8499151939866102</v>
      </c>
    </row>
    <row r="177" spans="1:83" x14ac:dyDescent="0.25">
      <c r="A177" s="79" t="s">
        <v>114</v>
      </c>
      <c r="B177" s="79" t="s">
        <v>88</v>
      </c>
      <c r="C177" s="79" t="s">
        <v>89</v>
      </c>
      <c r="D177" s="79" t="s">
        <v>90</v>
      </c>
      <c r="E177" s="79" t="s">
        <v>91</v>
      </c>
      <c r="F177" s="79" t="s">
        <v>90</v>
      </c>
      <c r="G177" s="79" t="s">
        <v>92</v>
      </c>
      <c r="H177" s="79" t="s">
        <v>9</v>
      </c>
      <c r="I177" s="79" t="s">
        <v>110</v>
      </c>
      <c r="J177" s="79" t="s">
        <v>94</v>
      </c>
      <c r="K177" s="79" t="s">
        <v>108</v>
      </c>
      <c r="L177" s="79">
        <v>461.909999999999</v>
      </c>
      <c r="M177" s="79">
        <v>1.8510616289253799E-2</v>
      </c>
      <c r="N177" s="79">
        <v>8.5862443475120898E-2</v>
      </c>
      <c r="O177" s="79">
        <v>1729.5</v>
      </c>
      <c r="P177" s="79">
        <v>1631.9996867488601</v>
      </c>
      <c r="Q177" s="79">
        <v>138.764720234794</v>
      </c>
      <c r="R177" s="79">
        <v>219.958372038552</v>
      </c>
      <c r="S177" s="79">
        <v>590.88613636602201</v>
      </c>
      <c r="T177" s="79">
        <v>15</v>
      </c>
      <c r="U177" s="79">
        <v>0.2</v>
      </c>
      <c r="V177" s="79">
        <f>tbl_Data_old[[#This Row],[2025 ]]*IFERROR(AVERAGEIFS('Participation Adjustment'!$C:$C,'Participation Adjustment'!$A:$A,$H177,'Participation Adjustment'!$B:$B,$I177),1)</f>
        <v>0.53618433508286101</v>
      </c>
      <c r="W177" s="79">
        <f>tbl_Data_old[[#This Row],[2026 ]]*IFERROR(AVERAGEIFS('Participation Adjustment'!$C:$C,'Participation Adjustment'!$A:$A,$H177,'Participation Adjustment'!$B:$B,$I177),1)</f>
        <v>0.59640560013718302</v>
      </c>
      <c r="X177" s="79">
        <f>tbl_Data_old[[#This Row],[2027 ]]*IFERROR(AVERAGEIFS('Participation Adjustment'!$C:$C,'Participation Adjustment'!$A:$A,$H177,'Participation Adjustment'!$B:$B,$I177),1)</f>
        <v>0.65191677585083396</v>
      </c>
      <c r="Y177" s="79">
        <f>tbl_Data_old[[#This Row],[2028 ]]*IFERROR(AVERAGEIFS('Participation Adjustment'!$C:$C,'Participation Adjustment'!$A:$A,$H177,'Participation Adjustment'!$B:$B,$I177),1)</f>
        <v>0.70441259302802495</v>
      </c>
      <c r="Z177" s="79">
        <f>tbl_Data_old[[#This Row],[2029 ]]*IFERROR(AVERAGEIFS('Participation Adjustment'!$C:$C,'Participation Adjustment'!$A:$A,$H177,'Participation Adjustment'!$B:$B,$I177),1)</f>
        <v>0.75439990229441201</v>
      </c>
      <c r="AA177" s="79">
        <f>tbl_Data_old[[#This Row],[2030 ]]*IFERROR(AVERAGEIFS('Participation Adjustment'!$C:$C,'Participation Adjustment'!$A:$A,$H177,'Participation Adjustment'!$B:$B,$I177),1)</f>
        <v>0.80010736898795598</v>
      </c>
      <c r="AB177" s="79">
        <f>tbl_Data_old[[#This Row],[2031 ]]*IFERROR(AVERAGEIFS('Participation Adjustment'!$C:$C,'Participation Adjustment'!$A:$A,$H177,'Participation Adjustment'!$B:$B,$I177),1)</f>
        <v>0.84783285260301899</v>
      </c>
      <c r="AC177" s="79">
        <f>tbl_Data_old[[#This Row],[2032 ]]*IFERROR(AVERAGEIFS('Participation Adjustment'!$C:$C,'Participation Adjustment'!$A:$A,$H177,'Participation Adjustment'!$B:$B,$I177),1)</f>
        <v>0.89966782734016904</v>
      </c>
      <c r="AD177" s="79">
        <f>tbl_Data_old[[#This Row],[2033 ]]*IFERROR(AVERAGEIFS('Participation Adjustment'!$C:$C,'Participation Adjustment'!$A:$A,$H177,'Participation Adjustment'!$B:$B,$I177),1)</f>
        <v>0.95629399055183495</v>
      </c>
      <c r="AE177" s="79">
        <f>tbl_Data_old[[#This Row],[2034 ]]*IFERROR(AVERAGEIFS('Participation Adjustment'!$C:$C,'Participation Adjustment'!$A:$A,$H177,'Participation Adjustment'!$B:$B,$I177),1)</f>
        <v>1.0180930418084599</v>
      </c>
      <c r="AF177" s="77" t="str">
        <f t="shared" si="77"/>
        <v>Residential</v>
      </c>
      <c r="AG177" s="77" t="str">
        <f>tbl_Data[[#This Row],[All_Meas_Name_Append]]</f>
        <v>Heat Pump Water Heater 80 Gallons-ENERGY STAR</v>
      </c>
      <c r="AH177" s="77">
        <f>AVERAGEIFS('3. Incentive Adjustment'!G:G,'3. Incentive Adjustment'!A:A,tbl_Data[[#This Row],[Trimmed Sector]],'3. Incentive Adjustment'!B:B,tbl_Data[[#This Row],[Trimmed Measure Name]])</f>
        <v>1.5551101216712928E-3</v>
      </c>
      <c r="AI177" s="77">
        <f>$AH177*tbl_Data[[#This Row],[2025 ]]</f>
        <v>8.3382568656894921E-4</v>
      </c>
      <c r="AJ177" s="77">
        <f>$AH177*tbl_Data[[#This Row],[2026 ]]</f>
        <v>9.2747638539477512E-4</v>
      </c>
      <c r="AK177" s="77">
        <f>$AH177*tbl_Data[[#This Row],[2027 ]]</f>
        <v>1.0138023766129473E-3</v>
      </c>
      <c r="AL177" s="77">
        <f>$AH177*tbl_Data[[#This Row],[2028 ]]</f>
        <v>1.0954391532506027E-3</v>
      </c>
      <c r="AM177" s="77">
        <f>$AH177*tbl_Data[[#This Row],[2029 ]]</f>
        <v>1.1731749238458745E-3</v>
      </c>
      <c r="AN177" s="77">
        <f>$AH177*tbl_Data[[#This Row],[2030 ]]</f>
        <v>1.2442550679369582E-3</v>
      </c>
      <c r="AO177" s="77">
        <f>$AH177*tbl_Data[[#This Row],[2031 ]]</f>
        <v>1.3184734505684002E-3</v>
      </c>
      <c r="AP177" s="77">
        <f>$AH177*tbl_Data[[#This Row],[2032 ]]</f>
        <v>1.3990825444387179E-3</v>
      </c>
      <c r="AQ177" s="77">
        <f>$AH177*tbl_Data[[#This Row],[2033 ]]</f>
        <v>1.4871424640005902E-3</v>
      </c>
      <c r="AR177" s="77">
        <f>$AH177*tbl_Data[[#This Row],[2034 ]]</f>
        <v>1.5832467941194507E-3</v>
      </c>
      <c r="AS177" s="77">
        <f>SUM(tbl_Data[[#This Row],[Adjusted 2025]:[Adjusted 2034]])</f>
        <v>1.2075918846737267E-2</v>
      </c>
      <c r="AT177" s="80">
        <f>AVERAGEIFS('3. Incentive Adjustment'!F:F,'3. Incentive Adjustment'!A:A,tbl_Data[[#This Row],[Trimmed Sector]],'3. Incentive Adjustment'!B:B,tbl_Data[[#This Row],[Trimmed Measure Name]])</f>
        <v>500</v>
      </c>
      <c r="AU177" s="80">
        <f>IFERROR(VLOOKUP(tbl_Data[[#This Row],[All_Meas_Name_Append]],'IRA Tax Credits'!$A$3:$D$46,4,0),0)</f>
        <v>1666.6666666666667</v>
      </c>
      <c r="AV177" s="81">
        <f>tbl_Data[[#This Row],[Adj. per unit Incentive ($)]]/tbl_Data[[#This Row],[kWh Savings]]*tbl_Data[[#This Row],[Sum of Annuals]]</f>
        <v>1.3071722680540901E-2</v>
      </c>
      <c r="AW177" s="81">
        <f>IFERROR(VLOOKUP(tbl_Data[[#This Row],[Column1]],'1. Set Program Names'!$B$2:$D$15,3,0)*tbl_Data[[#This Row],[Sum of Annuals]],"")</f>
        <v>5.4416818222561975E-3</v>
      </c>
      <c r="AX177" s="81">
        <f>tbl_Data[[#This Row],[per unit IRA tax ($)]]/tbl_Data[[#This Row],[kWh Savings]]*tbl_Data[[#This Row],[Sum of Annuals]]</f>
        <v>4.3572408935136329E-2</v>
      </c>
      <c r="AY177" s="81">
        <f>tbl_Data[[#This Row],[Avoided Costs ($/unit)]]/tbl_Data[[#This Row],[kWh Savings]]*tbl_Data[[#This Row],[Sum of Annuals]]</f>
        <v>5.7504696811023865E-3</v>
      </c>
      <c r="AZ177" s="81">
        <f>tbl_Data[[#This Row],[Lost Revenue ($/unit)]]/tbl_Data[[#This Row],[kWh Savings]]*tbl_Data[[#This Row],[Sum of Annuals]]</f>
        <v>1.5447799420705824E-2</v>
      </c>
      <c r="BA177" s="81">
        <f>tbl_Data[[#This Row],[Incremental Cost ($/unit)]]/tbl_Data[[#This Row],[kWh Savings]]*tbl_Data[[#This Row],[Sum of Annuals]]</f>
        <v>4.521508875199097E-2</v>
      </c>
      <c r="BB177" s="77">
        <f>ROUNDUP(tbl_Data[[#This Row],[Adjusted 2025]]/$L177,0)</f>
        <v>1</v>
      </c>
      <c r="BC177" s="77">
        <f>ROUNDUP(tbl_Data[[#This Row],[Adjusted 2026]]/$L177,0)</f>
        <v>1</v>
      </c>
      <c r="BD177" s="77">
        <f>ROUNDUP(tbl_Data[[#This Row],[Adjusted 2027]]/$L177,0)</f>
        <v>1</v>
      </c>
      <c r="BE177" s="77">
        <f>ROUNDUP(tbl_Data[[#This Row],[Adjusted 2028]]/$L177,0)</f>
        <v>1</v>
      </c>
      <c r="BF177" s="77">
        <f>ROUNDUP(tbl_Data[[#This Row],[Adjusted 2029]]/$L177,0)</f>
        <v>1</v>
      </c>
      <c r="BG177" s="77">
        <f>ROUNDUP(tbl_Data[[#This Row],[Adjusted 2030]]/$L177,0)</f>
        <v>1</v>
      </c>
      <c r="BH177" s="77">
        <f>ROUNDUP(tbl_Data[[#This Row],[Adjusted 2031]]/$L177,0)</f>
        <v>1</v>
      </c>
      <c r="BI177" s="77">
        <f>ROUNDUP(tbl_Data[[#This Row],[Adjusted 2032]]/$L177,0)</f>
        <v>1</v>
      </c>
      <c r="BJ177" s="77">
        <f>ROUNDUP(tbl_Data[[#This Row],[Adjusted 2033]]/$L177,0)</f>
        <v>1</v>
      </c>
      <c r="BK177" s="77">
        <f>ROUNDUP(tbl_Data[[#This Row],[Adjusted 2034]]/$L177,0)</f>
        <v>1</v>
      </c>
      <c r="BL177" s="80">
        <f t="shared" si="78"/>
        <v>0.58039914169736773</v>
      </c>
      <c r="BM177" s="80">
        <f t="shared" si="79"/>
        <v>0.64558636978760409</v>
      </c>
      <c r="BN177" s="80">
        <f t="shared" si="80"/>
        <v>0.70567510537857525</v>
      </c>
      <c r="BO177" s="80">
        <f t="shared" si="81"/>
        <v>0.76249983008381128</v>
      </c>
      <c r="BP177" s="80">
        <f t="shared" si="82"/>
        <v>0.8166091904206596</v>
      </c>
      <c r="BQ177" s="80">
        <f t="shared" si="83"/>
        <v>0.86608578401415615</v>
      </c>
      <c r="BR177" s="80">
        <f t="shared" si="84"/>
        <v>0.91774680414260457</v>
      </c>
      <c r="BS177" s="80">
        <f t="shared" si="85"/>
        <v>0.9738561920505846</v>
      </c>
      <c r="BT177" s="80">
        <f t="shared" si="86"/>
        <v>1.0351518591845132</v>
      </c>
      <c r="BU177" s="80">
        <f t="shared" si="87"/>
        <v>1.1020469808062849</v>
      </c>
      <c r="BV177" s="80">
        <f>IFERROR(VLOOKUP($H177,'1. Set Program Names'!$B$2:$D$15,3,0)*V177,"NA")</f>
        <v>0.24161677356644889</v>
      </c>
      <c r="BW177" s="80">
        <f>IFERROR(VLOOKUP($H177,'1. Set Program Names'!$B$2:$D$15,3,0)*W177,"NA")</f>
        <v>0.26875383597291891</v>
      </c>
      <c r="BX177" s="80">
        <f>IFERROR(VLOOKUP($H177,'1. Set Program Names'!$B$2:$D$15,3,0)*X177,"NA")</f>
        <v>0.29376842572354972</v>
      </c>
      <c r="BY177" s="80">
        <f>IFERROR(VLOOKUP($H177,'1. Set Program Names'!$B$2:$D$15,3,0)*Y177,"NA")</f>
        <v>0.31742422680197346</v>
      </c>
      <c r="BZ177" s="80">
        <f>IFERROR(VLOOKUP($H177,'1. Set Program Names'!$B$2:$D$15,3,0)*Z177,"NA")</f>
        <v>0.33994963754965268</v>
      </c>
      <c r="CA177" s="80">
        <f>IFERROR(VLOOKUP($H177,'1. Set Program Names'!$B$2:$D$15,3,0)*AA177,"NA")</f>
        <v>0.36054645455416912</v>
      </c>
      <c r="CB177" s="80">
        <f>IFERROR(VLOOKUP($H177,'1. Set Program Names'!$B$2:$D$15,3,0)*AB177,"NA")</f>
        <v>0.38205263556967362</v>
      </c>
      <c r="CC177" s="80">
        <f>IFERROR(VLOOKUP($H177,'1. Set Program Names'!$B$2:$D$15,3,0)*AC177,"NA")</f>
        <v>0.40541064611646277</v>
      </c>
      <c r="CD177" s="80">
        <f>IFERROR(VLOOKUP($H177,'1. Set Program Names'!$B$2:$D$15,3,0)*AD177,"NA")</f>
        <v>0.43092767442079677</v>
      </c>
      <c r="CE177" s="80">
        <f>IFERROR(VLOOKUP($H177,'1. Set Program Names'!$B$2:$D$15,3,0)*AE177,"NA")</f>
        <v>0.45877572293154972</v>
      </c>
    </row>
    <row r="178" spans="1:83" x14ac:dyDescent="0.25">
      <c r="A178" s="79" t="s">
        <v>114</v>
      </c>
      <c r="B178" s="79" t="s">
        <v>88</v>
      </c>
      <c r="C178" s="79" t="s">
        <v>89</v>
      </c>
      <c r="D178" s="79" t="s">
        <v>90</v>
      </c>
      <c r="E178" s="79" t="s">
        <v>91</v>
      </c>
      <c r="F178" s="79" t="s">
        <v>90</v>
      </c>
      <c r="G178" s="79" t="s">
        <v>92</v>
      </c>
      <c r="H178" s="79"/>
      <c r="I178" s="79" t="s">
        <v>300</v>
      </c>
      <c r="J178" s="79" t="s">
        <v>120</v>
      </c>
      <c r="K178" s="79" t="s">
        <v>121</v>
      </c>
      <c r="L178" s="79">
        <v>1988.02171595288</v>
      </c>
      <c r="M178" s="79">
        <v>0.57653488407092901</v>
      </c>
      <c r="N178" s="79">
        <v>0.213799538654902</v>
      </c>
      <c r="O178" s="79">
        <v>1475.381509522</v>
      </c>
      <c r="P178" s="79">
        <v>647.28493209175997</v>
      </c>
      <c r="Q178" s="79">
        <v>597.23166252061401</v>
      </c>
      <c r="R178" s="79">
        <v>1282.4247459138801</v>
      </c>
      <c r="S178" s="79">
        <v>3005.0463968047102</v>
      </c>
      <c r="T178" s="79">
        <v>20</v>
      </c>
      <c r="U178" s="79">
        <v>1</v>
      </c>
      <c r="V178" s="79">
        <f>tbl_Data_old[[#This Row],[2025 ]]*IFERROR(AVERAGEIFS('Participation Adjustment'!$C:$C,'Participation Adjustment'!$A:$A,$H178,'Participation Adjustment'!$B:$B,$I178),1)</f>
        <v>47.9075385748069</v>
      </c>
      <c r="W178" s="79">
        <f>tbl_Data_old[[#This Row],[2026 ]]*IFERROR(AVERAGEIFS('Participation Adjustment'!$C:$C,'Participation Adjustment'!$A:$A,$H178,'Participation Adjustment'!$B:$B,$I178),1)</f>
        <v>51.054306066315696</v>
      </c>
      <c r="X178" s="79">
        <f>tbl_Data_old[[#This Row],[2027 ]]*IFERROR(AVERAGEIFS('Participation Adjustment'!$C:$C,'Participation Adjustment'!$A:$A,$H178,'Participation Adjustment'!$B:$B,$I178),1)</f>
        <v>52.637844895671101</v>
      </c>
      <c r="Y178" s="79">
        <f>tbl_Data_old[[#This Row],[2028 ]]*IFERROR(AVERAGEIFS('Participation Adjustment'!$C:$C,'Participation Adjustment'!$A:$A,$H178,'Participation Adjustment'!$B:$B,$I178),1)</f>
        <v>53.9558952259313</v>
      </c>
      <c r="Z178" s="79">
        <f>tbl_Data_old[[#This Row],[2029 ]]*IFERROR(AVERAGEIFS('Participation Adjustment'!$C:$C,'Participation Adjustment'!$A:$A,$H178,'Participation Adjustment'!$B:$B,$I178),1)</f>
        <v>55.690574570533698</v>
      </c>
      <c r="AA178" s="79">
        <f>tbl_Data_old[[#This Row],[2030 ]]*IFERROR(AVERAGEIFS('Participation Adjustment'!$C:$C,'Participation Adjustment'!$A:$A,$H178,'Participation Adjustment'!$B:$B,$I178),1)</f>
        <v>57.5171701377243</v>
      </c>
      <c r="AB178" s="79">
        <f>tbl_Data_old[[#This Row],[2031 ]]*IFERROR(AVERAGEIFS('Participation Adjustment'!$C:$C,'Participation Adjustment'!$A:$A,$H178,'Participation Adjustment'!$B:$B,$I178),1)</f>
        <v>59.987329072733303</v>
      </c>
      <c r="AC178" s="79">
        <f>tbl_Data_old[[#This Row],[2032 ]]*IFERROR(AVERAGEIFS('Participation Adjustment'!$C:$C,'Participation Adjustment'!$A:$A,$H178,'Participation Adjustment'!$B:$B,$I178),1)</f>
        <v>62.825706020043697</v>
      </c>
      <c r="AD178" s="79">
        <f>tbl_Data_old[[#This Row],[2033 ]]*IFERROR(AVERAGEIFS('Participation Adjustment'!$C:$C,'Participation Adjustment'!$A:$A,$H178,'Participation Adjustment'!$B:$B,$I178),1)</f>
        <v>66.139217882562406</v>
      </c>
      <c r="AE178" s="79">
        <f>tbl_Data_old[[#This Row],[2034 ]]*IFERROR(AVERAGEIFS('Participation Adjustment'!$C:$C,'Participation Adjustment'!$A:$A,$H178,'Participation Adjustment'!$B:$B,$I178),1)</f>
        <v>69.846936516418594</v>
      </c>
      <c r="AF178" s="77" t="str">
        <f t="shared" si="77"/>
        <v>Residential</v>
      </c>
      <c r="AG178" s="77" t="str">
        <f>tbl_Data[[#This Row],[All_Meas_Name_Append]]</f>
        <v>New Construction - Whole Home Improvements - Tier 1</v>
      </c>
      <c r="AH178" s="77">
        <f>AVERAGEIFS('3. Incentive Adjustment'!G:G,'3. Incentive Adjustment'!A:A,tbl_Data[[#This Row],[Trimmed Sector]],'3. Incentive Adjustment'!B:B,tbl_Data[[#This Row],[Trimmed Measure Name]])</f>
        <v>0.42355026786158312</v>
      </c>
      <c r="AI178" s="77">
        <f>$AH178*tbl_Data[[#This Row],[2025 ]]</f>
        <v>20.291250795948589</v>
      </c>
      <c r="AJ178" s="77">
        <f>$AH178*tbl_Data[[#This Row],[2026 ]]</f>
        <v>21.62406500987526</v>
      </c>
      <c r="AK178" s="77">
        <f>$AH178*tbl_Data[[#This Row],[2027 ]]</f>
        <v>22.294773305217962</v>
      </c>
      <c r="AL178" s="77">
        <f>$AH178*tbl_Data[[#This Row],[2028 ]]</f>
        <v>22.853033875654717</v>
      </c>
      <c r="AM178" s="77">
        <f>$AH178*tbl_Data[[#This Row],[2029 ]]</f>
        <v>23.587757776715016</v>
      </c>
      <c r="AN178" s="77">
        <f>$AH178*tbl_Data[[#This Row],[2030 ]]</f>
        <v>24.361412818473376</v>
      </c>
      <c r="AO178" s="77">
        <f>$AH178*tbl_Data[[#This Row],[2031 ]]</f>
        <v>25.407649297057123</v>
      </c>
      <c r="AP178" s="77">
        <f>$AH178*tbl_Data[[#This Row],[2032 ]]</f>
        <v>26.609844613382585</v>
      </c>
      <c r="AQ178" s="77">
        <f>$AH178*tbl_Data[[#This Row],[2033 ]]</f>
        <v>28.013283450314916</v>
      </c>
      <c r="AR178" s="77">
        <f>$AH178*tbl_Data[[#This Row],[2034 ]]</f>
        <v>29.583688670840086</v>
      </c>
      <c r="AS178" s="77">
        <f>SUM(tbl_Data[[#This Row],[Adjusted 2025]:[Adjusted 2034]])</f>
        <v>244.62675961347966</v>
      </c>
      <c r="AT178" s="80">
        <f>AVERAGEIFS('3. Incentive Adjustment'!F:F,'3. Incentive Adjustment'!A:A,tbl_Data[[#This Row],[Trimmed Sector]],'3. Incentive Adjustment'!B:B,tbl_Data[[#This Row],[Trimmed Measure Name]])</f>
        <v>0</v>
      </c>
      <c r="AU178" s="80">
        <f>IFERROR(VLOOKUP(tbl_Data[[#This Row],[All_Meas_Name_Append]],'IRA Tax Credits'!$A$3:$D$46,4,0),0)</f>
        <v>0</v>
      </c>
      <c r="AV178" s="81">
        <f>tbl_Data[[#This Row],[Adj. per unit Incentive ($)]]/tbl_Data[[#This Row],[kWh Savings]]*tbl_Data[[#This Row],[Sum of Annuals]]</f>
        <v>0</v>
      </c>
      <c r="AW178" s="81" t="str">
        <f>IFERROR(VLOOKUP(tbl_Data[[#This Row],[Column1]],'1. Set Program Names'!$B$2:$D$15,3,0)*tbl_Data[[#This Row],[Sum of Annuals]],"")</f>
        <v/>
      </c>
      <c r="AX178" s="81">
        <f>tbl_Data[[#This Row],[per unit IRA tax ($)]]/tbl_Data[[#This Row],[kWh Savings]]*tbl_Data[[#This Row],[Sum of Annuals]]</f>
        <v>0</v>
      </c>
      <c r="AY178" s="81">
        <f>tbl_Data[[#This Row],[Avoided Costs ($/unit)]]/tbl_Data[[#This Row],[kWh Savings]]*tbl_Data[[#This Row],[Sum of Annuals]]</f>
        <v>157.80280845206227</v>
      </c>
      <c r="AZ178" s="81">
        <f>tbl_Data[[#This Row],[Lost Revenue ($/unit)]]/tbl_Data[[#This Row],[kWh Savings]]*tbl_Data[[#This Row],[Sum of Annuals]]</f>
        <v>369.77199828330384</v>
      </c>
      <c r="BA178" s="81">
        <f>tbl_Data[[#This Row],[Incremental Cost ($/unit)]]/tbl_Data[[#This Row],[kWh Savings]]*tbl_Data[[#This Row],[Sum of Annuals]]</f>
        <v>181.54620493922488</v>
      </c>
      <c r="BB178" s="77">
        <f>ROUNDUP(tbl_Data[[#This Row],[Adjusted 2025]]/$L178,0)</f>
        <v>1</v>
      </c>
      <c r="BC178" s="77">
        <f>ROUNDUP(tbl_Data[[#This Row],[Adjusted 2026]]/$L178,0)</f>
        <v>1</v>
      </c>
      <c r="BD178" s="77">
        <f>ROUNDUP(tbl_Data[[#This Row],[Adjusted 2027]]/$L178,0)</f>
        <v>1</v>
      </c>
      <c r="BE178" s="77">
        <f>ROUNDUP(tbl_Data[[#This Row],[Adjusted 2028]]/$L178,0)</f>
        <v>1</v>
      </c>
      <c r="BF178" s="77">
        <f>ROUNDUP(tbl_Data[[#This Row],[Adjusted 2029]]/$L178,0)</f>
        <v>1</v>
      </c>
      <c r="BG178" s="77">
        <f>ROUNDUP(tbl_Data[[#This Row],[Adjusted 2030]]/$L178,0)</f>
        <v>1</v>
      </c>
      <c r="BH178" s="77">
        <f>ROUNDUP(tbl_Data[[#This Row],[Adjusted 2031]]/$L178,0)</f>
        <v>1</v>
      </c>
      <c r="BI178" s="77">
        <f>ROUNDUP(tbl_Data[[#This Row],[Adjusted 2032]]/$L178,0)</f>
        <v>1</v>
      </c>
      <c r="BJ178" s="77">
        <f>ROUNDUP(tbl_Data[[#This Row],[Adjusted 2033]]/$L178,0)</f>
        <v>1</v>
      </c>
      <c r="BK178" s="77">
        <f>ROUNDUP(tbl_Data[[#This Row],[Adjusted 2034]]/$L178,0)</f>
        <v>1</v>
      </c>
      <c r="BL178" s="80">
        <f t="shared" si="78"/>
        <v>0</v>
      </c>
      <c r="BM178" s="80">
        <f t="shared" si="79"/>
        <v>0</v>
      </c>
      <c r="BN178" s="80">
        <f t="shared" si="80"/>
        <v>0</v>
      </c>
      <c r="BO178" s="80">
        <f t="shared" si="81"/>
        <v>0</v>
      </c>
      <c r="BP178" s="80">
        <f t="shared" si="82"/>
        <v>0</v>
      </c>
      <c r="BQ178" s="80">
        <f t="shared" si="83"/>
        <v>0</v>
      </c>
      <c r="BR178" s="80">
        <f t="shared" si="84"/>
        <v>0</v>
      </c>
      <c r="BS178" s="80">
        <f t="shared" si="85"/>
        <v>0</v>
      </c>
      <c r="BT178" s="80">
        <f t="shared" si="86"/>
        <v>0</v>
      </c>
      <c r="BU178" s="80">
        <f t="shared" si="87"/>
        <v>0</v>
      </c>
      <c r="BV178" s="80" t="str">
        <f>IFERROR(VLOOKUP($H178,'1. Set Program Names'!$B$2:$D$15,3,0)*V178,"NA")</f>
        <v>NA</v>
      </c>
      <c r="BW178" s="80" t="str">
        <f>IFERROR(VLOOKUP($H178,'1. Set Program Names'!$B$2:$D$15,3,0)*W178,"NA")</f>
        <v>NA</v>
      </c>
      <c r="BX178" s="80" t="str">
        <f>IFERROR(VLOOKUP($H178,'1. Set Program Names'!$B$2:$D$15,3,0)*X178,"NA")</f>
        <v>NA</v>
      </c>
      <c r="BY178" s="80" t="str">
        <f>IFERROR(VLOOKUP($H178,'1. Set Program Names'!$B$2:$D$15,3,0)*Y178,"NA")</f>
        <v>NA</v>
      </c>
      <c r="BZ178" s="80" t="str">
        <f>IFERROR(VLOOKUP($H178,'1. Set Program Names'!$B$2:$D$15,3,0)*Z178,"NA")</f>
        <v>NA</v>
      </c>
      <c r="CA178" s="80" t="str">
        <f>IFERROR(VLOOKUP($H178,'1. Set Program Names'!$B$2:$D$15,3,0)*AA178,"NA")</f>
        <v>NA</v>
      </c>
      <c r="CB178" s="80" t="str">
        <f>IFERROR(VLOOKUP($H178,'1. Set Program Names'!$B$2:$D$15,3,0)*AB178,"NA")</f>
        <v>NA</v>
      </c>
      <c r="CC178" s="80" t="str">
        <f>IFERROR(VLOOKUP($H178,'1. Set Program Names'!$B$2:$D$15,3,0)*AC178,"NA")</f>
        <v>NA</v>
      </c>
      <c r="CD178" s="80" t="str">
        <f>IFERROR(VLOOKUP($H178,'1. Set Program Names'!$B$2:$D$15,3,0)*AD178,"NA")</f>
        <v>NA</v>
      </c>
      <c r="CE178" s="80" t="str">
        <f>IFERROR(VLOOKUP($H178,'1. Set Program Names'!$B$2:$D$15,3,0)*AE178,"NA")</f>
        <v>NA</v>
      </c>
    </row>
    <row r="179" spans="1:83" x14ac:dyDescent="0.25">
      <c r="A179" s="79" t="s">
        <v>114</v>
      </c>
      <c r="B179" s="79" t="s">
        <v>88</v>
      </c>
      <c r="C179" s="79" t="s">
        <v>89</v>
      </c>
      <c r="D179" s="79" t="s">
        <v>90</v>
      </c>
      <c r="E179" s="79" t="s">
        <v>91</v>
      </c>
      <c r="F179" s="79" t="s">
        <v>90</v>
      </c>
      <c r="G179" s="79" t="s">
        <v>92</v>
      </c>
      <c r="H179" s="79"/>
      <c r="I179" s="79" t="s">
        <v>119</v>
      </c>
      <c r="J179" s="79" t="s">
        <v>120</v>
      </c>
      <c r="K179" s="79" t="s">
        <v>121</v>
      </c>
      <c r="L179" s="79">
        <v>6673.4968833372895</v>
      </c>
      <c r="M179" s="79">
        <v>1.73762506704112</v>
      </c>
      <c r="N179" s="79">
        <v>0.78936762832777396</v>
      </c>
      <c r="O179" s="79">
        <v>2151.0039802452802</v>
      </c>
      <c r="P179" s="79">
        <v>549.54451231238204</v>
      </c>
      <c r="Q179" s="79">
        <v>2004.8189647422</v>
      </c>
      <c r="R179" s="79">
        <v>4267.3988807063497</v>
      </c>
      <c r="S179" s="79">
        <v>10087.499347937401</v>
      </c>
      <c r="T179" s="79">
        <v>20</v>
      </c>
      <c r="U179" s="79">
        <v>1</v>
      </c>
      <c r="V179" s="79">
        <f>tbl_Data_old[[#This Row],[2025 ]]*IFERROR(AVERAGEIFS('Participation Adjustment'!$C:$C,'Participation Adjustment'!$A:$A,$H179,'Participation Adjustment'!$B:$B,$I179),1)</f>
        <v>59.241947855833303</v>
      </c>
      <c r="W179" s="79">
        <f>tbl_Data_old[[#This Row],[2026 ]]*IFERROR(AVERAGEIFS('Participation Adjustment'!$C:$C,'Participation Adjustment'!$A:$A,$H179,'Participation Adjustment'!$B:$B,$I179),1)</f>
        <v>63.298679497172103</v>
      </c>
      <c r="X179" s="79">
        <f>tbl_Data_old[[#This Row],[2027 ]]*IFERROR(AVERAGEIFS('Participation Adjustment'!$C:$C,'Participation Adjustment'!$A:$A,$H179,'Participation Adjustment'!$B:$B,$I179),1)</f>
        <v>65.430170217439695</v>
      </c>
      <c r="Y179" s="79">
        <f>tbl_Data_old[[#This Row],[2028 ]]*IFERROR(AVERAGEIFS('Participation Adjustment'!$C:$C,'Participation Adjustment'!$A:$A,$H179,'Participation Adjustment'!$B:$B,$I179),1)</f>
        <v>67.238765083489298</v>
      </c>
      <c r="Z179" s="79">
        <f>tbl_Data_old[[#This Row],[2029 ]]*IFERROR(AVERAGEIFS('Participation Adjustment'!$C:$C,'Participation Adjustment'!$A:$A,$H179,'Participation Adjustment'!$B:$B,$I179),1)</f>
        <v>69.574436633458205</v>
      </c>
      <c r="AA179" s="79">
        <f>tbl_Data_old[[#This Row],[2030 ]]*IFERROR(AVERAGEIFS('Participation Adjustment'!$C:$C,'Participation Adjustment'!$A:$A,$H179,'Participation Adjustment'!$B:$B,$I179),1)</f>
        <v>72.034757803409804</v>
      </c>
      <c r="AB179" s="79">
        <f>tbl_Data_old[[#This Row],[2031 ]]*IFERROR(AVERAGEIFS('Participation Adjustment'!$C:$C,'Participation Adjustment'!$A:$A,$H179,'Participation Adjustment'!$B:$B,$I179),1)</f>
        <v>75.313416149006002</v>
      </c>
      <c r="AC179" s="79">
        <f>tbl_Data_old[[#This Row],[2032 ]]*IFERROR(AVERAGEIFS('Participation Adjustment'!$C:$C,'Participation Adjustment'!$A:$A,$H179,'Participation Adjustment'!$B:$B,$I179),1)</f>
        <v>79.069846759447501</v>
      </c>
      <c r="AD179" s="79">
        <f>tbl_Data_old[[#This Row],[2033 ]]*IFERROR(AVERAGEIFS('Participation Adjustment'!$C:$C,'Participation Adjustment'!$A:$A,$H179,'Participation Adjustment'!$B:$B,$I179),1)</f>
        <v>83.442120446691405</v>
      </c>
      <c r="AE179" s="79">
        <f>tbl_Data_old[[#This Row],[2034 ]]*IFERROR(AVERAGEIFS('Participation Adjustment'!$C:$C,'Participation Adjustment'!$A:$A,$H179,'Participation Adjustment'!$B:$B,$I179),1)</f>
        <v>88.331870606908097</v>
      </c>
      <c r="AF179" s="77" t="str">
        <f t="shared" si="77"/>
        <v>Residential</v>
      </c>
      <c r="AG179" s="77" t="str">
        <f>tbl_Data[[#This Row],[All_Meas_Name_Append]]</f>
        <v>New Construction - Whole Home Improvements - Tier 2</v>
      </c>
      <c r="AH179" s="77">
        <f>AVERAGEIFS('3. Incentive Adjustment'!G:G,'3. Incentive Adjustment'!A:A,tbl_Data[[#This Row],[Trimmed Sector]],'3. Incentive Adjustment'!B:B,tbl_Data[[#This Row],[Trimmed Measure Name]])</f>
        <v>0.80470846489720416</v>
      </c>
      <c r="AI179" s="77">
        <f>$AH179*tbl_Data[[#This Row],[2025 ]]</f>
        <v>47.672496916587832</v>
      </c>
      <c r="AJ179" s="77">
        <f>$AH179*tbl_Data[[#This Row],[2026 ]]</f>
        <v>50.936983208189496</v>
      </c>
      <c r="AK179" s="77">
        <f>$AH179*tbl_Data[[#This Row],[2027 ]]</f>
        <v>52.652211833638667</v>
      </c>
      <c r="AL179" s="77">
        <f>$AH179*tbl_Data[[#This Row],[2028 ]]</f>
        <v>54.107603431918406</v>
      </c>
      <c r="AM179" s="77">
        <f>$AH179*tbl_Data[[#This Row],[2029 ]]</f>
        <v>55.98713809939796</v>
      </c>
      <c r="AN179" s="77">
        <f>$AH179*tbl_Data[[#This Row],[2030 ]]</f>
        <v>57.9669793712238</v>
      </c>
      <c r="AO179" s="77">
        <f>$AH179*tbl_Data[[#This Row],[2031 ]]</f>
        <v>60.605343495430922</v>
      </c>
      <c r="AP179" s="77">
        <f>$AH179*tbl_Data[[#This Row],[2032 ]]</f>
        <v>63.628175005452171</v>
      </c>
      <c r="AQ179" s="77">
        <f>$AH179*tbl_Data[[#This Row],[2033 ]]</f>
        <v>67.146580652424646</v>
      </c>
      <c r="AR179" s="77">
        <f>$AH179*tbl_Data[[#This Row],[2034 ]]</f>
        <v>71.081403997583479</v>
      </c>
      <c r="AS179" s="77">
        <f>SUM(tbl_Data[[#This Row],[Adjusted 2025]:[Adjusted 2034]])</f>
        <v>581.78491601184737</v>
      </c>
      <c r="AT179" s="80">
        <f>AVERAGEIFS('3. Incentive Adjustment'!F:F,'3. Incentive Adjustment'!A:A,tbl_Data[[#This Row],[Trimmed Sector]],'3. Incentive Adjustment'!B:B,tbl_Data[[#This Row],[Trimmed Measure Name]])</f>
        <v>0</v>
      </c>
      <c r="AU179" s="80">
        <f>IFERROR(VLOOKUP(tbl_Data[[#This Row],[All_Meas_Name_Append]],'IRA Tax Credits'!$A$3:$D$46,4,0),0)</f>
        <v>0</v>
      </c>
      <c r="AV179" s="81">
        <f>tbl_Data[[#This Row],[Adj. per unit Incentive ($)]]/tbl_Data[[#This Row],[kWh Savings]]*tbl_Data[[#This Row],[Sum of Annuals]]</f>
        <v>0</v>
      </c>
      <c r="AW179" s="81" t="str">
        <f>IFERROR(VLOOKUP(tbl_Data[[#This Row],[Column1]],'1. Set Program Names'!$B$2:$D$15,3,0)*tbl_Data[[#This Row],[Sum of Annuals]],"")</f>
        <v/>
      </c>
      <c r="AX179" s="81">
        <f>tbl_Data[[#This Row],[per unit IRA tax ($)]]/tbl_Data[[#This Row],[kWh Savings]]*tbl_Data[[#This Row],[Sum of Annuals]]</f>
        <v>0</v>
      </c>
      <c r="AY179" s="81">
        <f>tbl_Data[[#This Row],[Avoided Costs ($/unit)]]/tbl_Data[[#This Row],[kWh Savings]]*tbl_Data[[#This Row],[Sum of Annuals]]</f>
        <v>372.02509311119053</v>
      </c>
      <c r="AZ179" s="81">
        <f>tbl_Data[[#This Row],[Lost Revenue ($/unit)]]/tbl_Data[[#This Row],[kWh Savings]]*tbl_Data[[#This Row],[Sum of Annuals]]</f>
        <v>879.41225769696803</v>
      </c>
      <c r="BA179" s="81">
        <f>tbl_Data[[#This Row],[Incremental Cost ($/unit)]]/tbl_Data[[#This Row],[kWh Savings]]*tbl_Data[[#This Row],[Sum of Annuals]]</f>
        <v>187.52112900700681</v>
      </c>
      <c r="BB179" s="77">
        <f>ROUNDUP(tbl_Data[[#This Row],[Adjusted 2025]]/$L179,0)</f>
        <v>1</v>
      </c>
      <c r="BC179" s="77">
        <f>ROUNDUP(tbl_Data[[#This Row],[Adjusted 2026]]/$L179,0)</f>
        <v>1</v>
      </c>
      <c r="BD179" s="77">
        <f>ROUNDUP(tbl_Data[[#This Row],[Adjusted 2027]]/$L179,0)</f>
        <v>1</v>
      </c>
      <c r="BE179" s="77">
        <f>ROUNDUP(tbl_Data[[#This Row],[Adjusted 2028]]/$L179,0)</f>
        <v>1</v>
      </c>
      <c r="BF179" s="77">
        <f>ROUNDUP(tbl_Data[[#This Row],[Adjusted 2029]]/$L179,0)</f>
        <v>1</v>
      </c>
      <c r="BG179" s="77">
        <f>ROUNDUP(tbl_Data[[#This Row],[Adjusted 2030]]/$L179,0)</f>
        <v>1</v>
      </c>
      <c r="BH179" s="77">
        <f>ROUNDUP(tbl_Data[[#This Row],[Adjusted 2031]]/$L179,0)</f>
        <v>1</v>
      </c>
      <c r="BI179" s="77">
        <f>ROUNDUP(tbl_Data[[#This Row],[Adjusted 2032]]/$L179,0)</f>
        <v>1</v>
      </c>
      <c r="BJ179" s="77">
        <f>ROUNDUP(tbl_Data[[#This Row],[Adjusted 2033]]/$L179,0)</f>
        <v>1</v>
      </c>
      <c r="BK179" s="77">
        <f>ROUNDUP(tbl_Data[[#This Row],[Adjusted 2034]]/$L179,0)</f>
        <v>1</v>
      </c>
      <c r="BL179" s="80">
        <f t="shared" si="78"/>
        <v>0</v>
      </c>
      <c r="BM179" s="80">
        <f t="shared" si="79"/>
        <v>0</v>
      </c>
      <c r="BN179" s="80">
        <f t="shared" si="80"/>
        <v>0</v>
      </c>
      <c r="BO179" s="80">
        <f t="shared" si="81"/>
        <v>0</v>
      </c>
      <c r="BP179" s="80">
        <f t="shared" si="82"/>
        <v>0</v>
      </c>
      <c r="BQ179" s="80">
        <f t="shared" si="83"/>
        <v>0</v>
      </c>
      <c r="BR179" s="80">
        <f t="shared" si="84"/>
        <v>0</v>
      </c>
      <c r="BS179" s="80">
        <f t="shared" si="85"/>
        <v>0</v>
      </c>
      <c r="BT179" s="80">
        <f t="shared" si="86"/>
        <v>0</v>
      </c>
      <c r="BU179" s="80">
        <f t="shared" si="87"/>
        <v>0</v>
      </c>
      <c r="BV179" s="80" t="str">
        <f>IFERROR(VLOOKUP($H179,'1. Set Program Names'!$B$2:$D$15,3,0)*V179,"NA")</f>
        <v>NA</v>
      </c>
      <c r="BW179" s="80" t="str">
        <f>IFERROR(VLOOKUP($H179,'1. Set Program Names'!$B$2:$D$15,3,0)*W179,"NA")</f>
        <v>NA</v>
      </c>
      <c r="BX179" s="80" t="str">
        <f>IFERROR(VLOOKUP($H179,'1. Set Program Names'!$B$2:$D$15,3,0)*X179,"NA")</f>
        <v>NA</v>
      </c>
      <c r="BY179" s="80" t="str">
        <f>IFERROR(VLOOKUP($H179,'1. Set Program Names'!$B$2:$D$15,3,0)*Y179,"NA")</f>
        <v>NA</v>
      </c>
      <c r="BZ179" s="80" t="str">
        <f>IFERROR(VLOOKUP($H179,'1. Set Program Names'!$B$2:$D$15,3,0)*Z179,"NA")</f>
        <v>NA</v>
      </c>
      <c r="CA179" s="80" t="str">
        <f>IFERROR(VLOOKUP($H179,'1. Set Program Names'!$B$2:$D$15,3,0)*AA179,"NA")</f>
        <v>NA</v>
      </c>
      <c r="CB179" s="80" t="str">
        <f>IFERROR(VLOOKUP($H179,'1. Set Program Names'!$B$2:$D$15,3,0)*AB179,"NA")</f>
        <v>NA</v>
      </c>
      <c r="CC179" s="80" t="str">
        <f>IFERROR(VLOOKUP($H179,'1. Set Program Names'!$B$2:$D$15,3,0)*AC179,"NA")</f>
        <v>NA</v>
      </c>
      <c r="CD179" s="80" t="str">
        <f>IFERROR(VLOOKUP($H179,'1. Set Program Names'!$B$2:$D$15,3,0)*AD179,"NA")</f>
        <v>NA</v>
      </c>
      <c r="CE179" s="80" t="str">
        <f>IFERROR(VLOOKUP($H179,'1. Set Program Names'!$B$2:$D$15,3,0)*AE179,"NA")</f>
        <v>NA</v>
      </c>
    </row>
    <row r="180" spans="1:83" x14ac:dyDescent="0.25">
      <c r="A180" s="79" t="s">
        <v>114</v>
      </c>
      <c r="B180" s="79" t="s">
        <v>88</v>
      </c>
      <c r="C180" s="79" t="s">
        <v>89</v>
      </c>
      <c r="D180" s="79" t="s">
        <v>90</v>
      </c>
      <c r="E180" s="79" t="s">
        <v>91</v>
      </c>
      <c r="F180" s="79" t="s">
        <v>90</v>
      </c>
      <c r="G180" s="79" t="s">
        <v>92</v>
      </c>
      <c r="H180" s="79" t="s">
        <v>9</v>
      </c>
      <c r="I180" s="79" t="s">
        <v>299</v>
      </c>
      <c r="J180" s="79" t="s">
        <v>97</v>
      </c>
      <c r="K180" s="79" t="s">
        <v>102</v>
      </c>
      <c r="L180" s="79">
        <v>408.28</v>
      </c>
      <c r="M180" s="79">
        <v>0.16567198429270899</v>
      </c>
      <c r="N180" s="79">
        <v>2.3547919008134799E-2</v>
      </c>
      <c r="O180" s="79">
        <v>128.60999999999999</v>
      </c>
      <c r="P180" s="79">
        <v>29.691921599999901</v>
      </c>
      <c r="Q180" s="79">
        <v>122.65346058206499</v>
      </c>
      <c r="R180" s="79">
        <v>238.630335182902</v>
      </c>
      <c r="S180" s="79">
        <v>423.90838942107399</v>
      </c>
      <c r="T180" s="79">
        <v>11</v>
      </c>
      <c r="U180" s="79">
        <v>0.19999999999999901</v>
      </c>
      <c r="V180" s="79">
        <f>tbl_Data_old[[#This Row],[2025 ]]*IFERROR(AVERAGEIFS('Participation Adjustment'!$C:$C,'Participation Adjustment'!$A:$A,$H180,'Participation Adjustment'!$B:$B,$I180),1)</f>
        <v>1.45491875827485</v>
      </c>
      <c r="W180" s="79">
        <f>tbl_Data_old[[#This Row],[2026 ]]*IFERROR(AVERAGEIFS('Participation Adjustment'!$C:$C,'Participation Adjustment'!$A:$A,$H180,'Participation Adjustment'!$B:$B,$I180),1)</f>
        <v>1.20706270867482</v>
      </c>
      <c r="X180" s="79">
        <f>tbl_Data_old[[#This Row],[2027 ]]*IFERROR(AVERAGEIFS('Participation Adjustment'!$C:$C,'Participation Adjustment'!$A:$A,$H180,'Participation Adjustment'!$B:$B,$I180),1)</f>
        <v>1.0014437606092701</v>
      </c>
      <c r="Y180" s="79">
        <f>tbl_Data_old[[#This Row],[2028 ]]*IFERROR(AVERAGEIFS('Participation Adjustment'!$C:$C,'Participation Adjustment'!$A:$A,$H180,'Participation Adjustment'!$B:$B,$I180),1)</f>
        <v>0.83439871639705199</v>
      </c>
      <c r="Z180" s="79">
        <f>tbl_Data_old[[#This Row],[2029 ]]*IFERROR(AVERAGEIFS('Participation Adjustment'!$C:$C,'Participation Adjustment'!$A:$A,$H180,'Participation Adjustment'!$B:$B,$I180),1)</f>
        <v>0.70001493100510903</v>
      </c>
      <c r="AA180" s="79">
        <f>tbl_Data_old[[#This Row],[2030 ]]*IFERROR(AVERAGEIFS('Participation Adjustment'!$C:$C,'Participation Adjustment'!$A:$A,$H180,'Participation Adjustment'!$B:$B,$I180),1)</f>
        <v>0.59029909435581496</v>
      </c>
      <c r="AB180" s="79">
        <f>tbl_Data_old[[#This Row],[2031 ]]*IFERROR(AVERAGEIFS('Participation Adjustment'!$C:$C,'Participation Adjustment'!$A:$A,$H180,'Participation Adjustment'!$B:$B,$I180),1)</f>
        <v>0.50508260410350503</v>
      </c>
      <c r="AC180" s="79">
        <f>tbl_Data_old[[#This Row],[2032 ]]*IFERROR(AVERAGEIFS('Participation Adjustment'!$C:$C,'Participation Adjustment'!$A:$A,$H180,'Participation Adjustment'!$B:$B,$I180),1)</f>
        <v>0.43901869795086401</v>
      </c>
      <c r="AD180" s="79">
        <f>tbl_Data_old[[#This Row],[2033 ]]*IFERROR(AVERAGEIFS('Participation Adjustment'!$C:$C,'Participation Adjustment'!$A:$A,$H180,'Participation Adjustment'!$B:$B,$I180),1)</f>
        <v>0.38801733132952199</v>
      </c>
      <c r="AE180" s="79">
        <f>tbl_Data_old[[#This Row],[2034 ]]*IFERROR(AVERAGEIFS('Participation Adjustment'!$C:$C,'Participation Adjustment'!$A:$A,$H180,'Participation Adjustment'!$B:$B,$I180),1)</f>
        <v>0.348637304042899</v>
      </c>
      <c r="AF180" s="77" t="str">
        <f t="shared" si="77"/>
        <v>Residential</v>
      </c>
      <c r="AG180" s="77" t="str">
        <f>tbl_Data[[#This Row],[All_Meas_Name_Append]]</f>
        <v>Smart Thermostat Residential</v>
      </c>
      <c r="AH180" s="77">
        <f>AVERAGEIFS('3. Incentive Adjustment'!G:G,'3. Incentive Adjustment'!A:A,tbl_Data[[#This Row],[Trimmed Sector]],'3. Incentive Adjustment'!B:B,tbl_Data[[#This Row],[Trimmed Measure Name]])</f>
        <v>1.1402432304340044</v>
      </c>
      <c r="AI180" s="77">
        <f>$AH180*tbl_Data[[#This Row],[2025 ]]</f>
        <v>1.6589612649543453</v>
      </c>
      <c r="AJ180" s="77">
        <f>$AH180*tbl_Data[[#This Row],[2026 ]]</f>
        <v>1.3763450822757963</v>
      </c>
      <c r="AK180" s="77">
        <f>$AH180*tbl_Data[[#This Row],[2027 ]]</f>
        <v>1.141889468695092</v>
      </c>
      <c r="AL180" s="77">
        <f>$AH180*tbl_Data[[#This Row],[2028 ]]</f>
        <v>0.95141748785456126</v>
      </c>
      <c r="AM180" s="77">
        <f>$AH180*tbl_Data[[#This Row],[2029 ]]</f>
        <v>0.79818728628130231</v>
      </c>
      <c r="AN180" s="77">
        <f>$AH180*tbl_Data[[#This Row],[2030 ]]</f>
        <v>0.67308454627054159</v>
      </c>
      <c r="AO180" s="77">
        <f>$AH180*tbl_Data[[#This Row],[2031 ]]</f>
        <v>0.57591702013899992</v>
      </c>
      <c r="AP180" s="77">
        <f>$AH180*tbl_Data[[#This Row],[2032 ]]</f>
        <v>0.50058809837242357</v>
      </c>
      <c r="AQ180" s="77">
        <f>$AH180*tbl_Data[[#This Row],[2033 ]]</f>
        <v>0.44243413533955561</v>
      </c>
      <c r="AR180" s="77">
        <f>$AH180*tbl_Data[[#This Row],[2034 ]]</f>
        <v>0.39753132581167733</v>
      </c>
      <c r="AS180" s="77">
        <f>SUM(tbl_Data[[#This Row],[Adjusted 2025]:[Adjusted 2034]])</f>
        <v>8.5163557159942957</v>
      </c>
      <c r="AT180" s="80">
        <f>AVERAGEIFS('3. Incentive Adjustment'!F:F,'3. Incentive Adjustment'!A:A,tbl_Data[[#This Row],[Trimmed Sector]],'3. Incentive Adjustment'!B:B,tbl_Data[[#This Row],[Trimmed Measure Name]])</f>
        <v>50</v>
      </c>
      <c r="AU180" s="80">
        <f>IFERROR(VLOOKUP(tbl_Data[[#This Row],[All_Meas_Name_Append]],'IRA Tax Credits'!$A$3:$D$46,4,0),0)</f>
        <v>0</v>
      </c>
      <c r="AV180" s="81">
        <f>tbl_Data[[#This Row],[Adj. per unit Incentive ($)]]/tbl_Data[[#This Row],[kWh Savings]]*tbl_Data[[#This Row],[Sum of Annuals]]</f>
        <v>1.0429552899963623</v>
      </c>
      <c r="AW180" s="81">
        <f>IFERROR(VLOOKUP(tbl_Data[[#This Row],[Column1]],'1. Set Program Names'!$B$2:$D$15,3,0)*tbl_Data[[#This Row],[Sum of Annuals]],"")</f>
        <v>3.837662266512754</v>
      </c>
      <c r="AX180" s="81">
        <f>tbl_Data[[#This Row],[per unit IRA tax ($)]]/tbl_Data[[#This Row],[kWh Savings]]*tbl_Data[[#This Row],[Sum of Annuals]]</f>
        <v>0</v>
      </c>
      <c r="AY180" s="81">
        <f>tbl_Data[[#This Row],[Avoided Costs ($/unit)]]/tbl_Data[[#This Row],[kWh Savings]]*tbl_Data[[#This Row],[Sum of Annuals]]</f>
        <v>4.9776154086522544</v>
      </c>
      <c r="AZ180" s="81">
        <f>tbl_Data[[#This Row],[Lost Revenue ($/unit)]]/tbl_Data[[#This Row],[kWh Savings]]*tbl_Data[[#This Row],[Sum of Annuals]]</f>
        <v>8.8423499444109428</v>
      </c>
      <c r="BA180" s="81">
        <f>tbl_Data[[#This Row],[Incremental Cost ($/unit)]]/tbl_Data[[#This Row],[kWh Savings]]*tbl_Data[[#This Row],[Sum of Annuals]]</f>
        <v>2.6826895969286433</v>
      </c>
      <c r="BB180" s="77">
        <f>ROUNDUP(tbl_Data[[#This Row],[Adjusted 2025]]/$L180,0)</f>
        <v>1</v>
      </c>
      <c r="BC180" s="77">
        <f>ROUNDUP(tbl_Data[[#This Row],[Adjusted 2026]]/$L180,0)</f>
        <v>1</v>
      </c>
      <c r="BD180" s="77">
        <f>ROUNDUP(tbl_Data[[#This Row],[Adjusted 2027]]/$L180,0)</f>
        <v>1</v>
      </c>
      <c r="BE180" s="77">
        <f>ROUNDUP(tbl_Data[[#This Row],[Adjusted 2028]]/$L180,0)</f>
        <v>1</v>
      </c>
      <c r="BF180" s="77">
        <f>ROUNDUP(tbl_Data[[#This Row],[Adjusted 2029]]/$L180,0)</f>
        <v>1</v>
      </c>
      <c r="BG180" s="77">
        <f>ROUNDUP(tbl_Data[[#This Row],[Adjusted 2030]]/$L180,0)</f>
        <v>1</v>
      </c>
      <c r="BH180" s="77">
        <f>ROUNDUP(tbl_Data[[#This Row],[Adjusted 2031]]/$L180,0)</f>
        <v>1</v>
      </c>
      <c r="BI180" s="77">
        <f>ROUNDUP(tbl_Data[[#This Row],[Adjusted 2032]]/$L180,0)</f>
        <v>1</v>
      </c>
      <c r="BJ180" s="77">
        <f>ROUNDUP(tbl_Data[[#This Row],[Adjusted 2033]]/$L180,0)</f>
        <v>1</v>
      </c>
      <c r="BK180" s="77">
        <f>ROUNDUP(tbl_Data[[#This Row],[Adjusted 2034]]/$L180,0)</f>
        <v>1</v>
      </c>
      <c r="BL180" s="80">
        <f t="shared" si="78"/>
        <v>0.17817658938410527</v>
      </c>
      <c r="BM180" s="80">
        <f t="shared" si="79"/>
        <v>0.14782290446198934</v>
      </c>
      <c r="BN180" s="80">
        <f t="shared" si="80"/>
        <v>0.1226417851240901</v>
      </c>
      <c r="BO180" s="80">
        <f t="shared" si="81"/>
        <v>0.10218461795790292</v>
      </c>
      <c r="BP180" s="80">
        <f t="shared" si="82"/>
        <v>8.572731103716924E-2</v>
      </c>
      <c r="BQ180" s="80">
        <f t="shared" si="83"/>
        <v>7.2290963842928269E-2</v>
      </c>
      <c r="BR180" s="80">
        <f t="shared" si="84"/>
        <v>6.1854928493130339E-2</v>
      </c>
      <c r="BS180" s="80">
        <f t="shared" si="85"/>
        <v>5.3764413876612134E-2</v>
      </c>
      <c r="BT180" s="80">
        <f t="shared" si="86"/>
        <v>4.7518532787489229E-2</v>
      </c>
      <c r="BU180" s="80">
        <f t="shared" si="87"/>
        <v>4.2695858729658448E-2</v>
      </c>
      <c r="BV180" s="80">
        <f>IFERROR(VLOOKUP($H180,'1. Set Program Names'!$B$2:$D$15,3,0)*V180,"NA")</f>
        <v>0.65561925848010483</v>
      </c>
      <c r="BW180" s="80">
        <f>IFERROR(VLOOKUP($H180,'1. Set Program Names'!$B$2:$D$15,3,0)*W180,"NA")</f>
        <v>0.5439297235666497</v>
      </c>
      <c r="BX180" s="80">
        <f>IFERROR(VLOOKUP($H180,'1. Set Program Names'!$B$2:$D$15,3,0)*X180,"NA")</f>
        <v>0.45127318072295064</v>
      </c>
      <c r="BY180" s="80">
        <f>IFERROR(VLOOKUP($H180,'1. Set Program Names'!$B$2:$D$15,3,0)*Y180,"NA")</f>
        <v>0.3759989103237909</v>
      </c>
      <c r="BZ180" s="80">
        <f>IFERROR(VLOOKUP($H180,'1. Set Program Names'!$B$2:$D$15,3,0)*Z180,"NA")</f>
        <v>0.31544254095311619</v>
      </c>
      <c r="CA180" s="80">
        <f>IFERROR(VLOOKUP($H180,'1. Set Program Names'!$B$2:$D$15,3,0)*AA180,"NA")</f>
        <v>0.26600210652444289</v>
      </c>
      <c r="CB180" s="80">
        <f>IFERROR(VLOOKUP($H180,'1. Set Program Names'!$B$2:$D$15,3,0)*AB180,"NA")</f>
        <v>0.22760163101215858</v>
      </c>
      <c r="CC180" s="80">
        <f>IFERROR(VLOOKUP($H180,'1. Set Program Names'!$B$2:$D$15,3,0)*AC180,"NA")</f>
        <v>0.19783174254398647</v>
      </c>
      <c r="CD180" s="80">
        <f>IFERROR(VLOOKUP($H180,'1. Set Program Names'!$B$2:$D$15,3,0)*AD180,"NA")</f>
        <v>0.17484937464503639</v>
      </c>
      <c r="CE180" s="80">
        <f>IFERROR(VLOOKUP($H180,'1. Set Program Names'!$B$2:$D$15,3,0)*AE180,"NA")</f>
        <v>0.15710384477146752</v>
      </c>
    </row>
    <row r="181" spans="1:83" x14ac:dyDescent="0.25">
      <c r="A181" s="79" t="s">
        <v>114</v>
      </c>
      <c r="B181" s="79" t="s">
        <v>88</v>
      </c>
      <c r="C181" s="79" t="s">
        <v>89</v>
      </c>
      <c r="D181" s="79" t="s">
        <v>90</v>
      </c>
      <c r="E181" s="79" t="s">
        <v>91</v>
      </c>
      <c r="F181" s="79" t="s">
        <v>90</v>
      </c>
      <c r="G181" s="79" t="s">
        <v>92</v>
      </c>
      <c r="H181" s="79"/>
      <c r="I181" s="79" t="s">
        <v>112</v>
      </c>
      <c r="J181" s="79" t="s">
        <v>94</v>
      </c>
      <c r="K181" s="79" t="s">
        <v>108</v>
      </c>
      <c r="L181" s="79">
        <v>1330.8133333333301</v>
      </c>
      <c r="M181" s="79">
        <v>5.33311142126306E-2</v>
      </c>
      <c r="N181" s="79">
        <v>0.24737910980336</v>
      </c>
      <c r="O181" s="79">
        <v>8990.02</v>
      </c>
      <c r="P181" s="79">
        <v>8776.4394094329891</v>
      </c>
      <c r="Q181" s="79">
        <v>399.796367008147</v>
      </c>
      <c r="R181" s="79">
        <v>713.19672296706005</v>
      </c>
      <c r="S181" s="79">
        <v>2011.6258188035599</v>
      </c>
      <c r="T181" s="79">
        <v>20</v>
      </c>
      <c r="U181" s="79">
        <v>0.2</v>
      </c>
      <c r="V181" s="79">
        <f>tbl_Data_old[[#This Row],[2025 ]]*IFERROR(AVERAGEIFS('Participation Adjustment'!$C:$C,'Participation Adjustment'!$A:$A,$H181,'Participation Adjustment'!$B:$B,$I181),1)</f>
        <v>1.7296882498805299</v>
      </c>
      <c r="W181" s="79">
        <f>tbl_Data_old[[#This Row],[2026 ]]*IFERROR(AVERAGEIFS('Participation Adjustment'!$C:$C,'Participation Adjustment'!$A:$A,$H181,'Participation Adjustment'!$B:$B,$I181),1)</f>
        <v>1.9250283808803501</v>
      </c>
      <c r="X181" s="79">
        <f>tbl_Data_old[[#This Row],[2027 ]]*IFERROR(AVERAGEIFS('Participation Adjustment'!$C:$C,'Participation Adjustment'!$A:$A,$H181,'Participation Adjustment'!$B:$B,$I181),1)</f>
        <v>2.1052680574843801</v>
      </c>
      <c r="Y181" s="79">
        <f>tbl_Data_old[[#This Row],[2028 ]]*IFERROR(AVERAGEIFS('Participation Adjustment'!$C:$C,'Participation Adjustment'!$A:$A,$H181,'Participation Adjustment'!$B:$B,$I181),1)</f>
        <v>2.2758399280811101</v>
      </c>
      <c r="Z181" s="79">
        <f>tbl_Data_old[[#This Row],[2029 ]]*IFERROR(AVERAGEIFS('Participation Adjustment'!$C:$C,'Participation Adjustment'!$A:$A,$H181,'Participation Adjustment'!$B:$B,$I181),1)</f>
        <v>2.4383530525679902</v>
      </c>
      <c r="AA181" s="79">
        <f>tbl_Data_old[[#This Row],[2030 ]]*IFERROR(AVERAGEIFS('Participation Adjustment'!$C:$C,'Participation Adjustment'!$A:$A,$H181,'Participation Adjustment'!$B:$B,$I181),1)</f>
        <v>2.5870574734926102</v>
      </c>
      <c r="AB181" s="79">
        <f>tbl_Data_old[[#This Row],[2031 ]]*IFERROR(AVERAGEIFS('Participation Adjustment'!$C:$C,'Participation Adjustment'!$A:$A,$H181,'Participation Adjustment'!$B:$B,$I181),1)</f>
        <v>2.7422990542110899</v>
      </c>
      <c r="AC181" s="79">
        <f>tbl_Data_old[[#This Row],[2032 ]]*IFERROR(AVERAGEIFS('Participation Adjustment'!$C:$C,'Participation Adjustment'!$A:$A,$H181,'Participation Adjustment'!$B:$B,$I181),1)</f>
        <v>2.9108434362149702</v>
      </c>
      <c r="AD181" s="79">
        <f>tbl_Data_old[[#This Row],[2033 ]]*IFERROR(AVERAGEIFS('Participation Adjustment'!$C:$C,'Participation Adjustment'!$A:$A,$H181,'Participation Adjustment'!$B:$B,$I181),1)</f>
        <v>3.0949013572694</v>
      </c>
      <c r="AE181" s="79">
        <f>tbl_Data_old[[#This Row],[2034 ]]*IFERROR(AVERAGEIFS('Participation Adjustment'!$C:$C,'Participation Adjustment'!$A:$A,$H181,'Participation Adjustment'!$B:$B,$I181),1)</f>
        <v>3.2957136746037099</v>
      </c>
      <c r="AF181" s="77" t="str">
        <f t="shared" si="77"/>
        <v>Residential</v>
      </c>
      <c r="AG181" s="77" t="str">
        <f>tbl_Data[[#This Row],[All_Meas_Name_Append]]</f>
        <v>Solar Thermal Water Heating System</v>
      </c>
      <c r="AH181" s="77">
        <f>AVERAGEIFS('3. Incentive Adjustment'!G:G,'3. Incentive Adjustment'!A:A,tbl_Data[[#This Row],[Trimmed Sector]],'3. Incentive Adjustment'!B:B,tbl_Data[[#This Row],[Trimmed Measure Name]])</f>
        <v>2.7736651842107431E-8</v>
      </c>
      <c r="AI181" s="77">
        <f>$AH181*tbl_Data[[#This Row],[2025 ]]</f>
        <v>4.797576078232038E-8</v>
      </c>
      <c r="AJ181" s="77">
        <f>$AH181*tbl_Data[[#This Row],[2026 ]]</f>
        <v>5.3393841986654047E-8</v>
      </c>
      <c r="AK181" s="77">
        <f>$AH181*tbl_Data[[#This Row],[2027 ]]</f>
        <v>5.8393087144754063E-8</v>
      </c>
      <c r="AL181" s="77">
        <f>$AH181*tbl_Data[[#This Row],[2028 ]]</f>
        <v>6.3124179733552573E-8</v>
      </c>
      <c r="AM181" s="77">
        <f>$AH181*tbl_Data[[#This Row],[2029 ]]</f>
        <v>6.7631749687218221E-8</v>
      </c>
      <c r="AN181" s="77">
        <f>$AH181*tbl_Data[[#This Row],[2030 ]]</f>
        <v>7.1756312437786601E-8</v>
      </c>
      <c r="AO181" s="77">
        <f>$AH181*tbl_Data[[#This Row],[2031 ]]</f>
        <v>7.6062194113593496E-8</v>
      </c>
      <c r="AP181" s="77">
        <f>$AH181*tbl_Data[[#This Row],[2032 ]]</f>
        <v>8.0737050957178279E-8</v>
      </c>
      <c r="AQ181" s="77">
        <f>$AH181*tbl_Data[[#This Row],[2033 ]]</f>
        <v>8.584220143224709E-8</v>
      </c>
      <c r="AR181" s="77">
        <f>$AH181*tbl_Data[[#This Row],[2034 ]]</f>
        <v>9.1412062763755644E-8</v>
      </c>
      <c r="AS181" s="77">
        <f>SUM(tbl_Data[[#This Row],[Adjusted 2025]:[Adjusted 2034]])</f>
        <v>6.9632844103906045E-7</v>
      </c>
      <c r="AT181" s="80">
        <f>AVERAGEIFS('3. Incentive Adjustment'!F:F,'3. Incentive Adjustment'!A:A,tbl_Data[[#This Row],[Trimmed Sector]],'3. Incentive Adjustment'!B:B,tbl_Data[[#This Row],[Trimmed Measure Name]])</f>
        <v>0</v>
      </c>
      <c r="AU181" s="80">
        <f>IFERROR(VLOOKUP(tbl_Data[[#This Row],[All_Meas_Name_Append]],'IRA Tax Credits'!$A$3:$D$46,4,0),0)</f>
        <v>41666.666666666672</v>
      </c>
      <c r="AV181" s="81">
        <f>tbl_Data[[#This Row],[Adj. per unit Incentive ($)]]/tbl_Data[[#This Row],[kWh Savings]]*tbl_Data[[#This Row],[Sum of Annuals]]</f>
        <v>0</v>
      </c>
      <c r="AW181" s="81" t="str">
        <f>IFERROR(VLOOKUP(tbl_Data[[#This Row],[Column1]],'1. Set Program Names'!$B$2:$D$15,3,0)*tbl_Data[[#This Row],[Sum of Annuals]],"")</f>
        <v/>
      </c>
      <c r="AX181" s="81">
        <f>tbl_Data[[#This Row],[per unit IRA tax ($)]]/tbl_Data[[#This Row],[kWh Savings]]*tbl_Data[[#This Row],[Sum of Annuals]]</f>
        <v>2.1801468558045401E-5</v>
      </c>
      <c r="AY181" s="81">
        <f>tbl_Data[[#This Row],[Avoided Costs ($/unit)]]/tbl_Data[[#This Row],[kWh Savings]]*tbl_Data[[#This Row],[Sum of Annuals]]</f>
        <v>3.7316966235521697E-7</v>
      </c>
      <c r="AZ181" s="81">
        <f>tbl_Data[[#This Row],[Lost Revenue ($/unit)]]/tbl_Data[[#This Row],[kWh Savings]]*tbl_Data[[#This Row],[Sum of Annuals]]</f>
        <v>1.0525535289407553E-6</v>
      </c>
      <c r="BA181" s="81">
        <f>tbl_Data[[#This Row],[Incremental Cost ($/unit)]]/tbl_Data[[#This Row],[kWh Savings]]*tbl_Data[[#This Row],[Sum of Annuals]]</f>
        <v>4.7038953207887824E-6</v>
      </c>
      <c r="BB181" s="77">
        <f>ROUNDUP(tbl_Data[[#This Row],[Adjusted 2025]]/$L181,0)</f>
        <v>1</v>
      </c>
      <c r="BC181" s="77">
        <f>ROUNDUP(tbl_Data[[#This Row],[Adjusted 2026]]/$L181,0)</f>
        <v>1</v>
      </c>
      <c r="BD181" s="77">
        <f>ROUNDUP(tbl_Data[[#This Row],[Adjusted 2027]]/$L181,0)</f>
        <v>1</v>
      </c>
      <c r="BE181" s="77">
        <f>ROUNDUP(tbl_Data[[#This Row],[Adjusted 2028]]/$L181,0)</f>
        <v>1</v>
      </c>
      <c r="BF181" s="77">
        <f>ROUNDUP(tbl_Data[[#This Row],[Adjusted 2029]]/$L181,0)</f>
        <v>1</v>
      </c>
      <c r="BG181" s="77">
        <f>ROUNDUP(tbl_Data[[#This Row],[Adjusted 2030]]/$L181,0)</f>
        <v>1</v>
      </c>
      <c r="BH181" s="77">
        <f>ROUNDUP(tbl_Data[[#This Row],[Adjusted 2031]]/$L181,0)</f>
        <v>1</v>
      </c>
      <c r="BI181" s="77">
        <f>ROUNDUP(tbl_Data[[#This Row],[Adjusted 2032]]/$L181,0)</f>
        <v>1</v>
      </c>
      <c r="BJ181" s="77">
        <f>ROUNDUP(tbl_Data[[#This Row],[Adjusted 2033]]/$L181,0)</f>
        <v>1</v>
      </c>
      <c r="BK181" s="77">
        <f>ROUNDUP(tbl_Data[[#This Row],[Adjusted 2034]]/$L181,0)</f>
        <v>1</v>
      </c>
      <c r="BL181" s="80">
        <f t="shared" si="78"/>
        <v>0</v>
      </c>
      <c r="BM181" s="80">
        <f t="shared" si="79"/>
        <v>0</v>
      </c>
      <c r="BN181" s="80">
        <f t="shared" si="80"/>
        <v>0</v>
      </c>
      <c r="BO181" s="80">
        <f t="shared" si="81"/>
        <v>0</v>
      </c>
      <c r="BP181" s="80">
        <f t="shared" si="82"/>
        <v>0</v>
      </c>
      <c r="BQ181" s="80">
        <f t="shared" si="83"/>
        <v>0</v>
      </c>
      <c r="BR181" s="80">
        <f t="shared" si="84"/>
        <v>0</v>
      </c>
      <c r="BS181" s="80">
        <f t="shared" si="85"/>
        <v>0</v>
      </c>
      <c r="BT181" s="80">
        <f t="shared" si="86"/>
        <v>0</v>
      </c>
      <c r="BU181" s="80">
        <f t="shared" si="87"/>
        <v>0</v>
      </c>
      <c r="BV181" s="80" t="str">
        <f>IFERROR(VLOOKUP($H181,'1. Set Program Names'!$B$2:$D$15,3,0)*V181,"NA")</f>
        <v>NA</v>
      </c>
      <c r="BW181" s="80" t="str">
        <f>IFERROR(VLOOKUP($H181,'1. Set Program Names'!$B$2:$D$15,3,0)*W181,"NA")</f>
        <v>NA</v>
      </c>
      <c r="BX181" s="80" t="str">
        <f>IFERROR(VLOOKUP($H181,'1. Set Program Names'!$B$2:$D$15,3,0)*X181,"NA")</f>
        <v>NA</v>
      </c>
      <c r="BY181" s="80" t="str">
        <f>IFERROR(VLOOKUP($H181,'1. Set Program Names'!$B$2:$D$15,3,0)*Y181,"NA")</f>
        <v>NA</v>
      </c>
      <c r="BZ181" s="80" t="str">
        <f>IFERROR(VLOOKUP($H181,'1. Set Program Names'!$B$2:$D$15,3,0)*Z181,"NA")</f>
        <v>NA</v>
      </c>
      <c r="CA181" s="80" t="str">
        <f>IFERROR(VLOOKUP($H181,'1. Set Program Names'!$B$2:$D$15,3,0)*AA181,"NA")</f>
        <v>NA</v>
      </c>
      <c r="CB181" s="80" t="str">
        <f>IFERROR(VLOOKUP($H181,'1. Set Program Names'!$B$2:$D$15,3,0)*AB181,"NA")</f>
        <v>NA</v>
      </c>
      <c r="CC181" s="80" t="str">
        <f>IFERROR(VLOOKUP($H181,'1. Set Program Names'!$B$2:$D$15,3,0)*AC181,"NA")</f>
        <v>NA</v>
      </c>
      <c r="CD181" s="80" t="str">
        <f>IFERROR(VLOOKUP($H181,'1. Set Program Names'!$B$2:$D$15,3,0)*AD181,"NA")</f>
        <v>NA</v>
      </c>
      <c r="CE181" s="80" t="str">
        <f>IFERROR(VLOOKUP($H181,'1. Set Program Names'!$B$2:$D$15,3,0)*AE181,"NA")</f>
        <v>NA</v>
      </c>
    </row>
    <row r="182" spans="1:83" x14ac:dyDescent="0.25">
      <c r="A182" s="79" t="s">
        <v>115</v>
      </c>
      <c r="B182" s="79" t="s">
        <v>88</v>
      </c>
      <c r="C182" s="79" t="s">
        <v>89</v>
      </c>
      <c r="D182" s="79" t="s">
        <v>90</v>
      </c>
      <c r="E182" s="79" t="s">
        <v>91</v>
      </c>
      <c r="F182" s="79" t="s">
        <v>90</v>
      </c>
      <c r="G182" s="79" t="s">
        <v>92</v>
      </c>
      <c r="H182" s="79" t="s">
        <v>9</v>
      </c>
      <c r="I182" s="79" t="s">
        <v>93</v>
      </c>
      <c r="J182" s="79" t="s">
        <v>94</v>
      </c>
      <c r="K182" s="79" t="s">
        <v>95</v>
      </c>
      <c r="L182" s="79">
        <v>1200.2266666666601</v>
      </c>
      <c r="M182" s="79">
        <v>4.8097974252120097E-2</v>
      </c>
      <c r="N182" s="79">
        <v>0.22310492157346501</v>
      </c>
      <c r="O182" s="79">
        <v>1210</v>
      </c>
      <c r="P182" s="79">
        <v>933.85922631496703</v>
      </c>
      <c r="Q182" s="79">
        <v>360.56616574297698</v>
      </c>
      <c r="R182" s="79">
        <v>571.53970184074296</v>
      </c>
      <c r="S182" s="79">
        <v>1535.35818196214</v>
      </c>
      <c r="T182" s="79">
        <v>15</v>
      </c>
      <c r="U182" s="79">
        <v>0.2</v>
      </c>
      <c r="V182" s="79">
        <f>tbl_Data_old[[#This Row],[2025 ]]*IFERROR(AVERAGEIFS('Participation Adjustment'!$C:$C,'Participation Adjustment'!$A:$A,$H182,'Participation Adjustment'!$B:$B,$I182),1)</f>
        <v>0.57916952297528901</v>
      </c>
      <c r="W182" s="79">
        <f>tbl_Data_old[[#This Row],[2026 ]]*IFERROR(AVERAGEIFS('Participation Adjustment'!$C:$C,'Participation Adjustment'!$A:$A,$H182,'Participation Adjustment'!$B:$B,$I182),1)</f>
        <v>1.1945160792812299</v>
      </c>
      <c r="X182" s="79">
        <f>tbl_Data_old[[#This Row],[2027 ]]*IFERROR(AVERAGEIFS('Participation Adjustment'!$C:$C,'Participation Adjustment'!$A:$A,$H182,'Participation Adjustment'!$B:$B,$I182),1)</f>
        <v>1.8457798742061</v>
      </c>
      <c r="Y182" s="79">
        <f>tbl_Data_old[[#This Row],[2028 ]]*IFERROR(AVERAGEIFS('Participation Adjustment'!$C:$C,'Participation Adjustment'!$A:$A,$H182,'Participation Adjustment'!$B:$B,$I182),1)</f>
        <v>2.5337903321386501</v>
      </c>
      <c r="Z182" s="79">
        <f>tbl_Data_old[[#This Row],[2029 ]]*IFERROR(AVERAGEIFS('Participation Adjustment'!$C:$C,'Participation Adjustment'!$A:$A,$H182,'Participation Adjustment'!$B:$B,$I182),1)</f>
        <v>3.2593371885179399</v>
      </c>
      <c r="AA182" s="79">
        <f>tbl_Data_old[[#This Row],[2030 ]]*IFERROR(AVERAGEIFS('Participation Adjustment'!$C:$C,'Participation Adjustment'!$A:$A,$H182,'Participation Adjustment'!$B:$B,$I182),1)</f>
        <v>4.0210970493186204</v>
      </c>
      <c r="AB182" s="79">
        <f>tbl_Data_old[[#This Row],[2031 ]]*IFERROR(AVERAGEIFS('Participation Adjustment'!$C:$C,'Participation Adjustment'!$A:$A,$H182,'Participation Adjustment'!$B:$B,$I182),1)</f>
        <v>4.8233887976728704</v>
      </c>
      <c r="AC182" s="79">
        <f>tbl_Data_old[[#This Row],[2032 ]]*IFERROR(AVERAGEIFS('Participation Adjustment'!$C:$C,'Participation Adjustment'!$A:$A,$H182,'Participation Adjustment'!$B:$B,$I182),1)</f>
        <v>5.67215077491716</v>
      </c>
      <c r="AD182" s="79">
        <f>tbl_Data_old[[#This Row],[2033 ]]*IFERROR(AVERAGEIFS('Participation Adjustment'!$C:$C,'Participation Adjustment'!$A:$A,$H182,'Participation Adjustment'!$B:$B,$I182),1)</f>
        <v>6.5737039437372804</v>
      </c>
      <c r="AE182" s="79">
        <f>tbl_Data_old[[#This Row],[2034 ]]*IFERROR(AVERAGEIFS('Participation Adjustment'!$C:$C,'Participation Adjustment'!$A:$A,$H182,'Participation Adjustment'!$B:$B,$I182),1)</f>
        <v>7.5345559343282398</v>
      </c>
      <c r="AF182" s="77" t="str">
        <f t="shared" si="77"/>
        <v>Residential</v>
      </c>
      <c r="AG182" s="77" t="str">
        <f>tbl_Data[[#This Row],[All_Meas_Name_Append]]</f>
        <v>120v Heat Pump Water Heater 50 Gallons</v>
      </c>
      <c r="AH182" s="77">
        <f>AVERAGEIFS('3. Incentive Adjustment'!G:G,'3. Incentive Adjustment'!A:A,tbl_Data[[#This Row],[Trimmed Sector]],'3. Incentive Adjustment'!B:B,tbl_Data[[#This Row],[Trimmed Measure Name]])</f>
        <v>0.38528347196238832</v>
      </c>
      <c r="AI182" s="77">
        <f>$AH182*tbl_Data[[#This Row],[2025 ]]</f>
        <v>0.22314444466671959</v>
      </c>
      <c r="AJ182" s="77">
        <f>$AH182*tbl_Data[[#This Row],[2026 ]]</f>
        <v>0.46022730234037179</v>
      </c>
      <c r="AK182" s="77">
        <f>$AH182*tbl_Data[[#This Row],[2027 ]]</f>
        <v>0.71114847841242657</v>
      </c>
      <c r="AL182" s="77">
        <f>$AH182*tbl_Data[[#This Row],[2028 ]]</f>
        <v>0.97622753639111226</v>
      </c>
      <c r="AM182" s="77">
        <f>$AH182*tbl_Data[[#This Row],[2029 ]]</f>
        <v>1.2557687482883213</v>
      </c>
      <c r="AN182" s="77">
        <f>$AH182*tbl_Data[[#This Row],[2030 ]]</f>
        <v>1.5492622322591931</v>
      </c>
      <c r="AO182" s="77">
        <f>$AH182*tbl_Data[[#This Row],[2031 ]]</f>
        <v>1.8583719825918934</v>
      </c>
      <c r="AP182" s="77">
        <f>$AH182*tbl_Data[[#This Row],[2032 ]]</f>
        <v>2.1853859440542349</v>
      </c>
      <c r="AQ182" s="77">
        <f>$AH182*tbl_Data[[#This Row],[2033 ]]</f>
        <v>2.5327394790959441</v>
      </c>
      <c r="AR182" s="77">
        <f>$AH182*tbl_Data[[#This Row],[2034 ]]</f>
        <v>2.9029398700728009</v>
      </c>
      <c r="AS182" s="77">
        <f>SUM(tbl_Data[[#This Row],[Adjusted 2025]:[Adjusted 2034]])</f>
        <v>14.65521601817302</v>
      </c>
      <c r="AT182" s="80">
        <f>AVERAGEIFS('3. Incentive Adjustment'!F:F,'3. Incentive Adjustment'!A:A,tbl_Data[[#This Row],[Trimmed Sector]],'3. Incentive Adjustment'!B:B,tbl_Data[[#This Row],[Trimmed Measure Name]])</f>
        <v>500</v>
      </c>
      <c r="AU182" s="80">
        <f>IFERROR(VLOOKUP(tbl_Data[[#This Row],[All_Meas_Name_Append]],'IRA Tax Credits'!$A$3:$D$46,4,0),0)</f>
        <v>1666.6666666666667</v>
      </c>
      <c r="AV182" s="81">
        <f>tbl_Data[[#This Row],[Adj. per unit Incentive ($)]]/tbl_Data[[#This Row],[kWh Savings]]*tbl_Data[[#This Row],[Sum of Annuals]]</f>
        <v>6.1051868056199519</v>
      </c>
      <c r="AW182" s="81">
        <f>IFERROR(VLOOKUP(tbl_Data[[#This Row],[Column1]],'1. Set Program Names'!$B$2:$D$15,3,0)*tbl_Data[[#This Row],[Sum of Annuals]],"")</f>
        <v>6.6039713929409993</v>
      </c>
      <c r="AX182" s="81">
        <f>tbl_Data[[#This Row],[per unit IRA tax ($)]]/tbl_Data[[#This Row],[kWh Savings]]*tbl_Data[[#This Row],[Sum of Annuals]]</f>
        <v>20.350622685399841</v>
      </c>
      <c r="AY182" s="81">
        <f>tbl_Data[[#This Row],[Avoided Costs ($/unit)]]/tbl_Data[[#This Row],[kWh Savings]]*tbl_Data[[#This Row],[Sum of Annuals]]</f>
        <v>6.978713293132131</v>
      </c>
      <c r="AZ182" s="81">
        <f>tbl_Data[[#This Row],[Lost Revenue ($/unit)]]/tbl_Data[[#This Row],[kWh Savings]]*tbl_Data[[#This Row],[Sum of Annuals]]</f>
        <v>18.747297028831788</v>
      </c>
      <c r="BA182" s="81">
        <f>tbl_Data[[#This Row],[Incremental Cost ($/unit)]]/tbl_Data[[#This Row],[kWh Savings]]*tbl_Data[[#This Row],[Sum of Annuals]]</f>
        <v>14.774552069600283</v>
      </c>
      <c r="BB182" s="77">
        <f>ROUNDUP(tbl_Data[[#This Row],[Adjusted 2025]]/$L182,0)</f>
        <v>1</v>
      </c>
      <c r="BC182" s="77">
        <f>ROUNDUP(tbl_Data[[#This Row],[Adjusted 2026]]/$L182,0)</f>
        <v>1</v>
      </c>
      <c r="BD182" s="77">
        <f>ROUNDUP(tbl_Data[[#This Row],[Adjusted 2027]]/$L182,0)</f>
        <v>1</v>
      </c>
      <c r="BE182" s="77">
        <f>ROUNDUP(tbl_Data[[#This Row],[Adjusted 2028]]/$L182,0)</f>
        <v>1</v>
      </c>
      <c r="BF182" s="77">
        <f>ROUNDUP(tbl_Data[[#This Row],[Adjusted 2029]]/$L182,0)</f>
        <v>1</v>
      </c>
      <c r="BG182" s="77">
        <f>ROUNDUP(tbl_Data[[#This Row],[Adjusted 2030]]/$L182,0)</f>
        <v>1</v>
      </c>
      <c r="BH182" s="77">
        <f>ROUNDUP(tbl_Data[[#This Row],[Adjusted 2031]]/$L182,0)</f>
        <v>1</v>
      </c>
      <c r="BI182" s="77">
        <f>ROUNDUP(tbl_Data[[#This Row],[Adjusted 2032]]/$L182,0)</f>
        <v>1</v>
      </c>
      <c r="BJ182" s="77">
        <f>ROUNDUP(tbl_Data[[#This Row],[Adjusted 2033]]/$L182,0)</f>
        <v>1</v>
      </c>
      <c r="BK182" s="77">
        <f>ROUNDUP(tbl_Data[[#This Row],[Adjusted 2034]]/$L182,0)</f>
        <v>1</v>
      </c>
      <c r="BL182" s="80">
        <f t="shared" si="78"/>
        <v>0.2412750603949638</v>
      </c>
      <c r="BM182" s="80">
        <f t="shared" si="79"/>
        <v>0.49762103794890261</v>
      </c>
      <c r="BN182" s="80">
        <f t="shared" si="80"/>
        <v>0.76892970530820981</v>
      </c>
      <c r="BO182" s="80">
        <f t="shared" si="81"/>
        <v>1.0555465907017552</v>
      </c>
      <c r="BP182" s="80">
        <f t="shared" si="82"/>
        <v>1.3578006884191143</v>
      </c>
      <c r="BQ182" s="80">
        <f t="shared" si="83"/>
        <v>1.6751406884193996</v>
      </c>
      <c r="BR182" s="80">
        <f t="shared" si="84"/>
        <v>2.009365785493114</v>
      </c>
      <c r="BS182" s="80">
        <f t="shared" si="85"/>
        <v>2.3629498212492601</v>
      </c>
      <c r="BT182" s="80">
        <f t="shared" si="86"/>
        <v>2.7385260327510288</v>
      </c>
      <c r="BU182" s="80">
        <f t="shared" si="87"/>
        <v>3.1388054205018001</v>
      </c>
      <c r="BV182" s="80">
        <f>IFERROR(VLOOKUP($H182,'1. Set Program Names'!$B$2:$D$15,3,0)*V182,"NA")</f>
        <v>0.26098687024805189</v>
      </c>
      <c r="BW182" s="80">
        <f>IFERROR(VLOOKUP($H182,'1. Set Program Names'!$B$2:$D$15,3,0)*W182,"NA")</f>
        <v>0.53827592893882881</v>
      </c>
      <c r="BX182" s="80">
        <f>IFERROR(VLOOKUP($H182,'1. Set Program Names'!$B$2:$D$15,3,0)*X182,"NA")</f>
        <v>0.83175010670657534</v>
      </c>
      <c r="BY182" s="80">
        <f>IFERROR(VLOOKUP($H182,'1. Set Program Names'!$B$2:$D$15,3,0)*Y182,"NA")</f>
        <v>1.14178316091721</v>
      </c>
      <c r="BZ182" s="80">
        <f>IFERROR(VLOOKUP($H182,'1. Set Program Names'!$B$2:$D$15,3,0)*Z182,"NA")</f>
        <v>1.4687309641993638</v>
      </c>
      <c r="CA182" s="80">
        <f>IFERROR(VLOOKUP($H182,'1. Set Program Names'!$B$2:$D$15,3,0)*AA182,"NA")</f>
        <v>1.8119971653103013</v>
      </c>
      <c r="CB182" s="80">
        <f>IFERROR(VLOOKUP($H182,'1. Set Program Names'!$B$2:$D$15,3,0)*AB182,"NA")</f>
        <v>2.1735279505511316</v>
      </c>
      <c r="CC182" s="80">
        <f>IFERROR(VLOOKUP($H182,'1. Set Program Names'!$B$2:$D$15,3,0)*AC182,"NA")</f>
        <v>2.5559992706726957</v>
      </c>
      <c r="CD182" s="80">
        <f>IFERROR(VLOOKUP($H182,'1. Set Program Names'!$B$2:$D$15,3,0)*AD182,"NA")</f>
        <v>2.9622594942490941</v>
      </c>
      <c r="CE182" s="80">
        <f>IFERROR(VLOOKUP($H182,'1. Set Program Names'!$B$2:$D$15,3,0)*AE182,"NA")</f>
        <v>3.3952411064508197</v>
      </c>
    </row>
    <row r="183" spans="1:83" x14ac:dyDescent="0.25">
      <c r="A183" s="79" t="s">
        <v>115</v>
      </c>
      <c r="B183" s="79" t="s">
        <v>88</v>
      </c>
      <c r="C183" s="79" t="s">
        <v>89</v>
      </c>
      <c r="D183" s="79" t="s">
        <v>90</v>
      </c>
      <c r="E183" s="79" t="s">
        <v>91</v>
      </c>
      <c r="F183" s="79" t="s">
        <v>90</v>
      </c>
      <c r="G183" s="79" t="s">
        <v>92</v>
      </c>
      <c r="H183" s="79" t="s">
        <v>9</v>
      </c>
      <c r="I183" s="79" t="s">
        <v>96</v>
      </c>
      <c r="J183" s="79" t="s">
        <v>97</v>
      </c>
      <c r="K183" s="79" t="s">
        <v>98</v>
      </c>
      <c r="L183" s="79">
        <v>5868.07</v>
      </c>
      <c r="M183" s="79">
        <v>0.20813520080661799</v>
      </c>
      <c r="N183" s="79">
        <v>1.1349578069705</v>
      </c>
      <c r="O183" s="79">
        <v>1935.1666666666599</v>
      </c>
      <c r="P183" s="79">
        <v>513.45064263862798</v>
      </c>
      <c r="Q183" s="79">
        <v>1762.8565994851499</v>
      </c>
      <c r="R183" s="79">
        <v>3388.0400735263802</v>
      </c>
      <c r="S183" s="79">
        <v>7811.7411984889604</v>
      </c>
      <c r="T183" s="79">
        <v>16</v>
      </c>
      <c r="U183" s="79">
        <v>0.2</v>
      </c>
      <c r="V183" s="79">
        <f>tbl_Data_old[[#This Row],[2025 ]]*IFERROR(AVERAGEIFS('Participation Adjustment'!$C:$C,'Participation Adjustment'!$A:$A,$H183,'Participation Adjustment'!$B:$B,$I183),1)</f>
        <v>6.5206816402913796</v>
      </c>
      <c r="W183" s="79">
        <f>tbl_Data_old[[#This Row],[2026 ]]*IFERROR(AVERAGEIFS('Participation Adjustment'!$C:$C,'Participation Adjustment'!$A:$A,$H183,'Participation Adjustment'!$B:$B,$I183),1)</f>
        <v>13.450456949553701</v>
      </c>
      <c r="X183" s="79">
        <f>tbl_Data_old[[#This Row],[2027 ]]*IFERROR(AVERAGEIFS('Participation Adjustment'!$C:$C,'Participation Adjustment'!$A:$A,$H183,'Participation Adjustment'!$B:$B,$I183),1)</f>
        <v>20.785412908810699</v>
      </c>
      <c r="Y183" s="79">
        <f>tbl_Data_old[[#This Row],[2028 ]]*IFERROR(AVERAGEIFS('Participation Adjustment'!$C:$C,'Participation Adjustment'!$A:$A,$H183,'Participation Adjustment'!$B:$B,$I183),1)</f>
        <v>28.534153085081702</v>
      </c>
      <c r="Z183" s="79">
        <f>tbl_Data_old[[#This Row],[2029 ]]*IFERROR(AVERAGEIFS('Participation Adjustment'!$C:$C,'Participation Adjustment'!$A:$A,$H183,'Participation Adjustment'!$B:$B,$I183),1)</f>
        <v>36.705357153125597</v>
      </c>
      <c r="AA183" s="79">
        <f>tbl_Data_old[[#This Row],[2030 ]]*IFERROR(AVERAGEIFS('Participation Adjustment'!$C:$C,'Participation Adjustment'!$A:$A,$H183,'Participation Adjustment'!$B:$B,$I183),1)</f>
        <v>45.2845837431015</v>
      </c>
      <c r="AB183" s="79">
        <f>tbl_Data_old[[#This Row],[2031 ]]*IFERROR(AVERAGEIFS('Participation Adjustment'!$C:$C,'Participation Adjustment'!$A:$A,$H183,'Participation Adjustment'!$B:$B,$I183),1)</f>
        <v>54.321557457496802</v>
      </c>
      <c r="AC183" s="79">
        <f>tbl_Data_old[[#This Row],[2032 ]]*IFERROR(AVERAGEIFS('Participation Adjustment'!$C:$C,'Participation Adjustment'!$A:$A,$H183,'Participation Adjustment'!$B:$B,$I183),1)</f>
        <v>63.884653161206799</v>
      </c>
      <c r="AD183" s="79">
        <f>tbl_Data_old[[#This Row],[2033 ]]*IFERROR(AVERAGEIFS('Participation Adjustment'!$C:$C,'Participation Adjustment'!$A:$A,$H183,'Participation Adjustment'!$B:$B,$I183),1)</f>
        <v>74.046726453888596</v>
      </c>
      <c r="AE183" s="79">
        <f>tbl_Data_old[[#This Row],[2034 ]]*IFERROR(AVERAGEIFS('Participation Adjustment'!$C:$C,'Participation Adjustment'!$A:$A,$H183,'Participation Adjustment'!$B:$B,$I183),1)</f>
        <v>84.882737934635401</v>
      </c>
      <c r="AF183" s="77" t="str">
        <f t="shared" si="77"/>
        <v>Residential</v>
      </c>
      <c r="AG183" s="77" t="str">
        <f>tbl_Data[[#This Row],[All_Meas_Name_Append]]</f>
        <v>ASHP - CEE Tier 2: 16.8 SEER/16 SEER2; 9.0 HSPF (from elec resistance)</v>
      </c>
      <c r="AH183" s="77">
        <f>AVERAGEIFS('3. Incentive Adjustment'!G:G,'3. Incentive Adjustment'!A:A,tbl_Data[[#This Row],[Trimmed Sector]],'3. Incentive Adjustment'!B:B,tbl_Data[[#This Row],[Trimmed Measure Name]])</f>
        <v>0.9303958662075158</v>
      </c>
      <c r="AI183" s="77">
        <f>$AH183*tbl_Data[[#This Row],[2025 ]]</f>
        <v>6.0668152429823428</v>
      </c>
      <c r="AJ183" s="77">
        <f>$AH183*tbl_Data[[#This Row],[2026 ]]</f>
        <v>12.514249544466916</v>
      </c>
      <c r="AK183" s="77">
        <f>$AH183*tbl_Data[[#This Row],[2027 ]]</f>
        <v>19.338662247773811</v>
      </c>
      <c r="AL183" s="77">
        <f>$AH183*tbl_Data[[#This Row],[2028 ]]</f>
        <v>26.548058076092449</v>
      </c>
      <c r="AM183" s="77">
        <f>$AH183*tbl_Data[[#This Row],[2029 ]]</f>
        <v>34.150512562938523</v>
      </c>
      <c r="AN183" s="77">
        <f>$AH183*tbl_Data[[#This Row],[2030 ]]</f>
        <v>42.132589517509707</v>
      </c>
      <c r="AO183" s="77">
        <f>$AH183*tbl_Data[[#This Row],[2031 ]]</f>
        <v>50.540552504409078</v>
      </c>
      <c r="AP183" s="77">
        <f>$AH183*tbl_Data[[#This Row],[2032 ]]</f>
        <v>59.438017215287715</v>
      </c>
      <c r="AQ183" s="77">
        <f>$AH183*tbl_Data[[#This Row],[2033 ]]</f>
        <v>68.892768198896661</v>
      </c>
      <c r="AR183" s="77">
        <f>$AH183*tbl_Data[[#This Row],[2034 ]]</f>
        <v>78.974548486760668</v>
      </c>
      <c r="AS183" s="77">
        <f>SUM(tbl_Data[[#This Row],[Adjusted 2025]:[Adjusted 2034]])</f>
        <v>398.59677359711787</v>
      </c>
      <c r="AT183" s="80">
        <f>AVERAGEIFS('3. Incentive Adjustment'!F:F,'3. Incentive Adjustment'!A:A,tbl_Data[[#This Row],[Trimmed Sector]],'3. Incentive Adjustment'!B:B,tbl_Data[[#This Row],[Trimmed Measure Name]])</f>
        <v>353</v>
      </c>
      <c r="AU183" s="80">
        <f>IFERROR(VLOOKUP(tbl_Data[[#This Row],[All_Meas_Name_Append]],'IRA Tax Credits'!$A$3:$D$46,4,0),0)</f>
        <v>0</v>
      </c>
      <c r="AV183" s="81">
        <f>tbl_Data[[#This Row],[Adj. per unit Incentive ($)]]/tbl_Data[[#This Row],[kWh Savings]]*tbl_Data[[#This Row],[Sum of Annuals]]</f>
        <v>23.978013397894472</v>
      </c>
      <c r="AW183" s="81">
        <f>IFERROR(VLOOKUP(tbl_Data[[#This Row],[Column1]],'1. Set Program Names'!$B$2:$D$15,3,0)*tbl_Data[[#This Row],[Sum of Annuals]],"")</f>
        <v>179.61671031595637</v>
      </c>
      <c r="AX183" s="81">
        <f>tbl_Data[[#This Row],[per unit IRA tax ($)]]/tbl_Data[[#This Row],[kWh Savings]]*tbl_Data[[#This Row],[Sum of Annuals]]</f>
        <v>0</v>
      </c>
      <c r="AY183" s="81">
        <f>tbl_Data[[#This Row],[Avoided Costs ($/unit)]]/tbl_Data[[#This Row],[kWh Savings]]*tbl_Data[[#This Row],[Sum of Annuals]]</f>
        <v>230.13730956265982</v>
      </c>
      <c r="AZ183" s="81">
        <f>tbl_Data[[#This Row],[Lost Revenue ($/unit)]]/tbl_Data[[#This Row],[kWh Savings]]*tbl_Data[[#This Row],[Sum of Annuals]]</f>
        <v>530.62332894689098</v>
      </c>
      <c r="BA183" s="81">
        <f>tbl_Data[[#This Row],[Incremental Cost ($/unit)]]/tbl_Data[[#This Row],[kWh Savings]]*tbl_Data[[#This Row],[Sum of Annuals]]</f>
        <v>131.44887325918401</v>
      </c>
      <c r="BB183" s="77">
        <f>ROUNDUP(tbl_Data[[#This Row],[Adjusted 2025]]/$L183,0)</f>
        <v>1</v>
      </c>
      <c r="BC183" s="77">
        <f>ROUNDUP(tbl_Data[[#This Row],[Adjusted 2026]]/$L183,0)</f>
        <v>1</v>
      </c>
      <c r="BD183" s="77">
        <f>ROUNDUP(tbl_Data[[#This Row],[Adjusted 2027]]/$L183,0)</f>
        <v>1</v>
      </c>
      <c r="BE183" s="77">
        <f>ROUNDUP(tbl_Data[[#This Row],[Adjusted 2028]]/$L183,0)</f>
        <v>1</v>
      </c>
      <c r="BF183" s="77">
        <f>ROUNDUP(tbl_Data[[#This Row],[Adjusted 2029]]/$L183,0)</f>
        <v>1</v>
      </c>
      <c r="BG183" s="77">
        <f>ROUNDUP(tbl_Data[[#This Row],[Adjusted 2030]]/$L183,0)</f>
        <v>1</v>
      </c>
      <c r="BH183" s="77">
        <f>ROUNDUP(tbl_Data[[#This Row],[Adjusted 2031]]/$L183,0)</f>
        <v>1</v>
      </c>
      <c r="BI183" s="77">
        <f>ROUNDUP(tbl_Data[[#This Row],[Adjusted 2032]]/$L183,0)</f>
        <v>1</v>
      </c>
      <c r="BJ183" s="77">
        <f>ROUNDUP(tbl_Data[[#This Row],[Adjusted 2033]]/$L183,0)</f>
        <v>1</v>
      </c>
      <c r="BK183" s="77">
        <f>ROUNDUP(tbl_Data[[#This Row],[Adjusted 2034]]/$L183,0)</f>
        <v>1</v>
      </c>
      <c r="BL183" s="80">
        <f t="shared" si="78"/>
        <v>0.3922585482148061</v>
      </c>
      <c r="BM183" s="80">
        <f t="shared" si="79"/>
        <v>0.80912656174729625</v>
      </c>
      <c r="BN183" s="80">
        <f t="shared" si="80"/>
        <v>1.2503686487738177</v>
      </c>
      <c r="BO183" s="80">
        <f t="shared" si="81"/>
        <v>1.7165023660307122</v>
      </c>
      <c r="BP183" s="80">
        <f t="shared" si="82"/>
        <v>2.2080498485964442</v>
      </c>
      <c r="BQ183" s="80">
        <f t="shared" si="83"/>
        <v>2.7241423604890245</v>
      </c>
      <c r="BR183" s="80">
        <f t="shared" si="84"/>
        <v>3.2677711381248642</v>
      </c>
      <c r="BS183" s="80">
        <f t="shared" si="85"/>
        <v>3.8430493443169564</v>
      </c>
      <c r="BT183" s="80">
        <f t="shared" si="86"/>
        <v>4.4543596852496092</v>
      </c>
      <c r="BU183" s="80">
        <f t="shared" si="87"/>
        <v>5.1062114955899123</v>
      </c>
      <c r="BV183" s="80">
        <f>IFERROR(VLOOKUP($H183,'1. Set Program Names'!$B$2:$D$15,3,0)*V183,"NA")</f>
        <v>2.9383664465648867</v>
      </c>
      <c r="BW183" s="80">
        <f>IFERROR(VLOOKUP($H183,'1. Set Program Names'!$B$2:$D$15,3,0)*W183,"NA")</f>
        <v>6.061079741621616</v>
      </c>
      <c r="BX183" s="80">
        <f>IFERROR(VLOOKUP($H183,'1. Set Program Names'!$B$2:$D$15,3,0)*X183,"NA")</f>
        <v>9.3663765904260341</v>
      </c>
      <c r="BY183" s="80">
        <f>IFERROR(VLOOKUP($H183,'1. Set Program Names'!$B$2:$D$15,3,0)*Y183,"NA")</f>
        <v>12.858133954628004</v>
      </c>
      <c r="BZ183" s="80">
        <f>IFERROR(VLOOKUP($H183,'1. Set Program Names'!$B$2:$D$15,3,0)*Z183,"NA")</f>
        <v>16.540263091744073</v>
      </c>
      <c r="CA183" s="80">
        <f>IFERROR(VLOOKUP($H183,'1. Set Program Names'!$B$2:$D$15,3,0)*AA183,"NA")</f>
        <v>20.406256394299479</v>
      </c>
      <c r="CB183" s="80">
        <f>IFERROR(VLOOKUP($H183,'1. Set Program Names'!$B$2:$D$15,3,0)*AB183,"NA")</f>
        <v>24.478520891432854</v>
      </c>
      <c r="CC183" s="80">
        <f>IFERROR(VLOOKUP($H183,'1. Set Program Names'!$B$2:$D$15,3,0)*AC183,"NA")</f>
        <v>28.787867841825395</v>
      </c>
      <c r="CD183" s="80">
        <f>IFERROR(VLOOKUP($H183,'1. Set Program Names'!$B$2:$D$15,3,0)*AD183,"NA")</f>
        <v>33.367127624459876</v>
      </c>
      <c r="CE183" s="80">
        <f>IFERROR(VLOOKUP($H183,'1. Set Program Names'!$B$2:$D$15,3,0)*AE183,"NA")</f>
        <v>38.250079178616033</v>
      </c>
    </row>
    <row r="184" spans="1:83" x14ac:dyDescent="0.25">
      <c r="A184" s="79" t="s">
        <v>115</v>
      </c>
      <c r="B184" s="79" t="s">
        <v>88</v>
      </c>
      <c r="C184" s="79" t="s">
        <v>89</v>
      </c>
      <c r="D184" s="79" t="s">
        <v>90</v>
      </c>
      <c r="E184" s="79" t="s">
        <v>91</v>
      </c>
      <c r="F184" s="79" t="s">
        <v>90</v>
      </c>
      <c r="G184" s="79" t="s">
        <v>92</v>
      </c>
      <c r="H184" s="79" t="s">
        <v>9</v>
      </c>
      <c r="I184" s="79" t="s">
        <v>99</v>
      </c>
      <c r="J184" s="79" t="s">
        <v>97</v>
      </c>
      <c r="K184" s="79" t="s">
        <v>98</v>
      </c>
      <c r="L184" s="79">
        <v>253.96999999999801</v>
      </c>
      <c r="M184" s="79">
        <v>0.107126245482503</v>
      </c>
      <c r="N184" s="79">
        <v>1.33192706841354E-2</v>
      </c>
      <c r="O184" s="79">
        <v>874.99999999999898</v>
      </c>
      <c r="P184" s="79">
        <v>813.468148399999</v>
      </c>
      <c r="Q184" s="79">
        <v>76.296412716828996</v>
      </c>
      <c r="R184" s="79">
        <v>185.54516688855901</v>
      </c>
      <c r="S184" s="79">
        <v>338.09206641710699</v>
      </c>
      <c r="T184" s="79">
        <v>16</v>
      </c>
      <c r="U184" s="79">
        <v>0.19999999999999901</v>
      </c>
      <c r="V184" s="79">
        <f>tbl_Data_old[[#This Row],[2025 ]]*IFERROR(AVERAGEIFS('Participation Adjustment'!$C:$C,'Participation Adjustment'!$A:$A,$H184,'Participation Adjustment'!$B:$B,$I184),1)</f>
        <v>7.0583657480175601</v>
      </c>
      <c r="W184" s="79">
        <f>tbl_Data_old[[#This Row],[2026 ]]*IFERROR(AVERAGEIFS('Participation Adjustment'!$C:$C,'Participation Adjustment'!$A:$A,$H184,'Participation Adjustment'!$B:$B,$I184),1)</f>
        <v>14.9537285571755</v>
      </c>
      <c r="X184" s="79">
        <f>tbl_Data_old[[#This Row],[2027 ]]*IFERROR(AVERAGEIFS('Participation Adjustment'!$C:$C,'Participation Adjustment'!$A:$A,$H184,'Participation Adjustment'!$B:$B,$I184),1)</f>
        <v>23.632155008976</v>
      </c>
      <c r="Y184" s="79">
        <f>tbl_Data_old[[#This Row],[2028 ]]*IFERROR(AVERAGEIFS('Participation Adjustment'!$C:$C,'Participation Adjustment'!$A:$A,$H184,'Participation Adjustment'!$B:$B,$I184),1)</f>
        <v>33.061335087668802</v>
      </c>
      <c r="Z184" s="79">
        <f>tbl_Data_old[[#This Row],[2029 ]]*IFERROR(AVERAGEIFS('Participation Adjustment'!$C:$C,'Participation Adjustment'!$A:$A,$H184,'Participation Adjustment'!$B:$B,$I184),1)</f>
        <v>43.2151077758881</v>
      </c>
      <c r="AA184" s="79">
        <f>tbl_Data_old[[#This Row],[2030 ]]*IFERROR(AVERAGEIFS('Participation Adjustment'!$C:$C,'Participation Adjustment'!$A:$A,$H184,'Participation Adjustment'!$B:$B,$I184),1)</f>
        <v>54.042791386427297</v>
      </c>
      <c r="AB184" s="79">
        <f>tbl_Data_old[[#This Row],[2031 ]]*IFERROR(AVERAGEIFS('Participation Adjustment'!$C:$C,'Participation Adjustment'!$A:$A,$H184,'Participation Adjustment'!$B:$B,$I184),1)</f>
        <v>65.578464081041503</v>
      </c>
      <c r="AC184" s="79">
        <f>tbl_Data_old[[#This Row],[2032 ]]*IFERROR(AVERAGEIFS('Participation Adjustment'!$C:$C,'Participation Adjustment'!$A:$A,$H184,'Participation Adjustment'!$B:$B,$I184),1)</f>
        <v>77.885276738144796</v>
      </c>
      <c r="AD184" s="79">
        <f>tbl_Data_old[[#This Row],[2033 ]]*IFERROR(AVERAGEIFS('Participation Adjustment'!$C:$C,'Participation Adjustment'!$A:$A,$H184,'Participation Adjustment'!$B:$B,$I184),1)</f>
        <v>91.036682742821597</v>
      </c>
      <c r="AE184" s="79">
        <f>tbl_Data_old[[#This Row],[2034 ]]*IFERROR(AVERAGEIFS('Participation Adjustment'!$C:$C,'Participation Adjustment'!$A:$A,$H184,'Participation Adjustment'!$B:$B,$I184),1)</f>
        <v>105.11249543904999</v>
      </c>
      <c r="AF184" s="77" t="str">
        <f t="shared" ref="AF184:AF211" si="88">IF(C184="Residential","Residential","NonResidential")</f>
        <v>Residential</v>
      </c>
      <c r="AG184" s="77" t="str">
        <f>tbl_Data[[#This Row],[All_Meas_Name_Append]]</f>
        <v>ASHP - ENERGY STAR/CEE Tier 1: 16 SEER/15.2 SEER2_ 9.0 HSPF</v>
      </c>
      <c r="AH184" s="77">
        <f>AVERAGEIFS('3. Incentive Adjustment'!G:G,'3. Incentive Adjustment'!A:A,tbl_Data[[#This Row],[Trimmed Sector]],'3. Incentive Adjustment'!B:B,tbl_Data[[#This Row],[Trimmed Measure Name]])</f>
        <v>8.3636985731950567E-3</v>
      </c>
      <c r="AI184" s="77">
        <f>$AH184*tbl_Data[[#This Row],[2025 ]]</f>
        <v>5.9034043535783329E-2</v>
      </c>
      <c r="AJ184" s="77">
        <f>$AH184*tbl_Data[[#This Row],[2026 ]]</f>
        <v>0.1250684781975949</v>
      </c>
      <c r="AK184" s="77">
        <f>$AH184*tbl_Data[[#This Row],[2027 ]]</f>
        <v>0.19765222113009698</v>
      </c>
      <c r="AL184" s="77">
        <f>$AH184*tbl_Data[[#This Row],[2028 ]]</f>
        <v>0.27651504110065922</v>
      </c>
      <c r="AM184" s="77">
        <f>$AH184*tbl_Data[[#This Row],[2029 ]]</f>
        <v>0.36143813524566593</v>
      </c>
      <c r="AN184" s="77">
        <f>$AH184*tbl_Data[[#This Row],[2030 ]]</f>
        <v>0.45199761721014009</v>
      </c>
      <c r="AO184" s="77">
        <f>$AH184*tbl_Data[[#This Row],[2031 ]]</f>
        <v>0.54847850646693008</v>
      </c>
      <c r="AP184" s="77">
        <f>$AH184*tbl_Data[[#This Row],[2032 ]]</f>
        <v>0.65140897792772379</v>
      </c>
      <c r="AQ184" s="77">
        <f>$AH184*tbl_Data[[#This Row],[2033 ]]</f>
        <v>0.76140337356454801</v>
      </c>
      <c r="AR184" s="77">
        <f>$AH184*tbl_Data[[#This Row],[2034 ]]</f>
        <v>0.87912922812855432</v>
      </c>
      <c r="AS184" s="77">
        <f>SUM(tbl_Data[[#This Row],[Adjusted 2025]:[Adjusted 2034]])</f>
        <v>4.312125622507696</v>
      </c>
      <c r="AT184" s="80">
        <f>AVERAGEIFS('3. Incentive Adjustment'!F:F,'3. Incentive Adjustment'!A:A,tbl_Data[[#This Row],[Trimmed Sector]],'3. Incentive Adjustment'!B:B,tbl_Data[[#This Row],[Trimmed Measure Name]])</f>
        <v>353</v>
      </c>
      <c r="AU184" s="80">
        <f>IFERROR(VLOOKUP(tbl_Data[[#This Row],[All_Meas_Name_Append]],'IRA Tax Credits'!$A$3:$D$46,4,0),0)</f>
        <v>0</v>
      </c>
      <c r="AV184" s="81">
        <f>tbl_Data[[#This Row],[Adj. per unit Incentive ($)]]/tbl_Data[[#This Row],[kWh Savings]]*tbl_Data[[#This Row],[Sum of Annuals]]</f>
        <v>5.9935439018200132</v>
      </c>
      <c r="AW184" s="81">
        <f>IFERROR(VLOOKUP(tbl_Data[[#This Row],[Column1]],'1. Set Program Names'!$B$2:$D$15,3,0)*tbl_Data[[#This Row],[Sum of Annuals]],"")</f>
        <v>1.9431412146020899</v>
      </c>
      <c r="AX184" s="81">
        <f>tbl_Data[[#This Row],[per unit IRA tax ($)]]/tbl_Data[[#This Row],[kWh Savings]]*tbl_Data[[#This Row],[Sum of Annuals]]</f>
        <v>0</v>
      </c>
      <c r="AY184" s="81">
        <f>tbl_Data[[#This Row],[Avoided Costs ($/unit)]]/tbl_Data[[#This Row],[kWh Savings]]*tbl_Data[[#This Row],[Sum of Annuals]]</f>
        <v>3.150348735175919</v>
      </c>
      <c r="AZ184" s="81">
        <f>tbl_Data[[#This Row],[Lost Revenue ($/unit)]]/tbl_Data[[#This Row],[kWh Savings]]*tbl_Data[[#This Row],[Sum of Annuals]]</f>
        <v>5.7404239176429979</v>
      </c>
      <c r="BA184" s="81">
        <f>tbl_Data[[#This Row],[Incremental Cost ($/unit)]]/tbl_Data[[#This Row],[kWh Savings]]*tbl_Data[[#This Row],[Sum of Annuals]]</f>
        <v>14.856518170233725</v>
      </c>
      <c r="BB184" s="77">
        <f>ROUNDUP(tbl_Data[[#This Row],[Adjusted 2025]]/$L184,0)</f>
        <v>1</v>
      </c>
      <c r="BC184" s="77">
        <f>ROUNDUP(tbl_Data[[#This Row],[Adjusted 2026]]/$L184,0)</f>
        <v>1</v>
      </c>
      <c r="BD184" s="77">
        <f>ROUNDUP(tbl_Data[[#This Row],[Adjusted 2027]]/$L184,0)</f>
        <v>1</v>
      </c>
      <c r="BE184" s="77">
        <f>ROUNDUP(tbl_Data[[#This Row],[Adjusted 2028]]/$L184,0)</f>
        <v>1</v>
      </c>
      <c r="BF184" s="77">
        <f>ROUNDUP(tbl_Data[[#This Row],[Adjusted 2029]]/$L184,0)</f>
        <v>1</v>
      </c>
      <c r="BG184" s="77">
        <f>ROUNDUP(tbl_Data[[#This Row],[Adjusted 2030]]/$L184,0)</f>
        <v>1</v>
      </c>
      <c r="BH184" s="77">
        <f>ROUNDUP(tbl_Data[[#This Row],[Adjusted 2031]]/$L184,0)</f>
        <v>1</v>
      </c>
      <c r="BI184" s="77">
        <f>ROUNDUP(tbl_Data[[#This Row],[Adjusted 2032]]/$L184,0)</f>
        <v>1</v>
      </c>
      <c r="BJ184" s="77">
        <f>ROUNDUP(tbl_Data[[#This Row],[Adjusted 2033]]/$L184,0)</f>
        <v>1</v>
      </c>
      <c r="BK184" s="77">
        <f>ROUNDUP(tbl_Data[[#This Row],[Adjusted 2034]]/$L184,0)</f>
        <v>1</v>
      </c>
      <c r="BL184" s="80">
        <f t="shared" ref="BL184:BL211" si="89">$AT184/$L184*V184</f>
        <v>9.8106197938741513</v>
      </c>
      <c r="BM184" s="80">
        <f t="shared" ref="BM184:BM211" si="90">$AT184/$L184*W184</f>
        <v>20.784605192278587</v>
      </c>
      <c r="BN184" s="80">
        <f t="shared" ref="BN184:BN211" si="91">$AT184/$L184*X184</f>
        <v>32.846992629714507</v>
      </c>
      <c r="BO184" s="80">
        <f t="shared" ref="BO184:BO211" si="92">$AT184/$L184*Y184</f>
        <v>45.952873512411621</v>
      </c>
      <c r="BP184" s="80">
        <f t="shared" ref="BP184:BP211" si="93">$AT184/$L184*Z184</f>
        <v>60.065885911283296</v>
      </c>
      <c r="BQ184" s="80">
        <f t="shared" ref="BQ184:BQ211" si="94">$AT184/$L184*AA184</f>
        <v>75.115585933019588</v>
      </c>
      <c r="BR184" s="80">
        <f t="shared" ref="BR184:BR211" si="95">$AT184/$L184*AB184</f>
        <v>91.149339766932442</v>
      </c>
      <c r="BS184" s="80">
        <f t="shared" ref="BS184:BS211" si="96">$AT184/$L184*AC184</f>
        <v>108.25492258363322</v>
      </c>
      <c r="BT184" s="80">
        <f t="shared" ref="BT184:BT211" si="97">$AT184/$L184*AD184</f>
        <v>126.53442929565018</v>
      </c>
      <c r="BU184" s="80">
        <f t="shared" ref="BU184:BU211" si="98">$AT184/$L184*AE184</f>
        <v>146.09879470010213</v>
      </c>
      <c r="BV184" s="80">
        <f>IFERROR(VLOOKUP($H184,'1. Set Program Names'!$B$2:$D$15,3,0)*V184,"NA")</f>
        <v>3.180659051563647</v>
      </c>
      <c r="BW184" s="80">
        <f>IFERROR(VLOOKUP($H184,'1. Set Program Names'!$B$2:$D$15,3,0)*W184,"NA")</f>
        <v>6.7384878862879409</v>
      </c>
      <c r="BX184" s="80">
        <f>IFERROR(VLOOKUP($H184,'1. Set Program Names'!$B$2:$D$15,3,0)*X184,"NA")</f>
        <v>10.649182887464574</v>
      </c>
      <c r="BY184" s="80">
        <f>IFERROR(VLOOKUP($H184,'1. Set Program Names'!$B$2:$D$15,3,0)*Y184,"NA")</f>
        <v>14.898184432126847</v>
      </c>
      <c r="BZ184" s="80">
        <f>IFERROR(VLOOKUP($H184,'1. Set Program Names'!$B$2:$D$15,3,0)*Z184,"NA")</f>
        <v>19.473703774883369</v>
      </c>
      <c r="CA184" s="80">
        <f>IFERROR(VLOOKUP($H184,'1. Set Program Names'!$B$2:$D$15,3,0)*AA184,"NA")</f>
        <v>24.352902602600899</v>
      </c>
      <c r="CB184" s="80">
        <f>IFERROR(VLOOKUP($H184,'1. Set Program Names'!$B$2:$D$15,3,0)*AB184,"NA")</f>
        <v>29.551137304777598</v>
      </c>
      <c r="CC184" s="80">
        <f>IFERROR(VLOOKUP($H184,'1. Set Program Names'!$B$2:$D$15,3,0)*AC184,"NA")</f>
        <v>35.096865093778575</v>
      </c>
      <c r="CD184" s="80">
        <f>IFERROR(VLOOKUP($H184,'1. Set Program Names'!$B$2:$D$15,3,0)*AD184,"NA")</f>
        <v>41.023185724203877</v>
      </c>
      <c r="CE184" s="80">
        <f>IFERROR(VLOOKUP($H184,'1. Set Program Names'!$B$2:$D$15,3,0)*AE184,"NA")</f>
        <v>47.366064891799823</v>
      </c>
    </row>
    <row r="185" spans="1:83" x14ac:dyDescent="0.25">
      <c r="A185" s="79" t="s">
        <v>115</v>
      </c>
      <c r="B185" s="79" t="s">
        <v>88</v>
      </c>
      <c r="C185" s="79" t="s">
        <v>89</v>
      </c>
      <c r="D185" s="79" t="s">
        <v>90</v>
      </c>
      <c r="E185" s="79" t="s">
        <v>91</v>
      </c>
      <c r="F185" s="79" t="s">
        <v>90</v>
      </c>
      <c r="G185" s="79" t="s">
        <v>92</v>
      </c>
      <c r="H185" s="79" t="s">
        <v>9</v>
      </c>
      <c r="I185" s="79" t="s">
        <v>107</v>
      </c>
      <c r="J185" s="79" t="s">
        <v>94</v>
      </c>
      <c r="K185" s="79" t="s">
        <v>108</v>
      </c>
      <c r="L185" s="79">
        <v>1663.1099999999899</v>
      </c>
      <c r="M185" s="79">
        <v>6.6647595975018806E-2</v>
      </c>
      <c r="N185" s="79">
        <v>0.309148293753995</v>
      </c>
      <c r="O185" s="79">
        <v>1389.5</v>
      </c>
      <c r="P185" s="79">
        <v>988.78817699699403</v>
      </c>
      <c r="Q185" s="79">
        <v>499.623289969231</v>
      </c>
      <c r="R185" s="79">
        <v>791.96156853290995</v>
      </c>
      <c r="S185" s="79">
        <v>2127.4894292214699</v>
      </c>
      <c r="T185" s="79">
        <v>15</v>
      </c>
      <c r="U185" s="79">
        <v>0.2</v>
      </c>
      <c r="V185" s="79">
        <f>tbl_Data_old[[#This Row],[2025 ]]*IFERROR(AVERAGEIFS('Participation Adjustment'!$C:$C,'Participation Adjustment'!$A:$A,$H185,'Participation Adjustment'!$B:$B,$I185),1)</f>
        <v>0.69749188488293101</v>
      </c>
      <c r="W185" s="79">
        <f>tbl_Data_old[[#This Row],[2026 ]]*IFERROR(AVERAGEIFS('Participation Adjustment'!$C:$C,'Participation Adjustment'!$A:$A,$H185,'Participation Adjustment'!$B:$B,$I185),1)</f>
        <v>1.4731849493328499</v>
      </c>
      <c r="X185" s="79">
        <f>tbl_Data_old[[#This Row],[2027 ]]*IFERROR(AVERAGEIFS('Participation Adjustment'!$C:$C,'Participation Adjustment'!$A:$A,$H185,'Participation Adjustment'!$B:$B,$I185),1)</f>
        <v>2.32094295145937</v>
      </c>
      <c r="Y185" s="79">
        <f>tbl_Data_old[[#This Row],[2028 ]]*IFERROR(AVERAGEIFS('Participation Adjustment'!$C:$C,'Participation Adjustment'!$A:$A,$H185,'Participation Adjustment'!$B:$B,$I185),1)</f>
        <v>3.2368389378751399</v>
      </c>
      <c r="Z185" s="79">
        <f>tbl_Data_old[[#This Row],[2029 ]]*IFERROR(AVERAGEIFS('Participation Adjustment'!$C:$C,'Participation Adjustment'!$A:$A,$H185,'Participation Adjustment'!$B:$B,$I185),1)</f>
        <v>4.2176087429826801</v>
      </c>
      <c r="AA185" s="79">
        <f>tbl_Data_old[[#This Row],[2030 ]]*IFERROR(AVERAGEIFS('Participation Adjustment'!$C:$C,'Participation Adjustment'!$A:$A,$H185,'Participation Adjustment'!$B:$B,$I185),1)</f>
        <v>5.2576884619158601</v>
      </c>
      <c r="AB185" s="79">
        <f>tbl_Data_old[[#This Row],[2031 ]]*IFERROR(AVERAGEIFS('Participation Adjustment'!$C:$C,'Participation Adjustment'!$A:$A,$H185,'Participation Adjustment'!$B:$B,$I185),1)</f>
        <v>6.3597030558466701</v>
      </c>
      <c r="AC185" s="79">
        <f>tbl_Data_old[[#This Row],[2032 ]]*IFERROR(AVERAGEIFS('Participation Adjustment'!$C:$C,'Participation Adjustment'!$A:$A,$H185,'Participation Adjustment'!$B:$B,$I185),1)</f>
        <v>7.5289959217165503</v>
      </c>
      <c r="AD185" s="79">
        <f>tbl_Data_old[[#This Row],[2033 ]]*IFERROR(AVERAGEIFS('Participation Adjustment'!$C:$C,'Participation Adjustment'!$A:$A,$H185,'Participation Adjustment'!$B:$B,$I185),1)</f>
        <v>8.7717959036572406</v>
      </c>
      <c r="AE185" s="79">
        <f>tbl_Data_old[[#This Row],[2034 ]]*IFERROR(AVERAGEIFS('Participation Adjustment'!$C:$C,'Participation Adjustment'!$A:$A,$H185,'Participation Adjustment'!$B:$B,$I185),1)</f>
        <v>10.0948273222889</v>
      </c>
      <c r="AF185" s="77" t="str">
        <f t="shared" si="88"/>
        <v>Residential</v>
      </c>
      <c r="AG185" s="77" t="str">
        <f>tbl_Data[[#This Row],[All_Meas_Name_Append]]</f>
        <v>Heat Pump Water Heater 50 Gallons- CEE Advanced Tier</v>
      </c>
      <c r="AH185" s="77">
        <f>AVERAGEIFS('3. Incentive Adjustment'!G:G,'3. Incentive Adjustment'!A:A,tbl_Data[[#This Row],[Trimmed Sector]],'3. Incentive Adjustment'!B:B,tbl_Data[[#This Row],[Trimmed Measure Name]])</f>
        <v>0.46049099596140497</v>
      </c>
      <c r="AI185" s="77">
        <f>$AH185*tbl_Data[[#This Row],[2025 ]]</f>
        <v>0.32118873274473853</v>
      </c>
      <c r="AJ185" s="77">
        <f>$AH185*tbl_Data[[#This Row],[2026 ]]</f>
        <v>0.67838840455363603</v>
      </c>
      <c r="AK185" s="77">
        <f>$AH185*tbl_Data[[#This Row],[2027 ]]</f>
        <v>1.0687733312871281</v>
      </c>
      <c r="AL185" s="77">
        <f>$AH185*tbl_Data[[#This Row],[2028 ]]</f>
        <v>1.4905351862687795</v>
      </c>
      <c r="AM185" s="77">
        <f>$AH185*tbl_Data[[#This Row],[2029 ]]</f>
        <v>1.9421708506316235</v>
      </c>
      <c r="AN185" s="77">
        <f>$AH185*tbl_Data[[#This Row],[2030 ]]</f>
        <v>2.4211181962824218</v>
      </c>
      <c r="AO185" s="77">
        <f>$AH185*tbl_Data[[#This Row],[2031 ]]</f>
        <v>2.9285859942056236</v>
      </c>
      <c r="AP185" s="77">
        <f>$AH185*tbl_Data[[#This Row],[2032 ]]</f>
        <v>3.4670348305806105</v>
      </c>
      <c r="AQ185" s="77">
        <f>$AH185*tbl_Data[[#This Row],[2033 ]]</f>
        <v>4.0393330320452954</v>
      </c>
      <c r="AR185" s="77">
        <f>$AH185*tbl_Data[[#This Row],[2034 ]]</f>
        <v>4.6485770876992181</v>
      </c>
      <c r="AS185" s="77">
        <f>SUM(tbl_Data[[#This Row],[Adjusted 2025]:[Adjusted 2034]])</f>
        <v>23.00570564629907</v>
      </c>
      <c r="AT185" s="80">
        <f>AVERAGEIFS('3. Incentive Adjustment'!F:F,'3. Incentive Adjustment'!A:A,tbl_Data[[#This Row],[Trimmed Sector]],'3. Incentive Adjustment'!B:B,tbl_Data[[#This Row],[Trimmed Measure Name]])</f>
        <v>500</v>
      </c>
      <c r="AU185" s="80">
        <f>IFERROR(VLOOKUP(tbl_Data[[#This Row],[All_Meas_Name_Append]],'IRA Tax Credits'!$A$3:$D$46,4,0),0)</f>
        <v>1666.6666666666667</v>
      </c>
      <c r="AV185" s="81">
        <f>tbl_Data[[#This Row],[Adj. per unit Incentive ($)]]/tbl_Data[[#This Row],[kWh Savings]]*tbl_Data[[#This Row],[Sum of Annuals]]</f>
        <v>6.9164714439511554</v>
      </c>
      <c r="AW185" s="81">
        <f>IFERROR(VLOOKUP(tbl_Data[[#This Row],[Column1]],'1. Set Program Names'!$B$2:$D$15,3,0)*tbl_Data[[#This Row],[Sum of Annuals]],"")</f>
        <v>10.366890653415314</v>
      </c>
      <c r="AX185" s="81">
        <f>tbl_Data[[#This Row],[per unit IRA tax ($)]]/tbl_Data[[#This Row],[kWh Savings]]*tbl_Data[[#This Row],[Sum of Annuals]]</f>
        <v>23.054904813170516</v>
      </c>
      <c r="AY185" s="81">
        <f>tbl_Data[[#This Row],[Avoided Costs ($/unit)]]/tbl_Data[[#This Row],[kWh Savings]]*tbl_Data[[#This Row],[Sum of Annuals]]</f>
        <v>10.955159146929274</v>
      </c>
      <c r="AZ185" s="81">
        <f>tbl_Data[[#This Row],[Lost Revenue ($/unit)]]/tbl_Data[[#This Row],[kWh Savings]]*tbl_Data[[#This Row],[Sum of Annuals]]</f>
        <v>29.429439769036474</v>
      </c>
      <c r="BA185" s="81">
        <f>tbl_Data[[#This Row],[Incremental Cost ($/unit)]]/tbl_Data[[#This Row],[kWh Savings]]*tbl_Data[[#This Row],[Sum of Annuals]]</f>
        <v>19.220874142740257</v>
      </c>
      <c r="BB185" s="77">
        <f>ROUNDUP(tbl_Data[[#This Row],[Adjusted 2025]]/$L185,0)</f>
        <v>1</v>
      </c>
      <c r="BC185" s="77">
        <f>ROUNDUP(tbl_Data[[#This Row],[Adjusted 2026]]/$L185,0)</f>
        <v>1</v>
      </c>
      <c r="BD185" s="77">
        <f>ROUNDUP(tbl_Data[[#This Row],[Adjusted 2027]]/$L185,0)</f>
        <v>1</v>
      </c>
      <c r="BE185" s="77">
        <f>ROUNDUP(tbl_Data[[#This Row],[Adjusted 2028]]/$L185,0)</f>
        <v>1</v>
      </c>
      <c r="BF185" s="77">
        <f>ROUNDUP(tbl_Data[[#This Row],[Adjusted 2029]]/$L185,0)</f>
        <v>1</v>
      </c>
      <c r="BG185" s="77">
        <f>ROUNDUP(tbl_Data[[#This Row],[Adjusted 2030]]/$L185,0)</f>
        <v>1</v>
      </c>
      <c r="BH185" s="77">
        <f>ROUNDUP(tbl_Data[[#This Row],[Adjusted 2031]]/$L185,0)</f>
        <v>1</v>
      </c>
      <c r="BI185" s="77">
        <f>ROUNDUP(tbl_Data[[#This Row],[Adjusted 2032]]/$L185,0)</f>
        <v>1</v>
      </c>
      <c r="BJ185" s="77">
        <f>ROUNDUP(tbl_Data[[#This Row],[Adjusted 2033]]/$L185,0)</f>
        <v>1</v>
      </c>
      <c r="BK185" s="77">
        <f>ROUNDUP(tbl_Data[[#This Row],[Adjusted 2034]]/$L185,0)</f>
        <v>1</v>
      </c>
      <c r="BL185" s="80">
        <f t="shared" si="89"/>
        <v>0.20969505471163521</v>
      </c>
      <c r="BM185" s="80">
        <f t="shared" si="90"/>
        <v>0.44290063475442365</v>
      </c>
      <c r="BN185" s="80">
        <f t="shared" si="91"/>
        <v>0.69777193073801014</v>
      </c>
      <c r="BO185" s="80">
        <f t="shared" si="92"/>
        <v>0.97312833723420566</v>
      </c>
      <c r="BP185" s="80">
        <f t="shared" si="93"/>
        <v>1.2679885103759541</v>
      </c>
      <c r="BQ185" s="80">
        <f t="shared" si="94"/>
        <v>1.5806797090739315</v>
      </c>
      <c r="BR185" s="80">
        <f t="shared" si="95"/>
        <v>1.9119911057737338</v>
      </c>
      <c r="BS185" s="80">
        <f t="shared" si="96"/>
        <v>2.2635291477162052</v>
      </c>
      <c r="BT185" s="80">
        <f t="shared" si="97"/>
        <v>2.6371664843748444</v>
      </c>
      <c r="BU185" s="80">
        <f t="shared" si="98"/>
        <v>3.0349247260520835</v>
      </c>
      <c r="BV185" s="80">
        <f>IFERROR(VLOOKUP($H185,'1. Set Program Names'!$B$2:$D$15,3,0)*V185,"NA")</f>
        <v>0.31430559937591446</v>
      </c>
      <c r="BW185" s="80">
        <f>IFERROR(VLOOKUP($H185,'1. Set Program Names'!$B$2:$D$15,3,0)*W185,"NA")</f>
        <v>0.66385041679639589</v>
      </c>
      <c r="BX185" s="80">
        <f>IFERROR(VLOOKUP($H185,'1. Set Program Names'!$B$2:$D$15,3,0)*X185,"NA")</f>
        <v>1.0458693230505185</v>
      </c>
      <c r="BY185" s="80">
        <f>IFERROR(VLOOKUP($H185,'1. Set Program Names'!$B$2:$D$15,3,0)*Y185,"NA")</f>
        <v>1.4585927442337199</v>
      </c>
      <c r="BZ185" s="80">
        <f>IFERROR(VLOOKUP($H185,'1. Set Program Names'!$B$2:$D$15,3,0)*Z185,"NA")</f>
        <v>1.9005497735916508</v>
      </c>
      <c r="CA185" s="80">
        <f>IFERROR(VLOOKUP($H185,'1. Set Program Names'!$B$2:$D$15,3,0)*AA185,"NA")</f>
        <v>2.3692331899053678</v>
      </c>
      <c r="CB185" s="80">
        <f>IFERROR(VLOOKUP($H185,'1. Set Program Names'!$B$2:$D$15,3,0)*AB185,"NA")</f>
        <v>2.8658258599757351</v>
      </c>
      <c r="CC185" s="80">
        <f>IFERROR(VLOOKUP($H185,'1. Set Program Names'!$B$2:$D$15,3,0)*AC185,"NA")</f>
        <v>3.392735639169651</v>
      </c>
      <c r="CD185" s="80">
        <f>IFERROR(VLOOKUP($H185,'1. Set Program Names'!$B$2:$D$15,3,0)*AD185,"NA")</f>
        <v>3.9527693853598409</v>
      </c>
      <c r="CE185" s="80">
        <f>IFERROR(VLOOKUP($H185,'1. Set Program Names'!$B$2:$D$15,3,0)*AE185,"NA")</f>
        <v>4.5489572293173159</v>
      </c>
    </row>
    <row r="186" spans="1:83" x14ac:dyDescent="0.25">
      <c r="A186" s="79" t="s">
        <v>115</v>
      </c>
      <c r="B186" s="79" t="s">
        <v>88</v>
      </c>
      <c r="C186" s="79" t="s">
        <v>89</v>
      </c>
      <c r="D186" s="79" t="s">
        <v>90</v>
      </c>
      <c r="E186" s="79" t="s">
        <v>91</v>
      </c>
      <c r="F186" s="79" t="s">
        <v>90</v>
      </c>
      <c r="G186" s="79" t="s">
        <v>92</v>
      </c>
      <c r="H186" s="79" t="s">
        <v>9</v>
      </c>
      <c r="I186" s="79" t="s">
        <v>109</v>
      </c>
      <c r="J186" s="79" t="s">
        <v>94</v>
      </c>
      <c r="K186" s="79" t="s">
        <v>95</v>
      </c>
      <c r="L186" s="79">
        <v>1590.11499999999</v>
      </c>
      <c r="M186" s="79">
        <v>6.3722388822036402E-2</v>
      </c>
      <c r="N186" s="79">
        <v>0.29557957027655002</v>
      </c>
      <c r="O186" s="79">
        <v>1389.5</v>
      </c>
      <c r="P186" s="79">
        <v>1006.47372867305</v>
      </c>
      <c r="Q186" s="79">
        <v>477.694492685044</v>
      </c>
      <c r="R186" s="79">
        <v>757.20185047754296</v>
      </c>
      <c r="S186" s="79">
        <v>2034.1125083407001</v>
      </c>
      <c r="T186" s="79">
        <v>15</v>
      </c>
      <c r="U186" s="79">
        <v>0.2</v>
      </c>
      <c r="V186" s="79">
        <f>tbl_Data_old[[#This Row],[2025 ]]*IFERROR(AVERAGEIFS('Participation Adjustment'!$C:$C,'Participation Adjustment'!$A:$A,$H186,'Participation Adjustment'!$B:$B,$I186),1)</f>
        <v>0.99676670513503496</v>
      </c>
      <c r="W186" s="79">
        <f>tbl_Data_old[[#This Row],[2026 ]]*IFERROR(AVERAGEIFS('Participation Adjustment'!$C:$C,'Participation Adjustment'!$A:$A,$H186,'Participation Adjustment'!$B:$B,$I186),1)</f>
        <v>2.1048340879838001</v>
      </c>
      <c r="X186" s="79">
        <f>tbl_Data_old[[#This Row],[2027 ]]*IFERROR(AVERAGEIFS('Participation Adjustment'!$C:$C,'Participation Adjustment'!$A:$A,$H186,'Participation Adjustment'!$B:$B,$I186),1)</f>
        <v>3.3153990916112401</v>
      </c>
      <c r="Y186" s="79">
        <f>tbl_Data_old[[#This Row],[2028 ]]*IFERROR(AVERAGEIFS('Participation Adjustment'!$C:$C,'Participation Adjustment'!$A:$A,$H186,'Participation Adjustment'!$B:$B,$I186),1)</f>
        <v>4.6228310051677299</v>
      </c>
      <c r="Z186" s="79">
        <f>tbl_Data_old[[#This Row],[2029 ]]*IFERROR(AVERAGEIFS('Participation Adjustment'!$C:$C,'Participation Adjustment'!$A:$A,$H186,'Participation Adjustment'!$B:$B,$I186),1)</f>
        <v>6.0224574766016996</v>
      </c>
      <c r="AA186" s="79">
        <f>tbl_Data_old[[#This Row],[2030 ]]*IFERROR(AVERAGEIFS('Participation Adjustment'!$C:$C,'Participation Adjustment'!$A:$A,$H186,'Participation Adjustment'!$B:$B,$I186),1)</f>
        <v>7.5063345653756901</v>
      </c>
      <c r="AB186" s="79">
        <f>tbl_Data_old[[#This Row],[2031 ]]*IFERROR(AVERAGEIFS('Participation Adjustment'!$C:$C,'Participation Adjustment'!$A:$A,$H186,'Participation Adjustment'!$B:$B,$I186),1)</f>
        <v>9.0782084767346198</v>
      </c>
      <c r="AC186" s="79">
        <f>tbl_Data_old[[#This Row],[2032 ]]*IFERROR(AVERAGEIFS('Participation Adjustment'!$C:$C,'Participation Adjustment'!$A:$A,$H186,'Participation Adjustment'!$B:$B,$I186),1)</f>
        <v>10.745702572077199</v>
      </c>
      <c r="AD186" s="79">
        <f>tbl_Data_old[[#This Row],[2033 ]]*IFERROR(AVERAGEIFS('Participation Adjustment'!$C:$C,'Participation Adjustment'!$A:$A,$H186,'Participation Adjustment'!$B:$B,$I186),1)</f>
        <v>12.517700911025999</v>
      </c>
      <c r="AE186" s="79">
        <f>tbl_Data_old[[#This Row],[2034 ]]*IFERROR(AVERAGEIFS('Participation Adjustment'!$C:$C,'Participation Adjustment'!$A:$A,$H186,'Participation Adjustment'!$B:$B,$I186),1)</f>
        <v>14.403791874156999</v>
      </c>
      <c r="AF186" s="77" t="str">
        <f t="shared" si="88"/>
        <v>Residential</v>
      </c>
      <c r="AG186" s="77" t="str">
        <f>tbl_Data[[#This Row],[All_Meas_Name_Append]]</f>
        <v>Heat Pump Water Heater 50 Gallons-ENERGY STAR</v>
      </c>
      <c r="AH186" s="77">
        <f>AVERAGEIFS('3. Incentive Adjustment'!G:G,'3. Incentive Adjustment'!A:A,tbl_Data[[#This Row],[Trimmed Sector]],'3. Incentive Adjustment'!B:B,tbl_Data[[#This Row],[Trimmed Measure Name]])</f>
        <v>0.43153525594917136</v>
      </c>
      <c r="AI186" s="77">
        <f>$AH186*tbl_Data[[#This Row],[2025 ]]</f>
        <v>0.43013997522205955</v>
      </c>
      <c r="AJ186" s="77">
        <f>$AH186*tbl_Data[[#This Row],[2026 ]]</f>
        <v>0.90831011688862984</v>
      </c>
      <c r="AK186" s="77">
        <f>$AH186*tbl_Data[[#This Row],[2027 ]]</f>
        <v>1.4307115955721068</v>
      </c>
      <c r="AL186" s="77">
        <f>$AH186*tbl_Data[[#This Row],[2028 ]]</f>
        <v>1.9949145610248213</v>
      </c>
      <c r="AM186" s="77">
        <f>$AH186*tbl_Data[[#This Row],[2029 ]]</f>
        <v>2.5989027286083153</v>
      </c>
      <c r="AN186" s="77">
        <f>$AH186*tbl_Data[[#This Row],[2030 ]]</f>
        <v>3.2392480079095103</v>
      </c>
      <c r="AO186" s="77">
        <f>$AH186*tbl_Data[[#This Row],[2031 ]]</f>
        <v>3.917567018567611</v>
      </c>
      <c r="AP186" s="77">
        <f>$AH186*tbl_Data[[#This Row],[2032 ]]</f>
        <v>4.6371495097950035</v>
      </c>
      <c r="AQ186" s="77">
        <f>$AH186*tbl_Data[[#This Row],[2033 ]]</f>
        <v>5.4018292665347802</v>
      </c>
      <c r="AR186" s="77">
        <f>$AH186*tbl_Data[[#This Row],[2034 ]]</f>
        <v>6.2157440130529356</v>
      </c>
      <c r="AS186" s="77">
        <f>SUM(tbl_Data[[#This Row],[Adjusted 2025]:[Adjusted 2034]])</f>
        <v>30.774516793175771</v>
      </c>
      <c r="AT186" s="80">
        <f>AVERAGEIFS('3. Incentive Adjustment'!F:F,'3. Incentive Adjustment'!A:A,tbl_Data[[#This Row],[Trimmed Sector]],'3. Incentive Adjustment'!B:B,tbl_Data[[#This Row],[Trimmed Measure Name]])</f>
        <v>500</v>
      </c>
      <c r="AU186" s="80">
        <f>IFERROR(VLOOKUP(tbl_Data[[#This Row],[All_Meas_Name_Append]],'IRA Tax Credits'!$A$3:$D$46,4,0),0)</f>
        <v>1666.6666666666667</v>
      </c>
      <c r="AV186" s="81">
        <f>tbl_Data[[#This Row],[Adj. per unit Incentive ($)]]/tbl_Data[[#This Row],[kWh Savings]]*tbl_Data[[#This Row],[Sum of Annuals]]</f>
        <v>9.6768211082770623</v>
      </c>
      <c r="AW186" s="81">
        <f>IFERROR(VLOOKUP(tbl_Data[[#This Row],[Column1]],'1. Set Program Names'!$B$2:$D$15,3,0)*tbl_Data[[#This Row],[Sum of Annuals]],"")</f>
        <v>13.867692450366977</v>
      </c>
      <c r="AX186" s="81">
        <f>tbl_Data[[#This Row],[per unit IRA tax ($)]]/tbl_Data[[#This Row],[kWh Savings]]*tbl_Data[[#This Row],[Sum of Annuals]]</f>
        <v>32.256070360923545</v>
      </c>
      <c r="AY186" s="81">
        <f>tbl_Data[[#This Row],[Avoided Costs ($/unit)]]/tbl_Data[[#This Row],[kWh Savings]]*tbl_Data[[#This Row],[Sum of Annuals]]</f>
        <v>14.65461369985508</v>
      </c>
      <c r="AZ186" s="81">
        <f>tbl_Data[[#This Row],[Lost Revenue ($/unit)]]/tbl_Data[[#This Row],[kWh Savings]]*tbl_Data[[#This Row],[Sum of Annuals]]</f>
        <v>39.367485714643379</v>
      </c>
      <c r="BA186" s="81">
        <f>tbl_Data[[#This Row],[Incremental Cost ($/unit)]]/tbl_Data[[#This Row],[kWh Savings]]*tbl_Data[[#This Row],[Sum of Annuals]]</f>
        <v>26.891885859901958</v>
      </c>
      <c r="BB186" s="77">
        <f>ROUNDUP(tbl_Data[[#This Row],[Adjusted 2025]]/$L186,0)</f>
        <v>1</v>
      </c>
      <c r="BC186" s="77">
        <f>ROUNDUP(tbl_Data[[#This Row],[Adjusted 2026]]/$L186,0)</f>
        <v>1</v>
      </c>
      <c r="BD186" s="77">
        <f>ROUNDUP(tbl_Data[[#This Row],[Adjusted 2027]]/$L186,0)</f>
        <v>1</v>
      </c>
      <c r="BE186" s="77">
        <f>ROUNDUP(tbl_Data[[#This Row],[Adjusted 2028]]/$L186,0)</f>
        <v>1</v>
      </c>
      <c r="BF186" s="77">
        <f>ROUNDUP(tbl_Data[[#This Row],[Adjusted 2029]]/$L186,0)</f>
        <v>1</v>
      </c>
      <c r="BG186" s="77">
        <f>ROUNDUP(tbl_Data[[#This Row],[Adjusted 2030]]/$L186,0)</f>
        <v>1</v>
      </c>
      <c r="BH186" s="77">
        <f>ROUNDUP(tbl_Data[[#This Row],[Adjusted 2031]]/$L186,0)</f>
        <v>1</v>
      </c>
      <c r="BI186" s="77">
        <f>ROUNDUP(tbl_Data[[#This Row],[Adjusted 2032]]/$L186,0)</f>
        <v>1</v>
      </c>
      <c r="BJ186" s="77">
        <f>ROUNDUP(tbl_Data[[#This Row],[Adjusted 2033]]/$L186,0)</f>
        <v>1</v>
      </c>
      <c r="BK186" s="77">
        <f>ROUNDUP(tbl_Data[[#This Row],[Adjusted 2034]]/$L186,0)</f>
        <v>1</v>
      </c>
      <c r="BL186" s="80">
        <f t="shared" si="89"/>
        <v>0.31342598023886359</v>
      </c>
      <c r="BM186" s="80">
        <f t="shared" si="90"/>
        <v>0.66184964231637744</v>
      </c>
      <c r="BN186" s="80">
        <f t="shared" si="91"/>
        <v>1.0425029295400838</v>
      </c>
      <c r="BO186" s="80">
        <f t="shared" si="92"/>
        <v>1.4536153061784081</v>
      </c>
      <c r="BP186" s="80">
        <f t="shared" si="93"/>
        <v>1.8937175853953132</v>
      </c>
      <c r="BQ186" s="80">
        <f t="shared" si="94"/>
        <v>2.3603118533488887</v>
      </c>
      <c r="BR186" s="80">
        <f t="shared" si="95"/>
        <v>2.8545760768040918</v>
      </c>
      <c r="BS186" s="80">
        <f t="shared" si="96"/>
        <v>3.378907365843749</v>
      </c>
      <c r="BT186" s="80">
        <f t="shared" si="97"/>
        <v>3.9360992478613426</v>
      </c>
      <c r="BU186" s="80">
        <f t="shared" si="98"/>
        <v>4.5291667188087308</v>
      </c>
      <c r="BV186" s="80">
        <f>IFERROR(VLOOKUP($H186,'1. Set Program Names'!$B$2:$D$15,3,0)*V186,"NA")</f>
        <v>0.44916559387354865</v>
      </c>
      <c r="BW186" s="80">
        <f>IFERROR(VLOOKUP($H186,'1. Set Program Names'!$B$2:$D$15,3,0)*W186,"NA")</f>
        <v>0.94848578736029709</v>
      </c>
      <c r="BX186" s="80">
        <f>IFERROR(VLOOKUP($H186,'1. Set Program Names'!$B$2:$D$15,3,0)*X186,"NA")</f>
        <v>1.4939937241479639</v>
      </c>
      <c r="BY186" s="80">
        <f>IFERROR(VLOOKUP($H186,'1. Set Program Names'!$B$2:$D$15,3,0)*Y186,"NA")</f>
        <v>2.0831520787323239</v>
      </c>
      <c r="BZ186" s="80">
        <f>IFERROR(VLOOKUP($H186,'1. Set Program Names'!$B$2:$D$15,3,0)*Z186,"NA")</f>
        <v>2.7138553837324757</v>
      </c>
      <c r="CA186" s="80">
        <f>IFERROR(VLOOKUP($H186,'1. Set Program Names'!$B$2:$D$15,3,0)*AA186,"NA")</f>
        <v>3.3825239200919723</v>
      </c>
      <c r="CB186" s="80">
        <f>IFERROR(VLOOKUP($H186,'1. Set Program Names'!$B$2:$D$15,3,0)*AB186,"NA")</f>
        <v>4.0908458125193716</v>
      </c>
      <c r="CC186" s="80">
        <f>IFERROR(VLOOKUP($H186,'1. Set Program Names'!$B$2:$D$15,3,0)*AC186,"NA")</f>
        <v>4.8422563198694526</v>
      </c>
      <c r="CD186" s="80">
        <f>IFERROR(VLOOKUP($H186,'1. Set Program Names'!$B$2:$D$15,3,0)*AD186,"NA")</f>
        <v>5.6407588000953082</v>
      </c>
      <c r="CE186" s="80">
        <f>IFERROR(VLOOKUP($H186,'1. Set Program Names'!$B$2:$D$15,3,0)*AE186,"NA")</f>
        <v>6.4906739940819502</v>
      </c>
    </row>
    <row r="187" spans="1:83" x14ac:dyDescent="0.25">
      <c r="A187" s="79" t="s">
        <v>115</v>
      </c>
      <c r="B187" s="79" t="s">
        <v>88</v>
      </c>
      <c r="C187" s="79" t="s">
        <v>89</v>
      </c>
      <c r="D187" s="79" t="s">
        <v>90</v>
      </c>
      <c r="E187" s="79" t="s">
        <v>91</v>
      </c>
      <c r="F187" s="79" t="s">
        <v>90</v>
      </c>
      <c r="G187" s="79" t="s">
        <v>92</v>
      </c>
      <c r="H187" s="79" t="s">
        <v>9</v>
      </c>
      <c r="I187" s="79" t="s">
        <v>110</v>
      </c>
      <c r="J187" s="79" t="s">
        <v>94</v>
      </c>
      <c r="K187" s="79" t="s">
        <v>108</v>
      </c>
      <c r="L187" s="79">
        <v>461.909999999999</v>
      </c>
      <c r="M187" s="79">
        <v>1.8510616289253799E-2</v>
      </c>
      <c r="N187" s="79">
        <v>8.5862443475120898E-2</v>
      </c>
      <c r="O187" s="79">
        <v>1729.5</v>
      </c>
      <c r="P187" s="79">
        <v>1631.9996867488601</v>
      </c>
      <c r="Q187" s="79">
        <v>138.764720234794</v>
      </c>
      <c r="R187" s="79">
        <v>219.958372038552</v>
      </c>
      <c r="S187" s="79">
        <v>590.88613636602201</v>
      </c>
      <c r="T187" s="79">
        <v>15</v>
      </c>
      <c r="U187" s="79">
        <v>0.2</v>
      </c>
      <c r="V187" s="79">
        <f>tbl_Data_old[[#This Row],[2025 ]]*IFERROR(AVERAGEIFS('Participation Adjustment'!$C:$C,'Participation Adjustment'!$A:$A,$H187,'Participation Adjustment'!$B:$B,$I187),1)</f>
        <v>0.53618433508286101</v>
      </c>
      <c r="W187" s="79">
        <f>tbl_Data_old[[#This Row],[2026 ]]*IFERROR(AVERAGEIFS('Participation Adjustment'!$C:$C,'Participation Adjustment'!$A:$A,$H187,'Participation Adjustment'!$B:$B,$I187),1)</f>
        <v>1.1325899352200399</v>
      </c>
      <c r="X187" s="79">
        <f>tbl_Data_old[[#This Row],[2027 ]]*IFERROR(AVERAGEIFS('Participation Adjustment'!$C:$C,'Participation Adjustment'!$A:$A,$H187,'Participation Adjustment'!$B:$B,$I187),1)</f>
        <v>1.7845067110708701</v>
      </c>
      <c r="Y187" s="79">
        <f>tbl_Data_old[[#This Row],[2028 ]]*IFERROR(AVERAGEIFS('Participation Adjustment'!$C:$C,'Participation Adjustment'!$A:$A,$H187,'Participation Adjustment'!$B:$B,$I187),1)</f>
        <v>2.4889193040988999</v>
      </c>
      <c r="Z187" s="79">
        <f>tbl_Data_old[[#This Row],[2029 ]]*IFERROR(AVERAGEIFS('Participation Adjustment'!$C:$C,'Participation Adjustment'!$A:$A,$H187,'Participation Adjustment'!$B:$B,$I187),1)</f>
        <v>3.2433192063933101</v>
      </c>
      <c r="AA187" s="79">
        <f>tbl_Data_old[[#This Row],[2030 ]]*IFERROR(AVERAGEIFS('Participation Adjustment'!$C:$C,'Participation Adjustment'!$A:$A,$H187,'Participation Adjustment'!$B:$B,$I187),1)</f>
        <v>4.0434265753812699</v>
      </c>
      <c r="AB187" s="79">
        <f>tbl_Data_old[[#This Row],[2031 ]]*IFERROR(AVERAGEIFS('Participation Adjustment'!$C:$C,'Participation Adjustment'!$A:$A,$H187,'Participation Adjustment'!$B:$B,$I187),1)</f>
        <v>4.8912594279842896</v>
      </c>
      <c r="AC187" s="79">
        <f>tbl_Data_old[[#This Row],[2032 ]]*IFERROR(AVERAGEIFS('Participation Adjustment'!$C:$C,'Participation Adjustment'!$A:$A,$H187,'Participation Adjustment'!$B:$B,$I187),1)</f>
        <v>5.7909272553244602</v>
      </c>
      <c r="AD187" s="79">
        <f>tbl_Data_old[[#This Row],[2033 ]]*IFERROR(AVERAGEIFS('Participation Adjustment'!$C:$C,'Participation Adjustment'!$A:$A,$H187,'Participation Adjustment'!$B:$B,$I187),1)</f>
        <v>6.7472212458762897</v>
      </c>
      <c r="AE187" s="79">
        <f>tbl_Data_old[[#This Row],[2034 ]]*IFERROR(AVERAGEIFS('Participation Adjustment'!$C:$C,'Participation Adjustment'!$A:$A,$H187,'Participation Adjustment'!$B:$B,$I187),1)</f>
        <v>7.7653142876847498</v>
      </c>
      <c r="AF187" s="77" t="str">
        <f t="shared" si="88"/>
        <v>Residential</v>
      </c>
      <c r="AG187" s="77" t="str">
        <f>tbl_Data[[#This Row],[All_Meas_Name_Append]]</f>
        <v>Heat Pump Water Heater 80 Gallons-ENERGY STAR</v>
      </c>
      <c r="AH187" s="77">
        <f>AVERAGEIFS('3. Incentive Adjustment'!G:G,'3. Incentive Adjustment'!A:A,tbl_Data[[#This Row],[Trimmed Sector]],'3. Incentive Adjustment'!B:B,tbl_Data[[#This Row],[Trimmed Measure Name]])</f>
        <v>1.5551101216712928E-3</v>
      </c>
      <c r="AI187" s="77">
        <f>$AH187*tbl_Data[[#This Row],[2025 ]]</f>
        <v>8.3382568656894921E-4</v>
      </c>
      <c r="AJ187" s="77">
        <f>$AH187*tbl_Data[[#This Row],[2026 ]]</f>
        <v>1.7613020719637179E-3</v>
      </c>
      <c r="AK187" s="77">
        <f>$AH187*tbl_Data[[#This Row],[2027 ]]</f>
        <v>2.7751044485766594E-3</v>
      </c>
      <c r="AL187" s="77">
        <f>$AH187*tbl_Data[[#This Row],[2028 ]]</f>
        <v>3.8705436018272696E-3</v>
      </c>
      <c r="AM187" s="77">
        <f>$AH187*tbl_Data[[#This Row],[2029 ]]</f>
        <v>5.0437185256731413E-3</v>
      </c>
      <c r="AN187" s="77">
        <f>$AH187*tbl_Data[[#This Row],[2030 ]]</f>
        <v>6.2879735936101052E-3</v>
      </c>
      <c r="AO187" s="77">
        <f>$AH187*tbl_Data[[#This Row],[2031 ]]</f>
        <v>7.6064470441785069E-3</v>
      </c>
      <c r="AP187" s="77">
        <f>$AH187*tbl_Data[[#This Row],[2032 ]]</f>
        <v>9.0055295886172261E-3</v>
      </c>
      <c r="AQ187" s="77">
        <f>$AH187*tbl_Data[[#This Row],[2033 ]]</f>
        <v>1.0492672052617809E-2</v>
      </c>
      <c r="AR187" s="77">
        <f>$AH187*tbl_Data[[#This Row],[2034 ]]</f>
        <v>1.207591884673726E-2</v>
      </c>
      <c r="AS187" s="77">
        <f>SUM(tbl_Data[[#This Row],[Adjusted 2025]:[Adjusted 2034]])</f>
        <v>5.9753035460370647E-2</v>
      </c>
      <c r="AT187" s="80">
        <f>AVERAGEIFS('3. Incentive Adjustment'!F:F,'3. Incentive Adjustment'!A:A,tbl_Data[[#This Row],[Trimmed Sector]],'3. Incentive Adjustment'!B:B,tbl_Data[[#This Row],[Trimmed Measure Name]])</f>
        <v>500</v>
      </c>
      <c r="AU187" s="80">
        <f>IFERROR(VLOOKUP(tbl_Data[[#This Row],[All_Meas_Name_Append]],'IRA Tax Credits'!$A$3:$D$46,4,0),0)</f>
        <v>1666.6666666666667</v>
      </c>
      <c r="AV187" s="81">
        <f>tbl_Data[[#This Row],[Adj. per unit Incentive ($)]]/tbl_Data[[#This Row],[kWh Savings]]*tbl_Data[[#This Row],[Sum of Annuals]]</f>
        <v>6.4680387370235307E-2</v>
      </c>
      <c r="AW187" s="81">
        <f>IFERROR(VLOOKUP(tbl_Data[[#This Row],[Column1]],'1. Set Program Names'!$B$2:$D$15,3,0)*tbl_Data[[#This Row],[Sum of Annuals]],"")</f>
        <v>2.6926067574326362E-2</v>
      </c>
      <c r="AX187" s="81">
        <f>tbl_Data[[#This Row],[per unit IRA tax ($)]]/tbl_Data[[#This Row],[kWh Savings]]*tbl_Data[[#This Row],[Sum of Annuals]]</f>
        <v>0.21560129123411767</v>
      </c>
      <c r="AY187" s="81">
        <f>tbl_Data[[#This Row],[Avoided Costs ($/unit)]]/tbl_Data[[#This Row],[kWh Savings]]*tbl_Data[[#This Row],[Sum of Annuals]]</f>
        <v>2.8453985417559755E-2</v>
      </c>
      <c r="AZ187" s="81">
        <f>tbl_Data[[#This Row],[Lost Revenue ($/unit)]]/tbl_Data[[#This Row],[kWh Savings]]*tbl_Data[[#This Row],[Sum of Annuals]]</f>
        <v>7.6437488383711963E-2</v>
      </c>
      <c r="BA187" s="81">
        <f>tbl_Data[[#This Row],[Incremental Cost ($/unit)]]/tbl_Data[[#This Row],[kWh Savings]]*tbl_Data[[#This Row],[Sum of Annuals]]</f>
        <v>0.2237294599136439</v>
      </c>
      <c r="BB187" s="77">
        <f>ROUNDUP(tbl_Data[[#This Row],[Adjusted 2025]]/$L187,0)</f>
        <v>1</v>
      </c>
      <c r="BC187" s="77">
        <f>ROUNDUP(tbl_Data[[#This Row],[Adjusted 2026]]/$L187,0)</f>
        <v>1</v>
      </c>
      <c r="BD187" s="77">
        <f>ROUNDUP(tbl_Data[[#This Row],[Adjusted 2027]]/$L187,0)</f>
        <v>1</v>
      </c>
      <c r="BE187" s="77">
        <f>ROUNDUP(tbl_Data[[#This Row],[Adjusted 2028]]/$L187,0)</f>
        <v>1</v>
      </c>
      <c r="BF187" s="77">
        <f>ROUNDUP(tbl_Data[[#This Row],[Adjusted 2029]]/$L187,0)</f>
        <v>1</v>
      </c>
      <c r="BG187" s="77">
        <f>ROUNDUP(tbl_Data[[#This Row],[Adjusted 2030]]/$L187,0)</f>
        <v>1</v>
      </c>
      <c r="BH187" s="77">
        <f>ROUNDUP(tbl_Data[[#This Row],[Adjusted 2031]]/$L187,0)</f>
        <v>1</v>
      </c>
      <c r="BI187" s="77">
        <f>ROUNDUP(tbl_Data[[#This Row],[Adjusted 2032]]/$L187,0)</f>
        <v>1</v>
      </c>
      <c r="BJ187" s="77">
        <f>ROUNDUP(tbl_Data[[#This Row],[Adjusted 2033]]/$L187,0)</f>
        <v>1</v>
      </c>
      <c r="BK187" s="77">
        <f>ROUNDUP(tbl_Data[[#This Row],[Adjusted 2034]]/$L187,0)</f>
        <v>1</v>
      </c>
      <c r="BL187" s="80">
        <f t="shared" si="89"/>
        <v>0.58039914169736773</v>
      </c>
      <c r="BM187" s="80">
        <f t="shared" si="90"/>
        <v>1.2259855114849674</v>
      </c>
      <c r="BN187" s="80">
        <f t="shared" si="91"/>
        <v>1.9316606168635384</v>
      </c>
      <c r="BO187" s="80">
        <f t="shared" si="92"/>
        <v>2.6941604469473552</v>
      </c>
      <c r="BP187" s="80">
        <f t="shared" si="93"/>
        <v>3.5107696373680124</v>
      </c>
      <c r="BQ187" s="80">
        <f t="shared" si="94"/>
        <v>4.3768554213821727</v>
      </c>
      <c r="BR187" s="80">
        <f t="shared" si="95"/>
        <v>5.2946022255247778</v>
      </c>
      <c r="BS187" s="80">
        <f t="shared" si="96"/>
        <v>6.2684584175753644</v>
      </c>
      <c r="BT187" s="80">
        <f t="shared" si="97"/>
        <v>7.3036102767598718</v>
      </c>
      <c r="BU187" s="80">
        <f t="shared" si="98"/>
        <v>8.4056572575661566</v>
      </c>
      <c r="BV187" s="80">
        <f>IFERROR(VLOOKUP($H187,'1. Set Program Names'!$B$2:$D$15,3,0)*V187,"NA")</f>
        <v>0.24161677356644889</v>
      </c>
      <c r="BW187" s="80">
        <f>IFERROR(VLOOKUP($H187,'1. Set Program Names'!$B$2:$D$15,3,0)*W187,"NA")</f>
        <v>0.51037060953936597</v>
      </c>
      <c r="BX187" s="80">
        <f>IFERROR(VLOOKUP($H187,'1. Set Program Names'!$B$2:$D$15,3,0)*X187,"NA")</f>
        <v>0.80413903526291397</v>
      </c>
      <c r="BY187" s="80">
        <f>IFERROR(VLOOKUP($H187,'1. Set Program Names'!$B$2:$D$15,3,0)*Y187,"NA")</f>
        <v>1.1215632620648897</v>
      </c>
      <c r="BZ187" s="80">
        <f>IFERROR(VLOOKUP($H187,'1. Set Program Names'!$B$2:$D$15,3,0)*Z187,"NA")</f>
        <v>1.4615128996145414</v>
      </c>
      <c r="CA187" s="80">
        <f>IFERROR(VLOOKUP($H187,'1. Set Program Names'!$B$2:$D$15,3,0)*AA187,"NA")</f>
        <v>1.8220593541687122</v>
      </c>
      <c r="CB187" s="80">
        <f>IFERROR(VLOOKUP($H187,'1. Set Program Names'!$B$2:$D$15,3,0)*AB187,"NA")</f>
        <v>2.2041119897383861</v>
      </c>
      <c r="CC187" s="80">
        <f>IFERROR(VLOOKUP($H187,'1. Set Program Names'!$B$2:$D$15,3,0)*AC187,"NA")</f>
        <v>2.6095226358548498</v>
      </c>
      <c r="CD187" s="80">
        <f>IFERROR(VLOOKUP($H187,'1. Set Program Names'!$B$2:$D$15,3,0)*AD187,"NA")</f>
        <v>3.0404503102756442</v>
      </c>
      <c r="CE187" s="80">
        <f>IFERROR(VLOOKUP($H187,'1. Set Program Names'!$B$2:$D$15,3,0)*AE187,"NA")</f>
        <v>3.4992260332071936</v>
      </c>
    </row>
    <row r="188" spans="1:83" x14ac:dyDescent="0.25">
      <c r="A188" s="79" t="s">
        <v>115</v>
      </c>
      <c r="B188" s="79" t="s">
        <v>88</v>
      </c>
      <c r="C188" s="79" t="s">
        <v>89</v>
      </c>
      <c r="D188" s="79" t="s">
        <v>90</v>
      </c>
      <c r="E188" s="79" t="s">
        <v>91</v>
      </c>
      <c r="F188" s="79" t="s">
        <v>90</v>
      </c>
      <c r="G188" s="79" t="s">
        <v>92</v>
      </c>
      <c r="H188" s="79"/>
      <c r="I188" s="79" t="s">
        <v>300</v>
      </c>
      <c r="J188" s="79" t="s">
        <v>120</v>
      </c>
      <c r="K188" s="79" t="s">
        <v>121</v>
      </c>
      <c r="L188" s="79">
        <v>1988.02171595288</v>
      </c>
      <c r="M188" s="79">
        <v>0.57653488407092901</v>
      </c>
      <c r="N188" s="79">
        <v>0.213799538654902</v>
      </c>
      <c r="O188" s="79">
        <v>1475.381509522</v>
      </c>
      <c r="P188" s="79">
        <v>647.28493209175997</v>
      </c>
      <c r="Q188" s="79">
        <v>597.23166252061401</v>
      </c>
      <c r="R188" s="79">
        <v>1282.4247459138801</v>
      </c>
      <c r="S188" s="79">
        <v>3005.0463968047102</v>
      </c>
      <c r="T188" s="79">
        <v>20</v>
      </c>
      <c r="U188" s="79">
        <v>1</v>
      </c>
      <c r="V188" s="79">
        <f>tbl_Data_old[[#This Row],[2025 ]]*IFERROR(AVERAGEIFS('Participation Adjustment'!$C:$C,'Participation Adjustment'!$A:$A,$H188,'Participation Adjustment'!$B:$B,$I188),1)</f>
        <v>47.9075385748069</v>
      </c>
      <c r="W188" s="79">
        <f>tbl_Data_old[[#This Row],[2026 ]]*IFERROR(AVERAGEIFS('Participation Adjustment'!$C:$C,'Participation Adjustment'!$A:$A,$H188,'Participation Adjustment'!$B:$B,$I188),1)</f>
        <v>98.961844641122696</v>
      </c>
      <c r="X188" s="79">
        <f>tbl_Data_old[[#This Row],[2027 ]]*IFERROR(AVERAGEIFS('Participation Adjustment'!$C:$C,'Participation Adjustment'!$A:$A,$H188,'Participation Adjustment'!$B:$B,$I188),1)</f>
        <v>151.59968953679299</v>
      </c>
      <c r="Y188" s="79">
        <f>tbl_Data_old[[#This Row],[2028 ]]*IFERROR(AVERAGEIFS('Participation Adjustment'!$C:$C,'Participation Adjustment'!$A:$A,$H188,'Participation Adjustment'!$B:$B,$I188),1)</f>
        <v>205.555584762725</v>
      </c>
      <c r="Z188" s="79">
        <f>tbl_Data_old[[#This Row],[2029 ]]*IFERROR(AVERAGEIFS('Participation Adjustment'!$C:$C,'Participation Adjustment'!$A:$A,$H188,'Participation Adjustment'!$B:$B,$I188),1)</f>
        <v>261.24615933325799</v>
      </c>
      <c r="AA188" s="79">
        <f>tbl_Data_old[[#This Row],[2030 ]]*IFERROR(AVERAGEIFS('Participation Adjustment'!$C:$C,'Participation Adjustment'!$A:$A,$H188,'Participation Adjustment'!$B:$B,$I188),1)</f>
        <v>318.76332947098302</v>
      </c>
      <c r="AB188" s="79">
        <f>tbl_Data_old[[#This Row],[2031 ]]*IFERROR(AVERAGEIFS('Participation Adjustment'!$C:$C,'Participation Adjustment'!$A:$A,$H188,'Participation Adjustment'!$B:$B,$I188),1)</f>
        <v>378.75065854371599</v>
      </c>
      <c r="AC188" s="79">
        <f>tbl_Data_old[[#This Row],[2032 ]]*IFERROR(AVERAGEIFS('Participation Adjustment'!$C:$C,'Participation Adjustment'!$A:$A,$H188,'Participation Adjustment'!$B:$B,$I188),1)</f>
        <v>441.57636456376002</v>
      </c>
      <c r="AD188" s="79">
        <f>tbl_Data_old[[#This Row],[2033 ]]*IFERROR(AVERAGEIFS('Participation Adjustment'!$C:$C,'Participation Adjustment'!$A:$A,$H188,'Participation Adjustment'!$B:$B,$I188),1)</f>
        <v>507.715582446322</v>
      </c>
      <c r="AE188" s="79">
        <f>tbl_Data_old[[#This Row],[2034 ]]*IFERROR(AVERAGEIFS('Participation Adjustment'!$C:$C,'Participation Adjustment'!$A:$A,$H188,'Participation Adjustment'!$B:$B,$I188),1)</f>
        <v>577.56251896274102</v>
      </c>
      <c r="AF188" s="77" t="str">
        <f t="shared" si="88"/>
        <v>Residential</v>
      </c>
      <c r="AG188" s="77" t="str">
        <f>tbl_Data[[#This Row],[All_Meas_Name_Append]]</f>
        <v>New Construction - Whole Home Improvements - Tier 1</v>
      </c>
      <c r="AH188" s="77">
        <f>AVERAGEIFS('3. Incentive Adjustment'!G:G,'3. Incentive Adjustment'!A:A,tbl_Data[[#This Row],[Trimmed Sector]],'3. Incentive Adjustment'!B:B,tbl_Data[[#This Row],[Trimmed Measure Name]])</f>
        <v>0.42355026786158312</v>
      </c>
      <c r="AI188" s="77">
        <f>$AH188*tbl_Data[[#This Row],[2025 ]]</f>
        <v>20.291250795948589</v>
      </c>
      <c r="AJ188" s="77">
        <f>$AH188*tbl_Data[[#This Row],[2026 ]]</f>
        <v>41.915315805823894</v>
      </c>
      <c r="AK188" s="77">
        <f>$AH188*tbl_Data[[#This Row],[2027 ]]</f>
        <v>64.210089111041512</v>
      </c>
      <c r="AL188" s="77">
        <f>$AH188*tbl_Data[[#This Row],[2028 ]]</f>
        <v>87.063122986696527</v>
      </c>
      <c r="AM188" s="77">
        <f>$AH188*tbl_Data[[#This Row],[2029 ]]</f>
        <v>110.65088076341125</v>
      </c>
      <c r="AN188" s="77">
        <f>$AH188*tbl_Data[[#This Row],[2030 ]]</f>
        <v>135.01229358188493</v>
      </c>
      <c r="AO188" s="77">
        <f>$AH188*tbl_Data[[#This Row],[2031 ]]</f>
        <v>160.41994287894192</v>
      </c>
      <c r="AP188" s="77">
        <f>$AH188*tbl_Data[[#This Row],[2032 ]]</f>
        <v>187.02978749232463</v>
      </c>
      <c r="AQ188" s="77">
        <f>$AH188*tbl_Data[[#This Row],[2033 ]]</f>
        <v>215.04307094263936</v>
      </c>
      <c r="AR188" s="77">
        <f>$AH188*tbl_Data[[#This Row],[2034 ]]</f>
        <v>244.62675961347963</v>
      </c>
      <c r="AS188" s="77">
        <f>SUM(tbl_Data[[#This Row],[Adjusted 2025]:[Adjusted 2034]])</f>
        <v>1266.2625139721922</v>
      </c>
      <c r="AT188" s="80">
        <f>AVERAGEIFS('3. Incentive Adjustment'!F:F,'3. Incentive Adjustment'!A:A,tbl_Data[[#This Row],[Trimmed Sector]],'3. Incentive Adjustment'!B:B,tbl_Data[[#This Row],[Trimmed Measure Name]])</f>
        <v>0</v>
      </c>
      <c r="AU188" s="80">
        <f>IFERROR(VLOOKUP(tbl_Data[[#This Row],[All_Meas_Name_Append]],'IRA Tax Credits'!$A$3:$D$46,4,0),0)</f>
        <v>0</v>
      </c>
      <c r="AV188" s="81">
        <f>tbl_Data[[#This Row],[Adj. per unit Incentive ($)]]/tbl_Data[[#This Row],[kWh Savings]]*tbl_Data[[#This Row],[Sum of Annuals]]</f>
        <v>0</v>
      </c>
      <c r="AW188" s="81" t="str">
        <f>IFERROR(VLOOKUP(tbl_Data[[#This Row],[Column1]],'1. Set Program Names'!$B$2:$D$15,3,0)*tbl_Data[[#This Row],[Sum of Annuals]],"")</f>
        <v/>
      </c>
      <c r="AX188" s="81">
        <f>tbl_Data[[#This Row],[per unit IRA tax ($)]]/tbl_Data[[#This Row],[kWh Savings]]*tbl_Data[[#This Row],[Sum of Annuals]]</f>
        <v>0</v>
      </c>
      <c r="AY188" s="81">
        <f>tbl_Data[[#This Row],[Avoided Costs ($/unit)]]/tbl_Data[[#This Row],[kWh Savings]]*tbl_Data[[#This Row],[Sum of Annuals]]</f>
        <v>816.83533419689718</v>
      </c>
      <c r="AZ188" s="81">
        <f>tbl_Data[[#This Row],[Lost Revenue ($/unit)]]/tbl_Data[[#This Row],[kWh Savings]]*tbl_Data[[#This Row],[Sum of Annuals]]</f>
        <v>1914.0523337780282</v>
      </c>
      <c r="BA188" s="81">
        <f>tbl_Data[[#This Row],[Incremental Cost ($/unit)]]/tbl_Data[[#This Row],[kWh Savings]]*tbl_Data[[#This Row],[Sum of Annuals]]</f>
        <v>939.73837625810722</v>
      </c>
      <c r="BB188" s="77">
        <f>ROUNDUP(tbl_Data[[#This Row],[Adjusted 2025]]/$L188,0)</f>
        <v>1</v>
      </c>
      <c r="BC188" s="77">
        <f>ROUNDUP(tbl_Data[[#This Row],[Adjusted 2026]]/$L188,0)</f>
        <v>1</v>
      </c>
      <c r="BD188" s="77">
        <f>ROUNDUP(tbl_Data[[#This Row],[Adjusted 2027]]/$L188,0)</f>
        <v>1</v>
      </c>
      <c r="BE188" s="77">
        <f>ROUNDUP(tbl_Data[[#This Row],[Adjusted 2028]]/$L188,0)</f>
        <v>1</v>
      </c>
      <c r="BF188" s="77">
        <f>ROUNDUP(tbl_Data[[#This Row],[Adjusted 2029]]/$L188,0)</f>
        <v>1</v>
      </c>
      <c r="BG188" s="77">
        <f>ROUNDUP(tbl_Data[[#This Row],[Adjusted 2030]]/$L188,0)</f>
        <v>1</v>
      </c>
      <c r="BH188" s="77">
        <f>ROUNDUP(tbl_Data[[#This Row],[Adjusted 2031]]/$L188,0)</f>
        <v>1</v>
      </c>
      <c r="BI188" s="77">
        <f>ROUNDUP(tbl_Data[[#This Row],[Adjusted 2032]]/$L188,0)</f>
        <v>1</v>
      </c>
      <c r="BJ188" s="77">
        <f>ROUNDUP(tbl_Data[[#This Row],[Adjusted 2033]]/$L188,0)</f>
        <v>1</v>
      </c>
      <c r="BK188" s="77">
        <f>ROUNDUP(tbl_Data[[#This Row],[Adjusted 2034]]/$L188,0)</f>
        <v>1</v>
      </c>
      <c r="BL188" s="80">
        <f t="shared" si="89"/>
        <v>0</v>
      </c>
      <c r="BM188" s="80">
        <f t="shared" si="90"/>
        <v>0</v>
      </c>
      <c r="BN188" s="80">
        <f t="shared" si="91"/>
        <v>0</v>
      </c>
      <c r="BO188" s="80">
        <f t="shared" si="92"/>
        <v>0</v>
      </c>
      <c r="BP188" s="80">
        <f t="shared" si="93"/>
        <v>0</v>
      </c>
      <c r="BQ188" s="80">
        <f t="shared" si="94"/>
        <v>0</v>
      </c>
      <c r="BR188" s="80">
        <f t="shared" si="95"/>
        <v>0</v>
      </c>
      <c r="BS188" s="80">
        <f t="shared" si="96"/>
        <v>0</v>
      </c>
      <c r="BT188" s="80">
        <f t="shared" si="97"/>
        <v>0</v>
      </c>
      <c r="BU188" s="80">
        <f t="shared" si="98"/>
        <v>0</v>
      </c>
      <c r="BV188" s="80" t="str">
        <f>IFERROR(VLOOKUP($H188,'1. Set Program Names'!$B$2:$D$15,3,0)*V188,"NA")</f>
        <v>NA</v>
      </c>
      <c r="BW188" s="80" t="str">
        <f>IFERROR(VLOOKUP($H188,'1. Set Program Names'!$B$2:$D$15,3,0)*W188,"NA")</f>
        <v>NA</v>
      </c>
      <c r="BX188" s="80" t="str">
        <f>IFERROR(VLOOKUP($H188,'1. Set Program Names'!$B$2:$D$15,3,0)*X188,"NA")</f>
        <v>NA</v>
      </c>
      <c r="BY188" s="80" t="str">
        <f>IFERROR(VLOOKUP($H188,'1. Set Program Names'!$B$2:$D$15,3,0)*Y188,"NA")</f>
        <v>NA</v>
      </c>
      <c r="BZ188" s="80" t="str">
        <f>IFERROR(VLOOKUP($H188,'1. Set Program Names'!$B$2:$D$15,3,0)*Z188,"NA")</f>
        <v>NA</v>
      </c>
      <c r="CA188" s="80" t="str">
        <f>IFERROR(VLOOKUP($H188,'1. Set Program Names'!$B$2:$D$15,3,0)*AA188,"NA")</f>
        <v>NA</v>
      </c>
      <c r="CB188" s="80" t="str">
        <f>IFERROR(VLOOKUP($H188,'1. Set Program Names'!$B$2:$D$15,3,0)*AB188,"NA")</f>
        <v>NA</v>
      </c>
      <c r="CC188" s="80" t="str">
        <f>IFERROR(VLOOKUP($H188,'1. Set Program Names'!$B$2:$D$15,3,0)*AC188,"NA")</f>
        <v>NA</v>
      </c>
      <c r="CD188" s="80" t="str">
        <f>IFERROR(VLOOKUP($H188,'1. Set Program Names'!$B$2:$D$15,3,0)*AD188,"NA")</f>
        <v>NA</v>
      </c>
      <c r="CE188" s="80" t="str">
        <f>IFERROR(VLOOKUP($H188,'1. Set Program Names'!$B$2:$D$15,3,0)*AE188,"NA")</f>
        <v>NA</v>
      </c>
    </row>
    <row r="189" spans="1:83" x14ac:dyDescent="0.25">
      <c r="A189" s="79" t="s">
        <v>115</v>
      </c>
      <c r="B189" s="79" t="s">
        <v>88</v>
      </c>
      <c r="C189" s="79" t="s">
        <v>89</v>
      </c>
      <c r="D189" s="79" t="s">
        <v>90</v>
      </c>
      <c r="E189" s="79" t="s">
        <v>91</v>
      </c>
      <c r="F189" s="79" t="s">
        <v>90</v>
      </c>
      <c r="G189" s="79" t="s">
        <v>92</v>
      </c>
      <c r="H189" s="79"/>
      <c r="I189" s="79" t="s">
        <v>119</v>
      </c>
      <c r="J189" s="79" t="s">
        <v>120</v>
      </c>
      <c r="K189" s="79" t="s">
        <v>121</v>
      </c>
      <c r="L189" s="79">
        <v>6673.4968833372895</v>
      </c>
      <c r="M189" s="79">
        <v>1.73762506704112</v>
      </c>
      <c r="N189" s="79">
        <v>0.78936762832777396</v>
      </c>
      <c r="O189" s="79">
        <v>2151.0039802452802</v>
      </c>
      <c r="P189" s="79">
        <v>549.54451231238204</v>
      </c>
      <c r="Q189" s="79">
        <v>2004.8189647422</v>
      </c>
      <c r="R189" s="79">
        <v>4267.3988807063497</v>
      </c>
      <c r="S189" s="79">
        <v>10087.499347937401</v>
      </c>
      <c r="T189" s="79">
        <v>20</v>
      </c>
      <c r="U189" s="79">
        <v>1</v>
      </c>
      <c r="V189" s="79">
        <f>tbl_Data_old[[#This Row],[2025 ]]*IFERROR(AVERAGEIFS('Participation Adjustment'!$C:$C,'Participation Adjustment'!$A:$A,$H189,'Participation Adjustment'!$B:$B,$I189),1)</f>
        <v>59.241947855833303</v>
      </c>
      <c r="W189" s="79">
        <f>tbl_Data_old[[#This Row],[2026 ]]*IFERROR(AVERAGEIFS('Participation Adjustment'!$C:$C,'Participation Adjustment'!$A:$A,$H189,'Participation Adjustment'!$B:$B,$I189),1)</f>
        <v>122.54062735300499</v>
      </c>
      <c r="X189" s="79">
        <f>tbl_Data_old[[#This Row],[2027 ]]*IFERROR(AVERAGEIFS('Participation Adjustment'!$C:$C,'Participation Adjustment'!$A:$A,$H189,'Participation Adjustment'!$B:$B,$I189),1)</f>
        <v>187.970797570445</v>
      </c>
      <c r="Y189" s="79">
        <f>tbl_Data_old[[#This Row],[2028 ]]*IFERROR(AVERAGEIFS('Participation Adjustment'!$C:$C,'Participation Adjustment'!$A:$A,$H189,'Participation Adjustment'!$B:$B,$I189),1)</f>
        <v>255.209562653934</v>
      </c>
      <c r="Z189" s="79">
        <f>tbl_Data_old[[#This Row],[2029 ]]*IFERROR(AVERAGEIFS('Participation Adjustment'!$C:$C,'Participation Adjustment'!$A:$A,$H189,'Participation Adjustment'!$B:$B,$I189),1)</f>
        <v>324.78399928739202</v>
      </c>
      <c r="AA189" s="79">
        <f>tbl_Data_old[[#This Row],[2030 ]]*IFERROR(AVERAGEIFS('Participation Adjustment'!$C:$C,'Participation Adjustment'!$A:$A,$H189,'Participation Adjustment'!$B:$B,$I189),1)</f>
        <v>396.81875709080202</v>
      </c>
      <c r="AB189" s="79">
        <f>tbl_Data_old[[#This Row],[2031 ]]*IFERROR(AVERAGEIFS('Participation Adjustment'!$C:$C,'Participation Adjustment'!$A:$A,$H189,'Participation Adjustment'!$B:$B,$I189),1)</f>
        <v>472.13217323980803</v>
      </c>
      <c r="AC189" s="79">
        <f>tbl_Data_old[[#This Row],[2032 ]]*IFERROR(AVERAGEIFS('Participation Adjustment'!$C:$C,'Participation Adjustment'!$A:$A,$H189,'Participation Adjustment'!$B:$B,$I189),1)</f>
        <v>551.20201999925598</v>
      </c>
      <c r="AD189" s="79">
        <f>tbl_Data_old[[#This Row],[2033 ]]*IFERROR(AVERAGEIFS('Participation Adjustment'!$C:$C,'Participation Adjustment'!$A:$A,$H189,'Participation Adjustment'!$B:$B,$I189),1)</f>
        <v>634.64414044594696</v>
      </c>
      <c r="AE189" s="79">
        <f>tbl_Data_old[[#This Row],[2034 ]]*IFERROR(AVERAGEIFS('Participation Adjustment'!$C:$C,'Participation Adjustment'!$A:$A,$H189,'Participation Adjustment'!$B:$B,$I189),1)</f>
        <v>722.97601105285503</v>
      </c>
      <c r="AF189" s="77" t="str">
        <f t="shared" si="88"/>
        <v>Residential</v>
      </c>
      <c r="AG189" s="77" t="str">
        <f>tbl_Data[[#This Row],[All_Meas_Name_Append]]</f>
        <v>New Construction - Whole Home Improvements - Tier 2</v>
      </c>
      <c r="AH189" s="77">
        <f>AVERAGEIFS('3. Incentive Adjustment'!G:G,'3. Incentive Adjustment'!A:A,tbl_Data[[#This Row],[Trimmed Sector]],'3. Incentive Adjustment'!B:B,tbl_Data[[#This Row],[Trimmed Measure Name]])</f>
        <v>0.80470846489720416</v>
      </c>
      <c r="AI189" s="77">
        <f>$AH189*tbl_Data[[#This Row],[2025 ]]</f>
        <v>47.672496916587832</v>
      </c>
      <c r="AJ189" s="77">
        <f>$AH189*tbl_Data[[#This Row],[2026 ]]</f>
        <v>98.609480124776994</v>
      </c>
      <c r="AK189" s="77">
        <f>$AH189*tbl_Data[[#This Row],[2027 ]]</f>
        <v>151.26169195841589</v>
      </c>
      <c r="AL189" s="77">
        <f>$AH189*tbl_Data[[#This Row],[2028 ]]</f>
        <v>205.36929539033406</v>
      </c>
      <c r="AM189" s="77">
        <f>$AH189*tbl_Data[[#This Row],[2029 ]]</f>
        <v>261.3564334897319</v>
      </c>
      <c r="AN189" s="77">
        <f>$AH189*tbl_Data[[#This Row],[2030 ]]</f>
        <v>319.32341286095584</v>
      </c>
      <c r="AO189" s="77">
        <f>$AH189*tbl_Data[[#This Row],[2031 ]]</f>
        <v>379.92875635638677</v>
      </c>
      <c r="AP189" s="77">
        <f>$AH189*tbl_Data[[#This Row],[2032 ]]</f>
        <v>443.5569313618393</v>
      </c>
      <c r="AQ189" s="77">
        <f>$AH189*tbl_Data[[#This Row],[2033 ]]</f>
        <v>510.70351201426359</v>
      </c>
      <c r="AR189" s="77">
        <f>$AH189*tbl_Data[[#This Row],[2034 ]]</f>
        <v>581.78491601184703</v>
      </c>
      <c r="AS189" s="77">
        <f>SUM(tbl_Data[[#This Row],[Adjusted 2025]:[Adjusted 2034]])</f>
        <v>2999.5669264851394</v>
      </c>
      <c r="AT189" s="80">
        <f>AVERAGEIFS('3. Incentive Adjustment'!F:F,'3. Incentive Adjustment'!A:A,tbl_Data[[#This Row],[Trimmed Sector]],'3. Incentive Adjustment'!B:B,tbl_Data[[#This Row],[Trimmed Measure Name]])</f>
        <v>0</v>
      </c>
      <c r="AU189" s="80">
        <f>IFERROR(VLOOKUP(tbl_Data[[#This Row],[All_Meas_Name_Append]],'IRA Tax Credits'!$A$3:$D$46,4,0),0)</f>
        <v>0</v>
      </c>
      <c r="AV189" s="81">
        <f>tbl_Data[[#This Row],[Adj. per unit Incentive ($)]]/tbl_Data[[#This Row],[kWh Savings]]*tbl_Data[[#This Row],[Sum of Annuals]]</f>
        <v>0</v>
      </c>
      <c r="AW189" s="81" t="str">
        <f>IFERROR(VLOOKUP(tbl_Data[[#This Row],[Column1]],'1. Set Program Names'!$B$2:$D$15,3,0)*tbl_Data[[#This Row],[Sum of Annuals]],"")</f>
        <v/>
      </c>
      <c r="AX189" s="81">
        <f>tbl_Data[[#This Row],[per unit IRA tax ($)]]/tbl_Data[[#This Row],[kWh Savings]]*tbl_Data[[#This Row],[Sum of Annuals]]</f>
        <v>0</v>
      </c>
      <c r="AY189" s="81">
        <f>tbl_Data[[#This Row],[Avoided Costs ($/unit)]]/tbl_Data[[#This Row],[kWh Savings]]*tbl_Data[[#This Row],[Sum of Annuals]]</f>
        <v>1918.0871390900022</v>
      </c>
      <c r="AZ189" s="81">
        <f>tbl_Data[[#This Row],[Lost Revenue ($/unit)]]/tbl_Data[[#This Row],[kWh Savings]]*tbl_Data[[#This Row],[Sum of Annuals]]</f>
        <v>4534.0741059703496</v>
      </c>
      <c r="BA189" s="81">
        <f>tbl_Data[[#This Row],[Incremental Cost ($/unit)]]/tbl_Data[[#This Row],[kWh Savings]]*tbl_Data[[#This Row],[Sum of Annuals]]</f>
        <v>966.82151961312877</v>
      </c>
      <c r="BB189" s="77">
        <f>ROUNDUP(tbl_Data[[#This Row],[Adjusted 2025]]/$L189,0)</f>
        <v>1</v>
      </c>
      <c r="BC189" s="77">
        <f>ROUNDUP(tbl_Data[[#This Row],[Adjusted 2026]]/$L189,0)</f>
        <v>1</v>
      </c>
      <c r="BD189" s="77">
        <f>ROUNDUP(tbl_Data[[#This Row],[Adjusted 2027]]/$L189,0)</f>
        <v>1</v>
      </c>
      <c r="BE189" s="77">
        <f>ROUNDUP(tbl_Data[[#This Row],[Adjusted 2028]]/$L189,0)</f>
        <v>1</v>
      </c>
      <c r="BF189" s="77">
        <f>ROUNDUP(tbl_Data[[#This Row],[Adjusted 2029]]/$L189,0)</f>
        <v>1</v>
      </c>
      <c r="BG189" s="77">
        <f>ROUNDUP(tbl_Data[[#This Row],[Adjusted 2030]]/$L189,0)</f>
        <v>1</v>
      </c>
      <c r="BH189" s="77">
        <f>ROUNDUP(tbl_Data[[#This Row],[Adjusted 2031]]/$L189,0)</f>
        <v>1</v>
      </c>
      <c r="BI189" s="77">
        <f>ROUNDUP(tbl_Data[[#This Row],[Adjusted 2032]]/$L189,0)</f>
        <v>1</v>
      </c>
      <c r="BJ189" s="77">
        <f>ROUNDUP(tbl_Data[[#This Row],[Adjusted 2033]]/$L189,0)</f>
        <v>1</v>
      </c>
      <c r="BK189" s="77">
        <f>ROUNDUP(tbl_Data[[#This Row],[Adjusted 2034]]/$L189,0)</f>
        <v>1</v>
      </c>
      <c r="BL189" s="80">
        <f t="shared" si="89"/>
        <v>0</v>
      </c>
      <c r="BM189" s="80">
        <f t="shared" si="90"/>
        <v>0</v>
      </c>
      <c r="BN189" s="80">
        <f t="shared" si="91"/>
        <v>0</v>
      </c>
      <c r="BO189" s="80">
        <f t="shared" si="92"/>
        <v>0</v>
      </c>
      <c r="BP189" s="80">
        <f t="shared" si="93"/>
        <v>0</v>
      </c>
      <c r="BQ189" s="80">
        <f t="shared" si="94"/>
        <v>0</v>
      </c>
      <c r="BR189" s="80">
        <f t="shared" si="95"/>
        <v>0</v>
      </c>
      <c r="BS189" s="80">
        <f t="shared" si="96"/>
        <v>0</v>
      </c>
      <c r="BT189" s="80">
        <f t="shared" si="97"/>
        <v>0</v>
      </c>
      <c r="BU189" s="80">
        <f t="shared" si="98"/>
        <v>0</v>
      </c>
      <c r="BV189" s="80" t="str">
        <f>IFERROR(VLOOKUP($H189,'1. Set Program Names'!$B$2:$D$15,3,0)*V189,"NA")</f>
        <v>NA</v>
      </c>
      <c r="BW189" s="80" t="str">
        <f>IFERROR(VLOOKUP($H189,'1. Set Program Names'!$B$2:$D$15,3,0)*W189,"NA")</f>
        <v>NA</v>
      </c>
      <c r="BX189" s="80" t="str">
        <f>IFERROR(VLOOKUP($H189,'1. Set Program Names'!$B$2:$D$15,3,0)*X189,"NA")</f>
        <v>NA</v>
      </c>
      <c r="BY189" s="80" t="str">
        <f>IFERROR(VLOOKUP($H189,'1. Set Program Names'!$B$2:$D$15,3,0)*Y189,"NA")</f>
        <v>NA</v>
      </c>
      <c r="BZ189" s="80" t="str">
        <f>IFERROR(VLOOKUP($H189,'1. Set Program Names'!$B$2:$D$15,3,0)*Z189,"NA")</f>
        <v>NA</v>
      </c>
      <c r="CA189" s="80" t="str">
        <f>IFERROR(VLOOKUP($H189,'1. Set Program Names'!$B$2:$D$15,3,0)*AA189,"NA")</f>
        <v>NA</v>
      </c>
      <c r="CB189" s="80" t="str">
        <f>IFERROR(VLOOKUP($H189,'1. Set Program Names'!$B$2:$D$15,3,0)*AB189,"NA")</f>
        <v>NA</v>
      </c>
      <c r="CC189" s="80" t="str">
        <f>IFERROR(VLOOKUP($H189,'1. Set Program Names'!$B$2:$D$15,3,0)*AC189,"NA")</f>
        <v>NA</v>
      </c>
      <c r="CD189" s="80" t="str">
        <f>IFERROR(VLOOKUP($H189,'1. Set Program Names'!$B$2:$D$15,3,0)*AD189,"NA")</f>
        <v>NA</v>
      </c>
      <c r="CE189" s="80" t="str">
        <f>IFERROR(VLOOKUP($H189,'1. Set Program Names'!$B$2:$D$15,3,0)*AE189,"NA")</f>
        <v>NA</v>
      </c>
    </row>
    <row r="190" spans="1:83" x14ac:dyDescent="0.25">
      <c r="A190" s="79" t="s">
        <v>115</v>
      </c>
      <c r="B190" s="79" t="s">
        <v>88</v>
      </c>
      <c r="C190" s="79" t="s">
        <v>89</v>
      </c>
      <c r="D190" s="79" t="s">
        <v>90</v>
      </c>
      <c r="E190" s="79" t="s">
        <v>91</v>
      </c>
      <c r="F190" s="79" t="s">
        <v>90</v>
      </c>
      <c r="G190" s="79" t="s">
        <v>92</v>
      </c>
      <c r="H190" s="79" t="s">
        <v>9</v>
      </c>
      <c r="I190" s="79" t="s">
        <v>299</v>
      </c>
      <c r="J190" s="79" t="s">
        <v>97</v>
      </c>
      <c r="K190" s="79" t="s">
        <v>102</v>
      </c>
      <c r="L190" s="79">
        <v>408.28</v>
      </c>
      <c r="M190" s="79">
        <v>0.16567198429270899</v>
      </c>
      <c r="N190" s="79">
        <v>2.3547919008134799E-2</v>
      </c>
      <c r="O190" s="79">
        <v>128.60999999999999</v>
      </c>
      <c r="P190" s="79">
        <v>29.691921599999901</v>
      </c>
      <c r="Q190" s="79">
        <v>122.65346058206499</v>
      </c>
      <c r="R190" s="79">
        <v>238.630335182902</v>
      </c>
      <c r="S190" s="79">
        <v>423.90838942107399</v>
      </c>
      <c r="T190" s="79">
        <v>11</v>
      </c>
      <c r="U190" s="79">
        <v>0.19999999999999901</v>
      </c>
      <c r="V190" s="79">
        <f>tbl_Data_old[[#This Row],[2025 ]]*IFERROR(AVERAGEIFS('Participation Adjustment'!$C:$C,'Participation Adjustment'!$A:$A,$H190,'Participation Adjustment'!$B:$B,$I190),1)</f>
        <v>1.45491875827485</v>
      </c>
      <c r="W190" s="79">
        <f>tbl_Data_old[[#This Row],[2026 ]]*IFERROR(AVERAGEIFS('Participation Adjustment'!$C:$C,'Participation Adjustment'!$A:$A,$H190,'Participation Adjustment'!$B:$B,$I190),1)</f>
        <v>2.66198146694967</v>
      </c>
      <c r="X190" s="79">
        <f>tbl_Data_old[[#This Row],[2027 ]]*IFERROR(AVERAGEIFS('Participation Adjustment'!$C:$C,'Participation Adjustment'!$A:$A,$H190,'Participation Adjustment'!$B:$B,$I190),1)</f>
        <v>3.6634252275589398</v>
      </c>
      <c r="Y190" s="79">
        <f>tbl_Data_old[[#This Row],[2028 ]]*IFERROR(AVERAGEIFS('Participation Adjustment'!$C:$C,'Participation Adjustment'!$A:$A,$H190,'Participation Adjustment'!$B:$B,$I190),1)</f>
        <v>4.4978239439559999</v>
      </c>
      <c r="Z190" s="79">
        <f>tbl_Data_old[[#This Row],[2029 ]]*IFERROR(AVERAGEIFS('Participation Adjustment'!$C:$C,'Participation Adjustment'!$A:$A,$H190,'Participation Adjustment'!$B:$B,$I190),1)</f>
        <v>5.1978388749611097</v>
      </c>
      <c r="AA190" s="79">
        <f>tbl_Data_old[[#This Row],[2030 ]]*IFERROR(AVERAGEIFS('Participation Adjustment'!$C:$C,'Participation Adjustment'!$A:$A,$H190,'Participation Adjustment'!$B:$B,$I190),1)</f>
        <v>5.7881379693169199</v>
      </c>
      <c r="AB190" s="79">
        <f>tbl_Data_old[[#This Row],[2031 ]]*IFERROR(AVERAGEIFS('Participation Adjustment'!$C:$C,'Participation Adjustment'!$A:$A,$H190,'Participation Adjustment'!$B:$B,$I190),1)</f>
        <v>6.2932205734204301</v>
      </c>
      <c r="AC190" s="79">
        <f>tbl_Data_old[[#This Row],[2032 ]]*IFERROR(AVERAGEIFS('Participation Adjustment'!$C:$C,'Participation Adjustment'!$A:$A,$H190,'Participation Adjustment'!$B:$B,$I190),1)</f>
        <v>6.7322392713712897</v>
      </c>
      <c r="AD190" s="79">
        <f>tbl_Data_old[[#This Row],[2033 ]]*IFERROR(AVERAGEIFS('Participation Adjustment'!$C:$C,'Participation Adjustment'!$A:$A,$H190,'Participation Adjustment'!$B:$B,$I190),1)</f>
        <v>7.1202566027008096</v>
      </c>
      <c r="AE190" s="79">
        <f>tbl_Data_old[[#This Row],[2034 ]]*IFERROR(AVERAGEIFS('Participation Adjustment'!$C:$C,'Participation Adjustment'!$A:$A,$H190,'Participation Adjustment'!$B:$B,$I190),1)</f>
        <v>7.4688939067437099</v>
      </c>
      <c r="AF190" s="77" t="str">
        <f t="shared" si="88"/>
        <v>Residential</v>
      </c>
      <c r="AG190" s="77" t="str">
        <f>tbl_Data[[#This Row],[All_Meas_Name_Append]]</f>
        <v>Smart Thermostat Residential</v>
      </c>
      <c r="AH190" s="77">
        <f>AVERAGEIFS('3. Incentive Adjustment'!G:G,'3. Incentive Adjustment'!A:A,tbl_Data[[#This Row],[Trimmed Sector]],'3. Incentive Adjustment'!B:B,tbl_Data[[#This Row],[Trimmed Measure Name]])</f>
        <v>1.1402432304340044</v>
      </c>
      <c r="AI190" s="77">
        <f>$AH190*tbl_Data[[#This Row],[2025 ]]</f>
        <v>1.6589612649543453</v>
      </c>
      <c r="AJ190" s="77">
        <f>$AH190*tbl_Data[[#This Row],[2026 ]]</f>
        <v>3.0353063472301418</v>
      </c>
      <c r="AK190" s="77">
        <f>$AH190*tbl_Data[[#This Row],[2027 ]]</f>
        <v>4.1771958159252334</v>
      </c>
      <c r="AL190" s="77">
        <f>$AH190*tbl_Data[[#This Row],[2028 ]]</f>
        <v>5.1286133037798036</v>
      </c>
      <c r="AM190" s="77">
        <f>$AH190*tbl_Data[[#This Row],[2029 ]]</f>
        <v>5.9268005900611067</v>
      </c>
      <c r="AN190" s="77">
        <f>$AH190*tbl_Data[[#This Row],[2030 ]]</f>
        <v>6.5998851363316433</v>
      </c>
      <c r="AO190" s="77">
        <f>$AH190*tbl_Data[[#This Row],[2031 ]]</f>
        <v>7.1758021564706489</v>
      </c>
      <c r="AP190" s="77">
        <f>$AH190*tbl_Data[[#This Row],[2032 ]]</f>
        <v>7.676390254843068</v>
      </c>
      <c r="AQ190" s="77">
        <f>$AH190*tbl_Data[[#This Row],[2033 ]]</f>
        <v>8.1188243901826205</v>
      </c>
      <c r="AR190" s="77">
        <f>$AH190*tbl_Data[[#This Row],[2034 ]]</f>
        <v>8.5163557159942993</v>
      </c>
      <c r="AS190" s="77">
        <f>SUM(tbl_Data[[#This Row],[Adjusted 2025]:[Adjusted 2034]])</f>
        <v>58.014134975772912</v>
      </c>
      <c r="AT190" s="80">
        <f>AVERAGEIFS('3. Incentive Adjustment'!F:F,'3. Incentive Adjustment'!A:A,tbl_Data[[#This Row],[Trimmed Sector]],'3. Incentive Adjustment'!B:B,tbl_Data[[#This Row],[Trimmed Measure Name]])</f>
        <v>50</v>
      </c>
      <c r="AU190" s="80">
        <f>IFERROR(VLOOKUP(tbl_Data[[#This Row],[All_Meas_Name_Append]],'IRA Tax Credits'!$A$3:$D$46,4,0),0)</f>
        <v>0</v>
      </c>
      <c r="AV190" s="81">
        <f>tbl_Data[[#This Row],[Adj. per unit Incentive ($)]]/tbl_Data[[#This Row],[kWh Savings]]*tbl_Data[[#This Row],[Sum of Annuals]]</f>
        <v>7.1046995904493135</v>
      </c>
      <c r="AW190" s="81">
        <f>IFERROR(VLOOKUP(tbl_Data[[#This Row],[Column1]],'1. Set Program Names'!$B$2:$D$15,3,0)*tbl_Data[[#This Row],[Sum of Annuals]],"")</f>
        <v>26.142479734937677</v>
      </c>
      <c r="AX190" s="81">
        <f>tbl_Data[[#This Row],[per unit IRA tax ($)]]/tbl_Data[[#This Row],[kWh Savings]]*tbl_Data[[#This Row],[Sum of Annuals]]</f>
        <v>0</v>
      </c>
      <c r="AY190" s="81">
        <f>tbl_Data[[#This Row],[Avoided Costs ($/unit)]]/tbl_Data[[#This Row],[kWh Savings]]*tbl_Data[[#This Row],[Sum of Annuals]]</f>
        <v>33.907936892854927</v>
      </c>
      <c r="AZ190" s="81">
        <f>tbl_Data[[#This Row],[Lost Revenue ($/unit)]]/tbl_Data[[#This Row],[kWh Savings]]*tbl_Data[[#This Row],[Sum of Annuals]]</f>
        <v>60.234835214158657</v>
      </c>
      <c r="BA190" s="81">
        <f>tbl_Data[[#This Row],[Incremental Cost ($/unit)]]/tbl_Data[[#This Row],[kWh Savings]]*tbl_Data[[#This Row],[Sum of Annuals]]</f>
        <v>18.274708286553725</v>
      </c>
      <c r="BB190" s="77">
        <f>ROUNDUP(tbl_Data[[#This Row],[Adjusted 2025]]/$L190,0)</f>
        <v>1</v>
      </c>
      <c r="BC190" s="77">
        <f>ROUNDUP(tbl_Data[[#This Row],[Adjusted 2026]]/$L190,0)</f>
        <v>1</v>
      </c>
      <c r="BD190" s="77">
        <f>ROUNDUP(tbl_Data[[#This Row],[Adjusted 2027]]/$L190,0)</f>
        <v>1</v>
      </c>
      <c r="BE190" s="77">
        <f>ROUNDUP(tbl_Data[[#This Row],[Adjusted 2028]]/$L190,0)</f>
        <v>1</v>
      </c>
      <c r="BF190" s="77">
        <f>ROUNDUP(tbl_Data[[#This Row],[Adjusted 2029]]/$L190,0)</f>
        <v>1</v>
      </c>
      <c r="BG190" s="77">
        <f>ROUNDUP(tbl_Data[[#This Row],[Adjusted 2030]]/$L190,0)</f>
        <v>1</v>
      </c>
      <c r="BH190" s="77">
        <f>ROUNDUP(tbl_Data[[#This Row],[Adjusted 2031]]/$L190,0)</f>
        <v>1</v>
      </c>
      <c r="BI190" s="77">
        <f>ROUNDUP(tbl_Data[[#This Row],[Adjusted 2032]]/$L190,0)</f>
        <v>1</v>
      </c>
      <c r="BJ190" s="77">
        <f>ROUNDUP(tbl_Data[[#This Row],[Adjusted 2033]]/$L190,0)</f>
        <v>1</v>
      </c>
      <c r="BK190" s="77">
        <f>ROUNDUP(tbl_Data[[#This Row],[Adjusted 2034]]/$L190,0)</f>
        <v>1</v>
      </c>
      <c r="BL190" s="80">
        <f t="shared" si="89"/>
        <v>0.17817658938410527</v>
      </c>
      <c r="BM190" s="80">
        <f t="shared" si="90"/>
        <v>0.32599949384609461</v>
      </c>
      <c r="BN190" s="80">
        <f t="shared" si="91"/>
        <v>0.44864127897018469</v>
      </c>
      <c r="BO190" s="80">
        <f t="shared" si="92"/>
        <v>0.55082589692808859</v>
      </c>
      <c r="BP190" s="80">
        <f t="shared" si="93"/>
        <v>0.63655320796525794</v>
      </c>
      <c r="BQ190" s="80">
        <f t="shared" si="94"/>
        <v>0.7088441718081856</v>
      </c>
      <c r="BR190" s="80">
        <f t="shared" si="95"/>
        <v>0.77069910030131661</v>
      </c>
      <c r="BS190" s="80">
        <f t="shared" si="96"/>
        <v>0.82446351417792818</v>
      </c>
      <c r="BT190" s="80">
        <f t="shared" si="97"/>
        <v>0.87198204696541715</v>
      </c>
      <c r="BU190" s="80">
        <f t="shared" si="98"/>
        <v>0.91467790569507579</v>
      </c>
      <c r="BV190" s="80">
        <f>IFERROR(VLOOKUP($H190,'1. Set Program Names'!$B$2:$D$15,3,0)*V190,"NA")</f>
        <v>0.65561925848010483</v>
      </c>
      <c r="BW190" s="80">
        <f>IFERROR(VLOOKUP($H190,'1. Set Program Names'!$B$2:$D$15,3,0)*W190,"NA")</f>
        <v>1.1995489820467544</v>
      </c>
      <c r="BX190" s="80">
        <f>IFERROR(VLOOKUP($H190,'1. Set Program Names'!$B$2:$D$15,3,0)*X190,"NA")</f>
        <v>1.6508221627697051</v>
      </c>
      <c r="BY190" s="80">
        <f>IFERROR(VLOOKUP($H190,'1. Set Program Names'!$B$2:$D$15,3,0)*Y190,"NA")</f>
        <v>2.0268210730934997</v>
      </c>
      <c r="BZ190" s="80">
        <f>IFERROR(VLOOKUP($H190,'1. Set Program Names'!$B$2:$D$15,3,0)*Z190,"NA")</f>
        <v>2.3422636140466162</v>
      </c>
      <c r="CA190" s="80">
        <f>IFERROR(VLOOKUP($H190,'1. Set Program Names'!$B$2:$D$15,3,0)*AA190,"NA")</f>
        <v>2.6082657205710569</v>
      </c>
      <c r="CB190" s="80">
        <f>IFERROR(VLOOKUP($H190,'1. Set Program Names'!$B$2:$D$15,3,0)*AB190,"NA")</f>
        <v>2.835867351583218</v>
      </c>
      <c r="CC190" s="80">
        <f>IFERROR(VLOOKUP($H190,'1. Set Program Names'!$B$2:$D$15,3,0)*AC190,"NA")</f>
        <v>3.0336990941272024</v>
      </c>
      <c r="CD190" s="80">
        <f>IFERROR(VLOOKUP($H190,'1. Set Program Names'!$B$2:$D$15,3,0)*AD190,"NA")</f>
        <v>3.2085484687722379</v>
      </c>
      <c r="CE190" s="80">
        <f>IFERROR(VLOOKUP($H190,'1. Set Program Names'!$B$2:$D$15,3,0)*AE190,"NA")</f>
        <v>3.365652313543706</v>
      </c>
    </row>
    <row r="191" spans="1:83" x14ac:dyDescent="0.25">
      <c r="A191" s="79" t="s">
        <v>115</v>
      </c>
      <c r="B191" s="79" t="s">
        <v>88</v>
      </c>
      <c r="C191" s="79" t="s">
        <v>89</v>
      </c>
      <c r="D191" s="79" t="s">
        <v>90</v>
      </c>
      <c r="E191" s="79" t="s">
        <v>91</v>
      </c>
      <c r="F191" s="79" t="s">
        <v>90</v>
      </c>
      <c r="G191" s="79" t="s">
        <v>92</v>
      </c>
      <c r="H191" s="79"/>
      <c r="I191" s="79" t="s">
        <v>112</v>
      </c>
      <c r="J191" s="79" t="s">
        <v>94</v>
      </c>
      <c r="K191" s="79" t="s">
        <v>108</v>
      </c>
      <c r="L191" s="79">
        <v>1330.8133333333301</v>
      </c>
      <c r="M191" s="79">
        <v>5.33311142126306E-2</v>
      </c>
      <c r="N191" s="79">
        <v>0.24737910980336</v>
      </c>
      <c r="O191" s="79">
        <v>8990.02</v>
      </c>
      <c r="P191" s="79">
        <v>8776.4394094329891</v>
      </c>
      <c r="Q191" s="79">
        <v>399.796367008147</v>
      </c>
      <c r="R191" s="79">
        <v>713.19672296706005</v>
      </c>
      <c r="S191" s="79">
        <v>2011.6258188035599</v>
      </c>
      <c r="T191" s="79">
        <v>20</v>
      </c>
      <c r="U191" s="79">
        <v>0.2</v>
      </c>
      <c r="V191" s="79">
        <f>tbl_Data_old[[#This Row],[2025 ]]*IFERROR(AVERAGEIFS('Participation Adjustment'!$C:$C,'Participation Adjustment'!$A:$A,$H191,'Participation Adjustment'!$B:$B,$I191),1)</f>
        <v>1.7296882498805299</v>
      </c>
      <c r="W191" s="79">
        <f>tbl_Data_old[[#This Row],[2026 ]]*IFERROR(AVERAGEIFS('Participation Adjustment'!$C:$C,'Participation Adjustment'!$A:$A,$H191,'Participation Adjustment'!$B:$B,$I191),1)</f>
        <v>3.65471663076088</v>
      </c>
      <c r="X191" s="79">
        <f>tbl_Data_old[[#This Row],[2027 ]]*IFERROR(AVERAGEIFS('Participation Adjustment'!$C:$C,'Participation Adjustment'!$A:$A,$H191,'Participation Adjustment'!$B:$B,$I191),1)</f>
        <v>5.7599846882452699</v>
      </c>
      <c r="Y191" s="79">
        <f>tbl_Data_old[[#This Row],[2028 ]]*IFERROR(AVERAGEIFS('Participation Adjustment'!$C:$C,'Participation Adjustment'!$A:$A,$H191,'Participation Adjustment'!$B:$B,$I191),1)</f>
        <v>8.03582461632638</v>
      </c>
      <c r="Z191" s="79">
        <f>tbl_Data_old[[#This Row],[2029 ]]*IFERROR(AVERAGEIFS('Participation Adjustment'!$C:$C,'Participation Adjustment'!$A:$A,$H191,'Participation Adjustment'!$B:$B,$I191),1)</f>
        <v>10.474177668894299</v>
      </c>
      <c r="AA191" s="79">
        <f>tbl_Data_old[[#This Row],[2030 ]]*IFERROR(AVERAGEIFS('Participation Adjustment'!$C:$C,'Participation Adjustment'!$A:$A,$H191,'Participation Adjustment'!$B:$B,$I191),1)</f>
        <v>13.0612351423869</v>
      </c>
      <c r="AB191" s="79">
        <f>tbl_Data_old[[#This Row],[2031 ]]*IFERROR(AVERAGEIFS('Participation Adjustment'!$C:$C,'Participation Adjustment'!$A:$A,$H191,'Participation Adjustment'!$B:$B,$I191),1)</f>
        <v>15.803534196597999</v>
      </c>
      <c r="AC191" s="79">
        <f>tbl_Data_old[[#This Row],[2032 ]]*IFERROR(AVERAGEIFS('Participation Adjustment'!$C:$C,'Participation Adjustment'!$A:$A,$H191,'Participation Adjustment'!$B:$B,$I191),1)</f>
        <v>18.714377632813001</v>
      </c>
      <c r="AD191" s="79">
        <f>tbl_Data_old[[#This Row],[2033 ]]*IFERROR(AVERAGEIFS('Participation Adjustment'!$C:$C,'Participation Adjustment'!$A:$A,$H191,'Participation Adjustment'!$B:$B,$I191),1)</f>
        <v>21.809278990082401</v>
      </c>
      <c r="AE191" s="79">
        <f>tbl_Data_old[[#This Row],[2034 ]]*IFERROR(AVERAGEIFS('Participation Adjustment'!$C:$C,'Participation Adjustment'!$A:$A,$H191,'Participation Adjustment'!$B:$B,$I191),1)</f>
        <v>25.104992664686101</v>
      </c>
      <c r="AF191" s="77" t="str">
        <f t="shared" si="88"/>
        <v>Residential</v>
      </c>
      <c r="AG191" s="77" t="str">
        <f>tbl_Data[[#This Row],[All_Meas_Name_Append]]</f>
        <v>Solar Thermal Water Heating System</v>
      </c>
      <c r="AH191" s="77">
        <f>AVERAGEIFS('3. Incentive Adjustment'!G:G,'3. Incentive Adjustment'!A:A,tbl_Data[[#This Row],[Trimmed Sector]],'3. Incentive Adjustment'!B:B,tbl_Data[[#This Row],[Trimmed Measure Name]])</f>
        <v>2.7736651842107431E-8</v>
      </c>
      <c r="AI191" s="77">
        <f>$AH191*tbl_Data[[#This Row],[2025 ]]</f>
        <v>4.797576078232038E-8</v>
      </c>
      <c r="AJ191" s="77">
        <f>$AH191*tbl_Data[[#This Row],[2026 ]]</f>
        <v>1.0136960276897443E-7</v>
      </c>
      <c r="AK191" s="77">
        <f>$AH191*tbl_Data[[#This Row],[2027 ]]</f>
        <v>1.5976268991372875E-7</v>
      </c>
      <c r="AL191" s="77">
        <f>$AH191*tbl_Data[[#This Row],[2028 ]]</f>
        <v>2.2288686964728133E-7</v>
      </c>
      <c r="AM191" s="77">
        <f>$AH191*tbl_Data[[#This Row],[2029 ]]</f>
        <v>2.905186193344976E-7</v>
      </c>
      <c r="AN191" s="77">
        <f>$AH191*tbl_Data[[#This Row],[2030 ]]</f>
        <v>3.6227493177228395E-7</v>
      </c>
      <c r="AO191" s="77">
        <f>$AH191*tbl_Data[[#This Row],[2031 ]]</f>
        <v>4.3833712588587766E-7</v>
      </c>
      <c r="AP191" s="77">
        <f>$AH191*tbl_Data[[#This Row],[2032 ]]</f>
        <v>5.1907417684305683E-7</v>
      </c>
      <c r="AQ191" s="77">
        <f>$AH191*tbl_Data[[#This Row],[2033 ]]</f>
        <v>6.0491637827530396E-7</v>
      </c>
      <c r="AR191" s="77">
        <f>$AH191*tbl_Data[[#This Row],[2034 ]]</f>
        <v>6.9632844103905928E-7</v>
      </c>
      <c r="AS191" s="77">
        <f>SUM(tbl_Data[[#This Row],[Adjusted 2025]:[Adjusted 2034]])</f>
        <v>3.4434445962623845E-6</v>
      </c>
      <c r="AT191" s="80">
        <f>AVERAGEIFS('3. Incentive Adjustment'!F:F,'3. Incentive Adjustment'!A:A,tbl_Data[[#This Row],[Trimmed Sector]],'3. Incentive Adjustment'!B:B,tbl_Data[[#This Row],[Trimmed Measure Name]])</f>
        <v>0</v>
      </c>
      <c r="AU191" s="80">
        <f>IFERROR(VLOOKUP(tbl_Data[[#This Row],[All_Meas_Name_Append]],'IRA Tax Credits'!$A$3:$D$46,4,0),0)</f>
        <v>41666.666666666672</v>
      </c>
      <c r="AV191" s="81">
        <f>tbl_Data[[#This Row],[Adj. per unit Incentive ($)]]/tbl_Data[[#This Row],[kWh Savings]]*tbl_Data[[#This Row],[Sum of Annuals]]</f>
        <v>0</v>
      </c>
      <c r="AW191" s="81" t="str">
        <f>IFERROR(VLOOKUP(tbl_Data[[#This Row],[Column1]],'1. Set Program Names'!$B$2:$D$15,3,0)*tbl_Data[[#This Row],[Sum of Annuals]],"")</f>
        <v/>
      </c>
      <c r="AX191" s="81">
        <f>tbl_Data[[#This Row],[per unit IRA tax ($)]]/tbl_Data[[#This Row],[kWh Savings]]*tbl_Data[[#This Row],[Sum of Annuals]]</f>
        <v>1.0781140719279417E-4</v>
      </c>
      <c r="AY191" s="81">
        <f>tbl_Data[[#This Row],[Avoided Costs ($/unit)]]/tbl_Data[[#This Row],[kWh Savings]]*tbl_Data[[#This Row],[Sum of Annuals]]</f>
        <v>1.8453778154008349E-6</v>
      </c>
      <c r="AZ191" s="81">
        <f>tbl_Data[[#This Row],[Lost Revenue ($/unit)]]/tbl_Data[[#This Row],[kWh Savings]]*tbl_Data[[#This Row],[Sum of Annuals]]</f>
        <v>5.2050290464936456E-6</v>
      </c>
      <c r="BA191" s="81">
        <f>tbl_Data[[#This Row],[Incremental Cost ($/unit)]]/tbl_Data[[#This Row],[kWh Savings]]*tbl_Data[[#This Row],[Sum of Annuals]]</f>
        <v>2.326144096539272E-5</v>
      </c>
      <c r="BB191" s="77">
        <f>ROUNDUP(tbl_Data[[#This Row],[Adjusted 2025]]/$L191,0)</f>
        <v>1</v>
      </c>
      <c r="BC191" s="77">
        <f>ROUNDUP(tbl_Data[[#This Row],[Adjusted 2026]]/$L191,0)</f>
        <v>1</v>
      </c>
      <c r="BD191" s="77">
        <f>ROUNDUP(tbl_Data[[#This Row],[Adjusted 2027]]/$L191,0)</f>
        <v>1</v>
      </c>
      <c r="BE191" s="77">
        <f>ROUNDUP(tbl_Data[[#This Row],[Adjusted 2028]]/$L191,0)</f>
        <v>1</v>
      </c>
      <c r="BF191" s="77">
        <f>ROUNDUP(tbl_Data[[#This Row],[Adjusted 2029]]/$L191,0)</f>
        <v>1</v>
      </c>
      <c r="BG191" s="77">
        <f>ROUNDUP(tbl_Data[[#This Row],[Adjusted 2030]]/$L191,0)</f>
        <v>1</v>
      </c>
      <c r="BH191" s="77">
        <f>ROUNDUP(tbl_Data[[#This Row],[Adjusted 2031]]/$L191,0)</f>
        <v>1</v>
      </c>
      <c r="BI191" s="77">
        <f>ROUNDUP(tbl_Data[[#This Row],[Adjusted 2032]]/$L191,0)</f>
        <v>1</v>
      </c>
      <c r="BJ191" s="77">
        <f>ROUNDUP(tbl_Data[[#This Row],[Adjusted 2033]]/$L191,0)</f>
        <v>1</v>
      </c>
      <c r="BK191" s="77">
        <f>ROUNDUP(tbl_Data[[#This Row],[Adjusted 2034]]/$L191,0)</f>
        <v>1</v>
      </c>
      <c r="BL191" s="80">
        <f t="shared" si="89"/>
        <v>0</v>
      </c>
      <c r="BM191" s="80">
        <f t="shared" si="90"/>
        <v>0</v>
      </c>
      <c r="BN191" s="80">
        <f t="shared" si="91"/>
        <v>0</v>
      </c>
      <c r="BO191" s="80">
        <f t="shared" si="92"/>
        <v>0</v>
      </c>
      <c r="BP191" s="80">
        <f t="shared" si="93"/>
        <v>0</v>
      </c>
      <c r="BQ191" s="80">
        <f t="shared" si="94"/>
        <v>0</v>
      </c>
      <c r="BR191" s="80">
        <f t="shared" si="95"/>
        <v>0</v>
      </c>
      <c r="BS191" s="80">
        <f t="shared" si="96"/>
        <v>0</v>
      </c>
      <c r="BT191" s="80">
        <f t="shared" si="97"/>
        <v>0</v>
      </c>
      <c r="BU191" s="80">
        <f t="shared" si="98"/>
        <v>0</v>
      </c>
      <c r="BV191" s="80" t="str">
        <f>IFERROR(VLOOKUP($H191,'1. Set Program Names'!$B$2:$D$15,3,0)*V191,"NA")</f>
        <v>NA</v>
      </c>
      <c r="BW191" s="80" t="str">
        <f>IFERROR(VLOOKUP($H191,'1. Set Program Names'!$B$2:$D$15,3,0)*W191,"NA")</f>
        <v>NA</v>
      </c>
      <c r="BX191" s="80" t="str">
        <f>IFERROR(VLOOKUP($H191,'1. Set Program Names'!$B$2:$D$15,3,0)*X191,"NA")</f>
        <v>NA</v>
      </c>
      <c r="BY191" s="80" t="str">
        <f>IFERROR(VLOOKUP($H191,'1. Set Program Names'!$B$2:$D$15,3,0)*Y191,"NA")</f>
        <v>NA</v>
      </c>
      <c r="BZ191" s="80" t="str">
        <f>IFERROR(VLOOKUP($H191,'1. Set Program Names'!$B$2:$D$15,3,0)*Z191,"NA")</f>
        <v>NA</v>
      </c>
      <c r="CA191" s="80" t="str">
        <f>IFERROR(VLOOKUP($H191,'1. Set Program Names'!$B$2:$D$15,3,0)*AA191,"NA")</f>
        <v>NA</v>
      </c>
      <c r="CB191" s="80" t="str">
        <f>IFERROR(VLOOKUP($H191,'1. Set Program Names'!$B$2:$D$15,3,0)*AB191,"NA")</f>
        <v>NA</v>
      </c>
      <c r="CC191" s="80" t="str">
        <f>IFERROR(VLOOKUP($H191,'1. Set Program Names'!$B$2:$D$15,3,0)*AC191,"NA")</f>
        <v>NA</v>
      </c>
      <c r="CD191" s="80" t="str">
        <f>IFERROR(VLOOKUP($H191,'1. Set Program Names'!$B$2:$D$15,3,0)*AD191,"NA")</f>
        <v>NA</v>
      </c>
      <c r="CE191" s="80" t="str">
        <f>IFERROR(VLOOKUP($H191,'1. Set Program Names'!$B$2:$D$15,3,0)*AE191,"NA")</f>
        <v>NA</v>
      </c>
    </row>
    <row r="192" spans="1:83" x14ac:dyDescent="0.25">
      <c r="A192" s="79" t="s">
        <v>116</v>
      </c>
      <c r="B192" s="79" t="s">
        <v>88</v>
      </c>
      <c r="C192" s="79" t="s">
        <v>89</v>
      </c>
      <c r="D192" s="79" t="s">
        <v>90</v>
      </c>
      <c r="E192" s="79" t="s">
        <v>91</v>
      </c>
      <c r="F192" s="79" t="s">
        <v>90</v>
      </c>
      <c r="G192" s="79" t="s">
        <v>92</v>
      </c>
      <c r="H192" s="79" t="s">
        <v>9</v>
      </c>
      <c r="I192" s="79" t="s">
        <v>93</v>
      </c>
      <c r="J192" s="79" t="s">
        <v>94</v>
      </c>
      <c r="K192" s="79" t="s">
        <v>95</v>
      </c>
      <c r="L192" s="79">
        <v>1200.2266666666601</v>
      </c>
      <c r="M192" s="79">
        <v>4.8097974252120097E-2</v>
      </c>
      <c r="N192" s="79">
        <v>0.22310492157346501</v>
      </c>
      <c r="O192" s="79">
        <v>1210</v>
      </c>
      <c r="P192" s="79">
        <v>933.85922631496703</v>
      </c>
      <c r="Q192" s="79">
        <v>360.56616574297698</v>
      </c>
      <c r="R192" s="79">
        <v>571.53970184074296</v>
      </c>
      <c r="S192" s="79">
        <v>1535.35818196214</v>
      </c>
      <c r="T192" s="79">
        <v>15</v>
      </c>
      <c r="U192" s="79">
        <v>0.2</v>
      </c>
      <c r="V192" s="79">
        <f>tbl_Data_old[[#This Row],[2025 ]]*IFERROR(AVERAGEIFS('Participation Adjustment'!$C:$C,'Participation Adjustment'!$A:$A,$H192,'Participation Adjustment'!$B:$B,$I192),1)</f>
        <v>2.6865075506885199</v>
      </c>
      <c r="W192" s="79">
        <f>tbl_Data_old[[#This Row],[2026 ]]*IFERROR(AVERAGEIFS('Participation Adjustment'!$C:$C,'Participation Adjustment'!$A:$A,$H192,'Participation Adjustment'!$B:$B,$I192),1)</f>
        <v>2.85431657611004</v>
      </c>
      <c r="X192" s="79">
        <f>tbl_Data_old[[#This Row],[2027 ]]*IFERROR(AVERAGEIFS('Participation Adjustment'!$C:$C,'Participation Adjustment'!$A:$A,$H192,'Participation Adjustment'!$B:$B,$I192),1)</f>
        <v>3.0209205304305198</v>
      </c>
      <c r="Y192" s="79">
        <f>tbl_Data_old[[#This Row],[2028 ]]*IFERROR(AVERAGEIFS('Participation Adjustment'!$C:$C,'Participation Adjustment'!$A:$A,$H192,'Participation Adjustment'!$B:$B,$I192),1)</f>
        <v>3.1913718123377901</v>
      </c>
      <c r="Z192" s="79">
        <f>tbl_Data_old[[#This Row],[2029 ]]*IFERROR(AVERAGEIFS('Participation Adjustment'!$C:$C,'Participation Adjustment'!$A:$A,$H192,'Participation Adjustment'!$B:$B,$I192),1)</f>
        <v>3.3654863226020502</v>
      </c>
      <c r="AA192" s="79">
        <f>tbl_Data_old[[#This Row],[2030 ]]*IFERROR(AVERAGEIFS('Participation Adjustment'!$C:$C,'Participation Adjustment'!$A:$A,$H192,'Participation Adjustment'!$B:$B,$I192),1)</f>
        <v>3.5334622017736699</v>
      </c>
      <c r="AB192" s="79">
        <f>tbl_Data_old[[#This Row],[2031 ]]*IFERROR(AVERAGEIFS('Participation Adjustment'!$C:$C,'Participation Adjustment'!$A:$A,$H192,'Participation Adjustment'!$B:$B,$I192),1)</f>
        <v>3.7214714419645398</v>
      </c>
      <c r="AC192" s="79">
        <f>tbl_Data_old[[#This Row],[2032 ]]*IFERROR(AVERAGEIFS('Participation Adjustment'!$C:$C,'Participation Adjustment'!$A:$A,$H192,'Participation Adjustment'!$B:$B,$I192),1)</f>
        <v>3.93702598315312</v>
      </c>
      <c r="AD192" s="79">
        <f>tbl_Data_old[[#This Row],[2033 ]]*IFERROR(AVERAGEIFS('Participation Adjustment'!$C:$C,'Participation Adjustment'!$A:$A,$H192,'Participation Adjustment'!$B:$B,$I192),1)</f>
        <v>4.18190063410115</v>
      </c>
      <c r="AE192" s="79">
        <f>tbl_Data_old[[#This Row],[2034 ]]*IFERROR(AVERAGEIFS('Participation Adjustment'!$C:$C,'Participation Adjustment'!$A:$A,$H192,'Participation Adjustment'!$B:$B,$I192),1)</f>
        <v>4.4569612616284999</v>
      </c>
      <c r="AF192" s="77" t="str">
        <f t="shared" si="88"/>
        <v>Residential</v>
      </c>
      <c r="AG192" s="77" t="str">
        <f>tbl_Data[[#This Row],[All_Meas_Name_Append]]</f>
        <v>120v Heat Pump Water Heater 50 Gallons</v>
      </c>
      <c r="AH192" s="77">
        <f>AVERAGEIFS('3. Incentive Adjustment'!G:G,'3. Incentive Adjustment'!A:A,tbl_Data[[#This Row],[Trimmed Sector]],'3. Incentive Adjustment'!B:B,tbl_Data[[#This Row],[Trimmed Measure Name]])</f>
        <v>0.38528347196238832</v>
      </c>
      <c r="AI192" s="77">
        <f>$AH192*tbl_Data[[#This Row],[2025 ]]</f>
        <v>1.0350669565824449</v>
      </c>
      <c r="AJ192" s="77">
        <f>$AH192*tbl_Data[[#This Row],[2026 ]]</f>
        <v>1.0997210005234728</v>
      </c>
      <c r="AK192" s="77">
        <f>$AH192*tbl_Data[[#This Row],[2027 ]]</f>
        <v>1.1639107504867305</v>
      </c>
      <c r="AL192" s="77">
        <f>$AH192*tbl_Data[[#This Row],[2028 ]]</f>
        <v>1.2295828121804033</v>
      </c>
      <c r="AM192" s="77">
        <f>$AH192*tbl_Data[[#This Row],[2029 ]]</f>
        <v>1.2966662552140484</v>
      </c>
      <c r="AN192" s="77">
        <f>$AH192*tbl_Data[[#This Row],[2030 ]]</f>
        <v>1.3613845851472246</v>
      </c>
      <c r="AO192" s="77">
        <f>$AH192*tbl_Data[[#This Row],[2031 ]]</f>
        <v>1.4338214379689735</v>
      </c>
      <c r="AP192" s="77">
        <f>$AH192*tbl_Data[[#This Row],[2032 ]]</f>
        <v>1.5168710399953695</v>
      </c>
      <c r="AQ192" s="77">
        <f>$AH192*tbl_Data[[#This Row],[2033 ]]</f>
        <v>1.6112171957082044</v>
      </c>
      <c r="AR192" s="77">
        <f>$AH192*tbl_Data[[#This Row],[2034 ]]</f>
        <v>1.7171935092820951</v>
      </c>
      <c r="AS192" s="77">
        <f>SUM(tbl_Data[[#This Row],[Adjusted 2025]:[Adjusted 2034]])</f>
        <v>13.465435543088967</v>
      </c>
      <c r="AT192" s="80">
        <f>AVERAGEIFS('3. Incentive Adjustment'!F:F,'3. Incentive Adjustment'!A:A,tbl_Data[[#This Row],[Trimmed Sector]],'3. Incentive Adjustment'!B:B,tbl_Data[[#This Row],[Trimmed Measure Name]])</f>
        <v>500</v>
      </c>
      <c r="AU192" s="80">
        <f>IFERROR(VLOOKUP(tbl_Data[[#This Row],[All_Meas_Name_Append]],'IRA Tax Credits'!$A$3:$D$46,4,0),0)</f>
        <v>1666.6666666666667</v>
      </c>
      <c r="AV192" s="81">
        <f>tbl_Data[[#This Row],[Adj. per unit Incentive ($)]]/tbl_Data[[#This Row],[kWh Savings]]*tbl_Data[[#This Row],[Sum of Annuals]]</f>
        <v>5.6095385634473374</v>
      </c>
      <c r="AW192" s="81">
        <f>IFERROR(VLOOKUP(tbl_Data[[#This Row],[Column1]],'1. Set Program Names'!$B$2:$D$15,3,0)*tbl_Data[[#This Row],[Sum of Annuals]],"")</f>
        <v>6.0678294342287211</v>
      </c>
      <c r="AX192" s="81">
        <f>tbl_Data[[#This Row],[per unit IRA tax ($)]]/tbl_Data[[#This Row],[kWh Savings]]*tbl_Data[[#This Row],[Sum of Annuals]]</f>
        <v>18.698461878157794</v>
      </c>
      <c r="AY192" s="81">
        <f>tbl_Data[[#This Row],[Avoided Costs ($/unit)]]/tbl_Data[[#This Row],[kWh Savings]]*tbl_Data[[#This Row],[Sum of Annuals]]</f>
        <v>6.4121479960336822</v>
      </c>
      <c r="AZ192" s="81">
        <f>tbl_Data[[#This Row],[Lost Revenue ($/unit)]]/tbl_Data[[#This Row],[kWh Savings]]*tbl_Data[[#This Row],[Sum of Annuals]]</f>
        <v>17.225301860842038</v>
      </c>
      <c r="BA192" s="81">
        <f>tbl_Data[[#This Row],[Incremental Cost ($/unit)]]/tbl_Data[[#This Row],[kWh Savings]]*tbl_Data[[#This Row],[Sum of Annuals]]</f>
        <v>13.575083323542557</v>
      </c>
      <c r="BB192" s="77">
        <f>ROUNDUP(tbl_Data[[#This Row],[Adjusted 2025]]/$L192,0)</f>
        <v>1</v>
      </c>
      <c r="BC192" s="77">
        <f>ROUNDUP(tbl_Data[[#This Row],[Adjusted 2026]]/$L192,0)</f>
        <v>1</v>
      </c>
      <c r="BD192" s="77">
        <f>ROUNDUP(tbl_Data[[#This Row],[Adjusted 2027]]/$L192,0)</f>
        <v>1</v>
      </c>
      <c r="BE192" s="77">
        <f>ROUNDUP(tbl_Data[[#This Row],[Adjusted 2028]]/$L192,0)</f>
        <v>1</v>
      </c>
      <c r="BF192" s="77">
        <f>ROUNDUP(tbl_Data[[#This Row],[Adjusted 2029]]/$L192,0)</f>
        <v>1</v>
      </c>
      <c r="BG192" s="77">
        <f>ROUNDUP(tbl_Data[[#This Row],[Adjusted 2030]]/$L192,0)</f>
        <v>1</v>
      </c>
      <c r="BH192" s="77">
        <f>ROUNDUP(tbl_Data[[#This Row],[Adjusted 2031]]/$L192,0)</f>
        <v>1</v>
      </c>
      <c r="BI192" s="77">
        <f>ROUNDUP(tbl_Data[[#This Row],[Adjusted 2032]]/$L192,0)</f>
        <v>1</v>
      </c>
      <c r="BJ192" s="77">
        <f>ROUNDUP(tbl_Data[[#This Row],[Adjusted 2033]]/$L192,0)</f>
        <v>1</v>
      </c>
      <c r="BK192" s="77">
        <f>ROUNDUP(tbl_Data[[#This Row],[Adjusted 2034]]/$L192,0)</f>
        <v>1</v>
      </c>
      <c r="BL192" s="80">
        <f t="shared" si="89"/>
        <v>1.1191667479567198</v>
      </c>
      <c r="BM192" s="80">
        <f t="shared" si="90"/>
        <v>1.1890739705180919</v>
      </c>
      <c r="BN192" s="80">
        <f t="shared" si="91"/>
        <v>1.2584791749463446</v>
      </c>
      <c r="BO192" s="80">
        <f t="shared" si="92"/>
        <v>1.3294871297940143</v>
      </c>
      <c r="BP192" s="80">
        <f t="shared" si="93"/>
        <v>1.4020211415352386</v>
      </c>
      <c r="BQ192" s="80">
        <f t="shared" si="94"/>
        <v>1.4719978733629575</v>
      </c>
      <c r="BR192" s="80">
        <f t="shared" si="95"/>
        <v>1.5503202625467523</v>
      </c>
      <c r="BS192" s="80">
        <f t="shared" si="96"/>
        <v>1.6401176929718031</v>
      </c>
      <c r="BT192" s="80">
        <f t="shared" si="97"/>
        <v>1.7421295286311915</v>
      </c>
      <c r="BU192" s="80">
        <f t="shared" si="98"/>
        <v>1.8567164792324744</v>
      </c>
      <c r="BV192" s="80">
        <f>IFERROR(VLOOKUP($H192,'1. Set Program Names'!$B$2:$D$15,3,0)*V192,"NA")</f>
        <v>1.2106009894133736</v>
      </c>
      <c r="BW192" s="80">
        <f>IFERROR(VLOOKUP($H192,'1. Set Program Names'!$B$2:$D$15,3,0)*W192,"NA")</f>
        <v>1.2862195270034582</v>
      </c>
      <c r="BX192" s="80">
        <f>IFERROR(VLOOKUP($H192,'1. Set Program Names'!$B$2:$D$15,3,0)*X192,"NA")</f>
        <v>1.3612950323333659</v>
      </c>
      <c r="BY192" s="80">
        <f>IFERROR(VLOOKUP($H192,'1. Set Program Names'!$B$2:$D$15,3,0)*Y192,"NA")</f>
        <v>1.4381042303833897</v>
      </c>
      <c r="BZ192" s="80">
        <f>IFERROR(VLOOKUP($H192,'1. Set Program Names'!$B$2:$D$15,3,0)*Z192,"NA")</f>
        <v>1.5165641618818577</v>
      </c>
      <c r="CA192" s="80">
        <f>IFERROR(VLOOKUP($H192,'1. Set Program Names'!$B$2:$D$15,3,0)*AA192,"NA")</f>
        <v>1.5922578875408933</v>
      </c>
      <c r="CB192" s="80">
        <f>IFERROR(VLOOKUP($H192,'1. Set Program Names'!$B$2:$D$15,3,0)*AB192,"NA")</f>
        <v>1.6769790982203836</v>
      </c>
      <c r="CC192" s="80">
        <f>IFERROR(VLOOKUP($H192,'1. Set Program Names'!$B$2:$D$15,3,0)*AC192,"NA")</f>
        <v>1.7741128437661806</v>
      </c>
      <c r="CD192" s="80">
        <f>IFERROR(VLOOKUP($H192,'1. Set Program Names'!$B$2:$D$15,3,0)*AD192,"NA")</f>
        <v>1.8844588930985058</v>
      </c>
      <c r="CE192" s="80">
        <f>IFERROR(VLOOKUP($H192,'1. Set Program Names'!$B$2:$D$15,3,0)*AE192,"NA")</f>
        <v>2.0084074253659594</v>
      </c>
    </row>
    <row r="193" spans="1:83" x14ac:dyDescent="0.25">
      <c r="A193" s="79" t="s">
        <v>116</v>
      </c>
      <c r="B193" s="79" t="s">
        <v>88</v>
      </c>
      <c r="C193" s="79" t="s">
        <v>89</v>
      </c>
      <c r="D193" s="79" t="s">
        <v>90</v>
      </c>
      <c r="E193" s="79" t="s">
        <v>91</v>
      </c>
      <c r="F193" s="79" t="s">
        <v>90</v>
      </c>
      <c r="G193" s="79" t="s">
        <v>92</v>
      </c>
      <c r="H193" s="79" t="s">
        <v>9</v>
      </c>
      <c r="I193" s="79" t="s">
        <v>96</v>
      </c>
      <c r="J193" s="79" t="s">
        <v>97</v>
      </c>
      <c r="K193" s="79" t="s">
        <v>98</v>
      </c>
      <c r="L193" s="79">
        <v>5868.07</v>
      </c>
      <c r="M193" s="79">
        <v>0.20813520080661799</v>
      </c>
      <c r="N193" s="79">
        <v>1.1349578069705</v>
      </c>
      <c r="O193" s="79">
        <v>1935.1666666666599</v>
      </c>
      <c r="P193" s="79">
        <v>513.45064263862798</v>
      </c>
      <c r="Q193" s="79">
        <v>1762.8565994851499</v>
      </c>
      <c r="R193" s="79">
        <v>3388.0400735263802</v>
      </c>
      <c r="S193" s="79">
        <v>7811.7411984889604</v>
      </c>
      <c r="T193" s="79">
        <v>16</v>
      </c>
      <c r="U193" s="79">
        <v>0.2</v>
      </c>
      <c r="V193" s="79">
        <f>tbl_Data_old[[#This Row],[2025 ]]*IFERROR(AVERAGEIFS('Participation Adjustment'!$C:$C,'Participation Adjustment'!$A:$A,$H193,'Participation Adjustment'!$B:$B,$I193),1)</f>
        <v>16.293418512666701</v>
      </c>
      <c r="W193" s="79">
        <f>tbl_Data_old[[#This Row],[2026 ]]*IFERROR(AVERAGEIFS('Participation Adjustment'!$C:$C,'Participation Adjustment'!$A:$A,$H193,'Participation Adjustment'!$B:$B,$I193),1)</f>
        <v>17.2510421080162</v>
      </c>
      <c r="X193" s="79">
        <f>tbl_Data_old[[#This Row],[2027 ]]*IFERROR(AVERAGEIFS('Participation Adjustment'!$C:$C,'Participation Adjustment'!$A:$A,$H193,'Participation Adjustment'!$B:$B,$I193),1)</f>
        <v>18.193580412103501</v>
      </c>
      <c r="Y193" s="79">
        <f>tbl_Data_old[[#This Row],[2028 ]]*IFERROR(AVERAGEIFS('Participation Adjustment'!$C:$C,'Participation Adjustment'!$A:$A,$H193,'Participation Adjustment'!$B:$B,$I193),1)</f>
        <v>19.151390148400399</v>
      </c>
      <c r="Z193" s="79">
        <f>tbl_Data_old[[#This Row],[2029 ]]*IFERROR(AVERAGEIFS('Participation Adjustment'!$C:$C,'Participation Adjustment'!$A:$A,$H193,'Participation Adjustment'!$B:$B,$I193),1)</f>
        <v>20.123099467378299</v>
      </c>
      <c r="AA193" s="79">
        <f>tbl_Data_old[[#This Row],[2030 ]]*IFERROR(AVERAGEIFS('Participation Adjustment'!$C:$C,'Participation Adjustment'!$A:$A,$H193,'Participation Adjustment'!$B:$B,$I193),1)</f>
        <v>21.0500691936363</v>
      </c>
      <c r="AB193" s="79">
        <f>tbl_Data_old[[#This Row],[2031 ]]*IFERROR(AVERAGEIFS('Participation Adjustment'!$C:$C,'Participation Adjustment'!$A:$A,$H193,'Participation Adjustment'!$B:$B,$I193),1)</f>
        <v>22.088051105641199</v>
      </c>
      <c r="AC193" s="79">
        <f>tbl_Data_old[[#This Row],[2032 ]]*IFERROR(AVERAGEIFS('Participation Adjustment'!$C:$C,'Participation Adjustment'!$A:$A,$H193,'Participation Adjustment'!$B:$B,$I193),1)</f>
        <v>23.280152552775299</v>
      </c>
      <c r="AD193" s="79">
        <f>tbl_Data_old[[#This Row],[2033 ]]*IFERROR(AVERAGEIFS('Participation Adjustment'!$C:$C,'Participation Adjustment'!$A:$A,$H193,'Participation Adjustment'!$B:$B,$I193),1)</f>
        <v>24.635011887224699</v>
      </c>
      <c r="AE193" s="79">
        <f>tbl_Data_old[[#This Row],[2034 ]]*IFERROR(AVERAGEIFS('Participation Adjustment'!$C:$C,'Participation Adjustment'!$A:$A,$H193,'Participation Adjustment'!$B:$B,$I193),1)</f>
        <v>26.155770561641301</v>
      </c>
      <c r="AF193" s="77" t="str">
        <f t="shared" si="88"/>
        <v>Residential</v>
      </c>
      <c r="AG193" s="77" t="str">
        <f>tbl_Data[[#This Row],[All_Meas_Name_Append]]</f>
        <v>ASHP - CEE Tier 2: 16.8 SEER/16 SEER2; 9.0 HSPF (from elec resistance)</v>
      </c>
      <c r="AH193" s="77">
        <f>AVERAGEIFS('3. Incentive Adjustment'!G:G,'3. Incentive Adjustment'!A:A,tbl_Data[[#This Row],[Trimmed Sector]],'3. Incentive Adjustment'!B:B,tbl_Data[[#This Row],[Trimmed Measure Name]])</f>
        <v>0.9303958662075158</v>
      </c>
      <c r="AI193" s="77">
        <f>$AH193*tbl_Data[[#This Row],[2025 ]]</f>
        <v>15.159329230574109</v>
      </c>
      <c r="AJ193" s="77">
        <f>$AH193*tbl_Data[[#This Row],[2026 ]]</f>
        <v>16.050298265070062</v>
      </c>
      <c r="AK193" s="77">
        <f>$AH193*tbl_Data[[#This Row],[2027 ]]</f>
        <v>16.927232006935128</v>
      </c>
      <c r="AL193" s="77">
        <f>$AH193*tbl_Data[[#This Row],[2028 ]]</f>
        <v>17.818374226199072</v>
      </c>
      <c r="AM193" s="77">
        <f>$AH193*tbl_Data[[#This Row],[2029 ]]</f>
        <v>18.722448559731433</v>
      </c>
      <c r="AN193" s="77">
        <f>$AH193*tbl_Data[[#This Row],[2030 ]]</f>
        <v>19.58489736114139</v>
      </c>
      <c r="AO193" s="77">
        <f>$AH193*tbl_Data[[#This Row],[2031 ]]</f>
        <v>20.550631441268919</v>
      </c>
      <c r="AP193" s="77">
        <f>$AH193*tbl_Data[[#This Row],[2032 ]]</f>
        <v>21.659757699782485</v>
      </c>
      <c r="AQ193" s="77">
        <f>$AH193*tbl_Data[[#This Row],[2033 ]]</f>
        <v>22.920313223846872</v>
      </c>
      <c r="AR193" s="77">
        <f>$AH193*tbl_Data[[#This Row],[2034 ]]</f>
        <v>24.335220808023301</v>
      </c>
      <c r="AS193" s="77">
        <f>SUM(tbl_Data[[#This Row],[Adjusted 2025]:[Adjusted 2034]])</f>
        <v>193.72850282257278</v>
      </c>
      <c r="AT193" s="80">
        <f>AVERAGEIFS('3. Incentive Adjustment'!F:F,'3. Incentive Adjustment'!A:A,tbl_Data[[#This Row],[Trimmed Sector]],'3. Incentive Adjustment'!B:B,tbl_Data[[#This Row],[Trimmed Measure Name]])</f>
        <v>353</v>
      </c>
      <c r="AU193" s="80">
        <f>IFERROR(VLOOKUP(tbl_Data[[#This Row],[All_Meas_Name_Append]],'IRA Tax Credits'!$A$3:$D$46,4,0),0)</f>
        <v>0</v>
      </c>
      <c r="AV193" s="81">
        <f>tbl_Data[[#This Row],[Adj. per unit Incentive ($)]]/tbl_Data[[#This Row],[kWh Savings]]*tbl_Data[[#This Row],[Sum of Annuals]]</f>
        <v>11.653944396772395</v>
      </c>
      <c r="AW193" s="81">
        <f>IFERROR(VLOOKUP(tbl_Data[[#This Row],[Column1]],'1. Set Program Names'!$B$2:$D$15,3,0)*tbl_Data[[#This Row],[Sum of Annuals]],"")</f>
        <v>87.298439617067672</v>
      </c>
      <c r="AX193" s="81">
        <f>tbl_Data[[#This Row],[per unit IRA tax ($)]]/tbl_Data[[#This Row],[kWh Savings]]*tbl_Data[[#This Row],[Sum of Annuals]]</f>
        <v>0</v>
      </c>
      <c r="AY193" s="81">
        <f>tbl_Data[[#This Row],[Avoided Costs ($/unit)]]/tbl_Data[[#This Row],[kWh Savings]]*tbl_Data[[#This Row],[Sum of Annuals]]</f>
        <v>111.85277799125522</v>
      </c>
      <c r="AZ193" s="81">
        <f>tbl_Data[[#This Row],[Lost Revenue ($/unit)]]/tbl_Data[[#This Row],[kWh Savings]]*tbl_Data[[#This Row],[Sum of Annuals]]</f>
        <v>257.89687696647735</v>
      </c>
      <c r="BA193" s="81">
        <f>tbl_Data[[#This Row],[Incremental Cost ($/unit)]]/tbl_Data[[#This Row],[kWh Savings]]*tbl_Data[[#This Row],[Sum of Annuals]]</f>
        <v>63.887605472579708</v>
      </c>
      <c r="BB193" s="77">
        <f>ROUNDUP(tbl_Data[[#This Row],[Adjusted 2025]]/$L193,0)</f>
        <v>1</v>
      </c>
      <c r="BC193" s="77">
        <f>ROUNDUP(tbl_Data[[#This Row],[Adjusted 2026]]/$L193,0)</f>
        <v>1</v>
      </c>
      <c r="BD193" s="77">
        <f>ROUNDUP(tbl_Data[[#This Row],[Adjusted 2027]]/$L193,0)</f>
        <v>1</v>
      </c>
      <c r="BE193" s="77">
        <f>ROUNDUP(tbl_Data[[#This Row],[Adjusted 2028]]/$L193,0)</f>
        <v>1</v>
      </c>
      <c r="BF193" s="77">
        <f>ROUNDUP(tbl_Data[[#This Row],[Adjusted 2029]]/$L193,0)</f>
        <v>1</v>
      </c>
      <c r="BG193" s="77">
        <f>ROUNDUP(tbl_Data[[#This Row],[Adjusted 2030]]/$L193,0)</f>
        <v>1</v>
      </c>
      <c r="BH193" s="77">
        <f>ROUNDUP(tbl_Data[[#This Row],[Adjusted 2031]]/$L193,0)</f>
        <v>1</v>
      </c>
      <c r="BI193" s="77">
        <f>ROUNDUP(tbl_Data[[#This Row],[Adjusted 2032]]/$L193,0)</f>
        <v>1</v>
      </c>
      <c r="BJ193" s="77">
        <f>ROUNDUP(tbl_Data[[#This Row],[Adjusted 2033]]/$L193,0)</f>
        <v>1</v>
      </c>
      <c r="BK193" s="77">
        <f>ROUNDUP(tbl_Data[[#This Row],[Adjusted 2034]]/$L193,0)</f>
        <v>1</v>
      </c>
      <c r="BL193" s="80">
        <f t="shared" si="89"/>
        <v>0.98014794216349599</v>
      </c>
      <c r="BM193" s="80">
        <f t="shared" si="90"/>
        <v>1.0377548093546463</v>
      </c>
      <c r="BN193" s="80">
        <f t="shared" si="91"/>
        <v>1.0944542047849695</v>
      </c>
      <c r="BO193" s="80">
        <f t="shared" si="92"/>
        <v>1.1520722694830399</v>
      </c>
      <c r="BP193" s="80">
        <f t="shared" si="93"/>
        <v>1.2105264783795251</v>
      </c>
      <c r="BQ193" s="80">
        <f t="shared" si="94"/>
        <v>1.2662893294309057</v>
      </c>
      <c r="BR193" s="80">
        <f t="shared" si="95"/>
        <v>1.3287302367373504</v>
      </c>
      <c r="BS193" s="80">
        <f t="shared" si="96"/>
        <v>1.4004423688077479</v>
      </c>
      <c r="BT193" s="80">
        <f t="shared" si="97"/>
        <v>1.4819453749171907</v>
      </c>
      <c r="BU193" s="80">
        <f t="shared" si="98"/>
        <v>1.5734282324954167</v>
      </c>
      <c r="BV193" s="80">
        <f>IFERROR(VLOOKUP($H193,'1. Set Program Names'!$B$2:$D$15,3,0)*V193,"NA")</f>
        <v>7.3421824432636509</v>
      </c>
      <c r="BW193" s="80">
        <f>IFERROR(VLOOKUP($H193,'1. Set Program Names'!$B$2:$D$15,3,0)*W193,"NA")</f>
        <v>7.7737092676414878</v>
      </c>
      <c r="BX193" s="80">
        <f>IFERROR(VLOOKUP($H193,'1. Set Program Names'!$B$2:$D$15,3,0)*X193,"NA")</f>
        <v>8.1984383190062058</v>
      </c>
      <c r="BY193" s="80">
        <f>IFERROR(VLOOKUP($H193,'1. Set Program Names'!$B$2:$D$15,3,0)*Y193,"NA")</f>
        <v>8.6300490226997866</v>
      </c>
      <c r="BZ193" s="80">
        <f>IFERROR(VLOOKUP($H193,'1. Set Program Names'!$B$2:$D$15,3,0)*Z193,"NA")</f>
        <v>9.0679231923351384</v>
      </c>
      <c r="CA193" s="80">
        <f>IFERROR(VLOOKUP($H193,'1. Set Program Names'!$B$2:$D$15,3,0)*AA193,"NA")</f>
        <v>9.4856366908423642</v>
      </c>
      <c r="CB193" s="80">
        <f>IFERROR(VLOOKUP($H193,'1. Set Program Names'!$B$2:$D$15,3,0)*AB193,"NA")</f>
        <v>9.9533747879656236</v>
      </c>
      <c r="CC193" s="80">
        <f>IFERROR(VLOOKUP($H193,'1. Set Program Names'!$B$2:$D$15,3,0)*AC193,"NA")</f>
        <v>10.490562629113432</v>
      </c>
      <c r="CD193" s="80">
        <f>IFERROR(VLOOKUP($H193,'1. Set Program Names'!$B$2:$D$15,3,0)*AD193,"NA")</f>
        <v>11.101092850917585</v>
      </c>
      <c r="CE193" s="80">
        <f>IFERROR(VLOOKUP($H193,'1. Set Program Names'!$B$2:$D$15,3,0)*AE193,"NA")</f>
        <v>11.786381062907115</v>
      </c>
    </row>
    <row r="194" spans="1:83" x14ac:dyDescent="0.25">
      <c r="A194" s="79" t="s">
        <v>116</v>
      </c>
      <c r="B194" s="79" t="s">
        <v>88</v>
      </c>
      <c r="C194" s="79" t="s">
        <v>89</v>
      </c>
      <c r="D194" s="79" t="s">
        <v>90</v>
      </c>
      <c r="E194" s="79" t="s">
        <v>91</v>
      </c>
      <c r="F194" s="79" t="s">
        <v>90</v>
      </c>
      <c r="G194" s="79" t="s">
        <v>92</v>
      </c>
      <c r="H194" s="79" t="s">
        <v>9</v>
      </c>
      <c r="I194" s="79" t="s">
        <v>99</v>
      </c>
      <c r="J194" s="79" t="s">
        <v>97</v>
      </c>
      <c r="K194" s="79" t="s">
        <v>98</v>
      </c>
      <c r="L194" s="79">
        <v>253.96999999999801</v>
      </c>
      <c r="M194" s="79">
        <v>0.107126245482503</v>
      </c>
      <c r="N194" s="79">
        <v>1.33192706841354E-2</v>
      </c>
      <c r="O194" s="79">
        <v>874.99999999999898</v>
      </c>
      <c r="P194" s="79">
        <v>813.468148399999</v>
      </c>
      <c r="Q194" s="79">
        <v>76.296412716828996</v>
      </c>
      <c r="R194" s="79">
        <v>185.54516688855901</v>
      </c>
      <c r="S194" s="79">
        <v>338.09206641710699</v>
      </c>
      <c r="T194" s="79">
        <v>16</v>
      </c>
      <c r="U194" s="79">
        <v>0.19999999999999901</v>
      </c>
      <c r="V194" s="79">
        <f>tbl_Data_old[[#This Row],[2025 ]]*IFERROR(AVERAGEIFS('Participation Adjustment'!$C:$C,'Participation Adjustment'!$A:$A,$H194,'Participation Adjustment'!$B:$B,$I194),1)</f>
        <v>0.13097494413893601</v>
      </c>
      <c r="W194" s="79">
        <f>tbl_Data_old[[#This Row],[2026 ]]*IFERROR(AVERAGEIFS('Participation Adjustment'!$C:$C,'Participation Adjustment'!$A:$A,$H194,'Participation Adjustment'!$B:$B,$I194),1)</f>
        <v>0.146236305191939</v>
      </c>
      <c r="X194" s="79">
        <f>tbl_Data_old[[#This Row],[2027 ]]*IFERROR(AVERAGEIFS('Participation Adjustment'!$C:$C,'Participation Adjustment'!$A:$A,$H194,'Participation Adjustment'!$B:$B,$I194),1)</f>
        <v>0.16044406900821501</v>
      </c>
      <c r="Y194" s="79">
        <f>tbl_Data_old[[#This Row],[2028 ]]*IFERROR(AVERAGEIFS('Participation Adjustment'!$C:$C,'Participation Adjustment'!$A:$A,$H194,'Participation Adjustment'!$B:$B,$I194),1)</f>
        <v>0.174002982557764</v>
      </c>
      <c r="Z194" s="79">
        <f>tbl_Data_old[[#This Row],[2029 ]]*IFERROR(AVERAGEIFS('Participation Adjustment'!$C:$C,'Participation Adjustment'!$A:$A,$H194,'Participation Adjustment'!$B:$B,$I194),1)</f>
        <v>0.18702979507668599</v>
      </c>
      <c r="AA194" s="79">
        <f>tbl_Data_old[[#This Row],[2030 ]]*IFERROR(AVERAGEIFS('Participation Adjustment'!$C:$C,'Participation Adjustment'!$A:$A,$H194,'Participation Adjustment'!$B:$B,$I194),1)</f>
        <v>0.199076517270042</v>
      </c>
      <c r="AB194" s="79">
        <f>tbl_Data_old[[#This Row],[2031 ]]*IFERROR(AVERAGEIFS('Participation Adjustment'!$C:$C,'Participation Adjustment'!$A:$A,$H194,'Participation Adjustment'!$B:$B,$I194),1)</f>
        <v>0.21170398665634499</v>
      </c>
      <c r="AC194" s="79">
        <f>tbl_Data_old[[#This Row],[2032 ]]*IFERROR(AVERAGEIFS('Participation Adjustment'!$C:$C,'Participation Adjustment'!$A:$A,$H194,'Participation Adjustment'!$B:$B,$I194),1)</f>
        <v>0.22544149359201901</v>
      </c>
      <c r="AD194" s="79">
        <f>tbl_Data_old[[#This Row],[2033 ]]*IFERROR(AVERAGEIFS('Participation Adjustment'!$C:$C,'Participation Adjustment'!$A:$A,$H194,'Participation Adjustment'!$B:$B,$I194),1)</f>
        <v>0.240471227477495</v>
      </c>
      <c r="AE194" s="79">
        <f>tbl_Data_old[[#This Row],[2034 ]]*IFERROR(AVERAGEIFS('Participation Adjustment'!$C:$C,'Participation Adjustment'!$A:$A,$H194,'Participation Adjustment'!$B:$B,$I194),1)</f>
        <v>0.25690207085369599</v>
      </c>
      <c r="AF194" s="77" t="str">
        <f t="shared" si="88"/>
        <v>Residential</v>
      </c>
      <c r="AG194" s="77" t="str">
        <f>tbl_Data[[#This Row],[All_Meas_Name_Append]]</f>
        <v>ASHP - ENERGY STAR/CEE Tier 1: 16 SEER/15.2 SEER2_ 9.0 HSPF</v>
      </c>
      <c r="AH194" s="77">
        <f>AVERAGEIFS('3. Incentive Adjustment'!G:G,'3. Incentive Adjustment'!A:A,tbl_Data[[#This Row],[Trimmed Sector]],'3. Incentive Adjustment'!B:B,tbl_Data[[#This Row],[Trimmed Measure Name]])</f>
        <v>8.3636985731950567E-3</v>
      </c>
      <c r="AI194" s="77">
        <f>$AH194*tbl_Data[[#This Row],[2025 ]]</f>
        <v>1.0954349534191214E-3</v>
      </c>
      <c r="AJ194" s="77">
        <f>$AH194*tbl_Data[[#This Row],[2026 ]]</f>
        <v>1.2230763770831371E-3</v>
      </c>
      <c r="AK194" s="77">
        <f>$AH194*tbl_Data[[#This Row],[2027 ]]</f>
        <v>1.341905831041617E-3</v>
      </c>
      <c r="AL194" s="77">
        <f>$AH194*tbl_Data[[#This Row],[2028 ]]</f>
        <v>1.4553084969500551E-3</v>
      </c>
      <c r="AM194" s="77">
        <f>$AH194*tbl_Data[[#This Row],[2029 ]]</f>
        <v>1.5642608302278425E-3</v>
      </c>
      <c r="AN194" s="77">
        <f>$AH194*tbl_Data[[#This Row],[2030 ]]</f>
        <v>1.6650159834480914E-3</v>
      </c>
      <c r="AO194" s="77">
        <f>$AH194*tbl_Data[[#This Row],[2031 ]]</f>
        <v>1.7706283311373779E-3</v>
      </c>
      <c r="AP194" s="77">
        <f>$AH194*tbl_Data[[#This Row],[2032 ]]</f>
        <v>1.885524698294532E-3</v>
      </c>
      <c r="AQ194" s="77">
        <f>$AH194*tbl_Data[[#This Row],[2033 ]]</f>
        <v>2.0112288621479887E-3</v>
      </c>
      <c r="AR194" s="77">
        <f>$AH194*tbl_Data[[#This Row],[2034 ]]</f>
        <v>2.1486514834499126E-3</v>
      </c>
      <c r="AS194" s="77">
        <f>SUM(tbl_Data[[#This Row],[Adjusted 2025]:[Adjusted 2034]])</f>
        <v>1.6161035847199676E-2</v>
      </c>
      <c r="AT194" s="80">
        <f>AVERAGEIFS('3. Incentive Adjustment'!F:F,'3. Incentive Adjustment'!A:A,tbl_Data[[#This Row],[Trimmed Sector]],'3. Incentive Adjustment'!B:B,tbl_Data[[#This Row],[Trimmed Measure Name]])</f>
        <v>353</v>
      </c>
      <c r="AU194" s="80">
        <f>IFERROR(VLOOKUP(tbl_Data[[#This Row],[All_Meas_Name_Append]],'IRA Tax Credits'!$A$3:$D$46,4,0),0)</f>
        <v>0</v>
      </c>
      <c r="AV194" s="81">
        <f>tbl_Data[[#This Row],[Adj. per unit Incentive ($)]]/tbl_Data[[#This Row],[kWh Savings]]*tbl_Data[[#This Row],[Sum of Annuals]]</f>
        <v>2.246267533197437E-2</v>
      </c>
      <c r="AW194" s="81">
        <f>IFERROR(VLOOKUP(tbl_Data[[#This Row],[Column1]],'1. Set Program Names'!$B$2:$D$15,3,0)*tbl_Data[[#This Row],[Sum of Annuals]],"")</f>
        <v>7.2825278237356001E-3</v>
      </c>
      <c r="AX194" s="81">
        <f>tbl_Data[[#This Row],[per unit IRA tax ($)]]/tbl_Data[[#This Row],[kWh Savings]]*tbl_Data[[#This Row],[Sum of Annuals]]</f>
        <v>0</v>
      </c>
      <c r="AY194" s="81">
        <f>tbl_Data[[#This Row],[Avoided Costs ($/unit)]]/tbl_Data[[#This Row],[kWh Savings]]*tbl_Data[[#This Row],[Sum of Annuals]]</f>
        <v>1.1806914570069976E-2</v>
      </c>
      <c r="AZ194" s="81">
        <f>tbl_Data[[#This Row],[Lost Revenue ($/unit)]]/tbl_Data[[#This Row],[kWh Savings]]*tbl_Data[[#This Row],[Sum of Annuals]]</f>
        <v>2.1514029235818098E-2</v>
      </c>
      <c r="BA194" s="81">
        <f>tbl_Data[[#This Row],[Incremental Cost ($/unit)]]/tbl_Data[[#This Row],[kWh Savings]]*tbl_Data[[#This Row],[Sum of Annuals]]</f>
        <v>5.567943602118286E-2</v>
      </c>
      <c r="BB194" s="77">
        <f>ROUNDUP(tbl_Data[[#This Row],[Adjusted 2025]]/$L194,0)</f>
        <v>1</v>
      </c>
      <c r="BC194" s="77">
        <f>ROUNDUP(tbl_Data[[#This Row],[Adjusted 2026]]/$L194,0)</f>
        <v>1</v>
      </c>
      <c r="BD194" s="77">
        <f>ROUNDUP(tbl_Data[[#This Row],[Adjusted 2027]]/$L194,0)</f>
        <v>1</v>
      </c>
      <c r="BE194" s="77">
        <f>ROUNDUP(tbl_Data[[#This Row],[Adjusted 2028]]/$L194,0)</f>
        <v>1</v>
      </c>
      <c r="BF194" s="77">
        <f>ROUNDUP(tbl_Data[[#This Row],[Adjusted 2029]]/$L194,0)</f>
        <v>1</v>
      </c>
      <c r="BG194" s="77">
        <f>ROUNDUP(tbl_Data[[#This Row],[Adjusted 2030]]/$L194,0)</f>
        <v>1</v>
      </c>
      <c r="BH194" s="77">
        <f>ROUNDUP(tbl_Data[[#This Row],[Adjusted 2031]]/$L194,0)</f>
        <v>1</v>
      </c>
      <c r="BI194" s="77">
        <f>ROUNDUP(tbl_Data[[#This Row],[Adjusted 2032]]/$L194,0)</f>
        <v>1</v>
      </c>
      <c r="BJ194" s="77">
        <f>ROUNDUP(tbl_Data[[#This Row],[Adjusted 2033]]/$L194,0)</f>
        <v>1</v>
      </c>
      <c r="BK194" s="77">
        <f>ROUNDUP(tbl_Data[[#This Row],[Adjusted 2034]]/$L194,0)</f>
        <v>1</v>
      </c>
      <c r="BL194" s="80">
        <f t="shared" si="89"/>
        <v>0.18204573485468667</v>
      </c>
      <c r="BM194" s="80">
        <f t="shared" si="90"/>
        <v>0.20325792704947385</v>
      </c>
      <c r="BN194" s="80">
        <f t="shared" si="91"/>
        <v>0.22300569500295445</v>
      </c>
      <c r="BO194" s="80">
        <f t="shared" si="92"/>
        <v>0.24185160783908011</v>
      </c>
      <c r="BP194" s="80">
        <f t="shared" si="93"/>
        <v>0.25995793858357552</v>
      </c>
      <c r="BQ194" s="80">
        <f t="shared" si="94"/>
        <v>0.27670201439668218</v>
      </c>
      <c r="BR194" s="80">
        <f t="shared" si="95"/>
        <v>0.29425328696180797</v>
      </c>
      <c r="BS194" s="80">
        <f t="shared" si="96"/>
        <v>0.31334743173596619</v>
      </c>
      <c r="BT194" s="80">
        <f t="shared" si="97"/>
        <v>0.33423767885796118</v>
      </c>
      <c r="BU194" s="80">
        <f t="shared" si="98"/>
        <v>0.35707536721406224</v>
      </c>
      <c r="BV194" s="80">
        <f>IFERROR(VLOOKUP($H194,'1. Set Program Names'!$B$2:$D$15,3,0)*V194,"NA")</f>
        <v>5.9020268497782788E-2</v>
      </c>
      <c r="BW194" s="80">
        <f>IFERROR(VLOOKUP($H194,'1. Set Program Names'!$B$2:$D$15,3,0)*W194,"NA")</f>
        <v>6.5897382535979002E-2</v>
      </c>
      <c r="BX194" s="80">
        <f>IFERROR(VLOOKUP($H194,'1. Set Program Names'!$B$2:$D$15,3,0)*X194,"NA")</f>
        <v>7.2299721858988586E-2</v>
      </c>
      <c r="BY194" s="80">
        <f>IFERROR(VLOOKUP($H194,'1. Set Program Names'!$B$2:$D$15,3,0)*Y194,"NA")</f>
        <v>7.8409674594556958E-2</v>
      </c>
      <c r="BZ194" s="80">
        <f>IFERROR(VLOOKUP($H194,'1. Set Program Names'!$B$2:$D$15,3,0)*Z194,"NA")</f>
        <v>8.4279850585786811E-2</v>
      </c>
      <c r="CA194" s="80">
        <f>IFERROR(VLOOKUP($H194,'1. Set Program Names'!$B$2:$D$15,3,0)*AA194,"NA")</f>
        <v>8.9708375736489321E-2</v>
      </c>
      <c r="CB194" s="80">
        <f>IFERROR(VLOOKUP($H194,'1. Set Program Names'!$B$2:$D$15,3,0)*AB194,"NA")</f>
        <v>9.5398598691168027E-2</v>
      </c>
      <c r="CC194" s="80">
        <f>IFERROR(VLOOKUP($H194,'1. Set Program Names'!$B$2:$D$15,3,0)*AC194,"NA")</f>
        <v>0.10158902964087364</v>
      </c>
      <c r="CD194" s="80">
        <f>IFERROR(VLOOKUP($H194,'1. Set Program Names'!$B$2:$D$15,3,0)*AD194,"NA")</f>
        <v>0.10836176724502211</v>
      </c>
      <c r="CE194" s="80">
        <f>IFERROR(VLOOKUP($H194,'1. Set Program Names'!$B$2:$D$15,3,0)*AE194,"NA")</f>
        <v>0.11576587643616405</v>
      </c>
    </row>
    <row r="195" spans="1:83" x14ac:dyDescent="0.25">
      <c r="A195" s="79" t="s">
        <v>116</v>
      </c>
      <c r="B195" s="79" t="s">
        <v>88</v>
      </c>
      <c r="C195" s="79" t="s">
        <v>89</v>
      </c>
      <c r="D195" s="79" t="s">
        <v>90</v>
      </c>
      <c r="E195" s="79" t="s">
        <v>91</v>
      </c>
      <c r="F195" s="79" t="s">
        <v>90</v>
      </c>
      <c r="G195" s="79" t="s">
        <v>92</v>
      </c>
      <c r="H195" s="79" t="s">
        <v>9</v>
      </c>
      <c r="I195" s="79" t="s">
        <v>107</v>
      </c>
      <c r="J195" s="79" t="s">
        <v>94</v>
      </c>
      <c r="K195" s="79" t="s">
        <v>108</v>
      </c>
      <c r="L195" s="79">
        <v>1663.1099999999899</v>
      </c>
      <c r="M195" s="79">
        <v>6.6647595975018806E-2</v>
      </c>
      <c r="N195" s="79">
        <v>0.309148293753995</v>
      </c>
      <c r="O195" s="79">
        <v>1389.5</v>
      </c>
      <c r="P195" s="79">
        <v>988.78817699699403</v>
      </c>
      <c r="Q195" s="79">
        <v>499.623289969231</v>
      </c>
      <c r="R195" s="79">
        <v>791.96156853290995</v>
      </c>
      <c r="S195" s="79">
        <v>2127.4894292214699</v>
      </c>
      <c r="T195" s="79">
        <v>15</v>
      </c>
      <c r="U195" s="79">
        <v>0.2</v>
      </c>
      <c r="V195" s="79">
        <f>tbl_Data_old[[#This Row],[2025 ]]*IFERROR(AVERAGEIFS('Participation Adjustment'!$C:$C,'Participation Adjustment'!$A:$A,$H195,'Participation Adjustment'!$B:$B,$I195),1)</f>
        <v>3.2353518977584601</v>
      </c>
      <c r="W195" s="79">
        <f>tbl_Data_old[[#This Row],[2026 ]]*IFERROR(AVERAGEIFS('Participation Adjustment'!$C:$C,'Participation Adjustment'!$A:$A,$H195,'Participation Adjustment'!$B:$B,$I195),1)</f>
        <v>3.5980920818417301</v>
      </c>
      <c r="X195" s="79">
        <f>tbl_Data_old[[#This Row],[2027 ]]*IFERROR(AVERAGEIFS('Participation Adjustment'!$C:$C,'Participation Adjustment'!$A:$A,$H195,'Participation Adjustment'!$B:$B,$I195),1)</f>
        <v>3.9323689930532999</v>
      </c>
      <c r="Y195" s="79">
        <f>tbl_Data_old[[#This Row],[2028 ]]*IFERROR(AVERAGEIFS('Participation Adjustment'!$C:$C,'Participation Adjustment'!$A:$A,$H195,'Participation Adjustment'!$B:$B,$I195),1)</f>
        <v>4.24843052947773</v>
      </c>
      <c r="Z195" s="79">
        <f>tbl_Data_old[[#This Row],[2029 ]]*IFERROR(AVERAGEIFS('Participation Adjustment'!$C:$C,'Participation Adjustment'!$A:$A,$H195,'Participation Adjustment'!$B:$B,$I195),1)</f>
        <v>4.5493510662872696</v>
      </c>
      <c r="AA195" s="79">
        <f>tbl_Data_old[[#This Row],[2030 ]]*IFERROR(AVERAGEIFS('Participation Adjustment'!$C:$C,'Participation Adjustment'!$A:$A,$H195,'Participation Adjustment'!$B:$B,$I195),1)</f>
        <v>4.8244631448799398</v>
      </c>
      <c r="AB195" s="79">
        <f>tbl_Data_old[[#This Row],[2031 ]]*IFERROR(AVERAGEIFS('Participation Adjustment'!$C:$C,'Participation Adjustment'!$A:$A,$H195,'Participation Adjustment'!$B:$B,$I195),1)</f>
        <v>5.1117512405610102</v>
      </c>
      <c r="AC195" s="79">
        <f>tbl_Data_old[[#This Row],[2032 ]]*IFERROR(AVERAGEIFS('Participation Adjustment'!$C:$C,'Participation Adjustment'!$A:$A,$H195,'Participation Adjustment'!$B:$B,$I195),1)</f>
        <v>5.4238249571355297</v>
      </c>
      <c r="AD195" s="79">
        <f>tbl_Data_old[[#This Row],[2033 ]]*IFERROR(AVERAGEIFS('Participation Adjustment'!$C:$C,'Participation Adjustment'!$A:$A,$H195,'Participation Adjustment'!$B:$B,$I195),1)</f>
        <v>5.7647914868298198</v>
      </c>
      <c r="AE195" s="79">
        <f>tbl_Data_old[[#This Row],[2034 ]]*IFERROR(AVERAGEIFS('Participation Adjustment'!$C:$C,'Participation Adjustment'!$A:$A,$H195,'Participation Adjustment'!$B:$B,$I195),1)</f>
        <v>6.1369491227594599</v>
      </c>
      <c r="AF195" s="77" t="str">
        <f t="shared" si="88"/>
        <v>Residential</v>
      </c>
      <c r="AG195" s="77" t="str">
        <f>tbl_Data[[#This Row],[All_Meas_Name_Append]]</f>
        <v>Heat Pump Water Heater 50 Gallons- CEE Advanced Tier</v>
      </c>
      <c r="AH195" s="77">
        <f>AVERAGEIFS('3. Incentive Adjustment'!G:G,'3. Incentive Adjustment'!A:A,tbl_Data[[#This Row],[Trimmed Sector]],'3. Incentive Adjustment'!B:B,tbl_Data[[#This Row],[Trimmed Measure Name]])</f>
        <v>0.46049099596140497</v>
      </c>
      <c r="AI195" s="77">
        <f>$AH195*tbl_Data[[#This Row],[2025 ]]</f>
        <v>1.489850417684415</v>
      </c>
      <c r="AJ195" s="77">
        <f>$AH195*tbl_Data[[#This Row],[2026 ]]</f>
        <v>1.6568890063281434</v>
      </c>
      <c r="AK195" s="77">
        <f>$AH195*tbl_Data[[#This Row],[2027 ]]</f>
        <v>1.8108205140988614</v>
      </c>
      <c r="AL195" s="77">
        <f>$AH195*tbl_Data[[#This Row],[2028 ]]</f>
        <v>1.9563640057920391</v>
      </c>
      <c r="AM195" s="77">
        <f>$AH195*tbl_Data[[#This Row],[2029 ]]</f>
        <v>2.0949352034927045</v>
      </c>
      <c r="AN195" s="77">
        <f>$AH195*tbl_Data[[#This Row],[2030 ]]</f>
        <v>2.2216218385648556</v>
      </c>
      <c r="AO195" s="77">
        <f>$AH195*tbl_Data[[#This Row],[2031 ]]</f>
        <v>2.3539154198728869</v>
      </c>
      <c r="AP195" s="77">
        <f>$AH195*tbl_Data[[#This Row],[2032 ]]</f>
        <v>2.4976225564316645</v>
      </c>
      <c r="AQ195" s="77">
        <f>$AH195*tbl_Data[[#This Row],[2033 ]]</f>
        <v>2.6546345732800924</v>
      </c>
      <c r="AR195" s="77">
        <f>$AH195*tbl_Data[[#This Row],[2034 ]]</f>
        <v>2.8260098137039744</v>
      </c>
      <c r="AS195" s="77">
        <f>SUM(tbl_Data[[#This Row],[Adjusted 2025]:[Adjusted 2034]])</f>
        <v>21.56266334924964</v>
      </c>
      <c r="AT195" s="80">
        <f>AVERAGEIFS('3. Incentive Adjustment'!F:F,'3. Incentive Adjustment'!A:A,tbl_Data[[#This Row],[Trimmed Sector]],'3. Incentive Adjustment'!B:B,tbl_Data[[#This Row],[Trimmed Measure Name]])</f>
        <v>500</v>
      </c>
      <c r="AU195" s="80">
        <f>IFERROR(VLOOKUP(tbl_Data[[#This Row],[All_Meas_Name_Append]],'IRA Tax Credits'!$A$3:$D$46,4,0),0)</f>
        <v>1666.6666666666667</v>
      </c>
      <c r="AV195" s="81">
        <f>tbl_Data[[#This Row],[Adj. per unit Incentive ($)]]/tbl_Data[[#This Row],[kWh Savings]]*tbl_Data[[#This Row],[Sum of Annuals]]</f>
        <v>6.4826329434763101</v>
      </c>
      <c r="AW195" s="81">
        <f>IFERROR(VLOOKUP(tbl_Data[[#This Row],[Column1]],'1. Set Program Names'!$B$2:$D$15,3,0)*tbl_Data[[#This Row],[Sum of Annuals]],"")</f>
        <v>9.7166231966476371</v>
      </c>
      <c r="AX195" s="81">
        <f>tbl_Data[[#This Row],[per unit IRA tax ($)]]/tbl_Data[[#This Row],[kWh Savings]]*tbl_Data[[#This Row],[Sum of Annuals]]</f>
        <v>21.608776478254367</v>
      </c>
      <c r="AY195" s="81">
        <f>tbl_Data[[#This Row],[Avoided Costs ($/unit)]]/tbl_Data[[#This Row],[kWh Savings]]*tbl_Data[[#This Row],[Sum of Annuals]]</f>
        <v>10.267992308277226</v>
      </c>
      <c r="AZ195" s="81">
        <f>tbl_Data[[#This Row],[Lost Revenue ($/unit)]]/tbl_Data[[#This Row],[kWh Savings]]*tbl_Data[[#This Row],[Sum of Annuals]]</f>
        <v>27.58346612153742</v>
      </c>
      <c r="BA195" s="81">
        <f>tbl_Data[[#This Row],[Incremental Cost ($/unit)]]/tbl_Data[[#This Row],[kWh Savings]]*tbl_Data[[#This Row],[Sum of Annuals]]</f>
        <v>18.015236949920663</v>
      </c>
      <c r="BB195" s="77">
        <f>ROUNDUP(tbl_Data[[#This Row],[Adjusted 2025]]/$L195,0)</f>
        <v>1</v>
      </c>
      <c r="BC195" s="77">
        <f>ROUNDUP(tbl_Data[[#This Row],[Adjusted 2026]]/$L195,0)</f>
        <v>1</v>
      </c>
      <c r="BD195" s="77">
        <f>ROUNDUP(tbl_Data[[#This Row],[Adjusted 2027]]/$L195,0)</f>
        <v>1</v>
      </c>
      <c r="BE195" s="77">
        <f>ROUNDUP(tbl_Data[[#This Row],[Adjusted 2028]]/$L195,0)</f>
        <v>1</v>
      </c>
      <c r="BF195" s="77">
        <f>ROUNDUP(tbl_Data[[#This Row],[Adjusted 2029]]/$L195,0)</f>
        <v>1</v>
      </c>
      <c r="BG195" s="77">
        <f>ROUNDUP(tbl_Data[[#This Row],[Adjusted 2030]]/$L195,0)</f>
        <v>1</v>
      </c>
      <c r="BH195" s="77">
        <f>ROUNDUP(tbl_Data[[#This Row],[Adjusted 2031]]/$L195,0)</f>
        <v>1</v>
      </c>
      <c r="BI195" s="77">
        <f>ROUNDUP(tbl_Data[[#This Row],[Adjusted 2032]]/$L195,0)</f>
        <v>1</v>
      </c>
      <c r="BJ195" s="77">
        <f>ROUNDUP(tbl_Data[[#This Row],[Adjusted 2033]]/$L195,0)</f>
        <v>1</v>
      </c>
      <c r="BK195" s="77">
        <f>ROUNDUP(tbl_Data[[#This Row],[Adjusted 2034]]/$L195,0)</f>
        <v>1</v>
      </c>
      <c r="BL195" s="80">
        <f t="shared" si="89"/>
        <v>0.97268127116019987</v>
      </c>
      <c r="BM195" s="80">
        <f t="shared" si="90"/>
        <v>1.0817360492816928</v>
      </c>
      <c r="BN195" s="80">
        <f t="shared" si="91"/>
        <v>1.1822335843850749</v>
      </c>
      <c r="BO195" s="80">
        <f t="shared" si="92"/>
        <v>1.2772548206305525</v>
      </c>
      <c r="BP195" s="80">
        <f t="shared" si="93"/>
        <v>1.3677240429939383</v>
      </c>
      <c r="BQ195" s="80">
        <f t="shared" si="94"/>
        <v>1.4504341699827339</v>
      </c>
      <c r="BR195" s="80">
        <f t="shared" si="95"/>
        <v>1.5368049138544779</v>
      </c>
      <c r="BS195" s="80">
        <f t="shared" si="96"/>
        <v>1.6306272456829563</v>
      </c>
      <c r="BT195" s="80">
        <f t="shared" si="97"/>
        <v>1.7331359581837207</v>
      </c>
      <c r="BU195" s="80">
        <f t="shared" si="98"/>
        <v>1.8450220138053097</v>
      </c>
      <c r="BV195" s="80">
        <f>IFERROR(VLOOKUP($H195,'1. Set Program Names'!$B$2:$D$15,3,0)*V195,"NA")</f>
        <v>1.4579226503655345</v>
      </c>
      <c r="BW195" s="80">
        <f>IFERROR(VLOOKUP($H195,'1. Set Program Names'!$B$2:$D$15,3,0)*W195,"NA")</f>
        <v>1.6213815714613085</v>
      </c>
      <c r="BX195" s="80">
        <f>IFERROR(VLOOKUP($H195,'1. Set Program Names'!$B$2:$D$15,3,0)*X195,"NA")</f>
        <v>1.7720142988277583</v>
      </c>
      <c r="BY195" s="80">
        <f>IFERROR(VLOOKUP($H195,'1. Set Program Names'!$B$2:$D$15,3,0)*Y195,"NA")</f>
        <v>1.9144387668374849</v>
      </c>
      <c r="BZ195" s="80">
        <f>IFERROR(VLOOKUP($H195,'1. Set Program Names'!$B$2:$D$15,3,0)*Z195,"NA")</f>
        <v>2.0500403583919429</v>
      </c>
      <c r="CA195" s="80">
        <f>IFERROR(VLOOKUP($H195,'1. Set Program Names'!$B$2:$D$15,3,0)*AA195,"NA")</f>
        <v>2.1740120756716874</v>
      </c>
      <c r="CB195" s="80">
        <f>IFERROR(VLOOKUP($H195,'1. Set Program Names'!$B$2:$D$15,3,0)*AB195,"NA")</f>
        <v>2.3034705813025589</v>
      </c>
      <c r="CC195" s="80">
        <f>IFERROR(VLOOKUP($H195,'1. Set Program Names'!$B$2:$D$15,3,0)*AC195,"NA")</f>
        <v>2.4440980476047462</v>
      </c>
      <c r="CD195" s="80">
        <f>IFERROR(VLOOKUP($H195,'1. Set Program Names'!$B$2:$D$15,3,0)*AD195,"NA")</f>
        <v>2.5977452681751716</v>
      </c>
      <c r="CE195" s="80">
        <f>IFERROR(VLOOKUP($H195,'1. Set Program Names'!$B$2:$D$15,3,0)*AE195,"NA")</f>
        <v>2.7654479058091872</v>
      </c>
    </row>
    <row r="196" spans="1:83" x14ac:dyDescent="0.25">
      <c r="A196" s="79" t="s">
        <v>116</v>
      </c>
      <c r="B196" s="79" t="s">
        <v>88</v>
      </c>
      <c r="C196" s="79" t="s">
        <v>89</v>
      </c>
      <c r="D196" s="79" t="s">
        <v>90</v>
      </c>
      <c r="E196" s="79" t="s">
        <v>91</v>
      </c>
      <c r="F196" s="79" t="s">
        <v>90</v>
      </c>
      <c r="G196" s="79" t="s">
        <v>92</v>
      </c>
      <c r="H196" s="79" t="s">
        <v>9</v>
      </c>
      <c r="I196" s="79" t="s">
        <v>109</v>
      </c>
      <c r="J196" s="79" t="s">
        <v>94</v>
      </c>
      <c r="K196" s="79" t="s">
        <v>95</v>
      </c>
      <c r="L196" s="79">
        <v>1590.11499999999</v>
      </c>
      <c r="M196" s="79">
        <v>6.3722388822036402E-2</v>
      </c>
      <c r="N196" s="79">
        <v>0.29557957027655002</v>
      </c>
      <c r="O196" s="79">
        <v>1389.5</v>
      </c>
      <c r="P196" s="79">
        <v>1006.47372867305</v>
      </c>
      <c r="Q196" s="79">
        <v>477.694492685044</v>
      </c>
      <c r="R196" s="79">
        <v>757.20185047754296</v>
      </c>
      <c r="S196" s="79">
        <v>2034.1125083407001</v>
      </c>
      <c r="T196" s="79">
        <v>15</v>
      </c>
      <c r="U196" s="79">
        <v>0.2</v>
      </c>
      <c r="V196" s="79">
        <f>tbl_Data_old[[#This Row],[2025 ]]*IFERROR(AVERAGEIFS('Participation Adjustment'!$C:$C,'Participation Adjustment'!$A:$A,$H196,'Participation Adjustment'!$B:$B,$I196),1)</f>
        <v>4.6235535078983103</v>
      </c>
      <c r="W196" s="79">
        <f>tbl_Data_old[[#This Row],[2026 ]]*IFERROR(AVERAGEIFS('Participation Adjustment'!$C:$C,'Participation Adjustment'!$A:$A,$H196,'Participation Adjustment'!$B:$B,$I196),1)</f>
        <v>5.1398274125378904</v>
      </c>
      <c r="X196" s="79">
        <f>tbl_Data_old[[#This Row],[2027 ]]*IFERROR(AVERAGEIFS('Participation Adjustment'!$C:$C,'Participation Adjustment'!$A:$A,$H196,'Participation Adjustment'!$B:$B,$I196),1)</f>
        <v>5.6152678858813898</v>
      </c>
      <c r="Y196" s="79">
        <f>tbl_Data_old[[#This Row],[2028 ]]*IFERROR(AVERAGEIFS('Participation Adjustment'!$C:$C,'Participation Adjustment'!$A:$A,$H196,'Participation Adjustment'!$B:$B,$I196),1)</f>
        <v>6.0645900180257399</v>
      </c>
      <c r="Z196" s="79">
        <f>tbl_Data_old[[#This Row],[2029 ]]*IFERROR(AVERAGEIFS('Participation Adjustment'!$C:$C,'Participation Adjustment'!$A:$A,$H196,'Participation Adjustment'!$B:$B,$I196),1)</f>
        <v>6.49223920543088</v>
      </c>
      <c r="AA196" s="79">
        <f>tbl_Data_old[[#This Row],[2030 ]]*IFERROR(AVERAGEIFS('Participation Adjustment'!$C:$C,'Participation Adjustment'!$A:$A,$H196,'Participation Adjustment'!$B:$B,$I196),1)</f>
        <v>6.8830400170333599</v>
      </c>
      <c r="AB196" s="79">
        <f>tbl_Data_old[[#This Row],[2031 ]]*IFERROR(AVERAGEIFS('Participation Adjustment'!$C:$C,'Participation Adjustment'!$A:$A,$H196,'Participation Adjustment'!$B:$B,$I196),1)</f>
        <v>7.2912177938897402</v>
      </c>
      <c r="AC196" s="79">
        <f>tbl_Data_old[[#This Row],[2032 ]]*IFERROR(AVERAGEIFS('Participation Adjustment'!$C:$C,'Participation Adjustment'!$A:$A,$H196,'Participation Adjustment'!$B:$B,$I196),1)</f>
        <v>7.7347569237645502</v>
      </c>
      <c r="AD196" s="79">
        <f>tbl_Data_old[[#This Row],[2033 ]]*IFERROR(AVERAGEIFS('Participation Adjustment'!$C:$C,'Participation Adjustment'!$A:$A,$H196,'Participation Adjustment'!$B:$B,$I196),1)</f>
        <v>8.2195052200574192</v>
      </c>
      <c r="AE196" s="79">
        <f>tbl_Data_old[[#This Row],[2034 ]]*IFERROR(AVERAGEIFS('Participation Adjustment'!$C:$C,'Participation Adjustment'!$A:$A,$H196,'Participation Adjustment'!$B:$B,$I196),1)</f>
        <v>8.7487297116510092</v>
      </c>
      <c r="AF196" s="77" t="str">
        <f t="shared" si="88"/>
        <v>Residential</v>
      </c>
      <c r="AG196" s="77" t="str">
        <f>tbl_Data[[#This Row],[All_Meas_Name_Append]]</f>
        <v>Heat Pump Water Heater 50 Gallons-ENERGY STAR</v>
      </c>
      <c r="AH196" s="77">
        <f>AVERAGEIFS('3. Incentive Adjustment'!G:G,'3. Incentive Adjustment'!A:A,tbl_Data[[#This Row],[Trimmed Sector]],'3. Incentive Adjustment'!B:B,tbl_Data[[#This Row],[Trimmed Measure Name]])</f>
        <v>0.43153525594917136</v>
      </c>
      <c r="AI196" s="77">
        <f>$AH196*tbl_Data[[#This Row],[2025 ]]</f>
        <v>1.9952263464255864</v>
      </c>
      <c r="AJ196" s="77">
        <f>$AH196*tbl_Data[[#This Row],[2026 ]]</f>
        <v>2.2180167380041058</v>
      </c>
      <c r="AK196" s="77">
        <f>$AH196*tbl_Data[[#This Row],[2027 ]]</f>
        <v>2.423186064356988</v>
      </c>
      <c r="AL196" s="77">
        <f>$AH196*tbl_Data[[#This Row],[2028 ]]</f>
        <v>2.6170844056555276</v>
      </c>
      <c r="AM196" s="77">
        <f>$AH196*tbl_Data[[#This Row],[2029 ]]</f>
        <v>2.8016301071988599</v>
      </c>
      <c r="AN196" s="77">
        <f>$AH196*tbl_Data[[#This Row],[2030 ]]</f>
        <v>2.9702744354588799</v>
      </c>
      <c r="AO196" s="77">
        <f>$AH196*tbl_Data[[#This Row],[2031 ]]</f>
        <v>3.1464175368673617</v>
      </c>
      <c r="AP196" s="77">
        <f>$AH196*tbl_Data[[#This Row],[2032 ]]</f>
        <v>3.3378203088013603</v>
      </c>
      <c r="AQ196" s="77">
        <f>$AH196*tbl_Data[[#This Row],[2033 ]]</f>
        <v>3.5470062889130283</v>
      </c>
      <c r="AR196" s="77">
        <f>$AH196*tbl_Data[[#This Row],[2034 ]]</f>
        <v>3.7753853153474384</v>
      </c>
      <c r="AS196" s="77">
        <f>SUM(tbl_Data[[#This Row],[Adjusted 2025]:[Adjusted 2034]])</f>
        <v>28.832047547029134</v>
      </c>
      <c r="AT196" s="80">
        <f>AVERAGEIFS('3. Incentive Adjustment'!F:F,'3. Incentive Adjustment'!A:A,tbl_Data[[#This Row],[Trimmed Sector]],'3. Incentive Adjustment'!B:B,tbl_Data[[#This Row],[Trimmed Measure Name]])</f>
        <v>500</v>
      </c>
      <c r="AU196" s="80">
        <f>IFERROR(VLOOKUP(tbl_Data[[#This Row],[All_Meas_Name_Append]],'IRA Tax Credits'!$A$3:$D$46,4,0),0)</f>
        <v>1666.6666666666667</v>
      </c>
      <c r="AV196" s="81">
        <f>tbl_Data[[#This Row],[Adj. per unit Incentive ($)]]/tbl_Data[[#This Row],[kWh Savings]]*tbl_Data[[#This Row],[Sum of Annuals]]</f>
        <v>9.0660258997082952</v>
      </c>
      <c r="AW196" s="81">
        <f>IFERROR(VLOOKUP(tbl_Data[[#This Row],[Column1]],'1. Set Program Names'!$B$2:$D$15,3,0)*tbl_Data[[#This Row],[Sum of Annuals]],"")</f>
        <v>12.99237192849184</v>
      </c>
      <c r="AX196" s="81">
        <f>tbl_Data[[#This Row],[per unit IRA tax ($)]]/tbl_Data[[#This Row],[kWh Savings]]*tbl_Data[[#This Row],[Sum of Annuals]]</f>
        <v>30.220086332360985</v>
      </c>
      <c r="AY196" s="81">
        <f>tbl_Data[[#This Row],[Avoided Costs ($/unit)]]/tbl_Data[[#This Row],[kWh Savings]]*tbl_Data[[#This Row],[Sum of Annuals]]</f>
        <v>13.729623175472907</v>
      </c>
      <c r="AZ196" s="81">
        <f>tbl_Data[[#This Row],[Lost Revenue ($/unit)]]/tbl_Data[[#This Row],[kWh Savings]]*tbl_Data[[#This Row],[Sum of Annuals]]</f>
        <v>36.882633367074796</v>
      </c>
      <c r="BA196" s="81">
        <f>tbl_Data[[#This Row],[Incremental Cost ($/unit)]]/tbl_Data[[#This Row],[kWh Savings]]*tbl_Data[[#This Row],[Sum of Annuals]]</f>
        <v>25.194485975289357</v>
      </c>
      <c r="BB196" s="77">
        <f>ROUNDUP(tbl_Data[[#This Row],[Adjusted 2025]]/$L196,0)</f>
        <v>1</v>
      </c>
      <c r="BC196" s="77">
        <f>ROUNDUP(tbl_Data[[#This Row],[Adjusted 2026]]/$L196,0)</f>
        <v>1</v>
      </c>
      <c r="BD196" s="77">
        <f>ROUNDUP(tbl_Data[[#This Row],[Adjusted 2027]]/$L196,0)</f>
        <v>1</v>
      </c>
      <c r="BE196" s="77">
        <f>ROUNDUP(tbl_Data[[#This Row],[Adjusted 2028]]/$L196,0)</f>
        <v>1</v>
      </c>
      <c r="BF196" s="77">
        <f>ROUNDUP(tbl_Data[[#This Row],[Adjusted 2029]]/$L196,0)</f>
        <v>1</v>
      </c>
      <c r="BG196" s="77">
        <f>ROUNDUP(tbl_Data[[#This Row],[Adjusted 2030]]/$L196,0)</f>
        <v>1</v>
      </c>
      <c r="BH196" s="77">
        <f>ROUNDUP(tbl_Data[[#This Row],[Adjusted 2031]]/$L196,0)</f>
        <v>1</v>
      </c>
      <c r="BI196" s="77">
        <f>ROUNDUP(tbl_Data[[#This Row],[Adjusted 2032]]/$L196,0)</f>
        <v>1</v>
      </c>
      <c r="BJ196" s="77">
        <f>ROUNDUP(tbl_Data[[#This Row],[Adjusted 2033]]/$L196,0)</f>
        <v>1</v>
      </c>
      <c r="BK196" s="77">
        <f>ROUNDUP(tbl_Data[[#This Row],[Adjusted 2034]]/$L196,0)</f>
        <v>1</v>
      </c>
      <c r="BL196" s="80">
        <f t="shared" si="89"/>
        <v>1.4538424918632737</v>
      </c>
      <c r="BM196" s="80">
        <f t="shared" si="90"/>
        <v>1.6161810348741827</v>
      </c>
      <c r="BN196" s="80">
        <f t="shared" si="91"/>
        <v>1.7656798048824849</v>
      </c>
      <c r="BO196" s="80">
        <f t="shared" si="92"/>
        <v>1.9069658540501089</v>
      </c>
      <c r="BP196" s="80">
        <f t="shared" si="93"/>
        <v>2.0414370046917738</v>
      </c>
      <c r="BQ196" s="80">
        <f t="shared" si="94"/>
        <v>2.1643214538047255</v>
      </c>
      <c r="BR196" s="80">
        <f t="shared" si="95"/>
        <v>2.2926699622007796</v>
      </c>
      <c r="BS196" s="80">
        <f t="shared" si="96"/>
        <v>2.4321375887167274</v>
      </c>
      <c r="BT196" s="80">
        <f t="shared" si="97"/>
        <v>2.5845631353887835</v>
      </c>
      <c r="BU196" s="80">
        <f t="shared" si="98"/>
        <v>2.7509738954890253</v>
      </c>
      <c r="BV196" s="80">
        <f>IFERROR(VLOOKUP($H196,'1. Set Program Names'!$B$2:$D$15,3,0)*V196,"NA")</f>
        <v>2.0834776547837555</v>
      </c>
      <c r="BW196" s="80">
        <f>IFERROR(VLOOKUP($H196,'1. Set Program Names'!$B$2:$D$15,3,0)*W196,"NA")</f>
        <v>2.3161223386242309</v>
      </c>
      <c r="BX196" s="80">
        <f>IFERROR(VLOOKUP($H196,'1. Set Program Names'!$B$2:$D$15,3,0)*X196,"NA")</f>
        <v>2.5303665559126922</v>
      </c>
      <c r="BY196" s="80">
        <f>IFERROR(VLOOKUP($H196,'1. Set Program Names'!$B$2:$D$15,3,0)*Y196,"NA")</f>
        <v>2.7328412586544988</v>
      </c>
      <c r="BZ196" s="80">
        <f>IFERROR(VLOOKUP($H196,'1. Set Program Names'!$B$2:$D$15,3,0)*Z196,"NA")</f>
        <v>2.9255496429141314</v>
      </c>
      <c r="CA196" s="80">
        <f>IFERROR(VLOOKUP($H196,'1. Set Program Names'!$B$2:$D$15,3,0)*AA196,"NA")</f>
        <v>3.1016533166478086</v>
      </c>
      <c r="CB196" s="80">
        <f>IFERROR(VLOOKUP($H196,'1. Set Program Names'!$B$2:$D$15,3,0)*AB196,"NA")</f>
        <v>3.2855874434632137</v>
      </c>
      <c r="CC196" s="80">
        <f>IFERROR(VLOOKUP($H196,'1. Set Program Names'!$B$2:$D$15,3,0)*AC196,"NA")</f>
        <v>3.4854561947467819</v>
      </c>
      <c r="CD196" s="80">
        <f>IFERROR(VLOOKUP($H196,'1. Set Program Names'!$B$2:$D$15,3,0)*AD196,"NA")</f>
        <v>3.7038947273160256</v>
      </c>
      <c r="CE196" s="80">
        <f>IFERROR(VLOOKUP($H196,'1. Set Program Names'!$B$2:$D$15,3,0)*AE196,"NA")</f>
        <v>3.9423752381862784</v>
      </c>
    </row>
    <row r="197" spans="1:83" x14ac:dyDescent="0.25">
      <c r="A197" s="79" t="s">
        <v>116</v>
      </c>
      <c r="B197" s="79" t="s">
        <v>88</v>
      </c>
      <c r="C197" s="79" t="s">
        <v>89</v>
      </c>
      <c r="D197" s="79" t="s">
        <v>90</v>
      </c>
      <c r="E197" s="79" t="s">
        <v>91</v>
      </c>
      <c r="F197" s="79" t="s">
        <v>90</v>
      </c>
      <c r="G197" s="79" t="s">
        <v>92</v>
      </c>
      <c r="H197" s="79" t="s">
        <v>9</v>
      </c>
      <c r="I197" s="79" t="s">
        <v>110</v>
      </c>
      <c r="J197" s="79" t="s">
        <v>94</v>
      </c>
      <c r="K197" s="79" t="s">
        <v>108</v>
      </c>
      <c r="L197" s="79">
        <v>461.909999999999</v>
      </c>
      <c r="M197" s="79">
        <v>1.8510616289253799E-2</v>
      </c>
      <c r="N197" s="79">
        <v>8.5862443475120898E-2</v>
      </c>
      <c r="O197" s="79">
        <v>1729.5</v>
      </c>
      <c r="P197" s="79">
        <v>1631.9996867488601</v>
      </c>
      <c r="Q197" s="79">
        <v>138.764720234794</v>
      </c>
      <c r="R197" s="79">
        <v>219.958372038552</v>
      </c>
      <c r="S197" s="79">
        <v>590.88613636602201</v>
      </c>
      <c r="T197" s="79">
        <v>15</v>
      </c>
      <c r="U197" s="79">
        <v>0.2</v>
      </c>
      <c r="V197" s="79">
        <f>tbl_Data_old[[#This Row],[2025 ]]*IFERROR(AVERAGEIFS('Participation Adjustment'!$C:$C,'Participation Adjustment'!$A:$A,$H197,'Participation Adjustment'!$B:$B,$I197),1)</f>
        <v>2.48711855099197</v>
      </c>
      <c r="W197" s="79">
        <f>tbl_Data_old[[#This Row],[2026 ]]*IFERROR(AVERAGEIFS('Participation Adjustment'!$C:$C,'Participation Adjustment'!$A:$A,$H197,'Participation Adjustment'!$B:$B,$I197),1)</f>
        <v>2.7664579790221899</v>
      </c>
      <c r="X197" s="79">
        <f>tbl_Data_old[[#This Row],[2027 ]]*IFERROR(AVERAGEIFS('Participation Adjustment'!$C:$C,'Participation Adjustment'!$A:$A,$H197,'Participation Adjustment'!$B:$B,$I197),1)</f>
        <v>3.02394941596142</v>
      </c>
      <c r="Y197" s="79">
        <f>tbl_Data_old[[#This Row],[2028 ]]*IFERROR(AVERAGEIFS('Participation Adjustment'!$C:$C,'Participation Adjustment'!$A:$A,$H197,'Participation Adjustment'!$B:$B,$I197),1)</f>
        <v>3.26745395760511</v>
      </c>
      <c r="Z197" s="79">
        <f>tbl_Data_old[[#This Row],[2029 ]]*IFERROR(AVERAGEIFS('Participation Adjustment'!$C:$C,'Participation Adjustment'!$A:$A,$H197,'Participation Adjustment'!$B:$B,$I197),1)</f>
        <v>3.4993226565878799</v>
      </c>
      <c r="AA197" s="79">
        <f>tbl_Data_old[[#This Row],[2030 ]]*IFERROR(AVERAGEIFS('Participation Adjustment'!$C:$C,'Participation Adjustment'!$A:$A,$H197,'Participation Adjustment'!$B:$B,$I197),1)</f>
        <v>3.7113390861890698</v>
      </c>
      <c r="AB197" s="79">
        <f>tbl_Data_old[[#This Row],[2031 ]]*IFERROR(AVERAGEIFS('Participation Adjustment'!$C:$C,'Participation Adjustment'!$A:$A,$H197,'Participation Adjustment'!$B:$B,$I197),1)</f>
        <v>3.9327161908293</v>
      </c>
      <c r="AC197" s="79">
        <f>tbl_Data_old[[#This Row],[2032 ]]*IFERROR(AVERAGEIFS('Participation Adjustment'!$C:$C,'Participation Adjustment'!$A:$A,$H197,'Participation Adjustment'!$B:$B,$I197),1)</f>
        <v>4.1731553809056701</v>
      </c>
      <c r="AD197" s="79">
        <f>tbl_Data_old[[#This Row],[2033 ]]*IFERROR(AVERAGEIFS('Participation Adjustment'!$C:$C,'Participation Adjustment'!$A:$A,$H197,'Participation Adjustment'!$B:$B,$I197),1)</f>
        <v>4.4358187445667303</v>
      </c>
      <c r="AE197" s="79">
        <f>tbl_Data_old[[#This Row],[2034 ]]*IFERROR(AVERAGEIFS('Participation Adjustment'!$C:$C,'Participation Adjustment'!$A:$A,$H197,'Participation Adjustment'!$B:$B,$I197),1)</f>
        <v>4.7224768148557601</v>
      </c>
      <c r="AF197" s="77" t="str">
        <f t="shared" si="88"/>
        <v>Residential</v>
      </c>
      <c r="AG197" s="77" t="str">
        <f>tbl_Data[[#This Row],[All_Meas_Name_Append]]</f>
        <v>Heat Pump Water Heater 80 Gallons-ENERGY STAR</v>
      </c>
      <c r="AH197" s="77">
        <f>AVERAGEIFS('3. Incentive Adjustment'!G:G,'3. Incentive Adjustment'!A:A,tbl_Data[[#This Row],[Trimmed Sector]],'3. Incentive Adjustment'!B:B,tbl_Data[[#This Row],[Trimmed Measure Name]])</f>
        <v>1.5551101216712928E-3</v>
      </c>
      <c r="AI197" s="77">
        <f>$AH197*tbl_Data[[#This Row],[2025 ]]</f>
        <v>3.8677432324440517E-3</v>
      </c>
      <c r="AJ197" s="77">
        <f>$AH197*tbl_Data[[#This Row],[2026 ]]</f>
        <v>4.3021468043557163E-3</v>
      </c>
      <c r="AK197" s="77">
        <f>$AH197*tbl_Data[[#This Row],[2027 ]]</f>
        <v>4.7025743441835985E-3</v>
      </c>
      <c r="AL197" s="77">
        <f>$AH197*tbl_Data[[#This Row],[2028 ]]</f>
        <v>5.0812507215666301E-3</v>
      </c>
      <c r="AM197" s="77">
        <f>$AH197*tbl_Data[[#This Row],[2029 ]]</f>
        <v>5.4418320822534894E-3</v>
      </c>
      <c r="AN197" s="77">
        <f>$AH197*tbl_Data[[#This Row],[2030 ]]</f>
        <v>5.771540977886909E-3</v>
      </c>
      <c r="AO197" s="77">
        <f>$AH197*tbl_Data[[#This Row],[2031 ]]</f>
        <v>6.1158067540192157E-3</v>
      </c>
      <c r="AP197" s="77">
        <f>$AH197*tbl_Data[[#This Row],[2032 ]]</f>
        <v>6.4897161721534265E-3</v>
      </c>
      <c r="AQ197" s="77">
        <f>$AH197*tbl_Data[[#This Row],[2033 ]]</f>
        <v>6.8981866275749692E-3</v>
      </c>
      <c r="AR197" s="77">
        <f>$AH197*tbl_Data[[#This Row],[2034 ]]</f>
        <v>7.3439714941402005E-3</v>
      </c>
      <c r="AS197" s="77">
        <f>SUM(tbl_Data[[#This Row],[Adjusted 2025]:[Adjusted 2034]])</f>
        <v>5.6014769210578214E-2</v>
      </c>
      <c r="AT197" s="80">
        <f>AVERAGEIFS('3. Incentive Adjustment'!F:F,'3. Incentive Adjustment'!A:A,tbl_Data[[#This Row],[Trimmed Sector]],'3. Incentive Adjustment'!B:B,tbl_Data[[#This Row],[Trimmed Measure Name]])</f>
        <v>500</v>
      </c>
      <c r="AU197" s="80">
        <f>IFERROR(VLOOKUP(tbl_Data[[#This Row],[All_Meas_Name_Append]],'IRA Tax Credits'!$A$3:$D$46,4,0),0)</f>
        <v>1666.6666666666667</v>
      </c>
      <c r="AV197" s="81">
        <f>tbl_Data[[#This Row],[Adj. per unit Incentive ($)]]/tbl_Data[[#This Row],[kWh Savings]]*tbl_Data[[#This Row],[Sum of Annuals]]</f>
        <v>6.0633856390398928E-2</v>
      </c>
      <c r="AW197" s="81">
        <f>IFERROR(VLOOKUP(tbl_Data[[#This Row],[Column1]],'1. Set Program Names'!$B$2:$D$15,3,0)*tbl_Data[[#This Row],[Sum of Annuals]],"")</f>
        <v>2.5241520356311102E-2</v>
      </c>
      <c r="AX197" s="81">
        <f>tbl_Data[[#This Row],[per unit IRA tax ($)]]/tbl_Data[[#This Row],[kWh Savings]]*tbl_Data[[#This Row],[Sum of Annuals]]</f>
        <v>0.20211285463466308</v>
      </c>
      <c r="AY197" s="81">
        <f>tbl_Data[[#This Row],[Avoided Costs ($/unit)]]/tbl_Data[[#This Row],[kWh Savings]]*tbl_Data[[#This Row],[Sum of Annuals]]</f>
        <v>2.6673848684103003E-2</v>
      </c>
      <c r="AZ197" s="81">
        <f>tbl_Data[[#This Row],[Lost Revenue ($/unit)]]/tbl_Data[[#This Row],[kWh Savings]]*tbl_Data[[#This Row],[Sum of Annuals]]</f>
        <v>7.1655410270990108E-2</v>
      </c>
      <c r="BA197" s="81">
        <f>tbl_Data[[#This Row],[Incremental Cost ($/unit)]]/tbl_Data[[#This Row],[kWh Savings]]*tbl_Data[[#This Row],[Sum of Annuals]]</f>
        <v>0.20973250925438988</v>
      </c>
      <c r="BB197" s="77">
        <f>ROUNDUP(tbl_Data[[#This Row],[Adjusted 2025]]/$L197,0)</f>
        <v>1</v>
      </c>
      <c r="BC197" s="77">
        <f>ROUNDUP(tbl_Data[[#This Row],[Adjusted 2026]]/$L197,0)</f>
        <v>1</v>
      </c>
      <c r="BD197" s="77">
        <f>ROUNDUP(tbl_Data[[#This Row],[Adjusted 2027]]/$L197,0)</f>
        <v>1</v>
      </c>
      <c r="BE197" s="77">
        <f>ROUNDUP(tbl_Data[[#This Row],[Adjusted 2028]]/$L197,0)</f>
        <v>1</v>
      </c>
      <c r="BF197" s="77">
        <f>ROUNDUP(tbl_Data[[#This Row],[Adjusted 2029]]/$L197,0)</f>
        <v>1</v>
      </c>
      <c r="BG197" s="77">
        <f>ROUNDUP(tbl_Data[[#This Row],[Adjusted 2030]]/$L197,0)</f>
        <v>1</v>
      </c>
      <c r="BH197" s="77">
        <f>ROUNDUP(tbl_Data[[#This Row],[Adjusted 2031]]/$L197,0)</f>
        <v>1</v>
      </c>
      <c r="BI197" s="77">
        <f>ROUNDUP(tbl_Data[[#This Row],[Adjusted 2032]]/$L197,0)</f>
        <v>1</v>
      </c>
      <c r="BJ197" s="77">
        <f>ROUNDUP(tbl_Data[[#This Row],[Adjusted 2033]]/$L197,0)</f>
        <v>1</v>
      </c>
      <c r="BK197" s="77">
        <f>ROUNDUP(tbl_Data[[#This Row],[Adjusted 2034]]/$L197,0)</f>
        <v>1</v>
      </c>
      <c r="BL197" s="80">
        <f t="shared" si="89"/>
        <v>2.6922112002251257</v>
      </c>
      <c r="BM197" s="80">
        <f t="shared" si="90"/>
        <v>2.9945855026111103</v>
      </c>
      <c r="BN197" s="80">
        <f t="shared" si="91"/>
        <v>3.2733101859252094</v>
      </c>
      <c r="BO197" s="80">
        <f t="shared" si="92"/>
        <v>3.5368945872627973</v>
      </c>
      <c r="BP197" s="80">
        <f t="shared" si="93"/>
        <v>3.7878836316467361</v>
      </c>
      <c r="BQ197" s="80">
        <f t="shared" si="94"/>
        <v>4.0173833497749323</v>
      </c>
      <c r="BR197" s="80">
        <f t="shared" si="95"/>
        <v>4.2570156424728935</v>
      </c>
      <c r="BS197" s="80">
        <f t="shared" si="96"/>
        <v>4.5172819173710028</v>
      </c>
      <c r="BT197" s="80">
        <f t="shared" si="97"/>
        <v>4.801605014577234</v>
      </c>
      <c r="BU197" s="80">
        <f t="shared" si="98"/>
        <v>5.1119014687447457</v>
      </c>
      <c r="BV197" s="80">
        <f>IFERROR(VLOOKUP($H197,'1. Set Program Names'!$B$2:$D$15,3,0)*V197,"NA")</f>
        <v>1.1207518020366534</v>
      </c>
      <c r="BW197" s="80">
        <f>IFERROR(VLOOKUP($H197,'1. Set Program Names'!$B$2:$D$15,3,0)*W197,"NA")</f>
        <v>1.2466284584669998</v>
      </c>
      <c r="BX197" s="80">
        <f>IFERROR(VLOOKUP($H197,'1. Set Program Names'!$B$2:$D$15,3,0)*X197,"NA")</f>
        <v>1.362659916574837</v>
      </c>
      <c r="BY197" s="80">
        <f>IFERROR(VLOOKUP($H197,'1. Set Program Names'!$B$2:$D$15,3,0)*Y197,"NA")</f>
        <v>1.4723885637044349</v>
      </c>
      <c r="BZ197" s="80">
        <f>IFERROR(VLOOKUP($H197,'1. Set Program Names'!$B$2:$D$15,3,0)*Z197,"NA")</f>
        <v>1.5768738372822413</v>
      </c>
      <c r="CA197" s="80">
        <f>IFERROR(VLOOKUP($H197,'1. Set Program Names'!$B$2:$D$15,3,0)*AA197,"NA")</f>
        <v>1.6724132298223109</v>
      </c>
      <c r="CB197" s="80">
        <f>IFERROR(VLOOKUP($H197,'1. Set Program Names'!$B$2:$D$15,3,0)*AB197,"NA")</f>
        <v>1.7721707539886753</v>
      </c>
      <c r="CC197" s="80">
        <f>IFERROR(VLOOKUP($H197,'1. Set Program Names'!$B$2:$D$15,3,0)*AC197,"NA")</f>
        <v>1.8805180844570393</v>
      </c>
      <c r="CD197" s="80">
        <f>IFERROR(VLOOKUP($H197,'1. Set Program Names'!$B$2:$D$15,3,0)*AD197,"NA")</f>
        <v>1.9988801295773775</v>
      </c>
      <c r="CE197" s="80">
        <f>IFERROR(VLOOKUP($H197,'1. Set Program Names'!$B$2:$D$15,3,0)*AE197,"NA")</f>
        <v>2.1280547315345872</v>
      </c>
    </row>
    <row r="198" spans="1:83" x14ac:dyDescent="0.25">
      <c r="A198" s="79" t="s">
        <v>116</v>
      </c>
      <c r="B198" s="79" t="s">
        <v>88</v>
      </c>
      <c r="C198" s="79" t="s">
        <v>89</v>
      </c>
      <c r="D198" s="79" t="s">
        <v>90</v>
      </c>
      <c r="E198" s="79" t="s">
        <v>91</v>
      </c>
      <c r="F198" s="79" t="s">
        <v>90</v>
      </c>
      <c r="G198" s="79" t="s">
        <v>92</v>
      </c>
      <c r="H198" s="79"/>
      <c r="I198" s="79" t="s">
        <v>300</v>
      </c>
      <c r="J198" s="79" t="s">
        <v>120</v>
      </c>
      <c r="K198" s="79" t="s">
        <v>121</v>
      </c>
      <c r="L198" s="79">
        <v>1988.02171595288</v>
      </c>
      <c r="M198" s="79">
        <v>0.57653488407092901</v>
      </c>
      <c r="N198" s="79">
        <v>0.213799538654902</v>
      </c>
      <c r="O198" s="79">
        <v>1475.381509522</v>
      </c>
      <c r="P198" s="79">
        <v>647.28493209175997</v>
      </c>
      <c r="Q198" s="79">
        <v>597.23166252061401</v>
      </c>
      <c r="R198" s="79">
        <v>1282.4247459138801</v>
      </c>
      <c r="S198" s="79">
        <v>3005.0463968047102</v>
      </c>
      <c r="T198" s="79">
        <v>20</v>
      </c>
      <c r="U198" s="79">
        <v>1</v>
      </c>
      <c r="V198" s="79">
        <f>tbl_Data_old[[#This Row],[2025 ]]*IFERROR(AVERAGEIFS('Participation Adjustment'!$C:$C,'Participation Adjustment'!$A:$A,$H198,'Participation Adjustment'!$B:$B,$I198),1)</f>
        <v>21.846936654712199</v>
      </c>
      <c r="W198" s="79">
        <f>tbl_Data_old[[#This Row],[2026 ]]*IFERROR(AVERAGEIFS('Participation Adjustment'!$C:$C,'Participation Adjustment'!$A:$A,$H198,'Participation Adjustment'!$B:$B,$I198),1)</f>
        <v>23.286230445899498</v>
      </c>
      <c r="X198" s="79">
        <f>tbl_Data_old[[#This Row],[2027 ]]*IFERROR(AVERAGEIFS('Participation Adjustment'!$C:$C,'Participation Adjustment'!$A:$A,$H198,'Participation Adjustment'!$B:$B,$I198),1)</f>
        <v>24.012570753859698</v>
      </c>
      <c r="Y198" s="79">
        <f>tbl_Data_old[[#This Row],[2028 ]]*IFERROR(AVERAGEIFS('Participation Adjustment'!$C:$C,'Participation Adjustment'!$A:$A,$H198,'Participation Adjustment'!$B:$B,$I198),1)</f>
        <v>24.6173904123951</v>
      </c>
      <c r="Z198" s="79">
        <f>tbl_Data_old[[#This Row],[2029 ]]*IFERROR(AVERAGEIFS('Participation Adjustment'!$C:$C,'Participation Adjustment'!$A:$A,$H198,'Participation Adjustment'!$B:$B,$I198),1)</f>
        <v>25.411457617589399</v>
      </c>
      <c r="AA198" s="79">
        <f>tbl_Data_old[[#This Row],[2030 ]]*IFERROR(AVERAGEIFS('Participation Adjustment'!$C:$C,'Participation Adjustment'!$A:$A,$H198,'Participation Adjustment'!$B:$B,$I198),1)</f>
        <v>26.246147644169099</v>
      </c>
      <c r="AB198" s="79">
        <f>tbl_Data_old[[#This Row],[2031 ]]*IFERROR(AVERAGEIFS('Participation Adjustment'!$C:$C,'Participation Adjustment'!$A:$A,$H198,'Participation Adjustment'!$B:$B,$I198),1)</f>
        <v>27.372733016754299</v>
      </c>
      <c r="AC198" s="79">
        <f>tbl_Data_old[[#This Row],[2032 ]]*IFERROR(AVERAGEIFS('Participation Adjustment'!$C:$C,'Participation Adjustment'!$A:$A,$H198,'Participation Adjustment'!$B:$B,$I198),1)</f>
        <v>28.665202403892099</v>
      </c>
      <c r="AD198" s="79">
        <f>tbl_Data_old[[#This Row],[2033 ]]*IFERROR(AVERAGEIFS('Participation Adjustment'!$C:$C,'Participation Adjustment'!$A:$A,$H198,'Participation Adjustment'!$B:$B,$I198),1)</f>
        <v>30.1720570384167</v>
      </c>
      <c r="AE198" s="79">
        <f>tbl_Data_old[[#This Row],[2034 ]]*IFERROR(AVERAGEIFS('Participation Adjustment'!$C:$C,'Participation Adjustment'!$A:$A,$H198,'Participation Adjustment'!$B:$B,$I198),1)</f>
        <v>31.856131878916301</v>
      </c>
      <c r="AF198" s="77" t="str">
        <f t="shared" si="88"/>
        <v>Residential</v>
      </c>
      <c r="AG198" s="77" t="str">
        <f>tbl_Data[[#This Row],[All_Meas_Name_Append]]</f>
        <v>New Construction - Whole Home Improvements - Tier 1</v>
      </c>
      <c r="AH198" s="77">
        <f>AVERAGEIFS('3. Incentive Adjustment'!G:G,'3. Incentive Adjustment'!A:A,tbl_Data[[#This Row],[Trimmed Sector]],'3. Incentive Adjustment'!B:B,tbl_Data[[#This Row],[Trimmed Measure Name]])</f>
        <v>0.42355026786158312</v>
      </c>
      <c r="AI198" s="77">
        <f>$AH198*tbl_Data[[#This Row],[2025 ]]</f>
        <v>9.2532758720583903</v>
      </c>
      <c r="AJ198" s="77">
        <f>$AH198*tbl_Data[[#This Row],[2026 ]]</f>
        <v>9.8628891428472851</v>
      </c>
      <c r="AK198" s="77">
        <f>$AH198*tbl_Data[[#This Row],[2027 ]]</f>
        <v>10.170530774842492</v>
      </c>
      <c r="AL198" s="77">
        <f>$AH198*tbl_Data[[#This Row],[2028 ]]</f>
        <v>10.426702303223113</v>
      </c>
      <c r="AM198" s="77">
        <f>$AH198*tbl_Data[[#This Row],[2029 ]]</f>
        <v>10.763029680683257</v>
      </c>
      <c r="AN198" s="77">
        <f>$AH198*tbl_Data[[#This Row],[2030 ]]</f>
        <v>11.11656286502248</v>
      </c>
      <c r="AO198" s="77">
        <f>$AH198*tbl_Data[[#This Row],[2031 ]]</f>
        <v>11.593728401349884</v>
      </c>
      <c r="AP198" s="77">
        <f>$AH198*tbl_Data[[#This Row],[2032 ]]</f>
        <v>12.141154156474995</v>
      </c>
      <c r="AQ198" s="77">
        <f>$AH198*tbl_Data[[#This Row],[2033 ]]</f>
        <v>12.779382840556357</v>
      </c>
      <c r="AR198" s="77">
        <f>$AH198*tbl_Data[[#This Row],[2034 ]]</f>
        <v>13.492673190348917</v>
      </c>
      <c r="AS198" s="77">
        <f>SUM(tbl_Data[[#This Row],[Adjusted 2025]:[Adjusted 2034]])</f>
        <v>111.59992922740716</v>
      </c>
      <c r="AT198" s="80">
        <f>AVERAGEIFS('3. Incentive Adjustment'!F:F,'3. Incentive Adjustment'!A:A,tbl_Data[[#This Row],[Trimmed Sector]],'3. Incentive Adjustment'!B:B,tbl_Data[[#This Row],[Trimmed Measure Name]])</f>
        <v>0</v>
      </c>
      <c r="AU198" s="80">
        <f>IFERROR(VLOOKUP(tbl_Data[[#This Row],[All_Meas_Name_Append]],'IRA Tax Credits'!$A$3:$D$46,4,0),0)</f>
        <v>0</v>
      </c>
      <c r="AV198" s="81">
        <f>tbl_Data[[#This Row],[Adj. per unit Incentive ($)]]/tbl_Data[[#This Row],[kWh Savings]]*tbl_Data[[#This Row],[Sum of Annuals]]</f>
        <v>0</v>
      </c>
      <c r="AW198" s="81" t="str">
        <f>IFERROR(VLOOKUP(tbl_Data[[#This Row],[Column1]],'1. Set Program Names'!$B$2:$D$15,3,0)*tbl_Data[[#This Row],[Sum of Annuals]],"")</f>
        <v/>
      </c>
      <c r="AX198" s="81">
        <f>tbl_Data[[#This Row],[per unit IRA tax ($)]]/tbl_Data[[#This Row],[kWh Savings]]*tbl_Data[[#This Row],[Sum of Annuals]]</f>
        <v>0</v>
      </c>
      <c r="AY198" s="81">
        <f>tbl_Data[[#This Row],[Avoided Costs ($/unit)]]/tbl_Data[[#This Row],[kWh Savings]]*tbl_Data[[#This Row],[Sum of Annuals]]</f>
        <v>71.990416269103179</v>
      </c>
      <c r="AZ198" s="81">
        <f>tbl_Data[[#This Row],[Lost Revenue ($/unit)]]/tbl_Data[[#This Row],[kWh Savings]]*tbl_Data[[#This Row],[Sum of Annuals]]</f>
        <v>168.69180176321038</v>
      </c>
      <c r="BA198" s="81">
        <f>tbl_Data[[#This Row],[Incremental Cost ($/unit)]]/tbl_Data[[#This Row],[kWh Savings]]*tbl_Data[[#This Row],[Sum of Annuals]]</f>
        <v>82.82227036295761</v>
      </c>
      <c r="BB198" s="77">
        <f>ROUNDUP(tbl_Data[[#This Row],[Adjusted 2025]]/$L198,0)</f>
        <v>1</v>
      </c>
      <c r="BC198" s="77">
        <f>ROUNDUP(tbl_Data[[#This Row],[Adjusted 2026]]/$L198,0)</f>
        <v>1</v>
      </c>
      <c r="BD198" s="77">
        <f>ROUNDUP(tbl_Data[[#This Row],[Adjusted 2027]]/$L198,0)</f>
        <v>1</v>
      </c>
      <c r="BE198" s="77">
        <f>ROUNDUP(tbl_Data[[#This Row],[Adjusted 2028]]/$L198,0)</f>
        <v>1</v>
      </c>
      <c r="BF198" s="77">
        <f>ROUNDUP(tbl_Data[[#This Row],[Adjusted 2029]]/$L198,0)</f>
        <v>1</v>
      </c>
      <c r="BG198" s="77">
        <f>ROUNDUP(tbl_Data[[#This Row],[Adjusted 2030]]/$L198,0)</f>
        <v>1</v>
      </c>
      <c r="BH198" s="77">
        <f>ROUNDUP(tbl_Data[[#This Row],[Adjusted 2031]]/$L198,0)</f>
        <v>1</v>
      </c>
      <c r="BI198" s="77">
        <f>ROUNDUP(tbl_Data[[#This Row],[Adjusted 2032]]/$L198,0)</f>
        <v>1</v>
      </c>
      <c r="BJ198" s="77">
        <f>ROUNDUP(tbl_Data[[#This Row],[Adjusted 2033]]/$L198,0)</f>
        <v>1</v>
      </c>
      <c r="BK198" s="77">
        <f>ROUNDUP(tbl_Data[[#This Row],[Adjusted 2034]]/$L198,0)</f>
        <v>1</v>
      </c>
      <c r="BL198" s="80">
        <f t="shared" si="89"/>
        <v>0</v>
      </c>
      <c r="BM198" s="80">
        <f t="shared" si="90"/>
        <v>0</v>
      </c>
      <c r="BN198" s="80">
        <f t="shared" si="91"/>
        <v>0</v>
      </c>
      <c r="BO198" s="80">
        <f t="shared" si="92"/>
        <v>0</v>
      </c>
      <c r="BP198" s="80">
        <f t="shared" si="93"/>
        <v>0</v>
      </c>
      <c r="BQ198" s="80">
        <f t="shared" si="94"/>
        <v>0</v>
      </c>
      <c r="BR198" s="80">
        <f t="shared" si="95"/>
        <v>0</v>
      </c>
      <c r="BS198" s="80">
        <f t="shared" si="96"/>
        <v>0</v>
      </c>
      <c r="BT198" s="80">
        <f t="shared" si="97"/>
        <v>0</v>
      </c>
      <c r="BU198" s="80">
        <f t="shared" si="98"/>
        <v>0</v>
      </c>
      <c r="BV198" s="80" t="str">
        <f>IFERROR(VLOOKUP($H198,'1. Set Program Names'!$B$2:$D$15,3,0)*V198,"NA")</f>
        <v>NA</v>
      </c>
      <c r="BW198" s="80" t="str">
        <f>IFERROR(VLOOKUP($H198,'1. Set Program Names'!$B$2:$D$15,3,0)*W198,"NA")</f>
        <v>NA</v>
      </c>
      <c r="BX198" s="80" t="str">
        <f>IFERROR(VLOOKUP($H198,'1. Set Program Names'!$B$2:$D$15,3,0)*X198,"NA")</f>
        <v>NA</v>
      </c>
      <c r="BY198" s="80" t="str">
        <f>IFERROR(VLOOKUP($H198,'1. Set Program Names'!$B$2:$D$15,3,0)*Y198,"NA")</f>
        <v>NA</v>
      </c>
      <c r="BZ198" s="80" t="str">
        <f>IFERROR(VLOOKUP($H198,'1. Set Program Names'!$B$2:$D$15,3,0)*Z198,"NA")</f>
        <v>NA</v>
      </c>
      <c r="CA198" s="80" t="str">
        <f>IFERROR(VLOOKUP($H198,'1. Set Program Names'!$B$2:$D$15,3,0)*AA198,"NA")</f>
        <v>NA</v>
      </c>
      <c r="CB198" s="80" t="str">
        <f>IFERROR(VLOOKUP($H198,'1. Set Program Names'!$B$2:$D$15,3,0)*AB198,"NA")</f>
        <v>NA</v>
      </c>
      <c r="CC198" s="80" t="str">
        <f>IFERROR(VLOOKUP($H198,'1. Set Program Names'!$B$2:$D$15,3,0)*AC198,"NA")</f>
        <v>NA</v>
      </c>
      <c r="CD198" s="80" t="str">
        <f>IFERROR(VLOOKUP($H198,'1. Set Program Names'!$B$2:$D$15,3,0)*AD198,"NA")</f>
        <v>NA</v>
      </c>
      <c r="CE198" s="80" t="str">
        <f>IFERROR(VLOOKUP($H198,'1. Set Program Names'!$B$2:$D$15,3,0)*AE198,"NA")</f>
        <v>NA</v>
      </c>
    </row>
    <row r="199" spans="1:83" x14ac:dyDescent="0.25">
      <c r="A199" s="79" t="s">
        <v>116</v>
      </c>
      <c r="B199" s="79" t="s">
        <v>88</v>
      </c>
      <c r="C199" s="79" t="s">
        <v>89</v>
      </c>
      <c r="D199" s="79" t="s">
        <v>90</v>
      </c>
      <c r="E199" s="79" t="s">
        <v>91</v>
      </c>
      <c r="F199" s="79" t="s">
        <v>90</v>
      </c>
      <c r="G199" s="79" t="s">
        <v>92</v>
      </c>
      <c r="H199" s="79"/>
      <c r="I199" s="79" t="s">
        <v>119</v>
      </c>
      <c r="J199" s="79" t="s">
        <v>120</v>
      </c>
      <c r="K199" s="79" t="s">
        <v>121</v>
      </c>
      <c r="L199" s="79">
        <v>6673.4968833372895</v>
      </c>
      <c r="M199" s="79">
        <v>1.73762506704112</v>
      </c>
      <c r="N199" s="79">
        <v>0.78936762832777396</v>
      </c>
      <c r="O199" s="79">
        <v>2151.0039802452802</v>
      </c>
      <c r="P199" s="79">
        <v>549.54451231238204</v>
      </c>
      <c r="Q199" s="79">
        <v>2004.8189647422</v>
      </c>
      <c r="R199" s="79">
        <v>4267.3988807063497</v>
      </c>
      <c r="S199" s="79">
        <v>10087.499347937401</v>
      </c>
      <c r="T199" s="79">
        <v>20</v>
      </c>
      <c r="U199" s="79">
        <v>1</v>
      </c>
      <c r="V199" s="79">
        <f>tbl_Data_old[[#This Row],[2025 ]]*IFERROR(AVERAGEIFS('Participation Adjustment'!$C:$C,'Participation Adjustment'!$A:$A,$H199,'Participation Adjustment'!$B:$B,$I199),1)</f>
        <v>27.804735790512801</v>
      </c>
      <c r="W199" s="79">
        <f>tbl_Data_old[[#This Row],[2026 ]]*IFERROR(AVERAGEIFS('Participation Adjustment'!$C:$C,'Participation Adjustment'!$A:$A,$H199,'Participation Adjustment'!$B:$B,$I199),1)</f>
        <v>29.618565798737599</v>
      </c>
      <c r="X199" s="79">
        <f>tbl_Data_old[[#This Row],[2027 ]]*IFERROR(AVERAGEIFS('Participation Adjustment'!$C:$C,'Participation Adjustment'!$A:$A,$H199,'Participation Adjustment'!$B:$B,$I199),1)</f>
        <v>30.523853789122398</v>
      </c>
      <c r="Y199" s="79">
        <f>tbl_Data_old[[#This Row],[2028 ]]*IFERROR(AVERAGEIFS('Participation Adjustment'!$C:$C,'Participation Adjustment'!$A:$A,$H199,'Participation Adjustment'!$B:$B,$I199),1)</f>
        <v>31.2735398292551</v>
      </c>
      <c r="Z199" s="79">
        <f>tbl_Data_old[[#This Row],[2029 ]]*IFERROR(AVERAGEIFS('Participation Adjustment'!$C:$C,'Participation Adjustment'!$A:$A,$H199,'Participation Adjustment'!$B:$B,$I199),1)</f>
        <v>32.262370793040802</v>
      </c>
      <c r="AA199" s="79">
        <f>tbl_Data_old[[#This Row],[2030 ]]*IFERROR(AVERAGEIFS('Participation Adjustment'!$C:$C,'Participation Adjustment'!$A:$A,$H199,'Participation Adjustment'!$B:$B,$I199),1)</f>
        <v>33.301224918066602</v>
      </c>
      <c r="AB199" s="79">
        <f>tbl_Data_old[[#This Row],[2031 ]]*IFERROR(AVERAGEIFS('Participation Adjustment'!$C:$C,'Participation Adjustment'!$A:$A,$H199,'Participation Adjustment'!$B:$B,$I199),1)</f>
        <v>34.708535008012298</v>
      </c>
      <c r="AC199" s="79">
        <f>tbl_Data_old[[#This Row],[2032 ]]*IFERROR(AVERAGEIFS('Participation Adjustment'!$C:$C,'Participation Adjustment'!$A:$A,$H199,'Participation Adjustment'!$B:$B,$I199),1)</f>
        <v>36.323858007415197</v>
      </c>
      <c r="AD199" s="79">
        <f>tbl_Data_old[[#This Row],[2033 ]]*IFERROR(AVERAGEIFS('Participation Adjustment'!$C:$C,'Participation Adjustment'!$A:$A,$H199,'Participation Adjustment'!$B:$B,$I199),1)</f>
        <v>38.208178584454402</v>
      </c>
      <c r="AE199" s="79">
        <f>tbl_Data_old[[#This Row],[2034 ]]*IFERROR(AVERAGEIFS('Participation Adjustment'!$C:$C,'Participation Adjustment'!$A:$A,$H199,'Participation Adjustment'!$B:$B,$I199),1)</f>
        <v>40.313919946196002</v>
      </c>
      <c r="AF199" s="77" t="str">
        <f t="shared" si="88"/>
        <v>Residential</v>
      </c>
      <c r="AG199" s="77" t="str">
        <f>tbl_Data[[#This Row],[All_Meas_Name_Append]]</f>
        <v>New Construction - Whole Home Improvements - Tier 2</v>
      </c>
      <c r="AH199" s="77">
        <f>AVERAGEIFS('3. Incentive Adjustment'!G:G,'3. Incentive Adjustment'!A:A,tbl_Data[[#This Row],[Trimmed Sector]],'3. Incentive Adjustment'!B:B,tbl_Data[[#This Row],[Trimmed Measure Name]])</f>
        <v>0.80470846489720416</v>
      </c>
      <c r="AI199" s="77">
        <f>$AH199*tbl_Data[[#This Row],[2025 ]]</f>
        <v>22.374706254855905</v>
      </c>
      <c r="AJ199" s="77">
        <f>$AH199*tbl_Data[[#This Row],[2026 ]]</f>
        <v>23.834310616358966</v>
      </c>
      <c r="AK199" s="77">
        <f>$AH199*tbl_Data[[#This Row],[2027 ]]</f>
        <v>24.562803525391395</v>
      </c>
      <c r="AL199" s="77">
        <f>$AH199*tbl_Data[[#This Row],[2028 ]]</f>
        <v>25.166082227901445</v>
      </c>
      <c r="AM199" s="77">
        <f>$AH199*tbl_Data[[#This Row],[2029 ]]</f>
        <v>25.961802874812257</v>
      </c>
      <c r="AN199" s="77">
        <f>$AH199*tbl_Data[[#This Row],[2030 ]]</f>
        <v>26.797777583013897</v>
      </c>
      <c r="AO199" s="77">
        <f>$AH199*tbl_Data[[#This Row],[2031 ]]</f>
        <v>27.930251925128445</v>
      </c>
      <c r="AP199" s="77">
        <f>$AH199*tbl_Data[[#This Row],[2032 ]]</f>
        <v>29.230116016291099</v>
      </c>
      <c r="AQ199" s="77">
        <f>$AH199*tbl_Data[[#This Row],[2033 ]]</f>
        <v>30.746444735214531</v>
      </c>
      <c r="AR199" s="77">
        <f>$AH199*tbl_Data[[#This Row],[2034 ]]</f>
        <v>32.440952633892167</v>
      </c>
      <c r="AS199" s="77">
        <f>SUM(tbl_Data[[#This Row],[Adjusted 2025]:[Adjusted 2034]])</f>
        <v>269.04524839286012</v>
      </c>
      <c r="AT199" s="80">
        <f>AVERAGEIFS('3. Incentive Adjustment'!F:F,'3. Incentive Adjustment'!A:A,tbl_Data[[#This Row],[Trimmed Sector]],'3. Incentive Adjustment'!B:B,tbl_Data[[#This Row],[Trimmed Measure Name]])</f>
        <v>0</v>
      </c>
      <c r="AU199" s="80">
        <f>IFERROR(VLOOKUP(tbl_Data[[#This Row],[All_Meas_Name_Append]],'IRA Tax Credits'!$A$3:$D$46,4,0),0)</f>
        <v>0</v>
      </c>
      <c r="AV199" s="81">
        <f>tbl_Data[[#This Row],[Adj. per unit Incentive ($)]]/tbl_Data[[#This Row],[kWh Savings]]*tbl_Data[[#This Row],[Sum of Annuals]]</f>
        <v>0</v>
      </c>
      <c r="AW199" s="81" t="str">
        <f>IFERROR(VLOOKUP(tbl_Data[[#This Row],[Column1]],'1. Set Program Names'!$B$2:$D$15,3,0)*tbl_Data[[#This Row],[Sum of Annuals]],"")</f>
        <v/>
      </c>
      <c r="AX199" s="81">
        <f>tbl_Data[[#This Row],[per unit IRA tax ($)]]/tbl_Data[[#This Row],[kWh Savings]]*tbl_Data[[#This Row],[Sum of Annuals]]</f>
        <v>0</v>
      </c>
      <c r="AY199" s="81">
        <f>tbl_Data[[#This Row],[Avoided Costs ($/unit)]]/tbl_Data[[#This Row],[kWh Savings]]*tbl_Data[[#This Row],[Sum of Annuals]]</f>
        <v>172.04224590525294</v>
      </c>
      <c r="AZ199" s="81">
        <f>tbl_Data[[#This Row],[Lost Revenue ($/unit)]]/tbl_Data[[#This Row],[kWh Savings]]*tbl_Data[[#This Row],[Sum of Annuals]]</f>
        <v>406.68240581711569</v>
      </c>
      <c r="BA199" s="81">
        <f>tbl_Data[[#This Row],[Incremental Cost ($/unit)]]/tbl_Data[[#This Row],[kWh Savings]]*tbl_Data[[#This Row],[Sum of Annuals]]</f>
        <v>86.718763831911247</v>
      </c>
      <c r="BB199" s="77">
        <f>ROUNDUP(tbl_Data[[#This Row],[Adjusted 2025]]/$L199,0)</f>
        <v>1</v>
      </c>
      <c r="BC199" s="77">
        <f>ROUNDUP(tbl_Data[[#This Row],[Adjusted 2026]]/$L199,0)</f>
        <v>1</v>
      </c>
      <c r="BD199" s="77">
        <f>ROUNDUP(tbl_Data[[#This Row],[Adjusted 2027]]/$L199,0)</f>
        <v>1</v>
      </c>
      <c r="BE199" s="77">
        <f>ROUNDUP(tbl_Data[[#This Row],[Adjusted 2028]]/$L199,0)</f>
        <v>1</v>
      </c>
      <c r="BF199" s="77">
        <f>ROUNDUP(tbl_Data[[#This Row],[Adjusted 2029]]/$L199,0)</f>
        <v>1</v>
      </c>
      <c r="BG199" s="77">
        <f>ROUNDUP(tbl_Data[[#This Row],[Adjusted 2030]]/$L199,0)</f>
        <v>1</v>
      </c>
      <c r="BH199" s="77">
        <f>ROUNDUP(tbl_Data[[#This Row],[Adjusted 2031]]/$L199,0)</f>
        <v>1</v>
      </c>
      <c r="BI199" s="77">
        <f>ROUNDUP(tbl_Data[[#This Row],[Adjusted 2032]]/$L199,0)</f>
        <v>1</v>
      </c>
      <c r="BJ199" s="77">
        <f>ROUNDUP(tbl_Data[[#This Row],[Adjusted 2033]]/$L199,0)</f>
        <v>1</v>
      </c>
      <c r="BK199" s="77">
        <f>ROUNDUP(tbl_Data[[#This Row],[Adjusted 2034]]/$L199,0)</f>
        <v>1</v>
      </c>
      <c r="BL199" s="80">
        <f t="shared" si="89"/>
        <v>0</v>
      </c>
      <c r="BM199" s="80">
        <f t="shared" si="90"/>
        <v>0</v>
      </c>
      <c r="BN199" s="80">
        <f t="shared" si="91"/>
        <v>0</v>
      </c>
      <c r="BO199" s="80">
        <f t="shared" si="92"/>
        <v>0</v>
      </c>
      <c r="BP199" s="80">
        <f t="shared" si="93"/>
        <v>0</v>
      </c>
      <c r="BQ199" s="80">
        <f t="shared" si="94"/>
        <v>0</v>
      </c>
      <c r="BR199" s="80">
        <f t="shared" si="95"/>
        <v>0</v>
      </c>
      <c r="BS199" s="80">
        <f t="shared" si="96"/>
        <v>0</v>
      </c>
      <c r="BT199" s="80">
        <f t="shared" si="97"/>
        <v>0</v>
      </c>
      <c r="BU199" s="80">
        <f t="shared" si="98"/>
        <v>0</v>
      </c>
      <c r="BV199" s="80" t="str">
        <f>IFERROR(VLOOKUP($H199,'1. Set Program Names'!$B$2:$D$15,3,0)*V199,"NA")</f>
        <v>NA</v>
      </c>
      <c r="BW199" s="80" t="str">
        <f>IFERROR(VLOOKUP($H199,'1. Set Program Names'!$B$2:$D$15,3,0)*W199,"NA")</f>
        <v>NA</v>
      </c>
      <c r="BX199" s="80" t="str">
        <f>IFERROR(VLOOKUP($H199,'1. Set Program Names'!$B$2:$D$15,3,0)*X199,"NA")</f>
        <v>NA</v>
      </c>
      <c r="BY199" s="80" t="str">
        <f>IFERROR(VLOOKUP($H199,'1. Set Program Names'!$B$2:$D$15,3,0)*Y199,"NA")</f>
        <v>NA</v>
      </c>
      <c r="BZ199" s="80" t="str">
        <f>IFERROR(VLOOKUP($H199,'1. Set Program Names'!$B$2:$D$15,3,0)*Z199,"NA")</f>
        <v>NA</v>
      </c>
      <c r="CA199" s="80" t="str">
        <f>IFERROR(VLOOKUP($H199,'1. Set Program Names'!$B$2:$D$15,3,0)*AA199,"NA")</f>
        <v>NA</v>
      </c>
      <c r="CB199" s="80" t="str">
        <f>IFERROR(VLOOKUP($H199,'1. Set Program Names'!$B$2:$D$15,3,0)*AB199,"NA")</f>
        <v>NA</v>
      </c>
      <c r="CC199" s="80" t="str">
        <f>IFERROR(VLOOKUP($H199,'1. Set Program Names'!$B$2:$D$15,3,0)*AC199,"NA")</f>
        <v>NA</v>
      </c>
      <c r="CD199" s="80" t="str">
        <f>IFERROR(VLOOKUP($H199,'1. Set Program Names'!$B$2:$D$15,3,0)*AD199,"NA")</f>
        <v>NA</v>
      </c>
      <c r="CE199" s="80" t="str">
        <f>IFERROR(VLOOKUP($H199,'1. Set Program Names'!$B$2:$D$15,3,0)*AE199,"NA")</f>
        <v>NA</v>
      </c>
    </row>
    <row r="200" spans="1:83" x14ac:dyDescent="0.25">
      <c r="A200" s="79" t="s">
        <v>116</v>
      </c>
      <c r="B200" s="79" t="s">
        <v>88</v>
      </c>
      <c r="C200" s="79" t="s">
        <v>89</v>
      </c>
      <c r="D200" s="79" t="s">
        <v>90</v>
      </c>
      <c r="E200" s="79" t="s">
        <v>91</v>
      </c>
      <c r="F200" s="79" t="s">
        <v>90</v>
      </c>
      <c r="G200" s="79" t="s">
        <v>92</v>
      </c>
      <c r="H200" s="79" t="s">
        <v>9</v>
      </c>
      <c r="I200" s="79" t="s">
        <v>299</v>
      </c>
      <c r="J200" s="79" t="s">
        <v>97</v>
      </c>
      <c r="K200" s="79" t="s">
        <v>102</v>
      </c>
      <c r="L200" s="79">
        <v>408.28</v>
      </c>
      <c r="M200" s="79">
        <v>0.16567198429270899</v>
      </c>
      <c r="N200" s="79">
        <v>2.3547919008134799E-2</v>
      </c>
      <c r="O200" s="79">
        <v>128.60999999999999</v>
      </c>
      <c r="P200" s="79">
        <v>29.691921599999901</v>
      </c>
      <c r="Q200" s="79">
        <v>122.65346058206499</v>
      </c>
      <c r="R200" s="79">
        <v>238.630335182902</v>
      </c>
      <c r="S200" s="79">
        <v>423.90838942107399</v>
      </c>
      <c r="T200" s="79">
        <v>11</v>
      </c>
      <c r="U200" s="79">
        <v>0.19999999999999901</v>
      </c>
      <c r="V200" s="79">
        <f>tbl_Data_old[[#This Row],[2025 ]]*IFERROR(AVERAGEIFS('Participation Adjustment'!$C:$C,'Participation Adjustment'!$A:$A,$H200,'Participation Adjustment'!$B:$B,$I200),1)</f>
        <v>0.206724664775644</v>
      </c>
      <c r="W200" s="79">
        <f>tbl_Data_old[[#This Row],[2026 ]]*IFERROR(AVERAGEIFS('Participation Adjustment'!$C:$C,'Participation Adjustment'!$A:$A,$H200,'Participation Adjustment'!$B:$B,$I200),1)</f>
        <v>0.17131814268415099</v>
      </c>
      <c r="X200" s="79">
        <f>tbl_Data_old[[#This Row],[2027 ]]*IFERROR(AVERAGEIFS('Participation Adjustment'!$C:$C,'Participation Adjustment'!$A:$A,$H200,'Participation Adjustment'!$B:$B,$I200),1)</f>
        <v>0.141916760081957</v>
      </c>
      <c r="Y200" s="79">
        <f>tbl_Data_old[[#This Row],[2028 ]]*IFERROR(AVERAGEIFS('Participation Adjustment'!$C:$C,'Participation Adjustment'!$A:$A,$H200,'Participation Adjustment'!$B:$B,$I200),1)</f>
        <v>0.118013224310609</v>
      </c>
      <c r="Z200" s="79">
        <f>tbl_Data_old[[#This Row],[2029 ]]*IFERROR(AVERAGEIFS('Participation Adjustment'!$C:$C,'Participation Adjustment'!$A:$A,$H200,'Participation Adjustment'!$B:$B,$I200),1)</f>
        <v>9.8770011546863906E-2</v>
      </c>
      <c r="AA200" s="79">
        <f>tbl_Data_old[[#This Row],[2030 ]]*IFERROR(AVERAGEIFS('Participation Adjustment'!$C:$C,'Participation Adjustment'!$A:$A,$H200,'Participation Adjustment'!$B:$B,$I200),1)</f>
        <v>8.3053230538095504E-2</v>
      </c>
      <c r="AB200" s="79">
        <f>tbl_Data_old[[#This Row],[2031 ]]*IFERROR(AVERAGEIFS('Participation Adjustment'!$C:$C,'Participation Adjustment'!$A:$A,$H200,'Participation Adjustment'!$B:$B,$I200),1)</f>
        <v>7.0829237904234496E-2</v>
      </c>
      <c r="AC200" s="79">
        <f>tbl_Data_old[[#This Row],[2032 ]]*IFERROR(AVERAGEIFS('Participation Adjustment'!$C:$C,'Participation Adjustment'!$A:$A,$H200,'Participation Adjustment'!$B:$B,$I200),1)</f>
        <v>6.13342647503963E-2</v>
      </c>
      <c r="AD200" s="79">
        <f>tbl_Data_old[[#This Row],[2033 ]]*IFERROR(AVERAGEIFS('Participation Adjustment'!$C:$C,'Participation Adjustment'!$A:$A,$H200,'Participation Adjustment'!$B:$B,$I200),1)</f>
        <v>5.3982245396504903E-2</v>
      </c>
      <c r="AE200" s="79">
        <f>tbl_Data_old[[#This Row],[2034 ]]*IFERROR(AVERAGEIFS('Participation Adjustment'!$C:$C,'Participation Adjustment'!$A:$A,$H200,'Participation Adjustment'!$B:$B,$I200),1)</f>
        <v>4.8281253311760398E-2</v>
      </c>
      <c r="AF200" s="77" t="str">
        <f t="shared" si="88"/>
        <v>Residential</v>
      </c>
      <c r="AG200" s="77" t="str">
        <f>tbl_Data[[#This Row],[All_Meas_Name_Append]]</f>
        <v>Smart Thermostat Residential</v>
      </c>
      <c r="AH200" s="77">
        <f>AVERAGEIFS('3. Incentive Adjustment'!G:G,'3. Incentive Adjustment'!A:A,tbl_Data[[#This Row],[Trimmed Sector]],'3. Incentive Adjustment'!B:B,tbl_Data[[#This Row],[Trimmed Measure Name]])</f>
        <v>1.1402432304340044</v>
      </c>
      <c r="AI200" s="77">
        <f>$AH200*tbl_Data[[#This Row],[2025 ]]</f>
        <v>0.23571639957416696</v>
      </c>
      <c r="AJ200" s="77">
        <f>$AH200*tbl_Data[[#This Row],[2026 ]]</f>
        <v>0.19534435244613002</v>
      </c>
      <c r="AK200" s="77">
        <f>$AH200*tbl_Data[[#This Row],[2027 ]]</f>
        <v>0.16181962496857821</v>
      </c>
      <c r="AL200" s="77">
        <f>$AH200*tbl_Data[[#This Row],[2028 ]]</f>
        <v>0.1345637801218616</v>
      </c>
      <c r="AM200" s="77">
        <f>$AH200*tbl_Data[[#This Row],[2029 ]]</f>
        <v>0.11262183703620002</v>
      </c>
      <c r="AN200" s="77">
        <f>$AH200*tbl_Data[[#This Row],[2030 ]]</f>
        <v>9.4700883886738127E-2</v>
      </c>
      <c r="AO200" s="77">
        <f>$AH200*tbl_Data[[#This Row],[2031 ]]</f>
        <v>8.0762559037102971E-2</v>
      </c>
      <c r="AP200" s="77">
        <f>$AH200*tbl_Data[[#This Row],[2032 ]]</f>
        <v>6.9935980175286364E-2</v>
      </c>
      <c r="AQ200" s="77">
        <f>$AH200*tbl_Data[[#This Row],[2033 ]]</f>
        <v>6.1552889876991916E-2</v>
      </c>
      <c r="AR200" s="77">
        <f>$AH200*tbl_Data[[#This Row],[2034 ]]</f>
        <v>5.505237224560415E-2</v>
      </c>
      <c r="AS200" s="77">
        <f>SUM(tbl_Data[[#This Row],[Adjusted 2025]:[Adjusted 2034]])</f>
        <v>1.2020706793686604</v>
      </c>
      <c r="AT200" s="80">
        <f>AVERAGEIFS('3. Incentive Adjustment'!F:F,'3. Incentive Adjustment'!A:A,tbl_Data[[#This Row],[Trimmed Sector]],'3. Incentive Adjustment'!B:B,tbl_Data[[#This Row],[Trimmed Measure Name]])</f>
        <v>50</v>
      </c>
      <c r="AU200" s="80">
        <f>IFERROR(VLOOKUP(tbl_Data[[#This Row],[All_Meas_Name_Append]],'IRA Tax Credits'!$A$3:$D$46,4,0),0)</f>
        <v>0</v>
      </c>
      <c r="AV200" s="81">
        <f>tbl_Data[[#This Row],[Adj. per unit Incentive ($)]]/tbl_Data[[#This Row],[kWh Savings]]*tbl_Data[[#This Row],[Sum of Annuals]]</f>
        <v>0.14721155571772565</v>
      </c>
      <c r="AW200" s="81">
        <f>IFERROR(VLOOKUP(tbl_Data[[#This Row],[Column1]],'1. Set Program Names'!$B$2:$D$15,3,0)*tbl_Data[[#This Row],[Sum of Annuals]],"")</f>
        <v>0.54168020239345638</v>
      </c>
      <c r="AX200" s="81">
        <f>tbl_Data[[#This Row],[per unit IRA tax ($)]]/tbl_Data[[#This Row],[kWh Savings]]*tbl_Data[[#This Row],[Sum of Annuals]]</f>
        <v>0</v>
      </c>
      <c r="AY200" s="81">
        <f>tbl_Data[[#This Row],[Avoided Costs ($/unit)]]/tbl_Data[[#This Row],[kWh Savings]]*tbl_Data[[#This Row],[Sum of Annuals]]</f>
        <v>0.70258285767434647</v>
      </c>
      <c r="AZ200" s="81">
        <f>tbl_Data[[#This Row],[Lost Revenue ($/unit)]]/tbl_Data[[#This Row],[kWh Savings]]*tbl_Data[[#This Row],[Sum of Annuals]]</f>
        <v>1.2480842697694357</v>
      </c>
      <c r="BA200" s="81">
        <f>tbl_Data[[#This Row],[Incremental Cost ($/unit)]]/tbl_Data[[#This Row],[kWh Savings]]*tbl_Data[[#This Row],[Sum of Annuals]]</f>
        <v>0.37865756361713387</v>
      </c>
      <c r="BB200" s="77">
        <f>ROUNDUP(tbl_Data[[#This Row],[Adjusted 2025]]/$L200,0)</f>
        <v>1</v>
      </c>
      <c r="BC200" s="77">
        <f>ROUNDUP(tbl_Data[[#This Row],[Adjusted 2026]]/$L200,0)</f>
        <v>1</v>
      </c>
      <c r="BD200" s="77">
        <f>ROUNDUP(tbl_Data[[#This Row],[Adjusted 2027]]/$L200,0)</f>
        <v>1</v>
      </c>
      <c r="BE200" s="77">
        <f>ROUNDUP(tbl_Data[[#This Row],[Adjusted 2028]]/$L200,0)</f>
        <v>1</v>
      </c>
      <c r="BF200" s="77">
        <f>ROUNDUP(tbl_Data[[#This Row],[Adjusted 2029]]/$L200,0)</f>
        <v>1</v>
      </c>
      <c r="BG200" s="77">
        <f>ROUNDUP(tbl_Data[[#This Row],[Adjusted 2030]]/$L200,0)</f>
        <v>1</v>
      </c>
      <c r="BH200" s="77">
        <f>ROUNDUP(tbl_Data[[#This Row],[Adjusted 2031]]/$L200,0)</f>
        <v>1</v>
      </c>
      <c r="BI200" s="77">
        <f>ROUNDUP(tbl_Data[[#This Row],[Adjusted 2032]]/$L200,0)</f>
        <v>1</v>
      </c>
      <c r="BJ200" s="77">
        <f>ROUNDUP(tbl_Data[[#This Row],[Adjusted 2033]]/$L200,0)</f>
        <v>1</v>
      </c>
      <c r="BK200" s="77">
        <f>ROUNDUP(tbl_Data[[#This Row],[Adjusted 2034]]/$L200,0)</f>
        <v>1</v>
      </c>
      <c r="BL200" s="80">
        <f t="shared" si="89"/>
        <v>2.5316530907176938E-2</v>
      </c>
      <c r="BM200" s="80">
        <f t="shared" si="90"/>
        <v>2.0980472063798251E-2</v>
      </c>
      <c r="BN200" s="80">
        <f t="shared" si="91"/>
        <v>1.7379832477951041E-2</v>
      </c>
      <c r="BO200" s="80">
        <f t="shared" si="92"/>
        <v>1.4452486566891472E-2</v>
      </c>
      <c r="BP200" s="80">
        <f t="shared" si="93"/>
        <v>1.2095866996529822E-2</v>
      </c>
      <c r="BQ200" s="80">
        <f t="shared" si="94"/>
        <v>1.0171111802941059E-2</v>
      </c>
      <c r="BR200" s="80">
        <f t="shared" si="95"/>
        <v>8.6741008504255049E-3</v>
      </c>
      <c r="BS200" s="80">
        <f t="shared" si="96"/>
        <v>7.5112992003522469E-3</v>
      </c>
      <c r="BT200" s="80">
        <f t="shared" si="97"/>
        <v>6.61093433385237E-3</v>
      </c>
      <c r="BU200" s="80">
        <f t="shared" si="98"/>
        <v>5.9127624806211915E-3</v>
      </c>
      <c r="BV200" s="80">
        <f>IFERROR(VLOOKUP($H200,'1. Set Program Names'!$B$2:$D$15,3,0)*V200,"NA")</f>
        <v>9.3154803770941805E-2</v>
      </c>
      <c r="BW200" s="80">
        <f>IFERROR(VLOOKUP($H200,'1. Set Program Names'!$B$2:$D$15,3,0)*W200,"NA")</f>
        <v>7.7199825098105926E-2</v>
      </c>
      <c r="BX200" s="80">
        <f>IFERROR(VLOOKUP($H200,'1. Set Program Names'!$B$2:$D$15,3,0)*X200,"NA")</f>
        <v>6.3950897932717896E-2</v>
      </c>
      <c r="BY200" s="80">
        <f>IFERROR(VLOOKUP($H200,'1. Set Program Names'!$B$2:$D$15,3,0)*Y200,"NA")</f>
        <v>5.3179424743351474E-2</v>
      </c>
      <c r="BZ200" s="80">
        <f>IFERROR(VLOOKUP($H200,'1. Set Program Names'!$B$2:$D$15,3,0)*Z200,"NA")</f>
        <v>4.4507998375943193E-2</v>
      </c>
      <c r="CA200" s="80">
        <f>IFERROR(VLOOKUP($H200,'1. Set Program Names'!$B$2:$D$15,3,0)*AA200,"NA")</f>
        <v>3.7425661817934261E-2</v>
      </c>
      <c r="CB200" s="80">
        <f>IFERROR(VLOOKUP($H200,'1. Set Program Names'!$B$2:$D$15,3,0)*AB200,"NA")</f>
        <v>3.1917254602275666E-2</v>
      </c>
      <c r="CC200" s="80">
        <f>IFERROR(VLOOKUP($H200,'1. Set Program Names'!$B$2:$D$15,3,0)*AC200,"NA")</f>
        <v>2.7638605211715048E-2</v>
      </c>
      <c r="CD200" s="80">
        <f>IFERROR(VLOOKUP($H200,'1. Set Program Names'!$B$2:$D$15,3,0)*AD200,"NA")</f>
        <v>2.4325619211833478E-2</v>
      </c>
      <c r="CE200" s="80">
        <f>IFERROR(VLOOKUP($H200,'1. Set Program Names'!$B$2:$D$15,3,0)*AE200,"NA")</f>
        <v>2.1756623395439548E-2</v>
      </c>
    </row>
    <row r="201" spans="1:83" x14ac:dyDescent="0.25">
      <c r="A201" s="79" t="s">
        <v>116</v>
      </c>
      <c r="B201" s="79" t="s">
        <v>88</v>
      </c>
      <c r="C201" s="79" t="s">
        <v>89</v>
      </c>
      <c r="D201" s="79" t="s">
        <v>90</v>
      </c>
      <c r="E201" s="79" t="s">
        <v>91</v>
      </c>
      <c r="F201" s="79" t="s">
        <v>90</v>
      </c>
      <c r="G201" s="79" t="s">
        <v>92</v>
      </c>
      <c r="H201" s="79"/>
      <c r="I201" s="79" t="s">
        <v>112</v>
      </c>
      <c r="J201" s="79" t="s">
        <v>94</v>
      </c>
      <c r="K201" s="79" t="s">
        <v>108</v>
      </c>
      <c r="L201" s="79">
        <v>1330.8133333333301</v>
      </c>
      <c r="M201" s="79">
        <v>5.33311142126306E-2</v>
      </c>
      <c r="N201" s="79">
        <v>0.24737910980336</v>
      </c>
      <c r="O201" s="79">
        <v>8990.02</v>
      </c>
      <c r="P201" s="79">
        <v>8776.4394094329891</v>
      </c>
      <c r="Q201" s="79">
        <v>399.796367008147</v>
      </c>
      <c r="R201" s="79">
        <v>713.19672296706005</v>
      </c>
      <c r="S201" s="79">
        <v>2011.6258188035599</v>
      </c>
      <c r="T201" s="79">
        <v>20</v>
      </c>
      <c r="U201" s="79">
        <v>0.2</v>
      </c>
      <c r="V201" s="79">
        <f>tbl_Data_old[[#This Row],[2025 ]]*IFERROR(AVERAGEIFS('Participation Adjustment'!$C:$C,'Participation Adjustment'!$A:$A,$H201,'Participation Adjustment'!$B:$B,$I201),1)</f>
        <v>8.0232477008972793</v>
      </c>
      <c r="W201" s="79">
        <f>tbl_Data_old[[#This Row],[2026 ]]*IFERROR(AVERAGEIFS('Participation Adjustment'!$C:$C,'Participation Adjustment'!$A:$A,$H201,'Participation Adjustment'!$B:$B,$I201),1)</f>
        <v>8.9293429218398597</v>
      </c>
      <c r="X201" s="79">
        <f>tbl_Data_old[[#This Row],[2027 ]]*IFERROR(AVERAGEIFS('Participation Adjustment'!$C:$C,'Participation Adjustment'!$A:$A,$H201,'Participation Adjustment'!$B:$B,$I201),1)</f>
        <v>9.7653939102325094</v>
      </c>
      <c r="Y201" s="79">
        <f>tbl_Data_old[[#This Row],[2028 ]]*IFERROR(AVERAGEIFS('Participation Adjustment'!$C:$C,'Participation Adjustment'!$A:$A,$H201,'Participation Adjustment'!$B:$B,$I201),1)</f>
        <v>10.5566002843854</v>
      </c>
      <c r="Z201" s="79">
        <f>tbl_Data_old[[#This Row],[2029 ]]*IFERROR(AVERAGEIFS('Participation Adjustment'!$C:$C,'Participation Adjustment'!$A:$A,$H201,'Participation Adjustment'!$B:$B,$I201),1)</f>
        <v>11.310425751197201</v>
      </c>
      <c r="AA201" s="79">
        <f>tbl_Data_old[[#This Row],[2030 ]]*IFERROR(AVERAGEIFS('Participation Adjustment'!$C:$C,'Participation Adjustment'!$A:$A,$H201,'Participation Adjustment'!$B:$B,$I201),1)</f>
        <v>12.000198837982699</v>
      </c>
      <c r="AB201" s="79">
        <f>tbl_Data_old[[#This Row],[2031 ]]*IFERROR(AVERAGEIFS('Participation Adjustment'!$C:$C,'Participation Adjustment'!$A:$A,$H201,'Participation Adjustment'!$B:$B,$I201),1)</f>
        <v>12.720294875906999</v>
      </c>
      <c r="AC201" s="79">
        <f>tbl_Data_old[[#This Row],[2032 ]]*IFERROR(AVERAGEIFS('Participation Adjustment'!$C:$C,'Participation Adjustment'!$A:$A,$H201,'Participation Adjustment'!$B:$B,$I201),1)</f>
        <v>13.502096640187499</v>
      </c>
      <c r="AD201" s="79">
        <f>tbl_Data_old[[#This Row],[2033 ]]*IFERROR(AVERAGEIFS('Participation Adjustment'!$C:$C,'Participation Adjustment'!$A:$A,$H201,'Participation Adjustment'!$B:$B,$I201),1)</f>
        <v>14.355858751385201</v>
      </c>
      <c r="AE201" s="79">
        <f>tbl_Data_old[[#This Row],[2034 ]]*IFERROR(AVERAGEIFS('Participation Adjustment'!$C:$C,'Participation Adjustment'!$A:$A,$H201,'Participation Adjustment'!$B:$B,$I201),1)</f>
        <v>15.287336989429299</v>
      </c>
      <c r="AF201" s="77" t="str">
        <f t="shared" si="88"/>
        <v>Residential</v>
      </c>
      <c r="AG201" s="77" t="str">
        <f>tbl_Data[[#This Row],[All_Meas_Name_Append]]</f>
        <v>Solar Thermal Water Heating System</v>
      </c>
      <c r="AH201" s="77">
        <f>AVERAGEIFS('3. Incentive Adjustment'!G:G,'3. Incentive Adjustment'!A:A,tbl_Data[[#This Row],[Trimmed Sector]],'3. Incentive Adjustment'!B:B,tbl_Data[[#This Row],[Trimmed Measure Name]])</f>
        <v>2.7736651842107431E-8</v>
      </c>
      <c r="AI201" s="77">
        <f>$AH201*tbl_Data[[#This Row],[2025 ]]</f>
        <v>2.2253802812277674E-7</v>
      </c>
      <c r="AJ201" s="77">
        <f>$AH201*tbl_Data[[#This Row],[2026 ]]</f>
        <v>2.4767007580185851E-7</v>
      </c>
      <c r="AK201" s="77">
        <f>$AH201*tbl_Data[[#This Row],[2027 ]]</f>
        <v>2.7085933098915521E-7</v>
      </c>
      <c r="AL201" s="77">
        <f>$AH201*tbl_Data[[#This Row],[2028 ]]</f>
        <v>2.9280474672429013E-7</v>
      </c>
      <c r="AM201" s="77">
        <f>$AH201*tbl_Data[[#This Row],[2029 ]]</f>
        <v>3.1371334124696317E-7</v>
      </c>
      <c r="AN201" s="77">
        <f>$AH201*tbl_Data[[#This Row],[2030 ]]</f>
        <v>3.3284533720518827E-7</v>
      </c>
      <c r="AO201" s="77">
        <f>$AH201*tbl_Data[[#This Row],[2031 ]]</f>
        <v>3.528183903019756E-7</v>
      </c>
      <c r="AP201" s="77">
        <f>$AH201*tbl_Data[[#This Row],[2032 ]]</f>
        <v>3.7450295364736917E-7</v>
      </c>
      <c r="AQ201" s="77">
        <f>$AH201*tbl_Data[[#This Row],[2033 ]]</f>
        <v>3.9818345608164241E-7</v>
      </c>
      <c r="AR201" s="77">
        <f>$AH201*tbl_Data[[#This Row],[2034 ]]</f>
        <v>4.2401954366877125E-7</v>
      </c>
      <c r="AS201" s="77">
        <f>SUM(tbl_Data[[#This Row],[Adjusted 2025]:[Adjusted 2034]])</f>
        <v>3.2299552037899906E-6</v>
      </c>
      <c r="AT201" s="80">
        <f>AVERAGEIFS('3. Incentive Adjustment'!F:F,'3. Incentive Adjustment'!A:A,tbl_Data[[#This Row],[Trimmed Sector]],'3. Incentive Adjustment'!B:B,tbl_Data[[#This Row],[Trimmed Measure Name]])</f>
        <v>0</v>
      </c>
      <c r="AU201" s="80">
        <f>IFERROR(VLOOKUP(tbl_Data[[#This Row],[All_Meas_Name_Append]],'IRA Tax Credits'!$A$3:$D$46,4,0),0)</f>
        <v>41666.666666666672</v>
      </c>
      <c r="AV201" s="81">
        <f>tbl_Data[[#This Row],[Adj. per unit Incentive ($)]]/tbl_Data[[#This Row],[kWh Savings]]*tbl_Data[[#This Row],[Sum of Annuals]]</f>
        <v>0</v>
      </c>
      <c r="AW201" s="81" t="str">
        <f>IFERROR(VLOOKUP(tbl_Data[[#This Row],[Column1]],'1. Set Program Names'!$B$2:$D$15,3,0)*tbl_Data[[#This Row],[Sum of Annuals]],"")</f>
        <v/>
      </c>
      <c r="AX201" s="81">
        <f>tbl_Data[[#This Row],[per unit IRA tax ($)]]/tbl_Data[[#This Row],[kWh Savings]]*tbl_Data[[#This Row],[Sum of Annuals]]</f>
        <v>1.0112723058424168E-4</v>
      </c>
      <c r="AY201" s="81">
        <f>tbl_Data[[#This Row],[Avoided Costs ($/unit)]]/tbl_Data[[#This Row],[kWh Savings]]*tbl_Data[[#This Row],[Sum of Annuals]]</f>
        <v>1.7309666269299698E-6</v>
      </c>
      <c r="AZ201" s="81">
        <f>tbl_Data[[#This Row],[Lost Revenue ($/unit)]]/tbl_Data[[#This Row],[kWh Savings]]*tbl_Data[[#This Row],[Sum of Annuals]]</f>
        <v>4.8823235526566772E-6</v>
      </c>
      <c r="BA201" s="81">
        <f>tbl_Data[[#This Row],[Incremental Cost ($/unit)]]/tbl_Data[[#This Row],[kWh Savings]]*tbl_Data[[#This Row],[Sum of Annuals]]</f>
        <v>2.1819259811926661E-5</v>
      </c>
      <c r="BB201" s="77">
        <f>ROUNDUP(tbl_Data[[#This Row],[Adjusted 2025]]/$L201,0)</f>
        <v>1</v>
      </c>
      <c r="BC201" s="77">
        <f>ROUNDUP(tbl_Data[[#This Row],[Adjusted 2026]]/$L201,0)</f>
        <v>1</v>
      </c>
      <c r="BD201" s="77">
        <f>ROUNDUP(tbl_Data[[#This Row],[Adjusted 2027]]/$L201,0)</f>
        <v>1</v>
      </c>
      <c r="BE201" s="77">
        <f>ROUNDUP(tbl_Data[[#This Row],[Adjusted 2028]]/$L201,0)</f>
        <v>1</v>
      </c>
      <c r="BF201" s="77">
        <f>ROUNDUP(tbl_Data[[#This Row],[Adjusted 2029]]/$L201,0)</f>
        <v>1</v>
      </c>
      <c r="BG201" s="77">
        <f>ROUNDUP(tbl_Data[[#This Row],[Adjusted 2030]]/$L201,0)</f>
        <v>1</v>
      </c>
      <c r="BH201" s="77">
        <f>ROUNDUP(tbl_Data[[#This Row],[Adjusted 2031]]/$L201,0)</f>
        <v>1</v>
      </c>
      <c r="BI201" s="77">
        <f>ROUNDUP(tbl_Data[[#This Row],[Adjusted 2032]]/$L201,0)</f>
        <v>1</v>
      </c>
      <c r="BJ201" s="77">
        <f>ROUNDUP(tbl_Data[[#This Row],[Adjusted 2033]]/$L201,0)</f>
        <v>1</v>
      </c>
      <c r="BK201" s="77">
        <f>ROUNDUP(tbl_Data[[#This Row],[Adjusted 2034]]/$L201,0)</f>
        <v>1</v>
      </c>
      <c r="BL201" s="80">
        <f t="shared" si="89"/>
        <v>0</v>
      </c>
      <c r="BM201" s="80">
        <f t="shared" si="90"/>
        <v>0</v>
      </c>
      <c r="BN201" s="80">
        <f t="shared" si="91"/>
        <v>0</v>
      </c>
      <c r="BO201" s="80">
        <f t="shared" si="92"/>
        <v>0</v>
      </c>
      <c r="BP201" s="80">
        <f t="shared" si="93"/>
        <v>0</v>
      </c>
      <c r="BQ201" s="80">
        <f t="shared" si="94"/>
        <v>0</v>
      </c>
      <c r="BR201" s="80">
        <f t="shared" si="95"/>
        <v>0</v>
      </c>
      <c r="BS201" s="80">
        <f t="shared" si="96"/>
        <v>0</v>
      </c>
      <c r="BT201" s="80">
        <f t="shared" si="97"/>
        <v>0</v>
      </c>
      <c r="BU201" s="80">
        <f t="shared" si="98"/>
        <v>0</v>
      </c>
      <c r="BV201" s="80" t="str">
        <f>IFERROR(VLOOKUP($H201,'1. Set Program Names'!$B$2:$D$15,3,0)*V201,"NA")</f>
        <v>NA</v>
      </c>
      <c r="BW201" s="80" t="str">
        <f>IFERROR(VLOOKUP($H201,'1. Set Program Names'!$B$2:$D$15,3,0)*W201,"NA")</f>
        <v>NA</v>
      </c>
      <c r="BX201" s="80" t="str">
        <f>IFERROR(VLOOKUP($H201,'1. Set Program Names'!$B$2:$D$15,3,0)*X201,"NA")</f>
        <v>NA</v>
      </c>
      <c r="BY201" s="80" t="str">
        <f>IFERROR(VLOOKUP($H201,'1. Set Program Names'!$B$2:$D$15,3,0)*Y201,"NA")</f>
        <v>NA</v>
      </c>
      <c r="BZ201" s="80" t="str">
        <f>IFERROR(VLOOKUP($H201,'1. Set Program Names'!$B$2:$D$15,3,0)*Z201,"NA")</f>
        <v>NA</v>
      </c>
      <c r="CA201" s="80" t="str">
        <f>IFERROR(VLOOKUP($H201,'1. Set Program Names'!$B$2:$D$15,3,0)*AA201,"NA")</f>
        <v>NA</v>
      </c>
      <c r="CB201" s="80" t="str">
        <f>IFERROR(VLOOKUP($H201,'1. Set Program Names'!$B$2:$D$15,3,0)*AB201,"NA")</f>
        <v>NA</v>
      </c>
      <c r="CC201" s="80" t="str">
        <f>IFERROR(VLOOKUP($H201,'1. Set Program Names'!$B$2:$D$15,3,0)*AC201,"NA")</f>
        <v>NA</v>
      </c>
      <c r="CD201" s="80" t="str">
        <f>IFERROR(VLOOKUP($H201,'1. Set Program Names'!$B$2:$D$15,3,0)*AD201,"NA")</f>
        <v>NA</v>
      </c>
      <c r="CE201" s="80" t="str">
        <f>IFERROR(VLOOKUP($H201,'1. Set Program Names'!$B$2:$D$15,3,0)*AE201,"NA")</f>
        <v>NA</v>
      </c>
    </row>
    <row r="202" spans="1:83" x14ac:dyDescent="0.25">
      <c r="A202" s="79" t="s">
        <v>117</v>
      </c>
      <c r="B202" s="79" t="s">
        <v>88</v>
      </c>
      <c r="C202" s="79" t="s">
        <v>89</v>
      </c>
      <c r="D202" s="79" t="s">
        <v>90</v>
      </c>
      <c r="E202" s="79" t="s">
        <v>91</v>
      </c>
      <c r="F202" s="79" t="s">
        <v>90</v>
      </c>
      <c r="G202" s="79" t="s">
        <v>92</v>
      </c>
      <c r="H202" s="79" t="s">
        <v>9</v>
      </c>
      <c r="I202" s="79" t="s">
        <v>93</v>
      </c>
      <c r="J202" s="79" t="s">
        <v>94</v>
      </c>
      <c r="K202" s="79" t="s">
        <v>95</v>
      </c>
      <c r="L202" s="79">
        <v>1200.2266666666601</v>
      </c>
      <c r="M202" s="79">
        <v>4.8097974252120097E-2</v>
      </c>
      <c r="N202" s="79">
        <v>0.22310492157346501</v>
      </c>
      <c r="O202" s="79">
        <v>1210</v>
      </c>
      <c r="P202" s="79">
        <v>933.85922631496703</v>
      </c>
      <c r="Q202" s="79">
        <v>360.56616574297698</v>
      </c>
      <c r="R202" s="79">
        <v>571.53970184074296</v>
      </c>
      <c r="S202" s="79">
        <v>1535.35818196214</v>
      </c>
      <c r="T202" s="79">
        <v>15</v>
      </c>
      <c r="U202" s="79">
        <v>0.2</v>
      </c>
      <c r="V202" s="79">
        <f>tbl_Data_old[[#This Row],[2025 ]]*IFERROR(AVERAGEIFS('Participation Adjustment'!$C:$C,'Participation Adjustment'!$A:$A,$H202,'Participation Adjustment'!$B:$B,$I202),1)</f>
        <v>2.6865075506885199</v>
      </c>
      <c r="W202" s="79">
        <f>tbl_Data_old[[#This Row],[2026 ]]*IFERROR(AVERAGEIFS('Participation Adjustment'!$C:$C,'Participation Adjustment'!$A:$A,$H202,'Participation Adjustment'!$B:$B,$I202),1)</f>
        <v>5.5408241267985696</v>
      </c>
      <c r="X202" s="79">
        <f>tbl_Data_old[[#This Row],[2027 ]]*IFERROR(AVERAGEIFS('Participation Adjustment'!$C:$C,'Participation Adjustment'!$A:$A,$H202,'Participation Adjustment'!$B:$B,$I202),1)</f>
        <v>8.5617446572290898</v>
      </c>
      <c r="Y202" s="79">
        <f>tbl_Data_old[[#This Row],[2028 ]]*IFERROR(AVERAGEIFS('Participation Adjustment'!$C:$C,'Participation Adjustment'!$A:$A,$H202,'Participation Adjustment'!$B:$B,$I202),1)</f>
        <v>11.7531164695668</v>
      </c>
      <c r="Z202" s="79">
        <f>tbl_Data_old[[#This Row],[2029 ]]*IFERROR(AVERAGEIFS('Participation Adjustment'!$C:$C,'Participation Adjustment'!$A:$A,$H202,'Participation Adjustment'!$B:$B,$I202),1)</f>
        <v>15.1186027921689</v>
      </c>
      <c r="AA202" s="79">
        <f>tbl_Data_old[[#This Row],[2030 ]]*IFERROR(AVERAGEIFS('Participation Adjustment'!$C:$C,'Participation Adjustment'!$A:$A,$H202,'Participation Adjustment'!$B:$B,$I202),1)</f>
        <v>18.652064993942599</v>
      </c>
      <c r="AB202" s="79">
        <f>tbl_Data_old[[#This Row],[2031 ]]*IFERROR(AVERAGEIFS('Participation Adjustment'!$C:$C,'Participation Adjustment'!$A:$A,$H202,'Participation Adjustment'!$B:$B,$I202),1)</f>
        <v>22.373536435907099</v>
      </c>
      <c r="AC202" s="79">
        <f>tbl_Data_old[[#This Row],[2032 ]]*IFERROR(AVERAGEIFS('Participation Adjustment'!$C:$C,'Participation Adjustment'!$A:$A,$H202,'Participation Adjustment'!$B:$B,$I202),1)</f>
        <v>26.310562419060201</v>
      </c>
      <c r="AD202" s="79">
        <f>tbl_Data_old[[#This Row],[2033 ]]*IFERROR(AVERAGEIFS('Participation Adjustment'!$C:$C,'Participation Adjustment'!$A:$A,$H202,'Participation Adjustment'!$B:$B,$I202),1)</f>
        <v>30.492463053161401</v>
      </c>
      <c r="AE202" s="79">
        <f>tbl_Data_old[[#This Row],[2034 ]]*IFERROR(AVERAGEIFS('Participation Adjustment'!$C:$C,'Participation Adjustment'!$A:$A,$H202,'Participation Adjustment'!$B:$B,$I202),1)</f>
        <v>34.949424314789901</v>
      </c>
      <c r="AF202" s="77" t="str">
        <f t="shared" si="88"/>
        <v>Residential</v>
      </c>
      <c r="AG202" s="77" t="str">
        <f>tbl_Data[[#This Row],[All_Meas_Name_Append]]</f>
        <v>120v Heat Pump Water Heater 50 Gallons</v>
      </c>
      <c r="AH202" s="77">
        <f>AVERAGEIFS('3. Incentive Adjustment'!G:G,'3. Incentive Adjustment'!A:A,tbl_Data[[#This Row],[Trimmed Sector]],'3. Incentive Adjustment'!B:B,tbl_Data[[#This Row],[Trimmed Measure Name]])</f>
        <v>0.38528347196238832</v>
      </c>
      <c r="AI202" s="77">
        <f>$AH202*tbl_Data[[#This Row],[2025 ]]</f>
        <v>1.0350669565824449</v>
      </c>
      <c r="AJ202" s="77">
        <f>$AH202*tbl_Data[[#This Row],[2026 ]]</f>
        <v>2.1347879571059214</v>
      </c>
      <c r="AK202" s="77">
        <f>$AH202*tbl_Data[[#This Row],[2027 ]]</f>
        <v>3.2986987075926519</v>
      </c>
      <c r="AL202" s="77">
        <f>$AH202*tbl_Data[[#This Row],[2028 ]]</f>
        <v>4.5282815197730244</v>
      </c>
      <c r="AM202" s="77">
        <f>$AH202*tbl_Data[[#This Row],[2029 ]]</f>
        <v>5.8249477749870922</v>
      </c>
      <c r="AN202" s="77">
        <f>$AH202*tbl_Data[[#This Row],[2030 ]]</f>
        <v>7.1863323601343279</v>
      </c>
      <c r="AO202" s="77">
        <f>$AH202*tbl_Data[[#This Row],[2031 ]]</f>
        <v>8.6201537981032867</v>
      </c>
      <c r="AP202" s="77">
        <f>$AH202*tbl_Data[[#This Row],[2032 ]]</f>
        <v>10.137024838098649</v>
      </c>
      <c r="AQ202" s="77">
        <f>$AH202*tbl_Data[[#This Row],[2033 ]]</f>
        <v>11.748242033806873</v>
      </c>
      <c r="AR202" s="77">
        <f>$AH202*tbl_Data[[#This Row],[2034 ]]</f>
        <v>13.465435543088967</v>
      </c>
      <c r="AS202" s="77">
        <f>SUM(tbl_Data[[#This Row],[Adjusted 2025]:[Adjusted 2034]])</f>
        <v>67.978971489273235</v>
      </c>
      <c r="AT202" s="80">
        <f>AVERAGEIFS('3. Incentive Adjustment'!F:F,'3. Incentive Adjustment'!A:A,tbl_Data[[#This Row],[Trimmed Sector]],'3. Incentive Adjustment'!B:B,tbl_Data[[#This Row],[Trimmed Measure Name]])</f>
        <v>500</v>
      </c>
      <c r="AU202" s="80">
        <f>IFERROR(VLOOKUP(tbl_Data[[#This Row],[All_Meas_Name_Append]],'IRA Tax Credits'!$A$3:$D$46,4,0),0)</f>
        <v>1666.6666666666667</v>
      </c>
      <c r="AV202" s="81">
        <f>tbl_Data[[#This Row],[Adj. per unit Incentive ($)]]/tbl_Data[[#This Row],[kWh Savings]]*tbl_Data[[#This Row],[Sum of Annuals]]</f>
        <v>28.319222267435709</v>
      </c>
      <c r="AW202" s="81">
        <f>IFERROR(VLOOKUP(tbl_Data[[#This Row],[Column1]],'1. Set Program Names'!$B$2:$D$15,3,0)*tbl_Data[[#This Row],[Sum of Annuals]],"")</f>
        <v>30.632860169377285</v>
      </c>
      <c r="AX202" s="81">
        <f>tbl_Data[[#This Row],[per unit IRA tax ($)]]/tbl_Data[[#This Row],[kWh Savings]]*tbl_Data[[#This Row],[Sum of Annuals]]</f>
        <v>94.397407558119028</v>
      </c>
      <c r="AY202" s="81">
        <f>tbl_Data[[#This Row],[Avoided Costs ($/unit)]]/tbl_Data[[#This Row],[kWh Savings]]*tbl_Data[[#This Row],[Sum of Annuals]]</f>
        <v>32.371119702183869</v>
      </c>
      <c r="AZ202" s="81">
        <f>tbl_Data[[#This Row],[Lost Revenue ($/unit)]]/tbl_Data[[#This Row],[kWh Savings]]*tbl_Data[[#This Row],[Sum of Annuals]]</f>
        <v>86.960299230223683</v>
      </c>
      <c r="BA202" s="81">
        <f>tbl_Data[[#This Row],[Incremental Cost ($/unit)]]/tbl_Data[[#This Row],[kWh Savings]]*tbl_Data[[#This Row],[Sum of Annuals]]</f>
        <v>68.532517887194416</v>
      </c>
      <c r="BB202" s="77">
        <f>ROUNDUP(tbl_Data[[#This Row],[Adjusted 2025]]/$L202,0)</f>
        <v>1</v>
      </c>
      <c r="BC202" s="77">
        <f>ROUNDUP(tbl_Data[[#This Row],[Adjusted 2026]]/$L202,0)</f>
        <v>1</v>
      </c>
      <c r="BD202" s="77">
        <f>ROUNDUP(tbl_Data[[#This Row],[Adjusted 2027]]/$L202,0)</f>
        <v>1</v>
      </c>
      <c r="BE202" s="77">
        <f>ROUNDUP(tbl_Data[[#This Row],[Adjusted 2028]]/$L202,0)</f>
        <v>1</v>
      </c>
      <c r="BF202" s="77">
        <f>ROUNDUP(tbl_Data[[#This Row],[Adjusted 2029]]/$L202,0)</f>
        <v>1</v>
      </c>
      <c r="BG202" s="77">
        <f>ROUNDUP(tbl_Data[[#This Row],[Adjusted 2030]]/$L202,0)</f>
        <v>1</v>
      </c>
      <c r="BH202" s="77">
        <f>ROUNDUP(tbl_Data[[#This Row],[Adjusted 2031]]/$L202,0)</f>
        <v>1</v>
      </c>
      <c r="BI202" s="77">
        <f>ROUNDUP(tbl_Data[[#This Row],[Adjusted 2032]]/$L202,0)</f>
        <v>1</v>
      </c>
      <c r="BJ202" s="77">
        <f>ROUNDUP(tbl_Data[[#This Row],[Adjusted 2033]]/$L202,0)</f>
        <v>1</v>
      </c>
      <c r="BK202" s="77">
        <f>ROUNDUP(tbl_Data[[#This Row],[Adjusted 2034]]/$L202,0)</f>
        <v>1</v>
      </c>
      <c r="BL202" s="80">
        <f t="shared" si="89"/>
        <v>1.1191667479567198</v>
      </c>
      <c r="BM202" s="80">
        <f t="shared" si="90"/>
        <v>2.3082407184748157</v>
      </c>
      <c r="BN202" s="80">
        <f t="shared" si="91"/>
        <v>3.5667198934211606</v>
      </c>
      <c r="BO202" s="80">
        <f t="shared" si="92"/>
        <v>4.8962070232151413</v>
      </c>
      <c r="BP202" s="80">
        <f t="shared" si="93"/>
        <v>6.2982281647504008</v>
      </c>
      <c r="BQ202" s="80">
        <f t="shared" si="94"/>
        <v>7.7702260381133703</v>
      </c>
      <c r="BR202" s="80">
        <f t="shared" si="95"/>
        <v>9.320546300660105</v>
      </c>
      <c r="BS202" s="80">
        <f t="shared" si="96"/>
        <v>10.960663993631902</v>
      </c>
      <c r="BT202" s="80">
        <f t="shared" si="97"/>
        <v>12.702793522263114</v>
      </c>
      <c r="BU202" s="80">
        <f t="shared" si="98"/>
        <v>14.559510001495589</v>
      </c>
      <c r="BV202" s="80">
        <f>IFERROR(VLOOKUP($H202,'1. Set Program Names'!$B$2:$D$15,3,0)*V202,"NA")</f>
        <v>1.2106009894133736</v>
      </c>
      <c r="BW202" s="80">
        <f>IFERROR(VLOOKUP($H202,'1. Set Program Names'!$B$2:$D$15,3,0)*W202,"NA")</f>
        <v>2.496820516416836</v>
      </c>
      <c r="BX202" s="80">
        <f>IFERROR(VLOOKUP($H202,'1. Set Program Names'!$B$2:$D$15,3,0)*X202,"NA")</f>
        <v>3.8581155487502019</v>
      </c>
      <c r="BY202" s="80">
        <f>IFERROR(VLOOKUP($H202,'1. Set Program Names'!$B$2:$D$15,3,0)*Y202,"NA")</f>
        <v>5.2962197791335557</v>
      </c>
      <c r="BZ202" s="80">
        <f>IFERROR(VLOOKUP($H202,'1. Set Program Names'!$B$2:$D$15,3,0)*Z202,"NA")</f>
        <v>6.8127839410154367</v>
      </c>
      <c r="CA202" s="80">
        <f>IFERROR(VLOOKUP($H202,'1. Set Program Names'!$B$2:$D$15,3,0)*AA202,"NA")</f>
        <v>8.4050418285563424</v>
      </c>
      <c r="CB202" s="80">
        <f>IFERROR(VLOOKUP($H202,'1. Set Program Names'!$B$2:$D$15,3,0)*AB202,"NA")</f>
        <v>10.082020926776709</v>
      </c>
      <c r="CC202" s="80">
        <f>IFERROR(VLOOKUP($H202,'1. Set Program Names'!$B$2:$D$15,3,0)*AC202,"NA")</f>
        <v>11.856133770542881</v>
      </c>
      <c r="CD202" s="80">
        <f>IFERROR(VLOOKUP($H202,'1. Set Program Names'!$B$2:$D$15,3,0)*AD202,"NA")</f>
        <v>13.74059266364141</v>
      </c>
      <c r="CE202" s="80">
        <f>IFERROR(VLOOKUP($H202,'1. Set Program Names'!$B$2:$D$15,3,0)*AE202,"NA")</f>
        <v>15.749000089007369</v>
      </c>
    </row>
    <row r="203" spans="1:83" x14ac:dyDescent="0.25">
      <c r="A203" s="79" t="s">
        <v>117</v>
      </c>
      <c r="B203" s="79" t="s">
        <v>88</v>
      </c>
      <c r="C203" s="79" t="s">
        <v>89</v>
      </c>
      <c r="D203" s="79" t="s">
        <v>90</v>
      </c>
      <c r="E203" s="79" t="s">
        <v>91</v>
      </c>
      <c r="F203" s="79" t="s">
        <v>90</v>
      </c>
      <c r="G203" s="79" t="s">
        <v>92</v>
      </c>
      <c r="H203" s="79" t="s">
        <v>9</v>
      </c>
      <c r="I203" s="79" t="s">
        <v>96</v>
      </c>
      <c r="J203" s="79" t="s">
        <v>97</v>
      </c>
      <c r="K203" s="79" t="s">
        <v>98</v>
      </c>
      <c r="L203" s="79">
        <v>5868.07</v>
      </c>
      <c r="M203" s="79">
        <v>0.20813520080661799</v>
      </c>
      <c r="N203" s="79">
        <v>1.1349578069705</v>
      </c>
      <c r="O203" s="79">
        <v>1935.1666666666599</v>
      </c>
      <c r="P203" s="79">
        <v>513.45064263862798</v>
      </c>
      <c r="Q203" s="79">
        <v>1762.8565994851499</v>
      </c>
      <c r="R203" s="79">
        <v>3388.0400735263802</v>
      </c>
      <c r="S203" s="79">
        <v>7811.7411984889604</v>
      </c>
      <c r="T203" s="79">
        <v>16</v>
      </c>
      <c r="U203" s="79">
        <v>0.2</v>
      </c>
      <c r="V203" s="79">
        <f>tbl_Data_old[[#This Row],[2025 ]]*IFERROR(AVERAGEIFS('Participation Adjustment'!$C:$C,'Participation Adjustment'!$A:$A,$H203,'Participation Adjustment'!$B:$B,$I203),1)</f>
        <v>16.293418512666701</v>
      </c>
      <c r="W203" s="79">
        <f>tbl_Data_old[[#This Row],[2026 ]]*IFERROR(AVERAGEIFS('Participation Adjustment'!$C:$C,'Participation Adjustment'!$A:$A,$H203,'Participation Adjustment'!$B:$B,$I203),1)</f>
        <v>33.544460620682997</v>
      </c>
      <c r="X203" s="79">
        <f>tbl_Data_old[[#This Row],[2027 ]]*IFERROR(AVERAGEIFS('Participation Adjustment'!$C:$C,'Participation Adjustment'!$A:$A,$H203,'Participation Adjustment'!$B:$B,$I203),1)</f>
        <v>51.738041032786597</v>
      </c>
      <c r="Y203" s="79">
        <f>tbl_Data_old[[#This Row],[2028 ]]*IFERROR(AVERAGEIFS('Participation Adjustment'!$C:$C,'Participation Adjustment'!$A:$A,$H203,'Participation Adjustment'!$B:$B,$I203),1)</f>
        <v>70.889431181187007</v>
      </c>
      <c r="Z203" s="79">
        <f>tbl_Data_old[[#This Row],[2029 ]]*IFERROR(AVERAGEIFS('Participation Adjustment'!$C:$C,'Participation Adjustment'!$A:$A,$H203,'Participation Adjustment'!$B:$B,$I203),1)</f>
        <v>91.012530648565402</v>
      </c>
      <c r="AA203" s="79">
        <f>tbl_Data_old[[#This Row],[2030 ]]*IFERROR(AVERAGEIFS('Participation Adjustment'!$C:$C,'Participation Adjustment'!$A:$A,$H203,'Participation Adjustment'!$B:$B,$I203),1)</f>
        <v>112.062599842201</v>
      </c>
      <c r="AB203" s="79">
        <f>tbl_Data_old[[#This Row],[2031 ]]*IFERROR(AVERAGEIFS('Participation Adjustment'!$C:$C,'Participation Adjustment'!$A:$A,$H203,'Participation Adjustment'!$B:$B,$I203),1)</f>
        <v>134.15065094784299</v>
      </c>
      <c r="AC203" s="79">
        <f>tbl_Data_old[[#This Row],[2032 ]]*IFERROR(AVERAGEIFS('Participation Adjustment'!$C:$C,'Participation Adjustment'!$A:$A,$H203,'Participation Adjustment'!$B:$B,$I203),1)</f>
        <v>157.430803500618</v>
      </c>
      <c r="AD203" s="79">
        <f>tbl_Data_old[[#This Row],[2033 ]]*IFERROR(AVERAGEIFS('Participation Adjustment'!$C:$C,'Participation Adjustment'!$A:$A,$H203,'Participation Adjustment'!$B:$B,$I203),1)</f>
        <v>182.065815387843</v>
      </c>
      <c r="AE203" s="79">
        <f>tbl_Data_old[[#This Row],[2034 ]]*IFERROR(AVERAGEIFS('Participation Adjustment'!$C:$C,'Participation Adjustment'!$A:$A,$H203,'Participation Adjustment'!$B:$B,$I203),1)</f>
        <v>208.22158594948399</v>
      </c>
      <c r="AF203" s="77" t="str">
        <f t="shared" si="88"/>
        <v>Residential</v>
      </c>
      <c r="AG203" s="77" t="str">
        <f>tbl_Data[[#This Row],[All_Meas_Name_Append]]</f>
        <v>ASHP - CEE Tier 2: 16.8 SEER/16 SEER2; 9.0 HSPF (from elec resistance)</v>
      </c>
      <c r="AH203" s="77">
        <f>AVERAGEIFS('3. Incentive Adjustment'!G:G,'3. Incentive Adjustment'!A:A,tbl_Data[[#This Row],[Trimmed Sector]],'3. Incentive Adjustment'!B:B,tbl_Data[[#This Row],[Trimmed Measure Name]])</f>
        <v>0.9303958662075158</v>
      </c>
      <c r="AI203" s="77">
        <f>$AH203*tbl_Data[[#This Row],[2025 ]]</f>
        <v>15.159329230574109</v>
      </c>
      <c r="AJ203" s="77">
        <f>$AH203*tbl_Data[[#This Row],[2026 ]]</f>
        <v>31.209627495644259</v>
      </c>
      <c r="AK203" s="77">
        <f>$AH203*tbl_Data[[#This Row],[2027 ]]</f>
        <v>48.136859502579483</v>
      </c>
      <c r="AL203" s="77">
        <f>$AH203*tbl_Data[[#This Row],[2028 ]]</f>
        <v>65.955233728778566</v>
      </c>
      <c r="AM203" s="77">
        <f>$AH203*tbl_Data[[#This Row],[2029 ]]</f>
        <v>84.677682288510084</v>
      </c>
      <c r="AN203" s="77">
        <f>$AH203*tbl_Data[[#This Row],[2030 ]]</f>
        <v>104.26257964965082</v>
      </c>
      <c r="AO203" s="77">
        <f>$AH203*tbl_Data[[#This Row],[2031 ]]</f>
        <v>124.81321109092048</v>
      </c>
      <c r="AP203" s="77">
        <f>$AH203*tbl_Data[[#This Row],[2032 ]]</f>
        <v>146.47296879070268</v>
      </c>
      <c r="AQ203" s="77">
        <f>$AH203*tbl_Data[[#This Row],[2033 ]]</f>
        <v>169.39328201454984</v>
      </c>
      <c r="AR203" s="77">
        <f>$AH203*tbl_Data[[#This Row],[2034 ]]</f>
        <v>193.72850282257286</v>
      </c>
      <c r="AS203" s="77">
        <f>SUM(tbl_Data[[#This Row],[Adjusted 2025]:[Adjusted 2034]])</f>
        <v>983.80927661448322</v>
      </c>
      <c r="AT203" s="80">
        <f>AVERAGEIFS('3. Incentive Adjustment'!F:F,'3. Incentive Adjustment'!A:A,tbl_Data[[#This Row],[Trimmed Sector]],'3. Incentive Adjustment'!B:B,tbl_Data[[#This Row],[Trimmed Measure Name]])</f>
        <v>353</v>
      </c>
      <c r="AU203" s="80">
        <f>IFERROR(VLOOKUP(tbl_Data[[#This Row],[All_Meas_Name_Append]],'IRA Tax Credits'!$A$3:$D$46,4,0),0)</f>
        <v>0</v>
      </c>
      <c r="AV203" s="81">
        <f>tbl_Data[[#This Row],[Adj. per unit Incentive ($)]]/tbl_Data[[#This Row],[kWh Savings]]*tbl_Data[[#This Row],[Sum of Annuals]]</f>
        <v>59.18209473385842</v>
      </c>
      <c r="AW203" s="81">
        <f>IFERROR(VLOOKUP(tbl_Data[[#This Row],[Column1]],'1. Set Program Names'!$B$2:$D$15,3,0)*tbl_Data[[#This Row],[Sum of Annuals]],"")</f>
        <v>443.32668387933967</v>
      </c>
      <c r="AX203" s="81">
        <f>tbl_Data[[#This Row],[per unit IRA tax ($)]]/tbl_Data[[#This Row],[kWh Savings]]*tbl_Data[[#This Row],[Sum of Annuals]]</f>
        <v>0</v>
      </c>
      <c r="AY203" s="81">
        <f>tbl_Data[[#This Row],[Avoided Costs ($/unit)]]/tbl_Data[[#This Row],[kWh Savings]]*tbl_Data[[#This Row],[Sum of Annuals]]</f>
        <v>568.020704231011</v>
      </c>
      <c r="AZ203" s="81">
        <f>tbl_Data[[#This Row],[Lost Revenue ($/unit)]]/tbl_Data[[#This Row],[kWh Savings]]*tbl_Data[[#This Row],[Sum of Annuals]]</f>
        <v>1309.6748091936499</v>
      </c>
      <c r="BA203" s="81">
        <f>tbl_Data[[#This Row],[Incremental Cost ($/unit)]]/tbl_Data[[#This Row],[kWh Savings]]*tbl_Data[[#This Row],[Sum of Annuals]]</f>
        <v>324.43970819396969</v>
      </c>
      <c r="BB203" s="77">
        <f>ROUNDUP(tbl_Data[[#This Row],[Adjusted 2025]]/$L203,0)</f>
        <v>1</v>
      </c>
      <c r="BC203" s="77">
        <f>ROUNDUP(tbl_Data[[#This Row],[Adjusted 2026]]/$L203,0)</f>
        <v>1</v>
      </c>
      <c r="BD203" s="77">
        <f>ROUNDUP(tbl_Data[[#This Row],[Adjusted 2027]]/$L203,0)</f>
        <v>1</v>
      </c>
      <c r="BE203" s="77">
        <f>ROUNDUP(tbl_Data[[#This Row],[Adjusted 2028]]/$L203,0)</f>
        <v>1</v>
      </c>
      <c r="BF203" s="77">
        <f>ROUNDUP(tbl_Data[[#This Row],[Adjusted 2029]]/$L203,0)</f>
        <v>1</v>
      </c>
      <c r="BG203" s="77">
        <f>ROUNDUP(tbl_Data[[#This Row],[Adjusted 2030]]/$L203,0)</f>
        <v>1</v>
      </c>
      <c r="BH203" s="77">
        <f>ROUNDUP(tbl_Data[[#This Row],[Adjusted 2031]]/$L203,0)</f>
        <v>1</v>
      </c>
      <c r="BI203" s="77">
        <f>ROUNDUP(tbl_Data[[#This Row],[Adjusted 2032]]/$L203,0)</f>
        <v>1</v>
      </c>
      <c r="BJ203" s="77">
        <f>ROUNDUP(tbl_Data[[#This Row],[Adjusted 2033]]/$L203,0)</f>
        <v>1</v>
      </c>
      <c r="BK203" s="77">
        <f>ROUNDUP(tbl_Data[[#This Row],[Adjusted 2034]]/$L203,0)</f>
        <v>1</v>
      </c>
      <c r="BL203" s="80">
        <f t="shared" si="89"/>
        <v>0.98014794216349599</v>
      </c>
      <c r="BM203" s="80">
        <f t="shared" si="90"/>
        <v>2.017902751518148</v>
      </c>
      <c r="BN203" s="80">
        <f t="shared" si="91"/>
        <v>3.1123569563031235</v>
      </c>
      <c r="BO203" s="80">
        <f t="shared" si="92"/>
        <v>4.2644292257861638</v>
      </c>
      <c r="BP203" s="80">
        <f t="shared" si="93"/>
        <v>5.4749557041656951</v>
      </c>
      <c r="BQ203" s="80">
        <f t="shared" si="94"/>
        <v>6.7412450335965577</v>
      </c>
      <c r="BR203" s="80">
        <f t="shared" si="95"/>
        <v>8.0699752703339556</v>
      </c>
      <c r="BS203" s="80">
        <f t="shared" si="96"/>
        <v>9.4704176391416865</v>
      </c>
      <c r="BT203" s="80">
        <f t="shared" si="97"/>
        <v>10.952363014058896</v>
      </c>
      <c r="BU203" s="80">
        <f t="shared" si="98"/>
        <v>12.525791246554293</v>
      </c>
      <c r="BV203" s="80">
        <f>IFERROR(VLOOKUP($H203,'1. Set Program Names'!$B$2:$D$15,3,0)*V203,"NA")</f>
        <v>7.3421824432636509</v>
      </c>
      <c r="BW203" s="80">
        <f>IFERROR(VLOOKUP($H203,'1. Set Program Names'!$B$2:$D$15,3,0)*W203,"NA")</f>
        <v>15.115891710905181</v>
      </c>
      <c r="BX203" s="80">
        <f>IFERROR(VLOOKUP($H203,'1. Set Program Names'!$B$2:$D$15,3,0)*X203,"NA")</f>
        <v>23.314330029911432</v>
      </c>
      <c r="BY203" s="80">
        <f>IFERROR(VLOOKUP($H203,'1. Set Program Names'!$B$2:$D$15,3,0)*Y203,"NA")</f>
        <v>31.944379052611222</v>
      </c>
      <c r="BZ203" s="80">
        <f>IFERROR(VLOOKUP($H203,'1. Set Program Names'!$B$2:$D$15,3,0)*Z203,"NA")</f>
        <v>41.012302244946405</v>
      </c>
      <c r="CA203" s="80">
        <f>IFERROR(VLOOKUP($H203,'1. Set Program Names'!$B$2:$D$15,3,0)*AA203,"NA")</f>
        <v>50.497938935788454</v>
      </c>
      <c r="CB203" s="80">
        <f>IFERROR(VLOOKUP($H203,'1. Set Program Names'!$B$2:$D$15,3,0)*AB203,"NA")</f>
        <v>60.451313723754431</v>
      </c>
      <c r="CC203" s="80">
        <f>IFERROR(VLOOKUP($H203,'1. Set Program Names'!$B$2:$D$15,3,0)*AC203,"NA")</f>
        <v>70.941876352867737</v>
      </c>
      <c r="CD203" s="80">
        <f>IFERROR(VLOOKUP($H203,'1. Set Program Names'!$B$2:$D$15,3,0)*AD203,"NA")</f>
        <v>82.042969203785461</v>
      </c>
      <c r="CE203" s="80">
        <f>IFERROR(VLOOKUP($H203,'1. Set Program Names'!$B$2:$D$15,3,0)*AE203,"NA")</f>
        <v>93.82935026669243</v>
      </c>
    </row>
    <row r="204" spans="1:83" x14ac:dyDescent="0.25">
      <c r="A204" s="79" t="s">
        <v>117</v>
      </c>
      <c r="B204" s="79" t="s">
        <v>88</v>
      </c>
      <c r="C204" s="79" t="s">
        <v>89</v>
      </c>
      <c r="D204" s="79" t="s">
        <v>90</v>
      </c>
      <c r="E204" s="79" t="s">
        <v>91</v>
      </c>
      <c r="F204" s="79" t="s">
        <v>90</v>
      </c>
      <c r="G204" s="79" t="s">
        <v>92</v>
      </c>
      <c r="H204" s="79" t="s">
        <v>9</v>
      </c>
      <c r="I204" s="79" t="s">
        <v>99</v>
      </c>
      <c r="J204" s="79" t="s">
        <v>97</v>
      </c>
      <c r="K204" s="79" t="s">
        <v>98</v>
      </c>
      <c r="L204" s="79">
        <v>253.96999999999801</v>
      </c>
      <c r="M204" s="79">
        <v>0.107126245482503</v>
      </c>
      <c r="N204" s="79">
        <v>1.33192706841354E-2</v>
      </c>
      <c r="O204" s="79">
        <v>874.99999999999898</v>
      </c>
      <c r="P204" s="79">
        <v>813.468148399999</v>
      </c>
      <c r="Q204" s="79">
        <v>76.296412716828996</v>
      </c>
      <c r="R204" s="79">
        <v>185.54516688855901</v>
      </c>
      <c r="S204" s="79">
        <v>338.09206641710699</v>
      </c>
      <c r="T204" s="79">
        <v>16</v>
      </c>
      <c r="U204" s="79">
        <v>0.19999999999999901</v>
      </c>
      <c r="V204" s="79">
        <f>tbl_Data_old[[#This Row],[2025 ]]*IFERROR(AVERAGEIFS('Participation Adjustment'!$C:$C,'Participation Adjustment'!$A:$A,$H204,'Participation Adjustment'!$B:$B,$I204),1)</f>
        <v>0.13097494413893601</v>
      </c>
      <c r="W204" s="79">
        <f>tbl_Data_old[[#This Row],[2026 ]]*IFERROR(AVERAGEIFS('Participation Adjustment'!$C:$C,'Participation Adjustment'!$A:$A,$H204,'Participation Adjustment'!$B:$B,$I204),1)</f>
        <v>0.27721124933087599</v>
      </c>
      <c r="X204" s="79">
        <f>tbl_Data_old[[#This Row],[2027 ]]*IFERROR(AVERAGEIFS('Participation Adjustment'!$C:$C,'Participation Adjustment'!$A:$A,$H204,'Participation Adjustment'!$B:$B,$I204),1)</f>
        <v>0.43765531833909099</v>
      </c>
      <c r="Y204" s="79">
        <f>tbl_Data_old[[#This Row],[2028 ]]*IFERROR(AVERAGEIFS('Participation Adjustment'!$C:$C,'Participation Adjustment'!$A:$A,$H204,'Participation Adjustment'!$B:$B,$I204),1)</f>
        <v>0.61165830089685502</v>
      </c>
      <c r="Z204" s="79">
        <f>tbl_Data_old[[#This Row],[2029 ]]*IFERROR(AVERAGEIFS('Participation Adjustment'!$C:$C,'Participation Adjustment'!$A:$A,$H204,'Participation Adjustment'!$B:$B,$I204),1)</f>
        <v>0.79868809597354196</v>
      </c>
      <c r="AA204" s="79">
        <f>tbl_Data_old[[#This Row],[2030 ]]*IFERROR(AVERAGEIFS('Participation Adjustment'!$C:$C,'Participation Adjustment'!$A:$A,$H204,'Participation Adjustment'!$B:$B,$I204),1)</f>
        <v>0.99776461324358401</v>
      </c>
      <c r="AB204" s="79">
        <f>tbl_Data_old[[#This Row],[2031 ]]*IFERROR(AVERAGEIFS('Participation Adjustment'!$C:$C,'Participation Adjustment'!$A:$A,$H204,'Participation Adjustment'!$B:$B,$I204),1)</f>
        <v>1.2094685998999199</v>
      </c>
      <c r="AC204" s="79">
        <f>tbl_Data_old[[#This Row],[2032 ]]*IFERROR(AVERAGEIFS('Participation Adjustment'!$C:$C,'Participation Adjustment'!$A:$A,$H204,'Participation Adjustment'!$B:$B,$I204),1)</f>
        <v>1.4349100934919401</v>
      </c>
      <c r="AD204" s="79">
        <f>tbl_Data_old[[#This Row],[2033 ]]*IFERROR(AVERAGEIFS('Participation Adjustment'!$C:$C,'Participation Adjustment'!$A:$A,$H204,'Participation Adjustment'!$B:$B,$I204),1)</f>
        <v>1.6753813209694399</v>
      </c>
      <c r="AE204" s="79">
        <f>tbl_Data_old[[#This Row],[2034 ]]*IFERROR(AVERAGEIFS('Participation Adjustment'!$C:$C,'Participation Adjustment'!$A:$A,$H204,'Participation Adjustment'!$B:$B,$I204),1)</f>
        <v>1.9322833918231399</v>
      </c>
      <c r="AF204" s="77" t="str">
        <f t="shared" si="88"/>
        <v>Residential</v>
      </c>
      <c r="AG204" s="77" t="str">
        <f>tbl_Data[[#This Row],[All_Meas_Name_Append]]</f>
        <v>ASHP - ENERGY STAR/CEE Tier 1: 16 SEER/15.2 SEER2_ 9.0 HSPF</v>
      </c>
      <c r="AH204" s="77">
        <f>AVERAGEIFS('3. Incentive Adjustment'!G:G,'3. Incentive Adjustment'!A:A,tbl_Data[[#This Row],[Trimmed Sector]],'3. Incentive Adjustment'!B:B,tbl_Data[[#This Row],[Trimmed Measure Name]])</f>
        <v>8.3636985731950567E-3</v>
      </c>
      <c r="AI204" s="77">
        <f>$AH204*tbl_Data[[#This Row],[2025 ]]</f>
        <v>1.0954349534191214E-3</v>
      </c>
      <c r="AJ204" s="77">
        <f>$AH204*tbl_Data[[#This Row],[2026 ]]</f>
        <v>2.3185113305022667E-3</v>
      </c>
      <c r="AK204" s="77">
        <f>$AH204*tbl_Data[[#This Row],[2027 ]]</f>
        <v>3.6604171615438837E-3</v>
      </c>
      <c r="AL204" s="77">
        <f>$AH204*tbl_Data[[#This Row],[2028 ]]</f>
        <v>5.1157256584939389E-3</v>
      </c>
      <c r="AM204" s="77">
        <f>$AH204*tbl_Data[[#This Row],[2029 ]]</f>
        <v>6.6799864887217893E-3</v>
      </c>
      <c r="AN204" s="77">
        <f>$AH204*tbl_Data[[#This Row],[2030 ]]</f>
        <v>8.3450024721698803E-3</v>
      </c>
      <c r="AO204" s="77">
        <f>$AH204*tbl_Data[[#This Row],[2031 ]]</f>
        <v>1.0115630803307183E-2</v>
      </c>
      <c r="AP204" s="77">
        <f>$AH204*tbl_Data[[#This Row],[2032 ]]</f>
        <v>1.2001155501601725E-2</v>
      </c>
      <c r="AQ204" s="77">
        <f>$AH204*tbl_Data[[#This Row],[2033 ]]</f>
        <v>1.4012384363749754E-2</v>
      </c>
      <c r="AR204" s="77">
        <f>$AH204*tbl_Data[[#This Row],[2034 ]]</f>
        <v>1.61610358471997E-2</v>
      </c>
      <c r="AS204" s="77">
        <f>SUM(tbl_Data[[#This Row],[Adjusted 2025]:[Adjusted 2034]])</f>
        <v>7.950528458070924E-2</v>
      </c>
      <c r="AT204" s="80">
        <f>AVERAGEIFS('3. Incentive Adjustment'!F:F,'3. Incentive Adjustment'!A:A,tbl_Data[[#This Row],[Trimmed Sector]],'3. Incentive Adjustment'!B:B,tbl_Data[[#This Row],[Trimmed Measure Name]])</f>
        <v>353</v>
      </c>
      <c r="AU204" s="80">
        <f>IFERROR(VLOOKUP(tbl_Data[[#This Row],[All_Meas_Name_Append]],'IRA Tax Credits'!$A$3:$D$46,4,0),0)</f>
        <v>0</v>
      </c>
      <c r="AV204" s="81">
        <f>tbl_Data[[#This Row],[Adj. per unit Incentive ($)]]/tbl_Data[[#This Row],[kWh Savings]]*tbl_Data[[#This Row],[Sum of Annuals]]</f>
        <v>0.11050661675391023</v>
      </c>
      <c r="AW204" s="81">
        <f>IFERROR(VLOOKUP(tbl_Data[[#This Row],[Column1]],'1. Set Program Names'!$B$2:$D$15,3,0)*tbl_Data[[#This Row],[Sum of Annuals]],"")</f>
        <v>3.5826877222932395E-2</v>
      </c>
      <c r="AX204" s="81">
        <f>tbl_Data[[#This Row],[per unit IRA tax ($)]]/tbl_Data[[#This Row],[kWh Savings]]*tbl_Data[[#This Row],[Sum of Annuals]]</f>
        <v>0</v>
      </c>
      <c r="AY204" s="81">
        <f>tbl_Data[[#This Row],[Avoided Costs ($/unit)]]/tbl_Data[[#This Row],[kWh Savings]]*tbl_Data[[#This Row],[Sum of Annuals]]</f>
        <v>5.808489701953061E-2</v>
      </c>
      <c r="AZ204" s="81">
        <f>tbl_Data[[#This Row],[Lost Revenue ($/unit)]]/tbl_Data[[#This Row],[kWh Savings]]*tbl_Data[[#This Row],[Sum of Annuals]]</f>
        <v>0.10583968954983797</v>
      </c>
      <c r="BA204" s="81">
        <f>tbl_Data[[#This Row],[Incremental Cost ($/unit)]]/tbl_Data[[#This Row],[kWh Savings]]*tbl_Data[[#This Row],[Sum of Annuals]]</f>
        <v>0.27391866759113692</v>
      </c>
      <c r="BB204" s="77">
        <f>ROUNDUP(tbl_Data[[#This Row],[Adjusted 2025]]/$L204,0)</f>
        <v>1</v>
      </c>
      <c r="BC204" s="77">
        <f>ROUNDUP(tbl_Data[[#This Row],[Adjusted 2026]]/$L204,0)</f>
        <v>1</v>
      </c>
      <c r="BD204" s="77">
        <f>ROUNDUP(tbl_Data[[#This Row],[Adjusted 2027]]/$L204,0)</f>
        <v>1</v>
      </c>
      <c r="BE204" s="77">
        <f>ROUNDUP(tbl_Data[[#This Row],[Adjusted 2028]]/$L204,0)</f>
        <v>1</v>
      </c>
      <c r="BF204" s="77">
        <f>ROUNDUP(tbl_Data[[#This Row],[Adjusted 2029]]/$L204,0)</f>
        <v>1</v>
      </c>
      <c r="BG204" s="77">
        <f>ROUNDUP(tbl_Data[[#This Row],[Adjusted 2030]]/$L204,0)</f>
        <v>1</v>
      </c>
      <c r="BH204" s="77">
        <f>ROUNDUP(tbl_Data[[#This Row],[Adjusted 2031]]/$L204,0)</f>
        <v>1</v>
      </c>
      <c r="BI204" s="77">
        <f>ROUNDUP(tbl_Data[[#This Row],[Adjusted 2032]]/$L204,0)</f>
        <v>1</v>
      </c>
      <c r="BJ204" s="77">
        <f>ROUNDUP(tbl_Data[[#This Row],[Adjusted 2033]]/$L204,0)</f>
        <v>1</v>
      </c>
      <c r="BK204" s="77">
        <f>ROUNDUP(tbl_Data[[#This Row],[Adjusted 2034]]/$L204,0)</f>
        <v>1</v>
      </c>
      <c r="BL204" s="80">
        <f t="shared" si="89"/>
        <v>0.18204573485468667</v>
      </c>
      <c r="BM204" s="80">
        <f t="shared" si="90"/>
        <v>0.38530366190416188</v>
      </c>
      <c r="BN204" s="80">
        <f t="shared" si="91"/>
        <v>0.60830935690711629</v>
      </c>
      <c r="BO204" s="80">
        <f t="shared" si="92"/>
        <v>0.85016096474619651</v>
      </c>
      <c r="BP204" s="80">
        <f t="shared" si="93"/>
        <v>1.1101189033297734</v>
      </c>
      <c r="BQ204" s="80">
        <f t="shared" si="94"/>
        <v>1.3868209177264557</v>
      </c>
      <c r="BR204" s="80">
        <f t="shared" si="95"/>
        <v>1.681074204688251</v>
      </c>
      <c r="BS204" s="80">
        <f t="shared" si="96"/>
        <v>1.9944216364242187</v>
      </c>
      <c r="BT204" s="80">
        <f t="shared" si="97"/>
        <v>2.3286593152821866</v>
      </c>
      <c r="BU204" s="80">
        <f t="shared" si="98"/>
        <v>2.6857346824962542</v>
      </c>
      <c r="BV204" s="80">
        <f>IFERROR(VLOOKUP($H204,'1. Set Program Names'!$B$2:$D$15,3,0)*V204,"NA")</f>
        <v>5.9020268497782788E-2</v>
      </c>
      <c r="BW204" s="80">
        <f>IFERROR(VLOOKUP($H204,'1. Set Program Names'!$B$2:$D$15,3,0)*W204,"NA")</f>
        <v>0.12491765103376223</v>
      </c>
      <c r="BX204" s="80">
        <f>IFERROR(VLOOKUP($H204,'1. Set Program Names'!$B$2:$D$15,3,0)*X204,"NA")</f>
        <v>0.19721737289275082</v>
      </c>
      <c r="BY204" s="80">
        <f>IFERROR(VLOOKUP($H204,'1. Set Program Names'!$B$2:$D$15,3,0)*Y204,"NA")</f>
        <v>0.27562704748730776</v>
      </c>
      <c r="BZ204" s="80">
        <f>IFERROR(VLOOKUP($H204,'1. Set Program Names'!$B$2:$D$15,3,0)*Z204,"NA")</f>
        <v>0.35990689807309501</v>
      </c>
      <c r="CA204" s="80">
        <f>IFERROR(VLOOKUP($H204,'1. Set Program Names'!$B$2:$D$15,3,0)*AA204,"NA")</f>
        <v>0.44961527380958438</v>
      </c>
      <c r="CB204" s="80">
        <f>IFERROR(VLOOKUP($H204,'1. Set Program Names'!$B$2:$D$15,3,0)*AB204,"NA")</f>
        <v>0.54501387250074829</v>
      </c>
      <c r="CC204" s="80">
        <f>IFERROR(VLOOKUP($H204,'1. Set Program Names'!$B$2:$D$15,3,0)*AC204,"NA")</f>
        <v>0.64660290214162253</v>
      </c>
      <c r="CD204" s="80">
        <f>IFERROR(VLOOKUP($H204,'1. Set Program Names'!$B$2:$D$15,3,0)*AD204,"NA")</f>
        <v>0.75496466938664675</v>
      </c>
      <c r="CE204" s="80">
        <f>IFERROR(VLOOKUP($H204,'1. Set Program Names'!$B$2:$D$15,3,0)*AE204,"NA")</f>
        <v>0.87073054582281262</v>
      </c>
    </row>
    <row r="205" spans="1:83" x14ac:dyDescent="0.25">
      <c r="A205" s="79" t="s">
        <v>117</v>
      </c>
      <c r="B205" s="79" t="s">
        <v>88</v>
      </c>
      <c r="C205" s="79" t="s">
        <v>89</v>
      </c>
      <c r="D205" s="79" t="s">
        <v>90</v>
      </c>
      <c r="E205" s="79" t="s">
        <v>91</v>
      </c>
      <c r="F205" s="79" t="s">
        <v>90</v>
      </c>
      <c r="G205" s="79" t="s">
        <v>92</v>
      </c>
      <c r="H205" s="79" t="s">
        <v>9</v>
      </c>
      <c r="I205" s="79" t="s">
        <v>107</v>
      </c>
      <c r="J205" s="79" t="s">
        <v>94</v>
      </c>
      <c r="K205" s="79" t="s">
        <v>108</v>
      </c>
      <c r="L205" s="79">
        <v>1663.1099999999899</v>
      </c>
      <c r="M205" s="79">
        <v>6.6647595975018806E-2</v>
      </c>
      <c r="N205" s="79">
        <v>0.309148293753995</v>
      </c>
      <c r="O205" s="79">
        <v>1389.5</v>
      </c>
      <c r="P205" s="79">
        <v>988.78817699699403</v>
      </c>
      <c r="Q205" s="79">
        <v>499.623289969231</v>
      </c>
      <c r="R205" s="79">
        <v>791.96156853290995</v>
      </c>
      <c r="S205" s="79">
        <v>2127.4894292214699</v>
      </c>
      <c r="T205" s="79">
        <v>15</v>
      </c>
      <c r="U205" s="79">
        <v>0.2</v>
      </c>
      <c r="V205" s="79">
        <f>tbl_Data_old[[#This Row],[2025 ]]*IFERROR(AVERAGEIFS('Participation Adjustment'!$C:$C,'Participation Adjustment'!$A:$A,$H205,'Participation Adjustment'!$B:$B,$I205),1)</f>
        <v>3.2353518977584601</v>
      </c>
      <c r="W205" s="79">
        <f>tbl_Data_old[[#This Row],[2026 ]]*IFERROR(AVERAGEIFS('Participation Adjustment'!$C:$C,'Participation Adjustment'!$A:$A,$H205,'Participation Adjustment'!$B:$B,$I205),1)</f>
        <v>6.8334439796002</v>
      </c>
      <c r="X205" s="79">
        <f>tbl_Data_old[[#This Row],[2027 ]]*IFERROR(AVERAGEIFS('Participation Adjustment'!$C:$C,'Participation Adjustment'!$A:$A,$H205,'Participation Adjustment'!$B:$B,$I205),1)</f>
        <v>10.765812972653499</v>
      </c>
      <c r="Y205" s="79">
        <f>tbl_Data_old[[#This Row],[2028 ]]*IFERROR(AVERAGEIFS('Participation Adjustment'!$C:$C,'Participation Adjustment'!$A:$A,$H205,'Participation Adjustment'!$B:$B,$I205),1)</f>
        <v>15.014243502131199</v>
      </c>
      <c r="Z205" s="79">
        <f>tbl_Data_old[[#This Row],[2029 ]]*IFERROR(AVERAGEIFS('Participation Adjustment'!$C:$C,'Participation Adjustment'!$A:$A,$H205,'Participation Adjustment'!$B:$B,$I205),1)</f>
        <v>19.563594568418502</v>
      </c>
      <c r="AA205" s="79">
        <f>tbl_Data_old[[#This Row],[2030 ]]*IFERROR(AVERAGEIFS('Participation Adjustment'!$C:$C,'Participation Adjustment'!$A:$A,$H205,'Participation Adjustment'!$B:$B,$I205),1)</f>
        <v>24.388057713298402</v>
      </c>
      <c r="AB205" s="79">
        <f>tbl_Data_old[[#This Row],[2031 ]]*IFERROR(AVERAGEIFS('Participation Adjustment'!$C:$C,'Participation Adjustment'!$A:$A,$H205,'Participation Adjustment'!$B:$B,$I205),1)</f>
        <v>29.4998089538594</v>
      </c>
      <c r="AC205" s="79">
        <f>tbl_Data_old[[#This Row],[2032 ]]*IFERROR(AVERAGEIFS('Participation Adjustment'!$C:$C,'Participation Adjustment'!$A:$A,$H205,'Participation Adjustment'!$B:$B,$I205),1)</f>
        <v>34.923633910995001</v>
      </c>
      <c r="AD205" s="79">
        <f>tbl_Data_old[[#This Row],[2033 ]]*IFERROR(AVERAGEIFS('Participation Adjustment'!$C:$C,'Participation Adjustment'!$A:$A,$H205,'Participation Adjustment'!$B:$B,$I205),1)</f>
        <v>40.688425397824801</v>
      </c>
      <c r="AE205" s="79">
        <f>tbl_Data_old[[#This Row],[2034 ]]*IFERROR(AVERAGEIFS('Participation Adjustment'!$C:$C,'Participation Adjustment'!$A:$A,$H205,'Participation Adjustment'!$B:$B,$I205),1)</f>
        <v>46.825374520584297</v>
      </c>
      <c r="AF205" s="77" t="str">
        <f t="shared" si="88"/>
        <v>Residential</v>
      </c>
      <c r="AG205" s="77" t="str">
        <f>tbl_Data[[#This Row],[All_Meas_Name_Append]]</f>
        <v>Heat Pump Water Heater 50 Gallons- CEE Advanced Tier</v>
      </c>
      <c r="AH205" s="77">
        <f>AVERAGEIFS('3. Incentive Adjustment'!G:G,'3. Incentive Adjustment'!A:A,tbl_Data[[#This Row],[Trimmed Sector]],'3. Incentive Adjustment'!B:B,tbl_Data[[#This Row],[Trimmed Measure Name]])</f>
        <v>0.46049099596140497</v>
      </c>
      <c r="AI205" s="77">
        <f>$AH205*tbl_Data[[#This Row],[2025 ]]</f>
        <v>1.489850417684415</v>
      </c>
      <c r="AJ205" s="77">
        <f>$AH205*tbl_Data[[#This Row],[2026 ]]</f>
        <v>3.146739424012563</v>
      </c>
      <c r="AK205" s="77">
        <f>$AH205*tbl_Data[[#This Row],[2027 ]]</f>
        <v>4.9575599381114239</v>
      </c>
      <c r="AL205" s="77">
        <f>$AH205*tbl_Data[[#This Row],[2028 ]]</f>
        <v>6.9139239439034492</v>
      </c>
      <c r="AM205" s="77">
        <f>$AH205*tbl_Data[[#This Row],[2029 ]]</f>
        <v>9.0088591473961692</v>
      </c>
      <c r="AN205" s="77">
        <f>$AH205*tbl_Data[[#This Row],[2030 ]]</f>
        <v>11.230480985961005</v>
      </c>
      <c r="AO205" s="77">
        <f>$AH205*tbl_Data[[#This Row],[2031 ]]</f>
        <v>13.584396405833887</v>
      </c>
      <c r="AP205" s="77">
        <f>$AH205*tbl_Data[[#This Row],[2032 ]]</f>
        <v>16.082018962265586</v>
      </c>
      <c r="AQ205" s="77">
        <f>$AH205*tbl_Data[[#This Row],[2033 ]]</f>
        <v>18.736653535545667</v>
      </c>
      <c r="AR205" s="77">
        <f>$AH205*tbl_Data[[#This Row],[2034 ]]</f>
        <v>21.562663349249657</v>
      </c>
      <c r="AS205" s="77">
        <f>SUM(tbl_Data[[#This Row],[Adjusted 2025]:[Adjusted 2034]])</f>
        <v>106.71314610996382</v>
      </c>
      <c r="AT205" s="80">
        <f>AVERAGEIFS('3. Incentive Adjustment'!F:F,'3. Incentive Adjustment'!A:A,tbl_Data[[#This Row],[Trimmed Sector]],'3. Incentive Adjustment'!B:B,tbl_Data[[#This Row],[Trimmed Measure Name]])</f>
        <v>500</v>
      </c>
      <c r="AU205" s="80">
        <f>IFERROR(VLOOKUP(tbl_Data[[#This Row],[All_Meas_Name_Append]],'IRA Tax Credits'!$A$3:$D$46,4,0),0)</f>
        <v>1666.6666666666667</v>
      </c>
      <c r="AV205" s="81">
        <f>tbl_Data[[#This Row],[Adj. per unit Incentive ($)]]/tbl_Data[[#This Row],[kWh Savings]]*tbl_Data[[#This Row],[Sum of Annuals]]</f>
        <v>32.08240769100194</v>
      </c>
      <c r="AW205" s="81">
        <f>IFERROR(VLOOKUP(tbl_Data[[#This Row],[Column1]],'1. Set Program Names'!$B$2:$D$15,3,0)*tbl_Data[[#This Row],[Sum of Annuals]],"")</f>
        <v>48.087354242137522</v>
      </c>
      <c r="AX205" s="81">
        <f>tbl_Data[[#This Row],[per unit IRA tax ($)]]/tbl_Data[[#This Row],[kWh Savings]]*tbl_Data[[#This Row],[Sum of Annuals]]</f>
        <v>106.94135897000646</v>
      </c>
      <c r="AY205" s="81">
        <f>tbl_Data[[#This Row],[Avoided Costs ($/unit)]]/tbl_Data[[#This Row],[kWh Savings]]*tbl_Data[[#This Row],[Sum of Annuals]]</f>
        <v>50.816067834556371</v>
      </c>
      <c r="AZ205" s="81">
        <f>tbl_Data[[#This Row],[Lost Revenue ($/unit)]]/tbl_Data[[#This Row],[kWh Savings]]*tbl_Data[[#This Row],[Sum of Annuals]]</f>
        <v>136.50996645316042</v>
      </c>
      <c r="BA205" s="81">
        <f>tbl_Data[[#This Row],[Incremental Cost ($/unit)]]/tbl_Data[[#This Row],[kWh Savings]]*tbl_Data[[#This Row],[Sum of Annuals]]</f>
        <v>89.157010973294376</v>
      </c>
      <c r="BB205" s="77">
        <f>ROUNDUP(tbl_Data[[#This Row],[Adjusted 2025]]/$L205,0)</f>
        <v>1</v>
      </c>
      <c r="BC205" s="77">
        <f>ROUNDUP(tbl_Data[[#This Row],[Adjusted 2026]]/$L205,0)</f>
        <v>1</v>
      </c>
      <c r="BD205" s="77">
        <f>ROUNDUP(tbl_Data[[#This Row],[Adjusted 2027]]/$L205,0)</f>
        <v>1</v>
      </c>
      <c r="BE205" s="77">
        <f>ROUNDUP(tbl_Data[[#This Row],[Adjusted 2028]]/$L205,0)</f>
        <v>1</v>
      </c>
      <c r="BF205" s="77">
        <f>ROUNDUP(tbl_Data[[#This Row],[Adjusted 2029]]/$L205,0)</f>
        <v>1</v>
      </c>
      <c r="BG205" s="77">
        <f>ROUNDUP(tbl_Data[[#This Row],[Adjusted 2030]]/$L205,0)</f>
        <v>1</v>
      </c>
      <c r="BH205" s="77">
        <f>ROUNDUP(tbl_Data[[#This Row],[Adjusted 2031]]/$L205,0)</f>
        <v>1</v>
      </c>
      <c r="BI205" s="77">
        <f>ROUNDUP(tbl_Data[[#This Row],[Adjusted 2032]]/$L205,0)</f>
        <v>1</v>
      </c>
      <c r="BJ205" s="77">
        <f>ROUNDUP(tbl_Data[[#This Row],[Adjusted 2033]]/$L205,0)</f>
        <v>1</v>
      </c>
      <c r="BK205" s="77">
        <f>ROUNDUP(tbl_Data[[#This Row],[Adjusted 2034]]/$L205,0)</f>
        <v>1</v>
      </c>
      <c r="BL205" s="80">
        <f t="shared" si="89"/>
        <v>0.97268127116019987</v>
      </c>
      <c r="BM205" s="80">
        <f t="shared" si="90"/>
        <v>2.0544173204418956</v>
      </c>
      <c r="BN205" s="80">
        <f t="shared" si="91"/>
        <v>3.2366509048269703</v>
      </c>
      <c r="BO205" s="80">
        <f t="shared" si="92"/>
        <v>4.5139057254575139</v>
      </c>
      <c r="BP205" s="80">
        <f t="shared" si="93"/>
        <v>5.8816297684514618</v>
      </c>
      <c r="BQ205" s="80">
        <f t="shared" si="94"/>
        <v>7.3320639384341835</v>
      </c>
      <c r="BR205" s="80">
        <f t="shared" si="95"/>
        <v>8.8688688522886583</v>
      </c>
      <c r="BS205" s="80">
        <f t="shared" si="96"/>
        <v>10.499496097971637</v>
      </c>
      <c r="BT205" s="80">
        <f t="shared" si="97"/>
        <v>12.232632056155351</v>
      </c>
      <c r="BU205" s="80">
        <f t="shared" si="98"/>
        <v>14.077654069960671</v>
      </c>
      <c r="BV205" s="80">
        <f>IFERROR(VLOOKUP($H205,'1. Set Program Names'!$B$2:$D$15,3,0)*V205,"NA")</f>
        <v>1.4579226503655345</v>
      </c>
      <c r="BW205" s="80">
        <f>IFERROR(VLOOKUP($H205,'1. Set Program Names'!$B$2:$D$15,3,0)*W205,"NA")</f>
        <v>3.0793042218268472</v>
      </c>
      <c r="BX205" s="80">
        <f>IFERROR(VLOOKUP($H205,'1. Set Program Names'!$B$2:$D$15,3,0)*X205,"NA")</f>
        <v>4.8513185206546057</v>
      </c>
      <c r="BY205" s="80">
        <f>IFERROR(VLOOKUP($H205,'1. Set Program Names'!$B$2:$D$15,3,0)*Y205,"NA")</f>
        <v>6.7657572874920771</v>
      </c>
      <c r="BZ205" s="80">
        <f>IFERROR(VLOOKUP($H205,'1. Set Program Names'!$B$2:$D$15,3,0)*Z205,"NA")</f>
        <v>8.8157976458840341</v>
      </c>
      <c r="CA205" s="80">
        <f>IFERROR(VLOOKUP($H205,'1. Set Program Names'!$B$2:$D$15,3,0)*AA205,"NA")</f>
        <v>10.989809721555703</v>
      </c>
      <c r="CB205" s="80">
        <f>IFERROR(VLOOKUP($H205,'1. Set Program Names'!$B$2:$D$15,3,0)*AB205,"NA")</f>
        <v>13.293280302858257</v>
      </c>
      <c r="CC205" s="80">
        <f>IFERROR(VLOOKUP($H205,'1. Set Program Names'!$B$2:$D$15,3,0)*AC205,"NA")</f>
        <v>15.737378350463036</v>
      </c>
      <c r="CD205" s="80">
        <f>IFERROR(VLOOKUP($H205,'1. Set Program Names'!$B$2:$D$15,3,0)*AD205,"NA")</f>
        <v>18.3351236186382</v>
      </c>
      <c r="CE205" s="80">
        <f>IFERROR(VLOOKUP($H205,'1. Set Program Names'!$B$2:$D$15,3,0)*AE205,"NA")</f>
        <v>21.100571524447403</v>
      </c>
    </row>
    <row r="206" spans="1:83" x14ac:dyDescent="0.25">
      <c r="A206" s="79" t="s">
        <v>117</v>
      </c>
      <c r="B206" s="79" t="s">
        <v>88</v>
      </c>
      <c r="C206" s="79" t="s">
        <v>89</v>
      </c>
      <c r="D206" s="79" t="s">
        <v>90</v>
      </c>
      <c r="E206" s="79" t="s">
        <v>91</v>
      </c>
      <c r="F206" s="79" t="s">
        <v>90</v>
      </c>
      <c r="G206" s="79" t="s">
        <v>92</v>
      </c>
      <c r="H206" s="79" t="s">
        <v>9</v>
      </c>
      <c r="I206" s="79" t="s">
        <v>109</v>
      </c>
      <c r="J206" s="79" t="s">
        <v>94</v>
      </c>
      <c r="K206" s="79" t="s">
        <v>95</v>
      </c>
      <c r="L206" s="79">
        <v>1590.11499999999</v>
      </c>
      <c r="M206" s="79">
        <v>6.3722388822036402E-2</v>
      </c>
      <c r="N206" s="79">
        <v>0.29557957027655002</v>
      </c>
      <c r="O206" s="79">
        <v>1389.5</v>
      </c>
      <c r="P206" s="79">
        <v>1006.47372867305</v>
      </c>
      <c r="Q206" s="79">
        <v>477.694492685044</v>
      </c>
      <c r="R206" s="79">
        <v>757.20185047754296</v>
      </c>
      <c r="S206" s="79">
        <v>2034.1125083407001</v>
      </c>
      <c r="T206" s="79">
        <v>15</v>
      </c>
      <c r="U206" s="79">
        <v>0.2</v>
      </c>
      <c r="V206" s="79">
        <f>tbl_Data_old[[#This Row],[2025 ]]*IFERROR(AVERAGEIFS('Participation Adjustment'!$C:$C,'Participation Adjustment'!$A:$A,$H206,'Participation Adjustment'!$B:$B,$I206),1)</f>
        <v>4.6235535078983103</v>
      </c>
      <c r="W206" s="79">
        <f>tbl_Data_old[[#This Row],[2026 ]]*IFERROR(AVERAGEIFS('Participation Adjustment'!$C:$C,'Participation Adjustment'!$A:$A,$H206,'Participation Adjustment'!$B:$B,$I206),1)</f>
        <v>9.7633809204362105</v>
      </c>
      <c r="X206" s="79">
        <f>tbl_Data_old[[#This Row],[2027 ]]*IFERROR(AVERAGEIFS('Participation Adjustment'!$C:$C,'Participation Adjustment'!$A:$A,$H206,'Participation Adjustment'!$B:$B,$I206),1)</f>
        <v>15.378648806317599</v>
      </c>
      <c r="Y206" s="79">
        <f>tbl_Data_old[[#This Row],[2028 ]]*IFERROR(AVERAGEIFS('Participation Adjustment'!$C:$C,'Participation Adjustment'!$A:$A,$H206,'Participation Adjustment'!$B:$B,$I206),1)</f>
        <v>21.4432388243433</v>
      </c>
      <c r="Z206" s="79">
        <f>tbl_Data_old[[#This Row],[2029 ]]*IFERROR(AVERAGEIFS('Participation Adjustment'!$C:$C,'Participation Adjustment'!$A:$A,$H206,'Participation Adjustment'!$B:$B,$I206),1)</f>
        <v>27.935478029774199</v>
      </c>
      <c r="AA206" s="79">
        <f>tbl_Data_old[[#This Row],[2030 ]]*IFERROR(AVERAGEIFS('Participation Adjustment'!$C:$C,'Participation Adjustment'!$A:$A,$H206,'Participation Adjustment'!$B:$B,$I206),1)</f>
        <v>34.818518046807597</v>
      </c>
      <c r="AB206" s="79">
        <f>tbl_Data_old[[#This Row],[2031 ]]*IFERROR(AVERAGEIFS('Participation Adjustment'!$C:$C,'Participation Adjustment'!$A:$A,$H206,'Participation Adjustment'!$B:$B,$I206),1)</f>
        <v>42.109735840697297</v>
      </c>
      <c r="AC206" s="79">
        <f>tbl_Data_old[[#This Row],[2032 ]]*IFERROR(AVERAGEIFS('Participation Adjustment'!$C:$C,'Participation Adjustment'!$A:$A,$H206,'Participation Adjustment'!$B:$B,$I206),1)</f>
        <v>49.844492764461897</v>
      </c>
      <c r="AD206" s="79">
        <f>tbl_Data_old[[#This Row],[2033 ]]*IFERROR(AVERAGEIFS('Participation Adjustment'!$C:$C,'Participation Adjustment'!$A:$A,$H206,'Participation Adjustment'!$B:$B,$I206),1)</f>
        <v>58.063997984519297</v>
      </c>
      <c r="AE206" s="79">
        <f>tbl_Data_old[[#This Row],[2034 ]]*IFERROR(AVERAGEIFS('Participation Adjustment'!$C:$C,'Participation Adjustment'!$A:$A,$H206,'Participation Adjustment'!$B:$B,$I206),1)</f>
        <v>66.812727696170299</v>
      </c>
      <c r="AF206" s="77" t="str">
        <f t="shared" si="88"/>
        <v>Residential</v>
      </c>
      <c r="AG206" s="77" t="str">
        <f>tbl_Data[[#This Row],[All_Meas_Name_Append]]</f>
        <v>Heat Pump Water Heater 50 Gallons-ENERGY STAR</v>
      </c>
      <c r="AH206" s="77">
        <f>AVERAGEIFS('3. Incentive Adjustment'!G:G,'3. Incentive Adjustment'!A:A,tbl_Data[[#This Row],[Trimmed Sector]],'3. Incentive Adjustment'!B:B,tbl_Data[[#This Row],[Trimmed Measure Name]])</f>
        <v>0.43153525594917136</v>
      </c>
      <c r="AI206" s="77">
        <f>$AH206*tbl_Data[[#This Row],[2025 ]]</f>
        <v>1.9952263464255864</v>
      </c>
      <c r="AJ206" s="77">
        <f>$AH206*tbl_Data[[#This Row],[2026 ]]</f>
        <v>4.2132430844296964</v>
      </c>
      <c r="AK206" s="77">
        <f>$AH206*tbl_Data[[#This Row],[2027 ]]</f>
        <v>6.636429148786684</v>
      </c>
      <c r="AL206" s="77">
        <f>$AH206*tbl_Data[[#This Row],[2028 ]]</f>
        <v>9.2535135544421951</v>
      </c>
      <c r="AM206" s="77">
        <f>$AH206*tbl_Data[[#This Row],[2029 ]]</f>
        <v>12.055143661641063</v>
      </c>
      <c r="AN206" s="77">
        <f>$AH206*tbl_Data[[#This Row],[2030 ]]</f>
        <v>15.025418097099958</v>
      </c>
      <c r="AO206" s="77">
        <f>$AH206*tbl_Data[[#This Row],[2031 ]]</f>
        <v>18.171835633967302</v>
      </c>
      <c r="AP206" s="77">
        <f>$AH206*tbl_Data[[#This Row],[2032 ]]</f>
        <v>21.509655942768685</v>
      </c>
      <c r="AQ206" s="77">
        <f>$AH206*tbl_Data[[#This Row],[2033 ]]</f>
        <v>25.056662231681706</v>
      </c>
      <c r="AR206" s="77">
        <f>$AH206*tbl_Data[[#This Row],[2034 ]]</f>
        <v>28.832047547029141</v>
      </c>
      <c r="AS206" s="77">
        <f>SUM(tbl_Data[[#This Row],[Adjusted 2025]:[Adjusted 2034]])</f>
        <v>142.74917524827202</v>
      </c>
      <c r="AT206" s="80">
        <f>AVERAGEIFS('3. Incentive Adjustment'!F:F,'3. Incentive Adjustment'!A:A,tbl_Data[[#This Row],[Trimmed Sector]],'3. Incentive Adjustment'!B:B,tbl_Data[[#This Row],[Trimmed Measure Name]])</f>
        <v>500</v>
      </c>
      <c r="AU206" s="80">
        <f>IFERROR(VLOOKUP(tbl_Data[[#This Row],[All_Meas_Name_Append]],'IRA Tax Credits'!$A$3:$D$46,4,0),0)</f>
        <v>1666.6666666666667</v>
      </c>
      <c r="AV206" s="81">
        <f>tbl_Data[[#This Row],[Adj. per unit Incentive ($)]]/tbl_Data[[#This Row],[kWh Savings]]*tbl_Data[[#This Row],[Sum of Annuals]]</f>
        <v>44.886431248140198</v>
      </c>
      <c r="AW206" s="81">
        <f>IFERROR(VLOOKUP(tbl_Data[[#This Row],[Column1]],'1. Set Program Names'!$B$2:$D$15,3,0)*tbl_Data[[#This Row],[Sum of Annuals]],"")</f>
        <v>64.326003010567163</v>
      </c>
      <c r="AX206" s="81">
        <f>tbl_Data[[#This Row],[per unit IRA tax ($)]]/tbl_Data[[#This Row],[kWh Savings]]*tbl_Data[[#This Row],[Sum of Annuals]]</f>
        <v>149.62143749380067</v>
      </c>
      <c r="AY206" s="81">
        <f>tbl_Data[[#This Row],[Avoided Costs ($/unit)]]/tbl_Data[[#This Row],[kWh Savings]]*tbl_Data[[#This Row],[Sum of Annuals]]</f>
        <v>67.976177604849539</v>
      </c>
      <c r="AZ206" s="81">
        <f>tbl_Data[[#This Row],[Lost Revenue ($/unit)]]/tbl_Data[[#This Row],[kWh Savings]]*tbl_Data[[#This Row],[Sum of Annuals]]</f>
        <v>182.60810251323372</v>
      </c>
      <c r="BA206" s="81">
        <f>tbl_Data[[#This Row],[Incremental Cost ($/unit)]]/tbl_Data[[#This Row],[kWh Savings]]*tbl_Data[[#This Row],[Sum of Annuals]]</f>
        <v>124.73939243858163</v>
      </c>
      <c r="BB206" s="77">
        <f>ROUNDUP(tbl_Data[[#This Row],[Adjusted 2025]]/$L206,0)</f>
        <v>1</v>
      </c>
      <c r="BC206" s="77">
        <f>ROUNDUP(tbl_Data[[#This Row],[Adjusted 2026]]/$L206,0)</f>
        <v>1</v>
      </c>
      <c r="BD206" s="77">
        <f>ROUNDUP(tbl_Data[[#This Row],[Adjusted 2027]]/$L206,0)</f>
        <v>1</v>
      </c>
      <c r="BE206" s="77">
        <f>ROUNDUP(tbl_Data[[#This Row],[Adjusted 2028]]/$L206,0)</f>
        <v>1</v>
      </c>
      <c r="BF206" s="77">
        <f>ROUNDUP(tbl_Data[[#This Row],[Adjusted 2029]]/$L206,0)</f>
        <v>1</v>
      </c>
      <c r="BG206" s="77">
        <f>ROUNDUP(tbl_Data[[#This Row],[Adjusted 2030]]/$L206,0)</f>
        <v>1</v>
      </c>
      <c r="BH206" s="77">
        <f>ROUNDUP(tbl_Data[[#This Row],[Adjusted 2031]]/$L206,0)</f>
        <v>1</v>
      </c>
      <c r="BI206" s="77">
        <f>ROUNDUP(tbl_Data[[#This Row],[Adjusted 2032]]/$L206,0)</f>
        <v>1</v>
      </c>
      <c r="BJ206" s="77">
        <f>ROUNDUP(tbl_Data[[#This Row],[Adjusted 2033]]/$L206,0)</f>
        <v>1</v>
      </c>
      <c r="BK206" s="77">
        <f>ROUNDUP(tbl_Data[[#This Row],[Adjusted 2034]]/$L206,0)</f>
        <v>1</v>
      </c>
      <c r="BL206" s="80">
        <f t="shared" si="89"/>
        <v>1.4538424918632737</v>
      </c>
      <c r="BM206" s="80">
        <f t="shared" si="90"/>
        <v>3.0700235267374598</v>
      </c>
      <c r="BN206" s="80">
        <f t="shared" si="91"/>
        <v>4.8357033316199445</v>
      </c>
      <c r="BO206" s="80">
        <f t="shared" si="92"/>
        <v>6.7426691856700405</v>
      </c>
      <c r="BP206" s="80">
        <f t="shared" si="93"/>
        <v>8.7841061903618201</v>
      </c>
      <c r="BQ206" s="80">
        <f t="shared" si="94"/>
        <v>10.948427644166559</v>
      </c>
      <c r="BR206" s="80">
        <f t="shared" si="95"/>
        <v>13.241097606367326</v>
      </c>
      <c r="BS206" s="80">
        <f t="shared" si="96"/>
        <v>15.673235195084068</v>
      </c>
      <c r="BT206" s="80">
        <f t="shared" si="97"/>
        <v>18.257798330472845</v>
      </c>
      <c r="BU206" s="80">
        <f t="shared" si="98"/>
        <v>21.00877222596187</v>
      </c>
      <c r="BV206" s="80">
        <f>IFERROR(VLOOKUP($H206,'1. Set Program Names'!$B$2:$D$15,3,0)*V206,"NA")</f>
        <v>2.0834776547837555</v>
      </c>
      <c r="BW206" s="80">
        <f>IFERROR(VLOOKUP($H206,'1. Set Program Names'!$B$2:$D$15,3,0)*W206,"NA")</f>
        <v>4.3995999934079908</v>
      </c>
      <c r="BX206" s="80">
        <f>IFERROR(VLOOKUP($H206,'1. Set Program Names'!$B$2:$D$15,3,0)*X206,"NA")</f>
        <v>6.9299665493206826</v>
      </c>
      <c r="BY206" s="80">
        <f>IFERROR(VLOOKUP($H206,'1. Set Program Names'!$B$2:$D$15,3,0)*Y206,"NA")</f>
        <v>9.6628078079751631</v>
      </c>
      <c r="BZ206" s="80">
        <f>IFERROR(VLOOKUP($H206,'1. Set Program Names'!$B$2:$D$15,3,0)*Z206,"NA")</f>
        <v>12.588357450889303</v>
      </c>
      <c r="CA206" s="80">
        <f>IFERROR(VLOOKUP($H206,'1. Set Program Names'!$B$2:$D$15,3,0)*AA206,"NA")</f>
        <v>15.69001076753713</v>
      </c>
      <c r="CB206" s="80">
        <f>IFERROR(VLOOKUP($H206,'1. Set Program Names'!$B$2:$D$15,3,0)*AB206,"NA")</f>
        <v>18.975598211000325</v>
      </c>
      <c r="CC206" s="80">
        <f>IFERROR(VLOOKUP($H206,'1. Set Program Names'!$B$2:$D$15,3,0)*AC206,"NA")</f>
        <v>22.461054405747127</v>
      </c>
      <c r="CD206" s="80">
        <f>IFERROR(VLOOKUP($H206,'1. Set Program Names'!$B$2:$D$15,3,0)*AD206,"NA")</f>
        <v>26.164949133063146</v>
      </c>
      <c r="CE206" s="80">
        <f>IFERROR(VLOOKUP($H206,'1. Set Program Names'!$B$2:$D$15,3,0)*AE206,"NA")</f>
        <v>30.107324371249423</v>
      </c>
    </row>
    <row r="207" spans="1:83" x14ac:dyDescent="0.25">
      <c r="A207" s="79" t="s">
        <v>117</v>
      </c>
      <c r="B207" s="79" t="s">
        <v>88</v>
      </c>
      <c r="C207" s="79" t="s">
        <v>89</v>
      </c>
      <c r="D207" s="79" t="s">
        <v>90</v>
      </c>
      <c r="E207" s="79" t="s">
        <v>91</v>
      </c>
      <c r="F207" s="79" t="s">
        <v>90</v>
      </c>
      <c r="G207" s="79" t="s">
        <v>92</v>
      </c>
      <c r="H207" s="79" t="s">
        <v>9</v>
      </c>
      <c r="I207" s="79" t="s">
        <v>110</v>
      </c>
      <c r="J207" s="79" t="s">
        <v>94</v>
      </c>
      <c r="K207" s="79" t="s">
        <v>108</v>
      </c>
      <c r="L207" s="79">
        <v>461.909999999999</v>
      </c>
      <c r="M207" s="79">
        <v>1.8510616289253799E-2</v>
      </c>
      <c r="N207" s="79">
        <v>8.5862443475120898E-2</v>
      </c>
      <c r="O207" s="79">
        <v>1729.5</v>
      </c>
      <c r="P207" s="79">
        <v>1631.9996867488601</v>
      </c>
      <c r="Q207" s="79">
        <v>138.764720234794</v>
      </c>
      <c r="R207" s="79">
        <v>219.958372038552</v>
      </c>
      <c r="S207" s="79">
        <v>590.88613636602201</v>
      </c>
      <c r="T207" s="79">
        <v>15</v>
      </c>
      <c r="U207" s="79">
        <v>0.2</v>
      </c>
      <c r="V207" s="79">
        <f>tbl_Data_old[[#This Row],[2025 ]]*IFERROR(AVERAGEIFS('Participation Adjustment'!$C:$C,'Participation Adjustment'!$A:$A,$H207,'Participation Adjustment'!$B:$B,$I207),1)</f>
        <v>2.48711855099197</v>
      </c>
      <c r="W207" s="79">
        <f>tbl_Data_old[[#This Row],[2026 ]]*IFERROR(AVERAGEIFS('Participation Adjustment'!$C:$C,'Participation Adjustment'!$A:$A,$H207,'Participation Adjustment'!$B:$B,$I207),1)</f>
        <v>5.2535765300141604</v>
      </c>
      <c r="X207" s="79">
        <f>tbl_Data_old[[#This Row],[2027 ]]*IFERROR(AVERAGEIFS('Participation Adjustment'!$C:$C,'Participation Adjustment'!$A:$A,$H207,'Participation Adjustment'!$B:$B,$I207),1)</f>
        <v>8.2775259459755794</v>
      </c>
      <c r="Y207" s="79">
        <f>tbl_Data_old[[#This Row],[2028 ]]*IFERROR(AVERAGEIFS('Participation Adjustment'!$C:$C,'Participation Adjustment'!$A:$A,$H207,'Participation Adjustment'!$B:$B,$I207),1)</f>
        <v>11.5449799035807</v>
      </c>
      <c r="Z207" s="79">
        <f>tbl_Data_old[[#This Row],[2029 ]]*IFERROR(AVERAGEIFS('Participation Adjustment'!$C:$C,'Participation Adjustment'!$A:$A,$H207,'Participation Adjustment'!$B:$B,$I207),1)</f>
        <v>15.0443025601685</v>
      </c>
      <c r="AA207" s="79">
        <f>tbl_Data_old[[#This Row],[2030 ]]*IFERROR(AVERAGEIFS('Participation Adjustment'!$C:$C,'Participation Adjustment'!$A:$A,$H207,'Participation Adjustment'!$B:$B,$I207),1)</f>
        <v>18.755641646357599</v>
      </c>
      <c r="AB207" s="79">
        <f>tbl_Data_old[[#This Row],[2031 ]]*IFERROR(AVERAGEIFS('Participation Adjustment'!$C:$C,'Participation Adjustment'!$A:$A,$H207,'Participation Adjustment'!$B:$B,$I207),1)</f>
        <v>22.688357837186899</v>
      </c>
      <c r="AC207" s="79">
        <f>tbl_Data_old[[#This Row],[2032 ]]*IFERROR(AVERAGEIFS('Participation Adjustment'!$C:$C,'Participation Adjustment'!$A:$A,$H207,'Participation Adjustment'!$B:$B,$I207),1)</f>
        <v>26.8615132180926</v>
      </c>
      <c r="AD207" s="79">
        <f>tbl_Data_old[[#This Row],[2033 ]]*IFERROR(AVERAGEIFS('Participation Adjustment'!$C:$C,'Participation Adjustment'!$A:$A,$H207,'Participation Adjustment'!$B:$B,$I207),1)</f>
        <v>31.2973319626593</v>
      </c>
      <c r="AE207" s="79">
        <f>tbl_Data_old[[#This Row],[2034 ]]*IFERROR(AVERAGEIFS('Participation Adjustment'!$C:$C,'Participation Adjustment'!$A:$A,$H207,'Participation Adjustment'!$B:$B,$I207),1)</f>
        <v>36.019808777515102</v>
      </c>
      <c r="AF207" s="77" t="str">
        <f t="shared" si="88"/>
        <v>Residential</v>
      </c>
      <c r="AG207" s="77" t="str">
        <f>tbl_Data[[#This Row],[All_Meas_Name_Append]]</f>
        <v>Heat Pump Water Heater 80 Gallons-ENERGY STAR</v>
      </c>
      <c r="AH207" s="77">
        <f>AVERAGEIFS('3. Incentive Adjustment'!G:G,'3. Incentive Adjustment'!A:A,tbl_Data[[#This Row],[Trimmed Sector]],'3. Incentive Adjustment'!B:B,tbl_Data[[#This Row],[Trimmed Measure Name]])</f>
        <v>1.5551101216712928E-3</v>
      </c>
      <c r="AI207" s="77">
        <f>$AH207*tbl_Data[[#This Row],[2025 ]]</f>
        <v>3.8677432324440517E-3</v>
      </c>
      <c r="AJ207" s="77">
        <f>$AH207*tbl_Data[[#This Row],[2026 ]]</f>
        <v>8.1698900367997689E-3</v>
      </c>
      <c r="AK207" s="77">
        <f>$AH207*tbl_Data[[#This Row],[2027 ]]</f>
        <v>1.2872464380983367E-2</v>
      </c>
      <c r="AL207" s="77">
        <f>$AH207*tbl_Data[[#This Row],[2028 ]]</f>
        <v>1.7953715102550012E-2</v>
      </c>
      <c r="AM207" s="77">
        <f>$AH207*tbl_Data[[#This Row],[2029 ]]</f>
        <v>2.3395547184803377E-2</v>
      </c>
      <c r="AN207" s="77">
        <f>$AH207*tbl_Data[[#This Row],[2030 ]]</f>
        <v>2.9167088162690331E-2</v>
      </c>
      <c r="AO207" s="77">
        <f>$AH207*tbl_Data[[#This Row],[2031 ]]</f>
        <v>3.5282894916709551E-2</v>
      </c>
      <c r="AP207" s="77">
        <f>$AH207*tbl_Data[[#This Row],[2032 ]]</f>
        <v>4.1772611088863022E-2</v>
      </c>
      <c r="AQ207" s="77">
        <f>$AH207*tbl_Data[[#This Row],[2033 ]]</f>
        <v>4.8670797716437945E-2</v>
      </c>
      <c r="AR207" s="77">
        <f>$AH207*tbl_Data[[#This Row],[2034 ]]</f>
        <v>5.6014769210578214E-2</v>
      </c>
      <c r="AS207" s="77">
        <f>SUM(tbl_Data[[#This Row],[Adjusted 2025]:[Adjusted 2034]])</f>
        <v>0.27716752103285963</v>
      </c>
      <c r="AT207" s="80">
        <f>AVERAGEIFS('3. Incentive Adjustment'!F:F,'3. Incentive Adjustment'!A:A,tbl_Data[[#This Row],[Trimmed Sector]],'3. Incentive Adjustment'!B:B,tbl_Data[[#This Row],[Trimmed Measure Name]])</f>
        <v>500</v>
      </c>
      <c r="AU207" s="80">
        <f>IFERROR(VLOOKUP(tbl_Data[[#This Row],[All_Meas_Name_Append]],'IRA Tax Credits'!$A$3:$D$46,4,0),0)</f>
        <v>1666.6666666666667</v>
      </c>
      <c r="AV207" s="81">
        <f>tbl_Data[[#This Row],[Adj. per unit Incentive ($)]]/tbl_Data[[#This Row],[kWh Savings]]*tbl_Data[[#This Row],[Sum of Annuals]]</f>
        <v>0.30002329569922742</v>
      </c>
      <c r="AW207" s="81">
        <f>IFERROR(VLOOKUP(tbl_Data[[#This Row],[Column1]],'1. Set Program Names'!$B$2:$D$15,3,0)*tbl_Data[[#This Row],[Sum of Annuals]],"")</f>
        <v>0.12489794607487224</v>
      </c>
      <c r="AX207" s="81">
        <f>tbl_Data[[#This Row],[per unit IRA tax ($)]]/tbl_Data[[#This Row],[kWh Savings]]*tbl_Data[[#This Row],[Sum of Annuals]]</f>
        <v>1.000077652330758</v>
      </c>
      <c r="AY207" s="81">
        <f>tbl_Data[[#This Row],[Avoided Costs ($/unit)]]/tbl_Data[[#This Row],[kWh Savings]]*tbl_Data[[#This Row],[Sum of Annuals]]</f>
        <v>0.13198527139128632</v>
      </c>
      <c r="AZ207" s="81">
        <f>tbl_Data[[#This Row],[Lost Revenue ($/unit)]]/tbl_Data[[#This Row],[kWh Savings]]*tbl_Data[[#This Row],[Sum of Annuals]]</f>
        <v>0.35455921203103402</v>
      </c>
      <c r="BA207" s="81">
        <f>tbl_Data[[#This Row],[Incremental Cost ($/unit)]]/tbl_Data[[#This Row],[kWh Savings]]*tbl_Data[[#This Row],[Sum of Annuals]]</f>
        <v>1.0377805798236275</v>
      </c>
      <c r="BB207" s="77">
        <f>ROUNDUP(tbl_Data[[#This Row],[Adjusted 2025]]/$L207,0)</f>
        <v>1</v>
      </c>
      <c r="BC207" s="77">
        <f>ROUNDUP(tbl_Data[[#This Row],[Adjusted 2026]]/$L207,0)</f>
        <v>1</v>
      </c>
      <c r="BD207" s="77">
        <f>ROUNDUP(tbl_Data[[#This Row],[Adjusted 2027]]/$L207,0)</f>
        <v>1</v>
      </c>
      <c r="BE207" s="77">
        <f>ROUNDUP(tbl_Data[[#This Row],[Adjusted 2028]]/$L207,0)</f>
        <v>1</v>
      </c>
      <c r="BF207" s="77">
        <f>ROUNDUP(tbl_Data[[#This Row],[Adjusted 2029]]/$L207,0)</f>
        <v>1</v>
      </c>
      <c r="BG207" s="77">
        <f>ROUNDUP(tbl_Data[[#This Row],[Adjusted 2030]]/$L207,0)</f>
        <v>1</v>
      </c>
      <c r="BH207" s="77">
        <f>ROUNDUP(tbl_Data[[#This Row],[Adjusted 2031]]/$L207,0)</f>
        <v>1</v>
      </c>
      <c r="BI207" s="77">
        <f>ROUNDUP(tbl_Data[[#This Row],[Adjusted 2032]]/$L207,0)</f>
        <v>1</v>
      </c>
      <c r="BJ207" s="77">
        <f>ROUNDUP(tbl_Data[[#This Row],[Adjusted 2033]]/$L207,0)</f>
        <v>1</v>
      </c>
      <c r="BK207" s="77">
        <f>ROUNDUP(tbl_Data[[#This Row],[Adjusted 2034]]/$L207,0)</f>
        <v>1</v>
      </c>
      <c r="BL207" s="80">
        <f t="shared" si="89"/>
        <v>2.6922112002251257</v>
      </c>
      <c r="BM207" s="80">
        <f t="shared" si="90"/>
        <v>5.6867967028362365</v>
      </c>
      <c r="BN207" s="80">
        <f t="shared" si="91"/>
        <v>8.9601068887614446</v>
      </c>
      <c r="BO207" s="80">
        <f t="shared" si="92"/>
        <v>12.497001476024254</v>
      </c>
      <c r="BP207" s="80">
        <f t="shared" si="93"/>
        <v>16.284885107670902</v>
      </c>
      <c r="BQ207" s="80">
        <f t="shared" si="94"/>
        <v>20.302268457445869</v>
      </c>
      <c r="BR207" s="80">
        <f t="shared" si="95"/>
        <v>24.559284099918763</v>
      </c>
      <c r="BS207" s="80">
        <f t="shared" si="96"/>
        <v>29.076566017289796</v>
      </c>
      <c r="BT207" s="80">
        <f t="shared" si="97"/>
        <v>33.878171031866998</v>
      </c>
      <c r="BU207" s="80">
        <f t="shared" si="98"/>
        <v>38.990072500611788</v>
      </c>
      <c r="BV207" s="80">
        <f>IFERROR(VLOOKUP($H207,'1. Set Program Names'!$B$2:$D$15,3,0)*V207,"NA")</f>
        <v>1.1207518020366534</v>
      </c>
      <c r="BW207" s="80">
        <f>IFERROR(VLOOKUP($H207,'1. Set Program Names'!$B$2:$D$15,3,0)*W207,"NA")</f>
        <v>2.3673802605036531</v>
      </c>
      <c r="BX207" s="80">
        <f>IFERROR(VLOOKUP($H207,'1. Set Program Names'!$B$2:$D$15,3,0)*X207,"NA")</f>
        <v>3.7300401770784899</v>
      </c>
      <c r="BY207" s="80">
        <f>IFERROR(VLOOKUP($H207,'1. Set Program Names'!$B$2:$D$15,3,0)*Y207,"NA")</f>
        <v>5.2024287407829295</v>
      </c>
      <c r="BZ207" s="80">
        <f>IFERROR(VLOOKUP($H207,'1. Set Program Names'!$B$2:$D$15,3,0)*Z207,"NA")</f>
        <v>6.7793025780651348</v>
      </c>
      <c r="CA207" s="80">
        <f>IFERROR(VLOOKUP($H207,'1. Set Program Names'!$B$2:$D$15,3,0)*AA207,"NA")</f>
        <v>8.4517158078874584</v>
      </c>
      <c r="CB207" s="80">
        <f>IFERROR(VLOOKUP($H207,'1. Set Program Names'!$B$2:$D$15,3,0)*AB207,"NA")</f>
        <v>10.223886561876135</v>
      </c>
      <c r="CC207" s="80">
        <f>IFERROR(VLOOKUP($H207,'1. Set Program Names'!$B$2:$D$15,3,0)*AC207,"NA")</f>
        <v>12.104404646333188</v>
      </c>
      <c r="CD207" s="80">
        <f>IFERROR(VLOOKUP($H207,'1. Set Program Names'!$B$2:$D$15,3,0)*AD207,"NA")</f>
        <v>14.10328477591055</v>
      </c>
      <c r="CE207" s="80">
        <f>IFERROR(VLOOKUP($H207,'1. Set Program Names'!$B$2:$D$15,3,0)*AE207,"NA")</f>
        <v>16.231339507445156</v>
      </c>
    </row>
    <row r="208" spans="1:83" x14ac:dyDescent="0.25">
      <c r="A208" s="79" t="s">
        <v>117</v>
      </c>
      <c r="B208" s="79" t="s">
        <v>88</v>
      </c>
      <c r="C208" s="79" t="s">
        <v>89</v>
      </c>
      <c r="D208" s="79" t="s">
        <v>90</v>
      </c>
      <c r="E208" s="79" t="s">
        <v>91</v>
      </c>
      <c r="F208" s="79" t="s">
        <v>90</v>
      </c>
      <c r="G208" s="79" t="s">
        <v>92</v>
      </c>
      <c r="H208" s="79"/>
      <c r="I208" s="79" t="s">
        <v>300</v>
      </c>
      <c r="J208" s="79" t="s">
        <v>120</v>
      </c>
      <c r="K208" s="79" t="s">
        <v>121</v>
      </c>
      <c r="L208" s="79">
        <v>1988.02171595288</v>
      </c>
      <c r="M208" s="79">
        <v>0.57653488407092901</v>
      </c>
      <c r="N208" s="79">
        <v>0.213799538654902</v>
      </c>
      <c r="O208" s="79">
        <v>1475.381509522</v>
      </c>
      <c r="P208" s="79">
        <v>647.28493209175997</v>
      </c>
      <c r="Q208" s="79">
        <v>597.23166252061401</v>
      </c>
      <c r="R208" s="79">
        <v>1282.4247459138801</v>
      </c>
      <c r="S208" s="79">
        <v>3005.0463968047102</v>
      </c>
      <c r="T208" s="79">
        <v>20</v>
      </c>
      <c r="U208" s="79">
        <v>1</v>
      </c>
      <c r="V208" s="79">
        <f>tbl_Data_old[[#This Row],[2025 ]]*IFERROR(AVERAGEIFS('Participation Adjustment'!$C:$C,'Participation Adjustment'!$A:$A,$H208,'Participation Adjustment'!$B:$B,$I208),1)</f>
        <v>21.846936654712199</v>
      </c>
      <c r="W208" s="79">
        <f>tbl_Data_old[[#This Row],[2026 ]]*IFERROR(AVERAGEIFS('Participation Adjustment'!$C:$C,'Participation Adjustment'!$A:$A,$H208,'Participation Adjustment'!$B:$B,$I208),1)</f>
        <v>45.133167100611701</v>
      </c>
      <c r="X208" s="79">
        <f>tbl_Data_old[[#This Row],[2027 ]]*IFERROR(AVERAGEIFS('Participation Adjustment'!$C:$C,'Participation Adjustment'!$A:$A,$H208,'Participation Adjustment'!$B:$B,$I208),1)</f>
        <v>69.145737854471506</v>
      </c>
      <c r="Y208" s="79">
        <f>tbl_Data_old[[#This Row],[2028 ]]*IFERROR(AVERAGEIFS('Participation Adjustment'!$C:$C,'Participation Adjustment'!$A:$A,$H208,'Participation Adjustment'!$B:$B,$I208),1)</f>
        <v>93.763128266866602</v>
      </c>
      <c r="Z208" s="79">
        <f>tbl_Data_old[[#This Row],[2029 ]]*IFERROR(AVERAGEIFS('Participation Adjustment'!$C:$C,'Participation Adjustment'!$A:$A,$H208,'Participation Adjustment'!$B:$B,$I208),1)</f>
        <v>119.17458588445599</v>
      </c>
      <c r="AA208" s="79">
        <f>tbl_Data_old[[#This Row],[2030 ]]*IFERROR(AVERAGEIFS('Participation Adjustment'!$C:$C,'Participation Adjustment'!$A:$A,$H208,'Participation Adjustment'!$B:$B,$I208),1)</f>
        <v>145.42073352862499</v>
      </c>
      <c r="AB208" s="79">
        <f>tbl_Data_old[[#This Row],[2031 ]]*IFERROR(AVERAGEIFS('Participation Adjustment'!$C:$C,'Participation Adjustment'!$A:$A,$H208,'Participation Adjustment'!$B:$B,$I208),1)</f>
        <v>172.793466545379</v>
      </c>
      <c r="AC208" s="79">
        <f>tbl_Data_old[[#This Row],[2032 ]]*IFERROR(AVERAGEIFS('Participation Adjustment'!$C:$C,'Participation Adjustment'!$A:$A,$H208,'Participation Adjustment'!$B:$B,$I208),1)</f>
        <v>201.45866894927099</v>
      </c>
      <c r="AD208" s="79">
        <f>tbl_Data_old[[#This Row],[2033 ]]*IFERROR(AVERAGEIFS('Participation Adjustment'!$C:$C,'Participation Adjustment'!$A:$A,$H208,'Participation Adjustment'!$B:$B,$I208),1)</f>
        <v>231.63072598768801</v>
      </c>
      <c r="AE208" s="79">
        <f>tbl_Data_old[[#This Row],[2034 ]]*IFERROR(AVERAGEIFS('Participation Adjustment'!$C:$C,'Participation Adjustment'!$A:$A,$H208,'Participation Adjustment'!$B:$B,$I208),1)</f>
        <v>263.486857866604</v>
      </c>
      <c r="AF208" s="77" t="str">
        <f t="shared" si="88"/>
        <v>Residential</v>
      </c>
      <c r="AG208" s="77" t="str">
        <f>tbl_Data[[#This Row],[All_Meas_Name_Append]]</f>
        <v>New Construction - Whole Home Improvements - Tier 1</v>
      </c>
      <c r="AH208" s="77">
        <f>AVERAGEIFS('3. Incentive Adjustment'!G:G,'3. Incentive Adjustment'!A:A,tbl_Data[[#This Row],[Trimmed Sector]],'3. Incentive Adjustment'!B:B,tbl_Data[[#This Row],[Trimmed Measure Name]])</f>
        <v>0.42355026786158312</v>
      </c>
      <c r="AI208" s="77">
        <f>$AH208*tbl_Data[[#This Row],[2025 ]]</f>
        <v>9.2532758720583903</v>
      </c>
      <c r="AJ208" s="77">
        <f>$AH208*tbl_Data[[#This Row],[2026 ]]</f>
        <v>19.116165014905675</v>
      </c>
      <c r="AK208" s="77">
        <f>$AH208*tbl_Data[[#This Row],[2027 ]]</f>
        <v>29.286695789748215</v>
      </c>
      <c r="AL208" s="77">
        <f>$AH208*tbl_Data[[#This Row],[2028 ]]</f>
        <v>39.713398092971325</v>
      </c>
      <c r="AM208" s="77">
        <f>$AH208*tbl_Data[[#This Row],[2029 ]]</f>
        <v>50.476427773654578</v>
      </c>
      <c r="AN208" s="77">
        <f>$AH208*tbl_Data[[#This Row],[2030 ]]</f>
        <v>61.592990638677016</v>
      </c>
      <c r="AO208" s="77">
        <f>$AH208*tbl_Data[[#This Row],[2031 ]]</f>
        <v>73.186719040026773</v>
      </c>
      <c r="AP208" s="77">
        <f>$AH208*tbl_Data[[#This Row],[2032 ]]</f>
        <v>85.327873196501727</v>
      </c>
      <c r="AQ208" s="77">
        <f>$AH208*tbl_Data[[#This Row],[2033 ]]</f>
        <v>98.107256037058221</v>
      </c>
      <c r="AR208" s="77">
        <f>$AH208*tbl_Data[[#This Row],[2034 ]]</f>
        <v>111.599929227407</v>
      </c>
      <c r="AS208" s="77">
        <f>SUM(tbl_Data[[#This Row],[Adjusted 2025]:[Adjusted 2034]])</f>
        <v>577.66073068300898</v>
      </c>
      <c r="AT208" s="80">
        <f>AVERAGEIFS('3. Incentive Adjustment'!F:F,'3. Incentive Adjustment'!A:A,tbl_Data[[#This Row],[Trimmed Sector]],'3. Incentive Adjustment'!B:B,tbl_Data[[#This Row],[Trimmed Measure Name]])</f>
        <v>0</v>
      </c>
      <c r="AU208" s="80">
        <f>IFERROR(VLOOKUP(tbl_Data[[#This Row],[All_Meas_Name_Append]],'IRA Tax Credits'!$A$3:$D$46,4,0),0)</f>
        <v>0</v>
      </c>
      <c r="AV208" s="81">
        <f>tbl_Data[[#This Row],[Adj. per unit Incentive ($)]]/tbl_Data[[#This Row],[kWh Savings]]*tbl_Data[[#This Row],[Sum of Annuals]]</f>
        <v>0</v>
      </c>
      <c r="AW208" s="81" t="str">
        <f>IFERROR(VLOOKUP(tbl_Data[[#This Row],[Column1]],'1. Set Program Names'!$B$2:$D$15,3,0)*tbl_Data[[#This Row],[Sum of Annuals]],"")</f>
        <v/>
      </c>
      <c r="AX208" s="81">
        <f>tbl_Data[[#This Row],[per unit IRA tax ($)]]/tbl_Data[[#This Row],[kWh Savings]]*tbl_Data[[#This Row],[Sum of Annuals]]</f>
        <v>0</v>
      </c>
      <c r="AY208" s="81">
        <f>tbl_Data[[#This Row],[Avoided Costs ($/unit)]]/tbl_Data[[#This Row],[kWh Savings]]*tbl_Data[[#This Row],[Sum of Annuals]]</f>
        <v>372.63497165346996</v>
      </c>
      <c r="AZ208" s="81">
        <f>tbl_Data[[#This Row],[Lost Revenue ($/unit)]]/tbl_Data[[#This Row],[kWh Savings]]*tbl_Data[[#This Row],[Sum of Annuals]]</f>
        <v>873.17823713133748</v>
      </c>
      <c r="BA208" s="81">
        <f>tbl_Data[[#This Row],[Incremental Cost ($/unit)]]/tbl_Data[[#This Row],[kWh Savings]]*tbl_Data[[#This Row],[Sum of Annuals]]</f>
        <v>428.7025408161486</v>
      </c>
      <c r="BB208" s="77">
        <f>ROUNDUP(tbl_Data[[#This Row],[Adjusted 2025]]/$L208,0)</f>
        <v>1</v>
      </c>
      <c r="BC208" s="77">
        <f>ROUNDUP(tbl_Data[[#This Row],[Adjusted 2026]]/$L208,0)</f>
        <v>1</v>
      </c>
      <c r="BD208" s="77">
        <f>ROUNDUP(tbl_Data[[#This Row],[Adjusted 2027]]/$L208,0)</f>
        <v>1</v>
      </c>
      <c r="BE208" s="77">
        <f>ROUNDUP(tbl_Data[[#This Row],[Adjusted 2028]]/$L208,0)</f>
        <v>1</v>
      </c>
      <c r="BF208" s="77">
        <f>ROUNDUP(tbl_Data[[#This Row],[Adjusted 2029]]/$L208,0)</f>
        <v>1</v>
      </c>
      <c r="BG208" s="77">
        <f>ROUNDUP(tbl_Data[[#This Row],[Adjusted 2030]]/$L208,0)</f>
        <v>1</v>
      </c>
      <c r="BH208" s="77">
        <f>ROUNDUP(tbl_Data[[#This Row],[Adjusted 2031]]/$L208,0)</f>
        <v>1</v>
      </c>
      <c r="BI208" s="77">
        <f>ROUNDUP(tbl_Data[[#This Row],[Adjusted 2032]]/$L208,0)</f>
        <v>1</v>
      </c>
      <c r="BJ208" s="77">
        <f>ROUNDUP(tbl_Data[[#This Row],[Adjusted 2033]]/$L208,0)</f>
        <v>1</v>
      </c>
      <c r="BK208" s="77">
        <f>ROUNDUP(tbl_Data[[#This Row],[Adjusted 2034]]/$L208,0)</f>
        <v>1</v>
      </c>
      <c r="BL208" s="80">
        <f t="shared" si="89"/>
        <v>0</v>
      </c>
      <c r="BM208" s="80">
        <f t="shared" si="90"/>
        <v>0</v>
      </c>
      <c r="BN208" s="80">
        <f t="shared" si="91"/>
        <v>0</v>
      </c>
      <c r="BO208" s="80">
        <f t="shared" si="92"/>
        <v>0</v>
      </c>
      <c r="BP208" s="80">
        <f t="shared" si="93"/>
        <v>0</v>
      </c>
      <c r="BQ208" s="80">
        <f t="shared" si="94"/>
        <v>0</v>
      </c>
      <c r="BR208" s="80">
        <f t="shared" si="95"/>
        <v>0</v>
      </c>
      <c r="BS208" s="80">
        <f t="shared" si="96"/>
        <v>0</v>
      </c>
      <c r="BT208" s="80">
        <f t="shared" si="97"/>
        <v>0</v>
      </c>
      <c r="BU208" s="80">
        <f t="shared" si="98"/>
        <v>0</v>
      </c>
      <c r="BV208" s="80" t="str">
        <f>IFERROR(VLOOKUP($H208,'1. Set Program Names'!$B$2:$D$15,3,0)*V208,"NA")</f>
        <v>NA</v>
      </c>
      <c r="BW208" s="80" t="str">
        <f>IFERROR(VLOOKUP($H208,'1. Set Program Names'!$B$2:$D$15,3,0)*W208,"NA")</f>
        <v>NA</v>
      </c>
      <c r="BX208" s="80" t="str">
        <f>IFERROR(VLOOKUP($H208,'1. Set Program Names'!$B$2:$D$15,3,0)*X208,"NA")</f>
        <v>NA</v>
      </c>
      <c r="BY208" s="80" t="str">
        <f>IFERROR(VLOOKUP($H208,'1. Set Program Names'!$B$2:$D$15,3,0)*Y208,"NA")</f>
        <v>NA</v>
      </c>
      <c r="BZ208" s="80" t="str">
        <f>IFERROR(VLOOKUP($H208,'1. Set Program Names'!$B$2:$D$15,3,0)*Z208,"NA")</f>
        <v>NA</v>
      </c>
      <c r="CA208" s="80" t="str">
        <f>IFERROR(VLOOKUP($H208,'1. Set Program Names'!$B$2:$D$15,3,0)*AA208,"NA")</f>
        <v>NA</v>
      </c>
      <c r="CB208" s="80" t="str">
        <f>IFERROR(VLOOKUP($H208,'1. Set Program Names'!$B$2:$D$15,3,0)*AB208,"NA")</f>
        <v>NA</v>
      </c>
      <c r="CC208" s="80" t="str">
        <f>IFERROR(VLOOKUP($H208,'1. Set Program Names'!$B$2:$D$15,3,0)*AC208,"NA")</f>
        <v>NA</v>
      </c>
      <c r="CD208" s="80" t="str">
        <f>IFERROR(VLOOKUP($H208,'1. Set Program Names'!$B$2:$D$15,3,0)*AD208,"NA")</f>
        <v>NA</v>
      </c>
      <c r="CE208" s="80" t="str">
        <f>IFERROR(VLOOKUP($H208,'1. Set Program Names'!$B$2:$D$15,3,0)*AE208,"NA")</f>
        <v>NA</v>
      </c>
    </row>
    <row r="209" spans="1:83" x14ac:dyDescent="0.25">
      <c r="A209" s="79" t="s">
        <v>117</v>
      </c>
      <c r="B209" s="79" t="s">
        <v>88</v>
      </c>
      <c r="C209" s="79" t="s">
        <v>89</v>
      </c>
      <c r="D209" s="79" t="s">
        <v>90</v>
      </c>
      <c r="E209" s="79" t="s">
        <v>91</v>
      </c>
      <c r="F209" s="79" t="s">
        <v>90</v>
      </c>
      <c r="G209" s="79" t="s">
        <v>92</v>
      </c>
      <c r="H209" s="79"/>
      <c r="I209" s="79" t="s">
        <v>119</v>
      </c>
      <c r="J209" s="79" t="s">
        <v>120</v>
      </c>
      <c r="K209" s="79" t="s">
        <v>121</v>
      </c>
      <c r="L209" s="79">
        <v>6673.4968833372895</v>
      </c>
      <c r="M209" s="79">
        <v>1.73762506704112</v>
      </c>
      <c r="N209" s="79">
        <v>0.78936762832777396</v>
      </c>
      <c r="O209" s="79">
        <v>2151.0039802452802</v>
      </c>
      <c r="P209" s="79">
        <v>549.54451231238204</v>
      </c>
      <c r="Q209" s="79">
        <v>2004.8189647422</v>
      </c>
      <c r="R209" s="79">
        <v>4267.3988807063497</v>
      </c>
      <c r="S209" s="79">
        <v>10087.499347937401</v>
      </c>
      <c r="T209" s="79">
        <v>20</v>
      </c>
      <c r="U209" s="79">
        <v>1</v>
      </c>
      <c r="V209" s="79">
        <f>tbl_Data_old[[#This Row],[2025 ]]*IFERROR(AVERAGEIFS('Participation Adjustment'!$C:$C,'Participation Adjustment'!$A:$A,$H209,'Participation Adjustment'!$B:$B,$I209),1)</f>
        <v>27.804735790512801</v>
      </c>
      <c r="W209" s="79">
        <f>tbl_Data_old[[#This Row],[2026 ]]*IFERROR(AVERAGEIFS('Participation Adjustment'!$C:$C,'Participation Adjustment'!$A:$A,$H209,'Participation Adjustment'!$B:$B,$I209),1)</f>
        <v>57.4233015892504</v>
      </c>
      <c r="X209" s="79">
        <f>tbl_Data_old[[#This Row],[2027 ]]*IFERROR(AVERAGEIFS('Participation Adjustment'!$C:$C,'Participation Adjustment'!$A:$A,$H209,'Participation Adjustment'!$B:$B,$I209),1)</f>
        <v>87.947155378372798</v>
      </c>
      <c r="Y209" s="79">
        <f>tbl_Data_old[[#This Row],[2028 ]]*IFERROR(AVERAGEIFS('Participation Adjustment'!$C:$C,'Participation Adjustment'!$A:$A,$H209,'Participation Adjustment'!$B:$B,$I209),1)</f>
        <v>119.220695207628</v>
      </c>
      <c r="Z209" s="79">
        <f>tbl_Data_old[[#This Row],[2029 ]]*IFERROR(AVERAGEIFS('Participation Adjustment'!$C:$C,'Participation Adjustment'!$A:$A,$H209,'Participation Adjustment'!$B:$B,$I209),1)</f>
        <v>151.483066000668</v>
      </c>
      <c r="AA209" s="79">
        <f>tbl_Data_old[[#This Row],[2030 ]]*IFERROR(AVERAGEIFS('Participation Adjustment'!$C:$C,'Participation Adjustment'!$A:$A,$H209,'Participation Adjustment'!$B:$B,$I209),1)</f>
        <v>184.784290918735</v>
      </c>
      <c r="AB209" s="79">
        <f>tbl_Data_old[[#This Row],[2031 ]]*IFERROR(AVERAGEIFS('Participation Adjustment'!$C:$C,'Participation Adjustment'!$A:$A,$H209,'Participation Adjustment'!$B:$B,$I209),1)</f>
        <v>219.492825926747</v>
      </c>
      <c r="AC209" s="79">
        <f>tbl_Data_old[[#This Row],[2032 ]]*IFERROR(AVERAGEIFS('Participation Adjustment'!$C:$C,'Participation Adjustment'!$A:$A,$H209,'Participation Adjustment'!$B:$B,$I209),1)</f>
        <v>255.816683934163</v>
      </c>
      <c r="AD209" s="79">
        <f>tbl_Data_old[[#This Row],[2033 ]]*IFERROR(AVERAGEIFS('Participation Adjustment'!$C:$C,'Participation Adjustment'!$A:$A,$H209,'Participation Adjustment'!$B:$B,$I209),1)</f>
        <v>294.024862518617</v>
      </c>
      <c r="AE209" s="79">
        <f>tbl_Data_old[[#This Row],[2034 ]]*IFERROR(AVERAGEIFS('Participation Adjustment'!$C:$C,'Participation Adjustment'!$A:$A,$H209,'Participation Adjustment'!$B:$B,$I209),1)</f>
        <v>334.33878246481299</v>
      </c>
      <c r="AF209" s="77" t="str">
        <f t="shared" si="88"/>
        <v>Residential</v>
      </c>
      <c r="AG209" s="77" t="str">
        <f>tbl_Data[[#This Row],[All_Meas_Name_Append]]</f>
        <v>New Construction - Whole Home Improvements - Tier 2</v>
      </c>
      <c r="AH209" s="77">
        <f>AVERAGEIFS('3. Incentive Adjustment'!G:G,'3. Incentive Adjustment'!A:A,tbl_Data[[#This Row],[Trimmed Sector]],'3. Incentive Adjustment'!B:B,tbl_Data[[#This Row],[Trimmed Measure Name]])</f>
        <v>0.80470846489720416</v>
      </c>
      <c r="AI209" s="77">
        <f>$AH209*tbl_Data[[#This Row],[2025 ]]</f>
        <v>22.374706254855905</v>
      </c>
      <c r="AJ209" s="77">
        <f>$AH209*tbl_Data[[#This Row],[2026 ]]</f>
        <v>46.209016871214871</v>
      </c>
      <c r="AK209" s="77">
        <f>$AH209*tbl_Data[[#This Row],[2027 ]]</f>
        <v>70.771820396606273</v>
      </c>
      <c r="AL209" s="77">
        <f>$AH209*tbl_Data[[#This Row],[2028 ]]</f>
        <v>95.937902624507785</v>
      </c>
      <c r="AM209" s="77">
        <f>$AH209*tbl_Data[[#This Row],[2029 ]]</f>
        <v>121.89970549931941</v>
      </c>
      <c r="AN209" s="77">
        <f>$AH209*tbl_Data[[#This Row],[2030 ]]</f>
        <v>148.69748308233363</v>
      </c>
      <c r="AO209" s="77">
        <f>$AH209*tbl_Data[[#This Row],[2031 ]]</f>
        <v>176.62773500746184</v>
      </c>
      <c r="AP209" s="77">
        <f>$AH209*tbl_Data[[#This Row],[2032 ]]</f>
        <v>205.85785102375357</v>
      </c>
      <c r="AQ209" s="77">
        <f>$AH209*tbl_Data[[#This Row],[2033 ]]</f>
        <v>236.60429575896779</v>
      </c>
      <c r="AR209" s="77">
        <f>$AH209*tbl_Data[[#This Row],[2034 ]]</f>
        <v>269.04524839285995</v>
      </c>
      <c r="AS209" s="77">
        <f>SUM(tbl_Data[[#This Row],[Adjusted 2025]:[Adjusted 2034]])</f>
        <v>1394.0257649118812</v>
      </c>
      <c r="AT209" s="80">
        <f>AVERAGEIFS('3. Incentive Adjustment'!F:F,'3. Incentive Adjustment'!A:A,tbl_Data[[#This Row],[Trimmed Sector]],'3. Incentive Adjustment'!B:B,tbl_Data[[#This Row],[Trimmed Measure Name]])</f>
        <v>0</v>
      </c>
      <c r="AU209" s="80">
        <f>IFERROR(VLOOKUP(tbl_Data[[#This Row],[All_Meas_Name_Append]],'IRA Tax Credits'!$A$3:$D$46,4,0),0)</f>
        <v>0</v>
      </c>
      <c r="AV209" s="81">
        <f>tbl_Data[[#This Row],[Adj. per unit Incentive ($)]]/tbl_Data[[#This Row],[kWh Savings]]*tbl_Data[[#This Row],[Sum of Annuals]]</f>
        <v>0</v>
      </c>
      <c r="AW209" s="81" t="str">
        <f>IFERROR(VLOOKUP(tbl_Data[[#This Row],[Column1]],'1. Set Program Names'!$B$2:$D$15,3,0)*tbl_Data[[#This Row],[Sum of Annuals]],"")</f>
        <v/>
      </c>
      <c r="AX209" s="81">
        <f>tbl_Data[[#This Row],[per unit IRA tax ($)]]/tbl_Data[[#This Row],[kWh Savings]]*tbl_Data[[#This Row],[Sum of Annuals]]</f>
        <v>0</v>
      </c>
      <c r="AY209" s="81">
        <f>tbl_Data[[#This Row],[Avoided Costs ($/unit)]]/tbl_Data[[#This Row],[kWh Savings]]*tbl_Data[[#This Row],[Sum of Annuals]]</f>
        <v>891.41631334453552</v>
      </c>
      <c r="AZ209" s="81">
        <f>tbl_Data[[#This Row],[Lost Revenue ($/unit)]]/tbl_Data[[#This Row],[kWh Savings]]*tbl_Data[[#This Row],[Sum of Annuals]]</f>
        <v>2107.1762286527478</v>
      </c>
      <c r="BA209" s="81">
        <f>tbl_Data[[#This Row],[Incremental Cost ($/unit)]]/tbl_Data[[#This Row],[kWh Savings]]*tbl_Data[[#This Row],[Sum of Annuals]]</f>
        <v>449.32289941977274</v>
      </c>
      <c r="BB209" s="77">
        <f>ROUNDUP(tbl_Data[[#This Row],[Adjusted 2025]]/$L209,0)</f>
        <v>1</v>
      </c>
      <c r="BC209" s="77">
        <f>ROUNDUP(tbl_Data[[#This Row],[Adjusted 2026]]/$L209,0)</f>
        <v>1</v>
      </c>
      <c r="BD209" s="77">
        <f>ROUNDUP(tbl_Data[[#This Row],[Adjusted 2027]]/$L209,0)</f>
        <v>1</v>
      </c>
      <c r="BE209" s="77">
        <f>ROUNDUP(tbl_Data[[#This Row],[Adjusted 2028]]/$L209,0)</f>
        <v>1</v>
      </c>
      <c r="BF209" s="77">
        <f>ROUNDUP(tbl_Data[[#This Row],[Adjusted 2029]]/$L209,0)</f>
        <v>1</v>
      </c>
      <c r="BG209" s="77">
        <f>ROUNDUP(tbl_Data[[#This Row],[Adjusted 2030]]/$L209,0)</f>
        <v>1</v>
      </c>
      <c r="BH209" s="77">
        <f>ROUNDUP(tbl_Data[[#This Row],[Adjusted 2031]]/$L209,0)</f>
        <v>1</v>
      </c>
      <c r="BI209" s="77">
        <f>ROUNDUP(tbl_Data[[#This Row],[Adjusted 2032]]/$L209,0)</f>
        <v>1</v>
      </c>
      <c r="BJ209" s="77">
        <f>ROUNDUP(tbl_Data[[#This Row],[Adjusted 2033]]/$L209,0)</f>
        <v>1</v>
      </c>
      <c r="BK209" s="77">
        <f>ROUNDUP(tbl_Data[[#This Row],[Adjusted 2034]]/$L209,0)</f>
        <v>1</v>
      </c>
      <c r="BL209" s="80">
        <f t="shared" si="89"/>
        <v>0</v>
      </c>
      <c r="BM209" s="80">
        <f t="shared" si="90"/>
        <v>0</v>
      </c>
      <c r="BN209" s="80">
        <f t="shared" si="91"/>
        <v>0</v>
      </c>
      <c r="BO209" s="80">
        <f t="shared" si="92"/>
        <v>0</v>
      </c>
      <c r="BP209" s="80">
        <f t="shared" si="93"/>
        <v>0</v>
      </c>
      <c r="BQ209" s="80">
        <f t="shared" si="94"/>
        <v>0</v>
      </c>
      <c r="BR209" s="80">
        <f t="shared" si="95"/>
        <v>0</v>
      </c>
      <c r="BS209" s="80">
        <f t="shared" si="96"/>
        <v>0</v>
      </c>
      <c r="BT209" s="80">
        <f t="shared" si="97"/>
        <v>0</v>
      </c>
      <c r="BU209" s="80">
        <f t="shared" si="98"/>
        <v>0</v>
      </c>
      <c r="BV209" s="80" t="str">
        <f>IFERROR(VLOOKUP($H209,'1. Set Program Names'!$B$2:$D$15,3,0)*V209,"NA")</f>
        <v>NA</v>
      </c>
      <c r="BW209" s="80" t="str">
        <f>IFERROR(VLOOKUP($H209,'1. Set Program Names'!$B$2:$D$15,3,0)*W209,"NA")</f>
        <v>NA</v>
      </c>
      <c r="BX209" s="80" t="str">
        <f>IFERROR(VLOOKUP($H209,'1. Set Program Names'!$B$2:$D$15,3,0)*X209,"NA")</f>
        <v>NA</v>
      </c>
      <c r="BY209" s="80" t="str">
        <f>IFERROR(VLOOKUP($H209,'1. Set Program Names'!$B$2:$D$15,3,0)*Y209,"NA")</f>
        <v>NA</v>
      </c>
      <c r="BZ209" s="80" t="str">
        <f>IFERROR(VLOOKUP($H209,'1. Set Program Names'!$B$2:$D$15,3,0)*Z209,"NA")</f>
        <v>NA</v>
      </c>
      <c r="CA209" s="80" t="str">
        <f>IFERROR(VLOOKUP($H209,'1. Set Program Names'!$B$2:$D$15,3,0)*AA209,"NA")</f>
        <v>NA</v>
      </c>
      <c r="CB209" s="80" t="str">
        <f>IFERROR(VLOOKUP($H209,'1. Set Program Names'!$B$2:$D$15,3,0)*AB209,"NA")</f>
        <v>NA</v>
      </c>
      <c r="CC209" s="80" t="str">
        <f>IFERROR(VLOOKUP($H209,'1. Set Program Names'!$B$2:$D$15,3,0)*AC209,"NA")</f>
        <v>NA</v>
      </c>
      <c r="CD209" s="80" t="str">
        <f>IFERROR(VLOOKUP($H209,'1. Set Program Names'!$B$2:$D$15,3,0)*AD209,"NA")</f>
        <v>NA</v>
      </c>
      <c r="CE209" s="80" t="str">
        <f>IFERROR(VLOOKUP($H209,'1. Set Program Names'!$B$2:$D$15,3,0)*AE209,"NA")</f>
        <v>NA</v>
      </c>
    </row>
    <row r="210" spans="1:83" x14ac:dyDescent="0.25">
      <c r="A210" s="79" t="s">
        <v>117</v>
      </c>
      <c r="B210" s="79" t="s">
        <v>88</v>
      </c>
      <c r="C210" s="79" t="s">
        <v>89</v>
      </c>
      <c r="D210" s="79" t="s">
        <v>90</v>
      </c>
      <c r="E210" s="79" t="s">
        <v>91</v>
      </c>
      <c r="F210" s="79" t="s">
        <v>90</v>
      </c>
      <c r="G210" s="79" t="s">
        <v>92</v>
      </c>
      <c r="H210" s="79" t="s">
        <v>9</v>
      </c>
      <c r="I210" s="79" t="s">
        <v>299</v>
      </c>
      <c r="J210" s="79" t="s">
        <v>97</v>
      </c>
      <c r="K210" s="79" t="s">
        <v>102</v>
      </c>
      <c r="L210" s="79">
        <v>408.28</v>
      </c>
      <c r="M210" s="79">
        <v>0.16567198429270899</v>
      </c>
      <c r="N210" s="79">
        <v>2.3547919008134799E-2</v>
      </c>
      <c r="O210" s="79">
        <v>128.60999999999999</v>
      </c>
      <c r="P210" s="79">
        <v>29.691921599999901</v>
      </c>
      <c r="Q210" s="79">
        <v>122.65346058206499</v>
      </c>
      <c r="R210" s="79">
        <v>238.630335182902</v>
      </c>
      <c r="S210" s="79">
        <v>423.90838942107399</v>
      </c>
      <c r="T210" s="79">
        <v>11</v>
      </c>
      <c r="U210" s="79">
        <v>0.19999999999999901</v>
      </c>
      <c r="V210" s="79">
        <f>tbl_Data_old[[#This Row],[2025 ]]*IFERROR(AVERAGEIFS('Participation Adjustment'!$C:$C,'Participation Adjustment'!$A:$A,$H210,'Participation Adjustment'!$B:$B,$I210),1)</f>
        <v>0.206724664775644</v>
      </c>
      <c r="W210" s="79">
        <f>tbl_Data_old[[#This Row],[2026 ]]*IFERROR(AVERAGEIFS('Participation Adjustment'!$C:$C,'Participation Adjustment'!$A:$A,$H210,'Participation Adjustment'!$B:$B,$I210),1)</f>
        <v>0.37804280745979602</v>
      </c>
      <c r="X210" s="79">
        <f>tbl_Data_old[[#This Row],[2027 ]]*IFERROR(AVERAGEIFS('Participation Adjustment'!$C:$C,'Participation Adjustment'!$A:$A,$H210,'Participation Adjustment'!$B:$B,$I210),1)</f>
        <v>0.51995956754175299</v>
      </c>
      <c r="Y210" s="79">
        <f>tbl_Data_old[[#This Row],[2028 ]]*IFERROR(AVERAGEIFS('Participation Adjustment'!$C:$C,'Participation Adjustment'!$A:$A,$H210,'Participation Adjustment'!$B:$B,$I210),1)</f>
        <v>0.637972791852363</v>
      </c>
      <c r="Z210" s="79">
        <f>tbl_Data_old[[#This Row],[2029 ]]*IFERROR(AVERAGEIFS('Participation Adjustment'!$C:$C,'Participation Adjustment'!$A:$A,$H210,'Participation Adjustment'!$B:$B,$I210),1)</f>
        <v>0.73674280339922604</v>
      </c>
      <c r="AA210" s="79">
        <f>tbl_Data_old[[#This Row],[2030 ]]*IFERROR(AVERAGEIFS('Participation Adjustment'!$C:$C,'Participation Adjustment'!$A:$A,$H210,'Participation Adjustment'!$B:$B,$I210),1)</f>
        <v>0.81979603393732203</v>
      </c>
      <c r="AB210" s="79">
        <f>tbl_Data_old[[#This Row],[2031 ]]*IFERROR(AVERAGEIFS('Participation Adjustment'!$C:$C,'Participation Adjustment'!$A:$A,$H210,'Participation Adjustment'!$B:$B,$I210),1)</f>
        <v>0.89062527184155704</v>
      </c>
      <c r="AC210" s="79">
        <f>tbl_Data_old[[#This Row],[2032 ]]*IFERROR(AVERAGEIFS('Participation Adjustment'!$C:$C,'Participation Adjustment'!$A:$A,$H210,'Participation Adjustment'!$B:$B,$I210),1)</f>
        <v>0.95195953659195298</v>
      </c>
      <c r="AD210" s="79">
        <f>tbl_Data_old[[#This Row],[2033 ]]*IFERROR(AVERAGEIFS('Participation Adjustment'!$C:$C,'Participation Adjustment'!$A:$A,$H210,'Participation Adjustment'!$B:$B,$I210),1)</f>
        <v>1.00594178198845</v>
      </c>
      <c r="AE210" s="79">
        <f>tbl_Data_old[[#This Row],[2034 ]]*IFERROR(AVERAGEIFS('Participation Adjustment'!$C:$C,'Participation Adjustment'!$A:$A,$H210,'Participation Adjustment'!$B:$B,$I210),1)</f>
        <v>1.05422303530021</v>
      </c>
      <c r="AF210" s="77" t="str">
        <f t="shared" si="88"/>
        <v>Residential</v>
      </c>
      <c r="AG210" s="77" t="str">
        <f>tbl_Data[[#This Row],[All_Meas_Name_Append]]</f>
        <v>Smart Thermostat Residential</v>
      </c>
      <c r="AH210" s="77">
        <f>AVERAGEIFS('3. Incentive Adjustment'!G:G,'3. Incentive Adjustment'!A:A,tbl_Data[[#This Row],[Trimmed Sector]],'3. Incentive Adjustment'!B:B,tbl_Data[[#This Row],[Trimmed Measure Name]])</f>
        <v>1.1402432304340044</v>
      </c>
      <c r="AI210" s="77">
        <f>$AH210*tbl_Data[[#This Row],[2025 ]]</f>
        <v>0.23571639957416696</v>
      </c>
      <c r="AJ210" s="77">
        <f>$AH210*tbl_Data[[#This Row],[2026 ]]</f>
        <v>0.43106075202029814</v>
      </c>
      <c r="AK210" s="77">
        <f>$AH210*tbl_Data[[#This Row],[2027 ]]</f>
        <v>0.5928803769888763</v>
      </c>
      <c r="AL210" s="77">
        <f>$AH210*tbl_Data[[#This Row],[2028 ]]</f>
        <v>0.72744415711073906</v>
      </c>
      <c r="AM210" s="77">
        <f>$AH210*tbl_Data[[#This Row],[2029 ]]</f>
        <v>0.84006599414693817</v>
      </c>
      <c r="AN210" s="77">
        <f>$AH210*tbl_Data[[#This Row],[2030 ]]</f>
        <v>0.93476687803367686</v>
      </c>
      <c r="AO210" s="77">
        <f>$AH210*tbl_Data[[#This Row],[2031 ]]</f>
        <v>1.0155294370707804</v>
      </c>
      <c r="AP210" s="77">
        <f>$AH210*tbl_Data[[#This Row],[2032 ]]</f>
        <v>1.0854654172460663</v>
      </c>
      <c r="AQ210" s="77">
        <f>$AH210*tbl_Data[[#This Row],[2033 ]]</f>
        <v>1.1470183071230493</v>
      </c>
      <c r="AR210" s="77">
        <f>$AH210*tbl_Data[[#This Row],[2034 ]]</f>
        <v>1.2020706793686529</v>
      </c>
      <c r="AS210" s="77">
        <f>SUM(tbl_Data[[#This Row],[Adjusted 2025]:[Adjusted 2034]])</f>
        <v>8.2120183986832433</v>
      </c>
      <c r="AT210" s="80">
        <f>AVERAGEIFS('3. Incentive Adjustment'!F:F,'3. Incentive Adjustment'!A:A,tbl_Data[[#This Row],[Trimmed Sector]],'3. Incentive Adjustment'!B:B,tbl_Data[[#This Row],[Trimmed Measure Name]])</f>
        <v>50</v>
      </c>
      <c r="AU210" s="80">
        <f>IFERROR(VLOOKUP(tbl_Data[[#This Row],[All_Meas_Name_Append]],'IRA Tax Credits'!$A$3:$D$46,4,0),0)</f>
        <v>0</v>
      </c>
      <c r="AV210" s="81">
        <f>tbl_Data[[#This Row],[Adj. per unit Incentive ($)]]/tbl_Data[[#This Row],[kWh Savings]]*tbl_Data[[#This Row],[Sum of Annuals]]</f>
        <v>1.0056846280350793</v>
      </c>
      <c r="AW210" s="81">
        <f>IFERROR(VLOOKUP(tbl_Data[[#This Row],[Column1]],'1. Set Program Names'!$B$2:$D$15,3,0)*tbl_Data[[#This Row],[Sum of Annuals]],"")</f>
        <v>3.7005209964806833</v>
      </c>
      <c r="AX210" s="81">
        <f>tbl_Data[[#This Row],[per unit IRA tax ($)]]/tbl_Data[[#This Row],[kWh Savings]]*tbl_Data[[#This Row],[Sum of Annuals]]</f>
        <v>0</v>
      </c>
      <c r="AY210" s="81">
        <f>tbl_Data[[#This Row],[Avoided Costs ($/unit)]]/tbl_Data[[#This Row],[kWh Savings]]*tbl_Data[[#This Row],[Sum of Annuals]]</f>
        <v>4.7997371975260616</v>
      </c>
      <c r="AZ210" s="81">
        <f>tbl_Data[[#This Row],[Lost Revenue ($/unit)]]/tbl_Data[[#This Row],[kWh Savings]]*tbl_Data[[#This Row],[Sum of Annuals]]</f>
        <v>8.5263630187176478</v>
      </c>
      <c r="BA210" s="81">
        <f>tbl_Data[[#This Row],[Incremental Cost ($/unit)]]/tbl_Data[[#This Row],[kWh Savings]]*tbl_Data[[#This Row],[Sum of Annuals]]</f>
        <v>2.5868220002318312</v>
      </c>
      <c r="BB210" s="77">
        <f>ROUNDUP(tbl_Data[[#This Row],[Adjusted 2025]]/$L210,0)</f>
        <v>1</v>
      </c>
      <c r="BC210" s="77">
        <f>ROUNDUP(tbl_Data[[#This Row],[Adjusted 2026]]/$L210,0)</f>
        <v>1</v>
      </c>
      <c r="BD210" s="77">
        <f>ROUNDUP(tbl_Data[[#This Row],[Adjusted 2027]]/$L210,0)</f>
        <v>1</v>
      </c>
      <c r="BE210" s="77">
        <f>ROUNDUP(tbl_Data[[#This Row],[Adjusted 2028]]/$L210,0)</f>
        <v>1</v>
      </c>
      <c r="BF210" s="77">
        <f>ROUNDUP(tbl_Data[[#This Row],[Adjusted 2029]]/$L210,0)</f>
        <v>1</v>
      </c>
      <c r="BG210" s="77">
        <f>ROUNDUP(tbl_Data[[#This Row],[Adjusted 2030]]/$L210,0)</f>
        <v>1</v>
      </c>
      <c r="BH210" s="77">
        <f>ROUNDUP(tbl_Data[[#This Row],[Adjusted 2031]]/$L210,0)</f>
        <v>1</v>
      </c>
      <c r="BI210" s="77">
        <f>ROUNDUP(tbl_Data[[#This Row],[Adjusted 2032]]/$L210,0)</f>
        <v>1</v>
      </c>
      <c r="BJ210" s="77">
        <f>ROUNDUP(tbl_Data[[#This Row],[Adjusted 2033]]/$L210,0)</f>
        <v>1</v>
      </c>
      <c r="BK210" s="77">
        <f>ROUNDUP(tbl_Data[[#This Row],[Adjusted 2034]]/$L210,0)</f>
        <v>1</v>
      </c>
      <c r="BL210" s="80">
        <f t="shared" si="89"/>
        <v>2.5316530907176938E-2</v>
      </c>
      <c r="BM210" s="80">
        <f t="shared" si="90"/>
        <v>4.6297002970975318E-2</v>
      </c>
      <c r="BN210" s="80">
        <f t="shared" si="91"/>
        <v>6.3676835448926355E-2</v>
      </c>
      <c r="BO210" s="80">
        <f t="shared" si="92"/>
        <v>7.8129322015817945E-2</v>
      </c>
      <c r="BP210" s="80">
        <f t="shared" si="93"/>
        <v>9.0225189012347662E-2</v>
      </c>
      <c r="BQ210" s="80">
        <f t="shared" si="94"/>
        <v>0.10039630081528879</v>
      </c>
      <c r="BR210" s="80">
        <f t="shared" si="95"/>
        <v>0.10907040166571436</v>
      </c>
      <c r="BS210" s="80">
        <f t="shared" si="96"/>
        <v>0.11658170086606656</v>
      </c>
      <c r="BT210" s="80">
        <f t="shared" si="97"/>
        <v>0.12319263519991795</v>
      </c>
      <c r="BU210" s="80">
        <f t="shared" si="98"/>
        <v>0.12910539768053911</v>
      </c>
      <c r="BV210" s="80">
        <f>IFERROR(VLOOKUP($H210,'1. Set Program Names'!$B$2:$D$15,3,0)*V210,"NA")</f>
        <v>9.3154803770941805E-2</v>
      </c>
      <c r="BW210" s="80">
        <f>IFERROR(VLOOKUP($H210,'1. Set Program Names'!$B$2:$D$15,3,0)*W210,"NA")</f>
        <v>0.1703546288690482</v>
      </c>
      <c r="BX210" s="80">
        <f>IFERROR(VLOOKUP($H210,'1. Set Program Names'!$B$2:$D$15,3,0)*X210,"NA")</f>
        <v>0.23430552680176608</v>
      </c>
      <c r="BY210" s="80">
        <f>IFERROR(VLOOKUP($H210,'1. Set Program Names'!$B$2:$D$15,3,0)*Y210,"NA")</f>
        <v>0.28748495154511799</v>
      </c>
      <c r="BZ210" s="80">
        <f>IFERROR(VLOOKUP($H210,'1. Set Program Names'!$B$2:$D$15,3,0)*Z210,"NA")</f>
        <v>0.33199294992106082</v>
      </c>
      <c r="CA210" s="80">
        <f>IFERROR(VLOOKUP($H210,'1. Set Program Names'!$B$2:$D$15,3,0)*AA210,"NA")</f>
        <v>0.36941861173899532</v>
      </c>
      <c r="CB210" s="80">
        <f>IFERROR(VLOOKUP($H210,'1. Set Program Names'!$B$2:$D$15,3,0)*AB210,"NA")</f>
        <v>0.40133586634127122</v>
      </c>
      <c r="CC210" s="80">
        <f>IFERROR(VLOOKUP($H210,'1. Set Program Names'!$B$2:$D$15,3,0)*AC210,"NA")</f>
        <v>0.42897447155298607</v>
      </c>
      <c r="CD210" s="80">
        <f>IFERROR(VLOOKUP($H210,'1. Set Program Names'!$B$2:$D$15,3,0)*AD210,"NA")</f>
        <v>0.45330009076481598</v>
      </c>
      <c r="CE210" s="80">
        <f>IFERROR(VLOOKUP($H210,'1. Set Program Names'!$B$2:$D$15,3,0)*AE210,"NA")</f>
        <v>0.47505671416025536</v>
      </c>
    </row>
    <row r="211" spans="1:83" x14ac:dyDescent="0.25">
      <c r="A211" s="79" t="s">
        <v>117</v>
      </c>
      <c r="B211" s="79" t="s">
        <v>88</v>
      </c>
      <c r="C211" s="79" t="s">
        <v>89</v>
      </c>
      <c r="D211" s="79" t="s">
        <v>90</v>
      </c>
      <c r="E211" s="79" t="s">
        <v>91</v>
      </c>
      <c r="F211" s="79" t="s">
        <v>90</v>
      </c>
      <c r="G211" s="79" t="s">
        <v>92</v>
      </c>
      <c r="H211" s="79"/>
      <c r="I211" s="79" t="s">
        <v>112</v>
      </c>
      <c r="J211" s="79" t="s">
        <v>94</v>
      </c>
      <c r="K211" s="79" t="s">
        <v>108</v>
      </c>
      <c r="L211" s="79">
        <v>1330.8133333333301</v>
      </c>
      <c r="M211" s="79">
        <v>5.33311142126306E-2</v>
      </c>
      <c r="N211" s="79">
        <v>0.24737910980336</v>
      </c>
      <c r="O211" s="79">
        <v>8990.02</v>
      </c>
      <c r="P211" s="79">
        <v>8776.4394094329891</v>
      </c>
      <c r="Q211" s="79">
        <v>399.796367008147</v>
      </c>
      <c r="R211" s="79">
        <v>713.19672296706005</v>
      </c>
      <c r="S211" s="79">
        <v>2011.6258188035599</v>
      </c>
      <c r="T211" s="79">
        <v>20</v>
      </c>
      <c r="U211" s="79">
        <v>0.2</v>
      </c>
      <c r="V211" s="79">
        <f>tbl_Data_old[[#This Row],[2025 ]]*IFERROR(AVERAGEIFS('Participation Adjustment'!$C:$C,'Participation Adjustment'!$A:$A,$H211,'Participation Adjustment'!$B:$B,$I211),1)</f>
        <v>8.0232477008972793</v>
      </c>
      <c r="W211" s="79">
        <f>tbl_Data_old[[#This Row],[2026 ]]*IFERROR(AVERAGEIFS('Participation Adjustment'!$C:$C,'Participation Adjustment'!$A:$A,$H211,'Participation Adjustment'!$B:$B,$I211),1)</f>
        <v>16.952590622737102</v>
      </c>
      <c r="X211" s="79">
        <f>tbl_Data_old[[#This Row],[2027 ]]*IFERROR(AVERAGEIFS('Participation Adjustment'!$C:$C,'Participation Adjustment'!$A:$A,$H211,'Participation Adjustment'!$B:$B,$I211),1)</f>
        <v>26.717984532969599</v>
      </c>
      <c r="Y211" s="79">
        <f>tbl_Data_old[[#This Row],[2028 ]]*IFERROR(AVERAGEIFS('Participation Adjustment'!$C:$C,'Participation Adjustment'!$A:$A,$H211,'Participation Adjustment'!$B:$B,$I211),1)</f>
        <v>37.274584817355098</v>
      </c>
      <c r="Z211" s="79">
        <f>tbl_Data_old[[#This Row],[2029 ]]*IFERROR(AVERAGEIFS('Participation Adjustment'!$C:$C,'Participation Adjustment'!$A:$A,$H211,'Participation Adjustment'!$B:$B,$I211),1)</f>
        <v>48.585010568552299</v>
      </c>
      <c r="AA211" s="79">
        <f>tbl_Data_old[[#This Row],[2030 ]]*IFERROR(AVERAGEIFS('Participation Adjustment'!$C:$C,'Participation Adjustment'!$A:$A,$H211,'Participation Adjustment'!$B:$B,$I211),1)</f>
        <v>60.5852094065351</v>
      </c>
      <c r="AB211" s="79">
        <f>tbl_Data_old[[#This Row],[2031 ]]*IFERROR(AVERAGEIFS('Participation Adjustment'!$C:$C,'Participation Adjustment'!$A:$A,$H211,'Participation Adjustment'!$B:$B,$I211),1)</f>
        <v>73.305504282442101</v>
      </c>
      <c r="AC211" s="79">
        <f>tbl_Data_old[[#This Row],[2032 ]]*IFERROR(AVERAGEIFS('Participation Adjustment'!$C:$C,'Participation Adjustment'!$A:$A,$H211,'Participation Adjustment'!$B:$B,$I211),1)</f>
        <v>86.807600922629604</v>
      </c>
      <c r="AD211" s="79">
        <f>tbl_Data_old[[#This Row],[2033 ]]*IFERROR(AVERAGEIFS('Participation Adjustment'!$C:$C,'Participation Adjustment'!$A:$A,$H211,'Participation Adjustment'!$B:$B,$I211),1)</f>
        <v>101.16345967401401</v>
      </c>
      <c r="AE211" s="79">
        <f>tbl_Data_old[[#This Row],[2034 ]]*IFERROR(AVERAGEIFS('Participation Adjustment'!$C:$C,'Participation Adjustment'!$A:$A,$H211,'Participation Adjustment'!$B:$B,$I211),1)</f>
        <v>116.450796663444</v>
      </c>
      <c r="AF211" s="77" t="str">
        <f t="shared" si="88"/>
        <v>Residential</v>
      </c>
      <c r="AG211" s="77" t="str">
        <f>tbl_Data[[#This Row],[All_Meas_Name_Append]]</f>
        <v>Solar Thermal Water Heating System</v>
      </c>
      <c r="AH211" s="77">
        <f>AVERAGEIFS('3. Incentive Adjustment'!G:G,'3. Incentive Adjustment'!A:A,tbl_Data[[#This Row],[Trimmed Sector]],'3. Incentive Adjustment'!B:B,tbl_Data[[#This Row],[Trimmed Measure Name]])</f>
        <v>2.7736651842107431E-8</v>
      </c>
      <c r="AI211" s="77">
        <f>$AH211*tbl_Data[[#This Row],[2025 ]]</f>
        <v>2.2253802812277674E-7</v>
      </c>
      <c r="AJ211" s="77">
        <f>$AH211*tbl_Data[[#This Row],[2026 ]]</f>
        <v>4.7020810392463422E-7</v>
      </c>
      <c r="AK211" s="77">
        <f>$AH211*tbl_Data[[#This Row],[2027 ]]</f>
        <v>7.4106743491378911E-7</v>
      </c>
      <c r="AL211" s="77">
        <f>$AH211*tbl_Data[[#This Row],[2028 ]]</f>
        <v>1.0338721816380819E-6</v>
      </c>
      <c r="AM211" s="77">
        <f>$AH211*tbl_Data[[#This Row],[2029 ]]</f>
        <v>1.3475855228850451E-6</v>
      </c>
      <c r="AN211" s="77">
        <f>$AH211*tbl_Data[[#This Row],[2030 ]]</f>
        <v>1.6804308600902363E-6</v>
      </c>
      <c r="AO211" s="77">
        <f>$AH211*tbl_Data[[#This Row],[2031 ]]</f>
        <v>2.0332492503922118E-6</v>
      </c>
      <c r="AP211" s="77">
        <f>$AH211*tbl_Data[[#This Row],[2032 ]]</f>
        <v>2.4077522040395813E-6</v>
      </c>
      <c r="AQ211" s="77">
        <f>$AH211*tbl_Data[[#This Row],[2033 ]]</f>
        <v>2.8059356601212014E-6</v>
      </c>
      <c r="AR211" s="77">
        <f>$AH211*tbl_Data[[#This Row],[2034 ]]</f>
        <v>3.2299552037899919E-6</v>
      </c>
      <c r="AS211" s="77">
        <f>SUM(tbl_Data[[#This Row],[Adjusted 2025]:[Adjusted 2034]])</f>
        <v>1.5972594449917549E-5</v>
      </c>
      <c r="AT211" s="80">
        <f>AVERAGEIFS('3. Incentive Adjustment'!F:F,'3. Incentive Adjustment'!A:A,tbl_Data[[#This Row],[Trimmed Sector]],'3. Incentive Adjustment'!B:B,tbl_Data[[#This Row],[Trimmed Measure Name]])</f>
        <v>0</v>
      </c>
      <c r="AU211" s="80">
        <f>IFERROR(VLOOKUP(tbl_Data[[#This Row],[All_Meas_Name_Append]],'IRA Tax Credits'!$A$3:$D$46,4,0),0)</f>
        <v>41666.666666666672</v>
      </c>
      <c r="AV211" s="81">
        <f>tbl_Data[[#This Row],[Adj. per unit Incentive ($)]]/tbl_Data[[#This Row],[kWh Savings]]*tbl_Data[[#This Row],[Sum of Annuals]]</f>
        <v>0</v>
      </c>
      <c r="AW211" s="81" t="str">
        <f>IFERROR(VLOOKUP(tbl_Data[[#This Row],[Column1]],'1. Set Program Names'!$B$2:$D$15,3,0)*tbl_Data[[#This Row],[Sum of Annuals]],"")</f>
        <v/>
      </c>
      <c r="AX211" s="81">
        <f>tbl_Data[[#This Row],[per unit IRA tax ($)]]/tbl_Data[[#This Row],[kWh Savings]]*tbl_Data[[#This Row],[Sum of Annuals]]</f>
        <v>5.0008874428662635E-4</v>
      </c>
      <c r="AY211" s="81">
        <f>tbl_Data[[#This Row],[Avoided Costs ($/unit)]]/tbl_Data[[#This Row],[kWh Savings]]*tbl_Data[[#This Row],[Sum of Annuals]]</f>
        <v>8.5598796868304161E-6</v>
      </c>
      <c r="AZ211" s="81">
        <f>tbl_Data[[#This Row],[Lost Revenue ($/unit)]]/tbl_Data[[#This Row],[kWh Savings]]*tbl_Data[[#This Row],[Sum of Annuals]]</f>
        <v>2.4143794312800693E-5</v>
      </c>
      <c r="BA211" s="81">
        <f>tbl_Data[[#This Row],[Incremental Cost ($/unit)]]/tbl_Data[[#This Row],[kWh Savings]]*tbl_Data[[#This Row],[Sum of Annuals]]</f>
        <v>1.0789938750987975E-4</v>
      </c>
      <c r="BB211" s="77">
        <f>ROUNDUP(tbl_Data[[#This Row],[Adjusted 2025]]/$L211,0)</f>
        <v>1</v>
      </c>
      <c r="BC211" s="77">
        <f>ROUNDUP(tbl_Data[[#This Row],[Adjusted 2026]]/$L211,0)</f>
        <v>1</v>
      </c>
      <c r="BD211" s="77">
        <f>ROUNDUP(tbl_Data[[#This Row],[Adjusted 2027]]/$L211,0)</f>
        <v>1</v>
      </c>
      <c r="BE211" s="77">
        <f>ROUNDUP(tbl_Data[[#This Row],[Adjusted 2028]]/$L211,0)</f>
        <v>1</v>
      </c>
      <c r="BF211" s="77">
        <f>ROUNDUP(tbl_Data[[#This Row],[Adjusted 2029]]/$L211,0)</f>
        <v>1</v>
      </c>
      <c r="BG211" s="77">
        <f>ROUNDUP(tbl_Data[[#This Row],[Adjusted 2030]]/$L211,0)</f>
        <v>1</v>
      </c>
      <c r="BH211" s="77">
        <f>ROUNDUP(tbl_Data[[#This Row],[Adjusted 2031]]/$L211,0)</f>
        <v>1</v>
      </c>
      <c r="BI211" s="77">
        <f>ROUNDUP(tbl_Data[[#This Row],[Adjusted 2032]]/$L211,0)</f>
        <v>1</v>
      </c>
      <c r="BJ211" s="77">
        <f>ROUNDUP(tbl_Data[[#This Row],[Adjusted 2033]]/$L211,0)</f>
        <v>1</v>
      </c>
      <c r="BK211" s="77">
        <f>ROUNDUP(tbl_Data[[#This Row],[Adjusted 2034]]/$L211,0)</f>
        <v>1</v>
      </c>
      <c r="BL211" s="80">
        <f t="shared" si="89"/>
        <v>0</v>
      </c>
      <c r="BM211" s="80">
        <f t="shared" si="90"/>
        <v>0</v>
      </c>
      <c r="BN211" s="80">
        <f t="shared" si="91"/>
        <v>0</v>
      </c>
      <c r="BO211" s="80">
        <f t="shared" si="92"/>
        <v>0</v>
      </c>
      <c r="BP211" s="80">
        <f t="shared" si="93"/>
        <v>0</v>
      </c>
      <c r="BQ211" s="80">
        <f t="shared" si="94"/>
        <v>0</v>
      </c>
      <c r="BR211" s="80">
        <f t="shared" si="95"/>
        <v>0</v>
      </c>
      <c r="BS211" s="80">
        <f t="shared" si="96"/>
        <v>0</v>
      </c>
      <c r="BT211" s="80">
        <f t="shared" si="97"/>
        <v>0</v>
      </c>
      <c r="BU211" s="80">
        <f t="shared" si="98"/>
        <v>0</v>
      </c>
      <c r="BV211" s="80" t="str">
        <f>IFERROR(VLOOKUP($H211,'1. Set Program Names'!$B$2:$D$15,3,0)*V211,"NA")</f>
        <v>NA</v>
      </c>
      <c r="BW211" s="80" t="str">
        <f>IFERROR(VLOOKUP($H211,'1. Set Program Names'!$B$2:$D$15,3,0)*W211,"NA")</f>
        <v>NA</v>
      </c>
      <c r="BX211" s="80" t="str">
        <f>IFERROR(VLOOKUP($H211,'1. Set Program Names'!$B$2:$D$15,3,0)*X211,"NA")</f>
        <v>NA</v>
      </c>
      <c r="BY211" s="80" t="str">
        <f>IFERROR(VLOOKUP($H211,'1. Set Program Names'!$B$2:$D$15,3,0)*Y211,"NA")</f>
        <v>NA</v>
      </c>
      <c r="BZ211" s="80" t="str">
        <f>IFERROR(VLOOKUP($H211,'1. Set Program Names'!$B$2:$D$15,3,0)*Z211,"NA")</f>
        <v>NA</v>
      </c>
      <c r="CA211" s="80" t="str">
        <f>IFERROR(VLOOKUP($H211,'1. Set Program Names'!$B$2:$D$15,3,0)*AA211,"NA")</f>
        <v>NA</v>
      </c>
      <c r="CB211" s="80" t="str">
        <f>IFERROR(VLOOKUP($H211,'1. Set Program Names'!$B$2:$D$15,3,0)*AB211,"NA")</f>
        <v>NA</v>
      </c>
      <c r="CC211" s="80" t="str">
        <f>IFERROR(VLOOKUP($H211,'1. Set Program Names'!$B$2:$D$15,3,0)*AC211,"NA")</f>
        <v>NA</v>
      </c>
      <c r="CD211" s="80" t="str">
        <f>IFERROR(VLOOKUP($H211,'1. Set Program Names'!$B$2:$D$15,3,0)*AD211,"NA")</f>
        <v>NA</v>
      </c>
      <c r="CE211" s="80" t="str">
        <f>IFERROR(VLOOKUP($H211,'1. Set Program Names'!$B$2:$D$15,3,0)*AE211,"NA")</f>
        <v>NA</v>
      </c>
    </row>
    <row r="212" spans="1:83" x14ac:dyDescent="0.25">
      <c r="A212" s="79" t="s">
        <v>87</v>
      </c>
      <c r="B212" s="79" t="s">
        <v>88</v>
      </c>
      <c r="C212" s="79" t="s">
        <v>89</v>
      </c>
      <c r="D212" s="79" t="s">
        <v>90</v>
      </c>
      <c r="E212" s="79" t="s">
        <v>91</v>
      </c>
      <c r="F212" s="79" t="s">
        <v>90</v>
      </c>
      <c r="G212" s="79" t="s">
        <v>92</v>
      </c>
      <c r="H212" s="79" t="s">
        <v>273</v>
      </c>
      <c r="I212" s="79" t="s">
        <v>301</v>
      </c>
      <c r="J212" s="79" t="s">
        <v>302</v>
      </c>
      <c r="K212" s="79" t="s">
        <v>104</v>
      </c>
      <c r="L212" s="79">
        <v>275.64999999999901</v>
      </c>
      <c r="M212" s="79">
        <v>4.0357303140515798E-2</v>
      </c>
      <c r="N212" s="79">
        <v>4.1157633527981498E-2</v>
      </c>
      <c r="O212" s="79">
        <v>86.42</v>
      </c>
      <c r="P212" s="79">
        <v>19.6355180000002</v>
      </c>
      <c r="Q212" s="79">
        <v>0.27564999999999901</v>
      </c>
      <c r="R212" s="79">
        <v>112.309715968343</v>
      </c>
      <c r="S212" s="79">
        <v>337.427777357906</v>
      </c>
      <c r="T212" s="79">
        <v>14</v>
      </c>
      <c r="U212" s="79">
        <v>1</v>
      </c>
      <c r="V212" s="79">
        <f>tbl_Data_old[[#This Row],[2025 ]]*IFERROR(AVERAGEIFS('Participation Adjustment'!$C:$C,'Participation Adjustment'!$A:$A,$H212,'Participation Adjustment'!$B:$B,$I212),1)</f>
        <v>36409.361887842402</v>
      </c>
      <c r="W212" s="79">
        <f>tbl_Data_old[[#This Row],[2026 ]]*IFERROR(AVERAGEIFS('Participation Adjustment'!$C:$C,'Participation Adjustment'!$A:$A,$H212,'Participation Adjustment'!$B:$B,$I212),1)</f>
        <v>50267.325349325001</v>
      </c>
      <c r="X212" s="79">
        <f>tbl_Data_old[[#This Row],[2027 ]]*IFERROR(AVERAGEIFS('Participation Adjustment'!$C:$C,'Participation Adjustment'!$A:$A,$H212,'Participation Adjustment'!$B:$B,$I212),1)</f>
        <v>65832.3485495364</v>
      </c>
      <c r="Y212" s="79">
        <f>tbl_Data_old[[#This Row],[2028 ]]*IFERROR(AVERAGEIFS('Participation Adjustment'!$C:$C,'Participation Adjustment'!$A:$A,$H212,'Participation Adjustment'!$B:$B,$I212),1)</f>
        <v>82499.263145371704</v>
      </c>
      <c r="Z212" s="79">
        <f>tbl_Data_old[[#This Row],[2029 ]]*IFERROR(AVERAGEIFS('Participation Adjustment'!$C:$C,'Participation Adjustment'!$A:$A,$H212,'Participation Adjustment'!$B:$B,$I212),1)</f>
        <v>99259.379340910295</v>
      </c>
      <c r="AA212" s="79">
        <f>tbl_Data_old[[#This Row],[2030 ]]*IFERROR(AVERAGEIFS('Participation Adjustment'!$C:$C,'Participation Adjustment'!$A:$A,$H212,'Participation Adjustment'!$B:$B,$I212),1)</f>
        <v>114572.521923997</v>
      </c>
      <c r="AB212" s="79">
        <f>tbl_Data_old[[#This Row],[2031 ]]*IFERROR(AVERAGEIFS('Participation Adjustment'!$C:$C,'Participation Adjustment'!$A:$A,$H212,'Participation Adjustment'!$B:$B,$I212),1)</f>
        <v>128459.72958502801</v>
      </c>
      <c r="AC212" s="79">
        <f>tbl_Data_old[[#This Row],[2032 ]]*IFERROR(AVERAGEIFS('Participation Adjustment'!$C:$C,'Participation Adjustment'!$A:$A,$H212,'Participation Adjustment'!$B:$B,$I212),1)</f>
        <v>140864.66875009399</v>
      </c>
      <c r="AD212" s="79">
        <f>tbl_Data_old[[#This Row],[2033 ]]*IFERROR(AVERAGEIFS('Participation Adjustment'!$C:$C,'Participation Adjustment'!$A:$A,$H212,'Participation Adjustment'!$B:$B,$I212),1)</f>
        <v>152121.09575920299</v>
      </c>
      <c r="AE212" s="79">
        <f>tbl_Data_old[[#This Row],[2034 ]]*IFERROR(AVERAGEIFS('Participation Adjustment'!$C:$C,'Participation Adjustment'!$A:$A,$H212,'Participation Adjustment'!$B:$B,$I212),1)</f>
        <v>162692.38372901501</v>
      </c>
      <c r="AF212" s="77" t="str">
        <f t="shared" ref="AF212:AF235" si="99">IF(C212="Residential","Residential","NonResidential")</f>
        <v>Residential</v>
      </c>
      <c r="AG212" s="77" t="str">
        <f>tbl_Data[[#This Row],[All_Meas_Name_Append]]</f>
        <v>Energy Star Clothes Washer</v>
      </c>
      <c r="AH212" s="77">
        <f>AVERAGEIFS('3. Incentive Adjustment'!G:G,'3. Incentive Adjustment'!A:A,tbl_Data[[#This Row],[Trimmed Sector]],'3. Incentive Adjustment'!B:B,tbl_Data[[#This Row],[Trimmed Measure Name]])</f>
        <v>0.8286551255656105</v>
      </c>
      <c r="AI212" s="77">
        <f>$AH212*tbl_Data[[#This Row],[2025 ]]</f>
        <v>30170.804346933797</v>
      </c>
      <c r="AJ212" s="77">
        <f>$AH212*tbl_Data[[#This Row],[2026 ]]</f>
        <v>41654.276799192303</v>
      </c>
      <c r="AK212" s="77">
        <f>$AH212*tbl_Data[[#This Row],[2027 ]]</f>
        <v>54552.31305359512</v>
      </c>
      <c r="AL212" s="77">
        <f>$AH212*tbl_Data[[#This Row],[2028 ]]</f>
        <v>68363.437260798339</v>
      </c>
      <c r="AM212" s="77">
        <f>$AH212*tbl_Data[[#This Row],[2029 ]]</f>
        <v>82251.793451306585</v>
      </c>
      <c r="AN212" s="77">
        <f>$AH212*tbl_Data[[#This Row],[2030 ]]</f>
        <v>94941.107541298392</v>
      </c>
      <c r="AO212" s="77">
        <f>$AH212*tbl_Data[[#This Row],[2031 ]]</f>
        <v>106448.81334940575</v>
      </c>
      <c r="AP212" s="77">
        <f>$AH212*tbl_Data[[#This Row],[2032 ]]</f>
        <v>116728.22977086726</v>
      </c>
      <c r="AQ212" s="77">
        <f>$AH212*tbl_Data[[#This Row],[2033 ]]</f>
        <v>126055.92570752061</v>
      </c>
      <c r="AR212" s="77">
        <f>$AH212*tbl_Data[[#This Row],[2034 ]]</f>
        <v>134815.87766753542</v>
      </c>
      <c r="AS212" s="77">
        <f>SUM(tbl_Data[[#This Row],[Adjusted 2025]:[Adjusted 2034]])</f>
        <v>855982.57894845353</v>
      </c>
      <c r="AT212" s="80">
        <f>AVERAGEIFS('3. Incentive Adjustment'!F:F,'3. Incentive Adjustment'!A:A,tbl_Data[[#This Row],[Trimmed Sector]],'3. Incentive Adjustment'!B:B,tbl_Data[[#This Row],[Trimmed Measure Name]])</f>
        <v>0</v>
      </c>
      <c r="AU212" s="80">
        <f>IFERROR(VLOOKUP(tbl_Data[[#This Row],[All_Meas_Name_Append]],'IRA Tax Credits'!$A$3:$D$46,4,0),0)</f>
        <v>0</v>
      </c>
      <c r="AV212" s="81">
        <f>tbl_Data[[#This Row],[Adj. per unit Incentive ($)]]/tbl_Data[[#This Row],[kWh Savings]]*tbl_Data[[#This Row],[Sum of Annuals]]</f>
        <v>0</v>
      </c>
      <c r="AW212" s="81" t="str">
        <f>IFERROR(VLOOKUP(tbl_Data[[#This Row],[Column1]],'1. Set Program Names'!$B$2:$D$15,3,0)*tbl_Data[[#This Row],[Sum of Annuals]],"")</f>
        <v/>
      </c>
      <c r="AX212" s="81">
        <f>tbl_Data[[#This Row],[per unit IRA tax ($)]]/tbl_Data[[#This Row],[kWh Savings]]*tbl_Data[[#This Row],[Sum of Annuals]]</f>
        <v>0</v>
      </c>
      <c r="AY212" s="81">
        <f>tbl_Data[[#This Row],[Avoided Costs ($/unit)]]/tbl_Data[[#This Row],[kWh Savings]]*tbl_Data[[#This Row],[Sum of Annuals]]</f>
        <v>348758.06390549935</v>
      </c>
      <c r="AZ212" s="81">
        <f>tbl_Data[[#This Row],[Lost Revenue ($/unit)]]/tbl_Data[[#This Row],[kWh Savings]]*tbl_Data[[#This Row],[Sum of Annuals]]</f>
        <v>1047822.5977568149</v>
      </c>
      <c r="BA212" s="81">
        <f>tbl_Data[[#This Row],[Incremental Cost ($/unit)]]/tbl_Data[[#This Row],[kWh Savings]]*tbl_Data[[#This Row],[Sum of Annuals]]</f>
        <v>268362.10583248909</v>
      </c>
      <c r="BB212" s="77">
        <f>ROUNDUP(tbl_Data[[#This Row],[Adjusted 2025]]/$L212,0)</f>
        <v>110</v>
      </c>
      <c r="BC212" s="77">
        <f>ROUNDUP(tbl_Data[[#This Row],[Adjusted 2026]]/$L212,0)</f>
        <v>152</v>
      </c>
      <c r="BD212" s="77">
        <f>ROUNDUP(tbl_Data[[#This Row],[Adjusted 2027]]/$L212,0)</f>
        <v>198</v>
      </c>
      <c r="BE212" s="77">
        <f>ROUNDUP(tbl_Data[[#This Row],[Adjusted 2028]]/$L212,0)</f>
        <v>249</v>
      </c>
      <c r="BF212" s="77">
        <f>ROUNDUP(tbl_Data[[#This Row],[Adjusted 2029]]/$L212,0)</f>
        <v>299</v>
      </c>
      <c r="BG212" s="77">
        <f>ROUNDUP(tbl_Data[[#This Row],[Adjusted 2030]]/$L212,0)</f>
        <v>345</v>
      </c>
      <c r="BH212" s="77">
        <f>ROUNDUP(tbl_Data[[#This Row],[Adjusted 2031]]/$L212,0)</f>
        <v>387</v>
      </c>
      <c r="BI212" s="77">
        <f>ROUNDUP(tbl_Data[[#This Row],[Adjusted 2032]]/$L212,0)</f>
        <v>424</v>
      </c>
      <c r="BJ212" s="77">
        <f>ROUNDUP(tbl_Data[[#This Row],[Adjusted 2033]]/$L212,0)</f>
        <v>458</v>
      </c>
      <c r="BK212" s="77">
        <f>ROUNDUP(tbl_Data[[#This Row],[Adjusted 2034]]/$L212,0)</f>
        <v>490</v>
      </c>
      <c r="BL212" s="80">
        <f t="shared" ref="BL212:BL235" si="100">$AT212/$L212*V212</f>
        <v>0</v>
      </c>
      <c r="BM212" s="80">
        <f t="shared" ref="BM212:BM235" si="101">$AT212/$L212*W212</f>
        <v>0</v>
      </c>
      <c r="BN212" s="80">
        <f t="shared" ref="BN212:BN235" si="102">$AT212/$L212*X212</f>
        <v>0</v>
      </c>
      <c r="BO212" s="80">
        <f t="shared" ref="BO212:BO235" si="103">$AT212/$L212*Y212</f>
        <v>0</v>
      </c>
      <c r="BP212" s="80">
        <f t="shared" ref="BP212:BP235" si="104">$AT212/$L212*Z212</f>
        <v>0</v>
      </c>
      <c r="BQ212" s="80">
        <f t="shared" ref="BQ212:BQ235" si="105">$AT212/$L212*AA212</f>
        <v>0</v>
      </c>
      <c r="BR212" s="80">
        <f t="shared" ref="BR212:BR235" si="106">$AT212/$L212*AB212</f>
        <v>0</v>
      </c>
      <c r="BS212" s="80">
        <f t="shared" ref="BS212:BS235" si="107">$AT212/$L212*AC212</f>
        <v>0</v>
      </c>
      <c r="BT212" s="80">
        <f t="shared" ref="BT212:BT235" si="108">$AT212/$L212*AD212</f>
        <v>0</v>
      </c>
      <c r="BU212" s="80">
        <f t="shared" ref="BU212:BU235" si="109">$AT212/$L212*AE212</f>
        <v>0</v>
      </c>
      <c r="BV212" s="80" t="str">
        <f>IFERROR(VLOOKUP($H212,'1. Set Program Names'!$B$2:$D$15,3,0)*V212,"NA")</f>
        <v>NA</v>
      </c>
      <c r="BW212" s="80" t="str">
        <f>IFERROR(VLOOKUP($H212,'1. Set Program Names'!$B$2:$D$15,3,0)*W212,"NA")</f>
        <v>NA</v>
      </c>
      <c r="BX212" s="80" t="str">
        <f>IFERROR(VLOOKUP($H212,'1. Set Program Names'!$B$2:$D$15,3,0)*X212,"NA")</f>
        <v>NA</v>
      </c>
      <c r="BY212" s="80" t="str">
        <f>IFERROR(VLOOKUP($H212,'1. Set Program Names'!$B$2:$D$15,3,0)*Y212,"NA")</f>
        <v>NA</v>
      </c>
      <c r="BZ212" s="80" t="str">
        <f>IFERROR(VLOOKUP($H212,'1. Set Program Names'!$B$2:$D$15,3,0)*Z212,"NA")</f>
        <v>NA</v>
      </c>
      <c r="CA212" s="80" t="str">
        <f>IFERROR(VLOOKUP($H212,'1. Set Program Names'!$B$2:$D$15,3,0)*AA212,"NA")</f>
        <v>NA</v>
      </c>
      <c r="CB212" s="80" t="str">
        <f>IFERROR(VLOOKUP($H212,'1. Set Program Names'!$B$2:$D$15,3,0)*AB212,"NA")</f>
        <v>NA</v>
      </c>
      <c r="CC212" s="80" t="str">
        <f>IFERROR(VLOOKUP($H212,'1. Set Program Names'!$B$2:$D$15,3,0)*AC212,"NA")</f>
        <v>NA</v>
      </c>
      <c r="CD212" s="80" t="str">
        <f>IFERROR(VLOOKUP($H212,'1. Set Program Names'!$B$2:$D$15,3,0)*AD212,"NA")</f>
        <v>NA</v>
      </c>
      <c r="CE212" s="80" t="str">
        <f>IFERROR(VLOOKUP($H212,'1. Set Program Names'!$B$2:$D$15,3,0)*AE212,"NA")</f>
        <v>NA</v>
      </c>
    </row>
    <row r="213" spans="1:83" x14ac:dyDescent="0.25">
      <c r="A213" s="79" t="s">
        <v>87</v>
      </c>
      <c r="B213" s="79" t="s">
        <v>88</v>
      </c>
      <c r="C213" s="79" t="s">
        <v>89</v>
      </c>
      <c r="D213" s="79" t="s">
        <v>90</v>
      </c>
      <c r="E213" s="79" t="s">
        <v>91</v>
      </c>
      <c r="F213" s="79" t="s">
        <v>90</v>
      </c>
      <c r="G213" s="79" t="s">
        <v>92</v>
      </c>
      <c r="H213" s="79" t="s">
        <v>273</v>
      </c>
      <c r="I213" s="79" t="s">
        <v>105</v>
      </c>
      <c r="J213" s="79" t="s">
        <v>97</v>
      </c>
      <c r="K213" s="79" t="s">
        <v>98</v>
      </c>
      <c r="L213" s="79">
        <v>1409.8599999999899</v>
      </c>
      <c r="M213" s="79">
        <v>0.25259796946801399</v>
      </c>
      <c r="N213" s="79">
        <v>0.18561076930699899</v>
      </c>
      <c r="O213" s="79">
        <v>15905.9999999999</v>
      </c>
      <c r="P213" s="79">
        <v>15564.4191191999</v>
      </c>
      <c r="Q213" s="79">
        <v>1.4098599999999899</v>
      </c>
      <c r="R213" s="79">
        <v>1051.8249065196901</v>
      </c>
      <c r="S213" s="79">
        <v>2376.3089492588301</v>
      </c>
      <c r="T213" s="79">
        <v>25</v>
      </c>
      <c r="U213" s="79">
        <v>1</v>
      </c>
      <c r="V213" s="79">
        <f>tbl_Data_old[[#This Row],[2025 ]]*IFERROR(AVERAGEIFS('Participation Adjustment'!$C:$C,'Participation Adjustment'!$A:$A,$H213,'Participation Adjustment'!$B:$B,$I213),1)</f>
        <v>740.43259059130696</v>
      </c>
      <c r="W213" s="79">
        <f>tbl_Data_old[[#This Row],[2026 ]]*IFERROR(AVERAGEIFS('Participation Adjustment'!$C:$C,'Participation Adjustment'!$A:$A,$H213,'Participation Adjustment'!$B:$B,$I213),1)</f>
        <v>859.50873228656496</v>
      </c>
      <c r="X213" s="79">
        <f>tbl_Data_old[[#This Row],[2027 ]]*IFERROR(AVERAGEIFS('Participation Adjustment'!$C:$C,'Participation Adjustment'!$A:$A,$H213,'Participation Adjustment'!$B:$B,$I213),1)</f>
        <v>980.43223287273804</v>
      </c>
      <c r="Y213" s="79">
        <f>tbl_Data_old[[#This Row],[2028 ]]*IFERROR(AVERAGEIFS('Participation Adjustment'!$C:$C,'Participation Adjustment'!$A:$A,$H213,'Participation Adjustment'!$B:$B,$I213),1)</f>
        <v>1105.47893650728</v>
      </c>
      <c r="Z213" s="79">
        <f>tbl_Data_old[[#This Row],[2029 ]]*IFERROR(AVERAGEIFS('Participation Adjustment'!$C:$C,'Participation Adjustment'!$A:$A,$H213,'Participation Adjustment'!$B:$B,$I213),1)</f>
        <v>1235.3939873602901</v>
      </c>
      <c r="AA213" s="79">
        <f>tbl_Data_old[[#This Row],[2030 ]]*IFERROR(AVERAGEIFS('Participation Adjustment'!$C:$C,'Participation Adjustment'!$A:$A,$H213,'Participation Adjustment'!$B:$B,$I213),1)</f>
        <v>1367.15156336727</v>
      </c>
      <c r="AB213" s="79">
        <f>tbl_Data_old[[#This Row],[2031 ]]*IFERROR(AVERAGEIFS('Participation Adjustment'!$C:$C,'Participation Adjustment'!$A:$A,$H213,'Participation Adjustment'!$B:$B,$I213),1)</f>
        <v>1511.5713288782099</v>
      </c>
      <c r="AC213" s="79">
        <f>tbl_Data_old[[#This Row],[2032 ]]*IFERROR(AVERAGEIFS('Participation Adjustment'!$C:$C,'Participation Adjustment'!$A:$A,$H213,'Participation Adjustment'!$B:$B,$I213),1)</f>
        <v>1673.54532056109</v>
      </c>
      <c r="AD213" s="79">
        <f>tbl_Data_old[[#This Row],[2033 ]]*IFERROR(AVERAGEIFS('Participation Adjustment'!$C:$C,'Participation Adjustment'!$A:$A,$H213,'Participation Adjustment'!$B:$B,$I213),1)</f>
        <v>1855.9735987317899</v>
      </c>
      <c r="AE213" s="79">
        <f>tbl_Data_old[[#This Row],[2034 ]]*IFERROR(AVERAGEIFS('Participation Adjustment'!$C:$C,'Participation Adjustment'!$A:$A,$H213,'Participation Adjustment'!$B:$B,$I213),1)</f>
        <v>2061.4953534718002</v>
      </c>
      <c r="AF213" s="77" t="str">
        <f t="shared" si="99"/>
        <v>Residential</v>
      </c>
      <c r="AG213" s="77" t="str">
        <f>tbl_Data[[#This Row],[All_Meas_Name_Append]]</f>
        <v>Energy Star Ground Source Heat Pump</v>
      </c>
      <c r="AH213" s="77">
        <f>AVERAGEIFS('3. Incentive Adjustment'!G:G,'3. Incentive Adjustment'!A:A,tbl_Data[[#This Row],[Trimmed Sector]],'3. Incentive Adjustment'!B:B,tbl_Data[[#This Row],[Trimmed Measure Name]])</f>
        <v>2.2369945105234762E-13</v>
      </c>
      <c r="AI213" s="77">
        <f>$AH213*tbl_Data[[#This Row],[2025 ]]</f>
        <v>1.6563436405654303E-10</v>
      </c>
      <c r="AJ213" s="77">
        <f>$AH213*tbl_Data[[#This Row],[2026 ]]</f>
        <v>1.922716315872038E-10</v>
      </c>
      <c r="AK213" s="77">
        <f>$AH213*tbl_Data[[#This Row],[2027 ]]</f>
        <v>2.1932215228765896E-10</v>
      </c>
      <c r="AL213" s="77">
        <f>$AH213*tbl_Data[[#This Row],[2028 ]]</f>
        <v>2.4729503124661159E-10</v>
      </c>
      <c r="AM213" s="77">
        <f>$AH213*tbl_Data[[#This Row],[2029 ]]</f>
        <v>2.7635695680586778E-10</v>
      </c>
      <c r="AN213" s="77">
        <f>$AH213*tbl_Data[[#This Row],[2030 ]]</f>
        <v>3.0583105423061715E-10</v>
      </c>
      <c r="AO213" s="77">
        <f>$AH213*tbl_Data[[#This Row],[2031 ]]</f>
        <v>3.3813767649652319E-10</v>
      </c>
      <c r="AP213" s="77">
        <f>$AH213*tbl_Data[[#This Row],[2032 ]]</f>
        <v>3.7437116952074097E-10</v>
      </c>
      <c r="AQ213" s="77">
        <f>$AH213*tbl_Data[[#This Row],[2033 ]]</f>
        <v>4.151802752039515E-10</v>
      </c>
      <c r="AR213" s="77">
        <f>$AH213*tbl_Data[[#This Row],[2034 ]]</f>
        <v>4.6115537891860702E-10</v>
      </c>
      <c r="AS213" s="77">
        <f>SUM(tbl_Data[[#This Row],[Adjusted 2025]:[Adjusted 2034]])</f>
        <v>2.9955556903543253E-9</v>
      </c>
      <c r="AT213" s="80">
        <f>AVERAGEIFS('3. Incentive Adjustment'!F:F,'3. Incentive Adjustment'!A:A,tbl_Data[[#This Row],[Trimmed Sector]],'3. Incentive Adjustment'!B:B,tbl_Data[[#This Row],[Trimmed Measure Name]])</f>
        <v>0</v>
      </c>
      <c r="AU213" s="80">
        <f>IFERROR(VLOOKUP(tbl_Data[[#This Row],[All_Meas_Name_Append]],'IRA Tax Credits'!$A$3:$D$46,4,0),0)</f>
        <v>41666.666666666672</v>
      </c>
      <c r="AV213" s="81">
        <f>tbl_Data[[#This Row],[Adj. per unit Incentive ($)]]/tbl_Data[[#This Row],[kWh Savings]]*tbl_Data[[#This Row],[Sum of Annuals]]</f>
        <v>0</v>
      </c>
      <c r="AW213" s="81" t="str">
        <f>IFERROR(VLOOKUP(tbl_Data[[#This Row],[Column1]],'1. Set Program Names'!$B$2:$D$15,3,0)*tbl_Data[[#This Row],[Sum of Annuals]],"")</f>
        <v/>
      </c>
      <c r="AX213" s="81">
        <f>tbl_Data[[#This Row],[per unit IRA tax ($)]]/tbl_Data[[#This Row],[kWh Savings]]*tbl_Data[[#This Row],[Sum of Annuals]]</f>
        <v>8.8529939448903523E-8</v>
      </c>
      <c r="AY213" s="81">
        <f>tbl_Data[[#This Row],[Avoided Costs ($/unit)]]/tbl_Data[[#This Row],[kWh Savings]]*tbl_Data[[#This Row],[Sum of Annuals]]</f>
        <v>2.2348318868408824E-9</v>
      </c>
      <c r="AZ213" s="81">
        <f>tbl_Data[[#This Row],[Lost Revenue ($/unit)]]/tbl_Data[[#This Row],[kWh Savings]]*tbl_Data[[#This Row],[Sum of Annuals]]</f>
        <v>5.0489876973545222E-9</v>
      </c>
      <c r="BA213" s="81">
        <f>tbl_Data[[#This Row],[Incremental Cost ($/unit)]]/tbl_Data[[#This Row],[kWh Savings]]*tbl_Data[[#This Row],[Sum of Annuals]]</f>
        <v>3.379577320498201E-8</v>
      </c>
      <c r="BB213" s="77">
        <f>ROUNDUP(tbl_Data[[#This Row],[Adjusted 2025]]/$L213,0)</f>
        <v>1</v>
      </c>
      <c r="BC213" s="77">
        <f>ROUNDUP(tbl_Data[[#This Row],[Adjusted 2026]]/$L213,0)</f>
        <v>1</v>
      </c>
      <c r="BD213" s="77">
        <f>ROUNDUP(tbl_Data[[#This Row],[Adjusted 2027]]/$L213,0)</f>
        <v>1</v>
      </c>
      <c r="BE213" s="77">
        <f>ROUNDUP(tbl_Data[[#This Row],[Adjusted 2028]]/$L213,0)</f>
        <v>1</v>
      </c>
      <c r="BF213" s="77">
        <f>ROUNDUP(tbl_Data[[#This Row],[Adjusted 2029]]/$L213,0)</f>
        <v>1</v>
      </c>
      <c r="BG213" s="77">
        <f>ROUNDUP(tbl_Data[[#This Row],[Adjusted 2030]]/$L213,0)</f>
        <v>1</v>
      </c>
      <c r="BH213" s="77">
        <f>ROUNDUP(tbl_Data[[#This Row],[Adjusted 2031]]/$L213,0)</f>
        <v>1</v>
      </c>
      <c r="BI213" s="77">
        <f>ROUNDUP(tbl_Data[[#This Row],[Adjusted 2032]]/$L213,0)</f>
        <v>1</v>
      </c>
      <c r="BJ213" s="77">
        <f>ROUNDUP(tbl_Data[[#This Row],[Adjusted 2033]]/$L213,0)</f>
        <v>1</v>
      </c>
      <c r="BK213" s="77">
        <f>ROUNDUP(tbl_Data[[#This Row],[Adjusted 2034]]/$L213,0)</f>
        <v>1</v>
      </c>
      <c r="BL213" s="80">
        <f t="shared" si="100"/>
        <v>0</v>
      </c>
      <c r="BM213" s="80">
        <f t="shared" si="101"/>
        <v>0</v>
      </c>
      <c r="BN213" s="80">
        <f t="shared" si="102"/>
        <v>0</v>
      </c>
      <c r="BO213" s="80">
        <f t="shared" si="103"/>
        <v>0</v>
      </c>
      <c r="BP213" s="80">
        <f t="shared" si="104"/>
        <v>0</v>
      </c>
      <c r="BQ213" s="80">
        <f t="shared" si="105"/>
        <v>0</v>
      </c>
      <c r="BR213" s="80">
        <f t="shared" si="106"/>
        <v>0</v>
      </c>
      <c r="BS213" s="80">
        <f t="shared" si="107"/>
        <v>0</v>
      </c>
      <c r="BT213" s="80">
        <f t="shared" si="108"/>
        <v>0</v>
      </c>
      <c r="BU213" s="80">
        <f t="shared" si="109"/>
        <v>0</v>
      </c>
      <c r="BV213" s="80" t="str">
        <f>IFERROR(VLOOKUP($H213,'1. Set Program Names'!$B$2:$D$15,3,0)*V213,"NA")</f>
        <v>NA</v>
      </c>
      <c r="BW213" s="80" t="str">
        <f>IFERROR(VLOOKUP($H213,'1. Set Program Names'!$B$2:$D$15,3,0)*W213,"NA")</f>
        <v>NA</v>
      </c>
      <c r="BX213" s="80" t="str">
        <f>IFERROR(VLOOKUP($H213,'1. Set Program Names'!$B$2:$D$15,3,0)*X213,"NA")</f>
        <v>NA</v>
      </c>
      <c r="BY213" s="80" t="str">
        <f>IFERROR(VLOOKUP($H213,'1. Set Program Names'!$B$2:$D$15,3,0)*Y213,"NA")</f>
        <v>NA</v>
      </c>
      <c r="BZ213" s="80" t="str">
        <f>IFERROR(VLOOKUP($H213,'1. Set Program Names'!$B$2:$D$15,3,0)*Z213,"NA")</f>
        <v>NA</v>
      </c>
      <c r="CA213" s="80" t="str">
        <f>IFERROR(VLOOKUP($H213,'1. Set Program Names'!$B$2:$D$15,3,0)*AA213,"NA")</f>
        <v>NA</v>
      </c>
      <c r="CB213" s="80" t="str">
        <f>IFERROR(VLOOKUP($H213,'1. Set Program Names'!$B$2:$D$15,3,0)*AB213,"NA")</f>
        <v>NA</v>
      </c>
      <c r="CC213" s="80" t="str">
        <f>IFERROR(VLOOKUP($H213,'1. Set Program Names'!$B$2:$D$15,3,0)*AC213,"NA")</f>
        <v>NA</v>
      </c>
      <c r="CD213" s="80" t="str">
        <f>IFERROR(VLOOKUP($H213,'1. Set Program Names'!$B$2:$D$15,3,0)*AD213,"NA")</f>
        <v>NA</v>
      </c>
      <c r="CE213" s="80" t="str">
        <f>IFERROR(VLOOKUP($H213,'1. Set Program Names'!$B$2:$D$15,3,0)*AE213,"NA")</f>
        <v>NA</v>
      </c>
    </row>
    <row r="214" spans="1:83" x14ac:dyDescent="0.25">
      <c r="A214" s="79" t="s">
        <v>87</v>
      </c>
      <c r="B214" s="79" t="s">
        <v>88</v>
      </c>
      <c r="C214" s="79" t="s">
        <v>89</v>
      </c>
      <c r="D214" s="79" t="s">
        <v>90</v>
      </c>
      <c r="E214" s="79" t="s">
        <v>91</v>
      </c>
      <c r="F214" s="79" t="s">
        <v>90</v>
      </c>
      <c r="G214" s="79" t="s">
        <v>92</v>
      </c>
      <c r="H214" s="79" t="s">
        <v>273</v>
      </c>
      <c r="I214" s="79" t="s">
        <v>106</v>
      </c>
      <c r="J214" s="79" t="s">
        <v>97</v>
      </c>
      <c r="K214" s="79" t="s">
        <v>98</v>
      </c>
      <c r="L214" s="79">
        <v>127.25</v>
      </c>
      <c r="M214" s="79">
        <v>7.3045840411791796E-2</v>
      </c>
      <c r="N214" s="79">
        <v>3.5010079032079199E-4</v>
      </c>
      <c r="O214" s="79">
        <v>41.15</v>
      </c>
      <c r="P214" s="79">
        <v>10.3198699999999</v>
      </c>
      <c r="Q214" s="79">
        <v>0.12725</v>
      </c>
      <c r="R214" s="79">
        <v>86.902802703254196</v>
      </c>
      <c r="S214" s="79">
        <v>140.464426641062</v>
      </c>
      <c r="T214" s="79">
        <v>12</v>
      </c>
      <c r="U214" s="79">
        <v>1</v>
      </c>
      <c r="V214" s="79">
        <f>tbl_Data_old[[#This Row],[2025 ]]*IFERROR(AVERAGEIFS('Participation Adjustment'!$C:$C,'Participation Adjustment'!$A:$A,$H214,'Participation Adjustment'!$B:$B,$I214),1)</f>
        <v>14801.411723232401</v>
      </c>
      <c r="W214" s="79">
        <f>tbl_Data_old[[#This Row],[2026 ]]*IFERROR(AVERAGEIFS('Participation Adjustment'!$C:$C,'Participation Adjustment'!$A:$A,$H214,'Participation Adjustment'!$B:$B,$I214),1)</f>
        <v>15680.494028376699</v>
      </c>
      <c r="X214" s="79">
        <f>tbl_Data_old[[#This Row],[2027 ]]*IFERROR(AVERAGEIFS('Participation Adjustment'!$C:$C,'Participation Adjustment'!$A:$A,$H214,'Participation Adjustment'!$B:$B,$I214),1)</f>
        <v>16280.601575319801</v>
      </c>
      <c r="Y214" s="79">
        <f>tbl_Data_old[[#This Row],[2028 ]]*IFERROR(AVERAGEIFS('Participation Adjustment'!$C:$C,'Participation Adjustment'!$A:$A,$H214,'Participation Adjustment'!$B:$B,$I214),1)</f>
        <v>16754.1113691625</v>
      </c>
      <c r="Z214" s="79">
        <f>tbl_Data_old[[#This Row],[2029 ]]*IFERROR(AVERAGEIFS('Participation Adjustment'!$C:$C,'Participation Adjustment'!$A:$A,$H214,'Participation Adjustment'!$B:$B,$I214),1)</f>
        <v>17175.598001268299</v>
      </c>
      <c r="AA214" s="79">
        <f>tbl_Data_old[[#This Row],[2030 ]]*IFERROR(AVERAGEIFS('Participation Adjustment'!$C:$C,'Participation Adjustment'!$A:$A,$H214,'Participation Adjustment'!$B:$B,$I214),1)</f>
        <v>17508.203704103002</v>
      </c>
      <c r="AB214" s="79">
        <f>tbl_Data_old[[#This Row],[2031 ]]*IFERROR(AVERAGEIFS('Participation Adjustment'!$C:$C,'Participation Adjustment'!$A:$A,$H214,'Participation Adjustment'!$B:$B,$I214),1)</f>
        <v>17905.2826547847</v>
      </c>
      <c r="AC214" s="79">
        <f>tbl_Data_old[[#This Row],[2032 ]]*IFERROR(AVERAGEIFS('Participation Adjustment'!$C:$C,'Participation Adjustment'!$A:$A,$H214,'Participation Adjustment'!$B:$B,$I214),1)</f>
        <v>18383.979856088699</v>
      </c>
      <c r="AD214" s="79">
        <f>tbl_Data_old[[#This Row],[2033 ]]*IFERROR(AVERAGEIFS('Participation Adjustment'!$C:$C,'Participation Adjustment'!$A:$A,$H214,'Participation Adjustment'!$B:$B,$I214),1)</f>
        <v>18957.093349866602</v>
      </c>
      <c r="AE214" s="79">
        <f>tbl_Data_old[[#This Row],[2034 ]]*IFERROR(AVERAGEIFS('Participation Adjustment'!$C:$C,'Participation Adjustment'!$A:$A,$H214,'Participation Adjustment'!$B:$B,$I214),1)</f>
        <v>19621.242251226398</v>
      </c>
      <c r="AF214" s="77" t="str">
        <f t="shared" si="99"/>
        <v>Residential</v>
      </c>
      <c r="AG214" s="77" t="str">
        <f>tbl_Data[[#This Row],[All_Meas_Name_Append]]</f>
        <v>Energy Star Room AC Residential</v>
      </c>
      <c r="AH214" s="77">
        <f>AVERAGEIFS('3. Incentive Adjustment'!G:G,'3. Incentive Adjustment'!A:A,tbl_Data[[#This Row],[Trimmed Sector]],'3. Incentive Adjustment'!B:B,tbl_Data[[#This Row],[Trimmed Measure Name]])</f>
        <v>0.8073629241290271</v>
      </c>
      <c r="AI214" s="77">
        <f>$AH214*tbl_Data[[#This Row],[2025 ]]</f>
        <v>11950.111050106572</v>
      </c>
      <c r="AJ214" s="77">
        <f>$AH214*tbl_Data[[#This Row],[2026 ]]</f>
        <v>12659.849510537959</v>
      </c>
      <c r="AK214" s="77">
        <f>$AH214*tbl_Data[[#This Row],[2027 ]]</f>
        <v>13144.35409442984</v>
      </c>
      <c r="AL214" s="77">
        <f>$AH214*tbl_Data[[#This Row],[2028 ]]</f>
        <v>13526.648346190414</v>
      </c>
      <c r="AM214" s="77">
        <f>$AH214*tbl_Data[[#This Row],[2029 ]]</f>
        <v>13866.941025968648</v>
      </c>
      <c r="AN214" s="77">
        <f>$AH214*tbl_Data[[#This Row],[2030 ]]</f>
        <v>14135.474538791263</v>
      </c>
      <c r="AO214" s="77">
        <f>$AH214*tbl_Data[[#This Row],[2031 ]]</f>
        <v>14456.061361523725</v>
      </c>
      <c r="AP214" s="77">
        <f>$AH214*tbl_Data[[#This Row],[2032 ]]</f>
        <v>14842.543733740904</v>
      </c>
      <c r="AQ214" s="77">
        <f>$AH214*tbl_Data[[#This Row],[2033 ]]</f>
        <v>15305.254319935233</v>
      </c>
      <c r="AR214" s="77">
        <f>$AH214*tbl_Data[[#This Row],[2034 ]]</f>
        <v>15841.46351899416</v>
      </c>
      <c r="AS214" s="77">
        <f>SUM(tbl_Data[[#This Row],[Adjusted 2025]:[Adjusted 2034]])</f>
        <v>139728.70150021871</v>
      </c>
      <c r="AT214" s="80">
        <f>AVERAGEIFS('3. Incentive Adjustment'!F:F,'3. Incentive Adjustment'!A:A,tbl_Data[[#This Row],[Trimmed Sector]],'3. Incentive Adjustment'!B:B,tbl_Data[[#This Row],[Trimmed Measure Name]])</f>
        <v>0</v>
      </c>
      <c r="AU214" s="80">
        <f>IFERROR(VLOOKUP(tbl_Data[[#This Row],[All_Meas_Name_Append]],'IRA Tax Credits'!$A$3:$D$46,4,0),0)</f>
        <v>0</v>
      </c>
      <c r="AV214" s="81">
        <f>tbl_Data[[#This Row],[Adj. per unit Incentive ($)]]/tbl_Data[[#This Row],[kWh Savings]]*tbl_Data[[#This Row],[Sum of Annuals]]</f>
        <v>0</v>
      </c>
      <c r="AW214" s="81" t="str">
        <f>IFERROR(VLOOKUP(tbl_Data[[#This Row],[Column1]],'1. Set Program Names'!$B$2:$D$15,3,0)*tbl_Data[[#This Row],[Sum of Annuals]],"")</f>
        <v/>
      </c>
      <c r="AX214" s="81">
        <f>tbl_Data[[#This Row],[per unit IRA tax ($)]]/tbl_Data[[#This Row],[kWh Savings]]*tbl_Data[[#This Row],[Sum of Annuals]]</f>
        <v>0</v>
      </c>
      <c r="AY214" s="81">
        <f>tbl_Data[[#This Row],[Avoided Costs ($/unit)]]/tbl_Data[[#This Row],[kWh Savings]]*tbl_Data[[#This Row],[Sum of Annuals]]</f>
        <v>95424.878416152496</v>
      </c>
      <c r="AZ214" s="81">
        <f>tbl_Data[[#This Row],[Lost Revenue ($/unit)]]/tbl_Data[[#This Row],[kWh Savings]]*tbl_Data[[#This Row],[Sum of Annuals]]</f>
        <v>154238.993646588</v>
      </c>
      <c r="BA214" s="81">
        <f>tbl_Data[[#This Row],[Incremental Cost ($/unit)]]/tbl_Data[[#This Row],[kWh Savings]]*tbl_Data[[#This Row],[Sum of Annuals]]</f>
        <v>45185.352194373285</v>
      </c>
      <c r="BB214" s="77">
        <f>ROUNDUP(tbl_Data[[#This Row],[Adjusted 2025]]/$L214,0)</f>
        <v>94</v>
      </c>
      <c r="BC214" s="77">
        <f>ROUNDUP(tbl_Data[[#This Row],[Adjusted 2026]]/$L214,0)</f>
        <v>100</v>
      </c>
      <c r="BD214" s="77">
        <f>ROUNDUP(tbl_Data[[#This Row],[Adjusted 2027]]/$L214,0)</f>
        <v>104</v>
      </c>
      <c r="BE214" s="77">
        <f>ROUNDUP(tbl_Data[[#This Row],[Adjusted 2028]]/$L214,0)</f>
        <v>107</v>
      </c>
      <c r="BF214" s="77">
        <f>ROUNDUP(tbl_Data[[#This Row],[Adjusted 2029]]/$L214,0)</f>
        <v>109</v>
      </c>
      <c r="BG214" s="77">
        <f>ROUNDUP(tbl_Data[[#This Row],[Adjusted 2030]]/$L214,0)</f>
        <v>112</v>
      </c>
      <c r="BH214" s="77">
        <f>ROUNDUP(tbl_Data[[#This Row],[Adjusted 2031]]/$L214,0)</f>
        <v>114</v>
      </c>
      <c r="BI214" s="77">
        <f>ROUNDUP(tbl_Data[[#This Row],[Adjusted 2032]]/$L214,0)</f>
        <v>117</v>
      </c>
      <c r="BJ214" s="77">
        <f>ROUNDUP(tbl_Data[[#This Row],[Adjusted 2033]]/$L214,0)</f>
        <v>121</v>
      </c>
      <c r="BK214" s="77">
        <f>ROUNDUP(tbl_Data[[#This Row],[Adjusted 2034]]/$L214,0)</f>
        <v>125</v>
      </c>
      <c r="BL214" s="80">
        <f t="shared" si="100"/>
        <v>0</v>
      </c>
      <c r="BM214" s="80">
        <f t="shared" si="101"/>
        <v>0</v>
      </c>
      <c r="BN214" s="80">
        <f t="shared" si="102"/>
        <v>0</v>
      </c>
      <c r="BO214" s="80">
        <f t="shared" si="103"/>
        <v>0</v>
      </c>
      <c r="BP214" s="80">
        <f t="shared" si="104"/>
        <v>0</v>
      </c>
      <c r="BQ214" s="80">
        <f t="shared" si="105"/>
        <v>0</v>
      </c>
      <c r="BR214" s="80">
        <f t="shared" si="106"/>
        <v>0</v>
      </c>
      <c r="BS214" s="80">
        <f t="shared" si="107"/>
        <v>0</v>
      </c>
      <c r="BT214" s="80">
        <f t="shared" si="108"/>
        <v>0</v>
      </c>
      <c r="BU214" s="80">
        <f t="shared" si="109"/>
        <v>0</v>
      </c>
      <c r="BV214" s="80" t="str">
        <f>IFERROR(VLOOKUP($H214,'1. Set Program Names'!$B$2:$D$15,3,0)*V214,"NA")</f>
        <v>NA</v>
      </c>
      <c r="BW214" s="80" t="str">
        <f>IFERROR(VLOOKUP($H214,'1. Set Program Names'!$B$2:$D$15,3,0)*W214,"NA")</f>
        <v>NA</v>
      </c>
      <c r="BX214" s="80" t="str">
        <f>IFERROR(VLOOKUP($H214,'1. Set Program Names'!$B$2:$D$15,3,0)*X214,"NA")</f>
        <v>NA</v>
      </c>
      <c r="BY214" s="80" t="str">
        <f>IFERROR(VLOOKUP($H214,'1. Set Program Names'!$B$2:$D$15,3,0)*Y214,"NA")</f>
        <v>NA</v>
      </c>
      <c r="BZ214" s="80" t="str">
        <f>IFERROR(VLOOKUP($H214,'1. Set Program Names'!$B$2:$D$15,3,0)*Z214,"NA")</f>
        <v>NA</v>
      </c>
      <c r="CA214" s="80" t="str">
        <f>IFERROR(VLOOKUP($H214,'1. Set Program Names'!$B$2:$D$15,3,0)*AA214,"NA")</f>
        <v>NA</v>
      </c>
      <c r="CB214" s="80" t="str">
        <f>IFERROR(VLOOKUP($H214,'1. Set Program Names'!$B$2:$D$15,3,0)*AB214,"NA")</f>
        <v>NA</v>
      </c>
      <c r="CC214" s="80" t="str">
        <f>IFERROR(VLOOKUP($H214,'1. Set Program Names'!$B$2:$D$15,3,0)*AC214,"NA")</f>
        <v>NA</v>
      </c>
      <c r="CD214" s="80" t="str">
        <f>IFERROR(VLOOKUP($H214,'1. Set Program Names'!$B$2:$D$15,3,0)*AD214,"NA")</f>
        <v>NA</v>
      </c>
      <c r="CE214" s="80" t="str">
        <f>IFERROR(VLOOKUP($H214,'1. Set Program Names'!$B$2:$D$15,3,0)*AE214,"NA")</f>
        <v>NA</v>
      </c>
    </row>
    <row r="215" spans="1:83" x14ac:dyDescent="0.25">
      <c r="A215" s="79" t="s">
        <v>87</v>
      </c>
      <c r="B215" s="79" t="s">
        <v>88</v>
      </c>
      <c r="C215" s="79" t="s">
        <v>89</v>
      </c>
      <c r="D215" s="79" t="s">
        <v>90</v>
      </c>
      <c r="E215" s="79" t="s">
        <v>91</v>
      </c>
      <c r="F215" s="79" t="s">
        <v>90</v>
      </c>
      <c r="G215" s="79" t="s">
        <v>92</v>
      </c>
      <c r="H215" s="79" t="s">
        <v>273</v>
      </c>
      <c r="I215" s="79" t="s">
        <v>111</v>
      </c>
      <c r="J215" s="79" t="s">
        <v>97</v>
      </c>
      <c r="K215" s="79" t="s">
        <v>102</v>
      </c>
      <c r="L215" s="79">
        <v>586.59333333333302</v>
      </c>
      <c r="M215" s="79">
        <v>0.33672458163683799</v>
      </c>
      <c r="N215" s="79">
        <v>1.6138843976181299E-3</v>
      </c>
      <c r="O215" s="79">
        <v>250</v>
      </c>
      <c r="P215" s="79">
        <v>142.46266525790699</v>
      </c>
      <c r="Q215" s="79">
        <v>0.58659333333333297</v>
      </c>
      <c r="R215" s="79">
        <v>435.979615776</v>
      </c>
      <c r="S215" s="79">
        <v>718.05871460051901</v>
      </c>
      <c r="T215" s="79">
        <v>14</v>
      </c>
      <c r="U215" s="79">
        <v>1</v>
      </c>
      <c r="V215" s="79">
        <f>tbl_Data_old[[#This Row],[2025 ]]*IFERROR(AVERAGEIFS('Participation Adjustment'!$C:$C,'Participation Adjustment'!$A:$A,$H215,'Participation Adjustment'!$B:$B,$I215),1)</f>
        <v>85788.859882834004</v>
      </c>
      <c r="W215" s="79">
        <f>tbl_Data_old[[#This Row],[2026 ]]*IFERROR(AVERAGEIFS('Participation Adjustment'!$C:$C,'Participation Adjustment'!$A:$A,$H215,'Participation Adjustment'!$B:$B,$I215),1)</f>
        <v>116564.384145616</v>
      </c>
      <c r="X215" s="79">
        <f>tbl_Data_old[[#This Row],[2027 ]]*IFERROR(AVERAGEIFS('Participation Adjustment'!$C:$C,'Participation Adjustment'!$A:$A,$H215,'Participation Adjustment'!$B:$B,$I215),1)</f>
        <v>150643.02622488901</v>
      </c>
      <c r="Y215" s="79">
        <f>tbl_Data_old[[#This Row],[2028 ]]*IFERROR(AVERAGEIFS('Participation Adjustment'!$C:$C,'Participation Adjustment'!$A:$A,$H215,'Participation Adjustment'!$B:$B,$I215),1)</f>
        <v>186920.87743645601</v>
      </c>
      <c r="Z215" s="79">
        <f>tbl_Data_old[[#This Row],[2029 ]]*IFERROR(AVERAGEIFS('Participation Adjustment'!$C:$C,'Participation Adjustment'!$A:$A,$H215,'Participation Adjustment'!$B:$B,$I215),1)</f>
        <v>223437.395214549</v>
      </c>
      <c r="AA215" s="79">
        <f>tbl_Data_old[[#This Row],[2030 ]]*IFERROR(AVERAGEIFS('Participation Adjustment'!$C:$C,'Participation Adjustment'!$A:$A,$H215,'Participation Adjustment'!$B:$B,$I215),1)</f>
        <v>256777.014042981</v>
      </c>
      <c r="AB215" s="79">
        <f>tbl_Data_old[[#This Row],[2031 ]]*IFERROR(AVERAGEIFS('Participation Adjustment'!$C:$C,'Participation Adjustment'!$A:$A,$H215,'Participation Adjustment'!$B:$B,$I215),1)</f>
        <v>287023.43130165501</v>
      </c>
      <c r="AC215" s="79">
        <f>tbl_Data_old[[#This Row],[2032 ]]*IFERROR(AVERAGEIFS('Participation Adjustment'!$C:$C,'Participation Adjustment'!$A:$A,$H215,'Participation Adjustment'!$B:$B,$I215),1)</f>
        <v>313784.85522544198</v>
      </c>
      <c r="AD215" s="79">
        <f>tbl_Data_old[[#This Row],[2033 ]]*IFERROR(AVERAGEIFS('Participation Adjustment'!$C:$C,'Participation Adjustment'!$A:$A,$H215,'Participation Adjustment'!$B:$B,$I215),1)</f>
        <v>337720.86648013903</v>
      </c>
      <c r="AE215" s="79">
        <f>tbl_Data_old[[#This Row],[2034 ]]*IFERROR(AVERAGEIFS('Participation Adjustment'!$C:$C,'Participation Adjustment'!$A:$A,$H215,'Participation Adjustment'!$B:$B,$I215),1)</f>
        <v>359754.928678467</v>
      </c>
      <c r="AF215" s="77" t="str">
        <f t="shared" si="99"/>
        <v>Residential</v>
      </c>
      <c r="AG215" s="77" t="str">
        <f>tbl_Data[[#This Row],[All_Meas_Name_Append]]</f>
        <v>Properly Sized CAC</v>
      </c>
      <c r="AH215" s="77">
        <f>AVERAGEIFS('3. Incentive Adjustment'!G:G,'3. Incentive Adjustment'!A:A,tbl_Data[[#This Row],[Trimmed Sector]],'3. Incentive Adjustment'!B:B,tbl_Data[[#This Row],[Trimmed Measure Name]])</f>
        <v>0.52686902587198514</v>
      </c>
      <c r="AI215" s="77">
        <f>$AH215*tbl_Data[[#This Row],[2025 ]]</f>
        <v>45199.493037136977</v>
      </c>
      <c r="AJ215" s="77">
        <f>$AH215*tbl_Data[[#This Row],[2026 ]]</f>
        <v>61414.163526168573</v>
      </c>
      <c r="AK215" s="77">
        <f>$AH215*tbl_Data[[#This Row],[2027 ]]</f>
        <v>79369.144481515177</v>
      </c>
      <c r="AL215" s="77">
        <f>$AH215*tbl_Data[[#This Row],[2028 ]]</f>
        <v>98482.820610082301</v>
      </c>
      <c r="AM215" s="77">
        <f>$AH215*tbl_Data[[#This Row],[2029 ]]</f>
        <v>117722.24276006319</v>
      </c>
      <c r="AN215" s="77">
        <f>$AH215*tbl_Data[[#This Row],[2030 ]]</f>
        <v>135287.85525514244</v>
      </c>
      <c r="AO215" s="77">
        <f>$AH215*tbl_Data[[#This Row],[2031 ]]</f>
        <v>151223.75565233763</v>
      </c>
      <c r="AP215" s="77">
        <f>$AH215*tbl_Data[[#This Row],[2032 ]]</f>
        <v>165323.5210060105</v>
      </c>
      <c r="AQ215" s="77">
        <f>$AH215*tbl_Data[[#This Row],[2033 ]]</f>
        <v>177934.66393903361</v>
      </c>
      <c r="AR215" s="77">
        <f>$AH215*tbl_Data[[#This Row],[2034 ]]</f>
        <v>189543.72882546938</v>
      </c>
      <c r="AS215" s="77">
        <f>SUM(tbl_Data[[#This Row],[Adjusted 2025]:[Adjusted 2034]])</f>
        <v>1221501.3890929599</v>
      </c>
      <c r="AT215" s="80">
        <f>AVERAGEIFS('3. Incentive Adjustment'!F:F,'3. Incentive Adjustment'!A:A,tbl_Data[[#This Row],[Trimmed Sector]],'3. Incentive Adjustment'!B:B,tbl_Data[[#This Row],[Trimmed Measure Name]])</f>
        <v>0</v>
      </c>
      <c r="AU215" s="80">
        <f>IFERROR(VLOOKUP(tbl_Data[[#This Row],[All_Meas_Name_Append]],'IRA Tax Credits'!$A$3:$D$46,4,0),0)</f>
        <v>0</v>
      </c>
      <c r="AV215" s="81">
        <f>tbl_Data[[#This Row],[Adj. per unit Incentive ($)]]/tbl_Data[[#This Row],[kWh Savings]]*tbl_Data[[#This Row],[Sum of Annuals]]</f>
        <v>0</v>
      </c>
      <c r="AW215" s="81" t="str">
        <f>IFERROR(VLOOKUP(tbl_Data[[#This Row],[Column1]],'1. Set Program Names'!$B$2:$D$15,3,0)*tbl_Data[[#This Row],[Sum of Annuals]],"")</f>
        <v/>
      </c>
      <c r="AX215" s="81">
        <f>tbl_Data[[#This Row],[per unit IRA tax ($)]]/tbl_Data[[#This Row],[kWh Savings]]*tbl_Data[[#This Row],[Sum of Annuals]]</f>
        <v>0</v>
      </c>
      <c r="AY215" s="81">
        <f>tbl_Data[[#This Row],[Avoided Costs ($/unit)]]/tbl_Data[[#This Row],[kWh Savings]]*tbl_Data[[#This Row],[Sum of Annuals]]</f>
        <v>907868.66475343378</v>
      </c>
      <c r="AZ215" s="81">
        <f>tbl_Data[[#This Row],[Lost Revenue ($/unit)]]/tbl_Data[[#This Row],[kWh Savings]]*tbl_Data[[#This Row],[Sum of Annuals]]</f>
        <v>1495260.289356919</v>
      </c>
      <c r="BA215" s="81">
        <f>tbl_Data[[#This Row],[Incremental Cost ($/unit)]]/tbl_Data[[#This Row],[kWh Savings]]*tbl_Data[[#This Row],[Sum of Annuals]]</f>
        <v>520591.23402909481</v>
      </c>
      <c r="BB215" s="77">
        <f>ROUNDUP(tbl_Data[[#This Row],[Adjusted 2025]]/$L215,0)</f>
        <v>78</v>
      </c>
      <c r="BC215" s="77">
        <f>ROUNDUP(tbl_Data[[#This Row],[Adjusted 2026]]/$L215,0)</f>
        <v>105</v>
      </c>
      <c r="BD215" s="77">
        <f>ROUNDUP(tbl_Data[[#This Row],[Adjusted 2027]]/$L215,0)</f>
        <v>136</v>
      </c>
      <c r="BE215" s="77">
        <f>ROUNDUP(tbl_Data[[#This Row],[Adjusted 2028]]/$L215,0)</f>
        <v>168</v>
      </c>
      <c r="BF215" s="77">
        <f>ROUNDUP(tbl_Data[[#This Row],[Adjusted 2029]]/$L215,0)</f>
        <v>201</v>
      </c>
      <c r="BG215" s="77">
        <f>ROUNDUP(tbl_Data[[#This Row],[Adjusted 2030]]/$L215,0)</f>
        <v>231</v>
      </c>
      <c r="BH215" s="77">
        <f>ROUNDUP(tbl_Data[[#This Row],[Adjusted 2031]]/$L215,0)</f>
        <v>258</v>
      </c>
      <c r="BI215" s="77">
        <f>ROUNDUP(tbl_Data[[#This Row],[Adjusted 2032]]/$L215,0)</f>
        <v>282</v>
      </c>
      <c r="BJ215" s="77">
        <f>ROUNDUP(tbl_Data[[#This Row],[Adjusted 2033]]/$L215,0)</f>
        <v>304</v>
      </c>
      <c r="BK215" s="77">
        <f>ROUNDUP(tbl_Data[[#This Row],[Adjusted 2034]]/$L215,0)</f>
        <v>324</v>
      </c>
      <c r="BL215" s="80">
        <f t="shared" si="100"/>
        <v>0</v>
      </c>
      <c r="BM215" s="80">
        <f t="shared" si="101"/>
        <v>0</v>
      </c>
      <c r="BN215" s="80">
        <f t="shared" si="102"/>
        <v>0</v>
      </c>
      <c r="BO215" s="80">
        <f t="shared" si="103"/>
        <v>0</v>
      </c>
      <c r="BP215" s="80">
        <f t="shared" si="104"/>
        <v>0</v>
      </c>
      <c r="BQ215" s="80">
        <f t="shared" si="105"/>
        <v>0</v>
      </c>
      <c r="BR215" s="80">
        <f t="shared" si="106"/>
        <v>0</v>
      </c>
      <c r="BS215" s="80">
        <f t="shared" si="107"/>
        <v>0</v>
      </c>
      <c r="BT215" s="80">
        <f t="shared" si="108"/>
        <v>0</v>
      </c>
      <c r="BU215" s="80">
        <f t="shared" si="109"/>
        <v>0</v>
      </c>
      <c r="BV215" s="80" t="str">
        <f>IFERROR(VLOOKUP($H215,'1. Set Program Names'!$B$2:$D$15,3,0)*V215,"NA")</f>
        <v>NA</v>
      </c>
      <c r="BW215" s="80" t="str">
        <f>IFERROR(VLOOKUP($H215,'1. Set Program Names'!$B$2:$D$15,3,0)*W215,"NA")</f>
        <v>NA</v>
      </c>
      <c r="BX215" s="80" t="str">
        <f>IFERROR(VLOOKUP($H215,'1. Set Program Names'!$B$2:$D$15,3,0)*X215,"NA")</f>
        <v>NA</v>
      </c>
      <c r="BY215" s="80" t="str">
        <f>IFERROR(VLOOKUP($H215,'1. Set Program Names'!$B$2:$D$15,3,0)*Y215,"NA")</f>
        <v>NA</v>
      </c>
      <c r="BZ215" s="80" t="str">
        <f>IFERROR(VLOOKUP($H215,'1. Set Program Names'!$B$2:$D$15,3,0)*Z215,"NA")</f>
        <v>NA</v>
      </c>
      <c r="CA215" s="80" t="str">
        <f>IFERROR(VLOOKUP($H215,'1. Set Program Names'!$B$2:$D$15,3,0)*AA215,"NA")</f>
        <v>NA</v>
      </c>
      <c r="CB215" s="80" t="str">
        <f>IFERROR(VLOOKUP($H215,'1. Set Program Names'!$B$2:$D$15,3,0)*AB215,"NA")</f>
        <v>NA</v>
      </c>
      <c r="CC215" s="80" t="str">
        <f>IFERROR(VLOOKUP($H215,'1. Set Program Names'!$B$2:$D$15,3,0)*AC215,"NA")</f>
        <v>NA</v>
      </c>
      <c r="CD215" s="80" t="str">
        <f>IFERROR(VLOOKUP($H215,'1. Set Program Names'!$B$2:$D$15,3,0)*AD215,"NA")</f>
        <v>NA</v>
      </c>
      <c r="CE215" s="80" t="str">
        <f>IFERROR(VLOOKUP($H215,'1. Set Program Names'!$B$2:$D$15,3,0)*AE215,"NA")</f>
        <v>NA</v>
      </c>
    </row>
    <row r="216" spans="1:83" x14ac:dyDescent="0.25">
      <c r="A216" s="79" t="s">
        <v>113</v>
      </c>
      <c r="B216" s="79" t="s">
        <v>88</v>
      </c>
      <c r="C216" s="79" t="s">
        <v>89</v>
      </c>
      <c r="D216" s="79" t="s">
        <v>90</v>
      </c>
      <c r="E216" s="79" t="s">
        <v>91</v>
      </c>
      <c r="F216" s="79" t="s">
        <v>90</v>
      </c>
      <c r="G216" s="79" t="s">
        <v>92</v>
      </c>
      <c r="H216" s="79" t="s">
        <v>273</v>
      </c>
      <c r="I216" s="79" t="s">
        <v>301</v>
      </c>
      <c r="J216" s="79" t="s">
        <v>302</v>
      </c>
      <c r="K216" s="79" t="s">
        <v>104</v>
      </c>
      <c r="L216" s="79">
        <v>275.64999999999901</v>
      </c>
      <c r="M216" s="79">
        <v>4.0357303140515798E-2</v>
      </c>
      <c r="N216" s="79">
        <v>4.1157633527981498E-2</v>
      </c>
      <c r="O216" s="79">
        <v>86.42</v>
      </c>
      <c r="P216" s="79">
        <v>19.6355180000002</v>
      </c>
      <c r="Q216" s="79">
        <v>0.27564999999999901</v>
      </c>
      <c r="R216" s="79">
        <v>112.309715968343</v>
      </c>
      <c r="S216" s="79">
        <v>337.427777357906</v>
      </c>
      <c r="T216" s="79">
        <v>14</v>
      </c>
      <c r="U216" s="79">
        <v>1</v>
      </c>
      <c r="V216" s="79">
        <f>tbl_Data_old[[#This Row],[2025 ]]*IFERROR(AVERAGEIFS('Participation Adjustment'!$C:$C,'Participation Adjustment'!$A:$A,$H216,'Participation Adjustment'!$B:$B,$I216),1)</f>
        <v>36409.361887842402</v>
      </c>
      <c r="W216" s="79">
        <f>tbl_Data_old[[#This Row],[2026 ]]*IFERROR(AVERAGEIFS('Participation Adjustment'!$C:$C,'Participation Adjustment'!$A:$A,$H216,'Participation Adjustment'!$B:$B,$I216),1)</f>
        <v>86676.687237167498</v>
      </c>
      <c r="X216" s="79">
        <f>tbl_Data_old[[#This Row],[2027 ]]*IFERROR(AVERAGEIFS('Participation Adjustment'!$C:$C,'Participation Adjustment'!$A:$A,$H216,'Participation Adjustment'!$B:$B,$I216),1)</f>
        <v>152509.03578670399</v>
      </c>
      <c r="Y216" s="79">
        <f>tbl_Data_old[[#This Row],[2028 ]]*IFERROR(AVERAGEIFS('Participation Adjustment'!$C:$C,'Participation Adjustment'!$A:$A,$H216,'Participation Adjustment'!$B:$B,$I216),1)</f>
        <v>235008.29893207501</v>
      </c>
      <c r="Z216" s="79">
        <f>tbl_Data_old[[#This Row],[2029 ]]*IFERROR(AVERAGEIFS('Participation Adjustment'!$C:$C,'Participation Adjustment'!$A:$A,$H216,'Participation Adjustment'!$B:$B,$I216),1)</f>
        <v>334267.67827298498</v>
      </c>
      <c r="AA216" s="79">
        <f>tbl_Data_old[[#This Row],[2030 ]]*IFERROR(AVERAGEIFS('Participation Adjustment'!$C:$C,'Participation Adjustment'!$A:$A,$H216,'Participation Adjustment'!$B:$B,$I216),1)</f>
        <v>448840.200196983</v>
      </c>
      <c r="AB216" s="79">
        <f>tbl_Data_old[[#This Row],[2031 ]]*IFERROR(AVERAGEIFS('Participation Adjustment'!$C:$C,'Participation Adjustment'!$A:$A,$H216,'Participation Adjustment'!$B:$B,$I216),1)</f>
        <v>577299.92978201201</v>
      </c>
      <c r="AC216" s="79">
        <f>tbl_Data_old[[#This Row],[2032 ]]*IFERROR(AVERAGEIFS('Participation Adjustment'!$C:$C,'Participation Adjustment'!$A:$A,$H216,'Participation Adjustment'!$B:$B,$I216),1)</f>
        <v>718164.59853210603</v>
      </c>
      <c r="AD216" s="79">
        <f>tbl_Data_old[[#This Row],[2033 ]]*IFERROR(AVERAGEIFS('Participation Adjustment'!$C:$C,'Participation Adjustment'!$A:$A,$H216,'Participation Adjustment'!$B:$B,$I216),1)</f>
        <v>870285.69429131004</v>
      </c>
      <c r="AE216" s="79">
        <f>tbl_Data_old[[#This Row],[2034 ]]*IFERROR(AVERAGEIFS('Participation Adjustment'!$C:$C,'Participation Adjustment'!$A:$A,$H216,'Participation Adjustment'!$B:$B,$I216),1)</f>
        <v>1032978.07802032</v>
      </c>
      <c r="AF216" s="77" t="str">
        <f t="shared" si="99"/>
        <v>Residential</v>
      </c>
      <c r="AG216" s="77" t="str">
        <f>tbl_Data[[#This Row],[All_Meas_Name_Append]]</f>
        <v>Energy Star Clothes Washer</v>
      </c>
      <c r="AH216" s="77">
        <f>AVERAGEIFS('3. Incentive Adjustment'!G:G,'3. Incentive Adjustment'!A:A,tbl_Data[[#This Row],[Trimmed Sector]],'3. Incentive Adjustment'!B:B,tbl_Data[[#This Row],[Trimmed Measure Name]])</f>
        <v>0.8286551255656105</v>
      </c>
      <c r="AI216" s="77">
        <f>$AH216*tbl_Data[[#This Row],[2025 ]]</f>
        <v>30170.804346933797</v>
      </c>
      <c r="AJ216" s="77">
        <f>$AH216*tbl_Data[[#This Row],[2026 ]]</f>
        <v>71825.081146126176</v>
      </c>
      <c r="AK216" s="77">
        <f>$AH216*tbl_Data[[#This Row],[2027 ]]</f>
        <v>126377.39419972137</v>
      </c>
      <c r="AL216" s="77">
        <f>$AH216*tbl_Data[[#This Row],[2028 ]]</f>
        <v>194740.83146051914</v>
      </c>
      <c r="AM216" s="77">
        <f>$AH216*tbl_Data[[#This Row],[2029 ]]</f>
        <v>276992.62491182546</v>
      </c>
      <c r="AN216" s="77">
        <f>$AH216*tbl_Data[[#This Row],[2030 ]]</f>
        <v>371933.73245312471</v>
      </c>
      <c r="AO216" s="77">
        <f>$AH216*tbl_Data[[#This Row],[2031 ]]</f>
        <v>478382.5458025313</v>
      </c>
      <c r="AP216" s="77">
        <f>$AH216*tbl_Data[[#This Row],[2032 ]]</f>
        <v>595110.77557339857</v>
      </c>
      <c r="AQ216" s="77">
        <f>$AH216*tbl_Data[[#This Row],[2033 ]]</f>
        <v>721166.70128092007</v>
      </c>
      <c r="AR216" s="77">
        <f>$AH216*tbl_Data[[#This Row],[2034 ]]</f>
        <v>855982.57894845132</v>
      </c>
      <c r="AS216" s="77">
        <f>SUM(tbl_Data[[#This Row],[Adjusted 2025]:[Adjusted 2034]])</f>
        <v>3722683.0701235514</v>
      </c>
      <c r="AT216" s="80">
        <f>AVERAGEIFS('3. Incentive Adjustment'!F:F,'3. Incentive Adjustment'!A:A,tbl_Data[[#This Row],[Trimmed Sector]],'3. Incentive Adjustment'!B:B,tbl_Data[[#This Row],[Trimmed Measure Name]])</f>
        <v>0</v>
      </c>
      <c r="AU216" s="80">
        <f>IFERROR(VLOOKUP(tbl_Data[[#This Row],[All_Meas_Name_Append]],'IRA Tax Credits'!$A$3:$D$46,4,0),0)</f>
        <v>0</v>
      </c>
      <c r="AV216" s="81">
        <f>tbl_Data[[#This Row],[Adj. per unit Incentive ($)]]/tbl_Data[[#This Row],[kWh Savings]]*tbl_Data[[#This Row],[Sum of Annuals]]</f>
        <v>0</v>
      </c>
      <c r="AW216" s="81" t="str">
        <f>IFERROR(VLOOKUP(tbl_Data[[#This Row],[Column1]],'1. Set Program Names'!$B$2:$D$15,3,0)*tbl_Data[[#This Row],[Sum of Annuals]],"")</f>
        <v/>
      </c>
      <c r="AX216" s="81">
        <f>tbl_Data[[#This Row],[per unit IRA tax ($)]]/tbl_Data[[#This Row],[kWh Savings]]*tbl_Data[[#This Row],[Sum of Annuals]]</f>
        <v>0</v>
      </c>
      <c r="AY216" s="81">
        <f>tbl_Data[[#This Row],[Avoided Costs ($/unit)]]/tbl_Data[[#This Row],[kWh Savings]]*tbl_Data[[#This Row],[Sum of Annuals]]</f>
        <v>1516754.8639424511</v>
      </c>
      <c r="AZ216" s="81">
        <f>tbl_Data[[#This Row],[Lost Revenue ($/unit)]]/tbl_Data[[#This Row],[kWh Savings]]*tbl_Data[[#This Row],[Sum of Annuals]]</f>
        <v>4556998.6365307467</v>
      </c>
      <c r="BA216" s="81">
        <f>tbl_Data[[#This Row],[Incremental Cost ($/unit)]]/tbl_Data[[#This Row],[kWh Savings]]*tbl_Data[[#This Row],[Sum of Annuals]]</f>
        <v>1167111.4490117121</v>
      </c>
      <c r="BB216" s="77">
        <f>ROUNDUP(tbl_Data[[#This Row],[Adjusted 2025]]/$L216,0)</f>
        <v>110</v>
      </c>
      <c r="BC216" s="77">
        <f>ROUNDUP(tbl_Data[[#This Row],[Adjusted 2026]]/$L216,0)</f>
        <v>261</v>
      </c>
      <c r="BD216" s="77">
        <f>ROUNDUP(tbl_Data[[#This Row],[Adjusted 2027]]/$L216,0)</f>
        <v>459</v>
      </c>
      <c r="BE216" s="77">
        <f>ROUNDUP(tbl_Data[[#This Row],[Adjusted 2028]]/$L216,0)</f>
        <v>707</v>
      </c>
      <c r="BF216" s="77">
        <f>ROUNDUP(tbl_Data[[#This Row],[Adjusted 2029]]/$L216,0)</f>
        <v>1005</v>
      </c>
      <c r="BG216" s="77">
        <f>ROUNDUP(tbl_Data[[#This Row],[Adjusted 2030]]/$L216,0)</f>
        <v>1350</v>
      </c>
      <c r="BH216" s="77">
        <f>ROUNDUP(tbl_Data[[#This Row],[Adjusted 2031]]/$L216,0)</f>
        <v>1736</v>
      </c>
      <c r="BI216" s="77">
        <f>ROUNDUP(tbl_Data[[#This Row],[Adjusted 2032]]/$L216,0)</f>
        <v>2159</v>
      </c>
      <c r="BJ216" s="77">
        <f>ROUNDUP(tbl_Data[[#This Row],[Adjusted 2033]]/$L216,0)</f>
        <v>2617</v>
      </c>
      <c r="BK216" s="77">
        <f>ROUNDUP(tbl_Data[[#This Row],[Adjusted 2034]]/$L216,0)</f>
        <v>3106</v>
      </c>
      <c r="BL216" s="80">
        <f t="shared" si="100"/>
        <v>0</v>
      </c>
      <c r="BM216" s="80">
        <f t="shared" si="101"/>
        <v>0</v>
      </c>
      <c r="BN216" s="80">
        <f t="shared" si="102"/>
        <v>0</v>
      </c>
      <c r="BO216" s="80">
        <f t="shared" si="103"/>
        <v>0</v>
      </c>
      <c r="BP216" s="80">
        <f t="shared" si="104"/>
        <v>0</v>
      </c>
      <c r="BQ216" s="80">
        <f t="shared" si="105"/>
        <v>0</v>
      </c>
      <c r="BR216" s="80">
        <f t="shared" si="106"/>
        <v>0</v>
      </c>
      <c r="BS216" s="80">
        <f t="shared" si="107"/>
        <v>0</v>
      </c>
      <c r="BT216" s="80">
        <f t="shared" si="108"/>
        <v>0</v>
      </c>
      <c r="BU216" s="80">
        <f t="shared" si="109"/>
        <v>0</v>
      </c>
      <c r="BV216" s="80" t="str">
        <f>IFERROR(VLOOKUP($H216,'1. Set Program Names'!$B$2:$D$15,3,0)*V216,"NA")</f>
        <v>NA</v>
      </c>
      <c r="BW216" s="80" t="str">
        <f>IFERROR(VLOOKUP($H216,'1. Set Program Names'!$B$2:$D$15,3,0)*W216,"NA")</f>
        <v>NA</v>
      </c>
      <c r="BX216" s="80" t="str">
        <f>IFERROR(VLOOKUP($H216,'1. Set Program Names'!$B$2:$D$15,3,0)*X216,"NA")</f>
        <v>NA</v>
      </c>
      <c r="BY216" s="80" t="str">
        <f>IFERROR(VLOOKUP($H216,'1. Set Program Names'!$B$2:$D$15,3,0)*Y216,"NA")</f>
        <v>NA</v>
      </c>
      <c r="BZ216" s="80" t="str">
        <f>IFERROR(VLOOKUP($H216,'1. Set Program Names'!$B$2:$D$15,3,0)*Z216,"NA")</f>
        <v>NA</v>
      </c>
      <c r="CA216" s="80" t="str">
        <f>IFERROR(VLOOKUP($H216,'1. Set Program Names'!$B$2:$D$15,3,0)*AA216,"NA")</f>
        <v>NA</v>
      </c>
      <c r="CB216" s="80" t="str">
        <f>IFERROR(VLOOKUP($H216,'1. Set Program Names'!$B$2:$D$15,3,0)*AB216,"NA")</f>
        <v>NA</v>
      </c>
      <c r="CC216" s="80" t="str">
        <f>IFERROR(VLOOKUP($H216,'1. Set Program Names'!$B$2:$D$15,3,0)*AC216,"NA")</f>
        <v>NA</v>
      </c>
      <c r="CD216" s="80" t="str">
        <f>IFERROR(VLOOKUP($H216,'1. Set Program Names'!$B$2:$D$15,3,0)*AD216,"NA")</f>
        <v>NA</v>
      </c>
      <c r="CE216" s="80" t="str">
        <f>IFERROR(VLOOKUP($H216,'1. Set Program Names'!$B$2:$D$15,3,0)*AE216,"NA")</f>
        <v>NA</v>
      </c>
    </row>
    <row r="217" spans="1:83" x14ac:dyDescent="0.25">
      <c r="A217" s="79" t="s">
        <v>113</v>
      </c>
      <c r="B217" s="79" t="s">
        <v>88</v>
      </c>
      <c r="C217" s="79" t="s">
        <v>89</v>
      </c>
      <c r="D217" s="79" t="s">
        <v>90</v>
      </c>
      <c r="E217" s="79" t="s">
        <v>91</v>
      </c>
      <c r="F217" s="79" t="s">
        <v>90</v>
      </c>
      <c r="G217" s="79" t="s">
        <v>92</v>
      </c>
      <c r="H217" s="79" t="s">
        <v>273</v>
      </c>
      <c r="I217" s="79" t="s">
        <v>105</v>
      </c>
      <c r="J217" s="79" t="s">
        <v>97</v>
      </c>
      <c r="K217" s="79" t="s">
        <v>98</v>
      </c>
      <c r="L217" s="79">
        <v>1409.8599999999899</v>
      </c>
      <c r="M217" s="79">
        <v>0.25259796946801399</v>
      </c>
      <c r="N217" s="79">
        <v>0.18561076930699899</v>
      </c>
      <c r="O217" s="79">
        <v>15905.9999999999</v>
      </c>
      <c r="P217" s="79">
        <v>15564.4191191999</v>
      </c>
      <c r="Q217" s="79">
        <v>1.4098599999999899</v>
      </c>
      <c r="R217" s="79">
        <v>1051.8249065196901</v>
      </c>
      <c r="S217" s="79">
        <v>2376.3089492588301</v>
      </c>
      <c r="T217" s="79">
        <v>25</v>
      </c>
      <c r="U217" s="79">
        <v>1</v>
      </c>
      <c r="V217" s="79">
        <f>tbl_Data_old[[#This Row],[2025 ]]*IFERROR(AVERAGEIFS('Participation Adjustment'!$C:$C,'Participation Adjustment'!$A:$A,$H217,'Participation Adjustment'!$B:$B,$I217),1)</f>
        <v>740.43259059130696</v>
      </c>
      <c r="W217" s="79">
        <f>tbl_Data_old[[#This Row],[2026 ]]*IFERROR(AVERAGEIFS('Participation Adjustment'!$C:$C,'Participation Adjustment'!$A:$A,$H217,'Participation Adjustment'!$B:$B,$I217),1)</f>
        <v>1599.9413228778701</v>
      </c>
      <c r="X217" s="79">
        <f>tbl_Data_old[[#This Row],[2027 ]]*IFERROR(AVERAGEIFS('Participation Adjustment'!$C:$C,'Participation Adjustment'!$A:$A,$H217,'Participation Adjustment'!$B:$B,$I217),1)</f>
        <v>2580.3735557506102</v>
      </c>
      <c r="Y217" s="79">
        <f>tbl_Data_old[[#This Row],[2028 ]]*IFERROR(AVERAGEIFS('Participation Adjustment'!$C:$C,'Participation Adjustment'!$A:$A,$H217,'Participation Adjustment'!$B:$B,$I217),1)</f>
        <v>3685.8524922578999</v>
      </c>
      <c r="Z217" s="79">
        <f>tbl_Data_old[[#This Row],[2029 ]]*IFERROR(AVERAGEIFS('Participation Adjustment'!$C:$C,'Participation Adjustment'!$A:$A,$H217,'Participation Adjustment'!$B:$B,$I217),1)</f>
        <v>4921.2464796181903</v>
      </c>
      <c r="AA217" s="79">
        <f>tbl_Data_old[[#This Row],[2030 ]]*IFERROR(AVERAGEIFS('Participation Adjustment'!$C:$C,'Participation Adjustment'!$A:$A,$H217,'Participation Adjustment'!$B:$B,$I217),1)</f>
        <v>6288.3980429854701</v>
      </c>
      <c r="AB217" s="79">
        <f>tbl_Data_old[[#This Row],[2031 ]]*IFERROR(AVERAGEIFS('Participation Adjustment'!$C:$C,'Participation Adjustment'!$A:$A,$H217,'Participation Adjustment'!$B:$B,$I217),1)</f>
        <v>7799.96937186368</v>
      </c>
      <c r="AC217" s="79">
        <f>tbl_Data_old[[#This Row],[2032 ]]*IFERROR(AVERAGEIFS('Participation Adjustment'!$C:$C,'Participation Adjustment'!$A:$A,$H217,'Participation Adjustment'!$B:$B,$I217),1)</f>
        <v>9473.5146924247802</v>
      </c>
      <c r="AD217" s="79">
        <f>tbl_Data_old[[#This Row],[2033 ]]*IFERROR(AVERAGEIFS('Participation Adjustment'!$C:$C,'Participation Adjustment'!$A:$A,$H217,'Participation Adjustment'!$B:$B,$I217),1)</f>
        <v>11329.4882911565</v>
      </c>
      <c r="AE217" s="79">
        <f>tbl_Data_old[[#This Row],[2034 ]]*IFERROR(AVERAGEIFS('Participation Adjustment'!$C:$C,'Participation Adjustment'!$A:$A,$H217,'Participation Adjustment'!$B:$B,$I217),1)</f>
        <v>13390.983644628301</v>
      </c>
      <c r="AF217" s="77" t="str">
        <f t="shared" si="99"/>
        <v>Residential</v>
      </c>
      <c r="AG217" s="77" t="str">
        <f>tbl_Data[[#This Row],[All_Meas_Name_Append]]</f>
        <v>Energy Star Ground Source Heat Pump</v>
      </c>
      <c r="AH217" s="77">
        <f>AVERAGEIFS('3. Incentive Adjustment'!G:G,'3. Incentive Adjustment'!A:A,tbl_Data[[#This Row],[Trimmed Sector]],'3. Incentive Adjustment'!B:B,tbl_Data[[#This Row],[Trimmed Measure Name]])</f>
        <v>2.2369945105234762E-13</v>
      </c>
      <c r="AI217" s="77">
        <f>$AH217*tbl_Data[[#This Row],[2025 ]]</f>
        <v>1.6563436405654303E-10</v>
      </c>
      <c r="AJ217" s="77">
        <f>$AH217*tbl_Data[[#This Row],[2026 ]]</f>
        <v>3.5790599564374639E-10</v>
      </c>
      <c r="AK217" s="77">
        <f>$AH217*tbl_Data[[#This Row],[2027 ]]</f>
        <v>5.7722814793140586E-10</v>
      </c>
      <c r="AL217" s="77">
        <f>$AH217*tbl_Data[[#This Row],[2028 ]]</f>
        <v>8.2452317917801963E-10</v>
      </c>
      <c r="AM217" s="77">
        <f>$AH217*tbl_Data[[#This Row],[2029 ]]</f>
        <v>1.1008801359838874E-9</v>
      </c>
      <c r="AN217" s="77">
        <f>$AH217*tbl_Data[[#This Row],[2030 ]]</f>
        <v>1.4067111902145067E-9</v>
      </c>
      <c r="AO217" s="77">
        <f>$AH217*tbl_Data[[#This Row],[2031 ]]</f>
        <v>1.74484886671103E-9</v>
      </c>
      <c r="AP217" s="77">
        <f>$AH217*tbl_Data[[#This Row],[2032 ]]</f>
        <v>2.1192200362317732E-9</v>
      </c>
      <c r="AQ217" s="77">
        <f>$AH217*tbl_Data[[#This Row],[2033 ]]</f>
        <v>2.534400311435709E-9</v>
      </c>
      <c r="AR217" s="77">
        <f>$AH217*tbl_Data[[#This Row],[2034 ]]</f>
        <v>2.9955556903543162E-9</v>
      </c>
      <c r="AS217" s="77">
        <f>SUM(tbl_Data[[#This Row],[Adjusted 2025]:[Adjusted 2034]])</f>
        <v>1.3826907917740937E-8</v>
      </c>
      <c r="AT217" s="80">
        <f>AVERAGEIFS('3. Incentive Adjustment'!F:F,'3. Incentive Adjustment'!A:A,tbl_Data[[#This Row],[Trimmed Sector]],'3. Incentive Adjustment'!B:B,tbl_Data[[#This Row],[Trimmed Measure Name]])</f>
        <v>0</v>
      </c>
      <c r="AU217" s="80">
        <f>IFERROR(VLOOKUP(tbl_Data[[#This Row],[All_Meas_Name_Append]],'IRA Tax Credits'!$A$3:$D$46,4,0),0)</f>
        <v>41666.666666666672</v>
      </c>
      <c r="AV217" s="81">
        <f>tbl_Data[[#This Row],[Adj. per unit Incentive ($)]]/tbl_Data[[#This Row],[kWh Savings]]*tbl_Data[[#This Row],[Sum of Annuals]]</f>
        <v>0</v>
      </c>
      <c r="AW217" s="81" t="str">
        <f>IFERROR(VLOOKUP(tbl_Data[[#This Row],[Column1]],'1. Set Program Names'!$B$2:$D$15,3,0)*tbl_Data[[#This Row],[Sum of Annuals]],"")</f>
        <v/>
      </c>
      <c r="AX217" s="81">
        <f>tbl_Data[[#This Row],[per unit IRA tax ($)]]/tbl_Data[[#This Row],[kWh Savings]]*tbl_Data[[#This Row],[Sum of Annuals]]</f>
        <v>4.086371435739789E-7</v>
      </c>
      <c r="AY217" s="81">
        <f>tbl_Data[[#This Row],[Avoided Costs ($/unit)]]/tbl_Data[[#This Row],[kWh Savings]]*tbl_Data[[#This Row],[Sum of Annuals]]</f>
        <v>1.0315553408164163E-8</v>
      </c>
      <c r="AZ217" s="81">
        <f>tbl_Data[[#This Row],[Lost Revenue ($/unit)]]/tbl_Data[[#This Row],[kWh Savings]]*tbl_Data[[#This Row],[Sum of Annuals]]</f>
        <v>2.3305154430585875E-8</v>
      </c>
      <c r="BA217" s="81">
        <f>tbl_Data[[#This Row],[Incremental Cost ($/unit)]]/tbl_Data[[#This Row],[kWh Savings]]*tbl_Data[[#This Row],[Sum of Annuals]]</f>
        <v>1.5599477773650401E-7</v>
      </c>
      <c r="BB217" s="77">
        <f>ROUNDUP(tbl_Data[[#This Row],[Adjusted 2025]]/$L217,0)</f>
        <v>1</v>
      </c>
      <c r="BC217" s="77">
        <f>ROUNDUP(tbl_Data[[#This Row],[Adjusted 2026]]/$L217,0)</f>
        <v>1</v>
      </c>
      <c r="BD217" s="77">
        <f>ROUNDUP(tbl_Data[[#This Row],[Adjusted 2027]]/$L217,0)</f>
        <v>1</v>
      </c>
      <c r="BE217" s="77">
        <f>ROUNDUP(tbl_Data[[#This Row],[Adjusted 2028]]/$L217,0)</f>
        <v>1</v>
      </c>
      <c r="BF217" s="77">
        <f>ROUNDUP(tbl_Data[[#This Row],[Adjusted 2029]]/$L217,0)</f>
        <v>1</v>
      </c>
      <c r="BG217" s="77">
        <f>ROUNDUP(tbl_Data[[#This Row],[Adjusted 2030]]/$L217,0)</f>
        <v>1</v>
      </c>
      <c r="BH217" s="77">
        <f>ROUNDUP(tbl_Data[[#This Row],[Adjusted 2031]]/$L217,0)</f>
        <v>1</v>
      </c>
      <c r="BI217" s="77">
        <f>ROUNDUP(tbl_Data[[#This Row],[Adjusted 2032]]/$L217,0)</f>
        <v>1</v>
      </c>
      <c r="BJ217" s="77">
        <f>ROUNDUP(tbl_Data[[#This Row],[Adjusted 2033]]/$L217,0)</f>
        <v>1</v>
      </c>
      <c r="BK217" s="77">
        <f>ROUNDUP(tbl_Data[[#This Row],[Adjusted 2034]]/$L217,0)</f>
        <v>1</v>
      </c>
      <c r="BL217" s="80">
        <f t="shared" si="100"/>
        <v>0</v>
      </c>
      <c r="BM217" s="80">
        <f t="shared" si="101"/>
        <v>0</v>
      </c>
      <c r="BN217" s="80">
        <f t="shared" si="102"/>
        <v>0</v>
      </c>
      <c r="BO217" s="80">
        <f t="shared" si="103"/>
        <v>0</v>
      </c>
      <c r="BP217" s="80">
        <f t="shared" si="104"/>
        <v>0</v>
      </c>
      <c r="BQ217" s="80">
        <f t="shared" si="105"/>
        <v>0</v>
      </c>
      <c r="BR217" s="80">
        <f t="shared" si="106"/>
        <v>0</v>
      </c>
      <c r="BS217" s="80">
        <f t="shared" si="107"/>
        <v>0</v>
      </c>
      <c r="BT217" s="80">
        <f t="shared" si="108"/>
        <v>0</v>
      </c>
      <c r="BU217" s="80">
        <f t="shared" si="109"/>
        <v>0</v>
      </c>
      <c r="BV217" s="80" t="str">
        <f>IFERROR(VLOOKUP($H217,'1. Set Program Names'!$B$2:$D$15,3,0)*V217,"NA")</f>
        <v>NA</v>
      </c>
      <c r="BW217" s="80" t="str">
        <f>IFERROR(VLOOKUP($H217,'1. Set Program Names'!$B$2:$D$15,3,0)*W217,"NA")</f>
        <v>NA</v>
      </c>
      <c r="BX217" s="80" t="str">
        <f>IFERROR(VLOOKUP($H217,'1. Set Program Names'!$B$2:$D$15,3,0)*X217,"NA")</f>
        <v>NA</v>
      </c>
      <c r="BY217" s="80" t="str">
        <f>IFERROR(VLOOKUP($H217,'1. Set Program Names'!$B$2:$D$15,3,0)*Y217,"NA")</f>
        <v>NA</v>
      </c>
      <c r="BZ217" s="80" t="str">
        <f>IFERROR(VLOOKUP($H217,'1. Set Program Names'!$B$2:$D$15,3,0)*Z217,"NA")</f>
        <v>NA</v>
      </c>
      <c r="CA217" s="80" t="str">
        <f>IFERROR(VLOOKUP($H217,'1. Set Program Names'!$B$2:$D$15,3,0)*AA217,"NA")</f>
        <v>NA</v>
      </c>
      <c r="CB217" s="80" t="str">
        <f>IFERROR(VLOOKUP($H217,'1. Set Program Names'!$B$2:$D$15,3,0)*AB217,"NA")</f>
        <v>NA</v>
      </c>
      <c r="CC217" s="80" t="str">
        <f>IFERROR(VLOOKUP($H217,'1. Set Program Names'!$B$2:$D$15,3,0)*AC217,"NA")</f>
        <v>NA</v>
      </c>
      <c r="CD217" s="80" t="str">
        <f>IFERROR(VLOOKUP($H217,'1. Set Program Names'!$B$2:$D$15,3,0)*AD217,"NA")</f>
        <v>NA</v>
      </c>
      <c r="CE217" s="80" t="str">
        <f>IFERROR(VLOOKUP($H217,'1. Set Program Names'!$B$2:$D$15,3,0)*AE217,"NA")</f>
        <v>NA</v>
      </c>
    </row>
    <row r="218" spans="1:83" x14ac:dyDescent="0.25">
      <c r="A218" s="79" t="s">
        <v>113</v>
      </c>
      <c r="B218" s="79" t="s">
        <v>88</v>
      </c>
      <c r="C218" s="79" t="s">
        <v>89</v>
      </c>
      <c r="D218" s="79" t="s">
        <v>90</v>
      </c>
      <c r="E218" s="79" t="s">
        <v>91</v>
      </c>
      <c r="F218" s="79" t="s">
        <v>90</v>
      </c>
      <c r="G218" s="79" t="s">
        <v>92</v>
      </c>
      <c r="H218" s="79" t="s">
        <v>273</v>
      </c>
      <c r="I218" s="79" t="s">
        <v>106</v>
      </c>
      <c r="J218" s="79" t="s">
        <v>97</v>
      </c>
      <c r="K218" s="79" t="s">
        <v>98</v>
      </c>
      <c r="L218" s="79">
        <v>127.25</v>
      </c>
      <c r="M218" s="79">
        <v>7.3045840411791796E-2</v>
      </c>
      <c r="N218" s="79">
        <v>3.5010079032079199E-4</v>
      </c>
      <c r="O218" s="79">
        <v>41.15</v>
      </c>
      <c r="P218" s="79">
        <v>10.3198699999999</v>
      </c>
      <c r="Q218" s="79">
        <v>0.12725</v>
      </c>
      <c r="R218" s="79">
        <v>86.902802703254196</v>
      </c>
      <c r="S218" s="79">
        <v>140.464426641062</v>
      </c>
      <c r="T218" s="79">
        <v>12</v>
      </c>
      <c r="U218" s="79">
        <v>1</v>
      </c>
      <c r="V218" s="79">
        <f>tbl_Data_old[[#This Row],[2025 ]]*IFERROR(AVERAGEIFS('Participation Adjustment'!$C:$C,'Participation Adjustment'!$A:$A,$H218,'Participation Adjustment'!$B:$B,$I218),1)</f>
        <v>14801.411723232401</v>
      </c>
      <c r="W218" s="79">
        <f>tbl_Data_old[[#This Row],[2026 ]]*IFERROR(AVERAGEIFS('Participation Adjustment'!$C:$C,'Participation Adjustment'!$A:$A,$H218,'Participation Adjustment'!$B:$B,$I218),1)</f>
        <v>30481.905751609102</v>
      </c>
      <c r="X218" s="79">
        <f>tbl_Data_old[[#This Row],[2027 ]]*IFERROR(AVERAGEIFS('Participation Adjustment'!$C:$C,'Participation Adjustment'!$A:$A,$H218,'Participation Adjustment'!$B:$B,$I218),1)</f>
        <v>46762.507326929001</v>
      </c>
      <c r="Y218" s="79">
        <f>tbl_Data_old[[#This Row],[2028 ]]*IFERROR(AVERAGEIFS('Participation Adjustment'!$C:$C,'Participation Adjustment'!$A:$A,$H218,'Participation Adjustment'!$B:$B,$I218),1)</f>
        <v>63516.6186960915</v>
      </c>
      <c r="Z218" s="79">
        <f>tbl_Data_old[[#This Row],[2029 ]]*IFERROR(AVERAGEIFS('Participation Adjustment'!$C:$C,'Participation Adjustment'!$A:$A,$H218,'Participation Adjustment'!$B:$B,$I218),1)</f>
        <v>80692.216697359807</v>
      </c>
      <c r="AA218" s="79">
        <f>tbl_Data_old[[#This Row],[2030 ]]*IFERROR(AVERAGEIFS('Participation Adjustment'!$C:$C,'Participation Adjustment'!$A:$A,$H218,'Participation Adjustment'!$B:$B,$I218),1)</f>
        <v>98200.420401462907</v>
      </c>
      <c r="AB218" s="79">
        <f>tbl_Data_old[[#This Row],[2031 ]]*IFERROR(AVERAGEIFS('Participation Adjustment'!$C:$C,'Participation Adjustment'!$A:$A,$H218,'Participation Adjustment'!$B:$B,$I218),1)</f>
        <v>116105.703056247</v>
      </c>
      <c r="AC218" s="79">
        <f>tbl_Data_old[[#This Row],[2032 ]]*IFERROR(AVERAGEIFS('Participation Adjustment'!$C:$C,'Participation Adjustment'!$A:$A,$H218,'Participation Adjustment'!$B:$B,$I218),1)</f>
        <v>134489.68291233599</v>
      </c>
      <c r="AD218" s="79">
        <f>tbl_Data_old[[#This Row],[2033 ]]*IFERROR(AVERAGEIFS('Participation Adjustment'!$C:$C,'Participation Adjustment'!$A:$A,$H218,'Participation Adjustment'!$B:$B,$I218),1)</f>
        <v>153446.776262203</v>
      </c>
      <c r="AE218" s="79">
        <f>tbl_Data_old[[#This Row],[2034 ]]*IFERROR(AVERAGEIFS('Participation Adjustment'!$C:$C,'Participation Adjustment'!$A:$A,$H218,'Participation Adjustment'!$B:$B,$I218),1)</f>
        <v>173068.01851342901</v>
      </c>
      <c r="AF218" s="77" t="str">
        <f t="shared" si="99"/>
        <v>Residential</v>
      </c>
      <c r="AG218" s="77" t="str">
        <f>tbl_Data[[#This Row],[All_Meas_Name_Append]]</f>
        <v>Energy Star Room AC Residential</v>
      </c>
      <c r="AH218" s="77">
        <f>AVERAGEIFS('3. Incentive Adjustment'!G:G,'3. Incentive Adjustment'!A:A,tbl_Data[[#This Row],[Trimmed Sector]],'3. Incentive Adjustment'!B:B,tbl_Data[[#This Row],[Trimmed Measure Name]])</f>
        <v>0.8073629241290271</v>
      </c>
      <c r="AI218" s="77">
        <f>$AH218*tbl_Data[[#This Row],[2025 ]]</f>
        <v>11950.111050106572</v>
      </c>
      <c r="AJ218" s="77">
        <f>$AH218*tbl_Data[[#This Row],[2026 ]]</f>
        <v>24609.960560644533</v>
      </c>
      <c r="AK218" s="77">
        <f>$AH218*tbl_Data[[#This Row],[2027 ]]</f>
        <v>37754.31465507445</v>
      </c>
      <c r="AL218" s="77">
        <f>$AH218*tbl_Data[[#This Row],[2028 ]]</f>
        <v>51280.963001264863</v>
      </c>
      <c r="AM218" s="77">
        <f>$AH218*tbl_Data[[#This Row],[2029 ]]</f>
        <v>65147.904027233519</v>
      </c>
      <c r="AN218" s="77">
        <f>$AH218*tbl_Data[[#This Row],[2030 ]]</f>
        <v>79283.378566024869</v>
      </c>
      <c r="AO218" s="77">
        <f>$AH218*tbl_Data[[#This Row],[2031 ]]</f>
        <v>93739.439927548097</v>
      </c>
      <c r="AP218" s="77">
        <f>$AH218*tbl_Data[[#This Row],[2032 ]]</f>
        <v>108581.98366128924</v>
      </c>
      <c r="AQ218" s="77">
        <f>$AH218*tbl_Data[[#This Row],[2033 ]]</f>
        <v>123887.2379812248</v>
      </c>
      <c r="AR218" s="77">
        <f>$AH218*tbl_Data[[#This Row],[2034 ]]</f>
        <v>139728.70150021865</v>
      </c>
      <c r="AS218" s="77">
        <f>SUM(tbl_Data[[#This Row],[Adjusted 2025]:[Adjusted 2034]])</f>
        <v>735963.99493062962</v>
      </c>
      <c r="AT218" s="80">
        <f>AVERAGEIFS('3. Incentive Adjustment'!F:F,'3. Incentive Adjustment'!A:A,tbl_Data[[#This Row],[Trimmed Sector]],'3. Incentive Adjustment'!B:B,tbl_Data[[#This Row],[Trimmed Measure Name]])</f>
        <v>0</v>
      </c>
      <c r="AU218" s="80">
        <f>IFERROR(VLOOKUP(tbl_Data[[#This Row],[All_Meas_Name_Append]],'IRA Tax Credits'!$A$3:$D$46,4,0),0)</f>
        <v>0</v>
      </c>
      <c r="AV218" s="81">
        <f>tbl_Data[[#This Row],[Adj. per unit Incentive ($)]]/tbl_Data[[#This Row],[kWh Savings]]*tbl_Data[[#This Row],[Sum of Annuals]]</f>
        <v>0</v>
      </c>
      <c r="AW218" s="81" t="str">
        <f>IFERROR(VLOOKUP(tbl_Data[[#This Row],[Column1]],'1. Set Program Names'!$B$2:$D$15,3,0)*tbl_Data[[#This Row],[Sum of Annuals]],"")</f>
        <v/>
      </c>
      <c r="AX218" s="81">
        <f>tbl_Data[[#This Row],[per unit IRA tax ($)]]/tbl_Data[[#This Row],[kWh Savings]]*tbl_Data[[#This Row],[Sum of Annuals]]</f>
        <v>0</v>
      </c>
      <c r="AY218" s="81">
        <f>tbl_Data[[#This Row],[Avoided Costs ($/unit)]]/tbl_Data[[#This Row],[kWh Savings]]*tbl_Data[[#This Row],[Sum of Annuals]]</f>
        <v>502611.66088923591</v>
      </c>
      <c r="AZ218" s="81">
        <f>tbl_Data[[#This Row],[Lost Revenue ($/unit)]]/tbl_Data[[#This Row],[kWh Savings]]*tbl_Data[[#This Row],[Sum of Annuals]]</f>
        <v>812391.04578700475</v>
      </c>
      <c r="BA218" s="81">
        <f>tbl_Data[[#This Row],[Incremental Cost ($/unit)]]/tbl_Data[[#This Row],[kWh Savings]]*tbl_Data[[#This Row],[Sum of Annuals]]</f>
        <v>237995.42940192856</v>
      </c>
      <c r="BB218" s="77">
        <f>ROUNDUP(tbl_Data[[#This Row],[Adjusted 2025]]/$L218,0)</f>
        <v>94</v>
      </c>
      <c r="BC218" s="77">
        <f>ROUNDUP(tbl_Data[[#This Row],[Adjusted 2026]]/$L218,0)</f>
        <v>194</v>
      </c>
      <c r="BD218" s="77">
        <f>ROUNDUP(tbl_Data[[#This Row],[Adjusted 2027]]/$L218,0)</f>
        <v>297</v>
      </c>
      <c r="BE218" s="77">
        <f>ROUNDUP(tbl_Data[[#This Row],[Adjusted 2028]]/$L218,0)</f>
        <v>403</v>
      </c>
      <c r="BF218" s="77">
        <f>ROUNDUP(tbl_Data[[#This Row],[Adjusted 2029]]/$L218,0)</f>
        <v>512</v>
      </c>
      <c r="BG218" s="77">
        <f>ROUNDUP(tbl_Data[[#This Row],[Adjusted 2030]]/$L218,0)</f>
        <v>624</v>
      </c>
      <c r="BH218" s="77">
        <f>ROUNDUP(tbl_Data[[#This Row],[Adjusted 2031]]/$L218,0)</f>
        <v>737</v>
      </c>
      <c r="BI218" s="77">
        <f>ROUNDUP(tbl_Data[[#This Row],[Adjusted 2032]]/$L218,0)</f>
        <v>854</v>
      </c>
      <c r="BJ218" s="77">
        <f>ROUNDUP(tbl_Data[[#This Row],[Adjusted 2033]]/$L218,0)</f>
        <v>974</v>
      </c>
      <c r="BK218" s="77">
        <f>ROUNDUP(tbl_Data[[#This Row],[Adjusted 2034]]/$L218,0)</f>
        <v>1099</v>
      </c>
      <c r="BL218" s="80">
        <f t="shared" si="100"/>
        <v>0</v>
      </c>
      <c r="BM218" s="80">
        <f t="shared" si="101"/>
        <v>0</v>
      </c>
      <c r="BN218" s="80">
        <f t="shared" si="102"/>
        <v>0</v>
      </c>
      <c r="BO218" s="80">
        <f t="shared" si="103"/>
        <v>0</v>
      </c>
      <c r="BP218" s="80">
        <f t="shared" si="104"/>
        <v>0</v>
      </c>
      <c r="BQ218" s="80">
        <f t="shared" si="105"/>
        <v>0</v>
      </c>
      <c r="BR218" s="80">
        <f t="shared" si="106"/>
        <v>0</v>
      </c>
      <c r="BS218" s="80">
        <f t="shared" si="107"/>
        <v>0</v>
      </c>
      <c r="BT218" s="80">
        <f t="shared" si="108"/>
        <v>0</v>
      </c>
      <c r="BU218" s="80">
        <f t="shared" si="109"/>
        <v>0</v>
      </c>
      <c r="BV218" s="80" t="str">
        <f>IFERROR(VLOOKUP($H218,'1. Set Program Names'!$B$2:$D$15,3,0)*V218,"NA")</f>
        <v>NA</v>
      </c>
      <c r="BW218" s="80" t="str">
        <f>IFERROR(VLOOKUP($H218,'1. Set Program Names'!$B$2:$D$15,3,0)*W218,"NA")</f>
        <v>NA</v>
      </c>
      <c r="BX218" s="80" t="str">
        <f>IFERROR(VLOOKUP($H218,'1. Set Program Names'!$B$2:$D$15,3,0)*X218,"NA")</f>
        <v>NA</v>
      </c>
      <c r="BY218" s="80" t="str">
        <f>IFERROR(VLOOKUP($H218,'1. Set Program Names'!$B$2:$D$15,3,0)*Y218,"NA")</f>
        <v>NA</v>
      </c>
      <c r="BZ218" s="80" t="str">
        <f>IFERROR(VLOOKUP($H218,'1. Set Program Names'!$B$2:$D$15,3,0)*Z218,"NA")</f>
        <v>NA</v>
      </c>
      <c r="CA218" s="80" t="str">
        <f>IFERROR(VLOOKUP($H218,'1. Set Program Names'!$B$2:$D$15,3,0)*AA218,"NA")</f>
        <v>NA</v>
      </c>
      <c r="CB218" s="80" t="str">
        <f>IFERROR(VLOOKUP($H218,'1. Set Program Names'!$B$2:$D$15,3,0)*AB218,"NA")</f>
        <v>NA</v>
      </c>
      <c r="CC218" s="80" t="str">
        <f>IFERROR(VLOOKUP($H218,'1. Set Program Names'!$B$2:$D$15,3,0)*AC218,"NA")</f>
        <v>NA</v>
      </c>
      <c r="CD218" s="80" t="str">
        <f>IFERROR(VLOOKUP($H218,'1. Set Program Names'!$B$2:$D$15,3,0)*AD218,"NA")</f>
        <v>NA</v>
      </c>
      <c r="CE218" s="80" t="str">
        <f>IFERROR(VLOOKUP($H218,'1. Set Program Names'!$B$2:$D$15,3,0)*AE218,"NA")</f>
        <v>NA</v>
      </c>
    </row>
    <row r="219" spans="1:83" x14ac:dyDescent="0.25">
      <c r="A219" s="79" t="s">
        <v>113</v>
      </c>
      <c r="B219" s="79" t="s">
        <v>88</v>
      </c>
      <c r="C219" s="79" t="s">
        <v>89</v>
      </c>
      <c r="D219" s="79" t="s">
        <v>90</v>
      </c>
      <c r="E219" s="79" t="s">
        <v>91</v>
      </c>
      <c r="F219" s="79" t="s">
        <v>90</v>
      </c>
      <c r="G219" s="79" t="s">
        <v>92</v>
      </c>
      <c r="H219" s="79" t="s">
        <v>273</v>
      </c>
      <c r="I219" s="79" t="s">
        <v>111</v>
      </c>
      <c r="J219" s="79" t="s">
        <v>97</v>
      </c>
      <c r="K219" s="79" t="s">
        <v>102</v>
      </c>
      <c r="L219" s="79">
        <v>586.59333333333302</v>
      </c>
      <c r="M219" s="79">
        <v>0.33672458163683799</v>
      </c>
      <c r="N219" s="79">
        <v>1.6138843976181299E-3</v>
      </c>
      <c r="O219" s="79">
        <v>250</v>
      </c>
      <c r="P219" s="79">
        <v>142.46266525790699</v>
      </c>
      <c r="Q219" s="79">
        <v>0.58659333333333297</v>
      </c>
      <c r="R219" s="79">
        <v>435.979615776</v>
      </c>
      <c r="S219" s="79">
        <v>718.05871460051901</v>
      </c>
      <c r="T219" s="79">
        <v>14</v>
      </c>
      <c r="U219" s="79">
        <v>1</v>
      </c>
      <c r="V219" s="79">
        <f>tbl_Data_old[[#This Row],[2025 ]]*IFERROR(AVERAGEIFS('Participation Adjustment'!$C:$C,'Participation Adjustment'!$A:$A,$H219,'Participation Adjustment'!$B:$B,$I219),1)</f>
        <v>85788.859882834004</v>
      </c>
      <c r="W219" s="79">
        <f>tbl_Data_old[[#This Row],[2026 ]]*IFERROR(AVERAGEIFS('Participation Adjustment'!$C:$C,'Participation Adjustment'!$A:$A,$H219,'Participation Adjustment'!$B:$B,$I219),1)</f>
        <v>202353.24402844999</v>
      </c>
      <c r="X219" s="79">
        <f>tbl_Data_old[[#This Row],[2027 ]]*IFERROR(AVERAGEIFS('Participation Adjustment'!$C:$C,'Participation Adjustment'!$A:$A,$H219,'Participation Adjustment'!$B:$B,$I219),1)</f>
        <v>352996.27025334002</v>
      </c>
      <c r="Y219" s="79">
        <f>tbl_Data_old[[#This Row],[2028 ]]*IFERROR(AVERAGEIFS('Participation Adjustment'!$C:$C,'Participation Adjustment'!$A:$A,$H219,'Participation Adjustment'!$B:$B,$I219),1)</f>
        <v>539917.14768979605</v>
      </c>
      <c r="Z219" s="79">
        <f>tbl_Data_old[[#This Row],[2029 ]]*IFERROR(AVERAGEIFS('Participation Adjustment'!$C:$C,'Participation Adjustment'!$A:$A,$H219,'Participation Adjustment'!$B:$B,$I219),1)</f>
        <v>763354.54290434602</v>
      </c>
      <c r="AA219" s="79">
        <f>tbl_Data_old[[#This Row],[2030 ]]*IFERROR(AVERAGEIFS('Participation Adjustment'!$C:$C,'Participation Adjustment'!$A:$A,$H219,'Participation Adjustment'!$B:$B,$I219),1)</f>
        <v>1020131.55694732</v>
      </c>
      <c r="AB219" s="79">
        <f>tbl_Data_old[[#This Row],[2031 ]]*IFERROR(AVERAGEIFS('Participation Adjustment'!$C:$C,'Participation Adjustment'!$A:$A,$H219,'Participation Adjustment'!$B:$B,$I219),1)</f>
        <v>1307154.9882489799</v>
      </c>
      <c r="AC219" s="79">
        <f>tbl_Data_old[[#This Row],[2032 ]]*IFERROR(AVERAGEIFS('Participation Adjustment'!$C:$C,'Participation Adjustment'!$A:$A,$H219,'Participation Adjustment'!$B:$B,$I219),1)</f>
        <v>1620939.84347442</v>
      </c>
      <c r="AD219" s="79">
        <f>tbl_Data_old[[#This Row],[2033 ]]*IFERROR(AVERAGEIFS('Participation Adjustment'!$C:$C,'Participation Adjustment'!$A:$A,$H219,'Participation Adjustment'!$B:$B,$I219),1)</f>
        <v>1958660.70995456</v>
      </c>
      <c r="AE219" s="79">
        <f>tbl_Data_old[[#This Row],[2034 ]]*IFERROR(AVERAGEIFS('Participation Adjustment'!$C:$C,'Participation Adjustment'!$A:$A,$H219,'Participation Adjustment'!$B:$B,$I219),1)</f>
        <v>2318415.63863303</v>
      </c>
      <c r="AF219" s="77" t="str">
        <f t="shared" si="99"/>
        <v>Residential</v>
      </c>
      <c r="AG219" s="77" t="str">
        <f>tbl_Data[[#This Row],[All_Meas_Name_Append]]</f>
        <v>Properly Sized CAC</v>
      </c>
      <c r="AH219" s="77">
        <f>AVERAGEIFS('3. Incentive Adjustment'!G:G,'3. Incentive Adjustment'!A:A,tbl_Data[[#This Row],[Trimmed Sector]],'3. Incentive Adjustment'!B:B,tbl_Data[[#This Row],[Trimmed Measure Name]])</f>
        <v>0.52686902587198514</v>
      </c>
      <c r="AI219" s="77">
        <f>$AH219*tbl_Data[[#This Row],[2025 ]]</f>
        <v>45199.493037136977</v>
      </c>
      <c r="AJ219" s="77">
        <f>$AH219*tbl_Data[[#This Row],[2026 ]]</f>
        <v>106613.65656330554</v>
      </c>
      <c r="AK219" s="77">
        <f>$AH219*tbl_Data[[#This Row],[2027 ]]</f>
        <v>185982.80104482127</v>
      </c>
      <c r="AL219" s="77">
        <f>$AH219*tbl_Data[[#This Row],[2028 ]]</f>
        <v>284465.62165490357</v>
      </c>
      <c r="AM219" s="77">
        <f>$AH219*tbl_Data[[#This Row],[2029 ]]</f>
        <v>402187.86441496725</v>
      </c>
      <c r="AN219" s="77">
        <f>$AH219*tbl_Data[[#This Row],[2030 ]]</f>
        <v>537475.71967010607</v>
      </c>
      <c r="AO219" s="77">
        <f>$AH219*tbl_Data[[#This Row],[2031 ]]</f>
        <v>688699.4753224462</v>
      </c>
      <c r="AP219" s="77">
        <f>$AH219*tbl_Data[[#This Row],[2032 ]]</f>
        <v>854022.99632845575</v>
      </c>
      <c r="AQ219" s="77">
        <f>$AH219*tbl_Data[[#This Row],[2033 ]]</f>
        <v>1031957.6602674898</v>
      </c>
      <c r="AR219" s="77">
        <f>$AH219*tbl_Data[[#This Row],[2034 ]]</f>
        <v>1221501.3890929609</v>
      </c>
      <c r="AS219" s="77">
        <f>SUM(tbl_Data[[#This Row],[Adjusted 2025]:[Adjusted 2034]])</f>
        <v>5358106.6773965936</v>
      </c>
      <c r="AT219" s="80">
        <f>AVERAGEIFS('3. Incentive Adjustment'!F:F,'3. Incentive Adjustment'!A:A,tbl_Data[[#This Row],[Trimmed Sector]],'3. Incentive Adjustment'!B:B,tbl_Data[[#This Row],[Trimmed Measure Name]])</f>
        <v>0</v>
      </c>
      <c r="AU219" s="80">
        <f>IFERROR(VLOOKUP(tbl_Data[[#This Row],[All_Meas_Name_Append]],'IRA Tax Credits'!$A$3:$D$46,4,0),0)</f>
        <v>0</v>
      </c>
      <c r="AV219" s="81">
        <f>tbl_Data[[#This Row],[Adj. per unit Incentive ($)]]/tbl_Data[[#This Row],[kWh Savings]]*tbl_Data[[#This Row],[Sum of Annuals]]</f>
        <v>0</v>
      </c>
      <c r="AW219" s="81" t="str">
        <f>IFERROR(VLOOKUP(tbl_Data[[#This Row],[Column1]],'1. Set Program Names'!$B$2:$D$15,3,0)*tbl_Data[[#This Row],[Sum of Annuals]],"")</f>
        <v/>
      </c>
      <c r="AX219" s="81">
        <f>tbl_Data[[#This Row],[per unit IRA tax ($)]]/tbl_Data[[#This Row],[kWh Savings]]*tbl_Data[[#This Row],[Sum of Annuals]]</f>
        <v>0</v>
      </c>
      <c r="AY219" s="81">
        <f>tbl_Data[[#This Row],[Avoided Costs ($/unit)]]/tbl_Data[[#This Row],[kWh Savings]]*tbl_Data[[#This Row],[Sum of Annuals]]</f>
        <v>3982359.0855076001</v>
      </c>
      <c r="AZ219" s="81">
        <f>tbl_Data[[#This Row],[Lost Revenue ($/unit)]]/tbl_Data[[#This Row],[kWh Savings]]*tbl_Data[[#This Row],[Sum of Annuals]]</f>
        <v>6558948.0391819282</v>
      </c>
      <c r="BA219" s="81">
        <f>tbl_Data[[#This Row],[Incremental Cost ($/unit)]]/tbl_Data[[#This Row],[kWh Savings]]*tbl_Data[[#This Row],[Sum of Annuals]]</f>
        <v>2283569.5416742135</v>
      </c>
      <c r="BB219" s="77">
        <f>ROUNDUP(tbl_Data[[#This Row],[Adjusted 2025]]/$L219,0)</f>
        <v>78</v>
      </c>
      <c r="BC219" s="77">
        <f>ROUNDUP(tbl_Data[[#This Row],[Adjusted 2026]]/$L219,0)</f>
        <v>182</v>
      </c>
      <c r="BD219" s="77">
        <f>ROUNDUP(tbl_Data[[#This Row],[Adjusted 2027]]/$L219,0)</f>
        <v>318</v>
      </c>
      <c r="BE219" s="77">
        <f>ROUNDUP(tbl_Data[[#This Row],[Adjusted 2028]]/$L219,0)</f>
        <v>485</v>
      </c>
      <c r="BF219" s="77">
        <f>ROUNDUP(tbl_Data[[#This Row],[Adjusted 2029]]/$L219,0)</f>
        <v>686</v>
      </c>
      <c r="BG219" s="77">
        <f>ROUNDUP(tbl_Data[[#This Row],[Adjusted 2030]]/$L219,0)</f>
        <v>917</v>
      </c>
      <c r="BH219" s="77">
        <f>ROUNDUP(tbl_Data[[#This Row],[Adjusted 2031]]/$L219,0)</f>
        <v>1175</v>
      </c>
      <c r="BI219" s="77">
        <f>ROUNDUP(tbl_Data[[#This Row],[Adjusted 2032]]/$L219,0)</f>
        <v>1456</v>
      </c>
      <c r="BJ219" s="77">
        <f>ROUNDUP(tbl_Data[[#This Row],[Adjusted 2033]]/$L219,0)</f>
        <v>1760</v>
      </c>
      <c r="BK219" s="77">
        <f>ROUNDUP(tbl_Data[[#This Row],[Adjusted 2034]]/$L219,0)</f>
        <v>2083</v>
      </c>
      <c r="BL219" s="80">
        <f t="shared" si="100"/>
        <v>0</v>
      </c>
      <c r="BM219" s="80">
        <f t="shared" si="101"/>
        <v>0</v>
      </c>
      <c r="BN219" s="80">
        <f t="shared" si="102"/>
        <v>0</v>
      </c>
      <c r="BO219" s="80">
        <f t="shared" si="103"/>
        <v>0</v>
      </c>
      <c r="BP219" s="80">
        <f t="shared" si="104"/>
        <v>0</v>
      </c>
      <c r="BQ219" s="80">
        <f t="shared" si="105"/>
        <v>0</v>
      </c>
      <c r="BR219" s="80">
        <f t="shared" si="106"/>
        <v>0</v>
      </c>
      <c r="BS219" s="80">
        <f t="shared" si="107"/>
        <v>0</v>
      </c>
      <c r="BT219" s="80">
        <f t="shared" si="108"/>
        <v>0</v>
      </c>
      <c r="BU219" s="80">
        <f t="shared" si="109"/>
        <v>0</v>
      </c>
      <c r="BV219" s="80" t="str">
        <f>IFERROR(VLOOKUP($H219,'1. Set Program Names'!$B$2:$D$15,3,0)*V219,"NA")</f>
        <v>NA</v>
      </c>
      <c r="BW219" s="80" t="str">
        <f>IFERROR(VLOOKUP($H219,'1. Set Program Names'!$B$2:$D$15,3,0)*W219,"NA")</f>
        <v>NA</v>
      </c>
      <c r="BX219" s="80" t="str">
        <f>IFERROR(VLOOKUP($H219,'1. Set Program Names'!$B$2:$D$15,3,0)*X219,"NA")</f>
        <v>NA</v>
      </c>
      <c r="BY219" s="80" t="str">
        <f>IFERROR(VLOOKUP($H219,'1. Set Program Names'!$B$2:$D$15,3,0)*Y219,"NA")</f>
        <v>NA</v>
      </c>
      <c r="BZ219" s="80" t="str">
        <f>IFERROR(VLOOKUP($H219,'1. Set Program Names'!$B$2:$D$15,3,0)*Z219,"NA")</f>
        <v>NA</v>
      </c>
      <c r="CA219" s="80" t="str">
        <f>IFERROR(VLOOKUP($H219,'1. Set Program Names'!$B$2:$D$15,3,0)*AA219,"NA")</f>
        <v>NA</v>
      </c>
      <c r="CB219" s="80" t="str">
        <f>IFERROR(VLOOKUP($H219,'1. Set Program Names'!$B$2:$D$15,3,0)*AB219,"NA")</f>
        <v>NA</v>
      </c>
      <c r="CC219" s="80" t="str">
        <f>IFERROR(VLOOKUP($H219,'1. Set Program Names'!$B$2:$D$15,3,0)*AC219,"NA")</f>
        <v>NA</v>
      </c>
      <c r="CD219" s="80" t="str">
        <f>IFERROR(VLOOKUP($H219,'1. Set Program Names'!$B$2:$D$15,3,0)*AD219,"NA")</f>
        <v>NA</v>
      </c>
      <c r="CE219" s="80" t="str">
        <f>IFERROR(VLOOKUP($H219,'1. Set Program Names'!$B$2:$D$15,3,0)*AE219,"NA")</f>
        <v>NA</v>
      </c>
    </row>
    <row r="220" spans="1:83" x14ac:dyDescent="0.25">
      <c r="A220" s="79" t="s">
        <v>114</v>
      </c>
      <c r="B220" s="79" t="s">
        <v>88</v>
      </c>
      <c r="C220" s="79" t="s">
        <v>89</v>
      </c>
      <c r="D220" s="79" t="s">
        <v>90</v>
      </c>
      <c r="E220" s="79" t="s">
        <v>91</v>
      </c>
      <c r="F220" s="79" t="s">
        <v>90</v>
      </c>
      <c r="G220" s="79" t="s">
        <v>92</v>
      </c>
      <c r="H220" s="79" t="s">
        <v>273</v>
      </c>
      <c r="I220" s="79" t="s">
        <v>301</v>
      </c>
      <c r="J220" s="79" t="s">
        <v>302</v>
      </c>
      <c r="K220" s="79" t="s">
        <v>104</v>
      </c>
      <c r="L220" s="79">
        <v>275.64999999999901</v>
      </c>
      <c r="M220" s="79">
        <v>4.0357303140515798E-2</v>
      </c>
      <c r="N220" s="79">
        <v>4.1157633527981498E-2</v>
      </c>
      <c r="O220" s="79">
        <v>86.42</v>
      </c>
      <c r="P220" s="79">
        <v>19.6355180000002</v>
      </c>
      <c r="Q220" s="79">
        <v>0.27564999999999901</v>
      </c>
      <c r="R220" s="79">
        <v>112.309715968343</v>
      </c>
      <c r="S220" s="79">
        <v>337.427777357906</v>
      </c>
      <c r="T220" s="79">
        <v>14</v>
      </c>
      <c r="U220" s="79">
        <v>1</v>
      </c>
      <c r="V220" s="79">
        <f>tbl_Data_old[[#This Row],[2025 ]]*IFERROR(AVERAGEIFS('Participation Adjustment'!$C:$C,'Participation Adjustment'!$A:$A,$H220,'Participation Adjustment'!$B:$B,$I220),1)</f>
        <v>5.3725367897417096</v>
      </c>
      <c r="W220" s="79">
        <f>tbl_Data_old[[#This Row],[2026 ]]*IFERROR(AVERAGEIFS('Participation Adjustment'!$C:$C,'Participation Adjustment'!$A:$A,$H220,'Participation Adjustment'!$B:$B,$I220),1)</f>
        <v>7.4174069733241303</v>
      </c>
      <c r="X220" s="79">
        <f>tbl_Data_old[[#This Row],[2027 ]]*IFERROR(AVERAGEIFS('Participation Adjustment'!$C:$C,'Participation Adjustment'!$A:$A,$H220,'Participation Adjustment'!$B:$B,$I220),1)</f>
        <v>9.7141695486726896</v>
      </c>
      <c r="Y220" s="79">
        <f>tbl_Data_old[[#This Row],[2028 ]]*IFERROR(AVERAGEIFS('Participation Adjustment'!$C:$C,'Participation Adjustment'!$A:$A,$H220,'Participation Adjustment'!$B:$B,$I220),1)</f>
        <v>12.173526351284099</v>
      </c>
      <c r="Z220" s="79">
        <f>tbl_Data_old[[#This Row],[2029 ]]*IFERROR(AVERAGEIFS('Participation Adjustment'!$C:$C,'Participation Adjustment'!$A:$A,$H220,'Participation Adjustment'!$B:$B,$I220),1)</f>
        <v>14.646635908607699</v>
      </c>
      <c r="AA220" s="79">
        <f>tbl_Data_old[[#This Row],[2030 ]]*IFERROR(AVERAGEIFS('Participation Adjustment'!$C:$C,'Participation Adjustment'!$A:$A,$H220,'Participation Adjustment'!$B:$B,$I220),1)</f>
        <v>16.906231178297698</v>
      </c>
      <c r="AB220" s="79">
        <f>tbl_Data_old[[#This Row],[2031 ]]*IFERROR(AVERAGEIFS('Participation Adjustment'!$C:$C,'Participation Adjustment'!$A:$A,$H220,'Participation Adjustment'!$B:$B,$I220),1)</f>
        <v>18.955416612953201</v>
      </c>
      <c r="AC220" s="79">
        <f>tbl_Data_old[[#This Row],[2032 ]]*IFERROR(AVERAGEIFS('Participation Adjustment'!$C:$C,'Participation Adjustment'!$A:$A,$H220,'Participation Adjustment'!$B:$B,$I220),1)</f>
        <v>20.785879674737298</v>
      </c>
      <c r="AD220" s="79">
        <f>tbl_Data_old[[#This Row],[2033 ]]*IFERROR(AVERAGEIFS('Participation Adjustment'!$C:$C,'Participation Adjustment'!$A:$A,$H220,'Participation Adjustment'!$B:$B,$I220),1)</f>
        <v>22.446869186549499</v>
      </c>
      <c r="AE220" s="79">
        <f>tbl_Data_old[[#This Row],[2034 ]]*IFERROR(AVERAGEIFS('Participation Adjustment'!$C:$C,'Participation Adjustment'!$A:$A,$H220,'Participation Adjustment'!$B:$B,$I220),1)</f>
        <v>24.006760120856999</v>
      </c>
      <c r="AF220" s="77" t="str">
        <f t="shared" si="99"/>
        <v>Residential</v>
      </c>
      <c r="AG220" s="77" t="str">
        <f>tbl_Data[[#This Row],[All_Meas_Name_Append]]</f>
        <v>Energy Star Clothes Washer</v>
      </c>
      <c r="AH220" s="77">
        <f>AVERAGEIFS('3. Incentive Adjustment'!G:G,'3. Incentive Adjustment'!A:A,tbl_Data[[#This Row],[Trimmed Sector]],'3. Incentive Adjustment'!B:B,tbl_Data[[#This Row],[Trimmed Measure Name]])</f>
        <v>0.8286551255656105</v>
      </c>
      <c r="AI220" s="77">
        <f>$AH220*tbl_Data[[#This Row],[2025 ]]</f>
        <v>4.4519801481092784</v>
      </c>
      <c r="AJ220" s="77">
        <f>$AH220*tbl_Data[[#This Row],[2026 ]]</f>
        <v>6.146472306851142</v>
      </c>
      <c r="AK220" s="77">
        <f>$AH220*tbl_Data[[#This Row],[2027 ]]</f>
        <v>8.0496963871209974</v>
      </c>
      <c r="AL220" s="77">
        <f>$AH220*tbl_Data[[#This Row],[2028 ]]</f>
        <v>10.087655007199594</v>
      </c>
      <c r="AM220" s="77">
        <f>$AH220*tbl_Data[[#This Row],[2029 ]]</f>
        <v>12.137009917961093</v>
      </c>
      <c r="AN220" s="77">
        <f>$AH220*tbl_Data[[#This Row],[2030 ]]</f>
        <v>14.009435119893519</v>
      </c>
      <c r="AO220" s="77">
        <f>$AH220*tbl_Data[[#This Row],[2031 ]]</f>
        <v>15.707503133555194</v>
      </c>
      <c r="AP220" s="77">
        <f>$AH220*tbl_Data[[#This Row],[2032 ]]</f>
        <v>17.224325731861107</v>
      </c>
      <c r="AQ220" s="77">
        <f>$AH220*tbl_Data[[#This Row],[2033 ]]</f>
        <v>18.600713204335008</v>
      </c>
      <c r="AR220" s="77">
        <f>$AH220*tbl_Data[[#This Row],[2034 ]]</f>
        <v>19.893324822372247</v>
      </c>
      <c r="AS220" s="77">
        <f>SUM(tbl_Data[[#This Row],[Adjusted 2025]:[Adjusted 2034]])</f>
        <v>126.30811577925918</v>
      </c>
      <c r="AT220" s="80">
        <f>AVERAGEIFS('3. Incentive Adjustment'!F:F,'3. Incentive Adjustment'!A:A,tbl_Data[[#This Row],[Trimmed Sector]],'3. Incentive Adjustment'!B:B,tbl_Data[[#This Row],[Trimmed Measure Name]])</f>
        <v>0</v>
      </c>
      <c r="AU220" s="80">
        <f>IFERROR(VLOOKUP(tbl_Data[[#This Row],[All_Meas_Name_Append]],'IRA Tax Credits'!$A$3:$D$46,4,0),0)</f>
        <v>0</v>
      </c>
      <c r="AV220" s="81">
        <f>tbl_Data[[#This Row],[Adj. per unit Incentive ($)]]/tbl_Data[[#This Row],[kWh Savings]]*tbl_Data[[#This Row],[Sum of Annuals]]</f>
        <v>0</v>
      </c>
      <c r="AW220" s="81" t="str">
        <f>IFERROR(VLOOKUP(tbl_Data[[#This Row],[Column1]],'1. Set Program Names'!$B$2:$D$15,3,0)*tbl_Data[[#This Row],[Sum of Annuals]],"")</f>
        <v/>
      </c>
      <c r="AX220" s="81">
        <f>tbl_Data[[#This Row],[per unit IRA tax ($)]]/tbl_Data[[#This Row],[kWh Savings]]*tbl_Data[[#This Row],[Sum of Annuals]]</f>
        <v>0</v>
      </c>
      <c r="AY220" s="81">
        <f>tbl_Data[[#This Row],[Avoided Costs ($/unit)]]/tbl_Data[[#This Row],[kWh Savings]]*tbl_Data[[#This Row],[Sum of Annuals]]</f>
        <v>51.462465473118925</v>
      </c>
      <c r="AZ220" s="81">
        <f>tbl_Data[[#This Row],[Lost Revenue ($/unit)]]/tbl_Data[[#This Row],[kWh Savings]]*tbl_Data[[#This Row],[Sum of Annuals]]</f>
        <v>154.61587799622941</v>
      </c>
      <c r="BA220" s="81">
        <f>tbl_Data[[#This Row],[Incremental Cost ($/unit)]]/tbl_Data[[#This Row],[kWh Savings]]*tbl_Data[[#This Row],[Sum of Annuals]]</f>
        <v>39.599301163227345</v>
      </c>
      <c r="BB220" s="77">
        <f>ROUNDUP(tbl_Data[[#This Row],[Adjusted 2025]]/$L220,0)</f>
        <v>1</v>
      </c>
      <c r="BC220" s="77">
        <f>ROUNDUP(tbl_Data[[#This Row],[Adjusted 2026]]/$L220,0)</f>
        <v>1</v>
      </c>
      <c r="BD220" s="77">
        <f>ROUNDUP(tbl_Data[[#This Row],[Adjusted 2027]]/$L220,0)</f>
        <v>1</v>
      </c>
      <c r="BE220" s="77">
        <f>ROUNDUP(tbl_Data[[#This Row],[Adjusted 2028]]/$L220,0)</f>
        <v>1</v>
      </c>
      <c r="BF220" s="77">
        <f>ROUNDUP(tbl_Data[[#This Row],[Adjusted 2029]]/$L220,0)</f>
        <v>1</v>
      </c>
      <c r="BG220" s="77">
        <f>ROUNDUP(tbl_Data[[#This Row],[Adjusted 2030]]/$L220,0)</f>
        <v>1</v>
      </c>
      <c r="BH220" s="77">
        <f>ROUNDUP(tbl_Data[[#This Row],[Adjusted 2031]]/$L220,0)</f>
        <v>1</v>
      </c>
      <c r="BI220" s="77">
        <f>ROUNDUP(tbl_Data[[#This Row],[Adjusted 2032]]/$L220,0)</f>
        <v>1</v>
      </c>
      <c r="BJ220" s="77">
        <f>ROUNDUP(tbl_Data[[#This Row],[Adjusted 2033]]/$L220,0)</f>
        <v>1</v>
      </c>
      <c r="BK220" s="77">
        <f>ROUNDUP(tbl_Data[[#This Row],[Adjusted 2034]]/$L220,0)</f>
        <v>1</v>
      </c>
      <c r="BL220" s="80">
        <f t="shared" si="100"/>
        <v>0</v>
      </c>
      <c r="BM220" s="80">
        <f t="shared" si="101"/>
        <v>0</v>
      </c>
      <c r="BN220" s="80">
        <f t="shared" si="102"/>
        <v>0</v>
      </c>
      <c r="BO220" s="80">
        <f t="shared" si="103"/>
        <v>0</v>
      </c>
      <c r="BP220" s="80">
        <f t="shared" si="104"/>
        <v>0</v>
      </c>
      <c r="BQ220" s="80">
        <f t="shared" si="105"/>
        <v>0</v>
      </c>
      <c r="BR220" s="80">
        <f t="shared" si="106"/>
        <v>0</v>
      </c>
      <c r="BS220" s="80">
        <f t="shared" si="107"/>
        <v>0</v>
      </c>
      <c r="BT220" s="80">
        <f t="shared" si="108"/>
        <v>0</v>
      </c>
      <c r="BU220" s="80">
        <f t="shared" si="109"/>
        <v>0</v>
      </c>
      <c r="BV220" s="80" t="str">
        <f>IFERROR(VLOOKUP($H220,'1. Set Program Names'!$B$2:$D$15,3,0)*V220,"NA")</f>
        <v>NA</v>
      </c>
      <c r="BW220" s="80" t="str">
        <f>IFERROR(VLOOKUP($H220,'1. Set Program Names'!$B$2:$D$15,3,0)*W220,"NA")</f>
        <v>NA</v>
      </c>
      <c r="BX220" s="80" t="str">
        <f>IFERROR(VLOOKUP($H220,'1. Set Program Names'!$B$2:$D$15,3,0)*X220,"NA")</f>
        <v>NA</v>
      </c>
      <c r="BY220" s="80" t="str">
        <f>IFERROR(VLOOKUP($H220,'1. Set Program Names'!$B$2:$D$15,3,0)*Y220,"NA")</f>
        <v>NA</v>
      </c>
      <c r="BZ220" s="80" t="str">
        <f>IFERROR(VLOOKUP($H220,'1. Set Program Names'!$B$2:$D$15,3,0)*Z220,"NA")</f>
        <v>NA</v>
      </c>
      <c r="CA220" s="80" t="str">
        <f>IFERROR(VLOOKUP($H220,'1. Set Program Names'!$B$2:$D$15,3,0)*AA220,"NA")</f>
        <v>NA</v>
      </c>
      <c r="CB220" s="80" t="str">
        <f>IFERROR(VLOOKUP($H220,'1. Set Program Names'!$B$2:$D$15,3,0)*AB220,"NA")</f>
        <v>NA</v>
      </c>
      <c r="CC220" s="80" t="str">
        <f>IFERROR(VLOOKUP($H220,'1. Set Program Names'!$B$2:$D$15,3,0)*AC220,"NA")</f>
        <v>NA</v>
      </c>
      <c r="CD220" s="80" t="str">
        <f>IFERROR(VLOOKUP($H220,'1. Set Program Names'!$B$2:$D$15,3,0)*AD220,"NA")</f>
        <v>NA</v>
      </c>
      <c r="CE220" s="80" t="str">
        <f>IFERROR(VLOOKUP($H220,'1. Set Program Names'!$B$2:$D$15,3,0)*AE220,"NA")</f>
        <v>NA</v>
      </c>
    </row>
    <row r="221" spans="1:83" x14ac:dyDescent="0.25">
      <c r="A221" s="79" t="s">
        <v>114</v>
      </c>
      <c r="B221" s="79" t="s">
        <v>88</v>
      </c>
      <c r="C221" s="79" t="s">
        <v>89</v>
      </c>
      <c r="D221" s="79" t="s">
        <v>90</v>
      </c>
      <c r="E221" s="79" t="s">
        <v>91</v>
      </c>
      <c r="F221" s="79" t="s">
        <v>90</v>
      </c>
      <c r="G221" s="79" t="s">
        <v>92</v>
      </c>
      <c r="H221" s="79" t="s">
        <v>273</v>
      </c>
      <c r="I221" s="79" t="s">
        <v>105</v>
      </c>
      <c r="J221" s="79" t="s">
        <v>97</v>
      </c>
      <c r="K221" s="79" t="s">
        <v>98</v>
      </c>
      <c r="L221" s="79">
        <v>1409.8599999999899</v>
      </c>
      <c r="M221" s="79">
        <v>0.25259796946801399</v>
      </c>
      <c r="N221" s="79">
        <v>0.18561076930699899</v>
      </c>
      <c r="O221" s="79">
        <v>15905.9999999999</v>
      </c>
      <c r="P221" s="79">
        <v>15564.4191191999</v>
      </c>
      <c r="Q221" s="79">
        <v>1.4098599999999899</v>
      </c>
      <c r="R221" s="79">
        <v>1051.8249065196901</v>
      </c>
      <c r="S221" s="79">
        <v>2376.3089492588301</v>
      </c>
      <c r="T221" s="79">
        <v>25</v>
      </c>
      <c r="U221" s="79">
        <v>1</v>
      </c>
      <c r="V221" s="79">
        <f>tbl_Data_old[[#This Row],[2025 ]]*IFERROR(AVERAGEIFS('Participation Adjustment'!$C:$C,'Participation Adjustment'!$A:$A,$H221,'Participation Adjustment'!$B:$B,$I221),1)</f>
        <v>0.23963219726893201</v>
      </c>
      <c r="W221" s="79">
        <f>tbl_Data_old[[#This Row],[2026 ]]*IFERROR(AVERAGEIFS('Participation Adjustment'!$C:$C,'Participation Adjustment'!$A:$A,$H221,'Participation Adjustment'!$B:$B,$I221),1)</f>
        <v>0.27863313956754099</v>
      </c>
      <c r="X221" s="79">
        <f>tbl_Data_old[[#This Row],[2027 ]]*IFERROR(AVERAGEIFS('Participation Adjustment'!$C:$C,'Participation Adjustment'!$A:$A,$H221,'Participation Adjustment'!$B:$B,$I221),1)</f>
        <v>0.31836207733409599</v>
      </c>
      <c r="Y221" s="79">
        <f>tbl_Data_old[[#This Row],[2028 ]]*IFERROR(AVERAGEIFS('Participation Adjustment'!$C:$C,'Participation Adjustment'!$A:$A,$H221,'Participation Adjustment'!$B:$B,$I221),1)</f>
        <v>0.35956212486000599</v>
      </c>
      <c r="Z221" s="79">
        <f>tbl_Data_old[[#This Row],[2029 ]]*IFERROR(AVERAGEIFS('Participation Adjustment'!$C:$C,'Participation Adjustment'!$A:$A,$H221,'Participation Adjustment'!$B:$B,$I221),1)</f>
        <v>0.40248260073091402</v>
      </c>
      <c r="AA221" s="79">
        <f>tbl_Data_old[[#This Row],[2030 ]]*IFERROR(AVERAGEIFS('Participation Adjustment'!$C:$C,'Participation Adjustment'!$A:$A,$H221,'Participation Adjustment'!$B:$B,$I221),1)</f>
        <v>0.44614383557019199</v>
      </c>
      <c r="AB221" s="79">
        <f>tbl_Data_old[[#This Row],[2031 ]]*IFERROR(AVERAGEIFS('Participation Adjustment'!$C:$C,'Participation Adjustment'!$A:$A,$H221,'Participation Adjustment'!$B:$B,$I221),1)</f>
        <v>0.494085297178187</v>
      </c>
      <c r="AC221" s="79">
        <f>tbl_Data_old[[#This Row],[2032 ]]*IFERROR(AVERAGEIFS('Participation Adjustment'!$C:$C,'Participation Adjustment'!$A:$A,$H221,'Participation Adjustment'!$B:$B,$I221),1)</f>
        <v>0.54792896689430903</v>
      </c>
      <c r="AD221" s="79">
        <f>tbl_Data_old[[#This Row],[2033 ]]*IFERROR(AVERAGEIFS('Participation Adjustment'!$C:$C,'Participation Adjustment'!$A:$A,$H221,'Participation Adjustment'!$B:$B,$I221),1)</f>
        <v>0.60865405819423102</v>
      </c>
      <c r="AE221" s="79">
        <f>tbl_Data_old[[#This Row],[2034 ]]*IFERROR(AVERAGEIFS('Participation Adjustment'!$C:$C,'Participation Adjustment'!$A:$A,$H221,'Participation Adjustment'!$B:$B,$I221),1)</f>
        <v>0.67716028875170697</v>
      </c>
      <c r="AF221" s="77" t="str">
        <f t="shared" si="99"/>
        <v>Residential</v>
      </c>
      <c r="AG221" s="77" t="str">
        <f>tbl_Data[[#This Row],[All_Meas_Name_Append]]</f>
        <v>Energy Star Ground Source Heat Pump</v>
      </c>
      <c r="AH221" s="77">
        <f>AVERAGEIFS('3. Incentive Adjustment'!G:G,'3. Incentive Adjustment'!A:A,tbl_Data[[#This Row],[Trimmed Sector]],'3. Incentive Adjustment'!B:B,tbl_Data[[#This Row],[Trimmed Measure Name]])</f>
        <v>2.2369945105234762E-13</v>
      </c>
      <c r="AI221" s="77">
        <f>$AH221*tbl_Data[[#This Row],[2025 ]]</f>
        <v>5.3605590983527963E-14</v>
      </c>
      <c r="AJ221" s="77">
        <f>$AH221*tbl_Data[[#This Row],[2026 ]]</f>
        <v>6.2330080366251075E-14</v>
      </c>
      <c r="AK221" s="77">
        <f>$AH221*tbl_Data[[#This Row],[2027 ]]</f>
        <v>7.1217421935522317E-14</v>
      </c>
      <c r="AL221" s="77">
        <f>$AH221*tbl_Data[[#This Row],[2028 ]]</f>
        <v>8.0433849950399019E-14</v>
      </c>
      <c r="AM221" s="77">
        <f>$AH221*tbl_Data[[#This Row],[2029 ]]</f>
        <v>9.0035136841626668E-14</v>
      </c>
      <c r="AN221" s="77">
        <f>$AH221*tbl_Data[[#This Row],[2030 ]]</f>
        <v>9.9802131107440788E-14</v>
      </c>
      <c r="AO221" s="77">
        <f>$AH221*tbl_Data[[#This Row],[2031 ]]</f>
        <v>1.1052660975179647E-13</v>
      </c>
      <c r="AP221" s="77">
        <f>$AH221*tbl_Data[[#This Row],[2032 ]]</f>
        <v>1.2257140910993689E-13</v>
      </c>
      <c r="AQ221" s="77">
        <f>$AH221*tbl_Data[[#This Row],[2033 ]]</f>
        <v>1.3615557869883312E-13</v>
      </c>
      <c r="AR221" s="77">
        <f>$AH221*tbl_Data[[#This Row],[2034 ]]</f>
        <v>1.5148038486820606E-13</v>
      </c>
      <c r="AS221" s="77">
        <f>SUM(tbl_Data[[#This Row],[Adjusted 2025]:[Adjusted 2034]])</f>
        <v>9.7815819361354035E-13</v>
      </c>
      <c r="AT221" s="80">
        <f>AVERAGEIFS('3. Incentive Adjustment'!F:F,'3. Incentive Adjustment'!A:A,tbl_Data[[#This Row],[Trimmed Sector]],'3. Incentive Adjustment'!B:B,tbl_Data[[#This Row],[Trimmed Measure Name]])</f>
        <v>0</v>
      </c>
      <c r="AU221" s="80">
        <f>IFERROR(VLOOKUP(tbl_Data[[#This Row],[All_Meas_Name_Append]],'IRA Tax Credits'!$A$3:$D$46,4,0),0)</f>
        <v>41666.666666666672</v>
      </c>
      <c r="AV221" s="81">
        <f>tbl_Data[[#This Row],[Adj. per unit Incentive ($)]]/tbl_Data[[#This Row],[kWh Savings]]*tbl_Data[[#This Row],[Sum of Annuals]]</f>
        <v>0</v>
      </c>
      <c r="AW221" s="81" t="str">
        <f>IFERROR(VLOOKUP(tbl_Data[[#This Row],[Column1]],'1. Set Program Names'!$B$2:$D$15,3,0)*tbl_Data[[#This Row],[Sum of Annuals]],"")</f>
        <v/>
      </c>
      <c r="AX221" s="81">
        <f>tbl_Data[[#This Row],[per unit IRA tax ($)]]/tbl_Data[[#This Row],[kWh Savings]]*tbl_Data[[#This Row],[Sum of Annuals]]</f>
        <v>2.8908254295153049E-11</v>
      </c>
      <c r="AY221" s="81">
        <f>tbl_Data[[#This Row],[Avoided Costs ($/unit)]]/tbl_Data[[#This Row],[kWh Savings]]*tbl_Data[[#This Row],[Sum of Annuals]]</f>
        <v>7.2975412491952271E-13</v>
      </c>
      <c r="AZ221" s="81">
        <f>tbl_Data[[#This Row],[Lost Revenue ($/unit)]]/tbl_Data[[#This Row],[kWh Savings]]*tbl_Data[[#This Row],[Sum of Annuals]]</f>
        <v>1.6486786413365328E-12</v>
      </c>
      <c r="BA221" s="81">
        <f>tbl_Data[[#This Row],[Incremental Cost ($/unit)]]/tbl_Data[[#This Row],[kWh Savings]]*tbl_Data[[#This Row],[Sum of Annuals]]</f>
        <v>1.1035552627648835E-11</v>
      </c>
      <c r="BB221" s="77">
        <f>ROUNDUP(tbl_Data[[#This Row],[Adjusted 2025]]/$L221,0)</f>
        <v>1</v>
      </c>
      <c r="BC221" s="77">
        <f>ROUNDUP(tbl_Data[[#This Row],[Adjusted 2026]]/$L221,0)</f>
        <v>1</v>
      </c>
      <c r="BD221" s="77">
        <f>ROUNDUP(tbl_Data[[#This Row],[Adjusted 2027]]/$L221,0)</f>
        <v>1</v>
      </c>
      <c r="BE221" s="77">
        <f>ROUNDUP(tbl_Data[[#This Row],[Adjusted 2028]]/$L221,0)</f>
        <v>1</v>
      </c>
      <c r="BF221" s="77">
        <f>ROUNDUP(tbl_Data[[#This Row],[Adjusted 2029]]/$L221,0)</f>
        <v>1</v>
      </c>
      <c r="BG221" s="77">
        <f>ROUNDUP(tbl_Data[[#This Row],[Adjusted 2030]]/$L221,0)</f>
        <v>1</v>
      </c>
      <c r="BH221" s="77">
        <f>ROUNDUP(tbl_Data[[#This Row],[Adjusted 2031]]/$L221,0)</f>
        <v>1</v>
      </c>
      <c r="BI221" s="77">
        <f>ROUNDUP(tbl_Data[[#This Row],[Adjusted 2032]]/$L221,0)</f>
        <v>1</v>
      </c>
      <c r="BJ221" s="77">
        <f>ROUNDUP(tbl_Data[[#This Row],[Adjusted 2033]]/$L221,0)</f>
        <v>1</v>
      </c>
      <c r="BK221" s="77">
        <f>ROUNDUP(tbl_Data[[#This Row],[Adjusted 2034]]/$L221,0)</f>
        <v>1</v>
      </c>
      <c r="BL221" s="80">
        <f t="shared" si="100"/>
        <v>0</v>
      </c>
      <c r="BM221" s="80">
        <f t="shared" si="101"/>
        <v>0</v>
      </c>
      <c r="BN221" s="80">
        <f t="shared" si="102"/>
        <v>0</v>
      </c>
      <c r="BO221" s="80">
        <f t="shared" si="103"/>
        <v>0</v>
      </c>
      <c r="BP221" s="80">
        <f t="shared" si="104"/>
        <v>0</v>
      </c>
      <c r="BQ221" s="80">
        <f t="shared" si="105"/>
        <v>0</v>
      </c>
      <c r="BR221" s="80">
        <f t="shared" si="106"/>
        <v>0</v>
      </c>
      <c r="BS221" s="80">
        <f t="shared" si="107"/>
        <v>0</v>
      </c>
      <c r="BT221" s="80">
        <f t="shared" si="108"/>
        <v>0</v>
      </c>
      <c r="BU221" s="80">
        <f t="shared" si="109"/>
        <v>0</v>
      </c>
      <c r="BV221" s="80" t="str">
        <f>IFERROR(VLOOKUP($H221,'1. Set Program Names'!$B$2:$D$15,3,0)*V221,"NA")</f>
        <v>NA</v>
      </c>
      <c r="BW221" s="80" t="str">
        <f>IFERROR(VLOOKUP($H221,'1. Set Program Names'!$B$2:$D$15,3,0)*W221,"NA")</f>
        <v>NA</v>
      </c>
      <c r="BX221" s="80" t="str">
        <f>IFERROR(VLOOKUP($H221,'1. Set Program Names'!$B$2:$D$15,3,0)*X221,"NA")</f>
        <v>NA</v>
      </c>
      <c r="BY221" s="80" t="str">
        <f>IFERROR(VLOOKUP($H221,'1. Set Program Names'!$B$2:$D$15,3,0)*Y221,"NA")</f>
        <v>NA</v>
      </c>
      <c r="BZ221" s="80" t="str">
        <f>IFERROR(VLOOKUP($H221,'1. Set Program Names'!$B$2:$D$15,3,0)*Z221,"NA")</f>
        <v>NA</v>
      </c>
      <c r="CA221" s="80" t="str">
        <f>IFERROR(VLOOKUP($H221,'1. Set Program Names'!$B$2:$D$15,3,0)*AA221,"NA")</f>
        <v>NA</v>
      </c>
      <c r="CB221" s="80" t="str">
        <f>IFERROR(VLOOKUP($H221,'1. Set Program Names'!$B$2:$D$15,3,0)*AB221,"NA")</f>
        <v>NA</v>
      </c>
      <c r="CC221" s="80" t="str">
        <f>IFERROR(VLOOKUP($H221,'1. Set Program Names'!$B$2:$D$15,3,0)*AC221,"NA")</f>
        <v>NA</v>
      </c>
      <c r="CD221" s="80" t="str">
        <f>IFERROR(VLOOKUP($H221,'1. Set Program Names'!$B$2:$D$15,3,0)*AD221,"NA")</f>
        <v>NA</v>
      </c>
      <c r="CE221" s="80" t="str">
        <f>IFERROR(VLOOKUP($H221,'1. Set Program Names'!$B$2:$D$15,3,0)*AE221,"NA")</f>
        <v>NA</v>
      </c>
    </row>
    <row r="222" spans="1:83" x14ac:dyDescent="0.25">
      <c r="A222" s="79" t="s">
        <v>114</v>
      </c>
      <c r="B222" s="79" t="s">
        <v>88</v>
      </c>
      <c r="C222" s="79" t="s">
        <v>89</v>
      </c>
      <c r="D222" s="79" t="s">
        <v>90</v>
      </c>
      <c r="E222" s="79" t="s">
        <v>91</v>
      </c>
      <c r="F222" s="79" t="s">
        <v>90</v>
      </c>
      <c r="G222" s="79" t="s">
        <v>92</v>
      </c>
      <c r="H222" s="79" t="s">
        <v>273</v>
      </c>
      <c r="I222" s="79" t="s">
        <v>106</v>
      </c>
      <c r="J222" s="79" t="s">
        <v>97</v>
      </c>
      <c r="K222" s="79" t="s">
        <v>98</v>
      </c>
      <c r="L222" s="79">
        <v>127.25</v>
      </c>
      <c r="M222" s="79">
        <v>7.3045840411791796E-2</v>
      </c>
      <c r="N222" s="79">
        <v>3.5010079032079199E-4</v>
      </c>
      <c r="O222" s="79">
        <v>41.15</v>
      </c>
      <c r="P222" s="79">
        <v>10.3198699999999</v>
      </c>
      <c r="Q222" s="79">
        <v>0.12725</v>
      </c>
      <c r="R222" s="79">
        <v>86.902802703254196</v>
      </c>
      <c r="S222" s="79">
        <v>140.464426641062</v>
      </c>
      <c r="T222" s="79">
        <v>12</v>
      </c>
      <c r="U222" s="79">
        <v>1</v>
      </c>
      <c r="V222" s="79">
        <f>tbl_Data_old[[#This Row],[2025 ]]*IFERROR(AVERAGEIFS('Participation Adjustment'!$C:$C,'Participation Adjustment'!$A:$A,$H222,'Participation Adjustment'!$B:$B,$I222),1)</f>
        <v>8.4965151953199491</v>
      </c>
      <c r="W222" s="79">
        <f>tbl_Data_old[[#This Row],[2026 ]]*IFERROR(AVERAGEIFS('Participation Adjustment'!$C:$C,'Participation Adjustment'!$A:$A,$H222,'Participation Adjustment'!$B:$B,$I222),1)</f>
        <v>9.0011384233780696</v>
      </c>
      <c r="X222" s="79">
        <f>tbl_Data_old[[#This Row],[2027 ]]*IFERROR(AVERAGEIFS('Participation Adjustment'!$C:$C,'Participation Adjustment'!$A:$A,$H222,'Participation Adjustment'!$B:$B,$I222),1)</f>
        <v>9.3456206245876796</v>
      </c>
      <c r="Y222" s="79">
        <f>tbl_Data_old[[#This Row],[2028 ]]*IFERROR(AVERAGEIFS('Participation Adjustment'!$C:$C,'Participation Adjustment'!$A:$A,$H222,'Participation Adjustment'!$B:$B,$I222),1)</f>
        <v>9.6174313973534993</v>
      </c>
      <c r="Z222" s="79">
        <f>tbl_Data_old[[#This Row],[2029 ]]*IFERROR(AVERAGEIFS('Participation Adjustment'!$C:$C,'Participation Adjustment'!$A:$A,$H222,'Participation Adjustment'!$B:$B,$I222),1)</f>
        <v>9.8593791008073595</v>
      </c>
      <c r="AA222" s="79">
        <f>tbl_Data_old[[#This Row],[2030 ]]*IFERROR(AVERAGEIFS('Participation Adjustment'!$C:$C,'Participation Adjustment'!$A:$A,$H222,'Participation Adjustment'!$B:$B,$I222),1)</f>
        <v>10.050306119190999</v>
      </c>
      <c r="AB222" s="79">
        <f>tbl_Data_old[[#This Row],[2031 ]]*IFERROR(AVERAGEIFS('Participation Adjustment'!$C:$C,'Participation Adjustment'!$A:$A,$H222,'Participation Adjustment'!$B:$B,$I222),1)</f>
        <v>10.278242980977801</v>
      </c>
      <c r="AC222" s="79">
        <f>tbl_Data_old[[#This Row],[2032 ]]*IFERROR(AVERAGEIFS('Participation Adjustment'!$C:$C,'Participation Adjustment'!$A:$A,$H222,'Participation Adjustment'!$B:$B,$I222),1)</f>
        <v>10.5530315025654</v>
      </c>
      <c r="AD222" s="79">
        <f>tbl_Data_old[[#This Row],[2033 ]]*IFERROR(AVERAGEIFS('Participation Adjustment'!$C:$C,'Participation Adjustment'!$A:$A,$H222,'Participation Adjustment'!$B:$B,$I222),1)</f>
        <v>10.8820181965092</v>
      </c>
      <c r="AE222" s="79">
        <f>tbl_Data_old[[#This Row],[2034 ]]*IFERROR(AVERAGEIFS('Participation Adjustment'!$C:$C,'Participation Adjustment'!$A:$A,$H222,'Participation Adjustment'!$B:$B,$I222),1)</f>
        <v>11.263262319561401</v>
      </c>
      <c r="AF222" s="77" t="str">
        <f t="shared" si="99"/>
        <v>Residential</v>
      </c>
      <c r="AG222" s="77" t="str">
        <f>tbl_Data[[#This Row],[All_Meas_Name_Append]]</f>
        <v>Energy Star Room AC Residential</v>
      </c>
      <c r="AH222" s="77">
        <f>AVERAGEIFS('3. Incentive Adjustment'!G:G,'3. Incentive Adjustment'!A:A,tbl_Data[[#This Row],[Trimmed Sector]],'3. Incentive Adjustment'!B:B,tbl_Data[[#This Row],[Trimmed Measure Name]])</f>
        <v>0.8073629241290271</v>
      </c>
      <c r="AI222" s="77">
        <f>$AH222*tbl_Data[[#This Row],[2025 ]]</f>
        <v>6.8597713530002258</v>
      </c>
      <c r="AJ222" s="77">
        <f>$AH222*tbl_Data[[#This Row],[2026 ]]</f>
        <v>7.2671854379886591</v>
      </c>
      <c r="AK222" s="77">
        <f>$AH222*tbl_Data[[#This Row],[2027 ]]</f>
        <v>7.545307595267654</v>
      </c>
      <c r="AL222" s="77">
        <f>$AH222*tbl_Data[[#This Row],[2028 ]]</f>
        <v>7.7647575355776359</v>
      </c>
      <c r="AM222" s="77">
        <f>$AH222*tbl_Data[[#This Row],[2029 ]]</f>
        <v>7.9600971409244474</v>
      </c>
      <c r="AN222" s="77">
        <f>$AH222*tbl_Data[[#This Row],[2030 ]]</f>
        <v>8.1142445367819001</v>
      </c>
      <c r="AO222" s="77">
        <f>$AH222*tbl_Data[[#This Row],[2031 ]]</f>
        <v>8.2982723080308851</v>
      </c>
      <c r="AP222" s="77">
        <f>$AH222*tbl_Data[[#This Row],[2032 ]]</f>
        <v>8.5201263723369411</v>
      </c>
      <c r="AQ222" s="77">
        <f>$AH222*tbl_Data[[#This Row],[2033 ]]</f>
        <v>8.7857380315589495</v>
      </c>
      <c r="AR222" s="77">
        <f>$AH222*tbl_Data[[#This Row],[2034 ]]</f>
        <v>9.0935404015533816</v>
      </c>
      <c r="AS222" s="77">
        <f>SUM(tbl_Data[[#This Row],[Adjusted 2025]:[Adjusted 2034]])</f>
        <v>80.209040713020698</v>
      </c>
      <c r="AT222" s="80">
        <f>AVERAGEIFS('3. Incentive Adjustment'!F:F,'3. Incentive Adjustment'!A:A,tbl_Data[[#This Row],[Trimmed Sector]],'3. Incentive Adjustment'!B:B,tbl_Data[[#This Row],[Trimmed Measure Name]])</f>
        <v>0</v>
      </c>
      <c r="AU222" s="80">
        <f>IFERROR(VLOOKUP(tbl_Data[[#This Row],[All_Meas_Name_Append]],'IRA Tax Credits'!$A$3:$D$46,4,0),0)</f>
        <v>0</v>
      </c>
      <c r="AV222" s="81">
        <f>tbl_Data[[#This Row],[Adj. per unit Incentive ($)]]/tbl_Data[[#This Row],[kWh Savings]]*tbl_Data[[#This Row],[Sum of Annuals]]</f>
        <v>0</v>
      </c>
      <c r="AW222" s="81" t="str">
        <f>IFERROR(VLOOKUP(tbl_Data[[#This Row],[Column1]],'1. Set Program Names'!$B$2:$D$15,3,0)*tbl_Data[[#This Row],[Sum of Annuals]],"")</f>
        <v/>
      </c>
      <c r="AX222" s="81">
        <f>tbl_Data[[#This Row],[per unit IRA tax ($)]]/tbl_Data[[#This Row],[kWh Savings]]*tbl_Data[[#This Row],[Sum of Annuals]]</f>
        <v>0</v>
      </c>
      <c r="AY222" s="81">
        <f>tbl_Data[[#This Row],[Avoided Costs ($/unit)]]/tbl_Data[[#This Row],[kWh Savings]]*tbl_Data[[#This Row],[Sum of Annuals]]</f>
        <v>54.777135089201735</v>
      </c>
      <c r="AZ222" s="81">
        <f>tbl_Data[[#This Row],[Lost Revenue ($/unit)]]/tbl_Data[[#This Row],[kWh Savings]]*tbl_Data[[#This Row],[Sum of Annuals]]</f>
        <v>88.538443341328502</v>
      </c>
      <c r="BA222" s="81">
        <f>tbl_Data[[#This Row],[Incremental Cost ($/unit)]]/tbl_Data[[#This Row],[kWh Savings]]*tbl_Data[[#This Row],[Sum of Annuals]]</f>
        <v>25.937933401499425</v>
      </c>
      <c r="BB222" s="77">
        <f>ROUNDUP(tbl_Data[[#This Row],[Adjusted 2025]]/$L222,0)</f>
        <v>1</v>
      </c>
      <c r="BC222" s="77">
        <f>ROUNDUP(tbl_Data[[#This Row],[Adjusted 2026]]/$L222,0)</f>
        <v>1</v>
      </c>
      <c r="BD222" s="77">
        <f>ROUNDUP(tbl_Data[[#This Row],[Adjusted 2027]]/$L222,0)</f>
        <v>1</v>
      </c>
      <c r="BE222" s="77">
        <f>ROUNDUP(tbl_Data[[#This Row],[Adjusted 2028]]/$L222,0)</f>
        <v>1</v>
      </c>
      <c r="BF222" s="77">
        <f>ROUNDUP(tbl_Data[[#This Row],[Adjusted 2029]]/$L222,0)</f>
        <v>1</v>
      </c>
      <c r="BG222" s="77">
        <f>ROUNDUP(tbl_Data[[#This Row],[Adjusted 2030]]/$L222,0)</f>
        <v>1</v>
      </c>
      <c r="BH222" s="77">
        <f>ROUNDUP(tbl_Data[[#This Row],[Adjusted 2031]]/$L222,0)</f>
        <v>1</v>
      </c>
      <c r="BI222" s="77">
        <f>ROUNDUP(tbl_Data[[#This Row],[Adjusted 2032]]/$L222,0)</f>
        <v>1</v>
      </c>
      <c r="BJ222" s="77">
        <f>ROUNDUP(tbl_Data[[#This Row],[Adjusted 2033]]/$L222,0)</f>
        <v>1</v>
      </c>
      <c r="BK222" s="77">
        <f>ROUNDUP(tbl_Data[[#This Row],[Adjusted 2034]]/$L222,0)</f>
        <v>1</v>
      </c>
      <c r="BL222" s="80">
        <f t="shared" si="100"/>
        <v>0</v>
      </c>
      <c r="BM222" s="80">
        <f t="shared" si="101"/>
        <v>0</v>
      </c>
      <c r="BN222" s="80">
        <f t="shared" si="102"/>
        <v>0</v>
      </c>
      <c r="BO222" s="80">
        <f t="shared" si="103"/>
        <v>0</v>
      </c>
      <c r="BP222" s="80">
        <f t="shared" si="104"/>
        <v>0</v>
      </c>
      <c r="BQ222" s="80">
        <f t="shared" si="105"/>
        <v>0</v>
      </c>
      <c r="BR222" s="80">
        <f t="shared" si="106"/>
        <v>0</v>
      </c>
      <c r="BS222" s="80">
        <f t="shared" si="107"/>
        <v>0</v>
      </c>
      <c r="BT222" s="80">
        <f t="shared" si="108"/>
        <v>0</v>
      </c>
      <c r="BU222" s="80">
        <f t="shared" si="109"/>
        <v>0</v>
      </c>
      <c r="BV222" s="80" t="str">
        <f>IFERROR(VLOOKUP($H222,'1. Set Program Names'!$B$2:$D$15,3,0)*V222,"NA")</f>
        <v>NA</v>
      </c>
      <c r="BW222" s="80" t="str">
        <f>IFERROR(VLOOKUP($H222,'1. Set Program Names'!$B$2:$D$15,3,0)*W222,"NA")</f>
        <v>NA</v>
      </c>
      <c r="BX222" s="80" t="str">
        <f>IFERROR(VLOOKUP($H222,'1. Set Program Names'!$B$2:$D$15,3,0)*X222,"NA")</f>
        <v>NA</v>
      </c>
      <c r="BY222" s="80" t="str">
        <f>IFERROR(VLOOKUP($H222,'1. Set Program Names'!$B$2:$D$15,3,0)*Y222,"NA")</f>
        <v>NA</v>
      </c>
      <c r="BZ222" s="80" t="str">
        <f>IFERROR(VLOOKUP($H222,'1. Set Program Names'!$B$2:$D$15,3,0)*Z222,"NA")</f>
        <v>NA</v>
      </c>
      <c r="CA222" s="80" t="str">
        <f>IFERROR(VLOOKUP($H222,'1. Set Program Names'!$B$2:$D$15,3,0)*AA222,"NA")</f>
        <v>NA</v>
      </c>
      <c r="CB222" s="80" t="str">
        <f>IFERROR(VLOOKUP($H222,'1. Set Program Names'!$B$2:$D$15,3,0)*AB222,"NA")</f>
        <v>NA</v>
      </c>
      <c r="CC222" s="80" t="str">
        <f>IFERROR(VLOOKUP($H222,'1. Set Program Names'!$B$2:$D$15,3,0)*AC222,"NA")</f>
        <v>NA</v>
      </c>
      <c r="CD222" s="80" t="str">
        <f>IFERROR(VLOOKUP($H222,'1. Set Program Names'!$B$2:$D$15,3,0)*AD222,"NA")</f>
        <v>NA</v>
      </c>
      <c r="CE222" s="80" t="str">
        <f>IFERROR(VLOOKUP($H222,'1. Set Program Names'!$B$2:$D$15,3,0)*AE222,"NA")</f>
        <v>NA</v>
      </c>
    </row>
    <row r="223" spans="1:83" x14ac:dyDescent="0.25">
      <c r="A223" s="79" t="s">
        <v>114</v>
      </c>
      <c r="B223" s="79" t="s">
        <v>88</v>
      </c>
      <c r="C223" s="79" t="s">
        <v>89</v>
      </c>
      <c r="D223" s="79" t="s">
        <v>90</v>
      </c>
      <c r="E223" s="79" t="s">
        <v>91</v>
      </c>
      <c r="F223" s="79" t="s">
        <v>90</v>
      </c>
      <c r="G223" s="79" t="s">
        <v>92</v>
      </c>
      <c r="H223" s="79" t="s">
        <v>273</v>
      </c>
      <c r="I223" s="79" t="s">
        <v>111</v>
      </c>
      <c r="J223" s="79" t="s">
        <v>97</v>
      </c>
      <c r="K223" s="79" t="s">
        <v>102</v>
      </c>
      <c r="L223" s="79">
        <v>586.59333333333302</v>
      </c>
      <c r="M223" s="79">
        <v>0.33672458163683799</v>
      </c>
      <c r="N223" s="79">
        <v>1.6138843976181299E-3</v>
      </c>
      <c r="O223" s="79">
        <v>250</v>
      </c>
      <c r="P223" s="79">
        <v>142.46266525790699</v>
      </c>
      <c r="Q223" s="79">
        <v>0.58659333333333297</v>
      </c>
      <c r="R223" s="79">
        <v>435.979615776</v>
      </c>
      <c r="S223" s="79">
        <v>718.05871460051901</v>
      </c>
      <c r="T223" s="79">
        <v>14</v>
      </c>
      <c r="U223" s="79">
        <v>1</v>
      </c>
      <c r="V223" s="79">
        <f>tbl_Data_old[[#This Row],[2025 ]]*IFERROR(AVERAGEIFS('Participation Adjustment'!$C:$C,'Participation Adjustment'!$A:$A,$H223,'Participation Adjustment'!$B:$B,$I223),1)</f>
        <v>49.245731772974999</v>
      </c>
      <c r="W223" s="79">
        <f>tbl_Data_old[[#This Row],[2026 ]]*IFERROR(AVERAGEIFS('Participation Adjustment'!$C:$C,'Participation Adjustment'!$A:$A,$H223,'Participation Adjustment'!$B:$B,$I223),1)</f>
        <v>66.911932432216105</v>
      </c>
      <c r="X223" s="79">
        <f>tbl_Data_old[[#This Row],[2027 ]]*IFERROR(AVERAGEIFS('Participation Adjustment'!$C:$C,'Participation Adjustment'!$A:$A,$H223,'Participation Adjustment'!$B:$B,$I223),1)</f>
        <v>86.474235385246999</v>
      </c>
      <c r="Y223" s="79">
        <f>tbl_Data_old[[#This Row],[2028 ]]*IFERROR(AVERAGEIFS('Participation Adjustment'!$C:$C,'Participation Adjustment'!$A:$A,$H223,'Participation Adjustment'!$B:$B,$I223),1)</f>
        <v>107.29895939375599</v>
      </c>
      <c r="Z223" s="79">
        <f>tbl_Data_old[[#This Row],[2029 ]]*IFERROR(AVERAGEIFS('Participation Adjustment'!$C:$C,'Participation Adjustment'!$A:$A,$H223,'Participation Adjustment'!$B:$B,$I223),1)</f>
        <v>128.260686152207</v>
      </c>
      <c r="AA223" s="79">
        <f>tbl_Data_old[[#This Row],[2030 ]]*IFERROR(AVERAGEIFS('Participation Adjustment'!$C:$C,'Participation Adjustment'!$A:$A,$H223,'Participation Adjustment'!$B:$B,$I223),1)</f>
        <v>147.39876455167001</v>
      </c>
      <c r="AB223" s="79">
        <f>tbl_Data_old[[#This Row],[2031 ]]*IFERROR(AVERAGEIFS('Participation Adjustment'!$C:$C,'Participation Adjustment'!$A:$A,$H223,'Participation Adjustment'!$B:$B,$I223),1)</f>
        <v>164.76123974306901</v>
      </c>
      <c r="AC223" s="79">
        <f>tbl_Data_old[[#This Row],[2032 ]]*IFERROR(AVERAGEIFS('Participation Adjustment'!$C:$C,'Participation Adjustment'!$A:$A,$H223,'Participation Adjustment'!$B:$B,$I223),1)</f>
        <v>180.123209889468</v>
      </c>
      <c r="AD223" s="79">
        <f>tbl_Data_old[[#This Row],[2033 ]]*IFERROR(AVERAGEIFS('Participation Adjustment'!$C:$C,'Participation Adjustment'!$A:$A,$H223,'Participation Adjustment'!$B:$B,$I223),1)</f>
        <v>193.86329679088701</v>
      </c>
      <c r="AE223" s="79">
        <f>tbl_Data_old[[#This Row],[2034 ]]*IFERROR(AVERAGEIFS('Participation Adjustment'!$C:$C,'Participation Adjustment'!$A:$A,$H223,'Participation Adjustment'!$B:$B,$I223),1)</f>
        <v>206.511600059747</v>
      </c>
      <c r="AF223" s="77" t="str">
        <f t="shared" si="99"/>
        <v>Residential</v>
      </c>
      <c r="AG223" s="77" t="str">
        <f>tbl_Data[[#This Row],[All_Meas_Name_Append]]</f>
        <v>Properly Sized CAC</v>
      </c>
      <c r="AH223" s="77">
        <f>AVERAGEIFS('3. Incentive Adjustment'!G:G,'3. Incentive Adjustment'!A:A,tbl_Data[[#This Row],[Trimmed Sector]],'3. Incentive Adjustment'!B:B,tbl_Data[[#This Row],[Trimmed Measure Name]])</f>
        <v>0.52686902587198514</v>
      </c>
      <c r="AI223" s="77">
        <f>$AH223*tbl_Data[[#This Row],[2025 ]]</f>
        <v>25.946050727580406</v>
      </c>
      <c r="AJ223" s="77">
        <f>$AH223*tbl_Data[[#This Row],[2026 ]]</f>
        <v>35.253824659773791</v>
      </c>
      <c r="AK223" s="77">
        <f>$AH223*tbl_Data[[#This Row],[2027 ]]</f>
        <v>45.560596160449833</v>
      </c>
      <c r="AL223" s="77">
        <f>$AH223*tbl_Data[[#This Row],[2028 ]]</f>
        <v>56.53249821286591</v>
      </c>
      <c r="AM223" s="77">
        <f>$AH223*tbl_Data[[#This Row],[2029 ]]</f>
        <v>67.576582770685718</v>
      </c>
      <c r="AN223" s="77">
        <f>$AH223*tbl_Data[[#This Row],[2030 ]]</f>
        <v>77.659843494072476</v>
      </c>
      <c r="AO223" s="77">
        <f>$AH223*tbl_Data[[#This Row],[2031 ]]</f>
        <v>86.807593884891375</v>
      </c>
      <c r="AP223" s="77">
        <f>$AH223*tbl_Data[[#This Row],[2032 ]]</f>
        <v>94.901340131399124</v>
      </c>
      <c r="AQ223" s="77">
        <f>$AH223*tbl_Data[[#This Row],[2033 ]]</f>
        <v>102.14056633254619</v>
      </c>
      <c r="AR223" s="77">
        <f>$AH223*tbl_Data[[#This Row],[2034 ]]</f>
        <v>108.80456555474389</v>
      </c>
      <c r="AS223" s="77">
        <f>SUM(tbl_Data[[#This Row],[Adjusted 2025]:[Adjusted 2034]])</f>
        <v>701.18346192900879</v>
      </c>
      <c r="AT223" s="80">
        <f>AVERAGEIFS('3. Incentive Adjustment'!F:F,'3. Incentive Adjustment'!A:A,tbl_Data[[#This Row],[Trimmed Sector]],'3. Incentive Adjustment'!B:B,tbl_Data[[#This Row],[Trimmed Measure Name]])</f>
        <v>0</v>
      </c>
      <c r="AU223" s="80">
        <f>IFERROR(VLOOKUP(tbl_Data[[#This Row],[All_Meas_Name_Append]],'IRA Tax Credits'!$A$3:$D$46,4,0),0)</f>
        <v>0</v>
      </c>
      <c r="AV223" s="81">
        <f>tbl_Data[[#This Row],[Adj. per unit Incentive ($)]]/tbl_Data[[#This Row],[kWh Savings]]*tbl_Data[[#This Row],[Sum of Annuals]]</f>
        <v>0</v>
      </c>
      <c r="AW223" s="81" t="str">
        <f>IFERROR(VLOOKUP(tbl_Data[[#This Row],[Column1]],'1. Set Program Names'!$B$2:$D$15,3,0)*tbl_Data[[#This Row],[Sum of Annuals]],"")</f>
        <v/>
      </c>
      <c r="AX223" s="81">
        <f>tbl_Data[[#This Row],[per unit IRA tax ($)]]/tbl_Data[[#This Row],[kWh Savings]]*tbl_Data[[#This Row],[Sum of Annuals]]</f>
        <v>0</v>
      </c>
      <c r="AY223" s="81">
        <f>tbl_Data[[#This Row],[Avoided Costs ($/unit)]]/tbl_Data[[#This Row],[kWh Savings]]*tbl_Data[[#This Row],[Sum of Annuals]]</f>
        <v>521.14758035713828</v>
      </c>
      <c r="AZ223" s="81">
        <f>tbl_Data[[#This Row],[Lost Revenue ($/unit)]]/tbl_Data[[#This Row],[kWh Savings]]*tbl_Data[[#This Row],[Sum of Annuals]]</f>
        <v>858.33040841222123</v>
      </c>
      <c r="BA223" s="81">
        <f>tbl_Data[[#This Row],[Incremental Cost ($/unit)]]/tbl_Data[[#This Row],[kWh Savings]]*tbl_Data[[#This Row],[Sum of Annuals]]</f>
        <v>298.83712534905322</v>
      </c>
      <c r="BB223" s="77">
        <f>ROUNDUP(tbl_Data[[#This Row],[Adjusted 2025]]/$L223,0)</f>
        <v>1</v>
      </c>
      <c r="BC223" s="77">
        <f>ROUNDUP(tbl_Data[[#This Row],[Adjusted 2026]]/$L223,0)</f>
        <v>1</v>
      </c>
      <c r="BD223" s="77">
        <f>ROUNDUP(tbl_Data[[#This Row],[Adjusted 2027]]/$L223,0)</f>
        <v>1</v>
      </c>
      <c r="BE223" s="77">
        <f>ROUNDUP(tbl_Data[[#This Row],[Adjusted 2028]]/$L223,0)</f>
        <v>1</v>
      </c>
      <c r="BF223" s="77">
        <f>ROUNDUP(tbl_Data[[#This Row],[Adjusted 2029]]/$L223,0)</f>
        <v>1</v>
      </c>
      <c r="BG223" s="77">
        <f>ROUNDUP(tbl_Data[[#This Row],[Adjusted 2030]]/$L223,0)</f>
        <v>1</v>
      </c>
      <c r="BH223" s="77">
        <f>ROUNDUP(tbl_Data[[#This Row],[Adjusted 2031]]/$L223,0)</f>
        <v>1</v>
      </c>
      <c r="BI223" s="77">
        <f>ROUNDUP(tbl_Data[[#This Row],[Adjusted 2032]]/$L223,0)</f>
        <v>1</v>
      </c>
      <c r="BJ223" s="77">
        <f>ROUNDUP(tbl_Data[[#This Row],[Adjusted 2033]]/$L223,0)</f>
        <v>1</v>
      </c>
      <c r="BK223" s="77">
        <f>ROUNDUP(tbl_Data[[#This Row],[Adjusted 2034]]/$L223,0)</f>
        <v>1</v>
      </c>
      <c r="BL223" s="80">
        <f t="shared" si="100"/>
        <v>0</v>
      </c>
      <c r="BM223" s="80">
        <f t="shared" si="101"/>
        <v>0</v>
      </c>
      <c r="BN223" s="80">
        <f t="shared" si="102"/>
        <v>0</v>
      </c>
      <c r="BO223" s="80">
        <f t="shared" si="103"/>
        <v>0</v>
      </c>
      <c r="BP223" s="80">
        <f t="shared" si="104"/>
        <v>0</v>
      </c>
      <c r="BQ223" s="80">
        <f t="shared" si="105"/>
        <v>0</v>
      </c>
      <c r="BR223" s="80">
        <f t="shared" si="106"/>
        <v>0</v>
      </c>
      <c r="BS223" s="80">
        <f t="shared" si="107"/>
        <v>0</v>
      </c>
      <c r="BT223" s="80">
        <f t="shared" si="108"/>
        <v>0</v>
      </c>
      <c r="BU223" s="80">
        <f t="shared" si="109"/>
        <v>0</v>
      </c>
      <c r="BV223" s="80" t="str">
        <f>IFERROR(VLOOKUP($H223,'1. Set Program Names'!$B$2:$D$15,3,0)*V223,"NA")</f>
        <v>NA</v>
      </c>
      <c r="BW223" s="80" t="str">
        <f>IFERROR(VLOOKUP($H223,'1. Set Program Names'!$B$2:$D$15,3,0)*W223,"NA")</f>
        <v>NA</v>
      </c>
      <c r="BX223" s="80" t="str">
        <f>IFERROR(VLOOKUP($H223,'1. Set Program Names'!$B$2:$D$15,3,0)*X223,"NA")</f>
        <v>NA</v>
      </c>
      <c r="BY223" s="80" t="str">
        <f>IFERROR(VLOOKUP($H223,'1. Set Program Names'!$B$2:$D$15,3,0)*Y223,"NA")</f>
        <v>NA</v>
      </c>
      <c r="BZ223" s="80" t="str">
        <f>IFERROR(VLOOKUP($H223,'1. Set Program Names'!$B$2:$D$15,3,0)*Z223,"NA")</f>
        <v>NA</v>
      </c>
      <c r="CA223" s="80" t="str">
        <f>IFERROR(VLOOKUP($H223,'1. Set Program Names'!$B$2:$D$15,3,0)*AA223,"NA")</f>
        <v>NA</v>
      </c>
      <c r="CB223" s="80" t="str">
        <f>IFERROR(VLOOKUP($H223,'1. Set Program Names'!$B$2:$D$15,3,0)*AB223,"NA")</f>
        <v>NA</v>
      </c>
      <c r="CC223" s="80" t="str">
        <f>IFERROR(VLOOKUP($H223,'1. Set Program Names'!$B$2:$D$15,3,0)*AC223,"NA")</f>
        <v>NA</v>
      </c>
      <c r="CD223" s="80" t="str">
        <f>IFERROR(VLOOKUP($H223,'1. Set Program Names'!$B$2:$D$15,3,0)*AD223,"NA")</f>
        <v>NA</v>
      </c>
      <c r="CE223" s="80" t="str">
        <f>IFERROR(VLOOKUP($H223,'1. Set Program Names'!$B$2:$D$15,3,0)*AE223,"NA")</f>
        <v>NA</v>
      </c>
    </row>
    <row r="224" spans="1:83" x14ac:dyDescent="0.25">
      <c r="A224" s="79" t="s">
        <v>115</v>
      </c>
      <c r="B224" s="79" t="s">
        <v>88</v>
      </c>
      <c r="C224" s="79" t="s">
        <v>89</v>
      </c>
      <c r="D224" s="79" t="s">
        <v>90</v>
      </c>
      <c r="E224" s="79" t="s">
        <v>91</v>
      </c>
      <c r="F224" s="79" t="s">
        <v>90</v>
      </c>
      <c r="G224" s="79" t="s">
        <v>92</v>
      </c>
      <c r="H224" s="79" t="s">
        <v>273</v>
      </c>
      <c r="I224" s="79" t="s">
        <v>301</v>
      </c>
      <c r="J224" s="79" t="s">
        <v>302</v>
      </c>
      <c r="K224" s="79" t="s">
        <v>104</v>
      </c>
      <c r="L224" s="79">
        <v>275.64999999999901</v>
      </c>
      <c r="M224" s="79">
        <v>4.0357303140515798E-2</v>
      </c>
      <c r="N224" s="79">
        <v>4.1157633527981498E-2</v>
      </c>
      <c r="O224" s="79">
        <v>86.42</v>
      </c>
      <c r="P224" s="79">
        <v>19.6355180000002</v>
      </c>
      <c r="Q224" s="79">
        <v>0.27564999999999901</v>
      </c>
      <c r="R224" s="79">
        <v>112.309715968343</v>
      </c>
      <c r="S224" s="79">
        <v>337.427777357906</v>
      </c>
      <c r="T224" s="79">
        <v>14</v>
      </c>
      <c r="U224" s="79">
        <v>1</v>
      </c>
      <c r="V224" s="79">
        <f>tbl_Data_old[[#This Row],[2025 ]]*IFERROR(AVERAGEIFS('Participation Adjustment'!$C:$C,'Participation Adjustment'!$A:$A,$H224,'Participation Adjustment'!$B:$B,$I224),1)</f>
        <v>5.3725367897417096</v>
      </c>
      <c r="W224" s="79">
        <f>tbl_Data_old[[#This Row],[2026 ]]*IFERROR(AVERAGEIFS('Participation Adjustment'!$C:$C,'Participation Adjustment'!$A:$A,$H224,'Participation Adjustment'!$B:$B,$I224),1)</f>
        <v>12.7899437630658</v>
      </c>
      <c r="X224" s="79">
        <f>tbl_Data_old[[#This Row],[2027 ]]*IFERROR(AVERAGEIFS('Participation Adjustment'!$C:$C,'Participation Adjustment'!$A:$A,$H224,'Participation Adjustment'!$B:$B,$I224),1)</f>
        <v>22.5041133117385</v>
      </c>
      <c r="Y224" s="79">
        <f>tbl_Data_old[[#This Row],[2028 ]]*IFERROR(AVERAGEIFS('Participation Adjustment'!$C:$C,'Participation Adjustment'!$A:$A,$H224,'Participation Adjustment'!$B:$B,$I224),1)</f>
        <v>34.677639663022703</v>
      </c>
      <c r="Z224" s="79">
        <f>tbl_Data_old[[#This Row],[2029 ]]*IFERROR(AVERAGEIFS('Participation Adjustment'!$C:$C,'Participation Adjustment'!$A:$A,$H224,'Participation Adjustment'!$B:$B,$I224),1)</f>
        <v>49.324275571630402</v>
      </c>
      <c r="AA224" s="79">
        <f>tbl_Data_old[[#This Row],[2030 ]]*IFERROR(AVERAGEIFS('Participation Adjustment'!$C:$C,'Participation Adjustment'!$A:$A,$H224,'Participation Adjustment'!$B:$B,$I224),1)</f>
        <v>66.230506749928196</v>
      </c>
      <c r="AB224" s="79">
        <f>tbl_Data_old[[#This Row],[2031 ]]*IFERROR(AVERAGEIFS('Participation Adjustment'!$C:$C,'Participation Adjustment'!$A:$A,$H224,'Participation Adjustment'!$B:$B,$I224),1)</f>
        <v>85.185923362881397</v>
      </c>
      <c r="AC224" s="79">
        <f>tbl_Data_old[[#This Row],[2032 ]]*IFERROR(AVERAGEIFS('Participation Adjustment'!$C:$C,'Participation Adjustment'!$A:$A,$H224,'Participation Adjustment'!$B:$B,$I224),1)</f>
        <v>105.971803037618</v>
      </c>
      <c r="AD224" s="79">
        <f>tbl_Data_old[[#This Row],[2033 ]]*IFERROR(AVERAGEIFS('Participation Adjustment'!$C:$C,'Participation Adjustment'!$A:$A,$H224,'Participation Adjustment'!$B:$B,$I224),1)</f>
        <v>128.41867222416801</v>
      </c>
      <c r="AE224" s="79">
        <f>tbl_Data_old[[#This Row],[2034 ]]*IFERROR(AVERAGEIFS('Participation Adjustment'!$C:$C,'Participation Adjustment'!$A:$A,$H224,'Participation Adjustment'!$B:$B,$I224),1)</f>
        <v>152.425432345025</v>
      </c>
      <c r="AF224" s="77" t="str">
        <f t="shared" si="99"/>
        <v>Residential</v>
      </c>
      <c r="AG224" s="77" t="str">
        <f>tbl_Data[[#This Row],[All_Meas_Name_Append]]</f>
        <v>Energy Star Clothes Washer</v>
      </c>
      <c r="AH224" s="77">
        <f>AVERAGEIFS('3. Incentive Adjustment'!G:G,'3. Incentive Adjustment'!A:A,tbl_Data[[#This Row],[Trimmed Sector]],'3. Incentive Adjustment'!B:B,tbl_Data[[#This Row],[Trimmed Measure Name]])</f>
        <v>0.8286551255656105</v>
      </c>
      <c r="AI224" s="77">
        <f>$AH224*tbl_Data[[#This Row],[2025 ]]</f>
        <v>4.4519801481092784</v>
      </c>
      <c r="AJ224" s="77">
        <f>$AH224*tbl_Data[[#This Row],[2026 ]]</f>
        <v>10.598452454960388</v>
      </c>
      <c r="AK224" s="77">
        <f>$AH224*tbl_Data[[#This Row],[2027 ]]</f>
        <v>18.648148842081394</v>
      </c>
      <c r="AL224" s="77">
        <f>$AH224*tbl_Data[[#This Row],[2028 ]]</f>
        <v>28.735803849281073</v>
      </c>
      <c r="AM224" s="77">
        <f>$AH224*tbl_Data[[#This Row],[2029 ]]</f>
        <v>40.872813767242164</v>
      </c>
      <c r="AN224" s="77">
        <f>$AH224*tbl_Data[[#This Row],[2030 ]]</f>
        <v>54.882248887135766</v>
      </c>
      <c r="AO224" s="77">
        <f>$AH224*tbl_Data[[#This Row],[2031 ]]</f>
        <v>70.589752020690952</v>
      </c>
      <c r="AP224" s="77">
        <f>$AH224*tbl_Data[[#This Row],[2032 ]]</f>
        <v>87.814077752551484</v>
      </c>
      <c r="AQ224" s="77">
        <f>$AH224*tbl_Data[[#This Row],[2033 ]]</f>
        <v>106.41479095688692</v>
      </c>
      <c r="AR224" s="77">
        <f>$AH224*tbl_Data[[#This Row],[2034 ]]</f>
        <v>126.30811577925915</v>
      </c>
      <c r="AS224" s="77">
        <f>SUM(tbl_Data[[#This Row],[Adjusted 2025]:[Adjusted 2034]])</f>
        <v>549.31618445819856</v>
      </c>
      <c r="AT224" s="80">
        <f>AVERAGEIFS('3. Incentive Adjustment'!F:F,'3. Incentive Adjustment'!A:A,tbl_Data[[#This Row],[Trimmed Sector]],'3. Incentive Adjustment'!B:B,tbl_Data[[#This Row],[Trimmed Measure Name]])</f>
        <v>0</v>
      </c>
      <c r="AU224" s="80">
        <f>IFERROR(VLOOKUP(tbl_Data[[#This Row],[All_Meas_Name_Append]],'IRA Tax Credits'!$A$3:$D$46,4,0),0)</f>
        <v>0</v>
      </c>
      <c r="AV224" s="81">
        <f>tbl_Data[[#This Row],[Adj. per unit Incentive ($)]]/tbl_Data[[#This Row],[kWh Savings]]*tbl_Data[[#This Row],[Sum of Annuals]]</f>
        <v>0</v>
      </c>
      <c r="AW224" s="81" t="str">
        <f>IFERROR(VLOOKUP(tbl_Data[[#This Row],[Column1]],'1. Set Program Names'!$B$2:$D$15,3,0)*tbl_Data[[#This Row],[Sum of Annuals]],"")</f>
        <v/>
      </c>
      <c r="AX224" s="81">
        <f>tbl_Data[[#This Row],[per unit IRA tax ($)]]/tbl_Data[[#This Row],[kWh Savings]]*tbl_Data[[#This Row],[Sum of Annuals]]</f>
        <v>0</v>
      </c>
      <c r="AY224" s="81">
        <f>tbl_Data[[#This Row],[Avoided Costs ($/unit)]]/tbl_Data[[#This Row],[kWh Savings]]*tbl_Data[[#This Row],[Sum of Annuals]]</f>
        <v>223.81115419305064</v>
      </c>
      <c r="AZ224" s="81">
        <f>tbl_Data[[#This Row],[Lost Revenue ($/unit)]]/tbl_Data[[#This Row],[kWh Savings]]*tbl_Data[[#This Row],[Sum of Annuals]]</f>
        <v>672.4271329165831</v>
      </c>
      <c r="BA224" s="81">
        <f>tbl_Data[[#This Row],[Incremental Cost ($/unit)]]/tbl_Data[[#This Row],[kWh Savings]]*tbl_Data[[#This Row],[Sum of Annuals]]</f>
        <v>172.21804701932774</v>
      </c>
      <c r="BB224" s="77">
        <f>ROUNDUP(tbl_Data[[#This Row],[Adjusted 2025]]/$L224,0)</f>
        <v>1</v>
      </c>
      <c r="BC224" s="77">
        <f>ROUNDUP(tbl_Data[[#This Row],[Adjusted 2026]]/$L224,0)</f>
        <v>1</v>
      </c>
      <c r="BD224" s="77">
        <f>ROUNDUP(tbl_Data[[#This Row],[Adjusted 2027]]/$L224,0)</f>
        <v>1</v>
      </c>
      <c r="BE224" s="77">
        <f>ROUNDUP(tbl_Data[[#This Row],[Adjusted 2028]]/$L224,0)</f>
        <v>1</v>
      </c>
      <c r="BF224" s="77">
        <f>ROUNDUP(tbl_Data[[#This Row],[Adjusted 2029]]/$L224,0)</f>
        <v>1</v>
      </c>
      <c r="BG224" s="77">
        <f>ROUNDUP(tbl_Data[[#This Row],[Adjusted 2030]]/$L224,0)</f>
        <v>1</v>
      </c>
      <c r="BH224" s="77">
        <f>ROUNDUP(tbl_Data[[#This Row],[Adjusted 2031]]/$L224,0)</f>
        <v>1</v>
      </c>
      <c r="BI224" s="77">
        <f>ROUNDUP(tbl_Data[[#This Row],[Adjusted 2032]]/$L224,0)</f>
        <v>1</v>
      </c>
      <c r="BJ224" s="77">
        <f>ROUNDUP(tbl_Data[[#This Row],[Adjusted 2033]]/$L224,0)</f>
        <v>1</v>
      </c>
      <c r="BK224" s="77">
        <f>ROUNDUP(tbl_Data[[#This Row],[Adjusted 2034]]/$L224,0)</f>
        <v>1</v>
      </c>
      <c r="BL224" s="80">
        <f t="shared" si="100"/>
        <v>0</v>
      </c>
      <c r="BM224" s="80">
        <f t="shared" si="101"/>
        <v>0</v>
      </c>
      <c r="BN224" s="80">
        <f t="shared" si="102"/>
        <v>0</v>
      </c>
      <c r="BO224" s="80">
        <f t="shared" si="103"/>
        <v>0</v>
      </c>
      <c r="BP224" s="80">
        <f t="shared" si="104"/>
        <v>0</v>
      </c>
      <c r="BQ224" s="80">
        <f t="shared" si="105"/>
        <v>0</v>
      </c>
      <c r="BR224" s="80">
        <f t="shared" si="106"/>
        <v>0</v>
      </c>
      <c r="BS224" s="80">
        <f t="shared" si="107"/>
        <v>0</v>
      </c>
      <c r="BT224" s="80">
        <f t="shared" si="108"/>
        <v>0</v>
      </c>
      <c r="BU224" s="80">
        <f t="shared" si="109"/>
        <v>0</v>
      </c>
      <c r="BV224" s="80" t="str">
        <f>IFERROR(VLOOKUP($H224,'1. Set Program Names'!$B$2:$D$15,3,0)*V224,"NA")</f>
        <v>NA</v>
      </c>
      <c r="BW224" s="80" t="str">
        <f>IFERROR(VLOOKUP($H224,'1. Set Program Names'!$B$2:$D$15,3,0)*W224,"NA")</f>
        <v>NA</v>
      </c>
      <c r="BX224" s="80" t="str">
        <f>IFERROR(VLOOKUP($H224,'1. Set Program Names'!$B$2:$D$15,3,0)*X224,"NA")</f>
        <v>NA</v>
      </c>
      <c r="BY224" s="80" t="str">
        <f>IFERROR(VLOOKUP($H224,'1. Set Program Names'!$B$2:$D$15,3,0)*Y224,"NA")</f>
        <v>NA</v>
      </c>
      <c r="BZ224" s="80" t="str">
        <f>IFERROR(VLOOKUP($H224,'1. Set Program Names'!$B$2:$D$15,3,0)*Z224,"NA")</f>
        <v>NA</v>
      </c>
      <c r="CA224" s="80" t="str">
        <f>IFERROR(VLOOKUP($H224,'1. Set Program Names'!$B$2:$D$15,3,0)*AA224,"NA")</f>
        <v>NA</v>
      </c>
      <c r="CB224" s="80" t="str">
        <f>IFERROR(VLOOKUP($H224,'1. Set Program Names'!$B$2:$D$15,3,0)*AB224,"NA")</f>
        <v>NA</v>
      </c>
      <c r="CC224" s="80" t="str">
        <f>IFERROR(VLOOKUP($H224,'1. Set Program Names'!$B$2:$D$15,3,0)*AC224,"NA")</f>
        <v>NA</v>
      </c>
      <c r="CD224" s="80" t="str">
        <f>IFERROR(VLOOKUP($H224,'1. Set Program Names'!$B$2:$D$15,3,0)*AD224,"NA")</f>
        <v>NA</v>
      </c>
      <c r="CE224" s="80" t="str">
        <f>IFERROR(VLOOKUP($H224,'1. Set Program Names'!$B$2:$D$15,3,0)*AE224,"NA")</f>
        <v>NA</v>
      </c>
    </row>
    <row r="225" spans="1:83" x14ac:dyDescent="0.25">
      <c r="A225" s="79" t="s">
        <v>115</v>
      </c>
      <c r="B225" s="79" t="s">
        <v>88</v>
      </c>
      <c r="C225" s="79" t="s">
        <v>89</v>
      </c>
      <c r="D225" s="79" t="s">
        <v>90</v>
      </c>
      <c r="E225" s="79" t="s">
        <v>91</v>
      </c>
      <c r="F225" s="79" t="s">
        <v>90</v>
      </c>
      <c r="G225" s="79" t="s">
        <v>92</v>
      </c>
      <c r="H225" s="79" t="s">
        <v>273</v>
      </c>
      <c r="I225" s="79" t="s">
        <v>105</v>
      </c>
      <c r="J225" s="79" t="s">
        <v>97</v>
      </c>
      <c r="K225" s="79" t="s">
        <v>98</v>
      </c>
      <c r="L225" s="79">
        <v>1409.8599999999899</v>
      </c>
      <c r="M225" s="79">
        <v>0.25259796946801399</v>
      </c>
      <c r="N225" s="79">
        <v>0.18561076930699899</v>
      </c>
      <c r="O225" s="79">
        <v>15905.9999999999</v>
      </c>
      <c r="P225" s="79">
        <v>15564.4191191999</v>
      </c>
      <c r="Q225" s="79">
        <v>1.4098599999999899</v>
      </c>
      <c r="R225" s="79">
        <v>1051.8249065196901</v>
      </c>
      <c r="S225" s="79">
        <v>2376.3089492588301</v>
      </c>
      <c r="T225" s="79">
        <v>25</v>
      </c>
      <c r="U225" s="79">
        <v>1</v>
      </c>
      <c r="V225" s="79">
        <f>tbl_Data_old[[#This Row],[2025 ]]*IFERROR(AVERAGEIFS('Participation Adjustment'!$C:$C,'Participation Adjustment'!$A:$A,$H225,'Participation Adjustment'!$B:$B,$I225),1)</f>
        <v>0.23963219726893201</v>
      </c>
      <c r="W225" s="79">
        <f>tbl_Data_old[[#This Row],[2026 ]]*IFERROR(AVERAGEIFS('Participation Adjustment'!$C:$C,'Participation Adjustment'!$A:$A,$H225,'Participation Adjustment'!$B:$B,$I225),1)</f>
        <v>0.51826533683647302</v>
      </c>
      <c r="X225" s="79">
        <f>tbl_Data_old[[#This Row],[2027 ]]*IFERROR(AVERAGEIFS('Participation Adjustment'!$C:$C,'Participation Adjustment'!$A:$A,$H225,'Participation Adjustment'!$B:$B,$I225),1)</f>
        <v>0.83662741417056996</v>
      </c>
      <c r="Y225" s="79">
        <f>tbl_Data_old[[#This Row],[2028 ]]*IFERROR(AVERAGEIFS('Participation Adjustment'!$C:$C,'Participation Adjustment'!$A:$A,$H225,'Participation Adjustment'!$B:$B,$I225),1)</f>
        <v>1.1961895390305699</v>
      </c>
      <c r="Z225" s="79">
        <f>tbl_Data_old[[#This Row],[2029 ]]*IFERROR(AVERAGEIFS('Participation Adjustment'!$C:$C,'Participation Adjustment'!$A:$A,$H225,'Participation Adjustment'!$B:$B,$I225),1)</f>
        <v>1.59867213976149</v>
      </c>
      <c r="AA225" s="79">
        <f>tbl_Data_old[[#This Row],[2030 ]]*IFERROR(AVERAGEIFS('Participation Adjustment'!$C:$C,'Participation Adjustment'!$A:$A,$H225,'Participation Adjustment'!$B:$B,$I225),1)</f>
        <v>2.0448159753316801</v>
      </c>
      <c r="AB225" s="79">
        <f>tbl_Data_old[[#This Row],[2031 ]]*IFERROR(AVERAGEIFS('Participation Adjustment'!$C:$C,'Participation Adjustment'!$A:$A,$H225,'Participation Adjustment'!$B:$B,$I225),1)</f>
        <v>2.5389012725098699</v>
      </c>
      <c r="AC225" s="79">
        <f>tbl_Data_old[[#This Row],[2032 ]]*IFERROR(AVERAGEIFS('Participation Adjustment'!$C:$C,'Participation Adjustment'!$A:$A,$H225,'Participation Adjustment'!$B:$B,$I225),1)</f>
        <v>3.08683023940418</v>
      </c>
      <c r="AD225" s="79">
        <f>tbl_Data_old[[#This Row],[2033 ]]*IFERROR(AVERAGEIFS('Participation Adjustment'!$C:$C,'Participation Adjustment'!$A:$A,$H225,'Participation Adjustment'!$B:$B,$I225),1)</f>
        <v>3.6954842975984099</v>
      </c>
      <c r="AE225" s="79">
        <f>tbl_Data_old[[#This Row],[2034 ]]*IFERROR(AVERAGEIFS('Participation Adjustment'!$C:$C,'Participation Adjustment'!$A:$A,$H225,'Participation Adjustment'!$B:$B,$I225),1)</f>
        <v>4.37264458635011</v>
      </c>
      <c r="AF225" s="77" t="str">
        <f t="shared" si="99"/>
        <v>Residential</v>
      </c>
      <c r="AG225" s="77" t="str">
        <f>tbl_Data[[#This Row],[All_Meas_Name_Append]]</f>
        <v>Energy Star Ground Source Heat Pump</v>
      </c>
      <c r="AH225" s="77">
        <f>AVERAGEIFS('3. Incentive Adjustment'!G:G,'3. Incentive Adjustment'!A:A,tbl_Data[[#This Row],[Trimmed Sector]],'3. Incentive Adjustment'!B:B,tbl_Data[[#This Row],[Trimmed Measure Name]])</f>
        <v>2.2369945105234762E-13</v>
      </c>
      <c r="AI225" s="77">
        <f>$AH225*tbl_Data[[#This Row],[2025 ]]</f>
        <v>5.3605590983527963E-14</v>
      </c>
      <c r="AJ225" s="77">
        <f>$AH225*tbl_Data[[#This Row],[2026 ]]</f>
        <v>1.1593567134977904E-13</v>
      </c>
      <c r="AK225" s="77">
        <f>$AH225*tbl_Data[[#This Row],[2027 ]]</f>
        <v>1.8715309328530159E-13</v>
      </c>
      <c r="AL225" s="77">
        <f>$AH225*tbl_Data[[#This Row],[2028 ]]</f>
        <v>2.6758694323569922E-13</v>
      </c>
      <c r="AM225" s="77">
        <f>$AH225*tbl_Data[[#This Row],[2029 ]]</f>
        <v>3.5762208007732728E-13</v>
      </c>
      <c r="AN225" s="77">
        <f>$AH225*tbl_Data[[#This Row],[2030 ]]</f>
        <v>4.5742421118476767E-13</v>
      </c>
      <c r="AO225" s="77">
        <f>$AH225*tbl_Data[[#This Row],[2031 ]]</f>
        <v>5.6795082093656469E-13</v>
      </c>
      <c r="AP225" s="77">
        <f>$AH225*tbl_Data[[#This Row],[2032 ]]</f>
        <v>6.9052223004650183E-13</v>
      </c>
      <c r="AQ225" s="77">
        <f>$AH225*tbl_Data[[#This Row],[2033 ]]</f>
        <v>8.2667780874533472E-13</v>
      </c>
      <c r="AR225" s="77">
        <f>$AH225*tbl_Data[[#This Row],[2034 ]]</f>
        <v>9.7815819361353934E-13</v>
      </c>
      <c r="AS225" s="77">
        <f>SUM(tbl_Data[[#This Row],[Adjusted 2025]:[Adjusted 2034]])</f>
        <v>4.5026366434583431E-12</v>
      </c>
      <c r="AT225" s="80">
        <f>AVERAGEIFS('3. Incentive Adjustment'!F:F,'3. Incentive Adjustment'!A:A,tbl_Data[[#This Row],[Trimmed Sector]],'3. Incentive Adjustment'!B:B,tbl_Data[[#This Row],[Trimmed Measure Name]])</f>
        <v>0</v>
      </c>
      <c r="AU225" s="80">
        <f>IFERROR(VLOOKUP(tbl_Data[[#This Row],[All_Meas_Name_Append]],'IRA Tax Credits'!$A$3:$D$46,4,0),0)</f>
        <v>41666.666666666672</v>
      </c>
      <c r="AV225" s="81">
        <f>tbl_Data[[#This Row],[Adj. per unit Incentive ($)]]/tbl_Data[[#This Row],[kWh Savings]]*tbl_Data[[#This Row],[Sum of Annuals]]</f>
        <v>0</v>
      </c>
      <c r="AW225" s="81" t="str">
        <f>IFERROR(VLOOKUP(tbl_Data[[#This Row],[Column1]],'1. Set Program Names'!$B$2:$D$15,3,0)*tbl_Data[[#This Row],[Sum of Annuals]],"")</f>
        <v/>
      </c>
      <c r="AX225" s="81">
        <f>tbl_Data[[#This Row],[per unit IRA tax ($)]]/tbl_Data[[#This Row],[kWh Savings]]*tbl_Data[[#This Row],[Sum of Annuals]]</f>
        <v>1.3306985100939029E-10</v>
      </c>
      <c r="AY225" s="81">
        <f>tbl_Data[[#This Row],[Avoided Costs ($/unit)]]/tbl_Data[[#This Row],[kWh Savings]]*tbl_Data[[#This Row],[Sum of Annuals]]</f>
        <v>3.3591884063649842E-12</v>
      </c>
      <c r="AZ225" s="81">
        <f>tbl_Data[[#This Row],[Lost Revenue ($/unit)]]/tbl_Data[[#This Row],[kWh Savings]]*tbl_Data[[#This Row],[Sum of Annuals]]</f>
        <v>7.5891618679236781E-12</v>
      </c>
      <c r="BA225" s="81">
        <f>tbl_Data[[#This Row],[Incremental Cost ($/unit)]]/tbl_Data[[#This Row],[kWh Savings]]*tbl_Data[[#This Row],[Sum of Annuals]]</f>
        <v>5.079861720372836E-11</v>
      </c>
      <c r="BB225" s="77">
        <f>ROUNDUP(tbl_Data[[#This Row],[Adjusted 2025]]/$L225,0)</f>
        <v>1</v>
      </c>
      <c r="BC225" s="77">
        <f>ROUNDUP(tbl_Data[[#This Row],[Adjusted 2026]]/$L225,0)</f>
        <v>1</v>
      </c>
      <c r="BD225" s="77">
        <f>ROUNDUP(tbl_Data[[#This Row],[Adjusted 2027]]/$L225,0)</f>
        <v>1</v>
      </c>
      <c r="BE225" s="77">
        <f>ROUNDUP(tbl_Data[[#This Row],[Adjusted 2028]]/$L225,0)</f>
        <v>1</v>
      </c>
      <c r="BF225" s="77">
        <f>ROUNDUP(tbl_Data[[#This Row],[Adjusted 2029]]/$L225,0)</f>
        <v>1</v>
      </c>
      <c r="BG225" s="77">
        <f>ROUNDUP(tbl_Data[[#This Row],[Adjusted 2030]]/$L225,0)</f>
        <v>1</v>
      </c>
      <c r="BH225" s="77">
        <f>ROUNDUP(tbl_Data[[#This Row],[Adjusted 2031]]/$L225,0)</f>
        <v>1</v>
      </c>
      <c r="BI225" s="77">
        <f>ROUNDUP(tbl_Data[[#This Row],[Adjusted 2032]]/$L225,0)</f>
        <v>1</v>
      </c>
      <c r="BJ225" s="77">
        <f>ROUNDUP(tbl_Data[[#This Row],[Adjusted 2033]]/$L225,0)</f>
        <v>1</v>
      </c>
      <c r="BK225" s="77">
        <f>ROUNDUP(tbl_Data[[#This Row],[Adjusted 2034]]/$L225,0)</f>
        <v>1</v>
      </c>
      <c r="BL225" s="80">
        <f t="shared" si="100"/>
        <v>0</v>
      </c>
      <c r="BM225" s="80">
        <f t="shared" si="101"/>
        <v>0</v>
      </c>
      <c r="BN225" s="80">
        <f t="shared" si="102"/>
        <v>0</v>
      </c>
      <c r="BO225" s="80">
        <f t="shared" si="103"/>
        <v>0</v>
      </c>
      <c r="BP225" s="80">
        <f t="shared" si="104"/>
        <v>0</v>
      </c>
      <c r="BQ225" s="80">
        <f t="shared" si="105"/>
        <v>0</v>
      </c>
      <c r="BR225" s="80">
        <f t="shared" si="106"/>
        <v>0</v>
      </c>
      <c r="BS225" s="80">
        <f t="shared" si="107"/>
        <v>0</v>
      </c>
      <c r="BT225" s="80">
        <f t="shared" si="108"/>
        <v>0</v>
      </c>
      <c r="BU225" s="80">
        <f t="shared" si="109"/>
        <v>0</v>
      </c>
      <c r="BV225" s="80" t="str">
        <f>IFERROR(VLOOKUP($H225,'1. Set Program Names'!$B$2:$D$15,3,0)*V225,"NA")</f>
        <v>NA</v>
      </c>
      <c r="BW225" s="80" t="str">
        <f>IFERROR(VLOOKUP($H225,'1. Set Program Names'!$B$2:$D$15,3,0)*W225,"NA")</f>
        <v>NA</v>
      </c>
      <c r="BX225" s="80" t="str">
        <f>IFERROR(VLOOKUP($H225,'1. Set Program Names'!$B$2:$D$15,3,0)*X225,"NA")</f>
        <v>NA</v>
      </c>
      <c r="BY225" s="80" t="str">
        <f>IFERROR(VLOOKUP($H225,'1. Set Program Names'!$B$2:$D$15,3,0)*Y225,"NA")</f>
        <v>NA</v>
      </c>
      <c r="BZ225" s="80" t="str">
        <f>IFERROR(VLOOKUP($H225,'1. Set Program Names'!$B$2:$D$15,3,0)*Z225,"NA")</f>
        <v>NA</v>
      </c>
      <c r="CA225" s="80" t="str">
        <f>IFERROR(VLOOKUP($H225,'1. Set Program Names'!$B$2:$D$15,3,0)*AA225,"NA")</f>
        <v>NA</v>
      </c>
      <c r="CB225" s="80" t="str">
        <f>IFERROR(VLOOKUP($H225,'1. Set Program Names'!$B$2:$D$15,3,0)*AB225,"NA")</f>
        <v>NA</v>
      </c>
      <c r="CC225" s="80" t="str">
        <f>IFERROR(VLOOKUP($H225,'1. Set Program Names'!$B$2:$D$15,3,0)*AC225,"NA")</f>
        <v>NA</v>
      </c>
      <c r="CD225" s="80" t="str">
        <f>IFERROR(VLOOKUP($H225,'1. Set Program Names'!$B$2:$D$15,3,0)*AD225,"NA")</f>
        <v>NA</v>
      </c>
      <c r="CE225" s="80" t="str">
        <f>IFERROR(VLOOKUP($H225,'1. Set Program Names'!$B$2:$D$15,3,0)*AE225,"NA")</f>
        <v>NA</v>
      </c>
    </row>
    <row r="226" spans="1:83" x14ac:dyDescent="0.25">
      <c r="A226" s="79" t="s">
        <v>115</v>
      </c>
      <c r="B226" s="79" t="s">
        <v>88</v>
      </c>
      <c r="C226" s="79" t="s">
        <v>89</v>
      </c>
      <c r="D226" s="79" t="s">
        <v>90</v>
      </c>
      <c r="E226" s="79" t="s">
        <v>91</v>
      </c>
      <c r="F226" s="79" t="s">
        <v>90</v>
      </c>
      <c r="G226" s="79" t="s">
        <v>92</v>
      </c>
      <c r="H226" s="79" t="s">
        <v>273</v>
      </c>
      <c r="I226" s="79" t="s">
        <v>106</v>
      </c>
      <c r="J226" s="79" t="s">
        <v>97</v>
      </c>
      <c r="K226" s="79" t="s">
        <v>98</v>
      </c>
      <c r="L226" s="79">
        <v>127.25</v>
      </c>
      <c r="M226" s="79">
        <v>7.3045840411791796E-2</v>
      </c>
      <c r="N226" s="79">
        <v>3.5010079032079199E-4</v>
      </c>
      <c r="O226" s="79">
        <v>41.15</v>
      </c>
      <c r="P226" s="79">
        <v>10.3198699999999</v>
      </c>
      <c r="Q226" s="79">
        <v>0.12725</v>
      </c>
      <c r="R226" s="79">
        <v>86.902802703254196</v>
      </c>
      <c r="S226" s="79">
        <v>140.464426641062</v>
      </c>
      <c r="T226" s="79">
        <v>12</v>
      </c>
      <c r="U226" s="79">
        <v>1</v>
      </c>
      <c r="V226" s="79">
        <f>tbl_Data_old[[#This Row],[2025 ]]*IFERROR(AVERAGEIFS('Participation Adjustment'!$C:$C,'Participation Adjustment'!$A:$A,$H226,'Participation Adjustment'!$B:$B,$I226),1)</f>
        <v>8.4965151953199491</v>
      </c>
      <c r="W226" s="79">
        <f>tbl_Data_old[[#This Row],[2026 ]]*IFERROR(AVERAGEIFS('Participation Adjustment'!$C:$C,'Participation Adjustment'!$A:$A,$H226,'Participation Adjustment'!$B:$B,$I226),1)</f>
        <v>17.497653618697999</v>
      </c>
      <c r="X226" s="79">
        <f>tbl_Data_old[[#This Row],[2027 ]]*IFERROR(AVERAGEIFS('Participation Adjustment'!$C:$C,'Participation Adjustment'!$A:$A,$H226,'Participation Adjustment'!$B:$B,$I226),1)</f>
        <v>26.843274243285698</v>
      </c>
      <c r="Y226" s="79">
        <f>tbl_Data_old[[#This Row],[2028 ]]*IFERROR(AVERAGEIFS('Participation Adjustment'!$C:$C,'Participation Adjustment'!$A:$A,$H226,'Participation Adjustment'!$B:$B,$I226),1)</f>
        <v>36.460705640639198</v>
      </c>
      <c r="Z226" s="79">
        <f>tbl_Data_old[[#This Row],[2029 ]]*IFERROR(AVERAGEIFS('Participation Adjustment'!$C:$C,'Participation Adjustment'!$A:$A,$H226,'Participation Adjustment'!$B:$B,$I226),1)</f>
        <v>46.3200847414465</v>
      </c>
      <c r="AA226" s="79">
        <f>tbl_Data_old[[#This Row],[2030 ]]*IFERROR(AVERAGEIFS('Participation Adjustment'!$C:$C,'Participation Adjustment'!$A:$A,$H226,'Participation Adjustment'!$B:$B,$I226),1)</f>
        <v>56.370390860637499</v>
      </c>
      <c r="AB226" s="79">
        <f>tbl_Data_old[[#This Row],[2031 ]]*IFERROR(AVERAGEIFS('Participation Adjustment'!$C:$C,'Participation Adjustment'!$A:$A,$H226,'Participation Adjustment'!$B:$B,$I226),1)</f>
        <v>66.648633841615407</v>
      </c>
      <c r="AC226" s="79">
        <f>tbl_Data_old[[#This Row],[2032 ]]*IFERROR(AVERAGEIFS('Participation Adjustment'!$C:$C,'Participation Adjustment'!$A:$A,$H226,'Participation Adjustment'!$B:$B,$I226),1)</f>
        <v>77.201665344180796</v>
      </c>
      <c r="AD226" s="79">
        <f>tbl_Data_old[[#This Row],[2033 ]]*IFERROR(AVERAGEIFS('Participation Adjustment'!$C:$C,'Participation Adjustment'!$A:$A,$H226,'Participation Adjustment'!$B:$B,$I226),1)</f>
        <v>88.083683540690103</v>
      </c>
      <c r="AE226" s="79">
        <f>tbl_Data_old[[#This Row],[2034 ]]*IFERROR(AVERAGEIFS('Participation Adjustment'!$C:$C,'Participation Adjustment'!$A:$A,$H226,'Participation Adjustment'!$B:$B,$I226),1)</f>
        <v>99.346945860251594</v>
      </c>
      <c r="AF226" s="77" t="str">
        <f t="shared" si="99"/>
        <v>Residential</v>
      </c>
      <c r="AG226" s="77" t="str">
        <f>tbl_Data[[#This Row],[All_Meas_Name_Append]]</f>
        <v>Energy Star Room AC Residential</v>
      </c>
      <c r="AH226" s="77">
        <f>AVERAGEIFS('3. Incentive Adjustment'!G:G,'3. Incentive Adjustment'!A:A,tbl_Data[[#This Row],[Trimmed Sector]],'3. Incentive Adjustment'!B:B,tbl_Data[[#This Row],[Trimmed Measure Name]])</f>
        <v>0.8073629241290271</v>
      </c>
      <c r="AI226" s="77">
        <f>$AH226*tbl_Data[[#This Row],[2025 ]]</f>
        <v>6.8597713530002258</v>
      </c>
      <c r="AJ226" s="77">
        <f>$AH226*tbl_Data[[#This Row],[2026 ]]</f>
        <v>14.126956790988869</v>
      </c>
      <c r="AK226" s="77">
        <f>$AH226*tbl_Data[[#This Row],[2027 ]]</f>
        <v>21.67226438625654</v>
      </c>
      <c r="AL226" s="77">
        <f>$AH226*tbl_Data[[#This Row],[2028 ]]</f>
        <v>29.437021921834177</v>
      </c>
      <c r="AM226" s="77">
        <f>$AH226*tbl_Data[[#This Row],[2029 ]]</f>
        <v>37.397119062758577</v>
      </c>
      <c r="AN226" s="77">
        <f>$AH226*tbl_Data[[#This Row],[2030 ]]</f>
        <v>45.511363599540474</v>
      </c>
      <c r="AO226" s="77">
        <f>$AH226*tbl_Data[[#This Row],[2031 ]]</f>
        <v>53.809635907571447</v>
      </c>
      <c r="AP226" s="77">
        <f>$AH226*tbl_Data[[#This Row],[2032 ]]</f>
        <v>62.32976227990838</v>
      </c>
      <c r="AQ226" s="77">
        <f>$AH226*tbl_Data[[#This Row],[2033 ]]</f>
        <v>71.115500311467414</v>
      </c>
      <c r="AR226" s="77">
        <f>$AH226*tbl_Data[[#This Row],[2034 ]]</f>
        <v>80.209040713020869</v>
      </c>
      <c r="AS226" s="77">
        <f>SUM(tbl_Data[[#This Row],[Adjusted 2025]:[Adjusted 2034]])</f>
        <v>422.46843632634705</v>
      </c>
      <c r="AT226" s="80">
        <f>AVERAGEIFS('3. Incentive Adjustment'!F:F,'3. Incentive Adjustment'!A:A,tbl_Data[[#This Row],[Trimmed Sector]],'3. Incentive Adjustment'!B:B,tbl_Data[[#This Row],[Trimmed Measure Name]])</f>
        <v>0</v>
      </c>
      <c r="AU226" s="80">
        <f>IFERROR(VLOOKUP(tbl_Data[[#This Row],[All_Meas_Name_Append]],'IRA Tax Credits'!$A$3:$D$46,4,0),0)</f>
        <v>0</v>
      </c>
      <c r="AV226" s="81">
        <f>tbl_Data[[#This Row],[Adj. per unit Incentive ($)]]/tbl_Data[[#This Row],[kWh Savings]]*tbl_Data[[#This Row],[Sum of Annuals]]</f>
        <v>0</v>
      </c>
      <c r="AW226" s="81" t="str">
        <f>IFERROR(VLOOKUP(tbl_Data[[#This Row],[Column1]],'1. Set Program Names'!$B$2:$D$15,3,0)*tbl_Data[[#This Row],[Sum of Annuals]],"")</f>
        <v/>
      </c>
      <c r="AX226" s="81">
        <f>tbl_Data[[#This Row],[per unit IRA tax ($)]]/tbl_Data[[#This Row],[kWh Savings]]*tbl_Data[[#This Row],[Sum of Annuals]]</f>
        <v>0</v>
      </c>
      <c r="AY226" s="81">
        <f>tbl_Data[[#This Row],[Avoided Costs ($/unit)]]/tbl_Data[[#This Row],[kWh Savings]]*tbl_Data[[#This Row],[Sum of Annuals]]</f>
        <v>288.51623709564512</v>
      </c>
      <c r="AZ226" s="81">
        <f>tbl_Data[[#This Row],[Lost Revenue ($/unit)]]/tbl_Data[[#This Row],[kWh Savings]]*tbl_Data[[#This Row],[Sum of Annuals]]</f>
        <v>466.34017039313437</v>
      </c>
      <c r="BA226" s="81">
        <f>tbl_Data[[#This Row],[Incremental Cost ($/unit)]]/tbl_Data[[#This Row],[kWh Savings]]*tbl_Data[[#This Row],[Sum of Annuals]]</f>
        <v>136.61749434050438</v>
      </c>
      <c r="BB226" s="77">
        <f>ROUNDUP(tbl_Data[[#This Row],[Adjusted 2025]]/$L226,0)</f>
        <v>1</v>
      </c>
      <c r="BC226" s="77">
        <f>ROUNDUP(tbl_Data[[#This Row],[Adjusted 2026]]/$L226,0)</f>
        <v>1</v>
      </c>
      <c r="BD226" s="77">
        <f>ROUNDUP(tbl_Data[[#This Row],[Adjusted 2027]]/$L226,0)</f>
        <v>1</v>
      </c>
      <c r="BE226" s="77">
        <f>ROUNDUP(tbl_Data[[#This Row],[Adjusted 2028]]/$L226,0)</f>
        <v>1</v>
      </c>
      <c r="BF226" s="77">
        <f>ROUNDUP(tbl_Data[[#This Row],[Adjusted 2029]]/$L226,0)</f>
        <v>1</v>
      </c>
      <c r="BG226" s="77">
        <f>ROUNDUP(tbl_Data[[#This Row],[Adjusted 2030]]/$L226,0)</f>
        <v>1</v>
      </c>
      <c r="BH226" s="77">
        <f>ROUNDUP(tbl_Data[[#This Row],[Adjusted 2031]]/$L226,0)</f>
        <v>1</v>
      </c>
      <c r="BI226" s="77">
        <f>ROUNDUP(tbl_Data[[#This Row],[Adjusted 2032]]/$L226,0)</f>
        <v>1</v>
      </c>
      <c r="BJ226" s="77">
        <f>ROUNDUP(tbl_Data[[#This Row],[Adjusted 2033]]/$L226,0)</f>
        <v>1</v>
      </c>
      <c r="BK226" s="77">
        <f>ROUNDUP(tbl_Data[[#This Row],[Adjusted 2034]]/$L226,0)</f>
        <v>1</v>
      </c>
      <c r="BL226" s="80">
        <f t="shared" si="100"/>
        <v>0</v>
      </c>
      <c r="BM226" s="80">
        <f t="shared" si="101"/>
        <v>0</v>
      </c>
      <c r="BN226" s="80">
        <f t="shared" si="102"/>
        <v>0</v>
      </c>
      <c r="BO226" s="80">
        <f t="shared" si="103"/>
        <v>0</v>
      </c>
      <c r="BP226" s="80">
        <f t="shared" si="104"/>
        <v>0</v>
      </c>
      <c r="BQ226" s="80">
        <f t="shared" si="105"/>
        <v>0</v>
      </c>
      <c r="BR226" s="80">
        <f t="shared" si="106"/>
        <v>0</v>
      </c>
      <c r="BS226" s="80">
        <f t="shared" si="107"/>
        <v>0</v>
      </c>
      <c r="BT226" s="80">
        <f t="shared" si="108"/>
        <v>0</v>
      </c>
      <c r="BU226" s="80">
        <f t="shared" si="109"/>
        <v>0</v>
      </c>
      <c r="BV226" s="80" t="str">
        <f>IFERROR(VLOOKUP($H226,'1. Set Program Names'!$B$2:$D$15,3,0)*V226,"NA")</f>
        <v>NA</v>
      </c>
      <c r="BW226" s="80" t="str">
        <f>IFERROR(VLOOKUP($H226,'1. Set Program Names'!$B$2:$D$15,3,0)*W226,"NA")</f>
        <v>NA</v>
      </c>
      <c r="BX226" s="80" t="str">
        <f>IFERROR(VLOOKUP($H226,'1. Set Program Names'!$B$2:$D$15,3,0)*X226,"NA")</f>
        <v>NA</v>
      </c>
      <c r="BY226" s="80" t="str">
        <f>IFERROR(VLOOKUP($H226,'1. Set Program Names'!$B$2:$D$15,3,0)*Y226,"NA")</f>
        <v>NA</v>
      </c>
      <c r="BZ226" s="80" t="str">
        <f>IFERROR(VLOOKUP($H226,'1. Set Program Names'!$B$2:$D$15,3,0)*Z226,"NA")</f>
        <v>NA</v>
      </c>
      <c r="CA226" s="80" t="str">
        <f>IFERROR(VLOOKUP($H226,'1. Set Program Names'!$B$2:$D$15,3,0)*AA226,"NA")</f>
        <v>NA</v>
      </c>
      <c r="CB226" s="80" t="str">
        <f>IFERROR(VLOOKUP($H226,'1. Set Program Names'!$B$2:$D$15,3,0)*AB226,"NA")</f>
        <v>NA</v>
      </c>
      <c r="CC226" s="80" t="str">
        <f>IFERROR(VLOOKUP($H226,'1. Set Program Names'!$B$2:$D$15,3,0)*AC226,"NA")</f>
        <v>NA</v>
      </c>
      <c r="CD226" s="80" t="str">
        <f>IFERROR(VLOOKUP($H226,'1. Set Program Names'!$B$2:$D$15,3,0)*AD226,"NA")</f>
        <v>NA</v>
      </c>
      <c r="CE226" s="80" t="str">
        <f>IFERROR(VLOOKUP($H226,'1. Set Program Names'!$B$2:$D$15,3,0)*AE226,"NA")</f>
        <v>NA</v>
      </c>
    </row>
    <row r="227" spans="1:83" x14ac:dyDescent="0.25">
      <c r="A227" s="79" t="s">
        <v>115</v>
      </c>
      <c r="B227" s="79" t="s">
        <v>88</v>
      </c>
      <c r="C227" s="79" t="s">
        <v>89</v>
      </c>
      <c r="D227" s="79" t="s">
        <v>90</v>
      </c>
      <c r="E227" s="79" t="s">
        <v>91</v>
      </c>
      <c r="F227" s="79" t="s">
        <v>90</v>
      </c>
      <c r="G227" s="79" t="s">
        <v>92</v>
      </c>
      <c r="H227" s="79" t="s">
        <v>273</v>
      </c>
      <c r="I227" s="79" t="s">
        <v>111</v>
      </c>
      <c r="J227" s="79" t="s">
        <v>97</v>
      </c>
      <c r="K227" s="79" t="s">
        <v>102</v>
      </c>
      <c r="L227" s="79">
        <v>586.59333333333302</v>
      </c>
      <c r="M227" s="79">
        <v>0.33672458163683799</v>
      </c>
      <c r="N227" s="79">
        <v>1.6138843976181299E-3</v>
      </c>
      <c r="O227" s="79">
        <v>250</v>
      </c>
      <c r="P227" s="79">
        <v>142.46266525790699</v>
      </c>
      <c r="Q227" s="79">
        <v>0.58659333333333297</v>
      </c>
      <c r="R227" s="79">
        <v>435.979615776</v>
      </c>
      <c r="S227" s="79">
        <v>718.05871460051901</v>
      </c>
      <c r="T227" s="79">
        <v>14</v>
      </c>
      <c r="U227" s="79">
        <v>1</v>
      </c>
      <c r="V227" s="79">
        <f>tbl_Data_old[[#This Row],[2025 ]]*IFERROR(AVERAGEIFS('Participation Adjustment'!$C:$C,'Participation Adjustment'!$A:$A,$H227,'Participation Adjustment'!$B:$B,$I227),1)</f>
        <v>49.245731772974999</v>
      </c>
      <c r="W227" s="79">
        <f>tbl_Data_old[[#This Row],[2026 ]]*IFERROR(AVERAGEIFS('Participation Adjustment'!$C:$C,'Participation Adjustment'!$A:$A,$H227,'Participation Adjustment'!$B:$B,$I227),1)</f>
        <v>116.157664205191</v>
      </c>
      <c r="X227" s="79">
        <f>tbl_Data_old[[#This Row],[2027 ]]*IFERROR(AVERAGEIFS('Participation Adjustment'!$C:$C,'Participation Adjustment'!$A:$A,$H227,'Participation Adjustment'!$B:$B,$I227),1)</f>
        <v>202.631899590438</v>
      </c>
      <c r="Y227" s="79">
        <f>tbl_Data_old[[#This Row],[2028 ]]*IFERROR(AVERAGEIFS('Participation Adjustment'!$C:$C,'Participation Adjustment'!$A:$A,$H227,'Participation Adjustment'!$B:$B,$I227),1)</f>
        <v>309.930858984194</v>
      </c>
      <c r="Z227" s="79">
        <f>tbl_Data_old[[#This Row],[2029 ]]*IFERROR(AVERAGEIFS('Participation Adjustment'!$C:$C,'Participation Adjustment'!$A:$A,$H227,'Participation Adjustment'!$B:$B,$I227),1)</f>
        <v>438.191545136402</v>
      </c>
      <c r="AA227" s="79">
        <f>tbl_Data_old[[#This Row],[2030 ]]*IFERROR(AVERAGEIFS('Participation Adjustment'!$C:$C,'Participation Adjustment'!$A:$A,$H227,'Participation Adjustment'!$B:$B,$I227),1)</f>
        <v>585.59030968807201</v>
      </c>
      <c r="AB227" s="79">
        <f>tbl_Data_old[[#This Row],[2031 ]]*IFERROR(AVERAGEIFS('Participation Adjustment'!$C:$C,'Participation Adjustment'!$A:$A,$H227,'Participation Adjustment'!$B:$B,$I227),1)</f>
        <v>750.35154943114196</v>
      </c>
      <c r="AC227" s="79">
        <f>tbl_Data_old[[#This Row],[2032 ]]*IFERROR(AVERAGEIFS('Participation Adjustment'!$C:$C,'Participation Adjustment'!$A:$A,$H227,'Participation Adjustment'!$B:$B,$I227),1)</f>
        <v>930.47475932061104</v>
      </c>
      <c r="AD227" s="79">
        <f>tbl_Data_old[[#This Row],[2033 ]]*IFERROR(AVERAGEIFS('Participation Adjustment'!$C:$C,'Participation Adjustment'!$A:$A,$H227,'Participation Adjustment'!$B:$B,$I227),1)</f>
        <v>1124.33805611149</v>
      </c>
      <c r="AE227" s="79">
        <f>tbl_Data_old[[#This Row],[2034 ]]*IFERROR(AVERAGEIFS('Participation Adjustment'!$C:$C,'Participation Adjustment'!$A:$A,$H227,'Participation Adjustment'!$B:$B,$I227),1)</f>
        <v>1330.84965617124</v>
      </c>
      <c r="AF227" s="77" t="str">
        <f t="shared" si="99"/>
        <v>Residential</v>
      </c>
      <c r="AG227" s="77" t="str">
        <f>tbl_Data[[#This Row],[All_Meas_Name_Append]]</f>
        <v>Properly Sized CAC</v>
      </c>
      <c r="AH227" s="77">
        <f>AVERAGEIFS('3. Incentive Adjustment'!G:G,'3. Incentive Adjustment'!A:A,tbl_Data[[#This Row],[Trimmed Sector]],'3. Incentive Adjustment'!B:B,tbl_Data[[#This Row],[Trimmed Measure Name]])</f>
        <v>0.52686902587198514</v>
      </c>
      <c r="AI227" s="77">
        <f>$AH227*tbl_Data[[#This Row],[2025 ]]</f>
        <v>25.946050727580406</v>
      </c>
      <c r="AJ227" s="77">
        <f>$AH227*tbl_Data[[#This Row],[2026 ]]</f>
        <v>61.19987538735414</v>
      </c>
      <c r="AK227" s="77">
        <f>$AH227*tbl_Data[[#This Row],[2027 ]]</f>
        <v>106.76047154780397</v>
      </c>
      <c r="AL227" s="77">
        <f>$AH227*tbl_Data[[#This Row],[2028 ]]</f>
        <v>163.29296976066988</v>
      </c>
      <c r="AM227" s="77">
        <f>$AH227*tbl_Data[[#This Row],[2029 ]]</f>
        <v>230.86955253135613</v>
      </c>
      <c r="AN227" s="77">
        <f>$AH227*tbl_Data[[#This Row],[2030 ]]</f>
        <v>308.52939602542858</v>
      </c>
      <c r="AO227" s="77">
        <f>$AH227*tbl_Data[[#This Row],[2031 ]]</f>
        <v>395.33698991032048</v>
      </c>
      <c r="AP227" s="77">
        <f>$AH227*tbl_Data[[#This Row],[2032 ]]</f>
        <v>490.23833004172019</v>
      </c>
      <c r="AQ227" s="77">
        <f>$AH227*tbl_Data[[#This Row],[2033 ]]</f>
        <v>592.37889637426213</v>
      </c>
      <c r="AR227" s="77">
        <f>$AH227*tbl_Data[[#This Row],[2034 ]]</f>
        <v>701.18346192900754</v>
      </c>
      <c r="AS227" s="77">
        <f>SUM(tbl_Data[[#This Row],[Adjusted 2025]:[Adjusted 2034]])</f>
        <v>3075.7359942355033</v>
      </c>
      <c r="AT227" s="80">
        <f>AVERAGEIFS('3. Incentive Adjustment'!F:F,'3. Incentive Adjustment'!A:A,tbl_Data[[#This Row],[Trimmed Sector]],'3. Incentive Adjustment'!B:B,tbl_Data[[#This Row],[Trimmed Measure Name]])</f>
        <v>0</v>
      </c>
      <c r="AU227" s="80">
        <f>IFERROR(VLOOKUP(tbl_Data[[#This Row],[All_Meas_Name_Append]],'IRA Tax Credits'!$A$3:$D$46,4,0),0)</f>
        <v>0</v>
      </c>
      <c r="AV227" s="81">
        <f>tbl_Data[[#This Row],[Adj. per unit Incentive ($)]]/tbl_Data[[#This Row],[kWh Savings]]*tbl_Data[[#This Row],[Sum of Annuals]]</f>
        <v>0</v>
      </c>
      <c r="AW227" s="81" t="str">
        <f>IFERROR(VLOOKUP(tbl_Data[[#This Row],[Column1]],'1. Set Program Names'!$B$2:$D$15,3,0)*tbl_Data[[#This Row],[Sum of Annuals]],"")</f>
        <v/>
      </c>
      <c r="AX227" s="81">
        <f>tbl_Data[[#This Row],[per unit IRA tax ($)]]/tbl_Data[[#This Row],[kWh Savings]]*tbl_Data[[#This Row],[Sum of Annuals]]</f>
        <v>0</v>
      </c>
      <c r="AY227" s="81">
        <f>tbl_Data[[#This Row],[Avoided Costs ($/unit)]]/tbl_Data[[#This Row],[kWh Savings]]*tbl_Data[[#This Row],[Sum of Annuals]]</f>
        <v>2286.0099506674851</v>
      </c>
      <c r="AZ227" s="81">
        <f>tbl_Data[[#This Row],[Lost Revenue ($/unit)]]/tbl_Data[[#This Row],[kWh Savings]]*tbl_Data[[#This Row],[Sum of Annuals]]</f>
        <v>3765.0598957903194</v>
      </c>
      <c r="BA227" s="81">
        <f>tbl_Data[[#This Row],[Incremental Cost ($/unit)]]/tbl_Data[[#This Row],[kWh Savings]]*tbl_Data[[#This Row],[Sum of Annuals]]</f>
        <v>1310.8468079399861</v>
      </c>
      <c r="BB227" s="77">
        <f>ROUNDUP(tbl_Data[[#This Row],[Adjusted 2025]]/$L227,0)</f>
        <v>1</v>
      </c>
      <c r="BC227" s="77">
        <f>ROUNDUP(tbl_Data[[#This Row],[Adjusted 2026]]/$L227,0)</f>
        <v>1</v>
      </c>
      <c r="BD227" s="77">
        <f>ROUNDUP(tbl_Data[[#This Row],[Adjusted 2027]]/$L227,0)</f>
        <v>1</v>
      </c>
      <c r="BE227" s="77">
        <f>ROUNDUP(tbl_Data[[#This Row],[Adjusted 2028]]/$L227,0)</f>
        <v>1</v>
      </c>
      <c r="BF227" s="77">
        <f>ROUNDUP(tbl_Data[[#This Row],[Adjusted 2029]]/$L227,0)</f>
        <v>1</v>
      </c>
      <c r="BG227" s="77">
        <f>ROUNDUP(tbl_Data[[#This Row],[Adjusted 2030]]/$L227,0)</f>
        <v>1</v>
      </c>
      <c r="BH227" s="77">
        <f>ROUNDUP(tbl_Data[[#This Row],[Adjusted 2031]]/$L227,0)</f>
        <v>1</v>
      </c>
      <c r="BI227" s="77">
        <f>ROUNDUP(tbl_Data[[#This Row],[Adjusted 2032]]/$L227,0)</f>
        <v>1</v>
      </c>
      <c r="BJ227" s="77">
        <f>ROUNDUP(tbl_Data[[#This Row],[Adjusted 2033]]/$L227,0)</f>
        <v>2</v>
      </c>
      <c r="BK227" s="77">
        <f>ROUNDUP(tbl_Data[[#This Row],[Adjusted 2034]]/$L227,0)</f>
        <v>2</v>
      </c>
      <c r="BL227" s="80">
        <f t="shared" si="100"/>
        <v>0</v>
      </c>
      <c r="BM227" s="80">
        <f t="shared" si="101"/>
        <v>0</v>
      </c>
      <c r="BN227" s="80">
        <f t="shared" si="102"/>
        <v>0</v>
      </c>
      <c r="BO227" s="80">
        <f t="shared" si="103"/>
        <v>0</v>
      </c>
      <c r="BP227" s="80">
        <f t="shared" si="104"/>
        <v>0</v>
      </c>
      <c r="BQ227" s="80">
        <f t="shared" si="105"/>
        <v>0</v>
      </c>
      <c r="BR227" s="80">
        <f t="shared" si="106"/>
        <v>0</v>
      </c>
      <c r="BS227" s="80">
        <f t="shared" si="107"/>
        <v>0</v>
      </c>
      <c r="BT227" s="80">
        <f t="shared" si="108"/>
        <v>0</v>
      </c>
      <c r="BU227" s="80">
        <f t="shared" si="109"/>
        <v>0</v>
      </c>
      <c r="BV227" s="80" t="str">
        <f>IFERROR(VLOOKUP($H227,'1. Set Program Names'!$B$2:$D$15,3,0)*V227,"NA")</f>
        <v>NA</v>
      </c>
      <c r="BW227" s="80" t="str">
        <f>IFERROR(VLOOKUP($H227,'1. Set Program Names'!$B$2:$D$15,3,0)*W227,"NA")</f>
        <v>NA</v>
      </c>
      <c r="BX227" s="80" t="str">
        <f>IFERROR(VLOOKUP($H227,'1. Set Program Names'!$B$2:$D$15,3,0)*X227,"NA")</f>
        <v>NA</v>
      </c>
      <c r="BY227" s="80" t="str">
        <f>IFERROR(VLOOKUP($H227,'1. Set Program Names'!$B$2:$D$15,3,0)*Y227,"NA")</f>
        <v>NA</v>
      </c>
      <c r="BZ227" s="80" t="str">
        <f>IFERROR(VLOOKUP($H227,'1. Set Program Names'!$B$2:$D$15,3,0)*Z227,"NA")</f>
        <v>NA</v>
      </c>
      <c r="CA227" s="80" t="str">
        <f>IFERROR(VLOOKUP($H227,'1. Set Program Names'!$B$2:$D$15,3,0)*AA227,"NA")</f>
        <v>NA</v>
      </c>
      <c r="CB227" s="80" t="str">
        <f>IFERROR(VLOOKUP($H227,'1. Set Program Names'!$B$2:$D$15,3,0)*AB227,"NA")</f>
        <v>NA</v>
      </c>
      <c r="CC227" s="80" t="str">
        <f>IFERROR(VLOOKUP($H227,'1. Set Program Names'!$B$2:$D$15,3,0)*AC227,"NA")</f>
        <v>NA</v>
      </c>
      <c r="CD227" s="80" t="str">
        <f>IFERROR(VLOOKUP($H227,'1. Set Program Names'!$B$2:$D$15,3,0)*AD227,"NA")</f>
        <v>NA</v>
      </c>
      <c r="CE227" s="80" t="str">
        <f>IFERROR(VLOOKUP($H227,'1. Set Program Names'!$B$2:$D$15,3,0)*AE227,"NA")</f>
        <v>NA</v>
      </c>
    </row>
    <row r="228" spans="1:83" x14ac:dyDescent="0.25">
      <c r="A228" s="79" t="s">
        <v>116</v>
      </c>
      <c r="B228" s="79" t="s">
        <v>88</v>
      </c>
      <c r="C228" s="79" t="s">
        <v>89</v>
      </c>
      <c r="D228" s="79" t="s">
        <v>90</v>
      </c>
      <c r="E228" s="79" t="s">
        <v>91</v>
      </c>
      <c r="F228" s="79" t="s">
        <v>90</v>
      </c>
      <c r="G228" s="79" t="s">
        <v>92</v>
      </c>
      <c r="H228" s="79" t="s">
        <v>273</v>
      </c>
      <c r="I228" s="79" t="s">
        <v>301</v>
      </c>
      <c r="J228" s="79" t="s">
        <v>302</v>
      </c>
      <c r="K228" s="79" t="s">
        <v>104</v>
      </c>
      <c r="L228" s="79">
        <v>275.64999999999901</v>
      </c>
      <c r="M228" s="79">
        <v>4.0357303140515798E-2</v>
      </c>
      <c r="N228" s="79">
        <v>4.1157633527981498E-2</v>
      </c>
      <c r="O228" s="79">
        <v>86.42</v>
      </c>
      <c r="P228" s="79">
        <v>19.6355180000002</v>
      </c>
      <c r="Q228" s="79">
        <v>0.27564999999999901</v>
      </c>
      <c r="R228" s="79">
        <v>112.309715968343</v>
      </c>
      <c r="S228" s="79">
        <v>337.427777357906</v>
      </c>
      <c r="T228" s="79">
        <v>14</v>
      </c>
      <c r="U228" s="79">
        <v>1</v>
      </c>
      <c r="V228" s="79">
        <f>tbl_Data_old[[#This Row],[2025 ]]*IFERROR(AVERAGEIFS('Participation Adjustment'!$C:$C,'Participation Adjustment'!$A:$A,$H228,'Participation Adjustment'!$B:$B,$I228),1)</f>
        <v>5.4233314747787604</v>
      </c>
      <c r="W228" s="79">
        <f>tbl_Data_old[[#This Row],[2026 ]]*IFERROR(AVERAGEIFS('Participation Adjustment'!$C:$C,'Participation Adjustment'!$A:$A,$H228,'Participation Adjustment'!$B:$B,$I228),1)</f>
        <v>7.4875348971982003</v>
      </c>
      <c r="X228" s="79">
        <f>tbl_Data_old[[#This Row],[2027 ]]*IFERROR(AVERAGEIFS('Participation Adjustment'!$C:$C,'Participation Adjustment'!$A:$A,$H228,'Participation Adjustment'!$B:$B,$I228),1)</f>
        <v>9.8060122296876493</v>
      </c>
      <c r="Y228" s="79">
        <f>tbl_Data_old[[#This Row],[2028 ]]*IFERROR(AVERAGEIFS('Participation Adjustment'!$C:$C,'Participation Adjustment'!$A:$A,$H228,'Participation Adjustment'!$B:$B,$I228),1)</f>
        <v>12.2886210376499</v>
      </c>
      <c r="Z228" s="79">
        <f>tbl_Data_old[[#This Row],[2029 ]]*IFERROR(AVERAGEIFS('Participation Adjustment'!$C:$C,'Participation Adjustment'!$A:$A,$H228,'Participation Adjustment'!$B:$B,$I228),1)</f>
        <v>14.7851126258357</v>
      </c>
      <c r="AA228" s="79">
        <f>tbl_Data_old[[#This Row],[2030 ]]*IFERROR(AVERAGEIFS('Participation Adjustment'!$C:$C,'Participation Adjustment'!$A:$A,$H228,'Participation Adjustment'!$B:$B,$I228),1)</f>
        <v>17.066071254126499</v>
      </c>
      <c r="AB228" s="79">
        <f>tbl_Data_old[[#This Row],[2031 ]]*IFERROR(AVERAGEIFS('Participation Adjustment'!$C:$C,'Participation Adjustment'!$A:$A,$H228,'Participation Adjustment'!$B:$B,$I228),1)</f>
        <v>19.134630726189201</v>
      </c>
      <c r="AC228" s="79">
        <f>tbl_Data_old[[#This Row],[2032 ]]*IFERROR(AVERAGEIFS('Participation Adjustment'!$C:$C,'Participation Adjustment'!$A:$A,$H228,'Participation Adjustment'!$B:$B,$I228),1)</f>
        <v>20.982399913242201</v>
      </c>
      <c r="AD228" s="79">
        <f>tbl_Data_old[[#This Row],[2033 ]]*IFERROR(AVERAGEIFS('Participation Adjustment'!$C:$C,'Participation Adjustment'!$A:$A,$H228,'Participation Adjustment'!$B:$B,$I228),1)</f>
        <v>22.6590932615109</v>
      </c>
      <c r="AE228" s="79">
        <f>tbl_Data_old[[#This Row],[2034 ]]*IFERROR(AVERAGEIFS('Participation Adjustment'!$C:$C,'Participation Adjustment'!$A:$A,$H228,'Participation Adjustment'!$B:$B,$I228),1)</f>
        <v>24.233732195097101</v>
      </c>
      <c r="AF228" s="77" t="str">
        <f t="shared" si="99"/>
        <v>Residential</v>
      </c>
      <c r="AG228" s="77" t="str">
        <f>tbl_Data[[#This Row],[All_Meas_Name_Append]]</f>
        <v>Energy Star Clothes Washer</v>
      </c>
      <c r="AH228" s="77">
        <f>AVERAGEIFS('3. Incentive Adjustment'!G:G,'3. Incentive Adjustment'!A:A,tbl_Data[[#This Row],[Trimmed Sector]],'3. Incentive Adjustment'!B:B,tbl_Data[[#This Row],[Trimmed Measure Name]])</f>
        <v>0.8286551255656105</v>
      </c>
      <c r="AI228" s="77">
        <f>$AH228*tbl_Data[[#This Row],[2025 ]]</f>
        <v>4.4940714242167212</v>
      </c>
      <c r="AJ228" s="77">
        <f>$AH228*tbl_Data[[#This Row],[2026 ]]</f>
        <v>6.2045841704146651</v>
      </c>
      <c r="AK228" s="77">
        <f>$AH228*tbl_Data[[#This Row],[2027 ]]</f>
        <v>8.1258022954897307</v>
      </c>
      <c r="AL228" s="77">
        <f>$AH228*tbl_Data[[#This Row],[2028 ]]</f>
        <v>10.18302880898198</v>
      </c>
      <c r="AM228" s="77">
        <f>$AH228*tbl_Data[[#This Row],[2029 ]]</f>
        <v>12.251759359463575</v>
      </c>
      <c r="AN228" s="77">
        <f>$AH228*tbl_Data[[#This Row],[2030 ]]</f>
        <v>14.141887417999849</v>
      </c>
      <c r="AO228" s="77">
        <f>$AH228*tbl_Data[[#This Row],[2031 ]]</f>
        <v>15.8560098270619</v>
      </c>
      <c r="AP228" s="77">
        <f>$AH228*tbl_Data[[#This Row],[2032 ]]</f>
        <v>17.38717323477557</v>
      </c>
      <c r="AQ228" s="77">
        <f>$AH228*tbl_Data[[#This Row],[2033 ]]</f>
        <v>18.776573771820193</v>
      </c>
      <c r="AR228" s="77">
        <f>$AH228*tbl_Data[[#This Row],[2034 ]]</f>
        <v>20.081406395051566</v>
      </c>
      <c r="AS228" s="77">
        <f>SUM(tbl_Data[[#This Row],[Adjusted 2025]:[Adjusted 2034]])</f>
        <v>127.50229670527577</v>
      </c>
      <c r="AT228" s="80">
        <f>AVERAGEIFS('3. Incentive Adjustment'!F:F,'3. Incentive Adjustment'!A:A,tbl_Data[[#This Row],[Trimmed Sector]],'3. Incentive Adjustment'!B:B,tbl_Data[[#This Row],[Trimmed Measure Name]])</f>
        <v>0</v>
      </c>
      <c r="AU228" s="80">
        <f>IFERROR(VLOOKUP(tbl_Data[[#This Row],[All_Meas_Name_Append]],'IRA Tax Credits'!$A$3:$D$46,4,0),0)</f>
        <v>0</v>
      </c>
      <c r="AV228" s="81">
        <f>tbl_Data[[#This Row],[Adj. per unit Incentive ($)]]/tbl_Data[[#This Row],[kWh Savings]]*tbl_Data[[#This Row],[Sum of Annuals]]</f>
        <v>0</v>
      </c>
      <c r="AW228" s="81" t="str">
        <f>IFERROR(VLOOKUP(tbl_Data[[#This Row],[Column1]],'1. Set Program Names'!$B$2:$D$15,3,0)*tbl_Data[[#This Row],[Sum of Annuals]],"")</f>
        <v/>
      </c>
      <c r="AX228" s="81">
        <f>tbl_Data[[#This Row],[per unit IRA tax ($)]]/tbl_Data[[#This Row],[kWh Savings]]*tbl_Data[[#This Row],[Sum of Annuals]]</f>
        <v>0</v>
      </c>
      <c r="AY228" s="81">
        <f>tbl_Data[[#This Row],[Avoided Costs ($/unit)]]/tbl_Data[[#This Row],[kWh Savings]]*tbl_Data[[#This Row],[Sum of Annuals]]</f>
        <v>51.949017697373364</v>
      </c>
      <c r="AZ228" s="81">
        <f>tbl_Data[[#This Row],[Lost Revenue ($/unit)]]/tbl_Data[[#This Row],[kWh Savings]]*tbl_Data[[#This Row],[Sum of Annuals]]</f>
        <v>156.0776948495905</v>
      </c>
      <c r="BA228" s="81">
        <f>tbl_Data[[#This Row],[Incremental Cost ($/unit)]]/tbl_Data[[#This Row],[kWh Savings]]*tbl_Data[[#This Row],[Sum of Annuals]]</f>
        <v>39.973693021113625</v>
      </c>
      <c r="BB228" s="77">
        <f>ROUNDUP(tbl_Data[[#This Row],[Adjusted 2025]]/$L228,0)</f>
        <v>1</v>
      </c>
      <c r="BC228" s="77">
        <f>ROUNDUP(tbl_Data[[#This Row],[Adjusted 2026]]/$L228,0)</f>
        <v>1</v>
      </c>
      <c r="BD228" s="77">
        <f>ROUNDUP(tbl_Data[[#This Row],[Adjusted 2027]]/$L228,0)</f>
        <v>1</v>
      </c>
      <c r="BE228" s="77">
        <f>ROUNDUP(tbl_Data[[#This Row],[Adjusted 2028]]/$L228,0)</f>
        <v>1</v>
      </c>
      <c r="BF228" s="77">
        <f>ROUNDUP(tbl_Data[[#This Row],[Adjusted 2029]]/$L228,0)</f>
        <v>1</v>
      </c>
      <c r="BG228" s="77">
        <f>ROUNDUP(tbl_Data[[#This Row],[Adjusted 2030]]/$L228,0)</f>
        <v>1</v>
      </c>
      <c r="BH228" s="77">
        <f>ROUNDUP(tbl_Data[[#This Row],[Adjusted 2031]]/$L228,0)</f>
        <v>1</v>
      </c>
      <c r="BI228" s="77">
        <f>ROUNDUP(tbl_Data[[#This Row],[Adjusted 2032]]/$L228,0)</f>
        <v>1</v>
      </c>
      <c r="BJ228" s="77">
        <f>ROUNDUP(tbl_Data[[#This Row],[Adjusted 2033]]/$L228,0)</f>
        <v>1</v>
      </c>
      <c r="BK228" s="77">
        <f>ROUNDUP(tbl_Data[[#This Row],[Adjusted 2034]]/$L228,0)</f>
        <v>1</v>
      </c>
      <c r="BL228" s="80">
        <f t="shared" si="100"/>
        <v>0</v>
      </c>
      <c r="BM228" s="80">
        <f t="shared" si="101"/>
        <v>0</v>
      </c>
      <c r="BN228" s="80">
        <f t="shared" si="102"/>
        <v>0</v>
      </c>
      <c r="BO228" s="80">
        <f t="shared" si="103"/>
        <v>0</v>
      </c>
      <c r="BP228" s="80">
        <f t="shared" si="104"/>
        <v>0</v>
      </c>
      <c r="BQ228" s="80">
        <f t="shared" si="105"/>
        <v>0</v>
      </c>
      <c r="BR228" s="80">
        <f t="shared" si="106"/>
        <v>0</v>
      </c>
      <c r="BS228" s="80">
        <f t="shared" si="107"/>
        <v>0</v>
      </c>
      <c r="BT228" s="80">
        <f t="shared" si="108"/>
        <v>0</v>
      </c>
      <c r="BU228" s="80">
        <f t="shared" si="109"/>
        <v>0</v>
      </c>
      <c r="BV228" s="80" t="str">
        <f>IFERROR(VLOOKUP($H228,'1. Set Program Names'!$B$2:$D$15,3,0)*V228,"NA")</f>
        <v>NA</v>
      </c>
      <c r="BW228" s="80" t="str">
        <f>IFERROR(VLOOKUP($H228,'1. Set Program Names'!$B$2:$D$15,3,0)*W228,"NA")</f>
        <v>NA</v>
      </c>
      <c r="BX228" s="80" t="str">
        <f>IFERROR(VLOOKUP($H228,'1. Set Program Names'!$B$2:$D$15,3,0)*X228,"NA")</f>
        <v>NA</v>
      </c>
      <c r="BY228" s="80" t="str">
        <f>IFERROR(VLOOKUP($H228,'1. Set Program Names'!$B$2:$D$15,3,0)*Y228,"NA")</f>
        <v>NA</v>
      </c>
      <c r="BZ228" s="80" t="str">
        <f>IFERROR(VLOOKUP($H228,'1. Set Program Names'!$B$2:$D$15,3,0)*Z228,"NA")</f>
        <v>NA</v>
      </c>
      <c r="CA228" s="80" t="str">
        <f>IFERROR(VLOOKUP($H228,'1. Set Program Names'!$B$2:$D$15,3,0)*AA228,"NA")</f>
        <v>NA</v>
      </c>
      <c r="CB228" s="80" t="str">
        <f>IFERROR(VLOOKUP($H228,'1. Set Program Names'!$B$2:$D$15,3,0)*AB228,"NA")</f>
        <v>NA</v>
      </c>
      <c r="CC228" s="80" t="str">
        <f>IFERROR(VLOOKUP($H228,'1. Set Program Names'!$B$2:$D$15,3,0)*AC228,"NA")</f>
        <v>NA</v>
      </c>
      <c r="CD228" s="80" t="str">
        <f>IFERROR(VLOOKUP($H228,'1. Set Program Names'!$B$2:$D$15,3,0)*AD228,"NA")</f>
        <v>NA</v>
      </c>
      <c r="CE228" s="80" t="str">
        <f>IFERROR(VLOOKUP($H228,'1. Set Program Names'!$B$2:$D$15,3,0)*AE228,"NA")</f>
        <v>NA</v>
      </c>
    </row>
    <row r="229" spans="1:83" x14ac:dyDescent="0.25">
      <c r="A229" s="79" t="s">
        <v>116</v>
      </c>
      <c r="B229" s="79" t="s">
        <v>88</v>
      </c>
      <c r="C229" s="79" t="s">
        <v>89</v>
      </c>
      <c r="D229" s="79" t="s">
        <v>90</v>
      </c>
      <c r="E229" s="79" t="s">
        <v>91</v>
      </c>
      <c r="F229" s="79" t="s">
        <v>90</v>
      </c>
      <c r="G229" s="79" t="s">
        <v>92</v>
      </c>
      <c r="H229" s="79" t="s">
        <v>273</v>
      </c>
      <c r="I229" s="79" t="s">
        <v>105</v>
      </c>
      <c r="J229" s="79" t="s">
        <v>97</v>
      </c>
      <c r="K229" s="79" t="s">
        <v>98</v>
      </c>
      <c r="L229" s="79">
        <v>1409.8599999999899</v>
      </c>
      <c r="M229" s="79">
        <v>0.25259796946801399</v>
      </c>
      <c r="N229" s="79">
        <v>0.18561076930699899</v>
      </c>
      <c r="O229" s="79">
        <v>15905.9999999999</v>
      </c>
      <c r="P229" s="79">
        <v>15564.4191191999</v>
      </c>
      <c r="Q229" s="79">
        <v>1.4098599999999899</v>
      </c>
      <c r="R229" s="79">
        <v>1051.8249065196901</v>
      </c>
      <c r="S229" s="79">
        <v>2376.3089492588301</v>
      </c>
      <c r="T229" s="79">
        <v>25</v>
      </c>
      <c r="U229" s="79">
        <v>1</v>
      </c>
      <c r="V229" s="79">
        <f>tbl_Data_old[[#This Row],[2025 ]]*IFERROR(AVERAGEIFS('Participation Adjustment'!$C:$C,'Participation Adjustment'!$A:$A,$H229,'Participation Adjustment'!$B:$B,$I229),1)</f>
        <v>6.2559398669155303E-2</v>
      </c>
      <c r="W229" s="79">
        <f>tbl_Data_old[[#This Row],[2026 ]]*IFERROR(AVERAGEIFS('Participation Adjustment'!$C:$C,'Participation Adjustment'!$A:$A,$H229,'Participation Adjustment'!$B:$B,$I229),1)</f>
        <v>7.2468921159528105E-2</v>
      </c>
      <c r="X229" s="79">
        <f>tbl_Data_old[[#This Row],[2027 ]]*IFERROR(AVERAGEIFS('Participation Adjustment'!$C:$C,'Participation Adjustment'!$A:$A,$H229,'Participation Adjustment'!$B:$B,$I229),1)</f>
        <v>8.2492051448679604E-2</v>
      </c>
      <c r="Y229" s="79">
        <f>tbl_Data_old[[#This Row],[2028 ]]*IFERROR(AVERAGEIFS('Participation Adjustment'!$C:$C,'Participation Adjustment'!$A:$A,$H229,'Participation Adjustment'!$B:$B,$I229),1)</f>
        <v>9.2818933494551795E-2</v>
      </c>
      <c r="Z229" s="79">
        <f>tbl_Data_old[[#This Row],[2029 ]]*IFERROR(AVERAGEIFS('Participation Adjustment'!$C:$C,'Participation Adjustment'!$A:$A,$H229,'Participation Adjustment'!$B:$B,$I229),1)</f>
        <v>0.103509860532232</v>
      </c>
      <c r="AA229" s="79">
        <f>tbl_Data_old[[#This Row],[2030 ]]*IFERROR(AVERAGEIFS('Participation Adjustment'!$C:$C,'Participation Adjustment'!$A:$A,$H229,'Participation Adjustment'!$B:$B,$I229),1)</f>
        <v>0.11430930978345499</v>
      </c>
      <c r="AB229" s="79">
        <f>tbl_Data_old[[#This Row],[2031 ]]*IFERROR(AVERAGEIFS('Participation Adjustment'!$C:$C,'Participation Adjustment'!$A:$A,$H229,'Participation Adjustment'!$B:$B,$I229),1)</f>
        <v>0.12611909495399001</v>
      </c>
      <c r="AC229" s="79">
        <f>tbl_Data_old[[#This Row],[2032 ]]*IFERROR(AVERAGEIFS('Participation Adjustment'!$C:$C,'Participation Adjustment'!$A:$A,$H229,'Participation Adjustment'!$B:$B,$I229),1)</f>
        <v>0.13933990226547199</v>
      </c>
      <c r="AD229" s="79">
        <f>tbl_Data_old[[#This Row],[2033 ]]*IFERROR(AVERAGEIFS('Participation Adjustment'!$C:$C,'Participation Adjustment'!$A:$A,$H229,'Participation Adjustment'!$B:$B,$I229),1)</f>
        <v>0.15420349117313201</v>
      </c>
      <c r="AE229" s="79">
        <f>tbl_Data_old[[#This Row],[2034 ]]*IFERROR(AVERAGEIFS('Participation Adjustment'!$C:$C,'Participation Adjustment'!$A:$A,$H229,'Participation Adjustment'!$B:$B,$I229),1)</f>
        <v>0.17091797020375199</v>
      </c>
      <c r="AF229" s="77" t="str">
        <f t="shared" si="99"/>
        <v>Residential</v>
      </c>
      <c r="AG229" s="77" t="str">
        <f>tbl_Data[[#This Row],[All_Meas_Name_Append]]</f>
        <v>Energy Star Ground Source Heat Pump</v>
      </c>
      <c r="AH229" s="77">
        <f>AVERAGEIFS('3. Incentive Adjustment'!G:G,'3. Incentive Adjustment'!A:A,tbl_Data[[#This Row],[Trimmed Sector]],'3. Incentive Adjustment'!B:B,tbl_Data[[#This Row],[Trimmed Measure Name]])</f>
        <v>2.2369945105234762E-13</v>
      </c>
      <c r="AI229" s="77">
        <f>$AH229*tbl_Data[[#This Row],[2025 ]]</f>
        <v>1.3994503140455008E-14</v>
      </c>
      <c r="AJ229" s="77">
        <f>$AH229*tbl_Data[[#This Row],[2026 ]]</f>
        <v>1.6211257881742296E-14</v>
      </c>
      <c r="AK229" s="77">
        <f>$AH229*tbl_Data[[#This Row],[2027 ]]</f>
        <v>1.8453426625251644E-14</v>
      </c>
      <c r="AL229" s="77">
        <f>$AH229*tbl_Data[[#This Row],[2028 ]]</f>
        <v>2.0763544469995597E-14</v>
      </c>
      <c r="AM229" s="77">
        <f>$AH229*tbl_Data[[#This Row],[2029 ]]</f>
        <v>2.3155098979565361E-14</v>
      </c>
      <c r="AN229" s="77">
        <f>$AH229*tbl_Data[[#This Row],[2030 ]]</f>
        <v>2.5570929848731632E-14</v>
      </c>
      <c r="AO229" s="77">
        <f>$AH229*tbl_Data[[#This Row],[2031 ]]</f>
        <v>2.821277230842647E-14</v>
      </c>
      <c r="AP229" s="77">
        <f>$AH229*tbl_Data[[#This Row],[2032 ]]</f>
        <v>3.1170259646473852E-14</v>
      </c>
      <c r="AQ229" s="77">
        <f>$AH229*tbl_Data[[#This Row],[2033 ]]</f>
        <v>3.4495236325785163E-14</v>
      </c>
      <c r="AR229" s="77">
        <f>$AH229*tbl_Data[[#This Row],[2034 ]]</f>
        <v>3.8234256109560829E-14</v>
      </c>
      <c r="AS229" s="77">
        <f>SUM(tbl_Data[[#This Row],[Adjusted 2025]:[Adjusted 2034]])</f>
        <v>2.5026128533598785E-13</v>
      </c>
      <c r="AT229" s="80">
        <f>AVERAGEIFS('3. Incentive Adjustment'!F:F,'3. Incentive Adjustment'!A:A,tbl_Data[[#This Row],[Trimmed Sector]],'3. Incentive Adjustment'!B:B,tbl_Data[[#This Row],[Trimmed Measure Name]])</f>
        <v>0</v>
      </c>
      <c r="AU229" s="80">
        <f>IFERROR(VLOOKUP(tbl_Data[[#This Row],[All_Meas_Name_Append]],'IRA Tax Credits'!$A$3:$D$46,4,0),0)</f>
        <v>41666.666666666672</v>
      </c>
      <c r="AV229" s="81">
        <f>tbl_Data[[#This Row],[Adj. per unit Incentive ($)]]/tbl_Data[[#This Row],[kWh Savings]]*tbl_Data[[#This Row],[Sum of Annuals]]</f>
        <v>0</v>
      </c>
      <c r="AW229" s="81" t="str">
        <f>IFERROR(VLOOKUP(tbl_Data[[#This Row],[Column1]],'1. Set Program Names'!$B$2:$D$15,3,0)*tbl_Data[[#This Row],[Sum of Annuals]],"")</f>
        <v/>
      </c>
      <c r="AX229" s="81">
        <f>tbl_Data[[#This Row],[per unit IRA tax ($)]]/tbl_Data[[#This Row],[kWh Savings]]*tbl_Data[[#This Row],[Sum of Annuals]]</f>
        <v>7.3961624244011718E-12</v>
      </c>
      <c r="AY229" s="81">
        <f>tbl_Data[[#This Row],[Avoided Costs ($/unit)]]/tbl_Data[[#This Row],[kWh Savings]]*tbl_Data[[#This Row],[Sum of Annuals]]</f>
        <v>1.8670722841560493E-13</v>
      </c>
      <c r="AZ229" s="81">
        <f>tbl_Data[[#This Row],[Lost Revenue ($/unit)]]/tbl_Data[[#This Row],[kWh Savings]]*tbl_Data[[#This Row],[Sum of Annuals]]</f>
        <v>4.218136070226333E-13</v>
      </c>
      <c r="BA229" s="81">
        <f>tbl_Data[[#This Row],[Incremental Cost ($/unit)]]/tbl_Data[[#This Row],[kWh Savings]]*tbl_Data[[#This Row],[Sum of Annuals]]</f>
        <v>2.8234406285405829E-12</v>
      </c>
      <c r="BB229" s="77">
        <f>ROUNDUP(tbl_Data[[#This Row],[Adjusted 2025]]/$L229,0)</f>
        <v>1</v>
      </c>
      <c r="BC229" s="77">
        <f>ROUNDUP(tbl_Data[[#This Row],[Adjusted 2026]]/$L229,0)</f>
        <v>1</v>
      </c>
      <c r="BD229" s="77">
        <f>ROUNDUP(tbl_Data[[#This Row],[Adjusted 2027]]/$L229,0)</f>
        <v>1</v>
      </c>
      <c r="BE229" s="77">
        <f>ROUNDUP(tbl_Data[[#This Row],[Adjusted 2028]]/$L229,0)</f>
        <v>1</v>
      </c>
      <c r="BF229" s="77">
        <f>ROUNDUP(tbl_Data[[#This Row],[Adjusted 2029]]/$L229,0)</f>
        <v>1</v>
      </c>
      <c r="BG229" s="77">
        <f>ROUNDUP(tbl_Data[[#This Row],[Adjusted 2030]]/$L229,0)</f>
        <v>1</v>
      </c>
      <c r="BH229" s="77">
        <f>ROUNDUP(tbl_Data[[#This Row],[Adjusted 2031]]/$L229,0)</f>
        <v>1</v>
      </c>
      <c r="BI229" s="77">
        <f>ROUNDUP(tbl_Data[[#This Row],[Adjusted 2032]]/$L229,0)</f>
        <v>1</v>
      </c>
      <c r="BJ229" s="77">
        <f>ROUNDUP(tbl_Data[[#This Row],[Adjusted 2033]]/$L229,0)</f>
        <v>1</v>
      </c>
      <c r="BK229" s="77">
        <f>ROUNDUP(tbl_Data[[#This Row],[Adjusted 2034]]/$L229,0)</f>
        <v>1</v>
      </c>
      <c r="BL229" s="80">
        <f t="shared" si="100"/>
        <v>0</v>
      </c>
      <c r="BM229" s="80">
        <f t="shared" si="101"/>
        <v>0</v>
      </c>
      <c r="BN229" s="80">
        <f t="shared" si="102"/>
        <v>0</v>
      </c>
      <c r="BO229" s="80">
        <f t="shared" si="103"/>
        <v>0</v>
      </c>
      <c r="BP229" s="80">
        <f t="shared" si="104"/>
        <v>0</v>
      </c>
      <c r="BQ229" s="80">
        <f t="shared" si="105"/>
        <v>0</v>
      </c>
      <c r="BR229" s="80">
        <f t="shared" si="106"/>
        <v>0</v>
      </c>
      <c r="BS229" s="80">
        <f t="shared" si="107"/>
        <v>0</v>
      </c>
      <c r="BT229" s="80">
        <f t="shared" si="108"/>
        <v>0</v>
      </c>
      <c r="BU229" s="80">
        <f t="shared" si="109"/>
        <v>0</v>
      </c>
      <c r="BV229" s="80" t="str">
        <f>IFERROR(VLOOKUP($H229,'1. Set Program Names'!$B$2:$D$15,3,0)*V229,"NA")</f>
        <v>NA</v>
      </c>
      <c r="BW229" s="80" t="str">
        <f>IFERROR(VLOOKUP($H229,'1. Set Program Names'!$B$2:$D$15,3,0)*W229,"NA")</f>
        <v>NA</v>
      </c>
      <c r="BX229" s="80" t="str">
        <f>IFERROR(VLOOKUP($H229,'1. Set Program Names'!$B$2:$D$15,3,0)*X229,"NA")</f>
        <v>NA</v>
      </c>
      <c r="BY229" s="80" t="str">
        <f>IFERROR(VLOOKUP($H229,'1. Set Program Names'!$B$2:$D$15,3,0)*Y229,"NA")</f>
        <v>NA</v>
      </c>
      <c r="BZ229" s="80" t="str">
        <f>IFERROR(VLOOKUP($H229,'1. Set Program Names'!$B$2:$D$15,3,0)*Z229,"NA")</f>
        <v>NA</v>
      </c>
      <c r="CA229" s="80" t="str">
        <f>IFERROR(VLOOKUP($H229,'1. Set Program Names'!$B$2:$D$15,3,0)*AA229,"NA")</f>
        <v>NA</v>
      </c>
      <c r="CB229" s="80" t="str">
        <f>IFERROR(VLOOKUP($H229,'1. Set Program Names'!$B$2:$D$15,3,0)*AB229,"NA")</f>
        <v>NA</v>
      </c>
      <c r="CC229" s="80" t="str">
        <f>IFERROR(VLOOKUP($H229,'1. Set Program Names'!$B$2:$D$15,3,0)*AC229,"NA")</f>
        <v>NA</v>
      </c>
      <c r="CD229" s="80" t="str">
        <f>IFERROR(VLOOKUP($H229,'1. Set Program Names'!$B$2:$D$15,3,0)*AD229,"NA")</f>
        <v>NA</v>
      </c>
      <c r="CE229" s="80" t="str">
        <f>IFERROR(VLOOKUP($H229,'1. Set Program Names'!$B$2:$D$15,3,0)*AE229,"NA")</f>
        <v>NA</v>
      </c>
    </row>
    <row r="230" spans="1:83" x14ac:dyDescent="0.25">
      <c r="A230" s="79" t="s">
        <v>116</v>
      </c>
      <c r="B230" s="79" t="s">
        <v>88</v>
      </c>
      <c r="C230" s="79" t="s">
        <v>89</v>
      </c>
      <c r="D230" s="79" t="s">
        <v>90</v>
      </c>
      <c r="E230" s="79" t="s">
        <v>91</v>
      </c>
      <c r="F230" s="79" t="s">
        <v>90</v>
      </c>
      <c r="G230" s="79" t="s">
        <v>92</v>
      </c>
      <c r="H230" s="79" t="s">
        <v>273</v>
      </c>
      <c r="I230" s="79" t="s">
        <v>106</v>
      </c>
      <c r="J230" s="79" t="s">
        <v>97</v>
      </c>
      <c r="K230" s="79" t="s">
        <v>98</v>
      </c>
      <c r="L230" s="79">
        <v>127.25</v>
      </c>
      <c r="M230" s="79">
        <v>7.3045840411791796E-2</v>
      </c>
      <c r="N230" s="79">
        <v>3.5010079032079199E-4</v>
      </c>
      <c r="O230" s="79">
        <v>41.15</v>
      </c>
      <c r="P230" s="79">
        <v>10.3198699999999</v>
      </c>
      <c r="Q230" s="79">
        <v>0.12725</v>
      </c>
      <c r="R230" s="79">
        <v>86.902802703254196</v>
      </c>
      <c r="S230" s="79">
        <v>140.464426641062</v>
      </c>
      <c r="T230" s="79">
        <v>12</v>
      </c>
      <c r="U230" s="79">
        <v>1</v>
      </c>
      <c r="V230" s="79">
        <f>tbl_Data_old[[#This Row],[2025 ]]*IFERROR(AVERAGEIFS('Participation Adjustment'!$C:$C,'Participation Adjustment'!$A:$A,$H230,'Participation Adjustment'!$B:$B,$I230),1)</f>
        <v>4.0722875773415497E-2</v>
      </c>
      <c r="W230" s="79">
        <f>tbl_Data_old[[#This Row],[2026 ]]*IFERROR(AVERAGEIFS('Participation Adjustment'!$C:$C,'Participation Adjustment'!$A:$A,$H230,'Participation Adjustment'!$B:$B,$I230),1)</f>
        <v>4.3141480172535503E-2</v>
      </c>
      <c r="X230" s="79">
        <f>tbl_Data_old[[#This Row],[2027 ]]*IFERROR(AVERAGEIFS('Participation Adjustment'!$C:$C,'Participation Adjustment'!$A:$A,$H230,'Participation Adjustment'!$B:$B,$I230),1)</f>
        <v>4.4792545999351001E-2</v>
      </c>
      <c r="Y230" s="79">
        <f>tbl_Data_old[[#This Row],[2028 ]]*IFERROR(AVERAGEIFS('Participation Adjustment'!$C:$C,'Participation Adjustment'!$A:$A,$H230,'Participation Adjustment'!$B:$B,$I230),1)</f>
        <v>4.6095305551798499E-2</v>
      </c>
      <c r="Z230" s="79">
        <f>tbl_Data_old[[#This Row],[2029 ]]*IFERROR(AVERAGEIFS('Participation Adjustment'!$C:$C,'Participation Adjustment'!$A:$A,$H230,'Participation Adjustment'!$B:$B,$I230),1)</f>
        <v>4.72549346520727E-2</v>
      </c>
      <c r="AA230" s="79">
        <f>tbl_Data_old[[#This Row],[2030 ]]*IFERROR(AVERAGEIFS('Participation Adjustment'!$C:$C,'Participation Adjustment'!$A:$A,$H230,'Participation Adjustment'!$B:$B,$I230),1)</f>
        <v>4.8170027142663302E-2</v>
      </c>
      <c r="AB230" s="79">
        <f>tbl_Data_old[[#This Row],[2031 ]]*IFERROR(AVERAGEIFS('Participation Adjustment'!$C:$C,'Participation Adjustment'!$A:$A,$H230,'Participation Adjustment'!$B:$B,$I230),1)</f>
        <v>4.92625037984857E-2</v>
      </c>
      <c r="AC230" s="79">
        <f>tbl_Data_old[[#This Row],[2032 ]]*IFERROR(AVERAGEIFS('Participation Adjustment'!$C:$C,'Participation Adjustment'!$A:$A,$H230,'Participation Adjustment'!$B:$B,$I230),1)</f>
        <v>5.05795353780603E-2</v>
      </c>
      <c r="AD230" s="79">
        <f>tbl_Data_old[[#This Row],[2033 ]]*IFERROR(AVERAGEIFS('Participation Adjustment'!$C:$C,'Participation Adjustment'!$A:$A,$H230,'Participation Adjustment'!$B:$B,$I230),1)</f>
        <v>5.2156332919240503E-2</v>
      </c>
      <c r="AE230" s="79">
        <f>tbl_Data_old[[#This Row],[2034 ]]*IFERROR(AVERAGEIFS('Participation Adjustment'!$C:$C,'Participation Adjustment'!$A:$A,$H230,'Participation Adjustment'!$B:$B,$I230),1)</f>
        <v>5.3983594650138397E-2</v>
      </c>
      <c r="AF230" s="77" t="str">
        <f t="shared" si="99"/>
        <v>Residential</v>
      </c>
      <c r="AG230" s="77" t="str">
        <f>tbl_Data[[#This Row],[All_Meas_Name_Append]]</f>
        <v>Energy Star Room AC Residential</v>
      </c>
      <c r="AH230" s="77">
        <f>AVERAGEIFS('3. Incentive Adjustment'!G:G,'3. Incentive Adjustment'!A:A,tbl_Data[[#This Row],[Trimmed Sector]],'3. Incentive Adjustment'!B:B,tbl_Data[[#This Row],[Trimmed Measure Name]])</f>
        <v>0.8073629241290271</v>
      </c>
      <c r="AI230" s="77">
        <f>$AH230*tbl_Data[[#This Row],[2025 ]]</f>
        <v>3.2878140063367853E-2</v>
      </c>
      <c r="AJ230" s="77">
        <f>$AH230*tbl_Data[[#This Row],[2026 ]]</f>
        <v>3.4830831583352706E-2</v>
      </c>
      <c r="AK230" s="77">
        <f>$AH230*tbl_Data[[#This Row],[2027 ]]</f>
        <v>3.6163840917219976E-2</v>
      </c>
      <c r="AL230" s="77">
        <f>$AH230*tbl_Data[[#This Row],[2028 ]]</f>
        <v>3.7215640678921011E-2</v>
      </c>
      <c r="AM230" s="77">
        <f>$AH230*tbl_Data[[#This Row],[2029 ]]</f>
        <v>3.8151882220223504E-2</v>
      </c>
      <c r="AN230" s="77">
        <f>$AH230*tbl_Data[[#This Row],[2030 ]]</f>
        <v>3.8890693969275247E-2</v>
      </c>
      <c r="AO230" s="77">
        <f>$AH230*tbl_Data[[#This Row],[2031 ]]</f>
        <v>3.9772719116662719E-2</v>
      </c>
      <c r="AP230" s="77">
        <f>$AH230*tbl_Data[[#This Row],[2032 ]]</f>
        <v>4.0836041583918341E-2</v>
      </c>
      <c r="AQ230" s="77">
        <f>$AH230*tbl_Data[[#This Row],[2033 ]]</f>
        <v>4.2109089457525048E-2</v>
      </c>
      <c r="AR230" s="77">
        <f>$AH230*tbl_Data[[#This Row],[2034 ]]</f>
        <v>4.3584352831731843E-2</v>
      </c>
      <c r="AS230" s="77">
        <f>SUM(tbl_Data[[#This Row],[Adjusted 2025]:[Adjusted 2034]])</f>
        <v>0.38443323242219829</v>
      </c>
      <c r="AT230" s="80">
        <f>AVERAGEIFS('3. Incentive Adjustment'!F:F,'3. Incentive Adjustment'!A:A,tbl_Data[[#This Row],[Trimmed Sector]],'3. Incentive Adjustment'!B:B,tbl_Data[[#This Row],[Trimmed Measure Name]])</f>
        <v>0</v>
      </c>
      <c r="AU230" s="80">
        <f>IFERROR(VLOOKUP(tbl_Data[[#This Row],[All_Meas_Name_Append]],'IRA Tax Credits'!$A$3:$D$46,4,0),0)</f>
        <v>0</v>
      </c>
      <c r="AV230" s="81">
        <f>tbl_Data[[#This Row],[Adj. per unit Incentive ($)]]/tbl_Data[[#This Row],[kWh Savings]]*tbl_Data[[#This Row],[Sum of Annuals]]</f>
        <v>0</v>
      </c>
      <c r="AW230" s="81" t="str">
        <f>IFERROR(VLOOKUP(tbl_Data[[#This Row],[Column1]],'1. Set Program Names'!$B$2:$D$15,3,0)*tbl_Data[[#This Row],[Sum of Annuals]],"")</f>
        <v/>
      </c>
      <c r="AX230" s="81">
        <f>tbl_Data[[#This Row],[per unit IRA tax ($)]]/tbl_Data[[#This Row],[kWh Savings]]*tbl_Data[[#This Row],[Sum of Annuals]]</f>
        <v>0</v>
      </c>
      <c r="AY230" s="81">
        <f>tbl_Data[[#This Row],[Avoided Costs ($/unit)]]/tbl_Data[[#This Row],[kWh Savings]]*tbl_Data[[#This Row],[Sum of Annuals]]</f>
        <v>0.26254086718868808</v>
      </c>
      <c r="AZ230" s="81">
        <f>tbl_Data[[#This Row],[Lost Revenue ($/unit)]]/tbl_Data[[#This Row],[kWh Savings]]*tbl_Data[[#This Row],[Sum of Annuals]]</f>
        <v>0.42435515578745941</v>
      </c>
      <c r="BA230" s="81">
        <f>tbl_Data[[#This Row],[Incremental Cost ($/unit)]]/tbl_Data[[#This Row],[kWh Savings]]*tbl_Data[[#This Row],[Sum of Annuals]]</f>
        <v>0.12431770148662837</v>
      </c>
      <c r="BB230" s="77">
        <f>ROUNDUP(tbl_Data[[#This Row],[Adjusted 2025]]/$L230,0)</f>
        <v>1</v>
      </c>
      <c r="BC230" s="77">
        <f>ROUNDUP(tbl_Data[[#This Row],[Adjusted 2026]]/$L230,0)</f>
        <v>1</v>
      </c>
      <c r="BD230" s="77">
        <f>ROUNDUP(tbl_Data[[#This Row],[Adjusted 2027]]/$L230,0)</f>
        <v>1</v>
      </c>
      <c r="BE230" s="77">
        <f>ROUNDUP(tbl_Data[[#This Row],[Adjusted 2028]]/$L230,0)</f>
        <v>1</v>
      </c>
      <c r="BF230" s="77">
        <f>ROUNDUP(tbl_Data[[#This Row],[Adjusted 2029]]/$L230,0)</f>
        <v>1</v>
      </c>
      <c r="BG230" s="77">
        <f>ROUNDUP(tbl_Data[[#This Row],[Adjusted 2030]]/$L230,0)</f>
        <v>1</v>
      </c>
      <c r="BH230" s="77">
        <f>ROUNDUP(tbl_Data[[#This Row],[Adjusted 2031]]/$L230,0)</f>
        <v>1</v>
      </c>
      <c r="BI230" s="77">
        <f>ROUNDUP(tbl_Data[[#This Row],[Adjusted 2032]]/$L230,0)</f>
        <v>1</v>
      </c>
      <c r="BJ230" s="77">
        <f>ROUNDUP(tbl_Data[[#This Row],[Adjusted 2033]]/$L230,0)</f>
        <v>1</v>
      </c>
      <c r="BK230" s="77">
        <f>ROUNDUP(tbl_Data[[#This Row],[Adjusted 2034]]/$L230,0)</f>
        <v>1</v>
      </c>
      <c r="BL230" s="80">
        <f t="shared" si="100"/>
        <v>0</v>
      </c>
      <c r="BM230" s="80">
        <f t="shared" si="101"/>
        <v>0</v>
      </c>
      <c r="BN230" s="80">
        <f t="shared" si="102"/>
        <v>0</v>
      </c>
      <c r="BO230" s="80">
        <f t="shared" si="103"/>
        <v>0</v>
      </c>
      <c r="BP230" s="80">
        <f t="shared" si="104"/>
        <v>0</v>
      </c>
      <c r="BQ230" s="80">
        <f t="shared" si="105"/>
        <v>0</v>
      </c>
      <c r="BR230" s="80">
        <f t="shared" si="106"/>
        <v>0</v>
      </c>
      <c r="BS230" s="80">
        <f t="shared" si="107"/>
        <v>0</v>
      </c>
      <c r="BT230" s="80">
        <f t="shared" si="108"/>
        <v>0</v>
      </c>
      <c r="BU230" s="80">
        <f t="shared" si="109"/>
        <v>0</v>
      </c>
      <c r="BV230" s="80" t="str">
        <f>IFERROR(VLOOKUP($H230,'1. Set Program Names'!$B$2:$D$15,3,0)*V230,"NA")</f>
        <v>NA</v>
      </c>
      <c r="BW230" s="80" t="str">
        <f>IFERROR(VLOOKUP($H230,'1. Set Program Names'!$B$2:$D$15,3,0)*W230,"NA")</f>
        <v>NA</v>
      </c>
      <c r="BX230" s="80" t="str">
        <f>IFERROR(VLOOKUP($H230,'1. Set Program Names'!$B$2:$D$15,3,0)*X230,"NA")</f>
        <v>NA</v>
      </c>
      <c r="BY230" s="80" t="str">
        <f>IFERROR(VLOOKUP($H230,'1. Set Program Names'!$B$2:$D$15,3,0)*Y230,"NA")</f>
        <v>NA</v>
      </c>
      <c r="BZ230" s="80" t="str">
        <f>IFERROR(VLOOKUP($H230,'1. Set Program Names'!$B$2:$D$15,3,0)*Z230,"NA")</f>
        <v>NA</v>
      </c>
      <c r="CA230" s="80" t="str">
        <f>IFERROR(VLOOKUP($H230,'1. Set Program Names'!$B$2:$D$15,3,0)*AA230,"NA")</f>
        <v>NA</v>
      </c>
      <c r="CB230" s="80" t="str">
        <f>IFERROR(VLOOKUP($H230,'1. Set Program Names'!$B$2:$D$15,3,0)*AB230,"NA")</f>
        <v>NA</v>
      </c>
      <c r="CC230" s="80" t="str">
        <f>IFERROR(VLOOKUP($H230,'1. Set Program Names'!$B$2:$D$15,3,0)*AC230,"NA")</f>
        <v>NA</v>
      </c>
      <c r="CD230" s="80" t="str">
        <f>IFERROR(VLOOKUP($H230,'1. Set Program Names'!$B$2:$D$15,3,0)*AD230,"NA")</f>
        <v>NA</v>
      </c>
      <c r="CE230" s="80" t="str">
        <f>IFERROR(VLOOKUP($H230,'1. Set Program Names'!$B$2:$D$15,3,0)*AE230,"NA")</f>
        <v>NA</v>
      </c>
    </row>
    <row r="231" spans="1:83" x14ac:dyDescent="0.25">
      <c r="A231" s="79" t="s">
        <v>116</v>
      </c>
      <c r="B231" s="79" t="s">
        <v>88</v>
      </c>
      <c r="C231" s="79" t="s">
        <v>89</v>
      </c>
      <c r="D231" s="79" t="s">
        <v>90</v>
      </c>
      <c r="E231" s="79" t="s">
        <v>91</v>
      </c>
      <c r="F231" s="79" t="s">
        <v>90</v>
      </c>
      <c r="G231" s="79" t="s">
        <v>92</v>
      </c>
      <c r="H231" s="79" t="s">
        <v>273</v>
      </c>
      <c r="I231" s="79" t="s">
        <v>111</v>
      </c>
      <c r="J231" s="79" t="s">
        <v>97</v>
      </c>
      <c r="K231" s="79" t="s">
        <v>102</v>
      </c>
      <c r="L231" s="79">
        <v>586.59333333333302</v>
      </c>
      <c r="M231" s="79">
        <v>0.33672458163683799</v>
      </c>
      <c r="N231" s="79">
        <v>1.6138843976181299E-3</v>
      </c>
      <c r="O231" s="79">
        <v>250</v>
      </c>
      <c r="P231" s="79">
        <v>142.46266525790699</v>
      </c>
      <c r="Q231" s="79">
        <v>0.58659333333333297</v>
      </c>
      <c r="R231" s="79">
        <v>435.979615776</v>
      </c>
      <c r="S231" s="79">
        <v>718.05871460051901</v>
      </c>
      <c r="T231" s="79">
        <v>14</v>
      </c>
      <c r="U231" s="79">
        <v>1</v>
      </c>
      <c r="V231" s="79">
        <f>tbl_Data_old[[#This Row],[2025 ]]*IFERROR(AVERAGEIFS('Participation Adjustment'!$C:$C,'Participation Adjustment'!$A:$A,$H231,'Participation Adjustment'!$B:$B,$I231),1)</f>
        <v>0.23602945104675699</v>
      </c>
      <c r="W231" s="79">
        <f>tbl_Data_old[[#This Row],[2026 ]]*IFERROR(AVERAGEIFS('Participation Adjustment'!$C:$C,'Participation Adjustment'!$A:$A,$H231,'Participation Adjustment'!$B:$B,$I231),1)</f>
        <v>0.32070163467690899</v>
      </c>
      <c r="X231" s="79">
        <f>tbl_Data_old[[#This Row],[2027 ]]*IFERROR(AVERAGEIFS('Participation Adjustment'!$C:$C,'Participation Adjustment'!$A:$A,$H231,'Participation Adjustment'!$B:$B,$I231),1)</f>
        <v>0.41446163094420202</v>
      </c>
      <c r="Y231" s="79">
        <f>tbl_Data_old[[#This Row],[2028 ]]*IFERROR(AVERAGEIFS('Participation Adjustment'!$C:$C,'Participation Adjustment'!$A:$A,$H231,'Participation Adjustment'!$B:$B,$I231),1)</f>
        <v>0.51427227440439505</v>
      </c>
      <c r="Z231" s="79">
        <f>tbl_Data_old[[#This Row],[2029 ]]*IFERROR(AVERAGEIFS('Participation Adjustment'!$C:$C,'Participation Adjustment'!$A:$A,$H231,'Participation Adjustment'!$B:$B,$I231),1)</f>
        <v>0.61473955718532702</v>
      </c>
      <c r="AA231" s="79">
        <f>tbl_Data_old[[#This Row],[2030 ]]*IFERROR(AVERAGEIFS('Participation Adjustment'!$C:$C,'Participation Adjustment'!$A:$A,$H231,'Participation Adjustment'!$B:$B,$I231),1)</f>
        <v>0.706466291180048</v>
      </c>
      <c r="AB231" s="79">
        <f>tbl_Data_old[[#This Row],[2031 ]]*IFERROR(AVERAGEIFS('Participation Adjustment'!$C:$C,'Participation Adjustment'!$A:$A,$H231,'Participation Adjustment'!$B:$B,$I231),1)</f>
        <v>0.78968275158581702</v>
      </c>
      <c r="AC231" s="79">
        <f>tbl_Data_old[[#This Row],[2032 ]]*IFERROR(AVERAGEIFS('Participation Adjustment'!$C:$C,'Participation Adjustment'!$A:$A,$H231,'Participation Adjustment'!$B:$B,$I231),1)</f>
        <v>0.86331100829173002</v>
      </c>
      <c r="AD231" s="79">
        <f>tbl_Data_old[[#This Row],[2033 ]]*IFERROR(AVERAGEIFS('Participation Adjustment'!$C:$C,'Participation Adjustment'!$A:$A,$H231,'Participation Adjustment'!$B:$B,$I231),1)</f>
        <v>0.929165754518819</v>
      </c>
      <c r="AE231" s="79">
        <f>tbl_Data_old[[#This Row],[2034 ]]*IFERROR(AVERAGEIFS('Participation Adjustment'!$C:$C,'Participation Adjustment'!$A:$A,$H231,'Participation Adjustment'!$B:$B,$I231),1)</f>
        <v>0.98978770021321605</v>
      </c>
      <c r="AF231" s="77" t="str">
        <f t="shared" si="99"/>
        <v>Residential</v>
      </c>
      <c r="AG231" s="77" t="str">
        <f>tbl_Data[[#This Row],[All_Meas_Name_Append]]</f>
        <v>Properly Sized CAC</v>
      </c>
      <c r="AH231" s="77">
        <f>AVERAGEIFS('3. Incentive Adjustment'!G:G,'3. Incentive Adjustment'!A:A,tbl_Data[[#This Row],[Trimmed Sector]],'3. Incentive Adjustment'!B:B,tbl_Data[[#This Row],[Trimmed Measure Name]])</f>
        <v>0.52686902587198514</v>
      </c>
      <c r="AI231" s="77">
        <f>$AH231*tbl_Data[[#This Row],[2025 ]]</f>
        <v>0.12435660695010425</v>
      </c>
      <c r="AJ231" s="77">
        <f>$AH231*tbl_Data[[#This Row],[2026 ]]</f>
        <v>0.16896775785777629</v>
      </c>
      <c r="AK231" s="77">
        <f>$AH231*tbl_Data[[#This Row],[2027 ]]</f>
        <v>0.21836699575688592</v>
      </c>
      <c r="AL231" s="77">
        <f>$AH231*tbl_Data[[#This Row],[2028 ]]</f>
        <v>0.27095413224841386</v>
      </c>
      <c r="AM231" s="77">
        <f>$AH231*tbl_Data[[#This Row],[2029 ]]</f>
        <v>0.32388723165920874</v>
      </c>
      <c r="AN231" s="77">
        <f>$AH231*tbl_Data[[#This Row],[2030 ]]</f>
        <v>0.37221520664542612</v>
      </c>
      <c r="AO231" s="77">
        <f>$AH231*tbl_Data[[#This Row],[2031 ]]</f>
        <v>0.41605938207592824</v>
      </c>
      <c r="AP231" s="77">
        <f>$AH231*tbl_Data[[#This Row],[2032 ]]</f>
        <v>0.4548518299632251</v>
      </c>
      <c r="AQ231" s="77">
        <f>$AH231*tbl_Data[[#This Row],[2033 ]]</f>
        <v>0.48954865595693825</v>
      </c>
      <c r="AR231" s="77">
        <f>$AH231*tbl_Data[[#This Row],[2034 ]]</f>
        <v>0.52148848143140958</v>
      </c>
      <c r="AS231" s="77">
        <f>SUM(tbl_Data[[#This Row],[Adjusted 2025]:[Adjusted 2034]])</f>
        <v>3.3606962805453162</v>
      </c>
      <c r="AT231" s="80">
        <f>AVERAGEIFS('3. Incentive Adjustment'!F:F,'3. Incentive Adjustment'!A:A,tbl_Data[[#This Row],[Trimmed Sector]],'3. Incentive Adjustment'!B:B,tbl_Data[[#This Row],[Trimmed Measure Name]])</f>
        <v>0</v>
      </c>
      <c r="AU231" s="80">
        <f>IFERROR(VLOOKUP(tbl_Data[[#This Row],[All_Meas_Name_Append]],'IRA Tax Credits'!$A$3:$D$46,4,0),0)</f>
        <v>0</v>
      </c>
      <c r="AV231" s="81">
        <f>tbl_Data[[#This Row],[Adj. per unit Incentive ($)]]/tbl_Data[[#This Row],[kWh Savings]]*tbl_Data[[#This Row],[Sum of Annuals]]</f>
        <v>0</v>
      </c>
      <c r="AW231" s="81" t="str">
        <f>IFERROR(VLOOKUP(tbl_Data[[#This Row],[Column1]],'1. Set Program Names'!$B$2:$D$15,3,0)*tbl_Data[[#This Row],[Sum of Annuals]],"")</f>
        <v/>
      </c>
      <c r="AX231" s="81">
        <f>tbl_Data[[#This Row],[per unit IRA tax ($)]]/tbl_Data[[#This Row],[kWh Savings]]*tbl_Data[[#This Row],[Sum of Annuals]]</f>
        <v>0</v>
      </c>
      <c r="AY231" s="81">
        <f>tbl_Data[[#This Row],[Avoided Costs ($/unit)]]/tbl_Data[[#This Row],[kWh Savings]]*tbl_Data[[#This Row],[Sum of Annuals]]</f>
        <v>2.4978038274079375</v>
      </c>
      <c r="AZ231" s="81">
        <f>tbl_Data[[#This Row],[Lost Revenue ($/unit)]]/tbl_Data[[#This Row],[kWh Savings]]*tbl_Data[[#This Row],[Sum of Annuals]]</f>
        <v>4.1138845504059303</v>
      </c>
      <c r="BA231" s="81">
        <f>tbl_Data[[#This Row],[Incremental Cost ($/unit)]]/tbl_Data[[#This Row],[kWh Savings]]*tbl_Data[[#This Row],[Sum of Annuals]]</f>
        <v>1.4322939290189618</v>
      </c>
      <c r="BB231" s="77">
        <f>ROUNDUP(tbl_Data[[#This Row],[Adjusted 2025]]/$L231,0)</f>
        <v>1</v>
      </c>
      <c r="BC231" s="77">
        <f>ROUNDUP(tbl_Data[[#This Row],[Adjusted 2026]]/$L231,0)</f>
        <v>1</v>
      </c>
      <c r="BD231" s="77">
        <f>ROUNDUP(tbl_Data[[#This Row],[Adjusted 2027]]/$L231,0)</f>
        <v>1</v>
      </c>
      <c r="BE231" s="77">
        <f>ROUNDUP(tbl_Data[[#This Row],[Adjusted 2028]]/$L231,0)</f>
        <v>1</v>
      </c>
      <c r="BF231" s="77">
        <f>ROUNDUP(tbl_Data[[#This Row],[Adjusted 2029]]/$L231,0)</f>
        <v>1</v>
      </c>
      <c r="BG231" s="77">
        <f>ROUNDUP(tbl_Data[[#This Row],[Adjusted 2030]]/$L231,0)</f>
        <v>1</v>
      </c>
      <c r="BH231" s="77">
        <f>ROUNDUP(tbl_Data[[#This Row],[Adjusted 2031]]/$L231,0)</f>
        <v>1</v>
      </c>
      <c r="BI231" s="77">
        <f>ROUNDUP(tbl_Data[[#This Row],[Adjusted 2032]]/$L231,0)</f>
        <v>1</v>
      </c>
      <c r="BJ231" s="77">
        <f>ROUNDUP(tbl_Data[[#This Row],[Adjusted 2033]]/$L231,0)</f>
        <v>1</v>
      </c>
      <c r="BK231" s="77">
        <f>ROUNDUP(tbl_Data[[#This Row],[Adjusted 2034]]/$L231,0)</f>
        <v>1</v>
      </c>
      <c r="BL231" s="80">
        <f t="shared" si="100"/>
        <v>0</v>
      </c>
      <c r="BM231" s="80">
        <f t="shared" si="101"/>
        <v>0</v>
      </c>
      <c r="BN231" s="80">
        <f t="shared" si="102"/>
        <v>0</v>
      </c>
      <c r="BO231" s="80">
        <f t="shared" si="103"/>
        <v>0</v>
      </c>
      <c r="BP231" s="80">
        <f t="shared" si="104"/>
        <v>0</v>
      </c>
      <c r="BQ231" s="80">
        <f t="shared" si="105"/>
        <v>0</v>
      </c>
      <c r="BR231" s="80">
        <f t="shared" si="106"/>
        <v>0</v>
      </c>
      <c r="BS231" s="80">
        <f t="shared" si="107"/>
        <v>0</v>
      </c>
      <c r="BT231" s="80">
        <f t="shared" si="108"/>
        <v>0</v>
      </c>
      <c r="BU231" s="80">
        <f t="shared" si="109"/>
        <v>0</v>
      </c>
      <c r="BV231" s="80" t="str">
        <f>IFERROR(VLOOKUP($H231,'1. Set Program Names'!$B$2:$D$15,3,0)*V231,"NA")</f>
        <v>NA</v>
      </c>
      <c r="BW231" s="80" t="str">
        <f>IFERROR(VLOOKUP($H231,'1. Set Program Names'!$B$2:$D$15,3,0)*W231,"NA")</f>
        <v>NA</v>
      </c>
      <c r="BX231" s="80" t="str">
        <f>IFERROR(VLOOKUP($H231,'1. Set Program Names'!$B$2:$D$15,3,0)*X231,"NA")</f>
        <v>NA</v>
      </c>
      <c r="BY231" s="80" t="str">
        <f>IFERROR(VLOOKUP($H231,'1. Set Program Names'!$B$2:$D$15,3,0)*Y231,"NA")</f>
        <v>NA</v>
      </c>
      <c r="BZ231" s="80" t="str">
        <f>IFERROR(VLOOKUP($H231,'1. Set Program Names'!$B$2:$D$15,3,0)*Z231,"NA")</f>
        <v>NA</v>
      </c>
      <c r="CA231" s="80" t="str">
        <f>IFERROR(VLOOKUP($H231,'1. Set Program Names'!$B$2:$D$15,3,0)*AA231,"NA")</f>
        <v>NA</v>
      </c>
      <c r="CB231" s="80" t="str">
        <f>IFERROR(VLOOKUP($H231,'1. Set Program Names'!$B$2:$D$15,3,0)*AB231,"NA")</f>
        <v>NA</v>
      </c>
      <c r="CC231" s="80" t="str">
        <f>IFERROR(VLOOKUP($H231,'1. Set Program Names'!$B$2:$D$15,3,0)*AC231,"NA")</f>
        <v>NA</v>
      </c>
      <c r="CD231" s="80" t="str">
        <f>IFERROR(VLOOKUP($H231,'1. Set Program Names'!$B$2:$D$15,3,0)*AD231,"NA")</f>
        <v>NA</v>
      </c>
      <c r="CE231" s="80" t="str">
        <f>IFERROR(VLOOKUP($H231,'1. Set Program Names'!$B$2:$D$15,3,0)*AE231,"NA")</f>
        <v>NA</v>
      </c>
    </row>
    <row r="232" spans="1:83" x14ac:dyDescent="0.25">
      <c r="A232" s="79" t="s">
        <v>117</v>
      </c>
      <c r="B232" s="79" t="s">
        <v>88</v>
      </c>
      <c r="C232" s="79" t="s">
        <v>89</v>
      </c>
      <c r="D232" s="79" t="s">
        <v>90</v>
      </c>
      <c r="E232" s="79" t="s">
        <v>91</v>
      </c>
      <c r="F232" s="79" t="s">
        <v>90</v>
      </c>
      <c r="G232" s="79" t="s">
        <v>92</v>
      </c>
      <c r="H232" s="79" t="s">
        <v>273</v>
      </c>
      <c r="I232" s="79" t="s">
        <v>301</v>
      </c>
      <c r="J232" s="79" t="s">
        <v>302</v>
      </c>
      <c r="K232" s="79" t="s">
        <v>104</v>
      </c>
      <c r="L232" s="79">
        <v>275.64999999999901</v>
      </c>
      <c r="M232" s="79">
        <v>4.0357303140515798E-2</v>
      </c>
      <c r="N232" s="79">
        <v>4.1157633527981498E-2</v>
      </c>
      <c r="O232" s="79">
        <v>86.42</v>
      </c>
      <c r="P232" s="79">
        <v>19.6355180000002</v>
      </c>
      <c r="Q232" s="79">
        <v>0.27564999999999901</v>
      </c>
      <c r="R232" s="79">
        <v>112.309715968343</v>
      </c>
      <c r="S232" s="79">
        <v>337.427777357906</v>
      </c>
      <c r="T232" s="79">
        <v>14</v>
      </c>
      <c r="U232" s="79">
        <v>1</v>
      </c>
      <c r="V232" s="79">
        <f>tbl_Data_old[[#This Row],[2025 ]]*IFERROR(AVERAGEIFS('Participation Adjustment'!$C:$C,'Participation Adjustment'!$A:$A,$H232,'Participation Adjustment'!$B:$B,$I232),1)</f>
        <v>5.4233314747787604</v>
      </c>
      <c r="W232" s="79">
        <f>tbl_Data_old[[#This Row],[2026 ]]*IFERROR(AVERAGEIFS('Participation Adjustment'!$C:$C,'Participation Adjustment'!$A:$A,$H232,'Participation Adjustment'!$B:$B,$I232),1)</f>
        <v>12.910866371976899</v>
      </c>
      <c r="X232" s="79">
        <f>tbl_Data_old[[#This Row],[2027 ]]*IFERROR(AVERAGEIFS('Participation Adjustment'!$C:$C,'Participation Adjustment'!$A:$A,$H232,'Participation Adjustment'!$B:$B,$I232),1)</f>
        <v>22.7168786016646</v>
      </c>
      <c r="Y232" s="79">
        <f>tbl_Data_old[[#This Row],[2028 ]]*IFERROR(AVERAGEIFS('Participation Adjustment'!$C:$C,'Participation Adjustment'!$A:$A,$H232,'Participation Adjustment'!$B:$B,$I232),1)</f>
        <v>35.0054996393145</v>
      </c>
      <c r="Z232" s="79">
        <f>tbl_Data_old[[#This Row],[2029 ]]*IFERROR(AVERAGEIFS('Participation Adjustment'!$C:$C,'Participation Adjustment'!$A:$A,$H232,'Participation Adjustment'!$B:$B,$I232),1)</f>
        <v>49.790612265150301</v>
      </c>
      <c r="AA232" s="79">
        <f>tbl_Data_old[[#This Row],[2030 ]]*IFERROR(AVERAGEIFS('Participation Adjustment'!$C:$C,'Participation Adjustment'!$A:$A,$H232,'Participation Adjustment'!$B:$B,$I232),1)</f>
        <v>66.8566835192768</v>
      </c>
      <c r="AB232" s="79">
        <f>tbl_Data_old[[#This Row],[2031 ]]*IFERROR(AVERAGEIFS('Participation Adjustment'!$C:$C,'Participation Adjustment'!$A:$A,$H232,'Participation Adjustment'!$B:$B,$I232),1)</f>
        <v>85.991314245466</v>
      </c>
      <c r="AC232" s="79">
        <f>tbl_Data_old[[#This Row],[2032 ]]*IFERROR(AVERAGEIFS('Participation Adjustment'!$C:$C,'Participation Adjustment'!$A:$A,$H232,'Participation Adjustment'!$B:$B,$I232),1)</f>
        <v>106.97371415870801</v>
      </c>
      <c r="AD232" s="79">
        <f>tbl_Data_old[[#This Row],[2033 ]]*IFERROR(AVERAGEIFS('Participation Adjustment'!$C:$C,'Participation Adjustment'!$A:$A,$H232,'Participation Adjustment'!$B:$B,$I232),1)</f>
        <v>129.632807420219</v>
      </c>
      <c r="AE232" s="79">
        <f>tbl_Data_old[[#This Row],[2034 ]]*IFERROR(AVERAGEIFS('Participation Adjustment'!$C:$C,'Participation Adjustment'!$A:$A,$H232,'Participation Adjustment'!$B:$B,$I232),1)</f>
        <v>153.86653961531599</v>
      </c>
      <c r="AF232" s="77" t="str">
        <f t="shared" si="99"/>
        <v>Residential</v>
      </c>
      <c r="AG232" s="77" t="str">
        <f>tbl_Data[[#This Row],[All_Meas_Name_Append]]</f>
        <v>Energy Star Clothes Washer</v>
      </c>
      <c r="AH232" s="77">
        <f>AVERAGEIFS('3. Incentive Adjustment'!G:G,'3. Incentive Adjustment'!A:A,tbl_Data[[#This Row],[Trimmed Sector]],'3. Incentive Adjustment'!B:B,tbl_Data[[#This Row],[Trimmed Measure Name]])</f>
        <v>0.8286551255656105</v>
      </c>
      <c r="AI232" s="77">
        <f>$AH232*tbl_Data[[#This Row],[2025 ]]</f>
        <v>4.4940714242167212</v>
      </c>
      <c r="AJ232" s="77">
        <f>$AH232*tbl_Data[[#This Row],[2026 ]]</f>
        <v>10.698655594631335</v>
      </c>
      <c r="AK232" s="77">
        <f>$AH232*tbl_Data[[#This Row],[2027 ]]</f>
        <v>18.82445789012111</v>
      </c>
      <c r="AL232" s="77">
        <f>$AH232*tbl_Data[[#This Row],[2028 ]]</f>
        <v>29.00748669910309</v>
      </c>
      <c r="AM232" s="77">
        <f>$AH232*tbl_Data[[#This Row],[2029 ]]</f>
        <v>41.259246058566745</v>
      </c>
      <c r="AN232" s="77">
        <f>$AH232*tbl_Data[[#This Row],[2030 ]]</f>
        <v>55.401133476566599</v>
      </c>
      <c r="AO232" s="77">
        <f>$AH232*tbl_Data[[#This Row],[2031 ]]</f>
        <v>71.257143303628496</v>
      </c>
      <c r="AP232" s="77">
        <f>$AH232*tbl_Data[[#This Row],[2032 ]]</f>
        <v>88.644316538403913</v>
      </c>
      <c r="AQ232" s="77">
        <f>$AH232*tbl_Data[[#This Row],[2033 ]]</f>
        <v>107.42089031022418</v>
      </c>
      <c r="AR232" s="77">
        <f>$AH232*tbl_Data[[#This Row],[2034 ]]</f>
        <v>127.50229670527565</v>
      </c>
      <c r="AS232" s="77">
        <f>SUM(tbl_Data[[#This Row],[Adjusted 2025]:[Adjusted 2034]])</f>
        <v>554.5096980007379</v>
      </c>
      <c r="AT232" s="80">
        <f>AVERAGEIFS('3. Incentive Adjustment'!F:F,'3. Incentive Adjustment'!A:A,tbl_Data[[#This Row],[Trimmed Sector]],'3. Incentive Adjustment'!B:B,tbl_Data[[#This Row],[Trimmed Measure Name]])</f>
        <v>0</v>
      </c>
      <c r="AU232" s="80">
        <f>IFERROR(VLOOKUP(tbl_Data[[#This Row],[All_Meas_Name_Append]],'IRA Tax Credits'!$A$3:$D$46,4,0),0)</f>
        <v>0</v>
      </c>
      <c r="AV232" s="81">
        <f>tbl_Data[[#This Row],[Adj. per unit Incentive ($)]]/tbl_Data[[#This Row],[kWh Savings]]*tbl_Data[[#This Row],[Sum of Annuals]]</f>
        <v>0</v>
      </c>
      <c r="AW232" s="81" t="str">
        <f>IFERROR(VLOOKUP(tbl_Data[[#This Row],[Column1]],'1. Set Program Names'!$B$2:$D$15,3,0)*tbl_Data[[#This Row],[Sum of Annuals]],"")</f>
        <v/>
      </c>
      <c r="AX232" s="81">
        <f>tbl_Data[[#This Row],[per unit IRA tax ($)]]/tbl_Data[[#This Row],[kWh Savings]]*tbl_Data[[#This Row],[Sum of Annuals]]</f>
        <v>0</v>
      </c>
      <c r="AY232" s="81">
        <f>tbl_Data[[#This Row],[Avoided Costs ($/unit)]]/tbl_Data[[#This Row],[kWh Savings]]*tbl_Data[[#This Row],[Sum of Annuals]]</f>
        <v>225.92717824833937</v>
      </c>
      <c r="AZ232" s="81">
        <f>tbl_Data[[#This Row],[Lost Revenue ($/unit)]]/tbl_Data[[#This Row],[kWh Savings]]*tbl_Data[[#This Row],[Sum of Annuals]]</f>
        <v>678.78459974530517</v>
      </c>
      <c r="BA232" s="81">
        <f>tbl_Data[[#This Row],[Incremental Cost ($/unit)]]/tbl_Data[[#This Row],[kWh Savings]]*tbl_Data[[#This Row],[Sum of Annuals]]</f>
        <v>173.84628369752926</v>
      </c>
      <c r="BB232" s="77">
        <f>ROUNDUP(tbl_Data[[#This Row],[Adjusted 2025]]/$L232,0)</f>
        <v>1</v>
      </c>
      <c r="BC232" s="77">
        <f>ROUNDUP(tbl_Data[[#This Row],[Adjusted 2026]]/$L232,0)</f>
        <v>1</v>
      </c>
      <c r="BD232" s="77">
        <f>ROUNDUP(tbl_Data[[#This Row],[Adjusted 2027]]/$L232,0)</f>
        <v>1</v>
      </c>
      <c r="BE232" s="77">
        <f>ROUNDUP(tbl_Data[[#This Row],[Adjusted 2028]]/$L232,0)</f>
        <v>1</v>
      </c>
      <c r="BF232" s="77">
        <f>ROUNDUP(tbl_Data[[#This Row],[Adjusted 2029]]/$L232,0)</f>
        <v>1</v>
      </c>
      <c r="BG232" s="77">
        <f>ROUNDUP(tbl_Data[[#This Row],[Adjusted 2030]]/$L232,0)</f>
        <v>1</v>
      </c>
      <c r="BH232" s="77">
        <f>ROUNDUP(tbl_Data[[#This Row],[Adjusted 2031]]/$L232,0)</f>
        <v>1</v>
      </c>
      <c r="BI232" s="77">
        <f>ROUNDUP(tbl_Data[[#This Row],[Adjusted 2032]]/$L232,0)</f>
        <v>1</v>
      </c>
      <c r="BJ232" s="77">
        <f>ROUNDUP(tbl_Data[[#This Row],[Adjusted 2033]]/$L232,0)</f>
        <v>1</v>
      </c>
      <c r="BK232" s="77">
        <f>ROUNDUP(tbl_Data[[#This Row],[Adjusted 2034]]/$L232,0)</f>
        <v>1</v>
      </c>
      <c r="BL232" s="80">
        <f t="shared" si="100"/>
        <v>0</v>
      </c>
      <c r="BM232" s="80">
        <f t="shared" si="101"/>
        <v>0</v>
      </c>
      <c r="BN232" s="80">
        <f t="shared" si="102"/>
        <v>0</v>
      </c>
      <c r="BO232" s="80">
        <f t="shared" si="103"/>
        <v>0</v>
      </c>
      <c r="BP232" s="80">
        <f t="shared" si="104"/>
        <v>0</v>
      </c>
      <c r="BQ232" s="80">
        <f t="shared" si="105"/>
        <v>0</v>
      </c>
      <c r="BR232" s="80">
        <f t="shared" si="106"/>
        <v>0</v>
      </c>
      <c r="BS232" s="80">
        <f t="shared" si="107"/>
        <v>0</v>
      </c>
      <c r="BT232" s="80">
        <f t="shared" si="108"/>
        <v>0</v>
      </c>
      <c r="BU232" s="80">
        <f t="shared" si="109"/>
        <v>0</v>
      </c>
      <c r="BV232" s="80" t="str">
        <f>IFERROR(VLOOKUP($H232,'1. Set Program Names'!$B$2:$D$15,3,0)*V232,"NA")</f>
        <v>NA</v>
      </c>
      <c r="BW232" s="80" t="str">
        <f>IFERROR(VLOOKUP($H232,'1. Set Program Names'!$B$2:$D$15,3,0)*W232,"NA")</f>
        <v>NA</v>
      </c>
      <c r="BX232" s="80" t="str">
        <f>IFERROR(VLOOKUP($H232,'1. Set Program Names'!$B$2:$D$15,3,0)*X232,"NA")</f>
        <v>NA</v>
      </c>
      <c r="BY232" s="80" t="str">
        <f>IFERROR(VLOOKUP($H232,'1. Set Program Names'!$B$2:$D$15,3,0)*Y232,"NA")</f>
        <v>NA</v>
      </c>
      <c r="BZ232" s="80" t="str">
        <f>IFERROR(VLOOKUP($H232,'1. Set Program Names'!$B$2:$D$15,3,0)*Z232,"NA")</f>
        <v>NA</v>
      </c>
      <c r="CA232" s="80" t="str">
        <f>IFERROR(VLOOKUP($H232,'1. Set Program Names'!$B$2:$D$15,3,0)*AA232,"NA")</f>
        <v>NA</v>
      </c>
      <c r="CB232" s="80" t="str">
        <f>IFERROR(VLOOKUP($H232,'1. Set Program Names'!$B$2:$D$15,3,0)*AB232,"NA")</f>
        <v>NA</v>
      </c>
      <c r="CC232" s="80" t="str">
        <f>IFERROR(VLOOKUP($H232,'1. Set Program Names'!$B$2:$D$15,3,0)*AC232,"NA")</f>
        <v>NA</v>
      </c>
      <c r="CD232" s="80" t="str">
        <f>IFERROR(VLOOKUP($H232,'1. Set Program Names'!$B$2:$D$15,3,0)*AD232,"NA")</f>
        <v>NA</v>
      </c>
      <c r="CE232" s="80" t="str">
        <f>IFERROR(VLOOKUP($H232,'1. Set Program Names'!$B$2:$D$15,3,0)*AE232,"NA")</f>
        <v>NA</v>
      </c>
    </row>
    <row r="233" spans="1:83" x14ac:dyDescent="0.25">
      <c r="A233" s="79" t="s">
        <v>117</v>
      </c>
      <c r="B233" s="79" t="s">
        <v>88</v>
      </c>
      <c r="C233" s="79" t="s">
        <v>89</v>
      </c>
      <c r="D233" s="79" t="s">
        <v>90</v>
      </c>
      <c r="E233" s="79" t="s">
        <v>91</v>
      </c>
      <c r="F233" s="79" t="s">
        <v>90</v>
      </c>
      <c r="G233" s="79" t="s">
        <v>92</v>
      </c>
      <c r="H233" s="79" t="s">
        <v>273</v>
      </c>
      <c r="I233" s="79" t="s">
        <v>105</v>
      </c>
      <c r="J233" s="79" t="s">
        <v>97</v>
      </c>
      <c r="K233" s="79" t="s">
        <v>98</v>
      </c>
      <c r="L233" s="79">
        <v>1409.8599999999899</v>
      </c>
      <c r="M233" s="79">
        <v>0.25259796946801399</v>
      </c>
      <c r="N233" s="79">
        <v>0.18561076930699899</v>
      </c>
      <c r="O233" s="79">
        <v>15905.9999999999</v>
      </c>
      <c r="P233" s="79">
        <v>15564.4191191999</v>
      </c>
      <c r="Q233" s="79">
        <v>1.4098599999999899</v>
      </c>
      <c r="R233" s="79">
        <v>1051.8249065196901</v>
      </c>
      <c r="S233" s="79">
        <v>2376.3089492588301</v>
      </c>
      <c r="T233" s="79">
        <v>25</v>
      </c>
      <c r="U233" s="79">
        <v>1</v>
      </c>
      <c r="V233" s="79">
        <f>tbl_Data_old[[#This Row],[2025 ]]*IFERROR(AVERAGEIFS('Participation Adjustment'!$C:$C,'Participation Adjustment'!$A:$A,$H233,'Participation Adjustment'!$B:$B,$I233),1)</f>
        <v>6.2559398669155303E-2</v>
      </c>
      <c r="W233" s="79">
        <f>tbl_Data_old[[#This Row],[2026 ]]*IFERROR(AVERAGEIFS('Participation Adjustment'!$C:$C,'Participation Adjustment'!$A:$A,$H233,'Participation Adjustment'!$B:$B,$I233),1)</f>
        <v>0.13502831982868299</v>
      </c>
      <c r="X233" s="79">
        <f>tbl_Data_old[[#This Row],[2027 ]]*IFERROR(AVERAGEIFS('Participation Adjustment'!$C:$C,'Participation Adjustment'!$A:$A,$H233,'Participation Adjustment'!$B:$B,$I233),1)</f>
        <v>0.21752037127736301</v>
      </c>
      <c r="Y233" s="79">
        <f>tbl_Data_old[[#This Row],[2028 ]]*IFERROR(AVERAGEIFS('Participation Adjustment'!$C:$C,'Participation Adjustment'!$A:$A,$H233,'Participation Adjustment'!$B:$B,$I233),1)</f>
        <v>0.31033930477191402</v>
      </c>
      <c r="Z233" s="79">
        <f>tbl_Data_old[[#This Row],[2029 ]]*IFERROR(AVERAGEIFS('Participation Adjustment'!$C:$C,'Participation Adjustment'!$A:$A,$H233,'Participation Adjustment'!$B:$B,$I233),1)</f>
        <v>0.413849165304147</v>
      </c>
      <c r="AA233" s="79">
        <f>tbl_Data_old[[#This Row],[2030 ]]*IFERROR(AVERAGEIFS('Participation Adjustment'!$C:$C,'Participation Adjustment'!$A:$A,$H233,'Participation Adjustment'!$B:$B,$I233),1)</f>
        <v>0.52815847508760305</v>
      </c>
      <c r="AB233" s="79">
        <f>tbl_Data_old[[#This Row],[2031 ]]*IFERROR(AVERAGEIFS('Participation Adjustment'!$C:$C,'Participation Adjustment'!$A:$A,$H233,'Participation Adjustment'!$B:$B,$I233),1)</f>
        <v>0.65427757004159304</v>
      </c>
      <c r="AC233" s="79">
        <f>tbl_Data_old[[#This Row],[2032 ]]*IFERROR(AVERAGEIFS('Participation Adjustment'!$C:$C,'Participation Adjustment'!$A:$A,$H233,'Participation Adjustment'!$B:$B,$I233),1)</f>
        <v>0.79361747230706603</v>
      </c>
      <c r="AD233" s="79">
        <f>tbl_Data_old[[#This Row],[2033 ]]*IFERROR(AVERAGEIFS('Participation Adjustment'!$C:$C,'Participation Adjustment'!$A:$A,$H233,'Participation Adjustment'!$B:$B,$I233),1)</f>
        <v>0.94782096348019895</v>
      </c>
      <c r="AE233" s="79">
        <f>tbl_Data_old[[#This Row],[2034 ]]*IFERROR(AVERAGEIFS('Participation Adjustment'!$C:$C,'Participation Adjustment'!$A:$A,$H233,'Participation Adjustment'!$B:$B,$I233),1)</f>
        <v>1.1187389336839499</v>
      </c>
      <c r="AF233" s="77" t="str">
        <f t="shared" si="99"/>
        <v>Residential</v>
      </c>
      <c r="AG233" s="77" t="str">
        <f>tbl_Data[[#This Row],[All_Meas_Name_Append]]</f>
        <v>Energy Star Ground Source Heat Pump</v>
      </c>
      <c r="AH233" s="77">
        <f>AVERAGEIFS('3. Incentive Adjustment'!G:G,'3. Incentive Adjustment'!A:A,tbl_Data[[#This Row],[Trimmed Sector]],'3. Incentive Adjustment'!B:B,tbl_Data[[#This Row],[Trimmed Measure Name]])</f>
        <v>2.2369945105234762E-13</v>
      </c>
      <c r="AI233" s="77">
        <f>$AH233*tbl_Data[[#This Row],[2025 ]]</f>
        <v>1.3994503140455008E-14</v>
      </c>
      <c r="AJ233" s="77">
        <f>$AH233*tbl_Data[[#This Row],[2026 ]]</f>
        <v>3.0205761022197212E-14</v>
      </c>
      <c r="AK233" s="77">
        <f>$AH233*tbl_Data[[#This Row],[2027 ]]</f>
        <v>4.8659187647448947E-14</v>
      </c>
      <c r="AL233" s="77">
        <f>$AH233*tbl_Data[[#This Row],[2028 ]]</f>
        <v>6.9422732117444371E-14</v>
      </c>
      <c r="AM233" s="77">
        <f>$AH233*tbl_Data[[#This Row],[2029 ]]</f>
        <v>9.257783109700995E-14</v>
      </c>
      <c r="AN233" s="77">
        <f>$AH233*tbl_Data[[#This Row],[2030 ]]</f>
        <v>1.1814876094574181E-13</v>
      </c>
      <c r="AO233" s="77">
        <f>$AH233*tbl_Data[[#This Row],[2031 ]]</f>
        <v>1.463615332541683E-13</v>
      </c>
      <c r="AP233" s="77">
        <f>$AH233*tbl_Data[[#This Row],[2032 ]]</f>
        <v>1.7753179290064235E-13</v>
      </c>
      <c r="AQ233" s="77">
        <f>$AH233*tbl_Data[[#This Row],[2033 ]]</f>
        <v>2.1202702922642772E-13</v>
      </c>
      <c r="AR233" s="77">
        <f>$AH233*tbl_Data[[#This Row],[2034 ]]</f>
        <v>2.5026128533598836E-13</v>
      </c>
      <c r="AS233" s="77">
        <f>SUM(tbl_Data[[#This Row],[Adjusted 2025]:[Adjusted 2034]])</f>
        <v>1.159190416687524E-12</v>
      </c>
      <c r="AT233" s="80">
        <f>AVERAGEIFS('3. Incentive Adjustment'!F:F,'3. Incentive Adjustment'!A:A,tbl_Data[[#This Row],[Trimmed Sector]],'3. Incentive Adjustment'!B:B,tbl_Data[[#This Row],[Trimmed Measure Name]])</f>
        <v>0</v>
      </c>
      <c r="AU233" s="80">
        <f>IFERROR(VLOOKUP(tbl_Data[[#This Row],[All_Meas_Name_Append]],'IRA Tax Credits'!$A$3:$D$46,4,0),0)</f>
        <v>41666.666666666672</v>
      </c>
      <c r="AV233" s="81">
        <f>tbl_Data[[#This Row],[Adj. per unit Incentive ($)]]/tbl_Data[[#This Row],[kWh Savings]]*tbl_Data[[#This Row],[Sum of Annuals]]</f>
        <v>0</v>
      </c>
      <c r="AW233" s="81" t="str">
        <f>IFERROR(VLOOKUP(tbl_Data[[#This Row],[Column1]],'1. Set Program Names'!$B$2:$D$15,3,0)*tbl_Data[[#This Row],[Sum of Annuals]],"")</f>
        <v/>
      </c>
      <c r="AX233" s="81">
        <f>tbl_Data[[#This Row],[per unit IRA tax ($)]]/tbl_Data[[#This Row],[kWh Savings]]*tbl_Data[[#This Row],[Sum of Annuals]]</f>
        <v>3.4258437501109223E-11</v>
      </c>
      <c r="AY233" s="81">
        <f>tbl_Data[[#This Row],[Avoided Costs ($/unit)]]/tbl_Data[[#This Row],[kWh Savings]]*tbl_Data[[#This Row],[Sum of Annuals]]</f>
        <v>8.6481306773075635E-13</v>
      </c>
      <c r="AZ233" s="81">
        <f>tbl_Data[[#This Row],[Lost Revenue ($/unit)]]/tbl_Data[[#This Row],[kWh Savings]]*tbl_Data[[#This Row],[Sum of Annuals]]</f>
        <v>1.9538071589162437E-12</v>
      </c>
      <c r="BA233" s="81">
        <f>tbl_Data[[#This Row],[Incremental Cost ($/unit)]]/tbl_Data[[#This Row],[kWh Savings]]*tbl_Data[[#This Row],[Sum of Annuals]]</f>
        <v>1.3077952965423355E-11</v>
      </c>
      <c r="BB233" s="77">
        <f>ROUNDUP(tbl_Data[[#This Row],[Adjusted 2025]]/$L233,0)</f>
        <v>1</v>
      </c>
      <c r="BC233" s="77">
        <f>ROUNDUP(tbl_Data[[#This Row],[Adjusted 2026]]/$L233,0)</f>
        <v>1</v>
      </c>
      <c r="BD233" s="77">
        <f>ROUNDUP(tbl_Data[[#This Row],[Adjusted 2027]]/$L233,0)</f>
        <v>1</v>
      </c>
      <c r="BE233" s="77">
        <f>ROUNDUP(tbl_Data[[#This Row],[Adjusted 2028]]/$L233,0)</f>
        <v>1</v>
      </c>
      <c r="BF233" s="77">
        <f>ROUNDUP(tbl_Data[[#This Row],[Adjusted 2029]]/$L233,0)</f>
        <v>1</v>
      </c>
      <c r="BG233" s="77">
        <f>ROUNDUP(tbl_Data[[#This Row],[Adjusted 2030]]/$L233,0)</f>
        <v>1</v>
      </c>
      <c r="BH233" s="77">
        <f>ROUNDUP(tbl_Data[[#This Row],[Adjusted 2031]]/$L233,0)</f>
        <v>1</v>
      </c>
      <c r="BI233" s="77">
        <f>ROUNDUP(tbl_Data[[#This Row],[Adjusted 2032]]/$L233,0)</f>
        <v>1</v>
      </c>
      <c r="BJ233" s="77">
        <f>ROUNDUP(tbl_Data[[#This Row],[Adjusted 2033]]/$L233,0)</f>
        <v>1</v>
      </c>
      <c r="BK233" s="77">
        <f>ROUNDUP(tbl_Data[[#This Row],[Adjusted 2034]]/$L233,0)</f>
        <v>1</v>
      </c>
      <c r="BL233" s="80">
        <f t="shared" si="100"/>
        <v>0</v>
      </c>
      <c r="BM233" s="80">
        <f t="shared" si="101"/>
        <v>0</v>
      </c>
      <c r="BN233" s="80">
        <f t="shared" si="102"/>
        <v>0</v>
      </c>
      <c r="BO233" s="80">
        <f t="shared" si="103"/>
        <v>0</v>
      </c>
      <c r="BP233" s="80">
        <f t="shared" si="104"/>
        <v>0</v>
      </c>
      <c r="BQ233" s="80">
        <f t="shared" si="105"/>
        <v>0</v>
      </c>
      <c r="BR233" s="80">
        <f t="shared" si="106"/>
        <v>0</v>
      </c>
      <c r="BS233" s="80">
        <f t="shared" si="107"/>
        <v>0</v>
      </c>
      <c r="BT233" s="80">
        <f t="shared" si="108"/>
        <v>0</v>
      </c>
      <c r="BU233" s="80">
        <f t="shared" si="109"/>
        <v>0</v>
      </c>
      <c r="BV233" s="80" t="str">
        <f>IFERROR(VLOOKUP($H233,'1. Set Program Names'!$B$2:$D$15,3,0)*V233,"NA")</f>
        <v>NA</v>
      </c>
      <c r="BW233" s="80" t="str">
        <f>IFERROR(VLOOKUP($H233,'1. Set Program Names'!$B$2:$D$15,3,0)*W233,"NA")</f>
        <v>NA</v>
      </c>
      <c r="BX233" s="80" t="str">
        <f>IFERROR(VLOOKUP($H233,'1. Set Program Names'!$B$2:$D$15,3,0)*X233,"NA")</f>
        <v>NA</v>
      </c>
      <c r="BY233" s="80" t="str">
        <f>IFERROR(VLOOKUP($H233,'1. Set Program Names'!$B$2:$D$15,3,0)*Y233,"NA")</f>
        <v>NA</v>
      </c>
      <c r="BZ233" s="80" t="str">
        <f>IFERROR(VLOOKUP($H233,'1. Set Program Names'!$B$2:$D$15,3,0)*Z233,"NA")</f>
        <v>NA</v>
      </c>
      <c r="CA233" s="80" t="str">
        <f>IFERROR(VLOOKUP($H233,'1. Set Program Names'!$B$2:$D$15,3,0)*AA233,"NA")</f>
        <v>NA</v>
      </c>
      <c r="CB233" s="80" t="str">
        <f>IFERROR(VLOOKUP($H233,'1. Set Program Names'!$B$2:$D$15,3,0)*AB233,"NA")</f>
        <v>NA</v>
      </c>
      <c r="CC233" s="80" t="str">
        <f>IFERROR(VLOOKUP($H233,'1. Set Program Names'!$B$2:$D$15,3,0)*AC233,"NA")</f>
        <v>NA</v>
      </c>
      <c r="CD233" s="80" t="str">
        <f>IFERROR(VLOOKUP($H233,'1. Set Program Names'!$B$2:$D$15,3,0)*AD233,"NA")</f>
        <v>NA</v>
      </c>
      <c r="CE233" s="80" t="str">
        <f>IFERROR(VLOOKUP($H233,'1. Set Program Names'!$B$2:$D$15,3,0)*AE233,"NA")</f>
        <v>NA</v>
      </c>
    </row>
    <row r="234" spans="1:83" x14ac:dyDescent="0.25">
      <c r="A234" s="79" t="s">
        <v>117</v>
      </c>
      <c r="B234" s="79" t="s">
        <v>88</v>
      </c>
      <c r="C234" s="79" t="s">
        <v>89</v>
      </c>
      <c r="D234" s="79" t="s">
        <v>90</v>
      </c>
      <c r="E234" s="79" t="s">
        <v>91</v>
      </c>
      <c r="F234" s="79" t="s">
        <v>90</v>
      </c>
      <c r="G234" s="79" t="s">
        <v>92</v>
      </c>
      <c r="H234" s="79" t="s">
        <v>273</v>
      </c>
      <c r="I234" s="79" t="s">
        <v>106</v>
      </c>
      <c r="J234" s="79" t="s">
        <v>97</v>
      </c>
      <c r="K234" s="79" t="s">
        <v>98</v>
      </c>
      <c r="L234" s="79">
        <v>127.25</v>
      </c>
      <c r="M234" s="79">
        <v>7.3045840411791796E-2</v>
      </c>
      <c r="N234" s="79">
        <v>3.5010079032079199E-4</v>
      </c>
      <c r="O234" s="79">
        <v>41.15</v>
      </c>
      <c r="P234" s="79">
        <v>10.3198699999999</v>
      </c>
      <c r="Q234" s="79">
        <v>0.12725</v>
      </c>
      <c r="R234" s="79">
        <v>86.902802703254196</v>
      </c>
      <c r="S234" s="79">
        <v>140.464426641062</v>
      </c>
      <c r="T234" s="79">
        <v>12</v>
      </c>
      <c r="U234" s="79">
        <v>1</v>
      </c>
      <c r="V234" s="79">
        <f>tbl_Data_old[[#This Row],[2025 ]]*IFERROR(AVERAGEIFS('Participation Adjustment'!$C:$C,'Participation Adjustment'!$A:$A,$H234,'Participation Adjustment'!$B:$B,$I234),1)</f>
        <v>4.0722875773415497E-2</v>
      </c>
      <c r="W234" s="79">
        <f>tbl_Data_old[[#This Row],[2026 ]]*IFERROR(AVERAGEIFS('Participation Adjustment'!$C:$C,'Participation Adjustment'!$A:$A,$H234,'Participation Adjustment'!$B:$B,$I234),1)</f>
        <v>8.3864355945951097E-2</v>
      </c>
      <c r="X234" s="79">
        <f>tbl_Data_old[[#This Row],[2027 ]]*IFERROR(AVERAGEIFS('Participation Adjustment'!$C:$C,'Participation Adjustment'!$A:$A,$H234,'Participation Adjustment'!$B:$B,$I234),1)</f>
        <v>0.12865690194530199</v>
      </c>
      <c r="Y234" s="79">
        <f>tbl_Data_old[[#This Row],[2028 ]]*IFERROR(AVERAGEIFS('Participation Adjustment'!$C:$C,'Participation Adjustment'!$A:$A,$H234,'Participation Adjustment'!$B:$B,$I234),1)</f>
        <v>0.17475220749709999</v>
      </c>
      <c r="Z234" s="79">
        <f>tbl_Data_old[[#This Row],[2029 ]]*IFERROR(AVERAGEIFS('Participation Adjustment'!$C:$C,'Participation Adjustment'!$A:$A,$H234,'Participation Adjustment'!$B:$B,$I234),1)</f>
        <v>0.222007142149173</v>
      </c>
      <c r="AA234" s="79">
        <f>tbl_Data_old[[#This Row],[2030 ]]*IFERROR(AVERAGEIFS('Participation Adjustment'!$C:$C,'Participation Adjustment'!$A:$A,$H234,'Participation Adjustment'!$B:$B,$I234),1)</f>
        <v>0.27017716929183599</v>
      </c>
      <c r="AB234" s="79">
        <f>tbl_Data_old[[#This Row],[2031 ]]*IFERROR(AVERAGEIFS('Participation Adjustment'!$C:$C,'Participation Adjustment'!$A:$A,$H234,'Participation Adjustment'!$B:$B,$I234),1)</f>
        <v>0.31943967309032201</v>
      </c>
      <c r="AC234" s="79">
        <f>tbl_Data_old[[#This Row],[2032 ]]*IFERROR(AVERAGEIFS('Participation Adjustment'!$C:$C,'Participation Adjustment'!$A:$A,$H234,'Participation Adjustment'!$B:$B,$I234),1)</f>
        <v>0.37001920846838199</v>
      </c>
      <c r="AD234" s="79">
        <f>tbl_Data_old[[#This Row],[2033 ]]*IFERROR(AVERAGEIFS('Participation Adjustment'!$C:$C,'Participation Adjustment'!$A:$A,$H234,'Participation Adjustment'!$B:$B,$I234),1)</f>
        <v>0.42217554138762298</v>
      </c>
      <c r="AE234" s="79">
        <f>tbl_Data_old[[#This Row],[2034 ]]*IFERROR(AVERAGEIFS('Participation Adjustment'!$C:$C,'Participation Adjustment'!$A:$A,$H234,'Participation Adjustment'!$B:$B,$I234),1)</f>
        <v>0.476159136037762</v>
      </c>
      <c r="AF234" s="77" t="str">
        <f t="shared" si="99"/>
        <v>Residential</v>
      </c>
      <c r="AG234" s="77" t="str">
        <f>tbl_Data[[#This Row],[All_Meas_Name_Append]]</f>
        <v>Energy Star Room AC Residential</v>
      </c>
      <c r="AH234" s="77">
        <f>AVERAGEIFS('3. Incentive Adjustment'!G:G,'3. Incentive Adjustment'!A:A,tbl_Data[[#This Row],[Trimmed Sector]],'3. Incentive Adjustment'!B:B,tbl_Data[[#This Row],[Trimmed Measure Name]])</f>
        <v>0.8073629241290271</v>
      </c>
      <c r="AI234" s="77">
        <f>$AH234*tbl_Data[[#This Row],[2025 ]]</f>
        <v>3.2878140063367853E-2</v>
      </c>
      <c r="AJ234" s="77">
        <f>$AH234*tbl_Data[[#This Row],[2026 ]]</f>
        <v>6.7708971646720642E-2</v>
      </c>
      <c r="AK234" s="77">
        <f>$AH234*tbl_Data[[#This Row],[2027 ]]</f>
        <v>0.10387281256394053</v>
      </c>
      <c r="AL234" s="77">
        <f>$AH234*tbl_Data[[#This Row],[2028 ]]</f>
        <v>0.14108845324286115</v>
      </c>
      <c r="AM234" s="77">
        <f>$AH234*tbl_Data[[#This Row],[2029 ]]</f>
        <v>0.1792403354630849</v>
      </c>
      <c r="AN234" s="77">
        <f>$AH234*tbl_Data[[#This Row],[2030 ]]</f>
        <v>0.2181310294323599</v>
      </c>
      <c r="AO234" s="77">
        <f>$AH234*tbl_Data[[#This Row],[2031 ]]</f>
        <v>0.25790374854902287</v>
      </c>
      <c r="AP234" s="77">
        <f>$AH234*tbl_Data[[#This Row],[2032 ]]</f>
        <v>0.29873979013294094</v>
      </c>
      <c r="AQ234" s="77">
        <f>$AH234*tbl_Data[[#This Row],[2033 ]]</f>
        <v>0.34084887959046639</v>
      </c>
      <c r="AR234" s="77">
        <f>$AH234*tbl_Data[[#This Row],[2034 ]]</f>
        <v>0.38443323242219873</v>
      </c>
      <c r="AS234" s="77">
        <f>SUM(tbl_Data[[#This Row],[Adjusted 2025]:[Adjusted 2034]])</f>
        <v>2.0248453931069639</v>
      </c>
      <c r="AT234" s="80">
        <f>AVERAGEIFS('3. Incentive Adjustment'!F:F,'3. Incentive Adjustment'!A:A,tbl_Data[[#This Row],[Trimmed Sector]],'3. Incentive Adjustment'!B:B,tbl_Data[[#This Row],[Trimmed Measure Name]])</f>
        <v>0</v>
      </c>
      <c r="AU234" s="80">
        <f>IFERROR(VLOOKUP(tbl_Data[[#This Row],[All_Meas_Name_Append]],'IRA Tax Credits'!$A$3:$D$46,4,0),0)</f>
        <v>0</v>
      </c>
      <c r="AV234" s="81">
        <f>tbl_Data[[#This Row],[Adj. per unit Incentive ($)]]/tbl_Data[[#This Row],[kWh Savings]]*tbl_Data[[#This Row],[Sum of Annuals]]</f>
        <v>0</v>
      </c>
      <c r="AW234" s="81" t="str">
        <f>IFERROR(VLOOKUP(tbl_Data[[#This Row],[Column1]],'1. Set Program Names'!$B$2:$D$15,3,0)*tbl_Data[[#This Row],[Sum of Annuals]],"")</f>
        <v/>
      </c>
      <c r="AX234" s="81">
        <f>tbl_Data[[#This Row],[per unit IRA tax ($)]]/tbl_Data[[#This Row],[kWh Savings]]*tbl_Data[[#This Row],[Sum of Annuals]]</f>
        <v>0</v>
      </c>
      <c r="AY234" s="81">
        <f>tbl_Data[[#This Row],[Avoided Costs ($/unit)]]/tbl_Data[[#This Row],[kWh Savings]]*tbl_Data[[#This Row],[Sum of Annuals]]</f>
        <v>1.3828270310551485</v>
      </c>
      <c r="AZ234" s="81">
        <f>tbl_Data[[#This Row],[Lost Revenue ($/unit)]]/tbl_Data[[#This Row],[kWh Savings]]*tbl_Data[[#This Row],[Sum of Annuals]]</f>
        <v>2.2351178560280194</v>
      </c>
      <c r="BA234" s="81">
        <f>tbl_Data[[#This Row],[Incremental Cost ($/unit)]]/tbl_Data[[#This Row],[kWh Savings]]*tbl_Data[[#This Row],[Sum of Annuals]]</f>
        <v>0.65479283242712427</v>
      </c>
      <c r="BB234" s="77">
        <f>ROUNDUP(tbl_Data[[#This Row],[Adjusted 2025]]/$L234,0)</f>
        <v>1</v>
      </c>
      <c r="BC234" s="77">
        <f>ROUNDUP(tbl_Data[[#This Row],[Adjusted 2026]]/$L234,0)</f>
        <v>1</v>
      </c>
      <c r="BD234" s="77">
        <f>ROUNDUP(tbl_Data[[#This Row],[Adjusted 2027]]/$L234,0)</f>
        <v>1</v>
      </c>
      <c r="BE234" s="77">
        <f>ROUNDUP(tbl_Data[[#This Row],[Adjusted 2028]]/$L234,0)</f>
        <v>1</v>
      </c>
      <c r="BF234" s="77">
        <f>ROUNDUP(tbl_Data[[#This Row],[Adjusted 2029]]/$L234,0)</f>
        <v>1</v>
      </c>
      <c r="BG234" s="77">
        <f>ROUNDUP(tbl_Data[[#This Row],[Adjusted 2030]]/$L234,0)</f>
        <v>1</v>
      </c>
      <c r="BH234" s="77">
        <f>ROUNDUP(tbl_Data[[#This Row],[Adjusted 2031]]/$L234,0)</f>
        <v>1</v>
      </c>
      <c r="BI234" s="77">
        <f>ROUNDUP(tbl_Data[[#This Row],[Adjusted 2032]]/$L234,0)</f>
        <v>1</v>
      </c>
      <c r="BJ234" s="77">
        <f>ROUNDUP(tbl_Data[[#This Row],[Adjusted 2033]]/$L234,0)</f>
        <v>1</v>
      </c>
      <c r="BK234" s="77">
        <f>ROUNDUP(tbl_Data[[#This Row],[Adjusted 2034]]/$L234,0)</f>
        <v>1</v>
      </c>
      <c r="BL234" s="80">
        <f t="shared" si="100"/>
        <v>0</v>
      </c>
      <c r="BM234" s="80">
        <f t="shared" si="101"/>
        <v>0</v>
      </c>
      <c r="BN234" s="80">
        <f t="shared" si="102"/>
        <v>0</v>
      </c>
      <c r="BO234" s="80">
        <f t="shared" si="103"/>
        <v>0</v>
      </c>
      <c r="BP234" s="80">
        <f t="shared" si="104"/>
        <v>0</v>
      </c>
      <c r="BQ234" s="80">
        <f t="shared" si="105"/>
        <v>0</v>
      </c>
      <c r="BR234" s="80">
        <f t="shared" si="106"/>
        <v>0</v>
      </c>
      <c r="BS234" s="80">
        <f t="shared" si="107"/>
        <v>0</v>
      </c>
      <c r="BT234" s="80">
        <f t="shared" si="108"/>
        <v>0</v>
      </c>
      <c r="BU234" s="80">
        <f t="shared" si="109"/>
        <v>0</v>
      </c>
      <c r="BV234" s="80" t="str">
        <f>IFERROR(VLOOKUP($H234,'1. Set Program Names'!$B$2:$D$15,3,0)*V234,"NA")</f>
        <v>NA</v>
      </c>
      <c r="BW234" s="80" t="str">
        <f>IFERROR(VLOOKUP($H234,'1. Set Program Names'!$B$2:$D$15,3,0)*W234,"NA")</f>
        <v>NA</v>
      </c>
      <c r="BX234" s="80" t="str">
        <f>IFERROR(VLOOKUP($H234,'1. Set Program Names'!$B$2:$D$15,3,0)*X234,"NA")</f>
        <v>NA</v>
      </c>
      <c r="BY234" s="80" t="str">
        <f>IFERROR(VLOOKUP($H234,'1. Set Program Names'!$B$2:$D$15,3,0)*Y234,"NA")</f>
        <v>NA</v>
      </c>
      <c r="BZ234" s="80" t="str">
        <f>IFERROR(VLOOKUP($H234,'1. Set Program Names'!$B$2:$D$15,3,0)*Z234,"NA")</f>
        <v>NA</v>
      </c>
      <c r="CA234" s="80" t="str">
        <f>IFERROR(VLOOKUP($H234,'1. Set Program Names'!$B$2:$D$15,3,0)*AA234,"NA")</f>
        <v>NA</v>
      </c>
      <c r="CB234" s="80" t="str">
        <f>IFERROR(VLOOKUP($H234,'1. Set Program Names'!$B$2:$D$15,3,0)*AB234,"NA")</f>
        <v>NA</v>
      </c>
      <c r="CC234" s="80" t="str">
        <f>IFERROR(VLOOKUP($H234,'1. Set Program Names'!$B$2:$D$15,3,0)*AC234,"NA")</f>
        <v>NA</v>
      </c>
      <c r="CD234" s="80" t="str">
        <f>IFERROR(VLOOKUP($H234,'1. Set Program Names'!$B$2:$D$15,3,0)*AD234,"NA")</f>
        <v>NA</v>
      </c>
      <c r="CE234" s="80" t="str">
        <f>IFERROR(VLOOKUP($H234,'1. Set Program Names'!$B$2:$D$15,3,0)*AE234,"NA")</f>
        <v>NA</v>
      </c>
    </row>
    <row r="235" spans="1:83" x14ac:dyDescent="0.25">
      <c r="A235" s="79" t="s">
        <v>117</v>
      </c>
      <c r="B235" s="79" t="s">
        <v>88</v>
      </c>
      <c r="C235" s="79" t="s">
        <v>89</v>
      </c>
      <c r="D235" s="79" t="s">
        <v>90</v>
      </c>
      <c r="E235" s="79" t="s">
        <v>91</v>
      </c>
      <c r="F235" s="79" t="s">
        <v>90</v>
      </c>
      <c r="G235" s="79" t="s">
        <v>92</v>
      </c>
      <c r="H235" s="79" t="s">
        <v>273</v>
      </c>
      <c r="I235" s="79" t="s">
        <v>111</v>
      </c>
      <c r="J235" s="79" t="s">
        <v>97</v>
      </c>
      <c r="K235" s="79" t="s">
        <v>102</v>
      </c>
      <c r="L235" s="79">
        <v>586.59333333333302</v>
      </c>
      <c r="M235" s="79">
        <v>0.33672458163683799</v>
      </c>
      <c r="N235" s="79">
        <v>1.6138843976181299E-3</v>
      </c>
      <c r="O235" s="79">
        <v>250</v>
      </c>
      <c r="P235" s="79">
        <v>142.46266525790699</v>
      </c>
      <c r="Q235" s="79">
        <v>0.58659333333333297</v>
      </c>
      <c r="R235" s="79">
        <v>435.979615776</v>
      </c>
      <c r="S235" s="79">
        <v>718.05871460051901</v>
      </c>
      <c r="T235" s="79">
        <v>14</v>
      </c>
      <c r="U235" s="79">
        <v>1</v>
      </c>
      <c r="V235" s="79">
        <f>tbl_Data_old[[#This Row],[2025 ]]*IFERROR(AVERAGEIFS('Participation Adjustment'!$C:$C,'Participation Adjustment'!$A:$A,$H235,'Participation Adjustment'!$B:$B,$I235),1)</f>
        <v>0.23602945104675699</v>
      </c>
      <c r="W235" s="79">
        <f>tbl_Data_old[[#This Row],[2026 ]]*IFERROR(AVERAGEIFS('Participation Adjustment'!$C:$C,'Participation Adjustment'!$A:$A,$H235,'Participation Adjustment'!$B:$B,$I235),1)</f>
        <v>0.55673108572366703</v>
      </c>
      <c r="X235" s="79">
        <f>tbl_Data_old[[#This Row],[2027 ]]*IFERROR(AVERAGEIFS('Participation Adjustment'!$C:$C,'Participation Adjustment'!$A:$A,$H235,'Participation Adjustment'!$B:$B,$I235),1)</f>
        <v>0.97119271666786899</v>
      </c>
      <c r="Y235" s="79">
        <f>tbl_Data_old[[#This Row],[2028 ]]*IFERROR(AVERAGEIFS('Participation Adjustment'!$C:$C,'Participation Adjustment'!$A:$A,$H235,'Participation Adjustment'!$B:$B,$I235),1)</f>
        <v>1.4854649910722599</v>
      </c>
      <c r="Z235" s="79">
        <f>tbl_Data_old[[#This Row],[2029 ]]*IFERROR(AVERAGEIFS('Participation Adjustment'!$C:$C,'Participation Adjustment'!$A:$A,$H235,'Participation Adjustment'!$B:$B,$I235),1)</f>
        <v>2.1002045482575902</v>
      </c>
      <c r="AA235" s="79">
        <f>tbl_Data_old[[#This Row],[2030 ]]*IFERROR(AVERAGEIFS('Participation Adjustment'!$C:$C,'Participation Adjustment'!$A:$A,$H235,'Participation Adjustment'!$B:$B,$I235),1)</f>
        <v>2.8066708394376398</v>
      </c>
      <c r="AB235" s="79">
        <f>tbl_Data_old[[#This Row],[2031 ]]*IFERROR(AVERAGEIFS('Participation Adjustment'!$C:$C,'Participation Adjustment'!$A:$A,$H235,'Participation Adjustment'!$B:$B,$I235),1)</f>
        <v>3.5963535910234499</v>
      </c>
      <c r="AC235" s="79">
        <f>tbl_Data_old[[#This Row],[2032 ]]*IFERROR(AVERAGEIFS('Participation Adjustment'!$C:$C,'Participation Adjustment'!$A:$A,$H235,'Participation Adjustment'!$B:$B,$I235),1)</f>
        <v>4.4596645993151798</v>
      </c>
      <c r="AD235" s="79">
        <f>tbl_Data_old[[#This Row],[2033 ]]*IFERROR(AVERAGEIFS('Participation Adjustment'!$C:$C,'Participation Adjustment'!$A:$A,$H235,'Participation Adjustment'!$B:$B,$I235),1)</f>
        <v>5.3888303538339999</v>
      </c>
      <c r="AE235" s="79">
        <f>tbl_Data_old[[#This Row],[2034 ]]*IFERROR(AVERAGEIFS('Participation Adjustment'!$C:$C,'Participation Adjustment'!$A:$A,$H235,'Participation Adjustment'!$B:$B,$I235),1)</f>
        <v>6.3786180540472204</v>
      </c>
      <c r="AF235" s="77" t="str">
        <f t="shared" si="99"/>
        <v>Residential</v>
      </c>
      <c r="AG235" s="77" t="str">
        <f>tbl_Data[[#This Row],[All_Meas_Name_Append]]</f>
        <v>Properly Sized CAC</v>
      </c>
      <c r="AH235" s="77">
        <f>AVERAGEIFS('3. Incentive Adjustment'!G:G,'3. Incentive Adjustment'!A:A,tbl_Data[[#This Row],[Trimmed Sector]],'3. Incentive Adjustment'!B:B,tbl_Data[[#This Row],[Trimmed Measure Name]])</f>
        <v>0.52686902587198514</v>
      </c>
      <c r="AI235" s="77">
        <f>$AH235*tbl_Data[[#This Row],[2025 ]]</f>
        <v>0.12435660695010425</v>
      </c>
      <c r="AJ235" s="77">
        <f>$AH235*tbl_Data[[#This Row],[2026 ]]</f>
        <v>0.2933243648078811</v>
      </c>
      <c r="AK235" s="77">
        <f>$AH235*tbl_Data[[#This Row],[2027 ]]</f>
        <v>0.51169136056476705</v>
      </c>
      <c r="AL235" s="77">
        <f>$AH235*tbl_Data[[#This Row],[2028 ]]</f>
        <v>0.78264549281317874</v>
      </c>
      <c r="AM235" s="77">
        <f>$AH235*tbl_Data[[#This Row],[2029 ]]</f>
        <v>1.106532724472389</v>
      </c>
      <c r="AN235" s="77">
        <f>$AH235*tbl_Data[[#This Row],[2030 ]]</f>
        <v>1.4787479311178162</v>
      </c>
      <c r="AO235" s="77">
        <f>$AH235*tbl_Data[[#This Row],[2031 ]]</f>
        <v>1.8948073131937406</v>
      </c>
      <c r="AP235" s="77">
        <f>$AH235*tbl_Data[[#This Row],[2032 ]]</f>
        <v>2.3496591431569658</v>
      </c>
      <c r="AQ235" s="77">
        <f>$AH235*tbl_Data[[#This Row],[2033 ]]</f>
        <v>2.8392077991139044</v>
      </c>
      <c r="AR235" s="77">
        <f>$AH235*tbl_Data[[#This Row],[2034 ]]</f>
        <v>3.3606962805453167</v>
      </c>
      <c r="AS235" s="77">
        <f>SUM(tbl_Data[[#This Row],[Adjusted 2025]:[Adjusted 2034]])</f>
        <v>14.741669016736061</v>
      </c>
      <c r="AT235" s="80">
        <f>AVERAGEIFS('3. Incentive Adjustment'!F:F,'3. Incentive Adjustment'!A:A,tbl_Data[[#This Row],[Trimmed Sector]],'3. Incentive Adjustment'!B:B,tbl_Data[[#This Row],[Trimmed Measure Name]])</f>
        <v>0</v>
      </c>
      <c r="AU235" s="80">
        <f>IFERROR(VLOOKUP(tbl_Data[[#This Row],[All_Meas_Name_Append]],'IRA Tax Credits'!$A$3:$D$46,4,0),0)</f>
        <v>0</v>
      </c>
      <c r="AV235" s="81">
        <f>tbl_Data[[#This Row],[Adj. per unit Incentive ($)]]/tbl_Data[[#This Row],[kWh Savings]]*tbl_Data[[#This Row],[Sum of Annuals]]</f>
        <v>0</v>
      </c>
      <c r="AW235" s="81" t="str">
        <f>IFERROR(VLOOKUP(tbl_Data[[#This Row],[Column1]],'1. Set Program Names'!$B$2:$D$15,3,0)*tbl_Data[[#This Row],[Sum of Annuals]],"")</f>
        <v/>
      </c>
      <c r="AX235" s="81">
        <f>tbl_Data[[#This Row],[per unit IRA tax ($)]]/tbl_Data[[#This Row],[kWh Savings]]*tbl_Data[[#This Row],[Sum of Annuals]]</f>
        <v>0</v>
      </c>
      <c r="AY235" s="81">
        <f>tbl_Data[[#This Row],[Avoided Costs ($/unit)]]/tbl_Data[[#This Row],[kWh Savings]]*tbl_Data[[#This Row],[Sum of Annuals]]</f>
        <v>10.956597745991354</v>
      </c>
      <c r="AZ235" s="81">
        <f>tbl_Data[[#This Row],[Lost Revenue ($/unit)]]/tbl_Data[[#This Row],[kWh Savings]]*tbl_Data[[#This Row],[Sum of Annuals]]</f>
        <v>18.045523710731679</v>
      </c>
      <c r="BA235" s="81">
        <f>tbl_Data[[#This Row],[Incremental Cost ($/unit)]]/tbl_Data[[#This Row],[kWh Savings]]*tbl_Data[[#This Row],[Sum of Annuals]]</f>
        <v>6.2827465720442621</v>
      </c>
      <c r="BB235" s="77">
        <f>ROUNDUP(tbl_Data[[#This Row],[Adjusted 2025]]/$L235,0)</f>
        <v>1</v>
      </c>
      <c r="BC235" s="77">
        <f>ROUNDUP(tbl_Data[[#This Row],[Adjusted 2026]]/$L235,0)</f>
        <v>1</v>
      </c>
      <c r="BD235" s="77">
        <f>ROUNDUP(tbl_Data[[#This Row],[Adjusted 2027]]/$L235,0)</f>
        <v>1</v>
      </c>
      <c r="BE235" s="77">
        <f>ROUNDUP(tbl_Data[[#This Row],[Adjusted 2028]]/$L235,0)</f>
        <v>1</v>
      </c>
      <c r="BF235" s="77">
        <f>ROUNDUP(tbl_Data[[#This Row],[Adjusted 2029]]/$L235,0)</f>
        <v>1</v>
      </c>
      <c r="BG235" s="77">
        <f>ROUNDUP(tbl_Data[[#This Row],[Adjusted 2030]]/$L235,0)</f>
        <v>1</v>
      </c>
      <c r="BH235" s="77">
        <f>ROUNDUP(tbl_Data[[#This Row],[Adjusted 2031]]/$L235,0)</f>
        <v>1</v>
      </c>
      <c r="BI235" s="77">
        <f>ROUNDUP(tbl_Data[[#This Row],[Adjusted 2032]]/$L235,0)</f>
        <v>1</v>
      </c>
      <c r="BJ235" s="77">
        <f>ROUNDUP(tbl_Data[[#This Row],[Adjusted 2033]]/$L235,0)</f>
        <v>1</v>
      </c>
      <c r="BK235" s="77">
        <f>ROUNDUP(tbl_Data[[#This Row],[Adjusted 2034]]/$L235,0)</f>
        <v>1</v>
      </c>
      <c r="BL235" s="80">
        <f t="shared" si="100"/>
        <v>0</v>
      </c>
      <c r="BM235" s="80">
        <f t="shared" si="101"/>
        <v>0</v>
      </c>
      <c r="BN235" s="80">
        <f t="shared" si="102"/>
        <v>0</v>
      </c>
      <c r="BO235" s="80">
        <f t="shared" si="103"/>
        <v>0</v>
      </c>
      <c r="BP235" s="80">
        <f t="shared" si="104"/>
        <v>0</v>
      </c>
      <c r="BQ235" s="80">
        <f t="shared" si="105"/>
        <v>0</v>
      </c>
      <c r="BR235" s="80">
        <f t="shared" si="106"/>
        <v>0</v>
      </c>
      <c r="BS235" s="80">
        <f t="shared" si="107"/>
        <v>0</v>
      </c>
      <c r="BT235" s="80">
        <f t="shared" si="108"/>
        <v>0</v>
      </c>
      <c r="BU235" s="80">
        <f t="shared" si="109"/>
        <v>0</v>
      </c>
      <c r="BV235" s="80" t="str">
        <f>IFERROR(VLOOKUP($H235,'1. Set Program Names'!$B$2:$D$15,3,0)*V235,"NA")</f>
        <v>NA</v>
      </c>
      <c r="BW235" s="80" t="str">
        <f>IFERROR(VLOOKUP($H235,'1. Set Program Names'!$B$2:$D$15,3,0)*W235,"NA")</f>
        <v>NA</v>
      </c>
      <c r="BX235" s="80" t="str">
        <f>IFERROR(VLOOKUP($H235,'1. Set Program Names'!$B$2:$D$15,3,0)*X235,"NA")</f>
        <v>NA</v>
      </c>
      <c r="BY235" s="80" t="str">
        <f>IFERROR(VLOOKUP($H235,'1. Set Program Names'!$B$2:$D$15,3,0)*Y235,"NA")</f>
        <v>NA</v>
      </c>
      <c r="BZ235" s="80" t="str">
        <f>IFERROR(VLOOKUP($H235,'1. Set Program Names'!$B$2:$D$15,3,0)*Z235,"NA")</f>
        <v>NA</v>
      </c>
      <c r="CA235" s="80" t="str">
        <f>IFERROR(VLOOKUP($H235,'1. Set Program Names'!$B$2:$D$15,3,0)*AA235,"NA")</f>
        <v>NA</v>
      </c>
      <c r="CB235" s="80" t="str">
        <f>IFERROR(VLOOKUP($H235,'1. Set Program Names'!$B$2:$D$15,3,0)*AB235,"NA")</f>
        <v>NA</v>
      </c>
      <c r="CC235" s="80" t="str">
        <f>IFERROR(VLOOKUP($H235,'1. Set Program Names'!$B$2:$D$15,3,0)*AC235,"NA")</f>
        <v>NA</v>
      </c>
      <c r="CD235" s="80" t="str">
        <f>IFERROR(VLOOKUP($H235,'1. Set Program Names'!$B$2:$D$15,3,0)*AD235,"NA")</f>
        <v>NA</v>
      </c>
      <c r="CE235" s="80" t="str">
        <f>IFERROR(VLOOKUP($H235,'1. Set Program Names'!$B$2:$D$15,3,0)*AE235,"NA")</f>
        <v>NA</v>
      </c>
    </row>
    <row r="236" spans="1:83" x14ac:dyDescent="0.25">
      <c r="A236" s="79" t="s">
        <v>87</v>
      </c>
      <c r="B236" s="79" t="s">
        <v>88</v>
      </c>
      <c r="C236" s="79" t="s">
        <v>122</v>
      </c>
      <c r="D236" s="79" t="s">
        <v>90</v>
      </c>
      <c r="E236" s="79" t="s">
        <v>91</v>
      </c>
      <c r="F236" s="79" t="s">
        <v>90</v>
      </c>
      <c r="G236" s="79" t="s">
        <v>92</v>
      </c>
      <c r="H236" s="79" t="s">
        <v>14</v>
      </c>
      <c r="I236" s="79" t="s">
        <v>237</v>
      </c>
      <c r="J236" s="79" t="s">
        <v>129</v>
      </c>
      <c r="K236" s="79" t="s">
        <v>102</v>
      </c>
      <c r="L236" s="79">
        <v>2568.1199999999699</v>
      </c>
      <c r="M236" s="79">
        <v>0.53641456399840104</v>
      </c>
      <c r="N236" s="79">
        <v>2.1892485513222901E-2</v>
      </c>
      <c r="O236" s="79">
        <f>9025.1/929.29*tbl_Data[[#This Row],[kWh Savings]]</f>
        <v>24941.126894725789</v>
      </c>
      <c r="P236" s="79">
        <v>35498.089296558101</v>
      </c>
      <c r="Q236" s="79">
        <v>91.4242886047615</v>
      </c>
      <c r="R236" s="79">
        <v>1534.4473108970501</v>
      </c>
      <c r="S236" s="79">
        <v>3958.9826982459099</v>
      </c>
      <c r="T236" s="79">
        <v>30</v>
      </c>
      <c r="U236" s="79">
        <v>0.94999999999999896</v>
      </c>
      <c r="V236" s="79">
        <f>tbl_Data_old[[#This Row],[2025 ]]*IFERROR(AVERAGEIFS('Participation Adjustment'!$C:$C,'Participation Adjustment'!$A:$A,$H236,'Participation Adjustment'!$B:$B,$I236),1)</f>
        <v>1318.2150330612701</v>
      </c>
      <c r="W236" s="79">
        <f>tbl_Data_old[[#This Row],[2026 ]]*IFERROR(AVERAGEIFS('Participation Adjustment'!$C:$C,'Participation Adjustment'!$A:$A,$H236,'Participation Adjustment'!$B:$B,$I236),1)</f>
        <v>1472.41671192178</v>
      </c>
      <c r="X236" s="79">
        <f>tbl_Data_old[[#This Row],[2027 ]]*IFERROR(AVERAGEIFS('Participation Adjustment'!$C:$C,'Participation Adjustment'!$A:$A,$H236,'Participation Adjustment'!$B:$B,$I236),1)</f>
        <v>1639.1756650986599</v>
      </c>
      <c r="Y236" s="79">
        <f>tbl_Data_old[[#This Row],[2028 ]]*IFERROR(AVERAGEIFS('Participation Adjustment'!$C:$C,'Participation Adjustment'!$A:$A,$H236,'Participation Adjustment'!$B:$B,$I236),1)</f>
        <v>1821.75031915062</v>
      </c>
      <c r="Z236" s="79">
        <f>tbl_Data_old[[#This Row],[2029 ]]*IFERROR(AVERAGEIFS('Participation Adjustment'!$C:$C,'Participation Adjustment'!$A:$A,$H236,'Participation Adjustment'!$B:$B,$I236),1)</f>
        <v>2014.2358541771</v>
      </c>
      <c r="AA236" s="79">
        <f>tbl_Data_old[[#This Row],[2030 ]]*IFERROR(AVERAGEIFS('Participation Adjustment'!$C:$C,'Participation Adjustment'!$A:$A,$H236,'Participation Adjustment'!$B:$B,$I236),1)</f>
        <v>2216.2784186735298</v>
      </c>
      <c r="AB236" s="79">
        <f>tbl_Data_old[[#This Row],[2031 ]]*IFERROR(AVERAGEIFS('Participation Adjustment'!$C:$C,'Participation Adjustment'!$A:$A,$H236,'Participation Adjustment'!$B:$B,$I236),1)</f>
        <v>2422.2482230543101</v>
      </c>
      <c r="AC236" s="79">
        <f>tbl_Data_old[[#This Row],[2032 ]]*IFERROR(AVERAGEIFS('Participation Adjustment'!$C:$C,'Participation Adjustment'!$A:$A,$H236,'Participation Adjustment'!$B:$B,$I236),1)</f>
        <v>2635.4646545863402</v>
      </c>
      <c r="AD236" s="79">
        <f>tbl_Data_old[[#This Row],[2033 ]]*IFERROR(AVERAGEIFS('Participation Adjustment'!$C:$C,'Participation Adjustment'!$A:$A,$H236,'Participation Adjustment'!$B:$B,$I236),1)</f>
        <v>2862.50950265561</v>
      </c>
      <c r="AE236" s="79">
        <f>tbl_Data_old[[#This Row],[2034 ]]*IFERROR(AVERAGEIFS('Participation Adjustment'!$C:$C,'Participation Adjustment'!$A:$A,$H236,'Participation Adjustment'!$B:$B,$I236),1)</f>
        <v>3090.96396674998</v>
      </c>
      <c r="AF236" s="77" t="str">
        <f t="shared" ref="AF236:AF267" si="110">IF(C236="Residential","Residential","NonResidential")</f>
        <v>NonResidential</v>
      </c>
      <c r="AG236" s="77" t="str">
        <f>tbl_Data[[#This Row],[All_Meas_Name_Append]]</f>
        <v>Ceiling Insulation(R19 to R38)</v>
      </c>
      <c r="AH236" s="77">
        <f>AVERAGEIFS('3. Incentive Adjustment'!G:G,'3. Incentive Adjustment'!A:A,tbl_Data[[#This Row],[Trimmed Sector]],'3. Incentive Adjustment'!B:B,tbl_Data[[#This Row],[Trimmed Measure Name]])</f>
        <v>3.9688771318830651E-15</v>
      </c>
      <c r="AI236" s="77">
        <f>$AH236*tbl_Data[[#This Row],[2025 ]]</f>
        <v>5.2318334996213536E-12</v>
      </c>
      <c r="AJ236" s="77">
        <f>$AH236*tbl_Data[[#This Row],[2026 ]]</f>
        <v>5.8438410165488072E-12</v>
      </c>
      <c r="AK236" s="77">
        <f>$AH236*tbl_Data[[#This Row],[2027 ]]</f>
        <v>6.5056868123492848E-12</v>
      </c>
      <c r="AL236" s="77">
        <f>$AH236*tbl_Data[[#This Row],[2028 ]]</f>
        <v>7.2303031816775716E-12</v>
      </c>
      <c r="AM236" s="77">
        <f>$AH236*tbl_Data[[#This Row],[2029 ]]</f>
        <v>7.9942546198624451E-12</v>
      </c>
      <c r="AN236" s="77">
        <f>$AH236*tbl_Data[[#This Row],[2030 ]]</f>
        <v>8.7961367337593336E-12</v>
      </c>
      <c r="AO236" s="77">
        <f>$AH236*tbl_Data[[#This Row],[2031 ]]</f>
        <v>9.6136055802246417E-12</v>
      </c>
      <c r="AP236" s="77">
        <f>$AH236*tbl_Data[[#This Row],[2032 ]]</f>
        <v>1.0459835399473826E-11</v>
      </c>
      <c r="AQ236" s="77">
        <f>$AH236*tbl_Data[[#This Row],[2033 ]]</f>
        <v>1.1360948504887817E-11</v>
      </c>
      <c r="AR236" s="77">
        <f>$AH236*tbl_Data[[#This Row],[2034 ]]</f>
        <v>1.2267656203108562E-11</v>
      </c>
      <c r="AS236" s="77">
        <f>SUM(tbl_Data[[#This Row],[Adjusted 2025]:[Adjusted 2034]])</f>
        <v>8.530410155151364E-11</v>
      </c>
      <c r="AT236" s="80">
        <f>AVERAGEIFS('3. Incentive Adjustment'!F:F,'3. Incentive Adjustment'!A:A,tbl_Data[[#This Row],[Trimmed Sector]],'3. Incentive Adjustment'!B:B,tbl_Data[[#This Row],[Trimmed Measure Name]])</f>
        <v>3222.5963039661074</v>
      </c>
      <c r="AU236" s="80">
        <f>IFERROR(VLOOKUP(tbl_Data[[#This Row],[All_Meas_Name_Append]],'IRA Tax Credits'!$A$3:$D$46,4,0),0)</f>
        <v>0</v>
      </c>
      <c r="AV236" s="81">
        <f>tbl_Data[[#This Row],[Adj. per unit Incentive ($)]]/tbl_Data[[#This Row],[kWh Savings]]*tbl_Data[[#This Row],[Sum of Annuals]]</f>
        <v>1.0704355029089784E-10</v>
      </c>
      <c r="AW236" s="81">
        <f>IFERROR(VLOOKUP(tbl_Data[[#This Row],[Column1]],'1. Set Program Names'!$B$2:$D$15,3,0)*tbl_Data[[#This Row],[Sum of Annuals]],"")</f>
        <v>3.0367999935421829E-12</v>
      </c>
      <c r="AX236" s="81">
        <f>tbl_Data[[#This Row],[per unit IRA tax ($)]]/tbl_Data[[#This Row],[kWh Savings]]*tbl_Data[[#This Row],[Sum of Annuals]]</f>
        <v>0</v>
      </c>
      <c r="AY236" s="81">
        <f>tbl_Data[[#This Row],[Avoided Costs ($/unit)]]/tbl_Data[[#This Row],[kWh Savings]]*tbl_Data[[#This Row],[Sum of Annuals]]</f>
        <v>5.0969054886146489E-11</v>
      </c>
      <c r="AZ236" s="81">
        <f>tbl_Data[[#This Row],[Lost Revenue ($/unit)]]/tbl_Data[[#This Row],[kWh Savings]]*tbl_Data[[#This Row],[Sum of Annuals]]</f>
        <v>1.3150377012439393E-10</v>
      </c>
      <c r="BA236" s="81">
        <f>tbl_Data[[#This Row],[Incremental Cost ($/unit)]]/tbl_Data[[#This Row],[kWh Savings]]*tbl_Data[[#This Row],[Sum of Annuals]]</f>
        <v>8.2845833583979789E-10</v>
      </c>
      <c r="BB236" s="77">
        <f>ROUNDUP(tbl_Data[[#This Row],[Adjusted 2025]]/$L236,0)</f>
        <v>1</v>
      </c>
      <c r="BC236" s="77">
        <f>ROUNDUP(tbl_Data[[#This Row],[Adjusted 2026]]/$L236,0)</f>
        <v>1</v>
      </c>
      <c r="BD236" s="77">
        <f>ROUNDUP(tbl_Data[[#This Row],[Adjusted 2027]]/$L236,0)</f>
        <v>1</v>
      </c>
      <c r="BE236" s="77">
        <f>ROUNDUP(tbl_Data[[#This Row],[Adjusted 2028]]/$L236,0)</f>
        <v>1</v>
      </c>
      <c r="BF236" s="77">
        <f>ROUNDUP(tbl_Data[[#This Row],[Adjusted 2029]]/$L236,0)</f>
        <v>1</v>
      </c>
      <c r="BG236" s="77">
        <f>ROUNDUP(tbl_Data[[#This Row],[Adjusted 2030]]/$L236,0)</f>
        <v>1</v>
      </c>
      <c r="BH236" s="77">
        <f>ROUNDUP(tbl_Data[[#This Row],[Adjusted 2031]]/$L236,0)</f>
        <v>1</v>
      </c>
      <c r="BI236" s="77">
        <f>ROUNDUP(tbl_Data[[#This Row],[Adjusted 2032]]/$L236,0)</f>
        <v>1</v>
      </c>
      <c r="BJ236" s="77">
        <f>ROUNDUP(tbl_Data[[#This Row],[Adjusted 2033]]/$L236,0)</f>
        <v>1</v>
      </c>
      <c r="BK236" s="77">
        <f>ROUNDUP(tbl_Data[[#This Row],[Adjusted 2034]]/$L236,0)</f>
        <v>1</v>
      </c>
      <c r="BL236" s="80">
        <f t="shared" ref="BL236:BL267" si="111">$AT236/$L236*V236</f>
        <v>1654.1574744855611</v>
      </c>
      <c r="BM236" s="80">
        <f t="shared" ref="BM236:BM267" si="112">$AT236/$L236*W236</f>
        <v>1847.65690611697</v>
      </c>
      <c r="BN236" s="80">
        <f t="shared" ref="BN236:BN267" si="113">$AT236/$L236*X236</f>
        <v>2056.9137890356328</v>
      </c>
      <c r="BO236" s="80">
        <f t="shared" ref="BO236:BO267" si="114">$AT236/$L236*Y236</f>
        <v>2286.0169482905526</v>
      </c>
      <c r="BP236" s="80">
        <f t="shared" ref="BP236:BP267" si="115">$AT236/$L236*Z236</f>
        <v>2527.5567415024275</v>
      </c>
      <c r="BQ236" s="80">
        <f t="shared" ref="BQ236:BQ267" si="116">$AT236/$L236*AA236</f>
        <v>2781.0891393615761</v>
      </c>
      <c r="BR236" s="80">
        <f t="shared" ref="BR236:BR267" si="117">$AT236/$L236*AB236</f>
        <v>3039.5496203072221</v>
      </c>
      <c r="BS236" s="80">
        <f t="shared" ref="BS236:BS267" si="118">$AT236/$L236*AC236</f>
        <v>3307.10350571755</v>
      </c>
      <c r="BT236" s="80">
        <f t="shared" ref="BT236:BT267" si="119">$AT236/$L236*AD236</f>
        <v>3592.0099307376363</v>
      </c>
      <c r="BU236" s="80">
        <f t="shared" ref="BU236:BU267" si="120">$AT236/$L236*AE236</f>
        <v>3878.6852074439748</v>
      </c>
      <c r="BV236" s="80">
        <f>IFERROR(VLOOKUP($H236,'1. Set Program Names'!$B$2:$D$15,3,0)*V236,"NA")</f>
        <v>46.928053060499543</v>
      </c>
      <c r="BW236" s="80">
        <f>IFERROR(VLOOKUP($H236,'1. Set Program Names'!$B$2:$D$15,3,0)*W236,"NA")</f>
        <v>52.417585789298109</v>
      </c>
      <c r="BX236" s="80">
        <f>IFERROR(VLOOKUP($H236,'1. Set Program Names'!$B$2:$D$15,3,0)*X236,"NA")</f>
        <v>58.354153653210673</v>
      </c>
      <c r="BY236" s="80">
        <f>IFERROR(VLOOKUP($H236,'1. Set Program Names'!$B$2:$D$15,3,0)*Y236,"NA")</f>
        <v>64.853755643756699</v>
      </c>
      <c r="BZ236" s="80">
        <f>IFERROR(VLOOKUP($H236,'1. Set Program Names'!$B$2:$D$15,3,0)*Z236,"NA")</f>
        <v>71.706181973719097</v>
      </c>
      <c r="CA236" s="80">
        <f>IFERROR(VLOOKUP($H236,'1. Set Program Names'!$B$2:$D$15,3,0)*AA236,"NA")</f>
        <v>78.898835637476225</v>
      </c>
      <c r="CB236" s="80">
        <f>IFERROR(VLOOKUP($H236,'1. Set Program Names'!$B$2:$D$15,3,0)*AB236,"NA")</f>
        <v>86.231297843126626</v>
      </c>
      <c r="CC236" s="80">
        <f>IFERROR(VLOOKUP($H236,'1. Set Program Names'!$B$2:$D$15,3,0)*AC236,"NA")</f>
        <v>93.821737764805491</v>
      </c>
      <c r="CD236" s="80">
        <f>IFERROR(VLOOKUP($H236,'1. Set Program Names'!$B$2:$D$15,3,0)*AD236,"NA")</f>
        <v>101.9044650969042</v>
      </c>
      <c r="CE236" s="80">
        <f>IFERROR(VLOOKUP($H236,'1. Set Program Names'!$B$2:$D$15,3,0)*AE236,"NA")</f>
        <v>110.03737432949849</v>
      </c>
    </row>
    <row r="237" spans="1:83" x14ac:dyDescent="0.25">
      <c r="A237" s="79" t="s">
        <v>87</v>
      </c>
      <c r="B237" s="79" t="s">
        <v>88</v>
      </c>
      <c r="C237" s="79" t="s">
        <v>122</v>
      </c>
      <c r="D237" s="79" t="s">
        <v>90</v>
      </c>
      <c r="E237" s="79" t="s">
        <v>91</v>
      </c>
      <c r="F237" s="79" t="s">
        <v>90</v>
      </c>
      <c r="G237" s="79" t="s">
        <v>92</v>
      </c>
      <c r="H237" s="79" t="s">
        <v>14</v>
      </c>
      <c r="I237" s="79" t="s">
        <v>238</v>
      </c>
      <c r="J237" s="79" t="s">
        <v>129</v>
      </c>
      <c r="K237" s="79" t="s">
        <v>102</v>
      </c>
      <c r="L237" s="79">
        <v>4477.6116666666303</v>
      </c>
      <c r="M237" s="79">
        <v>0.90610878358590996</v>
      </c>
      <c r="N237" s="79">
        <v>4.9616670393602701E-2</v>
      </c>
      <c r="O237" s="79">
        <f>9351.31/1137.9*tbl_Data[[#This Row],[kWh Savings]]</f>
        <v>36797.200768623181</v>
      </c>
      <c r="P237" s="79">
        <v>44221.719775682497</v>
      </c>
      <c r="Q237" s="79">
        <v>159.401609454924</v>
      </c>
      <c r="R237" s="79">
        <v>2670.7044942461998</v>
      </c>
      <c r="S237" s="79">
        <v>6902.6319322295803</v>
      </c>
      <c r="T237" s="79">
        <v>30</v>
      </c>
      <c r="U237" s="79">
        <v>0.94999999999999896</v>
      </c>
      <c r="V237" s="79">
        <f>tbl_Data_old[[#This Row],[2025 ]]*IFERROR(AVERAGEIFS('Participation Adjustment'!$C:$C,'Participation Adjustment'!$A:$A,$H237,'Participation Adjustment'!$B:$B,$I237),1)</f>
        <v>1039.0475523300199</v>
      </c>
      <c r="W237" s="79">
        <f>tbl_Data_old[[#This Row],[2026 ]]*IFERROR(AVERAGEIFS('Participation Adjustment'!$C:$C,'Participation Adjustment'!$A:$A,$H237,'Participation Adjustment'!$B:$B,$I237),1)</f>
        <v>1158.34135635395</v>
      </c>
      <c r="X237" s="79">
        <f>tbl_Data_old[[#This Row],[2027 ]]*IFERROR(AVERAGEIFS('Participation Adjustment'!$C:$C,'Participation Adjustment'!$A:$A,$H237,'Participation Adjustment'!$B:$B,$I237),1)</f>
        <v>1286.51045389756</v>
      </c>
      <c r="Y237" s="79">
        <f>tbl_Data_old[[#This Row],[2028 ]]*IFERROR(AVERAGEIFS('Participation Adjustment'!$C:$C,'Participation Adjustment'!$A:$A,$H237,'Participation Adjustment'!$B:$B,$I237),1)</f>
        <v>1426.1452326992201</v>
      </c>
      <c r="Z237" s="79">
        <f>tbl_Data_old[[#This Row],[2029 ]]*IFERROR(AVERAGEIFS('Participation Adjustment'!$C:$C,'Participation Adjustment'!$A:$A,$H237,'Participation Adjustment'!$B:$B,$I237),1)</f>
        <v>1572.66259554664</v>
      </c>
      <c r="AA237" s="79">
        <f>tbl_Data_old[[#This Row],[2030 ]]*IFERROR(AVERAGEIFS('Participation Adjustment'!$C:$C,'Participation Adjustment'!$A:$A,$H237,'Participation Adjustment'!$B:$B,$I237),1)</f>
        <v>1725.6304762853999</v>
      </c>
      <c r="AB237" s="79">
        <f>tbl_Data_old[[#This Row],[2031 ]]*IFERROR(AVERAGEIFS('Participation Adjustment'!$C:$C,'Participation Adjustment'!$A:$A,$H237,'Participation Adjustment'!$B:$B,$I237),1)</f>
        <v>1880.7965786545501</v>
      </c>
      <c r="AC237" s="79">
        <f>tbl_Data_old[[#This Row],[2032 ]]*IFERROR(AVERAGEIFS('Participation Adjustment'!$C:$C,'Participation Adjustment'!$A:$A,$H237,'Participation Adjustment'!$B:$B,$I237),1)</f>
        <v>2040.7333482064901</v>
      </c>
      <c r="AD237" s="79">
        <f>tbl_Data_old[[#This Row],[2033 ]]*IFERROR(AVERAGEIFS('Participation Adjustment'!$C:$C,'Participation Adjustment'!$A:$A,$H237,'Participation Adjustment'!$B:$B,$I237),1)</f>
        <v>2210.24525423053</v>
      </c>
      <c r="AE237" s="79">
        <f>tbl_Data_old[[#This Row],[2034 ]]*IFERROR(AVERAGEIFS('Participation Adjustment'!$C:$C,'Participation Adjustment'!$A:$A,$H237,'Participation Adjustment'!$B:$B,$I237),1)</f>
        <v>2379.9538980623402</v>
      </c>
      <c r="AF237" s="77" t="str">
        <f t="shared" si="110"/>
        <v>NonResidential</v>
      </c>
      <c r="AG237" s="77" t="str">
        <f>tbl_Data[[#This Row],[All_Meas_Name_Append]]</f>
        <v>Ceiling Insulation(R19 to R49)</v>
      </c>
      <c r="AH237" s="77">
        <f>AVERAGEIFS('3. Incentive Adjustment'!G:G,'3. Incentive Adjustment'!A:A,tbl_Data[[#This Row],[Trimmed Sector]],'3. Incentive Adjustment'!B:B,tbl_Data[[#This Row],[Trimmed Measure Name]])</f>
        <v>7.9373870200739678E-11</v>
      </c>
      <c r="AI237" s="77">
        <f>$AH237*tbl_Data[[#This Row],[2025 ]]</f>
        <v>8.2473225551039265E-8</v>
      </c>
      <c r="AJ237" s="77">
        <f>$AH237*tbl_Data[[#This Row],[2026 ]]</f>
        <v>9.1942036467387171E-8</v>
      </c>
      <c r="AK237" s="77">
        <f>$AH237*tbl_Data[[#This Row],[2027 ]]</f>
        <v>1.0211531377955961E-7</v>
      </c>
      <c r="AL237" s="77">
        <f>$AH237*tbl_Data[[#This Row],[2028 ]]</f>
        <v>1.1319866658767158E-7</v>
      </c>
      <c r="AM237" s="77">
        <f>$AH237*tbl_Data[[#This Row],[2029 ]]</f>
        <v>1.2482831672847736E-7</v>
      </c>
      <c r="AN237" s="77">
        <f>$AH237*tbl_Data[[#This Row],[2030 ]]</f>
        <v>1.3696996943911793E-7</v>
      </c>
      <c r="AO237" s="77">
        <f>$AH237*tbl_Data[[#This Row],[2031 ]]</f>
        <v>1.4928610350812155E-7</v>
      </c>
      <c r="AP237" s="77">
        <f>$AH237*tbl_Data[[#This Row],[2032 ]]</f>
        <v>1.6198090389486283E-7</v>
      </c>
      <c r="AQ237" s="77">
        <f>$AH237*tbl_Data[[#This Row],[2033 ]]</f>
        <v>1.7543571992109496E-7</v>
      </c>
      <c r="AR237" s="77">
        <f>$AH237*tbl_Data[[#This Row],[2034 ]]</f>
        <v>1.8890615178854461E-7</v>
      </c>
      <c r="AS237" s="77">
        <f>SUM(tbl_Data[[#This Row],[Adjusted 2025]:[Adjusted 2034]])</f>
        <v>1.3271364076658767E-6</v>
      </c>
      <c r="AT237" s="80">
        <f>AVERAGEIFS('3. Incentive Adjustment'!F:F,'3. Incentive Adjustment'!A:A,tbl_Data[[#This Row],[Trimmed Sector]],'3. Incentive Adjustment'!B:B,tbl_Data[[#This Row],[Trimmed Measure Name]])</f>
        <v>4754.4974087894998</v>
      </c>
      <c r="AU237" s="80">
        <f>IFERROR(VLOOKUP(tbl_Data[[#This Row],[All_Meas_Name_Append]],'IRA Tax Credits'!$A$3:$D$46,4,0),0)</f>
        <v>500</v>
      </c>
      <c r="AV237" s="81">
        <f>tbl_Data[[#This Row],[Adj. per unit Incentive ($)]]/tbl_Data[[#This Row],[kWh Savings]]*tbl_Data[[#This Row],[Sum of Annuals]]</f>
        <v>1.4092036293212122E-6</v>
      </c>
      <c r="AW237" s="81">
        <f>IFERROR(VLOOKUP(tbl_Data[[#This Row],[Column1]],'1. Set Program Names'!$B$2:$D$15,3,0)*tbl_Data[[#This Row],[Sum of Annuals]],"")</f>
        <v>4.7245651274992154E-8</v>
      </c>
      <c r="AX237" s="81">
        <f>tbl_Data[[#This Row],[per unit IRA tax ($)]]/tbl_Data[[#This Row],[kWh Savings]]*tbl_Data[[#This Row],[Sum of Annuals]]</f>
        <v>1.4819690791250181E-7</v>
      </c>
      <c r="AY237" s="81">
        <f>tbl_Data[[#This Row],[Avoided Costs ($/unit)]]/tbl_Data[[#This Row],[kWh Savings]]*tbl_Data[[#This Row],[Sum of Annuals]]</f>
        <v>7.9158029599061759E-7</v>
      </c>
      <c r="AZ237" s="81">
        <f>tbl_Data[[#This Row],[Lost Revenue ($/unit)]]/tbl_Data[[#This Row],[kWh Savings]]*tbl_Data[[#This Row],[Sum of Annuals]]</f>
        <v>2.0458974176290431E-6</v>
      </c>
      <c r="BA237" s="81">
        <f>tbl_Data[[#This Row],[Incremental Cost ($/unit)]]/tbl_Data[[#This Row],[kWh Savings]]*tbl_Data[[#This Row],[Sum of Annuals]]</f>
        <v>1.0906462747490981E-5</v>
      </c>
      <c r="BB237" s="77">
        <f>ROUNDUP(tbl_Data[[#This Row],[Adjusted 2025]]/$L237,0)</f>
        <v>1</v>
      </c>
      <c r="BC237" s="77">
        <f>ROUNDUP(tbl_Data[[#This Row],[Adjusted 2026]]/$L237,0)</f>
        <v>1</v>
      </c>
      <c r="BD237" s="77">
        <f>ROUNDUP(tbl_Data[[#This Row],[Adjusted 2027]]/$L237,0)</f>
        <v>1</v>
      </c>
      <c r="BE237" s="77">
        <f>ROUNDUP(tbl_Data[[#This Row],[Adjusted 2028]]/$L237,0)</f>
        <v>1</v>
      </c>
      <c r="BF237" s="77">
        <f>ROUNDUP(tbl_Data[[#This Row],[Adjusted 2029]]/$L237,0)</f>
        <v>1</v>
      </c>
      <c r="BG237" s="77">
        <f>ROUNDUP(tbl_Data[[#This Row],[Adjusted 2030]]/$L237,0)</f>
        <v>1</v>
      </c>
      <c r="BH237" s="77">
        <f>ROUNDUP(tbl_Data[[#This Row],[Adjusted 2031]]/$L237,0)</f>
        <v>1</v>
      </c>
      <c r="BI237" s="77">
        <f>ROUNDUP(tbl_Data[[#This Row],[Adjusted 2032]]/$L237,0)</f>
        <v>1</v>
      </c>
      <c r="BJ237" s="77">
        <f>ROUNDUP(tbl_Data[[#This Row],[Adjusted 2033]]/$L237,0)</f>
        <v>1</v>
      </c>
      <c r="BK237" s="77">
        <f>ROUNDUP(tbl_Data[[#This Row],[Adjusted 2034]]/$L237,0)</f>
        <v>1</v>
      </c>
      <c r="BL237" s="80">
        <f t="shared" si="111"/>
        <v>1103.2999873434444</v>
      </c>
      <c r="BM237" s="80">
        <f t="shared" si="112"/>
        <v>1229.970660090431</v>
      </c>
      <c r="BN237" s="80">
        <f t="shared" si="113"/>
        <v>1366.0654551559523</v>
      </c>
      <c r="BO237" s="80">
        <f t="shared" si="114"/>
        <v>1514.3349442078302</v>
      </c>
      <c r="BP237" s="80">
        <f t="shared" si="115"/>
        <v>1669.9126212955189</v>
      </c>
      <c r="BQ237" s="80">
        <f t="shared" si="116"/>
        <v>1832.3397022357212</v>
      </c>
      <c r="BR237" s="80">
        <f t="shared" si="117"/>
        <v>1997.1009380387584</v>
      </c>
      <c r="BS237" s="80">
        <f t="shared" si="118"/>
        <v>2166.9278486808234</v>
      </c>
      <c r="BT237" s="80">
        <f t="shared" si="119"/>
        <v>2346.9220013560275</v>
      </c>
      <c r="BU237" s="80">
        <f t="shared" si="120"/>
        <v>2527.1250576760508</v>
      </c>
      <c r="BV237" s="80">
        <f>IFERROR(VLOOKUP($H237,'1. Set Program Names'!$B$2:$D$15,3,0)*V237,"NA")</f>
        <v>36.98977590544515</v>
      </c>
      <c r="BW237" s="80">
        <f>IFERROR(VLOOKUP($H237,'1. Set Program Names'!$B$2:$D$15,3,0)*W237,"NA")</f>
        <v>41.236598938575909</v>
      </c>
      <c r="BX237" s="80">
        <f>IFERROR(VLOOKUP($H237,'1. Set Program Names'!$B$2:$D$15,3,0)*X237,"NA")</f>
        <v>45.799379713632739</v>
      </c>
      <c r="BY237" s="80">
        <f>IFERROR(VLOOKUP($H237,'1. Set Program Names'!$B$2:$D$15,3,0)*Y237,"NA")</f>
        <v>50.770335243913699</v>
      </c>
      <c r="BZ237" s="80">
        <f>IFERROR(VLOOKUP($H237,'1. Set Program Names'!$B$2:$D$15,3,0)*Z237,"NA")</f>
        <v>55.986308666717633</v>
      </c>
      <c r="CA237" s="80">
        <f>IFERROR(VLOOKUP($H237,'1. Set Program Names'!$B$2:$D$15,3,0)*AA237,"NA")</f>
        <v>61.43191855874732</v>
      </c>
      <c r="CB237" s="80">
        <f>IFERROR(VLOOKUP($H237,'1. Set Program Names'!$B$2:$D$15,3,0)*AB237,"NA")</f>
        <v>66.955784470259744</v>
      </c>
      <c r="CC237" s="80">
        <f>IFERROR(VLOOKUP($H237,'1. Set Program Names'!$B$2:$D$15,3,0)*AC237,"NA")</f>
        <v>72.649484678205624</v>
      </c>
      <c r="CD237" s="80">
        <f>IFERROR(VLOOKUP($H237,'1. Set Program Names'!$B$2:$D$15,3,0)*AD237,"NA")</f>
        <v>78.684056823699294</v>
      </c>
      <c r="CE237" s="80">
        <f>IFERROR(VLOOKUP($H237,'1. Set Program Names'!$B$2:$D$15,3,0)*AE237,"NA")</f>
        <v>84.725632775135466</v>
      </c>
    </row>
    <row r="238" spans="1:83" x14ac:dyDescent="0.25">
      <c r="A238" s="79" t="s">
        <v>87</v>
      </c>
      <c r="B238" s="79" t="s">
        <v>88</v>
      </c>
      <c r="C238" s="79" t="s">
        <v>122</v>
      </c>
      <c r="D238" s="79" t="s">
        <v>90</v>
      </c>
      <c r="E238" s="79" t="s">
        <v>91</v>
      </c>
      <c r="F238" s="79" t="s">
        <v>90</v>
      </c>
      <c r="G238" s="79" t="s">
        <v>92</v>
      </c>
      <c r="H238" s="79" t="s">
        <v>14</v>
      </c>
      <c r="I238" s="79" t="s">
        <v>240</v>
      </c>
      <c r="J238" s="79" t="s">
        <v>129</v>
      </c>
      <c r="K238" s="79" t="s">
        <v>102</v>
      </c>
      <c r="L238" s="79">
        <v>18717.787499999999</v>
      </c>
      <c r="M238" s="79">
        <v>3.6380387810097399</v>
      </c>
      <c r="N238" s="79">
        <v>0.14255501576814</v>
      </c>
      <c r="O238" s="79">
        <f>11091.09/6133.31*tbl_Data[[#This Row],[kWh Savings]]</f>
        <v>33848.063405139306</v>
      </c>
      <c r="P238" s="79">
        <v>45532.278837645601</v>
      </c>
      <c r="Q238" s="79">
        <v>666.34752521012103</v>
      </c>
      <c r="R238" s="79">
        <v>11042.715256281999</v>
      </c>
      <c r="S238" s="79">
        <v>28855.114582630202</v>
      </c>
      <c r="T238" s="79">
        <v>30</v>
      </c>
      <c r="U238" s="79">
        <v>0.95</v>
      </c>
      <c r="V238" s="79">
        <f>tbl_Data_old[[#This Row],[2025 ]]*IFERROR(AVERAGEIFS('Participation Adjustment'!$C:$C,'Participation Adjustment'!$A:$A,$H238,'Participation Adjustment'!$B:$B,$I238),1)</f>
        <v>1522.2240041791899</v>
      </c>
      <c r="W238" s="79">
        <f>tbl_Data_old[[#This Row],[2026 ]]*IFERROR(AVERAGEIFS('Participation Adjustment'!$C:$C,'Participation Adjustment'!$A:$A,$H238,'Participation Adjustment'!$B:$B,$I238),1)</f>
        <v>1493.5468648886399</v>
      </c>
      <c r="X238" s="79">
        <f>tbl_Data_old[[#This Row],[2027 ]]*IFERROR(AVERAGEIFS('Participation Adjustment'!$C:$C,'Participation Adjustment'!$A:$A,$H238,'Participation Adjustment'!$B:$B,$I238),1)</f>
        <v>1452.1305570147799</v>
      </c>
      <c r="Y238" s="79">
        <f>tbl_Data_old[[#This Row],[2028 ]]*IFERROR(AVERAGEIFS('Participation Adjustment'!$C:$C,'Participation Adjustment'!$A:$A,$H238,'Participation Adjustment'!$B:$B,$I238),1)</f>
        <v>1411.7595042671301</v>
      </c>
      <c r="Z238" s="79">
        <f>tbl_Data_old[[#This Row],[2029 ]]*IFERROR(AVERAGEIFS('Participation Adjustment'!$C:$C,'Participation Adjustment'!$A:$A,$H238,'Participation Adjustment'!$B:$B,$I238),1)</f>
        <v>1372.8325867127901</v>
      </c>
      <c r="AA238" s="79">
        <f>tbl_Data_old[[#This Row],[2030 ]]*IFERROR(AVERAGEIFS('Participation Adjustment'!$C:$C,'Participation Adjustment'!$A:$A,$H238,'Participation Adjustment'!$B:$B,$I238),1)</f>
        <v>1331.53137556515</v>
      </c>
      <c r="AB238" s="79">
        <f>tbl_Data_old[[#This Row],[2031 ]]*IFERROR(AVERAGEIFS('Participation Adjustment'!$C:$C,'Participation Adjustment'!$A:$A,$H238,'Participation Adjustment'!$B:$B,$I238),1)</f>
        <v>1290.6241571517201</v>
      </c>
      <c r="AC238" s="79">
        <f>tbl_Data_old[[#This Row],[2032 ]]*IFERROR(AVERAGEIFS('Participation Adjustment'!$C:$C,'Participation Adjustment'!$A:$A,$H238,'Participation Adjustment'!$B:$B,$I238),1)</f>
        <v>1252.27208337969</v>
      </c>
      <c r="AD238" s="79">
        <f>tbl_Data_old[[#This Row],[2033 ]]*IFERROR(AVERAGEIFS('Participation Adjustment'!$C:$C,'Participation Adjustment'!$A:$A,$H238,'Participation Adjustment'!$B:$B,$I238),1)</f>
        <v>1214.34071947795</v>
      </c>
      <c r="AE238" s="79">
        <f>tbl_Data_old[[#This Row],[2034 ]]*IFERROR(AVERAGEIFS('Participation Adjustment'!$C:$C,'Participation Adjustment'!$A:$A,$H238,'Participation Adjustment'!$B:$B,$I238),1)</f>
        <v>1177.55277160373</v>
      </c>
      <c r="AF238" s="77" t="str">
        <f t="shared" si="110"/>
        <v>NonResidential</v>
      </c>
      <c r="AG238" s="77" t="str">
        <f>tbl_Data[[#This Row],[All_Meas_Name_Append]]</f>
        <v>Ceiling Insulation(R2 to R38)</v>
      </c>
      <c r="AH238" s="77">
        <f>AVERAGEIFS('3. Incentive Adjustment'!G:G,'3. Incentive Adjustment'!A:A,tbl_Data[[#This Row],[Trimmed Sector]],'3. Incentive Adjustment'!B:B,tbl_Data[[#This Row],[Trimmed Measure Name]])</f>
        <v>3.0218441517909909E-3</v>
      </c>
      <c r="AI238" s="77">
        <f>$AH238*tbl_Data[[#This Row],[2025 ]]</f>
        <v>4.5999237047447501</v>
      </c>
      <c r="AJ238" s="77">
        <f>$AH238*tbl_Data[[#This Row],[2026 ]]</f>
        <v>4.5132658590895058</v>
      </c>
      <c r="AK238" s="77">
        <f>$AH238*tbl_Data[[#This Row],[2027 ]]</f>
        <v>4.3881122313521068</v>
      </c>
      <c r="AL238" s="77">
        <f>$AH238*tbl_Data[[#This Row],[2028 ]]</f>
        <v>4.2661172017049758</v>
      </c>
      <c r="AM238" s="77">
        <f>$AH238*tbl_Data[[#This Row],[2029 ]]</f>
        <v>4.1484861235461432</v>
      </c>
      <c r="AN238" s="77">
        <f>$AH238*tbl_Data[[#This Row],[2030 ]]</f>
        <v>4.0236803001777623</v>
      </c>
      <c r="AO238" s="77">
        <f>$AH238*tbl_Data[[#This Row],[2031 ]]</f>
        <v>3.9000650614491019</v>
      </c>
      <c r="AP238" s="77">
        <f>$AH238*tbl_Data[[#This Row],[2032 ]]</f>
        <v>3.7841710716120365</v>
      </c>
      <c r="AQ238" s="77">
        <f>$AH238*tbl_Data[[#This Row],[2033 ]]</f>
        <v>3.6695484014361073</v>
      </c>
      <c r="AR238" s="77">
        <f>$AH238*tbl_Data[[#This Row],[2034 ]]</f>
        <v>3.5583809562960038</v>
      </c>
      <c r="AS238" s="77">
        <f>SUM(tbl_Data[[#This Row],[Adjusted 2025]:[Adjusted 2034]])</f>
        <v>40.851750911408494</v>
      </c>
      <c r="AT238" s="80">
        <f>AVERAGEIFS('3. Incentive Adjustment'!F:F,'3. Incentive Adjustment'!A:A,tbl_Data[[#This Row],[Trimmed Sector]],'3. Incentive Adjustment'!B:B,tbl_Data[[#This Row],[Trimmed Measure Name]])</f>
        <v>4373.4448922946976</v>
      </c>
      <c r="AU238" s="80">
        <f>IFERROR(VLOOKUP(tbl_Data[[#This Row],[All_Meas_Name_Append]],'IRA Tax Credits'!$A$3:$D$46,4,0),0)</f>
        <v>0</v>
      </c>
      <c r="AV238" s="81">
        <f>tbl_Data[[#This Row],[Adj. per unit Incentive ($)]]/tbl_Data[[#This Row],[kWh Savings]]*tbl_Data[[#This Row],[Sum of Annuals]]</f>
        <v>9.545085462947732</v>
      </c>
      <c r="AW238" s="81">
        <f>IFERROR(VLOOKUP(tbl_Data[[#This Row],[Column1]],'1. Set Program Names'!$B$2:$D$15,3,0)*tbl_Data[[#This Row],[Sum of Annuals]],"")</f>
        <v>1.4543098707749169</v>
      </c>
      <c r="AX238" s="81">
        <f>tbl_Data[[#This Row],[per unit IRA tax ($)]]/tbl_Data[[#This Row],[kWh Savings]]*tbl_Data[[#This Row],[Sum of Annuals]]</f>
        <v>0</v>
      </c>
      <c r="AY238" s="81">
        <f>tbl_Data[[#This Row],[Avoided Costs ($/unit)]]/tbl_Data[[#This Row],[kWh Savings]]*tbl_Data[[#This Row],[Sum of Annuals]]</f>
        <v>24.100832058021957</v>
      </c>
      <c r="AZ238" s="81">
        <f>tbl_Data[[#This Row],[Lost Revenue ($/unit)]]/tbl_Data[[#This Row],[kWh Savings]]*tbl_Data[[#This Row],[Sum of Annuals]]</f>
        <v>62.976564588617109</v>
      </c>
      <c r="BA238" s="81">
        <f>tbl_Data[[#This Row],[Incremental Cost ($/unit)]]/tbl_Data[[#This Row],[kWh Savings]]*tbl_Data[[#This Row],[Sum of Annuals]]</f>
        <v>73.873723326558348</v>
      </c>
      <c r="BB238" s="77">
        <f>ROUNDUP(tbl_Data[[#This Row],[Adjusted 2025]]/$L238,0)</f>
        <v>1</v>
      </c>
      <c r="BC238" s="77">
        <f>ROUNDUP(tbl_Data[[#This Row],[Adjusted 2026]]/$L238,0)</f>
        <v>1</v>
      </c>
      <c r="BD238" s="77">
        <f>ROUNDUP(tbl_Data[[#This Row],[Adjusted 2027]]/$L238,0)</f>
        <v>1</v>
      </c>
      <c r="BE238" s="77">
        <f>ROUNDUP(tbl_Data[[#This Row],[Adjusted 2028]]/$L238,0)</f>
        <v>1</v>
      </c>
      <c r="BF238" s="77">
        <f>ROUNDUP(tbl_Data[[#This Row],[Adjusted 2029]]/$L238,0)</f>
        <v>1</v>
      </c>
      <c r="BG238" s="77">
        <f>ROUNDUP(tbl_Data[[#This Row],[Adjusted 2030]]/$L238,0)</f>
        <v>1</v>
      </c>
      <c r="BH238" s="77">
        <f>ROUNDUP(tbl_Data[[#This Row],[Adjusted 2031]]/$L238,0)</f>
        <v>1</v>
      </c>
      <c r="BI238" s="77">
        <f>ROUNDUP(tbl_Data[[#This Row],[Adjusted 2032]]/$L238,0)</f>
        <v>1</v>
      </c>
      <c r="BJ238" s="77">
        <f>ROUNDUP(tbl_Data[[#This Row],[Adjusted 2033]]/$L238,0)</f>
        <v>1</v>
      </c>
      <c r="BK238" s="77">
        <f>ROUNDUP(tbl_Data[[#This Row],[Adjusted 2034]]/$L238,0)</f>
        <v>1</v>
      </c>
      <c r="BL238" s="80">
        <f t="shared" si="111"/>
        <v>355.67039085179601</v>
      </c>
      <c r="BM238" s="80">
        <f t="shared" si="112"/>
        <v>348.96992540651411</v>
      </c>
      <c r="BN238" s="80">
        <f t="shared" si="113"/>
        <v>339.29293018853559</v>
      </c>
      <c r="BO238" s="80">
        <f t="shared" si="114"/>
        <v>329.86016072068213</v>
      </c>
      <c r="BP238" s="80">
        <f t="shared" si="115"/>
        <v>320.76481605183147</v>
      </c>
      <c r="BQ238" s="80">
        <f t="shared" si="116"/>
        <v>311.11471339203626</v>
      </c>
      <c r="BR238" s="80">
        <f t="shared" si="117"/>
        <v>301.55666784695251</v>
      </c>
      <c r="BS238" s="80">
        <f t="shared" si="118"/>
        <v>292.59563646719175</v>
      </c>
      <c r="BT238" s="80">
        <f t="shared" si="119"/>
        <v>283.73290470929373</v>
      </c>
      <c r="BU238" s="80">
        <f t="shared" si="120"/>
        <v>275.13733417359282</v>
      </c>
      <c r="BV238" s="80">
        <f>IFERROR(VLOOKUP($H238,'1. Set Program Names'!$B$2:$D$15,3,0)*V238,"NA")</f>
        <v>54.190710200136849</v>
      </c>
      <c r="BW238" s="80">
        <f>IFERROR(VLOOKUP($H238,'1. Set Program Names'!$B$2:$D$15,3,0)*W238,"NA")</f>
        <v>53.169812789245526</v>
      </c>
      <c r="BX238" s="80">
        <f>IFERROR(VLOOKUP($H238,'1. Set Program Names'!$B$2:$D$15,3,0)*X238,"NA")</f>
        <v>51.695404862823295</v>
      </c>
      <c r="BY238" s="80">
        <f>IFERROR(VLOOKUP($H238,'1. Set Program Names'!$B$2:$D$15,3,0)*Y238,"NA")</f>
        <v>50.258207700043037</v>
      </c>
      <c r="BZ238" s="80">
        <f>IFERROR(VLOOKUP($H238,'1. Set Program Names'!$B$2:$D$15,3,0)*Z238,"NA")</f>
        <v>48.872421309616662</v>
      </c>
      <c r="CA238" s="80">
        <f>IFERROR(VLOOKUP($H238,'1. Set Program Names'!$B$2:$D$15,3,0)*AA238,"NA")</f>
        <v>47.402110791538043</v>
      </c>
      <c r="CB238" s="80">
        <f>IFERROR(VLOOKUP($H238,'1. Set Program Names'!$B$2:$D$15,3,0)*AB238,"NA")</f>
        <v>45.945826294611308</v>
      </c>
      <c r="CC238" s="80">
        <f>IFERROR(VLOOKUP($H238,'1. Set Program Names'!$B$2:$D$15,3,0)*AC238,"NA")</f>
        <v>44.580504167481259</v>
      </c>
      <c r="CD238" s="80">
        <f>IFERROR(VLOOKUP($H238,'1. Set Program Names'!$B$2:$D$15,3,0)*AD238,"NA")</f>
        <v>43.230159183397596</v>
      </c>
      <c r="CE238" s="80">
        <f>IFERROR(VLOOKUP($H238,'1. Set Program Names'!$B$2:$D$15,3,0)*AE238,"NA")</f>
        <v>41.920519461098927</v>
      </c>
    </row>
    <row r="239" spans="1:83" x14ac:dyDescent="0.25">
      <c r="A239" s="79" t="s">
        <v>87</v>
      </c>
      <c r="B239" s="79" t="s">
        <v>88</v>
      </c>
      <c r="C239" s="79" t="s">
        <v>122</v>
      </c>
      <c r="D239" s="79" t="s">
        <v>90</v>
      </c>
      <c r="E239" s="79" t="s">
        <v>91</v>
      </c>
      <c r="F239" s="79" t="s">
        <v>90</v>
      </c>
      <c r="G239" s="79" t="s">
        <v>92</v>
      </c>
      <c r="H239" s="79" t="s">
        <v>14</v>
      </c>
      <c r="I239" s="79" t="s">
        <v>241</v>
      </c>
      <c r="J239" s="79" t="s">
        <v>129</v>
      </c>
      <c r="K239" s="79" t="s">
        <v>102</v>
      </c>
      <c r="L239" s="79">
        <v>19185.113333333298</v>
      </c>
      <c r="M239" s="79">
        <v>4.6125790568704801</v>
      </c>
      <c r="N239" s="79">
        <v>0.25911922024205197</v>
      </c>
      <c r="O239" s="79">
        <f>11417.3/6341.92*tbl_Data[[#This Row],[kWh Savings]]</f>
        <v>34538.782334161617</v>
      </c>
      <c r="P239" s="79">
        <v>25197.386166847798</v>
      </c>
      <c r="Q239" s="79">
        <v>682.98418232081895</v>
      </c>
      <c r="R239" s="79">
        <v>12014.6297388403</v>
      </c>
      <c r="S239" s="79">
        <v>29575.538429105502</v>
      </c>
      <c r="T239" s="79">
        <v>30</v>
      </c>
      <c r="U239" s="79">
        <v>0.95</v>
      </c>
      <c r="V239" s="79">
        <f>tbl_Data_old[[#This Row],[2025 ]]*IFERROR(AVERAGEIFS('Participation Adjustment'!$C:$C,'Participation Adjustment'!$A:$A,$H239,'Participation Adjustment'!$B:$B,$I239),1)</f>
        <v>1621.89748046613</v>
      </c>
      <c r="W239" s="79">
        <f>tbl_Data_old[[#This Row],[2026 ]]*IFERROR(AVERAGEIFS('Participation Adjustment'!$C:$C,'Participation Adjustment'!$A:$A,$H239,'Participation Adjustment'!$B:$B,$I239),1)</f>
        <v>1589.16586849039</v>
      </c>
      <c r="X239" s="79">
        <f>tbl_Data_old[[#This Row],[2027 ]]*IFERROR(AVERAGEIFS('Participation Adjustment'!$C:$C,'Participation Adjustment'!$A:$A,$H239,'Participation Adjustment'!$B:$B,$I239),1)</f>
        <v>1542.7360501143901</v>
      </c>
      <c r="Y239" s="79">
        <f>tbl_Data_old[[#This Row],[2028 ]]*IFERROR(AVERAGEIFS('Participation Adjustment'!$C:$C,'Participation Adjustment'!$A:$A,$H239,'Participation Adjustment'!$B:$B,$I239),1)</f>
        <v>1497.3222881566501</v>
      </c>
      <c r="Z239" s="79">
        <f>tbl_Data_old[[#This Row],[2029 ]]*IFERROR(AVERAGEIFS('Participation Adjustment'!$C:$C,'Participation Adjustment'!$A:$A,$H239,'Participation Adjustment'!$B:$B,$I239),1)</f>
        <v>1453.36932208401</v>
      </c>
      <c r="AA239" s="79">
        <f>tbl_Data_old[[#This Row],[2030 ]]*IFERROR(AVERAGEIFS('Participation Adjustment'!$C:$C,'Participation Adjustment'!$A:$A,$H239,'Participation Adjustment'!$B:$B,$I239),1)</f>
        <v>1406.8607634361899</v>
      </c>
      <c r="AB239" s="79">
        <f>tbl_Data_old[[#This Row],[2031 ]]*IFERROR(AVERAGEIFS('Participation Adjustment'!$C:$C,'Participation Adjustment'!$A:$A,$H239,'Participation Adjustment'!$B:$B,$I239),1)</f>
        <v>1360.7537750920401</v>
      </c>
      <c r="AC239" s="79">
        <f>tbl_Data_old[[#This Row],[2032 ]]*IFERROR(AVERAGEIFS('Participation Adjustment'!$C:$C,'Participation Adjustment'!$A:$A,$H239,'Participation Adjustment'!$B:$B,$I239),1)</f>
        <v>1317.3429336489301</v>
      </c>
      <c r="AD239" s="79">
        <f>tbl_Data_old[[#This Row],[2033 ]]*IFERROR(AVERAGEIFS('Participation Adjustment'!$C:$C,'Participation Adjustment'!$A:$A,$H239,'Participation Adjustment'!$B:$B,$I239),1)</f>
        <v>1274.3908230811001</v>
      </c>
      <c r="AE239" s="79">
        <f>tbl_Data_old[[#This Row],[2034 ]]*IFERROR(AVERAGEIFS('Participation Adjustment'!$C:$C,'Participation Adjustment'!$A:$A,$H239,'Participation Adjustment'!$B:$B,$I239),1)</f>
        <v>1232.66666956105</v>
      </c>
      <c r="AF239" s="77" t="str">
        <f t="shared" si="110"/>
        <v>NonResidential</v>
      </c>
      <c r="AG239" s="77" t="str">
        <f>tbl_Data[[#This Row],[All_Meas_Name_Append]]</f>
        <v>Ceiling Insulation(R2 to R49)</v>
      </c>
      <c r="AH239" s="77">
        <f>AVERAGEIFS('3. Incentive Adjustment'!G:G,'3. Incentive Adjustment'!A:A,tbl_Data[[#This Row],[Trimmed Sector]],'3. Incentive Adjustment'!B:B,tbl_Data[[#This Row],[Trimmed Measure Name]])</f>
        <v>5.674595082038876E-2</v>
      </c>
      <c r="AI239" s="77">
        <f>$AH239*tbl_Data[[#This Row],[2025 ]]</f>
        <v>92.036114662243449</v>
      </c>
      <c r="AJ239" s="77">
        <f>$AH239*tbl_Data[[#This Row],[2026 ]]</f>
        <v>90.178728218796067</v>
      </c>
      <c r="AK239" s="77">
        <f>$AH239*tbl_Data[[#This Row],[2027 ]]</f>
        <v>87.544024028631995</v>
      </c>
      <c r="AL239" s="77">
        <f>$AH239*tbl_Data[[#This Row],[2028 ]]</f>
        <v>84.966976926009238</v>
      </c>
      <c r="AM239" s="77">
        <f>$AH239*tbl_Data[[#This Row],[2029 ]]</f>
        <v>82.472824074840986</v>
      </c>
      <c r="AN239" s="77">
        <f>$AH239*tbl_Data[[#This Row],[2030 ]]</f>
        <v>79.833651693084619</v>
      </c>
      <c r="AO239" s="77">
        <f>$AH239*tbl_Data[[#This Row],[2031 ]]</f>
        <v>77.217266800031254</v>
      </c>
      <c r="AP239" s="77">
        <f>$AH239*tbl_Data[[#This Row],[2032 ]]</f>
        <v>74.753877326428835</v>
      </c>
      <c r="AQ239" s="77">
        <f>$AH239*tbl_Data[[#This Row],[2033 ]]</f>
        <v>72.316518972514857</v>
      </c>
      <c r="AR239" s="77">
        <f>$AH239*tbl_Data[[#This Row],[2034 ]]</f>
        <v>69.948842208843743</v>
      </c>
      <c r="AS239" s="77">
        <f>SUM(tbl_Data[[#This Row],[Adjusted 2025]:[Adjusted 2034]])</f>
        <v>811.26882491142499</v>
      </c>
      <c r="AT239" s="80">
        <f>AVERAGEIFS('3. Incentive Adjustment'!F:F,'3. Incentive Adjustment'!A:A,tbl_Data[[#This Row],[Trimmed Sector]],'3. Incentive Adjustment'!B:B,tbl_Data[[#This Row],[Trimmed Measure Name]])</f>
        <v>4335.1908026959672</v>
      </c>
      <c r="AU239" s="80">
        <f>IFERROR(VLOOKUP(tbl_Data[[#This Row],[All_Meas_Name_Append]],'IRA Tax Credits'!$A$3:$D$46,4,0),0)</f>
        <v>500</v>
      </c>
      <c r="AV239" s="81">
        <f>tbl_Data[[#This Row],[Adj. per unit Incentive ($)]]/tbl_Data[[#This Row],[kWh Savings]]*tbl_Data[[#This Row],[Sum of Annuals]]</f>
        <v>183.31948772798393</v>
      </c>
      <c r="AW239" s="81">
        <f>IFERROR(VLOOKUP(tbl_Data[[#This Row],[Column1]],'1. Set Program Names'!$B$2:$D$15,3,0)*tbl_Data[[#This Row],[Sum of Annuals]],"")</f>
        <v>28.880922692377556</v>
      </c>
      <c r="AX239" s="81">
        <f>tbl_Data[[#This Row],[per unit IRA tax ($)]]/tbl_Data[[#This Row],[kWh Savings]]*tbl_Data[[#This Row],[Sum of Annuals]]</f>
        <v>21.143185625645504</v>
      </c>
      <c r="AY239" s="81">
        <f>tbl_Data[[#This Row],[Avoided Costs ($/unit)]]/tbl_Data[[#This Row],[kWh Savings]]*tbl_Data[[#This Row],[Sum of Annuals]]</f>
        <v>508.05509358340242</v>
      </c>
      <c r="AZ239" s="81">
        <f>tbl_Data[[#This Row],[Lost Revenue ($/unit)]]/tbl_Data[[#This Row],[kWh Savings]]*tbl_Data[[#This Row],[Sum of Annuals]]</f>
        <v>1250.6421979699794</v>
      </c>
      <c r="BA239" s="81">
        <f>tbl_Data[[#This Row],[Incremental Cost ($/unit)]]/tbl_Data[[#This Row],[kWh Savings]]*tbl_Data[[#This Row],[Sum of Annuals]]</f>
        <v>1460.5197723498895</v>
      </c>
      <c r="BB239" s="77">
        <f>ROUNDUP(tbl_Data[[#This Row],[Adjusted 2025]]/$L239,0)</f>
        <v>1</v>
      </c>
      <c r="BC239" s="77">
        <f>ROUNDUP(tbl_Data[[#This Row],[Adjusted 2026]]/$L239,0)</f>
        <v>1</v>
      </c>
      <c r="BD239" s="77">
        <f>ROUNDUP(tbl_Data[[#This Row],[Adjusted 2027]]/$L239,0)</f>
        <v>1</v>
      </c>
      <c r="BE239" s="77">
        <f>ROUNDUP(tbl_Data[[#This Row],[Adjusted 2028]]/$L239,0)</f>
        <v>1</v>
      </c>
      <c r="BF239" s="77">
        <f>ROUNDUP(tbl_Data[[#This Row],[Adjusted 2029]]/$L239,0)</f>
        <v>1</v>
      </c>
      <c r="BG239" s="77">
        <f>ROUNDUP(tbl_Data[[#This Row],[Adjusted 2030]]/$L239,0)</f>
        <v>1</v>
      </c>
      <c r="BH239" s="77">
        <f>ROUNDUP(tbl_Data[[#This Row],[Adjusted 2031]]/$L239,0)</f>
        <v>1</v>
      </c>
      <c r="BI239" s="77">
        <f>ROUNDUP(tbl_Data[[#This Row],[Adjusted 2032]]/$L239,0)</f>
        <v>1</v>
      </c>
      <c r="BJ239" s="77">
        <f>ROUNDUP(tbl_Data[[#This Row],[Adjusted 2033]]/$L239,0)</f>
        <v>1</v>
      </c>
      <c r="BK239" s="77">
        <f>ROUNDUP(tbl_Data[[#This Row],[Adjusted 2034]]/$L239,0)</f>
        <v>1</v>
      </c>
      <c r="BL239" s="80">
        <f t="shared" si="111"/>
        <v>366.49431869740715</v>
      </c>
      <c r="BM239" s="80">
        <f t="shared" si="112"/>
        <v>359.09807449862518</v>
      </c>
      <c r="BN239" s="80">
        <f t="shared" si="113"/>
        <v>348.60649604937203</v>
      </c>
      <c r="BO239" s="80">
        <f t="shared" si="114"/>
        <v>338.34451220104347</v>
      </c>
      <c r="BP239" s="80">
        <f t="shared" si="115"/>
        <v>328.41261912547566</v>
      </c>
      <c r="BQ239" s="80">
        <f t="shared" si="116"/>
        <v>317.90324802124746</v>
      </c>
      <c r="BR239" s="80">
        <f t="shared" si="117"/>
        <v>307.48461830889227</v>
      </c>
      <c r="BS239" s="80">
        <f t="shared" si="118"/>
        <v>297.67522717881826</v>
      </c>
      <c r="BT239" s="80">
        <f t="shared" si="119"/>
        <v>287.96949380863731</v>
      </c>
      <c r="BU239" s="80">
        <f t="shared" si="120"/>
        <v>278.5412374596836</v>
      </c>
      <c r="BV239" s="80">
        <f>IFERROR(VLOOKUP($H239,'1. Set Program Names'!$B$2:$D$15,3,0)*V239,"NA")</f>
        <v>57.73905555093711</v>
      </c>
      <c r="BW239" s="80">
        <f>IFERROR(VLOOKUP($H239,'1. Set Program Names'!$B$2:$D$15,3,0)*W239,"NA")</f>
        <v>56.573820149254495</v>
      </c>
      <c r="BX239" s="80">
        <f>IFERROR(VLOOKUP($H239,'1. Set Program Names'!$B$2:$D$15,3,0)*X239,"NA")</f>
        <v>54.920932778308384</v>
      </c>
      <c r="BY239" s="80">
        <f>IFERROR(VLOOKUP($H239,'1. Set Program Names'!$B$2:$D$15,3,0)*Y239,"NA")</f>
        <v>53.304216705908182</v>
      </c>
      <c r="BZ239" s="80">
        <f>IFERROR(VLOOKUP($H239,'1. Set Program Names'!$B$2:$D$15,3,0)*Z239,"NA")</f>
        <v>51.739504521407312</v>
      </c>
      <c r="CA239" s="80">
        <f>IFERROR(VLOOKUP($H239,'1. Set Program Names'!$B$2:$D$15,3,0)*AA239,"NA")</f>
        <v>50.083814020803828</v>
      </c>
      <c r="CB239" s="80">
        <f>IFERROR(VLOOKUP($H239,'1. Set Program Names'!$B$2:$D$15,3,0)*AB239,"NA")</f>
        <v>48.442419300513507</v>
      </c>
      <c r="CC239" s="80">
        <f>IFERROR(VLOOKUP($H239,'1. Set Program Names'!$B$2:$D$15,3,0)*AC239,"NA")</f>
        <v>46.897006587450846</v>
      </c>
      <c r="CD239" s="80">
        <f>IFERROR(VLOOKUP($H239,'1. Set Program Names'!$B$2:$D$15,3,0)*AD239,"NA")</f>
        <v>45.367924553614046</v>
      </c>
      <c r="CE239" s="80">
        <f>IFERROR(VLOOKUP($H239,'1. Set Program Names'!$B$2:$D$15,3,0)*AE239,"NA")</f>
        <v>43.882557416094585</v>
      </c>
    </row>
    <row r="240" spans="1:83" x14ac:dyDescent="0.25">
      <c r="A240" s="79" t="s">
        <v>87</v>
      </c>
      <c r="B240" s="79" t="s">
        <v>88</v>
      </c>
      <c r="C240" s="79" t="s">
        <v>122</v>
      </c>
      <c r="D240" s="79" t="s">
        <v>90</v>
      </c>
      <c r="E240" s="79" t="s">
        <v>91</v>
      </c>
      <c r="F240" s="79" t="s">
        <v>90</v>
      </c>
      <c r="G240" s="79" t="s">
        <v>92</v>
      </c>
      <c r="H240" s="79" t="s">
        <v>14</v>
      </c>
      <c r="I240" s="79" t="s">
        <v>128</v>
      </c>
      <c r="J240" s="79" t="s">
        <v>129</v>
      </c>
      <c r="K240" s="79" t="s">
        <v>130</v>
      </c>
      <c r="L240" s="79">
        <v>2045.1799999999989</v>
      </c>
      <c r="M240" s="79">
        <v>0.47104509500000002</v>
      </c>
      <c r="N240" s="79">
        <v>0.17900382200000001</v>
      </c>
      <c r="O240" s="79">
        <f>19591.5999999999/60160.456*2045.18</f>
        <v>666.02468053100858</v>
      </c>
      <c r="P240" s="79">
        <f>11310.7385995848/60160.456*2045.18</f>
        <v>384.51331501042552</v>
      </c>
      <c r="Q240" s="79">
        <f>2141.69388188172/60160.456*2045.18</f>
        <v>72.807784125619918</v>
      </c>
      <c r="R240" s="79">
        <f>32581.871747558/60160.456*2045.18</f>
        <v>1107.6344311730397</v>
      </c>
      <c r="S240" s="79">
        <f>77209.8271220691/60160.456*2045.18</f>
        <v>2624.780540784353</v>
      </c>
      <c r="T240" s="79">
        <v>20</v>
      </c>
      <c r="U240" s="79">
        <v>0.94999999999999896</v>
      </c>
      <c r="V240" s="79">
        <f>tbl_Data_old[[#This Row],[2025 ]]*IFERROR(AVERAGEIFS('Participation Adjustment'!$C:$C,'Participation Adjustment'!$A:$A,$H240,'Participation Adjustment'!$B:$B,$I240),1)</f>
        <v>35766.2089741503</v>
      </c>
      <c r="W240" s="79">
        <f>tbl_Data_old[[#This Row],[2026 ]]*IFERROR(AVERAGEIFS('Participation Adjustment'!$C:$C,'Participation Adjustment'!$A:$A,$H240,'Participation Adjustment'!$B:$B,$I240),1)</f>
        <v>35275.258975436947</v>
      </c>
      <c r="X240" s="79">
        <f>tbl_Data_old[[#This Row],[2027 ]]*IFERROR(AVERAGEIFS('Participation Adjustment'!$C:$C,'Participation Adjustment'!$A:$A,$H240,'Participation Adjustment'!$B:$B,$I240),1)</f>
        <v>34601.728037861147</v>
      </c>
      <c r="Y240" s="79">
        <f>tbl_Data_old[[#This Row],[2028 ]]*IFERROR(AVERAGEIFS('Participation Adjustment'!$C:$C,'Participation Adjustment'!$A:$A,$H240,'Participation Adjustment'!$B:$B,$I240),1)</f>
        <v>33943.272283849299</v>
      </c>
      <c r="Z240" s="79">
        <f>tbl_Data_old[[#This Row],[2029 ]]*IFERROR(AVERAGEIFS('Participation Adjustment'!$C:$C,'Participation Adjustment'!$A:$A,$H240,'Participation Adjustment'!$B:$B,$I240),1)</f>
        <v>33249.929322699201</v>
      </c>
      <c r="AA240" s="79">
        <f>tbl_Data_old[[#This Row],[2030 ]]*IFERROR(AVERAGEIFS('Participation Adjustment'!$C:$C,'Participation Adjustment'!$A:$A,$H240,'Participation Adjustment'!$B:$B,$I240),1)</f>
        <v>32500.160904496101</v>
      </c>
      <c r="AB240" s="79">
        <f>tbl_Data_old[[#This Row],[2031 ]]*IFERROR(AVERAGEIFS('Participation Adjustment'!$C:$C,'Participation Adjustment'!$A:$A,$H240,'Participation Adjustment'!$B:$B,$I240),1)</f>
        <v>31695.406710409199</v>
      </c>
      <c r="AC240" s="79">
        <f>tbl_Data_old[[#This Row],[2032 ]]*IFERROR(AVERAGEIFS('Participation Adjustment'!$C:$C,'Participation Adjustment'!$A:$A,$H240,'Participation Adjustment'!$B:$B,$I240),1)</f>
        <v>30904.859796994999</v>
      </c>
      <c r="AD240" s="79">
        <f>tbl_Data_old[[#This Row],[2033 ]]*IFERROR(AVERAGEIFS('Participation Adjustment'!$C:$C,'Participation Adjustment'!$A:$A,$H240,'Participation Adjustment'!$B:$B,$I240),1)</f>
        <v>30170.806106020249</v>
      </c>
      <c r="AE240" s="79">
        <f>tbl_Data_old[[#This Row],[2034 ]]*IFERROR(AVERAGEIFS('Participation Adjustment'!$C:$C,'Participation Adjustment'!$A:$A,$H240,'Participation Adjustment'!$B:$B,$I240),1)</f>
        <v>29418.273428957149</v>
      </c>
      <c r="AF240" s="77" t="str">
        <f t="shared" si="110"/>
        <v>NonResidential</v>
      </c>
      <c r="AG240" s="77" t="str">
        <f>tbl_Data[[#This Row],[All_Meas_Name_Append]]</f>
        <v>Commercial Duct Sealing</v>
      </c>
      <c r="AH240" s="77">
        <f>AVERAGEIFS('3. Incentive Adjustment'!G:G,'3. Incentive Adjustment'!A:A,tbl_Data[[#This Row],[Trimmed Sector]],'3. Incentive Adjustment'!B:B,tbl_Data[[#This Row],[Trimmed Measure Name]])</f>
        <v>0.69277112909915817</v>
      </c>
      <c r="AI240" s="77">
        <f>$AH240*tbl_Data[[#This Row],[2025 ]]</f>
        <v>24777.796974618548</v>
      </c>
      <c r="AJ240" s="77">
        <f>$AH240*tbl_Data[[#This Row],[2026 ]]</f>
        <v>24437.680989678669</v>
      </c>
      <c r="AK240" s="77">
        <f>$AH240*tbl_Data[[#This Row],[2027 ]]</f>
        <v>23971.078201571065</v>
      </c>
      <c r="AL240" s="77">
        <f>$AH240*tbl_Data[[#This Row],[2028 ]]</f>
        <v>23514.919065402439</v>
      </c>
      <c r="AM240" s="77">
        <f>$AH240*tbl_Data[[#This Row],[2029 ]]</f>
        <v>23034.591079353533</v>
      </c>
      <c r="AN240" s="77">
        <f>$AH240*tbl_Data[[#This Row],[2030 ]]</f>
        <v>22515.17316571208</v>
      </c>
      <c r="AO240" s="77">
        <f>$AH240*tbl_Data[[#This Row],[2031 ]]</f>
        <v>21957.662694027214</v>
      </c>
      <c r="AP240" s="77">
        <f>$AH240*tbl_Data[[#This Row],[2032 ]]</f>
        <v>21409.994616215405</v>
      </c>
      <c r="AQ240" s="77">
        <f>$AH240*tbl_Data[[#This Row],[2033 ]]</f>
        <v>20901.463411899422</v>
      </c>
      <c r="AR240" s="77">
        <f>$AH240*tbl_Data[[#This Row],[2034 ]]</f>
        <v>20380.130499526407</v>
      </c>
      <c r="AS240" s="77">
        <f>SUM(tbl_Data[[#This Row],[Adjusted 2025]:[Adjusted 2034]])</f>
        <v>226900.49069800478</v>
      </c>
      <c r="AT240" s="80">
        <f>AVERAGEIFS('3. Incentive Adjustment'!F:F,'3. Incentive Adjustment'!A:A,tbl_Data[[#This Row],[Trimmed Sector]],'3. Incentive Adjustment'!B:B,tbl_Data[[#This Row],[Trimmed Measure Name]])</f>
        <v>100</v>
      </c>
      <c r="AU240" s="80">
        <f>IFERROR(VLOOKUP(tbl_Data[[#This Row],[All_Meas_Name_Append]],'IRA Tax Credits'!$A$3:$D$46,4,0),0)</f>
        <v>0</v>
      </c>
      <c r="AV240" s="81">
        <f>tbl_Data[[#This Row],[Adj. per unit Incentive ($)]]/tbl_Data[[#This Row],[kWh Savings]]*tbl_Data[[#This Row],[Sum of Annuals]]</f>
        <v>11094.401993858972</v>
      </c>
      <c r="AW240" s="81">
        <f>IFERROR(VLOOKUP(tbl_Data[[#This Row],[Column1]],'1. Set Program Names'!$B$2:$D$15,3,0)*tbl_Data[[#This Row],[Sum of Annuals]],"")</f>
        <v>8077.5882537173557</v>
      </c>
      <c r="AX240" s="81">
        <f>tbl_Data[[#This Row],[per unit IRA tax ($)]]/tbl_Data[[#This Row],[kWh Savings]]*tbl_Data[[#This Row],[Sum of Annuals]]</f>
        <v>0</v>
      </c>
      <c r="AY240" s="81">
        <f>tbl_Data[[#This Row],[Avoided Costs ($/unit)]]/tbl_Data[[#This Row],[kWh Savings]]*tbl_Data[[#This Row],[Sum of Annuals]]</f>
        <v>122885.41641673019</v>
      </c>
      <c r="AZ240" s="81">
        <f>tbl_Data[[#This Row],[Lost Revenue ($/unit)]]/tbl_Data[[#This Row],[kWh Savings]]*tbl_Data[[#This Row],[Sum of Annuals]]</f>
        <v>291203.70465120155</v>
      </c>
      <c r="BA240" s="81">
        <f>tbl_Data[[#This Row],[Incremental Cost ($/unit)]]/tbl_Data[[#This Row],[kWh Savings]]*tbl_Data[[#This Row],[Sum of Annuals]]</f>
        <v>73891.455436425065</v>
      </c>
      <c r="BB240" s="77">
        <f>ROUNDUP(tbl_Data[[#This Row],[Adjusted 2025]]/$L240,0)</f>
        <v>13</v>
      </c>
      <c r="BC240" s="77">
        <f>ROUNDUP(tbl_Data[[#This Row],[Adjusted 2026]]/$L240,0)</f>
        <v>12</v>
      </c>
      <c r="BD240" s="77">
        <f>ROUNDUP(tbl_Data[[#This Row],[Adjusted 2027]]/$L240,0)</f>
        <v>12</v>
      </c>
      <c r="BE240" s="77">
        <f>ROUNDUP(tbl_Data[[#This Row],[Adjusted 2028]]/$L240,0)</f>
        <v>12</v>
      </c>
      <c r="BF240" s="77">
        <f>ROUNDUP(tbl_Data[[#This Row],[Adjusted 2029]]/$L240,0)</f>
        <v>12</v>
      </c>
      <c r="BG240" s="77">
        <f>ROUNDUP(tbl_Data[[#This Row],[Adjusted 2030]]/$L240,0)</f>
        <v>12</v>
      </c>
      <c r="BH240" s="77">
        <f>ROUNDUP(tbl_Data[[#This Row],[Adjusted 2031]]/$L240,0)</f>
        <v>11</v>
      </c>
      <c r="BI240" s="77">
        <f>ROUNDUP(tbl_Data[[#This Row],[Adjusted 2032]]/$L240,0)</f>
        <v>11</v>
      </c>
      <c r="BJ240" s="77">
        <f>ROUNDUP(tbl_Data[[#This Row],[Adjusted 2033]]/$L240,0)</f>
        <v>11</v>
      </c>
      <c r="BK240" s="77">
        <f>ROUNDUP(tbl_Data[[#This Row],[Adjusted 2034]]/$L240,0)</f>
        <v>10</v>
      </c>
      <c r="BL240" s="80">
        <f t="shared" si="111"/>
        <v>1748.8049449999667</v>
      </c>
      <c r="BM240" s="80">
        <f t="shared" si="112"/>
        <v>1724.7997230286317</v>
      </c>
      <c r="BN240" s="80">
        <f t="shared" si="113"/>
        <v>1691.8671235715765</v>
      </c>
      <c r="BO240" s="80">
        <f t="shared" si="114"/>
        <v>1659.6716320250207</v>
      </c>
      <c r="BP240" s="80">
        <f t="shared" si="115"/>
        <v>1625.770314725316</v>
      </c>
      <c r="BQ240" s="80">
        <f t="shared" si="116"/>
        <v>1589.1100492130824</v>
      </c>
      <c r="BR240" s="80">
        <f t="shared" si="117"/>
        <v>1549.7612293494567</v>
      </c>
      <c r="BS240" s="80">
        <f t="shared" si="118"/>
        <v>1511.1070808923917</v>
      </c>
      <c r="BT240" s="80">
        <f t="shared" si="119"/>
        <v>1475.215194067039</v>
      </c>
      <c r="BU240" s="80">
        <f t="shared" si="120"/>
        <v>1438.4197688691052</v>
      </c>
      <c r="BV240" s="80">
        <f>IFERROR(VLOOKUP($H240,'1. Set Program Names'!$B$2:$D$15,3,0)*V240,"NA")</f>
        <v>1273.266129133749</v>
      </c>
      <c r="BW240" s="80">
        <f>IFERROR(VLOOKUP($H240,'1. Set Program Names'!$B$2:$D$15,3,0)*W240,"NA")</f>
        <v>1255.7884589419832</v>
      </c>
      <c r="BX240" s="80">
        <f>IFERROR(VLOOKUP($H240,'1. Set Program Names'!$B$2:$D$15,3,0)*X240,"NA")</f>
        <v>1231.8109630223353</v>
      </c>
      <c r="BY240" s="80">
        <f>IFERROR(VLOOKUP($H240,'1. Set Program Names'!$B$2:$D$15,3,0)*Y240,"NA")</f>
        <v>1208.3701390389367</v>
      </c>
      <c r="BZ240" s="80">
        <f>IFERROR(VLOOKUP($H240,'1. Set Program Names'!$B$2:$D$15,3,0)*Z240,"NA")</f>
        <v>1183.6873411236261</v>
      </c>
      <c r="CA240" s="80">
        <f>IFERROR(VLOOKUP($H240,'1. Set Program Names'!$B$2:$D$15,3,0)*AA240,"NA")</f>
        <v>1156.9958141495999</v>
      </c>
      <c r="CB240" s="80">
        <f>IFERROR(VLOOKUP($H240,'1. Set Program Names'!$B$2:$D$15,3,0)*AB240,"NA")</f>
        <v>1128.3468103273119</v>
      </c>
      <c r="CC240" s="80">
        <f>IFERROR(VLOOKUP($H240,'1. Set Program Names'!$B$2:$D$15,3,0)*AC240,"NA")</f>
        <v>1100.2035813630953</v>
      </c>
      <c r="CD240" s="80">
        <f>IFERROR(VLOOKUP($H240,'1. Set Program Names'!$B$2:$D$15,3,0)*AD240,"NA")</f>
        <v>1074.0714938846804</v>
      </c>
      <c r="CE240" s="80">
        <f>IFERROR(VLOOKUP($H240,'1. Set Program Names'!$B$2:$D$15,3,0)*AE240,"NA")</f>
        <v>1047.2815601384648</v>
      </c>
    </row>
    <row r="241" spans="1:83" x14ac:dyDescent="0.25">
      <c r="A241" s="79" t="s">
        <v>87</v>
      </c>
      <c r="B241" s="79" t="s">
        <v>88</v>
      </c>
      <c r="C241" s="79" t="s">
        <v>122</v>
      </c>
      <c r="D241" s="79" t="s">
        <v>90</v>
      </c>
      <c r="E241" s="79" t="s">
        <v>91</v>
      </c>
      <c r="F241" s="79" t="s">
        <v>90</v>
      </c>
      <c r="G241" s="79" t="s">
        <v>92</v>
      </c>
      <c r="H241" s="79" t="s">
        <v>14</v>
      </c>
      <c r="I241" s="79" t="s">
        <v>303</v>
      </c>
      <c r="J241" s="79" t="s">
        <v>129</v>
      </c>
      <c r="K241" s="79" t="s">
        <v>298</v>
      </c>
      <c r="L241" s="79">
        <v>2407.8671428571402</v>
      </c>
      <c r="M241" s="79">
        <v>0.43509988390469401</v>
      </c>
      <c r="N241" s="79">
        <v>0.148929049658067</v>
      </c>
      <c r="O241" s="79">
        <v>1278.9912095238201</v>
      </c>
      <c r="P241" s="79">
        <v>9094.9443435978392</v>
      </c>
      <c r="Q241" s="79">
        <v>85.719335775001198</v>
      </c>
      <c r="R241" s="79">
        <v>1364.7105452988201</v>
      </c>
      <c r="S241" s="79">
        <v>3090.2526043504499</v>
      </c>
      <c r="T241" s="79">
        <v>20</v>
      </c>
      <c r="U241" s="79">
        <v>0.94999999999999896</v>
      </c>
      <c r="V241" s="79">
        <f>tbl_Data_old[[#This Row],[2025 ]]*IFERROR(AVERAGEIFS('Participation Adjustment'!$C:$C,'Participation Adjustment'!$A:$A,$H241,'Participation Adjustment'!$B:$B,$I241),1)</f>
        <v>28072.250171408199</v>
      </c>
      <c r="W241" s="79">
        <f>tbl_Data_old[[#This Row],[2026 ]]*IFERROR(AVERAGEIFS('Participation Adjustment'!$C:$C,'Participation Adjustment'!$A:$A,$H241,'Participation Adjustment'!$B:$B,$I241),1)</f>
        <v>26666.248252245299</v>
      </c>
      <c r="X241" s="79">
        <f>tbl_Data_old[[#This Row],[2027 ]]*IFERROR(AVERAGEIFS('Participation Adjustment'!$C:$C,'Participation Adjustment'!$A:$A,$H241,'Participation Adjustment'!$B:$B,$I241),1)</f>
        <v>25027.839032100601</v>
      </c>
      <c r="Y241" s="79">
        <f>tbl_Data_old[[#This Row],[2028 ]]*IFERROR(AVERAGEIFS('Participation Adjustment'!$C:$C,'Participation Adjustment'!$A:$A,$H241,'Participation Adjustment'!$B:$B,$I241),1)</f>
        <v>23396.175106937699</v>
      </c>
      <c r="Z241" s="79">
        <f>tbl_Data_old[[#This Row],[2029 ]]*IFERROR(AVERAGEIFS('Participation Adjustment'!$C:$C,'Participation Adjustment'!$A:$A,$H241,'Participation Adjustment'!$B:$B,$I241),1)</f>
        <v>21779.351524101701</v>
      </c>
      <c r="AA241" s="79">
        <f>tbl_Data_old[[#This Row],[2030 ]]*IFERROR(AVERAGEIFS('Participation Adjustment'!$C:$C,'Participation Adjustment'!$A:$A,$H241,'Participation Adjustment'!$B:$B,$I241),1)</f>
        <v>20168.662998845401</v>
      </c>
      <c r="AB241" s="79">
        <f>tbl_Data_old[[#This Row],[2031 ]]*IFERROR(AVERAGEIFS('Participation Adjustment'!$C:$C,'Participation Adjustment'!$A:$A,$H241,'Participation Adjustment'!$B:$B,$I241),1)</f>
        <v>18600.882186385199</v>
      </c>
      <c r="AC241" s="79">
        <f>tbl_Data_old[[#This Row],[2032 ]]*IFERROR(AVERAGEIFS('Participation Adjustment'!$C:$C,'Participation Adjustment'!$A:$A,$H241,'Participation Adjustment'!$B:$B,$I241),1)</f>
        <v>17125.229149766801</v>
      </c>
      <c r="AD241" s="79">
        <f>tbl_Data_old[[#This Row],[2033 ]]*IFERROR(AVERAGEIFS('Participation Adjustment'!$C:$C,'Participation Adjustment'!$A:$A,$H241,'Participation Adjustment'!$B:$B,$I241),1)</f>
        <v>15757.4195998343</v>
      </c>
      <c r="AE241" s="79">
        <f>tbl_Data_old[[#This Row],[2034 ]]*IFERROR(AVERAGEIFS('Participation Adjustment'!$C:$C,'Participation Adjustment'!$A:$A,$H241,'Participation Adjustment'!$B:$B,$I241),1)</f>
        <v>14473.2402706666</v>
      </c>
      <c r="AF241" s="77" t="str">
        <f t="shared" si="110"/>
        <v>NonResidential</v>
      </c>
      <c r="AG241" s="77" t="str">
        <f>tbl_Data[[#This Row],[All_Meas_Name_Append]]</f>
        <v>Energy Star windows</v>
      </c>
      <c r="AH241" s="77">
        <f>AVERAGEIFS('3. Incentive Adjustment'!G:G,'3. Incentive Adjustment'!A:A,tbl_Data[[#This Row],[Trimmed Sector]],'3. Incentive Adjustment'!B:B,tbl_Data[[#This Row],[Trimmed Measure Name]])</f>
        <v>1.8374525511831319E-4</v>
      </c>
      <c r="AI241" s="77">
        <f>$AH241*tbl_Data[[#This Row],[2025 ]]</f>
        <v>5.1581427694905111</v>
      </c>
      <c r="AJ241" s="77">
        <f>$AH241*tbl_Data[[#This Row],[2026 ]]</f>
        <v>4.899796588157086</v>
      </c>
      <c r="AK241" s="77">
        <f>$AH241*tbl_Data[[#This Row],[2027 ]]</f>
        <v>4.5987466680134013</v>
      </c>
      <c r="AL241" s="77">
        <f>$AH241*tbl_Data[[#This Row],[2028 ]]</f>
        <v>4.2989361638169958</v>
      </c>
      <c r="AM241" s="77">
        <f>$AH241*tbl_Data[[#This Row],[2029 ]]</f>
        <v>4.0018525021074902</v>
      </c>
      <c r="AN241" s="77">
        <f>$AH241*tbl_Data[[#This Row],[2030 ]]</f>
        <v>3.7058961281181317</v>
      </c>
      <c r="AO241" s="77">
        <f>$AH241*tbl_Data[[#This Row],[2031 ]]</f>
        <v>3.4178238427630356</v>
      </c>
      <c r="AP241" s="77">
        <f>$AH241*tbl_Data[[#This Row],[2032 ]]</f>
        <v>3.1466795990834746</v>
      </c>
      <c r="AQ241" s="77">
        <f>$AH241*tbl_Data[[#This Row],[2033 ]]</f>
        <v>2.8953510843778623</v>
      </c>
      <c r="AR241" s="77">
        <f>$AH241*tbl_Data[[#This Row],[2034 ]]</f>
        <v>2.6593892259222787</v>
      </c>
      <c r="AS241" s="77">
        <f>SUM(tbl_Data[[#This Row],[Adjusted 2025]:[Adjusted 2034]])</f>
        <v>38.782614571850267</v>
      </c>
      <c r="AT241" s="80">
        <f>AVERAGEIFS('3. Incentive Adjustment'!F:F,'3. Incentive Adjustment'!A:A,tbl_Data[[#This Row],[Trimmed Sector]],'3. Incentive Adjustment'!B:B,tbl_Data[[#This Row],[Trimmed Measure Name]])</f>
        <v>1244.9532966663394</v>
      </c>
      <c r="AU241" s="80">
        <f>IFERROR(VLOOKUP(tbl_Data[[#This Row],[All_Meas_Name_Append]],'IRA Tax Credits'!$A$3:$D$46,4,0),0)</f>
        <v>250</v>
      </c>
      <c r="AV241" s="81">
        <f>tbl_Data[[#This Row],[Adj. per unit Incentive ($)]]/tbl_Data[[#This Row],[kWh Savings]]*tbl_Data[[#This Row],[Sum of Annuals]]</f>
        <v>20.051996642669263</v>
      </c>
      <c r="AW241" s="81">
        <f>IFERROR(VLOOKUP(tbl_Data[[#This Row],[Column1]],'1. Set Program Names'!$B$2:$D$15,3,0)*tbl_Data[[#This Row],[Sum of Annuals]],"")</f>
        <v>1.3806492482688137</v>
      </c>
      <c r="AX241" s="81">
        <f>tbl_Data[[#This Row],[per unit IRA tax ($)]]/tbl_Data[[#This Row],[kWh Savings]]*tbl_Data[[#This Row],[Sum of Annuals]]</f>
        <v>4.0266564007588244</v>
      </c>
      <c r="AY241" s="81">
        <f>tbl_Data[[#This Row],[Avoided Costs ($/unit)]]/tbl_Data[[#This Row],[kWh Savings]]*tbl_Data[[#This Row],[Sum of Annuals]]</f>
        <v>21.980881809642238</v>
      </c>
      <c r="AZ241" s="81">
        <f>tbl_Data[[#This Row],[Lost Revenue ($/unit)]]/tbl_Data[[#This Row],[kWh Savings]]*tbl_Data[[#This Row],[Sum of Annuals]]</f>
        <v>49.773541717077471</v>
      </c>
      <c r="BA241" s="81">
        <f>tbl_Data[[#This Row],[Incremental Cost ($/unit)]]/tbl_Data[[#This Row],[kWh Savings]]*tbl_Data[[#This Row],[Sum of Annuals]]</f>
        <v>20.600232561373446</v>
      </c>
      <c r="BB241" s="77">
        <f>ROUNDUP(tbl_Data[[#This Row],[Adjusted 2025]]/$L241,0)</f>
        <v>1</v>
      </c>
      <c r="BC241" s="77">
        <f>ROUNDUP(tbl_Data[[#This Row],[Adjusted 2026]]/$L241,0)</f>
        <v>1</v>
      </c>
      <c r="BD241" s="77">
        <f>ROUNDUP(tbl_Data[[#This Row],[Adjusted 2027]]/$L241,0)</f>
        <v>1</v>
      </c>
      <c r="BE241" s="77">
        <f>ROUNDUP(tbl_Data[[#This Row],[Adjusted 2028]]/$L241,0)</f>
        <v>1</v>
      </c>
      <c r="BF241" s="77">
        <f>ROUNDUP(tbl_Data[[#This Row],[Adjusted 2029]]/$L241,0)</f>
        <v>1</v>
      </c>
      <c r="BG241" s="77">
        <f>ROUNDUP(tbl_Data[[#This Row],[Adjusted 2030]]/$L241,0)</f>
        <v>1</v>
      </c>
      <c r="BH241" s="77">
        <f>ROUNDUP(tbl_Data[[#This Row],[Adjusted 2031]]/$L241,0)</f>
        <v>1</v>
      </c>
      <c r="BI241" s="77">
        <f>ROUNDUP(tbl_Data[[#This Row],[Adjusted 2032]]/$L241,0)</f>
        <v>1</v>
      </c>
      <c r="BJ241" s="77">
        <f>ROUNDUP(tbl_Data[[#This Row],[Adjusted 2033]]/$L241,0)</f>
        <v>1</v>
      </c>
      <c r="BK241" s="77">
        <f>ROUNDUP(tbl_Data[[#This Row],[Adjusted 2034]]/$L241,0)</f>
        <v>1</v>
      </c>
      <c r="BL241" s="80">
        <f t="shared" si="111"/>
        <v>14514.355785538608</v>
      </c>
      <c r="BM241" s="80">
        <f t="shared" si="112"/>
        <v>13787.402585660626</v>
      </c>
      <c r="BN241" s="80">
        <f t="shared" si="113"/>
        <v>12940.286512019064</v>
      </c>
      <c r="BO241" s="80">
        <f t="shared" si="114"/>
        <v>12096.657996754417</v>
      </c>
      <c r="BP241" s="80">
        <f t="shared" si="115"/>
        <v>11260.702468414462</v>
      </c>
      <c r="BQ241" s="80">
        <f t="shared" si="116"/>
        <v>10427.918983923248</v>
      </c>
      <c r="BR241" s="80">
        <f t="shared" si="117"/>
        <v>9617.320319161965</v>
      </c>
      <c r="BS241" s="80">
        <f t="shared" si="118"/>
        <v>8854.3550043506712</v>
      </c>
      <c r="BT241" s="80">
        <f t="shared" si="119"/>
        <v>8147.1486231964436</v>
      </c>
      <c r="BU241" s="80">
        <f t="shared" si="120"/>
        <v>7483.1820525736757</v>
      </c>
      <c r="BV241" s="80">
        <f>IFERROR(VLOOKUP($H241,'1. Set Program Names'!$B$2:$D$15,3,0)*V241,"NA")</f>
        <v>999.36354276899704</v>
      </c>
      <c r="BW241" s="80">
        <f>IFERROR(VLOOKUP($H241,'1. Set Program Names'!$B$2:$D$15,3,0)*W241,"NA")</f>
        <v>949.31030334233515</v>
      </c>
      <c r="BX241" s="80">
        <f>IFERROR(VLOOKUP($H241,'1. Set Program Names'!$B$2:$D$15,3,0)*X241,"NA")</f>
        <v>890.98343489568435</v>
      </c>
      <c r="BY241" s="80">
        <f>IFERROR(VLOOKUP($H241,'1. Set Program Names'!$B$2:$D$15,3,0)*Y241,"NA")</f>
        <v>832.896696892759</v>
      </c>
      <c r="BZ241" s="80">
        <f>IFERROR(VLOOKUP($H241,'1. Set Program Names'!$B$2:$D$15,3,0)*Z241,"NA")</f>
        <v>775.3382705496814</v>
      </c>
      <c r="CA241" s="80">
        <f>IFERROR(VLOOKUP($H241,'1. Set Program Names'!$B$2:$D$15,3,0)*AA241,"NA")</f>
        <v>717.9982503849651</v>
      </c>
      <c r="CB241" s="80">
        <f>IFERROR(VLOOKUP($H241,'1. Set Program Names'!$B$2:$D$15,3,0)*AB241,"NA")</f>
        <v>662.18573170695527</v>
      </c>
      <c r="CC241" s="80">
        <f>IFERROR(VLOOKUP($H241,'1. Set Program Names'!$B$2:$D$15,3,0)*AC241,"NA")</f>
        <v>609.65293374568614</v>
      </c>
      <c r="CD241" s="80">
        <f>IFERROR(VLOOKUP($H241,'1. Set Program Names'!$B$2:$D$15,3,0)*AD241,"NA")</f>
        <v>560.95933101318951</v>
      </c>
      <c r="CE241" s="80">
        <f>IFERROR(VLOOKUP($H241,'1. Set Program Names'!$B$2:$D$15,3,0)*AE241,"NA")</f>
        <v>515.24293862883906</v>
      </c>
    </row>
    <row r="242" spans="1:83" x14ac:dyDescent="0.25">
      <c r="A242" s="79" t="s">
        <v>87</v>
      </c>
      <c r="B242" s="79" t="s">
        <v>88</v>
      </c>
      <c r="C242" s="79" t="s">
        <v>122</v>
      </c>
      <c r="D242" s="79" t="s">
        <v>90</v>
      </c>
      <c r="E242" s="79" t="s">
        <v>91</v>
      </c>
      <c r="F242" s="79" t="s">
        <v>90</v>
      </c>
      <c r="G242" s="79" t="s">
        <v>92</v>
      </c>
      <c r="H242" s="79" t="s">
        <v>14</v>
      </c>
      <c r="I242" s="79" t="s">
        <v>143</v>
      </c>
      <c r="J242" s="79" t="s">
        <v>144</v>
      </c>
      <c r="K242" s="79" t="s">
        <v>108</v>
      </c>
      <c r="L242" s="79">
        <v>6670.6049999999896</v>
      </c>
      <c r="M242" s="79">
        <v>1.04667148638823</v>
      </c>
      <c r="N242" s="79">
        <v>1.5598507965563999</v>
      </c>
      <c r="O242" s="79">
        <v>2431.625</v>
      </c>
      <c r="P242" s="79">
        <v>977.24379425036398</v>
      </c>
      <c r="Q242" s="79">
        <v>237.47150315731801</v>
      </c>
      <c r="R242" s="79">
        <v>3400.8076679878</v>
      </c>
      <c r="S242" s="79">
        <v>7245.0779694633802</v>
      </c>
      <c r="T242" s="79">
        <v>15</v>
      </c>
      <c r="U242" s="79">
        <v>0.95</v>
      </c>
      <c r="V242" s="79">
        <f>tbl_Data_old[[#This Row],[2025 ]]*IFERROR(AVERAGEIFS('Participation Adjustment'!$C:$C,'Participation Adjustment'!$A:$A,$H242,'Participation Adjustment'!$B:$B,$I242),1)</f>
        <v>32164.032906833199</v>
      </c>
      <c r="W242" s="79">
        <f>tbl_Data_old[[#This Row],[2026 ]]*IFERROR(AVERAGEIFS('Participation Adjustment'!$C:$C,'Participation Adjustment'!$A:$A,$H242,'Participation Adjustment'!$B:$B,$I242),1)</f>
        <v>35369.893567558502</v>
      </c>
      <c r="X242" s="79">
        <f>tbl_Data_old[[#This Row],[2027 ]]*IFERROR(AVERAGEIFS('Participation Adjustment'!$C:$C,'Participation Adjustment'!$A:$A,$H242,'Participation Adjustment'!$B:$B,$I242),1)</f>
        <v>37989.296855553403</v>
      </c>
      <c r="Y242" s="79">
        <f>tbl_Data_old[[#This Row],[2028 ]]*IFERROR(AVERAGEIFS('Participation Adjustment'!$C:$C,'Participation Adjustment'!$A:$A,$H242,'Participation Adjustment'!$B:$B,$I242),1)</f>
        <v>40268.318598324797</v>
      </c>
      <c r="Z242" s="79">
        <f>tbl_Data_old[[#This Row],[2029 ]]*IFERROR(AVERAGEIFS('Participation Adjustment'!$C:$C,'Participation Adjustment'!$A:$A,$H242,'Participation Adjustment'!$B:$B,$I242),1)</f>
        <v>42218.429291911103</v>
      </c>
      <c r="AA242" s="79">
        <f>tbl_Data_old[[#This Row],[2030 ]]*IFERROR(AVERAGEIFS('Participation Adjustment'!$C:$C,'Participation Adjustment'!$A:$A,$H242,'Participation Adjustment'!$B:$B,$I242),1)</f>
        <v>43824.002793888998</v>
      </c>
      <c r="AB242" s="79">
        <f>tbl_Data_old[[#This Row],[2031 ]]*IFERROR(AVERAGEIFS('Participation Adjustment'!$C:$C,'Participation Adjustment'!$A:$A,$H242,'Participation Adjustment'!$B:$B,$I242),1)</f>
        <v>45144.834967372197</v>
      </c>
      <c r="AC242" s="79">
        <f>tbl_Data_old[[#This Row],[2032 ]]*IFERROR(AVERAGEIFS('Participation Adjustment'!$C:$C,'Participation Adjustment'!$A:$A,$H242,'Participation Adjustment'!$B:$B,$I242),1)</f>
        <v>46307.185275902099</v>
      </c>
      <c r="AD242" s="79">
        <f>tbl_Data_old[[#This Row],[2033 ]]*IFERROR(AVERAGEIFS('Participation Adjustment'!$C:$C,'Participation Adjustment'!$A:$A,$H242,'Participation Adjustment'!$B:$B,$I242),1)</f>
        <v>47348.510058314103</v>
      </c>
      <c r="AE242" s="79">
        <f>tbl_Data_old[[#This Row],[2034 ]]*IFERROR(AVERAGEIFS('Participation Adjustment'!$C:$C,'Participation Adjustment'!$A:$A,$H242,'Participation Adjustment'!$B:$B,$I242),1)</f>
        <v>48242.5655914741</v>
      </c>
      <c r="AF242" s="77" t="str">
        <f t="shared" si="110"/>
        <v>NonResidential</v>
      </c>
      <c r="AG242" s="77" t="str">
        <f>tbl_Data[[#This Row],[All_Meas_Name_Append]]</f>
        <v>Heat Pump Water Heater</v>
      </c>
      <c r="AH242" s="77">
        <f>AVERAGEIFS('3. Incentive Adjustment'!G:G,'3. Incentive Adjustment'!A:A,tbl_Data[[#This Row],[Trimmed Sector]],'3. Incentive Adjustment'!B:B,tbl_Data[[#This Row],[Trimmed Measure Name]])</f>
        <v>0.82797588322898052</v>
      </c>
      <c r="AI242" s="77">
        <f>$AH242*tbl_Data[[#This Row],[2025 ]]</f>
        <v>26631.043554241212</v>
      </c>
      <c r="AJ242" s="77">
        <f>$AH242*tbl_Data[[#This Row],[2026 ]]</f>
        <v>29285.418866314289</v>
      </c>
      <c r="AK242" s="77">
        <f>$AH242*tbl_Data[[#This Row],[2027 ]]</f>
        <v>31454.221617224761</v>
      </c>
      <c r="AL242" s="77">
        <f>$AH242*tbl_Data[[#This Row],[2028 ]]</f>
        <v>33341.196657593959</v>
      </c>
      <c r="AM242" s="77">
        <f>$AH242*tbl_Data[[#This Row],[2029 ]]</f>
        <v>34955.841281510358</v>
      </c>
      <c r="AN242" s="77">
        <f>$AH242*tbl_Data[[#This Row],[2030 ]]</f>
        <v>36285.217419899556</v>
      </c>
      <c r="AO242" s="77">
        <f>$AH242*tbl_Data[[#This Row],[2031 ]]</f>
        <v>37378.83460533656</v>
      </c>
      <c r="AP242" s="77">
        <f>$AH242*tbl_Data[[#This Row],[2032 ]]</f>
        <v>38341.232628663085</v>
      </c>
      <c r="AQ242" s="77">
        <f>$AH242*tbl_Data[[#This Row],[2033 ]]</f>
        <v>39203.424435108886</v>
      </c>
      <c r="AR242" s="77">
        <f>$AH242*tbl_Data[[#This Row],[2034 ]]</f>
        <v>39943.68085483279</v>
      </c>
      <c r="AS242" s="77">
        <f>SUM(tbl_Data[[#This Row],[Adjusted 2025]:[Adjusted 2034]])</f>
        <v>346820.1119207255</v>
      </c>
      <c r="AT242" s="80">
        <f>AVERAGEIFS('3. Incentive Adjustment'!F:F,'3. Incentive Adjustment'!A:A,tbl_Data[[#This Row],[Trimmed Sector]],'3. Incentive Adjustment'!B:B,tbl_Data[[#This Row],[Trimmed Measure Name]])</f>
        <v>500</v>
      </c>
      <c r="AU242" s="80">
        <f>IFERROR(VLOOKUP(tbl_Data[[#This Row],[All_Meas_Name_Append]],'IRA Tax Credits'!$A$3:$D$46,4,0),0)</f>
        <v>0</v>
      </c>
      <c r="AV242" s="81">
        <f>tbl_Data[[#This Row],[Adj. per unit Incentive ($)]]/tbl_Data[[#This Row],[kWh Savings]]*tbl_Data[[#This Row],[Sum of Annuals]]</f>
        <v>25996.151167752105</v>
      </c>
      <c r="AW242" s="81">
        <f>IFERROR(VLOOKUP(tbl_Data[[#This Row],[Column1]],'1. Set Program Names'!$B$2:$D$15,3,0)*tbl_Data[[#This Row],[Sum of Annuals]],"")</f>
        <v>12346.690188221904</v>
      </c>
      <c r="AX242" s="81">
        <f>tbl_Data[[#This Row],[per unit IRA tax ($)]]/tbl_Data[[#This Row],[kWh Savings]]*tbl_Data[[#This Row],[Sum of Annuals]]</f>
        <v>0</v>
      </c>
      <c r="AY242" s="81">
        <f>tbl_Data[[#This Row],[Avoided Costs ($/unit)]]/tbl_Data[[#This Row],[kWh Savings]]*tbl_Data[[#This Row],[Sum of Annuals]]</f>
        <v>176815.82045892271</v>
      </c>
      <c r="AZ242" s="81">
        <f>tbl_Data[[#This Row],[Lost Revenue ($/unit)]]/tbl_Data[[#This Row],[kWh Savings]]*tbl_Data[[#This Row],[Sum of Annuals]]</f>
        <v>376688.28423264099</v>
      </c>
      <c r="BA242" s="81">
        <f>tbl_Data[[#This Row],[Incremental Cost ($/unit)]]/tbl_Data[[#This Row],[kWh Savings]]*tbl_Data[[#This Row],[Sum of Annuals]]</f>
        <v>126425.78216657043</v>
      </c>
      <c r="BB242" s="77">
        <f>ROUNDUP(tbl_Data[[#This Row],[Adjusted 2025]]/$L242,0)</f>
        <v>4</v>
      </c>
      <c r="BC242" s="77">
        <f>ROUNDUP(tbl_Data[[#This Row],[Adjusted 2026]]/$L242,0)</f>
        <v>5</v>
      </c>
      <c r="BD242" s="77">
        <f>ROUNDUP(tbl_Data[[#This Row],[Adjusted 2027]]/$L242,0)</f>
        <v>5</v>
      </c>
      <c r="BE242" s="77">
        <f>ROUNDUP(tbl_Data[[#This Row],[Adjusted 2028]]/$L242,0)</f>
        <v>5</v>
      </c>
      <c r="BF242" s="77">
        <f>ROUNDUP(tbl_Data[[#This Row],[Adjusted 2029]]/$L242,0)</f>
        <v>6</v>
      </c>
      <c r="BG242" s="77">
        <f>ROUNDUP(tbl_Data[[#This Row],[Adjusted 2030]]/$L242,0)</f>
        <v>6</v>
      </c>
      <c r="BH242" s="77">
        <f>ROUNDUP(tbl_Data[[#This Row],[Adjusted 2031]]/$L242,0)</f>
        <v>6</v>
      </c>
      <c r="BI242" s="77">
        <f>ROUNDUP(tbl_Data[[#This Row],[Adjusted 2032]]/$L242,0)</f>
        <v>6</v>
      </c>
      <c r="BJ242" s="77">
        <f>ROUNDUP(tbl_Data[[#This Row],[Adjusted 2033]]/$L242,0)</f>
        <v>6</v>
      </c>
      <c r="BK242" s="77">
        <f>ROUNDUP(tbl_Data[[#This Row],[Adjusted 2034]]/$L242,0)</f>
        <v>6</v>
      </c>
      <c r="BL242" s="80">
        <f t="shared" si="111"/>
        <v>2410.878241691215</v>
      </c>
      <c r="BM242" s="80">
        <f t="shared" si="112"/>
        <v>2651.1758354421045</v>
      </c>
      <c r="BN242" s="80">
        <f t="shared" si="113"/>
        <v>2847.5150946243607</v>
      </c>
      <c r="BO242" s="80">
        <f t="shared" si="114"/>
        <v>3018.3408100408328</v>
      </c>
      <c r="BP242" s="80">
        <f t="shared" si="115"/>
        <v>3164.5127609797892</v>
      </c>
      <c r="BQ242" s="80">
        <f t="shared" si="116"/>
        <v>3284.859678686496</v>
      </c>
      <c r="BR242" s="80">
        <f t="shared" si="117"/>
        <v>3383.863605128191</v>
      </c>
      <c r="BS242" s="80">
        <f t="shared" si="118"/>
        <v>3470.9884092898751</v>
      </c>
      <c r="BT242" s="80">
        <f t="shared" si="119"/>
        <v>3549.0416580140918</v>
      </c>
      <c r="BU242" s="80">
        <f t="shared" si="120"/>
        <v>3616.0562341402451</v>
      </c>
      <c r="BV242" s="80">
        <f>IFERROR(VLOOKUP($H242,'1. Set Program Names'!$B$2:$D$15,3,0)*V242,"NA")</f>
        <v>1145.0297599673677</v>
      </c>
      <c r="BW242" s="80">
        <f>IFERROR(VLOOKUP($H242,'1. Set Program Names'!$B$2:$D$15,3,0)*W242,"NA")</f>
        <v>1259.1574215535882</v>
      </c>
      <c r="BX242" s="80">
        <f>IFERROR(VLOOKUP($H242,'1. Set Program Names'!$B$2:$D$15,3,0)*X242,"NA")</f>
        <v>1352.4073795671973</v>
      </c>
      <c r="BY242" s="80">
        <f>IFERROR(VLOOKUP($H242,'1. Set Program Names'!$B$2:$D$15,3,0)*Y242,"NA")</f>
        <v>1433.5398584029451</v>
      </c>
      <c r="BZ242" s="80">
        <f>IFERROR(VLOOKUP($H242,'1. Set Program Names'!$B$2:$D$15,3,0)*Z242,"NA")</f>
        <v>1502.9632042207681</v>
      </c>
      <c r="CA242" s="80">
        <f>IFERROR(VLOOKUP($H242,'1. Set Program Names'!$B$2:$D$15,3,0)*AA242,"NA")</f>
        <v>1560.1211311170916</v>
      </c>
      <c r="CB242" s="80">
        <f>IFERROR(VLOOKUP($H242,'1. Set Program Names'!$B$2:$D$15,3,0)*AB242,"NA")</f>
        <v>1607.1423535782633</v>
      </c>
      <c r="CC242" s="80">
        <f>IFERROR(VLOOKUP($H242,'1. Set Program Names'!$B$2:$D$15,3,0)*AC242,"NA")</f>
        <v>1648.5216699913874</v>
      </c>
      <c r="CD242" s="80">
        <f>IFERROR(VLOOKUP($H242,'1. Set Program Names'!$B$2:$D$15,3,0)*AD242,"NA")</f>
        <v>1685.5925145930908</v>
      </c>
      <c r="CE242" s="80">
        <f>IFERROR(VLOOKUP($H242,'1. Set Program Names'!$B$2:$D$15,3,0)*AE242,"NA")</f>
        <v>1717.420618845347</v>
      </c>
    </row>
    <row r="243" spans="1:83" x14ac:dyDescent="0.25">
      <c r="A243" s="79" t="s">
        <v>87</v>
      </c>
      <c r="B243" s="79" t="s">
        <v>88</v>
      </c>
      <c r="C243" s="79" t="s">
        <v>122</v>
      </c>
      <c r="D243" s="79" t="s">
        <v>90</v>
      </c>
      <c r="E243" s="79" t="s">
        <v>91</v>
      </c>
      <c r="F243" s="79" t="s">
        <v>90</v>
      </c>
      <c r="G243" s="79" t="s">
        <v>92</v>
      </c>
      <c r="H243" s="79" t="s">
        <v>14</v>
      </c>
      <c r="I243" s="79" t="s">
        <v>157</v>
      </c>
      <c r="J243" s="79" t="s">
        <v>158</v>
      </c>
      <c r="K243" s="79" t="s">
        <v>159</v>
      </c>
      <c r="L243" s="79">
        <v>562.52000000000032</v>
      </c>
      <c r="M243" s="79">
        <v>0</v>
      </c>
      <c r="N243" s="79">
        <v>2.7796637938074218E-2</v>
      </c>
      <c r="O243" s="79">
        <v>169</v>
      </c>
      <c r="P243" s="79">
        <v>53.285725702774094</v>
      </c>
      <c r="Q243" s="79"/>
      <c r="R243" s="79">
        <v>275.37363005821356</v>
      </c>
      <c r="S243" s="79">
        <v>610.96426176974103</v>
      </c>
      <c r="T243" s="79">
        <v>15</v>
      </c>
      <c r="U243" s="79">
        <v>0.2</v>
      </c>
      <c r="V243" s="79">
        <f>tbl_Data_old[[#This Row],[2025 ]]*IFERROR(AVERAGEIFS('Participation Adjustment'!$C:$C,'Participation Adjustment'!$A:$A,$H243,'Participation Adjustment'!$B:$B,$I243),1)</f>
        <v>752.72160924350703</v>
      </c>
      <c r="W243" s="79">
        <f>tbl_Data_old[[#This Row],[2026 ]]*IFERROR(AVERAGEIFS('Participation Adjustment'!$C:$C,'Participation Adjustment'!$A:$A,$H243,'Participation Adjustment'!$B:$B,$I243),1)</f>
        <v>819.87163170306803</v>
      </c>
      <c r="X243" s="79">
        <f>tbl_Data_old[[#This Row],[2027 ]]*IFERROR(AVERAGEIFS('Participation Adjustment'!$C:$C,'Participation Adjustment'!$A:$A,$H243,'Participation Adjustment'!$B:$B,$I243),1)</f>
        <v>872.89791748018706</v>
      </c>
      <c r="Y243" s="79">
        <f>tbl_Data_old[[#This Row],[2028 ]]*IFERROR(AVERAGEIFS('Participation Adjustment'!$C:$C,'Participation Adjustment'!$A:$A,$H243,'Participation Adjustment'!$B:$B,$I243),1)</f>
        <v>917.29848761291601</v>
      </c>
      <c r="Z243" s="79">
        <f>tbl_Data_old[[#This Row],[2029 ]]*IFERROR(AVERAGEIFS('Participation Adjustment'!$C:$C,'Participation Adjustment'!$A:$A,$H243,'Participation Adjustment'!$B:$B,$I243),1)</f>
        <v>953.27327719592006</v>
      </c>
      <c r="AA243" s="79">
        <f>tbl_Data_old[[#This Row],[2030 ]]*IFERROR(AVERAGEIFS('Participation Adjustment'!$C:$C,'Participation Adjustment'!$A:$A,$H243,'Participation Adjustment'!$B:$B,$I243),1)</f>
        <v>980.91295535866811</v>
      </c>
      <c r="AB243" s="79">
        <f>tbl_Data_old[[#This Row],[2031 ]]*IFERROR(AVERAGEIFS('Participation Adjustment'!$C:$C,'Participation Adjustment'!$A:$A,$H243,'Participation Adjustment'!$B:$B,$I243),1)</f>
        <v>1001.4674838805701</v>
      </c>
      <c r="AC243" s="79">
        <f>tbl_Data_old[[#This Row],[2032 ]]*IFERROR(AVERAGEIFS('Participation Adjustment'!$C:$C,'Participation Adjustment'!$A:$A,$H243,'Participation Adjustment'!$B:$B,$I243),1)</f>
        <v>1017.93254223509</v>
      </c>
      <c r="AD243" s="79">
        <f>tbl_Data_old[[#This Row],[2033 ]]*IFERROR(AVERAGEIFS('Participation Adjustment'!$C:$C,'Participation Adjustment'!$A:$A,$H243,'Participation Adjustment'!$B:$B,$I243),1)</f>
        <v>1031.5823554538299</v>
      </c>
      <c r="AE243" s="79">
        <f>tbl_Data_old[[#This Row],[2034 ]]*IFERROR(AVERAGEIFS('Participation Adjustment'!$C:$C,'Participation Adjustment'!$A:$A,$H243,'Participation Adjustment'!$B:$B,$I243),1)</f>
        <v>1041.56643509686</v>
      </c>
      <c r="AF243" s="77" t="str">
        <f t="shared" si="110"/>
        <v>NonResidential</v>
      </c>
      <c r="AG243" s="77" t="str">
        <f>tbl_Data[[#This Row],[All_Meas_Name_Append]]</f>
        <v>LED Exterior Wall Packs</v>
      </c>
      <c r="AH243" s="77">
        <f>AVERAGEIFS('3. Incentive Adjustment'!G:G,'3. Incentive Adjustment'!A:A,tbl_Data[[#This Row],[Trimmed Sector]],'3. Incentive Adjustment'!B:B,tbl_Data[[#This Row],[Trimmed Measure Name]])</f>
        <v>0.80637708305213962</v>
      </c>
      <c r="AI243" s="77">
        <f>$AH243*tbl_Data[[#This Row],[2025 ]]</f>
        <v>606.9774556120916</v>
      </c>
      <c r="AJ243" s="77">
        <f>$AH243*tbl_Data[[#This Row],[2026 ]]</f>
        <v>661.12569484991809</v>
      </c>
      <c r="AK243" s="77">
        <f>$AH243*tbl_Data[[#This Row],[2027 ]]</f>
        <v>703.88487649996057</v>
      </c>
      <c r="AL243" s="77">
        <f>$AH243*tbl_Data[[#This Row],[2028 ]]</f>
        <v>739.68847872944241</v>
      </c>
      <c r="AM243" s="77">
        <f>$AH243*tbl_Data[[#This Row],[2029 ]]</f>
        <v>768.69772461679975</v>
      </c>
      <c r="AN243" s="77">
        <f>$AH243*tbl_Data[[#This Row],[2030 ]]</f>
        <v>790.9857276701764</v>
      </c>
      <c r="AO243" s="77">
        <f>$AH243*tbl_Data[[#This Row],[2031 ]]</f>
        <v>807.5604284231797</v>
      </c>
      <c r="AP243" s="77">
        <f>$AH243*tbl_Data[[#This Row],[2032 ]]</f>
        <v>820.83747415138077</v>
      </c>
      <c r="AQ243" s="77">
        <f>$AH243*tbl_Data[[#This Row],[2033 ]]</f>
        <v>831.84437071891477</v>
      </c>
      <c r="AR243" s="77">
        <f>$AH243*tbl_Data[[#This Row],[2034 ]]</f>
        <v>839.89530373842172</v>
      </c>
      <c r="AS243" s="77">
        <f>SUM(tbl_Data[[#This Row],[Adjusted 2025]:[Adjusted 2034]])</f>
        <v>7571.4975350102859</v>
      </c>
      <c r="AT243" s="80">
        <f>AVERAGEIFS('3. Incentive Adjustment'!F:F,'3. Incentive Adjustment'!A:A,tbl_Data[[#This Row],[Trimmed Sector]],'3. Incentive Adjustment'!B:B,tbl_Data[[#This Row],[Trimmed Measure Name]])</f>
        <v>8.6864493556481861</v>
      </c>
      <c r="AU243" s="80">
        <f>IFERROR(VLOOKUP(tbl_Data[[#This Row],[All_Meas_Name_Append]],'IRA Tax Credits'!$A$3:$D$46,4,0),0)</f>
        <v>0</v>
      </c>
      <c r="AV243" s="81">
        <f>tbl_Data[[#This Row],[Adj. per unit Incentive ($)]]/tbl_Data[[#This Row],[kWh Savings]]*tbl_Data[[#This Row],[Sum of Annuals]]</f>
        <v>116.91927377565578</v>
      </c>
      <c r="AW243" s="81">
        <f>IFERROR(VLOOKUP(tbl_Data[[#This Row],[Column1]],'1. Set Program Names'!$B$2:$D$15,3,0)*tbl_Data[[#This Row],[Sum of Annuals]],"")</f>
        <v>269.54300258984324</v>
      </c>
      <c r="AX243" s="81">
        <f>tbl_Data[[#This Row],[per unit IRA tax ($)]]/tbl_Data[[#This Row],[kWh Savings]]*tbl_Data[[#This Row],[Sum of Annuals]]</f>
        <v>0</v>
      </c>
      <c r="AY243" s="81">
        <f>tbl_Data[[#This Row],[Avoided Costs ($/unit)]]/tbl_Data[[#This Row],[kWh Savings]]*tbl_Data[[#This Row],[Sum of Annuals]]</f>
        <v>3706.5184547973358</v>
      </c>
      <c r="AZ243" s="81">
        <f>tbl_Data[[#This Row],[Lost Revenue ($/unit)]]/tbl_Data[[#This Row],[kWh Savings]]*tbl_Data[[#This Row],[Sum of Annuals]]</f>
        <v>8223.5554326405654</v>
      </c>
      <c r="BA243" s="81">
        <f>tbl_Data[[#This Row],[Incremental Cost ($/unit)]]/tbl_Data[[#This Row],[kWh Savings]]*tbl_Data[[#This Row],[Sum of Annuals]]</f>
        <v>2274.7334911056278</v>
      </c>
      <c r="BB243" s="77">
        <f>ROUNDUP(tbl_Data[[#This Row],[Adjusted 2025]]/$L243,0)</f>
        <v>2</v>
      </c>
      <c r="BC243" s="77">
        <f>ROUNDUP(tbl_Data[[#This Row],[Adjusted 2026]]/$L243,0)</f>
        <v>2</v>
      </c>
      <c r="BD243" s="77">
        <f>ROUNDUP(tbl_Data[[#This Row],[Adjusted 2027]]/$L243,0)</f>
        <v>2</v>
      </c>
      <c r="BE243" s="77">
        <f>ROUNDUP(tbl_Data[[#This Row],[Adjusted 2028]]/$L243,0)</f>
        <v>2</v>
      </c>
      <c r="BF243" s="77">
        <f>ROUNDUP(tbl_Data[[#This Row],[Adjusted 2029]]/$L243,0)</f>
        <v>2</v>
      </c>
      <c r="BG243" s="77">
        <f>ROUNDUP(tbl_Data[[#This Row],[Adjusted 2030]]/$L243,0)</f>
        <v>2</v>
      </c>
      <c r="BH243" s="77">
        <f>ROUNDUP(tbl_Data[[#This Row],[Adjusted 2031]]/$L243,0)</f>
        <v>2</v>
      </c>
      <c r="BI243" s="77">
        <f>ROUNDUP(tbl_Data[[#This Row],[Adjusted 2032]]/$L243,0)</f>
        <v>2</v>
      </c>
      <c r="BJ243" s="77">
        <f>ROUNDUP(tbl_Data[[#This Row],[Adjusted 2033]]/$L243,0)</f>
        <v>2</v>
      </c>
      <c r="BK243" s="77">
        <f>ROUNDUP(tbl_Data[[#This Row],[Adjusted 2034]]/$L243,0)</f>
        <v>2</v>
      </c>
      <c r="BL243" s="80">
        <f t="shared" si="111"/>
        <v>11.623547851802112</v>
      </c>
      <c r="BM243" s="80">
        <f t="shared" si="112"/>
        <v>12.660480350781018</v>
      </c>
      <c r="BN243" s="80">
        <f t="shared" si="113"/>
        <v>13.479313718343187</v>
      </c>
      <c r="BO243" s="80">
        <f t="shared" si="114"/>
        <v>14.1649485470068</v>
      </c>
      <c r="BP243" s="80">
        <f t="shared" si="115"/>
        <v>14.720472240018363</v>
      </c>
      <c r="BQ243" s="80">
        <f t="shared" si="116"/>
        <v>15.147284912576007</v>
      </c>
      <c r="BR243" s="80">
        <f t="shared" si="117"/>
        <v>15.464688508954318</v>
      </c>
      <c r="BS243" s="80">
        <f t="shared" si="118"/>
        <v>15.718942394210538</v>
      </c>
      <c r="BT243" s="80">
        <f t="shared" si="119"/>
        <v>15.929723186428845</v>
      </c>
      <c r="BU243" s="80">
        <f t="shared" si="120"/>
        <v>16.083897619661332</v>
      </c>
      <c r="BV243" s="80">
        <f>IFERROR(VLOOKUP($H243,'1. Set Program Names'!$B$2:$D$15,3,0)*V243,"NA")</f>
        <v>26.796659674205117</v>
      </c>
      <c r="BW243" s="80">
        <f>IFERROR(VLOOKUP($H243,'1. Set Program Names'!$B$2:$D$15,3,0)*W243,"NA")</f>
        <v>29.187179989906561</v>
      </c>
      <c r="BX243" s="80">
        <f>IFERROR(VLOOKUP($H243,'1. Set Program Names'!$B$2:$D$15,3,0)*X243,"NA")</f>
        <v>31.074899588105218</v>
      </c>
      <c r="BY243" s="80">
        <f>IFERROR(VLOOKUP($H243,'1. Set Program Names'!$B$2:$D$15,3,0)*Y243,"NA")</f>
        <v>32.655546340605341</v>
      </c>
      <c r="BZ243" s="80">
        <f>IFERROR(VLOOKUP($H243,'1. Set Program Names'!$B$2:$D$15,3,0)*Z243,"NA")</f>
        <v>33.936237875787562</v>
      </c>
      <c r="CA243" s="80">
        <f>IFERROR(VLOOKUP($H243,'1. Set Program Names'!$B$2:$D$15,3,0)*AA243,"NA")</f>
        <v>34.920201987002706</v>
      </c>
      <c r="CB243" s="80">
        <f>IFERROR(VLOOKUP($H243,'1. Set Program Names'!$B$2:$D$15,3,0)*AB243,"NA")</f>
        <v>35.651936932301673</v>
      </c>
      <c r="CC243" s="80">
        <f>IFERROR(VLOOKUP($H243,'1. Set Program Names'!$B$2:$D$15,3,0)*AC243,"NA")</f>
        <v>36.238087987119158</v>
      </c>
      <c r="CD243" s="80">
        <f>IFERROR(VLOOKUP($H243,'1. Set Program Names'!$B$2:$D$15,3,0)*AD243,"NA")</f>
        <v>36.7240171738827</v>
      </c>
      <c r="CE243" s="80">
        <f>IFERROR(VLOOKUP($H243,'1. Set Program Names'!$B$2:$D$15,3,0)*AE243,"NA")</f>
        <v>37.079447363569052</v>
      </c>
    </row>
    <row r="244" spans="1:83" x14ac:dyDescent="0.25">
      <c r="A244" s="79" t="s">
        <v>87</v>
      </c>
      <c r="B244" s="79" t="s">
        <v>88</v>
      </c>
      <c r="C244" s="79" t="s">
        <v>122</v>
      </c>
      <c r="D244" s="79" t="s">
        <v>90</v>
      </c>
      <c r="E244" s="79" t="s">
        <v>91</v>
      </c>
      <c r="F244" s="79" t="s">
        <v>90</v>
      </c>
      <c r="G244" s="79" t="s">
        <v>92</v>
      </c>
      <c r="H244" s="79" t="s">
        <v>14</v>
      </c>
      <c r="I244" s="79" t="s">
        <v>160</v>
      </c>
      <c r="J244" s="79" t="s">
        <v>161</v>
      </c>
      <c r="K244" s="79" t="s">
        <v>159</v>
      </c>
      <c r="L244" s="79">
        <v>1059.6621428571407</v>
      </c>
      <c r="M244" s="79">
        <v>0.13879011985330975</v>
      </c>
      <c r="N244" s="79">
        <v>0.14661252282673942</v>
      </c>
      <c r="O244" s="79">
        <v>179</v>
      </c>
      <c r="P244" s="79">
        <v>5.0437849584490522</v>
      </c>
      <c r="Q244" s="79"/>
      <c r="R244" s="79">
        <v>417.01467834907817</v>
      </c>
      <c r="S244" s="79">
        <v>1150.9203207638036</v>
      </c>
      <c r="T244" s="79">
        <v>15</v>
      </c>
      <c r="U244" s="79">
        <v>0.2</v>
      </c>
      <c r="V244" s="79">
        <f>tbl_Data_old[[#This Row],[2025 ]]*IFERROR(AVERAGEIFS('Participation Adjustment'!$C:$C,'Participation Adjustment'!$A:$A,$H244,'Participation Adjustment'!$B:$B,$I244),1)</f>
        <v>50099.332356883802</v>
      </c>
      <c r="W244" s="79">
        <f>tbl_Data_old[[#This Row],[2026 ]]*IFERROR(AVERAGEIFS('Participation Adjustment'!$C:$C,'Participation Adjustment'!$A:$A,$H244,'Participation Adjustment'!$B:$B,$I244),1)</f>
        <v>54530.791584843151</v>
      </c>
      <c r="X244" s="79">
        <f>tbl_Data_old[[#This Row],[2027 ]]*IFERROR(AVERAGEIFS('Participation Adjustment'!$C:$C,'Participation Adjustment'!$A:$A,$H244,'Participation Adjustment'!$B:$B,$I244),1)</f>
        <v>58046.808595686001</v>
      </c>
      <c r="Y244" s="79">
        <f>tbl_Data_old[[#This Row],[2028 ]]*IFERROR(AVERAGEIFS('Participation Adjustment'!$C:$C,'Participation Adjustment'!$A:$A,$H244,'Participation Adjustment'!$B:$B,$I244),1)</f>
        <v>60992.662630117353</v>
      </c>
      <c r="Z244" s="79">
        <f>tbl_Data_old[[#This Row],[2029 ]]*IFERROR(AVERAGEIFS('Participation Adjustment'!$C:$C,'Participation Adjustment'!$A:$A,$H244,'Participation Adjustment'!$B:$B,$I244),1)</f>
        <v>63370.987570904246</v>
      </c>
      <c r="AA244" s="79">
        <f>tbl_Data_old[[#This Row],[2030 ]]*IFERROR(AVERAGEIFS('Participation Adjustment'!$C:$C,'Participation Adjustment'!$A:$A,$H244,'Participation Adjustment'!$B:$B,$I244),1)</f>
        <v>65199.241087246046</v>
      </c>
      <c r="AB244" s="79">
        <f>tbl_Data_old[[#This Row],[2031 ]]*IFERROR(AVERAGEIFS('Participation Adjustment'!$C:$C,'Participation Adjustment'!$A:$A,$H244,'Participation Adjustment'!$B:$B,$I244),1)</f>
        <v>66549.293446858501</v>
      </c>
      <c r="AC244" s="79">
        <f>tbl_Data_old[[#This Row],[2032 ]]*IFERROR(AVERAGEIFS('Participation Adjustment'!$C:$C,'Participation Adjustment'!$A:$A,$H244,'Participation Adjustment'!$B:$B,$I244),1)</f>
        <v>67622.69567009325</v>
      </c>
      <c r="AD244" s="79">
        <f>tbl_Data_old[[#This Row],[2033 ]]*IFERROR(AVERAGEIFS('Participation Adjustment'!$C:$C,'Participation Adjustment'!$A:$A,$H244,'Participation Adjustment'!$B:$B,$I244),1)</f>
        <v>68519.039672087412</v>
      </c>
      <c r="AE244" s="79">
        <f>tbl_Data_old[[#This Row],[2034 ]]*IFERROR(AVERAGEIFS('Participation Adjustment'!$C:$C,'Participation Adjustment'!$A:$A,$H244,'Participation Adjustment'!$B:$B,$I244),1)</f>
        <v>69166.500227674056</v>
      </c>
      <c r="AF244" s="77" t="str">
        <f t="shared" si="110"/>
        <v>NonResidential</v>
      </c>
      <c r="AG244" s="77" t="str">
        <f>tbl_Data[[#This Row],[All_Meas_Name_Append]]</f>
        <v>LED High Bay_HID Baseline</v>
      </c>
      <c r="AH244" s="77">
        <f>AVERAGEIFS('3. Incentive Adjustment'!G:G,'3. Incentive Adjustment'!A:A,tbl_Data[[#This Row],[Trimmed Sector]],'3. Incentive Adjustment'!B:B,tbl_Data[[#This Row],[Trimmed Measure Name]])</f>
        <v>1.0603846876879557</v>
      </c>
      <c r="AI244" s="77">
        <f>$AH244*tbl_Data[[#This Row],[2025 ]]</f>
        <v>53124.564894629322</v>
      </c>
      <c r="AJ244" s="77">
        <f>$AH244*tbl_Data[[#This Row],[2026 ]]</f>
        <v>57823.616404070905</v>
      </c>
      <c r="AK244" s="77">
        <f>$AH244*tbl_Data[[#This Row],[2027 ]]</f>
        <v>61551.947004019043</v>
      </c>
      <c r="AL244" s="77">
        <f>$AH244*tbl_Data[[#This Row],[2028 ]]</f>
        <v>64675.685514293837</v>
      </c>
      <c r="AM244" s="77">
        <f>$AH244*tbl_Data[[#This Row],[2029 ]]</f>
        <v>67197.624863850622</v>
      </c>
      <c r="AN244" s="77">
        <f>$AH244*tbl_Data[[#This Row],[2030 ]]</f>
        <v>69136.276897791133</v>
      </c>
      <c r="AO244" s="77">
        <f>$AH244*tbl_Data[[#This Row],[2031 ]]</f>
        <v>70567.851747501161</v>
      </c>
      <c r="AP244" s="77">
        <f>$AH244*tbl_Data[[#This Row],[2032 ]]</f>
        <v>71706.071028749502</v>
      </c>
      <c r="AQ244" s="77">
        <f>$AH244*tbl_Data[[#This Row],[2033 ]]</f>
        <v>72656.540483365054</v>
      </c>
      <c r="AR244" s="77">
        <f>$AH244*tbl_Data[[#This Row],[2034 ]]</f>
        <v>73343.097742391066</v>
      </c>
      <c r="AS244" s="77">
        <f>SUM(tbl_Data[[#This Row],[Adjusted 2025]:[Adjusted 2034]])</f>
        <v>661783.27658066165</v>
      </c>
      <c r="AT244" s="80">
        <f>AVERAGEIFS('3. Incentive Adjustment'!F:F,'3. Incentive Adjustment'!A:A,tbl_Data[[#This Row],[Trimmed Sector]],'3. Incentive Adjustment'!B:B,tbl_Data[[#This Row],[Trimmed Measure Name]])</f>
        <v>28.590998621954778</v>
      </c>
      <c r="AU244" s="80">
        <f>IFERROR(VLOOKUP(tbl_Data[[#This Row],[All_Meas_Name_Append]],'IRA Tax Credits'!$A$3:$D$46,4,0),0)</f>
        <v>0</v>
      </c>
      <c r="AV244" s="81">
        <f>tbl_Data[[#This Row],[Adj. per unit Incentive ($)]]/tbl_Data[[#This Row],[kWh Savings]]*tbl_Data[[#This Row],[Sum of Annuals]]</f>
        <v>17855.733430029002</v>
      </c>
      <c r="AW244" s="81">
        <f>IFERROR(VLOOKUP(tbl_Data[[#This Row],[Column1]],'1. Set Program Names'!$B$2:$D$15,3,0)*tbl_Data[[#This Row],[Sum of Annuals]],"")</f>
        <v>23559.282771800292</v>
      </c>
      <c r="AX244" s="81">
        <f>tbl_Data[[#This Row],[per unit IRA tax ($)]]/tbl_Data[[#This Row],[kWh Savings]]*tbl_Data[[#This Row],[Sum of Annuals]]</f>
        <v>0</v>
      </c>
      <c r="AY244" s="81">
        <f>tbl_Data[[#This Row],[Avoided Costs ($/unit)]]/tbl_Data[[#This Row],[kWh Savings]]*tbl_Data[[#This Row],[Sum of Annuals]]</f>
        <v>260435.21709285903</v>
      </c>
      <c r="AZ244" s="81">
        <f>tbl_Data[[#This Row],[Lost Revenue ($/unit)]]/tbl_Data[[#This Row],[kWh Savings]]*tbl_Data[[#This Row],[Sum of Annuals]]</f>
        <v>718776.0986767835</v>
      </c>
      <c r="BA244" s="81">
        <f>tbl_Data[[#This Row],[Incremental Cost ($/unit)]]/tbl_Data[[#This Row],[kWh Savings]]*tbl_Data[[#This Row],[Sum of Annuals]]</f>
        <v>111789.59945529414</v>
      </c>
      <c r="BB244" s="77">
        <f>ROUNDUP(tbl_Data[[#This Row],[Adjusted 2025]]/$L244,0)</f>
        <v>51</v>
      </c>
      <c r="BC244" s="77">
        <f>ROUNDUP(tbl_Data[[#This Row],[Adjusted 2026]]/$L244,0)</f>
        <v>55</v>
      </c>
      <c r="BD244" s="77">
        <f>ROUNDUP(tbl_Data[[#This Row],[Adjusted 2027]]/$L244,0)</f>
        <v>59</v>
      </c>
      <c r="BE244" s="77">
        <f>ROUNDUP(tbl_Data[[#This Row],[Adjusted 2028]]/$L244,0)</f>
        <v>62</v>
      </c>
      <c r="BF244" s="77">
        <f>ROUNDUP(tbl_Data[[#This Row],[Adjusted 2029]]/$L244,0)</f>
        <v>64</v>
      </c>
      <c r="BG244" s="77">
        <f>ROUNDUP(tbl_Data[[#This Row],[Adjusted 2030]]/$L244,0)</f>
        <v>66</v>
      </c>
      <c r="BH244" s="77">
        <f>ROUNDUP(tbl_Data[[#This Row],[Adjusted 2031]]/$L244,0)</f>
        <v>67</v>
      </c>
      <c r="BI244" s="77">
        <f>ROUNDUP(tbl_Data[[#This Row],[Adjusted 2032]]/$L244,0)</f>
        <v>68</v>
      </c>
      <c r="BJ244" s="77">
        <f>ROUNDUP(tbl_Data[[#This Row],[Adjusted 2033]]/$L244,0)</f>
        <v>69</v>
      </c>
      <c r="BK244" s="77">
        <f>ROUNDUP(tbl_Data[[#This Row],[Adjusted 2034]]/$L244,0)</f>
        <v>70</v>
      </c>
      <c r="BL244" s="80">
        <f t="shared" si="111"/>
        <v>1351.7421114190245</v>
      </c>
      <c r="BM244" s="80">
        <f t="shared" si="112"/>
        <v>1471.3083765101005</v>
      </c>
      <c r="BN244" s="80">
        <f t="shared" si="113"/>
        <v>1566.174875412034</v>
      </c>
      <c r="BO244" s="80">
        <f t="shared" si="114"/>
        <v>1645.6576701939757</v>
      </c>
      <c r="BP244" s="80">
        <f t="shared" si="115"/>
        <v>1709.8278262790611</v>
      </c>
      <c r="BQ244" s="80">
        <f t="shared" si="116"/>
        <v>1759.1563732302373</v>
      </c>
      <c r="BR244" s="80">
        <f t="shared" si="117"/>
        <v>1795.582459991412</v>
      </c>
      <c r="BS244" s="80">
        <f t="shared" si="118"/>
        <v>1824.5441830199993</v>
      </c>
      <c r="BT244" s="80">
        <f t="shared" si="119"/>
        <v>1848.7286556828747</v>
      </c>
      <c r="BU244" s="80">
        <f t="shared" si="120"/>
        <v>1866.1979443399514</v>
      </c>
      <c r="BV244" s="80">
        <f>IFERROR(VLOOKUP($H244,'1. Set Program Names'!$B$2:$D$15,3,0)*V244,"NA")</f>
        <v>1783.5209492942934</v>
      </c>
      <c r="BW244" s="80">
        <f>IFERROR(VLOOKUP($H244,'1. Set Program Names'!$B$2:$D$15,3,0)*W244,"NA")</f>
        <v>1941.2795460098648</v>
      </c>
      <c r="BX244" s="80">
        <f>IFERROR(VLOOKUP($H244,'1. Set Program Names'!$B$2:$D$15,3,0)*X244,"NA")</f>
        <v>2066.4486790482551</v>
      </c>
      <c r="BY244" s="80">
        <f>IFERROR(VLOOKUP($H244,'1. Set Program Names'!$B$2:$D$15,3,0)*Y244,"NA")</f>
        <v>2171.3201840524434</v>
      </c>
      <c r="BZ244" s="80">
        <f>IFERROR(VLOOKUP($H244,'1. Set Program Names'!$B$2:$D$15,3,0)*Z244,"NA")</f>
        <v>2255.9878264454801</v>
      </c>
      <c r="CA244" s="80">
        <f>IFERROR(VLOOKUP($H244,'1. Set Program Names'!$B$2:$D$15,3,0)*AA244,"NA")</f>
        <v>2321.0730939254672</v>
      </c>
      <c r="CB244" s="80">
        <f>IFERROR(VLOOKUP($H244,'1. Set Program Names'!$B$2:$D$15,3,0)*AB244,"NA")</f>
        <v>2369.1345460993339</v>
      </c>
      <c r="CC244" s="80">
        <f>IFERROR(VLOOKUP($H244,'1. Set Program Names'!$B$2:$D$15,3,0)*AC244,"NA")</f>
        <v>2407.3473378092253</v>
      </c>
      <c r="CD244" s="80">
        <f>IFERROR(VLOOKUP($H244,'1. Set Program Names'!$B$2:$D$15,3,0)*AD244,"NA")</f>
        <v>2439.2569108538892</v>
      </c>
      <c r="CE244" s="80">
        <f>IFERROR(VLOOKUP($H244,'1. Set Program Names'!$B$2:$D$15,3,0)*AE244,"NA")</f>
        <v>2462.3063091273943</v>
      </c>
    </row>
    <row r="245" spans="1:83" x14ac:dyDescent="0.25">
      <c r="A245" s="79" t="s">
        <v>87</v>
      </c>
      <c r="B245" s="79" t="s">
        <v>88</v>
      </c>
      <c r="C245" s="79" t="s">
        <v>122</v>
      </c>
      <c r="D245" s="79" t="s">
        <v>90</v>
      </c>
      <c r="E245" s="79" t="s">
        <v>91</v>
      </c>
      <c r="F245" s="79" t="s">
        <v>90</v>
      </c>
      <c r="G245" s="79" t="s">
        <v>92</v>
      </c>
      <c r="H245" s="79" t="s">
        <v>14</v>
      </c>
      <c r="I245" s="79" t="s">
        <v>162</v>
      </c>
      <c r="J245" s="79" t="s">
        <v>161</v>
      </c>
      <c r="K245" s="79" t="s">
        <v>159</v>
      </c>
      <c r="L245" s="79">
        <v>632.51142857142861</v>
      </c>
      <c r="M245" s="79">
        <v>7.5636667797052567E-2</v>
      </c>
      <c r="N245" s="79">
        <v>7.2066360150851286E-2</v>
      </c>
      <c r="O245" s="79">
        <v>179</v>
      </c>
      <c r="P245" s="79">
        <v>51.895440493260928</v>
      </c>
      <c r="Q245" s="79"/>
      <c r="R245" s="79">
        <v>248.91572427603518</v>
      </c>
      <c r="S245" s="79">
        <v>686.98335706831222</v>
      </c>
      <c r="T245" s="79">
        <v>15</v>
      </c>
      <c r="U245" s="79">
        <v>0.2</v>
      </c>
      <c r="V245" s="79">
        <f>tbl_Data_old[[#This Row],[2025 ]]*IFERROR(AVERAGEIFS('Participation Adjustment'!$C:$C,'Participation Adjustment'!$A:$A,$H245,'Participation Adjustment'!$B:$B,$I245),1)</f>
        <v>146359.13659143599</v>
      </c>
      <c r="W245" s="79">
        <f>tbl_Data_old[[#This Row],[2026 ]]*IFERROR(AVERAGEIFS('Participation Adjustment'!$C:$C,'Participation Adjustment'!$A:$A,$H245,'Participation Adjustment'!$B:$B,$I245),1)</f>
        <v>159305.10844239898</v>
      </c>
      <c r="X245" s="79">
        <f>tbl_Data_old[[#This Row],[2027 ]]*IFERROR(AVERAGEIFS('Participation Adjustment'!$C:$C,'Participation Adjustment'!$A:$A,$H245,'Participation Adjustment'!$B:$B,$I245),1)</f>
        <v>169576.72664046151</v>
      </c>
      <c r="Y245" s="79">
        <f>tbl_Data_old[[#This Row],[2028 ]]*IFERROR(AVERAGEIFS('Participation Adjustment'!$C:$C,'Participation Adjustment'!$A:$A,$H245,'Participation Adjustment'!$B:$B,$I245),1)</f>
        <v>178182.68270255849</v>
      </c>
      <c r="Z245" s="79">
        <f>tbl_Data_old[[#This Row],[2029 ]]*IFERROR(AVERAGEIFS('Participation Adjustment'!$C:$C,'Participation Adjustment'!$A:$A,$H245,'Participation Adjustment'!$B:$B,$I245),1)</f>
        <v>185130.67119844951</v>
      </c>
      <c r="AA245" s="79">
        <f>tbl_Data_old[[#This Row],[2030 ]]*IFERROR(AVERAGEIFS('Participation Adjustment'!$C:$C,'Participation Adjustment'!$A:$A,$H245,'Participation Adjustment'!$B:$B,$I245),1)</f>
        <v>190471.69259601901</v>
      </c>
      <c r="AB245" s="79">
        <f>tbl_Data_old[[#This Row],[2031 ]]*IFERROR(AVERAGEIFS('Participation Adjustment'!$C:$C,'Participation Adjustment'!$A:$A,$H245,'Participation Adjustment'!$B:$B,$I245),1)</f>
        <v>194415.7071848475</v>
      </c>
      <c r="AC245" s="79">
        <f>tbl_Data_old[[#This Row],[2032 ]]*IFERROR(AVERAGEIFS('Participation Adjustment'!$C:$C,'Participation Adjustment'!$A:$A,$H245,'Participation Adjustment'!$B:$B,$I245),1)</f>
        <v>197551.52187971849</v>
      </c>
      <c r="AD245" s="79">
        <f>tbl_Data_old[[#This Row],[2033 ]]*IFERROR(AVERAGEIFS('Participation Adjustment'!$C:$C,'Participation Adjustment'!$A:$A,$H245,'Participation Adjustment'!$B:$B,$I245),1)</f>
        <v>200170.082408355</v>
      </c>
      <c r="AE245" s="79">
        <f>tbl_Data_old[[#This Row],[2034 ]]*IFERROR(AVERAGEIFS('Participation Adjustment'!$C:$C,'Participation Adjustment'!$A:$A,$H245,'Participation Adjustment'!$B:$B,$I245),1)</f>
        <v>202061.560067532</v>
      </c>
      <c r="AF245" s="77" t="str">
        <f t="shared" si="110"/>
        <v>NonResidential</v>
      </c>
      <c r="AG245" s="77" t="str">
        <f>tbl_Data[[#This Row],[All_Meas_Name_Append]]</f>
        <v>LED High Bay_LF Baseline</v>
      </c>
      <c r="AH245" s="77">
        <f>AVERAGEIFS('3. Incentive Adjustment'!G:G,'3. Incentive Adjustment'!A:A,tbl_Data[[#This Row],[Trimmed Sector]],'3. Incentive Adjustment'!B:B,tbl_Data[[#This Row],[Trimmed Measure Name]])</f>
        <v>0.93017466414143679</v>
      </c>
      <c r="AI245" s="77">
        <f>$AH245*tbl_Data[[#This Row],[2025 ]]</f>
        <v>136139.56072296965</v>
      </c>
      <c r="AJ245" s="77">
        <f>$AH245*tbl_Data[[#This Row],[2026 ]]</f>
        <v>148181.57574142364</v>
      </c>
      <c r="AK245" s="77">
        <f>$AH245*tbl_Data[[#This Row],[2027 ]]</f>
        <v>157735.97474899553</v>
      </c>
      <c r="AL245" s="77">
        <f>$AH245*tbl_Data[[#This Row],[2028 ]]</f>
        <v>165741.01703867255</v>
      </c>
      <c r="AM245" s="77">
        <f>$AH245*tbl_Data[[#This Row],[2029 ]]</f>
        <v>172203.85990429652</v>
      </c>
      <c r="AN245" s="77">
        <f>$AH245*tbl_Data[[#This Row],[2030 ]]</f>
        <v>177171.94268895299</v>
      </c>
      <c r="AO245" s="77">
        <f>$AH245*tbl_Data[[#This Row],[2031 ]]</f>
        <v>180840.56513448546</v>
      </c>
      <c r="AP245" s="77">
        <f>$AH245*tbl_Data[[#This Row],[2032 ]]</f>
        <v>183757.42051509686</v>
      </c>
      <c r="AQ245" s="77">
        <f>$AH245*tbl_Data[[#This Row],[2033 ]]</f>
        <v>186193.13917535535</v>
      </c>
      <c r="AR245" s="77">
        <f>$AH245*tbl_Data[[#This Row],[2034 ]]</f>
        <v>187952.54377171132</v>
      </c>
      <c r="AS245" s="77">
        <f>SUM(tbl_Data[[#This Row],[Adjusted 2025]:[Adjusted 2034]])</f>
        <v>1695917.5994419602</v>
      </c>
      <c r="AT245" s="80">
        <f>AVERAGEIFS('3. Incentive Adjustment'!F:F,'3. Incentive Adjustment'!A:A,tbl_Data[[#This Row],[Trimmed Sector]],'3. Incentive Adjustment'!B:B,tbl_Data[[#This Row],[Trimmed Measure Name]])</f>
        <v>23.858858929800434</v>
      </c>
      <c r="AU245" s="80">
        <f>IFERROR(VLOOKUP(tbl_Data[[#This Row],[All_Meas_Name_Append]],'IRA Tax Credits'!$A$3:$D$46,4,0),0)</f>
        <v>0</v>
      </c>
      <c r="AV245" s="81">
        <f>tbl_Data[[#This Row],[Adj. per unit Incentive ($)]]/tbl_Data[[#This Row],[kWh Savings]]*tbl_Data[[#This Row],[Sum of Annuals]]</f>
        <v>63971.427129845346</v>
      </c>
      <c r="AW245" s="81">
        <f>IFERROR(VLOOKUP(tbl_Data[[#This Row],[Column1]],'1. Set Program Names'!$B$2:$D$15,3,0)*tbl_Data[[#This Row],[Sum of Annuals]],"")</f>
        <v>60374.149206920927</v>
      </c>
      <c r="AX245" s="81">
        <f>tbl_Data[[#This Row],[per unit IRA tax ($)]]/tbl_Data[[#This Row],[kWh Savings]]*tbl_Data[[#This Row],[Sum of Annuals]]</f>
        <v>0</v>
      </c>
      <c r="AY245" s="81">
        <f>tbl_Data[[#This Row],[Avoided Costs ($/unit)]]/tbl_Data[[#This Row],[kWh Savings]]*tbl_Data[[#This Row],[Sum of Annuals]]</f>
        <v>667403.84206338285</v>
      </c>
      <c r="AZ245" s="81">
        <f>tbl_Data[[#This Row],[Lost Revenue ($/unit)]]/tbl_Data[[#This Row],[kWh Savings]]*tbl_Data[[#This Row],[Sum of Annuals]]</f>
        <v>1841970.1418000569</v>
      </c>
      <c r="BA245" s="81">
        <f>tbl_Data[[#This Row],[Incremental Cost ($/unit)]]/tbl_Data[[#This Row],[kWh Savings]]*tbl_Data[[#This Row],[Sum of Annuals]]</f>
        <v>479942.71184276202</v>
      </c>
      <c r="BB245" s="77">
        <f>ROUNDUP(tbl_Data[[#This Row],[Adjusted 2025]]/$L245,0)</f>
        <v>216</v>
      </c>
      <c r="BC245" s="77">
        <f>ROUNDUP(tbl_Data[[#This Row],[Adjusted 2026]]/$L245,0)</f>
        <v>235</v>
      </c>
      <c r="BD245" s="77">
        <f>ROUNDUP(tbl_Data[[#This Row],[Adjusted 2027]]/$L245,0)</f>
        <v>250</v>
      </c>
      <c r="BE245" s="77">
        <f>ROUNDUP(tbl_Data[[#This Row],[Adjusted 2028]]/$L245,0)</f>
        <v>263</v>
      </c>
      <c r="BF245" s="77">
        <f>ROUNDUP(tbl_Data[[#This Row],[Adjusted 2029]]/$L245,0)</f>
        <v>273</v>
      </c>
      <c r="BG245" s="77">
        <f>ROUNDUP(tbl_Data[[#This Row],[Adjusted 2030]]/$L245,0)</f>
        <v>281</v>
      </c>
      <c r="BH245" s="77">
        <f>ROUNDUP(tbl_Data[[#This Row],[Adjusted 2031]]/$L245,0)</f>
        <v>286</v>
      </c>
      <c r="BI245" s="77">
        <f>ROUNDUP(tbl_Data[[#This Row],[Adjusted 2032]]/$L245,0)</f>
        <v>291</v>
      </c>
      <c r="BJ245" s="77">
        <f>ROUNDUP(tbl_Data[[#This Row],[Adjusted 2033]]/$L245,0)</f>
        <v>295</v>
      </c>
      <c r="BK245" s="77">
        <f>ROUNDUP(tbl_Data[[#This Row],[Adjusted 2034]]/$L245,0)</f>
        <v>298</v>
      </c>
      <c r="BL245" s="80">
        <f t="shared" si="111"/>
        <v>5520.7887720057561</v>
      </c>
      <c r="BM245" s="80">
        <f t="shared" si="112"/>
        <v>6009.1216339097882</v>
      </c>
      <c r="BN245" s="80">
        <f t="shared" si="113"/>
        <v>6396.5756442220609</v>
      </c>
      <c r="BO245" s="80">
        <f t="shared" si="114"/>
        <v>6721.1994887356395</v>
      </c>
      <c r="BP245" s="80">
        <f t="shared" si="115"/>
        <v>6983.2834130431347</v>
      </c>
      <c r="BQ245" s="80">
        <f t="shared" si="116"/>
        <v>7184.7511973541114</v>
      </c>
      <c r="BR245" s="80">
        <f t="shared" si="117"/>
        <v>7333.5227190078222</v>
      </c>
      <c r="BS245" s="80">
        <f t="shared" si="118"/>
        <v>7451.8082662016513</v>
      </c>
      <c r="BT245" s="80">
        <f t="shared" si="119"/>
        <v>7550.5825545856387</v>
      </c>
      <c r="BU245" s="80">
        <f t="shared" si="120"/>
        <v>7621.9306703676712</v>
      </c>
      <c r="BV245" s="80">
        <f>IFERROR(VLOOKUP($H245,'1. Set Program Names'!$B$2:$D$15,3,0)*V245,"NA")</f>
        <v>5210.3406163572181</v>
      </c>
      <c r="BW245" s="80">
        <f>IFERROR(VLOOKUP($H245,'1. Set Program Names'!$B$2:$D$15,3,0)*W245,"NA")</f>
        <v>5671.2132651320308</v>
      </c>
      <c r="BX245" s="80">
        <f>IFERROR(VLOOKUP($H245,'1. Set Program Names'!$B$2:$D$15,3,0)*X245,"NA")</f>
        <v>6036.8797396649961</v>
      </c>
      <c r="BY245" s="80">
        <f>IFERROR(VLOOKUP($H245,'1. Set Program Names'!$B$2:$D$15,3,0)*Y245,"NA")</f>
        <v>6343.2491502614866</v>
      </c>
      <c r="BZ245" s="80">
        <f>IFERROR(VLOOKUP($H245,'1. Set Program Names'!$B$2:$D$15,3,0)*Z245,"NA")</f>
        <v>6590.5954212577444</v>
      </c>
      <c r="CA245" s="80">
        <f>IFERROR(VLOOKUP($H245,'1. Set Program Names'!$B$2:$D$15,3,0)*AA245,"NA")</f>
        <v>6780.7341537529574</v>
      </c>
      <c r="CB245" s="80">
        <f>IFERROR(VLOOKUP($H245,'1. Set Program Names'!$B$2:$D$15,3,0)*AB245,"NA")</f>
        <v>6921.1398700086038</v>
      </c>
      <c r="CC245" s="80">
        <f>IFERROR(VLOOKUP($H245,'1. Set Program Names'!$B$2:$D$15,3,0)*AC245,"NA")</f>
        <v>7032.7739165776657</v>
      </c>
      <c r="CD245" s="80">
        <f>IFERROR(VLOOKUP($H245,'1. Set Program Names'!$B$2:$D$15,3,0)*AD245,"NA")</f>
        <v>7125.9938726151968</v>
      </c>
      <c r="CE245" s="80">
        <f>IFERROR(VLOOKUP($H245,'1. Set Program Names'!$B$2:$D$15,3,0)*AE245,"NA")</f>
        <v>7193.3299002938329</v>
      </c>
    </row>
    <row r="246" spans="1:83" x14ac:dyDescent="0.25">
      <c r="A246" s="79" t="s">
        <v>87</v>
      </c>
      <c r="B246" s="79" t="s">
        <v>88</v>
      </c>
      <c r="C246" s="79" t="s">
        <v>122</v>
      </c>
      <c r="D246" s="79" t="s">
        <v>90</v>
      </c>
      <c r="E246" s="79" t="s">
        <v>91</v>
      </c>
      <c r="F246" s="79" t="s">
        <v>90</v>
      </c>
      <c r="G246" s="79" t="s">
        <v>92</v>
      </c>
      <c r="H246" s="79" t="s">
        <v>14</v>
      </c>
      <c r="I246" s="79" t="s">
        <v>163</v>
      </c>
      <c r="J246" s="79" t="s">
        <v>161</v>
      </c>
      <c r="K246" s="79" t="s">
        <v>159</v>
      </c>
      <c r="L246" s="79">
        <v>217.06142857142831</v>
      </c>
      <c r="M246" s="79">
        <v>3.4743730880075478E-2</v>
      </c>
      <c r="N246" s="79">
        <v>3.4497784431073229E-2</v>
      </c>
      <c r="O246" s="79">
        <v>109.07999999999996</v>
      </c>
      <c r="P246" s="79">
        <v>64.428955263702662</v>
      </c>
      <c r="Q246" s="79"/>
      <c r="R246" s="79">
        <v>85.561030664747506</v>
      </c>
      <c r="S246" s="79">
        <v>235.75477399173039</v>
      </c>
      <c r="T246" s="79">
        <v>15</v>
      </c>
      <c r="U246" s="79">
        <v>0.2</v>
      </c>
      <c r="V246" s="79">
        <f>tbl_Data_old[[#This Row],[2025 ]]*IFERROR(AVERAGEIFS('Participation Adjustment'!$C:$C,'Participation Adjustment'!$A:$A,$H246,'Participation Adjustment'!$B:$B,$I246),1)</f>
        <v>381417.18082478998</v>
      </c>
      <c r="W246" s="79">
        <f>tbl_Data_old[[#This Row],[2026 ]]*IFERROR(AVERAGEIFS('Participation Adjustment'!$C:$C,'Participation Adjustment'!$A:$A,$H246,'Participation Adjustment'!$B:$B,$I246),1)</f>
        <v>400982.36371329898</v>
      </c>
      <c r="X246" s="79">
        <f>tbl_Data_old[[#This Row],[2027 ]]*IFERROR(AVERAGEIFS('Participation Adjustment'!$C:$C,'Participation Adjustment'!$A:$A,$H246,'Participation Adjustment'!$B:$B,$I246),1)</f>
        <v>411519.12274928403</v>
      </c>
      <c r="Y246" s="79">
        <f>tbl_Data_old[[#This Row],[2028 ]]*IFERROR(AVERAGEIFS('Participation Adjustment'!$C:$C,'Participation Adjustment'!$A:$A,$H246,'Participation Adjustment'!$B:$B,$I246),1)</f>
        <v>417972.85185977397</v>
      </c>
      <c r="Z246" s="79">
        <f>tbl_Data_old[[#This Row],[2029 ]]*IFERROR(AVERAGEIFS('Participation Adjustment'!$C:$C,'Participation Adjustment'!$A:$A,$H246,'Participation Adjustment'!$B:$B,$I246),1)</f>
        <v>421601.66928237904</v>
      </c>
      <c r="AA246" s="79">
        <f>tbl_Data_old[[#This Row],[2030 ]]*IFERROR(AVERAGEIFS('Participation Adjustment'!$C:$C,'Participation Adjustment'!$A:$A,$H246,'Participation Adjustment'!$B:$B,$I246),1)</f>
        <v>422067.625492836</v>
      </c>
      <c r="AB246" s="79">
        <f>tbl_Data_old[[#This Row],[2031 ]]*IFERROR(AVERAGEIFS('Participation Adjustment'!$C:$C,'Participation Adjustment'!$A:$A,$H246,'Participation Adjustment'!$B:$B,$I246),1)</f>
        <v>420831.17523543601</v>
      </c>
      <c r="AC246" s="79">
        <f>tbl_Data_old[[#This Row],[2032 ]]*IFERROR(AVERAGEIFS('Participation Adjustment'!$C:$C,'Participation Adjustment'!$A:$A,$H246,'Participation Adjustment'!$B:$B,$I246),1)</f>
        <v>419094.13077330298</v>
      </c>
      <c r="AD246" s="79">
        <f>tbl_Data_old[[#This Row],[2033 ]]*IFERROR(AVERAGEIFS('Participation Adjustment'!$C:$C,'Participation Adjustment'!$A:$A,$H246,'Participation Adjustment'!$B:$B,$I246),1)</f>
        <v>416534.02668169496</v>
      </c>
      <c r="AE246" s="79">
        <f>tbl_Data_old[[#This Row],[2034 ]]*IFERROR(AVERAGEIFS('Participation Adjustment'!$C:$C,'Participation Adjustment'!$A:$A,$H246,'Participation Adjustment'!$B:$B,$I246),1)</f>
        <v>413668.83063492295</v>
      </c>
      <c r="AF246" s="77" t="str">
        <f t="shared" si="110"/>
        <v>NonResidential</v>
      </c>
      <c r="AG246" s="77" t="str">
        <f>tbl_Data[[#This Row],[All_Meas_Name_Append]]</f>
        <v>LED Linear - Fixture Replacement</v>
      </c>
      <c r="AH246" s="77">
        <f>AVERAGEIFS('3. Incentive Adjustment'!G:G,'3. Incentive Adjustment'!A:A,tbl_Data[[#This Row],[Trimmed Sector]],'3. Incentive Adjustment'!B:B,tbl_Data[[#This Row],[Trimmed Measure Name]])</f>
        <v>0.56055357916158088</v>
      </c>
      <c r="AI246" s="77">
        <f>$AH246*tbl_Data[[#This Row],[2025 ]]</f>
        <v>213804.76586505593</v>
      </c>
      <c r="AJ246" s="77">
        <f>$AH246*tbl_Data[[#This Row],[2026 ]]</f>
        <v>224772.09916016055</v>
      </c>
      <c r="AK246" s="77">
        <f>$AH246*tbl_Data[[#This Row],[2027 ]]</f>
        <v>230678.51715054511</v>
      </c>
      <c r="AL246" s="77">
        <f>$AH246*tbl_Data[[#This Row],[2028 ]]</f>
        <v>234296.17810236954</v>
      </c>
      <c r="AM246" s="77">
        <f>$AH246*tbl_Data[[#This Row],[2029 ]]</f>
        <v>236330.32469673469</v>
      </c>
      <c r="AN246" s="77">
        <f>$AH246*tbl_Data[[#This Row],[2030 ]]</f>
        <v>236591.51811823892</v>
      </c>
      <c r="AO246" s="77">
        <f>$AH246*tbl_Data[[#This Row],[2031 ]]</f>
        <v>235898.42150099808</v>
      </c>
      <c r="AP246" s="77">
        <f>$AH246*tbl_Data[[#This Row],[2032 ]]</f>
        <v>234924.71501058663</v>
      </c>
      <c r="AQ246" s="77">
        <f>$AH246*tbl_Data[[#This Row],[2033 ]]</f>
        <v>233489.63949900953</v>
      </c>
      <c r="AR246" s="77">
        <f>$AH246*tbl_Data[[#This Row],[2034 ]]</f>
        <v>231883.54359999188</v>
      </c>
      <c r="AS246" s="77">
        <f>SUM(tbl_Data[[#This Row],[Adjusted 2025]:[Adjusted 2034]])</f>
        <v>2312669.7227036911</v>
      </c>
      <c r="AT246" s="80">
        <f>AVERAGEIFS('3. Incentive Adjustment'!F:F,'3. Incentive Adjustment'!A:A,tbl_Data[[#This Row],[Trimmed Sector]],'3. Incentive Adjustment'!B:B,tbl_Data[[#This Row],[Trimmed Measure Name]])</f>
        <v>16.810726621008875</v>
      </c>
      <c r="AU246" s="80">
        <f>IFERROR(VLOOKUP(tbl_Data[[#This Row],[All_Meas_Name_Append]],'IRA Tax Credits'!$A$3:$D$46,4,0),0)</f>
        <v>0</v>
      </c>
      <c r="AV246" s="81">
        <f>tbl_Data[[#This Row],[Adj. per unit Incentive ($)]]/tbl_Data[[#This Row],[kWh Savings]]*tbl_Data[[#This Row],[Sum of Annuals]]</f>
        <v>179109.01411147165</v>
      </c>
      <c r="AW246" s="81">
        <f>IFERROR(VLOOKUP(tbl_Data[[#This Row],[Column1]],'1. Set Program Names'!$B$2:$D$15,3,0)*tbl_Data[[#This Row],[Sum of Annuals]],"")</f>
        <v>82330.33665714931</v>
      </c>
      <c r="AX246" s="81">
        <f>tbl_Data[[#This Row],[per unit IRA tax ($)]]/tbl_Data[[#This Row],[kWh Savings]]*tbl_Data[[#This Row],[Sum of Annuals]]</f>
        <v>0</v>
      </c>
      <c r="AY246" s="81">
        <f>tbl_Data[[#This Row],[Avoided Costs ($/unit)]]/tbl_Data[[#This Row],[kWh Savings]]*tbl_Data[[#This Row],[Sum of Annuals]]</f>
        <v>911605.55960576469</v>
      </c>
      <c r="AZ246" s="81">
        <f>tbl_Data[[#This Row],[Lost Revenue ($/unit)]]/tbl_Data[[#This Row],[kWh Savings]]*tbl_Data[[#This Row],[Sum of Annuals]]</f>
        <v>2511837.001082439</v>
      </c>
      <c r="BA246" s="81">
        <f>tbl_Data[[#This Row],[Incremental Cost ($/unit)]]/tbl_Data[[#This Row],[kWh Savings]]*tbl_Data[[#This Row],[Sum of Annuals]]</f>
        <v>1162187.1974803917</v>
      </c>
      <c r="BB246" s="77">
        <f>ROUNDUP(tbl_Data[[#This Row],[Adjusted 2025]]/$L246,0)</f>
        <v>985</v>
      </c>
      <c r="BC246" s="77">
        <f>ROUNDUP(tbl_Data[[#This Row],[Adjusted 2026]]/$L246,0)</f>
        <v>1036</v>
      </c>
      <c r="BD246" s="77">
        <f>ROUNDUP(tbl_Data[[#This Row],[Adjusted 2027]]/$L246,0)</f>
        <v>1063</v>
      </c>
      <c r="BE246" s="77">
        <f>ROUNDUP(tbl_Data[[#This Row],[Adjusted 2028]]/$L246,0)</f>
        <v>1080</v>
      </c>
      <c r="BF246" s="77">
        <f>ROUNDUP(tbl_Data[[#This Row],[Adjusted 2029]]/$L246,0)</f>
        <v>1089</v>
      </c>
      <c r="BG246" s="77">
        <f>ROUNDUP(tbl_Data[[#This Row],[Adjusted 2030]]/$L246,0)</f>
        <v>1090</v>
      </c>
      <c r="BH246" s="77">
        <f>ROUNDUP(tbl_Data[[#This Row],[Adjusted 2031]]/$L246,0)</f>
        <v>1087</v>
      </c>
      <c r="BI246" s="77">
        <f>ROUNDUP(tbl_Data[[#This Row],[Adjusted 2032]]/$L246,0)</f>
        <v>1083</v>
      </c>
      <c r="BJ246" s="77">
        <f>ROUNDUP(tbl_Data[[#This Row],[Adjusted 2033]]/$L246,0)</f>
        <v>1076</v>
      </c>
      <c r="BK246" s="77">
        <f>ROUNDUP(tbl_Data[[#This Row],[Adjusted 2034]]/$L246,0)</f>
        <v>1069</v>
      </c>
      <c r="BL246" s="80">
        <f t="shared" si="111"/>
        <v>29539.563973207205</v>
      </c>
      <c r="BM246" s="80">
        <f t="shared" si="112"/>
        <v>31054.826002916609</v>
      </c>
      <c r="BN246" s="80">
        <f t="shared" si="113"/>
        <v>31870.864931579152</v>
      </c>
      <c r="BO246" s="80">
        <f t="shared" si="114"/>
        <v>32370.686002860788</v>
      </c>
      <c r="BP246" s="80">
        <f t="shared" si="115"/>
        <v>32651.726526967046</v>
      </c>
      <c r="BQ246" s="80">
        <f t="shared" si="116"/>
        <v>32687.813373547328</v>
      </c>
      <c r="BR246" s="80">
        <f t="shared" si="117"/>
        <v>32592.054180426621</v>
      </c>
      <c r="BS246" s="80">
        <f t="shared" si="118"/>
        <v>32457.525536744328</v>
      </c>
      <c r="BT246" s="80">
        <f t="shared" si="119"/>
        <v>32259.253507076988</v>
      </c>
      <c r="BU246" s="80">
        <f t="shared" si="120"/>
        <v>32037.353062696428</v>
      </c>
      <c r="BV246" s="80">
        <f>IFERROR(VLOOKUP($H246,'1. Set Program Names'!$B$2:$D$15,3,0)*V246,"NA")</f>
        <v>13578.335287502328</v>
      </c>
      <c r="BW246" s="80">
        <f>IFERROR(VLOOKUP($H246,'1. Set Program Names'!$B$2:$D$15,3,0)*W246,"NA")</f>
        <v>14274.84983004863</v>
      </c>
      <c r="BX246" s="80">
        <f>IFERROR(VLOOKUP($H246,'1. Set Program Names'!$B$2:$D$15,3,0)*X246,"NA")</f>
        <v>14649.955237531434</v>
      </c>
      <c r="BY246" s="80">
        <f>IFERROR(VLOOKUP($H246,'1. Set Program Names'!$B$2:$D$15,3,0)*Y246,"NA")</f>
        <v>14879.706025179359</v>
      </c>
      <c r="BZ246" s="80">
        <f>IFERROR(VLOOKUP($H246,'1. Set Program Names'!$B$2:$D$15,3,0)*Z246,"NA")</f>
        <v>15008.890818467147</v>
      </c>
      <c r="CA246" s="80">
        <f>IFERROR(VLOOKUP($H246,'1. Set Program Names'!$B$2:$D$15,3,0)*AA246,"NA")</f>
        <v>15025.478717421245</v>
      </c>
      <c r="CB246" s="80">
        <f>IFERROR(VLOOKUP($H246,'1. Set Program Names'!$B$2:$D$15,3,0)*AB246,"NA")</f>
        <v>14981.461465432254</v>
      </c>
      <c r="CC246" s="80">
        <f>IFERROR(VLOOKUP($H246,'1. Set Program Names'!$B$2:$D$15,3,0)*AC246,"NA")</f>
        <v>14919.623212459124</v>
      </c>
      <c r="CD246" s="80">
        <f>IFERROR(VLOOKUP($H246,'1. Set Program Names'!$B$2:$D$15,3,0)*AD246,"NA")</f>
        <v>14828.484287747893</v>
      </c>
      <c r="CE246" s="80">
        <f>IFERROR(VLOOKUP($H246,'1. Set Program Names'!$B$2:$D$15,3,0)*AE246,"NA")</f>
        <v>14726.484182499966</v>
      </c>
    </row>
    <row r="247" spans="1:83" x14ac:dyDescent="0.25">
      <c r="A247" s="79" t="s">
        <v>87</v>
      </c>
      <c r="B247" s="79" t="s">
        <v>88</v>
      </c>
      <c r="C247" s="79" t="s">
        <v>122</v>
      </c>
      <c r="D247" s="79" t="s">
        <v>90</v>
      </c>
      <c r="E247" s="79" t="s">
        <v>91</v>
      </c>
      <c r="F247" s="79" t="s">
        <v>90</v>
      </c>
      <c r="G247" s="79" t="s">
        <v>92</v>
      </c>
      <c r="H247" s="79" t="s">
        <v>14</v>
      </c>
      <c r="I247" s="79" t="s">
        <v>164</v>
      </c>
      <c r="J247" s="79" t="s">
        <v>158</v>
      </c>
      <c r="K247" s="79" t="s">
        <v>159</v>
      </c>
      <c r="L247" s="79">
        <v>612.05999999999972</v>
      </c>
      <c r="M247" s="79">
        <v>0</v>
      </c>
      <c r="N247" s="79">
        <v>3.0244631686656035E-2</v>
      </c>
      <c r="O247" s="79">
        <v>255</v>
      </c>
      <c r="P247" s="79">
        <v>129.09500333079711</v>
      </c>
      <c r="Q247" s="79"/>
      <c r="R247" s="79">
        <v>299.62522934905462</v>
      </c>
      <c r="S247" s="79">
        <v>664.77065003695441</v>
      </c>
      <c r="T247" s="79">
        <v>15</v>
      </c>
      <c r="U247" s="79">
        <v>0.2</v>
      </c>
      <c r="V247" s="79">
        <f>tbl_Data_old[[#This Row],[2025 ]]*IFERROR(AVERAGEIFS('Participation Adjustment'!$C:$C,'Participation Adjustment'!$A:$A,$H247,'Participation Adjustment'!$B:$B,$I247),1)</f>
        <v>105846.0146750706</v>
      </c>
      <c r="W247" s="79">
        <f>tbl_Data_old[[#This Row],[2026 ]]*IFERROR(AVERAGEIFS('Participation Adjustment'!$C:$C,'Participation Adjustment'!$A:$A,$H247,'Participation Adjustment'!$B:$B,$I247),1)</f>
        <v>115001.3960005518</v>
      </c>
      <c r="X247" s="79">
        <f>tbl_Data_old[[#This Row],[2027 ]]*IFERROR(AVERAGEIFS('Participation Adjustment'!$C:$C,'Participation Adjustment'!$A:$A,$H247,'Participation Adjustment'!$B:$B,$I247),1)</f>
        <v>122357.15650717961</v>
      </c>
      <c r="Y247" s="79">
        <f>tbl_Data_old[[#This Row],[2028 ]]*IFERROR(AVERAGEIFS('Participation Adjustment'!$C:$C,'Participation Adjustment'!$A:$A,$H247,'Participation Adjustment'!$B:$B,$I247),1)</f>
        <v>128529.87648467461</v>
      </c>
      <c r="Z247" s="79">
        <f>tbl_Data_old[[#This Row],[2029 ]]*IFERROR(AVERAGEIFS('Participation Adjustment'!$C:$C,'Participation Adjustment'!$A:$A,$H247,'Participation Adjustment'!$B:$B,$I247),1)</f>
        <v>133466.7829829382</v>
      </c>
      <c r="AA247" s="79">
        <f>tbl_Data_old[[#This Row],[2030 ]]*IFERROR(AVERAGEIFS('Participation Adjustment'!$C:$C,'Participation Adjustment'!$A:$A,$H247,'Participation Adjustment'!$B:$B,$I247),1)</f>
        <v>137267.19416011719</v>
      </c>
      <c r="AB247" s="79">
        <f>tbl_Data_old[[#This Row],[2031 ]]*IFERROR(AVERAGEIFS('Participation Adjustment'!$C:$C,'Participation Adjustment'!$A:$A,$H247,'Participation Adjustment'!$B:$B,$I247),1)</f>
        <v>140021.0569645112</v>
      </c>
      <c r="AC247" s="79">
        <f>tbl_Data_old[[#This Row],[2032 ]]*IFERROR(AVERAGEIFS('Participation Adjustment'!$C:$C,'Participation Adjustment'!$A:$A,$H247,'Participation Adjustment'!$B:$B,$I247),1)</f>
        <v>142166.03075721799</v>
      </c>
      <c r="AD247" s="79">
        <f>tbl_Data_old[[#This Row],[2033 ]]*IFERROR(AVERAGEIFS('Participation Adjustment'!$C:$C,'Participation Adjustment'!$A:$A,$H247,'Participation Adjustment'!$B:$B,$I247),1)</f>
        <v>143993.32345775981</v>
      </c>
      <c r="AE247" s="79">
        <f>tbl_Data_old[[#This Row],[2034 ]]*IFERROR(AVERAGEIFS('Participation Adjustment'!$C:$C,'Participation Adjustment'!$A:$A,$H247,'Participation Adjustment'!$B:$B,$I247),1)</f>
        <v>145268.00634660601</v>
      </c>
      <c r="AF247" s="77" t="str">
        <f t="shared" si="110"/>
        <v>NonResidential</v>
      </c>
      <c r="AG247" s="77" t="str">
        <f>tbl_Data[[#This Row],[All_Meas_Name_Append]]</f>
        <v>LED Parking Lighting</v>
      </c>
      <c r="AH247" s="77">
        <f>AVERAGEIFS('3. Incentive Adjustment'!G:G,'3. Incentive Adjustment'!A:A,tbl_Data[[#This Row],[Trimmed Sector]],'3. Incentive Adjustment'!B:B,tbl_Data[[#This Row],[Trimmed Measure Name]])</f>
        <v>0.59704067730377497</v>
      </c>
      <c r="AI247" s="77">
        <f>$AH247*tbl_Data[[#This Row],[2025 ]]</f>
        <v>63194.376291509456</v>
      </c>
      <c r="AJ247" s="77">
        <f>$AH247*tbl_Data[[#This Row],[2026 ]]</f>
        <v>68660.51135904908</v>
      </c>
      <c r="AK247" s="77">
        <f>$AH247*tbl_Data[[#This Row],[2027 ]]</f>
        <v>73052.199594010512</v>
      </c>
      <c r="AL247" s="77">
        <f>$AH247*tbl_Data[[#This Row],[2028 ]]</f>
        <v>76737.564510180659</v>
      </c>
      <c r="AM247" s="77">
        <f>$AH247*tbl_Data[[#This Row],[2029 ]]</f>
        <v>79685.098509689371</v>
      </c>
      <c r="AN247" s="77">
        <f>$AH247*tbl_Data[[#This Row],[2030 ]]</f>
        <v>81954.098572945149</v>
      </c>
      <c r="AO247" s="77">
        <f>$AH247*tbl_Data[[#This Row],[2031 ]]</f>
        <v>83598.266686882227</v>
      </c>
      <c r="AP247" s="77">
        <f>$AH247*tbl_Data[[#This Row],[2032 ]]</f>
        <v>84878.903292878735</v>
      </c>
      <c r="AQ247" s="77">
        <f>$AH247*tbl_Data[[#This Row],[2033 ]]</f>
        <v>85969.871364442457</v>
      </c>
      <c r="AR247" s="77">
        <f>$AH247*tbl_Data[[#This Row],[2034 ]]</f>
        <v>86730.908899746733</v>
      </c>
      <c r="AS247" s="77">
        <f>SUM(tbl_Data[[#This Row],[Adjusted 2025]:[Adjusted 2034]])</f>
        <v>784461.79908133449</v>
      </c>
      <c r="AT247" s="80">
        <f>AVERAGEIFS('3. Incentive Adjustment'!F:F,'3. Incentive Adjustment'!A:A,tbl_Data[[#This Row],[Trimmed Sector]],'3. Incentive Adjustment'!B:B,tbl_Data[[#This Row],[Trimmed Measure Name]])</f>
        <v>9.4514474020799994</v>
      </c>
      <c r="AU247" s="80">
        <f>IFERROR(VLOOKUP(tbl_Data[[#This Row],[All_Meas_Name_Append]],'IRA Tax Credits'!$A$3:$D$46,4,0),0)</f>
        <v>0</v>
      </c>
      <c r="AV247" s="81">
        <f>tbl_Data[[#This Row],[Adj. per unit Incentive ($)]]/tbl_Data[[#This Row],[kWh Savings]]*tbl_Data[[#This Row],[Sum of Annuals]]</f>
        <v>12113.6807387483</v>
      </c>
      <c r="AW247" s="81">
        <f>IFERROR(VLOOKUP(tbl_Data[[#This Row],[Column1]],'1. Set Program Names'!$B$2:$D$15,3,0)*tbl_Data[[#This Row],[Sum of Annuals]],"")</f>
        <v>27926.600750207595</v>
      </c>
      <c r="AX247" s="81">
        <f>tbl_Data[[#This Row],[per unit IRA tax ($)]]/tbl_Data[[#This Row],[kWh Savings]]*tbl_Data[[#This Row],[Sum of Annuals]]</f>
        <v>0</v>
      </c>
      <c r="AY247" s="81">
        <f>tbl_Data[[#This Row],[Avoided Costs ($/unit)]]/tbl_Data[[#This Row],[kWh Savings]]*tbl_Data[[#This Row],[Sum of Annuals]]</f>
        <v>384022.06722431944</v>
      </c>
      <c r="AZ247" s="81">
        <f>tbl_Data[[#This Row],[Lost Revenue ($/unit)]]/tbl_Data[[#This Row],[kWh Savings]]*tbl_Data[[#This Row],[Sum of Annuals]]</f>
        <v>852019.70412125881</v>
      </c>
      <c r="BA247" s="81">
        <f>tbl_Data[[#This Row],[Incremental Cost ($/unit)]]/tbl_Data[[#This Row],[kWh Savings]]*tbl_Data[[#This Row],[Sum of Annuals]]</f>
        <v>326827.04108378326</v>
      </c>
      <c r="BB247" s="77">
        <f>ROUNDUP(tbl_Data[[#This Row],[Adjusted 2025]]/$L247,0)</f>
        <v>104</v>
      </c>
      <c r="BC247" s="77">
        <f>ROUNDUP(tbl_Data[[#This Row],[Adjusted 2026]]/$L247,0)</f>
        <v>113</v>
      </c>
      <c r="BD247" s="77">
        <f>ROUNDUP(tbl_Data[[#This Row],[Adjusted 2027]]/$L247,0)</f>
        <v>120</v>
      </c>
      <c r="BE247" s="77">
        <f>ROUNDUP(tbl_Data[[#This Row],[Adjusted 2028]]/$L247,0)</f>
        <v>126</v>
      </c>
      <c r="BF247" s="77">
        <f>ROUNDUP(tbl_Data[[#This Row],[Adjusted 2029]]/$L247,0)</f>
        <v>131</v>
      </c>
      <c r="BG247" s="77">
        <f>ROUNDUP(tbl_Data[[#This Row],[Adjusted 2030]]/$L247,0)</f>
        <v>134</v>
      </c>
      <c r="BH247" s="77">
        <f>ROUNDUP(tbl_Data[[#This Row],[Adjusted 2031]]/$L247,0)</f>
        <v>137</v>
      </c>
      <c r="BI247" s="77">
        <f>ROUNDUP(tbl_Data[[#This Row],[Adjusted 2032]]/$L247,0)</f>
        <v>139</v>
      </c>
      <c r="BJ247" s="77">
        <f>ROUNDUP(tbl_Data[[#This Row],[Adjusted 2033]]/$L247,0)</f>
        <v>141</v>
      </c>
      <c r="BK247" s="77">
        <f>ROUNDUP(tbl_Data[[#This Row],[Adjusted 2034]]/$L247,0)</f>
        <v>142</v>
      </c>
      <c r="BL247" s="80">
        <f t="shared" si="111"/>
        <v>1634.4770780989086</v>
      </c>
      <c r="BM247" s="80">
        <f t="shared" si="112"/>
        <v>1775.8547290543231</v>
      </c>
      <c r="BN247" s="80">
        <f t="shared" si="113"/>
        <v>1889.4425856871535</v>
      </c>
      <c r="BO247" s="80">
        <f t="shared" si="114"/>
        <v>1984.7618978380249</v>
      </c>
      <c r="BP247" s="80">
        <f t="shared" si="115"/>
        <v>2060.9977441559108</v>
      </c>
      <c r="BQ247" s="80">
        <f t="shared" si="116"/>
        <v>2119.6837983783471</v>
      </c>
      <c r="BR247" s="80">
        <f t="shared" si="117"/>
        <v>2162.2090237619277</v>
      </c>
      <c r="BS247" s="80">
        <f t="shared" si="118"/>
        <v>2195.3317682324182</v>
      </c>
      <c r="BT247" s="80">
        <f t="shared" si="119"/>
        <v>2223.5488725152918</v>
      </c>
      <c r="BU247" s="80">
        <f t="shared" si="120"/>
        <v>2243.2325608436604</v>
      </c>
      <c r="BV247" s="80">
        <f>IFERROR(VLOOKUP($H247,'1. Set Program Names'!$B$2:$D$15,3,0)*V247,"NA")</f>
        <v>3768.0858345083489</v>
      </c>
      <c r="BW247" s="80">
        <f>IFERROR(VLOOKUP($H247,'1. Set Program Names'!$B$2:$D$15,3,0)*W247,"NA")</f>
        <v>4094.0146168812312</v>
      </c>
      <c r="BX247" s="80">
        <f>IFERROR(VLOOKUP($H247,'1. Set Program Names'!$B$2:$D$15,3,0)*X247,"NA")</f>
        <v>4355.8774470704175</v>
      </c>
      <c r="BY247" s="80">
        <f>IFERROR(VLOOKUP($H247,'1. Set Program Names'!$B$2:$D$15,3,0)*Y247,"NA")</f>
        <v>4575.6243953044905</v>
      </c>
      <c r="BZ247" s="80">
        <f>IFERROR(VLOOKUP($H247,'1. Set Program Names'!$B$2:$D$15,3,0)*Z247,"NA")</f>
        <v>4751.376760658125</v>
      </c>
      <c r="CA247" s="80">
        <f>IFERROR(VLOOKUP($H247,'1. Set Program Names'!$B$2:$D$15,3,0)*AA247,"NA")</f>
        <v>4886.6702392647239</v>
      </c>
      <c r="CB247" s="80">
        <f>IFERROR(VLOOKUP($H247,'1. Set Program Names'!$B$2:$D$15,3,0)*AB247,"NA")</f>
        <v>4984.7069150457774</v>
      </c>
      <c r="CC247" s="80">
        <f>IFERROR(VLOOKUP($H247,'1. Set Program Names'!$B$2:$D$15,3,0)*AC247,"NA")</f>
        <v>5061.0673277500418</v>
      </c>
      <c r="CD247" s="80">
        <f>IFERROR(VLOOKUP($H247,'1. Set Program Names'!$B$2:$D$15,3,0)*AD247,"NA")</f>
        <v>5126.118390480643</v>
      </c>
      <c r="CE247" s="80">
        <f>IFERROR(VLOOKUP($H247,'1. Set Program Names'!$B$2:$D$15,3,0)*AE247,"NA")</f>
        <v>5171.4967124864015</v>
      </c>
    </row>
    <row r="248" spans="1:83" x14ac:dyDescent="0.25">
      <c r="A248" s="79" t="s">
        <v>87</v>
      </c>
      <c r="B248" s="79" t="s">
        <v>88</v>
      </c>
      <c r="C248" s="79" t="s">
        <v>122</v>
      </c>
      <c r="D248" s="79" t="s">
        <v>90</v>
      </c>
      <c r="E248" s="79" t="s">
        <v>91</v>
      </c>
      <c r="F248" s="79" t="s">
        <v>90</v>
      </c>
      <c r="G248" s="79" t="s">
        <v>92</v>
      </c>
      <c r="H248" s="79" t="s">
        <v>14</v>
      </c>
      <c r="I248" s="79" t="s">
        <v>165</v>
      </c>
      <c r="J248" s="79" t="s">
        <v>161</v>
      </c>
      <c r="K248" s="79" t="s">
        <v>166</v>
      </c>
      <c r="L248" s="79">
        <v>510.6</v>
      </c>
      <c r="M248" s="79">
        <v>6.2552429943266097E-2</v>
      </c>
      <c r="N248" s="79">
        <v>6.4361142955417797E-2</v>
      </c>
      <c r="O248" s="79">
        <v>129</v>
      </c>
      <c r="P248" s="79">
        <v>26.468747947944401</v>
      </c>
      <c r="Q248" s="79">
        <v>18.177204243412199</v>
      </c>
      <c r="R248" s="79">
        <v>174.74401692254699</v>
      </c>
      <c r="S248" s="79">
        <v>419.99719394182398</v>
      </c>
      <c r="T248" s="79">
        <v>10</v>
      </c>
      <c r="U248" s="79">
        <v>0.2</v>
      </c>
      <c r="V248" s="79">
        <f>tbl_Data_old[[#This Row],[2025 ]]*IFERROR(AVERAGEIFS('Participation Adjustment'!$C:$C,'Participation Adjustment'!$A:$A,$H248,'Participation Adjustment'!$B:$B,$I248),1)</f>
        <v>6642.5065405618298</v>
      </c>
      <c r="W248" s="79">
        <f>tbl_Data_old[[#This Row],[2026 ]]*IFERROR(AVERAGEIFS('Participation Adjustment'!$C:$C,'Participation Adjustment'!$A:$A,$H248,'Participation Adjustment'!$B:$B,$I248),1)</f>
        <v>9109.8247544498809</v>
      </c>
      <c r="X248" s="79">
        <f>tbl_Data_old[[#This Row],[2027 ]]*IFERROR(AVERAGEIFS('Participation Adjustment'!$C:$C,'Participation Adjustment'!$A:$A,$H248,'Participation Adjustment'!$B:$B,$I248),1)</f>
        <v>12118.040079669499</v>
      </c>
      <c r="Y248" s="79">
        <f>tbl_Data_old[[#This Row],[2028 ]]*IFERROR(AVERAGEIFS('Participation Adjustment'!$C:$C,'Participation Adjustment'!$A:$A,$H248,'Participation Adjustment'!$B:$B,$I248),1)</f>
        <v>15630.0990675057</v>
      </c>
      <c r="Z248" s="79">
        <f>tbl_Data_old[[#This Row],[2029 ]]*IFERROR(AVERAGEIFS('Participation Adjustment'!$C:$C,'Participation Adjustment'!$A:$A,$H248,'Participation Adjustment'!$B:$B,$I248),1)</f>
        <v>19360.054820805701</v>
      </c>
      <c r="AA248" s="79">
        <f>tbl_Data_old[[#This Row],[2030 ]]*IFERROR(AVERAGEIFS('Participation Adjustment'!$C:$C,'Participation Adjustment'!$A:$A,$H248,'Participation Adjustment'!$B:$B,$I248),1)</f>
        <v>22729.558753147699</v>
      </c>
      <c r="AB248" s="79">
        <f>tbl_Data_old[[#This Row],[2031 ]]*IFERROR(AVERAGEIFS('Participation Adjustment'!$C:$C,'Participation Adjustment'!$A:$A,$H248,'Participation Adjustment'!$B:$B,$I248),1)</f>
        <v>24985.1691949013</v>
      </c>
      <c r="AC248" s="79">
        <f>tbl_Data_old[[#This Row],[2032 ]]*IFERROR(AVERAGEIFS('Participation Adjustment'!$C:$C,'Participation Adjustment'!$A:$A,$H248,'Participation Adjustment'!$B:$B,$I248),1)</f>
        <v>25417.555791201401</v>
      </c>
      <c r="AD248" s="79">
        <f>tbl_Data_old[[#This Row],[2033 ]]*IFERROR(AVERAGEIFS('Participation Adjustment'!$C:$C,'Participation Adjustment'!$A:$A,$H248,'Participation Adjustment'!$B:$B,$I248),1)</f>
        <v>23662.963341707498</v>
      </c>
      <c r="AE248" s="79">
        <f>tbl_Data_old[[#This Row],[2034 ]]*IFERROR(AVERAGEIFS('Participation Adjustment'!$C:$C,'Participation Adjustment'!$A:$A,$H248,'Participation Adjustment'!$B:$B,$I248),1)</f>
        <v>20071.949075058201</v>
      </c>
      <c r="AF248" s="77" t="str">
        <f t="shared" si="110"/>
        <v>NonResidential</v>
      </c>
      <c r="AG248" s="77" t="str">
        <f>tbl_Data[[#This Row],[All_Meas_Name_Append]]</f>
        <v>Occupancy Sensors_ Ceiling Mounted</v>
      </c>
      <c r="AH248" s="77">
        <f>AVERAGEIFS('3. Incentive Adjustment'!G:G,'3. Incentive Adjustment'!A:A,tbl_Data[[#This Row],[Trimmed Sector]],'3. Incentive Adjustment'!B:B,tbl_Data[[#This Row],[Trimmed Measure Name]])</f>
        <v>0.99348124042467356</v>
      </c>
      <c r="AI248" s="77">
        <f>$AH248*tbl_Data[[#This Row],[2025 ]]</f>
        <v>6599.2056374463737</v>
      </c>
      <c r="AJ248" s="77">
        <f>$AH248*tbl_Data[[#This Row],[2026 ]]</f>
        <v>9050.4399971022649</v>
      </c>
      <c r="AK248" s="77">
        <f>$AH248*tbl_Data[[#This Row],[2027 ]]</f>
        <v>12039.045489865965</v>
      </c>
      <c r="AL248" s="77">
        <f>$AH248*tbl_Data[[#This Row],[2028 ]]</f>
        <v>15528.210209546096</v>
      </c>
      <c r="AM248" s="77">
        <f>$AH248*tbl_Data[[#This Row],[2029 ]]</f>
        <v>19233.851278063728</v>
      </c>
      <c r="AN248" s="77">
        <f>$AH248*tbl_Data[[#This Row],[2030 ]]</f>
        <v>22581.390224382674</v>
      </c>
      <c r="AO248" s="77">
        <f>$AH248*tbl_Data[[#This Row],[2031 ]]</f>
        <v>24822.296883970885</v>
      </c>
      <c r="AP248" s="77">
        <f>$AH248*tbl_Data[[#This Row],[2032 ]]</f>
        <v>25251.864856006112</v>
      </c>
      <c r="AQ248" s="77">
        <f>$AH248*tbl_Data[[#This Row],[2033 ]]</f>
        <v>23508.710172843144</v>
      </c>
      <c r="AR248" s="77">
        <f>$AH248*tbl_Data[[#This Row],[2034 ]]</f>
        <v>19941.1048648297</v>
      </c>
      <c r="AS248" s="77">
        <f>SUM(tbl_Data[[#This Row],[Adjusted 2025]:[Adjusted 2034]])</f>
        <v>178556.11961405695</v>
      </c>
      <c r="AT248" s="80">
        <f>AVERAGEIFS('3. Incentive Adjustment'!F:F,'3. Incentive Adjustment'!A:A,tbl_Data[[#This Row],[Trimmed Sector]],'3. Incentive Adjustment'!B:B,tbl_Data[[#This Row],[Trimmed Measure Name]])</f>
        <v>19.547634357270656</v>
      </c>
      <c r="AU248" s="80">
        <f>IFERROR(VLOOKUP(tbl_Data[[#This Row],[All_Meas_Name_Append]],'IRA Tax Credits'!$A$3:$D$46,4,0),0)</f>
        <v>0</v>
      </c>
      <c r="AV248" s="81">
        <f>tbl_Data[[#This Row],[Adj. per unit Incentive ($)]]/tbl_Data[[#This Row],[kWh Savings]]*tbl_Data[[#This Row],[Sum of Annuals]]</f>
        <v>6835.7809214035815</v>
      </c>
      <c r="AW248" s="81">
        <f>IFERROR(VLOOKUP(tbl_Data[[#This Row],[Column1]],'1. Set Program Names'!$B$2:$D$15,3,0)*tbl_Data[[#This Row],[Sum of Annuals]],"")</f>
        <v>6356.5433903953226</v>
      </c>
      <c r="AX248" s="81">
        <f>tbl_Data[[#This Row],[per unit IRA tax ($)]]/tbl_Data[[#This Row],[kWh Savings]]*tbl_Data[[#This Row],[Sum of Annuals]]</f>
        <v>0</v>
      </c>
      <c r="AY248" s="81">
        <f>tbl_Data[[#This Row],[Avoided Costs ($/unit)]]/tbl_Data[[#This Row],[kWh Savings]]*tbl_Data[[#This Row],[Sum of Annuals]]</f>
        <v>61107.74302284194</v>
      </c>
      <c r="AZ248" s="81">
        <f>tbl_Data[[#This Row],[Lost Revenue ($/unit)]]/tbl_Data[[#This Row],[kWh Savings]]*tbl_Data[[#This Row],[Sum of Annuals]]</f>
        <v>146872.44261465842</v>
      </c>
      <c r="BA248" s="81">
        <f>tbl_Data[[#This Row],[Incremental Cost ($/unit)]]/tbl_Data[[#This Row],[kWh Savings]]*tbl_Data[[#This Row],[Sum of Annuals]]</f>
        <v>45111.123051730014</v>
      </c>
      <c r="BB248" s="77">
        <f>ROUNDUP(tbl_Data[[#This Row],[Adjusted 2025]]/$L248,0)</f>
        <v>13</v>
      </c>
      <c r="BC248" s="77">
        <f>ROUNDUP(tbl_Data[[#This Row],[Adjusted 2026]]/$L248,0)</f>
        <v>18</v>
      </c>
      <c r="BD248" s="77">
        <f>ROUNDUP(tbl_Data[[#This Row],[Adjusted 2027]]/$L248,0)</f>
        <v>24</v>
      </c>
      <c r="BE248" s="77">
        <f>ROUNDUP(tbl_Data[[#This Row],[Adjusted 2028]]/$L248,0)</f>
        <v>31</v>
      </c>
      <c r="BF248" s="77">
        <f>ROUNDUP(tbl_Data[[#This Row],[Adjusted 2029]]/$L248,0)</f>
        <v>38</v>
      </c>
      <c r="BG248" s="77">
        <f>ROUNDUP(tbl_Data[[#This Row],[Adjusted 2030]]/$L248,0)</f>
        <v>45</v>
      </c>
      <c r="BH248" s="77">
        <f>ROUNDUP(tbl_Data[[#This Row],[Adjusted 2031]]/$L248,0)</f>
        <v>49</v>
      </c>
      <c r="BI248" s="77">
        <f>ROUNDUP(tbl_Data[[#This Row],[Adjusted 2032]]/$L248,0)</f>
        <v>50</v>
      </c>
      <c r="BJ248" s="77">
        <f>ROUNDUP(tbl_Data[[#This Row],[Adjusted 2033]]/$L248,0)</f>
        <v>47</v>
      </c>
      <c r="BK248" s="77">
        <f>ROUNDUP(tbl_Data[[#This Row],[Adjusted 2034]]/$L248,0)</f>
        <v>40</v>
      </c>
      <c r="BL248" s="80">
        <f t="shared" si="111"/>
        <v>254.29943022068446</v>
      </c>
      <c r="BM248" s="80">
        <f t="shared" si="112"/>
        <v>348.75739004856877</v>
      </c>
      <c r="BN248" s="80">
        <f t="shared" si="113"/>
        <v>463.9228683982185</v>
      </c>
      <c r="BO248" s="80">
        <f t="shared" si="114"/>
        <v>598.37732381417641</v>
      </c>
      <c r="BP248" s="80">
        <f t="shared" si="115"/>
        <v>741.17366387353104</v>
      </c>
      <c r="BQ248" s="80">
        <f t="shared" si="116"/>
        <v>870.17059069453967</v>
      </c>
      <c r="BR248" s="80">
        <f t="shared" si="117"/>
        <v>956.52360316583054</v>
      </c>
      <c r="BS248" s="80">
        <f t="shared" si="118"/>
        <v>973.07694254197463</v>
      </c>
      <c r="BT248" s="80">
        <f t="shared" si="119"/>
        <v>905.90473014727297</v>
      </c>
      <c r="BU248" s="80">
        <f t="shared" si="120"/>
        <v>768.42757805913561</v>
      </c>
      <c r="BV248" s="80">
        <f>IFERROR(VLOOKUP($H248,'1. Set Program Names'!$B$2:$D$15,3,0)*V248,"NA")</f>
        <v>236.47120657264739</v>
      </c>
      <c r="BW248" s="80">
        <f>IFERROR(VLOOKUP($H248,'1. Set Program Names'!$B$2:$D$15,3,0)*W248,"NA")</f>
        <v>324.30698234102596</v>
      </c>
      <c r="BX248" s="80">
        <f>IFERROR(VLOOKUP($H248,'1. Set Program Names'!$B$2:$D$15,3,0)*X248,"NA")</f>
        <v>431.3985302742019</v>
      </c>
      <c r="BY248" s="80">
        <f>IFERROR(VLOOKUP($H248,'1. Set Program Names'!$B$2:$D$15,3,0)*Y248,"NA")</f>
        <v>556.4267589009354</v>
      </c>
      <c r="BZ248" s="80">
        <f>IFERROR(VLOOKUP($H248,'1. Set Program Names'!$B$2:$D$15,3,0)*Z248,"NA")</f>
        <v>689.21204590960076</v>
      </c>
      <c r="CA248" s="80">
        <f>IFERROR(VLOOKUP($H248,'1. Set Program Names'!$B$2:$D$15,3,0)*AA248,"NA")</f>
        <v>809.16535804661805</v>
      </c>
      <c r="CB248" s="80">
        <f>IFERROR(VLOOKUP($H248,'1. Set Program Names'!$B$2:$D$15,3,0)*AB248,"NA")</f>
        <v>889.46440170766073</v>
      </c>
      <c r="CC248" s="80">
        <f>IFERROR(VLOOKUP($H248,'1. Set Program Names'!$B$2:$D$15,3,0)*AC248,"NA")</f>
        <v>904.85723263805789</v>
      </c>
      <c r="CD248" s="80">
        <f>IFERROR(VLOOKUP($H248,'1. Set Program Names'!$B$2:$D$15,3,0)*AD248,"NA")</f>
        <v>842.39427666782763</v>
      </c>
      <c r="CE248" s="80">
        <f>IFERROR(VLOOKUP($H248,'1. Set Program Names'!$B$2:$D$15,3,0)*AE248,"NA")</f>
        <v>714.55526420035528</v>
      </c>
    </row>
    <row r="249" spans="1:83" x14ac:dyDescent="0.25">
      <c r="A249" s="79" t="s">
        <v>87</v>
      </c>
      <c r="B249" s="79" t="s">
        <v>88</v>
      </c>
      <c r="C249" s="79" t="s">
        <v>122</v>
      </c>
      <c r="D249" s="79" t="s">
        <v>90</v>
      </c>
      <c r="E249" s="79" t="s">
        <v>91</v>
      </c>
      <c r="F249" s="79" t="s">
        <v>90</v>
      </c>
      <c r="G249" s="79" t="s">
        <v>92</v>
      </c>
      <c r="H249" s="79" t="s">
        <v>14</v>
      </c>
      <c r="I249" s="79" t="s">
        <v>154</v>
      </c>
      <c r="J249" s="79" t="s">
        <v>129</v>
      </c>
      <c r="K249" s="79" t="s">
        <v>102</v>
      </c>
      <c r="L249" s="79">
        <v>111105.09249999899</v>
      </c>
      <c r="M249" s="79">
        <v>30.6532165911823</v>
      </c>
      <c r="N249" s="79">
        <v>0</v>
      </c>
      <c r="O249" s="79">
        <v>40257.675000000003</v>
      </c>
      <c r="P249" s="79">
        <v>17605.607636663401</v>
      </c>
      <c r="Q249" s="79">
        <v>3955.3074008141398</v>
      </c>
      <c r="R249" s="79">
        <v>56706.982631731698</v>
      </c>
      <c r="S249" s="79">
        <v>120673.47084214</v>
      </c>
      <c r="T249" s="79">
        <v>15</v>
      </c>
      <c r="U249" s="79">
        <v>0.95</v>
      </c>
      <c r="V249" s="79">
        <f>tbl_Data_old[[#This Row],[2025 ]]*IFERROR(AVERAGEIFS('Participation Adjustment'!$C:$C,'Participation Adjustment'!$A:$A,$H249,'Participation Adjustment'!$B:$B,$I249),1)</f>
        <v>2839.2321444652202</v>
      </c>
      <c r="W249" s="79">
        <f>tbl_Data_old[[#This Row],[2026 ]]*IFERROR(AVERAGEIFS('Participation Adjustment'!$C:$C,'Participation Adjustment'!$A:$A,$H249,'Participation Adjustment'!$B:$B,$I249),1)</f>
        <v>2849.4217043458402</v>
      </c>
      <c r="X249" s="79">
        <f>tbl_Data_old[[#This Row],[2027 ]]*IFERROR(AVERAGEIFS('Participation Adjustment'!$C:$C,'Participation Adjustment'!$A:$A,$H249,'Participation Adjustment'!$B:$B,$I249),1)</f>
        <v>2870.1506519214399</v>
      </c>
      <c r="Y249" s="79">
        <f>tbl_Data_old[[#This Row],[2028 ]]*IFERROR(AVERAGEIFS('Participation Adjustment'!$C:$C,'Participation Adjustment'!$A:$A,$H249,'Participation Adjustment'!$B:$B,$I249),1)</f>
        <v>2896.67764037398</v>
      </c>
      <c r="Z249" s="79">
        <f>tbl_Data_old[[#This Row],[2029 ]]*IFERROR(AVERAGEIFS('Participation Adjustment'!$C:$C,'Participation Adjustment'!$A:$A,$H249,'Participation Adjustment'!$B:$B,$I249),1)</f>
        <v>2914.4712153269002</v>
      </c>
      <c r="AA249" s="79">
        <f>tbl_Data_old[[#This Row],[2030 ]]*IFERROR(AVERAGEIFS('Participation Adjustment'!$C:$C,'Participation Adjustment'!$A:$A,$H249,'Participation Adjustment'!$B:$B,$I249),1)</f>
        <v>2931.8348608429396</v>
      </c>
      <c r="AB249" s="79">
        <f>tbl_Data_old[[#This Row],[2031 ]]*IFERROR(AVERAGEIFS('Participation Adjustment'!$C:$C,'Participation Adjustment'!$A:$A,$H249,'Participation Adjustment'!$B:$B,$I249),1)</f>
        <v>2937.5111728655002</v>
      </c>
      <c r="AC249" s="79">
        <f>tbl_Data_old[[#This Row],[2032 ]]*IFERROR(AVERAGEIFS('Participation Adjustment'!$C:$C,'Participation Adjustment'!$A:$A,$H249,'Participation Adjustment'!$B:$B,$I249),1)</f>
        <v>2939.5234978214198</v>
      </c>
      <c r="AD249" s="79">
        <f>tbl_Data_old[[#This Row],[2033 ]]*IFERROR(AVERAGEIFS('Participation Adjustment'!$C:$C,'Participation Adjustment'!$A:$A,$H249,'Participation Adjustment'!$B:$B,$I249),1)</f>
        <v>2956.5946618554799</v>
      </c>
      <c r="AE249" s="79">
        <f>tbl_Data_old[[#This Row],[2034 ]]*IFERROR(AVERAGEIFS('Participation Adjustment'!$C:$C,'Participation Adjustment'!$A:$A,$H249,'Participation Adjustment'!$B:$B,$I249),1)</f>
        <v>2966.3765951651799</v>
      </c>
      <c r="AF249" s="77" t="str">
        <f t="shared" si="110"/>
        <v>NonResidential</v>
      </c>
      <c r="AG249" s="77" t="str">
        <f>tbl_Data[[#This Row],[All_Meas_Name_Append]]</f>
        <v>Reflective Roof Treatment</v>
      </c>
      <c r="AH249" s="77">
        <f>AVERAGEIFS('3. Incentive Adjustment'!G:G,'3. Incentive Adjustment'!A:A,tbl_Data[[#This Row],[Trimmed Sector]],'3. Incentive Adjustment'!B:B,tbl_Data[[#This Row],[Trimmed Measure Name]])</f>
        <v>0.87696681614875649</v>
      </c>
      <c r="AI249" s="77">
        <f>$AH249*tbl_Data[[#This Row],[2025 ]]</f>
        <v>2489.9123740388704</v>
      </c>
      <c r="AJ249" s="77">
        <f>$AH249*tbl_Data[[#This Row],[2026 ]]</f>
        <v>2498.8482799253347</v>
      </c>
      <c r="AK249" s="77">
        <f>$AH249*tbl_Data[[#This Row],[2027 ]]</f>
        <v>2517.0268790828231</v>
      </c>
      <c r="AL249" s="77">
        <f>$AH249*tbl_Data[[#This Row],[2028 ]]</f>
        <v>2540.290167688062</v>
      </c>
      <c r="AM249" s="77">
        <f>$AH249*tbl_Data[[#This Row],[2029 ]]</f>
        <v>2555.8945424624285</v>
      </c>
      <c r="AN249" s="77">
        <f>$AH249*tbl_Data[[#This Row],[2030 ]]</f>
        <v>2571.1218833873654</v>
      </c>
      <c r="AO249" s="77">
        <f>$AH249*tbl_Data[[#This Row],[2031 ]]</f>
        <v>2576.099820669257</v>
      </c>
      <c r="AP249" s="77">
        <f>$AH249*tbl_Data[[#This Row],[2032 ]]</f>
        <v>2577.8645628789068</v>
      </c>
      <c r="AQ249" s="77">
        <f>$AH249*tbl_Data[[#This Row],[2033 ]]</f>
        <v>2592.8354072498096</v>
      </c>
      <c r="AR249" s="77">
        <f>$AH249*tbl_Data[[#This Row],[2034 ]]</f>
        <v>2601.4138381601965</v>
      </c>
      <c r="AS249" s="77">
        <f>SUM(tbl_Data[[#This Row],[Adjusted 2025]:[Adjusted 2034]])</f>
        <v>25521.30775554305</v>
      </c>
      <c r="AT249" s="80">
        <f>AVERAGEIFS('3. Incentive Adjustment'!F:F,'3. Incentive Adjustment'!A:A,tbl_Data[[#This Row],[Trimmed Sector]],'3. Incentive Adjustment'!B:B,tbl_Data[[#This Row],[Trimmed Measure Name]])</f>
        <v>12077.302499999998</v>
      </c>
      <c r="AU249" s="80">
        <f>IFERROR(VLOOKUP(tbl_Data[[#This Row],[All_Meas_Name_Append]],'IRA Tax Credits'!$A$3:$D$46,4,0),0)</f>
        <v>0</v>
      </c>
      <c r="AV249" s="81">
        <f>tbl_Data[[#This Row],[Adj. per unit Incentive ($)]]/tbl_Data[[#This Row],[kWh Savings]]*tbl_Data[[#This Row],[Sum of Annuals]]</f>
        <v>2774.2072575052507</v>
      </c>
      <c r="AW249" s="81">
        <f>IFERROR(VLOOKUP(tbl_Data[[#This Row],[Column1]],'1. Set Program Names'!$B$2:$D$15,3,0)*tbl_Data[[#This Row],[Sum of Annuals]],"")</f>
        <v>908.55077091947851</v>
      </c>
      <c r="AX249" s="81">
        <f>tbl_Data[[#This Row],[per unit IRA tax ($)]]/tbl_Data[[#This Row],[kWh Savings]]*tbl_Data[[#This Row],[Sum of Annuals]]</f>
        <v>0</v>
      </c>
      <c r="AY249" s="81">
        <f>tbl_Data[[#This Row],[Avoided Costs ($/unit)]]/tbl_Data[[#This Row],[kWh Savings]]*tbl_Data[[#This Row],[Sum of Annuals]]</f>
        <v>13025.832777491025</v>
      </c>
      <c r="AZ249" s="81">
        <f>tbl_Data[[#This Row],[Lost Revenue ($/unit)]]/tbl_Data[[#This Row],[kWh Savings]]*tbl_Data[[#This Row],[Sum of Annuals]]</f>
        <v>27719.204565639808</v>
      </c>
      <c r="BA249" s="81">
        <f>tbl_Data[[#This Row],[Incremental Cost ($/unit)]]/tbl_Data[[#This Row],[kWh Savings]]*tbl_Data[[#This Row],[Sum of Annuals]]</f>
        <v>9247.3575250175054</v>
      </c>
      <c r="BB249" s="77">
        <f>ROUNDUP(tbl_Data[[#This Row],[Adjusted 2025]]/$L249,0)</f>
        <v>1</v>
      </c>
      <c r="BC249" s="77">
        <f>ROUNDUP(tbl_Data[[#This Row],[Adjusted 2026]]/$L249,0)</f>
        <v>1</v>
      </c>
      <c r="BD249" s="77">
        <f>ROUNDUP(tbl_Data[[#This Row],[Adjusted 2027]]/$L249,0)</f>
        <v>1</v>
      </c>
      <c r="BE249" s="77">
        <f>ROUNDUP(tbl_Data[[#This Row],[Adjusted 2028]]/$L249,0)</f>
        <v>1</v>
      </c>
      <c r="BF249" s="77">
        <f>ROUNDUP(tbl_Data[[#This Row],[Adjusted 2029]]/$L249,0)</f>
        <v>1</v>
      </c>
      <c r="BG249" s="77">
        <f>ROUNDUP(tbl_Data[[#This Row],[Adjusted 2030]]/$L249,0)</f>
        <v>1</v>
      </c>
      <c r="BH249" s="77">
        <f>ROUNDUP(tbl_Data[[#This Row],[Adjusted 2031]]/$L249,0)</f>
        <v>1</v>
      </c>
      <c r="BI249" s="77">
        <f>ROUNDUP(tbl_Data[[#This Row],[Adjusted 2032]]/$L249,0)</f>
        <v>1</v>
      </c>
      <c r="BJ249" s="77">
        <f>ROUNDUP(tbl_Data[[#This Row],[Adjusted 2033]]/$L249,0)</f>
        <v>1</v>
      </c>
      <c r="BK249" s="77">
        <f>ROUNDUP(tbl_Data[[#This Row],[Adjusted 2034]]/$L249,0)</f>
        <v>1</v>
      </c>
      <c r="BL249" s="80">
        <f t="shared" si="111"/>
        <v>308.62910695502524</v>
      </c>
      <c r="BM249" s="80">
        <f t="shared" si="112"/>
        <v>309.73672852529768</v>
      </c>
      <c r="BN249" s="80">
        <f t="shared" si="113"/>
        <v>311.98999851269417</v>
      </c>
      <c r="BO249" s="80">
        <f t="shared" si="114"/>
        <v>314.87352488170677</v>
      </c>
      <c r="BP249" s="80">
        <f t="shared" si="115"/>
        <v>316.80771513732304</v>
      </c>
      <c r="BQ249" s="80">
        <f t="shared" si="116"/>
        <v>318.69517137070835</v>
      </c>
      <c r="BR249" s="80">
        <f t="shared" si="117"/>
        <v>319.31219562979754</v>
      </c>
      <c r="BS249" s="80">
        <f t="shared" si="118"/>
        <v>319.5309385935455</v>
      </c>
      <c r="BT249" s="80">
        <f t="shared" si="119"/>
        <v>321.38660161877061</v>
      </c>
      <c r="BU249" s="80">
        <f t="shared" si="120"/>
        <v>322.44991352426291</v>
      </c>
      <c r="BV249" s="80">
        <f>IFERROR(VLOOKUP($H249,'1. Set Program Names'!$B$2:$D$15,3,0)*V249,"NA")</f>
        <v>101.07579824599591</v>
      </c>
      <c r="BW249" s="80">
        <f>IFERROR(VLOOKUP($H249,'1. Set Program Names'!$B$2:$D$15,3,0)*W249,"NA")</f>
        <v>101.43854346945949</v>
      </c>
      <c r="BX249" s="80">
        <f>IFERROR(VLOOKUP($H249,'1. Set Program Names'!$B$2:$D$15,3,0)*X249,"NA")</f>
        <v>102.17648767986424</v>
      </c>
      <c r="BY249" s="80">
        <f>IFERROR(VLOOKUP($H249,'1. Set Program Names'!$B$2:$D$15,3,0)*Y249,"NA")</f>
        <v>103.12084037681774</v>
      </c>
      <c r="BZ249" s="80">
        <f>IFERROR(VLOOKUP($H249,'1. Set Program Names'!$B$2:$D$15,3,0)*Z249,"NA")</f>
        <v>103.75428621727934</v>
      </c>
      <c r="CA249" s="80">
        <f>IFERROR(VLOOKUP($H249,'1. Set Program Names'!$B$2:$D$15,3,0)*AA249,"NA")</f>
        <v>104.37242670093633</v>
      </c>
      <c r="CB249" s="80">
        <f>IFERROR(VLOOKUP($H249,'1. Set Program Names'!$B$2:$D$15,3,0)*AB249,"NA")</f>
        <v>104.57450167740208</v>
      </c>
      <c r="CC249" s="80">
        <f>IFERROR(VLOOKUP($H249,'1. Set Program Names'!$B$2:$D$15,3,0)*AC249,"NA")</f>
        <v>104.64613983198076</v>
      </c>
      <c r="CD249" s="80">
        <f>IFERROR(VLOOKUP($H249,'1. Set Program Names'!$B$2:$D$15,3,0)*AD249,"NA")</f>
        <v>105.25386806409963</v>
      </c>
      <c r="CE249" s="80">
        <f>IFERROR(VLOOKUP($H249,'1. Set Program Names'!$B$2:$D$15,3,0)*AE249,"NA")</f>
        <v>105.60210190598342</v>
      </c>
    </row>
    <row r="250" spans="1:83" x14ac:dyDescent="0.25">
      <c r="A250" s="79" t="s">
        <v>87</v>
      </c>
      <c r="B250" s="79" t="s">
        <v>88</v>
      </c>
      <c r="C250" s="79" t="s">
        <v>122</v>
      </c>
      <c r="D250" s="79" t="s">
        <v>90</v>
      </c>
      <c r="E250" s="79" t="s">
        <v>91</v>
      </c>
      <c r="F250" s="79" t="s">
        <v>90</v>
      </c>
      <c r="G250" s="79" t="s">
        <v>92</v>
      </c>
      <c r="H250" s="79" t="s">
        <v>14</v>
      </c>
      <c r="I250" s="79" t="s">
        <v>167</v>
      </c>
      <c r="J250" s="79" t="s">
        <v>124</v>
      </c>
      <c r="K250" s="79" t="s">
        <v>98</v>
      </c>
      <c r="L250" s="79">
        <v>151.65999999999994</v>
      </c>
      <c r="M250" s="79">
        <v>2.2013191527321094E-2</v>
      </c>
      <c r="N250" s="79">
        <v>1.952960139549019E-2</v>
      </c>
      <c r="O250" s="79">
        <v>56.59999999999998</v>
      </c>
      <c r="P250" s="79">
        <v>25.402483751835906</v>
      </c>
      <c r="Q250" s="79"/>
      <c r="R250" s="79">
        <v>70.56447857633529</v>
      </c>
      <c r="S250" s="79">
        <v>171.41744415542868</v>
      </c>
      <c r="T250" s="79">
        <v>16</v>
      </c>
      <c r="U250" s="79">
        <v>0.2</v>
      </c>
      <c r="V250" s="79">
        <f>tbl_Data_old[[#This Row],[2025 ]]*IFERROR(AVERAGEIFS('Participation Adjustment'!$C:$C,'Participation Adjustment'!$A:$A,$H250,'Participation Adjustment'!$B:$B,$I250),1)</f>
        <v>965.51517445058698</v>
      </c>
      <c r="W250" s="79">
        <f>tbl_Data_old[[#This Row],[2026 ]]*IFERROR(AVERAGEIFS('Participation Adjustment'!$C:$C,'Participation Adjustment'!$A:$A,$H250,'Participation Adjustment'!$B:$B,$I250),1)</f>
        <v>1313.1344419919301</v>
      </c>
      <c r="X250" s="79">
        <f>tbl_Data_old[[#This Row],[2027 ]]*IFERROR(AVERAGEIFS('Participation Adjustment'!$C:$C,'Participation Adjustment'!$A:$A,$H250,'Participation Adjustment'!$B:$B,$I250),1)</f>
        <v>1696.4288303532401</v>
      </c>
      <c r="Y250" s="79">
        <f>tbl_Data_old[[#This Row],[2028 ]]*IFERROR(AVERAGEIFS('Participation Adjustment'!$C:$C,'Participation Adjustment'!$A:$A,$H250,'Participation Adjustment'!$B:$B,$I250),1)</f>
        <v>2094.4850280931701</v>
      </c>
      <c r="Z250" s="79">
        <f>tbl_Data_old[[#This Row],[2029 ]]*IFERROR(AVERAGEIFS('Participation Adjustment'!$C:$C,'Participation Adjustment'!$A:$A,$H250,'Participation Adjustment'!$B:$B,$I250),1)</f>
        <v>2472.6293643621898</v>
      </c>
      <c r="AA250" s="79">
        <f>tbl_Data_old[[#This Row],[2030 ]]*IFERROR(AVERAGEIFS('Participation Adjustment'!$C:$C,'Participation Adjustment'!$A:$A,$H250,'Participation Adjustment'!$B:$B,$I250),1)</f>
        <v>2803.7331503054402</v>
      </c>
      <c r="AB250" s="79">
        <f>tbl_Data_old[[#This Row],[2031 ]]*IFERROR(AVERAGEIFS('Participation Adjustment'!$C:$C,'Participation Adjustment'!$A:$A,$H250,'Participation Adjustment'!$B:$B,$I250),1)</f>
        <v>3068.72692957961</v>
      </c>
      <c r="AC250" s="79">
        <f>tbl_Data_old[[#This Row],[2032 ]]*IFERROR(AVERAGEIFS('Participation Adjustment'!$C:$C,'Participation Adjustment'!$A:$A,$H250,'Participation Adjustment'!$B:$B,$I250),1)</f>
        <v>3273.11750510817</v>
      </c>
      <c r="AD250" s="79">
        <f>tbl_Data_old[[#This Row],[2033 ]]*IFERROR(AVERAGEIFS('Participation Adjustment'!$C:$C,'Participation Adjustment'!$A:$A,$H250,'Participation Adjustment'!$B:$B,$I250),1)</f>
        <v>3433.6100718593402</v>
      </c>
      <c r="AE250" s="79">
        <f>tbl_Data_old[[#This Row],[2034 ]]*IFERROR(AVERAGEIFS('Participation Adjustment'!$C:$C,'Participation Adjustment'!$A:$A,$H250,'Participation Adjustment'!$B:$B,$I250),1)</f>
        <v>3553.3295669899799</v>
      </c>
      <c r="AF250" s="77" t="str">
        <f t="shared" si="110"/>
        <v>NonResidential</v>
      </c>
      <c r="AG250" s="77" t="str">
        <f>tbl_Data[[#This Row],[All_Meas_Name_Append]]</f>
        <v>Refrigerated Display Case LED Lighting</v>
      </c>
      <c r="AH250" s="77">
        <f>AVERAGEIFS('3. Incentive Adjustment'!G:G,'3. Incentive Adjustment'!A:A,tbl_Data[[#This Row],[Trimmed Sector]],'3. Incentive Adjustment'!B:B,tbl_Data[[#This Row],[Trimmed Measure Name]])</f>
        <v>0.72450810749703154</v>
      </c>
      <c r="AI250" s="77">
        <f>$AH250*tbl_Data[[#This Row],[2025 ]]</f>
        <v>699.52357180086108</v>
      </c>
      <c r="AJ250" s="77">
        <f>$AH250*tbl_Data[[#This Row],[2026 ]]</f>
        <v>951.37654945674376</v>
      </c>
      <c r="AK250" s="77">
        <f>$AH250*tbl_Data[[#This Row],[2027 ]]</f>
        <v>1229.0764413826287</v>
      </c>
      <c r="AL250" s="77">
        <f>$AH250*tbl_Data[[#This Row],[2028 ]]</f>
        <v>1517.4713838846496</v>
      </c>
      <c r="AM250" s="77">
        <f>$AH250*tbl_Data[[#This Row],[2029 ]]</f>
        <v>1791.4400213156382</v>
      </c>
      <c r="AN250" s="77">
        <f>$AH250*tbl_Data[[#This Row],[2030 ]]</f>
        <v>2031.3273986544848</v>
      </c>
      <c r="AO250" s="77">
        <f>$AH250*tbl_Data[[#This Row],[2031 ]]</f>
        <v>2223.3175401748995</v>
      </c>
      <c r="AP250" s="77">
        <f>$AH250*tbl_Data[[#This Row],[2032 ]]</f>
        <v>2371.4001692413258</v>
      </c>
      <c r="AQ250" s="77">
        <f>$AH250*tbl_Data[[#This Row],[2033 ]]</f>
        <v>2487.6783350455571</v>
      </c>
      <c r="AR250" s="77">
        <f>$AH250*tbl_Data[[#This Row],[2034 ]]</f>
        <v>2574.4160798931571</v>
      </c>
      <c r="AS250" s="77">
        <f>SUM(tbl_Data[[#This Row],[Adjusted 2025]:[Adjusted 2034]])</f>
        <v>17877.027490849945</v>
      </c>
      <c r="AT250" s="80">
        <f>AVERAGEIFS('3. Incentive Adjustment'!F:F,'3. Incentive Adjustment'!A:A,tbl_Data[[#This Row],[Trimmed Sector]],'3. Incentive Adjustment'!B:B,tbl_Data[[#This Row],[Trimmed Measure Name]])</f>
        <v>6.879122352287844</v>
      </c>
      <c r="AU250" s="80">
        <f>IFERROR(VLOOKUP(tbl_Data[[#This Row],[All_Meas_Name_Append]],'IRA Tax Credits'!$A$3:$D$46,4,0),0)</f>
        <v>0</v>
      </c>
      <c r="AV250" s="81">
        <f>tbl_Data[[#This Row],[Adj. per unit Incentive ($)]]/tbl_Data[[#This Row],[kWh Savings]]*tbl_Data[[#This Row],[Sum of Annuals]]</f>
        <v>810.88130953956329</v>
      </c>
      <c r="AW250" s="81">
        <f>IFERROR(VLOOKUP(tbl_Data[[#This Row],[Column1]],'1. Set Program Names'!$B$2:$D$15,3,0)*tbl_Data[[#This Row],[Sum of Annuals]],"")</f>
        <v>636.41672535502175</v>
      </c>
      <c r="AX250" s="81">
        <f>tbl_Data[[#This Row],[per unit IRA tax ($)]]/tbl_Data[[#This Row],[kWh Savings]]*tbl_Data[[#This Row],[Sum of Annuals]]</f>
        <v>0</v>
      </c>
      <c r="AY250" s="81">
        <f>tbl_Data[[#This Row],[Avoided Costs ($/unit)]]/tbl_Data[[#This Row],[kWh Savings]]*tbl_Data[[#This Row],[Sum of Annuals]]</f>
        <v>8317.8367624069524</v>
      </c>
      <c r="AZ250" s="81">
        <f>tbl_Data[[#This Row],[Lost Revenue ($/unit)]]/tbl_Data[[#This Row],[kWh Savings]]*tbl_Data[[#This Row],[Sum of Annuals]]</f>
        <v>20205.949898310922</v>
      </c>
      <c r="BA250" s="81">
        <f>tbl_Data[[#This Row],[Incremental Cost ($/unit)]]/tbl_Data[[#This Row],[kWh Savings]]*tbl_Data[[#This Row],[Sum of Annuals]]</f>
        <v>6671.7641829230315</v>
      </c>
      <c r="BB250" s="77">
        <f>ROUNDUP(tbl_Data[[#This Row],[Adjusted 2025]]/$L250,0)</f>
        <v>5</v>
      </c>
      <c r="BC250" s="77">
        <f>ROUNDUP(tbl_Data[[#This Row],[Adjusted 2026]]/$L250,0)</f>
        <v>7</v>
      </c>
      <c r="BD250" s="77">
        <f>ROUNDUP(tbl_Data[[#This Row],[Adjusted 2027]]/$L250,0)</f>
        <v>9</v>
      </c>
      <c r="BE250" s="77">
        <f>ROUNDUP(tbl_Data[[#This Row],[Adjusted 2028]]/$L250,0)</f>
        <v>11</v>
      </c>
      <c r="BF250" s="77">
        <f>ROUNDUP(tbl_Data[[#This Row],[Adjusted 2029]]/$L250,0)</f>
        <v>12</v>
      </c>
      <c r="BG250" s="77">
        <f>ROUNDUP(tbl_Data[[#This Row],[Adjusted 2030]]/$L250,0)</f>
        <v>14</v>
      </c>
      <c r="BH250" s="77">
        <f>ROUNDUP(tbl_Data[[#This Row],[Adjusted 2031]]/$L250,0)</f>
        <v>15</v>
      </c>
      <c r="BI250" s="77">
        <f>ROUNDUP(tbl_Data[[#This Row],[Adjusted 2032]]/$L250,0)</f>
        <v>16</v>
      </c>
      <c r="BJ250" s="77">
        <f>ROUNDUP(tbl_Data[[#This Row],[Adjusted 2033]]/$L250,0)</f>
        <v>17</v>
      </c>
      <c r="BK250" s="77">
        <f>ROUNDUP(tbl_Data[[#This Row],[Adjusted 2034]]/$L250,0)</f>
        <v>17</v>
      </c>
      <c r="BL250" s="80">
        <f t="shared" si="111"/>
        <v>43.794652631123121</v>
      </c>
      <c r="BM250" s="80">
        <f t="shared" si="112"/>
        <v>59.562260922232063</v>
      </c>
      <c r="BN250" s="80">
        <f t="shared" si="113"/>
        <v>76.948051470054736</v>
      </c>
      <c r="BO250" s="80">
        <f t="shared" si="114"/>
        <v>95.003420633574862</v>
      </c>
      <c r="BP250" s="80">
        <f t="shared" si="115"/>
        <v>112.15561076953205</v>
      </c>
      <c r="BQ250" s="80">
        <f t="shared" si="116"/>
        <v>127.17409589948947</v>
      </c>
      <c r="BR250" s="80">
        <f t="shared" si="117"/>
        <v>139.19390751904751</v>
      </c>
      <c r="BS250" s="80">
        <f t="shared" si="118"/>
        <v>148.46482784553766</v>
      </c>
      <c r="BT250" s="80">
        <f t="shared" si="119"/>
        <v>155.74458521936086</v>
      </c>
      <c r="BU250" s="80">
        <f t="shared" si="120"/>
        <v>161.17492317899291</v>
      </c>
      <c r="BV250" s="80">
        <f>IFERROR(VLOOKUP($H250,'1. Set Program Names'!$B$2:$D$15,3,0)*V250,"NA")</f>
        <v>34.372045683709509</v>
      </c>
      <c r="BW250" s="80">
        <f>IFERROR(VLOOKUP($H250,'1. Set Program Names'!$B$2:$D$15,3,0)*W250,"NA")</f>
        <v>46.747185568246017</v>
      </c>
      <c r="BX250" s="80">
        <f>IFERROR(VLOOKUP($H250,'1. Set Program Names'!$B$2:$D$15,3,0)*X250,"NA")</f>
        <v>60.392348871413439</v>
      </c>
      <c r="BY250" s="80">
        <f>IFERROR(VLOOKUP($H250,'1. Set Program Names'!$B$2:$D$15,3,0)*Y250,"NA")</f>
        <v>74.563028085425941</v>
      </c>
      <c r="BZ250" s="80">
        <f>IFERROR(VLOOKUP($H250,'1. Set Program Names'!$B$2:$D$15,3,0)*Z250,"NA")</f>
        <v>88.024851105111622</v>
      </c>
      <c r="CA250" s="80">
        <f>IFERROR(VLOOKUP($H250,'1. Set Program Names'!$B$2:$D$15,3,0)*AA250,"NA")</f>
        <v>99.812044882740878</v>
      </c>
      <c r="CB250" s="80">
        <f>IFERROR(VLOOKUP($H250,'1. Set Program Names'!$B$2:$D$15,3,0)*AB250,"NA")</f>
        <v>109.24574258955693</v>
      </c>
      <c r="CC250" s="80">
        <f>IFERROR(VLOOKUP($H250,'1. Set Program Names'!$B$2:$D$15,3,0)*AC250,"NA")</f>
        <v>116.52198472980605</v>
      </c>
      <c r="CD250" s="80">
        <f>IFERROR(VLOOKUP($H250,'1. Set Program Names'!$B$2:$D$15,3,0)*AD250,"NA")</f>
        <v>122.23547114850069</v>
      </c>
      <c r="CE250" s="80">
        <f>IFERROR(VLOOKUP($H250,'1. Set Program Names'!$B$2:$D$15,3,0)*AE250,"NA")</f>
        <v>126.49744865517486</v>
      </c>
    </row>
    <row r="251" spans="1:83" x14ac:dyDescent="0.25">
      <c r="A251" s="79" t="s">
        <v>87</v>
      </c>
      <c r="B251" s="79" t="s">
        <v>88</v>
      </c>
      <c r="C251" s="79" t="s">
        <v>122</v>
      </c>
      <c r="D251" s="79" t="s">
        <v>90</v>
      </c>
      <c r="E251" s="79" t="s">
        <v>91</v>
      </c>
      <c r="F251" s="79" t="s">
        <v>90</v>
      </c>
      <c r="G251" s="79" t="s">
        <v>92</v>
      </c>
      <c r="H251" s="79" t="s">
        <v>14</v>
      </c>
      <c r="I251" s="79" t="s">
        <v>155</v>
      </c>
      <c r="J251" s="79" t="s">
        <v>129</v>
      </c>
      <c r="K251" s="79" t="s">
        <v>102</v>
      </c>
      <c r="L251" s="79">
        <v>1193.02</v>
      </c>
      <c r="M251" s="79">
        <v>0.274776433335365</v>
      </c>
      <c r="N251" s="79">
        <v>0.10441874276921487</v>
      </c>
      <c r="O251" s="79">
        <f>8423.99999999998/36663.4359999998*1193.02</f>
        <v>274.11507421181233</v>
      </c>
      <c r="P251" s="79">
        <f>3224.30667036527/36663.4359999998*1193.02</f>
        <v>104.91821726363004</v>
      </c>
      <c r="Q251" s="79">
        <f>1305.20713755829/36663.4359999998*1193.02</f>
        <v>42.471148073786637</v>
      </c>
      <c r="R251" s="79">
        <f>14915.0733686122/36663.4359999998*1193.02</f>
        <v>485.33314854128304</v>
      </c>
      <c r="S251" s="79">
        <f>32320.5298576745/36663.4359999998*1193.02</f>
        <v>1051.702806327346</v>
      </c>
      <c r="T251" s="79">
        <v>11</v>
      </c>
      <c r="U251" s="79">
        <v>0.94999999999999896</v>
      </c>
      <c r="V251" s="79">
        <f>tbl_Data_old[[#This Row],[2025 ]]*IFERROR(AVERAGEIFS('Participation Adjustment'!$C:$C,'Participation Adjustment'!$A:$A,$H251,'Participation Adjustment'!$B:$B,$I251),1)</f>
        <v>66422.218103532505</v>
      </c>
      <c r="W251" s="79">
        <f>tbl_Data_old[[#This Row],[2026 ]]*IFERROR(AVERAGEIFS('Participation Adjustment'!$C:$C,'Participation Adjustment'!$A:$A,$H251,'Participation Adjustment'!$B:$B,$I251),1)</f>
        <v>55327.173032587998</v>
      </c>
      <c r="X251" s="79">
        <f>tbl_Data_old[[#This Row],[2027 ]]*IFERROR(AVERAGEIFS('Participation Adjustment'!$C:$C,'Participation Adjustment'!$A:$A,$H251,'Participation Adjustment'!$B:$B,$I251),1)</f>
        <v>45704.169910219251</v>
      </c>
      <c r="Y251" s="79">
        <f>tbl_Data_old[[#This Row],[2028 ]]*IFERROR(AVERAGEIFS('Participation Adjustment'!$C:$C,'Participation Adjustment'!$A:$A,$H251,'Participation Adjustment'!$B:$B,$I251),1)</f>
        <v>37797.075801727653</v>
      </c>
      <c r="Z251" s="79">
        <f>tbl_Data_old[[#This Row],[2029 ]]*IFERROR(AVERAGEIFS('Participation Adjustment'!$C:$C,'Participation Adjustment'!$A:$A,$H251,'Participation Adjustment'!$B:$B,$I251),1)</f>
        <v>31313.953483553851</v>
      </c>
      <c r="AA251" s="79">
        <f>tbl_Data_old[[#This Row],[2030 ]]*IFERROR(AVERAGEIFS('Participation Adjustment'!$C:$C,'Participation Adjustment'!$A:$A,$H251,'Participation Adjustment'!$B:$B,$I251),1)</f>
        <v>25985.2154182878</v>
      </c>
      <c r="AB251" s="79">
        <f>tbl_Data_old[[#This Row],[2031 ]]*IFERROR(AVERAGEIFS('Participation Adjustment'!$C:$C,'Participation Adjustment'!$A:$A,$H251,'Participation Adjustment'!$B:$B,$I251),1)</f>
        <v>21634.704998078949</v>
      </c>
      <c r="AC251" s="79">
        <f>tbl_Data_old[[#This Row],[2032 ]]*IFERROR(AVERAGEIFS('Participation Adjustment'!$C:$C,'Participation Adjustment'!$A:$A,$H251,'Participation Adjustment'!$B:$B,$I251),1)</f>
        <v>18125.079316525349</v>
      </c>
      <c r="AD251" s="79">
        <f>tbl_Data_old[[#This Row],[2033 ]]*IFERROR(AVERAGEIFS('Participation Adjustment'!$C:$C,'Participation Adjustment'!$A:$A,$H251,'Participation Adjustment'!$B:$B,$I251),1)</f>
        <v>15322.928701236349</v>
      </c>
      <c r="AE251" s="79">
        <f>tbl_Data_old[[#This Row],[2034 ]]*IFERROR(AVERAGEIFS('Participation Adjustment'!$C:$C,'Participation Adjustment'!$A:$A,$H251,'Participation Adjustment'!$B:$B,$I251),1)</f>
        <v>13053.494772067501</v>
      </c>
      <c r="AF251" s="77" t="str">
        <f t="shared" si="110"/>
        <v>NonResidential</v>
      </c>
      <c r="AG251" s="77" t="str">
        <f>tbl_Data[[#This Row],[All_Meas_Name_Append]]</f>
        <v>Smart thermostat</v>
      </c>
      <c r="AH251" s="77">
        <f>AVERAGEIFS('3. Incentive Adjustment'!G:G,'3. Incentive Adjustment'!A:A,tbl_Data[[#This Row],[Trimmed Sector]],'3. Incentive Adjustment'!B:B,tbl_Data[[#This Row],[Trimmed Measure Name]])</f>
        <v>0.87546479230069263</v>
      </c>
      <c r="AI251" s="77">
        <f>$AH251*tbl_Data[[#This Row],[2025 ]]</f>
        <v>58150.313376160389</v>
      </c>
      <c r="AJ251" s="77">
        <f>$AH251*tbl_Data[[#This Row],[2026 ]]</f>
        <v>48436.992047559135</v>
      </c>
      <c r="AK251" s="77">
        <f>$AH251*tbl_Data[[#This Row],[2027 ]]</f>
        <v>40012.391617725661</v>
      </c>
      <c r="AL251" s="77">
        <f>$AH251*tbl_Data[[#This Row],[2028 ]]</f>
        <v>33090.009116333036</v>
      </c>
      <c r="AM251" s="77">
        <f>$AH251*tbl_Data[[#This Row],[2029 ]]</f>
        <v>27414.263782593021</v>
      </c>
      <c r="AN251" s="77">
        <f>$AH251*tbl_Data[[#This Row],[2030 ]]</f>
        <v>22749.141219060086</v>
      </c>
      <c r="AO251" s="77">
        <f>$AH251*tbl_Data[[#This Row],[2031 ]]</f>
        <v>18940.422517629944</v>
      </c>
      <c r="AP251" s="77">
        <f>$AH251*tbl_Data[[#This Row],[2032 ]]</f>
        <v>15867.868799275444</v>
      </c>
      <c r="AQ251" s="77">
        <f>$AH251*tbl_Data[[#This Row],[2033 ]]</f>
        <v>13414.684592866202</v>
      </c>
      <c r="AR251" s="77">
        <f>$AH251*tbl_Data[[#This Row],[2034 ]]</f>
        <v>11427.875089426252</v>
      </c>
      <c r="AS251" s="77">
        <f>SUM(tbl_Data[[#This Row],[Adjusted 2025]:[Adjusted 2034]])</f>
        <v>289503.96215862915</v>
      </c>
      <c r="AT251" s="80">
        <f>AVERAGEIFS('3. Incentive Adjustment'!F:F,'3. Incentive Adjustment'!A:A,tbl_Data[[#This Row],[Trimmed Sector]],'3. Incentive Adjustment'!B:B,tbl_Data[[#This Row],[Trimmed Measure Name]])</f>
        <v>50</v>
      </c>
      <c r="AU251" s="80">
        <f>IFERROR(VLOOKUP(tbl_Data[[#This Row],[All_Meas_Name_Append]],'IRA Tax Credits'!$A$3:$D$46,4,0),0)</f>
        <v>0</v>
      </c>
      <c r="AV251" s="81">
        <f>tbl_Data[[#This Row],[Adj. per unit Incentive ($)]]/tbl_Data[[#This Row],[kWh Savings]]*tbl_Data[[#This Row],[Sum of Annuals]]</f>
        <v>12133.240103209886</v>
      </c>
      <c r="AW251" s="81">
        <f>IFERROR(VLOOKUP(tbl_Data[[#This Row],[Column1]],'1. Set Program Names'!$B$2:$D$15,3,0)*tbl_Data[[#This Row],[Sum of Annuals]],"")</f>
        <v>10306.252740764743</v>
      </c>
      <c r="AX251" s="81">
        <f>tbl_Data[[#This Row],[per unit IRA tax ($)]]/tbl_Data[[#This Row],[kWh Savings]]*tbl_Data[[#This Row],[Sum of Annuals]]</f>
        <v>0</v>
      </c>
      <c r="AY251" s="81">
        <f>tbl_Data[[#This Row],[Avoided Costs ($/unit)]]/tbl_Data[[#This Row],[kWh Savings]]*tbl_Data[[#This Row],[Sum of Annuals]]</f>
        <v>117773.27242596431</v>
      </c>
      <c r="AZ251" s="81">
        <f>tbl_Data[[#This Row],[Lost Revenue ($/unit)]]/tbl_Data[[#This Row],[kWh Savings]]*tbl_Data[[#This Row],[Sum of Annuals]]</f>
        <v>255211.25332778666</v>
      </c>
      <c r="BA251" s="81">
        <f>tbl_Data[[#This Row],[Incremental Cost ($/unit)]]/tbl_Data[[#This Row],[kWh Savings]]*tbl_Data[[#This Row],[Sum of Annuals]]</f>
        <v>66518.080226422302</v>
      </c>
      <c r="BB251" s="77">
        <f>ROUNDUP(tbl_Data[[#This Row],[Adjusted 2025]]/$L251,0)</f>
        <v>49</v>
      </c>
      <c r="BC251" s="77">
        <f>ROUNDUP(tbl_Data[[#This Row],[Adjusted 2026]]/$L251,0)</f>
        <v>41</v>
      </c>
      <c r="BD251" s="77">
        <f>ROUNDUP(tbl_Data[[#This Row],[Adjusted 2027]]/$L251,0)</f>
        <v>34</v>
      </c>
      <c r="BE251" s="77">
        <f>ROUNDUP(tbl_Data[[#This Row],[Adjusted 2028]]/$L251,0)</f>
        <v>28</v>
      </c>
      <c r="BF251" s="77">
        <f>ROUNDUP(tbl_Data[[#This Row],[Adjusted 2029]]/$L251,0)</f>
        <v>23</v>
      </c>
      <c r="BG251" s="77">
        <f>ROUNDUP(tbl_Data[[#This Row],[Adjusted 2030]]/$L251,0)</f>
        <v>20</v>
      </c>
      <c r="BH251" s="77">
        <f>ROUNDUP(tbl_Data[[#This Row],[Adjusted 2031]]/$L251,0)</f>
        <v>16</v>
      </c>
      <c r="BI251" s="77">
        <f>ROUNDUP(tbl_Data[[#This Row],[Adjusted 2032]]/$L251,0)</f>
        <v>14</v>
      </c>
      <c r="BJ251" s="77">
        <f>ROUNDUP(tbl_Data[[#This Row],[Adjusted 2033]]/$L251,0)</f>
        <v>12</v>
      </c>
      <c r="BK251" s="77">
        <f>ROUNDUP(tbl_Data[[#This Row],[Adjusted 2034]]/$L251,0)</f>
        <v>10</v>
      </c>
      <c r="BL251" s="80">
        <f t="shared" si="111"/>
        <v>2783.7847690538511</v>
      </c>
      <c r="BM251" s="80">
        <f t="shared" si="112"/>
        <v>2318.7864844088112</v>
      </c>
      <c r="BN251" s="80">
        <f t="shared" si="113"/>
        <v>1915.4821340052661</v>
      </c>
      <c r="BO251" s="80">
        <f t="shared" si="114"/>
        <v>1584.0922952560584</v>
      </c>
      <c r="BP251" s="80">
        <f t="shared" si="115"/>
        <v>1312.3817489880241</v>
      </c>
      <c r="BQ251" s="80">
        <f t="shared" si="116"/>
        <v>1089.0519613371025</v>
      </c>
      <c r="BR251" s="80">
        <f t="shared" si="117"/>
        <v>906.72013034479505</v>
      </c>
      <c r="BS251" s="80">
        <f t="shared" si="118"/>
        <v>759.63015358189091</v>
      </c>
      <c r="BT251" s="80">
        <f t="shared" si="119"/>
        <v>642.19077220986867</v>
      </c>
      <c r="BU251" s="80">
        <f t="shared" si="120"/>
        <v>547.07778461666612</v>
      </c>
      <c r="BV251" s="80">
        <f>IFERROR(VLOOKUP($H251,'1. Set Program Names'!$B$2:$D$15,3,0)*V251,"NA")</f>
        <v>2364.6107026407785</v>
      </c>
      <c r="BW251" s="80">
        <f>IFERROR(VLOOKUP($H251,'1. Set Program Names'!$B$2:$D$15,3,0)*W251,"NA")</f>
        <v>1969.6304826164501</v>
      </c>
      <c r="BX251" s="80">
        <f>IFERROR(VLOOKUP($H251,'1. Set Program Names'!$B$2:$D$15,3,0)*X251,"NA")</f>
        <v>1627.0545069206216</v>
      </c>
      <c r="BY251" s="80">
        <f>IFERROR(VLOOKUP($H251,'1. Set Program Names'!$B$2:$D$15,3,0)*Y251,"NA")</f>
        <v>1345.5643686873018</v>
      </c>
      <c r="BZ251" s="80">
        <f>IFERROR(VLOOKUP($H251,'1. Set Program Names'!$B$2:$D$15,3,0)*Z251,"NA")</f>
        <v>1114.7671918121175</v>
      </c>
      <c r="CA251" s="80">
        <f>IFERROR(VLOOKUP($H251,'1. Set Program Names'!$B$2:$D$15,3,0)*AA251,"NA")</f>
        <v>925.06574219992365</v>
      </c>
      <c r="CB251" s="80">
        <f>IFERROR(VLOOKUP($H251,'1. Set Program Names'!$B$2:$D$15,3,0)*AB251,"NA")</f>
        <v>770.188898347144</v>
      </c>
      <c r="CC251" s="80">
        <f>IFERROR(VLOOKUP($H251,'1. Set Program Names'!$B$2:$D$15,3,0)*AC251,"NA")</f>
        <v>645.24729468180021</v>
      </c>
      <c r="CD251" s="80">
        <f>IFERROR(VLOOKUP($H251,'1. Set Program Names'!$B$2:$D$15,3,0)*AD251,"NA")</f>
        <v>545.4915875628983</v>
      </c>
      <c r="CE251" s="80">
        <f>IFERROR(VLOOKUP($H251,'1. Set Program Names'!$B$2:$D$15,3,0)*AE251,"NA")</f>
        <v>464.70043196667507</v>
      </c>
    </row>
    <row r="252" spans="1:83" x14ac:dyDescent="0.25">
      <c r="A252" s="79" t="s">
        <v>87</v>
      </c>
      <c r="B252" s="79" t="s">
        <v>88</v>
      </c>
      <c r="C252" s="79" t="s">
        <v>122</v>
      </c>
      <c r="D252" s="79" t="s">
        <v>90</v>
      </c>
      <c r="E252" s="79" t="s">
        <v>91</v>
      </c>
      <c r="F252" s="79" t="s">
        <v>90</v>
      </c>
      <c r="G252" s="79" t="s">
        <v>92</v>
      </c>
      <c r="H252" s="79"/>
      <c r="I252" s="79" t="s">
        <v>304</v>
      </c>
      <c r="J252" s="79" t="s">
        <v>144</v>
      </c>
      <c r="K252" s="79" t="s">
        <v>98</v>
      </c>
      <c r="L252" s="79">
        <v>71859.953750000001</v>
      </c>
      <c r="M252" s="79">
        <v>2.01028298751406</v>
      </c>
      <c r="N252" s="79">
        <v>2.93501737514182</v>
      </c>
      <c r="O252" s="79">
        <v>21366.564901045898</v>
      </c>
      <c r="P252" s="79">
        <v>219059.38064062799</v>
      </c>
      <c r="Q252" s="79">
        <v>2558.1924328944401</v>
      </c>
      <c r="R252" s="79">
        <v>23924.757333940401</v>
      </c>
      <c r="S252" s="79">
        <v>92224.942677252999</v>
      </c>
      <c r="T252" s="79">
        <v>20</v>
      </c>
      <c r="U252" s="79">
        <v>1</v>
      </c>
      <c r="V252" s="79">
        <f>tbl_Data_old[[#This Row],[2025 ]]*IFERROR(AVERAGEIFS('Participation Adjustment'!$C:$C,'Participation Adjustment'!$A:$A,$H252,'Participation Adjustment'!$B:$B,$I252),1)</f>
        <v>291051.60612615698</v>
      </c>
      <c r="W252" s="79">
        <f>tbl_Data_old[[#This Row],[2026 ]]*IFERROR(AVERAGEIFS('Participation Adjustment'!$C:$C,'Participation Adjustment'!$A:$A,$H252,'Participation Adjustment'!$B:$B,$I252),1)</f>
        <v>319756.05420522502</v>
      </c>
      <c r="X252" s="79">
        <f>tbl_Data_old[[#This Row],[2027 ]]*IFERROR(AVERAGEIFS('Participation Adjustment'!$C:$C,'Participation Adjustment'!$A:$A,$H252,'Participation Adjustment'!$B:$B,$I252),1)</f>
        <v>343138.39100819</v>
      </c>
      <c r="Y252" s="79">
        <f>tbl_Data_old[[#This Row],[2028 ]]*IFERROR(AVERAGEIFS('Participation Adjustment'!$C:$C,'Participation Adjustment'!$A:$A,$H252,'Participation Adjustment'!$B:$B,$I252),1)</f>
        <v>363438.86192564602</v>
      </c>
      <c r="Z252" s="79">
        <f>tbl_Data_old[[#This Row],[2029 ]]*IFERROR(AVERAGEIFS('Participation Adjustment'!$C:$C,'Participation Adjustment'!$A:$A,$H252,'Participation Adjustment'!$B:$B,$I252),1)</f>
        <v>380773.13305104</v>
      </c>
      <c r="AA252" s="79">
        <f>tbl_Data_old[[#This Row],[2030 ]]*IFERROR(AVERAGEIFS('Participation Adjustment'!$C:$C,'Participation Adjustment'!$A:$A,$H252,'Participation Adjustment'!$B:$B,$I252),1)</f>
        <v>395008.83723738499</v>
      </c>
      <c r="AB252" s="79">
        <f>tbl_Data_old[[#This Row],[2031 ]]*IFERROR(AVERAGEIFS('Participation Adjustment'!$C:$C,'Participation Adjustment'!$A:$A,$H252,'Participation Adjustment'!$B:$B,$I252),1)</f>
        <v>406693.00517413201</v>
      </c>
      <c r="AC252" s="79">
        <f>tbl_Data_old[[#This Row],[2032 ]]*IFERROR(AVERAGEIFS('Participation Adjustment'!$C:$C,'Participation Adjustment'!$A:$A,$H252,'Participation Adjustment'!$B:$B,$I252),1)</f>
        <v>416966.47843428602</v>
      </c>
      <c r="AD252" s="79">
        <f>tbl_Data_old[[#This Row],[2033 ]]*IFERROR(AVERAGEIFS('Participation Adjustment'!$C:$C,'Participation Adjustment'!$A:$A,$H252,'Participation Adjustment'!$B:$B,$I252),1)</f>
        <v>426165.46855836501</v>
      </c>
      <c r="AE252" s="79">
        <f>tbl_Data_old[[#This Row],[2034 ]]*IFERROR(AVERAGEIFS('Participation Adjustment'!$C:$C,'Participation Adjustment'!$A:$A,$H252,'Participation Adjustment'!$B:$B,$I252),1)</f>
        <v>434055.36094297603</v>
      </c>
      <c r="AF252" s="77" t="str">
        <f t="shared" si="110"/>
        <v>NonResidential</v>
      </c>
      <c r="AG252" s="77" t="str">
        <f>tbl_Data[[#This Row],[All_Meas_Name_Append]]</f>
        <v>Solar Thermal Water Heating System Commercial</v>
      </c>
      <c r="AH252" s="77">
        <f>AVERAGEIFS('3. Incentive Adjustment'!G:G,'3. Incentive Adjustment'!A:A,tbl_Data[[#This Row],[Trimmed Sector]],'3. Incentive Adjustment'!B:B,tbl_Data[[#This Row],[Trimmed Measure Name]])</f>
        <v>3.2123848810070607E-4</v>
      </c>
      <c r="AI252" s="77">
        <f>$AH252*tbl_Data[[#This Row],[2025 ]]</f>
        <v>93.496977911248877</v>
      </c>
      <c r="AJ252" s="77">
        <f>$AH252*tbl_Data[[#This Row],[2026 ]]</f>
        <v>102.7179514139339</v>
      </c>
      <c r="AK252" s="77">
        <f>$AH252*tbl_Data[[#This Row],[2027 ]]</f>
        <v>110.22925793677987</v>
      </c>
      <c r="AL252" s="77">
        <f>$AH252*tbl_Data[[#This Row],[2028 ]]</f>
        <v>116.75055052203579</v>
      </c>
      <c r="AM252" s="77">
        <f>$AH252*tbl_Data[[#This Row],[2029 ]]</f>
        <v>122.31898557068509</v>
      </c>
      <c r="AN252" s="77">
        <f>$AH252*tbl_Data[[#This Row],[2030 ]]</f>
        <v>126.89204166055544</v>
      </c>
      <c r="AO252" s="77">
        <f>$AH252*tbl_Data[[#This Row],[2031 ]]</f>
        <v>130.64544610327079</v>
      </c>
      <c r="AP252" s="77">
        <f>$AH252*tbl_Data[[#This Row],[2032 ]]</f>
        <v>133.9456811209057</v>
      </c>
      <c r="AQ252" s="77">
        <f>$AH252*tbl_Data[[#This Row],[2033 ]]</f>
        <v>136.90075080041817</v>
      </c>
      <c r="AR252" s="77">
        <f>$AH252*tbl_Data[[#This Row],[2034 ]]</f>
        <v>139.43528790132788</v>
      </c>
      <c r="AS252" s="77">
        <f>SUM(tbl_Data[[#This Row],[Adjusted 2025]:[Adjusted 2034]])</f>
        <v>1213.3329309411615</v>
      </c>
      <c r="AT252" s="80">
        <f>AVERAGEIFS('3. Incentive Adjustment'!F:F,'3. Incentive Adjustment'!A:A,tbl_Data[[#This Row],[Trimmed Sector]],'3. Incentive Adjustment'!B:B,tbl_Data[[#This Row],[Trimmed Measure Name]])</f>
        <v>0</v>
      </c>
      <c r="AU252" s="80">
        <f>IFERROR(VLOOKUP(tbl_Data[[#This Row],[All_Meas_Name_Append]],'IRA Tax Credits'!$A$3:$D$46,4,0),0)</f>
        <v>0</v>
      </c>
      <c r="AV252" s="81">
        <f>tbl_Data[[#This Row],[Adj. per unit Incentive ($)]]/tbl_Data[[#This Row],[kWh Savings]]*tbl_Data[[#This Row],[Sum of Annuals]]</f>
        <v>0</v>
      </c>
      <c r="AW252" s="81" t="str">
        <f>IFERROR(VLOOKUP(tbl_Data[[#This Row],[Column1]],'1. Set Program Names'!$B$2:$D$15,3,0)*tbl_Data[[#This Row],[Sum of Annuals]],"")</f>
        <v/>
      </c>
      <c r="AX252" s="81">
        <f>tbl_Data[[#This Row],[per unit IRA tax ($)]]/tbl_Data[[#This Row],[kWh Savings]]*tbl_Data[[#This Row],[Sum of Annuals]]</f>
        <v>0</v>
      </c>
      <c r="AY252" s="81">
        <f>tbl_Data[[#This Row],[Avoided Costs ($/unit)]]/tbl_Data[[#This Row],[kWh Savings]]*tbl_Data[[#This Row],[Sum of Annuals]]</f>
        <v>403.96207377250028</v>
      </c>
      <c r="AZ252" s="81">
        <f>tbl_Data[[#This Row],[Lost Revenue ($/unit)]]/tbl_Data[[#This Row],[kWh Savings]]*tbl_Data[[#This Row],[Sum of Annuals]]</f>
        <v>1557.1894242204685</v>
      </c>
      <c r="BA252" s="81">
        <f>tbl_Data[[#This Row],[Incremental Cost ($/unit)]]/tbl_Data[[#This Row],[kWh Savings]]*tbl_Data[[#This Row],[Sum of Annuals]]</f>
        <v>360.76779155358929</v>
      </c>
      <c r="BB252" s="77">
        <f>ROUNDUP(tbl_Data[[#This Row],[Adjusted 2025]]/$L252,0)</f>
        <v>1</v>
      </c>
      <c r="BC252" s="77">
        <f>ROUNDUP(tbl_Data[[#This Row],[Adjusted 2026]]/$L252,0)</f>
        <v>1</v>
      </c>
      <c r="BD252" s="77">
        <f>ROUNDUP(tbl_Data[[#This Row],[Adjusted 2027]]/$L252,0)</f>
        <v>1</v>
      </c>
      <c r="BE252" s="77">
        <f>ROUNDUP(tbl_Data[[#This Row],[Adjusted 2028]]/$L252,0)</f>
        <v>1</v>
      </c>
      <c r="BF252" s="77">
        <f>ROUNDUP(tbl_Data[[#This Row],[Adjusted 2029]]/$L252,0)</f>
        <v>1</v>
      </c>
      <c r="BG252" s="77">
        <f>ROUNDUP(tbl_Data[[#This Row],[Adjusted 2030]]/$L252,0)</f>
        <v>1</v>
      </c>
      <c r="BH252" s="77">
        <f>ROUNDUP(tbl_Data[[#This Row],[Adjusted 2031]]/$L252,0)</f>
        <v>1</v>
      </c>
      <c r="BI252" s="77">
        <f>ROUNDUP(tbl_Data[[#This Row],[Adjusted 2032]]/$L252,0)</f>
        <v>1</v>
      </c>
      <c r="BJ252" s="77">
        <f>ROUNDUP(tbl_Data[[#This Row],[Adjusted 2033]]/$L252,0)</f>
        <v>1</v>
      </c>
      <c r="BK252" s="77">
        <f>ROUNDUP(tbl_Data[[#This Row],[Adjusted 2034]]/$L252,0)</f>
        <v>1</v>
      </c>
      <c r="BL252" s="80">
        <f t="shared" si="111"/>
        <v>0</v>
      </c>
      <c r="BM252" s="80">
        <f t="shared" si="112"/>
        <v>0</v>
      </c>
      <c r="BN252" s="80">
        <f t="shared" si="113"/>
        <v>0</v>
      </c>
      <c r="BO252" s="80">
        <f t="shared" si="114"/>
        <v>0</v>
      </c>
      <c r="BP252" s="80">
        <f t="shared" si="115"/>
        <v>0</v>
      </c>
      <c r="BQ252" s="80">
        <f t="shared" si="116"/>
        <v>0</v>
      </c>
      <c r="BR252" s="80">
        <f t="shared" si="117"/>
        <v>0</v>
      </c>
      <c r="BS252" s="80">
        <f t="shared" si="118"/>
        <v>0</v>
      </c>
      <c r="BT252" s="80">
        <f t="shared" si="119"/>
        <v>0</v>
      </c>
      <c r="BU252" s="80">
        <f t="shared" si="120"/>
        <v>0</v>
      </c>
      <c r="BV252" s="80" t="str">
        <f>IFERROR(VLOOKUP($H252,'1. Set Program Names'!$B$2:$D$15,3,0)*V252,"NA")</f>
        <v>NA</v>
      </c>
      <c r="BW252" s="80" t="str">
        <f>IFERROR(VLOOKUP($H252,'1. Set Program Names'!$B$2:$D$15,3,0)*W252,"NA")</f>
        <v>NA</v>
      </c>
      <c r="BX252" s="80" t="str">
        <f>IFERROR(VLOOKUP($H252,'1. Set Program Names'!$B$2:$D$15,3,0)*X252,"NA")</f>
        <v>NA</v>
      </c>
      <c r="BY252" s="80" t="str">
        <f>IFERROR(VLOOKUP($H252,'1. Set Program Names'!$B$2:$D$15,3,0)*Y252,"NA")</f>
        <v>NA</v>
      </c>
      <c r="BZ252" s="80" t="str">
        <f>IFERROR(VLOOKUP($H252,'1. Set Program Names'!$B$2:$D$15,3,0)*Z252,"NA")</f>
        <v>NA</v>
      </c>
      <c r="CA252" s="80" t="str">
        <f>IFERROR(VLOOKUP($H252,'1. Set Program Names'!$B$2:$D$15,3,0)*AA252,"NA")</f>
        <v>NA</v>
      </c>
      <c r="CB252" s="80" t="str">
        <f>IFERROR(VLOOKUP($H252,'1. Set Program Names'!$B$2:$D$15,3,0)*AB252,"NA")</f>
        <v>NA</v>
      </c>
      <c r="CC252" s="80" t="str">
        <f>IFERROR(VLOOKUP($H252,'1. Set Program Names'!$B$2:$D$15,3,0)*AC252,"NA")</f>
        <v>NA</v>
      </c>
      <c r="CD252" s="80" t="str">
        <f>IFERROR(VLOOKUP($H252,'1. Set Program Names'!$B$2:$D$15,3,0)*AD252,"NA")</f>
        <v>NA</v>
      </c>
      <c r="CE252" s="80" t="str">
        <f>IFERROR(VLOOKUP($H252,'1. Set Program Names'!$B$2:$D$15,3,0)*AE252,"NA")</f>
        <v>NA</v>
      </c>
    </row>
    <row r="253" spans="1:83" x14ac:dyDescent="0.25">
      <c r="A253" s="79" t="s">
        <v>87</v>
      </c>
      <c r="B253" s="79" t="s">
        <v>88</v>
      </c>
      <c r="C253" s="79" t="s">
        <v>122</v>
      </c>
      <c r="D253" s="79" t="s">
        <v>90</v>
      </c>
      <c r="E253" s="79" t="s">
        <v>91</v>
      </c>
      <c r="F253" s="79" t="s">
        <v>90</v>
      </c>
      <c r="G253" s="79" t="s">
        <v>92</v>
      </c>
      <c r="H253" s="79" t="s">
        <v>14</v>
      </c>
      <c r="I253" s="79" t="s">
        <v>305</v>
      </c>
      <c r="J253" s="79" t="s">
        <v>129</v>
      </c>
      <c r="K253" s="79" t="s">
        <v>306</v>
      </c>
      <c r="L253" s="79">
        <v>1181.58666666666</v>
      </c>
      <c r="M253" s="79">
        <v>0.32580149205424902</v>
      </c>
      <c r="N253" s="79">
        <v>0</v>
      </c>
      <c r="O253" s="79">
        <v>442.61899981344197</v>
      </c>
      <c r="P253" s="79">
        <v>13015.025349926</v>
      </c>
      <c r="Q253" s="79">
        <v>42.064124894815102</v>
      </c>
      <c r="R253" s="79">
        <v>484.68312470825703</v>
      </c>
      <c r="S253" s="79">
        <v>971.92143438909795</v>
      </c>
      <c r="T253" s="79">
        <v>10</v>
      </c>
      <c r="U253" s="79">
        <v>0.94999999999999896</v>
      </c>
      <c r="V253" s="79">
        <f>tbl_Data_old[[#This Row],[2025 ]]*IFERROR(AVERAGEIFS('Participation Adjustment'!$C:$C,'Participation Adjustment'!$A:$A,$H253,'Participation Adjustment'!$B:$B,$I253),1)</f>
        <v>5940.8244584307204</v>
      </c>
      <c r="W253" s="79">
        <f>tbl_Data_old[[#This Row],[2026 ]]*IFERROR(AVERAGEIFS('Participation Adjustment'!$C:$C,'Participation Adjustment'!$A:$A,$H253,'Participation Adjustment'!$B:$B,$I253),1)</f>
        <v>4991.9144760804602</v>
      </c>
      <c r="X253" s="79">
        <f>tbl_Data_old[[#This Row],[2027 ]]*IFERROR(AVERAGEIFS('Participation Adjustment'!$C:$C,'Participation Adjustment'!$A:$A,$H253,'Participation Adjustment'!$B:$B,$I253),1)</f>
        <v>4175.8106875520798</v>
      </c>
      <c r="Y253" s="79">
        <f>tbl_Data_old[[#This Row],[2028 ]]*IFERROR(AVERAGEIFS('Participation Adjustment'!$C:$C,'Participation Adjustment'!$A:$A,$H253,'Participation Adjustment'!$B:$B,$I253),1)</f>
        <v>3508.64732795194</v>
      </c>
      <c r="Z253" s="79">
        <f>tbl_Data_old[[#This Row],[2029 ]]*IFERROR(AVERAGEIFS('Participation Adjustment'!$C:$C,'Participation Adjustment'!$A:$A,$H253,'Participation Adjustment'!$B:$B,$I253),1)</f>
        <v>2961.7774226833599</v>
      </c>
      <c r="AA253" s="79">
        <f>tbl_Data_old[[#This Row],[2030 ]]*IFERROR(AVERAGEIFS('Participation Adjustment'!$C:$C,'Participation Adjustment'!$A:$A,$H253,'Participation Adjustment'!$B:$B,$I253),1)</f>
        <v>2513.6882224917499</v>
      </c>
      <c r="AB253" s="79">
        <f>tbl_Data_old[[#This Row],[2031 ]]*IFERROR(AVERAGEIFS('Participation Adjustment'!$C:$C,'Participation Adjustment'!$A:$A,$H253,'Participation Adjustment'!$B:$B,$I253),1)</f>
        <v>2146.6807252436502</v>
      </c>
      <c r="AC253" s="79">
        <f>tbl_Data_old[[#This Row],[2032 ]]*IFERROR(AVERAGEIFS('Participation Adjustment'!$C:$C,'Participation Adjustment'!$A:$A,$H253,'Participation Adjustment'!$B:$B,$I253),1)</f>
        <v>1850.0397619221201</v>
      </c>
      <c r="AD253" s="79">
        <f>tbl_Data_old[[#This Row],[2033 ]]*IFERROR(AVERAGEIFS('Participation Adjustment'!$C:$C,'Participation Adjustment'!$A:$A,$H253,'Participation Adjustment'!$B:$B,$I253),1)</f>
        <v>1615.92029458344</v>
      </c>
      <c r="AE253" s="79">
        <f>tbl_Data_old[[#This Row],[2034 ]]*IFERROR(AVERAGEIFS('Participation Adjustment'!$C:$C,'Participation Adjustment'!$A:$A,$H253,'Participation Adjustment'!$B:$B,$I253),1)</f>
        <v>1425.5862924390999</v>
      </c>
      <c r="AF253" s="77" t="str">
        <f t="shared" si="110"/>
        <v>NonResidential</v>
      </c>
      <c r="AG253" s="77" t="str">
        <f>tbl_Data[[#This Row],[All_Meas_Name_Append]]</f>
        <v>Window shade film</v>
      </c>
      <c r="AH253" s="77">
        <f>AVERAGEIFS('3. Incentive Adjustment'!G:G,'3. Incentive Adjustment'!A:A,tbl_Data[[#This Row],[Trimmed Sector]],'3. Incentive Adjustment'!B:B,tbl_Data[[#This Row],[Trimmed Measure Name]])</f>
        <v>3.2127764592544555E-13</v>
      </c>
      <c r="AI253" s="77">
        <f>$AH253*tbl_Data[[#This Row],[2025 ]]</f>
        <v>1.908654096860932E-9</v>
      </c>
      <c r="AJ253" s="77">
        <f>$AH253*tbl_Data[[#This Row],[2026 ]]</f>
        <v>1.6037905315362841E-9</v>
      </c>
      <c r="AK253" s="77">
        <f>$AH253*tbl_Data[[#This Row],[2027 ]]</f>
        <v>1.3415946275270485E-9</v>
      </c>
      <c r="AL253" s="77">
        <f>$AH253*tbl_Data[[#This Row],[2028 ]]</f>
        <v>1.127249953907004E-9</v>
      </c>
      <c r="AM253" s="77">
        <f>$AH253*tbl_Data[[#This Row],[2029 ]]</f>
        <v>9.5155287811484328E-10</v>
      </c>
      <c r="AN253" s="77">
        <f>$AH253*tbl_Data[[#This Row],[2030 ]]</f>
        <v>8.0759183471266703E-10</v>
      </c>
      <c r="AO253" s="77">
        <f>$AH253*tbl_Data[[#This Row],[2031 ]]</f>
        <v>6.8968052995980815E-10</v>
      </c>
      <c r="AP253" s="77">
        <f>$AH253*tbl_Data[[#This Row],[2032 ]]</f>
        <v>5.9437641957881043E-10</v>
      </c>
      <c r="AQ253" s="77">
        <f>$AH253*tbl_Data[[#This Row],[2033 ]]</f>
        <v>5.1915906824692013E-10</v>
      </c>
      <c r="AR253" s="77">
        <f>$AH253*tbl_Data[[#This Row],[2034 ]]</f>
        <v>4.5800900809841779E-10</v>
      </c>
      <c r="AS253" s="77">
        <f>SUM(tbl_Data[[#This Row],[Adjusted 2025]:[Adjusted 2034]])</f>
        <v>1.0001658948542737E-8</v>
      </c>
      <c r="AT253" s="80">
        <f>AVERAGEIFS('3. Incentive Adjustment'!F:F,'3. Incentive Adjustment'!A:A,tbl_Data[[#This Row],[Trimmed Sector]],'3. Incentive Adjustment'!B:B,tbl_Data[[#This Row],[Trimmed Measure Name]])</f>
        <v>132.78569994403261</v>
      </c>
      <c r="AU253" s="80">
        <f>IFERROR(VLOOKUP(tbl_Data[[#This Row],[All_Meas_Name_Append]],'IRA Tax Credits'!$A$3:$D$46,4,0),0)</f>
        <v>0</v>
      </c>
      <c r="AV253" s="81">
        <f>tbl_Data[[#This Row],[Adj. per unit Incentive ($)]]/tbl_Data[[#This Row],[kWh Savings]]*tbl_Data[[#This Row],[Sum of Annuals]]</f>
        <v>1.1239778863029531E-9</v>
      </c>
      <c r="AW253" s="81">
        <f>IFERROR(VLOOKUP(tbl_Data[[#This Row],[Column1]],'1. Set Program Names'!$B$2:$D$15,3,0)*tbl_Data[[#This Row],[Sum of Annuals]],"")</f>
        <v>3.5605600760010298E-10</v>
      </c>
      <c r="AX253" s="81">
        <f>tbl_Data[[#This Row],[per unit IRA tax ($)]]/tbl_Data[[#This Row],[kWh Savings]]*tbl_Data[[#This Row],[Sum of Annuals]]</f>
        <v>0</v>
      </c>
      <c r="AY253" s="81">
        <f>tbl_Data[[#This Row],[Avoided Costs ($/unit)]]/tbl_Data[[#This Row],[kWh Savings]]*tbl_Data[[#This Row],[Sum of Annuals]]</f>
        <v>4.1026489619432805E-9</v>
      </c>
      <c r="AZ253" s="81">
        <f>tbl_Data[[#This Row],[Lost Revenue ($/unit)]]/tbl_Data[[#This Row],[kWh Savings]]*tbl_Data[[#This Row],[Sum of Annuals]]</f>
        <v>8.2269265435783541E-9</v>
      </c>
      <c r="BA253" s="81">
        <f>tbl_Data[[#This Row],[Incremental Cost ($/unit)]]/tbl_Data[[#This Row],[kWh Savings]]*tbl_Data[[#This Row],[Sum of Annuals]]</f>
        <v>3.7465929543431768E-9</v>
      </c>
      <c r="BB253" s="77">
        <f>ROUNDUP(tbl_Data[[#This Row],[Adjusted 2025]]/$L253,0)</f>
        <v>1</v>
      </c>
      <c r="BC253" s="77">
        <f>ROUNDUP(tbl_Data[[#This Row],[Adjusted 2026]]/$L253,0)</f>
        <v>1</v>
      </c>
      <c r="BD253" s="77">
        <f>ROUNDUP(tbl_Data[[#This Row],[Adjusted 2027]]/$L253,0)</f>
        <v>1</v>
      </c>
      <c r="BE253" s="77">
        <f>ROUNDUP(tbl_Data[[#This Row],[Adjusted 2028]]/$L253,0)</f>
        <v>1</v>
      </c>
      <c r="BF253" s="77">
        <f>ROUNDUP(tbl_Data[[#This Row],[Adjusted 2029]]/$L253,0)</f>
        <v>1</v>
      </c>
      <c r="BG253" s="77">
        <f>ROUNDUP(tbl_Data[[#This Row],[Adjusted 2030]]/$L253,0)</f>
        <v>1</v>
      </c>
      <c r="BH253" s="77">
        <f>ROUNDUP(tbl_Data[[#This Row],[Adjusted 2031]]/$L253,0)</f>
        <v>1</v>
      </c>
      <c r="BI253" s="77">
        <f>ROUNDUP(tbl_Data[[#This Row],[Adjusted 2032]]/$L253,0)</f>
        <v>1</v>
      </c>
      <c r="BJ253" s="77">
        <f>ROUNDUP(tbl_Data[[#This Row],[Adjusted 2033]]/$L253,0)</f>
        <v>1</v>
      </c>
      <c r="BK253" s="77">
        <f>ROUNDUP(tbl_Data[[#This Row],[Adjusted 2034]]/$L253,0)</f>
        <v>1</v>
      </c>
      <c r="BL253" s="80">
        <f t="shared" si="111"/>
        <v>667.62477625341864</v>
      </c>
      <c r="BM253" s="80">
        <f t="shared" si="112"/>
        <v>560.98708327257407</v>
      </c>
      <c r="BN253" s="80">
        <f t="shared" si="113"/>
        <v>469.27403687164559</v>
      </c>
      <c r="BO253" s="80">
        <f t="shared" si="114"/>
        <v>394.29878860531664</v>
      </c>
      <c r="BP253" s="80">
        <f t="shared" si="115"/>
        <v>332.84201594701341</v>
      </c>
      <c r="BQ253" s="80">
        <f t="shared" si="116"/>
        <v>282.48613451797024</v>
      </c>
      <c r="BR253" s="80">
        <f t="shared" si="117"/>
        <v>241.24214558207882</v>
      </c>
      <c r="BS253" s="80">
        <f t="shared" si="118"/>
        <v>207.90588760123808</v>
      </c>
      <c r="BT253" s="80">
        <f t="shared" si="119"/>
        <v>181.59574191485234</v>
      </c>
      <c r="BU253" s="80">
        <f t="shared" si="120"/>
        <v>160.20616939269118</v>
      </c>
      <c r="BV253" s="80">
        <f>IFERROR(VLOOKUP($H253,'1. Set Program Names'!$B$2:$D$15,3,0)*V253,"NA")</f>
        <v>211.49153849423001</v>
      </c>
      <c r="BW253" s="80">
        <f>IFERROR(VLOOKUP($H253,'1. Set Program Names'!$B$2:$D$15,3,0)*W253,"NA")</f>
        <v>177.71063258394148</v>
      </c>
      <c r="BX253" s="80">
        <f>IFERROR(VLOOKUP($H253,'1. Set Program Names'!$B$2:$D$15,3,0)*X253,"NA")</f>
        <v>148.65758666168756</v>
      </c>
      <c r="BY253" s="80">
        <f>IFERROR(VLOOKUP($H253,'1. Set Program Names'!$B$2:$D$15,3,0)*Y253,"NA")</f>
        <v>124.9067745755677</v>
      </c>
      <c r="BZ253" s="80">
        <f>IFERROR(VLOOKUP($H253,'1. Set Program Names'!$B$2:$D$15,3,0)*Z253,"NA")</f>
        <v>105.4383727685907</v>
      </c>
      <c r="CA253" s="80">
        <f>IFERROR(VLOOKUP($H253,'1. Set Program Names'!$B$2:$D$15,3,0)*AA253,"NA")</f>
        <v>89.486533929675474</v>
      </c>
      <c r="CB253" s="80">
        <f>IFERROR(VLOOKUP($H253,'1. Set Program Names'!$B$2:$D$15,3,0)*AB253,"NA")</f>
        <v>76.421178981884154</v>
      </c>
      <c r="CC253" s="80">
        <f>IFERROR(VLOOKUP($H253,'1. Set Program Names'!$B$2:$D$15,3,0)*AC253,"NA")</f>
        <v>65.860851176835197</v>
      </c>
      <c r="CD253" s="80">
        <f>IFERROR(VLOOKUP($H253,'1. Set Program Names'!$B$2:$D$15,3,0)*AD253,"NA")</f>
        <v>57.52626955683116</v>
      </c>
      <c r="CE253" s="80">
        <f>IFERROR(VLOOKUP($H253,'1. Set Program Names'!$B$2:$D$15,3,0)*AE253,"NA")</f>
        <v>50.750437141156027</v>
      </c>
    </row>
    <row r="254" spans="1:83" x14ac:dyDescent="0.25">
      <c r="A254" s="79" t="s">
        <v>113</v>
      </c>
      <c r="B254" s="79" t="s">
        <v>88</v>
      </c>
      <c r="C254" s="79" t="s">
        <v>122</v>
      </c>
      <c r="D254" s="79" t="s">
        <v>90</v>
      </c>
      <c r="E254" s="79" t="s">
        <v>91</v>
      </c>
      <c r="F254" s="79" t="s">
        <v>90</v>
      </c>
      <c r="G254" s="79" t="s">
        <v>92</v>
      </c>
      <c r="H254" s="79" t="s">
        <v>14</v>
      </c>
      <c r="I254" s="79" t="s">
        <v>237</v>
      </c>
      <c r="J254" s="79" t="s">
        <v>129</v>
      </c>
      <c r="K254" s="79" t="s">
        <v>102</v>
      </c>
      <c r="L254" s="79">
        <v>2568.1199999999699</v>
      </c>
      <c r="M254" s="79">
        <v>0.53641456399840104</v>
      </c>
      <c r="N254" s="79">
        <v>2.1892485513222901E-2</v>
      </c>
      <c r="O254" s="79">
        <f>9025.1/929.29*tbl_Data[[#This Row],[kWh Savings]]</f>
        <v>24941.126894725789</v>
      </c>
      <c r="P254" s="79">
        <v>35498.089296558101</v>
      </c>
      <c r="Q254" s="79">
        <v>91.4242886047615</v>
      </c>
      <c r="R254" s="79">
        <v>1534.4473108970501</v>
      </c>
      <c r="S254" s="79">
        <v>3958.9826982459099</v>
      </c>
      <c r="T254" s="79">
        <v>30</v>
      </c>
      <c r="U254" s="79">
        <v>0.94999999999999896</v>
      </c>
      <c r="V254" s="79">
        <f>tbl_Data_old[[#This Row],[2025 ]]*IFERROR(AVERAGEIFS('Participation Adjustment'!$C:$C,'Participation Adjustment'!$A:$A,$H254,'Participation Adjustment'!$B:$B,$I254),1)</f>
        <v>1318.2150330612701</v>
      </c>
      <c r="W254" s="79">
        <f>tbl_Data_old[[#This Row],[2026 ]]*IFERROR(AVERAGEIFS('Participation Adjustment'!$C:$C,'Participation Adjustment'!$A:$A,$H254,'Participation Adjustment'!$B:$B,$I254),1)</f>
        <v>2790.6317449830499</v>
      </c>
      <c r="X254" s="79">
        <f>tbl_Data_old[[#This Row],[2027 ]]*IFERROR(AVERAGEIFS('Participation Adjustment'!$C:$C,'Participation Adjustment'!$A:$A,$H254,'Participation Adjustment'!$B:$B,$I254),1)</f>
        <v>4429.8074100817103</v>
      </c>
      <c r="Y254" s="79">
        <f>tbl_Data_old[[#This Row],[2028 ]]*IFERROR(AVERAGEIFS('Participation Adjustment'!$C:$C,'Participation Adjustment'!$A:$A,$H254,'Participation Adjustment'!$B:$B,$I254),1)</f>
        <v>6251.5577292323396</v>
      </c>
      <c r="Z254" s="79">
        <f>tbl_Data_old[[#This Row],[2029 ]]*IFERROR(AVERAGEIFS('Participation Adjustment'!$C:$C,'Participation Adjustment'!$A:$A,$H254,'Participation Adjustment'!$B:$B,$I254),1)</f>
        <v>8265.7935834094496</v>
      </c>
      <c r="AA254" s="79">
        <f>tbl_Data_old[[#This Row],[2030 ]]*IFERROR(AVERAGEIFS('Participation Adjustment'!$C:$C,'Participation Adjustment'!$A:$A,$H254,'Participation Adjustment'!$B:$B,$I254),1)</f>
        <v>10482.072002082899</v>
      </c>
      <c r="AB254" s="79">
        <f>tbl_Data_old[[#This Row],[2031 ]]*IFERROR(AVERAGEIFS('Participation Adjustment'!$C:$C,'Participation Adjustment'!$A:$A,$H254,'Participation Adjustment'!$B:$B,$I254),1)</f>
        <v>12904.3202251373</v>
      </c>
      <c r="AC254" s="79">
        <f>tbl_Data_old[[#This Row],[2032 ]]*IFERROR(AVERAGEIFS('Participation Adjustment'!$C:$C,'Participation Adjustment'!$A:$A,$H254,'Participation Adjustment'!$B:$B,$I254),1)</f>
        <v>15539.7848797236</v>
      </c>
      <c r="AD254" s="79">
        <f>tbl_Data_old[[#This Row],[2033 ]]*IFERROR(AVERAGEIFS('Participation Adjustment'!$C:$C,'Participation Adjustment'!$A:$A,$H254,'Participation Adjustment'!$B:$B,$I254),1)</f>
        <v>18402.294382379201</v>
      </c>
      <c r="AE254" s="79">
        <f>tbl_Data_old[[#This Row],[2034 ]]*IFERROR(AVERAGEIFS('Participation Adjustment'!$C:$C,'Participation Adjustment'!$A:$A,$H254,'Participation Adjustment'!$B:$B,$I254),1)</f>
        <v>21493.258349129199</v>
      </c>
      <c r="AF254" s="77" t="str">
        <f t="shared" si="110"/>
        <v>NonResidential</v>
      </c>
      <c r="AG254" s="77" t="str">
        <f>tbl_Data[[#This Row],[All_Meas_Name_Append]]</f>
        <v>Ceiling Insulation(R19 to R38)</v>
      </c>
      <c r="AH254" s="77">
        <f>AVERAGEIFS('3. Incentive Adjustment'!G:G,'3. Incentive Adjustment'!A:A,tbl_Data[[#This Row],[Trimmed Sector]],'3. Incentive Adjustment'!B:B,tbl_Data[[#This Row],[Trimmed Measure Name]])</f>
        <v>3.9688771318830651E-15</v>
      </c>
      <c r="AI254" s="77">
        <f>$AH254*tbl_Data[[#This Row],[2025 ]]</f>
        <v>5.2318334996213536E-12</v>
      </c>
      <c r="AJ254" s="77">
        <f>$AH254*tbl_Data[[#This Row],[2026 ]]</f>
        <v>1.1075674516170161E-11</v>
      </c>
      <c r="AK254" s="77">
        <f>$AH254*tbl_Data[[#This Row],[2027 ]]</f>
        <v>1.7581361328519446E-11</v>
      </c>
      <c r="AL254" s="77">
        <f>$AH254*tbl_Data[[#This Row],[2028 ]]</f>
        <v>2.4811664510197054E-11</v>
      </c>
      <c r="AM254" s="77">
        <f>$AH254*tbl_Data[[#This Row],[2029 ]]</f>
        <v>3.2805919130059537E-11</v>
      </c>
      <c r="AN254" s="77">
        <f>$AH254*tbl_Data[[#This Row],[2030 ]]</f>
        <v>4.1602055863818556E-11</v>
      </c>
      <c r="AO254" s="77">
        <f>$AH254*tbl_Data[[#This Row],[2031 ]]</f>
        <v>5.1215661444043556E-11</v>
      </c>
      <c r="AP254" s="77">
        <f>$AH254*tbl_Data[[#This Row],[2032 ]]</f>
        <v>6.1675496843517221E-11</v>
      </c>
      <c r="AQ254" s="77">
        <f>$AH254*tbl_Data[[#This Row],[2033 ]]</f>
        <v>7.3036445348405007E-11</v>
      </c>
      <c r="AR254" s="77">
        <f>$AH254*tbl_Data[[#This Row],[2034 ]]</f>
        <v>8.530410155151364E-11</v>
      </c>
      <c r="AS254" s="77">
        <f>SUM(tbl_Data[[#This Row],[Adjusted 2025]:[Adjusted 2034]])</f>
        <v>4.0434021403586552E-10</v>
      </c>
      <c r="AT254" s="80">
        <f>AVERAGEIFS('3. Incentive Adjustment'!F:F,'3. Incentive Adjustment'!A:A,tbl_Data[[#This Row],[Trimmed Sector]],'3. Incentive Adjustment'!B:B,tbl_Data[[#This Row],[Trimmed Measure Name]])</f>
        <v>3222.5963039661074</v>
      </c>
      <c r="AU254" s="80">
        <f>IFERROR(VLOOKUP(tbl_Data[[#This Row],[All_Meas_Name_Append]],'IRA Tax Credits'!$A$3:$D$46,4,0),0)</f>
        <v>0</v>
      </c>
      <c r="AV254" s="81">
        <f>tbl_Data[[#This Row],[Adj. per unit Incentive ($)]]/tbl_Data[[#This Row],[kWh Savings]]*tbl_Data[[#This Row],[Sum of Annuals]]</f>
        <v>5.0738488828281402E-10</v>
      </c>
      <c r="AW254" s="81">
        <f>IFERROR(VLOOKUP(tbl_Data[[#This Row],[Column1]],'1. Set Program Names'!$B$2:$D$15,3,0)*tbl_Data[[#This Row],[Sum of Annuals]],"")</f>
        <v>1.439438827723253E-11</v>
      </c>
      <c r="AX254" s="81">
        <f>tbl_Data[[#This Row],[per unit IRA tax ($)]]/tbl_Data[[#This Row],[kWh Savings]]*tbl_Data[[#This Row],[Sum of Annuals]]</f>
        <v>0</v>
      </c>
      <c r="AY254" s="81">
        <f>tbl_Data[[#This Row],[Avoided Costs ($/unit)]]/tbl_Data[[#This Row],[kWh Savings]]*tbl_Data[[#This Row],[Sum of Annuals]]</f>
        <v>2.4159258683974225E-10</v>
      </c>
      <c r="AZ254" s="81">
        <f>tbl_Data[[#This Row],[Lost Revenue ($/unit)]]/tbl_Data[[#This Row],[kWh Savings]]*tbl_Data[[#This Row],[Sum of Annuals]]</f>
        <v>6.2332597837058172E-10</v>
      </c>
      <c r="BA254" s="81">
        <f>tbl_Data[[#This Row],[Incremental Cost ($/unit)]]/tbl_Data[[#This Row],[kWh Savings]]*tbl_Data[[#This Row],[Sum of Annuals]]</f>
        <v>3.9268805923824534E-9</v>
      </c>
      <c r="BB254" s="77">
        <f>ROUNDUP(tbl_Data[[#This Row],[Adjusted 2025]]/$L254,0)</f>
        <v>1</v>
      </c>
      <c r="BC254" s="77">
        <f>ROUNDUP(tbl_Data[[#This Row],[Adjusted 2026]]/$L254,0)</f>
        <v>1</v>
      </c>
      <c r="BD254" s="77">
        <f>ROUNDUP(tbl_Data[[#This Row],[Adjusted 2027]]/$L254,0)</f>
        <v>1</v>
      </c>
      <c r="BE254" s="77">
        <f>ROUNDUP(tbl_Data[[#This Row],[Adjusted 2028]]/$L254,0)</f>
        <v>1</v>
      </c>
      <c r="BF254" s="77">
        <f>ROUNDUP(tbl_Data[[#This Row],[Adjusted 2029]]/$L254,0)</f>
        <v>1</v>
      </c>
      <c r="BG254" s="77">
        <f>ROUNDUP(tbl_Data[[#This Row],[Adjusted 2030]]/$L254,0)</f>
        <v>1</v>
      </c>
      <c r="BH254" s="77">
        <f>ROUNDUP(tbl_Data[[#This Row],[Adjusted 2031]]/$L254,0)</f>
        <v>1</v>
      </c>
      <c r="BI254" s="77">
        <f>ROUNDUP(tbl_Data[[#This Row],[Adjusted 2032]]/$L254,0)</f>
        <v>1</v>
      </c>
      <c r="BJ254" s="77">
        <f>ROUNDUP(tbl_Data[[#This Row],[Adjusted 2033]]/$L254,0)</f>
        <v>1</v>
      </c>
      <c r="BK254" s="77">
        <f>ROUNDUP(tbl_Data[[#This Row],[Adjusted 2034]]/$L254,0)</f>
        <v>1</v>
      </c>
      <c r="BL254" s="80">
        <f t="shared" si="111"/>
        <v>1654.1574744855611</v>
      </c>
      <c r="BM254" s="80">
        <f t="shared" si="112"/>
        <v>3501.8143806025309</v>
      </c>
      <c r="BN254" s="80">
        <f t="shared" si="113"/>
        <v>5558.7281696381642</v>
      </c>
      <c r="BO254" s="80">
        <f t="shared" si="114"/>
        <v>7844.7451179287282</v>
      </c>
      <c r="BP254" s="80">
        <f t="shared" si="115"/>
        <v>10372.301859431169</v>
      </c>
      <c r="BQ254" s="80">
        <f t="shared" si="116"/>
        <v>13153.390998792644</v>
      </c>
      <c r="BR254" s="80">
        <f t="shared" si="117"/>
        <v>16192.94061909998</v>
      </c>
      <c r="BS254" s="80">
        <f t="shared" si="118"/>
        <v>19500.044124817479</v>
      </c>
      <c r="BT254" s="80">
        <f t="shared" si="119"/>
        <v>23092.054055555105</v>
      </c>
      <c r="BU254" s="80">
        <f t="shared" si="120"/>
        <v>26970.739262999101</v>
      </c>
      <c r="BV254" s="80">
        <f>IFERROR(VLOOKUP($H254,'1. Set Program Names'!$B$2:$D$15,3,0)*V254,"NA")</f>
        <v>46.928053060499543</v>
      </c>
      <c r="BW254" s="80">
        <f>IFERROR(VLOOKUP($H254,'1. Set Program Names'!$B$2:$D$15,3,0)*W254,"NA")</f>
        <v>99.345638849797638</v>
      </c>
      <c r="BX254" s="80">
        <f>IFERROR(VLOOKUP($H254,'1. Set Program Names'!$B$2:$D$15,3,0)*X254,"NA")</f>
        <v>157.69979250300833</v>
      </c>
      <c r="BY254" s="80">
        <f>IFERROR(VLOOKUP($H254,'1. Set Program Names'!$B$2:$D$15,3,0)*Y254,"NA")</f>
        <v>222.55354814676537</v>
      </c>
      <c r="BZ254" s="80">
        <f>IFERROR(VLOOKUP($H254,'1. Set Program Names'!$B$2:$D$15,3,0)*Z254,"NA")</f>
        <v>294.25973012048485</v>
      </c>
      <c r="CA254" s="80">
        <f>IFERROR(VLOOKUP($H254,'1. Set Program Names'!$B$2:$D$15,3,0)*AA254,"NA")</f>
        <v>373.15856575795817</v>
      </c>
      <c r="CB254" s="80">
        <f>IFERROR(VLOOKUP($H254,'1. Set Program Names'!$B$2:$D$15,3,0)*AB254,"NA")</f>
        <v>459.38986360108805</v>
      </c>
      <c r="CC254" s="80">
        <f>IFERROR(VLOOKUP($H254,'1. Set Program Names'!$B$2:$D$15,3,0)*AC254,"NA")</f>
        <v>553.21160136589208</v>
      </c>
      <c r="CD254" s="80">
        <f>IFERROR(VLOOKUP($H254,'1. Set Program Names'!$B$2:$D$15,3,0)*AD254,"NA")</f>
        <v>655.11606646279597</v>
      </c>
      <c r="CE254" s="80">
        <f>IFERROR(VLOOKUP($H254,'1. Set Program Names'!$B$2:$D$15,3,0)*AE254,"NA")</f>
        <v>765.1534407922951</v>
      </c>
    </row>
    <row r="255" spans="1:83" x14ac:dyDescent="0.25">
      <c r="A255" s="79" t="s">
        <v>113</v>
      </c>
      <c r="B255" s="79" t="s">
        <v>88</v>
      </c>
      <c r="C255" s="79" t="s">
        <v>122</v>
      </c>
      <c r="D255" s="79" t="s">
        <v>90</v>
      </c>
      <c r="E255" s="79" t="s">
        <v>91</v>
      </c>
      <c r="F255" s="79" t="s">
        <v>90</v>
      </c>
      <c r="G255" s="79" t="s">
        <v>92</v>
      </c>
      <c r="H255" s="79" t="s">
        <v>14</v>
      </c>
      <c r="I255" s="79" t="s">
        <v>238</v>
      </c>
      <c r="J255" s="79" t="s">
        <v>129</v>
      </c>
      <c r="K255" s="79" t="s">
        <v>102</v>
      </c>
      <c r="L255" s="79">
        <v>4477.6116666666303</v>
      </c>
      <c r="M255" s="79">
        <v>0.90610878358590996</v>
      </c>
      <c r="N255" s="79">
        <v>4.9616670393602701E-2</v>
      </c>
      <c r="O255" s="79">
        <f>9351.31/1137.9*tbl_Data[[#This Row],[kWh Savings]]</f>
        <v>36797.200768623181</v>
      </c>
      <c r="P255" s="79">
        <v>44221.719775682497</v>
      </c>
      <c r="Q255" s="79">
        <v>159.401609454924</v>
      </c>
      <c r="R255" s="79">
        <v>2670.7044942461998</v>
      </c>
      <c r="S255" s="79">
        <v>6902.6319322295803</v>
      </c>
      <c r="T255" s="79">
        <v>30</v>
      </c>
      <c r="U255" s="79">
        <v>0.94999999999999896</v>
      </c>
      <c r="V255" s="79">
        <f>tbl_Data_old[[#This Row],[2025 ]]*IFERROR(AVERAGEIFS('Participation Adjustment'!$C:$C,'Participation Adjustment'!$A:$A,$H255,'Participation Adjustment'!$B:$B,$I255),1)</f>
        <v>1039.0475523300199</v>
      </c>
      <c r="W255" s="79">
        <f>tbl_Data_old[[#This Row],[2026 ]]*IFERROR(AVERAGEIFS('Participation Adjustment'!$C:$C,'Participation Adjustment'!$A:$A,$H255,'Participation Adjustment'!$B:$B,$I255),1)</f>
        <v>2197.3889086839799</v>
      </c>
      <c r="X255" s="79">
        <f>tbl_Data_old[[#This Row],[2027 ]]*IFERROR(AVERAGEIFS('Participation Adjustment'!$C:$C,'Participation Adjustment'!$A:$A,$H255,'Participation Adjustment'!$B:$B,$I255),1)</f>
        <v>3483.8993625815501</v>
      </c>
      <c r="Y255" s="79">
        <f>tbl_Data_old[[#This Row],[2028 ]]*IFERROR(AVERAGEIFS('Participation Adjustment'!$C:$C,'Participation Adjustment'!$A:$A,$H255,'Participation Adjustment'!$B:$B,$I255),1)</f>
        <v>4910.0445952807804</v>
      </c>
      <c r="Z255" s="79">
        <f>tbl_Data_old[[#This Row],[2029 ]]*IFERROR(AVERAGEIFS('Participation Adjustment'!$C:$C,'Participation Adjustment'!$A:$A,$H255,'Participation Adjustment'!$B:$B,$I255),1)</f>
        <v>6482.7071908274202</v>
      </c>
      <c r="AA255" s="79">
        <f>tbl_Data_old[[#This Row],[2030 ]]*IFERROR(AVERAGEIFS('Participation Adjustment'!$C:$C,'Participation Adjustment'!$A:$A,$H255,'Participation Adjustment'!$B:$B,$I255),1)</f>
        <v>8208.3376671128208</v>
      </c>
      <c r="AB255" s="79">
        <f>tbl_Data_old[[#This Row],[2031 ]]*IFERROR(AVERAGEIFS('Participation Adjustment'!$C:$C,'Participation Adjustment'!$A:$A,$H255,'Participation Adjustment'!$B:$B,$I255),1)</f>
        <v>10089.1342457673</v>
      </c>
      <c r="AC255" s="79">
        <f>tbl_Data_old[[#This Row],[2032 ]]*IFERROR(AVERAGEIFS('Participation Adjustment'!$C:$C,'Participation Adjustment'!$A:$A,$H255,'Participation Adjustment'!$B:$B,$I255),1)</f>
        <v>12129.8675939738</v>
      </c>
      <c r="AD255" s="79">
        <f>tbl_Data_old[[#This Row],[2033 ]]*IFERROR(AVERAGEIFS('Participation Adjustment'!$C:$C,'Participation Adjustment'!$A:$A,$H255,'Participation Adjustment'!$B:$B,$I255),1)</f>
        <v>14340.112848204401</v>
      </c>
      <c r="AE255" s="79">
        <f>tbl_Data_old[[#This Row],[2034 ]]*IFERROR(AVERAGEIFS('Participation Adjustment'!$C:$C,'Participation Adjustment'!$A:$A,$H255,'Participation Adjustment'!$B:$B,$I255),1)</f>
        <v>16720.066746266701</v>
      </c>
      <c r="AF255" s="77" t="str">
        <f t="shared" si="110"/>
        <v>NonResidential</v>
      </c>
      <c r="AG255" s="77" t="str">
        <f>tbl_Data[[#This Row],[All_Meas_Name_Append]]</f>
        <v>Ceiling Insulation(R19 to R49)</v>
      </c>
      <c r="AH255" s="77">
        <f>AVERAGEIFS('3. Incentive Adjustment'!G:G,'3. Incentive Adjustment'!A:A,tbl_Data[[#This Row],[Trimmed Sector]],'3. Incentive Adjustment'!B:B,tbl_Data[[#This Row],[Trimmed Measure Name]])</f>
        <v>7.9373870200739678E-11</v>
      </c>
      <c r="AI255" s="77">
        <f>$AH255*tbl_Data[[#This Row],[2025 ]]</f>
        <v>8.2473225551039265E-8</v>
      </c>
      <c r="AJ255" s="77">
        <f>$AH255*tbl_Data[[#This Row],[2026 ]]</f>
        <v>1.7441526201842724E-7</v>
      </c>
      <c r="AK255" s="77">
        <f>$AH255*tbl_Data[[#This Row],[2027 ]]</f>
        <v>2.7653057579798765E-7</v>
      </c>
      <c r="AL255" s="77">
        <f>$AH255*tbl_Data[[#This Row],[2028 ]]</f>
        <v>3.8972924238566007E-7</v>
      </c>
      <c r="AM255" s="77">
        <f>$AH255*tbl_Data[[#This Row],[2029 ]]</f>
        <v>5.1455755911413738E-7</v>
      </c>
      <c r="AN255" s="77">
        <f>$AH255*tbl_Data[[#This Row],[2030 ]]</f>
        <v>6.5152752855325539E-7</v>
      </c>
      <c r="AO255" s="77">
        <f>$AH255*tbl_Data[[#This Row],[2031 ]]</f>
        <v>8.0081363206137127E-7</v>
      </c>
      <c r="AP255" s="77">
        <f>$AH255*tbl_Data[[#This Row],[2032 ]]</f>
        <v>9.6279453595623486E-7</v>
      </c>
      <c r="AQ255" s="77">
        <f>$AH255*tbl_Data[[#This Row],[2033 ]]</f>
        <v>1.1382302558773355E-6</v>
      </c>
      <c r="AR255" s="77">
        <f>$AH255*tbl_Data[[#This Row],[2034 ]]</f>
        <v>1.327136407665877E-6</v>
      </c>
      <c r="AS255" s="77">
        <f>SUM(tbl_Data[[#This Row],[Adjusted 2025]:[Adjusted 2034]])</f>
        <v>6.318208224981325E-6</v>
      </c>
      <c r="AT255" s="80">
        <f>AVERAGEIFS('3. Incentive Adjustment'!F:F,'3. Incentive Adjustment'!A:A,tbl_Data[[#This Row],[Trimmed Sector]],'3. Incentive Adjustment'!B:B,tbl_Data[[#This Row],[Trimmed Measure Name]])</f>
        <v>4754.4974087894998</v>
      </c>
      <c r="AU255" s="80">
        <f>IFERROR(VLOOKUP(tbl_Data[[#This Row],[All_Meas_Name_Append]],'IRA Tax Credits'!$A$3:$D$46,4,0),0)</f>
        <v>500</v>
      </c>
      <c r="AV255" s="81">
        <f>tbl_Data[[#This Row],[Adj. per unit Incentive ($)]]/tbl_Data[[#This Row],[kWh Savings]]*tbl_Data[[#This Row],[Sum of Annuals]]</f>
        <v>6.7089124448859373E-6</v>
      </c>
      <c r="AW255" s="81">
        <f>IFERROR(VLOOKUP(tbl_Data[[#This Row],[Column1]],'1. Set Program Names'!$B$2:$D$15,3,0)*tbl_Data[[#This Row],[Sum of Annuals]],"")</f>
        <v>2.2492628546394905E-7</v>
      </c>
      <c r="AX255" s="81">
        <f>tbl_Data[[#This Row],[per unit IRA tax ($)]]/tbl_Data[[#This Row],[kWh Savings]]*tbl_Data[[#This Row],[Sum of Annuals]]</f>
        <v>7.0553329490551065E-7</v>
      </c>
      <c r="AY255" s="81">
        <f>tbl_Data[[#This Row],[Avoided Costs ($/unit)]]/tbl_Data[[#This Row],[kWh Savings]]*tbl_Data[[#This Row],[Sum of Annuals]]</f>
        <v>3.7685418830889529E-6</v>
      </c>
      <c r="AZ255" s="81">
        <f>tbl_Data[[#This Row],[Lost Revenue ($/unit)]]/tbl_Data[[#This Row],[kWh Savings]]*tbl_Data[[#This Row],[Sum of Annuals]]</f>
        <v>9.7400733013318537E-6</v>
      </c>
      <c r="BA255" s="81">
        <f>tbl_Data[[#This Row],[Incremental Cost ($/unit)]]/tbl_Data[[#This Row],[kWh Savings]]*tbl_Data[[#This Row],[Sum of Annuals]]</f>
        <v>5.19233006031726E-5</v>
      </c>
      <c r="BB255" s="77">
        <f>ROUNDUP(tbl_Data[[#This Row],[Adjusted 2025]]/$L255,0)</f>
        <v>1</v>
      </c>
      <c r="BC255" s="77">
        <f>ROUNDUP(tbl_Data[[#This Row],[Adjusted 2026]]/$L255,0)</f>
        <v>1</v>
      </c>
      <c r="BD255" s="77">
        <f>ROUNDUP(tbl_Data[[#This Row],[Adjusted 2027]]/$L255,0)</f>
        <v>1</v>
      </c>
      <c r="BE255" s="77">
        <f>ROUNDUP(tbl_Data[[#This Row],[Adjusted 2028]]/$L255,0)</f>
        <v>1</v>
      </c>
      <c r="BF255" s="77">
        <f>ROUNDUP(tbl_Data[[#This Row],[Adjusted 2029]]/$L255,0)</f>
        <v>1</v>
      </c>
      <c r="BG255" s="77">
        <f>ROUNDUP(tbl_Data[[#This Row],[Adjusted 2030]]/$L255,0)</f>
        <v>1</v>
      </c>
      <c r="BH255" s="77">
        <f>ROUNDUP(tbl_Data[[#This Row],[Adjusted 2031]]/$L255,0)</f>
        <v>1</v>
      </c>
      <c r="BI255" s="77">
        <f>ROUNDUP(tbl_Data[[#This Row],[Adjusted 2032]]/$L255,0)</f>
        <v>1</v>
      </c>
      <c r="BJ255" s="77">
        <f>ROUNDUP(tbl_Data[[#This Row],[Adjusted 2033]]/$L255,0)</f>
        <v>1</v>
      </c>
      <c r="BK255" s="77">
        <f>ROUNDUP(tbl_Data[[#This Row],[Adjusted 2034]]/$L255,0)</f>
        <v>1</v>
      </c>
      <c r="BL255" s="80">
        <f t="shared" si="111"/>
        <v>1103.2999873434444</v>
      </c>
      <c r="BM255" s="80">
        <f t="shared" si="112"/>
        <v>2333.2706474338861</v>
      </c>
      <c r="BN255" s="80">
        <f t="shared" si="113"/>
        <v>3699.3361025898494</v>
      </c>
      <c r="BO255" s="80">
        <f t="shared" si="114"/>
        <v>5213.67104679769</v>
      </c>
      <c r="BP255" s="80">
        <f t="shared" si="115"/>
        <v>6883.5836680932089</v>
      </c>
      <c r="BQ255" s="80">
        <f t="shared" si="116"/>
        <v>8715.9233703289301</v>
      </c>
      <c r="BR255" s="80">
        <f t="shared" si="117"/>
        <v>10713.024308367614</v>
      </c>
      <c r="BS255" s="80">
        <f t="shared" si="118"/>
        <v>12879.952157048448</v>
      </c>
      <c r="BT255" s="80">
        <f t="shared" si="119"/>
        <v>15226.874158404551</v>
      </c>
      <c r="BU255" s="80">
        <f t="shared" si="120"/>
        <v>17753.99921608056</v>
      </c>
      <c r="BV255" s="80">
        <f>IFERROR(VLOOKUP($H255,'1. Set Program Names'!$B$2:$D$15,3,0)*V255,"NA")</f>
        <v>36.98977590544515</v>
      </c>
      <c r="BW255" s="80">
        <f>IFERROR(VLOOKUP($H255,'1. Set Program Names'!$B$2:$D$15,3,0)*W255,"NA")</f>
        <v>78.226374844021421</v>
      </c>
      <c r="BX255" s="80">
        <f>IFERROR(VLOOKUP($H255,'1. Set Program Names'!$B$2:$D$15,3,0)*X255,"NA")</f>
        <v>124.02575455765452</v>
      </c>
      <c r="BY255" s="80">
        <f>IFERROR(VLOOKUP($H255,'1. Set Program Names'!$B$2:$D$15,3,0)*Y255,"NA")</f>
        <v>174.7960898015686</v>
      </c>
      <c r="BZ255" s="80">
        <f>IFERROR(VLOOKUP($H255,'1. Set Program Names'!$B$2:$D$15,3,0)*Z255,"NA")</f>
        <v>230.7823984682862</v>
      </c>
      <c r="CA255" s="80">
        <f>IFERROR(VLOOKUP($H255,'1. Set Program Names'!$B$2:$D$15,3,0)*AA255,"NA")</f>
        <v>292.21431702703353</v>
      </c>
      <c r="CB255" s="80">
        <f>IFERROR(VLOOKUP($H255,'1. Set Program Names'!$B$2:$D$15,3,0)*AB255,"NA")</f>
        <v>359.17010149729077</v>
      </c>
      <c r="CC255" s="80">
        <f>IFERROR(VLOOKUP($H255,'1. Set Program Names'!$B$2:$D$15,3,0)*AC255,"NA")</f>
        <v>431.8195861754968</v>
      </c>
      <c r="CD255" s="80">
        <f>IFERROR(VLOOKUP($H255,'1. Set Program Names'!$B$2:$D$15,3,0)*AD255,"NA")</f>
        <v>510.50364299919858</v>
      </c>
      <c r="CE255" s="80">
        <f>IFERROR(VLOOKUP($H255,'1. Set Program Names'!$B$2:$D$15,3,0)*AE255,"NA")</f>
        <v>595.22927577433256</v>
      </c>
    </row>
    <row r="256" spans="1:83" x14ac:dyDescent="0.25">
      <c r="A256" s="79" t="s">
        <v>113</v>
      </c>
      <c r="B256" s="79" t="s">
        <v>88</v>
      </c>
      <c r="C256" s="79" t="s">
        <v>122</v>
      </c>
      <c r="D256" s="79" t="s">
        <v>90</v>
      </c>
      <c r="E256" s="79" t="s">
        <v>91</v>
      </c>
      <c r="F256" s="79" t="s">
        <v>90</v>
      </c>
      <c r="G256" s="79" t="s">
        <v>92</v>
      </c>
      <c r="H256" s="79" t="s">
        <v>14</v>
      </c>
      <c r="I256" s="79" t="s">
        <v>240</v>
      </c>
      <c r="J256" s="79" t="s">
        <v>129</v>
      </c>
      <c r="K256" s="79" t="s">
        <v>102</v>
      </c>
      <c r="L256" s="79">
        <v>18717.787499999999</v>
      </c>
      <c r="M256" s="79">
        <v>3.6380387810097399</v>
      </c>
      <c r="N256" s="79">
        <v>0.14255501576814</v>
      </c>
      <c r="O256" s="79">
        <f>11091.09/6133.31*tbl_Data[[#This Row],[kWh Savings]]</f>
        <v>33848.063405139306</v>
      </c>
      <c r="P256" s="79">
        <v>45532.278837645601</v>
      </c>
      <c r="Q256" s="79">
        <v>666.34752521012103</v>
      </c>
      <c r="R256" s="79">
        <v>11042.715256281999</v>
      </c>
      <c r="S256" s="79">
        <v>28855.114582630202</v>
      </c>
      <c r="T256" s="79">
        <v>30</v>
      </c>
      <c r="U256" s="79">
        <v>0.95</v>
      </c>
      <c r="V256" s="79">
        <f>tbl_Data_old[[#This Row],[2025 ]]*IFERROR(AVERAGEIFS('Participation Adjustment'!$C:$C,'Participation Adjustment'!$A:$A,$H256,'Participation Adjustment'!$B:$B,$I256),1)</f>
        <v>1522.2240041791899</v>
      </c>
      <c r="W256" s="79">
        <f>tbl_Data_old[[#This Row],[2026 ]]*IFERROR(AVERAGEIFS('Participation Adjustment'!$C:$C,'Participation Adjustment'!$A:$A,$H256,'Participation Adjustment'!$B:$B,$I256),1)</f>
        <v>3015.7708690678401</v>
      </c>
      <c r="X256" s="79">
        <f>tbl_Data_old[[#This Row],[2027 ]]*IFERROR(AVERAGEIFS('Participation Adjustment'!$C:$C,'Participation Adjustment'!$A:$A,$H256,'Participation Adjustment'!$B:$B,$I256),1)</f>
        <v>4467.9014260826198</v>
      </c>
      <c r="Y256" s="79">
        <f>tbl_Data_old[[#This Row],[2028 ]]*IFERROR(AVERAGEIFS('Participation Adjustment'!$C:$C,'Participation Adjustment'!$A:$A,$H256,'Participation Adjustment'!$B:$B,$I256),1)</f>
        <v>5879.6609303497598</v>
      </c>
      <c r="Z256" s="79">
        <f>tbl_Data_old[[#This Row],[2029 ]]*IFERROR(AVERAGEIFS('Participation Adjustment'!$C:$C,'Participation Adjustment'!$A:$A,$H256,'Participation Adjustment'!$B:$B,$I256),1)</f>
        <v>7252.4935170625604</v>
      </c>
      <c r="AA256" s="79">
        <f>tbl_Data_old[[#This Row],[2030 ]]*IFERROR(AVERAGEIFS('Participation Adjustment'!$C:$C,'Participation Adjustment'!$A:$A,$H256,'Participation Adjustment'!$B:$B,$I256),1)</f>
        <v>8584.02489262772</v>
      </c>
      <c r="AB256" s="79">
        <f>tbl_Data_old[[#This Row],[2031 ]]*IFERROR(AVERAGEIFS('Participation Adjustment'!$C:$C,'Participation Adjustment'!$A:$A,$H256,'Participation Adjustment'!$B:$B,$I256),1)</f>
        <v>9874.6490497794402</v>
      </c>
      <c r="AC256" s="79">
        <f>tbl_Data_old[[#This Row],[2032 ]]*IFERROR(AVERAGEIFS('Participation Adjustment'!$C:$C,'Participation Adjustment'!$A:$A,$H256,'Participation Adjustment'!$B:$B,$I256),1)</f>
        <v>11126.9211331591</v>
      </c>
      <c r="AD256" s="79">
        <f>tbl_Data_old[[#This Row],[2033 ]]*IFERROR(AVERAGEIFS('Participation Adjustment'!$C:$C,'Participation Adjustment'!$A:$A,$H256,'Participation Adjustment'!$B:$B,$I256),1)</f>
        <v>12341.261852637001</v>
      </c>
      <c r="AE256" s="79">
        <f>tbl_Data_old[[#This Row],[2034 ]]*IFERROR(AVERAGEIFS('Participation Adjustment'!$C:$C,'Participation Adjustment'!$A:$A,$H256,'Participation Adjustment'!$B:$B,$I256),1)</f>
        <v>13518.8146242408</v>
      </c>
      <c r="AF256" s="77" t="str">
        <f t="shared" si="110"/>
        <v>NonResidential</v>
      </c>
      <c r="AG256" s="77" t="str">
        <f>tbl_Data[[#This Row],[All_Meas_Name_Append]]</f>
        <v>Ceiling Insulation(R2 to R38)</v>
      </c>
      <c r="AH256" s="77">
        <f>AVERAGEIFS('3. Incentive Adjustment'!G:G,'3. Incentive Adjustment'!A:A,tbl_Data[[#This Row],[Trimmed Sector]],'3. Incentive Adjustment'!B:B,tbl_Data[[#This Row],[Trimmed Measure Name]])</f>
        <v>3.0218441517909909E-3</v>
      </c>
      <c r="AI256" s="77">
        <f>$AH256*tbl_Data[[#This Row],[2025 ]]</f>
        <v>4.5999237047447501</v>
      </c>
      <c r="AJ256" s="77">
        <f>$AH256*tbl_Data[[#This Row],[2026 ]]</f>
        <v>9.1131895638342861</v>
      </c>
      <c r="AK256" s="77">
        <f>$AH256*tbl_Data[[#This Row],[2027 ]]</f>
        <v>13.501301795186393</v>
      </c>
      <c r="AL256" s="77">
        <f>$AH256*tbl_Data[[#This Row],[2028 ]]</f>
        <v>17.767418996891397</v>
      </c>
      <c r="AM256" s="77">
        <f>$AH256*tbl_Data[[#This Row],[2029 ]]</f>
        <v>21.915905120437571</v>
      </c>
      <c r="AN256" s="77">
        <f>$AH256*tbl_Data[[#This Row],[2030 ]]</f>
        <v>25.939585420615366</v>
      </c>
      <c r="AO256" s="77">
        <f>$AH256*tbl_Data[[#This Row],[2031 ]]</f>
        <v>29.839650482064467</v>
      </c>
      <c r="AP256" s="77">
        <f>$AH256*tbl_Data[[#This Row],[2032 ]]</f>
        <v>33.623821553676407</v>
      </c>
      <c r="AQ256" s="77">
        <f>$AH256*tbl_Data[[#This Row],[2033 ]]</f>
        <v>37.293369955112368</v>
      </c>
      <c r="AR256" s="77">
        <f>$AH256*tbl_Data[[#This Row],[2034 ]]</f>
        <v>40.851750911408587</v>
      </c>
      <c r="AS256" s="77">
        <f>SUM(tbl_Data[[#This Row],[Adjusted 2025]:[Adjusted 2034]])</f>
        <v>234.4459175039716</v>
      </c>
      <c r="AT256" s="80">
        <f>AVERAGEIFS('3. Incentive Adjustment'!F:F,'3. Incentive Adjustment'!A:A,tbl_Data[[#This Row],[Trimmed Sector]],'3. Incentive Adjustment'!B:B,tbl_Data[[#This Row],[Trimmed Measure Name]])</f>
        <v>4373.4448922946976</v>
      </c>
      <c r="AU256" s="80">
        <f>IFERROR(VLOOKUP(tbl_Data[[#This Row],[All_Meas_Name_Append]],'IRA Tax Credits'!$A$3:$D$46,4,0),0)</f>
        <v>0</v>
      </c>
      <c r="AV256" s="81">
        <f>tbl_Data[[#This Row],[Adj. per unit Incentive ($)]]/tbl_Data[[#This Row],[kWh Savings]]*tbl_Data[[#This Row],[Sum of Annuals]]</f>
        <v>54.778712517549884</v>
      </c>
      <c r="AW256" s="81">
        <f>IFERROR(VLOOKUP(tbl_Data[[#This Row],[Column1]],'1. Set Program Names'!$B$2:$D$15,3,0)*tbl_Data[[#This Row],[Sum of Annuals]],"")</f>
        <v>8.3462031463060278</v>
      </c>
      <c r="AX256" s="81">
        <f>tbl_Data[[#This Row],[per unit IRA tax ($)]]/tbl_Data[[#This Row],[kWh Savings]]*tbl_Data[[#This Row],[Sum of Annuals]]</f>
        <v>0</v>
      </c>
      <c r="AY256" s="81">
        <f>tbl_Data[[#This Row],[Avoided Costs ($/unit)]]/tbl_Data[[#This Row],[kWh Savings]]*tbl_Data[[#This Row],[Sum of Annuals]]</f>
        <v>138.31332949976797</v>
      </c>
      <c r="AZ256" s="81">
        <f>tbl_Data[[#This Row],[Lost Revenue ($/unit)]]/tbl_Data[[#This Row],[kWh Savings]]*tbl_Data[[#This Row],[Sum of Annuals]]</f>
        <v>361.41898784816146</v>
      </c>
      <c r="BA256" s="81">
        <f>tbl_Data[[#This Row],[Incremental Cost ($/unit)]]/tbl_Data[[#This Row],[kWh Savings]]*tbl_Data[[#This Row],[Sum of Annuals]]</f>
        <v>423.95717339725599</v>
      </c>
      <c r="BB256" s="77">
        <f>ROUNDUP(tbl_Data[[#This Row],[Adjusted 2025]]/$L256,0)</f>
        <v>1</v>
      </c>
      <c r="BC256" s="77">
        <f>ROUNDUP(tbl_Data[[#This Row],[Adjusted 2026]]/$L256,0)</f>
        <v>1</v>
      </c>
      <c r="BD256" s="77">
        <f>ROUNDUP(tbl_Data[[#This Row],[Adjusted 2027]]/$L256,0)</f>
        <v>1</v>
      </c>
      <c r="BE256" s="77">
        <f>ROUNDUP(tbl_Data[[#This Row],[Adjusted 2028]]/$L256,0)</f>
        <v>1</v>
      </c>
      <c r="BF256" s="77">
        <f>ROUNDUP(tbl_Data[[#This Row],[Adjusted 2029]]/$L256,0)</f>
        <v>1</v>
      </c>
      <c r="BG256" s="77">
        <f>ROUNDUP(tbl_Data[[#This Row],[Adjusted 2030]]/$L256,0)</f>
        <v>1</v>
      </c>
      <c r="BH256" s="77">
        <f>ROUNDUP(tbl_Data[[#This Row],[Adjusted 2031]]/$L256,0)</f>
        <v>1</v>
      </c>
      <c r="BI256" s="77">
        <f>ROUNDUP(tbl_Data[[#This Row],[Adjusted 2032]]/$L256,0)</f>
        <v>1</v>
      </c>
      <c r="BJ256" s="77">
        <f>ROUNDUP(tbl_Data[[#This Row],[Adjusted 2033]]/$L256,0)</f>
        <v>1</v>
      </c>
      <c r="BK256" s="77">
        <f>ROUNDUP(tbl_Data[[#This Row],[Adjusted 2034]]/$L256,0)</f>
        <v>1</v>
      </c>
      <c r="BL256" s="80">
        <f t="shared" si="111"/>
        <v>355.67039085179601</v>
      </c>
      <c r="BM256" s="80">
        <f t="shared" si="112"/>
        <v>704.64031625831251</v>
      </c>
      <c r="BN256" s="80">
        <f t="shared" si="113"/>
        <v>1043.933246446848</v>
      </c>
      <c r="BO256" s="80">
        <f t="shared" si="114"/>
        <v>1373.7934071675325</v>
      </c>
      <c r="BP256" s="80">
        <f t="shared" si="115"/>
        <v>1694.5582232193665</v>
      </c>
      <c r="BQ256" s="80">
        <f t="shared" si="116"/>
        <v>2005.6729366114048</v>
      </c>
      <c r="BR256" s="80">
        <f t="shared" si="117"/>
        <v>2307.2296044583577</v>
      </c>
      <c r="BS256" s="80">
        <f t="shared" si="118"/>
        <v>2599.8252409255419</v>
      </c>
      <c r="BT256" s="80">
        <f t="shared" si="119"/>
        <v>2883.5581456348245</v>
      </c>
      <c r="BU256" s="80">
        <f t="shared" si="120"/>
        <v>3158.6954798084334</v>
      </c>
      <c r="BV256" s="80">
        <f>IFERROR(VLOOKUP($H256,'1. Set Program Names'!$B$2:$D$15,3,0)*V256,"NA")</f>
        <v>54.190710200136849</v>
      </c>
      <c r="BW256" s="80">
        <f>IFERROR(VLOOKUP($H256,'1. Set Program Names'!$B$2:$D$15,3,0)*W256,"NA")</f>
        <v>107.36052298938274</v>
      </c>
      <c r="BX256" s="80">
        <f>IFERROR(VLOOKUP($H256,'1. Set Program Names'!$B$2:$D$15,3,0)*X256,"NA")</f>
        <v>159.05592785220603</v>
      </c>
      <c r="BY256" s="80">
        <f>IFERROR(VLOOKUP($H256,'1. Set Program Names'!$B$2:$D$15,3,0)*Y256,"NA")</f>
        <v>209.31413555224941</v>
      </c>
      <c r="BZ256" s="80">
        <f>IFERROR(VLOOKUP($H256,'1. Set Program Names'!$B$2:$D$15,3,0)*Z256,"NA")</f>
        <v>258.18655686186645</v>
      </c>
      <c r="CA256" s="80">
        <f>IFERROR(VLOOKUP($H256,'1. Set Program Names'!$B$2:$D$15,3,0)*AA256,"NA")</f>
        <v>305.58866765340485</v>
      </c>
      <c r="CB256" s="80">
        <f>IFERROR(VLOOKUP($H256,'1. Set Program Names'!$B$2:$D$15,3,0)*AB256,"NA")</f>
        <v>351.53449394801618</v>
      </c>
      <c r="CC256" s="80">
        <f>IFERROR(VLOOKUP($H256,'1. Set Program Names'!$B$2:$D$15,3,0)*AC256,"NA")</f>
        <v>396.11499811549635</v>
      </c>
      <c r="CD256" s="80">
        <f>IFERROR(VLOOKUP($H256,'1. Set Program Names'!$B$2:$D$15,3,0)*AD256,"NA")</f>
        <v>439.34515729889216</v>
      </c>
      <c r="CE256" s="80">
        <f>IFERROR(VLOOKUP($H256,'1. Set Program Names'!$B$2:$D$15,3,0)*AE256,"NA")</f>
        <v>481.2656767599936</v>
      </c>
    </row>
    <row r="257" spans="1:83" x14ac:dyDescent="0.25">
      <c r="A257" s="79" t="s">
        <v>113</v>
      </c>
      <c r="B257" s="79" t="s">
        <v>88</v>
      </c>
      <c r="C257" s="79" t="s">
        <v>122</v>
      </c>
      <c r="D257" s="79" t="s">
        <v>90</v>
      </c>
      <c r="E257" s="79" t="s">
        <v>91</v>
      </c>
      <c r="F257" s="79" t="s">
        <v>90</v>
      </c>
      <c r="G257" s="79" t="s">
        <v>92</v>
      </c>
      <c r="H257" s="79" t="s">
        <v>14</v>
      </c>
      <c r="I257" s="79" t="s">
        <v>241</v>
      </c>
      <c r="J257" s="79" t="s">
        <v>129</v>
      </c>
      <c r="K257" s="79" t="s">
        <v>102</v>
      </c>
      <c r="L257" s="79">
        <v>19185.113333333298</v>
      </c>
      <c r="M257" s="79">
        <v>4.6125790568704801</v>
      </c>
      <c r="N257" s="79">
        <v>0.25911922024205197</v>
      </c>
      <c r="O257" s="79">
        <f>11417.3/6341.92*tbl_Data[[#This Row],[kWh Savings]]</f>
        <v>34538.782334161617</v>
      </c>
      <c r="P257" s="79">
        <v>25197.386166847798</v>
      </c>
      <c r="Q257" s="79">
        <v>682.98418232081895</v>
      </c>
      <c r="R257" s="79">
        <v>12014.6297388403</v>
      </c>
      <c r="S257" s="79">
        <v>29575.538429105502</v>
      </c>
      <c r="T257" s="79">
        <v>30</v>
      </c>
      <c r="U257" s="79">
        <v>0.95</v>
      </c>
      <c r="V257" s="79">
        <f>tbl_Data_old[[#This Row],[2025 ]]*IFERROR(AVERAGEIFS('Participation Adjustment'!$C:$C,'Participation Adjustment'!$A:$A,$H257,'Participation Adjustment'!$B:$B,$I257),1)</f>
        <v>1621.89748046613</v>
      </c>
      <c r="W257" s="79">
        <f>tbl_Data_old[[#This Row],[2026 ]]*IFERROR(AVERAGEIFS('Participation Adjustment'!$C:$C,'Participation Adjustment'!$A:$A,$H257,'Participation Adjustment'!$B:$B,$I257),1)</f>
        <v>3211.0633489565298</v>
      </c>
      <c r="X257" s="79">
        <f>tbl_Data_old[[#This Row],[2027 ]]*IFERROR(AVERAGEIFS('Participation Adjustment'!$C:$C,'Participation Adjustment'!$A:$A,$H257,'Participation Adjustment'!$B:$B,$I257),1)</f>
        <v>4753.7993990709201</v>
      </c>
      <c r="Y257" s="79">
        <f>tbl_Data_old[[#This Row],[2028 ]]*IFERROR(AVERAGEIFS('Participation Adjustment'!$C:$C,'Participation Adjustment'!$A:$A,$H257,'Participation Adjustment'!$B:$B,$I257),1)</f>
        <v>6251.12168722758</v>
      </c>
      <c r="Z257" s="79">
        <f>tbl_Data_old[[#This Row],[2029 ]]*IFERROR(AVERAGEIFS('Participation Adjustment'!$C:$C,'Participation Adjustment'!$A:$A,$H257,'Participation Adjustment'!$B:$B,$I257),1)</f>
        <v>7704.4910093115896</v>
      </c>
      <c r="AA257" s="79">
        <f>tbl_Data_old[[#This Row],[2030 ]]*IFERROR(AVERAGEIFS('Participation Adjustment'!$C:$C,'Participation Adjustment'!$A:$A,$H257,'Participation Adjustment'!$B:$B,$I257),1)</f>
        <v>9111.3517727477793</v>
      </c>
      <c r="AB257" s="79">
        <f>tbl_Data_old[[#This Row],[2031 ]]*IFERROR(AVERAGEIFS('Participation Adjustment'!$C:$C,'Participation Adjustment'!$A:$A,$H257,'Participation Adjustment'!$B:$B,$I257),1)</f>
        <v>10472.105547839799</v>
      </c>
      <c r="AC257" s="79">
        <f>tbl_Data_old[[#This Row],[2032 ]]*IFERROR(AVERAGEIFS('Participation Adjustment'!$C:$C,'Participation Adjustment'!$A:$A,$H257,'Participation Adjustment'!$B:$B,$I257),1)</f>
        <v>11789.4484814887</v>
      </c>
      <c r="AD257" s="79">
        <f>tbl_Data_old[[#This Row],[2033 ]]*IFERROR(AVERAGEIFS('Participation Adjustment'!$C:$C,'Participation Adjustment'!$A:$A,$H257,'Participation Adjustment'!$B:$B,$I257),1)</f>
        <v>13063.839304569799</v>
      </c>
      <c r="AE257" s="79">
        <f>tbl_Data_old[[#This Row],[2034 ]]*IFERROR(AVERAGEIFS('Participation Adjustment'!$C:$C,'Participation Adjustment'!$A:$A,$H257,'Participation Adjustment'!$B:$B,$I257),1)</f>
        <v>14296.5059741309</v>
      </c>
      <c r="AF257" s="77" t="str">
        <f t="shared" si="110"/>
        <v>NonResidential</v>
      </c>
      <c r="AG257" s="77" t="str">
        <f>tbl_Data[[#This Row],[All_Meas_Name_Append]]</f>
        <v>Ceiling Insulation(R2 to R49)</v>
      </c>
      <c r="AH257" s="77">
        <f>AVERAGEIFS('3. Incentive Adjustment'!G:G,'3. Incentive Adjustment'!A:A,tbl_Data[[#This Row],[Trimmed Sector]],'3. Incentive Adjustment'!B:B,tbl_Data[[#This Row],[Trimmed Measure Name]])</f>
        <v>5.674595082038876E-2</v>
      </c>
      <c r="AI257" s="77">
        <f>$AH257*tbl_Data[[#This Row],[2025 ]]</f>
        <v>92.036114662243449</v>
      </c>
      <c r="AJ257" s="77">
        <f>$AH257*tbl_Data[[#This Row],[2026 ]]</f>
        <v>182.21484288104008</v>
      </c>
      <c r="AK257" s="77">
        <f>$AH257*tbl_Data[[#This Row],[2027 ]]</f>
        <v>269.75886690967207</v>
      </c>
      <c r="AL257" s="77">
        <f>$AH257*tbl_Data[[#This Row],[2028 ]]</f>
        <v>354.72584383568187</v>
      </c>
      <c r="AM257" s="77">
        <f>$AH257*tbl_Data[[#This Row],[2029 ]]</f>
        <v>437.19866791052283</v>
      </c>
      <c r="AN257" s="77">
        <f>$AH257*tbl_Data[[#This Row],[2030 ]]</f>
        <v>517.03231960360745</v>
      </c>
      <c r="AO257" s="77">
        <f>$AH257*tbl_Data[[#This Row],[2031 ]]</f>
        <v>594.24958640363752</v>
      </c>
      <c r="AP257" s="77">
        <f>$AH257*tbl_Data[[#This Row],[2032 ]]</f>
        <v>669.00346373006471</v>
      </c>
      <c r="AQ257" s="77">
        <f>$AH257*tbl_Data[[#This Row],[2033 ]]</f>
        <v>741.31998270257952</v>
      </c>
      <c r="AR257" s="77">
        <f>$AH257*tbl_Data[[#This Row],[2034 ]]</f>
        <v>811.26882491142612</v>
      </c>
      <c r="AS257" s="77">
        <f>SUM(tbl_Data[[#This Row],[Adjusted 2025]:[Adjusted 2034]])</f>
        <v>4668.8085135504753</v>
      </c>
      <c r="AT257" s="80">
        <f>AVERAGEIFS('3. Incentive Adjustment'!F:F,'3. Incentive Adjustment'!A:A,tbl_Data[[#This Row],[Trimmed Sector]],'3. Incentive Adjustment'!B:B,tbl_Data[[#This Row],[Trimmed Measure Name]])</f>
        <v>4335.1908026959672</v>
      </c>
      <c r="AU257" s="80">
        <f>IFERROR(VLOOKUP(tbl_Data[[#This Row],[All_Meas_Name_Append]],'IRA Tax Credits'!$A$3:$D$46,4,0),0)</f>
        <v>500</v>
      </c>
      <c r="AV257" s="81">
        <f>tbl_Data[[#This Row],[Adj. per unit Incentive ($)]]/tbl_Data[[#This Row],[kWh Savings]]*tbl_Data[[#This Row],[Sum of Annuals]]</f>
        <v>1054.9938056569219</v>
      </c>
      <c r="AW257" s="81">
        <f>IFERROR(VLOOKUP(tbl_Data[[#This Row],[Column1]],'1. Set Program Names'!$B$2:$D$15,3,0)*tbl_Data[[#This Row],[Sum of Annuals]],"")</f>
        <v>166.20815888011884</v>
      </c>
      <c r="AX257" s="81">
        <f>tbl_Data[[#This Row],[per unit IRA tax ($)]]/tbl_Data[[#This Row],[kWh Savings]]*tbl_Data[[#This Row],[Sum of Annuals]]</f>
        <v>121.67789766033395</v>
      </c>
      <c r="AY257" s="81">
        <f>tbl_Data[[#This Row],[Avoided Costs ($/unit)]]/tbl_Data[[#This Row],[kWh Savings]]*tbl_Data[[#This Row],[Sum of Annuals]]</f>
        <v>2923.8297755788299</v>
      </c>
      <c r="AZ257" s="81">
        <f>tbl_Data[[#This Row],[Lost Revenue ($/unit)]]/tbl_Data[[#This Row],[kWh Savings]]*tbl_Data[[#This Row],[Sum of Annuals]]</f>
        <v>7197.3786764519473</v>
      </c>
      <c r="BA257" s="81">
        <f>tbl_Data[[#This Row],[Incremental Cost ($/unit)]]/tbl_Data[[#This Row],[kWh Savings]]*tbl_Data[[#This Row],[Sum of Annuals]]</f>
        <v>8405.2128443373349</v>
      </c>
      <c r="BB257" s="77">
        <f>ROUNDUP(tbl_Data[[#This Row],[Adjusted 2025]]/$L257,0)</f>
        <v>1</v>
      </c>
      <c r="BC257" s="77">
        <f>ROUNDUP(tbl_Data[[#This Row],[Adjusted 2026]]/$L257,0)</f>
        <v>1</v>
      </c>
      <c r="BD257" s="77">
        <f>ROUNDUP(tbl_Data[[#This Row],[Adjusted 2027]]/$L257,0)</f>
        <v>1</v>
      </c>
      <c r="BE257" s="77">
        <f>ROUNDUP(tbl_Data[[#This Row],[Adjusted 2028]]/$L257,0)</f>
        <v>1</v>
      </c>
      <c r="BF257" s="77">
        <f>ROUNDUP(tbl_Data[[#This Row],[Adjusted 2029]]/$L257,0)</f>
        <v>1</v>
      </c>
      <c r="BG257" s="77">
        <f>ROUNDUP(tbl_Data[[#This Row],[Adjusted 2030]]/$L257,0)</f>
        <v>1</v>
      </c>
      <c r="BH257" s="77">
        <f>ROUNDUP(tbl_Data[[#This Row],[Adjusted 2031]]/$L257,0)</f>
        <v>1</v>
      </c>
      <c r="BI257" s="77">
        <f>ROUNDUP(tbl_Data[[#This Row],[Adjusted 2032]]/$L257,0)</f>
        <v>1</v>
      </c>
      <c r="BJ257" s="77">
        <f>ROUNDUP(tbl_Data[[#This Row],[Adjusted 2033]]/$L257,0)</f>
        <v>1</v>
      </c>
      <c r="BK257" s="77">
        <f>ROUNDUP(tbl_Data[[#This Row],[Adjusted 2034]]/$L257,0)</f>
        <v>1</v>
      </c>
      <c r="BL257" s="80">
        <f t="shared" si="111"/>
        <v>366.49431869740715</v>
      </c>
      <c r="BM257" s="80">
        <f t="shared" si="112"/>
        <v>725.59239319603455</v>
      </c>
      <c r="BN257" s="80">
        <f t="shared" si="113"/>
        <v>1074.1988892454065</v>
      </c>
      <c r="BO257" s="80">
        <f t="shared" si="114"/>
        <v>1412.5434014464522</v>
      </c>
      <c r="BP257" s="80">
        <f t="shared" si="115"/>
        <v>1740.9560205719279</v>
      </c>
      <c r="BQ257" s="80">
        <f t="shared" si="116"/>
        <v>2058.8592685931753</v>
      </c>
      <c r="BR257" s="80">
        <f t="shared" si="117"/>
        <v>2366.3438869020629</v>
      </c>
      <c r="BS257" s="80">
        <f t="shared" si="118"/>
        <v>2664.0191140808747</v>
      </c>
      <c r="BT257" s="80">
        <f t="shared" si="119"/>
        <v>2951.988607889512</v>
      </c>
      <c r="BU257" s="80">
        <f t="shared" si="120"/>
        <v>3230.5298453492069</v>
      </c>
      <c r="BV257" s="80">
        <f>IFERROR(VLOOKUP($H257,'1. Set Program Names'!$B$2:$D$15,3,0)*V257,"NA")</f>
        <v>57.73905555093711</v>
      </c>
      <c r="BW257" s="80">
        <f>IFERROR(VLOOKUP($H257,'1. Set Program Names'!$B$2:$D$15,3,0)*W257,"NA")</f>
        <v>114.31287570019195</v>
      </c>
      <c r="BX257" s="80">
        <f>IFERROR(VLOOKUP($H257,'1. Set Program Names'!$B$2:$D$15,3,0)*X257,"NA")</f>
        <v>169.23380847850035</v>
      </c>
      <c r="BY257" s="80">
        <f>IFERROR(VLOOKUP($H257,'1. Set Program Names'!$B$2:$D$15,3,0)*Y257,"NA")</f>
        <v>222.53802518440887</v>
      </c>
      <c r="BZ257" s="80">
        <f>IFERROR(VLOOKUP($H257,'1. Set Program Names'!$B$2:$D$15,3,0)*Z257,"NA")</f>
        <v>274.27752970581616</v>
      </c>
      <c r="CA257" s="80">
        <f>IFERROR(VLOOKUP($H257,'1. Set Program Names'!$B$2:$D$15,3,0)*AA257,"NA")</f>
        <v>324.36134372661996</v>
      </c>
      <c r="CB257" s="80">
        <f>IFERROR(VLOOKUP($H257,'1. Set Program Names'!$B$2:$D$15,3,0)*AB257,"NA")</f>
        <v>372.80376302713279</v>
      </c>
      <c r="CC257" s="80">
        <f>IFERROR(VLOOKUP($H257,'1. Set Program Names'!$B$2:$D$15,3,0)*AC257,"NA")</f>
        <v>419.70076961458261</v>
      </c>
      <c r="CD257" s="80">
        <f>IFERROR(VLOOKUP($H257,'1. Set Program Names'!$B$2:$D$15,3,0)*AD257,"NA")</f>
        <v>465.0686941681966</v>
      </c>
      <c r="CE257" s="80">
        <f>IFERROR(VLOOKUP($H257,'1. Set Program Names'!$B$2:$D$15,3,0)*AE257,"NA")</f>
        <v>508.951251584293</v>
      </c>
    </row>
    <row r="258" spans="1:83" x14ac:dyDescent="0.25">
      <c r="A258" s="79" t="s">
        <v>113</v>
      </c>
      <c r="B258" s="79" t="s">
        <v>88</v>
      </c>
      <c r="C258" s="79" t="s">
        <v>122</v>
      </c>
      <c r="D258" s="79" t="s">
        <v>90</v>
      </c>
      <c r="E258" s="79" t="s">
        <v>91</v>
      </c>
      <c r="F258" s="79" t="s">
        <v>90</v>
      </c>
      <c r="G258" s="79" t="s">
        <v>92</v>
      </c>
      <c r="H258" s="79" t="s">
        <v>14</v>
      </c>
      <c r="I258" s="79" t="s">
        <v>128</v>
      </c>
      <c r="J258" s="79" t="s">
        <v>129</v>
      </c>
      <c r="K258" s="79" t="s">
        <v>130</v>
      </c>
      <c r="L258" s="79">
        <v>2045.1799999999989</v>
      </c>
      <c r="M258" s="79">
        <v>0.47104509500000002</v>
      </c>
      <c r="N258" s="79">
        <v>0.17900382200000001</v>
      </c>
      <c r="O258" s="79">
        <f>19591.5999999999/60160.456*2045.18</f>
        <v>666.02468053100858</v>
      </c>
      <c r="P258" s="79">
        <f>11310.7385995848/60160.456*2045.18</f>
        <v>384.51331501042552</v>
      </c>
      <c r="Q258" s="79">
        <f>2141.69388188172/60160.456*2045.18</f>
        <v>72.807784125619918</v>
      </c>
      <c r="R258" s="79">
        <f>32581.871747558/60160.456*2045.18</f>
        <v>1107.6344311730397</v>
      </c>
      <c r="S258" s="79">
        <f>77209.8271220691/60160.456*2045.18</f>
        <v>2624.780540784353</v>
      </c>
      <c r="T258" s="79">
        <v>20</v>
      </c>
      <c r="U258" s="79">
        <v>0.94999999999999896</v>
      </c>
      <c r="V258" s="79">
        <f>tbl_Data_old[[#This Row],[2025 ]]*IFERROR(AVERAGEIFS('Participation Adjustment'!$C:$C,'Participation Adjustment'!$A:$A,$H258,'Participation Adjustment'!$B:$B,$I258),1)</f>
        <v>35766.2089741503</v>
      </c>
      <c r="W258" s="79">
        <f>tbl_Data_old[[#This Row],[2026 ]]*IFERROR(AVERAGEIFS('Participation Adjustment'!$C:$C,'Participation Adjustment'!$A:$A,$H258,'Participation Adjustment'!$B:$B,$I258),1)</f>
        <v>71041.467949586993</v>
      </c>
      <c r="X258" s="79">
        <f>tbl_Data_old[[#This Row],[2027 ]]*IFERROR(AVERAGEIFS('Participation Adjustment'!$C:$C,'Participation Adjustment'!$A:$A,$H258,'Participation Adjustment'!$B:$B,$I258),1)</f>
        <v>105643.1959874485</v>
      </c>
      <c r="Y258" s="79">
        <f>tbl_Data_old[[#This Row],[2028 ]]*IFERROR(AVERAGEIFS('Participation Adjustment'!$C:$C,'Participation Adjustment'!$A:$A,$H258,'Participation Adjustment'!$B:$B,$I258),1)</f>
        <v>139586.46827129749</v>
      </c>
      <c r="Z258" s="79">
        <f>tbl_Data_old[[#This Row],[2029 ]]*IFERROR(AVERAGEIFS('Participation Adjustment'!$C:$C,'Participation Adjustment'!$A:$A,$H258,'Participation Adjustment'!$B:$B,$I258),1)</f>
        <v>172836.39759399701</v>
      </c>
      <c r="AA258" s="79">
        <f>tbl_Data_old[[#This Row],[2030 ]]*IFERROR(AVERAGEIFS('Participation Adjustment'!$C:$C,'Participation Adjustment'!$A:$A,$H258,'Participation Adjustment'!$B:$B,$I258),1)</f>
        <v>205336.55849849299</v>
      </c>
      <c r="AB258" s="79">
        <f>tbl_Data_old[[#This Row],[2031 ]]*IFERROR(AVERAGEIFS('Participation Adjustment'!$C:$C,'Participation Adjustment'!$A:$A,$H258,'Participation Adjustment'!$B:$B,$I258),1)</f>
        <v>237031.96520890199</v>
      </c>
      <c r="AC258" s="79">
        <f>tbl_Data_old[[#This Row],[2032 ]]*IFERROR(AVERAGEIFS('Participation Adjustment'!$C:$C,'Participation Adjustment'!$A:$A,$H258,'Participation Adjustment'!$B:$B,$I258),1)</f>
        <v>267936.8250058975</v>
      </c>
      <c r="AD258" s="79">
        <f>tbl_Data_old[[#This Row],[2033 ]]*IFERROR(AVERAGEIFS('Participation Adjustment'!$C:$C,'Participation Adjustment'!$A:$A,$H258,'Participation Adjustment'!$B:$B,$I258),1)</f>
        <v>298107.63111191749</v>
      </c>
      <c r="AE258" s="79">
        <f>tbl_Data_old[[#This Row],[2034 ]]*IFERROR(AVERAGEIFS('Participation Adjustment'!$C:$C,'Participation Adjustment'!$A:$A,$H258,'Participation Adjustment'!$B:$B,$I258),1)</f>
        <v>327525.90454087447</v>
      </c>
      <c r="AF258" s="77" t="str">
        <f t="shared" si="110"/>
        <v>NonResidential</v>
      </c>
      <c r="AG258" s="77" t="str">
        <f>tbl_Data[[#This Row],[All_Meas_Name_Append]]</f>
        <v>Commercial Duct Sealing</v>
      </c>
      <c r="AH258" s="77">
        <f>AVERAGEIFS('3. Incentive Adjustment'!G:G,'3. Incentive Adjustment'!A:A,tbl_Data[[#This Row],[Trimmed Sector]],'3. Incentive Adjustment'!B:B,tbl_Data[[#This Row],[Trimmed Measure Name]])</f>
        <v>0.69277112909915817</v>
      </c>
      <c r="AI258" s="77">
        <f>$AH258*tbl_Data[[#This Row],[2025 ]]</f>
        <v>24777.796974618548</v>
      </c>
      <c r="AJ258" s="77">
        <f>$AH258*tbl_Data[[#This Row],[2026 ]]</f>
        <v>49215.477964297039</v>
      </c>
      <c r="AK258" s="77">
        <f>$AH258*tbl_Data[[#This Row],[2027 ]]</f>
        <v>73186.556165868358</v>
      </c>
      <c r="AL258" s="77">
        <f>$AH258*tbl_Data[[#This Row],[2028 ]]</f>
        <v>96701.475231270582</v>
      </c>
      <c r="AM258" s="77">
        <f>$AH258*tbl_Data[[#This Row],[2029 ]]</f>
        <v>119736.06631062433</v>
      </c>
      <c r="AN258" s="77">
        <f>$AH258*tbl_Data[[#This Row],[2030 ]]</f>
        <v>142251.23947633634</v>
      </c>
      <c r="AO258" s="77">
        <f>$AH258*tbl_Data[[#This Row],[2031 ]]</f>
        <v>164208.90217036341</v>
      </c>
      <c r="AP258" s="77">
        <f>$AH258*tbl_Data[[#This Row],[2032 ]]</f>
        <v>185618.89678657916</v>
      </c>
      <c r="AQ258" s="77">
        <f>$AH258*tbl_Data[[#This Row],[2033 ]]</f>
        <v>206520.36019847842</v>
      </c>
      <c r="AR258" s="77">
        <f>$AH258*tbl_Data[[#This Row],[2034 ]]</f>
        <v>226900.49069800469</v>
      </c>
      <c r="AS258" s="77">
        <f>SUM(tbl_Data[[#This Row],[Adjusted 2025]:[Adjusted 2034]])</f>
        <v>1289117.2619764407</v>
      </c>
      <c r="AT258" s="80">
        <f>AVERAGEIFS('3. Incentive Adjustment'!F:F,'3. Incentive Adjustment'!A:A,tbl_Data[[#This Row],[Trimmed Sector]],'3. Incentive Adjustment'!B:B,tbl_Data[[#This Row],[Trimmed Measure Name]])</f>
        <v>100</v>
      </c>
      <c r="AU258" s="80">
        <f>IFERROR(VLOOKUP(tbl_Data[[#This Row],[All_Meas_Name_Append]],'IRA Tax Credits'!$A$3:$D$46,4,0),0)</f>
        <v>0</v>
      </c>
      <c r="AV258" s="81">
        <f>tbl_Data[[#This Row],[Adj. per unit Incentive ($)]]/tbl_Data[[#This Row],[kWh Savings]]*tbl_Data[[#This Row],[Sum of Annuals]]</f>
        <v>63031.97087671703</v>
      </c>
      <c r="AW258" s="81">
        <f>IFERROR(VLOOKUP(tbl_Data[[#This Row],[Column1]],'1. Set Program Names'!$B$2:$D$15,3,0)*tbl_Data[[#This Row],[Sum of Annuals]],"")</f>
        <v>45892.181286044004</v>
      </c>
      <c r="AX258" s="81">
        <f>tbl_Data[[#This Row],[per unit IRA tax ($)]]/tbl_Data[[#This Row],[kWh Savings]]*tbl_Data[[#This Row],[Sum of Annuals]]</f>
        <v>0</v>
      </c>
      <c r="AY258" s="81">
        <f>tbl_Data[[#This Row],[Avoided Costs ($/unit)]]/tbl_Data[[#This Row],[kWh Savings]]*tbl_Data[[#This Row],[Sum of Annuals]]</f>
        <v>698163.81207748072</v>
      </c>
      <c r="AZ258" s="81">
        <f>tbl_Data[[#This Row],[Lost Revenue ($/unit)]]/tbl_Data[[#This Row],[kWh Savings]]*tbl_Data[[#This Row],[Sum of Annuals]]</f>
        <v>1654450.9060449291</v>
      </c>
      <c r="BA258" s="81">
        <f>tbl_Data[[#This Row],[Incremental Cost ($/unit)]]/tbl_Data[[#This Row],[kWh Savings]]*tbl_Data[[#This Row],[Sum of Annuals]]</f>
        <v>419808.48266405298</v>
      </c>
      <c r="BB258" s="77">
        <f>ROUNDUP(tbl_Data[[#This Row],[Adjusted 2025]]/$L258,0)</f>
        <v>13</v>
      </c>
      <c r="BC258" s="77">
        <f>ROUNDUP(tbl_Data[[#This Row],[Adjusted 2026]]/$L258,0)</f>
        <v>25</v>
      </c>
      <c r="BD258" s="77">
        <f>ROUNDUP(tbl_Data[[#This Row],[Adjusted 2027]]/$L258,0)</f>
        <v>36</v>
      </c>
      <c r="BE258" s="77">
        <f>ROUNDUP(tbl_Data[[#This Row],[Adjusted 2028]]/$L258,0)</f>
        <v>48</v>
      </c>
      <c r="BF258" s="77">
        <f>ROUNDUP(tbl_Data[[#This Row],[Adjusted 2029]]/$L258,0)</f>
        <v>59</v>
      </c>
      <c r="BG258" s="77">
        <f>ROUNDUP(tbl_Data[[#This Row],[Adjusted 2030]]/$L258,0)</f>
        <v>70</v>
      </c>
      <c r="BH258" s="77">
        <f>ROUNDUP(tbl_Data[[#This Row],[Adjusted 2031]]/$L258,0)</f>
        <v>81</v>
      </c>
      <c r="BI258" s="77">
        <f>ROUNDUP(tbl_Data[[#This Row],[Adjusted 2032]]/$L258,0)</f>
        <v>91</v>
      </c>
      <c r="BJ258" s="77">
        <f>ROUNDUP(tbl_Data[[#This Row],[Adjusted 2033]]/$L258,0)</f>
        <v>101</v>
      </c>
      <c r="BK258" s="77">
        <f>ROUNDUP(tbl_Data[[#This Row],[Adjusted 2034]]/$L258,0)</f>
        <v>111</v>
      </c>
      <c r="BL258" s="80">
        <f t="shared" si="111"/>
        <v>1748.8049449999667</v>
      </c>
      <c r="BM258" s="80">
        <f t="shared" si="112"/>
        <v>3473.6046680285858</v>
      </c>
      <c r="BN258" s="80">
        <f t="shared" si="113"/>
        <v>5165.47179160018</v>
      </c>
      <c r="BO258" s="80">
        <f t="shared" si="114"/>
        <v>6825.1434236251853</v>
      </c>
      <c r="BP258" s="80">
        <f t="shared" si="115"/>
        <v>8450.9137383505167</v>
      </c>
      <c r="BQ258" s="80">
        <f t="shared" si="116"/>
        <v>10040.023787563594</v>
      </c>
      <c r="BR258" s="80">
        <f t="shared" si="117"/>
        <v>11589.785016913042</v>
      </c>
      <c r="BS258" s="80">
        <f t="shared" si="118"/>
        <v>13100.892097805458</v>
      </c>
      <c r="BT258" s="80">
        <f t="shared" si="119"/>
        <v>14576.107291872484</v>
      </c>
      <c r="BU258" s="80">
        <f t="shared" si="120"/>
        <v>16014.52706074158</v>
      </c>
      <c r="BV258" s="80">
        <f>IFERROR(VLOOKUP($H258,'1. Set Program Names'!$B$2:$D$15,3,0)*V258,"NA")</f>
        <v>1273.266129133749</v>
      </c>
      <c r="BW258" s="80">
        <f>IFERROR(VLOOKUP($H258,'1. Set Program Names'!$B$2:$D$15,3,0)*W258,"NA")</f>
        <v>2529.0545880757231</v>
      </c>
      <c r="BX258" s="80">
        <f>IFERROR(VLOOKUP($H258,'1. Set Program Names'!$B$2:$D$15,3,0)*X258,"NA")</f>
        <v>3760.8655510980711</v>
      </c>
      <c r="BY258" s="80">
        <f>IFERROR(VLOOKUP($H258,'1. Set Program Names'!$B$2:$D$15,3,0)*Y258,"NA")</f>
        <v>4969.2356901369967</v>
      </c>
      <c r="BZ258" s="80">
        <f>IFERROR(VLOOKUP($H258,'1. Set Program Names'!$B$2:$D$15,3,0)*Z258,"NA")</f>
        <v>6152.9230312606342</v>
      </c>
      <c r="CA258" s="80">
        <f>IFERROR(VLOOKUP($H258,'1. Set Program Names'!$B$2:$D$15,3,0)*AA258,"NA")</f>
        <v>7309.9188454102296</v>
      </c>
      <c r="CB258" s="80">
        <f>IFERROR(VLOOKUP($H258,'1. Set Program Names'!$B$2:$D$15,3,0)*AB258,"NA")</f>
        <v>8438.2656557375358</v>
      </c>
      <c r="CC258" s="80">
        <f>IFERROR(VLOOKUP($H258,'1. Set Program Names'!$B$2:$D$15,3,0)*AC258,"NA")</f>
        <v>9538.4692371006477</v>
      </c>
      <c r="CD258" s="80">
        <f>IFERROR(VLOOKUP($H258,'1. Set Program Names'!$B$2:$D$15,3,0)*AD258,"NA")</f>
        <v>10612.54073098532</v>
      </c>
      <c r="CE258" s="80">
        <f>IFERROR(VLOOKUP($H258,'1. Set Program Names'!$B$2:$D$15,3,0)*AE258,"NA")</f>
        <v>11659.822291123779</v>
      </c>
    </row>
    <row r="259" spans="1:83" x14ac:dyDescent="0.25">
      <c r="A259" s="79" t="s">
        <v>113</v>
      </c>
      <c r="B259" s="79" t="s">
        <v>88</v>
      </c>
      <c r="C259" s="79" t="s">
        <v>122</v>
      </c>
      <c r="D259" s="79" t="s">
        <v>90</v>
      </c>
      <c r="E259" s="79" t="s">
        <v>91</v>
      </c>
      <c r="F259" s="79" t="s">
        <v>90</v>
      </c>
      <c r="G259" s="79" t="s">
        <v>92</v>
      </c>
      <c r="H259" s="79" t="s">
        <v>14</v>
      </c>
      <c r="I259" s="79" t="s">
        <v>303</v>
      </c>
      <c r="J259" s="79" t="s">
        <v>129</v>
      </c>
      <c r="K259" s="79" t="s">
        <v>298</v>
      </c>
      <c r="L259" s="79">
        <v>2407.8671428571402</v>
      </c>
      <c r="M259" s="79">
        <v>0.43509988390469401</v>
      </c>
      <c r="N259" s="79">
        <v>0.148929049658067</v>
      </c>
      <c r="O259" s="79">
        <v>1278.9912095238201</v>
      </c>
      <c r="P259" s="79">
        <v>9094.9443435978392</v>
      </c>
      <c r="Q259" s="79">
        <v>85.719335775001198</v>
      </c>
      <c r="R259" s="79">
        <v>1364.7105452988201</v>
      </c>
      <c r="S259" s="79">
        <v>3090.2526043504499</v>
      </c>
      <c r="T259" s="79">
        <v>20</v>
      </c>
      <c r="U259" s="79">
        <v>0.94999999999999896</v>
      </c>
      <c r="V259" s="79">
        <f>tbl_Data_old[[#This Row],[2025 ]]*IFERROR(AVERAGEIFS('Participation Adjustment'!$C:$C,'Participation Adjustment'!$A:$A,$H259,'Participation Adjustment'!$B:$B,$I259),1)</f>
        <v>28072.250171408199</v>
      </c>
      <c r="W259" s="79">
        <f>tbl_Data_old[[#This Row],[2026 ]]*IFERROR(AVERAGEIFS('Participation Adjustment'!$C:$C,'Participation Adjustment'!$A:$A,$H259,'Participation Adjustment'!$B:$B,$I259),1)</f>
        <v>54738.498423653502</v>
      </c>
      <c r="X259" s="79">
        <f>tbl_Data_old[[#This Row],[2027 ]]*IFERROR(AVERAGEIFS('Participation Adjustment'!$C:$C,'Participation Adjustment'!$A:$A,$H259,'Participation Adjustment'!$B:$B,$I259),1)</f>
        <v>79766.337455754197</v>
      </c>
      <c r="Y259" s="79">
        <f>tbl_Data_old[[#This Row],[2028 ]]*IFERROR(AVERAGEIFS('Participation Adjustment'!$C:$C,'Participation Adjustment'!$A:$A,$H259,'Participation Adjustment'!$B:$B,$I259),1)</f>
        <v>103162.512562691</v>
      </c>
      <c r="Z259" s="79">
        <f>tbl_Data_old[[#This Row],[2029 ]]*IFERROR(AVERAGEIFS('Participation Adjustment'!$C:$C,'Participation Adjustment'!$A:$A,$H259,'Participation Adjustment'!$B:$B,$I259),1)</f>
        <v>124941.86408679299</v>
      </c>
      <c r="AA259" s="79">
        <f>tbl_Data_old[[#This Row],[2030 ]]*IFERROR(AVERAGEIFS('Participation Adjustment'!$C:$C,'Participation Adjustment'!$A:$A,$H259,'Participation Adjustment'!$B:$B,$I259),1)</f>
        <v>145110.52708563901</v>
      </c>
      <c r="AB259" s="79">
        <f>tbl_Data_old[[#This Row],[2031 ]]*IFERROR(AVERAGEIFS('Participation Adjustment'!$C:$C,'Participation Adjustment'!$A:$A,$H259,'Participation Adjustment'!$B:$B,$I259),1)</f>
        <v>163711.409272024</v>
      </c>
      <c r="AC259" s="79">
        <f>tbl_Data_old[[#This Row],[2032 ]]*IFERROR(AVERAGEIFS('Participation Adjustment'!$C:$C,'Participation Adjustment'!$A:$A,$H259,'Participation Adjustment'!$B:$B,$I259),1)</f>
        <v>180836.63842179099</v>
      </c>
      <c r="AD259" s="79">
        <f>tbl_Data_old[[#This Row],[2033 ]]*IFERROR(AVERAGEIFS('Participation Adjustment'!$C:$C,'Participation Adjustment'!$A:$A,$H259,'Participation Adjustment'!$B:$B,$I259),1)</f>
        <v>196594.05802162501</v>
      </c>
      <c r="AE259" s="79">
        <f>tbl_Data_old[[#This Row],[2034 ]]*IFERROR(AVERAGEIFS('Participation Adjustment'!$C:$C,'Participation Adjustment'!$A:$A,$H259,'Participation Adjustment'!$B:$B,$I259),1)</f>
        <v>211067.29829229199</v>
      </c>
      <c r="AF259" s="77" t="str">
        <f t="shared" si="110"/>
        <v>NonResidential</v>
      </c>
      <c r="AG259" s="77" t="str">
        <f>tbl_Data[[#This Row],[All_Meas_Name_Append]]</f>
        <v>Energy Star windows</v>
      </c>
      <c r="AH259" s="77">
        <f>AVERAGEIFS('3. Incentive Adjustment'!G:G,'3. Incentive Adjustment'!A:A,tbl_Data[[#This Row],[Trimmed Sector]],'3. Incentive Adjustment'!B:B,tbl_Data[[#This Row],[Trimmed Measure Name]])</f>
        <v>1.8374525511831319E-4</v>
      </c>
      <c r="AI259" s="77">
        <f>$AH259*tbl_Data[[#This Row],[2025 ]]</f>
        <v>5.1581427694905111</v>
      </c>
      <c r="AJ259" s="77">
        <f>$AH259*tbl_Data[[#This Row],[2026 ]]</f>
        <v>10.057939357647598</v>
      </c>
      <c r="AK259" s="77">
        <f>$AH259*tbl_Data[[#This Row],[2027 ]]</f>
        <v>14.656686025661017</v>
      </c>
      <c r="AL259" s="77">
        <f>$AH259*tbl_Data[[#This Row],[2028 ]]</f>
        <v>18.955622189477847</v>
      </c>
      <c r="AM259" s="77">
        <f>$AH259*tbl_Data[[#This Row],[2029 ]]</f>
        <v>22.957474691585393</v>
      </c>
      <c r="AN259" s="77">
        <f>$AH259*tbl_Data[[#This Row],[2030 ]]</f>
        <v>26.663370819703637</v>
      </c>
      <c r="AO259" s="77">
        <f>$AH259*tbl_Data[[#This Row],[2031 ]]</f>
        <v>30.081194662466633</v>
      </c>
      <c r="AP259" s="77">
        <f>$AH259*tbl_Data[[#This Row],[2032 ]]</f>
        <v>33.227874261550141</v>
      </c>
      <c r="AQ259" s="77">
        <f>$AH259*tbl_Data[[#This Row],[2033 ]]</f>
        <v>36.123225345927956</v>
      </c>
      <c r="AR259" s="77">
        <f>$AH259*tbl_Data[[#This Row],[2034 ]]</f>
        <v>38.782614571850303</v>
      </c>
      <c r="AS259" s="77">
        <f>SUM(tbl_Data[[#This Row],[Adjusted 2025]:[Adjusted 2034]])</f>
        <v>236.66414469536102</v>
      </c>
      <c r="AT259" s="80">
        <f>AVERAGEIFS('3. Incentive Adjustment'!F:F,'3. Incentive Adjustment'!A:A,tbl_Data[[#This Row],[Trimmed Sector]],'3. Incentive Adjustment'!B:B,tbl_Data[[#This Row],[Trimmed Measure Name]])</f>
        <v>1244.9532966663394</v>
      </c>
      <c r="AU259" s="80">
        <f>IFERROR(VLOOKUP(tbl_Data[[#This Row],[All_Meas_Name_Append]],'IRA Tax Credits'!$A$3:$D$46,4,0),0)</f>
        <v>250</v>
      </c>
      <c r="AV259" s="81">
        <f>tbl_Data[[#This Row],[Adj. per unit Incentive ($)]]/tbl_Data[[#This Row],[kWh Savings]]*tbl_Data[[#This Row],[Sum of Annuals]]</f>
        <v>122.36381397339004</v>
      </c>
      <c r="AW259" s="81">
        <f>IFERROR(VLOOKUP(tbl_Data[[#This Row],[Column1]],'1. Set Program Names'!$B$2:$D$15,3,0)*tbl_Data[[#This Row],[Sum of Annuals]],"")</f>
        <v>8.4251713576577245</v>
      </c>
      <c r="AX259" s="81">
        <f>tbl_Data[[#This Row],[per unit IRA tax ($)]]/tbl_Data[[#This Row],[kWh Savings]]*tbl_Data[[#This Row],[Sum of Annuals]]</f>
        <v>24.571968743937713</v>
      </c>
      <c r="AY259" s="81">
        <f>tbl_Data[[#This Row],[Avoided Costs ($/unit)]]/tbl_Data[[#This Row],[kWh Savings]]*tbl_Data[[#This Row],[Sum of Annuals]]</f>
        <v>134.1344994544192</v>
      </c>
      <c r="AZ259" s="81">
        <f>tbl_Data[[#This Row],[Lost Revenue ($/unit)]]/tbl_Data[[#This Row],[kWh Savings]]*tbl_Data[[#This Row],[Sum of Annuals]]</f>
        <v>303.73436161988553</v>
      </c>
      <c r="BA259" s="81">
        <f>tbl_Data[[#This Row],[Incremental Cost ($/unit)]]/tbl_Data[[#This Row],[kWh Savings]]*tbl_Data[[#This Row],[Sum of Annuals]]</f>
        <v>125.7093280967616</v>
      </c>
      <c r="BB259" s="77">
        <f>ROUNDUP(tbl_Data[[#This Row],[Adjusted 2025]]/$L259,0)</f>
        <v>1</v>
      </c>
      <c r="BC259" s="77">
        <f>ROUNDUP(tbl_Data[[#This Row],[Adjusted 2026]]/$L259,0)</f>
        <v>1</v>
      </c>
      <c r="BD259" s="77">
        <f>ROUNDUP(tbl_Data[[#This Row],[Adjusted 2027]]/$L259,0)</f>
        <v>1</v>
      </c>
      <c r="BE259" s="77">
        <f>ROUNDUP(tbl_Data[[#This Row],[Adjusted 2028]]/$L259,0)</f>
        <v>1</v>
      </c>
      <c r="BF259" s="77">
        <f>ROUNDUP(tbl_Data[[#This Row],[Adjusted 2029]]/$L259,0)</f>
        <v>1</v>
      </c>
      <c r="BG259" s="77">
        <f>ROUNDUP(tbl_Data[[#This Row],[Adjusted 2030]]/$L259,0)</f>
        <v>1</v>
      </c>
      <c r="BH259" s="77">
        <f>ROUNDUP(tbl_Data[[#This Row],[Adjusted 2031]]/$L259,0)</f>
        <v>1</v>
      </c>
      <c r="BI259" s="77">
        <f>ROUNDUP(tbl_Data[[#This Row],[Adjusted 2032]]/$L259,0)</f>
        <v>1</v>
      </c>
      <c r="BJ259" s="77">
        <f>ROUNDUP(tbl_Data[[#This Row],[Adjusted 2033]]/$L259,0)</f>
        <v>1</v>
      </c>
      <c r="BK259" s="77">
        <f>ROUNDUP(tbl_Data[[#This Row],[Adjusted 2034]]/$L259,0)</f>
        <v>1</v>
      </c>
      <c r="BL259" s="80">
        <f t="shared" si="111"/>
        <v>14514.355785538608</v>
      </c>
      <c r="BM259" s="80">
        <f t="shared" si="112"/>
        <v>28301.758371199234</v>
      </c>
      <c r="BN259" s="80">
        <f t="shared" si="113"/>
        <v>41242.044883218347</v>
      </c>
      <c r="BO259" s="80">
        <f t="shared" si="114"/>
        <v>53338.702879972305</v>
      </c>
      <c r="BP259" s="80">
        <f t="shared" si="115"/>
        <v>64599.405348386914</v>
      </c>
      <c r="BQ259" s="80">
        <f t="shared" si="116"/>
        <v>75027.324332310483</v>
      </c>
      <c r="BR259" s="80">
        <f t="shared" si="117"/>
        <v>84644.644651472336</v>
      </c>
      <c r="BS259" s="80">
        <f t="shared" si="118"/>
        <v>93498.999655823107</v>
      </c>
      <c r="BT259" s="80">
        <f t="shared" si="119"/>
        <v>101646.1482790194</v>
      </c>
      <c r="BU259" s="80">
        <f t="shared" si="120"/>
        <v>109129.33033159327</v>
      </c>
      <c r="BV259" s="80">
        <f>IFERROR(VLOOKUP($H259,'1. Set Program Names'!$B$2:$D$15,3,0)*V259,"NA")</f>
        <v>999.36354276899704</v>
      </c>
      <c r="BW259" s="80">
        <f>IFERROR(VLOOKUP($H259,'1. Set Program Names'!$B$2:$D$15,3,0)*W259,"NA")</f>
        <v>1948.6738461113323</v>
      </c>
      <c r="BX259" s="80">
        <f>IFERROR(VLOOKUP($H259,'1. Set Program Names'!$B$2:$D$15,3,0)*X259,"NA")</f>
        <v>2839.6572810070202</v>
      </c>
      <c r="BY259" s="80">
        <f>IFERROR(VLOOKUP($H259,'1. Set Program Names'!$B$2:$D$15,3,0)*Y259,"NA")</f>
        <v>3672.5539778997472</v>
      </c>
      <c r="BZ259" s="80">
        <f>IFERROR(VLOOKUP($H259,'1. Set Program Names'!$B$2:$D$15,3,0)*Z259,"NA")</f>
        <v>4447.8922484494387</v>
      </c>
      <c r="CA259" s="80">
        <f>IFERROR(VLOOKUP($H259,'1. Set Program Names'!$B$2:$D$15,3,0)*AA259,"NA")</f>
        <v>5165.8904988344257</v>
      </c>
      <c r="CB259" s="80">
        <f>IFERROR(VLOOKUP($H259,'1. Set Program Names'!$B$2:$D$15,3,0)*AB259,"NA")</f>
        <v>5828.0762305413737</v>
      </c>
      <c r="CC259" s="80">
        <f>IFERROR(VLOOKUP($H259,'1. Set Program Names'!$B$2:$D$15,3,0)*AC259,"NA")</f>
        <v>6437.7291642870669</v>
      </c>
      <c r="CD259" s="80">
        <f>IFERROR(VLOOKUP($H259,'1. Set Program Names'!$B$2:$D$15,3,0)*AD259,"NA")</f>
        <v>6998.6884953002464</v>
      </c>
      <c r="CE259" s="80">
        <f>IFERROR(VLOOKUP($H259,'1. Set Program Names'!$B$2:$D$15,3,0)*AE259,"NA")</f>
        <v>7513.9314339290986</v>
      </c>
    </row>
    <row r="260" spans="1:83" x14ac:dyDescent="0.25">
      <c r="A260" s="79" t="s">
        <v>113</v>
      </c>
      <c r="B260" s="79" t="s">
        <v>88</v>
      </c>
      <c r="C260" s="79" t="s">
        <v>122</v>
      </c>
      <c r="D260" s="79" t="s">
        <v>90</v>
      </c>
      <c r="E260" s="79" t="s">
        <v>91</v>
      </c>
      <c r="F260" s="79" t="s">
        <v>90</v>
      </c>
      <c r="G260" s="79" t="s">
        <v>92</v>
      </c>
      <c r="H260" s="79" t="s">
        <v>14</v>
      </c>
      <c r="I260" s="79" t="s">
        <v>143</v>
      </c>
      <c r="J260" s="79" t="s">
        <v>144</v>
      </c>
      <c r="K260" s="79" t="s">
        <v>108</v>
      </c>
      <c r="L260" s="79">
        <v>6670.6049999999896</v>
      </c>
      <c r="M260" s="79">
        <v>1.04667148638823</v>
      </c>
      <c r="N260" s="79">
        <v>1.5598507965563999</v>
      </c>
      <c r="O260" s="79">
        <v>2431.625</v>
      </c>
      <c r="P260" s="79">
        <v>977.24379425036398</v>
      </c>
      <c r="Q260" s="79">
        <v>237.47150315731801</v>
      </c>
      <c r="R260" s="79">
        <v>3400.8076679878</v>
      </c>
      <c r="S260" s="79">
        <v>7245.0779694633802</v>
      </c>
      <c r="T260" s="79">
        <v>15</v>
      </c>
      <c r="U260" s="79">
        <v>0.95</v>
      </c>
      <c r="V260" s="79">
        <f>tbl_Data_old[[#This Row],[2025 ]]*IFERROR(AVERAGEIFS('Participation Adjustment'!$C:$C,'Participation Adjustment'!$A:$A,$H260,'Participation Adjustment'!$B:$B,$I260),1)</f>
        <v>32164.032906833199</v>
      </c>
      <c r="W260" s="79">
        <f>tbl_Data_old[[#This Row],[2026 ]]*IFERROR(AVERAGEIFS('Participation Adjustment'!$C:$C,'Participation Adjustment'!$A:$A,$H260,'Participation Adjustment'!$B:$B,$I260),1)</f>
        <v>67533.926474391701</v>
      </c>
      <c r="X260" s="79">
        <f>tbl_Data_old[[#This Row],[2027 ]]*IFERROR(AVERAGEIFS('Participation Adjustment'!$C:$C,'Participation Adjustment'!$A:$A,$H260,'Participation Adjustment'!$B:$B,$I260),1)</f>
        <v>105523.223329945</v>
      </c>
      <c r="Y260" s="79">
        <f>tbl_Data_old[[#This Row],[2028 ]]*IFERROR(AVERAGEIFS('Participation Adjustment'!$C:$C,'Participation Adjustment'!$A:$A,$H260,'Participation Adjustment'!$B:$B,$I260),1)</f>
        <v>145791.54192826999</v>
      </c>
      <c r="Z260" s="79">
        <f>tbl_Data_old[[#This Row],[2029 ]]*IFERROR(AVERAGEIFS('Participation Adjustment'!$C:$C,'Participation Adjustment'!$A:$A,$H260,'Participation Adjustment'!$B:$B,$I260),1)</f>
        <v>188009.971220181</v>
      </c>
      <c r="AA260" s="79">
        <f>tbl_Data_old[[#This Row],[2030 ]]*IFERROR(AVERAGEIFS('Participation Adjustment'!$C:$C,'Participation Adjustment'!$A:$A,$H260,'Participation Adjustment'!$B:$B,$I260),1)</f>
        <v>231833.97401407</v>
      </c>
      <c r="AB260" s="79">
        <f>tbl_Data_old[[#This Row],[2031 ]]*IFERROR(AVERAGEIFS('Participation Adjustment'!$C:$C,'Participation Adjustment'!$A:$A,$H260,'Participation Adjustment'!$B:$B,$I260),1)</f>
        <v>276978.80898144201</v>
      </c>
      <c r="AC260" s="79">
        <f>tbl_Data_old[[#This Row],[2032 ]]*IFERROR(AVERAGEIFS('Participation Adjustment'!$C:$C,'Participation Adjustment'!$A:$A,$H260,'Participation Adjustment'!$B:$B,$I260),1)</f>
        <v>323285.99425734399</v>
      </c>
      <c r="AD260" s="79">
        <f>tbl_Data_old[[#This Row],[2033 ]]*IFERROR(AVERAGEIFS('Participation Adjustment'!$C:$C,'Participation Adjustment'!$A:$A,$H260,'Participation Adjustment'!$B:$B,$I260),1)</f>
        <v>370634.50431565801</v>
      </c>
      <c r="AE260" s="79">
        <f>tbl_Data_old[[#This Row],[2034 ]]*IFERROR(AVERAGEIFS('Participation Adjustment'!$C:$C,'Participation Adjustment'!$A:$A,$H260,'Participation Adjustment'!$B:$B,$I260),1)</f>
        <v>418877.06990713201</v>
      </c>
      <c r="AF260" s="77" t="str">
        <f t="shared" si="110"/>
        <v>NonResidential</v>
      </c>
      <c r="AG260" s="77" t="str">
        <f>tbl_Data[[#This Row],[All_Meas_Name_Append]]</f>
        <v>Heat Pump Water Heater</v>
      </c>
      <c r="AH260" s="77">
        <f>AVERAGEIFS('3. Incentive Adjustment'!G:G,'3. Incentive Adjustment'!A:A,tbl_Data[[#This Row],[Trimmed Sector]],'3. Incentive Adjustment'!B:B,tbl_Data[[#This Row],[Trimmed Measure Name]])</f>
        <v>0.82797588322898052</v>
      </c>
      <c r="AI260" s="77">
        <f>$AH260*tbl_Data[[#This Row],[2025 ]]</f>
        <v>26631.043554241212</v>
      </c>
      <c r="AJ260" s="77">
        <f>$AH260*tbl_Data[[#This Row],[2026 ]]</f>
        <v>55916.462420555501</v>
      </c>
      <c r="AK260" s="77">
        <f>$AH260*tbl_Data[[#This Row],[2027 ]]</f>
        <v>87370.684037780171</v>
      </c>
      <c r="AL260" s="77">
        <f>$AH260*tbl_Data[[#This Row],[2028 ]]</f>
        <v>120711.88069537429</v>
      </c>
      <c r="AM260" s="77">
        <f>$AH260*tbl_Data[[#This Row],[2029 ]]</f>
        <v>155667.72197688458</v>
      </c>
      <c r="AN260" s="77">
        <f>$AH260*tbl_Data[[#This Row],[2030 ]]</f>
        <v>191952.93939678412</v>
      </c>
      <c r="AO260" s="77">
        <f>$AH260*tbl_Data[[#This Row],[2031 ]]</f>
        <v>229331.77400212054</v>
      </c>
      <c r="AP260" s="77">
        <f>$AH260*tbl_Data[[#This Row],[2032 ]]</f>
        <v>267673.00663078349</v>
      </c>
      <c r="AQ260" s="77">
        <f>$AH260*tbl_Data[[#This Row],[2033 ]]</f>
        <v>306876.43106589234</v>
      </c>
      <c r="AR260" s="77">
        <f>$AH260*tbl_Data[[#This Row],[2034 ]]</f>
        <v>346820.11192072503</v>
      </c>
      <c r="AS260" s="77">
        <f>SUM(tbl_Data[[#This Row],[Adjusted 2025]:[Adjusted 2034]])</f>
        <v>1788952.0557011412</v>
      </c>
      <c r="AT260" s="80">
        <f>AVERAGEIFS('3. Incentive Adjustment'!F:F,'3. Incentive Adjustment'!A:A,tbl_Data[[#This Row],[Trimmed Sector]],'3. Incentive Adjustment'!B:B,tbl_Data[[#This Row],[Trimmed Measure Name]])</f>
        <v>500</v>
      </c>
      <c r="AU260" s="80">
        <f>IFERROR(VLOOKUP(tbl_Data[[#This Row],[All_Meas_Name_Append]],'IRA Tax Credits'!$A$3:$D$46,4,0),0)</f>
        <v>0</v>
      </c>
      <c r="AV260" s="81">
        <f>tbl_Data[[#This Row],[Adj. per unit Incentive ($)]]/tbl_Data[[#This Row],[kWh Savings]]*tbl_Data[[#This Row],[Sum of Annuals]]</f>
        <v>134092.18921680597</v>
      </c>
      <c r="AW260" s="81">
        <f>IFERROR(VLOOKUP(tbl_Data[[#This Row],[Column1]],'1. Set Program Names'!$B$2:$D$15,3,0)*tbl_Data[[#This Row],[Sum of Annuals]],"")</f>
        <v>63686.14746994077</v>
      </c>
      <c r="AX260" s="81">
        <f>tbl_Data[[#This Row],[per unit IRA tax ($)]]/tbl_Data[[#This Row],[kWh Savings]]*tbl_Data[[#This Row],[Sum of Annuals]]</f>
        <v>0</v>
      </c>
      <c r="AY260" s="81">
        <f>tbl_Data[[#This Row],[Avoided Costs ($/unit)]]/tbl_Data[[#This Row],[kWh Savings]]*tbl_Data[[#This Row],[Sum of Annuals]]</f>
        <v>912043.49061156949</v>
      </c>
      <c r="AZ260" s="81">
        <f>tbl_Data[[#This Row],[Lost Revenue ($/unit)]]/tbl_Data[[#This Row],[kWh Savings]]*tbl_Data[[#This Row],[Sum of Annuals]]</f>
        <v>1943016.731943592</v>
      </c>
      <c r="BA260" s="81">
        <f>tbl_Data[[#This Row],[Incremental Cost ($/unit)]]/tbl_Data[[#This Row],[kWh Savings]]*tbl_Data[[#This Row],[Sum of Annuals]]</f>
        <v>652123.83920863166</v>
      </c>
      <c r="BB260" s="77">
        <f>ROUNDUP(tbl_Data[[#This Row],[Adjusted 2025]]/$L260,0)</f>
        <v>4</v>
      </c>
      <c r="BC260" s="77">
        <f>ROUNDUP(tbl_Data[[#This Row],[Adjusted 2026]]/$L260,0)</f>
        <v>9</v>
      </c>
      <c r="BD260" s="77">
        <f>ROUNDUP(tbl_Data[[#This Row],[Adjusted 2027]]/$L260,0)</f>
        <v>14</v>
      </c>
      <c r="BE260" s="77">
        <f>ROUNDUP(tbl_Data[[#This Row],[Adjusted 2028]]/$L260,0)</f>
        <v>19</v>
      </c>
      <c r="BF260" s="77">
        <f>ROUNDUP(tbl_Data[[#This Row],[Adjusted 2029]]/$L260,0)</f>
        <v>24</v>
      </c>
      <c r="BG260" s="77">
        <f>ROUNDUP(tbl_Data[[#This Row],[Adjusted 2030]]/$L260,0)</f>
        <v>29</v>
      </c>
      <c r="BH260" s="77">
        <f>ROUNDUP(tbl_Data[[#This Row],[Adjusted 2031]]/$L260,0)</f>
        <v>35</v>
      </c>
      <c r="BI260" s="77">
        <f>ROUNDUP(tbl_Data[[#This Row],[Adjusted 2032]]/$L260,0)</f>
        <v>41</v>
      </c>
      <c r="BJ260" s="77">
        <f>ROUNDUP(tbl_Data[[#This Row],[Adjusted 2033]]/$L260,0)</f>
        <v>47</v>
      </c>
      <c r="BK260" s="77">
        <f>ROUNDUP(tbl_Data[[#This Row],[Adjusted 2034]]/$L260,0)</f>
        <v>52</v>
      </c>
      <c r="BL260" s="80">
        <f t="shared" si="111"/>
        <v>2410.878241691215</v>
      </c>
      <c r="BM260" s="80">
        <f t="shared" si="112"/>
        <v>5062.054077133319</v>
      </c>
      <c r="BN260" s="80">
        <f t="shared" si="113"/>
        <v>7909.5691717576719</v>
      </c>
      <c r="BO260" s="80">
        <f t="shared" si="114"/>
        <v>10927.909981798519</v>
      </c>
      <c r="BP260" s="80">
        <f t="shared" si="115"/>
        <v>14092.422742778303</v>
      </c>
      <c r="BQ260" s="80">
        <f t="shared" si="116"/>
        <v>17377.282421464799</v>
      </c>
      <c r="BR260" s="80">
        <f t="shared" si="117"/>
        <v>20761.146026592975</v>
      </c>
      <c r="BS260" s="80">
        <f t="shared" si="118"/>
        <v>24232.134435882839</v>
      </c>
      <c r="BT260" s="80">
        <f t="shared" si="119"/>
        <v>27781.176093896927</v>
      </c>
      <c r="BU260" s="80">
        <f t="shared" si="120"/>
        <v>31397.232328037164</v>
      </c>
      <c r="BV260" s="80">
        <f>IFERROR(VLOOKUP($H260,'1. Set Program Names'!$B$2:$D$15,3,0)*V260,"NA")</f>
        <v>1145.0297599673677</v>
      </c>
      <c r="BW260" s="80">
        <f>IFERROR(VLOOKUP($H260,'1. Set Program Names'!$B$2:$D$15,3,0)*W260,"NA")</f>
        <v>2404.1871815209561</v>
      </c>
      <c r="BX260" s="80">
        <f>IFERROR(VLOOKUP($H260,'1. Set Program Names'!$B$2:$D$15,3,0)*X260,"NA")</f>
        <v>3756.5945610881495</v>
      </c>
      <c r="BY260" s="80">
        <f>IFERROR(VLOOKUP($H260,'1. Set Program Names'!$B$2:$D$15,3,0)*Y260,"NA")</f>
        <v>5190.1344194911017</v>
      </c>
      <c r="BZ260" s="80">
        <f>IFERROR(VLOOKUP($H260,'1. Set Program Names'!$B$2:$D$15,3,0)*Z260,"NA")</f>
        <v>6693.0976237118666</v>
      </c>
      <c r="CA260" s="80">
        <f>IFERROR(VLOOKUP($H260,'1. Set Program Names'!$B$2:$D$15,3,0)*AA260,"NA")</f>
        <v>8253.2187548289585</v>
      </c>
      <c r="CB260" s="80">
        <f>IFERROR(VLOOKUP($H260,'1. Set Program Names'!$B$2:$D$15,3,0)*AB260,"NA")</f>
        <v>9860.3611084072145</v>
      </c>
      <c r="CC260" s="80">
        <f>IFERROR(VLOOKUP($H260,'1. Set Program Names'!$B$2:$D$15,3,0)*AC260,"NA")</f>
        <v>11508.882778398598</v>
      </c>
      <c r="CD260" s="80">
        <f>IFERROR(VLOOKUP($H260,'1. Set Program Names'!$B$2:$D$15,3,0)*AD260,"NA")</f>
        <v>13194.475292991685</v>
      </c>
      <c r="CE260" s="80">
        <f>IFERROR(VLOOKUP($H260,'1. Set Program Names'!$B$2:$D$15,3,0)*AE260,"NA")</f>
        <v>14911.895911837029</v>
      </c>
    </row>
    <row r="261" spans="1:83" x14ac:dyDescent="0.25">
      <c r="A261" s="79" t="s">
        <v>113</v>
      </c>
      <c r="B261" s="79" t="s">
        <v>88</v>
      </c>
      <c r="C261" s="79" t="s">
        <v>122</v>
      </c>
      <c r="D261" s="79" t="s">
        <v>90</v>
      </c>
      <c r="E261" s="79" t="s">
        <v>91</v>
      </c>
      <c r="F261" s="79" t="s">
        <v>90</v>
      </c>
      <c r="G261" s="79" t="s">
        <v>92</v>
      </c>
      <c r="H261" s="79" t="s">
        <v>14</v>
      </c>
      <c r="I261" s="79" t="s">
        <v>157</v>
      </c>
      <c r="J261" s="79" t="s">
        <v>158</v>
      </c>
      <c r="K261" s="79" t="s">
        <v>159</v>
      </c>
      <c r="L261" s="79">
        <v>562.52000000000032</v>
      </c>
      <c r="M261" s="79">
        <v>0</v>
      </c>
      <c r="N261" s="79">
        <v>2.7796637938074218E-2</v>
      </c>
      <c r="O261" s="79">
        <v>169</v>
      </c>
      <c r="P261" s="79">
        <v>53.285725702774094</v>
      </c>
      <c r="Q261" s="79"/>
      <c r="R261" s="79">
        <v>275.37363005821356</v>
      </c>
      <c r="S261" s="79">
        <v>610.96426176974103</v>
      </c>
      <c r="T261" s="79">
        <v>15</v>
      </c>
      <c r="U261" s="79">
        <v>0.2</v>
      </c>
      <c r="V261" s="79">
        <f>tbl_Data_old[[#This Row],[2025 ]]*IFERROR(AVERAGEIFS('Participation Adjustment'!$C:$C,'Participation Adjustment'!$A:$A,$H261,'Participation Adjustment'!$B:$B,$I261),1)</f>
        <v>752.72160924350703</v>
      </c>
      <c r="W261" s="79">
        <f>tbl_Data_old[[#This Row],[2026 ]]*IFERROR(AVERAGEIFS('Participation Adjustment'!$C:$C,'Participation Adjustment'!$A:$A,$H261,'Participation Adjustment'!$B:$B,$I261),1)</f>
        <v>1572.5932409465699</v>
      </c>
      <c r="X261" s="79">
        <f>tbl_Data_old[[#This Row],[2027 ]]*IFERROR(AVERAGEIFS('Participation Adjustment'!$C:$C,'Participation Adjustment'!$A:$A,$H261,'Participation Adjustment'!$B:$B,$I261),1)</f>
        <v>2445.4911584267602</v>
      </c>
      <c r="Y261" s="79">
        <f>tbl_Data_old[[#This Row],[2028 ]]*IFERROR(AVERAGEIFS('Participation Adjustment'!$C:$C,'Participation Adjustment'!$A:$A,$H261,'Participation Adjustment'!$B:$B,$I261),1)</f>
        <v>3362.7896460396696</v>
      </c>
      <c r="Z261" s="79">
        <f>tbl_Data_old[[#This Row],[2029 ]]*IFERROR(AVERAGEIFS('Participation Adjustment'!$C:$C,'Participation Adjustment'!$A:$A,$H261,'Participation Adjustment'!$B:$B,$I261),1)</f>
        <v>4316.0629232356005</v>
      </c>
      <c r="AA261" s="79">
        <f>tbl_Data_old[[#This Row],[2030 ]]*IFERROR(AVERAGEIFS('Participation Adjustment'!$C:$C,'Participation Adjustment'!$A:$A,$H261,'Participation Adjustment'!$B:$B,$I261),1)</f>
        <v>5296.9758785942595</v>
      </c>
      <c r="AB261" s="79">
        <f>tbl_Data_old[[#This Row],[2031 ]]*IFERROR(AVERAGEIFS('Participation Adjustment'!$C:$C,'Participation Adjustment'!$A:$A,$H261,'Participation Adjustment'!$B:$B,$I261),1)</f>
        <v>6298.4433624748399</v>
      </c>
      <c r="AC261" s="79">
        <f>tbl_Data_old[[#This Row],[2032 ]]*IFERROR(AVERAGEIFS('Participation Adjustment'!$C:$C,'Participation Adjustment'!$A:$A,$H261,'Participation Adjustment'!$B:$B,$I261),1)</f>
        <v>7316.3759047099402</v>
      </c>
      <c r="AD261" s="79">
        <f>tbl_Data_old[[#This Row],[2033 ]]*IFERROR(AVERAGEIFS('Participation Adjustment'!$C:$C,'Participation Adjustment'!$A:$A,$H261,'Participation Adjustment'!$B:$B,$I261),1)</f>
        <v>8347.9582601637794</v>
      </c>
      <c r="AE261" s="79">
        <f>tbl_Data_old[[#This Row],[2034 ]]*IFERROR(AVERAGEIFS('Participation Adjustment'!$C:$C,'Participation Adjustment'!$A:$A,$H261,'Participation Adjustment'!$B:$B,$I261),1)</f>
        <v>9389.5246952606503</v>
      </c>
      <c r="AF261" s="77" t="str">
        <f t="shared" si="110"/>
        <v>NonResidential</v>
      </c>
      <c r="AG261" s="77" t="str">
        <f>tbl_Data[[#This Row],[All_Meas_Name_Append]]</f>
        <v>LED Exterior Wall Packs</v>
      </c>
      <c r="AH261" s="77">
        <f>AVERAGEIFS('3. Incentive Adjustment'!G:G,'3. Incentive Adjustment'!A:A,tbl_Data[[#This Row],[Trimmed Sector]],'3. Incentive Adjustment'!B:B,tbl_Data[[#This Row],[Trimmed Measure Name]])</f>
        <v>0.80637708305213962</v>
      </c>
      <c r="AI261" s="77">
        <f>$AH261*tbl_Data[[#This Row],[2025 ]]</f>
        <v>606.9774556120916</v>
      </c>
      <c r="AJ261" s="77">
        <f>$AH261*tbl_Data[[#This Row],[2026 ]]</f>
        <v>1268.1031504620057</v>
      </c>
      <c r="AK261" s="77">
        <f>$AH261*tbl_Data[[#This Row],[2027 ]]</f>
        <v>1971.9880269619687</v>
      </c>
      <c r="AL261" s="77">
        <f>$AH261*tbl_Data[[#This Row],[2028 ]]</f>
        <v>2711.676505691406</v>
      </c>
      <c r="AM261" s="77">
        <f>$AH261*tbl_Data[[#This Row],[2029 ]]</f>
        <v>3480.3742303082145</v>
      </c>
      <c r="AN261" s="77">
        <f>$AH261*tbl_Data[[#This Row],[2030 ]]</f>
        <v>4271.3599579783831</v>
      </c>
      <c r="AO261" s="77">
        <f>$AH261*tbl_Data[[#This Row],[2031 ]]</f>
        <v>5078.9203864015717</v>
      </c>
      <c r="AP261" s="77">
        <f>$AH261*tbl_Data[[#This Row],[2032 ]]</f>
        <v>5899.7578605529607</v>
      </c>
      <c r="AQ261" s="77">
        <f>$AH261*tbl_Data[[#This Row],[2033 ]]</f>
        <v>6731.6022312718833</v>
      </c>
      <c r="AR261" s="77">
        <f>$AH261*tbl_Data[[#This Row],[2034 ]]</f>
        <v>7571.4975350103132</v>
      </c>
      <c r="AS261" s="77">
        <f>SUM(tbl_Data[[#This Row],[Adjusted 2025]:[Adjusted 2034]])</f>
        <v>39592.257340250799</v>
      </c>
      <c r="AT261" s="80">
        <f>AVERAGEIFS('3. Incentive Adjustment'!F:F,'3. Incentive Adjustment'!A:A,tbl_Data[[#This Row],[Trimmed Sector]],'3. Incentive Adjustment'!B:B,tbl_Data[[#This Row],[Trimmed Measure Name]])</f>
        <v>8.6864493556481861</v>
      </c>
      <c r="AU261" s="80">
        <f>IFERROR(VLOOKUP(tbl_Data[[#This Row],[All_Meas_Name_Append]],'IRA Tax Credits'!$A$3:$D$46,4,0),0)</f>
        <v>0</v>
      </c>
      <c r="AV261" s="81">
        <f>tbl_Data[[#This Row],[Adj. per unit Incentive ($)]]/tbl_Data[[#This Row],[kWh Savings]]*tbl_Data[[#This Row],[Sum of Annuals]]</f>
        <v>611.38472989738773</v>
      </c>
      <c r="AW261" s="81">
        <f>IFERROR(VLOOKUP(tbl_Data[[#This Row],[Column1]],'1. Set Program Names'!$B$2:$D$15,3,0)*tbl_Data[[#This Row],[Sum of Annuals]],"")</f>
        <v>1409.4722838454259</v>
      </c>
      <c r="AX261" s="81">
        <f>tbl_Data[[#This Row],[per unit IRA tax ($)]]/tbl_Data[[#This Row],[kWh Savings]]*tbl_Data[[#This Row],[Sum of Annuals]]</f>
        <v>0</v>
      </c>
      <c r="AY261" s="81">
        <f>tbl_Data[[#This Row],[Avoided Costs ($/unit)]]/tbl_Data[[#This Row],[kWh Savings]]*tbl_Data[[#This Row],[Sum of Annuals]]</f>
        <v>19381.823981340767</v>
      </c>
      <c r="AZ261" s="81">
        <f>tbl_Data[[#This Row],[Lost Revenue ($/unit)]]/tbl_Data[[#This Row],[kWh Savings]]*tbl_Data[[#This Row],[Sum of Annuals]]</f>
        <v>43001.945313382508</v>
      </c>
      <c r="BA261" s="81">
        <f>tbl_Data[[#This Row],[Incremental Cost ($/unit)]]/tbl_Data[[#This Row],[kWh Savings]]*tbl_Data[[#This Row],[Sum of Annuals]]</f>
        <v>11894.850832863509</v>
      </c>
      <c r="BB261" s="77">
        <f>ROUNDUP(tbl_Data[[#This Row],[Adjusted 2025]]/$L261,0)</f>
        <v>2</v>
      </c>
      <c r="BC261" s="77">
        <f>ROUNDUP(tbl_Data[[#This Row],[Adjusted 2026]]/$L261,0)</f>
        <v>3</v>
      </c>
      <c r="BD261" s="77">
        <f>ROUNDUP(tbl_Data[[#This Row],[Adjusted 2027]]/$L261,0)</f>
        <v>4</v>
      </c>
      <c r="BE261" s="77">
        <f>ROUNDUP(tbl_Data[[#This Row],[Adjusted 2028]]/$L261,0)</f>
        <v>5</v>
      </c>
      <c r="BF261" s="77">
        <f>ROUNDUP(tbl_Data[[#This Row],[Adjusted 2029]]/$L261,0)</f>
        <v>7</v>
      </c>
      <c r="BG261" s="77">
        <f>ROUNDUP(tbl_Data[[#This Row],[Adjusted 2030]]/$L261,0)</f>
        <v>8</v>
      </c>
      <c r="BH261" s="77">
        <f>ROUNDUP(tbl_Data[[#This Row],[Adjusted 2031]]/$L261,0)</f>
        <v>10</v>
      </c>
      <c r="BI261" s="77">
        <f>ROUNDUP(tbl_Data[[#This Row],[Adjusted 2032]]/$L261,0)</f>
        <v>11</v>
      </c>
      <c r="BJ261" s="77">
        <f>ROUNDUP(tbl_Data[[#This Row],[Adjusted 2033]]/$L261,0)</f>
        <v>12</v>
      </c>
      <c r="BK261" s="77">
        <f>ROUNDUP(tbl_Data[[#This Row],[Adjusted 2034]]/$L261,0)</f>
        <v>14</v>
      </c>
      <c r="BL261" s="80">
        <f t="shared" si="111"/>
        <v>11.623547851802112</v>
      </c>
      <c r="BM261" s="80">
        <f t="shared" si="112"/>
        <v>24.284028202583048</v>
      </c>
      <c r="BN261" s="80">
        <f t="shared" si="113"/>
        <v>37.763341920926287</v>
      </c>
      <c r="BO261" s="80">
        <f t="shared" si="114"/>
        <v>51.928290467932989</v>
      </c>
      <c r="BP261" s="80">
        <f t="shared" si="115"/>
        <v>66.648762707951519</v>
      </c>
      <c r="BQ261" s="80">
        <f t="shared" si="116"/>
        <v>81.796047620527389</v>
      </c>
      <c r="BR261" s="80">
        <f t="shared" si="117"/>
        <v>97.260736129481856</v>
      </c>
      <c r="BS261" s="80">
        <f t="shared" si="118"/>
        <v>112.97967852369256</v>
      </c>
      <c r="BT261" s="80">
        <f t="shared" si="119"/>
        <v>128.90940171012156</v>
      </c>
      <c r="BU261" s="80">
        <f t="shared" si="120"/>
        <v>144.99329932978304</v>
      </c>
      <c r="BV261" s="80">
        <f>IFERROR(VLOOKUP($H261,'1. Set Program Names'!$B$2:$D$15,3,0)*V261,"NA")</f>
        <v>26.796659674205117</v>
      </c>
      <c r="BW261" s="80">
        <f>IFERROR(VLOOKUP($H261,'1. Set Program Names'!$B$2:$D$15,3,0)*W261,"NA")</f>
        <v>55.983839664111493</v>
      </c>
      <c r="BX261" s="80">
        <f>IFERROR(VLOOKUP($H261,'1. Set Program Names'!$B$2:$D$15,3,0)*X261,"NA")</f>
        <v>87.058739252216824</v>
      </c>
      <c r="BY261" s="80">
        <f>IFERROR(VLOOKUP($H261,'1. Set Program Names'!$B$2:$D$15,3,0)*Y261,"NA")</f>
        <v>119.71428559282194</v>
      </c>
      <c r="BZ261" s="80">
        <f>IFERROR(VLOOKUP($H261,'1. Set Program Names'!$B$2:$D$15,3,0)*Z261,"NA")</f>
        <v>153.65052346860989</v>
      </c>
      <c r="CA261" s="80">
        <f>IFERROR(VLOOKUP($H261,'1. Set Program Names'!$B$2:$D$15,3,0)*AA261,"NA")</f>
        <v>188.57072545561226</v>
      </c>
      <c r="CB261" s="80">
        <f>IFERROR(VLOOKUP($H261,'1. Set Program Names'!$B$2:$D$15,3,0)*AB261,"NA")</f>
        <v>224.22266238791428</v>
      </c>
      <c r="CC261" s="80">
        <f>IFERROR(VLOOKUP($H261,'1. Set Program Names'!$B$2:$D$15,3,0)*AC261,"NA")</f>
        <v>260.4607503750338</v>
      </c>
      <c r="CD261" s="80">
        <f>IFERROR(VLOOKUP($H261,'1. Set Program Names'!$B$2:$D$15,3,0)*AD261,"NA")</f>
        <v>297.18476754891685</v>
      </c>
      <c r="CE261" s="80">
        <f>IFERROR(VLOOKUP($H261,'1. Set Program Names'!$B$2:$D$15,3,0)*AE261,"NA")</f>
        <v>334.2642149124863</v>
      </c>
    </row>
    <row r="262" spans="1:83" x14ac:dyDescent="0.25">
      <c r="A262" s="79" t="s">
        <v>113</v>
      </c>
      <c r="B262" s="79" t="s">
        <v>88</v>
      </c>
      <c r="C262" s="79" t="s">
        <v>122</v>
      </c>
      <c r="D262" s="79" t="s">
        <v>90</v>
      </c>
      <c r="E262" s="79" t="s">
        <v>91</v>
      </c>
      <c r="F262" s="79" t="s">
        <v>90</v>
      </c>
      <c r="G262" s="79" t="s">
        <v>92</v>
      </c>
      <c r="H262" s="79" t="s">
        <v>14</v>
      </c>
      <c r="I262" s="79" t="s">
        <v>160</v>
      </c>
      <c r="J262" s="79" t="s">
        <v>161</v>
      </c>
      <c r="K262" s="79" t="s">
        <v>159</v>
      </c>
      <c r="L262" s="79">
        <v>1059.6621428571407</v>
      </c>
      <c r="M262" s="79">
        <v>0.13879011985330975</v>
      </c>
      <c r="N262" s="79">
        <v>0.14661252282673942</v>
      </c>
      <c r="O262" s="79">
        <v>179</v>
      </c>
      <c r="P262" s="79">
        <v>5.0437849584490522</v>
      </c>
      <c r="Q262" s="79"/>
      <c r="R262" s="79">
        <v>417.01467834907817</v>
      </c>
      <c r="S262" s="79">
        <v>1150.9203207638036</v>
      </c>
      <c r="T262" s="79">
        <v>15</v>
      </c>
      <c r="U262" s="79">
        <v>0.2</v>
      </c>
      <c r="V262" s="79">
        <f>tbl_Data_old[[#This Row],[2025 ]]*IFERROR(AVERAGEIFS('Participation Adjustment'!$C:$C,'Participation Adjustment'!$A:$A,$H262,'Participation Adjustment'!$B:$B,$I262),1)</f>
        <v>50099.332356883802</v>
      </c>
      <c r="W262" s="79">
        <f>tbl_Data_old[[#This Row],[2026 ]]*IFERROR(AVERAGEIFS('Participation Adjustment'!$C:$C,'Participation Adjustment'!$A:$A,$H262,'Participation Adjustment'!$B:$B,$I262),1)</f>
        <v>104630.12394172695</v>
      </c>
      <c r="X262" s="79">
        <f>tbl_Data_old[[#This Row],[2027 ]]*IFERROR(AVERAGEIFS('Participation Adjustment'!$C:$C,'Participation Adjustment'!$A:$A,$H262,'Participation Adjustment'!$B:$B,$I262),1)</f>
        <v>162676.9325374125</v>
      </c>
      <c r="Y262" s="79">
        <f>tbl_Data_old[[#This Row],[2028 ]]*IFERROR(AVERAGEIFS('Participation Adjustment'!$C:$C,'Participation Adjustment'!$A:$A,$H262,'Participation Adjustment'!$B:$B,$I262),1)</f>
        <v>223669.59516753</v>
      </c>
      <c r="Z262" s="79">
        <f>tbl_Data_old[[#This Row],[2029 ]]*IFERROR(AVERAGEIFS('Participation Adjustment'!$C:$C,'Participation Adjustment'!$A:$A,$H262,'Participation Adjustment'!$B:$B,$I262),1)</f>
        <v>287040.5827384335</v>
      </c>
      <c r="AA262" s="79">
        <f>tbl_Data_old[[#This Row],[2030 ]]*IFERROR(AVERAGEIFS('Participation Adjustment'!$C:$C,'Participation Adjustment'!$A:$A,$H262,'Participation Adjustment'!$B:$B,$I262),1)</f>
        <v>352239.82382568001</v>
      </c>
      <c r="AB262" s="79">
        <f>tbl_Data_old[[#This Row],[2031 ]]*IFERROR(AVERAGEIFS('Participation Adjustment'!$C:$C,'Participation Adjustment'!$A:$A,$H262,'Participation Adjustment'!$B:$B,$I262),1)</f>
        <v>418789.11727253848</v>
      </c>
      <c r="AC262" s="79">
        <f>tbl_Data_old[[#This Row],[2032 ]]*IFERROR(AVERAGEIFS('Participation Adjustment'!$C:$C,'Participation Adjustment'!$A:$A,$H262,'Participation Adjustment'!$B:$B,$I262),1)</f>
        <v>486411.81294263247</v>
      </c>
      <c r="AD262" s="79">
        <f>tbl_Data_old[[#This Row],[2033 ]]*IFERROR(AVERAGEIFS('Participation Adjustment'!$C:$C,'Participation Adjustment'!$A:$A,$H262,'Participation Adjustment'!$B:$B,$I262),1)</f>
        <v>554930.85261471896</v>
      </c>
      <c r="AE262" s="79">
        <f>tbl_Data_old[[#This Row],[2034 ]]*IFERROR(AVERAGEIFS('Participation Adjustment'!$C:$C,'Participation Adjustment'!$A:$A,$H262,'Participation Adjustment'!$B:$B,$I262),1)</f>
        <v>624097.35284239345</v>
      </c>
      <c r="AF262" s="77" t="str">
        <f t="shared" si="110"/>
        <v>NonResidential</v>
      </c>
      <c r="AG262" s="77" t="str">
        <f>tbl_Data[[#This Row],[All_Meas_Name_Append]]</f>
        <v>LED High Bay_HID Baseline</v>
      </c>
      <c r="AH262" s="77">
        <f>AVERAGEIFS('3. Incentive Adjustment'!G:G,'3. Incentive Adjustment'!A:A,tbl_Data[[#This Row],[Trimmed Sector]],'3. Incentive Adjustment'!B:B,tbl_Data[[#This Row],[Trimmed Measure Name]])</f>
        <v>1.0603846876879557</v>
      </c>
      <c r="AI262" s="77">
        <f>$AH262*tbl_Data[[#This Row],[2025 ]]</f>
        <v>53124.564894629322</v>
      </c>
      <c r="AJ262" s="77">
        <f>$AH262*tbl_Data[[#This Row],[2026 ]]</f>
        <v>110948.18129870023</v>
      </c>
      <c r="AK262" s="77">
        <f>$AH262*tbl_Data[[#This Row],[2027 ]]</f>
        <v>172500.1283027188</v>
      </c>
      <c r="AL262" s="77">
        <f>$AH262*tbl_Data[[#This Row],[2028 ]]</f>
        <v>237175.81381701279</v>
      </c>
      <c r="AM262" s="77">
        <f>$AH262*tbl_Data[[#This Row],[2029 ]]</f>
        <v>304373.4386808626</v>
      </c>
      <c r="AN262" s="77">
        <f>$AH262*tbl_Data[[#This Row],[2030 ]]</f>
        <v>373509.71557865426</v>
      </c>
      <c r="AO262" s="77">
        <f>$AH262*tbl_Data[[#This Row],[2031 ]]</f>
        <v>444077.56732615537</v>
      </c>
      <c r="AP262" s="77">
        <f>$AH262*tbl_Data[[#This Row],[2032 ]]</f>
        <v>515783.63835490565</v>
      </c>
      <c r="AQ262" s="77">
        <f>$AH262*tbl_Data[[#This Row],[2033 ]]</f>
        <v>588440.17883826967</v>
      </c>
      <c r="AR262" s="77">
        <f>$AH262*tbl_Data[[#This Row],[2034 ]]</f>
        <v>661783.2765806613</v>
      </c>
      <c r="AS262" s="77">
        <f>SUM(tbl_Data[[#This Row],[Adjusted 2025]:[Adjusted 2034]])</f>
        <v>3461716.50367257</v>
      </c>
      <c r="AT262" s="80">
        <f>AVERAGEIFS('3. Incentive Adjustment'!F:F,'3. Incentive Adjustment'!A:A,tbl_Data[[#This Row],[Trimmed Sector]],'3. Incentive Adjustment'!B:B,tbl_Data[[#This Row],[Trimmed Measure Name]])</f>
        <v>28.590998621954778</v>
      </c>
      <c r="AU262" s="80">
        <f>IFERROR(VLOOKUP(tbl_Data[[#This Row],[All_Meas_Name_Append]],'IRA Tax Credits'!$A$3:$D$46,4,0),0)</f>
        <v>0</v>
      </c>
      <c r="AV262" s="81">
        <f>tbl_Data[[#This Row],[Adj. per unit Incentive ($)]]/tbl_Data[[#This Row],[kWh Savings]]*tbl_Data[[#This Row],[Sum of Annuals]]</f>
        <v>93401.403884486819</v>
      </c>
      <c r="AW262" s="81">
        <f>IFERROR(VLOOKUP(tbl_Data[[#This Row],[Column1]],'1. Set Program Names'!$B$2:$D$15,3,0)*tbl_Data[[#This Row],[Sum of Annuals]],"")</f>
        <v>123236.05154729156</v>
      </c>
      <c r="AX262" s="81">
        <f>tbl_Data[[#This Row],[per unit IRA tax ($)]]/tbl_Data[[#This Row],[kWh Savings]]*tbl_Data[[#This Row],[Sum of Annuals]]</f>
        <v>0</v>
      </c>
      <c r="AY262" s="81">
        <f>tbl_Data[[#This Row],[Avoided Costs ($/unit)]]/tbl_Data[[#This Row],[kWh Savings]]*tbl_Data[[#This Row],[Sum of Annuals]]</f>
        <v>1362308.3584192274</v>
      </c>
      <c r="AZ262" s="81">
        <f>tbl_Data[[#This Row],[Lost Revenue ($/unit)]]/tbl_Data[[#This Row],[kWh Savings]]*tbl_Data[[#This Row],[Sum of Annuals]]</f>
        <v>3759839.7712480277</v>
      </c>
      <c r="BA262" s="81">
        <f>tbl_Data[[#This Row],[Incremental Cost ($/unit)]]/tbl_Data[[#This Row],[kWh Savings]]*tbl_Data[[#This Row],[Sum of Annuals]]</f>
        <v>584759.26344471506</v>
      </c>
      <c r="BB262" s="77">
        <f>ROUNDUP(tbl_Data[[#This Row],[Adjusted 2025]]/$L262,0)</f>
        <v>51</v>
      </c>
      <c r="BC262" s="77">
        <f>ROUNDUP(tbl_Data[[#This Row],[Adjusted 2026]]/$L262,0)</f>
        <v>105</v>
      </c>
      <c r="BD262" s="77">
        <f>ROUNDUP(tbl_Data[[#This Row],[Adjusted 2027]]/$L262,0)</f>
        <v>163</v>
      </c>
      <c r="BE262" s="77">
        <f>ROUNDUP(tbl_Data[[#This Row],[Adjusted 2028]]/$L262,0)</f>
        <v>224</v>
      </c>
      <c r="BF262" s="77">
        <f>ROUNDUP(tbl_Data[[#This Row],[Adjusted 2029]]/$L262,0)</f>
        <v>288</v>
      </c>
      <c r="BG262" s="77">
        <f>ROUNDUP(tbl_Data[[#This Row],[Adjusted 2030]]/$L262,0)</f>
        <v>353</v>
      </c>
      <c r="BH262" s="77">
        <f>ROUNDUP(tbl_Data[[#This Row],[Adjusted 2031]]/$L262,0)</f>
        <v>420</v>
      </c>
      <c r="BI262" s="77">
        <f>ROUNDUP(tbl_Data[[#This Row],[Adjusted 2032]]/$L262,0)</f>
        <v>487</v>
      </c>
      <c r="BJ262" s="77">
        <f>ROUNDUP(tbl_Data[[#This Row],[Adjusted 2033]]/$L262,0)</f>
        <v>556</v>
      </c>
      <c r="BK262" s="77">
        <f>ROUNDUP(tbl_Data[[#This Row],[Adjusted 2034]]/$L262,0)</f>
        <v>625</v>
      </c>
      <c r="BL262" s="80">
        <f t="shared" si="111"/>
        <v>1351.7421114190245</v>
      </c>
      <c r="BM262" s="80">
        <f t="shared" si="112"/>
        <v>2823.0504879291248</v>
      </c>
      <c r="BN262" s="80">
        <f t="shared" si="113"/>
        <v>4389.2253633411465</v>
      </c>
      <c r="BO262" s="80">
        <f t="shared" si="114"/>
        <v>6034.8830335351267</v>
      </c>
      <c r="BP262" s="80">
        <f t="shared" si="115"/>
        <v>7744.7108598141676</v>
      </c>
      <c r="BQ262" s="80">
        <f t="shared" si="116"/>
        <v>9503.8672330444169</v>
      </c>
      <c r="BR262" s="80">
        <f t="shared" si="117"/>
        <v>11299.449693035829</v>
      </c>
      <c r="BS262" s="80">
        <f t="shared" si="118"/>
        <v>13123.993876055847</v>
      </c>
      <c r="BT262" s="80">
        <f t="shared" si="119"/>
        <v>14972.722531738696</v>
      </c>
      <c r="BU262" s="80">
        <f t="shared" si="120"/>
        <v>16838.92047607866</v>
      </c>
      <c r="BV262" s="80">
        <f>IFERROR(VLOOKUP($H262,'1. Set Program Names'!$B$2:$D$15,3,0)*V262,"NA")</f>
        <v>1783.5209492942934</v>
      </c>
      <c r="BW262" s="80">
        <f>IFERROR(VLOOKUP($H262,'1. Set Program Names'!$B$2:$D$15,3,0)*W262,"NA")</f>
        <v>3724.8004953041582</v>
      </c>
      <c r="BX262" s="80">
        <f>IFERROR(VLOOKUP($H262,'1. Set Program Names'!$B$2:$D$15,3,0)*X262,"NA")</f>
        <v>5791.2491743523969</v>
      </c>
      <c r="BY262" s="80">
        <f>IFERROR(VLOOKUP($H262,'1. Set Program Names'!$B$2:$D$15,3,0)*Y262,"NA")</f>
        <v>7962.5693584048458</v>
      </c>
      <c r="BZ262" s="80">
        <f>IFERROR(VLOOKUP($H262,'1. Set Program Names'!$B$2:$D$15,3,0)*Z262,"NA")</f>
        <v>10218.557184850299</v>
      </c>
      <c r="CA262" s="80">
        <f>IFERROR(VLOOKUP($H262,'1. Set Program Names'!$B$2:$D$15,3,0)*AA262,"NA")</f>
        <v>12539.630278775783</v>
      </c>
      <c r="CB262" s="80">
        <f>IFERROR(VLOOKUP($H262,'1. Set Program Names'!$B$2:$D$15,3,0)*AB262,"NA")</f>
        <v>14908.764824875116</v>
      </c>
      <c r="CC262" s="80">
        <f>IFERROR(VLOOKUP($H262,'1. Set Program Names'!$B$2:$D$15,3,0)*AC262,"NA")</f>
        <v>17316.112162684367</v>
      </c>
      <c r="CD262" s="80">
        <f>IFERROR(VLOOKUP($H262,'1. Set Program Names'!$B$2:$D$15,3,0)*AD262,"NA")</f>
        <v>19755.369073538226</v>
      </c>
      <c r="CE262" s="80">
        <f>IFERROR(VLOOKUP($H262,'1. Set Program Names'!$B$2:$D$15,3,0)*AE262,"NA")</f>
        <v>22217.675382665635</v>
      </c>
    </row>
    <row r="263" spans="1:83" x14ac:dyDescent="0.25">
      <c r="A263" s="79" t="s">
        <v>113</v>
      </c>
      <c r="B263" s="79" t="s">
        <v>88</v>
      </c>
      <c r="C263" s="79" t="s">
        <v>122</v>
      </c>
      <c r="D263" s="79" t="s">
        <v>90</v>
      </c>
      <c r="E263" s="79" t="s">
        <v>91</v>
      </c>
      <c r="F263" s="79" t="s">
        <v>90</v>
      </c>
      <c r="G263" s="79" t="s">
        <v>92</v>
      </c>
      <c r="H263" s="79" t="s">
        <v>14</v>
      </c>
      <c r="I263" s="79" t="s">
        <v>162</v>
      </c>
      <c r="J263" s="79" t="s">
        <v>161</v>
      </c>
      <c r="K263" s="79" t="s">
        <v>159</v>
      </c>
      <c r="L263" s="79">
        <v>632.51142857142861</v>
      </c>
      <c r="M263" s="79">
        <v>7.5636667797052567E-2</v>
      </c>
      <c r="N263" s="79">
        <v>7.2066360150851286E-2</v>
      </c>
      <c r="O263" s="79">
        <v>179</v>
      </c>
      <c r="P263" s="79">
        <v>51.895440493260928</v>
      </c>
      <c r="Q263" s="79"/>
      <c r="R263" s="79">
        <v>248.91572427603518</v>
      </c>
      <c r="S263" s="79">
        <v>686.98335706831222</v>
      </c>
      <c r="T263" s="79">
        <v>15</v>
      </c>
      <c r="U263" s="79">
        <v>0.2</v>
      </c>
      <c r="V263" s="79">
        <f>tbl_Data_old[[#This Row],[2025 ]]*IFERROR(AVERAGEIFS('Participation Adjustment'!$C:$C,'Participation Adjustment'!$A:$A,$H263,'Participation Adjustment'!$B:$B,$I263),1)</f>
        <v>146359.13659143599</v>
      </c>
      <c r="W263" s="79">
        <f>tbl_Data_old[[#This Row],[2026 ]]*IFERROR(AVERAGEIFS('Participation Adjustment'!$C:$C,'Participation Adjustment'!$A:$A,$H263,'Participation Adjustment'!$B:$B,$I263),1)</f>
        <v>305664.245033835</v>
      </c>
      <c r="X263" s="79">
        <f>tbl_Data_old[[#This Row],[2027 ]]*IFERROR(AVERAGEIFS('Participation Adjustment'!$C:$C,'Participation Adjustment'!$A:$A,$H263,'Participation Adjustment'!$B:$B,$I263),1)</f>
        <v>475240.97167429799</v>
      </c>
      <c r="Y263" s="79">
        <f>tbl_Data_old[[#This Row],[2028 ]]*IFERROR(AVERAGEIFS('Participation Adjustment'!$C:$C,'Participation Adjustment'!$A:$A,$H263,'Participation Adjustment'!$B:$B,$I263),1)</f>
        <v>653423.65437685791</v>
      </c>
      <c r="Z263" s="79">
        <f>tbl_Data_old[[#This Row],[2029 ]]*IFERROR(AVERAGEIFS('Participation Adjustment'!$C:$C,'Participation Adjustment'!$A:$A,$H263,'Participation Adjustment'!$B:$B,$I263),1)</f>
        <v>838554.32557530911</v>
      </c>
      <c r="AA263" s="79">
        <f>tbl_Data_old[[#This Row],[2030 ]]*IFERROR(AVERAGEIFS('Participation Adjustment'!$C:$C,'Participation Adjustment'!$A:$A,$H263,'Participation Adjustment'!$B:$B,$I263),1)</f>
        <v>1029026.0181713294</v>
      </c>
      <c r="AB263" s="79">
        <f>tbl_Data_old[[#This Row],[2031 ]]*IFERROR(AVERAGEIFS('Participation Adjustment'!$C:$C,'Participation Adjustment'!$A:$A,$H263,'Participation Adjustment'!$B:$B,$I263),1)</f>
        <v>1223441.725356177</v>
      </c>
      <c r="AC263" s="79">
        <f>tbl_Data_old[[#This Row],[2032 ]]*IFERROR(AVERAGEIFS('Participation Adjustment'!$C:$C,'Participation Adjustment'!$A:$A,$H263,'Participation Adjustment'!$B:$B,$I263),1)</f>
        <v>1420993.247235897</v>
      </c>
      <c r="AD263" s="79">
        <f>tbl_Data_old[[#This Row],[2033 ]]*IFERROR(AVERAGEIFS('Participation Adjustment'!$C:$C,'Participation Adjustment'!$A:$A,$H263,'Participation Adjustment'!$B:$B,$I263),1)</f>
        <v>1621163.32964424</v>
      </c>
      <c r="AE263" s="79">
        <f>tbl_Data_old[[#This Row],[2034 ]]*IFERROR(AVERAGEIFS('Participation Adjustment'!$C:$C,'Participation Adjustment'!$A:$A,$H263,'Participation Adjustment'!$B:$B,$I263),1)</f>
        <v>1823224.8897117749</v>
      </c>
      <c r="AF263" s="77" t="str">
        <f t="shared" si="110"/>
        <v>NonResidential</v>
      </c>
      <c r="AG263" s="77" t="str">
        <f>tbl_Data[[#This Row],[All_Meas_Name_Append]]</f>
        <v>LED High Bay_LF Baseline</v>
      </c>
      <c r="AH263" s="77">
        <f>AVERAGEIFS('3. Incentive Adjustment'!G:G,'3. Incentive Adjustment'!A:A,tbl_Data[[#This Row],[Trimmed Sector]],'3. Incentive Adjustment'!B:B,tbl_Data[[#This Row],[Trimmed Measure Name]])</f>
        <v>0.93017466414143679</v>
      </c>
      <c r="AI263" s="77">
        <f>$AH263*tbl_Data[[#This Row],[2025 ]]</f>
        <v>136139.56072296965</v>
      </c>
      <c r="AJ263" s="77">
        <f>$AH263*tbl_Data[[#This Row],[2026 ]]</f>
        <v>284321.13646439329</v>
      </c>
      <c r="AK263" s="77">
        <f>$AH263*tbl_Data[[#This Row],[2027 ]]</f>
        <v>442057.11121339019</v>
      </c>
      <c r="AL263" s="77">
        <f>$AH263*tbl_Data[[#This Row],[2028 ]]</f>
        <v>607798.12825206411</v>
      </c>
      <c r="AM263" s="77">
        <f>$AH263*tbl_Data[[#This Row],[2029 ]]</f>
        <v>780001.9881563622</v>
      </c>
      <c r="AN263" s="77">
        <f>$AH263*tbl_Data[[#This Row],[2030 ]]</f>
        <v>957173.93084531638</v>
      </c>
      <c r="AO263" s="77">
        <f>$AH263*tbl_Data[[#This Row],[2031 ]]</f>
        <v>1138014.4959798018</v>
      </c>
      <c r="AP263" s="77">
        <f>$AH263*tbl_Data[[#This Row],[2032 ]]</f>
        <v>1321771.9164949001</v>
      </c>
      <c r="AQ263" s="77">
        <f>$AH263*tbl_Data[[#This Row],[2033 ]]</f>
        <v>1507965.0556702444</v>
      </c>
      <c r="AR263" s="77">
        <f>$AH263*tbl_Data[[#This Row],[2034 ]]</f>
        <v>1695917.5994419584</v>
      </c>
      <c r="AS263" s="77">
        <f>SUM(tbl_Data[[#This Row],[Adjusted 2025]:[Adjusted 2034]])</f>
        <v>8871160.9232414011</v>
      </c>
      <c r="AT263" s="80">
        <f>AVERAGEIFS('3. Incentive Adjustment'!F:F,'3. Incentive Adjustment'!A:A,tbl_Data[[#This Row],[Trimmed Sector]],'3. Incentive Adjustment'!B:B,tbl_Data[[#This Row],[Trimmed Measure Name]])</f>
        <v>23.858858929800434</v>
      </c>
      <c r="AU263" s="80">
        <f>IFERROR(VLOOKUP(tbl_Data[[#This Row],[All_Meas_Name_Append]],'IRA Tax Credits'!$A$3:$D$46,4,0),0)</f>
        <v>0</v>
      </c>
      <c r="AV263" s="81">
        <f>tbl_Data[[#This Row],[Adj. per unit Incentive ($)]]/tbl_Data[[#This Row],[kWh Savings]]*tbl_Data[[#This Row],[Sum of Annuals]]</f>
        <v>334627.59319497854</v>
      </c>
      <c r="AW263" s="81">
        <f>IFERROR(VLOOKUP(tbl_Data[[#This Row],[Column1]],'1. Set Program Names'!$B$2:$D$15,3,0)*tbl_Data[[#This Row],[Sum of Annuals]],"")</f>
        <v>315810.62275349797</v>
      </c>
      <c r="AX263" s="81">
        <f>tbl_Data[[#This Row],[per unit IRA tax ($)]]/tbl_Data[[#This Row],[kWh Savings]]*tbl_Data[[#This Row],[Sum of Annuals]]</f>
        <v>0</v>
      </c>
      <c r="AY263" s="81">
        <f>tbl_Data[[#This Row],[Avoided Costs ($/unit)]]/tbl_Data[[#This Row],[kWh Savings]]*tbl_Data[[#This Row],[Sum of Annuals]]</f>
        <v>3491117.0717740296</v>
      </c>
      <c r="AZ263" s="81">
        <f>tbl_Data[[#This Row],[Lost Revenue ($/unit)]]/tbl_Data[[#This Row],[kWh Savings]]*tbl_Data[[#This Row],[Sum of Annuals]]</f>
        <v>9635145.9228271954</v>
      </c>
      <c r="BA263" s="81">
        <f>tbl_Data[[#This Row],[Incremental Cost ($/unit)]]/tbl_Data[[#This Row],[kWh Savings]]*tbl_Data[[#This Row],[Sum of Annuals]]</f>
        <v>2510528.2427017638</v>
      </c>
      <c r="BB263" s="77">
        <f>ROUNDUP(tbl_Data[[#This Row],[Adjusted 2025]]/$L263,0)</f>
        <v>216</v>
      </c>
      <c r="BC263" s="77">
        <f>ROUNDUP(tbl_Data[[#This Row],[Adjusted 2026]]/$L263,0)</f>
        <v>450</v>
      </c>
      <c r="BD263" s="77">
        <f>ROUNDUP(tbl_Data[[#This Row],[Adjusted 2027]]/$L263,0)</f>
        <v>699</v>
      </c>
      <c r="BE263" s="77">
        <f>ROUNDUP(tbl_Data[[#This Row],[Adjusted 2028]]/$L263,0)</f>
        <v>961</v>
      </c>
      <c r="BF263" s="77">
        <f>ROUNDUP(tbl_Data[[#This Row],[Adjusted 2029]]/$L263,0)</f>
        <v>1234</v>
      </c>
      <c r="BG263" s="77">
        <f>ROUNDUP(tbl_Data[[#This Row],[Adjusted 2030]]/$L263,0)</f>
        <v>1514</v>
      </c>
      <c r="BH263" s="77">
        <f>ROUNDUP(tbl_Data[[#This Row],[Adjusted 2031]]/$L263,0)</f>
        <v>1800</v>
      </c>
      <c r="BI263" s="77">
        <f>ROUNDUP(tbl_Data[[#This Row],[Adjusted 2032]]/$L263,0)</f>
        <v>2090</v>
      </c>
      <c r="BJ263" s="77">
        <f>ROUNDUP(tbl_Data[[#This Row],[Adjusted 2033]]/$L263,0)</f>
        <v>2385</v>
      </c>
      <c r="BK263" s="77">
        <f>ROUNDUP(tbl_Data[[#This Row],[Adjusted 2034]]/$L263,0)</f>
        <v>2682</v>
      </c>
      <c r="BL263" s="80">
        <f t="shared" si="111"/>
        <v>5520.7887720057561</v>
      </c>
      <c r="BM263" s="80">
        <f t="shared" si="112"/>
        <v>11529.910405915545</v>
      </c>
      <c r="BN263" s="80">
        <f t="shared" si="113"/>
        <v>17926.486050137661</v>
      </c>
      <c r="BO263" s="80">
        <f t="shared" si="114"/>
        <v>24647.685538873353</v>
      </c>
      <c r="BP263" s="80">
        <f t="shared" si="115"/>
        <v>31630.968951916551</v>
      </c>
      <c r="BQ263" s="80">
        <f t="shared" si="116"/>
        <v>38815.72014927071</v>
      </c>
      <c r="BR263" s="80">
        <f t="shared" si="117"/>
        <v>46149.242868278539</v>
      </c>
      <c r="BS263" s="80">
        <f t="shared" si="118"/>
        <v>53601.051134480243</v>
      </c>
      <c r="BT263" s="80">
        <f t="shared" si="119"/>
        <v>61151.633689065427</v>
      </c>
      <c r="BU263" s="80">
        <f t="shared" si="120"/>
        <v>68773.564359433207</v>
      </c>
      <c r="BV263" s="80">
        <f>IFERROR(VLOOKUP($H263,'1. Set Program Names'!$B$2:$D$15,3,0)*V263,"NA")</f>
        <v>5210.3406163572181</v>
      </c>
      <c r="BW263" s="80">
        <f>IFERROR(VLOOKUP($H263,'1. Set Program Names'!$B$2:$D$15,3,0)*W263,"NA")</f>
        <v>10881.55388148925</v>
      </c>
      <c r="BX263" s="80">
        <f>IFERROR(VLOOKUP($H263,'1. Set Program Names'!$B$2:$D$15,3,0)*X263,"NA")</f>
        <v>16918.433621154298</v>
      </c>
      <c r="BY263" s="80">
        <f>IFERROR(VLOOKUP($H263,'1. Set Program Names'!$B$2:$D$15,3,0)*Y263,"NA")</f>
        <v>23261.682771415835</v>
      </c>
      <c r="BZ263" s="80">
        <f>IFERROR(VLOOKUP($H263,'1. Set Program Names'!$B$2:$D$15,3,0)*Z263,"NA")</f>
        <v>29852.278192673639</v>
      </c>
      <c r="CA263" s="80">
        <f>IFERROR(VLOOKUP($H263,'1. Set Program Names'!$B$2:$D$15,3,0)*AA263,"NA")</f>
        <v>36633.012346426643</v>
      </c>
      <c r="CB263" s="80">
        <f>IFERROR(VLOOKUP($H263,'1. Set Program Names'!$B$2:$D$15,3,0)*AB263,"NA")</f>
        <v>43554.15221643525</v>
      </c>
      <c r="CC263" s="80">
        <f>IFERROR(VLOOKUP($H263,'1. Set Program Names'!$B$2:$D$15,3,0)*AC263,"NA")</f>
        <v>50586.926133012974</v>
      </c>
      <c r="CD263" s="80">
        <f>IFERROR(VLOOKUP($H263,'1. Set Program Names'!$B$2:$D$15,3,0)*AD263,"NA")</f>
        <v>57712.92000562774</v>
      </c>
      <c r="CE263" s="80">
        <f>IFERROR(VLOOKUP($H263,'1. Set Program Names'!$B$2:$D$15,3,0)*AE263,"NA")</f>
        <v>64906.249905921679</v>
      </c>
    </row>
    <row r="264" spans="1:83" x14ac:dyDescent="0.25">
      <c r="A264" s="79" t="s">
        <v>113</v>
      </c>
      <c r="B264" s="79" t="s">
        <v>88</v>
      </c>
      <c r="C264" s="79" t="s">
        <v>122</v>
      </c>
      <c r="D264" s="79" t="s">
        <v>90</v>
      </c>
      <c r="E264" s="79" t="s">
        <v>91</v>
      </c>
      <c r="F264" s="79" t="s">
        <v>90</v>
      </c>
      <c r="G264" s="79" t="s">
        <v>92</v>
      </c>
      <c r="H264" s="79" t="s">
        <v>14</v>
      </c>
      <c r="I264" s="79" t="s">
        <v>163</v>
      </c>
      <c r="J264" s="79" t="s">
        <v>161</v>
      </c>
      <c r="K264" s="79" t="s">
        <v>159</v>
      </c>
      <c r="L264" s="79">
        <v>217.06142857142831</v>
      </c>
      <c r="M264" s="79">
        <v>3.4743730880075478E-2</v>
      </c>
      <c r="N264" s="79">
        <v>3.4497784431073229E-2</v>
      </c>
      <c r="O264" s="79">
        <v>109.07999999999996</v>
      </c>
      <c r="P264" s="79">
        <v>64.428955263702662</v>
      </c>
      <c r="Q264" s="79"/>
      <c r="R264" s="79">
        <v>85.561030664747506</v>
      </c>
      <c r="S264" s="79">
        <v>235.75477399173039</v>
      </c>
      <c r="T264" s="79">
        <v>15</v>
      </c>
      <c r="U264" s="79">
        <v>0.2</v>
      </c>
      <c r="V264" s="79">
        <f>tbl_Data_old[[#This Row],[2025 ]]*IFERROR(AVERAGEIFS('Participation Adjustment'!$C:$C,'Participation Adjustment'!$A:$A,$H264,'Participation Adjustment'!$B:$B,$I264),1)</f>
        <v>381417.18082478998</v>
      </c>
      <c r="W264" s="79">
        <f>tbl_Data_old[[#This Row],[2026 ]]*IFERROR(AVERAGEIFS('Participation Adjustment'!$C:$C,'Participation Adjustment'!$A:$A,$H264,'Participation Adjustment'!$B:$B,$I264),1)</f>
        <v>782399.54453808896</v>
      </c>
      <c r="X264" s="79">
        <f>tbl_Data_old[[#This Row],[2027 ]]*IFERROR(AVERAGEIFS('Participation Adjustment'!$C:$C,'Participation Adjustment'!$A:$A,$H264,'Participation Adjustment'!$B:$B,$I264),1)</f>
        <v>1193918.667287376</v>
      </c>
      <c r="Y264" s="79">
        <f>tbl_Data_old[[#This Row],[2028 ]]*IFERROR(AVERAGEIFS('Participation Adjustment'!$C:$C,'Participation Adjustment'!$A:$A,$H264,'Participation Adjustment'!$B:$B,$I264),1)</f>
        <v>1611891.5191471502</v>
      </c>
      <c r="Z264" s="79">
        <f>tbl_Data_old[[#This Row],[2029 ]]*IFERROR(AVERAGEIFS('Participation Adjustment'!$C:$C,'Participation Adjustment'!$A:$A,$H264,'Participation Adjustment'!$B:$B,$I264),1)</f>
        <v>2033493.1884295321</v>
      </c>
      <c r="AA264" s="79">
        <f>tbl_Data_old[[#This Row],[2030 ]]*IFERROR(AVERAGEIFS('Participation Adjustment'!$C:$C,'Participation Adjustment'!$A:$A,$H264,'Participation Adjustment'!$B:$B,$I264),1)</f>
        <v>2455560.813922368</v>
      </c>
      <c r="AB264" s="79">
        <f>tbl_Data_old[[#This Row],[2031 ]]*IFERROR(AVERAGEIFS('Participation Adjustment'!$C:$C,'Participation Adjustment'!$A:$A,$H264,'Participation Adjustment'!$B:$B,$I264),1)</f>
        <v>2876391.9891578043</v>
      </c>
      <c r="AC264" s="79">
        <f>tbl_Data_old[[#This Row],[2032 ]]*IFERROR(AVERAGEIFS('Participation Adjustment'!$C:$C,'Participation Adjustment'!$A:$A,$H264,'Participation Adjustment'!$B:$B,$I264),1)</f>
        <v>3295486.1199310799</v>
      </c>
      <c r="AD264" s="79">
        <f>tbl_Data_old[[#This Row],[2033 ]]*IFERROR(AVERAGEIFS('Participation Adjustment'!$C:$C,'Participation Adjustment'!$A:$A,$H264,'Participation Adjustment'!$B:$B,$I264),1)</f>
        <v>3712020.1466127899</v>
      </c>
      <c r="AE264" s="79">
        <f>tbl_Data_old[[#This Row],[2034 ]]*IFERROR(AVERAGEIFS('Participation Adjustment'!$C:$C,'Participation Adjustment'!$A:$A,$H264,'Participation Adjustment'!$B:$B,$I264),1)</f>
        <v>4125688.9772477099</v>
      </c>
      <c r="AF264" s="77" t="str">
        <f t="shared" si="110"/>
        <v>NonResidential</v>
      </c>
      <c r="AG264" s="77" t="str">
        <f>tbl_Data[[#This Row],[All_Meas_Name_Append]]</f>
        <v>LED Linear - Fixture Replacement</v>
      </c>
      <c r="AH264" s="77">
        <f>AVERAGEIFS('3. Incentive Adjustment'!G:G,'3. Incentive Adjustment'!A:A,tbl_Data[[#This Row],[Trimmed Sector]],'3. Incentive Adjustment'!B:B,tbl_Data[[#This Row],[Trimmed Measure Name]])</f>
        <v>0.56055357916158088</v>
      </c>
      <c r="AI264" s="77">
        <f>$AH264*tbl_Data[[#This Row],[2025 ]]</f>
        <v>213804.76586505593</v>
      </c>
      <c r="AJ264" s="77">
        <f>$AH264*tbl_Data[[#This Row],[2026 ]]</f>
        <v>438576.86502521648</v>
      </c>
      <c r="AK264" s="77">
        <f>$AH264*tbl_Data[[#This Row],[2027 ]]</f>
        <v>669255.38217576325</v>
      </c>
      <c r="AL264" s="77">
        <f>$AH264*tbl_Data[[#This Row],[2028 ]]</f>
        <v>903551.56027813291</v>
      </c>
      <c r="AM264" s="77">
        <f>$AH264*tbl_Data[[#This Row],[2029 ]]</f>
        <v>1139881.8849748692</v>
      </c>
      <c r="AN264" s="77">
        <f>$AH264*tbl_Data[[#This Row],[2030 ]]</f>
        <v>1376473.403093108</v>
      </c>
      <c r="AO264" s="77">
        <f>$AH264*tbl_Data[[#This Row],[2031 ]]</f>
        <v>1612371.8245941063</v>
      </c>
      <c r="AP264" s="77">
        <f>$AH264*tbl_Data[[#This Row],[2032 ]]</f>
        <v>1847296.5396046776</v>
      </c>
      <c r="AQ264" s="77">
        <f>$AH264*tbl_Data[[#This Row],[2033 ]]</f>
        <v>2080786.1791036956</v>
      </c>
      <c r="AR264" s="77">
        <f>$AH264*tbl_Data[[#This Row],[2034 ]]</f>
        <v>2312669.722703686</v>
      </c>
      <c r="AS264" s="77">
        <f>SUM(tbl_Data[[#This Row],[Adjusted 2025]:[Adjusted 2034]])</f>
        <v>12594668.127418311</v>
      </c>
      <c r="AT264" s="80">
        <f>AVERAGEIFS('3. Incentive Adjustment'!F:F,'3. Incentive Adjustment'!A:A,tbl_Data[[#This Row],[Trimmed Sector]],'3. Incentive Adjustment'!B:B,tbl_Data[[#This Row],[Trimmed Measure Name]])</f>
        <v>16.810726621008875</v>
      </c>
      <c r="AU264" s="80">
        <f>IFERROR(VLOOKUP(tbl_Data[[#This Row],[All_Meas_Name_Append]],'IRA Tax Credits'!$A$3:$D$46,4,0),0)</f>
        <v>0</v>
      </c>
      <c r="AV264" s="81">
        <f>tbl_Data[[#This Row],[Adj. per unit Incentive ($)]]/tbl_Data[[#This Row],[kWh Savings]]*tbl_Data[[#This Row],[Sum of Annuals]]</f>
        <v>975417.53118376154</v>
      </c>
      <c r="AW264" s="81">
        <f>IFERROR(VLOOKUP(tbl_Data[[#This Row],[Column1]],'1. Set Program Names'!$B$2:$D$15,3,0)*tbl_Data[[#This Row],[Sum of Annuals]],"")</f>
        <v>448366.34338048659</v>
      </c>
      <c r="AX264" s="81">
        <f>tbl_Data[[#This Row],[per unit IRA tax ($)]]/tbl_Data[[#This Row],[kWh Savings]]*tbl_Data[[#This Row],[Sum of Annuals]]</f>
        <v>0</v>
      </c>
      <c r="AY264" s="81">
        <f>tbl_Data[[#This Row],[Avoided Costs ($/unit)]]/tbl_Data[[#This Row],[kWh Savings]]*tbl_Data[[#This Row],[Sum of Annuals]]</f>
        <v>4964552.1682713265</v>
      </c>
      <c r="AZ264" s="81">
        <f>tbl_Data[[#This Row],[Lost Revenue ($/unit)]]/tbl_Data[[#This Row],[kWh Savings]]*tbl_Data[[#This Row],[Sum of Annuals]]</f>
        <v>13679321.828029266</v>
      </c>
      <c r="BA264" s="81">
        <f>tbl_Data[[#This Row],[Incremental Cost ($/unit)]]/tbl_Data[[#This Row],[kWh Savings]]*tbl_Data[[#This Row],[Sum of Annuals]]</f>
        <v>6329205.5543009769</v>
      </c>
      <c r="BB264" s="77">
        <f>ROUNDUP(tbl_Data[[#This Row],[Adjusted 2025]]/$L264,0)</f>
        <v>985</v>
      </c>
      <c r="BC264" s="77">
        <f>ROUNDUP(tbl_Data[[#This Row],[Adjusted 2026]]/$L264,0)</f>
        <v>2021</v>
      </c>
      <c r="BD264" s="77">
        <f>ROUNDUP(tbl_Data[[#This Row],[Adjusted 2027]]/$L264,0)</f>
        <v>3084</v>
      </c>
      <c r="BE264" s="77">
        <f>ROUNDUP(tbl_Data[[#This Row],[Adjusted 2028]]/$L264,0)</f>
        <v>4163</v>
      </c>
      <c r="BF264" s="77">
        <f>ROUNDUP(tbl_Data[[#This Row],[Adjusted 2029]]/$L264,0)</f>
        <v>5252</v>
      </c>
      <c r="BG264" s="77">
        <f>ROUNDUP(tbl_Data[[#This Row],[Adjusted 2030]]/$L264,0)</f>
        <v>6342</v>
      </c>
      <c r="BH264" s="77">
        <f>ROUNDUP(tbl_Data[[#This Row],[Adjusted 2031]]/$L264,0)</f>
        <v>7429</v>
      </c>
      <c r="BI264" s="77">
        <f>ROUNDUP(tbl_Data[[#This Row],[Adjusted 2032]]/$L264,0)</f>
        <v>8511</v>
      </c>
      <c r="BJ264" s="77">
        <f>ROUNDUP(tbl_Data[[#This Row],[Adjusted 2033]]/$L264,0)</f>
        <v>9587</v>
      </c>
      <c r="BK264" s="77">
        <f>ROUNDUP(tbl_Data[[#This Row],[Adjusted 2034]]/$L264,0)</f>
        <v>10655</v>
      </c>
      <c r="BL264" s="80">
        <f t="shared" si="111"/>
        <v>29539.563973207205</v>
      </c>
      <c r="BM264" s="80">
        <f t="shared" si="112"/>
        <v>60594.389976123814</v>
      </c>
      <c r="BN264" s="80">
        <f t="shared" si="113"/>
        <v>92465.254907703202</v>
      </c>
      <c r="BO264" s="80">
        <f t="shared" si="114"/>
        <v>124835.94091056401</v>
      </c>
      <c r="BP264" s="80">
        <f t="shared" si="115"/>
        <v>157487.66743753129</v>
      </c>
      <c r="BQ264" s="80">
        <f t="shared" si="116"/>
        <v>190175.4808110786</v>
      </c>
      <c r="BR264" s="80">
        <f t="shared" si="117"/>
        <v>222767.53499150524</v>
      </c>
      <c r="BS264" s="80">
        <f t="shared" si="118"/>
        <v>255225.06052824744</v>
      </c>
      <c r="BT264" s="80">
        <f t="shared" si="119"/>
        <v>287484.3140353256</v>
      </c>
      <c r="BU264" s="80">
        <f t="shared" si="120"/>
        <v>319521.66709802178</v>
      </c>
      <c r="BV264" s="80">
        <f>IFERROR(VLOOKUP($H264,'1. Set Program Names'!$B$2:$D$15,3,0)*V264,"NA")</f>
        <v>13578.335287502328</v>
      </c>
      <c r="BW264" s="80">
        <f>IFERROR(VLOOKUP($H264,'1. Set Program Names'!$B$2:$D$15,3,0)*W264,"NA")</f>
        <v>27853.185117550958</v>
      </c>
      <c r="BX264" s="80">
        <f>IFERROR(VLOOKUP($H264,'1. Set Program Names'!$B$2:$D$15,3,0)*X264,"NA")</f>
        <v>42503.140355082498</v>
      </c>
      <c r="BY264" s="80">
        <f>IFERROR(VLOOKUP($H264,'1. Set Program Names'!$B$2:$D$15,3,0)*Y264,"NA")</f>
        <v>57382.846380261872</v>
      </c>
      <c r="BZ264" s="80">
        <f>IFERROR(VLOOKUP($H264,'1. Set Program Names'!$B$2:$D$15,3,0)*Z264,"NA")</f>
        <v>72391.737198729112</v>
      </c>
      <c r="CA264" s="80">
        <f>IFERROR(VLOOKUP($H264,'1. Set Program Names'!$B$2:$D$15,3,0)*AA264,"NA")</f>
        <v>87417.215916150366</v>
      </c>
      <c r="CB264" s="80">
        <f>IFERROR(VLOOKUP($H264,'1. Set Program Names'!$B$2:$D$15,3,0)*AB264,"NA")</f>
        <v>102398.67738158262</v>
      </c>
      <c r="CC264" s="80">
        <f>IFERROR(VLOOKUP($H264,'1. Set Program Names'!$B$2:$D$15,3,0)*AC264,"NA")</f>
        <v>117318.30059404077</v>
      </c>
      <c r="CD264" s="80">
        <f>IFERROR(VLOOKUP($H264,'1. Set Program Names'!$B$2:$D$15,3,0)*AD264,"NA")</f>
        <v>132146.78488178921</v>
      </c>
      <c r="CE264" s="80">
        <f>IFERROR(VLOOKUP($H264,'1. Set Program Names'!$B$2:$D$15,3,0)*AE264,"NA")</f>
        <v>146873.26906428905</v>
      </c>
    </row>
    <row r="265" spans="1:83" x14ac:dyDescent="0.25">
      <c r="A265" s="79" t="s">
        <v>113</v>
      </c>
      <c r="B265" s="79" t="s">
        <v>88</v>
      </c>
      <c r="C265" s="79" t="s">
        <v>122</v>
      </c>
      <c r="D265" s="79" t="s">
        <v>90</v>
      </c>
      <c r="E265" s="79" t="s">
        <v>91</v>
      </c>
      <c r="F265" s="79" t="s">
        <v>90</v>
      </c>
      <c r="G265" s="79" t="s">
        <v>92</v>
      </c>
      <c r="H265" s="79" t="s">
        <v>14</v>
      </c>
      <c r="I265" s="79" t="s">
        <v>164</v>
      </c>
      <c r="J265" s="79" t="s">
        <v>158</v>
      </c>
      <c r="K265" s="79" t="s">
        <v>159</v>
      </c>
      <c r="L265" s="79">
        <v>612.05999999999972</v>
      </c>
      <c r="M265" s="79">
        <v>0</v>
      </c>
      <c r="N265" s="79">
        <v>3.0244631686656035E-2</v>
      </c>
      <c r="O265" s="79">
        <v>255</v>
      </c>
      <c r="P265" s="79">
        <v>129.09500333079711</v>
      </c>
      <c r="Q265" s="79"/>
      <c r="R265" s="79">
        <v>299.62522934905462</v>
      </c>
      <c r="S265" s="79">
        <v>664.77065003695441</v>
      </c>
      <c r="T265" s="79">
        <v>15</v>
      </c>
      <c r="U265" s="79">
        <v>0.2</v>
      </c>
      <c r="V265" s="79">
        <f>tbl_Data_old[[#This Row],[2025 ]]*IFERROR(AVERAGEIFS('Participation Adjustment'!$C:$C,'Participation Adjustment'!$A:$A,$H265,'Participation Adjustment'!$B:$B,$I265),1)</f>
        <v>105846.0146750706</v>
      </c>
      <c r="W265" s="79">
        <f>tbl_Data_old[[#This Row],[2026 ]]*IFERROR(AVERAGEIFS('Participation Adjustment'!$C:$C,'Participation Adjustment'!$A:$A,$H265,'Participation Adjustment'!$B:$B,$I265),1)</f>
        <v>220847.410675622</v>
      </c>
      <c r="X265" s="79">
        <f>tbl_Data_old[[#This Row],[2027 ]]*IFERROR(AVERAGEIFS('Participation Adjustment'!$C:$C,'Participation Adjustment'!$A:$A,$H265,'Participation Adjustment'!$B:$B,$I265),1)</f>
        <v>343204.56718280201</v>
      </c>
      <c r="Y265" s="79">
        <f>tbl_Data_old[[#This Row],[2028 ]]*IFERROR(AVERAGEIFS('Participation Adjustment'!$C:$C,'Participation Adjustment'!$A:$A,$H265,'Participation Adjustment'!$B:$B,$I265),1)</f>
        <v>471734.44366747601</v>
      </c>
      <c r="Z265" s="79">
        <f>tbl_Data_old[[#This Row],[2029 ]]*IFERROR(AVERAGEIFS('Participation Adjustment'!$C:$C,'Participation Adjustment'!$A:$A,$H265,'Participation Adjustment'!$B:$B,$I265),1)</f>
        <v>605201.22665041406</v>
      </c>
      <c r="AA265" s="79">
        <f>tbl_Data_old[[#This Row],[2030 ]]*IFERROR(AVERAGEIFS('Participation Adjustment'!$C:$C,'Participation Adjustment'!$A:$A,$H265,'Participation Adjustment'!$B:$B,$I265),1)</f>
        <v>742468.42081053206</v>
      </c>
      <c r="AB265" s="79">
        <f>tbl_Data_old[[#This Row],[2031 ]]*IFERROR(AVERAGEIFS('Participation Adjustment'!$C:$C,'Participation Adjustment'!$A:$A,$H265,'Participation Adjustment'!$B:$B,$I265),1)</f>
        <v>882489.47777504195</v>
      </c>
      <c r="AC265" s="79">
        <f>tbl_Data_old[[#This Row],[2032 ]]*IFERROR(AVERAGEIFS('Participation Adjustment'!$C:$C,'Participation Adjustment'!$A:$A,$H265,'Participation Adjustment'!$B:$B,$I265),1)</f>
        <v>1024655.50853226</v>
      </c>
      <c r="AD265" s="79">
        <f>tbl_Data_old[[#This Row],[2033 ]]*IFERROR(AVERAGEIFS('Participation Adjustment'!$C:$C,'Participation Adjustment'!$A:$A,$H265,'Participation Adjustment'!$B:$B,$I265),1)</f>
        <v>1168648.8319900199</v>
      </c>
      <c r="AE265" s="79">
        <f>tbl_Data_old[[#This Row],[2034 ]]*IFERROR(AVERAGEIFS('Participation Adjustment'!$C:$C,'Participation Adjustment'!$A:$A,$H265,'Participation Adjustment'!$B:$B,$I265),1)</f>
        <v>1313916.8383366261</v>
      </c>
      <c r="AF265" s="77" t="str">
        <f t="shared" si="110"/>
        <v>NonResidential</v>
      </c>
      <c r="AG265" s="77" t="str">
        <f>tbl_Data[[#This Row],[All_Meas_Name_Append]]</f>
        <v>LED Parking Lighting</v>
      </c>
      <c r="AH265" s="77">
        <f>AVERAGEIFS('3. Incentive Adjustment'!G:G,'3. Incentive Adjustment'!A:A,tbl_Data[[#This Row],[Trimmed Sector]],'3. Incentive Adjustment'!B:B,tbl_Data[[#This Row],[Trimmed Measure Name]])</f>
        <v>0.59704067730377497</v>
      </c>
      <c r="AI265" s="77">
        <f>$AH265*tbl_Data[[#This Row],[2025 ]]</f>
        <v>63194.376291509456</v>
      </c>
      <c r="AJ265" s="77">
        <f>$AH265*tbl_Data[[#This Row],[2026 ]]</f>
        <v>131854.88765055829</v>
      </c>
      <c r="AK265" s="77">
        <f>$AH265*tbl_Data[[#This Row],[2027 ]]</f>
        <v>204907.08724456906</v>
      </c>
      <c r="AL265" s="77">
        <f>$AH265*tbl_Data[[#This Row],[2028 ]]</f>
        <v>281644.65175474936</v>
      </c>
      <c r="AM265" s="77">
        <f>$AH265*tbl_Data[[#This Row],[2029 ]]</f>
        <v>361329.75026443863</v>
      </c>
      <c r="AN265" s="77">
        <f>$AH265*tbl_Data[[#This Row],[2030 ]]</f>
        <v>443283.84883738426</v>
      </c>
      <c r="AO265" s="77">
        <f>$AH265*tbl_Data[[#This Row],[2031 ]]</f>
        <v>526882.11552426568</v>
      </c>
      <c r="AP265" s="77">
        <f>$AH265*tbl_Data[[#This Row],[2032 ]]</f>
        <v>611761.01881714445</v>
      </c>
      <c r="AQ265" s="77">
        <f>$AH265*tbl_Data[[#This Row],[2033 ]]</f>
        <v>697730.89018158696</v>
      </c>
      <c r="AR265" s="77">
        <f>$AH265*tbl_Data[[#This Row],[2034 ]]</f>
        <v>784461.7990813338</v>
      </c>
      <c r="AS265" s="77">
        <f>SUM(tbl_Data[[#This Row],[Adjusted 2025]:[Adjusted 2034]])</f>
        <v>4107050.42564754</v>
      </c>
      <c r="AT265" s="80">
        <f>AVERAGEIFS('3. Incentive Adjustment'!F:F,'3. Incentive Adjustment'!A:A,tbl_Data[[#This Row],[Trimmed Sector]],'3. Incentive Adjustment'!B:B,tbl_Data[[#This Row],[Trimmed Measure Name]])</f>
        <v>9.4514474020799994</v>
      </c>
      <c r="AU265" s="80">
        <f>IFERROR(VLOOKUP(tbl_Data[[#This Row],[All_Meas_Name_Append]],'IRA Tax Credits'!$A$3:$D$46,4,0),0)</f>
        <v>0</v>
      </c>
      <c r="AV265" s="81">
        <f>tbl_Data[[#This Row],[Adj. per unit Incentive ($)]]/tbl_Data[[#This Row],[kWh Savings]]*tbl_Data[[#This Row],[Sum of Annuals]]</f>
        <v>63421.185955131878</v>
      </c>
      <c r="AW265" s="81">
        <f>IFERROR(VLOOKUP(tbl_Data[[#This Row],[Column1]],'1. Set Program Names'!$B$2:$D$15,3,0)*tbl_Data[[#This Row],[Sum of Annuals]],"")</f>
        <v>146209.74231294228</v>
      </c>
      <c r="AX265" s="81">
        <f>tbl_Data[[#This Row],[per unit IRA tax ($)]]/tbl_Data[[#This Row],[kWh Savings]]*tbl_Data[[#This Row],[Sum of Annuals]]</f>
        <v>0</v>
      </c>
      <c r="AY265" s="81">
        <f>tbl_Data[[#This Row],[Avoided Costs ($/unit)]]/tbl_Data[[#This Row],[kWh Savings]]*tbl_Data[[#This Row],[Sum of Annuals]]</f>
        <v>2010547.8641518431</v>
      </c>
      <c r="AZ265" s="81">
        <f>tbl_Data[[#This Row],[Lost Revenue ($/unit)]]/tbl_Data[[#This Row],[kWh Savings]]*tbl_Data[[#This Row],[Sum of Annuals]]</f>
        <v>4460749.8957492178</v>
      </c>
      <c r="BA265" s="81">
        <f>tbl_Data[[#This Row],[Incremental Cost ($/unit)]]/tbl_Data[[#This Row],[kWh Savings]]*tbl_Data[[#This Row],[Sum of Annuals]]</f>
        <v>1711103.2554653517</v>
      </c>
      <c r="BB265" s="77">
        <f>ROUNDUP(tbl_Data[[#This Row],[Adjusted 2025]]/$L265,0)</f>
        <v>104</v>
      </c>
      <c r="BC265" s="77">
        <f>ROUNDUP(tbl_Data[[#This Row],[Adjusted 2026]]/$L265,0)</f>
        <v>216</v>
      </c>
      <c r="BD265" s="77">
        <f>ROUNDUP(tbl_Data[[#This Row],[Adjusted 2027]]/$L265,0)</f>
        <v>335</v>
      </c>
      <c r="BE265" s="77">
        <f>ROUNDUP(tbl_Data[[#This Row],[Adjusted 2028]]/$L265,0)</f>
        <v>461</v>
      </c>
      <c r="BF265" s="77">
        <f>ROUNDUP(tbl_Data[[#This Row],[Adjusted 2029]]/$L265,0)</f>
        <v>591</v>
      </c>
      <c r="BG265" s="77">
        <f>ROUNDUP(tbl_Data[[#This Row],[Adjusted 2030]]/$L265,0)</f>
        <v>725</v>
      </c>
      <c r="BH265" s="77">
        <f>ROUNDUP(tbl_Data[[#This Row],[Adjusted 2031]]/$L265,0)</f>
        <v>861</v>
      </c>
      <c r="BI265" s="77">
        <f>ROUNDUP(tbl_Data[[#This Row],[Adjusted 2032]]/$L265,0)</f>
        <v>1000</v>
      </c>
      <c r="BJ265" s="77">
        <f>ROUNDUP(tbl_Data[[#This Row],[Adjusted 2033]]/$L265,0)</f>
        <v>1140</v>
      </c>
      <c r="BK265" s="77">
        <f>ROUNDUP(tbl_Data[[#This Row],[Adjusted 2034]]/$L265,0)</f>
        <v>1282</v>
      </c>
      <c r="BL265" s="80">
        <f t="shared" si="111"/>
        <v>1634.4770780989086</v>
      </c>
      <c r="BM265" s="80">
        <f t="shared" si="112"/>
        <v>3410.3318071532253</v>
      </c>
      <c r="BN265" s="80">
        <f t="shared" si="113"/>
        <v>5299.7743928403852</v>
      </c>
      <c r="BO265" s="80">
        <f t="shared" si="114"/>
        <v>7284.5362906784003</v>
      </c>
      <c r="BP265" s="80">
        <f t="shared" si="115"/>
        <v>9345.5340348343088</v>
      </c>
      <c r="BQ265" s="80">
        <f t="shared" si="116"/>
        <v>11465.21783321267</v>
      </c>
      <c r="BR265" s="80">
        <f t="shared" si="117"/>
        <v>13627.426856974576</v>
      </c>
      <c r="BS265" s="80">
        <f t="shared" si="118"/>
        <v>15822.758625206996</v>
      </c>
      <c r="BT265" s="80">
        <f t="shared" si="119"/>
        <v>18046.30749772229</v>
      </c>
      <c r="BU265" s="80">
        <f t="shared" si="120"/>
        <v>20289.540058565952</v>
      </c>
      <c r="BV265" s="80">
        <f>IFERROR(VLOOKUP($H265,'1. Set Program Names'!$B$2:$D$15,3,0)*V265,"NA")</f>
        <v>3768.0858345083489</v>
      </c>
      <c r="BW265" s="80">
        <f>IFERROR(VLOOKUP($H265,'1. Set Program Names'!$B$2:$D$15,3,0)*W265,"NA")</f>
        <v>7862.100451389565</v>
      </c>
      <c r="BX265" s="80">
        <f>IFERROR(VLOOKUP($H265,'1. Set Program Names'!$B$2:$D$15,3,0)*X265,"NA")</f>
        <v>12217.977898459998</v>
      </c>
      <c r="BY265" s="80">
        <f>IFERROR(VLOOKUP($H265,'1. Set Program Names'!$B$2:$D$15,3,0)*Y265,"NA")</f>
        <v>16793.602293764467</v>
      </c>
      <c r="BZ265" s="80">
        <f>IFERROR(VLOOKUP($H265,'1. Set Program Names'!$B$2:$D$15,3,0)*Z265,"NA")</f>
        <v>21544.979054422587</v>
      </c>
      <c r="CA265" s="80">
        <f>IFERROR(VLOOKUP($H265,'1. Set Program Names'!$B$2:$D$15,3,0)*AA265,"NA")</f>
        <v>26431.64929368734</v>
      </c>
      <c r="CB265" s="80">
        <f>IFERROR(VLOOKUP($H265,'1. Set Program Names'!$B$2:$D$15,3,0)*AB265,"NA")</f>
        <v>31416.356208733068</v>
      </c>
      <c r="CC265" s="80">
        <f>IFERROR(VLOOKUP($H265,'1. Set Program Names'!$B$2:$D$15,3,0)*AC265,"NA")</f>
        <v>36477.423536483111</v>
      </c>
      <c r="CD265" s="80">
        <f>IFERROR(VLOOKUP($H265,'1. Set Program Names'!$B$2:$D$15,3,0)*AD265,"NA")</f>
        <v>41603.541926963757</v>
      </c>
      <c r="CE265" s="80">
        <f>IFERROR(VLOOKUP($H265,'1. Set Program Names'!$B$2:$D$15,3,0)*AE265,"NA")</f>
        <v>46775.038639450169</v>
      </c>
    </row>
    <row r="266" spans="1:83" x14ac:dyDescent="0.25">
      <c r="A266" s="79" t="s">
        <v>113</v>
      </c>
      <c r="B266" s="79" t="s">
        <v>88</v>
      </c>
      <c r="C266" s="79" t="s">
        <v>122</v>
      </c>
      <c r="D266" s="79" t="s">
        <v>90</v>
      </c>
      <c r="E266" s="79" t="s">
        <v>91</v>
      </c>
      <c r="F266" s="79" t="s">
        <v>90</v>
      </c>
      <c r="G266" s="79" t="s">
        <v>92</v>
      </c>
      <c r="H266" s="79" t="s">
        <v>14</v>
      </c>
      <c r="I266" s="79" t="s">
        <v>165</v>
      </c>
      <c r="J266" s="79" t="s">
        <v>161</v>
      </c>
      <c r="K266" s="79" t="s">
        <v>166</v>
      </c>
      <c r="L266" s="79">
        <v>510.6</v>
      </c>
      <c r="M266" s="79">
        <v>6.2552429943266097E-2</v>
      </c>
      <c r="N266" s="79">
        <v>6.4361142955417797E-2</v>
      </c>
      <c r="O266" s="79">
        <v>129</v>
      </c>
      <c r="P266" s="79">
        <v>26.468747947944401</v>
      </c>
      <c r="Q266" s="79">
        <v>18.177204243412199</v>
      </c>
      <c r="R266" s="79">
        <v>174.74401692254699</v>
      </c>
      <c r="S266" s="79">
        <v>419.99719394182398</v>
      </c>
      <c r="T266" s="79">
        <v>10</v>
      </c>
      <c r="U266" s="79">
        <v>0.2</v>
      </c>
      <c r="V266" s="79">
        <f>tbl_Data_old[[#This Row],[2025 ]]*IFERROR(AVERAGEIFS('Participation Adjustment'!$C:$C,'Participation Adjustment'!$A:$A,$H266,'Participation Adjustment'!$B:$B,$I266),1)</f>
        <v>6642.5065405618298</v>
      </c>
      <c r="W266" s="79">
        <f>tbl_Data_old[[#This Row],[2026 ]]*IFERROR(AVERAGEIFS('Participation Adjustment'!$C:$C,'Participation Adjustment'!$A:$A,$H266,'Participation Adjustment'!$B:$B,$I266),1)</f>
        <v>15752.3312950117</v>
      </c>
      <c r="X266" s="79">
        <f>tbl_Data_old[[#This Row],[2027 ]]*IFERROR(AVERAGEIFS('Participation Adjustment'!$C:$C,'Participation Adjustment'!$A:$A,$H266,'Participation Adjustment'!$B:$B,$I266),1)</f>
        <v>27870.371374681199</v>
      </c>
      <c r="Y266" s="79">
        <f>tbl_Data_old[[#This Row],[2028 ]]*IFERROR(AVERAGEIFS('Participation Adjustment'!$C:$C,'Participation Adjustment'!$A:$A,$H266,'Participation Adjustment'!$B:$B,$I266),1)</f>
        <v>43500.470442186997</v>
      </c>
      <c r="Z266" s="79">
        <f>tbl_Data_old[[#This Row],[2029 ]]*IFERROR(AVERAGEIFS('Participation Adjustment'!$C:$C,'Participation Adjustment'!$A:$A,$H266,'Participation Adjustment'!$B:$B,$I266),1)</f>
        <v>62860.525262992698</v>
      </c>
      <c r="AA266" s="79">
        <f>tbl_Data_old[[#This Row],[2030 ]]*IFERROR(AVERAGEIFS('Participation Adjustment'!$C:$C,'Participation Adjustment'!$A:$A,$H266,'Participation Adjustment'!$B:$B,$I266),1)</f>
        <v>85590.084016140507</v>
      </c>
      <c r="AB266" s="79">
        <f>tbl_Data_old[[#This Row],[2031 ]]*IFERROR(AVERAGEIFS('Participation Adjustment'!$C:$C,'Participation Adjustment'!$A:$A,$H266,'Participation Adjustment'!$B:$B,$I266),1)</f>
        <v>110575.253211041</v>
      </c>
      <c r="AC266" s="79">
        <f>tbl_Data_old[[#This Row],[2032 ]]*IFERROR(AVERAGEIFS('Participation Adjustment'!$C:$C,'Participation Adjustment'!$A:$A,$H266,'Participation Adjustment'!$B:$B,$I266),1)</f>
        <v>135992.80900224301</v>
      </c>
      <c r="AD266" s="79">
        <f>tbl_Data_old[[#This Row],[2033 ]]*IFERROR(AVERAGEIFS('Participation Adjustment'!$C:$C,'Participation Adjustment'!$A:$A,$H266,'Participation Adjustment'!$B:$B,$I266),1)</f>
        <v>159655.77234395</v>
      </c>
      <c r="AE266" s="79">
        <f>tbl_Data_old[[#This Row],[2034 ]]*IFERROR(AVERAGEIFS('Participation Adjustment'!$C:$C,'Participation Adjustment'!$A:$A,$H266,'Participation Adjustment'!$B:$B,$I266),1)</f>
        <v>179727.721419009</v>
      </c>
      <c r="AF266" s="77" t="str">
        <f t="shared" si="110"/>
        <v>NonResidential</v>
      </c>
      <c r="AG266" s="77" t="str">
        <f>tbl_Data[[#This Row],[All_Meas_Name_Append]]</f>
        <v>Occupancy Sensors_ Ceiling Mounted</v>
      </c>
      <c r="AH266" s="77">
        <f>AVERAGEIFS('3. Incentive Adjustment'!G:G,'3. Incentive Adjustment'!A:A,tbl_Data[[#This Row],[Trimmed Sector]],'3. Incentive Adjustment'!B:B,tbl_Data[[#This Row],[Trimmed Measure Name]])</f>
        <v>0.99348124042467356</v>
      </c>
      <c r="AI266" s="77">
        <f>$AH266*tbl_Data[[#This Row],[2025 ]]</f>
        <v>6599.2056374463737</v>
      </c>
      <c r="AJ266" s="77">
        <f>$AH266*tbl_Data[[#This Row],[2026 ]]</f>
        <v>15649.645634548628</v>
      </c>
      <c r="AK266" s="77">
        <f>$AH266*tbl_Data[[#This Row],[2027 ]]</f>
        <v>27688.691124414592</v>
      </c>
      <c r="AL266" s="77">
        <f>$AH266*tbl_Data[[#This Row],[2028 ]]</f>
        <v>43216.901333960785</v>
      </c>
      <c r="AM266" s="77">
        <f>$AH266*tbl_Data[[#This Row],[2029 ]]</f>
        <v>62450.752612024517</v>
      </c>
      <c r="AN266" s="77">
        <f>$AH266*tbl_Data[[#This Row],[2030 ]]</f>
        <v>85032.142836407293</v>
      </c>
      <c r="AO266" s="77">
        <f>$AH266*tbl_Data[[#This Row],[2031 ]]</f>
        <v>109854.43972037737</v>
      </c>
      <c r="AP266" s="77">
        <f>$AH266*tbl_Data[[#This Row],[2032 ]]</f>
        <v>135106.30457638411</v>
      </c>
      <c r="AQ266" s="77">
        <f>$AH266*tbl_Data[[#This Row],[2033 ]]</f>
        <v>158615.01474922674</v>
      </c>
      <c r="AR266" s="77">
        <f>$AH266*tbl_Data[[#This Row],[2034 ]]</f>
        <v>178556.11961405724</v>
      </c>
      <c r="AS266" s="77">
        <f>SUM(tbl_Data[[#This Row],[Adjusted 2025]:[Adjusted 2034]])</f>
        <v>822769.21783884766</v>
      </c>
      <c r="AT266" s="80">
        <f>AVERAGEIFS('3. Incentive Adjustment'!F:F,'3. Incentive Adjustment'!A:A,tbl_Data[[#This Row],[Trimmed Sector]],'3. Incentive Adjustment'!B:B,tbl_Data[[#This Row],[Trimmed Measure Name]])</f>
        <v>19.547634357270656</v>
      </c>
      <c r="AU266" s="80">
        <f>IFERROR(VLOOKUP(tbl_Data[[#This Row],[All_Meas_Name_Append]],'IRA Tax Credits'!$A$3:$D$46,4,0),0)</f>
        <v>0</v>
      </c>
      <c r="AV266" s="81">
        <f>tbl_Data[[#This Row],[Adj. per unit Incentive ($)]]/tbl_Data[[#This Row],[kWh Savings]]*tbl_Data[[#This Row],[Sum of Annuals]]</f>
        <v>31498.613064495425</v>
      </c>
      <c r="AW266" s="81">
        <f>IFERROR(VLOOKUP(tbl_Data[[#This Row],[Column1]],'1. Set Program Names'!$B$2:$D$15,3,0)*tbl_Data[[#This Row],[Sum of Annuals]],"")</f>
        <v>29290.333172442686</v>
      </c>
      <c r="AX266" s="81">
        <f>tbl_Data[[#This Row],[per unit IRA tax ($)]]/tbl_Data[[#This Row],[kWh Savings]]*tbl_Data[[#This Row],[Sum of Annuals]]</f>
        <v>0</v>
      </c>
      <c r="AY266" s="81">
        <f>tbl_Data[[#This Row],[Avoided Costs ($/unit)]]/tbl_Data[[#This Row],[kWh Savings]]*tbl_Data[[#This Row],[Sum of Annuals]]</f>
        <v>281578.53138539434</v>
      </c>
      <c r="AZ266" s="81">
        <f>tbl_Data[[#This Row],[Lost Revenue ($/unit)]]/tbl_Data[[#This Row],[kWh Savings]]*tbl_Data[[#This Row],[Sum of Annuals]]</f>
        <v>676773.91843718232</v>
      </c>
      <c r="BA266" s="81">
        <f>tbl_Data[[#This Row],[Incremental Cost ($/unit)]]/tbl_Data[[#This Row],[kWh Savings]]*tbl_Data[[#This Row],[Sum of Annuals]]</f>
        <v>207867.66373131872</v>
      </c>
      <c r="BB266" s="77">
        <f>ROUNDUP(tbl_Data[[#This Row],[Adjusted 2025]]/$L266,0)</f>
        <v>13</v>
      </c>
      <c r="BC266" s="77">
        <f>ROUNDUP(tbl_Data[[#This Row],[Adjusted 2026]]/$L266,0)</f>
        <v>31</v>
      </c>
      <c r="BD266" s="77">
        <f>ROUNDUP(tbl_Data[[#This Row],[Adjusted 2027]]/$L266,0)</f>
        <v>55</v>
      </c>
      <c r="BE266" s="77">
        <f>ROUNDUP(tbl_Data[[#This Row],[Adjusted 2028]]/$L266,0)</f>
        <v>85</v>
      </c>
      <c r="BF266" s="77">
        <f>ROUNDUP(tbl_Data[[#This Row],[Adjusted 2029]]/$L266,0)</f>
        <v>123</v>
      </c>
      <c r="BG266" s="77">
        <f>ROUNDUP(tbl_Data[[#This Row],[Adjusted 2030]]/$L266,0)</f>
        <v>167</v>
      </c>
      <c r="BH266" s="77">
        <f>ROUNDUP(tbl_Data[[#This Row],[Adjusted 2031]]/$L266,0)</f>
        <v>216</v>
      </c>
      <c r="BI266" s="77">
        <f>ROUNDUP(tbl_Data[[#This Row],[Adjusted 2032]]/$L266,0)</f>
        <v>265</v>
      </c>
      <c r="BJ266" s="77">
        <f>ROUNDUP(tbl_Data[[#This Row],[Adjusted 2033]]/$L266,0)</f>
        <v>311</v>
      </c>
      <c r="BK266" s="77">
        <f>ROUNDUP(tbl_Data[[#This Row],[Adjusted 2034]]/$L266,0)</f>
        <v>350</v>
      </c>
      <c r="BL266" s="80">
        <f t="shared" si="111"/>
        <v>254.29943022068446</v>
      </c>
      <c r="BM266" s="80">
        <f t="shared" si="112"/>
        <v>603.05682026925285</v>
      </c>
      <c r="BN266" s="80">
        <f t="shared" si="113"/>
        <v>1066.9796886674712</v>
      </c>
      <c r="BO266" s="80">
        <f t="shared" si="114"/>
        <v>1665.3570124816515</v>
      </c>
      <c r="BP266" s="80">
        <f t="shared" si="115"/>
        <v>2406.5306763551825</v>
      </c>
      <c r="BQ266" s="80">
        <f t="shared" si="116"/>
        <v>3276.7012670497265</v>
      </c>
      <c r="BR266" s="80">
        <f t="shared" si="117"/>
        <v>4233.2248702155257</v>
      </c>
      <c r="BS266" s="80">
        <f t="shared" si="118"/>
        <v>5206.3018127575242</v>
      </c>
      <c r="BT266" s="80">
        <f t="shared" si="119"/>
        <v>6112.2065429047771</v>
      </c>
      <c r="BU266" s="80">
        <f t="shared" si="120"/>
        <v>6880.634120963944</v>
      </c>
      <c r="BV266" s="80">
        <f>IFERROR(VLOOKUP($H266,'1. Set Program Names'!$B$2:$D$15,3,0)*V266,"NA")</f>
        <v>236.47120657264739</v>
      </c>
      <c r="BW266" s="80">
        <f>IFERROR(VLOOKUP($H266,'1. Set Program Names'!$B$2:$D$15,3,0)*W266,"NA")</f>
        <v>560.77818891367292</v>
      </c>
      <c r="BX266" s="80">
        <f>IFERROR(VLOOKUP($H266,'1. Set Program Names'!$B$2:$D$15,3,0)*X266,"NA")</f>
        <v>992.17671918787482</v>
      </c>
      <c r="BY266" s="80">
        <f>IFERROR(VLOOKUP($H266,'1. Set Program Names'!$B$2:$D$15,3,0)*Y266,"NA")</f>
        <v>1548.6034780888137</v>
      </c>
      <c r="BZ266" s="80">
        <f>IFERROR(VLOOKUP($H266,'1. Set Program Names'!$B$2:$D$15,3,0)*Z266,"NA")</f>
        <v>2237.8155239984144</v>
      </c>
      <c r="CA266" s="80">
        <f>IFERROR(VLOOKUP($H266,'1. Set Program Names'!$B$2:$D$15,3,0)*AA266,"NA")</f>
        <v>3046.9808820450362</v>
      </c>
      <c r="CB266" s="80">
        <f>IFERROR(VLOOKUP($H266,'1. Set Program Names'!$B$2:$D$15,3,0)*AB266,"NA")</f>
        <v>3936.4452837526683</v>
      </c>
      <c r="CC266" s="80">
        <f>IFERROR(VLOOKUP($H266,'1. Set Program Names'!$B$2:$D$15,3,0)*AC266,"NA")</f>
        <v>4841.3025163907478</v>
      </c>
      <c r="CD266" s="80">
        <f>IFERROR(VLOOKUP($H266,'1. Set Program Names'!$B$2:$D$15,3,0)*AD266,"NA")</f>
        <v>5683.696793058557</v>
      </c>
      <c r="CE266" s="80">
        <f>IFERROR(VLOOKUP($H266,'1. Set Program Names'!$B$2:$D$15,3,0)*AE266,"NA")</f>
        <v>6398.252057258941</v>
      </c>
    </row>
    <row r="267" spans="1:83" x14ac:dyDescent="0.25">
      <c r="A267" s="79" t="s">
        <v>113</v>
      </c>
      <c r="B267" s="79" t="s">
        <v>88</v>
      </c>
      <c r="C267" s="79" t="s">
        <v>122</v>
      </c>
      <c r="D267" s="79" t="s">
        <v>90</v>
      </c>
      <c r="E267" s="79" t="s">
        <v>91</v>
      </c>
      <c r="F267" s="79" t="s">
        <v>90</v>
      </c>
      <c r="G267" s="79" t="s">
        <v>92</v>
      </c>
      <c r="H267" s="79" t="s">
        <v>14</v>
      </c>
      <c r="I267" s="79" t="s">
        <v>154</v>
      </c>
      <c r="J267" s="79" t="s">
        <v>129</v>
      </c>
      <c r="K267" s="79" t="s">
        <v>102</v>
      </c>
      <c r="L267" s="79">
        <v>111105.09249999899</v>
      </c>
      <c r="M267" s="79">
        <v>30.6532165911823</v>
      </c>
      <c r="N267" s="79">
        <v>0</v>
      </c>
      <c r="O267" s="79">
        <v>40257.675000000003</v>
      </c>
      <c r="P267" s="79">
        <v>17605.607636663401</v>
      </c>
      <c r="Q267" s="79">
        <v>3955.3074008141398</v>
      </c>
      <c r="R267" s="79">
        <v>56706.982631731698</v>
      </c>
      <c r="S267" s="79">
        <v>120673.47084214</v>
      </c>
      <c r="T267" s="79">
        <v>15</v>
      </c>
      <c r="U267" s="79">
        <v>0.95</v>
      </c>
      <c r="V267" s="79">
        <f>tbl_Data_old[[#This Row],[2025 ]]*IFERROR(AVERAGEIFS('Participation Adjustment'!$C:$C,'Participation Adjustment'!$A:$A,$H267,'Participation Adjustment'!$B:$B,$I267),1)</f>
        <v>2839.2321444652202</v>
      </c>
      <c r="W267" s="79">
        <f>tbl_Data_old[[#This Row],[2026 ]]*IFERROR(AVERAGEIFS('Participation Adjustment'!$C:$C,'Participation Adjustment'!$A:$A,$H267,'Participation Adjustment'!$B:$B,$I267),1)</f>
        <v>5688.65384881106</v>
      </c>
      <c r="X267" s="79">
        <f>tbl_Data_old[[#This Row],[2027 ]]*IFERROR(AVERAGEIFS('Participation Adjustment'!$C:$C,'Participation Adjustment'!$A:$A,$H267,'Participation Adjustment'!$B:$B,$I267),1)</f>
        <v>8558.8045007324999</v>
      </c>
      <c r="Y267" s="79">
        <f>tbl_Data_old[[#This Row],[2028 ]]*IFERROR(AVERAGEIFS('Participation Adjustment'!$C:$C,'Participation Adjustment'!$A:$A,$H267,'Participation Adjustment'!$B:$B,$I267),1)</f>
        <v>11455.482141106499</v>
      </c>
      <c r="Z267" s="79">
        <f>tbl_Data_old[[#This Row],[2029 ]]*IFERROR(AVERAGEIFS('Participation Adjustment'!$C:$C,'Participation Adjustment'!$A:$A,$H267,'Participation Adjustment'!$B:$B,$I267),1)</f>
        <v>14369.9533564334</v>
      </c>
      <c r="AA267" s="79">
        <f>tbl_Data_old[[#This Row],[2030 ]]*IFERROR(AVERAGEIFS('Participation Adjustment'!$C:$C,'Participation Adjustment'!$A:$A,$H267,'Participation Adjustment'!$B:$B,$I267),1)</f>
        <v>17301.78821727636</v>
      </c>
      <c r="AB267" s="79">
        <f>tbl_Data_old[[#This Row],[2031 ]]*IFERROR(AVERAGEIFS('Participation Adjustment'!$C:$C,'Participation Adjustment'!$A:$A,$H267,'Participation Adjustment'!$B:$B,$I267),1)</f>
        <v>20239.299390141801</v>
      </c>
      <c r="AC267" s="79">
        <f>tbl_Data_old[[#This Row],[2032 ]]*IFERROR(AVERAGEIFS('Participation Adjustment'!$C:$C,'Participation Adjustment'!$A:$A,$H267,'Participation Adjustment'!$B:$B,$I267),1)</f>
        <v>23178.822887963201</v>
      </c>
      <c r="AD267" s="79">
        <f>tbl_Data_old[[#This Row],[2033 ]]*IFERROR(AVERAGEIFS('Participation Adjustment'!$C:$C,'Participation Adjustment'!$A:$A,$H267,'Participation Adjustment'!$B:$B,$I267),1)</f>
        <v>26135.417549818798</v>
      </c>
      <c r="AE267" s="79">
        <f>tbl_Data_old[[#This Row],[2034 ]]*IFERROR(AVERAGEIFS('Participation Adjustment'!$C:$C,'Participation Adjustment'!$A:$A,$H267,'Participation Adjustment'!$B:$B,$I267),1)</f>
        <v>29101.7941449838</v>
      </c>
      <c r="AF267" s="77" t="str">
        <f t="shared" si="110"/>
        <v>NonResidential</v>
      </c>
      <c r="AG267" s="77" t="str">
        <f>tbl_Data[[#This Row],[All_Meas_Name_Append]]</f>
        <v>Reflective Roof Treatment</v>
      </c>
      <c r="AH267" s="77">
        <f>AVERAGEIFS('3. Incentive Adjustment'!G:G,'3. Incentive Adjustment'!A:A,tbl_Data[[#This Row],[Trimmed Sector]],'3. Incentive Adjustment'!B:B,tbl_Data[[#This Row],[Trimmed Measure Name]])</f>
        <v>0.87696681614875649</v>
      </c>
      <c r="AI267" s="77">
        <f>$AH267*tbl_Data[[#This Row],[2025 ]]</f>
        <v>2489.9123740388704</v>
      </c>
      <c r="AJ267" s="77">
        <f>$AH267*tbl_Data[[#This Row],[2026 ]]</f>
        <v>4988.7606539642047</v>
      </c>
      <c r="AK267" s="77">
        <f>$AH267*tbl_Data[[#This Row],[2027 ]]</f>
        <v>7505.7875330470279</v>
      </c>
      <c r="AL267" s="77">
        <f>$AH267*tbl_Data[[#This Row],[2028 ]]</f>
        <v>10046.077700735106</v>
      </c>
      <c r="AM267" s="77">
        <f>$AH267*tbl_Data[[#This Row],[2029 ]]</f>
        <v>12601.972243197535</v>
      </c>
      <c r="AN267" s="77">
        <f>$AH267*tbl_Data[[#This Row],[2030 ]]</f>
        <v>15173.09412658492</v>
      </c>
      <c r="AO267" s="77">
        <f>$AH267*tbl_Data[[#This Row],[2031 ]]</f>
        <v>17749.193947254123</v>
      </c>
      <c r="AP267" s="77">
        <f>$AH267*tbl_Data[[#This Row],[2032 ]]</f>
        <v>20327.058510133014</v>
      </c>
      <c r="AQ267" s="77">
        <f>$AH267*tbl_Data[[#This Row],[2033 ]]</f>
        <v>22919.893917382924</v>
      </c>
      <c r="AR267" s="77">
        <f>$AH267*tbl_Data[[#This Row],[2034 ]]</f>
        <v>25521.307755542966</v>
      </c>
      <c r="AS267" s="77">
        <f>SUM(tbl_Data[[#This Row],[Adjusted 2025]:[Adjusted 2034]])</f>
        <v>139323.0587618807</v>
      </c>
      <c r="AT267" s="80">
        <f>AVERAGEIFS('3. Incentive Adjustment'!F:F,'3. Incentive Adjustment'!A:A,tbl_Data[[#This Row],[Trimmed Sector]],'3. Incentive Adjustment'!B:B,tbl_Data[[#This Row],[Trimmed Measure Name]])</f>
        <v>12077.302499999998</v>
      </c>
      <c r="AU267" s="80">
        <f>IFERROR(VLOOKUP(tbl_Data[[#This Row],[All_Meas_Name_Append]],'IRA Tax Credits'!$A$3:$D$46,4,0),0)</f>
        <v>0</v>
      </c>
      <c r="AV267" s="81">
        <f>tbl_Data[[#This Row],[Adj. per unit Incentive ($)]]/tbl_Data[[#This Row],[kWh Savings]]*tbl_Data[[#This Row],[Sum of Annuals]]</f>
        <v>15144.6408803676</v>
      </c>
      <c r="AW267" s="81">
        <f>IFERROR(VLOOKUP(tbl_Data[[#This Row],[Column1]],'1. Set Program Names'!$B$2:$D$15,3,0)*tbl_Data[[#This Row],[Sum of Annuals]],"")</f>
        <v>4959.8583919538278</v>
      </c>
      <c r="AX267" s="81">
        <f>tbl_Data[[#This Row],[per unit IRA tax ($)]]/tbl_Data[[#This Row],[kWh Savings]]*tbl_Data[[#This Row],[Sum of Annuals]]</f>
        <v>0</v>
      </c>
      <c r="AY267" s="81">
        <f>tbl_Data[[#This Row],[Avoided Costs ($/unit)]]/tbl_Data[[#This Row],[kWh Savings]]*tbl_Data[[#This Row],[Sum of Annuals]]</f>
        <v>71109.164266343374</v>
      </c>
      <c r="AZ267" s="81">
        <f>tbl_Data[[#This Row],[Lost Revenue ($/unit)]]/tbl_Data[[#This Row],[kWh Savings]]*tbl_Data[[#This Row],[Sum of Annuals]]</f>
        <v>151321.57033341852</v>
      </c>
      <c r="BA267" s="81">
        <f>tbl_Data[[#This Row],[Incremental Cost ($/unit)]]/tbl_Data[[#This Row],[kWh Savings]]*tbl_Data[[#This Row],[Sum of Annuals]]</f>
        <v>50482.13626789202</v>
      </c>
      <c r="BB267" s="77">
        <f>ROUNDUP(tbl_Data[[#This Row],[Adjusted 2025]]/$L267,0)</f>
        <v>1</v>
      </c>
      <c r="BC267" s="77">
        <f>ROUNDUP(tbl_Data[[#This Row],[Adjusted 2026]]/$L267,0)</f>
        <v>1</v>
      </c>
      <c r="BD267" s="77">
        <f>ROUNDUP(tbl_Data[[#This Row],[Adjusted 2027]]/$L267,0)</f>
        <v>1</v>
      </c>
      <c r="BE267" s="77">
        <f>ROUNDUP(tbl_Data[[#This Row],[Adjusted 2028]]/$L267,0)</f>
        <v>1</v>
      </c>
      <c r="BF267" s="77">
        <f>ROUNDUP(tbl_Data[[#This Row],[Adjusted 2029]]/$L267,0)</f>
        <v>1</v>
      </c>
      <c r="BG267" s="77">
        <f>ROUNDUP(tbl_Data[[#This Row],[Adjusted 2030]]/$L267,0)</f>
        <v>1</v>
      </c>
      <c r="BH267" s="77">
        <f>ROUNDUP(tbl_Data[[#This Row],[Adjusted 2031]]/$L267,0)</f>
        <v>1</v>
      </c>
      <c r="BI267" s="77">
        <f>ROUNDUP(tbl_Data[[#This Row],[Adjusted 2032]]/$L267,0)</f>
        <v>1</v>
      </c>
      <c r="BJ267" s="77">
        <f>ROUNDUP(tbl_Data[[#This Row],[Adjusted 2033]]/$L267,0)</f>
        <v>1</v>
      </c>
      <c r="BK267" s="77">
        <f>ROUNDUP(tbl_Data[[#This Row],[Adjusted 2034]]/$L267,0)</f>
        <v>1</v>
      </c>
      <c r="BL267" s="80">
        <f t="shared" si="111"/>
        <v>308.62910695502524</v>
      </c>
      <c r="BM267" s="80">
        <f t="shared" si="112"/>
        <v>618.36583548032286</v>
      </c>
      <c r="BN267" s="80">
        <f t="shared" si="113"/>
        <v>930.35583399301697</v>
      </c>
      <c r="BO267" s="80">
        <f t="shared" si="114"/>
        <v>1245.2293588747257</v>
      </c>
      <c r="BP267" s="80">
        <f t="shared" si="115"/>
        <v>1562.0370740120488</v>
      </c>
      <c r="BQ267" s="80">
        <f t="shared" si="116"/>
        <v>1880.7322453827596</v>
      </c>
      <c r="BR267" s="80">
        <f t="shared" si="117"/>
        <v>2200.0444410125506</v>
      </c>
      <c r="BS267" s="80">
        <f t="shared" si="118"/>
        <v>2519.575379606094</v>
      </c>
      <c r="BT267" s="80">
        <f t="shared" si="119"/>
        <v>2840.9619812248775</v>
      </c>
      <c r="BU267" s="80">
        <f t="shared" si="120"/>
        <v>3163.4118947491211</v>
      </c>
      <c r="BV267" s="80">
        <f>IFERROR(VLOOKUP($H267,'1. Set Program Names'!$B$2:$D$15,3,0)*V267,"NA")</f>
        <v>101.07579824599591</v>
      </c>
      <c r="BW267" s="80">
        <f>IFERROR(VLOOKUP($H267,'1. Set Program Names'!$B$2:$D$15,3,0)*W267,"NA")</f>
        <v>202.5143417154554</v>
      </c>
      <c r="BX267" s="80">
        <f>IFERROR(VLOOKUP($H267,'1. Set Program Names'!$B$2:$D$15,3,0)*X267,"NA")</f>
        <v>304.69082939531961</v>
      </c>
      <c r="BY267" s="80">
        <f>IFERROR(VLOOKUP($H267,'1. Set Program Names'!$B$2:$D$15,3,0)*Y267,"NA")</f>
        <v>407.81166977213803</v>
      </c>
      <c r="BZ267" s="80">
        <f>IFERROR(VLOOKUP($H267,'1. Set Program Names'!$B$2:$D$15,3,0)*Z267,"NA")</f>
        <v>511.56595598941738</v>
      </c>
      <c r="CA267" s="80">
        <f>IFERROR(VLOOKUP($H267,'1. Set Program Names'!$B$2:$D$15,3,0)*AA267,"NA")</f>
        <v>615.9383826903545</v>
      </c>
      <c r="CB267" s="80">
        <f>IFERROR(VLOOKUP($H267,'1. Set Program Names'!$B$2:$D$15,3,0)*AB267,"NA")</f>
        <v>720.5128843677544</v>
      </c>
      <c r="CC267" s="80">
        <f>IFERROR(VLOOKUP($H267,'1. Set Program Names'!$B$2:$D$15,3,0)*AC267,"NA")</f>
        <v>825.15902419973452</v>
      </c>
      <c r="CD267" s="80">
        <f>IFERROR(VLOOKUP($H267,'1. Set Program Names'!$B$2:$D$15,3,0)*AD267,"NA")</f>
        <v>930.41289226383833</v>
      </c>
      <c r="CE267" s="80">
        <f>IFERROR(VLOOKUP($H267,'1. Set Program Names'!$B$2:$D$15,3,0)*AE267,"NA")</f>
        <v>1036.0149941698153</v>
      </c>
    </row>
    <row r="268" spans="1:83" x14ac:dyDescent="0.25">
      <c r="A268" s="79" t="s">
        <v>113</v>
      </c>
      <c r="B268" s="79" t="s">
        <v>88</v>
      </c>
      <c r="C268" s="79" t="s">
        <v>122</v>
      </c>
      <c r="D268" s="79" t="s">
        <v>90</v>
      </c>
      <c r="E268" s="79" t="s">
        <v>91</v>
      </c>
      <c r="F268" s="79" t="s">
        <v>90</v>
      </c>
      <c r="G268" s="79" t="s">
        <v>92</v>
      </c>
      <c r="H268" s="79" t="s">
        <v>14</v>
      </c>
      <c r="I268" s="79" t="s">
        <v>167</v>
      </c>
      <c r="J268" s="79" t="s">
        <v>124</v>
      </c>
      <c r="K268" s="79" t="s">
        <v>98</v>
      </c>
      <c r="L268" s="79">
        <v>151.65999999999994</v>
      </c>
      <c r="M268" s="79">
        <v>2.2013191527321094E-2</v>
      </c>
      <c r="N268" s="79">
        <v>1.952960139549019E-2</v>
      </c>
      <c r="O268" s="79">
        <v>56.59999999999998</v>
      </c>
      <c r="P268" s="79">
        <v>25.402483751835906</v>
      </c>
      <c r="Q268" s="79"/>
      <c r="R268" s="79">
        <v>70.56447857633529</v>
      </c>
      <c r="S268" s="79">
        <v>171.41744415542868</v>
      </c>
      <c r="T268" s="79">
        <v>16</v>
      </c>
      <c r="U268" s="79">
        <v>0.2</v>
      </c>
      <c r="V268" s="79">
        <f>tbl_Data_old[[#This Row],[2025 ]]*IFERROR(AVERAGEIFS('Participation Adjustment'!$C:$C,'Participation Adjustment'!$A:$A,$H268,'Participation Adjustment'!$B:$B,$I268),1)</f>
        <v>965.51517445058698</v>
      </c>
      <c r="W268" s="79">
        <f>tbl_Data_old[[#This Row],[2026 ]]*IFERROR(AVERAGEIFS('Participation Adjustment'!$C:$C,'Participation Adjustment'!$A:$A,$H268,'Participation Adjustment'!$B:$B,$I268),1)</f>
        <v>2278.6496164425098</v>
      </c>
      <c r="X268" s="79">
        <f>tbl_Data_old[[#This Row],[2027 ]]*IFERROR(AVERAGEIFS('Participation Adjustment'!$C:$C,'Participation Adjustment'!$A:$A,$H268,'Participation Adjustment'!$B:$B,$I268),1)</f>
        <v>3975.0784467957601</v>
      </c>
      <c r="Y268" s="79">
        <f>tbl_Data_old[[#This Row],[2028 ]]*IFERROR(AVERAGEIFS('Participation Adjustment'!$C:$C,'Participation Adjustment'!$A:$A,$H268,'Participation Adjustment'!$B:$B,$I268),1)</f>
        <v>6069.5634748889397</v>
      </c>
      <c r="Z268" s="79">
        <f>tbl_Data_old[[#This Row],[2029 ]]*IFERROR(AVERAGEIFS('Participation Adjustment'!$C:$C,'Participation Adjustment'!$A:$A,$H268,'Participation Adjustment'!$B:$B,$I268),1)</f>
        <v>8542.1928392511309</v>
      </c>
      <c r="AA268" s="79">
        <f>tbl_Data_old[[#This Row],[2030 ]]*IFERROR(AVERAGEIFS('Participation Adjustment'!$C:$C,'Participation Adjustment'!$A:$A,$H268,'Participation Adjustment'!$B:$B,$I268),1)</f>
        <v>11345.925989556499</v>
      </c>
      <c r="AB268" s="79">
        <f>tbl_Data_old[[#This Row],[2031 ]]*IFERROR(AVERAGEIFS('Participation Adjustment'!$C:$C,'Participation Adjustment'!$A:$A,$H268,'Participation Adjustment'!$B:$B,$I268),1)</f>
        <v>14414.652919136101</v>
      </c>
      <c r="AC268" s="79">
        <f>tbl_Data_old[[#This Row],[2032 ]]*IFERROR(AVERAGEIFS('Participation Adjustment'!$C:$C,'Participation Adjustment'!$A:$A,$H268,'Participation Adjustment'!$B:$B,$I268),1)</f>
        <v>17687.7704242443</v>
      </c>
      <c r="AD268" s="79">
        <f>tbl_Data_old[[#This Row],[2033 ]]*IFERROR(AVERAGEIFS('Participation Adjustment'!$C:$C,'Participation Adjustment'!$A:$A,$H268,'Participation Adjustment'!$B:$B,$I268),1)</f>
        <v>21121.380496103699</v>
      </c>
      <c r="AE268" s="79">
        <f>tbl_Data_old[[#This Row],[2034 ]]*IFERROR(AVERAGEIFS('Participation Adjustment'!$C:$C,'Participation Adjustment'!$A:$A,$H268,'Participation Adjustment'!$B:$B,$I268),1)</f>
        <v>24674.7100630936</v>
      </c>
      <c r="AF268" s="77" t="str">
        <f t="shared" ref="AF268:AF299" si="121">IF(C268="Residential","Residential","NonResidential")</f>
        <v>NonResidential</v>
      </c>
      <c r="AG268" s="77" t="str">
        <f>tbl_Data[[#This Row],[All_Meas_Name_Append]]</f>
        <v>Refrigerated Display Case LED Lighting</v>
      </c>
      <c r="AH268" s="77">
        <f>AVERAGEIFS('3. Incentive Adjustment'!G:G,'3. Incentive Adjustment'!A:A,tbl_Data[[#This Row],[Trimmed Sector]],'3. Incentive Adjustment'!B:B,tbl_Data[[#This Row],[Trimmed Measure Name]])</f>
        <v>0.72450810749703154</v>
      </c>
      <c r="AI268" s="77">
        <f>$AH268*tbl_Data[[#This Row],[2025 ]]</f>
        <v>699.52357180086108</v>
      </c>
      <c r="AJ268" s="77">
        <f>$AH268*tbl_Data[[#This Row],[2026 ]]</f>
        <v>1650.9001212575995</v>
      </c>
      <c r="AK268" s="77">
        <f>$AH268*tbl_Data[[#This Row],[2027 ]]</f>
        <v>2879.9765626402359</v>
      </c>
      <c r="AL268" s="77">
        <f>$AH268*tbl_Data[[#This Row],[2028 ]]</f>
        <v>4397.4479465248924</v>
      </c>
      <c r="AM268" s="77">
        <f>$AH268*tbl_Data[[#This Row],[2029 ]]</f>
        <v>6188.887967840531</v>
      </c>
      <c r="AN268" s="77">
        <f>$AH268*tbl_Data[[#This Row],[2030 ]]</f>
        <v>8220.2153664949637</v>
      </c>
      <c r="AO268" s="77">
        <f>$AH268*tbl_Data[[#This Row],[2031 ]]</f>
        <v>10443.532906669858</v>
      </c>
      <c r="AP268" s="77">
        <f>$AH268*tbl_Data[[#This Row],[2032 ]]</f>
        <v>12814.933075911204</v>
      </c>
      <c r="AQ268" s="77">
        <f>$AH268*tbl_Data[[#This Row],[2033 ]]</f>
        <v>15302.611410956804</v>
      </c>
      <c r="AR268" s="77">
        <f>$AH268*tbl_Data[[#This Row],[2034 ]]</f>
        <v>17877.027490849905</v>
      </c>
      <c r="AS268" s="77">
        <f>SUM(tbl_Data[[#This Row],[Adjusted 2025]:[Adjusted 2034]])</f>
        <v>80475.056420946843</v>
      </c>
      <c r="AT268" s="80">
        <f>AVERAGEIFS('3. Incentive Adjustment'!F:F,'3. Incentive Adjustment'!A:A,tbl_Data[[#This Row],[Trimmed Sector]],'3. Incentive Adjustment'!B:B,tbl_Data[[#This Row],[Trimmed Measure Name]])</f>
        <v>6.879122352287844</v>
      </c>
      <c r="AU268" s="80">
        <f>IFERROR(VLOOKUP(tbl_Data[[#This Row],[All_Meas_Name_Append]],'IRA Tax Credits'!$A$3:$D$46,4,0),0)</f>
        <v>0</v>
      </c>
      <c r="AV268" s="81">
        <f>tbl_Data[[#This Row],[Adj. per unit Incentive ($)]]/tbl_Data[[#This Row],[kWh Savings]]*tbl_Data[[#This Row],[Sum of Annuals]]</f>
        <v>3650.2555678950348</v>
      </c>
      <c r="AW268" s="81">
        <f>IFERROR(VLOOKUP(tbl_Data[[#This Row],[Column1]],'1. Set Program Names'!$B$2:$D$15,3,0)*tbl_Data[[#This Row],[Sum of Annuals]],"")</f>
        <v>2864.8874599758537</v>
      </c>
      <c r="AX268" s="81">
        <f>tbl_Data[[#This Row],[per unit IRA tax ($)]]/tbl_Data[[#This Row],[kWh Savings]]*tbl_Data[[#This Row],[Sum of Annuals]]</f>
        <v>0</v>
      </c>
      <c r="AY268" s="81">
        <f>tbl_Data[[#This Row],[Avoided Costs ($/unit)]]/tbl_Data[[#This Row],[kWh Savings]]*tbl_Data[[#This Row],[Sum of Annuals]]</f>
        <v>37443.49462445786</v>
      </c>
      <c r="AZ268" s="81">
        <f>tbl_Data[[#This Row],[Lost Revenue ($/unit)]]/tbl_Data[[#This Row],[kWh Savings]]*tbl_Data[[#This Row],[Sum of Annuals]]</f>
        <v>90958.911314404802</v>
      </c>
      <c r="BA268" s="81">
        <f>tbl_Data[[#This Row],[Incremental Cost ($/unit)]]/tbl_Data[[#This Row],[kWh Savings]]*tbl_Data[[#This Row],[Sum of Annuals]]</f>
        <v>30033.55000280622</v>
      </c>
      <c r="BB268" s="77">
        <f>ROUNDUP(tbl_Data[[#This Row],[Adjusted 2025]]/$L268,0)</f>
        <v>5</v>
      </c>
      <c r="BC268" s="77">
        <f>ROUNDUP(tbl_Data[[#This Row],[Adjusted 2026]]/$L268,0)</f>
        <v>11</v>
      </c>
      <c r="BD268" s="77">
        <f>ROUNDUP(tbl_Data[[#This Row],[Adjusted 2027]]/$L268,0)</f>
        <v>19</v>
      </c>
      <c r="BE268" s="77">
        <f>ROUNDUP(tbl_Data[[#This Row],[Adjusted 2028]]/$L268,0)</f>
        <v>29</v>
      </c>
      <c r="BF268" s="77">
        <f>ROUNDUP(tbl_Data[[#This Row],[Adjusted 2029]]/$L268,0)</f>
        <v>41</v>
      </c>
      <c r="BG268" s="77">
        <f>ROUNDUP(tbl_Data[[#This Row],[Adjusted 2030]]/$L268,0)</f>
        <v>55</v>
      </c>
      <c r="BH268" s="77">
        <f>ROUNDUP(tbl_Data[[#This Row],[Adjusted 2031]]/$L268,0)</f>
        <v>69</v>
      </c>
      <c r="BI268" s="77">
        <f>ROUNDUP(tbl_Data[[#This Row],[Adjusted 2032]]/$L268,0)</f>
        <v>85</v>
      </c>
      <c r="BJ268" s="77">
        <f>ROUNDUP(tbl_Data[[#This Row],[Adjusted 2033]]/$L268,0)</f>
        <v>101</v>
      </c>
      <c r="BK268" s="77">
        <f>ROUNDUP(tbl_Data[[#This Row],[Adjusted 2034]]/$L268,0)</f>
        <v>118</v>
      </c>
      <c r="BL268" s="80">
        <f t="shared" ref="BL268:BL299" si="122">$AT268/$L268*V268</f>
        <v>43.794652631123121</v>
      </c>
      <c r="BM268" s="80">
        <f t="shared" ref="BM268:BM299" si="123">$AT268/$L268*W268</f>
        <v>103.35691355335486</v>
      </c>
      <c r="BN268" s="80">
        <f t="shared" ref="BN268:BN299" si="124">$AT268/$L268*X268</f>
        <v>180.30496502341006</v>
      </c>
      <c r="BO268" s="80">
        <f t="shared" ref="BO268:BO299" si="125">$AT268/$L268*Y268</f>
        <v>275.30838565698537</v>
      </c>
      <c r="BP268" s="80">
        <f t="shared" ref="BP268:BP299" si="126">$AT268/$L268*Z268</f>
        <v>387.46399642651744</v>
      </c>
      <c r="BQ268" s="80">
        <f t="shared" ref="BQ268:BQ299" si="127">$AT268/$L268*AA268</f>
        <v>514.63809232600363</v>
      </c>
      <c r="BR268" s="80">
        <f t="shared" ref="BR268:BR299" si="128">$AT268/$L268*AB268</f>
        <v>653.83199984505075</v>
      </c>
      <c r="BS268" s="80">
        <f t="shared" ref="BS268:BS299" si="129">$AT268/$L268*AC268</f>
        <v>802.29682769058979</v>
      </c>
      <c r="BT268" s="80">
        <f t="shared" ref="BT268:BT299" si="130">$AT268/$L268*AD268</f>
        <v>958.04141290995324</v>
      </c>
      <c r="BU268" s="80">
        <f t="shared" ref="BU268:BU299" si="131">$AT268/$L268*AE268</f>
        <v>1119.2163360889426</v>
      </c>
      <c r="BV268" s="80">
        <f>IFERROR(VLOOKUP($H268,'1. Set Program Names'!$B$2:$D$15,3,0)*V268,"NA")</f>
        <v>34.372045683709509</v>
      </c>
      <c r="BW268" s="80">
        <f>IFERROR(VLOOKUP($H268,'1. Set Program Names'!$B$2:$D$15,3,0)*W268,"NA")</f>
        <v>81.11923125195527</v>
      </c>
      <c r="BX268" s="80">
        <f>IFERROR(VLOOKUP($H268,'1. Set Program Names'!$B$2:$D$15,3,0)*X268,"NA")</f>
        <v>141.51158012336907</v>
      </c>
      <c r="BY268" s="80">
        <f>IFERROR(VLOOKUP($H268,'1. Set Program Names'!$B$2:$D$15,3,0)*Y268,"NA")</f>
        <v>216.07460820879535</v>
      </c>
      <c r="BZ268" s="80">
        <f>IFERROR(VLOOKUP($H268,'1. Set Program Names'!$B$2:$D$15,3,0)*Z268,"NA")</f>
        <v>304.099459313907</v>
      </c>
      <c r="CA268" s="80">
        <f>IFERROR(VLOOKUP($H268,'1. Set Program Names'!$B$2:$D$15,3,0)*AA268,"NA")</f>
        <v>403.91150419664535</v>
      </c>
      <c r="CB268" s="80">
        <f>IFERROR(VLOOKUP($H268,'1. Set Program Names'!$B$2:$D$15,3,0)*AB268,"NA")</f>
        <v>513.15724678620199</v>
      </c>
      <c r="CC268" s="80">
        <f>IFERROR(VLOOKUP($H268,'1. Set Program Names'!$B$2:$D$15,3,0)*AC268,"NA")</f>
        <v>629.67923151600905</v>
      </c>
      <c r="CD268" s="80">
        <f>IFERROR(VLOOKUP($H268,'1. Set Program Names'!$B$2:$D$15,3,0)*AD268,"NA")</f>
        <v>751.91470266451188</v>
      </c>
      <c r="CE268" s="80">
        <f>IFERROR(VLOOKUP($H268,'1. Set Program Names'!$B$2:$D$15,3,0)*AE268,"NA")</f>
        <v>878.41215131968386</v>
      </c>
    </row>
    <row r="269" spans="1:83" x14ac:dyDescent="0.25">
      <c r="A269" s="79" t="s">
        <v>113</v>
      </c>
      <c r="B269" s="79" t="s">
        <v>88</v>
      </c>
      <c r="C269" s="79" t="s">
        <v>122</v>
      </c>
      <c r="D269" s="79" t="s">
        <v>90</v>
      </c>
      <c r="E269" s="79" t="s">
        <v>91</v>
      </c>
      <c r="F269" s="79" t="s">
        <v>90</v>
      </c>
      <c r="G269" s="79" t="s">
        <v>92</v>
      </c>
      <c r="H269" s="79" t="s">
        <v>14</v>
      </c>
      <c r="I269" s="79" t="s">
        <v>155</v>
      </c>
      <c r="J269" s="79" t="s">
        <v>129</v>
      </c>
      <c r="K269" s="79" t="s">
        <v>102</v>
      </c>
      <c r="L269" s="79">
        <v>1193.02</v>
      </c>
      <c r="M269" s="79">
        <v>0.274776433335365</v>
      </c>
      <c r="N269" s="79">
        <v>0.10441874276921487</v>
      </c>
      <c r="O269" s="79">
        <f>8423.99999999998/36663.4359999998*1193.02</f>
        <v>274.11507421181233</v>
      </c>
      <c r="P269" s="79">
        <f>3224.30667036527/36663.4359999998*1193.02</f>
        <v>104.91821726363004</v>
      </c>
      <c r="Q269" s="79">
        <f>1305.20713755829/36663.4359999998*1193.02</f>
        <v>42.471148073786637</v>
      </c>
      <c r="R269" s="79">
        <f>14915.0733686122/36663.4359999998*1193.02</f>
        <v>485.33314854128304</v>
      </c>
      <c r="S269" s="79">
        <f>32320.5298576745/36663.4359999998*1193.02</f>
        <v>1051.702806327346</v>
      </c>
      <c r="T269" s="79">
        <v>11</v>
      </c>
      <c r="U269" s="79">
        <v>0.94999999999999896</v>
      </c>
      <c r="V269" s="79">
        <f>tbl_Data_old[[#This Row],[2025 ]]*IFERROR(AVERAGEIFS('Participation Adjustment'!$C:$C,'Participation Adjustment'!$A:$A,$H269,'Participation Adjustment'!$B:$B,$I269),1)</f>
        <v>66422.218103532505</v>
      </c>
      <c r="W269" s="79">
        <f>tbl_Data_old[[#This Row],[2026 ]]*IFERROR(AVERAGEIFS('Participation Adjustment'!$C:$C,'Participation Adjustment'!$A:$A,$H269,'Participation Adjustment'!$B:$B,$I269),1)</f>
        <v>121749.391136121</v>
      </c>
      <c r="X269" s="79">
        <f>tbl_Data_old[[#This Row],[2027 ]]*IFERROR(AVERAGEIFS('Participation Adjustment'!$C:$C,'Participation Adjustment'!$A:$A,$H269,'Participation Adjustment'!$B:$B,$I269),1)</f>
        <v>167453.56104634001</v>
      </c>
      <c r="Y269" s="79">
        <f>tbl_Data_old[[#This Row],[2028 ]]*IFERROR(AVERAGEIFS('Participation Adjustment'!$C:$C,'Participation Adjustment'!$A:$A,$H269,'Participation Adjustment'!$B:$B,$I269),1)</f>
        <v>205250.63684806801</v>
      </c>
      <c r="Z269" s="79">
        <f>tbl_Data_old[[#This Row],[2029 ]]*IFERROR(AVERAGEIFS('Participation Adjustment'!$C:$C,'Participation Adjustment'!$A:$A,$H269,'Participation Adjustment'!$B:$B,$I269),1)</f>
        <v>236564.5903316215</v>
      </c>
      <c r="AA269" s="79">
        <f>tbl_Data_old[[#This Row],[2030 ]]*IFERROR(AVERAGEIFS('Participation Adjustment'!$C:$C,'Participation Adjustment'!$A:$A,$H269,'Participation Adjustment'!$B:$B,$I269),1)</f>
        <v>262549.80574990949</v>
      </c>
      <c r="AB269" s="79">
        <f>tbl_Data_old[[#This Row],[2031 ]]*IFERROR(AVERAGEIFS('Participation Adjustment'!$C:$C,'Participation Adjustment'!$A:$A,$H269,'Participation Adjustment'!$B:$B,$I269),1)</f>
        <v>284184.51074798848</v>
      </c>
      <c r="AC269" s="79">
        <f>tbl_Data_old[[#This Row],[2032 ]]*IFERROR(AVERAGEIFS('Participation Adjustment'!$C:$C,'Participation Adjustment'!$A:$A,$H269,'Participation Adjustment'!$B:$B,$I269),1)</f>
        <v>302309.59006451402</v>
      </c>
      <c r="AD269" s="79">
        <f>tbl_Data_old[[#This Row],[2033 ]]*IFERROR(AVERAGEIFS('Participation Adjustment'!$C:$C,'Participation Adjustment'!$A:$A,$H269,'Participation Adjustment'!$B:$B,$I269),1)</f>
        <v>317632.51876574999</v>
      </c>
      <c r="AE269" s="79">
        <f>tbl_Data_old[[#This Row],[2034 ]]*IFERROR(AVERAGEIFS('Participation Adjustment'!$C:$C,'Participation Adjustment'!$A:$A,$H269,'Participation Adjustment'!$B:$B,$I269),1)</f>
        <v>330686.01353781798</v>
      </c>
      <c r="AF269" s="77" t="str">
        <f t="shared" si="121"/>
        <v>NonResidential</v>
      </c>
      <c r="AG269" s="77" t="str">
        <f>tbl_Data[[#This Row],[All_Meas_Name_Append]]</f>
        <v>Smart thermostat</v>
      </c>
      <c r="AH269" s="77">
        <f>AVERAGEIFS('3. Incentive Adjustment'!G:G,'3. Incentive Adjustment'!A:A,tbl_Data[[#This Row],[Trimmed Sector]],'3. Incentive Adjustment'!B:B,tbl_Data[[#This Row],[Trimmed Measure Name]])</f>
        <v>0.87546479230069263</v>
      </c>
      <c r="AI269" s="77">
        <f>$AH269*tbl_Data[[#This Row],[2025 ]]</f>
        <v>58150.313376160389</v>
      </c>
      <c r="AJ269" s="77">
        <f>$AH269*tbl_Data[[#This Row],[2026 ]]</f>
        <v>106587.30542371997</v>
      </c>
      <c r="AK269" s="77">
        <f>$AH269*tbl_Data[[#This Row],[2027 ]]</f>
        <v>146599.69704144541</v>
      </c>
      <c r="AL269" s="77">
        <f>$AH269*tbl_Data[[#This Row],[2028 ]]</f>
        <v>179689.70615777874</v>
      </c>
      <c r="AM269" s="77">
        <f>$AH269*tbl_Data[[#This Row],[2029 ]]</f>
        <v>207103.96994037146</v>
      </c>
      <c r="AN269" s="77">
        <f>$AH269*tbl_Data[[#This Row],[2030 ]]</f>
        <v>229853.11115943169</v>
      </c>
      <c r="AO269" s="77">
        <f>$AH269*tbl_Data[[#This Row],[2031 ]]</f>
        <v>248793.53367706167</v>
      </c>
      <c r="AP269" s="77">
        <f>$AH269*tbl_Data[[#This Row],[2032 ]]</f>
        <v>264661.40247633727</v>
      </c>
      <c r="AQ269" s="77">
        <f>$AH269*tbl_Data[[#This Row],[2033 ]]</f>
        <v>278076.08706920315</v>
      </c>
      <c r="AR269" s="77">
        <f>$AH269*tbl_Data[[#This Row],[2034 ]]</f>
        <v>289503.96215862985</v>
      </c>
      <c r="AS269" s="77">
        <f>SUM(tbl_Data[[#This Row],[Adjusted 2025]:[Adjusted 2034]])</f>
        <v>2009019.0884801398</v>
      </c>
      <c r="AT269" s="80">
        <f>AVERAGEIFS('3. Incentive Adjustment'!F:F,'3. Incentive Adjustment'!A:A,tbl_Data[[#This Row],[Trimmed Sector]],'3. Incentive Adjustment'!B:B,tbl_Data[[#This Row],[Trimmed Measure Name]])</f>
        <v>50</v>
      </c>
      <c r="AU269" s="80">
        <f>IFERROR(VLOOKUP(tbl_Data[[#This Row],[All_Meas_Name_Append]],'IRA Tax Credits'!$A$3:$D$46,4,0),0)</f>
        <v>0</v>
      </c>
      <c r="AV269" s="81">
        <f>tbl_Data[[#This Row],[Adj. per unit Incentive ($)]]/tbl_Data[[#This Row],[kWh Savings]]*tbl_Data[[#This Row],[Sum of Annuals]]</f>
        <v>84198.885537549242</v>
      </c>
      <c r="AW269" s="81">
        <f>IFERROR(VLOOKUP(tbl_Data[[#This Row],[Column1]],'1. Set Program Names'!$B$2:$D$15,3,0)*tbl_Data[[#This Row],[Sum of Annuals]],"")</f>
        <v>71520.466706261854</v>
      </c>
      <c r="AX269" s="81">
        <f>tbl_Data[[#This Row],[per unit IRA tax ($)]]/tbl_Data[[#This Row],[kWh Savings]]*tbl_Data[[#This Row],[Sum of Annuals]]</f>
        <v>0</v>
      </c>
      <c r="AY269" s="81">
        <f>tbl_Data[[#This Row],[Avoided Costs ($/unit)]]/tbl_Data[[#This Row],[kWh Savings]]*tbl_Data[[#This Row],[Sum of Annuals]]</f>
        <v>817290.20443211752</v>
      </c>
      <c r="AZ269" s="81">
        <f>tbl_Data[[#This Row],[Lost Revenue ($/unit)]]/tbl_Data[[#This Row],[kWh Savings]]*tbl_Data[[#This Row],[Sum of Annuals]]</f>
        <v>1771044.0841895104</v>
      </c>
      <c r="BA269" s="81">
        <f>tbl_Data[[#This Row],[Incremental Cost ($/unit)]]/tbl_Data[[#This Row],[kWh Savings]]*tbl_Data[[#This Row],[Sum of Annuals]]</f>
        <v>461603.67515354406</v>
      </c>
      <c r="BB269" s="77">
        <f>ROUNDUP(tbl_Data[[#This Row],[Adjusted 2025]]/$L269,0)</f>
        <v>49</v>
      </c>
      <c r="BC269" s="77">
        <f>ROUNDUP(tbl_Data[[#This Row],[Adjusted 2026]]/$L269,0)</f>
        <v>90</v>
      </c>
      <c r="BD269" s="77">
        <f>ROUNDUP(tbl_Data[[#This Row],[Adjusted 2027]]/$L269,0)</f>
        <v>123</v>
      </c>
      <c r="BE269" s="77">
        <f>ROUNDUP(tbl_Data[[#This Row],[Adjusted 2028]]/$L269,0)</f>
        <v>151</v>
      </c>
      <c r="BF269" s="77">
        <f>ROUNDUP(tbl_Data[[#This Row],[Adjusted 2029]]/$L269,0)</f>
        <v>174</v>
      </c>
      <c r="BG269" s="77">
        <f>ROUNDUP(tbl_Data[[#This Row],[Adjusted 2030]]/$L269,0)</f>
        <v>193</v>
      </c>
      <c r="BH269" s="77">
        <f>ROUNDUP(tbl_Data[[#This Row],[Adjusted 2031]]/$L269,0)</f>
        <v>209</v>
      </c>
      <c r="BI269" s="77">
        <f>ROUNDUP(tbl_Data[[#This Row],[Adjusted 2032]]/$L269,0)</f>
        <v>222</v>
      </c>
      <c r="BJ269" s="77">
        <f>ROUNDUP(tbl_Data[[#This Row],[Adjusted 2033]]/$L269,0)</f>
        <v>234</v>
      </c>
      <c r="BK269" s="77">
        <f>ROUNDUP(tbl_Data[[#This Row],[Adjusted 2034]]/$L269,0)</f>
        <v>243</v>
      </c>
      <c r="BL269" s="80">
        <f t="shared" si="122"/>
        <v>2783.7847690538511</v>
      </c>
      <c r="BM269" s="80">
        <f t="shared" si="123"/>
        <v>5102.5712534626828</v>
      </c>
      <c r="BN269" s="80">
        <f t="shared" si="124"/>
        <v>7018.0533874679386</v>
      </c>
      <c r="BO269" s="80">
        <f t="shared" si="125"/>
        <v>8602.1456827240127</v>
      </c>
      <c r="BP269" s="80">
        <f t="shared" si="126"/>
        <v>9914.5274317120202</v>
      </c>
      <c r="BQ269" s="80">
        <f t="shared" si="127"/>
        <v>11003.579393049131</v>
      </c>
      <c r="BR269" s="80">
        <f t="shared" si="128"/>
        <v>11910.299523393927</v>
      </c>
      <c r="BS269" s="80">
        <f t="shared" si="129"/>
        <v>12669.929676975828</v>
      </c>
      <c r="BT269" s="80">
        <f t="shared" si="130"/>
        <v>13312.120449185681</v>
      </c>
      <c r="BU269" s="80">
        <f t="shared" si="131"/>
        <v>13859.198233802366</v>
      </c>
      <c r="BV269" s="80">
        <f>IFERROR(VLOOKUP($H269,'1. Set Program Names'!$B$2:$D$15,3,0)*V269,"NA")</f>
        <v>2364.6107026407785</v>
      </c>
      <c r="BW269" s="80">
        <f>IFERROR(VLOOKUP($H269,'1. Set Program Names'!$B$2:$D$15,3,0)*W269,"NA")</f>
        <v>4334.2411852572459</v>
      </c>
      <c r="BX269" s="80">
        <f>IFERROR(VLOOKUP($H269,'1. Set Program Names'!$B$2:$D$15,3,0)*X269,"NA")</f>
        <v>5961.2956921778587</v>
      </c>
      <c r="BY269" s="80">
        <f>IFERROR(VLOOKUP($H269,'1. Set Program Names'!$B$2:$D$15,3,0)*Y269,"NA")</f>
        <v>7306.8600608651732</v>
      </c>
      <c r="BZ269" s="80">
        <f>IFERROR(VLOOKUP($H269,'1. Set Program Names'!$B$2:$D$15,3,0)*Z269,"NA")</f>
        <v>8421.6272526772773</v>
      </c>
      <c r="CA269" s="80">
        <f>IFERROR(VLOOKUP($H269,'1. Set Program Names'!$B$2:$D$15,3,0)*AA269,"NA")</f>
        <v>9346.6929948772085</v>
      </c>
      <c r="CB269" s="80">
        <f>IFERROR(VLOOKUP($H269,'1. Set Program Names'!$B$2:$D$15,3,0)*AB269,"NA")</f>
        <v>10116.881893224354</v>
      </c>
      <c r="CC269" s="80">
        <f>IFERROR(VLOOKUP($H269,'1. Set Program Names'!$B$2:$D$15,3,0)*AC269,"NA")</f>
        <v>10762.129187906161</v>
      </c>
      <c r="CD269" s="80">
        <f>IFERROR(VLOOKUP($H269,'1. Set Program Names'!$B$2:$D$15,3,0)*AD269,"NA")</f>
        <v>11307.620775469046</v>
      </c>
      <c r="CE269" s="80">
        <f>IFERROR(VLOOKUP($H269,'1. Set Program Names'!$B$2:$D$15,3,0)*AE269,"NA")</f>
        <v>11772.321207435738</v>
      </c>
    </row>
    <row r="270" spans="1:83" x14ac:dyDescent="0.25">
      <c r="A270" s="79" t="s">
        <v>113</v>
      </c>
      <c r="B270" s="79" t="s">
        <v>88</v>
      </c>
      <c r="C270" s="79" t="s">
        <v>122</v>
      </c>
      <c r="D270" s="79" t="s">
        <v>90</v>
      </c>
      <c r="E270" s="79" t="s">
        <v>91</v>
      </c>
      <c r="F270" s="79" t="s">
        <v>90</v>
      </c>
      <c r="G270" s="79" t="s">
        <v>92</v>
      </c>
      <c r="H270" s="79"/>
      <c r="I270" s="79" t="s">
        <v>304</v>
      </c>
      <c r="J270" s="79" t="s">
        <v>144</v>
      </c>
      <c r="K270" s="79" t="s">
        <v>98</v>
      </c>
      <c r="L270" s="79">
        <v>71859.953750000001</v>
      </c>
      <c r="M270" s="79">
        <v>2.01028298751406</v>
      </c>
      <c r="N270" s="79">
        <v>2.93501737514182</v>
      </c>
      <c r="O270" s="79">
        <v>21366.564901045898</v>
      </c>
      <c r="P270" s="79">
        <v>219059.38064062799</v>
      </c>
      <c r="Q270" s="79">
        <v>2558.1924328944401</v>
      </c>
      <c r="R270" s="79">
        <v>23924.757333940401</v>
      </c>
      <c r="S270" s="79">
        <v>92224.942677252999</v>
      </c>
      <c r="T270" s="79">
        <v>20</v>
      </c>
      <c r="U270" s="79">
        <v>1</v>
      </c>
      <c r="V270" s="79">
        <f>tbl_Data_old[[#This Row],[2025 ]]*IFERROR(AVERAGEIFS('Participation Adjustment'!$C:$C,'Participation Adjustment'!$A:$A,$H270,'Participation Adjustment'!$B:$B,$I270),1)</f>
        <v>291051.60612615698</v>
      </c>
      <c r="W270" s="79">
        <f>tbl_Data_old[[#This Row],[2026 ]]*IFERROR(AVERAGEIFS('Participation Adjustment'!$C:$C,'Participation Adjustment'!$A:$A,$H270,'Participation Adjustment'!$B:$B,$I270),1)</f>
        <v>610807.66033138195</v>
      </c>
      <c r="X270" s="79">
        <f>tbl_Data_old[[#This Row],[2027 ]]*IFERROR(AVERAGEIFS('Participation Adjustment'!$C:$C,'Participation Adjustment'!$A:$A,$H270,'Participation Adjustment'!$B:$B,$I270),1)</f>
        <v>953946.05133957195</v>
      </c>
      <c r="Y270" s="79">
        <f>tbl_Data_old[[#This Row],[2028 ]]*IFERROR(AVERAGEIFS('Participation Adjustment'!$C:$C,'Participation Adjustment'!$A:$A,$H270,'Participation Adjustment'!$B:$B,$I270),1)</f>
        <v>1317384.9132652101</v>
      </c>
      <c r="Z270" s="79">
        <f>tbl_Data_old[[#This Row],[2029 ]]*IFERROR(AVERAGEIFS('Participation Adjustment'!$C:$C,'Participation Adjustment'!$A:$A,$H270,'Participation Adjustment'!$B:$B,$I270),1)</f>
        <v>1698158.04631625</v>
      </c>
      <c r="AA270" s="79">
        <f>tbl_Data_old[[#This Row],[2030 ]]*IFERROR(AVERAGEIFS('Participation Adjustment'!$C:$C,'Participation Adjustment'!$A:$A,$H270,'Participation Adjustment'!$B:$B,$I270),1)</f>
        <v>2093166.88355364</v>
      </c>
      <c r="AB270" s="79">
        <f>tbl_Data_old[[#This Row],[2031 ]]*IFERROR(AVERAGEIFS('Participation Adjustment'!$C:$C,'Participation Adjustment'!$A:$A,$H270,'Participation Adjustment'!$B:$B,$I270),1)</f>
        <v>2499859.8887277702</v>
      </c>
      <c r="AC270" s="79">
        <f>tbl_Data_old[[#This Row],[2032 ]]*IFERROR(AVERAGEIFS('Participation Adjustment'!$C:$C,'Participation Adjustment'!$A:$A,$H270,'Participation Adjustment'!$B:$B,$I270),1)</f>
        <v>2916826.36716206</v>
      </c>
      <c r="AD270" s="79">
        <f>tbl_Data_old[[#This Row],[2033 ]]*IFERROR(AVERAGEIFS('Participation Adjustment'!$C:$C,'Participation Adjustment'!$A:$A,$H270,'Participation Adjustment'!$B:$B,$I270),1)</f>
        <v>3342991.8357204301</v>
      </c>
      <c r="AE270" s="79">
        <f>tbl_Data_old[[#This Row],[2034 ]]*IFERROR(AVERAGEIFS('Participation Adjustment'!$C:$C,'Participation Adjustment'!$A:$A,$H270,'Participation Adjustment'!$B:$B,$I270),1)</f>
        <v>3777047.1966634002</v>
      </c>
      <c r="AF270" s="77" t="str">
        <f t="shared" si="121"/>
        <v>NonResidential</v>
      </c>
      <c r="AG270" s="77" t="str">
        <f>tbl_Data[[#This Row],[All_Meas_Name_Append]]</f>
        <v>Solar Thermal Water Heating System Commercial</v>
      </c>
      <c r="AH270" s="77">
        <f>AVERAGEIFS('3. Incentive Adjustment'!G:G,'3. Incentive Adjustment'!A:A,tbl_Data[[#This Row],[Trimmed Sector]],'3. Incentive Adjustment'!B:B,tbl_Data[[#This Row],[Trimmed Measure Name]])</f>
        <v>3.2123848810070607E-4</v>
      </c>
      <c r="AI270" s="77">
        <f>$AH270*tbl_Data[[#This Row],[2025 ]]</f>
        <v>93.496977911248877</v>
      </c>
      <c r="AJ270" s="77">
        <f>$AH270*tbl_Data[[#This Row],[2026 ]]</f>
        <v>196.21492932518277</v>
      </c>
      <c r="AK270" s="77">
        <f>$AH270*tbl_Data[[#This Row],[2027 ]]</f>
        <v>306.44418726196261</v>
      </c>
      <c r="AL270" s="77">
        <f>$AH270*tbl_Data[[#This Row],[2028 ]]</f>
        <v>423.19473778399589</v>
      </c>
      <c r="AM270" s="77">
        <f>$AH270*tbl_Data[[#This Row],[2029 ]]</f>
        <v>545.51372335468091</v>
      </c>
      <c r="AN270" s="77">
        <f>$AH270*tbl_Data[[#This Row],[2030 ]]</f>
        <v>672.40576501523799</v>
      </c>
      <c r="AO270" s="77">
        <f>$AH270*tbl_Data[[#This Row],[2031 ]]</f>
        <v>803.05121111850815</v>
      </c>
      <c r="AP270" s="77">
        <f>$AH270*tbl_Data[[#This Row],[2032 ]]</f>
        <v>936.99689223941516</v>
      </c>
      <c r="AQ270" s="77">
        <f>$AH270*tbl_Data[[#This Row],[2033 ]]</f>
        <v>1073.897643039835</v>
      </c>
      <c r="AR270" s="77">
        <f>$AH270*tbl_Data[[#This Row],[2034 ]]</f>
        <v>1213.3329309411608</v>
      </c>
      <c r="AS270" s="77">
        <f>SUM(tbl_Data[[#This Row],[Adjusted 2025]:[Adjusted 2034]])</f>
        <v>6264.5489979912281</v>
      </c>
      <c r="AT270" s="80">
        <f>AVERAGEIFS('3. Incentive Adjustment'!F:F,'3. Incentive Adjustment'!A:A,tbl_Data[[#This Row],[Trimmed Sector]],'3. Incentive Adjustment'!B:B,tbl_Data[[#This Row],[Trimmed Measure Name]])</f>
        <v>0</v>
      </c>
      <c r="AU270" s="80">
        <f>IFERROR(VLOOKUP(tbl_Data[[#This Row],[All_Meas_Name_Append]],'IRA Tax Credits'!$A$3:$D$46,4,0),0)</f>
        <v>0</v>
      </c>
      <c r="AV270" s="81">
        <f>tbl_Data[[#This Row],[Adj. per unit Incentive ($)]]/tbl_Data[[#This Row],[kWh Savings]]*tbl_Data[[#This Row],[Sum of Annuals]]</f>
        <v>0</v>
      </c>
      <c r="AW270" s="81" t="str">
        <f>IFERROR(VLOOKUP(tbl_Data[[#This Row],[Column1]],'1. Set Program Names'!$B$2:$D$15,3,0)*tbl_Data[[#This Row],[Sum of Annuals]],"")</f>
        <v/>
      </c>
      <c r="AX270" s="81">
        <f>tbl_Data[[#This Row],[per unit IRA tax ($)]]/tbl_Data[[#This Row],[kWh Savings]]*tbl_Data[[#This Row],[Sum of Annuals]]</f>
        <v>0</v>
      </c>
      <c r="AY270" s="81">
        <f>tbl_Data[[#This Row],[Avoided Costs ($/unit)]]/tbl_Data[[#This Row],[kWh Savings]]*tbl_Data[[#This Row],[Sum of Annuals]]</f>
        <v>2085.6931679213558</v>
      </c>
      <c r="AZ270" s="81">
        <f>tbl_Data[[#This Row],[Lost Revenue ($/unit)]]/tbl_Data[[#This Row],[kWh Savings]]*tbl_Data[[#This Row],[Sum of Annuals]]</f>
        <v>8039.9115514123705</v>
      </c>
      <c r="BA270" s="81">
        <f>tbl_Data[[#This Row],[Incremental Cost ($/unit)]]/tbl_Data[[#This Row],[kWh Savings]]*tbl_Data[[#This Row],[Sum of Annuals]]</f>
        <v>1862.6771345697064</v>
      </c>
      <c r="BB270" s="77">
        <f>ROUNDUP(tbl_Data[[#This Row],[Adjusted 2025]]/$L270,0)</f>
        <v>1</v>
      </c>
      <c r="BC270" s="77">
        <f>ROUNDUP(tbl_Data[[#This Row],[Adjusted 2026]]/$L270,0)</f>
        <v>1</v>
      </c>
      <c r="BD270" s="77">
        <f>ROUNDUP(tbl_Data[[#This Row],[Adjusted 2027]]/$L270,0)</f>
        <v>1</v>
      </c>
      <c r="BE270" s="77">
        <f>ROUNDUP(tbl_Data[[#This Row],[Adjusted 2028]]/$L270,0)</f>
        <v>1</v>
      </c>
      <c r="BF270" s="77">
        <f>ROUNDUP(tbl_Data[[#This Row],[Adjusted 2029]]/$L270,0)</f>
        <v>1</v>
      </c>
      <c r="BG270" s="77">
        <f>ROUNDUP(tbl_Data[[#This Row],[Adjusted 2030]]/$L270,0)</f>
        <v>1</v>
      </c>
      <c r="BH270" s="77">
        <f>ROUNDUP(tbl_Data[[#This Row],[Adjusted 2031]]/$L270,0)</f>
        <v>1</v>
      </c>
      <c r="BI270" s="77">
        <f>ROUNDUP(tbl_Data[[#This Row],[Adjusted 2032]]/$L270,0)</f>
        <v>1</v>
      </c>
      <c r="BJ270" s="77">
        <f>ROUNDUP(tbl_Data[[#This Row],[Adjusted 2033]]/$L270,0)</f>
        <v>1</v>
      </c>
      <c r="BK270" s="77">
        <f>ROUNDUP(tbl_Data[[#This Row],[Adjusted 2034]]/$L270,0)</f>
        <v>1</v>
      </c>
      <c r="BL270" s="80">
        <f t="shared" si="122"/>
        <v>0</v>
      </c>
      <c r="BM270" s="80">
        <f t="shared" si="123"/>
        <v>0</v>
      </c>
      <c r="BN270" s="80">
        <f t="shared" si="124"/>
        <v>0</v>
      </c>
      <c r="BO270" s="80">
        <f t="shared" si="125"/>
        <v>0</v>
      </c>
      <c r="BP270" s="80">
        <f t="shared" si="126"/>
        <v>0</v>
      </c>
      <c r="BQ270" s="80">
        <f t="shared" si="127"/>
        <v>0</v>
      </c>
      <c r="BR270" s="80">
        <f t="shared" si="128"/>
        <v>0</v>
      </c>
      <c r="BS270" s="80">
        <f t="shared" si="129"/>
        <v>0</v>
      </c>
      <c r="BT270" s="80">
        <f t="shared" si="130"/>
        <v>0</v>
      </c>
      <c r="BU270" s="80">
        <f t="shared" si="131"/>
        <v>0</v>
      </c>
      <c r="BV270" s="80" t="str">
        <f>IFERROR(VLOOKUP($H270,'1. Set Program Names'!$B$2:$D$15,3,0)*V270,"NA")</f>
        <v>NA</v>
      </c>
      <c r="BW270" s="80" t="str">
        <f>IFERROR(VLOOKUP($H270,'1. Set Program Names'!$B$2:$D$15,3,0)*W270,"NA")</f>
        <v>NA</v>
      </c>
      <c r="BX270" s="80" t="str">
        <f>IFERROR(VLOOKUP($H270,'1. Set Program Names'!$B$2:$D$15,3,0)*X270,"NA")</f>
        <v>NA</v>
      </c>
      <c r="BY270" s="80" t="str">
        <f>IFERROR(VLOOKUP($H270,'1. Set Program Names'!$B$2:$D$15,3,0)*Y270,"NA")</f>
        <v>NA</v>
      </c>
      <c r="BZ270" s="80" t="str">
        <f>IFERROR(VLOOKUP($H270,'1. Set Program Names'!$B$2:$D$15,3,0)*Z270,"NA")</f>
        <v>NA</v>
      </c>
      <c r="CA270" s="80" t="str">
        <f>IFERROR(VLOOKUP($H270,'1. Set Program Names'!$B$2:$D$15,3,0)*AA270,"NA")</f>
        <v>NA</v>
      </c>
      <c r="CB270" s="80" t="str">
        <f>IFERROR(VLOOKUP($H270,'1. Set Program Names'!$B$2:$D$15,3,0)*AB270,"NA")</f>
        <v>NA</v>
      </c>
      <c r="CC270" s="80" t="str">
        <f>IFERROR(VLOOKUP($H270,'1. Set Program Names'!$B$2:$D$15,3,0)*AC270,"NA")</f>
        <v>NA</v>
      </c>
      <c r="CD270" s="80" t="str">
        <f>IFERROR(VLOOKUP($H270,'1. Set Program Names'!$B$2:$D$15,3,0)*AD270,"NA")</f>
        <v>NA</v>
      </c>
      <c r="CE270" s="80" t="str">
        <f>IFERROR(VLOOKUP($H270,'1. Set Program Names'!$B$2:$D$15,3,0)*AE270,"NA")</f>
        <v>NA</v>
      </c>
    </row>
    <row r="271" spans="1:83" x14ac:dyDescent="0.25">
      <c r="A271" s="79" t="s">
        <v>113</v>
      </c>
      <c r="B271" s="79" t="s">
        <v>88</v>
      </c>
      <c r="C271" s="79" t="s">
        <v>122</v>
      </c>
      <c r="D271" s="79" t="s">
        <v>90</v>
      </c>
      <c r="E271" s="79" t="s">
        <v>91</v>
      </c>
      <c r="F271" s="79" t="s">
        <v>90</v>
      </c>
      <c r="G271" s="79" t="s">
        <v>92</v>
      </c>
      <c r="H271" s="79" t="s">
        <v>14</v>
      </c>
      <c r="I271" s="79" t="s">
        <v>305</v>
      </c>
      <c r="J271" s="79" t="s">
        <v>129</v>
      </c>
      <c r="K271" s="79" t="s">
        <v>306</v>
      </c>
      <c r="L271" s="79">
        <v>1181.58666666666</v>
      </c>
      <c r="M271" s="79">
        <v>0.32580149205424902</v>
      </c>
      <c r="N271" s="79">
        <v>0</v>
      </c>
      <c r="O271" s="79">
        <v>442.61899981344197</v>
      </c>
      <c r="P271" s="79">
        <v>13015.025349926</v>
      </c>
      <c r="Q271" s="79">
        <v>42.064124894815102</v>
      </c>
      <c r="R271" s="79">
        <v>484.68312470825703</v>
      </c>
      <c r="S271" s="79">
        <v>971.92143438909795</v>
      </c>
      <c r="T271" s="79">
        <v>10</v>
      </c>
      <c r="U271" s="79">
        <v>0.94999999999999896</v>
      </c>
      <c r="V271" s="79">
        <f>tbl_Data_old[[#This Row],[2025 ]]*IFERROR(AVERAGEIFS('Participation Adjustment'!$C:$C,'Participation Adjustment'!$A:$A,$H271,'Participation Adjustment'!$B:$B,$I271),1)</f>
        <v>5940.8244584307204</v>
      </c>
      <c r="W271" s="79">
        <f>tbl_Data_old[[#This Row],[2026 ]]*IFERROR(AVERAGEIFS('Participation Adjustment'!$C:$C,'Participation Adjustment'!$A:$A,$H271,'Participation Adjustment'!$B:$B,$I271),1)</f>
        <v>10932.738934511101</v>
      </c>
      <c r="X271" s="79">
        <f>tbl_Data_old[[#This Row],[2027 ]]*IFERROR(AVERAGEIFS('Participation Adjustment'!$C:$C,'Participation Adjustment'!$A:$A,$H271,'Participation Adjustment'!$B:$B,$I271),1)</f>
        <v>15108.549622063199</v>
      </c>
      <c r="Y271" s="79">
        <f>tbl_Data_old[[#This Row],[2028 ]]*IFERROR(AVERAGEIFS('Participation Adjustment'!$C:$C,'Participation Adjustment'!$A:$A,$H271,'Participation Adjustment'!$B:$B,$I271),1)</f>
        <v>18617.196950015201</v>
      </c>
      <c r="Z271" s="79">
        <f>tbl_Data_old[[#This Row],[2029 ]]*IFERROR(AVERAGEIFS('Participation Adjustment'!$C:$C,'Participation Adjustment'!$A:$A,$H271,'Participation Adjustment'!$B:$B,$I271),1)</f>
        <v>21578.9743726985</v>
      </c>
      <c r="AA271" s="79">
        <f>tbl_Data_old[[#This Row],[2030 ]]*IFERROR(AVERAGEIFS('Participation Adjustment'!$C:$C,'Participation Adjustment'!$A:$A,$H271,'Participation Adjustment'!$B:$B,$I271),1)</f>
        <v>24092.662595190301</v>
      </c>
      <c r="AB271" s="79">
        <f>tbl_Data_old[[#This Row],[2031 ]]*IFERROR(AVERAGEIFS('Participation Adjustment'!$C:$C,'Participation Adjustment'!$A:$A,$H271,'Participation Adjustment'!$B:$B,$I271),1)</f>
        <v>26239.343320434</v>
      </c>
      <c r="AC271" s="79">
        <f>tbl_Data_old[[#This Row],[2032 ]]*IFERROR(AVERAGEIFS('Participation Adjustment'!$C:$C,'Participation Adjustment'!$A:$A,$H271,'Participation Adjustment'!$B:$B,$I271),1)</f>
        <v>28089.3830823561</v>
      </c>
      <c r="AD271" s="79">
        <f>tbl_Data_old[[#This Row],[2033 ]]*IFERROR(AVERAGEIFS('Participation Adjustment'!$C:$C,'Participation Adjustment'!$A:$A,$H271,'Participation Adjustment'!$B:$B,$I271),1)</f>
        <v>29705.303376939501</v>
      </c>
      <c r="AE271" s="79">
        <f>tbl_Data_old[[#This Row],[2034 ]]*IFERROR(AVERAGEIFS('Participation Adjustment'!$C:$C,'Participation Adjustment'!$A:$A,$H271,'Participation Adjustment'!$B:$B,$I271),1)</f>
        <v>31130.889669378601</v>
      </c>
      <c r="AF271" s="77" t="str">
        <f t="shared" si="121"/>
        <v>NonResidential</v>
      </c>
      <c r="AG271" s="77" t="str">
        <f>tbl_Data[[#This Row],[All_Meas_Name_Append]]</f>
        <v>Window shade film</v>
      </c>
      <c r="AH271" s="77">
        <f>AVERAGEIFS('3. Incentive Adjustment'!G:G,'3. Incentive Adjustment'!A:A,tbl_Data[[#This Row],[Trimmed Sector]],'3. Incentive Adjustment'!B:B,tbl_Data[[#This Row],[Trimmed Measure Name]])</f>
        <v>3.2127764592544555E-13</v>
      </c>
      <c r="AI271" s="77">
        <f>$AH271*tbl_Data[[#This Row],[2025 ]]</f>
        <v>1.908654096860932E-9</v>
      </c>
      <c r="AJ271" s="77">
        <f>$AH271*tbl_Data[[#This Row],[2026 ]]</f>
        <v>3.5124446283971904E-9</v>
      </c>
      <c r="AK271" s="77">
        <f>$AH271*tbl_Data[[#This Row],[2027 ]]</f>
        <v>4.8540392559242445E-9</v>
      </c>
      <c r="AL271" s="77">
        <f>$AH271*tbl_Data[[#This Row],[2028 ]]</f>
        <v>5.9812892098312685E-9</v>
      </c>
      <c r="AM271" s="77">
        <f>$AH271*tbl_Data[[#This Row],[2029 ]]</f>
        <v>6.9328420879460926E-9</v>
      </c>
      <c r="AN271" s="77">
        <f>$AH271*tbl_Data[[#This Row],[2030 ]]</f>
        <v>7.740433922658776E-9</v>
      </c>
      <c r="AO271" s="77">
        <f>$AH271*tbl_Data[[#This Row],[2031 ]]</f>
        <v>8.4301144526186E-9</v>
      </c>
      <c r="AP271" s="77">
        <f>$AH271*tbl_Data[[#This Row],[2032 ]]</f>
        <v>9.0244908721974037E-9</v>
      </c>
      <c r="AQ271" s="77">
        <f>$AH271*tbl_Data[[#This Row],[2033 ]]</f>
        <v>9.5436499404443113E-9</v>
      </c>
      <c r="AR271" s="77">
        <f>$AH271*tbl_Data[[#This Row],[2034 ]]</f>
        <v>1.0001658948542728E-8</v>
      </c>
      <c r="AS271" s="77">
        <f>SUM(tbl_Data[[#This Row],[Adjusted 2025]:[Adjusted 2034]])</f>
        <v>6.7929617415421552E-8</v>
      </c>
      <c r="AT271" s="80">
        <f>AVERAGEIFS('3. Incentive Adjustment'!F:F,'3. Incentive Adjustment'!A:A,tbl_Data[[#This Row],[Trimmed Sector]],'3. Incentive Adjustment'!B:B,tbl_Data[[#This Row],[Trimmed Measure Name]])</f>
        <v>132.78569994403261</v>
      </c>
      <c r="AU271" s="80">
        <f>IFERROR(VLOOKUP(tbl_Data[[#This Row],[All_Meas_Name_Append]],'IRA Tax Credits'!$A$3:$D$46,4,0),0)</f>
        <v>0</v>
      </c>
      <c r="AV271" s="81">
        <f>tbl_Data[[#This Row],[Adj. per unit Incentive ($)]]/tbl_Data[[#This Row],[kWh Savings]]*tbl_Data[[#This Row],[Sum of Annuals]]</f>
        <v>7.6338723598526977E-9</v>
      </c>
      <c r="AW271" s="81">
        <f>IFERROR(VLOOKUP(tbl_Data[[#This Row],[Column1]],'1. Set Program Names'!$B$2:$D$15,3,0)*tbl_Data[[#This Row],[Sum of Annuals]],"")</f>
        <v>2.4182736583176022E-9</v>
      </c>
      <c r="AX271" s="81">
        <f>tbl_Data[[#This Row],[per unit IRA tax ($)]]/tbl_Data[[#This Row],[kWh Savings]]*tbl_Data[[#This Row],[Sum of Annuals]]</f>
        <v>0</v>
      </c>
      <c r="AY271" s="81">
        <f>tbl_Data[[#This Row],[Avoided Costs ($/unit)]]/tbl_Data[[#This Row],[kWh Savings]]*tbl_Data[[#This Row],[Sum of Annuals]]</f>
        <v>2.7864514857826598E-8</v>
      </c>
      <c r="AZ271" s="81">
        <f>tbl_Data[[#This Row],[Lost Revenue ($/unit)]]/tbl_Data[[#This Row],[kWh Savings]]*tbl_Data[[#This Row],[Sum of Annuals]]</f>
        <v>5.5875927732116877E-8</v>
      </c>
      <c r="BA271" s="81">
        <f>tbl_Data[[#This Row],[Incremental Cost ($/unit)]]/tbl_Data[[#This Row],[kWh Savings]]*tbl_Data[[#This Row],[Sum of Annuals]]</f>
        <v>2.5446241199508988E-8</v>
      </c>
      <c r="BB271" s="77">
        <f>ROUNDUP(tbl_Data[[#This Row],[Adjusted 2025]]/$L271,0)</f>
        <v>1</v>
      </c>
      <c r="BC271" s="77">
        <f>ROUNDUP(tbl_Data[[#This Row],[Adjusted 2026]]/$L271,0)</f>
        <v>1</v>
      </c>
      <c r="BD271" s="77">
        <f>ROUNDUP(tbl_Data[[#This Row],[Adjusted 2027]]/$L271,0)</f>
        <v>1</v>
      </c>
      <c r="BE271" s="77">
        <f>ROUNDUP(tbl_Data[[#This Row],[Adjusted 2028]]/$L271,0)</f>
        <v>1</v>
      </c>
      <c r="BF271" s="77">
        <f>ROUNDUP(tbl_Data[[#This Row],[Adjusted 2029]]/$L271,0)</f>
        <v>1</v>
      </c>
      <c r="BG271" s="77">
        <f>ROUNDUP(tbl_Data[[#This Row],[Adjusted 2030]]/$L271,0)</f>
        <v>1</v>
      </c>
      <c r="BH271" s="77">
        <f>ROUNDUP(tbl_Data[[#This Row],[Adjusted 2031]]/$L271,0)</f>
        <v>1</v>
      </c>
      <c r="BI271" s="77">
        <f>ROUNDUP(tbl_Data[[#This Row],[Adjusted 2032]]/$L271,0)</f>
        <v>1</v>
      </c>
      <c r="BJ271" s="77">
        <f>ROUNDUP(tbl_Data[[#This Row],[Adjusted 2033]]/$L271,0)</f>
        <v>1</v>
      </c>
      <c r="BK271" s="77">
        <f>ROUNDUP(tbl_Data[[#This Row],[Adjusted 2034]]/$L271,0)</f>
        <v>1</v>
      </c>
      <c r="BL271" s="80">
        <f t="shared" si="122"/>
        <v>667.62477625341864</v>
      </c>
      <c r="BM271" s="80">
        <f t="shared" si="123"/>
        <v>1228.6118595259836</v>
      </c>
      <c r="BN271" s="80">
        <f t="shared" si="124"/>
        <v>1697.8858963976315</v>
      </c>
      <c r="BO271" s="80">
        <f t="shared" si="125"/>
        <v>2092.1846850029551</v>
      </c>
      <c r="BP271" s="80">
        <f t="shared" si="126"/>
        <v>2425.0267009499617</v>
      </c>
      <c r="BQ271" s="80">
        <f t="shared" si="127"/>
        <v>2707.5128354679373</v>
      </c>
      <c r="BR271" s="80">
        <f t="shared" si="128"/>
        <v>2948.7549810500218</v>
      </c>
      <c r="BS271" s="80">
        <f t="shared" si="129"/>
        <v>3156.6608686512577</v>
      </c>
      <c r="BT271" s="80">
        <f t="shared" si="130"/>
        <v>3338.2566105661058</v>
      </c>
      <c r="BU271" s="80">
        <f t="shared" si="131"/>
        <v>3498.462779958797</v>
      </c>
      <c r="BV271" s="80">
        <f>IFERROR(VLOOKUP($H271,'1. Set Program Names'!$B$2:$D$15,3,0)*V271,"NA")</f>
        <v>211.49153849423001</v>
      </c>
      <c r="BW271" s="80">
        <f>IFERROR(VLOOKUP($H271,'1. Set Program Names'!$B$2:$D$15,3,0)*W271,"NA")</f>
        <v>389.20217107816865</v>
      </c>
      <c r="BX271" s="80">
        <f>IFERROR(VLOOKUP($H271,'1. Set Program Names'!$B$2:$D$15,3,0)*X271,"NA")</f>
        <v>537.85975773985683</v>
      </c>
      <c r="BY271" s="80">
        <f>IFERROR(VLOOKUP($H271,'1. Set Program Names'!$B$2:$D$15,3,0)*Y271,"NA")</f>
        <v>662.76653231542673</v>
      </c>
      <c r="BZ271" s="80">
        <f>IFERROR(VLOOKUP($H271,'1. Set Program Names'!$B$2:$D$15,3,0)*Z271,"NA")</f>
        <v>768.20490508401531</v>
      </c>
      <c r="CA271" s="80">
        <f>IFERROR(VLOOKUP($H271,'1. Set Program Names'!$B$2:$D$15,3,0)*AA271,"NA")</f>
        <v>857.69143901369262</v>
      </c>
      <c r="CB271" s="80">
        <f>IFERROR(VLOOKUP($H271,'1. Set Program Names'!$B$2:$D$15,3,0)*AB271,"NA")</f>
        <v>934.11261799557849</v>
      </c>
      <c r="CC271" s="80">
        <f>IFERROR(VLOOKUP($H271,'1. Set Program Names'!$B$2:$D$15,3,0)*AC271,"NA")</f>
        <v>999.97346917241293</v>
      </c>
      <c r="CD271" s="80">
        <f>IFERROR(VLOOKUP($H271,'1. Set Program Names'!$B$2:$D$15,3,0)*AD271,"NA")</f>
        <v>1057.4997387292426</v>
      </c>
      <c r="CE271" s="80">
        <f>IFERROR(VLOOKUP($H271,'1. Set Program Names'!$B$2:$D$15,3,0)*AE271,"NA")</f>
        <v>1108.2501758703988</v>
      </c>
    </row>
    <row r="272" spans="1:83" x14ac:dyDescent="0.25">
      <c r="A272" s="79" t="s">
        <v>114</v>
      </c>
      <c r="B272" s="79" t="s">
        <v>88</v>
      </c>
      <c r="C272" s="79" t="s">
        <v>122</v>
      </c>
      <c r="D272" s="79" t="s">
        <v>90</v>
      </c>
      <c r="E272" s="79" t="s">
        <v>91</v>
      </c>
      <c r="F272" s="79" t="s">
        <v>90</v>
      </c>
      <c r="G272" s="79" t="s">
        <v>92</v>
      </c>
      <c r="H272" s="79" t="s">
        <v>14</v>
      </c>
      <c r="I272" s="79" t="s">
        <v>237</v>
      </c>
      <c r="J272" s="79" t="s">
        <v>129</v>
      </c>
      <c r="K272" s="79" t="s">
        <v>102</v>
      </c>
      <c r="L272" s="79">
        <v>2568.1199999999699</v>
      </c>
      <c r="M272" s="79">
        <v>0.53641456399840104</v>
      </c>
      <c r="N272" s="79">
        <v>2.1892485513222901E-2</v>
      </c>
      <c r="O272" s="79">
        <f>9025.1/929.29*tbl_Data[[#This Row],[kWh Savings]]</f>
        <v>24941.126894725789</v>
      </c>
      <c r="P272" s="79">
        <v>35498.089296558101</v>
      </c>
      <c r="Q272" s="79">
        <v>91.4242886047615</v>
      </c>
      <c r="R272" s="79">
        <v>1534.4473108970501</v>
      </c>
      <c r="S272" s="79">
        <v>3958.9826982459099</v>
      </c>
      <c r="T272" s="79">
        <v>30</v>
      </c>
      <c r="U272" s="79">
        <v>0.94999999999999896</v>
      </c>
      <c r="V272" s="79">
        <f>tbl_Data_old[[#This Row],[2025 ]]*IFERROR(AVERAGEIFS('Participation Adjustment'!$C:$C,'Participation Adjustment'!$A:$A,$H272,'Participation Adjustment'!$B:$B,$I272),1)</f>
        <v>0.34438989371934797</v>
      </c>
      <c r="W272" s="79">
        <f>tbl_Data_old[[#This Row],[2026 ]]*IFERROR(AVERAGEIFS('Participation Adjustment'!$C:$C,'Participation Adjustment'!$A:$A,$H272,'Participation Adjustment'!$B:$B,$I272),1)</f>
        <v>0.38475793038942901</v>
      </c>
      <c r="X272" s="79">
        <f>tbl_Data_old[[#This Row],[2027 ]]*IFERROR(AVERAGEIFS('Participation Adjustment'!$C:$C,'Participation Adjustment'!$A:$A,$H272,'Participation Adjustment'!$B:$B,$I272),1)</f>
        <v>0.42853810263806102</v>
      </c>
      <c r="Y272" s="79">
        <f>tbl_Data_old[[#This Row],[2028 ]]*IFERROR(AVERAGEIFS('Participation Adjustment'!$C:$C,'Participation Adjustment'!$A:$A,$H272,'Participation Adjustment'!$B:$B,$I272),1)</f>
        <v>0.47660915333236997</v>
      </c>
      <c r="Z272" s="79">
        <f>tbl_Data_old[[#This Row],[2029 ]]*IFERROR(AVERAGEIFS('Participation Adjustment'!$C:$C,'Participation Adjustment'!$A:$A,$H272,'Participation Adjustment'!$B:$B,$I272),1)</f>
        <v>0.527447319642813</v>
      </c>
      <c r="AA272" s="79">
        <f>tbl_Data_old[[#This Row],[2030 ]]*IFERROR(AVERAGEIFS('Participation Adjustment'!$C:$C,'Participation Adjustment'!$A:$A,$H272,'Participation Adjustment'!$B:$B,$I272),1)</f>
        <v>0.58098805076095095</v>
      </c>
      <c r="AB272" s="79">
        <f>tbl_Data_old[[#This Row],[2031 ]]*IFERROR(AVERAGEIFS('Participation Adjustment'!$C:$C,'Participation Adjustment'!$A:$A,$H272,'Participation Adjustment'!$B:$B,$I272),1)</f>
        <v>0.63576861093023496</v>
      </c>
      <c r="AC272" s="79">
        <f>tbl_Data_old[[#This Row],[2032 ]]*IFERROR(AVERAGEIFS('Participation Adjustment'!$C:$C,'Participation Adjustment'!$A:$A,$H272,'Participation Adjustment'!$B:$B,$I272),1)</f>
        <v>0.692677572575357</v>
      </c>
      <c r="AD272" s="79">
        <f>tbl_Data_old[[#This Row],[2033 ]]*IFERROR(AVERAGEIFS('Participation Adjustment'!$C:$C,'Participation Adjustment'!$A:$A,$H272,'Participation Adjustment'!$B:$B,$I272),1)</f>
        <v>0.75348582972926703</v>
      </c>
      <c r="AE272" s="79">
        <f>tbl_Data_old[[#This Row],[2034 ]]*IFERROR(AVERAGEIFS('Participation Adjustment'!$C:$C,'Participation Adjustment'!$A:$A,$H272,'Participation Adjustment'!$B:$B,$I272),1)</f>
        <v>0.81493420529837002</v>
      </c>
      <c r="AF272" s="77" t="str">
        <f t="shared" si="121"/>
        <v>NonResidential</v>
      </c>
      <c r="AG272" s="77" t="str">
        <f>tbl_Data[[#This Row],[All_Meas_Name_Append]]</f>
        <v>Ceiling Insulation(R19 to R38)</v>
      </c>
      <c r="AH272" s="77">
        <f>AVERAGEIFS('3. Incentive Adjustment'!G:G,'3. Incentive Adjustment'!A:A,tbl_Data[[#This Row],[Trimmed Sector]],'3. Incentive Adjustment'!B:B,tbl_Data[[#This Row],[Trimmed Measure Name]])</f>
        <v>3.9688771318830651E-15</v>
      </c>
      <c r="AI272" s="77">
        <f>$AH272*tbl_Data[[#This Row],[2025 ]]</f>
        <v>1.3668411736343594E-15</v>
      </c>
      <c r="AJ272" s="77">
        <f>$AH272*tbl_Data[[#This Row],[2026 ]]</f>
        <v>1.5270569512332609E-15</v>
      </c>
      <c r="AK272" s="77">
        <f>$AH272*tbl_Data[[#This Row],[2027 ]]</f>
        <v>1.7008150757007582E-15</v>
      </c>
      <c r="AL272" s="77">
        <f>$AH272*tbl_Data[[#This Row],[2028 ]]</f>
        <v>1.8916031695069923E-15</v>
      </c>
      <c r="AM272" s="77">
        <f>$AH272*tbl_Data[[#This Row],[2029 ]]</f>
        <v>2.0933736052033779E-15</v>
      </c>
      <c r="AN272" s="77">
        <f>$AH272*tbl_Data[[#This Row],[2030 ]]</f>
        <v>2.3058701885624557E-15</v>
      </c>
      <c r="AO272" s="77">
        <f>$AH272*tbl_Data[[#This Row],[2031 ]]</f>
        <v>2.5232875010900714E-15</v>
      </c>
      <c r="AP272" s="77">
        <f>$AH272*tbl_Data[[#This Row],[2032 ]]</f>
        <v>2.7491521775626065E-15</v>
      </c>
      <c r="AQ272" s="77">
        <f>$AH272*tbl_Data[[#This Row],[2033 ]]</f>
        <v>2.9904926788104247E-15</v>
      </c>
      <c r="AR272" s="77">
        <f>$AH272*tbl_Data[[#This Row],[2034 ]]</f>
        <v>3.2343737313979998E-15</v>
      </c>
      <c r="AS272" s="77">
        <f>SUM(tbl_Data[[#This Row],[Adjusted 2025]:[Adjusted 2034]])</f>
        <v>2.2382866252702308E-14</v>
      </c>
      <c r="AT272" s="80">
        <f>AVERAGEIFS('3. Incentive Adjustment'!F:F,'3. Incentive Adjustment'!A:A,tbl_Data[[#This Row],[Trimmed Sector]],'3. Incentive Adjustment'!B:B,tbl_Data[[#This Row],[Trimmed Measure Name]])</f>
        <v>3222.5963039661074</v>
      </c>
      <c r="AU272" s="80">
        <f>IFERROR(VLOOKUP(tbl_Data[[#This Row],[All_Meas_Name_Append]],'IRA Tax Credits'!$A$3:$D$46,4,0),0)</f>
        <v>0</v>
      </c>
      <c r="AV272" s="81">
        <f>tbl_Data[[#This Row],[Adj. per unit Incentive ($)]]/tbl_Data[[#This Row],[kWh Savings]]*tbl_Data[[#This Row],[Sum of Annuals]]</f>
        <v>2.8087060596127525E-14</v>
      </c>
      <c r="AW272" s="81">
        <f>IFERROR(VLOOKUP(tbl_Data[[#This Row],[Column1]],'1. Set Program Names'!$B$2:$D$15,3,0)*tbl_Data[[#This Row],[Sum of Annuals]],"")</f>
        <v>7.9682321078799061E-16</v>
      </c>
      <c r="AX272" s="81">
        <f>tbl_Data[[#This Row],[per unit IRA tax ($)]]/tbl_Data[[#This Row],[kWh Savings]]*tbl_Data[[#This Row],[Sum of Annuals]]</f>
        <v>0</v>
      </c>
      <c r="AY272" s="81">
        <f>tbl_Data[[#This Row],[Avoided Costs ($/unit)]]/tbl_Data[[#This Row],[kWh Savings]]*tbl_Data[[#This Row],[Sum of Annuals]]</f>
        <v>1.3373724332051381E-14</v>
      </c>
      <c r="AZ272" s="81">
        <f>tbl_Data[[#This Row],[Lost Revenue ($/unit)]]/tbl_Data[[#This Row],[kWh Savings]]*tbl_Data[[#This Row],[Sum of Annuals]]</f>
        <v>3.4505155612510997E-14</v>
      </c>
      <c r="BA272" s="81">
        <f>tbl_Data[[#This Row],[Incremental Cost ($/unit)]]/tbl_Data[[#This Row],[kWh Savings]]*tbl_Data[[#This Row],[Sum of Annuals]]</f>
        <v>2.1737843538321042E-13</v>
      </c>
      <c r="BB272" s="77">
        <f>ROUNDUP(tbl_Data[[#This Row],[Adjusted 2025]]/$L272,0)</f>
        <v>1</v>
      </c>
      <c r="BC272" s="77">
        <f>ROUNDUP(tbl_Data[[#This Row],[Adjusted 2026]]/$L272,0)</f>
        <v>1</v>
      </c>
      <c r="BD272" s="77">
        <f>ROUNDUP(tbl_Data[[#This Row],[Adjusted 2027]]/$L272,0)</f>
        <v>1</v>
      </c>
      <c r="BE272" s="77">
        <f>ROUNDUP(tbl_Data[[#This Row],[Adjusted 2028]]/$L272,0)</f>
        <v>1</v>
      </c>
      <c r="BF272" s="77">
        <f>ROUNDUP(tbl_Data[[#This Row],[Adjusted 2029]]/$L272,0)</f>
        <v>1</v>
      </c>
      <c r="BG272" s="77">
        <f>ROUNDUP(tbl_Data[[#This Row],[Adjusted 2030]]/$L272,0)</f>
        <v>1</v>
      </c>
      <c r="BH272" s="77">
        <f>ROUNDUP(tbl_Data[[#This Row],[Adjusted 2031]]/$L272,0)</f>
        <v>1</v>
      </c>
      <c r="BI272" s="77">
        <f>ROUNDUP(tbl_Data[[#This Row],[Adjusted 2032]]/$L272,0)</f>
        <v>1</v>
      </c>
      <c r="BJ272" s="77">
        <f>ROUNDUP(tbl_Data[[#This Row],[Adjusted 2033]]/$L272,0)</f>
        <v>1</v>
      </c>
      <c r="BK272" s="77">
        <f>ROUNDUP(tbl_Data[[#This Row],[Adjusted 2034]]/$L272,0)</f>
        <v>1</v>
      </c>
      <c r="BL272" s="80">
        <f t="shared" si="122"/>
        <v>0.43215644075170334</v>
      </c>
      <c r="BM272" s="80">
        <f t="shared" si="123"/>
        <v>0.48281212887039443</v>
      </c>
      <c r="BN272" s="80">
        <f t="shared" si="124"/>
        <v>0.53774952325829017</v>
      </c>
      <c r="BO272" s="80">
        <f t="shared" si="125"/>
        <v>0.59807131129593993</v>
      </c>
      <c r="BP272" s="80">
        <f t="shared" si="126"/>
        <v>0.66186540458303322</v>
      </c>
      <c r="BQ272" s="80">
        <f t="shared" si="127"/>
        <v>0.7290508017657803</v>
      </c>
      <c r="BR272" s="80">
        <f t="shared" si="128"/>
        <v>0.7977919940506929</v>
      </c>
      <c r="BS272" s="80">
        <f t="shared" si="129"/>
        <v>0.86920400340388571</v>
      </c>
      <c r="BT272" s="80">
        <f t="shared" si="130"/>
        <v>0.94550902994268193</v>
      </c>
      <c r="BU272" s="80">
        <f t="shared" si="131"/>
        <v>1.0226173068120319</v>
      </c>
      <c r="BV272" s="80">
        <f>IFERROR(VLOOKUP($H272,'1. Set Program Names'!$B$2:$D$15,3,0)*V272,"NA")</f>
        <v>1.2260175161581682E-2</v>
      </c>
      <c r="BW272" s="80">
        <f>IFERROR(VLOOKUP($H272,'1. Set Program Names'!$B$2:$D$15,3,0)*W272,"NA")</f>
        <v>1.3697264952920531E-2</v>
      </c>
      <c r="BX272" s="80">
        <f>IFERROR(VLOOKUP($H272,'1. Set Program Names'!$B$2:$D$15,3,0)*X272,"NA")</f>
        <v>1.5255825729996815E-2</v>
      </c>
      <c r="BY272" s="80">
        <f>IFERROR(VLOOKUP($H272,'1. Set Program Names'!$B$2:$D$15,3,0)*Y272,"NA")</f>
        <v>1.6967140470823049E-2</v>
      </c>
      <c r="BZ272" s="80">
        <f>IFERROR(VLOOKUP($H272,'1. Set Program Names'!$B$2:$D$15,3,0)*Z272,"NA")</f>
        <v>1.8776963683485564E-2</v>
      </c>
      <c r="CA272" s="80">
        <f>IFERROR(VLOOKUP($H272,'1. Set Program Names'!$B$2:$D$15,3,0)*AA272,"NA")</f>
        <v>2.0682997378894903E-2</v>
      </c>
      <c r="CB272" s="80">
        <f>IFERROR(VLOOKUP($H272,'1. Set Program Names'!$B$2:$D$15,3,0)*AB272,"NA")</f>
        <v>2.2633168610319908E-2</v>
      </c>
      <c r="CC272" s="80">
        <f>IFERROR(VLOOKUP($H272,'1. Set Program Names'!$B$2:$D$15,3,0)*AC272,"NA")</f>
        <v>2.4659110285023968E-2</v>
      </c>
      <c r="CD272" s="80">
        <f>IFERROR(VLOOKUP($H272,'1. Set Program Names'!$B$2:$D$15,3,0)*AD272,"NA")</f>
        <v>2.682386569037562E-2</v>
      </c>
      <c r="CE272" s="80">
        <f>IFERROR(VLOOKUP($H272,'1. Set Program Names'!$B$2:$D$15,3,0)*AE272,"NA")</f>
        <v>2.9011409116042455E-2</v>
      </c>
    </row>
    <row r="273" spans="1:83" x14ac:dyDescent="0.25">
      <c r="A273" s="79" t="s">
        <v>114</v>
      </c>
      <c r="B273" s="79" t="s">
        <v>88</v>
      </c>
      <c r="C273" s="79" t="s">
        <v>122</v>
      </c>
      <c r="D273" s="79" t="s">
        <v>90</v>
      </c>
      <c r="E273" s="79" t="s">
        <v>91</v>
      </c>
      <c r="F273" s="79" t="s">
        <v>90</v>
      </c>
      <c r="G273" s="79" t="s">
        <v>92</v>
      </c>
      <c r="H273" s="79" t="s">
        <v>14</v>
      </c>
      <c r="I273" s="79" t="s">
        <v>238</v>
      </c>
      <c r="J273" s="79" t="s">
        <v>129</v>
      </c>
      <c r="K273" s="79" t="s">
        <v>102</v>
      </c>
      <c r="L273" s="79">
        <v>4477.6116666666303</v>
      </c>
      <c r="M273" s="79">
        <v>0.90610878358590996</v>
      </c>
      <c r="N273" s="79">
        <v>4.9616670393602701E-2</v>
      </c>
      <c r="O273" s="79">
        <f>9351.31/1137.9*tbl_Data[[#This Row],[kWh Savings]]</f>
        <v>36797.200768623181</v>
      </c>
      <c r="P273" s="79">
        <v>44221.719775682497</v>
      </c>
      <c r="Q273" s="79">
        <v>159.401609454924</v>
      </c>
      <c r="R273" s="79">
        <v>2670.7044942461998</v>
      </c>
      <c r="S273" s="79">
        <v>6902.6319322295803</v>
      </c>
      <c r="T273" s="79">
        <v>30</v>
      </c>
      <c r="U273" s="79">
        <v>0.94999999999999896</v>
      </c>
      <c r="V273" s="79">
        <f>tbl_Data_old[[#This Row],[2025 ]]*IFERROR(AVERAGEIFS('Participation Adjustment'!$C:$C,'Participation Adjustment'!$A:$A,$H273,'Participation Adjustment'!$B:$B,$I273),1)</f>
        <v>0.217739693361376</v>
      </c>
      <c r="W273" s="79">
        <f>tbl_Data_old[[#This Row],[2026 ]]*IFERROR(AVERAGEIFS('Participation Adjustment'!$C:$C,'Participation Adjustment'!$A:$A,$H273,'Participation Adjustment'!$B:$B,$I273),1)</f>
        <v>0.242941725659369</v>
      </c>
      <c r="X273" s="79">
        <f>tbl_Data_old[[#This Row],[2027 ]]*IFERROR(AVERAGEIFS('Participation Adjustment'!$C:$C,'Participation Adjustment'!$A:$A,$H273,'Participation Adjustment'!$B:$B,$I273),1)</f>
        <v>0.27012434324578899</v>
      </c>
      <c r="Y273" s="79">
        <f>tbl_Data_old[[#This Row],[2028 ]]*IFERROR(AVERAGEIFS('Participation Adjustment'!$C:$C,'Participation Adjustment'!$A:$A,$H273,'Participation Adjustment'!$B:$B,$I273),1)</f>
        <v>0.299888045253209</v>
      </c>
      <c r="Z273" s="79">
        <f>tbl_Data_old[[#This Row],[2029 ]]*IFERROR(AVERAGEIFS('Participation Adjustment'!$C:$C,'Participation Adjustment'!$A:$A,$H273,'Participation Adjustment'!$B:$B,$I273),1)</f>
        <v>0.33131192097878098</v>
      </c>
      <c r="AA273" s="79">
        <f>tbl_Data_old[[#This Row],[2030 ]]*IFERROR(AVERAGEIFS('Participation Adjustment'!$C:$C,'Participation Adjustment'!$A:$A,$H273,'Participation Adjustment'!$B:$B,$I273),1)</f>
        <v>0.36432506511378898</v>
      </c>
      <c r="AB273" s="79">
        <f>tbl_Data_old[[#This Row],[2031 ]]*IFERROR(AVERAGEIFS('Participation Adjustment'!$C:$C,'Participation Adjustment'!$A:$A,$H273,'Participation Adjustment'!$B:$B,$I273),1)</f>
        <v>0.398066772298592</v>
      </c>
      <c r="AC273" s="79">
        <f>tbl_Data_old[[#This Row],[2032 ]]*IFERROR(AVERAGEIFS('Participation Adjustment'!$C:$C,'Participation Adjustment'!$A:$A,$H273,'Participation Adjustment'!$B:$B,$I273),1)</f>
        <v>0.43310330186467899</v>
      </c>
      <c r="AD273" s="79">
        <f>tbl_Data_old[[#This Row],[2033 ]]*IFERROR(AVERAGEIFS('Participation Adjustment'!$C:$C,'Participation Adjustment'!$A:$A,$H273,'Participation Adjustment'!$B:$B,$I273),1)</f>
        <v>0.47047795473068199</v>
      </c>
      <c r="AE273" s="79">
        <f>tbl_Data_old[[#This Row],[2034 ]]*IFERROR(AVERAGEIFS('Participation Adjustment'!$C:$C,'Participation Adjustment'!$A:$A,$H273,'Participation Adjustment'!$B:$B,$I273),1)</f>
        <v>0.508237370965133</v>
      </c>
      <c r="AF273" s="77" t="str">
        <f t="shared" si="121"/>
        <v>NonResidential</v>
      </c>
      <c r="AG273" s="77" t="str">
        <f>tbl_Data[[#This Row],[All_Meas_Name_Append]]</f>
        <v>Ceiling Insulation(R19 to R49)</v>
      </c>
      <c r="AH273" s="77">
        <f>AVERAGEIFS('3. Incentive Adjustment'!G:G,'3. Incentive Adjustment'!A:A,tbl_Data[[#This Row],[Trimmed Sector]],'3. Incentive Adjustment'!B:B,tbl_Data[[#This Row],[Trimmed Measure Name]])</f>
        <v>7.9373870200739678E-11</v>
      </c>
      <c r="AI273" s="77">
        <f>$AH273*tbl_Data[[#This Row],[2025 ]]</f>
        <v>1.7282842158414716E-11</v>
      </c>
      <c r="AJ273" s="77">
        <f>$AH273*tbl_Data[[#This Row],[2026 ]]</f>
        <v>1.9283224998830464E-11</v>
      </c>
      <c r="AK273" s="77">
        <f>$AH273*tbl_Data[[#This Row],[2027 ]]</f>
        <v>2.1440814558851307E-11</v>
      </c>
      <c r="AL273" s="77">
        <f>$AH273*tbl_Data[[#This Row],[2028 ]]</f>
        <v>2.3803274778681757E-11</v>
      </c>
      <c r="AM273" s="77">
        <f>$AH273*tbl_Data[[#This Row],[2029 ]]</f>
        <v>2.6297509411727482E-11</v>
      </c>
      <c r="AN273" s="77">
        <f>$AH273*tbl_Data[[#This Row],[2030 ]]</f>
        <v>2.8917890429217918E-11</v>
      </c>
      <c r="AO273" s="77">
        <f>$AH273*tbl_Data[[#This Row],[2031 ]]</f>
        <v>3.1596100315655841E-11</v>
      </c>
      <c r="AP273" s="77">
        <f>$AH273*tbl_Data[[#This Row],[2032 ]]</f>
        <v>3.4377085265718808E-11</v>
      </c>
      <c r="AQ273" s="77">
        <f>$AH273*tbl_Data[[#This Row],[2033 ]]</f>
        <v>3.7343656111102629E-11</v>
      </c>
      <c r="AR273" s="77">
        <f>$AH273*tbl_Data[[#This Row],[2034 ]]</f>
        <v>4.0340767114151645E-11</v>
      </c>
      <c r="AS273" s="77">
        <f>SUM(tbl_Data[[#This Row],[Adjusted 2025]:[Adjusted 2034]])</f>
        <v>2.8068316514235255E-10</v>
      </c>
      <c r="AT273" s="80">
        <f>AVERAGEIFS('3. Incentive Adjustment'!F:F,'3. Incentive Adjustment'!A:A,tbl_Data[[#This Row],[Trimmed Sector]],'3. Incentive Adjustment'!B:B,tbl_Data[[#This Row],[Trimmed Measure Name]])</f>
        <v>4754.4974087894998</v>
      </c>
      <c r="AU273" s="80">
        <f>IFERROR(VLOOKUP(tbl_Data[[#This Row],[All_Meas_Name_Append]],'IRA Tax Credits'!$A$3:$D$46,4,0),0)</f>
        <v>500</v>
      </c>
      <c r="AV273" s="81">
        <f>tbl_Data[[#This Row],[Adj. per unit Incentive ($)]]/tbl_Data[[#This Row],[kWh Savings]]*tbl_Data[[#This Row],[Sum of Annuals]]</f>
        <v>2.9804000005065828E-10</v>
      </c>
      <c r="AW273" s="81">
        <f>IFERROR(VLOOKUP(tbl_Data[[#This Row],[Column1]],'1. Set Program Names'!$B$2:$D$15,3,0)*tbl_Data[[#This Row],[Sum of Annuals]],"")</f>
        <v>9.9922350577358741E-12</v>
      </c>
      <c r="AX273" s="81">
        <f>tbl_Data[[#This Row],[per unit IRA tax ($)]]/tbl_Data[[#This Row],[kWh Savings]]*tbl_Data[[#This Row],[Sum of Annuals]]</f>
        <v>3.1342955356299116E-11</v>
      </c>
      <c r="AY273" s="81">
        <f>tbl_Data[[#This Row],[Avoided Costs ($/unit)]]/tbl_Data[[#This Row],[kWh Savings]]*tbl_Data[[#This Row],[Sum of Annuals]]</f>
        <v>1.6741554346605209E-10</v>
      </c>
      <c r="AZ273" s="81">
        <f>tbl_Data[[#This Row],[Lost Revenue ($/unit)]]/tbl_Data[[#This Row],[kWh Savings]]*tbl_Data[[#This Row],[Sum of Annuals]]</f>
        <v>4.3269776898567288E-10</v>
      </c>
      <c r="BA273" s="81">
        <f>tbl_Data[[#This Row],[Incremental Cost ($/unit)]]/tbl_Data[[#This Row],[kWh Savings]]*tbl_Data[[#This Row],[Sum of Annuals]]</f>
        <v>2.3066660418554637E-9</v>
      </c>
      <c r="BB273" s="77">
        <f>ROUNDUP(tbl_Data[[#This Row],[Adjusted 2025]]/$L273,0)</f>
        <v>1</v>
      </c>
      <c r="BC273" s="77">
        <f>ROUNDUP(tbl_Data[[#This Row],[Adjusted 2026]]/$L273,0)</f>
        <v>1</v>
      </c>
      <c r="BD273" s="77">
        <f>ROUNDUP(tbl_Data[[#This Row],[Adjusted 2027]]/$L273,0)</f>
        <v>1</v>
      </c>
      <c r="BE273" s="77">
        <f>ROUNDUP(tbl_Data[[#This Row],[Adjusted 2028]]/$L273,0)</f>
        <v>1</v>
      </c>
      <c r="BF273" s="77">
        <f>ROUNDUP(tbl_Data[[#This Row],[Adjusted 2029]]/$L273,0)</f>
        <v>1</v>
      </c>
      <c r="BG273" s="77">
        <f>ROUNDUP(tbl_Data[[#This Row],[Adjusted 2030]]/$L273,0)</f>
        <v>1</v>
      </c>
      <c r="BH273" s="77">
        <f>ROUNDUP(tbl_Data[[#This Row],[Adjusted 2031]]/$L273,0)</f>
        <v>1</v>
      </c>
      <c r="BI273" s="77">
        <f>ROUNDUP(tbl_Data[[#This Row],[Adjusted 2032]]/$L273,0)</f>
        <v>1</v>
      </c>
      <c r="BJ273" s="77">
        <f>ROUNDUP(tbl_Data[[#This Row],[Adjusted 2033]]/$L273,0)</f>
        <v>1</v>
      </c>
      <c r="BK273" s="77">
        <f>ROUNDUP(tbl_Data[[#This Row],[Adjusted 2034]]/$L273,0)</f>
        <v>1</v>
      </c>
      <c r="BL273" s="80">
        <f t="shared" si="122"/>
        <v>0.23120424122174305</v>
      </c>
      <c r="BM273" s="80">
        <f t="shared" si="123"/>
        <v>0.25796471224451034</v>
      </c>
      <c r="BN273" s="80">
        <f t="shared" si="124"/>
        <v>0.28682824363131382</v>
      </c>
      <c r="BO273" s="80">
        <f t="shared" si="125"/>
        <v>0.31843246807170833</v>
      </c>
      <c r="BP273" s="80">
        <f t="shared" si="126"/>
        <v>0.35179952775300938</v>
      </c>
      <c r="BQ273" s="80">
        <f t="shared" si="127"/>
        <v>0.38685413273681757</v>
      </c>
      <c r="BR273" s="80">
        <f t="shared" si="128"/>
        <v>0.4226823535208028</v>
      </c>
      <c r="BS273" s="80">
        <f t="shared" si="129"/>
        <v>0.45988546567879596</v>
      </c>
      <c r="BT273" s="80">
        <f t="shared" si="130"/>
        <v>0.49957128558334024</v>
      </c>
      <c r="BU273" s="80">
        <f t="shared" si="131"/>
        <v>0.5396656617840685</v>
      </c>
      <c r="BV273" s="80">
        <f>IFERROR(VLOOKUP($H273,'1. Set Program Names'!$B$2:$D$15,3,0)*V273,"NA")</f>
        <v>7.7514666629997534E-3</v>
      </c>
      <c r="BW273" s="80">
        <f>IFERROR(VLOOKUP($H273,'1. Set Program Names'!$B$2:$D$15,3,0)*W273,"NA")</f>
        <v>8.6486513250242144E-3</v>
      </c>
      <c r="BX273" s="80">
        <f>IFERROR(VLOOKUP($H273,'1. Set Program Names'!$B$2:$D$15,3,0)*X273,"NA")</f>
        <v>9.6163442191466667E-3</v>
      </c>
      <c r="BY273" s="80">
        <f>IFERROR(VLOOKUP($H273,'1. Set Program Names'!$B$2:$D$15,3,0)*Y273,"NA")</f>
        <v>1.0675922931306736E-2</v>
      </c>
      <c r="BZ273" s="80">
        <f>IFERROR(VLOOKUP($H273,'1. Set Program Names'!$B$2:$D$15,3,0)*Z273,"NA")</f>
        <v>1.1794603321403337E-2</v>
      </c>
      <c r="CA273" s="80">
        <f>IFERROR(VLOOKUP($H273,'1. Set Program Names'!$B$2:$D$15,3,0)*AA273,"NA")</f>
        <v>1.2969861182075578E-2</v>
      </c>
      <c r="CB273" s="80">
        <f>IFERROR(VLOOKUP($H273,'1. Set Program Names'!$B$2:$D$15,3,0)*AB273,"NA")</f>
        <v>1.4171055665075132E-2</v>
      </c>
      <c r="CC273" s="80">
        <f>IFERROR(VLOOKUP($H273,'1. Set Program Names'!$B$2:$D$15,3,0)*AC273,"NA")</f>
        <v>1.5418345429867756E-2</v>
      </c>
      <c r="CD273" s="80">
        <f>IFERROR(VLOOKUP($H273,'1. Set Program Names'!$B$2:$D$15,3,0)*AD273,"NA")</f>
        <v>1.674887167090177E-2</v>
      </c>
      <c r="CE273" s="80">
        <f>IFERROR(VLOOKUP($H273,'1. Set Program Names'!$B$2:$D$15,3,0)*AE273,"NA")</f>
        <v>1.809309537048193E-2</v>
      </c>
    </row>
    <row r="274" spans="1:83" x14ac:dyDescent="0.25">
      <c r="A274" s="79" t="s">
        <v>114</v>
      </c>
      <c r="B274" s="79" t="s">
        <v>88</v>
      </c>
      <c r="C274" s="79" t="s">
        <v>122</v>
      </c>
      <c r="D274" s="79" t="s">
        <v>90</v>
      </c>
      <c r="E274" s="79" t="s">
        <v>91</v>
      </c>
      <c r="F274" s="79" t="s">
        <v>90</v>
      </c>
      <c r="G274" s="79" t="s">
        <v>92</v>
      </c>
      <c r="H274" s="79" t="s">
        <v>14</v>
      </c>
      <c r="I274" s="79" t="s">
        <v>240</v>
      </c>
      <c r="J274" s="79" t="s">
        <v>129</v>
      </c>
      <c r="K274" s="79" t="s">
        <v>102</v>
      </c>
      <c r="L274" s="79">
        <v>18717.787499999999</v>
      </c>
      <c r="M274" s="79">
        <v>3.6380387810097399</v>
      </c>
      <c r="N274" s="79">
        <v>0.14255501576814</v>
      </c>
      <c r="O274" s="79">
        <f>11091.09/6133.31*tbl_Data[[#This Row],[kWh Savings]]</f>
        <v>33848.063405139306</v>
      </c>
      <c r="P274" s="79">
        <v>45532.278837645601</v>
      </c>
      <c r="Q274" s="79">
        <v>666.34752521012103</v>
      </c>
      <c r="R274" s="79">
        <v>11042.715256281999</v>
      </c>
      <c r="S274" s="79">
        <v>28855.114582630202</v>
      </c>
      <c r="T274" s="79">
        <v>30</v>
      </c>
      <c r="U274" s="79">
        <v>0.95</v>
      </c>
      <c r="V274" s="79">
        <f>tbl_Data_old[[#This Row],[2025 ]]*IFERROR(AVERAGEIFS('Participation Adjustment'!$C:$C,'Participation Adjustment'!$A:$A,$H274,'Participation Adjustment'!$B:$B,$I274),1)</f>
        <v>0.39265796618577398</v>
      </c>
      <c r="W274" s="79">
        <f>tbl_Data_old[[#This Row],[2026 ]]*IFERROR(AVERAGEIFS('Participation Adjustment'!$C:$C,'Participation Adjustment'!$A:$A,$H274,'Participation Adjustment'!$B:$B,$I274),1)</f>
        <v>0.38516517236894698</v>
      </c>
      <c r="X274" s="79">
        <f>tbl_Data_old[[#This Row],[2027 ]]*IFERROR(AVERAGEIFS('Participation Adjustment'!$C:$C,'Participation Adjustment'!$A:$A,$H274,'Participation Adjustment'!$B:$B,$I274),1)</f>
        <v>0.374486739271639</v>
      </c>
      <c r="Y274" s="79">
        <f>tbl_Data_old[[#This Row],[2028 ]]*IFERROR(AVERAGEIFS('Participation Adjustment'!$C:$C,'Participation Adjustment'!$A:$A,$H274,'Participation Adjustment'!$B:$B,$I274),1)</f>
        <v>0.36416267148372999</v>
      </c>
      <c r="Z274" s="79">
        <f>tbl_Data_old[[#This Row],[2029 ]]*IFERROR(AVERAGEIFS('Participation Adjustment'!$C:$C,'Participation Adjustment'!$A:$A,$H274,'Participation Adjustment'!$B:$B,$I274),1)</f>
        <v>0.354282619148236</v>
      </c>
      <c r="AA274" s="79">
        <f>tbl_Data_old[[#This Row],[2030 ]]*IFERROR(AVERAGEIFS('Participation Adjustment'!$C:$C,'Participation Adjustment'!$A:$A,$H274,'Participation Adjustment'!$B:$B,$I274),1)</f>
        <v>0.34384911502737397</v>
      </c>
      <c r="AB274" s="79">
        <f>tbl_Data_old[[#This Row],[2031 ]]*IFERROR(AVERAGEIFS('Participation Adjustment'!$C:$C,'Participation Adjustment'!$A:$A,$H274,'Participation Adjustment'!$B:$B,$I274),1)</f>
        <v>0.33356592047912298</v>
      </c>
      <c r="AC274" s="79">
        <f>tbl_Data_old[[#This Row],[2032 ]]*IFERROR(AVERAGEIFS('Participation Adjustment'!$C:$C,'Participation Adjustment'!$A:$A,$H274,'Participation Adjustment'!$B:$B,$I274),1)</f>
        <v>0.323982740200768</v>
      </c>
      <c r="AD274" s="79">
        <f>tbl_Data_old[[#This Row],[2033 ]]*IFERROR(AVERAGEIFS('Participation Adjustment'!$C:$C,'Participation Adjustment'!$A:$A,$H274,'Participation Adjustment'!$B:$B,$I274),1)</f>
        <v>0.31454046908973698</v>
      </c>
      <c r="AE274" s="79">
        <f>tbl_Data_old[[#This Row],[2034 ]]*IFERROR(AVERAGEIFS('Participation Adjustment'!$C:$C,'Participation Adjustment'!$A:$A,$H274,'Participation Adjustment'!$B:$B,$I274),1)</f>
        <v>0.30542024400963902</v>
      </c>
      <c r="AF274" s="77" t="str">
        <f t="shared" si="121"/>
        <v>NonResidential</v>
      </c>
      <c r="AG274" s="77" t="str">
        <f>tbl_Data[[#This Row],[All_Meas_Name_Append]]</f>
        <v>Ceiling Insulation(R2 to R38)</v>
      </c>
      <c r="AH274" s="77">
        <f>AVERAGEIFS('3. Incentive Adjustment'!G:G,'3. Incentive Adjustment'!A:A,tbl_Data[[#This Row],[Trimmed Sector]],'3. Incentive Adjustment'!B:B,tbl_Data[[#This Row],[Trimmed Measure Name]])</f>
        <v>3.0218441517909909E-3</v>
      </c>
      <c r="AI274" s="77">
        <f>$AH274*tbl_Data[[#This Row],[2025 ]]</f>
        <v>1.1865511787726257E-3</v>
      </c>
      <c r="AJ274" s="77">
        <f>$AH274*tbl_Data[[#This Row],[2026 ]]</f>
        <v>1.1639091235966714E-3</v>
      </c>
      <c r="AK274" s="77">
        <f>$AH274*tbl_Data[[#This Row],[2027 ]]</f>
        <v>1.1316405629912798E-3</v>
      </c>
      <c r="AL274" s="77">
        <f>$AH274*tbl_Data[[#This Row],[2028 ]]</f>
        <v>1.1004428391236934E-3</v>
      </c>
      <c r="AM274" s="77">
        <f>$AH274*tbl_Data[[#This Row],[2029 ]]</f>
        <v>1.070586860754292E-3</v>
      </c>
      <c r="AN274" s="77">
        <f>$AH274*tbl_Data[[#This Row],[2030 ]]</f>
        <v>1.0390584373439777E-3</v>
      </c>
      <c r="AO274" s="77">
        <f>$AH274*tbl_Data[[#This Row],[2031 ]]</f>
        <v>1.0079842260366165E-3</v>
      </c>
      <c r="AP274" s="77">
        <f>$AH274*tbl_Data[[#This Row],[2032 ]]</f>
        <v>9.7902534875691084E-4</v>
      </c>
      <c r="AQ274" s="77">
        <f>$AH274*tbl_Data[[#This Row],[2033 ]]</f>
        <v>9.5049227702041664E-4</v>
      </c>
      <c r="AR274" s="77">
        <f>$AH274*tbl_Data[[#This Row],[2034 ]]</f>
        <v>9.2293237819910507E-4</v>
      </c>
      <c r="AS274" s="77">
        <f>SUM(tbl_Data[[#This Row],[Adjusted 2025]:[Adjusted 2034]])</f>
        <v>1.0552623232595587E-2</v>
      </c>
      <c r="AT274" s="80">
        <f>AVERAGEIFS('3. Incentive Adjustment'!F:F,'3. Incentive Adjustment'!A:A,tbl_Data[[#This Row],[Trimmed Sector]],'3. Incentive Adjustment'!B:B,tbl_Data[[#This Row],[Trimmed Measure Name]])</f>
        <v>4373.4448922946976</v>
      </c>
      <c r="AU274" s="80">
        <f>IFERROR(VLOOKUP(tbl_Data[[#This Row],[All_Meas_Name_Append]],'IRA Tax Credits'!$A$3:$D$46,4,0),0)</f>
        <v>0</v>
      </c>
      <c r="AV274" s="81">
        <f>tbl_Data[[#This Row],[Adj. per unit Incentive ($)]]/tbl_Data[[#This Row],[kWh Savings]]*tbl_Data[[#This Row],[Sum of Annuals]]</f>
        <v>2.4656394980926851E-3</v>
      </c>
      <c r="AW274" s="81">
        <f>IFERROR(VLOOKUP(tbl_Data[[#This Row],[Column1]],'1. Set Program Names'!$B$2:$D$15,3,0)*tbl_Data[[#This Row],[Sum of Annuals]],"")</f>
        <v>3.7567016804282535E-4</v>
      </c>
      <c r="AX274" s="81">
        <f>tbl_Data[[#This Row],[per unit IRA tax ($)]]/tbl_Data[[#This Row],[kWh Savings]]*tbl_Data[[#This Row],[Sum of Annuals]]</f>
        <v>0</v>
      </c>
      <c r="AY274" s="81">
        <f>tbl_Data[[#This Row],[Avoided Costs ($/unit)]]/tbl_Data[[#This Row],[kWh Savings]]*tbl_Data[[#This Row],[Sum of Annuals]]</f>
        <v>6.2256083185247817E-3</v>
      </c>
      <c r="AZ274" s="81">
        <f>tbl_Data[[#This Row],[Lost Revenue ($/unit)]]/tbl_Data[[#This Row],[kWh Savings]]*tbl_Data[[#This Row],[Sum of Annuals]]</f>
        <v>1.6267796208492655E-2</v>
      </c>
      <c r="BA274" s="81">
        <f>tbl_Data[[#This Row],[Incremental Cost ($/unit)]]/tbl_Data[[#This Row],[kWh Savings]]*tbl_Data[[#This Row],[Sum of Annuals]]</f>
        <v>1.9082696620390718E-2</v>
      </c>
      <c r="BB274" s="77">
        <f>ROUNDUP(tbl_Data[[#This Row],[Adjusted 2025]]/$L274,0)</f>
        <v>1</v>
      </c>
      <c r="BC274" s="77">
        <f>ROUNDUP(tbl_Data[[#This Row],[Adjusted 2026]]/$L274,0)</f>
        <v>1</v>
      </c>
      <c r="BD274" s="77">
        <f>ROUNDUP(tbl_Data[[#This Row],[Adjusted 2027]]/$L274,0)</f>
        <v>1</v>
      </c>
      <c r="BE274" s="77">
        <f>ROUNDUP(tbl_Data[[#This Row],[Adjusted 2028]]/$L274,0)</f>
        <v>1</v>
      </c>
      <c r="BF274" s="77">
        <f>ROUNDUP(tbl_Data[[#This Row],[Adjusted 2029]]/$L274,0)</f>
        <v>1</v>
      </c>
      <c r="BG274" s="77">
        <f>ROUNDUP(tbl_Data[[#This Row],[Adjusted 2030]]/$L274,0)</f>
        <v>1</v>
      </c>
      <c r="BH274" s="77">
        <f>ROUNDUP(tbl_Data[[#This Row],[Adjusted 2031]]/$L274,0)</f>
        <v>1</v>
      </c>
      <c r="BI274" s="77">
        <f>ROUNDUP(tbl_Data[[#This Row],[Adjusted 2032]]/$L274,0)</f>
        <v>1</v>
      </c>
      <c r="BJ274" s="77">
        <f>ROUNDUP(tbl_Data[[#This Row],[Adjusted 2033]]/$L274,0)</f>
        <v>1</v>
      </c>
      <c r="BK274" s="77">
        <f>ROUNDUP(tbl_Data[[#This Row],[Adjusted 2034]]/$L274,0)</f>
        <v>1</v>
      </c>
      <c r="BL274" s="80">
        <f t="shared" si="122"/>
        <v>9.1745243749241062E-2</v>
      </c>
      <c r="BM274" s="80">
        <f t="shared" si="123"/>
        <v>8.99945389265039E-2</v>
      </c>
      <c r="BN274" s="80">
        <f t="shared" si="124"/>
        <v>8.7499503726049144E-2</v>
      </c>
      <c r="BO274" s="80">
        <f t="shared" si="125"/>
        <v>8.508726662084988E-2</v>
      </c>
      <c r="BP274" s="80">
        <f t="shared" si="126"/>
        <v>8.2778774528914842E-2</v>
      </c>
      <c r="BQ274" s="80">
        <f t="shared" si="127"/>
        <v>8.0340967426653434E-2</v>
      </c>
      <c r="BR274" s="80">
        <f t="shared" si="128"/>
        <v>7.7938280427801626E-2</v>
      </c>
      <c r="BS274" s="80">
        <f t="shared" si="129"/>
        <v>7.5699153028780192E-2</v>
      </c>
      <c r="BT274" s="80">
        <f t="shared" si="130"/>
        <v>7.3492949311476513E-2</v>
      </c>
      <c r="BU274" s="80">
        <f t="shared" si="131"/>
        <v>7.1361992231579519E-2</v>
      </c>
      <c r="BV274" s="80">
        <f>IFERROR(VLOOKUP($H274,'1. Set Program Names'!$B$2:$D$15,3,0)*V274,"NA")</f>
        <v>1.3978503817394542E-2</v>
      </c>
      <c r="BW274" s="80">
        <f>IFERROR(VLOOKUP($H274,'1. Set Program Names'!$B$2:$D$15,3,0)*W274,"NA")</f>
        <v>1.3711762643163754E-2</v>
      </c>
      <c r="BX274" s="80">
        <f>IFERROR(VLOOKUP($H274,'1. Set Program Names'!$B$2:$D$15,3,0)*X274,"NA")</f>
        <v>1.3331613682314988E-2</v>
      </c>
      <c r="BY274" s="80">
        <f>IFERROR(VLOOKUP($H274,'1. Set Program Names'!$B$2:$D$15,3,0)*Y274,"NA")</f>
        <v>1.2964080018383036E-2</v>
      </c>
      <c r="BZ274" s="80">
        <f>IFERROR(VLOOKUP($H274,'1. Set Program Names'!$B$2:$D$15,3,0)*Z274,"NA")</f>
        <v>1.2612353169111834E-2</v>
      </c>
      <c r="CA274" s="80">
        <f>IFERROR(VLOOKUP($H274,'1. Set Program Names'!$B$2:$D$15,3,0)*AA274,"NA")</f>
        <v>1.2240923605109892E-2</v>
      </c>
      <c r="CB274" s="80">
        <f>IFERROR(VLOOKUP($H274,'1. Set Program Names'!$B$2:$D$15,3,0)*AB274,"NA")</f>
        <v>1.1874845016041538E-2</v>
      </c>
      <c r="CC274" s="80">
        <f>IFERROR(VLOOKUP($H274,'1. Set Program Names'!$B$2:$D$15,3,0)*AC274,"NA")</f>
        <v>1.1533686721444792E-2</v>
      </c>
      <c r="CD274" s="80">
        <f>IFERROR(VLOOKUP($H274,'1. Set Program Names'!$B$2:$D$15,3,0)*AD274,"NA")</f>
        <v>1.1197544750220974E-2</v>
      </c>
      <c r="CE274" s="80">
        <f>IFERROR(VLOOKUP($H274,'1. Set Program Names'!$B$2:$D$15,3,0)*AE274,"NA")</f>
        <v>1.0872867519459458E-2</v>
      </c>
    </row>
    <row r="275" spans="1:83" x14ac:dyDescent="0.25">
      <c r="A275" s="79" t="s">
        <v>114</v>
      </c>
      <c r="B275" s="79" t="s">
        <v>88</v>
      </c>
      <c r="C275" s="79" t="s">
        <v>122</v>
      </c>
      <c r="D275" s="79" t="s">
        <v>90</v>
      </c>
      <c r="E275" s="79" t="s">
        <v>91</v>
      </c>
      <c r="F275" s="79" t="s">
        <v>90</v>
      </c>
      <c r="G275" s="79" t="s">
        <v>92</v>
      </c>
      <c r="H275" s="79" t="s">
        <v>14</v>
      </c>
      <c r="I275" s="79" t="s">
        <v>241</v>
      </c>
      <c r="J275" s="79" t="s">
        <v>129</v>
      </c>
      <c r="K275" s="79" t="s">
        <v>102</v>
      </c>
      <c r="L275" s="79">
        <v>19185.113333333298</v>
      </c>
      <c r="M275" s="79">
        <v>4.6125790568704801</v>
      </c>
      <c r="N275" s="79">
        <v>0.25911922024205197</v>
      </c>
      <c r="O275" s="79">
        <f>11417.3/6341.92*tbl_Data[[#This Row],[kWh Savings]]</f>
        <v>34538.782334161617</v>
      </c>
      <c r="P275" s="79">
        <v>25197.386166847798</v>
      </c>
      <c r="Q275" s="79">
        <v>682.98418232081895</v>
      </c>
      <c r="R275" s="79">
        <v>12014.6297388403</v>
      </c>
      <c r="S275" s="79">
        <v>29575.538429105502</v>
      </c>
      <c r="T275" s="79">
        <v>30</v>
      </c>
      <c r="U275" s="79">
        <v>0.95</v>
      </c>
      <c r="V275" s="79">
        <f>tbl_Data_old[[#This Row],[2025 ]]*IFERROR(AVERAGEIFS('Participation Adjustment'!$C:$C,'Participation Adjustment'!$A:$A,$H275,'Participation Adjustment'!$B:$B,$I275),1)</f>
        <v>0.44000049116144502</v>
      </c>
      <c r="W275" s="79">
        <f>tbl_Data_old[[#This Row],[2026 ]]*IFERROR(AVERAGEIFS('Participation Adjustment'!$C:$C,'Participation Adjustment'!$A:$A,$H275,'Participation Adjustment'!$B:$B,$I275),1)</f>
        <v>0.43131691904084002</v>
      </c>
      <c r="X275" s="79">
        <f>tbl_Data_old[[#This Row],[2027 ]]*IFERROR(AVERAGEIFS('Participation Adjustment'!$C:$C,'Participation Adjustment'!$A:$A,$H275,'Participation Adjustment'!$B:$B,$I275),1)</f>
        <v>0.41907270657454798</v>
      </c>
      <c r="Y275" s="79">
        <f>tbl_Data_old[[#This Row],[2028 ]]*IFERROR(AVERAGEIFS('Participation Adjustment'!$C:$C,'Participation Adjustment'!$A:$A,$H275,'Participation Adjustment'!$B:$B,$I275),1)</f>
        <v>0.40723896163115197</v>
      </c>
      <c r="Z275" s="79">
        <f>tbl_Data_old[[#This Row],[2029 ]]*IFERROR(AVERAGEIFS('Participation Adjustment'!$C:$C,'Participation Adjustment'!$A:$A,$H275,'Participation Adjustment'!$B:$B,$I275),1)</f>
        <v>0.39591883664146998</v>
      </c>
      <c r="AA275" s="79">
        <f>tbl_Data_old[[#This Row],[2030 ]]*IFERROR(AVERAGEIFS('Participation Adjustment'!$C:$C,'Participation Adjustment'!$A:$A,$H275,'Participation Adjustment'!$B:$B,$I275),1)</f>
        <v>0.38400005950508098</v>
      </c>
      <c r="AB275" s="79">
        <f>tbl_Data_old[[#This Row],[2031 ]]*IFERROR(AVERAGEIFS('Participation Adjustment'!$C:$C,'Participation Adjustment'!$A:$A,$H275,'Participation Adjustment'!$B:$B,$I275),1)</f>
        <v>0.37227104737787298</v>
      </c>
      <c r="AC275" s="79">
        <f>tbl_Data_old[[#This Row],[2032 ]]*IFERROR(AVERAGEIFS('Participation Adjustment'!$C:$C,'Participation Adjustment'!$A:$A,$H275,'Participation Adjustment'!$B:$B,$I275),1)</f>
        <v>0.361345573926032</v>
      </c>
      <c r="AD275" s="79">
        <f>tbl_Data_old[[#This Row],[2033 ]]*IFERROR(AVERAGEIFS('Participation Adjustment'!$C:$C,'Participation Adjustment'!$A:$A,$H275,'Participation Adjustment'!$B:$B,$I275),1)</f>
        <v>0.35059941167754699</v>
      </c>
      <c r="AE275" s="79">
        <f>tbl_Data_old[[#This Row],[2034 ]]*IFERROR(AVERAGEIFS('Participation Adjustment'!$C:$C,'Participation Adjustment'!$A:$A,$H275,'Participation Adjustment'!$B:$B,$I275),1)</f>
        <v>0.34023407275654799</v>
      </c>
      <c r="AF275" s="77" t="str">
        <f t="shared" si="121"/>
        <v>NonResidential</v>
      </c>
      <c r="AG275" s="77" t="str">
        <f>tbl_Data[[#This Row],[All_Meas_Name_Append]]</f>
        <v>Ceiling Insulation(R2 to R49)</v>
      </c>
      <c r="AH275" s="77">
        <f>AVERAGEIFS('3. Incentive Adjustment'!G:G,'3. Incentive Adjustment'!A:A,tbl_Data[[#This Row],[Trimmed Sector]],'3. Incentive Adjustment'!B:B,tbl_Data[[#This Row],[Trimmed Measure Name]])</f>
        <v>5.674595082038876E-2</v>
      </c>
      <c r="AI275" s="77">
        <f>$AH275*tbl_Data[[#This Row],[2025 ]]</f>
        <v>2.496824623239426E-2</v>
      </c>
      <c r="AJ275" s="77">
        <f>$AH275*tbl_Data[[#This Row],[2026 ]]</f>
        <v>2.4475488675893109E-2</v>
      </c>
      <c r="AK275" s="77">
        <f>$AH275*tbl_Data[[#This Row],[2027 ]]</f>
        <v>2.378067919744651E-2</v>
      </c>
      <c r="AL275" s="77">
        <f>$AH275*tbl_Data[[#This Row],[2028 ]]</f>
        <v>2.3109162088867534E-2</v>
      </c>
      <c r="AM275" s="77">
        <f>$AH275*tbl_Data[[#This Row],[2029 ]]</f>
        <v>2.2466790832922388E-2</v>
      </c>
      <c r="AN275" s="77">
        <f>$AH275*tbl_Data[[#This Row],[2030 ]]</f>
        <v>2.1790448491701683E-2</v>
      </c>
      <c r="AO275" s="77">
        <f>$AH275*tbl_Data[[#This Row],[2031 ]]</f>
        <v>2.1124874546359394E-2</v>
      </c>
      <c r="AP275" s="77">
        <f>$AH275*tbl_Data[[#This Row],[2032 ]]</f>
        <v>2.0504898167171763E-2</v>
      </c>
      <c r="AQ275" s="77">
        <f>$AH275*tbl_Data[[#This Row],[2033 ]]</f>
        <v>1.9895096972711315E-2</v>
      </c>
      <c r="AR275" s="77">
        <f>$AH275*tbl_Data[[#This Row],[2034 ]]</f>
        <v>1.9306905960063642E-2</v>
      </c>
      <c r="AS275" s="77">
        <f>SUM(tbl_Data[[#This Row],[Adjusted 2025]:[Adjusted 2034]])</f>
        <v>0.22142259116553162</v>
      </c>
      <c r="AT275" s="80">
        <f>AVERAGEIFS('3. Incentive Adjustment'!F:F,'3. Incentive Adjustment'!A:A,tbl_Data[[#This Row],[Trimmed Sector]],'3. Incentive Adjustment'!B:B,tbl_Data[[#This Row],[Trimmed Measure Name]])</f>
        <v>4335.1908026959672</v>
      </c>
      <c r="AU275" s="80">
        <f>IFERROR(VLOOKUP(tbl_Data[[#This Row],[All_Meas_Name_Append]],'IRA Tax Credits'!$A$3:$D$46,4,0),0)</f>
        <v>500</v>
      </c>
      <c r="AV275" s="81">
        <f>tbl_Data[[#This Row],[Adj. per unit Incentive ($)]]/tbl_Data[[#This Row],[kWh Savings]]*tbl_Data[[#This Row],[Sum of Annuals]]</f>
        <v>5.0034063601913766E-2</v>
      </c>
      <c r="AW275" s="81">
        <f>IFERROR(VLOOKUP(tbl_Data[[#This Row],[Column1]],'1. Set Program Names'!$B$2:$D$15,3,0)*tbl_Data[[#This Row],[Sum of Annuals]],"")</f>
        <v>7.882576701373727E-3</v>
      </c>
      <c r="AX275" s="81">
        <f>tbl_Data[[#This Row],[per unit IRA tax ($)]]/tbl_Data[[#This Row],[kWh Savings]]*tbl_Data[[#This Row],[Sum of Annuals]]</f>
        <v>5.7706875982019741E-3</v>
      </c>
      <c r="AY275" s="81">
        <f>tbl_Data[[#This Row],[Avoided Costs ($/unit)]]/tbl_Data[[#This Row],[kWh Savings]]*tbl_Data[[#This Row],[Sum of Annuals]]</f>
        <v>0.1386653496618287</v>
      </c>
      <c r="AZ275" s="81">
        <f>tbl_Data[[#This Row],[Lost Revenue ($/unit)]]/tbl_Data[[#This Row],[kWh Savings]]*tbl_Data[[#This Row],[Sum of Annuals]]</f>
        <v>0.34134238564597003</v>
      </c>
      <c r="BA275" s="81">
        <f>tbl_Data[[#This Row],[Incremental Cost ($/unit)]]/tbl_Data[[#This Row],[kWh Savings]]*tbl_Data[[#This Row],[Sum of Annuals]]</f>
        <v>0.39862504574548774</v>
      </c>
      <c r="BB275" s="77">
        <f>ROUNDUP(tbl_Data[[#This Row],[Adjusted 2025]]/$L275,0)</f>
        <v>1</v>
      </c>
      <c r="BC275" s="77">
        <f>ROUNDUP(tbl_Data[[#This Row],[Adjusted 2026]]/$L275,0)</f>
        <v>1</v>
      </c>
      <c r="BD275" s="77">
        <f>ROUNDUP(tbl_Data[[#This Row],[Adjusted 2027]]/$L275,0)</f>
        <v>1</v>
      </c>
      <c r="BE275" s="77">
        <f>ROUNDUP(tbl_Data[[#This Row],[Adjusted 2028]]/$L275,0)</f>
        <v>1</v>
      </c>
      <c r="BF275" s="77">
        <f>ROUNDUP(tbl_Data[[#This Row],[Adjusted 2029]]/$L275,0)</f>
        <v>1</v>
      </c>
      <c r="BG275" s="77">
        <f>ROUNDUP(tbl_Data[[#This Row],[Adjusted 2030]]/$L275,0)</f>
        <v>1</v>
      </c>
      <c r="BH275" s="77">
        <f>ROUNDUP(tbl_Data[[#This Row],[Adjusted 2031]]/$L275,0)</f>
        <v>1</v>
      </c>
      <c r="BI275" s="77">
        <f>ROUNDUP(tbl_Data[[#This Row],[Adjusted 2032]]/$L275,0)</f>
        <v>1</v>
      </c>
      <c r="BJ275" s="77">
        <f>ROUNDUP(tbl_Data[[#This Row],[Adjusted 2033]]/$L275,0)</f>
        <v>1</v>
      </c>
      <c r="BK275" s="77">
        <f>ROUNDUP(tbl_Data[[#This Row],[Adjusted 2034]]/$L275,0)</f>
        <v>1</v>
      </c>
      <c r="BL275" s="80">
        <f t="shared" si="122"/>
        <v>9.9425322609412517E-2</v>
      </c>
      <c r="BM275" s="80">
        <f t="shared" si="123"/>
        <v>9.7463127164552285E-2</v>
      </c>
      <c r="BN275" s="80">
        <f t="shared" si="124"/>
        <v>9.4696346674499166E-2</v>
      </c>
      <c r="BO275" s="80">
        <f t="shared" si="125"/>
        <v>9.202231804882896E-2</v>
      </c>
      <c r="BP275" s="80">
        <f t="shared" si="126"/>
        <v>8.9464350269958845E-2</v>
      </c>
      <c r="BQ275" s="80">
        <f t="shared" si="127"/>
        <v>8.6771107226599697E-2</v>
      </c>
      <c r="BR275" s="80">
        <f t="shared" si="128"/>
        <v>8.4120744697323613E-2</v>
      </c>
      <c r="BS275" s="80">
        <f t="shared" si="129"/>
        <v>8.1651954901788393E-2</v>
      </c>
      <c r="BT275" s="80">
        <f t="shared" si="130"/>
        <v>7.9223683411571627E-2</v>
      </c>
      <c r="BU275" s="80">
        <f t="shared" si="131"/>
        <v>7.6881465193914936E-2</v>
      </c>
      <c r="BV275" s="80">
        <f>IFERROR(VLOOKUP($H275,'1. Set Program Names'!$B$2:$D$15,3,0)*V275,"NA")</f>
        <v>1.5663883264871267E-2</v>
      </c>
      <c r="BW275" s="80">
        <f>IFERROR(VLOOKUP($H275,'1. Set Program Names'!$B$2:$D$15,3,0)*W275,"NA")</f>
        <v>1.5354750746268374E-2</v>
      </c>
      <c r="BX275" s="80">
        <f>IFERROR(VLOOKUP($H275,'1. Set Program Names'!$B$2:$D$15,3,0)*X275,"NA")</f>
        <v>1.4918860517518817E-2</v>
      </c>
      <c r="BY275" s="80">
        <f>IFERROR(VLOOKUP($H275,'1. Set Program Names'!$B$2:$D$15,3,0)*Y275,"NA")</f>
        <v>1.4497582807372801E-2</v>
      </c>
      <c r="BZ275" s="80">
        <f>IFERROR(VLOOKUP($H275,'1. Set Program Names'!$B$2:$D$15,3,0)*Z275,"NA")</f>
        <v>1.4094589810901191E-2</v>
      </c>
      <c r="CA275" s="80">
        <f>IFERROR(VLOOKUP($H275,'1. Set Program Names'!$B$2:$D$15,3,0)*AA275,"NA")</f>
        <v>1.3670284980623372E-2</v>
      </c>
      <c r="CB275" s="80">
        <f>IFERROR(VLOOKUP($H275,'1. Set Program Names'!$B$2:$D$15,3,0)*AB275,"NA")</f>
        <v>1.3252735726785302E-2</v>
      </c>
      <c r="CC275" s="80">
        <f>IFERROR(VLOOKUP($H275,'1. Set Program Names'!$B$2:$D$15,3,0)*AC275,"NA")</f>
        <v>1.2863792204673883E-2</v>
      </c>
      <c r="CD275" s="80">
        <f>IFERROR(VLOOKUP($H275,'1. Set Program Names'!$B$2:$D$15,3,0)*AD275,"NA")</f>
        <v>1.2481232106703734E-2</v>
      </c>
      <c r="CE275" s="80">
        <f>IFERROR(VLOOKUP($H275,'1. Set Program Names'!$B$2:$D$15,3,0)*AE275,"NA")</f>
        <v>1.211222920302338E-2</v>
      </c>
    </row>
    <row r="276" spans="1:83" x14ac:dyDescent="0.25">
      <c r="A276" s="79" t="s">
        <v>114</v>
      </c>
      <c r="B276" s="79" t="s">
        <v>88</v>
      </c>
      <c r="C276" s="79" t="s">
        <v>122</v>
      </c>
      <c r="D276" s="79" t="s">
        <v>90</v>
      </c>
      <c r="E276" s="79" t="s">
        <v>91</v>
      </c>
      <c r="F276" s="79" t="s">
        <v>90</v>
      </c>
      <c r="G276" s="79" t="s">
        <v>92</v>
      </c>
      <c r="H276" s="79" t="s">
        <v>14</v>
      </c>
      <c r="I276" s="79" t="s">
        <v>128</v>
      </c>
      <c r="J276" s="79" t="s">
        <v>129</v>
      </c>
      <c r="K276" s="79" t="s">
        <v>130</v>
      </c>
      <c r="L276" s="79">
        <v>2045.1799999999989</v>
      </c>
      <c r="M276" s="79">
        <v>0.47104509500000002</v>
      </c>
      <c r="N276" s="79">
        <v>0.17900382200000001</v>
      </c>
      <c r="O276" s="79">
        <f>19591.5999999999/60160.456*2045.18</f>
        <v>666.02468053100858</v>
      </c>
      <c r="P276" s="79">
        <f>11310.7385995848/60160.456*2045.18</f>
        <v>384.51331501042552</v>
      </c>
      <c r="Q276" s="79">
        <f>2141.69388188172/60160.456*2045.18</f>
        <v>72.807784125619918</v>
      </c>
      <c r="R276" s="79">
        <f>32581.871747558/60160.456*2045.18</f>
        <v>1107.6344311730397</v>
      </c>
      <c r="S276" s="79">
        <f>77209.8271220691/60160.456*2045.18</f>
        <v>2624.780540784353</v>
      </c>
      <c r="T276" s="79">
        <v>20</v>
      </c>
      <c r="U276" s="79">
        <v>0.94999999999999896</v>
      </c>
      <c r="V276" s="79">
        <f>tbl_Data_old[[#This Row],[2025 ]]*IFERROR(AVERAGEIFS('Participation Adjustment'!$C:$C,'Participation Adjustment'!$A:$A,$H276,'Participation Adjustment'!$B:$B,$I276),1)</f>
        <v>5.52773989831375</v>
      </c>
      <c r="W276" s="79">
        <f>tbl_Data_old[[#This Row],[2026 ]]*IFERROR(AVERAGEIFS('Participation Adjustment'!$C:$C,'Participation Adjustment'!$A:$A,$H276,'Participation Adjustment'!$B:$B,$I276),1)</f>
        <v>5.4646529375251003</v>
      </c>
      <c r="X276" s="79">
        <f>tbl_Data_old[[#This Row],[2027 ]]*IFERROR(AVERAGEIFS('Participation Adjustment'!$C:$C,'Participation Adjustment'!$A:$A,$H276,'Participation Adjustment'!$B:$B,$I276),1)</f>
        <v>5.3776640781248499</v>
      </c>
      <c r="Y276" s="79">
        <f>tbl_Data_old[[#This Row],[2028 ]]*IFERROR(AVERAGEIFS('Participation Adjustment'!$C:$C,'Participation Adjustment'!$A:$A,$H276,'Participation Adjustment'!$B:$B,$I276),1)</f>
        <v>5.2969215154334499</v>
      </c>
      <c r="Z276" s="79">
        <f>tbl_Data_old[[#This Row],[2029 ]]*IFERROR(AVERAGEIFS('Participation Adjustment'!$C:$C,'Participation Adjustment'!$A:$A,$H276,'Participation Adjustment'!$B:$B,$I276),1)</f>
        <v>5.2140034157155499</v>
      </c>
      <c r="AA276" s="79">
        <f>tbl_Data_old[[#This Row],[2030 ]]*IFERROR(AVERAGEIFS('Participation Adjustment'!$C:$C,'Participation Adjustment'!$A:$A,$H276,'Participation Adjustment'!$B:$B,$I276),1)</f>
        <v>5.1252596361050999</v>
      </c>
      <c r="AB276" s="79">
        <f>tbl_Data_old[[#This Row],[2031 ]]*IFERROR(AVERAGEIFS('Participation Adjustment'!$C:$C,'Participation Adjustment'!$A:$A,$H276,'Participation Adjustment'!$B:$B,$I276),1)</f>
        <v>5.0300796760468502</v>
      </c>
      <c r="AC276" s="79">
        <f>tbl_Data_old[[#This Row],[2032 ]]*IFERROR(AVERAGEIFS('Participation Adjustment'!$C:$C,'Participation Adjustment'!$A:$A,$H276,'Participation Adjustment'!$B:$B,$I276),1)</f>
        <v>4.9389751594512603</v>
      </c>
      <c r="AD276" s="79">
        <f>tbl_Data_old[[#This Row],[2033 ]]*IFERROR(AVERAGEIFS('Participation Adjustment'!$C:$C,'Participation Adjustment'!$A:$A,$H276,'Participation Adjustment'!$B:$B,$I276),1)</f>
        <v>4.8590129573283303</v>
      </c>
      <c r="AE276" s="79">
        <f>tbl_Data_old[[#This Row],[2034 ]]*IFERROR(AVERAGEIFS('Participation Adjustment'!$C:$C,'Participation Adjustment'!$A:$A,$H276,'Participation Adjustment'!$B:$B,$I276),1)</f>
        <v>4.7773856015006748</v>
      </c>
      <c r="AF276" s="77" t="str">
        <f t="shared" si="121"/>
        <v>NonResidential</v>
      </c>
      <c r="AG276" s="77" t="str">
        <f>tbl_Data[[#This Row],[All_Meas_Name_Append]]</f>
        <v>Commercial Duct Sealing</v>
      </c>
      <c r="AH276" s="77">
        <f>AVERAGEIFS('3. Incentive Adjustment'!G:G,'3. Incentive Adjustment'!A:A,tbl_Data[[#This Row],[Trimmed Sector]],'3. Incentive Adjustment'!B:B,tbl_Data[[#This Row],[Trimmed Measure Name]])</f>
        <v>0.69277112909915817</v>
      </c>
      <c r="AI276" s="77">
        <f>$AH276*tbl_Data[[#This Row],[2025 ]]</f>
        <v>3.8294586107212822</v>
      </c>
      <c r="AJ276" s="77">
        <f>$AH276*tbl_Data[[#This Row],[2026 ]]</f>
        <v>3.7857537856642951</v>
      </c>
      <c r="AK276" s="77">
        <f>$AH276*tbl_Data[[#This Row],[2027 ]]</f>
        <v>3.7254904153185358</v>
      </c>
      <c r="AL276" s="77">
        <f>$AH276*tbl_Data[[#This Row],[2028 ]]</f>
        <v>3.6695542989964549</v>
      </c>
      <c r="AM276" s="77">
        <f>$AH276*tbl_Data[[#This Row],[2029 ]]</f>
        <v>3.6121110334321287</v>
      </c>
      <c r="AN276" s="77">
        <f>$AH276*tbl_Data[[#This Row],[2030 ]]</f>
        <v>3.5506319050308708</v>
      </c>
      <c r="AO276" s="77">
        <f>$AH276*tbl_Data[[#This Row],[2031 ]]</f>
        <v>3.4846939766337042</v>
      </c>
      <c r="AP276" s="77">
        <f>$AH276*tbl_Data[[#This Row],[2032 ]]</f>
        <v>3.4215793978057443</v>
      </c>
      <c r="AQ276" s="77">
        <f>$AH276*tbl_Data[[#This Row],[2033 ]]</f>
        <v>3.366183892755787</v>
      </c>
      <c r="AR276" s="77">
        <f>$AH276*tbl_Data[[#This Row],[2034 ]]</f>
        <v>3.3096348172936834</v>
      </c>
      <c r="AS276" s="77">
        <f>SUM(tbl_Data[[#This Row],[Adjusted 2025]:[Adjusted 2034]])</f>
        <v>35.755092133652489</v>
      </c>
      <c r="AT276" s="80">
        <f>AVERAGEIFS('3. Incentive Adjustment'!F:F,'3. Incentive Adjustment'!A:A,tbl_Data[[#This Row],[Trimmed Sector]],'3. Incentive Adjustment'!B:B,tbl_Data[[#This Row],[Trimmed Measure Name]])</f>
        <v>100</v>
      </c>
      <c r="AU276" s="80">
        <f>IFERROR(VLOOKUP(tbl_Data[[#This Row],[All_Meas_Name_Append]],'IRA Tax Credits'!$A$3:$D$46,4,0),0)</f>
        <v>0</v>
      </c>
      <c r="AV276" s="81">
        <f>tbl_Data[[#This Row],[Adj. per unit Incentive ($)]]/tbl_Data[[#This Row],[kWh Savings]]*tbl_Data[[#This Row],[Sum of Annuals]]</f>
        <v>1.7482613820618482</v>
      </c>
      <c r="AW276" s="81">
        <f>IFERROR(VLOOKUP(tbl_Data[[#This Row],[Column1]],'1. Set Program Names'!$B$2:$D$15,3,0)*tbl_Data[[#This Row],[Sum of Annuals]],"")</f>
        <v>1.2728703730031767</v>
      </c>
      <c r="AX276" s="81">
        <f>tbl_Data[[#This Row],[per unit IRA tax ($)]]/tbl_Data[[#This Row],[kWh Savings]]*tbl_Data[[#This Row],[Sum of Annuals]]</f>
        <v>0</v>
      </c>
      <c r="AY276" s="81">
        <f>tbl_Data[[#This Row],[Avoided Costs ($/unit)]]/tbl_Data[[#This Row],[kWh Savings]]*tbl_Data[[#This Row],[Sum of Annuals]]</f>
        <v>19.364345014618678</v>
      </c>
      <c r="AZ276" s="81">
        <f>tbl_Data[[#This Row],[Lost Revenue ($/unit)]]/tbl_Data[[#This Row],[kWh Savings]]*tbl_Data[[#This Row],[Sum of Annuals]]</f>
        <v>45.888024558406983</v>
      </c>
      <c r="BA276" s="81">
        <f>tbl_Data[[#This Row],[Incremental Cost ($/unit)]]/tbl_Data[[#This Row],[kWh Savings]]*tbl_Data[[#This Row],[Sum of Annuals]]</f>
        <v>11.643852284724421</v>
      </c>
      <c r="BB276" s="77">
        <f>ROUNDUP(tbl_Data[[#This Row],[Adjusted 2025]]/$L276,0)</f>
        <v>1</v>
      </c>
      <c r="BC276" s="77">
        <f>ROUNDUP(tbl_Data[[#This Row],[Adjusted 2026]]/$L276,0)</f>
        <v>1</v>
      </c>
      <c r="BD276" s="77">
        <f>ROUNDUP(tbl_Data[[#This Row],[Adjusted 2027]]/$L276,0)</f>
        <v>1</v>
      </c>
      <c r="BE276" s="77">
        <f>ROUNDUP(tbl_Data[[#This Row],[Adjusted 2028]]/$L276,0)</f>
        <v>1</v>
      </c>
      <c r="BF276" s="77">
        <f>ROUNDUP(tbl_Data[[#This Row],[Adjusted 2029]]/$L276,0)</f>
        <v>1</v>
      </c>
      <c r="BG276" s="77">
        <f>ROUNDUP(tbl_Data[[#This Row],[Adjusted 2030]]/$L276,0)</f>
        <v>1</v>
      </c>
      <c r="BH276" s="77">
        <f>ROUNDUP(tbl_Data[[#This Row],[Adjusted 2031]]/$L276,0)</f>
        <v>1</v>
      </c>
      <c r="BI276" s="77">
        <f>ROUNDUP(tbl_Data[[#This Row],[Adjusted 2032]]/$L276,0)</f>
        <v>1</v>
      </c>
      <c r="BJ276" s="77">
        <f>ROUNDUP(tbl_Data[[#This Row],[Adjusted 2033]]/$L276,0)</f>
        <v>1</v>
      </c>
      <c r="BK276" s="77">
        <f>ROUNDUP(tbl_Data[[#This Row],[Adjusted 2034]]/$L276,0)</f>
        <v>1</v>
      </c>
      <c r="BL276" s="80">
        <f t="shared" si="122"/>
        <v>0.27028133945734623</v>
      </c>
      <c r="BM276" s="80">
        <f t="shared" si="123"/>
        <v>0.26719667401036112</v>
      </c>
      <c r="BN276" s="80">
        <f t="shared" si="124"/>
        <v>0.26294331443319674</v>
      </c>
      <c r="BO276" s="80">
        <f t="shared" si="125"/>
        <v>0.25899537035534537</v>
      </c>
      <c r="BP276" s="80">
        <f t="shared" si="126"/>
        <v>0.25494105241179521</v>
      </c>
      <c r="BQ276" s="80">
        <f t="shared" si="127"/>
        <v>0.25060188521817656</v>
      </c>
      <c r="BR276" s="80">
        <f t="shared" si="128"/>
        <v>0.24594801807404987</v>
      </c>
      <c r="BS276" s="80">
        <f t="shared" si="129"/>
        <v>0.24149342157909148</v>
      </c>
      <c r="BT276" s="80">
        <f t="shared" si="130"/>
        <v>0.23758363358375953</v>
      </c>
      <c r="BU276" s="80">
        <f t="shared" si="131"/>
        <v>0.23359242714581002</v>
      </c>
      <c r="BV276" s="80">
        <f>IFERROR(VLOOKUP($H276,'1. Set Program Names'!$B$2:$D$15,3,0)*V276,"NA")</f>
        <v>0.19678585416393968</v>
      </c>
      <c r="BW276" s="80">
        <f>IFERROR(VLOOKUP($H276,'1. Set Program Names'!$B$2:$D$15,3,0)*W276,"NA")</f>
        <v>0.19453997760430117</v>
      </c>
      <c r="BX276" s="80">
        <f>IFERROR(VLOOKUP($H276,'1. Set Program Names'!$B$2:$D$15,3,0)*X276,"NA")</f>
        <v>0.19144320074527293</v>
      </c>
      <c r="BY276" s="80">
        <f>IFERROR(VLOOKUP($H276,'1. Set Program Names'!$B$2:$D$15,3,0)*Y276,"NA")</f>
        <v>0.1885687901436707</v>
      </c>
      <c r="BZ276" s="80">
        <f>IFERROR(VLOOKUP($H276,'1. Set Program Names'!$B$2:$D$15,3,0)*Z276,"NA")</f>
        <v>0.18561693108756439</v>
      </c>
      <c r="CA276" s="80">
        <f>IFERROR(VLOOKUP($H276,'1. Set Program Names'!$B$2:$D$15,3,0)*AA276,"NA")</f>
        <v>0.18245767960438478</v>
      </c>
      <c r="CB276" s="80">
        <f>IFERROR(VLOOKUP($H276,'1. Set Program Names'!$B$2:$D$15,3,0)*AB276,"NA")</f>
        <v>0.17906930206059588</v>
      </c>
      <c r="CC276" s="80">
        <f>IFERROR(VLOOKUP($H276,'1. Set Program Names'!$B$2:$D$15,3,0)*AC276,"NA")</f>
        <v>0.17582600906087911</v>
      </c>
      <c r="CD276" s="80">
        <f>IFERROR(VLOOKUP($H276,'1. Set Program Names'!$B$2:$D$15,3,0)*AD276,"NA")</f>
        <v>0.17297937905746841</v>
      </c>
      <c r="CE276" s="80">
        <f>IFERROR(VLOOKUP($H276,'1. Set Program Names'!$B$2:$D$15,3,0)*AE276,"NA")</f>
        <v>0.17007347009011828</v>
      </c>
    </row>
    <row r="277" spans="1:83" x14ac:dyDescent="0.25">
      <c r="A277" s="79" t="s">
        <v>114</v>
      </c>
      <c r="B277" s="79" t="s">
        <v>88</v>
      </c>
      <c r="C277" s="79" t="s">
        <v>122</v>
      </c>
      <c r="D277" s="79" t="s">
        <v>90</v>
      </c>
      <c r="E277" s="79" t="s">
        <v>91</v>
      </c>
      <c r="F277" s="79" t="s">
        <v>90</v>
      </c>
      <c r="G277" s="79" t="s">
        <v>92</v>
      </c>
      <c r="H277" s="79" t="s">
        <v>14</v>
      </c>
      <c r="I277" s="79" t="s">
        <v>303</v>
      </c>
      <c r="J277" s="79" t="s">
        <v>129</v>
      </c>
      <c r="K277" s="79" t="s">
        <v>298</v>
      </c>
      <c r="L277" s="79">
        <v>2407.8671428571402</v>
      </c>
      <c r="M277" s="79">
        <v>0.43509988390469401</v>
      </c>
      <c r="N277" s="79">
        <v>0.148929049658067</v>
      </c>
      <c r="O277" s="79">
        <v>1278.9912095238201</v>
      </c>
      <c r="P277" s="79">
        <v>9094.9443435978392</v>
      </c>
      <c r="Q277" s="79">
        <v>85.719335775001198</v>
      </c>
      <c r="R277" s="79">
        <v>1364.7105452988201</v>
      </c>
      <c r="S277" s="79">
        <v>3090.2526043504499</v>
      </c>
      <c r="T277" s="79">
        <v>20</v>
      </c>
      <c r="U277" s="79">
        <v>0.94999999999999896</v>
      </c>
      <c r="V277" s="79">
        <f>tbl_Data_old[[#This Row],[2025 ]]*IFERROR(AVERAGEIFS('Participation Adjustment'!$C:$C,'Participation Adjustment'!$A:$A,$H277,'Participation Adjustment'!$B:$B,$I277),1)</f>
        <v>2.3283118771279598</v>
      </c>
      <c r="W277" s="79">
        <f>tbl_Data_old[[#This Row],[2026 ]]*IFERROR(AVERAGEIFS('Participation Adjustment'!$C:$C,'Participation Adjustment'!$A:$A,$H277,'Participation Adjustment'!$B:$B,$I277),1)</f>
        <v>2.2150648525178598</v>
      </c>
      <c r="X277" s="79">
        <f>tbl_Data_old[[#This Row],[2027 ]]*IFERROR(AVERAGEIFS('Participation Adjustment'!$C:$C,'Participation Adjustment'!$A:$A,$H277,'Participation Adjustment'!$B:$B,$I277),1)</f>
        <v>2.08468342233411</v>
      </c>
      <c r="Y277" s="79">
        <f>tbl_Data_old[[#This Row],[2028 ]]*IFERROR(AVERAGEIFS('Participation Adjustment'!$C:$C,'Participation Adjustment'!$A:$A,$H277,'Participation Adjustment'!$B:$B,$I277),1)</f>
        <v>1.9565258693927801</v>
      </c>
      <c r="Z277" s="79">
        <f>tbl_Data_old[[#This Row],[2029 ]]*IFERROR(AVERAGEIFS('Participation Adjustment'!$C:$C,'Participation Adjustment'!$A:$A,$H277,'Participation Adjustment'!$B:$B,$I277),1)</f>
        <v>1.83072772441687</v>
      </c>
      <c r="AA277" s="79">
        <f>tbl_Data_old[[#This Row],[2030 ]]*IFERROR(AVERAGEIFS('Participation Adjustment'!$C:$C,'Participation Adjustment'!$A:$A,$H277,'Participation Adjustment'!$B:$B,$I277),1)</f>
        <v>1.7060434905236901</v>
      </c>
      <c r="AB277" s="79">
        <f>tbl_Data_old[[#This Row],[2031 ]]*IFERROR(AVERAGEIFS('Participation Adjustment'!$C:$C,'Participation Adjustment'!$A:$A,$H277,'Participation Adjustment'!$B:$B,$I277),1)</f>
        <v>1.5851027618248099</v>
      </c>
      <c r="AC277" s="79">
        <f>tbl_Data_old[[#This Row],[2032 ]]*IFERROR(AVERAGEIFS('Participation Adjustment'!$C:$C,'Participation Adjustment'!$A:$A,$H277,'Participation Adjustment'!$B:$B,$I277),1)</f>
        <v>1.4717308346609299</v>
      </c>
      <c r="AD277" s="79">
        <f>tbl_Data_old[[#This Row],[2033 ]]*IFERROR(AVERAGEIFS('Participation Adjustment'!$C:$C,'Participation Adjustment'!$A:$A,$H277,'Participation Adjustment'!$B:$B,$I277),1)</f>
        <v>1.36712744023774</v>
      </c>
      <c r="AE277" s="79">
        <f>tbl_Data_old[[#This Row],[2034 ]]*IFERROR(AVERAGEIFS('Participation Adjustment'!$C:$C,'Participation Adjustment'!$A:$A,$H277,'Participation Adjustment'!$B:$B,$I277),1)</f>
        <v>1.26898193312255</v>
      </c>
      <c r="AF277" s="77" t="str">
        <f t="shared" si="121"/>
        <v>NonResidential</v>
      </c>
      <c r="AG277" s="77" t="str">
        <f>tbl_Data[[#This Row],[All_Meas_Name_Append]]</f>
        <v>Energy Star windows</v>
      </c>
      <c r="AH277" s="77">
        <f>AVERAGEIFS('3. Incentive Adjustment'!G:G,'3. Incentive Adjustment'!A:A,tbl_Data[[#This Row],[Trimmed Sector]],'3. Incentive Adjustment'!B:B,tbl_Data[[#This Row],[Trimmed Measure Name]])</f>
        <v>1.8374525511831319E-4</v>
      </c>
      <c r="AI277" s="77">
        <f>$AH277*tbl_Data[[#This Row],[2025 ]]</f>
        <v>4.2781625985787564E-4</v>
      </c>
      <c r="AJ277" s="77">
        <f>$AH277*tbl_Data[[#This Row],[2026 ]]</f>
        <v>4.0700765642950291E-4</v>
      </c>
      <c r="AK277" s="77">
        <f>$AH277*tbl_Data[[#This Row],[2027 ]]</f>
        <v>3.8305068727769928E-4</v>
      </c>
      <c r="AL277" s="77">
        <f>$AH277*tbl_Data[[#This Row],[2028 ]]</f>
        <v>3.5950234501715589E-4</v>
      </c>
      <c r="AM277" s="77">
        <f>$AH277*tbl_Data[[#This Row],[2029 ]]</f>
        <v>3.3638753277514676E-4</v>
      </c>
      <c r="AN277" s="77">
        <f>$AH277*tbl_Data[[#This Row],[2030 ]]</f>
        <v>3.1347739640921296E-4</v>
      </c>
      <c r="AO277" s="77">
        <f>$AH277*tbl_Data[[#This Row],[2031 ]]</f>
        <v>2.9125511136024251E-4</v>
      </c>
      <c r="AP277" s="77">
        <f>$AH277*tbl_Data[[#This Row],[2032 ]]</f>
        <v>2.7042355768026058E-4</v>
      </c>
      <c r="AQ277" s="77">
        <f>$AH277*tbl_Data[[#This Row],[2033 ]]</f>
        <v>2.5120318028573E-4</v>
      </c>
      <c r="AR277" s="77">
        <f>$AH277*tbl_Data[[#This Row],[2034 ]]</f>
        <v>2.331694090421332E-4</v>
      </c>
      <c r="AS277" s="77">
        <f>SUM(tbl_Data[[#This Row],[Adjusted 2025]:[Adjusted 2034]])</f>
        <v>3.2732931361349601E-3</v>
      </c>
      <c r="AT277" s="80">
        <f>AVERAGEIFS('3. Incentive Adjustment'!F:F,'3. Incentive Adjustment'!A:A,tbl_Data[[#This Row],[Trimmed Sector]],'3. Incentive Adjustment'!B:B,tbl_Data[[#This Row],[Trimmed Measure Name]])</f>
        <v>1244.9532966663394</v>
      </c>
      <c r="AU277" s="80">
        <f>IFERROR(VLOOKUP(tbl_Data[[#This Row],[All_Meas_Name_Append]],'IRA Tax Credits'!$A$3:$D$46,4,0),0)</f>
        <v>250</v>
      </c>
      <c r="AV277" s="81">
        <f>tbl_Data[[#This Row],[Adj. per unit Incentive ($)]]/tbl_Data[[#This Row],[kWh Savings]]*tbl_Data[[#This Row],[Sum of Annuals]]</f>
        <v>1.6924094391483197E-3</v>
      </c>
      <c r="AW277" s="81">
        <f>IFERROR(VLOOKUP(tbl_Data[[#This Row],[Column1]],'1. Set Program Names'!$B$2:$D$15,3,0)*tbl_Data[[#This Row],[Sum of Annuals]],"")</f>
        <v>1.165282371407842E-4</v>
      </c>
      <c r="AX277" s="81">
        <f>tbl_Data[[#This Row],[per unit IRA tax ($)]]/tbl_Data[[#This Row],[kWh Savings]]*tbl_Data[[#This Row],[Sum of Annuals]]</f>
        <v>3.3985400168828645E-4</v>
      </c>
      <c r="AY277" s="81">
        <f>tbl_Data[[#This Row],[Avoided Costs ($/unit)]]/tbl_Data[[#This Row],[kWh Savings]]*tbl_Data[[#This Row],[Sum of Annuals]]</f>
        <v>1.8552093598640301E-3</v>
      </c>
      <c r="AZ277" s="81">
        <f>tbl_Data[[#This Row],[Lost Revenue ($/unit)]]/tbl_Data[[#This Row],[kWh Savings]]*tbl_Data[[#This Row],[Sum of Annuals]]</f>
        <v>4.2009388552645983E-3</v>
      </c>
      <c r="BA277" s="81">
        <f>tbl_Data[[#This Row],[Incremental Cost ($/unit)]]/tbl_Data[[#This Row],[kWh Savings]]*tbl_Data[[#This Row],[Sum of Annuals]]</f>
        <v>1.7386811227232475E-3</v>
      </c>
      <c r="BB277" s="77">
        <f>ROUNDUP(tbl_Data[[#This Row],[Adjusted 2025]]/$L277,0)</f>
        <v>1</v>
      </c>
      <c r="BC277" s="77">
        <f>ROUNDUP(tbl_Data[[#This Row],[Adjusted 2026]]/$L277,0)</f>
        <v>1</v>
      </c>
      <c r="BD277" s="77">
        <f>ROUNDUP(tbl_Data[[#This Row],[Adjusted 2027]]/$L277,0)</f>
        <v>1</v>
      </c>
      <c r="BE277" s="77">
        <f>ROUNDUP(tbl_Data[[#This Row],[Adjusted 2028]]/$L277,0)</f>
        <v>1</v>
      </c>
      <c r="BF277" s="77">
        <f>ROUNDUP(tbl_Data[[#This Row],[Adjusted 2029]]/$L277,0)</f>
        <v>1</v>
      </c>
      <c r="BG277" s="77">
        <f>ROUNDUP(tbl_Data[[#This Row],[Adjusted 2030]]/$L277,0)</f>
        <v>1</v>
      </c>
      <c r="BH277" s="77">
        <f>ROUNDUP(tbl_Data[[#This Row],[Adjusted 2031]]/$L277,0)</f>
        <v>1</v>
      </c>
      <c r="BI277" s="77">
        <f>ROUNDUP(tbl_Data[[#This Row],[Adjusted 2032]]/$L277,0)</f>
        <v>1</v>
      </c>
      <c r="BJ277" s="77">
        <f>ROUNDUP(tbl_Data[[#This Row],[Adjusted 2033]]/$L277,0)</f>
        <v>1</v>
      </c>
      <c r="BK277" s="77">
        <f>ROUNDUP(tbl_Data[[#This Row],[Adjusted 2034]]/$L277,0)</f>
        <v>1</v>
      </c>
      <c r="BL277" s="80">
        <f t="shared" si="122"/>
        <v>1.2038203834030323</v>
      </c>
      <c r="BM277" s="80">
        <f t="shared" si="123"/>
        <v>1.1452676276813423</v>
      </c>
      <c r="BN277" s="80">
        <f t="shared" si="124"/>
        <v>1.0778557724164681</v>
      </c>
      <c r="BO277" s="80">
        <f t="shared" si="125"/>
        <v>1.011593741099541</v>
      </c>
      <c r="BP277" s="80">
        <f t="shared" si="126"/>
        <v>0.94655160795409066</v>
      </c>
      <c r="BQ277" s="80">
        <f t="shared" si="127"/>
        <v>0.88208540661565538</v>
      </c>
      <c r="BR277" s="80">
        <f t="shared" si="128"/>
        <v>0.81955473114149224</v>
      </c>
      <c r="BS277" s="80">
        <f t="shared" si="129"/>
        <v>0.76093739633928603</v>
      </c>
      <c r="BT277" s="80">
        <f t="shared" si="130"/>
        <v>0.70685370608421871</v>
      </c>
      <c r="BU277" s="80">
        <f t="shared" si="131"/>
        <v>0.65610897417552183</v>
      </c>
      <c r="BV277" s="80">
        <f>IFERROR(VLOOKUP($H277,'1. Set Program Names'!$B$2:$D$15,3,0)*V277,"NA")</f>
        <v>8.2887192583073574E-2</v>
      </c>
      <c r="BW277" s="80">
        <f>IFERROR(VLOOKUP($H277,'1. Set Program Names'!$B$2:$D$15,3,0)*W277,"NA")</f>
        <v>7.8855633052528101E-2</v>
      </c>
      <c r="BX277" s="80">
        <f>IFERROR(VLOOKUP($H277,'1. Set Program Names'!$B$2:$D$15,3,0)*X277,"NA")</f>
        <v>7.4214093910345946E-2</v>
      </c>
      <c r="BY277" s="80">
        <f>IFERROR(VLOOKUP($H277,'1. Set Program Names'!$B$2:$D$15,3,0)*Y277,"NA")</f>
        <v>6.9651724119608655E-2</v>
      </c>
      <c r="BZ277" s="80">
        <f>IFERROR(VLOOKUP($H277,'1. Set Program Names'!$B$2:$D$15,3,0)*Z277,"NA")</f>
        <v>6.5173348532711881E-2</v>
      </c>
      <c r="CA277" s="80">
        <f>IFERROR(VLOOKUP($H277,'1. Set Program Names'!$B$2:$D$15,3,0)*AA277,"NA")</f>
        <v>6.073462784056595E-2</v>
      </c>
      <c r="CB277" s="80">
        <f>IFERROR(VLOOKUP($H277,'1. Set Program Names'!$B$2:$D$15,3,0)*AB277,"NA")</f>
        <v>5.642917479139508E-2</v>
      </c>
      <c r="CC277" s="80">
        <f>IFERROR(VLOOKUP($H277,'1. Set Program Names'!$B$2:$D$15,3,0)*AC277,"NA")</f>
        <v>5.239316876803609E-2</v>
      </c>
      <c r="CD277" s="80">
        <f>IFERROR(VLOOKUP($H277,'1. Set Program Names'!$B$2:$D$15,3,0)*AD277,"NA")</f>
        <v>4.8669319835438117E-2</v>
      </c>
      <c r="CE277" s="80">
        <f>IFERROR(VLOOKUP($H277,'1. Set Program Names'!$B$2:$D$15,3,0)*AE277,"NA")</f>
        <v>4.5175369721050976E-2</v>
      </c>
    </row>
    <row r="278" spans="1:83" x14ac:dyDescent="0.25">
      <c r="A278" s="79" t="s">
        <v>114</v>
      </c>
      <c r="B278" s="79" t="s">
        <v>88</v>
      </c>
      <c r="C278" s="79" t="s">
        <v>122</v>
      </c>
      <c r="D278" s="79" t="s">
        <v>90</v>
      </c>
      <c r="E278" s="79" t="s">
        <v>91</v>
      </c>
      <c r="F278" s="79" t="s">
        <v>90</v>
      </c>
      <c r="G278" s="79" t="s">
        <v>92</v>
      </c>
      <c r="H278" s="79" t="s">
        <v>14</v>
      </c>
      <c r="I278" s="79" t="s">
        <v>143</v>
      </c>
      <c r="J278" s="79" t="s">
        <v>144</v>
      </c>
      <c r="K278" s="79" t="s">
        <v>108</v>
      </c>
      <c r="L278" s="79">
        <v>6670.6049999999896</v>
      </c>
      <c r="M278" s="79">
        <v>1.04667148638823</v>
      </c>
      <c r="N278" s="79">
        <v>1.5598507965563999</v>
      </c>
      <c r="O278" s="79">
        <v>2431.625</v>
      </c>
      <c r="P278" s="79">
        <v>977.24379425036398</v>
      </c>
      <c r="Q278" s="79">
        <v>237.47150315731801</v>
      </c>
      <c r="R278" s="79">
        <v>3400.8076679878</v>
      </c>
      <c r="S278" s="79">
        <v>7245.0779694633802</v>
      </c>
      <c r="T278" s="79">
        <v>15</v>
      </c>
      <c r="U278" s="79">
        <v>0.95</v>
      </c>
      <c r="V278" s="79">
        <f>tbl_Data_old[[#This Row],[2025 ]]*IFERROR(AVERAGEIFS('Participation Adjustment'!$C:$C,'Participation Adjustment'!$A:$A,$H278,'Participation Adjustment'!$B:$B,$I278),1)</f>
        <v>5.0467950254640002</v>
      </c>
      <c r="W278" s="79">
        <f>tbl_Data_old[[#This Row],[2026 ]]*IFERROR(AVERAGEIFS('Participation Adjustment'!$C:$C,'Participation Adjustment'!$A:$A,$H278,'Participation Adjustment'!$B:$B,$I278),1)</f>
        <v>5.5498203047175201</v>
      </c>
      <c r="X278" s="79">
        <f>tbl_Data_old[[#This Row],[2027 ]]*IFERROR(AVERAGEIFS('Participation Adjustment'!$C:$C,'Participation Adjustment'!$A:$A,$H278,'Participation Adjustment'!$B:$B,$I278),1)</f>
        <v>5.9608257132068196</v>
      </c>
      <c r="Y278" s="79">
        <f>tbl_Data_old[[#This Row],[2028 ]]*IFERROR(AVERAGEIFS('Participation Adjustment'!$C:$C,'Participation Adjustment'!$A:$A,$H278,'Participation Adjustment'!$B:$B,$I278),1)</f>
        <v>6.3184225241434202</v>
      </c>
      <c r="Z278" s="79">
        <f>tbl_Data_old[[#This Row],[2029 ]]*IFERROR(AVERAGEIFS('Participation Adjustment'!$C:$C,'Participation Adjustment'!$A:$A,$H278,'Participation Adjustment'!$B:$B,$I278),1)</f>
        <v>6.6244105504585002</v>
      </c>
      <c r="AA278" s="79">
        <f>tbl_Data_old[[#This Row],[2030 ]]*IFERROR(AVERAGEIFS('Participation Adjustment'!$C:$C,'Participation Adjustment'!$A:$A,$H278,'Participation Adjustment'!$B:$B,$I278),1)</f>
        <v>6.8763379249351502</v>
      </c>
      <c r="AB278" s="79">
        <f>tbl_Data_old[[#This Row],[2031 ]]*IFERROR(AVERAGEIFS('Participation Adjustment'!$C:$C,'Participation Adjustment'!$A:$A,$H278,'Participation Adjustment'!$B:$B,$I278),1)</f>
        <v>7.0835870986291498</v>
      </c>
      <c r="AC278" s="79">
        <f>tbl_Data_old[[#This Row],[2032 ]]*IFERROR(AVERAGEIFS('Participation Adjustment'!$C:$C,'Participation Adjustment'!$A:$A,$H278,'Participation Adjustment'!$B:$B,$I278),1)</f>
        <v>7.2659691951755399</v>
      </c>
      <c r="AD278" s="79">
        <f>tbl_Data_old[[#This Row],[2033 ]]*IFERROR(AVERAGEIFS('Participation Adjustment'!$C:$C,'Participation Adjustment'!$A:$A,$H278,'Participation Adjustment'!$B:$B,$I278),1)</f>
        <v>7.4293614148947498</v>
      </c>
      <c r="AE278" s="79">
        <f>tbl_Data_old[[#This Row],[2034 ]]*IFERROR(AVERAGEIFS('Participation Adjustment'!$C:$C,'Participation Adjustment'!$A:$A,$H278,'Participation Adjustment'!$B:$B,$I278),1)</f>
        <v>7.5696459069020303</v>
      </c>
      <c r="AF278" s="77" t="str">
        <f t="shared" si="121"/>
        <v>NonResidential</v>
      </c>
      <c r="AG278" s="77" t="str">
        <f>tbl_Data[[#This Row],[All_Meas_Name_Append]]</f>
        <v>Heat Pump Water Heater</v>
      </c>
      <c r="AH278" s="77">
        <f>AVERAGEIFS('3. Incentive Adjustment'!G:G,'3. Incentive Adjustment'!A:A,tbl_Data[[#This Row],[Trimmed Sector]],'3. Incentive Adjustment'!B:B,tbl_Data[[#This Row],[Trimmed Measure Name]])</f>
        <v>0.82797588322898052</v>
      </c>
      <c r="AI278" s="77">
        <f>$AH278*tbl_Data[[#This Row],[2025 ]]</f>
        <v>4.1786245686841808</v>
      </c>
      <c r="AJ278" s="77">
        <f>$AH278*tbl_Data[[#This Row],[2026 ]]</f>
        <v>4.5951173685606186</v>
      </c>
      <c r="AK278" s="77">
        <f>$AH278*tbl_Data[[#This Row],[2027 ]]</f>
        <v>4.9354199346664345</v>
      </c>
      <c r="AL278" s="77">
        <f>$AH278*tbl_Data[[#This Row],[2028 ]]</f>
        <v>5.2315014700415325</v>
      </c>
      <c r="AM278" s="77">
        <f>$AH278*tbl_Data[[#This Row],[2029 ]]</f>
        <v>5.4848521763872542</v>
      </c>
      <c r="AN278" s="77">
        <f>$AH278*tbl_Data[[#This Row],[2030 ]]</f>
        <v>5.6934419667791163</v>
      </c>
      <c r="AO278" s="77">
        <f>$AH278*tbl_Data[[#This Row],[2031 ]]</f>
        <v>5.8650392844168815</v>
      </c>
      <c r="AP278" s="77">
        <f>$AH278*tbl_Data[[#This Row],[2032 ]]</f>
        <v>6.0160472618900327</v>
      </c>
      <c r="AQ278" s="77">
        <f>$AH278*tbl_Data[[#This Row],[2033 ]]</f>
        <v>6.1513320793247885</v>
      </c>
      <c r="AR278" s="77">
        <f>$AH278*tbl_Data[[#This Row],[2034 ]]</f>
        <v>6.2674842554978456</v>
      </c>
      <c r="AS278" s="77">
        <f>SUM(tbl_Data[[#This Row],[Adjusted 2025]:[Adjusted 2034]])</f>
        <v>54.418860366248687</v>
      </c>
      <c r="AT278" s="80">
        <f>AVERAGEIFS('3. Incentive Adjustment'!F:F,'3. Incentive Adjustment'!A:A,tbl_Data[[#This Row],[Trimmed Sector]],'3. Incentive Adjustment'!B:B,tbl_Data[[#This Row],[Trimmed Measure Name]])</f>
        <v>500</v>
      </c>
      <c r="AU278" s="80">
        <f>IFERROR(VLOOKUP(tbl_Data[[#This Row],[All_Meas_Name_Append]],'IRA Tax Credits'!$A$3:$D$46,4,0),0)</f>
        <v>0</v>
      </c>
      <c r="AV278" s="81">
        <f>tbl_Data[[#This Row],[Adj. per unit Incentive ($)]]/tbl_Data[[#This Row],[kWh Savings]]*tbl_Data[[#This Row],[Sum of Annuals]]</f>
        <v>4.0790048553503597</v>
      </c>
      <c r="AW278" s="81">
        <f>IFERROR(VLOOKUP(tbl_Data[[#This Row],[Column1]],'1. Set Program Names'!$B$2:$D$15,3,0)*tbl_Data[[#This Row],[Sum of Annuals]],"")</f>
        <v>1.9372948287720944</v>
      </c>
      <c r="AX278" s="81">
        <f>tbl_Data[[#This Row],[per unit IRA tax ($)]]/tbl_Data[[#This Row],[kWh Savings]]*tbl_Data[[#This Row],[Sum of Annuals]]</f>
        <v>0</v>
      </c>
      <c r="AY278" s="81">
        <f>tbl_Data[[#This Row],[Avoided Costs ($/unit)]]/tbl_Data[[#This Row],[kWh Savings]]*tbl_Data[[#This Row],[Sum of Annuals]]</f>
        <v>27.743821979669942</v>
      </c>
      <c r="AZ278" s="81">
        <f>tbl_Data[[#This Row],[Lost Revenue ($/unit)]]/tbl_Data[[#This Row],[kWh Savings]]*tbl_Data[[#This Row],[Sum of Annuals]]</f>
        <v>59.105416429666107</v>
      </c>
      <c r="BA278" s="81">
        <f>tbl_Data[[#This Row],[Incremental Cost ($/unit)]]/tbl_Data[[#This Row],[kWh Savings]]*tbl_Data[[#This Row],[Sum of Annuals]]</f>
        <v>19.837220362782638</v>
      </c>
      <c r="BB278" s="77">
        <f>ROUNDUP(tbl_Data[[#This Row],[Adjusted 2025]]/$L278,0)</f>
        <v>1</v>
      </c>
      <c r="BC278" s="77">
        <f>ROUNDUP(tbl_Data[[#This Row],[Adjusted 2026]]/$L278,0)</f>
        <v>1</v>
      </c>
      <c r="BD278" s="77">
        <f>ROUNDUP(tbl_Data[[#This Row],[Adjusted 2027]]/$L278,0)</f>
        <v>1</v>
      </c>
      <c r="BE278" s="77">
        <f>ROUNDUP(tbl_Data[[#This Row],[Adjusted 2028]]/$L278,0)</f>
        <v>1</v>
      </c>
      <c r="BF278" s="77">
        <f>ROUNDUP(tbl_Data[[#This Row],[Adjusted 2029]]/$L278,0)</f>
        <v>1</v>
      </c>
      <c r="BG278" s="77">
        <f>ROUNDUP(tbl_Data[[#This Row],[Adjusted 2030]]/$L278,0)</f>
        <v>1</v>
      </c>
      <c r="BH278" s="77">
        <f>ROUNDUP(tbl_Data[[#This Row],[Adjusted 2031]]/$L278,0)</f>
        <v>1</v>
      </c>
      <c r="BI278" s="77">
        <f>ROUNDUP(tbl_Data[[#This Row],[Adjusted 2032]]/$L278,0)</f>
        <v>1</v>
      </c>
      <c r="BJ278" s="77">
        <f>ROUNDUP(tbl_Data[[#This Row],[Adjusted 2033]]/$L278,0)</f>
        <v>1</v>
      </c>
      <c r="BK278" s="77">
        <f>ROUNDUP(tbl_Data[[#This Row],[Adjusted 2034]]/$L278,0)</f>
        <v>1</v>
      </c>
      <c r="BL278" s="80">
        <f t="shared" si="122"/>
        <v>0.37828615436411001</v>
      </c>
      <c r="BM278" s="80">
        <f t="shared" si="123"/>
        <v>0.41599077630271386</v>
      </c>
      <c r="BN278" s="80">
        <f t="shared" si="124"/>
        <v>0.44679798258230169</v>
      </c>
      <c r="BO278" s="80">
        <f t="shared" si="125"/>
        <v>0.47360190898302557</v>
      </c>
      <c r="BP278" s="80">
        <f t="shared" si="126"/>
        <v>0.49653746177884245</v>
      </c>
      <c r="BQ278" s="80">
        <f t="shared" si="127"/>
        <v>0.51542085949738903</v>
      </c>
      <c r="BR278" s="80">
        <f t="shared" si="128"/>
        <v>0.5309553705120571</v>
      </c>
      <c r="BS278" s="80">
        <f t="shared" si="129"/>
        <v>0.54462595185710683</v>
      </c>
      <c r="BT278" s="80">
        <f t="shared" si="130"/>
        <v>0.55687313331360211</v>
      </c>
      <c r="BU278" s="80">
        <f t="shared" si="131"/>
        <v>0.56738825840400109</v>
      </c>
      <c r="BV278" s="80">
        <f>IFERROR(VLOOKUP($H278,'1. Set Program Names'!$B$2:$D$15,3,0)*V278,"NA")</f>
        <v>0.17966436340089265</v>
      </c>
      <c r="BW278" s="80">
        <f>IFERROR(VLOOKUP($H278,'1. Set Program Names'!$B$2:$D$15,3,0)*W278,"NA")</f>
        <v>0.19757190989636991</v>
      </c>
      <c r="BX278" s="80">
        <f>IFERROR(VLOOKUP($H278,'1. Set Program Names'!$B$2:$D$15,3,0)*X278,"NA")</f>
        <v>0.21220357706295248</v>
      </c>
      <c r="BY278" s="80">
        <f>IFERROR(VLOOKUP($H278,'1. Set Program Names'!$B$2:$D$15,3,0)*Y278,"NA")</f>
        <v>0.2249339144487485</v>
      </c>
      <c r="BZ278" s="80">
        <f>IFERROR(VLOOKUP($H278,'1. Set Program Names'!$B$2:$D$15,3,0)*Z278,"NA")</f>
        <v>0.23582699484508182</v>
      </c>
      <c r="CA278" s="80">
        <f>IFERROR(VLOOKUP($H278,'1. Set Program Names'!$B$2:$D$15,3,0)*AA278,"NA")</f>
        <v>0.24479553252696323</v>
      </c>
      <c r="CB278" s="80">
        <f>IFERROR(VLOOKUP($H278,'1. Set Program Names'!$B$2:$D$15,3,0)*AB278,"NA")</f>
        <v>0.25217353988989749</v>
      </c>
      <c r="CC278" s="80">
        <f>IFERROR(VLOOKUP($H278,'1. Set Program Names'!$B$2:$D$15,3,0)*AC278,"NA")</f>
        <v>0.25866628689198418</v>
      </c>
      <c r="CD278" s="80">
        <f>IFERROR(VLOOKUP($H278,'1. Set Program Names'!$B$2:$D$15,3,0)*AD278,"NA")</f>
        <v>0.26448300007181291</v>
      </c>
      <c r="CE278" s="80">
        <f>IFERROR(VLOOKUP($H278,'1. Set Program Names'!$B$2:$D$15,3,0)*AE278,"NA")</f>
        <v>0.26947708519402142</v>
      </c>
    </row>
    <row r="279" spans="1:83" x14ac:dyDescent="0.25">
      <c r="A279" s="79" t="s">
        <v>114</v>
      </c>
      <c r="B279" s="79" t="s">
        <v>88</v>
      </c>
      <c r="C279" s="79" t="s">
        <v>122</v>
      </c>
      <c r="D279" s="79" t="s">
        <v>90</v>
      </c>
      <c r="E279" s="79" t="s">
        <v>91</v>
      </c>
      <c r="F279" s="79" t="s">
        <v>90</v>
      </c>
      <c r="G279" s="79" t="s">
        <v>92</v>
      </c>
      <c r="H279" s="79" t="s">
        <v>14</v>
      </c>
      <c r="I279" s="79" t="s">
        <v>157</v>
      </c>
      <c r="J279" s="79" t="s">
        <v>158</v>
      </c>
      <c r="K279" s="79" t="s">
        <v>159</v>
      </c>
      <c r="L279" s="79">
        <v>562.52000000000032</v>
      </c>
      <c r="M279" s="79">
        <v>0</v>
      </c>
      <c r="N279" s="79">
        <v>2.7796637938074218E-2</v>
      </c>
      <c r="O279" s="79">
        <v>169</v>
      </c>
      <c r="P279" s="79">
        <v>53.285725702774094</v>
      </c>
      <c r="Q279" s="79"/>
      <c r="R279" s="79">
        <v>275.37363005821356</v>
      </c>
      <c r="S279" s="79">
        <v>610.96426176974103</v>
      </c>
      <c r="T279" s="79">
        <v>15</v>
      </c>
      <c r="U279" s="79">
        <v>0.2</v>
      </c>
      <c r="V279" s="79">
        <f>tbl_Data_old[[#This Row],[2025 ]]*IFERROR(AVERAGEIFS('Participation Adjustment'!$C:$C,'Participation Adjustment'!$A:$A,$H279,'Participation Adjustment'!$B:$B,$I279),1)</f>
        <v>0</v>
      </c>
      <c r="W279" s="79">
        <f>tbl_Data_old[[#This Row],[2026 ]]*IFERROR(AVERAGEIFS('Participation Adjustment'!$C:$C,'Participation Adjustment'!$A:$A,$H279,'Participation Adjustment'!$B:$B,$I279),1)</f>
        <v>0</v>
      </c>
      <c r="X279" s="79">
        <f>tbl_Data_old[[#This Row],[2027 ]]*IFERROR(AVERAGEIFS('Participation Adjustment'!$C:$C,'Participation Adjustment'!$A:$A,$H279,'Participation Adjustment'!$B:$B,$I279),1)</f>
        <v>0</v>
      </c>
      <c r="Y279" s="79">
        <f>tbl_Data_old[[#This Row],[2028 ]]*IFERROR(AVERAGEIFS('Participation Adjustment'!$C:$C,'Participation Adjustment'!$A:$A,$H279,'Participation Adjustment'!$B:$B,$I279),1)</f>
        <v>0</v>
      </c>
      <c r="Z279" s="79">
        <f>tbl_Data_old[[#This Row],[2029 ]]*IFERROR(AVERAGEIFS('Participation Adjustment'!$C:$C,'Participation Adjustment'!$A:$A,$H279,'Participation Adjustment'!$B:$B,$I279),1)</f>
        <v>0</v>
      </c>
      <c r="AA279" s="79">
        <f>tbl_Data_old[[#This Row],[2030 ]]*IFERROR(AVERAGEIFS('Participation Adjustment'!$C:$C,'Participation Adjustment'!$A:$A,$H279,'Participation Adjustment'!$B:$B,$I279),1)</f>
        <v>0</v>
      </c>
      <c r="AB279" s="79">
        <f>tbl_Data_old[[#This Row],[2031 ]]*IFERROR(AVERAGEIFS('Participation Adjustment'!$C:$C,'Participation Adjustment'!$A:$A,$H279,'Participation Adjustment'!$B:$B,$I279),1)</f>
        <v>0</v>
      </c>
      <c r="AC279" s="79">
        <f>tbl_Data_old[[#This Row],[2032 ]]*IFERROR(AVERAGEIFS('Participation Adjustment'!$C:$C,'Participation Adjustment'!$A:$A,$H279,'Participation Adjustment'!$B:$B,$I279),1)</f>
        <v>0</v>
      </c>
      <c r="AD279" s="79">
        <f>tbl_Data_old[[#This Row],[2033 ]]*IFERROR(AVERAGEIFS('Participation Adjustment'!$C:$C,'Participation Adjustment'!$A:$A,$H279,'Participation Adjustment'!$B:$B,$I279),1)</f>
        <v>0</v>
      </c>
      <c r="AE279" s="79">
        <f>tbl_Data_old[[#This Row],[2034 ]]*IFERROR(AVERAGEIFS('Participation Adjustment'!$C:$C,'Participation Adjustment'!$A:$A,$H279,'Participation Adjustment'!$B:$B,$I279),1)</f>
        <v>0</v>
      </c>
      <c r="AF279" s="77" t="str">
        <f t="shared" si="121"/>
        <v>NonResidential</v>
      </c>
      <c r="AG279" s="77" t="str">
        <f>tbl_Data[[#This Row],[All_Meas_Name_Append]]</f>
        <v>LED Exterior Wall Packs</v>
      </c>
      <c r="AH279" s="77">
        <f>AVERAGEIFS('3. Incentive Adjustment'!G:G,'3. Incentive Adjustment'!A:A,tbl_Data[[#This Row],[Trimmed Sector]],'3. Incentive Adjustment'!B:B,tbl_Data[[#This Row],[Trimmed Measure Name]])</f>
        <v>0.80637708305213962</v>
      </c>
      <c r="AI279" s="77">
        <f>$AH279*tbl_Data[[#This Row],[2025 ]]</f>
        <v>0</v>
      </c>
      <c r="AJ279" s="77">
        <f>$AH279*tbl_Data[[#This Row],[2026 ]]</f>
        <v>0</v>
      </c>
      <c r="AK279" s="77">
        <f>$AH279*tbl_Data[[#This Row],[2027 ]]</f>
        <v>0</v>
      </c>
      <c r="AL279" s="77">
        <f>$AH279*tbl_Data[[#This Row],[2028 ]]</f>
        <v>0</v>
      </c>
      <c r="AM279" s="77">
        <f>$AH279*tbl_Data[[#This Row],[2029 ]]</f>
        <v>0</v>
      </c>
      <c r="AN279" s="77">
        <f>$AH279*tbl_Data[[#This Row],[2030 ]]</f>
        <v>0</v>
      </c>
      <c r="AO279" s="77">
        <f>$AH279*tbl_Data[[#This Row],[2031 ]]</f>
        <v>0</v>
      </c>
      <c r="AP279" s="77">
        <f>$AH279*tbl_Data[[#This Row],[2032 ]]</f>
        <v>0</v>
      </c>
      <c r="AQ279" s="77">
        <f>$AH279*tbl_Data[[#This Row],[2033 ]]</f>
        <v>0</v>
      </c>
      <c r="AR279" s="77">
        <f>$AH279*tbl_Data[[#This Row],[2034 ]]</f>
        <v>0</v>
      </c>
      <c r="AS279" s="77">
        <f>SUM(tbl_Data[[#This Row],[Adjusted 2025]:[Adjusted 2034]])</f>
        <v>0</v>
      </c>
      <c r="AT279" s="80">
        <f>AVERAGEIFS('3. Incentive Adjustment'!F:F,'3. Incentive Adjustment'!A:A,tbl_Data[[#This Row],[Trimmed Sector]],'3. Incentive Adjustment'!B:B,tbl_Data[[#This Row],[Trimmed Measure Name]])</f>
        <v>8.6864493556481861</v>
      </c>
      <c r="AU279" s="80">
        <f>IFERROR(VLOOKUP(tbl_Data[[#This Row],[All_Meas_Name_Append]],'IRA Tax Credits'!$A$3:$D$46,4,0),0)</f>
        <v>0</v>
      </c>
      <c r="AV279" s="81">
        <f>tbl_Data[[#This Row],[Adj. per unit Incentive ($)]]/tbl_Data[[#This Row],[kWh Savings]]*tbl_Data[[#This Row],[Sum of Annuals]]</f>
        <v>0</v>
      </c>
      <c r="AW279" s="81">
        <f>IFERROR(VLOOKUP(tbl_Data[[#This Row],[Column1]],'1. Set Program Names'!$B$2:$D$15,3,0)*tbl_Data[[#This Row],[Sum of Annuals]],"")</f>
        <v>0</v>
      </c>
      <c r="AX279" s="81">
        <f>tbl_Data[[#This Row],[per unit IRA tax ($)]]/tbl_Data[[#This Row],[kWh Savings]]*tbl_Data[[#This Row],[Sum of Annuals]]</f>
        <v>0</v>
      </c>
      <c r="AY279" s="81">
        <f>tbl_Data[[#This Row],[Avoided Costs ($/unit)]]/tbl_Data[[#This Row],[kWh Savings]]*tbl_Data[[#This Row],[Sum of Annuals]]</f>
        <v>0</v>
      </c>
      <c r="AZ279" s="81">
        <f>tbl_Data[[#This Row],[Lost Revenue ($/unit)]]/tbl_Data[[#This Row],[kWh Savings]]*tbl_Data[[#This Row],[Sum of Annuals]]</f>
        <v>0</v>
      </c>
      <c r="BA279" s="81">
        <f>tbl_Data[[#This Row],[Incremental Cost ($/unit)]]/tbl_Data[[#This Row],[kWh Savings]]*tbl_Data[[#This Row],[Sum of Annuals]]</f>
        <v>0</v>
      </c>
      <c r="BB279" s="77">
        <f>ROUNDUP(tbl_Data[[#This Row],[Adjusted 2025]]/$L279,0)</f>
        <v>0</v>
      </c>
      <c r="BC279" s="77">
        <f>ROUNDUP(tbl_Data[[#This Row],[Adjusted 2026]]/$L279,0)</f>
        <v>0</v>
      </c>
      <c r="BD279" s="77">
        <f>ROUNDUP(tbl_Data[[#This Row],[Adjusted 2027]]/$L279,0)</f>
        <v>0</v>
      </c>
      <c r="BE279" s="77">
        <f>ROUNDUP(tbl_Data[[#This Row],[Adjusted 2028]]/$L279,0)</f>
        <v>0</v>
      </c>
      <c r="BF279" s="77">
        <f>ROUNDUP(tbl_Data[[#This Row],[Adjusted 2029]]/$L279,0)</f>
        <v>0</v>
      </c>
      <c r="BG279" s="77">
        <f>ROUNDUP(tbl_Data[[#This Row],[Adjusted 2030]]/$L279,0)</f>
        <v>0</v>
      </c>
      <c r="BH279" s="77">
        <f>ROUNDUP(tbl_Data[[#This Row],[Adjusted 2031]]/$L279,0)</f>
        <v>0</v>
      </c>
      <c r="BI279" s="77">
        <f>ROUNDUP(tbl_Data[[#This Row],[Adjusted 2032]]/$L279,0)</f>
        <v>0</v>
      </c>
      <c r="BJ279" s="77">
        <f>ROUNDUP(tbl_Data[[#This Row],[Adjusted 2033]]/$L279,0)</f>
        <v>0</v>
      </c>
      <c r="BK279" s="77">
        <f>ROUNDUP(tbl_Data[[#This Row],[Adjusted 2034]]/$L279,0)</f>
        <v>0</v>
      </c>
      <c r="BL279" s="80">
        <f t="shared" si="122"/>
        <v>0</v>
      </c>
      <c r="BM279" s="80">
        <f t="shared" si="123"/>
        <v>0</v>
      </c>
      <c r="BN279" s="80">
        <f t="shared" si="124"/>
        <v>0</v>
      </c>
      <c r="BO279" s="80">
        <f t="shared" si="125"/>
        <v>0</v>
      </c>
      <c r="BP279" s="80">
        <f t="shared" si="126"/>
        <v>0</v>
      </c>
      <c r="BQ279" s="80">
        <f t="shared" si="127"/>
        <v>0</v>
      </c>
      <c r="BR279" s="80">
        <f t="shared" si="128"/>
        <v>0</v>
      </c>
      <c r="BS279" s="80">
        <f t="shared" si="129"/>
        <v>0</v>
      </c>
      <c r="BT279" s="80">
        <f t="shared" si="130"/>
        <v>0</v>
      </c>
      <c r="BU279" s="80">
        <f t="shared" si="131"/>
        <v>0</v>
      </c>
      <c r="BV279" s="80">
        <f>IFERROR(VLOOKUP($H279,'1. Set Program Names'!$B$2:$D$15,3,0)*V279,"NA")</f>
        <v>0</v>
      </c>
      <c r="BW279" s="80">
        <f>IFERROR(VLOOKUP($H279,'1. Set Program Names'!$B$2:$D$15,3,0)*W279,"NA")</f>
        <v>0</v>
      </c>
      <c r="BX279" s="80">
        <f>IFERROR(VLOOKUP($H279,'1. Set Program Names'!$B$2:$D$15,3,0)*X279,"NA")</f>
        <v>0</v>
      </c>
      <c r="BY279" s="80">
        <f>IFERROR(VLOOKUP($H279,'1. Set Program Names'!$B$2:$D$15,3,0)*Y279,"NA")</f>
        <v>0</v>
      </c>
      <c r="BZ279" s="80">
        <f>IFERROR(VLOOKUP($H279,'1. Set Program Names'!$B$2:$D$15,3,0)*Z279,"NA")</f>
        <v>0</v>
      </c>
      <c r="CA279" s="80">
        <f>IFERROR(VLOOKUP($H279,'1. Set Program Names'!$B$2:$D$15,3,0)*AA279,"NA")</f>
        <v>0</v>
      </c>
      <c r="CB279" s="80">
        <f>IFERROR(VLOOKUP($H279,'1. Set Program Names'!$B$2:$D$15,3,0)*AB279,"NA")</f>
        <v>0</v>
      </c>
      <c r="CC279" s="80">
        <f>IFERROR(VLOOKUP($H279,'1. Set Program Names'!$B$2:$D$15,3,0)*AC279,"NA")</f>
        <v>0</v>
      </c>
      <c r="CD279" s="80">
        <f>IFERROR(VLOOKUP($H279,'1. Set Program Names'!$B$2:$D$15,3,0)*AD279,"NA")</f>
        <v>0</v>
      </c>
      <c r="CE279" s="80">
        <f>IFERROR(VLOOKUP($H279,'1. Set Program Names'!$B$2:$D$15,3,0)*AE279,"NA")</f>
        <v>0</v>
      </c>
    </row>
    <row r="280" spans="1:83" x14ac:dyDescent="0.25">
      <c r="A280" s="79" t="s">
        <v>114</v>
      </c>
      <c r="B280" s="79" t="s">
        <v>88</v>
      </c>
      <c r="C280" s="79" t="s">
        <v>122</v>
      </c>
      <c r="D280" s="79" t="s">
        <v>90</v>
      </c>
      <c r="E280" s="79" t="s">
        <v>91</v>
      </c>
      <c r="F280" s="79" t="s">
        <v>90</v>
      </c>
      <c r="G280" s="79" t="s">
        <v>92</v>
      </c>
      <c r="H280" s="79" t="s">
        <v>14</v>
      </c>
      <c r="I280" s="79" t="s">
        <v>160</v>
      </c>
      <c r="J280" s="79" t="s">
        <v>161</v>
      </c>
      <c r="K280" s="79" t="s">
        <v>159</v>
      </c>
      <c r="L280" s="79">
        <v>1059.6621428571407</v>
      </c>
      <c r="M280" s="79">
        <v>0.13879011985330975</v>
      </c>
      <c r="N280" s="79">
        <v>0.14661252282673942</v>
      </c>
      <c r="O280" s="79">
        <v>179</v>
      </c>
      <c r="P280" s="79">
        <v>5.0437849584490522</v>
      </c>
      <c r="Q280" s="79"/>
      <c r="R280" s="79">
        <v>417.01467834907817</v>
      </c>
      <c r="S280" s="79">
        <v>1150.9203207638036</v>
      </c>
      <c r="T280" s="79">
        <v>15</v>
      </c>
      <c r="U280" s="79">
        <v>0.2</v>
      </c>
      <c r="V280" s="79">
        <f>tbl_Data_old[[#This Row],[2025 ]]*IFERROR(AVERAGEIFS('Participation Adjustment'!$C:$C,'Participation Adjustment'!$A:$A,$H280,'Participation Adjustment'!$B:$B,$I280),1)</f>
        <v>6.4303202357253149</v>
      </c>
      <c r="W280" s="79">
        <f>tbl_Data_old[[#This Row],[2026 ]]*IFERROR(AVERAGEIFS('Participation Adjustment'!$C:$C,'Participation Adjustment'!$A:$A,$H280,'Participation Adjustment'!$B:$B,$I280),1)</f>
        <v>6.999104301436005</v>
      </c>
      <c r="X280" s="79">
        <f>tbl_Data_old[[#This Row],[2027 ]]*IFERROR(AVERAGEIFS('Participation Adjustment'!$C:$C,'Participation Adjustment'!$A:$A,$H280,'Participation Adjustment'!$B:$B,$I280),1)</f>
        <v>7.4503900625499604</v>
      </c>
      <c r="Y280" s="79">
        <f>tbl_Data_old[[#This Row],[2028 ]]*IFERROR(AVERAGEIFS('Participation Adjustment'!$C:$C,'Participation Adjustment'!$A:$A,$H280,'Participation Adjustment'!$B:$B,$I280),1)</f>
        <v>7.8284945984379295</v>
      </c>
      <c r="Z280" s="79">
        <f>tbl_Data_old[[#This Row],[2029 ]]*IFERROR(AVERAGEIFS('Participation Adjustment'!$C:$C,'Participation Adjustment'!$A:$A,$H280,'Participation Adjustment'!$B:$B,$I280),1)</f>
        <v>8.1337559716819801</v>
      </c>
      <c r="AA280" s="79">
        <f>tbl_Data_old[[#This Row],[2030 ]]*IFERROR(AVERAGEIFS('Participation Adjustment'!$C:$C,'Participation Adjustment'!$A:$A,$H280,'Participation Adjustment'!$B:$B,$I280),1)</f>
        <v>8.3684148988393954</v>
      </c>
      <c r="AB280" s="79">
        <f>tbl_Data_old[[#This Row],[2031 ]]*IFERROR(AVERAGEIFS('Participation Adjustment'!$C:$C,'Participation Adjustment'!$A:$A,$H280,'Participation Adjustment'!$B:$B,$I280),1)</f>
        <v>8.5416960305212193</v>
      </c>
      <c r="AC280" s="79">
        <f>tbl_Data_old[[#This Row],[2032 ]]*IFERROR(AVERAGEIFS('Participation Adjustment'!$C:$C,'Participation Adjustment'!$A:$A,$H280,'Participation Adjustment'!$B:$B,$I280),1)</f>
        <v>8.6794687255337841</v>
      </c>
      <c r="AD280" s="79">
        <f>tbl_Data_old[[#This Row],[2033 ]]*IFERROR(AVERAGEIFS('Participation Adjustment'!$C:$C,'Participation Adjustment'!$A:$A,$H280,'Participation Adjustment'!$B:$B,$I280),1)</f>
        <v>8.7945157471814088</v>
      </c>
      <c r="AE280" s="79">
        <f>tbl_Data_old[[#This Row],[2034 ]]*IFERROR(AVERAGEIFS('Participation Adjustment'!$C:$C,'Participation Adjustment'!$A:$A,$H280,'Participation Adjustment'!$B:$B,$I280),1)</f>
        <v>8.8776182261279253</v>
      </c>
      <c r="AF280" s="77" t="str">
        <f t="shared" si="121"/>
        <v>NonResidential</v>
      </c>
      <c r="AG280" s="77" t="str">
        <f>tbl_Data[[#This Row],[All_Meas_Name_Append]]</f>
        <v>LED High Bay_HID Baseline</v>
      </c>
      <c r="AH280" s="77">
        <f>AVERAGEIFS('3. Incentive Adjustment'!G:G,'3. Incentive Adjustment'!A:A,tbl_Data[[#This Row],[Trimmed Sector]],'3. Incentive Adjustment'!B:B,tbl_Data[[#This Row],[Trimmed Measure Name]])</f>
        <v>1.0603846876879557</v>
      </c>
      <c r="AI280" s="77">
        <f>$AH280*tbl_Data[[#This Row],[2025 ]]</f>
        <v>6.8186131148931297</v>
      </c>
      <c r="AJ280" s="77">
        <f>$AH280*tbl_Data[[#This Row],[2026 ]]</f>
        <v>7.4217430287736459</v>
      </c>
      <c r="AK280" s="77">
        <f>$AH280*tbl_Data[[#This Row],[2027 ]]</f>
        <v>7.9002795396304881</v>
      </c>
      <c r="AL280" s="77">
        <f>$AH280*tbl_Data[[#This Row],[2028 ]]</f>
        <v>8.3012157998314517</v>
      </c>
      <c r="AM280" s="77">
        <f>$AH280*tbl_Data[[#This Row],[2029 ]]</f>
        <v>8.6249102857620414</v>
      </c>
      <c r="AN280" s="77">
        <f>$AH280*tbl_Data[[#This Row],[2030 ]]</f>
        <v>8.8737390189490473</v>
      </c>
      <c r="AO280" s="77">
        <f>$AH280*tbl_Data[[#This Row],[2031 ]]</f>
        <v>9.0574836776496941</v>
      </c>
      <c r="AP280" s="77">
        <f>$AH280*tbl_Data[[#This Row],[2032 ]]</f>
        <v>9.2035757338225199</v>
      </c>
      <c r="AQ280" s="77">
        <f>$AH280*tbl_Data[[#This Row],[2033 ]]</f>
        <v>9.325569833941767</v>
      </c>
      <c r="AR280" s="77">
        <f>$AH280*tbl_Data[[#This Row],[2034 ]]</f>
        <v>9.4136904301255626</v>
      </c>
      <c r="AS280" s="77">
        <f>SUM(tbl_Data[[#This Row],[Adjusted 2025]:[Adjusted 2034]])</f>
        <v>84.940820463379339</v>
      </c>
      <c r="AT280" s="80">
        <f>AVERAGEIFS('3. Incentive Adjustment'!F:F,'3. Incentive Adjustment'!A:A,tbl_Data[[#This Row],[Trimmed Sector]],'3. Incentive Adjustment'!B:B,tbl_Data[[#This Row],[Trimmed Measure Name]])</f>
        <v>28.590998621954778</v>
      </c>
      <c r="AU280" s="80">
        <f>IFERROR(VLOOKUP(tbl_Data[[#This Row],[All_Meas_Name_Append]],'IRA Tax Credits'!$A$3:$D$46,4,0),0)</f>
        <v>0</v>
      </c>
      <c r="AV280" s="81">
        <f>tbl_Data[[#This Row],[Adj. per unit Incentive ($)]]/tbl_Data[[#This Row],[kWh Savings]]*tbl_Data[[#This Row],[Sum of Annuals]]</f>
        <v>2.2918086648525229</v>
      </c>
      <c r="AW280" s="81">
        <f>IFERROR(VLOOKUP(tbl_Data[[#This Row],[Column1]],'1. Set Program Names'!$B$2:$D$15,3,0)*tbl_Data[[#This Row],[Sum of Annuals]],"")</f>
        <v>3.0238672976221159</v>
      </c>
      <c r="AX280" s="81">
        <f>tbl_Data[[#This Row],[per unit IRA tax ($)]]/tbl_Data[[#This Row],[kWh Savings]]*tbl_Data[[#This Row],[Sum of Annuals]]</f>
        <v>0</v>
      </c>
      <c r="AY280" s="81">
        <f>tbl_Data[[#This Row],[Avoided Costs ($/unit)]]/tbl_Data[[#This Row],[kWh Savings]]*tbl_Data[[#This Row],[Sum of Annuals]]</f>
        <v>33.427228822893149</v>
      </c>
      <c r="AZ280" s="81">
        <f>tbl_Data[[#This Row],[Lost Revenue ($/unit)]]/tbl_Data[[#This Row],[kWh Savings]]*tbl_Data[[#This Row],[Sum of Annuals]]</f>
        <v>92.255929866537485</v>
      </c>
      <c r="BA280" s="81">
        <f>tbl_Data[[#This Row],[Incremental Cost ($/unit)]]/tbl_Data[[#This Row],[kWh Savings]]*tbl_Data[[#This Row],[Sum of Annuals]]</f>
        <v>14.348353355296471</v>
      </c>
      <c r="BB280" s="77">
        <f>ROUNDUP(tbl_Data[[#This Row],[Adjusted 2025]]/$L280,0)</f>
        <v>1</v>
      </c>
      <c r="BC280" s="77">
        <f>ROUNDUP(tbl_Data[[#This Row],[Adjusted 2026]]/$L280,0)</f>
        <v>1</v>
      </c>
      <c r="BD280" s="77">
        <f>ROUNDUP(tbl_Data[[#This Row],[Adjusted 2027]]/$L280,0)</f>
        <v>1</v>
      </c>
      <c r="BE280" s="77">
        <f>ROUNDUP(tbl_Data[[#This Row],[Adjusted 2028]]/$L280,0)</f>
        <v>1</v>
      </c>
      <c r="BF280" s="77">
        <f>ROUNDUP(tbl_Data[[#This Row],[Adjusted 2029]]/$L280,0)</f>
        <v>1</v>
      </c>
      <c r="BG280" s="77">
        <f>ROUNDUP(tbl_Data[[#This Row],[Adjusted 2030]]/$L280,0)</f>
        <v>1</v>
      </c>
      <c r="BH280" s="77">
        <f>ROUNDUP(tbl_Data[[#This Row],[Adjusted 2031]]/$L280,0)</f>
        <v>1</v>
      </c>
      <c r="BI280" s="77">
        <f>ROUNDUP(tbl_Data[[#This Row],[Adjusted 2032]]/$L280,0)</f>
        <v>1</v>
      </c>
      <c r="BJ280" s="77">
        <f>ROUNDUP(tbl_Data[[#This Row],[Adjusted 2033]]/$L280,0)</f>
        <v>1</v>
      </c>
      <c r="BK280" s="77">
        <f>ROUNDUP(tbl_Data[[#This Row],[Adjusted 2034]]/$L280,0)</f>
        <v>1</v>
      </c>
      <c r="BL280" s="80">
        <f t="shared" si="122"/>
        <v>0.17349801371845008</v>
      </c>
      <c r="BM280" s="80">
        <f t="shared" si="123"/>
        <v>0.18884451311785022</v>
      </c>
      <c r="BN280" s="80">
        <f t="shared" si="124"/>
        <v>0.20102076255838197</v>
      </c>
      <c r="BO280" s="80">
        <f t="shared" si="125"/>
        <v>0.21122249179575944</v>
      </c>
      <c r="BP280" s="80">
        <f t="shared" si="126"/>
        <v>0.21945882217765297</v>
      </c>
      <c r="BQ280" s="80">
        <f t="shared" si="127"/>
        <v>0.22579021101532287</v>
      </c>
      <c r="BR280" s="80">
        <f t="shared" si="128"/>
        <v>0.23046555082105349</v>
      </c>
      <c r="BS280" s="80">
        <f t="shared" si="129"/>
        <v>0.23418282897409429</v>
      </c>
      <c r="BT280" s="80">
        <f t="shared" si="130"/>
        <v>0.23728694027934327</v>
      </c>
      <c r="BU280" s="80">
        <f t="shared" si="131"/>
        <v>0.23952914821048119</v>
      </c>
      <c r="BV280" s="80">
        <f>IFERROR(VLOOKUP($H280,'1. Set Program Names'!$B$2:$D$15,3,0)*V280,"NA")</f>
        <v>0.22891743884709265</v>
      </c>
      <c r="BW280" s="80">
        <f>IFERROR(VLOOKUP($H280,'1. Set Program Names'!$B$2:$D$15,3,0)*W280,"NA")</f>
        <v>0.24916597808097748</v>
      </c>
      <c r="BX280" s="80">
        <f>IFERROR(VLOOKUP($H280,'1. Set Program Names'!$B$2:$D$15,3,0)*X280,"NA")</f>
        <v>0.26523161351362945</v>
      </c>
      <c r="BY280" s="80">
        <f>IFERROR(VLOOKUP($H280,'1. Set Program Names'!$B$2:$D$15,3,0)*Y280,"NA")</f>
        <v>0.27869201965189067</v>
      </c>
      <c r="BZ280" s="80">
        <f>IFERROR(VLOOKUP($H280,'1. Set Program Names'!$B$2:$D$15,3,0)*Z280,"NA")</f>
        <v>0.28955923142055812</v>
      </c>
      <c r="CA280" s="80">
        <f>IFERROR(VLOOKUP($H280,'1. Set Program Names'!$B$2:$D$15,3,0)*AA280,"NA")</f>
        <v>0.29791301764554895</v>
      </c>
      <c r="CB280" s="80">
        <f>IFERROR(VLOOKUP($H280,'1. Set Program Names'!$B$2:$D$15,3,0)*AB280,"NA")</f>
        <v>0.30408177307467177</v>
      </c>
      <c r="CC280" s="80">
        <f>IFERROR(VLOOKUP($H280,'1. Set Program Names'!$B$2:$D$15,3,0)*AC280,"NA")</f>
        <v>0.30898643899008255</v>
      </c>
      <c r="CD280" s="80">
        <f>IFERROR(VLOOKUP($H280,'1. Set Program Names'!$B$2:$D$15,3,0)*AD280,"NA")</f>
        <v>0.31308207786608161</v>
      </c>
      <c r="CE280" s="80">
        <f>IFERROR(VLOOKUP($H280,'1. Set Program Names'!$B$2:$D$15,3,0)*AE280,"NA")</f>
        <v>0.31604050076648255</v>
      </c>
    </row>
    <row r="281" spans="1:83" x14ac:dyDescent="0.25">
      <c r="A281" s="79" t="s">
        <v>114</v>
      </c>
      <c r="B281" s="79" t="s">
        <v>88</v>
      </c>
      <c r="C281" s="79" t="s">
        <v>122</v>
      </c>
      <c r="D281" s="79" t="s">
        <v>90</v>
      </c>
      <c r="E281" s="79" t="s">
        <v>91</v>
      </c>
      <c r="F281" s="79" t="s">
        <v>90</v>
      </c>
      <c r="G281" s="79" t="s">
        <v>92</v>
      </c>
      <c r="H281" s="79" t="s">
        <v>14</v>
      </c>
      <c r="I281" s="79" t="s">
        <v>162</v>
      </c>
      <c r="J281" s="79" t="s">
        <v>161</v>
      </c>
      <c r="K281" s="79" t="s">
        <v>159</v>
      </c>
      <c r="L281" s="79">
        <v>632.51142857142861</v>
      </c>
      <c r="M281" s="79">
        <v>7.5636667797052567E-2</v>
      </c>
      <c r="N281" s="79">
        <v>7.2066360150851286E-2</v>
      </c>
      <c r="O281" s="79">
        <v>179</v>
      </c>
      <c r="P281" s="79">
        <v>51.895440493260928</v>
      </c>
      <c r="Q281" s="79"/>
      <c r="R281" s="79">
        <v>248.91572427603518</v>
      </c>
      <c r="S281" s="79">
        <v>686.98335706831222</v>
      </c>
      <c r="T281" s="79">
        <v>15</v>
      </c>
      <c r="U281" s="79">
        <v>0.2</v>
      </c>
      <c r="V281" s="79">
        <f>tbl_Data_old[[#This Row],[2025 ]]*IFERROR(AVERAGEIFS('Participation Adjustment'!$C:$C,'Participation Adjustment'!$A:$A,$H281,'Participation Adjustment'!$B:$B,$I281),1)</f>
        <v>18.931143510486901</v>
      </c>
      <c r="W281" s="79">
        <f>tbl_Data_old[[#This Row],[2026 ]]*IFERROR(AVERAGEIFS('Participation Adjustment'!$C:$C,'Participation Adjustment'!$A:$A,$H281,'Participation Adjustment'!$B:$B,$I281),1)</f>
        <v>20.605668632054549</v>
      </c>
      <c r="X281" s="79">
        <f>tbl_Data_old[[#This Row],[2027 ]]*IFERROR(AVERAGEIFS('Participation Adjustment'!$C:$C,'Participation Adjustment'!$A:$A,$H281,'Participation Adjustment'!$B:$B,$I281),1)</f>
        <v>21.934273615119452</v>
      </c>
      <c r="Y281" s="79">
        <f>tbl_Data_old[[#This Row],[2028 ]]*IFERROR(AVERAGEIFS('Participation Adjustment'!$C:$C,'Participation Adjustment'!$A:$A,$H281,'Participation Adjustment'!$B:$B,$I281),1)</f>
        <v>23.047429876155</v>
      </c>
      <c r="Z281" s="79">
        <f>tbl_Data_old[[#This Row],[2029 ]]*IFERROR(AVERAGEIFS('Participation Adjustment'!$C:$C,'Participation Adjustment'!$A:$A,$H281,'Participation Adjustment'!$B:$B,$I281),1)</f>
        <v>23.946132686161949</v>
      </c>
      <c r="AA281" s="79">
        <f>tbl_Data_old[[#This Row],[2030 ]]*IFERROR(AVERAGEIFS('Participation Adjustment'!$C:$C,'Participation Adjustment'!$A:$A,$H281,'Participation Adjustment'!$B:$B,$I281),1)</f>
        <v>24.636978812510851</v>
      </c>
      <c r="AB281" s="79">
        <f>tbl_Data_old[[#This Row],[2031 ]]*IFERROR(AVERAGEIFS('Participation Adjustment'!$C:$C,'Participation Adjustment'!$A:$A,$H281,'Participation Adjustment'!$B:$B,$I281),1)</f>
        <v>25.1471260293327</v>
      </c>
      <c r="AC281" s="79">
        <f>tbl_Data_old[[#This Row],[2032 ]]*IFERROR(AVERAGEIFS('Participation Adjustment'!$C:$C,'Participation Adjustment'!$A:$A,$H281,'Participation Adjustment'!$B:$B,$I281),1)</f>
        <v>25.552734858364051</v>
      </c>
      <c r="AD281" s="79">
        <f>tbl_Data_old[[#This Row],[2033 ]]*IFERROR(AVERAGEIFS('Participation Adjustment'!$C:$C,'Participation Adjustment'!$A:$A,$H281,'Participation Adjustment'!$B:$B,$I281),1)</f>
        <v>25.891438312846052</v>
      </c>
      <c r="AE281" s="79">
        <f>tbl_Data_old[[#This Row],[2034 ]]*IFERROR(AVERAGEIFS('Participation Adjustment'!$C:$C,'Participation Adjustment'!$A:$A,$H281,'Participation Adjustment'!$B:$B,$I281),1)</f>
        <v>26.136095638973249</v>
      </c>
      <c r="AF281" s="77" t="str">
        <f t="shared" si="121"/>
        <v>NonResidential</v>
      </c>
      <c r="AG281" s="77" t="str">
        <f>tbl_Data[[#This Row],[All_Meas_Name_Append]]</f>
        <v>LED High Bay_LF Baseline</v>
      </c>
      <c r="AH281" s="77">
        <f>AVERAGEIFS('3. Incentive Adjustment'!G:G,'3. Incentive Adjustment'!A:A,tbl_Data[[#This Row],[Trimmed Sector]],'3. Incentive Adjustment'!B:B,tbl_Data[[#This Row],[Trimmed Measure Name]])</f>
        <v>0.93017466414143679</v>
      </c>
      <c r="AI281" s="77">
        <f>$AH281*tbl_Data[[#This Row],[2025 ]]</f>
        <v>17.609270056680494</v>
      </c>
      <c r="AJ281" s="77">
        <f>$AH281*tbl_Data[[#This Row],[2026 ]]</f>
        <v>19.166870899231078</v>
      </c>
      <c r="AK281" s="77">
        <f>$AH281*tbl_Data[[#This Row],[2027 ]]</f>
        <v>20.402705593130115</v>
      </c>
      <c r="AL281" s="77">
        <f>$AH281*tbl_Data[[#This Row],[2028 ]]</f>
        <v>21.438135344375794</v>
      </c>
      <c r="AM281" s="77">
        <f>$AH281*tbl_Data[[#This Row],[2029 ]]</f>
        <v>22.274085928836971</v>
      </c>
      <c r="AN281" s="77">
        <f>$AH281*tbl_Data[[#This Row],[2030 ]]</f>
        <v>22.916693492386976</v>
      </c>
      <c r="AO281" s="77">
        <f>$AH281*tbl_Data[[#This Row],[2031 ]]</f>
        <v>23.391219508456928</v>
      </c>
      <c r="AP281" s="77">
        <f>$AH281*tbl_Data[[#This Row],[2032 ]]</f>
        <v>23.768506564773965</v>
      </c>
      <c r="AQ281" s="77">
        <f>$AH281*tbl_Data[[#This Row],[2033 ]]</f>
        <v>24.083559936790305</v>
      </c>
      <c r="AR281" s="77">
        <f>$AH281*tbl_Data[[#This Row],[2034 ]]</f>
        <v>24.311133982950413</v>
      </c>
      <c r="AS281" s="77">
        <f>SUM(tbl_Data[[#This Row],[Adjusted 2025]:[Adjusted 2034]])</f>
        <v>219.36218130761301</v>
      </c>
      <c r="AT281" s="80">
        <f>AVERAGEIFS('3. Incentive Adjustment'!F:F,'3. Incentive Adjustment'!A:A,tbl_Data[[#This Row],[Trimmed Sector]],'3. Incentive Adjustment'!B:B,tbl_Data[[#This Row],[Trimmed Measure Name]])</f>
        <v>23.858858929800434</v>
      </c>
      <c r="AU281" s="80">
        <f>IFERROR(VLOOKUP(tbl_Data[[#This Row],[All_Meas_Name_Append]],'IRA Tax Credits'!$A$3:$D$46,4,0),0)</f>
        <v>0</v>
      </c>
      <c r="AV281" s="81">
        <f>tbl_Data[[#This Row],[Adj. per unit Incentive ($)]]/tbl_Data[[#This Row],[kWh Savings]]*tbl_Data[[#This Row],[Sum of Annuals]]</f>
        <v>8.27452454127571</v>
      </c>
      <c r="AW281" s="81">
        <f>IFERROR(VLOOKUP(tbl_Data[[#This Row],[Column1]],'1. Set Program Names'!$B$2:$D$15,3,0)*tbl_Data[[#This Row],[Sum of Annuals]],"")</f>
        <v>7.8092267389520149</v>
      </c>
      <c r="AX281" s="81">
        <f>tbl_Data[[#This Row],[per unit IRA tax ($)]]/tbl_Data[[#This Row],[kWh Savings]]*tbl_Data[[#This Row],[Sum of Annuals]]</f>
        <v>0</v>
      </c>
      <c r="AY281" s="81">
        <f>tbl_Data[[#This Row],[Avoided Costs ($/unit)]]/tbl_Data[[#This Row],[kWh Savings]]*tbl_Data[[#This Row],[Sum of Annuals]]</f>
        <v>86.32681367082877</v>
      </c>
      <c r="AZ281" s="81">
        <f>tbl_Data[[#This Row],[Lost Revenue ($/unit)]]/tbl_Data[[#This Row],[kWh Savings]]*tbl_Data[[#This Row],[Sum of Annuals]]</f>
        <v>238.25366771458047</v>
      </c>
      <c r="BA281" s="81">
        <f>tbl_Data[[#This Row],[Incremental Cost ($/unit)]]/tbl_Data[[#This Row],[kWh Savings]]*tbl_Data[[#This Row],[Sum of Annuals]]</f>
        <v>62.079242651389499</v>
      </c>
      <c r="BB281" s="77">
        <f>ROUNDUP(tbl_Data[[#This Row],[Adjusted 2025]]/$L281,0)</f>
        <v>1</v>
      </c>
      <c r="BC281" s="77">
        <f>ROUNDUP(tbl_Data[[#This Row],[Adjusted 2026]]/$L281,0)</f>
        <v>1</v>
      </c>
      <c r="BD281" s="77">
        <f>ROUNDUP(tbl_Data[[#This Row],[Adjusted 2027]]/$L281,0)</f>
        <v>1</v>
      </c>
      <c r="BE281" s="77">
        <f>ROUNDUP(tbl_Data[[#This Row],[Adjusted 2028]]/$L281,0)</f>
        <v>1</v>
      </c>
      <c r="BF281" s="77">
        <f>ROUNDUP(tbl_Data[[#This Row],[Adjusted 2029]]/$L281,0)</f>
        <v>1</v>
      </c>
      <c r="BG281" s="77">
        <f>ROUNDUP(tbl_Data[[#This Row],[Adjusted 2030]]/$L281,0)</f>
        <v>1</v>
      </c>
      <c r="BH281" s="77">
        <f>ROUNDUP(tbl_Data[[#This Row],[Adjusted 2031]]/$L281,0)</f>
        <v>1</v>
      </c>
      <c r="BI281" s="77">
        <f>ROUNDUP(tbl_Data[[#This Row],[Adjusted 2032]]/$L281,0)</f>
        <v>1</v>
      </c>
      <c r="BJ281" s="77">
        <f>ROUNDUP(tbl_Data[[#This Row],[Adjusted 2033]]/$L281,0)</f>
        <v>1</v>
      </c>
      <c r="BK281" s="77">
        <f>ROUNDUP(tbl_Data[[#This Row],[Adjusted 2034]]/$L281,0)</f>
        <v>1</v>
      </c>
      <c r="BL281" s="80">
        <f t="shared" si="122"/>
        <v>0.71409853165286619</v>
      </c>
      <c r="BM281" s="80">
        <f t="shared" si="123"/>
        <v>0.77726301666481989</v>
      </c>
      <c r="BN281" s="80">
        <f t="shared" si="124"/>
        <v>0.82737910537482118</v>
      </c>
      <c r="BO281" s="80">
        <f t="shared" si="125"/>
        <v>0.86936828849338688</v>
      </c>
      <c r="BP281" s="80">
        <f t="shared" si="126"/>
        <v>0.90326810847323979</v>
      </c>
      <c r="BQ281" s="80">
        <f t="shared" si="127"/>
        <v>0.92932740088473831</v>
      </c>
      <c r="BR281" s="80">
        <f t="shared" si="128"/>
        <v>0.94857057963183711</v>
      </c>
      <c r="BS281" s="80">
        <f t="shared" si="129"/>
        <v>0.96387048315199575</v>
      </c>
      <c r="BT281" s="80">
        <f t="shared" si="130"/>
        <v>0.97664666011021106</v>
      </c>
      <c r="BU281" s="80">
        <f t="shared" si="131"/>
        <v>0.98587533862341159</v>
      </c>
      <c r="BV281" s="80">
        <f>IFERROR(VLOOKUP($H281,'1. Set Program Names'!$B$2:$D$15,3,0)*V281,"NA")</f>
        <v>0.67394293410001516</v>
      </c>
      <c r="BW281" s="80">
        <f>IFERROR(VLOOKUP($H281,'1. Set Program Names'!$B$2:$D$15,3,0)*W281,"NA")</f>
        <v>0.73355551762030458</v>
      </c>
      <c r="BX281" s="80">
        <f>IFERROR(VLOOKUP($H281,'1. Set Program Names'!$B$2:$D$15,3,0)*X281,"NA")</f>
        <v>0.78085344973151871</v>
      </c>
      <c r="BY281" s="80">
        <f>IFERROR(VLOOKUP($H281,'1. Set Program Names'!$B$2:$D$15,3,0)*Y281,"NA")</f>
        <v>0.82048147306030106</v>
      </c>
      <c r="BZ281" s="80">
        <f>IFERROR(VLOOKUP($H281,'1. Set Program Names'!$B$2:$D$15,3,0)*Z281,"NA")</f>
        <v>0.85247501895067468</v>
      </c>
      <c r="CA281" s="80">
        <f>IFERROR(VLOOKUP($H281,'1. Set Program Names'!$B$2:$D$15,3,0)*AA281,"NA")</f>
        <v>0.87706893030871247</v>
      </c>
      <c r="CB281" s="80">
        <f>IFERROR(VLOOKUP($H281,'1. Set Program Names'!$B$2:$D$15,3,0)*AB281,"NA")</f>
        <v>0.89523001560910231</v>
      </c>
      <c r="CC281" s="80">
        <f>IFERROR(VLOOKUP($H281,'1. Set Program Names'!$B$2:$D$15,3,0)*AC281,"NA")</f>
        <v>0.90966956619318795</v>
      </c>
      <c r="CD281" s="80">
        <f>IFERROR(VLOOKUP($H281,'1. Set Program Names'!$B$2:$D$15,3,0)*AD281,"NA")</f>
        <v>0.9217273058525467</v>
      </c>
      <c r="CE281" s="80">
        <f>IFERROR(VLOOKUP($H281,'1. Set Program Names'!$B$2:$D$15,3,0)*AE281,"NA")</f>
        <v>0.93043703203088823</v>
      </c>
    </row>
    <row r="282" spans="1:83" x14ac:dyDescent="0.25">
      <c r="A282" s="79" t="s">
        <v>114</v>
      </c>
      <c r="B282" s="79" t="s">
        <v>88</v>
      </c>
      <c r="C282" s="79" t="s">
        <v>122</v>
      </c>
      <c r="D282" s="79" t="s">
        <v>90</v>
      </c>
      <c r="E282" s="79" t="s">
        <v>91</v>
      </c>
      <c r="F282" s="79" t="s">
        <v>90</v>
      </c>
      <c r="G282" s="79" t="s">
        <v>92</v>
      </c>
      <c r="H282" s="79" t="s">
        <v>14</v>
      </c>
      <c r="I282" s="79" t="s">
        <v>163</v>
      </c>
      <c r="J282" s="79" t="s">
        <v>161</v>
      </c>
      <c r="K282" s="79" t="s">
        <v>159</v>
      </c>
      <c r="L282" s="79">
        <v>217.06142857142831</v>
      </c>
      <c r="M282" s="79">
        <v>3.4743730880075478E-2</v>
      </c>
      <c r="N282" s="79">
        <v>3.4497784431073229E-2</v>
      </c>
      <c r="O282" s="79">
        <v>109.07999999999996</v>
      </c>
      <c r="P282" s="79">
        <v>64.428955263702662</v>
      </c>
      <c r="Q282" s="79"/>
      <c r="R282" s="79">
        <v>85.561030664747506</v>
      </c>
      <c r="S282" s="79">
        <v>235.75477399173039</v>
      </c>
      <c r="T282" s="79">
        <v>15</v>
      </c>
      <c r="U282" s="79">
        <v>0.2</v>
      </c>
      <c r="V282" s="79">
        <f>tbl_Data_old[[#This Row],[2025 ]]*IFERROR(AVERAGEIFS('Participation Adjustment'!$C:$C,'Participation Adjustment'!$A:$A,$H282,'Participation Adjustment'!$B:$B,$I282),1)</f>
        <v>59.868939682921805</v>
      </c>
      <c r="W282" s="79">
        <f>tbl_Data_old[[#This Row],[2026 ]]*IFERROR(AVERAGEIFS('Participation Adjustment'!$C:$C,'Participation Adjustment'!$A:$A,$H282,'Participation Adjustment'!$B:$B,$I282),1)</f>
        <v>62.939977940045999</v>
      </c>
      <c r="X282" s="79">
        <f>tbl_Data_old[[#This Row],[2027 ]]*IFERROR(AVERAGEIFS('Participation Adjustment'!$C:$C,'Participation Adjustment'!$A:$A,$H282,'Participation Adjustment'!$B:$B,$I282),1)</f>
        <v>64.593874573162495</v>
      </c>
      <c r="Y282" s="79">
        <f>tbl_Data_old[[#This Row],[2028 ]]*IFERROR(AVERAGEIFS('Participation Adjustment'!$C:$C,'Participation Adjustment'!$A:$A,$H282,'Participation Adjustment'!$B:$B,$I282),1)</f>
        <v>65.606880641767802</v>
      </c>
      <c r="Z282" s="79">
        <f>tbl_Data_old[[#This Row],[2029 ]]*IFERROR(AVERAGEIFS('Participation Adjustment'!$C:$C,'Participation Adjustment'!$A:$A,$H282,'Participation Adjustment'!$B:$B,$I282),1)</f>
        <v>66.176475988586105</v>
      </c>
      <c r="AA282" s="79">
        <f>tbl_Data_old[[#This Row],[2030 ]]*IFERROR(AVERAGEIFS('Participation Adjustment'!$C:$C,'Participation Adjustment'!$A:$A,$H282,'Participation Adjustment'!$B:$B,$I282),1)</f>
        <v>66.249614550929707</v>
      </c>
      <c r="AB282" s="79">
        <f>tbl_Data_old[[#This Row],[2031 ]]*IFERROR(AVERAGEIFS('Participation Adjustment'!$C:$C,'Participation Adjustment'!$A:$A,$H282,'Participation Adjustment'!$B:$B,$I282),1)</f>
        <v>66.055535810897098</v>
      </c>
      <c r="AC282" s="79">
        <f>tbl_Data_old[[#This Row],[2032 ]]*IFERROR(AVERAGEIFS('Participation Adjustment'!$C:$C,'Participation Adjustment'!$A:$A,$H282,'Participation Adjustment'!$B:$B,$I282),1)</f>
        <v>65.782881574648201</v>
      </c>
      <c r="AD282" s="79">
        <f>tbl_Data_old[[#This Row],[2033 ]]*IFERROR(AVERAGEIFS('Participation Adjustment'!$C:$C,'Participation Adjustment'!$A:$A,$H282,'Participation Adjustment'!$B:$B,$I282),1)</f>
        <v>65.381036232728704</v>
      </c>
      <c r="AE282" s="79">
        <f>tbl_Data_old[[#This Row],[2034 ]]*IFERROR(AVERAGEIFS('Participation Adjustment'!$C:$C,'Participation Adjustment'!$A:$A,$H282,'Participation Adjustment'!$B:$B,$I282),1)</f>
        <v>64.931302298528692</v>
      </c>
      <c r="AF282" s="77" t="str">
        <f t="shared" si="121"/>
        <v>NonResidential</v>
      </c>
      <c r="AG282" s="77" t="str">
        <f>tbl_Data[[#This Row],[All_Meas_Name_Append]]</f>
        <v>LED Linear - Fixture Replacement</v>
      </c>
      <c r="AH282" s="77">
        <f>AVERAGEIFS('3. Incentive Adjustment'!G:G,'3. Incentive Adjustment'!A:A,tbl_Data[[#This Row],[Trimmed Sector]],'3. Incentive Adjustment'!B:B,tbl_Data[[#This Row],[Trimmed Measure Name]])</f>
        <v>0.56055357916158088</v>
      </c>
      <c r="AI282" s="77">
        <f>$AH282*tbl_Data[[#This Row],[2025 ]]</f>
        <v>33.559748419870623</v>
      </c>
      <c r="AJ282" s="77">
        <f>$AH282*tbl_Data[[#This Row],[2026 ]]</f>
        <v>35.28122990664373</v>
      </c>
      <c r="AK282" s="77">
        <f>$AH282*tbl_Data[[#This Row],[2027 ]]</f>
        <v>36.20832758390047</v>
      </c>
      <c r="AL282" s="77">
        <f>$AH282*tbl_Data[[#This Row],[2028 ]]</f>
        <v>36.776171761369575</v>
      </c>
      <c r="AM282" s="77">
        <f>$AH282*tbl_Data[[#This Row],[2029 ]]</f>
        <v>37.09546047170236</v>
      </c>
      <c r="AN282" s="77">
        <f>$AH282*tbl_Data[[#This Row],[2030 ]]</f>
        <v>37.136458554598796</v>
      </c>
      <c r="AO282" s="77">
        <f>$AH282*tbl_Data[[#This Row],[2031 ]]</f>
        <v>37.027667022234347</v>
      </c>
      <c r="AP282" s="77">
        <f>$AH282*tbl_Data[[#This Row],[2032 ]]</f>
        <v>36.87482971423146</v>
      </c>
      <c r="AQ282" s="77">
        <f>$AH282*tbl_Data[[#This Row],[2033 ]]</f>
        <v>36.64957386954908</v>
      </c>
      <c r="AR282" s="77">
        <f>$AH282*tbl_Data[[#This Row],[2034 ]]</f>
        <v>36.397473903062838</v>
      </c>
      <c r="AS282" s="77">
        <f>SUM(tbl_Data[[#This Row],[Adjusted 2025]:[Adjusted 2034]])</f>
        <v>363.00694120716332</v>
      </c>
      <c r="AT282" s="80">
        <f>AVERAGEIFS('3. Incentive Adjustment'!F:F,'3. Incentive Adjustment'!A:A,tbl_Data[[#This Row],[Trimmed Sector]],'3. Incentive Adjustment'!B:B,tbl_Data[[#This Row],[Trimmed Measure Name]])</f>
        <v>16.810726621008875</v>
      </c>
      <c r="AU282" s="80">
        <f>IFERROR(VLOOKUP(tbl_Data[[#This Row],[All_Meas_Name_Append]],'IRA Tax Credits'!$A$3:$D$46,4,0),0)</f>
        <v>0</v>
      </c>
      <c r="AV282" s="81">
        <f>tbl_Data[[#This Row],[Adj. per unit Incentive ($)]]/tbl_Data[[#This Row],[kWh Savings]]*tbl_Data[[#This Row],[Sum of Annuals]]</f>
        <v>28.113748676237734</v>
      </c>
      <c r="AW282" s="81">
        <f>IFERROR(VLOOKUP(tbl_Data[[#This Row],[Column1]],'1. Set Program Names'!$B$2:$D$15,3,0)*tbl_Data[[#This Row],[Sum of Annuals]],"")</f>
        <v>12.922936373088387</v>
      </c>
      <c r="AX282" s="81">
        <f>tbl_Data[[#This Row],[per unit IRA tax ($)]]/tbl_Data[[#This Row],[kWh Savings]]*tbl_Data[[#This Row],[Sum of Annuals]]</f>
        <v>0</v>
      </c>
      <c r="AY282" s="81">
        <f>tbl_Data[[#This Row],[Avoided Costs ($/unit)]]/tbl_Data[[#This Row],[kWh Savings]]*tbl_Data[[#This Row],[Sum of Annuals]]</f>
        <v>143.08966928189935</v>
      </c>
      <c r="AZ282" s="81">
        <f>tbl_Data[[#This Row],[Lost Revenue ($/unit)]]/tbl_Data[[#This Row],[kWh Savings]]*tbl_Data[[#This Row],[Sum of Annuals]]</f>
        <v>394.26912439011329</v>
      </c>
      <c r="BA282" s="81">
        <f>tbl_Data[[#This Row],[Incremental Cost ($/unit)]]/tbl_Data[[#This Row],[kWh Savings]]*tbl_Data[[#This Row],[Sum of Annuals]]</f>
        <v>182.42207935090252</v>
      </c>
      <c r="BB282" s="77">
        <f>ROUNDUP(tbl_Data[[#This Row],[Adjusted 2025]]/$L282,0)</f>
        <v>1</v>
      </c>
      <c r="BC282" s="77">
        <f>ROUNDUP(tbl_Data[[#This Row],[Adjusted 2026]]/$L282,0)</f>
        <v>1</v>
      </c>
      <c r="BD282" s="77">
        <f>ROUNDUP(tbl_Data[[#This Row],[Adjusted 2027]]/$L282,0)</f>
        <v>1</v>
      </c>
      <c r="BE282" s="77">
        <f>ROUNDUP(tbl_Data[[#This Row],[Adjusted 2028]]/$L282,0)</f>
        <v>1</v>
      </c>
      <c r="BF282" s="77">
        <f>ROUNDUP(tbl_Data[[#This Row],[Adjusted 2029]]/$L282,0)</f>
        <v>1</v>
      </c>
      <c r="BG282" s="77">
        <f>ROUNDUP(tbl_Data[[#This Row],[Adjusted 2030]]/$L282,0)</f>
        <v>1</v>
      </c>
      <c r="BH282" s="77">
        <f>ROUNDUP(tbl_Data[[#This Row],[Adjusted 2031]]/$L282,0)</f>
        <v>1</v>
      </c>
      <c r="BI282" s="77">
        <f>ROUNDUP(tbl_Data[[#This Row],[Adjusted 2032]]/$L282,0)</f>
        <v>1</v>
      </c>
      <c r="BJ282" s="77">
        <f>ROUNDUP(tbl_Data[[#This Row],[Adjusted 2033]]/$L282,0)</f>
        <v>1</v>
      </c>
      <c r="BK282" s="77">
        <f>ROUNDUP(tbl_Data[[#This Row],[Adjusted 2034]]/$L282,0)</f>
        <v>1</v>
      </c>
      <c r="BL282" s="80">
        <f t="shared" si="122"/>
        <v>4.6366615419564479</v>
      </c>
      <c r="BM282" s="80">
        <f t="shared" si="123"/>
        <v>4.8745038197068027</v>
      </c>
      <c r="BN282" s="80">
        <f t="shared" si="124"/>
        <v>5.00259292490487</v>
      </c>
      <c r="BO282" s="80">
        <f t="shared" si="125"/>
        <v>5.0810470666509371</v>
      </c>
      <c r="BP282" s="80">
        <f t="shared" si="126"/>
        <v>5.1251604391786145</v>
      </c>
      <c r="BQ282" s="80">
        <f t="shared" si="127"/>
        <v>5.1308247913627119</v>
      </c>
      <c r="BR282" s="80">
        <f t="shared" si="128"/>
        <v>5.1157940018617376</v>
      </c>
      <c r="BS282" s="80">
        <f t="shared" si="129"/>
        <v>5.094677786706395</v>
      </c>
      <c r="BT282" s="80">
        <f t="shared" si="130"/>
        <v>5.0635561257489696</v>
      </c>
      <c r="BU282" s="80">
        <f t="shared" si="131"/>
        <v>5.0287256435680261</v>
      </c>
      <c r="BV282" s="80">
        <f>IFERROR(VLOOKUP($H282,'1. Set Program Names'!$B$2:$D$15,3,0)*V282,"NA")</f>
        <v>2.1313159899196927</v>
      </c>
      <c r="BW282" s="80">
        <f>IFERROR(VLOOKUP($H282,'1. Set Program Names'!$B$2:$D$15,3,0)*W282,"NA")</f>
        <v>2.2406440150647748</v>
      </c>
      <c r="BX282" s="80">
        <f>IFERROR(VLOOKUP($H282,'1. Set Program Names'!$B$2:$D$15,3,0)*X282,"NA")</f>
        <v>2.2995222306888454</v>
      </c>
      <c r="BY282" s="80">
        <f>IFERROR(VLOOKUP($H282,'1. Set Program Names'!$B$2:$D$15,3,0)*Y282,"NA")</f>
        <v>2.3355849377175462</v>
      </c>
      <c r="BZ282" s="80">
        <f>IFERROR(VLOOKUP($H282,'1. Set Program Names'!$B$2:$D$15,3,0)*Z282,"NA")</f>
        <v>2.3558623583113838</v>
      </c>
      <c r="CA282" s="80">
        <f>IFERROR(VLOOKUP($H282,'1. Set Program Names'!$B$2:$D$15,3,0)*AA282,"NA")</f>
        <v>2.3584660688201757</v>
      </c>
      <c r="CB282" s="80">
        <f>IFERROR(VLOOKUP($H282,'1. Set Program Names'!$B$2:$D$15,3,0)*AB282,"NA")</f>
        <v>2.3515569248779964</v>
      </c>
      <c r="CC282" s="80">
        <f>IFERROR(VLOOKUP($H282,'1. Set Program Names'!$B$2:$D$15,3,0)*AC282,"NA")</f>
        <v>2.3418505172396733</v>
      </c>
      <c r="CD282" s="80">
        <f>IFERROR(VLOOKUP($H282,'1. Set Program Names'!$B$2:$D$15,3,0)*AD282,"NA")</f>
        <v>2.3275449456487323</v>
      </c>
      <c r="CE282" s="80">
        <f>IFERROR(VLOOKUP($H282,'1. Set Program Names'!$B$2:$D$15,3,0)*AE282,"NA")</f>
        <v>2.3115345547808377</v>
      </c>
    </row>
    <row r="283" spans="1:83" x14ac:dyDescent="0.25">
      <c r="A283" s="79" t="s">
        <v>114</v>
      </c>
      <c r="B283" s="79" t="s">
        <v>88</v>
      </c>
      <c r="C283" s="79" t="s">
        <v>122</v>
      </c>
      <c r="D283" s="79" t="s">
        <v>90</v>
      </c>
      <c r="E283" s="79" t="s">
        <v>91</v>
      </c>
      <c r="F283" s="79" t="s">
        <v>90</v>
      </c>
      <c r="G283" s="79" t="s">
        <v>92</v>
      </c>
      <c r="H283" s="79" t="s">
        <v>14</v>
      </c>
      <c r="I283" s="79" t="s">
        <v>164</v>
      </c>
      <c r="J283" s="79" t="s">
        <v>158</v>
      </c>
      <c r="K283" s="79" t="s">
        <v>159</v>
      </c>
      <c r="L283" s="79">
        <v>612.05999999999972</v>
      </c>
      <c r="M283" s="79">
        <v>0</v>
      </c>
      <c r="N283" s="79">
        <v>3.0244631686656035E-2</v>
      </c>
      <c r="O283" s="79">
        <v>255</v>
      </c>
      <c r="P283" s="79">
        <v>129.09500333079711</v>
      </c>
      <c r="Q283" s="79"/>
      <c r="R283" s="79">
        <v>299.62522934905462</v>
      </c>
      <c r="S283" s="79">
        <v>664.77065003695441</v>
      </c>
      <c r="T283" s="79">
        <v>15</v>
      </c>
      <c r="U283" s="79">
        <v>0.2</v>
      </c>
      <c r="V283" s="79">
        <f>tbl_Data_old[[#This Row],[2025 ]]*IFERROR(AVERAGEIFS('Participation Adjustment'!$C:$C,'Participation Adjustment'!$A:$A,$H283,'Participation Adjustment'!$B:$B,$I283),1)</f>
        <v>0</v>
      </c>
      <c r="W283" s="79">
        <f>tbl_Data_old[[#This Row],[2026 ]]*IFERROR(AVERAGEIFS('Participation Adjustment'!$C:$C,'Participation Adjustment'!$A:$A,$H283,'Participation Adjustment'!$B:$B,$I283),1)</f>
        <v>0</v>
      </c>
      <c r="X283" s="79">
        <f>tbl_Data_old[[#This Row],[2027 ]]*IFERROR(AVERAGEIFS('Participation Adjustment'!$C:$C,'Participation Adjustment'!$A:$A,$H283,'Participation Adjustment'!$B:$B,$I283),1)</f>
        <v>0</v>
      </c>
      <c r="Y283" s="79">
        <f>tbl_Data_old[[#This Row],[2028 ]]*IFERROR(AVERAGEIFS('Participation Adjustment'!$C:$C,'Participation Adjustment'!$A:$A,$H283,'Participation Adjustment'!$B:$B,$I283),1)</f>
        <v>0</v>
      </c>
      <c r="Z283" s="79">
        <f>tbl_Data_old[[#This Row],[2029 ]]*IFERROR(AVERAGEIFS('Participation Adjustment'!$C:$C,'Participation Adjustment'!$A:$A,$H283,'Participation Adjustment'!$B:$B,$I283),1)</f>
        <v>0</v>
      </c>
      <c r="AA283" s="79">
        <f>tbl_Data_old[[#This Row],[2030 ]]*IFERROR(AVERAGEIFS('Participation Adjustment'!$C:$C,'Participation Adjustment'!$A:$A,$H283,'Participation Adjustment'!$B:$B,$I283),1)</f>
        <v>0</v>
      </c>
      <c r="AB283" s="79">
        <f>tbl_Data_old[[#This Row],[2031 ]]*IFERROR(AVERAGEIFS('Participation Adjustment'!$C:$C,'Participation Adjustment'!$A:$A,$H283,'Participation Adjustment'!$B:$B,$I283),1)</f>
        <v>0</v>
      </c>
      <c r="AC283" s="79">
        <f>tbl_Data_old[[#This Row],[2032 ]]*IFERROR(AVERAGEIFS('Participation Adjustment'!$C:$C,'Participation Adjustment'!$A:$A,$H283,'Participation Adjustment'!$B:$B,$I283),1)</f>
        <v>0</v>
      </c>
      <c r="AD283" s="79">
        <f>tbl_Data_old[[#This Row],[2033 ]]*IFERROR(AVERAGEIFS('Participation Adjustment'!$C:$C,'Participation Adjustment'!$A:$A,$H283,'Participation Adjustment'!$B:$B,$I283),1)</f>
        <v>0</v>
      </c>
      <c r="AE283" s="79">
        <f>tbl_Data_old[[#This Row],[2034 ]]*IFERROR(AVERAGEIFS('Participation Adjustment'!$C:$C,'Participation Adjustment'!$A:$A,$H283,'Participation Adjustment'!$B:$B,$I283),1)</f>
        <v>0</v>
      </c>
      <c r="AF283" s="77" t="str">
        <f t="shared" si="121"/>
        <v>NonResidential</v>
      </c>
      <c r="AG283" s="77" t="str">
        <f>tbl_Data[[#This Row],[All_Meas_Name_Append]]</f>
        <v>LED Parking Lighting</v>
      </c>
      <c r="AH283" s="77">
        <f>AVERAGEIFS('3. Incentive Adjustment'!G:G,'3. Incentive Adjustment'!A:A,tbl_Data[[#This Row],[Trimmed Sector]],'3. Incentive Adjustment'!B:B,tbl_Data[[#This Row],[Trimmed Measure Name]])</f>
        <v>0.59704067730377497</v>
      </c>
      <c r="AI283" s="77">
        <f>$AH283*tbl_Data[[#This Row],[2025 ]]</f>
        <v>0</v>
      </c>
      <c r="AJ283" s="77">
        <f>$AH283*tbl_Data[[#This Row],[2026 ]]</f>
        <v>0</v>
      </c>
      <c r="AK283" s="77">
        <f>$AH283*tbl_Data[[#This Row],[2027 ]]</f>
        <v>0</v>
      </c>
      <c r="AL283" s="77">
        <f>$AH283*tbl_Data[[#This Row],[2028 ]]</f>
        <v>0</v>
      </c>
      <c r="AM283" s="77">
        <f>$AH283*tbl_Data[[#This Row],[2029 ]]</f>
        <v>0</v>
      </c>
      <c r="AN283" s="77">
        <f>$AH283*tbl_Data[[#This Row],[2030 ]]</f>
        <v>0</v>
      </c>
      <c r="AO283" s="77">
        <f>$AH283*tbl_Data[[#This Row],[2031 ]]</f>
        <v>0</v>
      </c>
      <c r="AP283" s="77">
        <f>$AH283*tbl_Data[[#This Row],[2032 ]]</f>
        <v>0</v>
      </c>
      <c r="AQ283" s="77">
        <f>$AH283*tbl_Data[[#This Row],[2033 ]]</f>
        <v>0</v>
      </c>
      <c r="AR283" s="77">
        <f>$AH283*tbl_Data[[#This Row],[2034 ]]</f>
        <v>0</v>
      </c>
      <c r="AS283" s="77">
        <f>SUM(tbl_Data[[#This Row],[Adjusted 2025]:[Adjusted 2034]])</f>
        <v>0</v>
      </c>
      <c r="AT283" s="80">
        <f>AVERAGEIFS('3. Incentive Adjustment'!F:F,'3. Incentive Adjustment'!A:A,tbl_Data[[#This Row],[Trimmed Sector]],'3. Incentive Adjustment'!B:B,tbl_Data[[#This Row],[Trimmed Measure Name]])</f>
        <v>9.4514474020799994</v>
      </c>
      <c r="AU283" s="80">
        <f>IFERROR(VLOOKUP(tbl_Data[[#This Row],[All_Meas_Name_Append]],'IRA Tax Credits'!$A$3:$D$46,4,0),0)</f>
        <v>0</v>
      </c>
      <c r="AV283" s="81">
        <f>tbl_Data[[#This Row],[Adj. per unit Incentive ($)]]/tbl_Data[[#This Row],[kWh Savings]]*tbl_Data[[#This Row],[Sum of Annuals]]</f>
        <v>0</v>
      </c>
      <c r="AW283" s="81">
        <f>IFERROR(VLOOKUP(tbl_Data[[#This Row],[Column1]],'1. Set Program Names'!$B$2:$D$15,3,0)*tbl_Data[[#This Row],[Sum of Annuals]],"")</f>
        <v>0</v>
      </c>
      <c r="AX283" s="81">
        <f>tbl_Data[[#This Row],[per unit IRA tax ($)]]/tbl_Data[[#This Row],[kWh Savings]]*tbl_Data[[#This Row],[Sum of Annuals]]</f>
        <v>0</v>
      </c>
      <c r="AY283" s="81">
        <f>tbl_Data[[#This Row],[Avoided Costs ($/unit)]]/tbl_Data[[#This Row],[kWh Savings]]*tbl_Data[[#This Row],[Sum of Annuals]]</f>
        <v>0</v>
      </c>
      <c r="AZ283" s="81">
        <f>tbl_Data[[#This Row],[Lost Revenue ($/unit)]]/tbl_Data[[#This Row],[kWh Savings]]*tbl_Data[[#This Row],[Sum of Annuals]]</f>
        <v>0</v>
      </c>
      <c r="BA283" s="81">
        <f>tbl_Data[[#This Row],[Incremental Cost ($/unit)]]/tbl_Data[[#This Row],[kWh Savings]]*tbl_Data[[#This Row],[Sum of Annuals]]</f>
        <v>0</v>
      </c>
      <c r="BB283" s="77">
        <f>ROUNDUP(tbl_Data[[#This Row],[Adjusted 2025]]/$L283,0)</f>
        <v>0</v>
      </c>
      <c r="BC283" s="77">
        <f>ROUNDUP(tbl_Data[[#This Row],[Adjusted 2026]]/$L283,0)</f>
        <v>0</v>
      </c>
      <c r="BD283" s="77">
        <f>ROUNDUP(tbl_Data[[#This Row],[Adjusted 2027]]/$L283,0)</f>
        <v>0</v>
      </c>
      <c r="BE283" s="77">
        <f>ROUNDUP(tbl_Data[[#This Row],[Adjusted 2028]]/$L283,0)</f>
        <v>0</v>
      </c>
      <c r="BF283" s="77">
        <f>ROUNDUP(tbl_Data[[#This Row],[Adjusted 2029]]/$L283,0)</f>
        <v>0</v>
      </c>
      <c r="BG283" s="77">
        <f>ROUNDUP(tbl_Data[[#This Row],[Adjusted 2030]]/$L283,0)</f>
        <v>0</v>
      </c>
      <c r="BH283" s="77">
        <f>ROUNDUP(tbl_Data[[#This Row],[Adjusted 2031]]/$L283,0)</f>
        <v>0</v>
      </c>
      <c r="BI283" s="77">
        <f>ROUNDUP(tbl_Data[[#This Row],[Adjusted 2032]]/$L283,0)</f>
        <v>0</v>
      </c>
      <c r="BJ283" s="77">
        <f>ROUNDUP(tbl_Data[[#This Row],[Adjusted 2033]]/$L283,0)</f>
        <v>0</v>
      </c>
      <c r="BK283" s="77">
        <f>ROUNDUP(tbl_Data[[#This Row],[Adjusted 2034]]/$L283,0)</f>
        <v>0</v>
      </c>
      <c r="BL283" s="80">
        <f t="shared" si="122"/>
        <v>0</v>
      </c>
      <c r="BM283" s="80">
        <f t="shared" si="123"/>
        <v>0</v>
      </c>
      <c r="BN283" s="80">
        <f t="shared" si="124"/>
        <v>0</v>
      </c>
      <c r="BO283" s="80">
        <f t="shared" si="125"/>
        <v>0</v>
      </c>
      <c r="BP283" s="80">
        <f t="shared" si="126"/>
        <v>0</v>
      </c>
      <c r="BQ283" s="80">
        <f t="shared" si="127"/>
        <v>0</v>
      </c>
      <c r="BR283" s="80">
        <f t="shared" si="128"/>
        <v>0</v>
      </c>
      <c r="BS283" s="80">
        <f t="shared" si="129"/>
        <v>0</v>
      </c>
      <c r="BT283" s="80">
        <f t="shared" si="130"/>
        <v>0</v>
      </c>
      <c r="BU283" s="80">
        <f t="shared" si="131"/>
        <v>0</v>
      </c>
      <c r="BV283" s="80">
        <f>IFERROR(VLOOKUP($H283,'1. Set Program Names'!$B$2:$D$15,3,0)*V283,"NA")</f>
        <v>0</v>
      </c>
      <c r="BW283" s="80">
        <f>IFERROR(VLOOKUP($H283,'1. Set Program Names'!$B$2:$D$15,3,0)*W283,"NA")</f>
        <v>0</v>
      </c>
      <c r="BX283" s="80">
        <f>IFERROR(VLOOKUP($H283,'1. Set Program Names'!$B$2:$D$15,3,0)*X283,"NA")</f>
        <v>0</v>
      </c>
      <c r="BY283" s="80">
        <f>IFERROR(VLOOKUP($H283,'1. Set Program Names'!$B$2:$D$15,3,0)*Y283,"NA")</f>
        <v>0</v>
      </c>
      <c r="BZ283" s="80">
        <f>IFERROR(VLOOKUP($H283,'1. Set Program Names'!$B$2:$D$15,3,0)*Z283,"NA")</f>
        <v>0</v>
      </c>
      <c r="CA283" s="80">
        <f>IFERROR(VLOOKUP($H283,'1. Set Program Names'!$B$2:$D$15,3,0)*AA283,"NA")</f>
        <v>0</v>
      </c>
      <c r="CB283" s="80">
        <f>IFERROR(VLOOKUP($H283,'1. Set Program Names'!$B$2:$D$15,3,0)*AB283,"NA")</f>
        <v>0</v>
      </c>
      <c r="CC283" s="80">
        <f>IFERROR(VLOOKUP($H283,'1. Set Program Names'!$B$2:$D$15,3,0)*AC283,"NA")</f>
        <v>0</v>
      </c>
      <c r="CD283" s="80">
        <f>IFERROR(VLOOKUP($H283,'1. Set Program Names'!$B$2:$D$15,3,0)*AD283,"NA")</f>
        <v>0</v>
      </c>
      <c r="CE283" s="80">
        <f>IFERROR(VLOOKUP($H283,'1. Set Program Names'!$B$2:$D$15,3,0)*AE283,"NA")</f>
        <v>0</v>
      </c>
    </row>
    <row r="284" spans="1:83" x14ac:dyDescent="0.25">
      <c r="A284" s="79" t="s">
        <v>114</v>
      </c>
      <c r="B284" s="79" t="s">
        <v>88</v>
      </c>
      <c r="C284" s="79" t="s">
        <v>122</v>
      </c>
      <c r="D284" s="79" t="s">
        <v>90</v>
      </c>
      <c r="E284" s="79" t="s">
        <v>91</v>
      </c>
      <c r="F284" s="79" t="s">
        <v>90</v>
      </c>
      <c r="G284" s="79" t="s">
        <v>92</v>
      </c>
      <c r="H284" s="79" t="s">
        <v>14</v>
      </c>
      <c r="I284" s="79" t="s">
        <v>165</v>
      </c>
      <c r="J284" s="79" t="s">
        <v>161</v>
      </c>
      <c r="K284" s="79" t="s">
        <v>166</v>
      </c>
      <c r="L284" s="79">
        <v>510.6</v>
      </c>
      <c r="M284" s="79">
        <v>6.2552429943266097E-2</v>
      </c>
      <c r="N284" s="79">
        <v>6.4361142955417797E-2</v>
      </c>
      <c r="O284" s="79">
        <v>129</v>
      </c>
      <c r="P284" s="79">
        <v>26.468747947944401</v>
      </c>
      <c r="Q284" s="79">
        <v>18.177204243412199</v>
      </c>
      <c r="R284" s="79">
        <v>174.74401692254699</v>
      </c>
      <c r="S284" s="79">
        <v>419.99719394182398</v>
      </c>
      <c r="T284" s="79">
        <v>10</v>
      </c>
      <c r="U284" s="79">
        <v>0.2</v>
      </c>
      <c r="V284" s="79">
        <f>tbl_Data_old[[#This Row],[2025 ]]*IFERROR(AVERAGEIFS('Participation Adjustment'!$C:$C,'Participation Adjustment'!$A:$A,$H284,'Participation Adjustment'!$B:$B,$I284),1)</f>
        <v>1.0097684520058099</v>
      </c>
      <c r="W284" s="79">
        <f>tbl_Data_old[[#This Row],[2026 ]]*IFERROR(AVERAGEIFS('Participation Adjustment'!$C:$C,'Participation Adjustment'!$A:$A,$H284,'Participation Adjustment'!$B:$B,$I284),1)</f>
        <v>1.38484073507094</v>
      </c>
      <c r="X284" s="79">
        <f>tbl_Data_old[[#This Row],[2027 ]]*IFERROR(AVERAGEIFS('Participation Adjustment'!$C:$C,'Participation Adjustment'!$A:$A,$H284,'Participation Adjustment'!$B:$B,$I284),1)</f>
        <v>1.84213812931489</v>
      </c>
      <c r="Y284" s="79">
        <f>tbl_Data_old[[#This Row],[2028 ]]*IFERROR(AVERAGEIFS('Participation Adjustment'!$C:$C,'Participation Adjustment'!$A:$A,$H284,'Participation Adjustment'!$B:$B,$I284),1)</f>
        <v>2.37602791110809</v>
      </c>
      <c r="Z284" s="79">
        <f>tbl_Data_old[[#This Row],[2029 ]]*IFERROR(AVERAGEIFS('Participation Adjustment'!$C:$C,'Participation Adjustment'!$A:$A,$H284,'Participation Adjustment'!$B:$B,$I284),1)</f>
        <v>2.9430415262337699</v>
      </c>
      <c r="AA284" s="79">
        <f>tbl_Data_old[[#This Row],[2030 ]]*IFERROR(AVERAGEIFS('Participation Adjustment'!$C:$C,'Participation Adjustment'!$A:$A,$H284,'Participation Adjustment'!$B:$B,$I284),1)</f>
        <v>3.4552606334355498</v>
      </c>
      <c r="AB284" s="79">
        <f>tbl_Data_old[[#This Row],[2031 ]]*IFERROR(AVERAGEIFS('Participation Adjustment'!$C:$C,'Participation Adjustment'!$A:$A,$H284,'Participation Adjustment'!$B:$B,$I284),1)</f>
        <v>3.7981499102754701</v>
      </c>
      <c r="AC284" s="79">
        <f>tbl_Data_old[[#This Row],[2032 ]]*IFERROR(AVERAGEIFS('Participation Adjustment'!$C:$C,'Participation Adjustment'!$A:$A,$H284,'Participation Adjustment'!$B:$B,$I284),1)</f>
        <v>3.8638796677620402</v>
      </c>
      <c r="AD284" s="79">
        <f>tbl_Data_old[[#This Row],[2033 ]]*IFERROR(AVERAGEIFS('Participation Adjustment'!$C:$C,'Participation Adjustment'!$A:$A,$H284,'Participation Adjustment'!$B:$B,$I284),1)</f>
        <v>3.5971532308654099</v>
      </c>
      <c r="AE284" s="79">
        <f>tbl_Data_old[[#This Row],[2034 ]]*IFERROR(AVERAGEIFS('Participation Adjustment'!$C:$C,'Participation Adjustment'!$A:$A,$H284,'Participation Adjustment'!$B:$B,$I284),1)</f>
        <v>3.0512609694091499</v>
      </c>
      <c r="AF284" s="77" t="str">
        <f t="shared" si="121"/>
        <v>NonResidential</v>
      </c>
      <c r="AG284" s="77" t="str">
        <f>tbl_Data[[#This Row],[All_Meas_Name_Append]]</f>
        <v>Occupancy Sensors_ Ceiling Mounted</v>
      </c>
      <c r="AH284" s="77">
        <f>AVERAGEIFS('3. Incentive Adjustment'!G:G,'3. Incentive Adjustment'!A:A,tbl_Data[[#This Row],[Trimmed Sector]],'3. Incentive Adjustment'!B:B,tbl_Data[[#This Row],[Trimmed Measure Name]])</f>
        <v>0.99348124042467356</v>
      </c>
      <c r="AI284" s="77">
        <f>$AH284*tbl_Data[[#This Row],[2025 ]]</f>
        <v>1.0031860142404345</v>
      </c>
      <c r="AJ284" s="77">
        <f>$AH284*tbl_Data[[#This Row],[2026 ]]</f>
        <v>1.3758132912688941</v>
      </c>
      <c r="AK284" s="77">
        <f>$AH284*tbl_Data[[#This Row],[2027 ]]</f>
        <v>1.8301296737453445</v>
      </c>
      <c r="AL284" s="77">
        <f>$AH284*tbl_Data[[#This Row],[2028 ]]</f>
        <v>2.3605391564113112</v>
      </c>
      <c r="AM284" s="77">
        <f>$AH284*tbl_Data[[#This Row],[2029 ]]</f>
        <v>2.9238565461040502</v>
      </c>
      <c r="AN284" s="77">
        <f>$AH284*tbl_Data[[#This Row],[2030 ]]</f>
        <v>3.4327366200960934</v>
      </c>
      <c r="AO284" s="77">
        <f>$AH284*tbl_Data[[#This Row],[2031 ]]</f>
        <v>3.7733906841793368</v>
      </c>
      <c r="AP284" s="77">
        <f>$AH284*tbl_Data[[#This Row],[2032 ]]</f>
        <v>3.8386919651799074</v>
      </c>
      <c r="AQ284" s="77">
        <f>$AH284*tbl_Data[[#This Row],[2033 ]]</f>
        <v>3.5737042537977897</v>
      </c>
      <c r="AR284" s="77">
        <f>$AH284*tbl_Data[[#This Row],[2034 ]]</f>
        <v>3.0313705327479941</v>
      </c>
      <c r="AS284" s="77">
        <f>SUM(tbl_Data[[#This Row],[Adjusted 2025]:[Adjusted 2034]])</f>
        <v>27.143418737771157</v>
      </c>
      <c r="AT284" s="80">
        <f>AVERAGEIFS('3. Incentive Adjustment'!F:F,'3. Incentive Adjustment'!A:A,tbl_Data[[#This Row],[Trimmed Sector]],'3. Incentive Adjustment'!B:B,tbl_Data[[#This Row],[Trimmed Measure Name]])</f>
        <v>19.547634357270656</v>
      </c>
      <c r="AU284" s="80">
        <f>IFERROR(VLOOKUP(tbl_Data[[#This Row],[All_Meas_Name_Append]],'IRA Tax Credits'!$A$3:$D$46,4,0),0)</f>
        <v>0</v>
      </c>
      <c r="AV284" s="81">
        <f>tbl_Data[[#This Row],[Adj. per unit Incentive ($)]]/tbl_Data[[#This Row],[kWh Savings]]*tbl_Data[[#This Row],[Sum of Annuals]]</f>
        <v>1.0391492845519772</v>
      </c>
      <c r="AW284" s="81">
        <f>IFERROR(VLOOKUP(tbl_Data[[#This Row],[Column1]],'1. Set Program Names'!$B$2:$D$15,3,0)*tbl_Data[[#This Row],[Sum of Annuals]],"")</f>
        <v>0.96629742706801403</v>
      </c>
      <c r="AX284" s="81">
        <f>tbl_Data[[#This Row],[per unit IRA tax ($)]]/tbl_Data[[#This Row],[kWh Savings]]*tbl_Data[[#This Row],[Sum of Annuals]]</f>
        <v>0</v>
      </c>
      <c r="AY284" s="81">
        <f>tbl_Data[[#This Row],[Avoided Costs ($/unit)]]/tbl_Data[[#This Row],[kWh Savings]]*tbl_Data[[#This Row],[Sum of Annuals]]</f>
        <v>9.2893654979413665</v>
      </c>
      <c r="AZ284" s="81">
        <f>tbl_Data[[#This Row],[Lost Revenue ($/unit)]]/tbl_Data[[#This Row],[kWh Savings]]*tbl_Data[[#This Row],[Sum of Annuals]]</f>
        <v>22.326987277422269</v>
      </c>
      <c r="BA284" s="81">
        <f>tbl_Data[[#This Row],[Incremental Cost ($/unit)]]/tbl_Data[[#This Row],[kWh Savings]]*tbl_Data[[#This Row],[Sum of Annuals]]</f>
        <v>6.8576204801654503</v>
      </c>
      <c r="BB284" s="77">
        <f>ROUNDUP(tbl_Data[[#This Row],[Adjusted 2025]]/$L284,0)</f>
        <v>1</v>
      </c>
      <c r="BC284" s="77">
        <f>ROUNDUP(tbl_Data[[#This Row],[Adjusted 2026]]/$L284,0)</f>
        <v>1</v>
      </c>
      <c r="BD284" s="77">
        <f>ROUNDUP(tbl_Data[[#This Row],[Adjusted 2027]]/$L284,0)</f>
        <v>1</v>
      </c>
      <c r="BE284" s="77">
        <f>ROUNDUP(tbl_Data[[#This Row],[Adjusted 2028]]/$L284,0)</f>
        <v>1</v>
      </c>
      <c r="BF284" s="77">
        <f>ROUNDUP(tbl_Data[[#This Row],[Adjusted 2029]]/$L284,0)</f>
        <v>1</v>
      </c>
      <c r="BG284" s="77">
        <f>ROUNDUP(tbl_Data[[#This Row],[Adjusted 2030]]/$L284,0)</f>
        <v>1</v>
      </c>
      <c r="BH284" s="77">
        <f>ROUNDUP(tbl_Data[[#This Row],[Adjusted 2031]]/$L284,0)</f>
        <v>1</v>
      </c>
      <c r="BI284" s="77">
        <f>ROUNDUP(tbl_Data[[#This Row],[Adjusted 2032]]/$L284,0)</f>
        <v>1</v>
      </c>
      <c r="BJ284" s="77">
        <f>ROUNDUP(tbl_Data[[#This Row],[Adjusted 2033]]/$L284,0)</f>
        <v>1</v>
      </c>
      <c r="BK284" s="77">
        <f>ROUNDUP(tbl_Data[[#This Row],[Adjusted 2034]]/$L284,0)</f>
        <v>1</v>
      </c>
      <c r="BL284" s="80">
        <f t="shared" si="122"/>
        <v>3.8657627272457452E-2</v>
      </c>
      <c r="BM284" s="80">
        <f t="shared" si="123"/>
        <v>5.3016765241325217E-2</v>
      </c>
      <c r="BN284" s="80">
        <f t="shared" si="124"/>
        <v>7.0523781017301293E-2</v>
      </c>
      <c r="BO284" s="80">
        <f t="shared" si="125"/>
        <v>9.0963033350980271E-2</v>
      </c>
      <c r="BP284" s="80">
        <f t="shared" si="126"/>
        <v>0.11267038709965044</v>
      </c>
      <c r="BQ284" s="80">
        <f t="shared" si="127"/>
        <v>0.13228000679880439</v>
      </c>
      <c r="BR284" s="80">
        <f t="shared" si="128"/>
        <v>0.14540706165328093</v>
      </c>
      <c r="BS284" s="80">
        <f t="shared" si="129"/>
        <v>0.14792343702684055</v>
      </c>
      <c r="BT284" s="80">
        <f t="shared" si="130"/>
        <v>0.13771217407761815</v>
      </c>
      <c r="BU284" s="80">
        <f t="shared" si="131"/>
        <v>0.11681342295068796</v>
      </c>
      <c r="BV284" s="80">
        <f>IFERROR(VLOOKUP($H284,'1. Set Program Names'!$B$2:$D$15,3,0)*V284,"NA")</f>
        <v>3.5947448865381454E-2</v>
      </c>
      <c r="BW284" s="80">
        <f>IFERROR(VLOOKUP($H284,'1. Set Program Names'!$B$2:$D$15,3,0)*W284,"NA")</f>
        <v>4.929990772812682E-2</v>
      </c>
      <c r="BX284" s="80">
        <f>IFERROR(VLOOKUP($H284,'1. Set Program Names'!$B$2:$D$15,3,0)*X284,"NA")</f>
        <v>6.5579555466380779E-2</v>
      </c>
      <c r="BY284" s="80">
        <f>IFERROR(VLOOKUP($H284,'1. Set Program Names'!$B$2:$D$15,3,0)*Y284,"NA")</f>
        <v>8.4585868837171535E-2</v>
      </c>
      <c r="BZ284" s="80">
        <f>IFERROR(VLOOKUP($H284,'1. Set Program Names'!$B$2:$D$15,3,0)*Z284,"NA")</f>
        <v>0.10477138057029924</v>
      </c>
      <c r="CA284" s="80">
        <f>IFERROR(VLOOKUP($H284,'1. Set Program Names'!$B$2:$D$15,3,0)*AA284,"NA")</f>
        <v>0.1230062245361923</v>
      </c>
      <c r="CB284" s="80">
        <f>IFERROR(VLOOKUP($H284,'1. Set Program Names'!$B$2:$D$15,3,0)*AB284,"NA")</f>
        <v>0.13521297819462383</v>
      </c>
      <c r="CC284" s="80">
        <f>IFERROR(VLOOKUP($H284,'1. Set Program Names'!$B$2:$D$15,3,0)*AC284,"NA")</f>
        <v>0.13755293751053321</v>
      </c>
      <c r="CD284" s="80">
        <f>IFERROR(VLOOKUP($H284,'1. Set Program Names'!$B$2:$D$15,3,0)*AD284,"NA")</f>
        <v>0.12805755772089819</v>
      </c>
      <c r="CE284" s="80">
        <f>IFERROR(VLOOKUP($H284,'1. Set Program Names'!$B$2:$D$15,3,0)*AE284,"NA")</f>
        <v>0.10862395973541326</v>
      </c>
    </row>
    <row r="285" spans="1:83" x14ac:dyDescent="0.25">
      <c r="A285" s="79" t="s">
        <v>114</v>
      </c>
      <c r="B285" s="79" t="s">
        <v>88</v>
      </c>
      <c r="C285" s="79" t="s">
        <v>122</v>
      </c>
      <c r="D285" s="79" t="s">
        <v>90</v>
      </c>
      <c r="E285" s="79" t="s">
        <v>91</v>
      </c>
      <c r="F285" s="79" t="s">
        <v>90</v>
      </c>
      <c r="G285" s="79" t="s">
        <v>92</v>
      </c>
      <c r="H285" s="79" t="s">
        <v>14</v>
      </c>
      <c r="I285" s="79" t="s">
        <v>154</v>
      </c>
      <c r="J285" s="79" t="s">
        <v>129</v>
      </c>
      <c r="K285" s="79" t="s">
        <v>102</v>
      </c>
      <c r="L285" s="79">
        <v>111105.09249999899</v>
      </c>
      <c r="M285" s="79">
        <v>30.6532165911823</v>
      </c>
      <c r="N285" s="79">
        <v>0</v>
      </c>
      <c r="O285" s="79">
        <v>40257.675000000003</v>
      </c>
      <c r="P285" s="79">
        <v>17605.607636663401</v>
      </c>
      <c r="Q285" s="79">
        <v>3955.3074008141398</v>
      </c>
      <c r="R285" s="79">
        <v>56706.982631731698</v>
      </c>
      <c r="S285" s="79">
        <v>120673.47084214</v>
      </c>
      <c r="T285" s="79">
        <v>15</v>
      </c>
      <c r="U285" s="79">
        <v>0.95</v>
      </c>
      <c r="V285" s="79">
        <f>tbl_Data_old[[#This Row],[2025 ]]*IFERROR(AVERAGEIFS('Participation Adjustment'!$C:$C,'Participation Adjustment'!$A:$A,$H285,'Participation Adjustment'!$B:$B,$I285),1)</f>
        <v>1.0947170580366681</v>
      </c>
      <c r="W285" s="79">
        <f>tbl_Data_old[[#This Row],[2026 ]]*IFERROR(AVERAGEIFS('Participation Adjustment'!$C:$C,'Participation Adjustment'!$A:$A,$H285,'Participation Adjustment'!$B:$B,$I285),1)</f>
        <v>1.0986467421553279</v>
      </c>
      <c r="X285" s="79">
        <f>tbl_Data_old[[#This Row],[2027 ]]*IFERROR(AVERAGEIFS('Participation Adjustment'!$C:$C,'Participation Adjustment'!$A:$A,$H285,'Participation Adjustment'!$B:$B,$I285),1)</f>
        <v>1.10664010007705</v>
      </c>
      <c r="Y285" s="79">
        <f>tbl_Data_old[[#This Row],[2028 ]]*IFERROR(AVERAGEIFS('Participation Adjustment'!$C:$C,'Participation Adjustment'!$A:$A,$H285,'Participation Adjustment'!$B:$B,$I285),1)</f>
        <v>1.1168689658500481</v>
      </c>
      <c r="Z285" s="79">
        <f>tbl_Data_old[[#This Row],[2029 ]]*IFERROR(AVERAGEIFS('Participation Adjustment'!$C:$C,'Participation Adjustment'!$A:$A,$H285,'Participation Adjustment'!$B:$B,$I285),1)</f>
        <v>1.1237304341932539</v>
      </c>
      <c r="AA285" s="79">
        <f>tbl_Data_old[[#This Row],[2030 ]]*IFERROR(AVERAGEIFS('Participation Adjustment'!$C:$C,'Participation Adjustment'!$A:$A,$H285,'Participation Adjustment'!$B:$B,$I285),1)</f>
        <v>1.1304261041150701</v>
      </c>
      <c r="AB285" s="79">
        <f>tbl_Data_old[[#This Row],[2031 ]]*IFERROR(AVERAGEIFS('Participation Adjustment'!$C:$C,'Participation Adjustment'!$A:$A,$H285,'Participation Adjustment'!$B:$B,$I285),1)</f>
        <v>1.1326154303982721</v>
      </c>
      <c r="AC285" s="79">
        <f>tbl_Data_old[[#This Row],[2032 ]]*IFERROR(AVERAGEIFS('Participation Adjustment'!$C:$C,'Participation Adjustment'!$A:$A,$H285,'Participation Adjustment'!$B:$B,$I285),1)</f>
        <v>1.1333919758855919</v>
      </c>
      <c r="AD285" s="79">
        <f>tbl_Data_old[[#This Row],[2033 ]]*IFERROR(AVERAGEIFS('Participation Adjustment'!$C:$C,'Participation Adjustment'!$A:$A,$H285,'Participation Adjustment'!$B:$B,$I285),1)</f>
        <v>1.1399747484928759</v>
      </c>
      <c r="AE285" s="79">
        <f>tbl_Data_old[[#This Row],[2034 ]]*IFERROR(AVERAGEIFS('Participation Adjustment'!$C:$C,'Participation Adjustment'!$A:$A,$H285,'Participation Adjustment'!$B:$B,$I285),1)</f>
        <v>1.1437469609778981</v>
      </c>
      <c r="AF285" s="77" t="str">
        <f t="shared" si="121"/>
        <v>NonResidential</v>
      </c>
      <c r="AG285" s="77" t="str">
        <f>tbl_Data[[#This Row],[All_Meas_Name_Append]]</f>
        <v>Reflective Roof Treatment</v>
      </c>
      <c r="AH285" s="77">
        <f>AVERAGEIFS('3. Incentive Adjustment'!G:G,'3. Incentive Adjustment'!A:A,tbl_Data[[#This Row],[Trimmed Sector]],'3. Incentive Adjustment'!B:B,tbl_Data[[#This Row],[Trimmed Measure Name]])</f>
        <v>0.87696681614875649</v>
      </c>
      <c r="AI285" s="77">
        <f>$AH285*tbl_Data[[#This Row],[2025 ]]</f>
        <v>0.96003053297015029</v>
      </c>
      <c r="AJ285" s="77">
        <f>$AH285*tbl_Data[[#This Row],[2026 ]]</f>
        <v>0.96347673554016167</v>
      </c>
      <c r="AK285" s="77">
        <f>$AH285*tbl_Data[[#This Row],[2027 ]]</f>
        <v>0.97048664518711181</v>
      </c>
      <c r="AL285" s="77">
        <f>$AH285*tbl_Data[[#This Row],[2028 ]]</f>
        <v>0.97945702103687093</v>
      </c>
      <c r="AM285" s="77">
        <f>$AH285*tbl_Data[[#This Row],[2029 ]]</f>
        <v>0.98547430108391765</v>
      </c>
      <c r="AN285" s="77">
        <f>$AH285*tbl_Data[[#This Row],[2030 ]]</f>
        <v>0.99134618141723574</v>
      </c>
      <c r="AO285" s="77">
        <f>$AH285*tbl_Data[[#This Row],[2031 ]]</f>
        <v>0.99326614791732615</v>
      </c>
      <c r="AP285" s="77">
        <f>$AH285*tbl_Data[[#This Row],[2032 ]]</f>
        <v>0.9939471525409358</v>
      </c>
      <c r="AQ285" s="77">
        <f>$AH285*tbl_Data[[#This Row],[2033 ]]</f>
        <v>0.99972002567577689</v>
      </c>
      <c r="AR285" s="77">
        <f>$AH285*tbl_Data[[#This Row],[2034 ]]</f>
        <v>1.0030281308486033</v>
      </c>
      <c r="AS285" s="77">
        <f>SUM(tbl_Data[[#This Row],[Adjusted 2025]:[Adjusted 2034]])</f>
        <v>9.8402328742180902</v>
      </c>
      <c r="AT285" s="80">
        <f>AVERAGEIFS('3. Incentive Adjustment'!F:F,'3. Incentive Adjustment'!A:A,tbl_Data[[#This Row],[Trimmed Sector]],'3. Incentive Adjustment'!B:B,tbl_Data[[#This Row],[Trimmed Measure Name]])</f>
        <v>12077.302499999998</v>
      </c>
      <c r="AU285" s="80">
        <f>IFERROR(VLOOKUP(tbl_Data[[#This Row],[All_Meas_Name_Append]],'IRA Tax Credits'!$A$3:$D$46,4,0),0)</f>
        <v>0</v>
      </c>
      <c r="AV285" s="81">
        <f>tbl_Data[[#This Row],[Adj. per unit Incentive ($)]]/tbl_Data[[#This Row],[kWh Savings]]*tbl_Data[[#This Row],[Sum of Annuals]]</f>
        <v>1.069649162052382</v>
      </c>
      <c r="AW285" s="81">
        <f>IFERROR(VLOOKUP(tbl_Data[[#This Row],[Column1]],'1. Set Program Names'!$B$2:$D$15,3,0)*tbl_Data[[#This Row],[Sum of Annuals]],"")</f>
        <v>0.35030928859655552</v>
      </c>
      <c r="AX285" s="81">
        <f>tbl_Data[[#This Row],[per unit IRA tax ($)]]/tbl_Data[[#This Row],[kWh Savings]]*tbl_Data[[#This Row],[Sum of Annuals]]</f>
        <v>0</v>
      </c>
      <c r="AY285" s="81">
        <f>tbl_Data[[#This Row],[Avoided Costs ($/unit)]]/tbl_Data[[#This Row],[kWh Savings]]*tbl_Data[[#This Row],[Sum of Annuals]]</f>
        <v>5.022361280969057</v>
      </c>
      <c r="AZ285" s="81">
        <f>tbl_Data[[#This Row],[Lost Revenue ($/unit)]]/tbl_Data[[#This Row],[kWh Savings]]*tbl_Data[[#This Row],[Sum of Annuals]]</f>
        <v>10.687674418045553</v>
      </c>
      <c r="BA285" s="81">
        <f>tbl_Data[[#This Row],[Incremental Cost ($/unit)]]/tbl_Data[[#This Row],[kWh Savings]]*tbl_Data[[#This Row],[Sum of Annuals]]</f>
        <v>3.565497206841274</v>
      </c>
      <c r="BB285" s="77">
        <f>ROUNDUP(tbl_Data[[#This Row],[Adjusted 2025]]/$L285,0)</f>
        <v>1</v>
      </c>
      <c r="BC285" s="77">
        <f>ROUNDUP(tbl_Data[[#This Row],[Adjusted 2026]]/$L285,0)</f>
        <v>1</v>
      </c>
      <c r="BD285" s="77">
        <f>ROUNDUP(tbl_Data[[#This Row],[Adjusted 2027]]/$L285,0)</f>
        <v>1</v>
      </c>
      <c r="BE285" s="77">
        <f>ROUNDUP(tbl_Data[[#This Row],[Adjusted 2028]]/$L285,0)</f>
        <v>1</v>
      </c>
      <c r="BF285" s="77">
        <f>ROUNDUP(tbl_Data[[#This Row],[Adjusted 2029]]/$L285,0)</f>
        <v>1</v>
      </c>
      <c r="BG285" s="77">
        <f>ROUNDUP(tbl_Data[[#This Row],[Adjusted 2030]]/$L285,0)</f>
        <v>1</v>
      </c>
      <c r="BH285" s="77">
        <f>ROUNDUP(tbl_Data[[#This Row],[Adjusted 2031]]/$L285,0)</f>
        <v>1</v>
      </c>
      <c r="BI285" s="77">
        <f>ROUNDUP(tbl_Data[[#This Row],[Adjusted 2032]]/$L285,0)</f>
        <v>1</v>
      </c>
      <c r="BJ285" s="77">
        <f>ROUNDUP(tbl_Data[[#This Row],[Adjusted 2033]]/$L285,0)</f>
        <v>1</v>
      </c>
      <c r="BK285" s="77">
        <f>ROUNDUP(tbl_Data[[#This Row],[Adjusted 2034]]/$L285,0)</f>
        <v>1</v>
      </c>
      <c r="BL285" s="80">
        <f t="shared" si="122"/>
        <v>0.11899750735385071</v>
      </c>
      <c r="BM285" s="80">
        <f t="shared" si="123"/>
        <v>0.11942467034667664</v>
      </c>
      <c r="BN285" s="80">
        <f t="shared" si="124"/>
        <v>0.12029356122682609</v>
      </c>
      <c r="BO285" s="80">
        <f t="shared" si="125"/>
        <v>0.12140545541090586</v>
      </c>
      <c r="BP285" s="80">
        <f t="shared" si="126"/>
        <v>0.12215130807085546</v>
      </c>
      <c r="BQ285" s="80">
        <f t="shared" si="127"/>
        <v>0.12287913817536597</v>
      </c>
      <c r="BR285" s="80">
        <f t="shared" si="128"/>
        <v>0.12311712146846689</v>
      </c>
      <c r="BS285" s="80">
        <f t="shared" si="129"/>
        <v>0.12320153321363844</v>
      </c>
      <c r="BT285" s="80">
        <f t="shared" si="130"/>
        <v>0.12391709119822752</v>
      </c>
      <c r="BU285" s="80">
        <f t="shared" si="131"/>
        <v>0.12432713677085408</v>
      </c>
      <c r="BV285" s="80">
        <f>IFERROR(VLOOKUP($H285,'1. Set Program Names'!$B$2:$D$15,3,0)*V285,"NA")</f>
        <v>3.897159332683086E-2</v>
      </c>
      <c r="BW285" s="80">
        <f>IFERROR(VLOOKUP($H285,'1. Set Program Names'!$B$2:$D$15,3,0)*W285,"NA")</f>
        <v>3.9111488882719959E-2</v>
      </c>
      <c r="BX285" s="80">
        <f>IFERROR(VLOOKUP($H285,'1. Set Program Names'!$B$2:$D$15,3,0)*X285,"NA")</f>
        <v>3.939604998638984E-2</v>
      </c>
      <c r="BY285" s="80">
        <f>IFERROR(VLOOKUP($H285,'1. Set Program Names'!$B$2:$D$15,3,0)*Y285,"NA")</f>
        <v>3.9760194487631975E-2</v>
      </c>
      <c r="BZ285" s="80">
        <f>IFERROR(VLOOKUP($H285,'1. Set Program Names'!$B$2:$D$15,3,0)*Z285,"NA")</f>
        <v>4.0004460667585284E-2</v>
      </c>
      <c r="CA285" s="80">
        <f>IFERROR(VLOOKUP($H285,'1. Set Program Names'!$B$2:$D$15,3,0)*AA285,"NA")</f>
        <v>4.0242824474313293E-2</v>
      </c>
      <c r="CB285" s="80">
        <f>IFERROR(VLOOKUP($H285,'1. Set Program Names'!$B$2:$D$15,3,0)*AB285,"NA")</f>
        <v>4.0320763822149629E-2</v>
      </c>
      <c r="CC285" s="80">
        <f>IFERROR(VLOOKUP($H285,'1. Set Program Names'!$B$2:$D$15,3,0)*AC285,"NA")</f>
        <v>4.0348408604615971E-2</v>
      </c>
      <c r="CD285" s="80">
        <f>IFERROR(VLOOKUP($H285,'1. Set Program Names'!$B$2:$D$15,3,0)*AD285,"NA")</f>
        <v>4.0582753301385541E-2</v>
      </c>
      <c r="CE285" s="80">
        <f>IFERROR(VLOOKUP($H285,'1. Set Program Names'!$B$2:$D$15,3,0)*AE285,"NA")</f>
        <v>4.0717042915153254E-2</v>
      </c>
    </row>
    <row r="286" spans="1:83" x14ac:dyDescent="0.25">
      <c r="A286" s="79" t="s">
        <v>114</v>
      </c>
      <c r="B286" s="79" t="s">
        <v>88</v>
      </c>
      <c r="C286" s="79" t="s">
        <v>122</v>
      </c>
      <c r="D286" s="79" t="s">
        <v>90</v>
      </c>
      <c r="E286" s="79" t="s">
        <v>91</v>
      </c>
      <c r="F286" s="79" t="s">
        <v>90</v>
      </c>
      <c r="G286" s="79" t="s">
        <v>92</v>
      </c>
      <c r="H286" s="79" t="s">
        <v>14</v>
      </c>
      <c r="I286" s="79" t="s">
        <v>167</v>
      </c>
      <c r="J286" s="79" t="s">
        <v>124</v>
      </c>
      <c r="K286" s="79" t="s">
        <v>98</v>
      </c>
      <c r="L286" s="79">
        <v>151.65999999999994</v>
      </c>
      <c r="M286" s="79">
        <v>2.2013191527321094E-2</v>
      </c>
      <c r="N286" s="79">
        <v>1.952960139549019E-2</v>
      </c>
      <c r="O286" s="79">
        <v>56.59999999999998</v>
      </c>
      <c r="P286" s="79">
        <v>25.402483751835906</v>
      </c>
      <c r="Q286" s="79"/>
      <c r="R286" s="79">
        <v>70.56447857633529</v>
      </c>
      <c r="S286" s="79">
        <v>171.41744415542868</v>
      </c>
      <c r="T286" s="79">
        <v>16</v>
      </c>
      <c r="U286" s="79">
        <v>0.2</v>
      </c>
      <c r="V286" s="79">
        <f>tbl_Data_old[[#This Row],[2025 ]]*IFERROR(AVERAGEIFS('Participation Adjustment'!$C:$C,'Participation Adjustment'!$A:$A,$H286,'Participation Adjustment'!$B:$B,$I286),1)</f>
        <v>0.14364596109632999</v>
      </c>
      <c r="W286" s="79">
        <f>tbl_Data_old[[#This Row],[2026 ]]*IFERROR(AVERAGEIFS('Participation Adjustment'!$C:$C,'Participation Adjustment'!$A:$A,$H286,'Participation Adjustment'!$B:$B,$I286),1)</f>
        <v>0.19536353644152599</v>
      </c>
      <c r="X286" s="79">
        <f>tbl_Data_old[[#This Row],[2027 ]]*IFERROR(AVERAGEIFS('Participation Adjustment'!$C:$C,'Participation Adjustment'!$A:$A,$H286,'Participation Adjustment'!$B:$B,$I286),1)</f>
        <v>0.25238873113131599</v>
      </c>
      <c r="Y286" s="79">
        <f>tbl_Data_old[[#This Row],[2028 ]]*IFERROR(AVERAGEIFS('Participation Adjustment'!$C:$C,'Participation Adjustment'!$A:$A,$H286,'Participation Adjustment'!$B:$B,$I286),1)</f>
        <v>0.31161013604319698</v>
      </c>
      <c r="Z286" s="79">
        <f>tbl_Data_old[[#This Row],[2029 ]]*IFERROR(AVERAGEIFS('Participation Adjustment'!$C:$C,'Participation Adjustment'!$A:$A,$H286,'Participation Adjustment'!$B:$B,$I286),1)</f>
        <v>0.36786912404657601</v>
      </c>
      <c r="AA286" s="79">
        <f>tbl_Data_old[[#This Row],[2030 ]]*IFERROR(AVERAGEIFS('Participation Adjustment'!$C:$C,'Participation Adjustment'!$A:$A,$H286,'Participation Adjustment'!$B:$B,$I286),1)</f>
        <v>0.41712958396789901</v>
      </c>
      <c r="AB286" s="79">
        <f>tbl_Data_old[[#This Row],[2031 ]]*IFERROR(AVERAGEIFS('Participation Adjustment'!$C:$C,'Participation Adjustment'!$A:$A,$H286,'Participation Adjustment'!$B:$B,$I286),1)</f>
        <v>0.4565544289788</v>
      </c>
      <c r="AC286" s="79">
        <f>tbl_Data_old[[#This Row],[2032 ]]*IFERROR(AVERAGEIFS('Participation Adjustment'!$C:$C,'Participation Adjustment'!$A:$A,$H286,'Participation Adjustment'!$B:$B,$I286),1)</f>
        <v>0.48696294190304101</v>
      </c>
      <c r="AD286" s="79">
        <f>tbl_Data_old[[#This Row],[2033 ]]*IFERROR(AVERAGEIFS('Participation Adjustment'!$C:$C,'Participation Adjustment'!$A:$A,$H286,'Participation Adjustment'!$B:$B,$I286),1)</f>
        <v>0.51084046305428199</v>
      </c>
      <c r="AE286" s="79">
        <f>tbl_Data_old[[#This Row],[2034 ]]*IFERROR(AVERAGEIFS('Participation Adjustment'!$C:$C,'Participation Adjustment'!$A:$A,$H286,'Participation Adjustment'!$B:$B,$I286),1)</f>
        <v>0.52865190962195896</v>
      </c>
      <c r="AF286" s="77" t="str">
        <f t="shared" si="121"/>
        <v>NonResidential</v>
      </c>
      <c r="AG286" s="77" t="str">
        <f>tbl_Data[[#This Row],[All_Meas_Name_Append]]</f>
        <v>Refrigerated Display Case LED Lighting</v>
      </c>
      <c r="AH286" s="77">
        <f>AVERAGEIFS('3. Incentive Adjustment'!G:G,'3. Incentive Adjustment'!A:A,tbl_Data[[#This Row],[Trimmed Sector]],'3. Incentive Adjustment'!B:B,tbl_Data[[#This Row],[Trimmed Measure Name]])</f>
        <v>0.72450810749703154</v>
      </c>
      <c r="AI286" s="77">
        <f>$AH286*tbl_Data[[#This Row],[2025 ]]</f>
        <v>0.10407266342349426</v>
      </c>
      <c r="AJ286" s="77">
        <f>$AH286*tbl_Data[[#This Row],[2026 ]]</f>
        <v>0.14154246606117735</v>
      </c>
      <c r="AK286" s="77">
        <f>$AH286*tbl_Data[[#This Row],[2027 ]]</f>
        <v>0.18285768194552687</v>
      </c>
      <c r="AL286" s="77">
        <f>$AH286*tbl_Data[[#This Row],[2028 ]]</f>
        <v>0.22576406994154918</v>
      </c>
      <c r="AM286" s="77">
        <f>$AH286*tbl_Data[[#This Row],[2029 ]]</f>
        <v>0.26652416286957553</v>
      </c>
      <c r="AN286" s="77">
        <f>$AH286*tbl_Data[[#This Row],[2030 ]]</f>
        <v>0.30221376546160661</v>
      </c>
      <c r="AO286" s="77">
        <f>$AH286*tbl_Data[[#This Row],[2031 ]]</f>
        <v>0.33077738530881828</v>
      </c>
      <c r="AP286" s="77">
        <f>$AH286*tbl_Data[[#This Row],[2032 ]]</f>
        <v>0.35280859945935916</v>
      </c>
      <c r="AQ286" s="77">
        <f>$AH286*tbl_Data[[#This Row],[2033 ]]</f>
        <v>0.3701080571203651</v>
      </c>
      <c r="AR286" s="77">
        <f>$AH286*tbl_Data[[#This Row],[2034 ]]</f>
        <v>0.38301259456489722</v>
      </c>
      <c r="AS286" s="77">
        <f>SUM(tbl_Data[[#This Row],[Adjusted 2025]:[Adjusted 2034]])</f>
        <v>2.6596814461563696</v>
      </c>
      <c r="AT286" s="80">
        <f>AVERAGEIFS('3. Incentive Adjustment'!F:F,'3. Incentive Adjustment'!A:A,tbl_Data[[#This Row],[Trimmed Sector]],'3. Incentive Adjustment'!B:B,tbl_Data[[#This Row],[Trimmed Measure Name]])</f>
        <v>6.879122352287844</v>
      </c>
      <c r="AU286" s="80">
        <f>IFERROR(VLOOKUP(tbl_Data[[#This Row],[All_Meas_Name_Append]],'IRA Tax Credits'!$A$3:$D$46,4,0),0)</f>
        <v>0</v>
      </c>
      <c r="AV286" s="81">
        <f>tbl_Data[[#This Row],[Adj. per unit Incentive ($)]]/tbl_Data[[#This Row],[kWh Savings]]*tbl_Data[[#This Row],[Sum of Annuals]]</f>
        <v>0.12064007705538406</v>
      </c>
      <c r="AW286" s="81">
        <f>IFERROR(VLOOKUP(tbl_Data[[#This Row],[Column1]],'1. Set Program Names'!$B$2:$D$15,3,0)*tbl_Data[[#This Row],[Sum of Annuals]],"")</f>
        <v>9.4683848157458381E-2</v>
      </c>
      <c r="AX286" s="81">
        <f>tbl_Data[[#This Row],[per unit IRA tax ($)]]/tbl_Data[[#This Row],[kWh Savings]]*tbl_Data[[#This Row],[Sum of Annuals]]</f>
        <v>0</v>
      </c>
      <c r="AY286" s="81">
        <f>tbl_Data[[#This Row],[Avoided Costs ($/unit)]]/tbl_Data[[#This Row],[kWh Savings]]*tbl_Data[[#This Row],[Sum of Annuals]]</f>
        <v>1.237498578578252</v>
      </c>
      <c r="AZ286" s="81">
        <f>tbl_Data[[#This Row],[Lost Revenue ($/unit)]]/tbl_Data[[#This Row],[kWh Savings]]*tbl_Data[[#This Row],[Sum of Annuals]]</f>
        <v>3.0061703532094119</v>
      </c>
      <c r="BA286" s="81">
        <f>tbl_Data[[#This Row],[Incremental Cost ($/unit)]]/tbl_Data[[#This Row],[kWh Savings]]*tbl_Data[[#This Row],[Sum of Annuals]]</f>
        <v>0.99260167382599584</v>
      </c>
      <c r="BB286" s="77">
        <f>ROUNDUP(tbl_Data[[#This Row],[Adjusted 2025]]/$L286,0)</f>
        <v>1</v>
      </c>
      <c r="BC286" s="77">
        <f>ROUNDUP(tbl_Data[[#This Row],[Adjusted 2026]]/$L286,0)</f>
        <v>1</v>
      </c>
      <c r="BD286" s="77">
        <f>ROUNDUP(tbl_Data[[#This Row],[Adjusted 2027]]/$L286,0)</f>
        <v>1</v>
      </c>
      <c r="BE286" s="77">
        <f>ROUNDUP(tbl_Data[[#This Row],[Adjusted 2028]]/$L286,0)</f>
        <v>1</v>
      </c>
      <c r="BF286" s="77">
        <f>ROUNDUP(tbl_Data[[#This Row],[Adjusted 2029]]/$L286,0)</f>
        <v>1</v>
      </c>
      <c r="BG286" s="77">
        <f>ROUNDUP(tbl_Data[[#This Row],[Adjusted 2030]]/$L286,0)</f>
        <v>1</v>
      </c>
      <c r="BH286" s="77">
        <f>ROUNDUP(tbl_Data[[#This Row],[Adjusted 2031]]/$L286,0)</f>
        <v>1</v>
      </c>
      <c r="BI286" s="77">
        <f>ROUNDUP(tbl_Data[[#This Row],[Adjusted 2032]]/$L286,0)</f>
        <v>1</v>
      </c>
      <c r="BJ286" s="77">
        <f>ROUNDUP(tbl_Data[[#This Row],[Adjusted 2033]]/$L286,0)</f>
        <v>1</v>
      </c>
      <c r="BK286" s="77">
        <f>ROUNDUP(tbl_Data[[#This Row],[Adjusted 2034]]/$L286,0)</f>
        <v>1</v>
      </c>
      <c r="BL286" s="80">
        <f t="shared" si="122"/>
        <v>6.5156148080814588E-3</v>
      </c>
      <c r="BM286" s="80">
        <f t="shared" si="123"/>
        <v>8.8614642645186772E-3</v>
      </c>
      <c r="BN286" s="80">
        <f t="shared" si="124"/>
        <v>1.1448061201312167E-2</v>
      </c>
      <c r="BO286" s="80">
        <f t="shared" si="125"/>
        <v>1.4134275695992437E-2</v>
      </c>
      <c r="BP286" s="80">
        <f t="shared" si="126"/>
        <v>1.6686118382865302E-2</v>
      </c>
      <c r="BQ286" s="80">
        <f t="shared" si="127"/>
        <v>1.8920515922946749E-2</v>
      </c>
      <c r="BR286" s="80">
        <f t="shared" si="128"/>
        <v>2.0708781336041652E-2</v>
      </c>
      <c r="BS286" s="80">
        <f t="shared" si="129"/>
        <v>2.2088076344329799E-2</v>
      </c>
      <c r="BT286" s="80">
        <f t="shared" si="130"/>
        <v>2.3171133112552981E-2</v>
      </c>
      <c r="BU286" s="80">
        <f t="shared" si="131"/>
        <v>2.3979039747198155E-2</v>
      </c>
      <c r="BV286" s="80">
        <f>IFERROR(VLOOKUP($H286,'1. Set Program Names'!$B$2:$D$15,3,0)*V286,"NA")</f>
        <v>5.1137523963753085E-3</v>
      </c>
      <c r="BW286" s="80">
        <f>IFERROR(VLOOKUP($H286,'1. Set Program Names'!$B$2:$D$15,3,0)*W286,"NA")</f>
        <v>6.9548823024146479E-3</v>
      </c>
      <c r="BX286" s="80">
        <f>IFERROR(VLOOKUP($H286,'1. Set Program Names'!$B$2:$D$15,3,0)*X286,"NA")</f>
        <v>8.9849618380524413E-3</v>
      </c>
      <c r="BY286" s="80">
        <f>IFERROR(VLOOKUP($H286,'1. Set Program Names'!$B$2:$D$15,3,0)*Y286,"NA")</f>
        <v>1.1093225787651101E-2</v>
      </c>
      <c r="BZ286" s="80">
        <f>IFERROR(VLOOKUP($H286,'1. Set Program Names'!$B$2:$D$15,3,0)*Z286,"NA")</f>
        <v>1.3096028598981098E-2</v>
      </c>
      <c r="CA286" s="80">
        <f>IFERROR(VLOOKUP($H286,'1. Set Program Names'!$B$2:$D$15,3,0)*AA286,"NA")</f>
        <v>1.4849685945464272E-2</v>
      </c>
      <c r="CB286" s="80">
        <f>IFERROR(VLOOKUP($H286,'1. Set Program Names'!$B$2:$D$15,3,0)*AB286,"NA")</f>
        <v>1.6253198401453339E-2</v>
      </c>
      <c r="CC286" s="80">
        <f>IFERROR(VLOOKUP($H286,'1. Set Program Names'!$B$2:$D$15,3,0)*AC286,"NA")</f>
        <v>1.7335732185555119E-2</v>
      </c>
      <c r="CD286" s="80">
        <f>IFERROR(VLOOKUP($H286,'1. Set Program Names'!$B$2:$D$15,3,0)*AD286,"NA")</f>
        <v>1.8185764654792293E-2</v>
      </c>
      <c r="CE286" s="80">
        <f>IFERROR(VLOOKUP($H286,'1. Set Program Names'!$B$2:$D$15,3,0)*AE286,"NA")</f>
        <v>1.8819846719287568E-2</v>
      </c>
    </row>
    <row r="287" spans="1:83" x14ac:dyDescent="0.25">
      <c r="A287" s="79" t="s">
        <v>114</v>
      </c>
      <c r="B287" s="79" t="s">
        <v>88</v>
      </c>
      <c r="C287" s="79" t="s">
        <v>122</v>
      </c>
      <c r="D287" s="79" t="s">
        <v>90</v>
      </c>
      <c r="E287" s="79" t="s">
        <v>91</v>
      </c>
      <c r="F287" s="79" t="s">
        <v>90</v>
      </c>
      <c r="G287" s="79" t="s">
        <v>92</v>
      </c>
      <c r="H287" s="79" t="s">
        <v>14</v>
      </c>
      <c r="I287" s="79" t="s">
        <v>155</v>
      </c>
      <c r="J287" s="79" t="s">
        <v>129</v>
      </c>
      <c r="K287" s="79" t="s">
        <v>102</v>
      </c>
      <c r="L287" s="79">
        <v>1193.02</v>
      </c>
      <c r="M287" s="79">
        <v>0.274776433335365</v>
      </c>
      <c r="N287" s="79">
        <v>0.10441874276921487</v>
      </c>
      <c r="O287" s="79">
        <f>8423.99999999998/36663.4359999998*1193.02</f>
        <v>274.11507421181233</v>
      </c>
      <c r="P287" s="79">
        <f>3224.30667036527/36663.4359999998*1193.02</f>
        <v>104.91821726363004</v>
      </c>
      <c r="Q287" s="79">
        <f>1305.20713755829/36663.4359999998*1193.02</f>
        <v>42.471148073786637</v>
      </c>
      <c r="R287" s="79">
        <f>14915.0733686122/36663.4359999998*1193.02</f>
        <v>485.33314854128304</v>
      </c>
      <c r="S287" s="79">
        <f>32320.5298576745/36663.4359999998*1193.02</f>
        <v>1051.702806327346</v>
      </c>
      <c r="T287" s="79">
        <v>11</v>
      </c>
      <c r="U287" s="79">
        <v>0.94999999999999896</v>
      </c>
      <c r="V287" s="79">
        <f>tbl_Data_old[[#This Row],[2025 ]]*IFERROR(AVERAGEIFS('Participation Adjustment'!$C:$C,'Participation Adjustment'!$A:$A,$H287,'Participation Adjustment'!$B:$B,$I287),1)</f>
        <v>11.832898504920051</v>
      </c>
      <c r="W287" s="79">
        <f>tbl_Data_old[[#This Row],[2026 ]]*IFERROR(AVERAGEIFS('Participation Adjustment'!$C:$C,'Participation Adjustment'!$A:$A,$H287,'Participation Adjustment'!$B:$B,$I287),1)</f>
        <v>9.8681559828541499</v>
      </c>
      <c r="X287" s="79">
        <f>tbl_Data_old[[#This Row],[2027 ]]*IFERROR(AVERAGEIFS('Participation Adjustment'!$C:$C,'Participation Adjustment'!$A:$A,$H287,'Participation Adjustment'!$B:$B,$I287),1)</f>
        <v>8.16864215651505</v>
      </c>
      <c r="Y287" s="79">
        <f>tbl_Data_old[[#This Row],[2028 ]]*IFERROR(AVERAGEIFS('Participation Adjustment'!$C:$C,'Participation Adjustment'!$A:$A,$H287,'Participation Adjustment'!$B:$B,$I287),1)</f>
        <v>6.7753977608348999</v>
      </c>
      <c r="Z287" s="79">
        <f>tbl_Data_old[[#This Row],[2029 ]]*IFERROR(AVERAGEIFS('Participation Adjustment'!$C:$C,'Participation Adjustment'!$A:$A,$H287,'Participation Adjustment'!$B:$B,$I287),1)</f>
        <v>5.6348572292012502</v>
      </c>
      <c r="AA287" s="79">
        <f>tbl_Data_old[[#This Row],[2030 ]]*IFERROR(AVERAGEIFS('Participation Adjustment'!$C:$C,'Participation Adjustment'!$A:$A,$H287,'Participation Adjustment'!$B:$B,$I287),1)</f>
        <v>4.6981984623159896</v>
      </c>
      <c r="AB287" s="79">
        <f>tbl_Data_old[[#This Row],[2031 ]]*IFERROR(AVERAGEIFS('Participation Adjustment'!$C:$C,'Participation Adjustment'!$A:$A,$H287,'Participation Adjustment'!$B:$B,$I287),1)</f>
        <v>3.9336816495365801</v>
      </c>
      <c r="AC287" s="79">
        <f>tbl_Data_old[[#This Row],[2032 ]]*IFERROR(AVERAGEIFS('Participation Adjustment'!$C:$C,'Participation Adjustment'!$A:$A,$H287,'Participation Adjustment'!$B:$B,$I287),1)</f>
        <v>3.3170017444439548</v>
      </c>
      <c r="AD287" s="79">
        <f>tbl_Data_old[[#This Row],[2033 ]]*IFERROR(AVERAGEIFS('Participation Adjustment'!$C:$C,'Participation Adjustment'!$A:$A,$H287,'Participation Adjustment'!$B:$B,$I287),1)</f>
        <v>2.8249894383394651</v>
      </c>
      <c r="AE287" s="79">
        <f>tbl_Data_old[[#This Row],[2034 ]]*IFERROR(AVERAGEIFS('Participation Adjustment'!$C:$C,'Participation Adjustment'!$A:$A,$H287,'Participation Adjustment'!$B:$B,$I287),1)</f>
        <v>2.4263769971426301</v>
      </c>
      <c r="AF287" s="77" t="str">
        <f t="shared" si="121"/>
        <v>NonResidential</v>
      </c>
      <c r="AG287" s="77" t="str">
        <f>tbl_Data[[#This Row],[All_Meas_Name_Append]]</f>
        <v>Smart thermostat</v>
      </c>
      <c r="AH287" s="77">
        <f>AVERAGEIFS('3. Incentive Adjustment'!G:G,'3. Incentive Adjustment'!A:A,tbl_Data[[#This Row],[Trimmed Sector]],'3. Incentive Adjustment'!B:B,tbl_Data[[#This Row],[Trimmed Measure Name]])</f>
        <v>0.87546479230069263</v>
      </c>
      <c r="AI287" s="77">
        <f>$AH287*tbl_Data[[#This Row],[2025 ]]</f>
        <v>10.359286031925009</v>
      </c>
      <c r="AJ287" s="77">
        <f>$AH287*tbl_Data[[#This Row],[2026 ]]</f>
        <v>8.6392231279202463</v>
      </c>
      <c r="AK287" s="77">
        <f>$AH287*tbl_Data[[#This Row],[2027 ]]</f>
        <v>7.1513586089321306</v>
      </c>
      <c r="AL287" s="77">
        <f>$AH287*tbl_Data[[#This Row],[2028 ]]</f>
        <v>5.9316221934439035</v>
      </c>
      <c r="AM287" s="77">
        <f>$AH287*tbl_Data[[#This Row],[2029 ]]</f>
        <v>4.933119113806729</v>
      </c>
      <c r="AN287" s="77">
        <f>$AH287*tbl_Data[[#This Row],[2030 ]]</f>
        <v>4.1131073409989014</v>
      </c>
      <c r="AO287" s="77">
        <f>$AH287*tbl_Data[[#This Row],[2031 ]]</f>
        <v>3.443799788288588</v>
      </c>
      <c r="AP287" s="77">
        <f>$AH287*tbl_Data[[#This Row],[2032 ]]</f>
        <v>2.9039182432606618</v>
      </c>
      <c r="AQ287" s="77">
        <f>$AH287*tbl_Data[[#This Row],[2033 ]]</f>
        <v>2.4731787918875101</v>
      </c>
      <c r="AR287" s="77">
        <f>$AH287*tbl_Data[[#This Row],[2034 ]]</f>
        <v>2.1242076338466509</v>
      </c>
      <c r="AS287" s="77">
        <f>SUM(tbl_Data[[#This Row],[Adjusted 2025]:[Adjusted 2034]])</f>
        <v>52.072820874310338</v>
      </c>
      <c r="AT287" s="80">
        <f>AVERAGEIFS('3. Incentive Adjustment'!F:F,'3. Incentive Adjustment'!A:A,tbl_Data[[#This Row],[Trimmed Sector]],'3. Incentive Adjustment'!B:B,tbl_Data[[#This Row],[Trimmed Measure Name]])</f>
        <v>50</v>
      </c>
      <c r="AU287" s="80">
        <f>IFERROR(VLOOKUP(tbl_Data[[#This Row],[All_Meas_Name_Append]],'IRA Tax Credits'!$A$3:$D$46,4,0),0)</f>
        <v>0</v>
      </c>
      <c r="AV287" s="81">
        <f>tbl_Data[[#This Row],[Adj. per unit Incentive ($)]]/tbl_Data[[#This Row],[kWh Savings]]*tbl_Data[[#This Row],[Sum of Annuals]]</f>
        <v>2.1823951347969999</v>
      </c>
      <c r="AW287" s="81">
        <f>IFERROR(VLOOKUP(tbl_Data[[#This Row],[Column1]],'1. Set Program Names'!$B$2:$D$15,3,0)*tbl_Data[[#This Row],[Sum of Annuals]],"")</f>
        <v>1.8537765385095124</v>
      </c>
      <c r="AX287" s="81">
        <f>tbl_Data[[#This Row],[per unit IRA tax ($)]]/tbl_Data[[#This Row],[kWh Savings]]*tbl_Data[[#This Row],[Sum of Annuals]]</f>
        <v>0</v>
      </c>
      <c r="AY287" s="81">
        <f>tbl_Data[[#This Row],[Avoided Costs ($/unit)]]/tbl_Data[[#This Row],[kWh Savings]]*tbl_Data[[#This Row],[Sum of Annuals]]</f>
        <v>21.183774042644117</v>
      </c>
      <c r="AZ287" s="81">
        <f>tbl_Data[[#This Row],[Lost Revenue ($/unit)]]/tbl_Data[[#This Row],[kWh Savings]]*tbl_Data[[#This Row],[Sum of Annuals]]</f>
        <v>45.904621755623026</v>
      </c>
      <c r="BA287" s="81">
        <f>tbl_Data[[#This Row],[Incremental Cost ($/unit)]]/tbl_Data[[#This Row],[kWh Savings]]*tbl_Data[[#This Row],[Sum of Annuals]]</f>
        <v>11.964548086687557</v>
      </c>
      <c r="BB287" s="77">
        <f>ROUNDUP(tbl_Data[[#This Row],[Adjusted 2025]]/$L287,0)</f>
        <v>1</v>
      </c>
      <c r="BC287" s="77">
        <f>ROUNDUP(tbl_Data[[#This Row],[Adjusted 2026]]/$L287,0)</f>
        <v>1</v>
      </c>
      <c r="BD287" s="77">
        <f>ROUNDUP(tbl_Data[[#This Row],[Adjusted 2027]]/$L287,0)</f>
        <v>1</v>
      </c>
      <c r="BE287" s="77">
        <f>ROUNDUP(tbl_Data[[#This Row],[Adjusted 2028]]/$L287,0)</f>
        <v>1</v>
      </c>
      <c r="BF287" s="77">
        <f>ROUNDUP(tbl_Data[[#This Row],[Adjusted 2029]]/$L287,0)</f>
        <v>1</v>
      </c>
      <c r="BG287" s="77">
        <f>ROUNDUP(tbl_Data[[#This Row],[Adjusted 2030]]/$L287,0)</f>
        <v>1</v>
      </c>
      <c r="BH287" s="77">
        <f>ROUNDUP(tbl_Data[[#This Row],[Adjusted 2031]]/$L287,0)</f>
        <v>1</v>
      </c>
      <c r="BI287" s="77">
        <f>ROUNDUP(tbl_Data[[#This Row],[Adjusted 2032]]/$L287,0)</f>
        <v>1</v>
      </c>
      <c r="BJ287" s="77">
        <f>ROUNDUP(tbl_Data[[#This Row],[Adjusted 2033]]/$L287,0)</f>
        <v>1</v>
      </c>
      <c r="BK287" s="77">
        <f>ROUNDUP(tbl_Data[[#This Row],[Adjusted 2034]]/$L287,0)</f>
        <v>1</v>
      </c>
      <c r="BL287" s="80">
        <f t="shared" si="122"/>
        <v>0.49592205096813341</v>
      </c>
      <c r="BM287" s="80">
        <f t="shared" si="123"/>
        <v>0.41357881606570512</v>
      </c>
      <c r="BN287" s="80">
        <f t="shared" si="124"/>
        <v>0.34235143402939811</v>
      </c>
      <c r="BO287" s="80">
        <f t="shared" si="125"/>
        <v>0.28395994035451627</v>
      </c>
      <c r="BP287" s="80">
        <f t="shared" si="126"/>
        <v>0.23615937826697164</v>
      </c>
      <c r="BQ287" s="80">
        <f t="shared" si="127"/>
        <v>0.19690359182226574</v>
      </c>
      <c r="BR287" s="80">
        <f t="shared" si="128"/>
        <v>0.16486235140804764</v>
      </c>
      <c r="BS287" s="80">
        <f t="shared" si="129"/>
        <v>0.13901702169468888</v>
      </c>
      <c r="BT287" s="80">
        <f t="shared" si="130"/>
        <v>0.11839656662668963</v>
      </c>
      <c r="BU287" s="80">
        <f t="shared" si="131"/>
        <v>0.10169054153084735</v>
      </c>
      <c r="BV287" s="80">
        <f>IFERROR(VLOOKUP($H287,'1. Set Program Names'!$B$2:$D$15,3,0)*V287,"NA")</f>
        <v>0.42124757719447431</v>
      </c>
      <c r="BW287" s="80">
        <f>IFERROR(VLOOKUP($H287,'1. Set Program Names'!$B$2:$D$15,3,0)*W287,"NA")</f>
        <v>0.35130334274616121</v>
      </c>
      <c r="BX287" s="80">
        <f>IFERROR(VLOOKUP($H287,'1. Set Program Names'!$B$2:$D$15,3,0)*X287,"NA")</f>
        <v>0.29080116895871744</v>
      </c>
      <c r="BY287" s="80">
        <f>IFERROR(VLOOKUP($H287,'1. Set Program Names'!$B$2:$D$15,3,0)*Y287,"NA")</f>
        <v>0.24120209347640742</v>
      </c>
      <c r="BZ287" s="80">
        <f>IFERROR(VLOOKUP($H287,'1. Set Program Names'!$B$2:$D$15,3,0)*Z287,"NA")</f>
        <v>0.20059919846780033</v>
      </c>
      <c r="CA287" s="80">
        <f>IFERROR(VLOOKUP($H287,'1. Set Program Names'!$B$2:$D$15,3,0)*AA287,"NA")</f>
        <v>0.16725443209087909</v>
      </c>
      <c r="CB287" s="80">
        <f>IFERROR(VLOOKUP($H287,'1. Set Program Names'!$B$2:$D$15,3,0)*AB287,"NA")</f>
        <v>0.14003786676887781</v>
      </c>
      <c r="CC287" s="80">
        <f>IFERROR(VLOOKUP($H287,'1. Set Program Names'!$B$2:$D$15,3,0)*AC287,"NA")</f>
        <v>0.1180842502634397</v>
      </c>
      <c r="CD287" s="80">
        <f>IFERROR(VLOOKUP($H287,'1. Set Program Names'!$B$2:$D$15,3,0)*AD287,"NA")</f>
        <v>0.10056876225260235</v>
      </c>
      <c r="CE287" s="80">
        <f>IFERROR(VLOOKUP($H287,'1. Set Program Names'!$B$2:$D$15,3,0)*AE287,"NA")</f>
        <v>8.6378280941203991E-2</v>
      </c>
    </row>
    <row r="288" spans="1:83" x14ac:dyDescent="0.25">
      <c r="A288" s="79" t="s">
        <v>114</v>
      </c>
      <c r="B288" s="79" t="s">
        <v>88</v>
      </c>
      <c r="C288" s="79" t="s">
        <v>122</v>
      </c>
      <c r="D288" s="79" t="s">
        <v>90</v>
      </c>
      <c r="E288" s="79" t="s">
        <v>91</v>
      </c>
      <c r="F288" s="79" t="s">
        <v>90</v>
      </c>
      <c r="G288" s="79" t="s">
        <v>92</v>
      </c>
      <c r="H288" s="79"/>
      <c r="I288" s="79" t="s">
        <v>304</v>
      </c>
      <c r="J288" s="79" t="s">
        <v>144</v>
      </c>
      <c r="K288" s="79" t="s">
        <v>98</v>
      </c>
      <c r="L288" s="79">
        <v>71859.953750000001</v>
      </c>
      <c r="M288" s="79">
        <v>2.01028298751406</v>
      </c>
      <c r="N288" s="79">
        <v>2.93501737514182</v>
      </c>
      <c r="O288" s="79">
        <v>21366.564901045898</v>
      </c>
      <c r="P288" s="79">
        <v>219059.38064062799</v>
      </c>
      <c r="Q288" s="79">
        <v>2558.1924328944401</v>
      </c>
      <c r="R288" s="79">
        <v>23924.757333940401</v>
      </c>
      <c r="S288" s="79">
        <v>92224.942677252999</v>
      </c>
      <c r="T288" s="79">
        <v>20</v>
      </c>
      <c r="U288" s="79">
        <v>1</v>
      </c>
      <c r="V288" s="79">
        <f>tbl_Data_old[[#This Row],[2025 ]]*IFERROR(AVERAGEIFS('Participation Adjustment'!$C:$C,'Participation Adjustment'!$A:$A,$H288,'Participation Adjustment'!$B:$B,$I288),1)</f>
        <v>39.845477930417701</v>
      </c>
      <c r="W288" s="79">
        <f>tbl_Data_old[[#This Row],[2026 ]]*IFERROR(AVERAGEIFS('Participation Adjustment'!$C:$C,'Participation Adjustment'!$A:$A,$H288,'Participation Adjustment'!$B:$B,$I288),1)</f>
        <v>43.768451667068</v>
      </c>
      <c r="X288" s="79">
        <f>tbl_Data_old[[#This Row],[2027 ]]*IFERROR(AVERAGEIFS('Participation Adjustment'!$C:$C,'Participation Adjustment'!$A:$A,$H288,'Participation Adjustment'!$B:$B,$I288),1)</f>
        <v>46.962286561813102</v>
      </c>
      <c r="Y288" s="79">
        <f>tbl_Data_old[[#This Row],[2028 ]]*IFERROR(AVERAGEIFS('Participation Adjustment'!$C:$C,'Participation Adjustment'!$A:$A,$H288,'Participation Adjustment'!$B:$B,$I288),1)</f>
        <v>49.734033869971299</v>
      </c>
      <c r="Z288" s="79">
        <f>tbl_Data_old[[#This Row],[2029 ]]*IFERROR(AVERAGEIFS('Participation Adjustment'!$C:$C,'Participation Adjustment'!$A:$A,$H288,'Participation Adjustment'!$B:$B,$I288),1)</f>
        <v>52.099899394174997</v>
      </c>
      <c r="AA288" s="79">
        <f>tbl_Data_old[[#This Row],[2030 ]]*IFERROR(AVERAGEIFS('Participation Adjustment'!$C:$C,'Participation Adjustment'!$A:$A,$H288,'Participation Adjustment'!$B:$B,$I288),1)</f>
        <v>54.041992981223601</v>
      </c>
      <c r="AB288" s="79">
        <f>tbl_Data_old[[#This Row],[2031 ]]*IFERROR(AVERAGEIFS('Participation Adjustment'!$C:$C,'Participation Adjustment'!$A:$A,$H288,'Participation Adjustment'!$B:$B,$I288),1)</f>
        <v>55.635466188026399</v>
      </c>
      <c r="AC288" s="79">
        <f>tbl_Data_old[[#This Row],[2032 ]]*IFERROR(AVERAGEIFS('Participation Adjustment'!$C:$C,'Participation Adjustment'!$A:$A,$H288,'Participation Adjustment'!$B:$B,$I288),1)</f>
        <v>57.036490781551599</v>
      </c>
      <c r="AD288" s="79">
        <f>tbl_Data_old[[#This Row],[2033 ]]*IFERROR(AVERAGEIFS('Participation Adjustment'!$C:$C,'Participation Adjustment'!$A:$A,$H288,'Participation Adjustment'!$B:$B,$I288),1)</f>
        <v>58.2909255584199</v>
      </c>
      <c r="AE288" s="79">
        <f>tbl_Data_old[[#This Row],[2034 ]]*IFERROR(AVERAGEIFS('Participation Adjustment'!$C:$C,'Participation Adjustment'!$A:$A,$H288,'Participation Adjustment'!$B:$B,$I288),1)</f>
        <v>59.366798690176601</v>
      </c>
      <c r="AF288" s="77" t="str">
        <f t="shared" si="121"/>
        <v>NonResidential</v>
      </c>
      <c r="AG288" s="77" t="str">
        <f>tbl_Data[[#This Row],[All_Meas_Name_Append]]</f>
        <v>Solar Thermal Water Heating System Commercial</v>
      </c>
      <c r="AH288" s="77">
        <f>AVERAGEIFS('3. Incentive Adjustment'!G:G,'3. Incentive Adjustment'!A:A,tbl_Data[[#This Row],[Trimmed Sector]],'3. Incentive Adjustment'!B:B,tbl_Data[[#This Row],[Trimmed Measure Name]])</f>
        <v>3.2123848810070607E-4</v>
      </c>
      <c r="AI288" s="77">
        <f>$AH288*tbl_Data[[#This Row],[2025 ]]</f>
        <v>1.2799901088017433E-2</v>
      </c>
      <c r="AJ288" s="77">
        <f>$AH288*tbl_Data[[#This Row],[2026 ]]</f>
        <v>1.4060111240037752E-2</v>
      </c>
      <c r="AK288" s="77">
        <f>$AH288*tbl_Data[[#This Row],[2027 ]]</f>
        <v>1.5086093932868947E-2</v>
      </c>
      <c r="AL288" s="77">
        <f>$AH288*tbl_Data[[#This Row],[2028 ]]</f>
        <v>1.5976485847538888E-2</v>
      </c>
      <c r="AM288" s="77">
        <f>$AH288*tbl_Data[[#This Row],[2029 ]]</f>
        <v>1.6736492911583668E-2</v>
      </c>
      <c r="AN288" s="77">
        <f>$AH288*tbl_Data[[#This Row],[2030 ]]</f>
        <v>1.7360368119237239E-2</v>
      </c>
      <c r="AO288" s="77">
        <f>$AH288*tbl_Data[[#This Row],[2031 ]]</f>
        <v>1.7872253043019554E-2</v>
      </c>
      <c r="AP288" s="77">
        <f>$AH288*tbl_Data[[#This Row],[2032 ]]</f>
        <v>1.8322316065235496E-2</v>
      </c>
      <c r="AQ288" s="77">
        <f>$AH288*tbl_Data[[#This Row],[2033 ]]</f>
        <v>1.8725288796377613E-2</v>
      </c>
      <c r="AR288" s="77">
        <f>$AH288*tbl_Data[[#This Row],[2034 ]]</f>
        <v>1.9070900654611308E-2</v>
      </c>
      <c r="AS288" s="77">
        <f>SUM(tbl_Data[[#This Row],[Adjusted 2025]:[Adjusted 2034]])</f>
        <v>0.16601021169852789</v>
      </c>
      <c r="AT288" s="80">
        <f>AVERAGEIFS('3. Incentive Adjustment'!F:F,'3. Incentive Adjustment'!A:A,tbl_Data[[#This Row],[Trimmed Sector]],'3. Incentive Adjustment'!B:B,tbl_Data[[#This Row],[Trimmed Measure Name]])</f>
        <v>0</v>
      </c>
      <c r="AU288" s="80">
        <f>IFERROR(VLOOKUP(tbl_Data[[#This Row],[All_Meas_Name_Append]],'IRA Tax Credits'!$A$3:$D$46,4,0),0)</f>
        <v>0</v>
      </c>
      <c r="AV288" s="81">
        <f>tbl_Data[[#This Row],[Adj. per unit Incentive ($)]]/tbl_Data[[#This Row],[kWh Savings]]*tbl_Data[[#This Row],[Sum of Annuals]]</f>
        <v>0</v>
      </c>
      <c r="AW288" s="81" t="str">
        <f>IFERROR(VLOOKUP(tbl_Data[[#This Row],[Column1]],'1. Set Program Names'!$B$2:$D$15,3,0)*tbl_Data[[#This Row],[Sum of Annuals]],"")</f>
        <v/>
      </c>
      <c r="AX288" s="81">
        <f>tbl_Data[[#This Row],[per unit IRA tax ($)]]/tbl_Data[[#This Row],[kWh Savings]]*tbl_Data[[#This Row],[Sum of Annuals]]</f>
        <v>0</v>
      </c>
      <c r="AY288" s="81">
        <f>tbl_Data[[#This Row],[Avoided Costs ($/unit)]]/tbl_Data[[#This Row],[kWh Savings]]*tbl_Data[[#This Row],[Sum of Annuals]]</f>
        <v>5.5270756834342571E-2</v>
      </c>
      <c r="AZ288" s="81">
        <f>tbl_Data[[#This Row],[Lost Revenue ($/unit)]]/tbl_Data[[#This Row],[kWh Savings]]*tbl_Data[[#This Row],[Sum of Annuals]]</f>
        <v>0.2130572239303086</v>
      </c>
      <c r="BA288" s="81">
        <f>tbl_Data[[#This Row],[Incremental Cost ($/unit)]]/tbl_Data[[#This Row],[kWh Savings]]*tbl_Data[[#This Row],[Sum of Annuals]]</f>
        <v>4.9360843938658465E-2</v>
      </c>
      <c r="BB288" s="77">
        <f>ROUNDUP(tbl_Data[[#This Row],[Adjusted 2025]]/$L288,0)</f>
        <v>1</v>
      </c>
      <c r="BC288" s="77">
        <f>ROUNDUP(tbl_Data[[#This Row],[Adjusted 2026]]/$L288,0)</f>
        <v>1</v>
      </c>
      <c r="BD288" s="77">
        <f>ROUNDUP(tbl_Data[[#This Row],[Adjusted 2027]]/$L288,0)</f>
        <v>1</v>
      </c>
      <c r="BE288" s="77">
        <f>ROUNDUP(tbl_Data[[#This Row],[Adjusted 2028]]/$L288,0)</f>
        <v>1</v>
      </c>
      <c r="BF288" s="77">
        <f>ROUNDUP(tbl_Data[[#This Row],[Adjusted 2029]]/$L288,0)</f>
        <v>1</v>
      </c>
      <c r="BG288" s="77">
        <f>ROUNDUP(tbl_Data[[#This Row],[Adjusted 2030]]/$L288,0)</f>
        <v>1</v>
      </c>
      <c r="BH288" s="77">
        <f>ROUNDUP(tbl_Data[[#This Row],[Adjusted 2031]]/$L288,0)</f>
        <v>1</v>
      </c>
      <c r="BI288" s="77">
        <f>ROUNDUP(tbl_Data[[#This Row],[Adjusted 2032]]/$L288,0)</f>
        <v>1</v>
      </c>
      <c r="BJ288" s="77">
        <f>ROUNDUP(tbl_Data[[#This Row],[Adjusted 2033]]/$L288,0)</f>
        <v>1</v>
      </c>
      <c r="BK288" s="77">
        <f>ROUNDUP(tbl_Data[[#This Row],[Adjusted 2034]]/$L288,0)</f>
        <v>1</v>
      </c>
      <c r="BL288" s="80">
        <f t="shared" si="122"/>
        <v>0</v>
      </c>
      <c r="BM288" s="80">
        <f t="shared" si="123"/>
        <v>0</v>
      </c>
      <c r="BN288" s="80">
        <f t="shared" si="124"/>
        <v>0</v>
      </c>
      <c r="BO288" s="80">
        <f t="shared" si="125"/>
        <v>0</v>
      </c>
      <c r="BP288" s="80">
        <f t="shared" si="126"/>
        <v>0</v>
      </c>
      <c r="BQ288" s="80">
        <f t="shared" si="127"/>
        <v>0</v>
      </c>
      <c r="BR288" s="80">
        <f t="shared" si="128"/>
        <v>0</v>
      </c>
      <c r="BS288" s="80">
        <f t="shared" si="129"/>
        <v>0</v>
      </c>
      <c r="BT288" s="80">
        <f t="shared" si="130"/>
        <v>0</v>
      </c>
      <c r="BU288" s="80">
        <f t="shared" si="131"/>
        <v>0</v>
      </c>
      <c r="BV288" s="80" t="str">
        <f>IFERROR(VLOOKUP($H288,'1. Set Program Names'!$B$2:$D$15,3,0)*V288,"NA")</f>
        <v>NA</v>
      </c>
      <c r="BW288" s="80" t="str">
        <f>IFERROR(VLOOKUP($H288,'1. Set Program Names'!$B$2:$D$15,3,0)*W288,"NA")</f>
        <v>NA</v>
      </c>
      <c r="BX288" s="80" t="str">
        <f>IFERROR(VLOOKUP($H288,'1. Set Program Names'!$B$2:$D$15,3,0)*X288,"NA")</f>
        <v>NA</v>
      </c>
      <c r="BY288" s="80" t="str">
        <f>IFERROR(VLOOKUP($H288,'1. Set Program Names'!$B$2:$D$15,3,0)*Y288,"NA")</f>
        <v>NA</v>
      </c>
      <c r="BZ288" s="80" t="str">
        <f>IFERROR(VLOOKUP($H288,'1. Set Program Names'!$B$2:$D$15,3,0)*Z288,"NA")</f>
        <v>NA</v>
      </c>
      <c r="CA288" s="80" t="str">
        <f>IFERROR(VLOOKUP($H288,'1. Set Program Names'!$B$2:$D$15,3,0)*AA288,"NA")</f>
        <v>NA</v>
      </c>
      <c r="CB288" s="80" t="str">
        <f>IFERROR(VLOOKUP($H288,'1. Set Program Names'!$B$2:$D$15,3,0)*AB288,"NA")</f>
        <v>NA</v>
      </c>
      <c r="CC288" s="80" t="str">
        <f>IFERROR(VLOOKUP($H288,'1. Set Program Names'!$B$2:$D$15,3,0)*AC288,"NA")</f>
        <v>NA</v>
      </c>
      <c r="CD288" s="80" t="str">
        <f>IFERROR(VLOOKUP($H288,'1. Set Program Names'!$B$2:$D$15,3,0)*AD288,"NA")</f>
        <v>NA</v>
      </c>
      <c r="CE288" s="80" t="str">
        <f>IFERROR(VLOOKUP($H288,'1. Set Program Names'!$B$2:$D$15,3,0)*AE288,"NA")</f>
        <v>NA</v>
      </c>
    </row>
    <row r="289" spans="1:83" x14ac:dyDescent="0.25">
      <c r="A289" s="79" t="s">
        <v>114</v>
      </c>
      <c r="B289" s="79" t="s">
        <v>88</v>
      </c>
      <c r="C289" s="79" t="s">
        <v>122</v>
      </c>
      <c r="D289" s="79" t="s">
        <v>90</v>
      </c>
      <c r="E289" s="79" t="s">
        <v>91</v>
      </c>
      <c r="F289" s="79" t="s">
        <v>90</v>
      </c>
      <c r="G289" s="79" t="s">
        <v>92</v>
      </c>
      <c r="H289" s="79" t="s">
        <v>14</v>
      </c>
      <c r="I289" s="79" t="s">
        <v>305</v>
      </c>
      <c r="J289" s="79" t="s">
        <v>129</v>
      </c>
      <c r="K289" s="79" t="s">
        <v>306</v>
      </c>
      <c r="L289" s="79">
        <v>1181.58666666666</v>
      </c>
      <c r="M289" s="79">
        <v>0.32580149205424902</v>
      </c>
      <c r="N289" s="79">
        <v>0</v>
      </c>
      <c r="O289" s="79">
        <v>442.61899981344197</v>
      </c>
      <c r="P289" s="79">
        <v>13015.025349926</v>
      </c>
      <c r="Q289" s="79">
        <v>42.064124894815102</v>
      </c>
      <c r="R289" s="79">
        <v>484.68312470825703</v>
      </c>
      <c r="S289" s="79">
        <v>971.92143438909795</v>
      </c>
      <c r="T289" s="79">
        <v>10</v>
      </c>
      <c r="U289" s="79">
        <v>0.94999999999999896</v>
      </c>
      <c r="V289" s="79">
        <f>tbl_Data_old[[#This Row],[2025 ]]*IFERROR(AVERAGEIFS('Participation Adjustment'!$C:$C,'Participation Adjustment'!$A:$A,$H289,'Participation Adjustment'!$B:$B,$I289),1)</f>
        <v>1.6435648158984699</v>
      </c>
      <c r="W289" s="79">
        <f>tbl_Data_old[[#This Row],[2026 ]]*IFERROR(AVERAGEIFS('Participation Adjustment'!$C:$C,'Participation Adjustment'!$A:$A,$H289,'Participation Adjustment'!$B:$B,$I289),1)</f>
        <v>1.3800556291497099</v>
      </c>
      <c r="X289" s="79">
        <f>tbl_Data_old[[#This Row],[2027 ]]*IFERROR(AVERAGEIFS('Participation Adjustment'!$C:$C,'Participation Adjustment'!$A:$A,$H289,'Participation Adjustment'!$B:$B,$I289),1)</f>
        <v>1.1536375025340899</v>
      </c>
      <c r="Y289" s="79">
        <f>tbl_Data_old[[#This Row],[2028 ]]*IFERROR(AVERAGEIFS('Participation Adjustment'!$C:$C,'Participation Adjustment'!$A:$A,$H289,'Participation Adjustment'!$B:$B,$I289),1)</f>
        <v>0.96867183988527705</v>
      </c>
      <c r="Z289" s="79">
        <f>tbl_Data_old[[#This Row],[2029 ]]*IFERROR(AVERAGEIFS('Participation Adjustment'!$C:$C,'Participation Adjustment'!$A:$A,$H289,'Participation Adjustment'!$B:$B,$I289),1)</f>
        <v>0.817159911207893</v>
      </c>
      <c r="AA289" s="79">
        <f>tbl_Data_old[[#This Row],[2030 ]]*IFERROR(AVERAGEIFS('Participation Adjustment'!$C:$C,'Participation Adjustment'!$A:$A,$H289,'Participation Adjustment'!$B:$B,$I289),1)</f>
        <v>0.69308088972515902</v>
      </c>
      <c r="AB289" s="79">
        <f>tbl_Data_old[[#This Row],[2031 ]]*IFERROR(AVERAGEIFS('Participation Adjustment'!$C:$C,'Participation Adjustment'!$A:$A,$H289,'Participation Adjustment'!$B:$B,$I289),1)</f>
        <v>0.591510283225397</v>
      </c>
      <c r="AC289" s="79">
        <f>tbl_Data_old[[#This Row],[2032 ]]*IFERROR(AVERAGEIFS('Participation Adjustment'!$C:$C,'Participation Adjustment'!$A:$A,$H289,'Participation Adjustment'!$B:$B,$I289),1)</f>
        <v>0.50944970627002695</v>
      </c>
      <c r="AD289" s="79">
        <f>tbl_Data_old[[#This Row],[2033 ]]*IFERROR(AVERAGEIFS('Participation Adjustment'!$C:$C,'Participation Adjustment'!$A:$A,$H289,'Participation Adjustment'!$B:$B,$I289),1)</f>
        <v>0.44469077520720102</v>
      </c>
      <c r="AE289" s="79">
        <f>tbl_Data_old[[#This Row],[2034 ]]*IFERROR(AVERAGEIFS('Participation Adjustment'!$C:$C,'Participation Adjustment'!$A:$A,$H289,'Participation Adjustment'!$B:$B,$I289),1)</f>
        <v>0.39206211644768202</v>
      </c>
      <c r="AF289" s="77" t="str">
        <f t="shared" si="121"/>
        <v>NonResidential</v>
      </c>
      <c r="AG289" s="77" t="str">
        <f>tbl_Data[[#This Row],[All_Meas_Name_Append]]</f>
        <v>Window shade film</v>
      </c>
      <c r="AH289" s="77">
        <f>AVERAGEIFS('3. Incentive Adjustment'!G:G,'3. Incentive Adjustment'!A:A,tbl_Data[[#This Row],[Trimmed Sector]],'3. Incentive Adjustment'!B:B,tbl_Data[[#This Row],[Trimmed Measure Name]])</f>
        <v>3.2127764592544555E-13</v>
      </c>
      <c r="AI289" s="77">
        <f>$AH289*tbl_Data[[#This Row],[2025 ]]</f>
        <v>5.280406349777487E-13</v>
      </c>
      <c r="AJ289" s="77">
        <f>$AH289*tbl_Data[[#This Row],[2026 ]]</f>
        <v>4.4338102377937849E-13</v>
      </c>
      <c r="AK289" s="77">
        <f>$AH289*tbl_Data[[#This Row],[2027 ]]</f>
        <v>3.7063794106546262E-13</v>
      </c>
      <c r="AL289" s="77">
        <f>$AH289*tbl_Data[[#This Row],[2028 ]]</f>
        <v>3.1121260839261194E-13</v>
      </c>
      <c r="AM289" s="77">
        <f>$AH289*tbl_Data[[#This Row],[2029 ]]</f>
        <v>2.6253521261751798E-13</v>
      </c>
      <c r="AN289" s="77">
        <f>$AH289*tbl_Data[[#This Row],[2030 ]]</f>
        <v>2.2267139668681242E-13</v>
      </c>
      <c r="AO289" s="77">
        <f>$AH289*tbl_Data[[#This Row],[2031 ]]</f>
        <v>1.9003903133534911E-13</v>
      </c>
      <c r="AP289" s="77">
        <f>$AH289*tbl_Data[[#This Row],[2032 ]]</f>
        <v>1.6367480234784397E-13</v>
      </c>
      <c r="AQ289" s="77">
        <f>$AH289*tbl_Data[[#This Row],[2033 ]]</f>
        <v>1.4286920542333102E-13</v>
      </c>
      <c r="AR289" s="77">
        <f>$AH289*tbl_Data[[#This Row],[2034 ]]</f>
        <v>1.2596079382885919E-13</v>
      </c>
      <c r="AS289" s="77">
        <f>SUM(tbl_Data[[#This Row],[Adjusted 2025]:[Adjusted 2034]])</f>
        <v>2.7610226504549152E-12</v>
      </c>
      <c r="AT289" s="80">
        <f>AVERAGEIFS('3. Incentive Adjustment'!F:F,'3. Incentive Adjustment'!A:A,tbl_Data[[#This Row],[Trimmed Sector]],'3. Incentive Adjustment'!B:B,tbl_Data[[#This Row],[Trimmed Measure Name]])</f>
        <v>132.78569994403261</v>
      </c>
      <c r="AU289" s="80">
        <f>IFERROR(VLOOKUP(tbl_Data[[#This Row],[All_Meas_Name_Append]],'IRA Tax Credits'!$A$3:$D$46,4,0),0)</f>
        <v>0</v>
      </c>
      <c r="AV289" s="81">
        <f>tbl_Data[[#This Row],[Adj. per unit Incentive ($)]]/tbl_Data[[#This Row],[kWh Savings]]*tbl_Data[[#This Row],[Sum of Annuals]]</f>
        <v>3.1028136618726183E-13</v>
      </c>
      <c r="AW289" s="81">
        <f>IFERROR(VLOOKUP(tbl_Data[[#This Row],[Column1]],'1. Set Program Names'!$B$2:$D$15,3,0)*tbl_Data[[#This Row],[Sum of Annuals]],"")</f>
        <v>9.8291564116737706E-14</v>
      </c>
      <c r="AX289" s="81">
        <f>tbl_Data[[#This Row],[per unit IRA tax ($)]]/tbl_Data[[#This Row],[kWh Savings]]*tbl_Data[[#This Row],[Sum of Annuals]]</f>
        <v>0</v>
      </c>
      <c r="AY289" s="81">
        <f>tbl_Data[[#This Row],[Avoided Costs ($/unit)]]/tbl_Data[[#This Row],[kWh Savings]]*tbl_Data[[#This Row],[Sum of Annuals]]</f>
        <v>1.1325627847409441E-12</v>
      </c>
      <c r="AZ289" s="81">
        <f>tbl_Data[[#This Row],[Lost Revenue ($/unit)]]/tbl_Data[[#This Row],[kWh Savings]]*tbl_Data[[#This Row],[Sum of Annuals]]</f>
        <v>2.271096289856813E-12</v>
      </c>
      <c r="BA289" s="81">
        <f>tbl_Data[[#This Row],[Incremental Cost ($/unit)]]/tbl_Data[[#This Row],[kWh Savings]]*tbl_Data[[#This Row],[Sum of Annuals]]</f>
        <v>1.034271220624206E-12</v>
      </c>
      <c r="BB289" s="77">
        <f>ROUNDUP(tbl_Data[[#This Row],[Adjusted 2025]]/$L289,0)</f>
        <v>1</v>
      </c>
      <c r="BC289" s="77">
        <f>ROUNDUP(tbl_Data[[#This Row],[Adjusted 2026]]/$L289,0)</f>
        <v>1</v>
      </c>
      <c r="BD289" s="77">
        <f>ROUNDUP(tbl_Data[[#This Row],[Adjusted 2027]]/$L289,0)</f>
        <v>1</v>
      </c>
      <c r="BE289" s="77">
        <f>ROUNDUP(tbl_Data[[#This Row],[Adjusted 2028]]/$L289,0)</f>
        <v>1</v>
      </c>
      <c r="BF289" s="77">
        <f>ROUNDUP(tbl_Data[[#This Row],[Adjusted 2029]]/$L289,0)</f>
        <v>1</v>
      </c>
      <c r="BG289" s="77">
        <f>ROUNDUP(tbl_Data[[#This Row],[Adjusted 2030]]/$L289,0)</f>
        <v>1</v>
      </c>
      <c r="BH289" s="77">
        <f>ROUNDUP(tbl_Data[[#This Row],[Adjusted 2031]]/$L289,0)</f>
        <v>1</v>
      </c>
      <c r="BI289" s="77">
        <f>ROUNDUP(tbl_Data[[#This Row],[Adjusted 2032]]/$L289,0)</f>
        <v>1</v>
      </c>
      <c r="BJ289" s="77">
        <f>ROUNDUP(tbl_Data[[#This Row],[Adjusted 2033]]/$L289,0)</f>
        <v>1</v>
      </c>
      <c r="BK289" s="77">
        <f>ROUNDUP(tbl_Data[[#This Row],[Adjusted 2034]]/$L289,0)</f>
        <v>1</v>
      </c>
      <c r="BL289" s="80">
        <f t="shared" si="122"/>
        <v>0.18470240959822215</v>
      </c>
      <c r="BM289" s="80">
        <f t="shared" si="123"/>
        <v>0.15508947235780213</v>
      </c>
      <c r="BN289" s="80">
        <f t="shared" si="124"/>
        <v>0.12964479676114238</v>
      </c>
      <c r="BO289" s="80">
        <f t="shared" si="125"/>
        <v>0.10885851364428717</v>
      </c>
      <c r="BP289" s="80">
        <f t="shared" si="126"/>
        <v>9.1831732565204036E-2</v>
      </c>
      <c r="BQ289" s="80">
        <f t="shared" si="127"/>
        <v>7.7887838155464947E-2</v>
      </c>
      <c r="BR289" s="80">
        <f t="shared" si="128"/>
        <v>6.647342018825908E-2</v>
      </c>
      <c r="BS289" s="80">
        <f t="shared" si="129"/>
        <v>5.7251522670094222E-2</v>
      </c>
      <c r="BT289" s="80">
        <f t="shared" si="130"/>
        <v>4.9973969333221138E-2</v>
      </c>
      <c r="BU289" s="80">
        <f t="shared" si="131"/>
        <v>4.405960563257702E-2</v>
      </c>
      <c r="BV289" s="80">
        <f>IFERROR(VLOOKUP($H289,'1. Set Program Names'!$B$2:$D$15,3,0)*V289,"NA")</f>
        <v>5.8510406082790151E-2</v>
      </c>
      <c r="BW289" s="80">
        <f>IFERROR(VLOOKUP($H289,'1. Set Program Names'!$B$2:$D$15,3,0)*W289,"NA")</f>
        <v>4.9129559417009389E-2</v>
      </c>
      <c r="BX289" s="80">
        <f>IFERROR(VLOOKUP($H289,'1. Set Program Names'!$B$2:$D$15,3,0)*X289,"NA")</f>
        <v>4.1069143177481601E-2</v>
      </c>
      <c r="BY289" s="80">
        <f>IFERROR(VLOOKUP($H289,'1. Set Program Names'!$B$2:$D$15,3,0)*Y289,"NA")</f>
        <v>3.4484422010255693E-2</v>
      </c>
      <c r="BZ289" s="80">
        <f>IFERROR(VLOOKUP($H289,'1. Set Program Names'!$B$2:$D$15,3,0)*Z289,"NA")</f>
        <v>2.9090643567478352E-2</v>
      </c>
      <c r="CA289" s="80">
        <f>IFERROR(VLOOKUP($H289,'1. Set Program Names'!$B$2:$D$15,3,0)*AA289,"NA")</f>
        <v>2.4673468252526559E-2</v>
      </c>
      <c r="CB289" s="80">
        <f>IFERROR(VLOOKUP($H289,'1. Set Program Names'!$B$2:$D$15,3,0)*AB289,"NA")</f>
        <v>2.1057585644862195E-2</v>
      </c>
      <c r="CC289" s="80">
        <f>IFERROR(VLOOKUP($H289,'1. Set Program Names'!$B$2:$D$15,3,0)*AC289,"NA")</f>
        <v>1.8136254137517883E-2</v>
      </c>
      <c r="CD289" s="80">
        <f>IFERROR(VLOOKUP($H289,'1. Set Program Names'!$B$2:$D$15,3,0)*AD289,"NA")</f>
        <v>1.5830855946146874E-2</v>
      </c>
      <c r="CE289" s="80">
        <f>IFERROR(VLOOKUP($H289,'1. Set Program Names'!$B$2:$D$15,3,0)*AE289,"NA")</f>
        <v>1.3957291748480165E-2</v>
      </c>
    </row>
    <row r="290" spans="1:83" x14ac:dyDescent="0.25">
      <c r="A290" s="79" t="s">
        <v>115</v>
      </c>
      <c r="B290" s="79" t="s">
        <v>88</v>
      </c>
      <c r="C290" s="79" t="s">
        <v>122</v>
      </c>
      <c r="D290" s="79" t="s">
        <v>90</v>
      </c>
      <c r="E290" s="79" t="s">
        <v>91</v>
      </c>
      <c r="F290" s="79" t="s">
        <v>90</v>
      </c>
      <c r="G290" s="79" t="s">
        <v>92</v>
      </c>
      <c r="H290" s="79" t="s">
        <v>14</v>
      </c>
      <c r="I290" s="79" t="s">
        <v>237</v>
      </c>
      <c r="J290" s="79" t="s">
        <v>129</v>
      </c>
      <c r="K290" s="79" t="s">
        <v>102</v>
      </c>
      <c r="L290" s="79">
        <v>2568.1199999999699</v>
      </c>
      <c r="M290" s="79">
        <v>0.53641456399840104</v>
      </c>
      <c r="N290" s="79">
        <v>2.1892485513222901E-2</v>
      </c>
      <c r="O290" s="79">
        <f>9025.1/929.29*tbl_Data[[#This Row],[kWh Savings]]</f>
        <v>24941.126894725789</v>
      </c>
      <c r="P290" s="79">
        <v>35498.089296558101</v>
      </c>
      <c r="Q290" s="79">
        <v>91.4242886047615</v>
      </c>
      <c r="R290" s="79">
        <v>1534.4473108970501</v>
      </c>
      <c r="S290" s="79">
        <v>3958.9826982459099</v>
      </c>
      <c r="T290" s="79">
        <v>30</v>
      </c>
      <c r="U290" s="79">
        <v>0.94999999999999896</v>
      </c>
      <c r="V290" s="79">
        <f>tbl_Data_old[[#This Row],[2025 ]]*IFERROR(AVERAGEIFS('Participation Adjustment'!$C:$C,'Participation Adjustment'!$A:$A,$H290,'Participation Adjustment'!$B:$B,$I290),1)</f>
        <v>0.34438989371934797</v>
      </c>
      <c r="W290" s="79">
        <f>tbl_Data_old[[#This Row],[2026 ]]*IFERROR(AVERAGEIFS('Participation Adjustment'!$C:$C,'Participation Adjustment'!$A:$A,$H290,'Participation Adjustment'!$B:$B,$I290),1)</f>
        <v>0.72914782410877699</v>
      </c>
      <c r="X290" s="79">
        <f>tbl_Data_old[[#This Row],[2027 ]]*IFERROR(AVERAGEIFS('Participation Adjustment'!$C:$C,'Participation Adjustment'!$A:$A,$H290,'Participation Adjustment'!$B:$B,$I290),1)</f>
        <v>1.15768592674683</v>
      </c>
      <c r="Y290" s="79">
        <f>tbl_Data_old[[#This Row],[2028 ]]*IFERROR(AVERAGEIFS('Participation Adjustment'!$C:$C,'Participation Adjustment'!$A:$A,$H290,'Participation Adjustment'!$B:$B,$I290),1)</f>
        <v>1.6342950800792</v>
      </c>
      <c r="Z290" s="79">
        <f>tbl_Data_old[[#This Row],[2029 ]]*IFERROR(AVERAGEIFS('Participation Adjustment'!$C:$C,'Participation Adjustment'!$A:$A,$H290,'Participation Adjustment'!$B:$B,$I290),1)</f>
        <v>2.1617423997220202</v>
      </c>
      <c r="AA290" s="79">
        <f>tbl_Data_old[[#This Row],[2030 ]]*IFERROR(AVERAGEIFS('Participation Adjustment'!$C:$C,'Participation Adjustment'!$A:$A,$H290,'Participation Adjustment'!$B:$B,$I290),1)</f>
        <v>2.7427304504829699</v>
      </c>
      <c r="AB290" s="79">
        <f>tbl_Data_old[[#This Row],[2031 ]]*IFERROR(AVERAGEIFS('Participation Adjustment'!$C:$C,'Participation Adjustment'!$A:$A,$H290,'Participation Adjustment'!$B:$B,$I290),1)</f>
        <v>3.3784990614132</v>
      </c>
      <c r="AC290" s="79">
        <f>tbl_Data_old[[#This Row],[2032 ]]*IFERROR(AVERAGEIFS('Participation Adjustment'!$C:$C,'Participation Adjustment'!$A:$A,$H290,'Participation Adjustment'!$B:$B,$I290),1)</f>
        <v>4.0711766339885598</v>
      </c>
      <c r="AD290" s="79">
        <f>tbl_Data_old[[#This Row],[2033 ]]*IFERROR(AVERAGEIFS('Participation Adjustment'!$C:$C,'Participation Adjustment'!$A:$A,$H290,'Participation Adjustment'!$B:$B,$I290),1)</f>
        <v>4.8246624637178304</v>
      </c>
      <c r="AE290" s="79">
        <f>tbl_Data_old[[#This Row],[2034 ]]*IFERROR(AVERAGEIFS('Participation Adjustment'!$C:$C,'Participation Adjustment'!$A:$A,$H290,'Participation Adjustment'!$B:$B,$I290),1)</f>
        <v>5.6395966690161998</v>
      </c>
      <c r="AF290" s="77" t="str">
        <f t="shared" si="121"/>
        <v>NonResidential</v>
      </c>
      <c r="AG290" s="77" t="str">
        <f>tbl_Data[[#This Row],[All_Meas_Name_Append]]</f>
        <v>Ceiling Insulation(R19 to R38)</v>
      </c>
      <c r="AH290" s="77">
        <f>AVERAGEIFS('3. Incentive Adjustment'!G:G,'3. Incentive Adjustment'!A:A,tbl_Data[[#This Row],[Trimmed Sector]],'3. Incentive Adjustment'!B:B,tbl_Data[[#This Row],[Trimmed Measure Name]])</f>
        <v>3.9688771318830651E-15</v>
      </c>
      <c r="AI290" s="77">
        <f>$AH290*tbl_Data[[#This Row],[2025 ]]</f>
        <v>1.3668411736343594E-15</v>
      </c>
      <c r="AJ290" s="77">
        <f>$AH290*tbl_Data[[#This Row],[2026 ]]</f>
        <v>2.8938981248676204E-15</v>
      </c>
      <c r="AK290" s="77">
        <f>$AH290*tbl_Data[[#This Row],[2027 ]]</f>
        <v>4.594713200568347E-15</v>
      </c>
      <c r="AL290" s="77">
        <f>$AH290*tbl_Data[[#This Row],[2028 ]]</f>
        <v>6.4863163700753393E-15</v>
      </c>
      <c r="AM290" s="77">
        <f>$AH290*tbl_Data[[#This Row],[2029 ]]</f>
        <v>8.5796899752787452E-15</v>
      </c>
      <c r="AN290" s="77">
        <f>$AH290*tbl_Data[[#This Row],[2030 ]]</f>
        <v>1.0885560163841197E-14</v>
      </c>
      <c r="AO290" s="77">
        <f>$AH290*tbl_Data[[#This Row],[2031 ]]</f>
        <v>1.3408847664931249E-14</v>
      </c>
      <c r="AP290" s="77">
        <f>$AH290*tbl_Data[[#This Row],[2032 ]]</f>
        <v>1.6157999842493865E-14</v>
      </c>
      <c r="AQ290" s="77">
        <f>$AH290*tbl_Data[[#This Row],[2033 ]]</f>
        <v>1.9148492521304305E-14</v>
      </c>
      <c r="AR290" s="77">
        <f>$AH290*tbl_Data[[#This Row],[2034 ]]</f>
        <v>2.2382866252702301E-14</v>
      </c>
      <c r="AS290" s="77">
        <f>SUM(tbl_Data[[#This Row],[Adjusted 2025]:[Adjusted 2034]])</f>
        <v>1.0590522528969734E-13</v>
      </c>
      <c r="AT290" s="80">
        <f>AVERAGEIFS('3. Incentive Adjustment'!F:F,'3. Incentive Adjustment'!A:A,tbl_Data[[#This Row],[Trimmed Sector]],'3. Incentive Adjustment'!B:B,tbl_Data[[#This Row],[Trimmed Measure Name]])</f>
        <v>3222.5963039661074</v>
      </c>
      <c r="AU290" s="80">
        <f>IFERROR(VLOOKUP(tbl_Data[[#This Row],[All_Meas_Name_Append]],'IRA Tax Credits'!$A$3:$D$46,4,0),0)</f>
        <v>0</v>
      </c>
      <c r="AV290" s="81">
        <f>tbl_Data[[#This Row],[Adj. per unit Incentive ($)]]/tbl_Data[[#This Row],[kWh Savings]]*tbl_Data[[#This Row],[Sum of Annuals]]</f>
        <v>1.3289479759095392E-13</v>
      </c>
      <c r="AW290" s="81">
        <f>IFERROR(VLOOKUP(tbl_Data[[#This Row],[Column1]],'1. Set Program Names'!$B$2:$D$15,3,0)*tbl_Data[[#This Row],[Sum of Annuals]],"")</f>
        <v>3.7701937143270874E-15</v>
      </c>
      <c r="AX290" s="81">
        <f>tbl_Data[[#This Row],[per unit IRA tax ($)]]/tbl_Data[[#This Row],[kWh Savings]]*tbl_Data[[#This Row],[Sum of Annuals]]</f>
        <v>0</v>
      </c>
      <c r="AY290" s="81">
        <f>tbl_Data[[#This Row],[Avoided Costs ($/unit)]]/tbl_Data[[#This Row],[kWh Savings]]*tbl_Data[[#This Row],[Sum of Annuals]]</f>
        <v>6.3278191110899896E-14</v>
      </c>
      <c r="AZ290" s="81">
        <f>tbl_Data[[#This Row],[Lost Revenue ($/unit)]]/tbl_Data[[#This Row],[kWh Savings]]*tbl_Data[[#This Row],[Sum of Annuals]]</f>
        <v>1.6326221304913783E-13</v>
      </c>
      <c r="BA290" s="81">
        <f>tbl_Data[[#This Row],[Incremental Cost ($/unit)]]/tbl_Data[[#This Row],[kWh Savings]]*tbl_Data[[#This Row],[Sum of Annuals]]</f>
        <v>1.0285328032821267E-12</v>
      </c>
      <c r="BB290" s="77">
        <f>ROUNDUP(tbl_Data[[#This Row],[Adjusted 2025]]/$L290,0)</f>
        <v>1</v>
      </c>
      <c r="BC290" s="77">
        <f>ROUNDUP(tbl_Data[[#This Row],[Adjusted 2026]]/$L290,0)</f>
        <v>1</v>
      </c>
      <c r="BD290" s="77">
        <f>ROUNDUP(tbl_Data[[#This Row],[Adjusted 2027]]/$L290,0)</f>
        <v>1</v>
      </c>
      <c r="BE290" s="77">
        <f>ROUNDUP(tbl_Data[[#This Row],[Adjusted 2028]]/$L290,0)</f>
        <v>1</v>
      </c>
      <c r="BF290" s="77">
        <f>ROUNDUP(tbl_Data[[#This Row],[Adjusted 2029]]/$L290,0)</f>
        <v>1</v>
      </c>
      <c r="BG290" s="77">
        <f>ROUNDUP(tbl_Data[[#This Row],[Adjusted 2030]]/$L290,0)</f>
        <v>1</v>
      </c>
      <c r="BH290" s="77">
        <f>ROUNDUP(tbl_Data[[#This Row],[Adjusted 2031]]/$L290,0)</f>
        <v>1</v>
      </c>
      <c r="BI290" s="77">
        <f>ROUNDUP(tbl_Data[[#This Row],[Adjusted 2032]]/$L290,0)</f>
        <v>1</v>
      </c>
      <c r="BJ290" s="77">
        <f>ROUNDUP(tbl_Data[[#This Row],[Adjusted 2033]]/$L290,0)</f>
        <v>1</v>
      </c>
      <c r="BK290" s="77">
        <f>ROUNDUP(tbl_Data[[#This Row],[Adjusted 2034]]/$L290,0)</f>
        <v>1</v>
      </c>
      <c r="BL290" s="80">
        <f t="shared" si="122"/>
        <v>0.43215644075170334</v>
      </c>
      <c r="BM290" s="80">
        <f t="shared" si="123"/>
        <v>0.91496856962209783</v>
      </c>
      <c r="BN290" s="80">
        <f t="shared" si="124"/>
        <v>1.452718092880378</v>
      </c>
      <c r="BO290" s="80">
        <f t="shared" si="125"/>
        <v>2.0507894041763177</v>
      </c>
      <c r="BP290" s="80">
        <f t="shared" si="126"/>
        <v>2.71265480875936</v>
      </c>
      <c r="BQ290" s="80">
        <f t="shared" si="127"/>
        <v>3.4417056105251391</v>
      </c>
      <c r="BR290" s="80">
        <f t="shared" si="128"/>
        <v>4.2394976045758259</v>
      </c>
      <c r="BS290" s="80">
        <f t="shared" si="129"/>
        <v>5.1087016079797145</v>
      </c>
      <c r="BT290" s="80">
        <f t="shared" si="130"/>
        <v>6.0542106379224014</v>
      </c>
      <c r="BU290" s="80">
        <f t="shared" si="131"/>
        <v>7.0768279447344327</v>
      </c>
      <c r="BV290" s="80">
        <f>IFERROR(VLOOKUP($H290,'1. Set Program Names'!$B$2:$D$15,3,0)*V290,"NA")</f>
        <v>1.2260175161581682E-2</v>
      </c>
      <c r="BW290" s="80">
        <f>IFERROR(VLOOKUP($H290,'1. Set Program Names'!$B$2:$D$15,3,0)*W290,"NA")</f>
        <v>2.5957440114502215E-2</v>
      </c>
      <c r="BX290" s="80">
        <f>IFERROR(VLOOKUP($H290,'1. Set Program Names'!$B$2:$D$15,3,0)*X290,"NA")</f>
        <v>4.1213265844498748E-2</v>
      </c>
      <c r="BY290" s="80">
        <f>IFERROR(VLOOKUP($H290,'1. Set Program Names'!$B$2:$D$15,3,0)*Y290,"NA")</f>
        <v>5.8180406315321793E-2</v>
      </c>
      <c r="BZ290" s="80">
        <f>IFERROR(VLOOKUP($H290,'1. Set Program Names'!$B$2:$D$15,3,0)*Z290,"NA")</f>
        <v>7.6957369998807618E-2</v>
      </c>
      <c r="CA290" s="80">
        <f>IFERROR(VLOOKUP($H290,'1. Set Program Names'!$B$2:$D$15,3,0)*AA290,"NA")</f>
        <v>9.7640367377702472E-2</v>
      </c>
      <c r="CB290" s="80">
        <f>IFERROR(VLOOKUP($H290,'1. Set Program Names'!$B$2:$D$15,3,0)*AB290,"NA")</f>
        <v>0.12027353598802221</v>
      </c>
      <c r="CC290" s="80">
        <f>IFERROR(VLOOKUP($H290,'1. Set Program Names'!$B$2:$D$15,3,0)*AC290,"NA")</f>
        <v>0.14493264627304628</v>
      </c>
      <c r="CD290" s="80">
        <f>IFERROR(VLOOKUP($H290,'1. Set Program Names'!$B$2:$D$15,3,0)*AD290,"NA")</f>
        <v>0.17175651196342204</v>
      </c>
      <c r="CE290" s="80">
        <f>IFERROR(VLOOKUP($H290,'1. Set Program Names'!$B$2:$D$15,3,0)*AE290,"NA")</f>
        <v>0.20076792107946445</v>
      </c>
    </row>
    <row r="291" spans="1:83" x14ac:dyDescent="0.25">
      <c r="A291" s="79" t="s">
        <v>115</v>
      </c>
      <c r="B291" s="79" t="s">
        <v>88</v>
      </c>
      <c r="C291" s="79" t="s">
        <v>122</v>
      </c>
      <c r="D291" s="79" t="s">
        <v>90</v>
      </c>
      <c r="E291" s="79" t="s">
        <v>91</v>
      </c>
      <c r="F291" s="79" t="s">
        <v>90</v>
      </c>
      <c r="G291" s="79" t="s">
        <v>92</v>
      </c>
      <c r="H291" s="79" t="s">
        <v>14</v>
      </c>
      <c r="I291" s="79" t="s">
        <v>238</v>
      </c>
      <c r="J291" s="79" t="s">
        <v>129</v>
      </c>
      <c r="K291" s="79" t="s">
        <v>102</v>
      </c>
      <c r="L291" s="79">
        <v>4477.6116666666303</v>
      </c>
      <c r="M291" s="79">
        <v>0.90610878358590996</v>
      </c>
      <c r="N291" s="79">
        <v>4.9616670393602701E-2</v>
      </c>
      <c r="O291" s="79">
        <f>9351.31/1137.9*tbl_Data[[#This Row],[kWh Savings]]</f>
        <v>36797.200768623181</v>
      </c>
      <c r="P291" s="79">
        <v>44221.719775682497</v>
      </c>
      <c r="Q291" s="79">
        <v>159.401609454924</v>
      </c>
      <c r="R291" s="79">
        <v>2670.7044942461998</v>
      </c>
      <c r="S291" s="79">
        <v>6902.6319322295803</v>
      </c>
      <c r="T291" s="79">
        <v>30</v>
      </c>
      <c r="U291" s="79">
        <v>0.94999999999999896</v>
      </c>
      <c r="V291" s="79">
        <f>tbl_Data_old[[#This Row],[2025 ]]*IFERROR(AVERAGEIFS('Participation Adjustment'!$C:$C,'Participation Adjustment'!$A:$A,$H291,'Participation Adjustment'!$B:$B,$I291),1)</f>
        <v>0.217739693361376</v>
      </c>
      <c r="W291" s="79">
        <f>tbl_Data_old[[#This Row],[2026 ]]*IFERROR(AVERAGEIFS('Participation Adjustment'!$C:$C,'Participation Adjustment'!$A:$A,$H291,'Participation Adjustment'!$B:$B,$I291),1)</f>
        <v>0.460681419020745</v>
      </c>
      <c r="X291" s="79">
        <f>tbl_Data_old[[#This Row],[2027 ]]*IFERROR(AVERAGEIFS('Participation Adjustment'!$C:$C,'Participation Adjustment'!$A:$A,$H291,'Participation Adjustment'!$B:$B,$I291),1)</f>
        <v>0.73080576226653504</v>
      </c>
      <c r="Y291" s="79">
        <f>tbl_Data_old[[#This Row],[2028 ]]*IFERROR(AVERAGEIFS('Participation Adjustment'!$C:$C,'Participation Adjustment'!$A:$A,$H291,'Participation Adjustment'!$B:$B,$I291),1)</f>
        <v>1.03069380751974</v>
      </c>
      <c r="Z291" s="79">
        <f>tbl_Data_old[[#This Row],[2029 ]]*IFERROR(AVERAGEIFS('Participation Adjustment'!$C:$C,'Participation Adjustment'!$A:$A,$H291,'Participation Adjustment'!$B:$B,$I291),1)</f>
        <v>1.3620057284985201</v>
      </c>
      <c r="AA291" s="79">
        <f>tbl_Data_old[[#This Row],[2030 ]]*IFERROR(AVERAGEIFS('Participation Adjustment'!$C:$C,'Participation Adjustment'!$A:$A,$H291,'Participation Adjustment'!$B:$B,$I291),1)</f>
        <v>1.72633079361231</v>
      </c>
      <c r="AB291" s="79">
        <f>tbl_Data_old[[#This Row],[2031 ]]*IFERROR(AVERAGEIFS('Participation Adjustment'!$C:$C,'Participation Adjustment'!$A:$A,$H291,'Participation Adjustment'!$B:$B,$I291),1)</f>
        <v>2.1243975659109</v>
      </c>
      <c r="AC291" s="79">
        <f>tbl_Data_old[[#This Row],[2032 ]]*IFERROR(AVERAGEIFS('Participation Adjustment'!$C:$C,'Participation Adjustment'!$A:$A,$H291,'Participation Adjustment'!$B:$B,$I291),1)</f>
        <v>2.5575008677755799</v>
      </c>
      <c r="AD291" s="79">
        <f>tbl_Data_old[[#This Row],[2033 ]]*IFERROR(AVERAGEIFS('Participation Adjustment'!$C:$C,'Participation Adjustment'!$A:$A,$H291,'Participation Adjustment'!$B:$B,$I291),1)</f>
        <v>3.0279788225062698</v>
      </c>
      <c r="AE291" s="79">
        <f>tbl_Data_old[[#This Row],[2034 ]]*IFERROR(AVERAGEIFS('Participation Adjustment'!$C:$C,'Participation Adjustment'!$A:$A,$H291,'Participation Adjustment'!$B:$B,$I291),1)</f>
        <v>3.5362161934713998</v>
      </c>
      <c r="AF291" s="77" t="str">
        <f t="shared" si="121"/>
        <v>NonResidential</v>
      </c>
      <c r="AG291" s="77" t="str">
        <f>tbl_Data[[#This Row],[All_Meas_Name_Append]]</f>
        <v>Ceiling Insulation(R19 to R49)</v>
      </c>
      <c r="AH291" s="77">
        <f>AVERAGEIFS('3. Incentive Adjustment'!G:G,'3. Incentive Adjustment'!A:A,tbl_Data[[#This Row],[Trimmed Sector]],'3. Incentive Adjustment'!B:B,tbl_Data[[#This Row],[Trimmed Measure Name]])</f>
        <v>7.9373870200739678E-11</v>
      </c>
      <c r="AI291" s="77">
        <f>$AH291*tbl_Data[[#This Row],[2025 ]]</f>
        <v>1.7282842158414716E-11</v>
      </c>
      <c r="AJ291" s="77">
        <f>$AH291*tbl_Data[[#This Row],[2026 ]]</f>
        <v>3.656606715724518E-11</v>
      </c>
      <c r="AK291" s="77">
        <f>$AH291*tbl_Data[[#This Row],[2027 ]]</f>
        <v>5.8006881716096574E-11</v>
      </c>
      <c r="AL291" s="77">
        <f>$AH291*tbl_Data[[#This Row],[2028 ]]</f>
        <v>8.1810156494778018E-11</v>
      </c>
      <c r="AM291" s="77">
        <f>$AH291*tbl_Data[[#This Row],[2029 ]]</f>
        <v>1.0810766590650542E-10</v>
      </c>
      <c r="AN291" s="77">
        <f>$AH291*tbl_Data[[#This Row],[2030 ]]</f>
        <v>1.3702555633572341E-10</v>
      </c>
      <c r="AO291" s="77">
        <f>$AH291*tbl_Data[[#This Row],[2031 ]]</f>
        <v>1.686216566513791E-10</v>
      </c>
      <c r="AP291" s="77">
        <f>$AH291*tbl_Data[[#This Row],[2032 ]]</f>
        <v>2.0299874191709798E-10</v>
      </c>
      <c r="AQ291" s="77">
        <f>$AH291*tbl_Data[[#This Row],[2033 ]]</f>
        <v>2.4034239802820125E-10</v>
      </c>
      <c r="AR291" s="77">
        <f>$AH291*tbl_Data[[#This Row],[2034 ]]</f>
        <v>2.8068316514235266E-10</v>
      </c>
      <c r="AS291" s="77">
        <f>SUM(tbl_Data[[#This Row],[Adjusted 2025]:[Adjusted 2034]])</f>
        <v>1.3314451315077943E-9</v>
      </c>
      <c r="AT291" s="80">
        <f>AVERAGEIFS('3. Incentive Adjustment'!F:F,'3. Incentive Adjustment'!A:A,tbl_Data[[#This Row],[Trimmed Sector]],'3. Incentive Adjustment'!B:B,tbl_Data[[#This Row],[Trimmed Measure Name]])</f>
        <v>4754.4974087894998</v>
      </c>
      <c r="AU291" s="80">
        <f>IFERROR(VLOOKUP(tbl_Data[[#This Row],[All_Meas_Name_Append]],'IRA Tax Credits'!$A$3:$D$46,4,0),0)</f>
        <v>500</v>
      </c>
      <c r="AV291" s="81">
        <f>tbl_Data[[#This Row],[Adj. per unit Incentive ($)]]/tbl_Data[[#This Row],[kWh Savings]]*tbl_Data[[#This Row],[Sum of Annuals]]</f>
        <v>1.4137787952504266E-9</v>
      </c>
      <c r="AW291" s="81">
        <f>IFERROR(VLOOKUP(tbl_Data[[#This Row],[Column1]],'1. Set Program Names'!$B$2:$D$15,3,0)*tbl_Data[[#This Row],[Sum of Annuals]],"")</f>
        <v>4.7399040529404601E-11</v>
      </c>
      <c r="AX291" s="81">
        <f>tbl_Data[[#This Row],[per unit IRA tax ($)]]/tbl_Data[[#This Row],[kWh Savings]]*tbl_Data[[#This Row],[Sum of Annuals]]</f>
        <v>1.48678048770919E-10</v>
      </c>
      <c r="AY291" s="81">
        <f>tbl_Data[[#This Row],[Avoided Costs ($/unit)]]/tbl_Data[[#This Row],[kWh Savings]]*tbl_Data[[#This Row],[Sum of Annuals]]</f>
        <v>7.9415026609649804E-10</v>
      </c>
      <c r="AZ291" s="81">
        <f>tbl_Data[[#This Row],[Lost Revenue ($/unit)]]/tbl_Data[[#This Row],[kWh Savings]]*tbl_Data[[#This Row],[Sum of Annuals]]</f>
        <v>2.0525396941354648E-9</v>
      </c>
      <c r="BA291" s="81">
        <f>tbl_Data[[#This Row],[Incremental Cost ($/unit)]]/tbl_Data[[#This Row],[kWh Savings]]*tbl_Data[[#This Row],[Sum of Annuals]]</f>
        <v>1.0941872021021312E-8</v>
      </c>
      <c r="BB291" s="77">
        <f>ROUNDUP(tbl_Data[[#This Row],[Adjusted 2025]]/$L291,0)</f>
        <v>1</v>
      </c>
      <c r="BC291" s="77">
        <f>ROUNDUP(tbl_Data[[#This Row],[Adjusted 2026]]/$L291,0)</f>
        <v>1</v>
      </c>
      <c r="BD291" s="77">
        <f>ROUNDUP(tbl_Data[[#This Row],[Adjusted 2027]]/$L291,0)</f>
        <v>1</v>
      </c>
      <c r="BE291" s="77">
        <f>ROUNDUP(tbl_Data[[#This Row],[Adjusted 2028]]/$L291,0)</f>
        <v>1</v>
      </c>
      <c r="BF291" s="77">
        <f>ROUNDUP(tbl_Data[[#This Row],[Adjusted 2029]]/$L291,0)</f>
        <v>1</v>
      </c>
      <c r="BG291" s="77">
        <f>ROUNDUP(tbl_Data[[#This Row],[Adjusted 2030]]/$L291,0)</f>
        <v>1</v>
      </c>
      <c r="BH291" s="77">
        <f>ROUNDUP(tbl_Data[[#This Row],[Adjusted 2031]]/$L291,0)</f>
        <v>1</v>
      </c>
      <c r="BI291" s="77">
        <f>ROUNDUP(tbl_Data[[#This Row],[Adjusted 2032]]/$L291,0)</f>
        <v>1</v>
      </c>
      <c r="BJ291" s="77">
        <f>ROUNDUP(tbl_Data[[#This Row],[Adjusted 2033]]/$L291,0)</f>
        <v>1</v>
      </c>
      <c r="BK291" s="77">
        <f>ROUNDUP(tbl_Data[[#This Row],[Adjusted 2034]]/$L291,0)</f>
        <v>1</v>
      </c>
      <c r="BL291" s="80">
        <f t="shared" si="122"/>
        <v>0.23120424122174305</v>
      </c>
      <c r="BM291" s="80">
        <f t="shared" si="123"/>
        <v>0.48916895346625339</v>
      </c>
      <c r="BN291" s="80">
        <f t="shared" si="124"/>
        <v>0.77599719709756831</v>
      </c>
      <c r="BO291" s="80">
        <f t="shared" si="125"/>
        <v>1.0944296651692724</v>
      </c>
      <c r="BP291" s="80">
        <f t="shared" si="126"/>
        <v>1.4462291929222808</v>
      </c>
      <c r="BQ291" s="80">
        <f t="shared" si="127"/>
        <v>1.8330833256590995</v>
      </c>
      <c r="BR291" s="80">
        <f t="shared" si="128"/>
        <v>2.2557656791799001</v>
      </c>
      <c r="BS291" s="80">
        <f t="shared" si="129"/>
        <v>2.7156511448586969</v>
      </c>
      <c r="BT291" s="80">
        <f t="shared" si="130"/>
        <v>3.2152224304420458</v>
      </c>
      <c r="BU291" s="80">
        <f t="shared" si="131"/>
        <v>3.754888092226111</v>
      </c>
      <c r="BV291" s="80">
        <f>IFERROR(VLOOKUP($H291,'1. Set Program Names'!$B$2:$D$15,3,0)*V291,"NA")</f>
        <v>7.7514666629997534E-3</v>
      </c>
      <c r="BW291" s="80">
        <f>IFERROR(VLOOKUP($H291,'1. Set Program Names'!$B$2:$D$15,3,0)*W291,"NA")</f>
        <v>1.6400117988023967E-2</v>
      </c>
      <c r="BX291" s="80">
        <f>IFERROR(VLOOKUP($H291,'1. Set Program Names'!$B$2:$D$15,3,0)*X291,"NA")</f>
        <v>2.6016462207170674E-2</v>
      </c>
      <c r="BY291" s="80">
        <f>IFERROR(VLOOKUP($H291,'1. Set Program Names'!$B$2:$D$15,3,0)*Y291,"NA")</f>
        <v>3.6692385138477265E-2</v>
      </c>
      <c r="BZ291" s="80">
        <f>IFERROR(VLOOKUP($H291,'1. Set Program Names'!$B$2:$D$15,3,0)*Z291,"NA")</f>
        <v>4.8486988459880566E-2</v>
      </c>
      <c r="CA291" s="80">
        <f>IFERROR(VLOOKUP($H291,'1. Set Program Names'!$B$2:$D$15,3,0)*AA291,"NA")</f>
        <v>6.1456849641956177E-2</v>
      </c>
      <c r="CB291" s="80">
        <f>IFERROR(VLOOKUP($H291,'1. Set Program Names'!$B$2:$D$15,3,0)*AB291,"NA")</f>
        <v>7.5627905307031243E-2</v>
      </c>
      <c r="CC291" s="80">
        <f>IFERROR(VLOOKUP($H291,'1. Set Program Names'!$B$2:$D$15,3,0)*AC291,"NA")</f>
        <v>9.1046250736899037E-2</v>
      </c>
      <c r="CD291" s="80">
        <f>IFERROR(VLOOKUP($H291,'1. Set Program Names'!$B$2:$D$15,3,0)*AD291,"NA")</f>
        <v>0.10779512240780108</v>
      </c>
      <c r="CE291" s="80">
        <f>IFERROR(VLOOKUP($H291,'1. Set Program Names'!$B$2:$D$15,3,0)*AE291,"NA")</f>
        <v>0.12588821777828291</v>
      </c>
    </row>
    <row r="292" spans="1:83" x14ac:dyDescent="0.25">
      <c r="A292" s="79" t="s">
        <v>115</v>
      </c>
      <c r="B292" s="79" t="s">
        <v>88</v>
      </c>
      <c r="C292" s="79" t="s">
        <v>122</v>
      </c>
      <c r="D292" s="79" t="s">
        <v>90</v>
      </c>
      <c r="E292" s="79" t="s">
        <v>91</v>
      </c>
      <c r="F292" s="79" t="s">
        <v>90</v>
      </c>
      <c r="G292" s="79" t="s">
        <v>92</v>
      </c>
      <c r="H292" s="79" t="s">
        <v>14</v>
      </c>
      <c r="I292" s="79" t="s">
        <v>240</v>
      </c>
      <c r="J292" s="79" t="s">
        <v>129</v>
      </c>
      <c r="K292" s="79" t="s">
        <v>102</v>
      </c>
      <c r="L292" s="79">
        <v>18717.787499999999</v>
      </c>
      <c r="M292" s="79">
        <v>3.6380387810097399</v>
      </c>
      <c r="N292" s="79">
        <v>0.14255501576814</v>
      </c>
      <c r="O292" s="79">
        <f>11091.09/6133.31*tbl_Data[[#This Row],[kWh Savings]]</f>
        <v>33848.063405139306</v>
      </c>
      <c r="P292" s="79">
        <v>45532.278837645601</v>
      </c>
      <c r="Q292" s="79">
        <v>666.34752521012103</v>
      </c>
      <c r="R292" s="79">
        <v>11042.715256281999</v>
      </c>
      <c r="S292" s="79">
        <v>28855.114582630202</v>
      </c>
      <c r="T292" s="79">
        <v>30</v>
      </c>
      <c r="U292" s="79">
        <v>0.95</v>
      </c>
      <c r="V292" s="79">
        <f>tbl_Data_old[[#This Row],[2025 ]]*IFERROR(AVERAGEIFS('Participation Adjustment'!$C:$C,'Participation Adjustment'!$A:$A,$H292,'Participation Adjustment'!$B:$B,$I292),1)</f>
        <v>0.39265796618577398</v>
      </c>
      <c r="W292" s="79">
        <f>tbl_Data_old[[#This Row],[2026 ]]*IFERROR(AVERAGEIFS('Participation Adjustment'!$C:$C,'Participation Adjustment'!$A:$A,$H292,'Participation Adjustment'!$B:$B,$I292),1)</f>
        <v>0.77782313855472096</v>
      </c>
      <c r="X292" s="79">
        <f>tbl_Data_old[[#This Row],[2027 ]]*IFERROR(AVERAGEIFS('Participation Adjustment'!$C:$C,'Participation Adjustment'!$A:$A,$H292,'Participation Adjustment'!$B:$B,$I292),1)</f>
        <v>1.1523098778263601</v>
      </c>
      <c r="Y292" s="79">
        <f>tbl_Data_old[[#This Row],[2028 ]]*IFERROR(AVERAGEIFS('Participation Adjustment'!$C:$C,'Participation Adjustment'!$A:$A,$H292,'Participation Adjustment'!$B:$B,$I292),1)</f>
        <v>1.5164725493100899</v>
      </c>
      <c r="Z292" s="79">
        <f>tbl_Data_old[[#This Row],[2029 ]]*IFERROR(AVERAGEIFS('Participation Adjustment'!$C:$C,'Participation Adjustment'!$A:$A,$H292,'Participation Adjustment'!$B:$B,$I292),1)</f>
        <v>1.8707551684583199</v>
      </c>
      <c r="AA292" s="79">
        <f>tbl_Data_old[[#This Row],[2030 ]]*IFERROR(AVERAGEIFS('Participation Adjustment'!$C:$C,'Participation Adjustment'!$A:$A,$H292,'Participation Adjustment'!$B:$B,$I292),1)</f>
        <v>2.2146042834856998</v>
      </c>
      <c r="AB292" s="79">
        <f>tbl_Data_old[[#This Row],[2031 ]]*IFERROR(AVERAGEIFS('Participation Adjustment'!$C:$C,'Participation Adjustment'!$A:$A,$H292,'Participation Adjustment'!$B:$B,$I292),1)</f>
        <v>2.54817020396482</v>
      </c>
      <c r="AC292" s="79">
        <f>tbl_Data_old[[#This Row],[2032 ]]*IFERROR(AVERAGEIFS('Participation Adjustment'!$C:$C,'Participation Adjustment'!$A:$A,$H292,'Participation Adjustment'!$B:$B,$I292),1)</f>
        <v>2.87215294416559</v>
      </c>
      <c r="AD292" s="79">
        <f>tbl_Data_old[[#This Row],[2033 ]]*IFERROR(AVERAGEIFS('Participation Adjustment'!$C:$C,'Participation Adjustment'!$A:$A,$H292,'Participation Adjustment'!$B:$B,$I292),1)</f>
        <v>3.18669341325533</v>
      </c>
      <c r="AE292" s="79">
        <f>tbl_Data_old[[#This Row],[2034 ]]*IFERROR(AVERAGEIFS('Participation Adjustment'!$C:$C,'Participation Adjustment'!$A:$A,$H292,'Participation Adjustment'!$B:$B,$I292),1)</f>
        <v>3.4921136572649698</v>
      </c>
      <c r="AF292" s="77" t="str">
        <f t="shared" si="121"/>
        <v>NonResidential</v>
      </c>
      <c r="AG292" s="77" t="str">
        <f>tbl_Data[[#This Row],[All_Meas_Name_Append]]</f>
        <v>Ceiling Insulation(R2 to R38)</v>
      </c>
      <c r="AH292" s="77">
        <f>AVERAGEIFS('3. Incentive Adjustment'!G:G,'3. Incentive Adjustment'!A:A,tbl_Data[[#This Row],[Trimmed Sector]],'3. Incentive Adjustment'!B:B,tbl_Data[[#This Row],[Trimmed Measure Name]])</f>
        <v>3.0218441517909909E-3</v>
      </c>
      <c r="AI292" s="77">
        <f>$AH292*tbl_Data[[#This Row],[2025 ]]</f>
        <v>1.1865511787726257E-3</v>
      </c>
      <c r="AJ292" s="77">
        <f>$AH292*tbl_Data[[#This Row],[2026 ]]</f>
        <v>2.3504603023692971E-3</v>
      </c>
      <c r="AK292" s="77">
        <f>$AH292*tbl_Data[[#This Row],[2027 ]]</f>
        <v>3.4821008653605776E-3</v>
      </c>
      <c r="AL292" s="77">
        <f>$AH292*tbl_Data[[#This Row],[2028 ]]</f>
        <v>4.5825437044842701E-3</v>
      </c>
      <c r="AM292" s="77">
        <f>$AH292*tbl_Data[[#This Row],[2029 ]]</f>
        <v>5.6531305652385436E-3</v>
      </c>
      <c r="AN292" s="77">
        <f>$AH292*tbl_Data[[#This Row],[2030 ]]</f>
        <v>6.6921890025825395E-3</v>
      </c>
      <c r="AO292" s="77">
        <f>$AH292*tbl_Data[[#This Row],[2031 ]]</f>
        <v>7.7001732286191473E-3</v>
      </c>
      <c r="AP292" s="77">
        <f>$AH292*tbl_Data[[#This Row],[2032 ]]</f>
        <v>8.6791985773760644E-3</v>
      </c>
      <c r="AQ292" s="77">
        <f>$AH292*tbl_Data[[#This Row],[2033 ]]</f>
        <v>9.6296908543964908E-3</v>
      </c>
      <c r="AR292" s="77">
        <f>$AH292*tbl_Data[[#This Row],[2034 ]]</f>
        <v>1.0552623232595598E-2</v>
      </c>
      <c r="AS292" s="77">
        <f>SUM(tbl_Data[[#This Row],[Adjusted 2025]:[Adjusted 2034]])</f>
        <v>6.050866151179516E-2</v>
      </c>
      <c r="AT292" s="80">
        <f>AVERAGEIFS('3. Incentive Adjustment'!F:F,'3. Incentive Adjustment'!A:A,tbl_Data[[#This Row],[Trimmed Sector]],'3. Incentive Adjustment'!B:B,tbl_Data[[#This Row],[Trimmed Measure Name]])</f>
        <v>4373.4448922946976</v>
      </c>
      <c r="AU292" s="80">
        <f>IFERROR(VLOOKUP(tbl_Data[[#This Row],[All_Meas_Name_Append]],'IRA Tax Credits'!$A$3:$D$46,4,0),0)</f>
        <v>0</v>
      </c>
      <c r="AV292" s="81">
        <f>tbl_Data[[#This Row],[Adj. per unit Incentive ($)]]/tbl_Data[[#This Row],[kWh Savings]]*tbl_Data[[#This Row],[Sum of Annuals]]</f>
        <v>1.4137958165640535E-2</v>
      </c>
      <c r="AW292" s="81">
        <f>IFERROR(VLOOKUP(tbl_Data[[#This Row],[Column1]],'1. Set Program Names'!$B$2:$D$15,3,0)*tbl_Data[[#This Row],[Sum of Annuals]],"")</f>
        <v>2.1540898918828736E-3</v>
      </c>
      <c r="AX292" s="81">
        <f>tbl_Data[[#This Row],[per unit IRA tax ($)]]/tbl_Data[[#This Row],[kWh Savings]]*tbl_Data[[#This Row],[Sum of Annuals]]</f>
        <v>0</v>
      </c>
      <c r="AY292" s="81">
        <f>tbl_Data[[#This Row],[Avoided Costs ($/unit)]]/tbl_Data[[#This Row],[kWh Savings]]*tbl_Data[[#This Row],[Sum of Annuals]]</f>
        <v>3.5697590840450773E-2</v>
      </c>
      <c r="AZ292" s="81">
        <f>tbl_Data[[#This Row],[Lost Revenue ($/unit)]]/tbl_Data[[#This Row],[kWh Savings]]*tbl_Data[[#This Row],[Sum of Annuals]]</f>
        <v>9.3279419972282271E-2</v>
      </c>
      <c r="BA292" s="81">
        <f>tbl_Data[[#This Row],[Incremental Cost ($/unit)]]/tbl_Data[[#This Row],[kWh Savings]]*tbl_Data[[#This Row],[Sum of Annuals]]</f>
        <v>0.10942003756647815</v>
      </c>
      <c r="BB292" s="77">
        <f>ROUNDUP(tbl_Data[[#This Row],[Adjusted 2025]]/$L292,0)</f>
        <v>1</v>
      </c>
      <c r="BC292" s="77">
        <f>ROUNDUP(tbl_Data[[#This Row],[Adjusted 2026]]/$L292,0)</f>
        <v>1</v>
      </c>
      <c r="BD292" s="77">
        <f>ROUNDUP(tbl_Data[[#This Row],[Adjusted 2027]]/$L292,0)</f>
        <v>1</v>
      </c>
      <c r="BE292" s="77">
        <f>ROUNDUP(tbl_Data[[#This Row],[Adjusted 2028]]/$L292,0)</f>
        <v>1</v>
      </c>
      <c r="BF292" s="77">
        <f>ROUNDUP(tbl_Data[[#This Row],[Adjusted 2029]]/$L292,0)</f>
        <v>1</v>
      </c>
      <c r="BG292" s="77">
        <f>ROUNDUP(tbl_Data[[#This Row],[Adjusted 2030]]/$L292,0)</f>
        <v>1</v>
      </c>
      <c r="BH292" s="77">
        <f>ROUNDUP(tbl_Data[[#This Row],[Adjusted 2031]]/$L292,0)</f>
        <v>1</v>
      </c>
      <c r="BI292" s="77">
        <f>ROUNDUP(tbl_Data[[#This Row],[Adjusted 2032]]/$L292,0)</f>
        <v>1</v>
      </c>
      <c r="BJ292" s="77">
        <f>ROUNDUP(tbl_Data[[#This Row],[Adjusted 2033]]/$L292,0)</f>
        <v>1</v>
      </c>
      <c r="BK292" s="77">
        <f>ROUNDUP(tbl_Data[[#This Row],[Adjusted 2034]]/$L292,0)</f>
        <v>1</v>
      </c>
      <c r="BL292" s="80">
        <f t="shared" si="122"/>
        <v>9.1745243749241062E-2</v>
      </c>
      <c r="BM292" s="80">
        <f t="shared" si="123"/>
        <v>0.18173978267574498</v>
      </c>
      <c r="BN292" s="80">
        <f t="shared" si="124"/>
        <v>0.26923928640179412</v>
      </c>
      <c r="BO292" s="80">
        <f t="shared" si="125"/>
        <v>0.35432655302264399</v>
      </c>
      <c r="BP292" s="80">
        <f t="shared" si="126"/>
        <v>0.4371053275515574</v>
      </c>
      <c r="BQ292" s="80">
        <f t="shared" si="127"/>
        <v>0.51744629497821226</v>
      </c>
      <c r="BR292" s="80">
        <f t="shared" si="128"/>
        <v>0.59538457540601319</v>
      </c>
      <c r="BS292" s="80">
        <f t="shared" si="129"/>
        <v>0.6710837284347938</v>
      </c>
      <c r="BT292" s="80">
        <f t="shared" si="130"/>
        <v>0.74457667774627101</v>
      </c>
      <c r="BU292" s="80">
        <f t="shared" si="131"/>
        <v>0.81593866997785081</v>
      </c>
      <c r="BV292" s="80">
        <f>IFERROR(VLOOKUP($H292,'1. Set Program Names'!$B$2:$D$15,3,0)*V292,"NA")</f>
        <v>1.3978503817394542E-2</v>
      </c>
      <c r="BW292" s="80">
        <f>IFERROR(VLOOKUP($H292,'1. Set Program Names'!$B$2:$D$15,3,0)*W292,"NA")</f>
        <v>2.7690266460558298E-2</v>
      </c>
      <c r="BX292" s="80">
        <f>IFERROR(VLOOKUP($H292,'1. Set Program Names'!$B$2:$D$15,3,0)*X292,"NA")</f>
        <v>4.1021880142873286E-2</v>
      </c>
      <c r="BY292" s="80">
        <f>IFERROR(VLOOKUP($H292,'1. Set Program Names'!$B$2:$D$15,3,0)*Y292,"NA")</f>
        <v>5.398596016125632E-2</v>
      </c>
      <c r="BZ292" s="80">
        <f>IFERROR(VLOOKUP($H292,'1. Set Program Names'!$B$2:$D$15,3,0)*Z292,"NA")</f>
        <v>6.6598313330367934E-2</v>
      </c>
      <c r="CA292" s="80">
        <f>IFERROR(VLOOKUP($H292,'1. Set Program Names'!$B$2:$D$15,3,0)*AA292,"NA")</f>
        <v>7.8839236935478049E-2</v>
      </c>
      <c r="CB292" s="80">
        <f>IFERROR(VLOOKUP($H292,'1. Set Program Names'!$B$2:$D$15,3,0)*AB292,"NA")</f>
        <v>9.0714081951519476E-2</v>
      </c>
      <c r="CC292" s="80">
        <f>IFERROR(VLOOKUP($H292,'1. Set Program Names'!$B$2:$D$15,3,0)*AC292,"NA")</f>
        <v>0.10224776867296434</v>
      </c>
      <c r="CD292" s="80">
        <f>IFERROR(VLOOKUP($H292,'1. Set Program Names'!$B$2:$D$15,3,0)*AD292,"NA")</f>
        <v>0.11344531342318542</v>
      </c>
      <c r="CE292" s="80">
        <f>IFERROR(VLOOKUP($H292,'1. Set Program Names'!$B$2:$D$15,3,0)*AE292,"NA")</f>
        <v>0.12431818094264491</v>
      </c>
    </row>
    <row r="293" spans="1:83" x14ac:dyDescent="0.25">
      <c r="A293" s="79" t="s">
        <v>115</v>
      </c>
      <c r="B293" s="79" t="s">
        <v>88</v>
      </c>
      <c r="C293" s="79" t="s">
        <v>122</v>
      </c>
      <c r="D293" s="79" t="s">
        <v>90</v>
      </c>
      <c r="E293" s="79" t="s">
        <v>91</v>
      </c>
      <c r="F293" s="79" t="s">
        <v>90</v>
      </c>
      <c r="G293" s="79" t="s">
        <v>92</v>
      </c>
      <c r="H293" s="79" t="s">
        <v>14</v>
      </c>
      <c r="I293" s="79" t="s">
        <v>241</v>
      </c>
      <c r="J293" s="79" t="s">
        <v>129</v>
      </c>
      <c r="K293" s="79" t="s">
        <v>102</v>
      </c>
      <c r="L293" s="79">
        <v>19185.113333333298</v>
      </c>
      <c r="M293" s="79">
        <v>4.6125790568704801</v>
      </c>
      <c r="N293" s="79">
        <v>0.25911922024205197</v>
      </c>
      <c r="O293" s="79">
        <f>11417.3/6341.92*tbl_Data[[#This Row],[kWh Savings]]</f>
        <v>34538.782334161617</v>
      </c>
      <c r="P293" s="79">
        <v>25197.386166847798</v>
      </c>
      <c r="Q293" s="79">
        <v>682.98418232081895</v>
      </c>
      <c r="R293" s="79">
        <v>12014.6297388403</v>
      </c>
      <c r="S293" s="79">
        <v>29575.538429105502</v>
      </c>
      <c r="T293" s="79">
        <v>30</v>
      </c>
      <c r="U293" s="79">
        <v>0.95</v>
      </c>
      <c r="V293" s="79">
        <f>tbl_Data_old[[#This Row],[2025 ]]*IFERROR(AVERAGEIFS('Participation Adjustment'!$C:$C,'Participation Adjustment'!$A:$A,$H293,'Participation Adjustment'!$B:$B,$I293),1)</f>
        <v>0.44000049116144502</v>
      </c>
      <c r="W293" s="79">
        <f>tbl_Data_old[[#This Row],[2026 ]]*IFERROR(AVERAGEIFS('Participation Adjustment'!$C:$C,'Participation Adjustment'!$A:$A,$H293,'Participation Adjustment'!$B:$B,$I293),1)</f>
        <v>0.87131741020228604</v>
      </c>
      <c r="X293" s="79">
        <f>tbl_Data_old[[#This Row],[2027 ]]*IFERROR(AVERAGEIFS('Participation Adjustment'!$C:$C,'Participation Adjustment'!$A:$A,$H293,'Participation Adjustment'!$B:$B,$I293),1)</f>
        <v>1.2903901167768299</v>
      </c>
      <c r="Y293" s="79">
        <f>tbl_Data_old[[#This Row],[2028 ]]*IFERROR(AVERAGEIFS('Participation Adjustment'!$C:$C,'Participation Adjustment'!$A:$A,$H293,'Participation Adjustment'!$B:$B,$I293),1)</f>
        <v>1.6976290784079799</v>
      </c>
      <c r="Z293" s="79">
        <f>tbl_Data_old[[#This Row],[2029 ]]*IFERROR(AVERAGEIFS('Participation Adjustment'!$C:$C,'Participation Adjustment'!$A:$A,$H293,'Participation Adjustment'!$B:$B,$I293),1)</f>
        <v>2.09354791504945</v>
      </c>
      <c r="AA293" s="79">
        <f>tbl_Data_old[[#This Row],[2030 ]]*IFERROR(AVERAGEIFS('Participation Adjustment'!$C:$C,'Participation Adjustment'!$A:$A,$H293,'Participation Adjustment'!$B:$B,$I293),1)</f>
        <v>2.4775479745545299</v>
      </c>
      <c r="AB293" s="79">
        <f>tbl_Data_old[[#This Row],[2031 ]]*IFERROR(AVERAGEIFS('Participation Adjustment'!$C:$C,'Participation Adjustment'!$A:$A,$H293,'Participation Adjustment'!$B:$B,$I293),1)</f>
        <v>2.8498190219324102</v>
      </c>
      <c r="AC293" s="79">
        <f>tbl_Data_old[[#This Row],[2032 ]]*IFERROR(AVERAGEIFS('Participation Adjustment'!$C:$C,'Participation Adjustment'!$A:$A,$H293,'Participation Adjustment'!$B:$B,$I293),1)</f>
        <v>3.2111645958584401</v>
      </c>
      <c r="AD293" s="79">
        <f>tbl_Data_old[[#This Row],[2033 ]]*IFERROR(AVERAGEIFS('Participation Adjustment'!$C:$C,'Participation Adjustment'!$A:$A,$H293,'Participation Adjustment'!$B:$B,$I293),1)</f>
        <v>3.5617640075359902</v>
      </c>
      <c r="AE293" s="79">
        <f>tbl_Data_old[[#This Row],[2034 ]]*IFERROR(AVERAGEIFS('Participation Adjustment'!$C:$C,'Participation Adjustment'!$A:$A,$H293,'Participation Adjustment'!$B:$B,$I293),1)</f>
        <v>3.90199808029254</v>
      </c>
      <c r="AF293" s="77" t="str">
        <f t="shared" si="121"/>
        <v>NonResidential</v>
      </c>
      <c r="AG293" s="77" t="str">
        <f>tbl_Data[[#This Row],[All_Meas_Name_Append]]</f>
        <v>Ceiling Insulation(R2 to R49)</v>
      </c>
      <c r="AH293" s="77">
        <f>AVERAGEIFS('3. Incentive Adjustment'!G:G,'3. Incentive Adjustment'!A:A,tbl_Data[[#This Row],[Trimmed Sector]],'3. Incentive Adjustment'!B:B,tbl_Data[[#This Row],[Trimmed Measure Name]])</f>
        <v>5.674595082038876E-2</v>
      </c>
      <c r="AI293" s="77">
        <f>$AH293*tbl_Data[[#This Row],[2025 ]]</f>
        <v>2.496824623239426E-2</v>
      </c>
      <c r="AJ293" s="77">
        <f>$AH293*tbl_Data[[#This Row],[2026 ]]</f>
        <v>4.9443734908287421E-2</v>
      </c>
      <c r="AK293" s="77">
        <f>$AH293*tbl_Data[[#This Row],[2027 ]]</f>
        <v>7.3224414105733701E-2</v>
      </c>
      <c r="AL293" s="77">
        <f>$AH293*tbl_Data[[#This Row],[2028 ]]</f>
        <v>9.6333576194601131E-2</v>
      </c>
      <c r="AM293" s="77">
        <f>$AH293*tbl_Data[[#This Row],[2029 ]]</f>
        <v>0.11880036702752352</v>
      </c>
      <c r="AN293" s="77">
        <f>$AH293*tbl_Data[[#This Row],[2030 ]]</f>
        <v>0.14059081551922514</v>
      </c>
      <c r="AO293" s="77">
        <f>$AH293*tbl_Data[[#This Row],[2031 ]]</f>
        <v>0.16171569006558495</v>
      </c>
      <c r="AP293" s="77">
        <f>$AH293*tbl_Data[[#This Row],[2032 ]]</f>
        <v>0.18222058823275658</v>
      </c>
      <c r="AQ293" s="77">
        <f>$AH293*tbl_Data[[#This Row],[2033 ]]</f>
        <v>0.20211568520546808</v>
      </c>
      <c r="AR293" s="77">
        <f>$AH293*tbl_Data[[#This Row],[2034 ]]</f>
        <v>0.22142259116553184</v>
      </c>
      <c r="AS293" s="77">
        <f>SUM(tbl_Data[[#This Row],[Adjusted 2025]:[Adjusted 2034]])</f>
        <v>1.2708357086571065</v>
      </c>
      <c r="AT293" s="80">
        <f>AVERAGEIFS('3. Incentive Adjustment'!F:F,'3. Incentive Adjustment'!A:A,tbl_Data[[#This Row],[Trimmed Sector]],'3. Incentive Adjustment'!B:B,tbl_Data[[#This Row],[Trimmed Measure Name]])</f>
        <v>4335.1908026959672</v>
      </c>
      <c r="AU293" s="80">
        <f>IFERROR(VLOOKUP(tbl_Data[[#This Row],[All_Meas_Name_Append]],'IRA Tax Credits'!$A$3:$D$46,4,0),0)</f>
        <v>500</v>
      </c>
      <c r="AV293" s="81">
        <f>tbl_Data[[#This Row],[Adj. per unit Incentive ($)]]/tbl_Data[[#This Row],[kWh Savings]]*tbl_Data[[#This Row],[Sum of Annuals]]</f>
        <v>0.2871661574360212</v>
      </c>
      <c r="AW293" s="81">
        <f>IFERROR(VLOOKUP(tbl_Data[[#This Row],[Column1]],'1. Set Program Names'!$B$2:$D$15,3,0)*tbl_Data[[#This Row],[Sum of Annuals]],"")</f>
        <v>4.524136356459401E-2</v>
      </c>
      <c r="AX293" s="81">
        <f>tbl_Data[[#This Row],[per unit IRA tax ($)]]/tbl_Data[[#This Row],[kWh Savings]]*tbl_Data[[#This Row],[Sum of Annuals]]</f>
        <v>3.3120359691831601E-2</v>
      </c>
      <c r="AY293" s="81">
        <f>tbl_Data[[#This Row],[Avoided Costs ($/unit)]]/tbl_Data[[#This Row],[kWh Savings]]*tbl_Data[[#This Row],[Sum of Annuals]]</f>
        <v>0.7958577170291351</v>
      </c>
      <c r="AZ293" s="81">
        <f>tbl_Data[[#This Row],[Lost Revenue ($/unit)]]/tbl_Data[[#This Row],[kWh Savings]]*tbl_Data[[#This Row],[Sum of Annuals]]</f>
        <v>1.959104941703125</v>
      </c>
      <c r="BA293" s="81">
        <f>tbl_Data[[#This Row],[Incremental Cost ($/unit)]]/tbl_Data[[#This Row],[kWh Savings]]*tbl_Data[[#This Row],[Sum of Annuals]]</f>
        <v>2.2878737884506237</v>
      </c>
      <c r="BB293" s="77">
        <f>ROUNDUP(tbl_Data[[#This Row],[Adjusted 2025]]/$L293,0)</f>
        <v>1</v>
      </c>
      <c r="BC293" s="77">
        <f>ROUNDUP(tbl_Data[[#This Row],[Adjusted 2026]]/$L293,0)</f>
        <v>1</v>
      </c>
      <c r="BD293" s="77">
        <f>ROUNDUP(tbl_Data[[#This Row],[Adjusted 2027]]/$L293,0)</f>
        <v>1</v>
      </c>
      <c r="BE293" s="77">
        <f>ROUNDUP(tbl_Data[[#This Row],[Adjusted 2028]]/$L293,0)</f>
        <v>1</v>
      </c>
      <c r="BF293" s="77">
        <f>ROUNDUP(tbl_Data[[#This Row],[Adjusted 2029]]/$L293,0)</f>
        <v>1</v>
      </c>
      <c r="BG293" s="77">
        <f>ROUNDUP(tbl_Data[[#This Row],[Adjusted 2030]]/$L293,0)</f>
        <v>1</v>
      </c>
      <c r="BH293" s="77">
        <f>ROUNDUP(tbl_Data[[#This Row],[Adjusted 2031]]/$L293,0)</f>
        <v>1</v>
      </c>
      <c r="BI293" s="77">
        <f>ROUNDUP(tbl_Data[[#This Row],[Adjusted 2032]]/$L293,0)</f>
        <v>1</v>
      </c>
      <c r="BJ293" s="77">
        <f>ROUNDUP(tbl_Data[[#This Row],[Adjusted 2033]]/$L293,0)</f>
        <v>1</v>
      </c>
      <c r="BK293" s="77">
        <f>ROUNDUP(tbl_Data[[#This Row],[Adjusted 2034]]/$L293,0)</f>
        <v>1</v>
      </c>
      <c r="BL293" s="80">
        <f t="shared" si="122"/>
        <v>9.9425322609412517E-2</v>
      </c>
      <c r="BM293" s="80">
        <f t="shared" si="123"/>
        <v>0.19688844977396502</v>
      </c>
      <c r="BN293" s="80">
        <f t="shared" si="124"/>
        <v>0.29158479644846325</v>
      </c>
      <c r="BO293" s="80">
        <f t="shared" si="125"/>
        <v>0.38360711449729179</v>
      </c>
      <c r="BP293" s="80">
        <f t="shared" si="126"/>
        <v>0.47307146476725065</v>
      </c>
      <c r="BQ293" s="80">
        <f t="shared" si="127"/>
        <v>0.55984257199385012</v>
      </c>
      <c r="BR293" s="80">
        <f t="shared" si="128"/>
        <v>0.64396331669117535</v>
      </c>
      <c r="BS293" s="80">
        <f t="shared" si="129"/>
        <v>0.72561527159296324</v>
      </c>
      <c r="BT293" s="80">
        <f t="shared" si="130"/>
        <v>0.80483895500453562</v>
      </c>
      <c r="BU293" s="80">
        <f t="shared" si="131"/>
        <v>0.88172042019845098</v>
      </c>
      <c r="BV293" s="80">
        <f>IFERROR(VLOOKUP($H293,'1. Set Program Names'!$B$2:$D$15,3,0)*V293,"NA")</f>
        <v>1.5663883264871267E-2</v>
      </c>
      <c r="BW293" s="80">
        <f>IFERROR(VLOOKUP($H293,'1. Set Program Names'!$B$2:$D$15,3,0)*W293,"NA")</f>
        <v>3.1018634011139676E-2</v>
      </c>
      <c r="BX293" s="80">
        <f>IFERROR(VLOOKUP($H293,'1. Set Program Names'!$B$2:$D$15,3,0)*X293,"NA")</f>
        <v>4.5937494528658349E-2</v>
      </c>
      <c r="BY293" s="80">
        <f>IFERROR(VLOOKUP($H293,'1. Set Program Names'!$B$2:$D$15,3,0)*Y293,"NA")</f>
        <v>6.0435077336031082E-2</v>
      </c>
      <c r="BZ293" s="80">
        <f>IFERROR(VLOOKUP($H293,'1. Set Program Names'!$B$2:$D$15,3,0)*Z293,"NA")</f>
        <v>7.452966714693228E-2</v>
      </c>
      <c r="CA293" s="80">
        <f>IFERROR(VLOOKUP($H293,'1. Set Program Names'!$B$2:$D$15,3,0)*AA293,"NA")</f>
        <v>8.8199952127555603E-2</v>
      </c>
      <c r="CB293" s="80">
        <f>IFERROR(VLOOKUP($H293,'1. Set Program Names'!$B$2:$D$15,3,0)*AB293,"NA")</f>
        <v>0.10145268785434117</v>
      </c>
      <c r="CC293" s="80">
        <f>IFERROR(VLOOKUP($H293,'1. Set Program Names'!$B$2:$D$15,3,0)*AC293,"NA")</f>
        <v>0.11431648005901497</v>
      </c>
      <c r="CD293" s="80">
        <f>IFERROR(VLOOKUP($H293,'1. Set Program Names'!$B$2:$D$15,3,0)*AD293,"NA")</f>
        <v>0.12679771216571883</v>
      </c>
      <c r="CE293" s="80">
        <f>IFERROR(VLOOKUP($H293,'1. Set Program Names'!$B$2:$D$15,3,0)*AE293,"NA")</f>
        <v>0.13890994136874227</v>
      </c>
    </row>
    <row r="294" spans="1:83" x14ac:dyDescent="0.25">
      <c r="A294" s="79" t="s">
        <v>115</v>
      </c>
      <c r="B294" s="79" t="s">
        <v>88</v>
      </c>
      <c r="C294" s="79" t="s">
        <v>122</v>
      </c>
      <c r="D294" s="79" t="s">
        <v>90</v>
      </c>
      <c r="E294" s="79" t="s">
        <v>91</v>
      </c>
      <c r="F294" s="79" t="s">
        <v>90</v>
      </c>
      <c r="G294" s="79" t="s">
        <v>92</v>
      </c>
      <c r="H294" s="79" t="s">
        <v>14</v>
      </c>
      <c r="I294" s="79" t="s">
        <v>128</v>
      </c>
      <c r="J294" s="79" t="s">
        <v>129</v>
      </c>
      <c r="K294" s="79" t="s">
        <v>130</v>
      </c>
      <c r="L294" s="79">
        <v>2045.1799999999989</v>
      </c>
      <c r="M294" s="79">
        <v>0.47104509500000002</v>
      </c>
      <c r="N294" s="79">
        <v>0.17900382200000001</v>
      </c>
      <c r="O294" s="79">
        <f>19591.5999999999/60160.456*2045.18</f>
        <v>666.02468053100858</v>
      </c>
      <c r="P294" s="79">
        <f>11310.7385995848/60160.456*2045.18</f>
        <v>384.51331501042552</v>
      </c>
      <c r="Q294" s="79">
        <f>2141.69388188172/60160.456*2045.18</f>
        <v>72.807784125619918</v>
      </c>
      <c r="R294" s="79">
        <f>32581.871747558/60160.456*2045.18</f>
        <v>1107.6344311730397</v>
      </c>
      <c r="S294" s="79">
        <f>77209.8271220691/60160.456*2045.18</f>
        <v>2624.780540784353</v>
      </c>
      <c r="T294" s="79">
        <v>20</v>
      </c>
      <c r="U294" s="79">
        <v>0.94999999999999896</v>
      </c>
      <c r="V294" s="79">
        <f>tbl_Data_old[[#This Row],[2025 ]]*IFERROR(AVERAGEIFS('Participation Adjustment'!$C:$C,'Participation Adjustment'!$A:$A,$H294,'Participation Adjustment'!$B:$B,$I294),1)</f>
        <v>5.52773989831375</v>
      </c>
      <c r="W294" s="79">
        <f>tbl_Data_old[[#This Row],[2026 ]]*IFERROR(AVERAGEIFS('Participation Adjustment'!$C:$C,'Participation Adjustment'!$A:$A,$H294,'Participation Adjustment'!$B:$B,$I294),1)</f>
        <v>10.992392835838899</v>
      </c>
      <c r="X294" s="79">
        <f>tbl_Data_old[[#This Row],[2027 ]]*IFERROR(AVERAGEIFS('Participation Adjustment'!$C:$C,'Participation Adjustment'!$A:$A,$H294,'Participation Adjustment'!$B:$B,$I294),1)</f>
        <v>16.370056913963751</v>
      </c>
      <c r="Y294" s="79">
        <f>tbl_Data_old[[#This Row],[2028 ]]*IFERROR(AVERAGEIFS('Participation Adjustment'!$C:$C,'Participation Adjustment'!$A:$A,$H294,'Participation Adjustment'!$B:$B,$I294),1)</f>
        <v>21.66697842939725</v>
      </c>
      <c r="Z294" s="79">
        <f>tbl_Data_old[[#This Row],[2029 ]]*IFERROR(AVERAGEIFS('Participation Adjustment'!$C:$C,'Participation Adjustment'!$A:$A,$H294,'Participation Adjustment'!$B:$B,$I294),1)</f>
        <v>26.8809818451128</v>
      </c>
      <c r="AA294" s="79">
        <f>tbl_Data_old[[#This Row],[2030 ]]*IFERROR(AVERAGEIFS('Participation Adjustment'!$C:$C,'Participation Adjustment'!$A:$A,$H294,'Participation Adjustment'!$B:$B,$I294),1)</f>
        <v>32.006241481217948</v>
      </c>
      <c r="AB294" s="79">
        <f>tbl_Data_old[[#This Row],[2031 ]]*IFERROR(AVERAGEIFS('Participation Adjustment'!$C:$C,'Participation Adjustment'!$A:$A,$H294,'Participation Adjustment'!$B:$B,$I294),1)</f>
        <v>37.036321157264801</v>
      </c>
      <c r="AC294" s="79">
        <f>tbl_Data_old[[#This Row],[2032 ]]*IFERROR(AVERAGEIFS('Participation Adjustment'!$C:$C,'Participation Adjustment'!$A:$A,$H294,'Participation Adjustment'!$B:$B,$I294),1)</f>
        <v>41.975296316716097</v>
      </c>
      <c r="AD294" s="79">
        <f>tbl_Data_old[[#This Row],[2033 ]]*IFERROR(AVERAGEIFS('Participation Adjustment'!$C:$C,'Participation Adjustment'!$A:$A,$H294,'Participation Adjustment'!$B:$B,$I294),1)</f>
        <v>46.834309274044401</v>
      </c>
      <c r="AE294" s="79">
        <f>tbl_Data_old[[#This Row],[2034 ]]*IFERROR(AVERAGEIFS('Participation Adjustment'!$C:$C,'Participation Adjustment'!$A:$A,$H294,'Participation Adjustment'!$B:$B,$I294),1)</f>
        <v>51.611694875544998</v>
      </c>
      <c r="AF294" s="77" t="str">
        <f t="shared" si="121"/>
        <v>NonResidential</v>
      </c>
      <c r="AG294" s="77" t="str">
        <f>tbl_Data[[#This Row],[All_Meas_Name_Append]]</f>
        <v>Commercial Duct Sealing</v>
      </c>
      <c r="AH294" s="77">
        <f>AVERAGEIFS('3. Incentive Adjustment'!G:G,'3. Incentive Adjustment'!A:A,tbl_Data[[#This Row],[Trimmed Sector]],'3. Incentive Adjustment'!B:B,tbl_Data[[#This Row],[Trimmed Measure Name]])</f>
        <v>0.69277112909915817</v>
      </c>
      <c r="AI294" s="77">
        <f>$AH294*tbl_Data[[#This Row],[2025 ]]</f>
        <v>3.8294586107212822</v>
      </c>
      <c r="AJ294" s="77">
        <f>$AH294*tbl_Data[[#This Row],[2026 ]]</f>
        <v>7.6152123963856111</v>
      </c>
      <c r="AK294" s="77">
        <f>$AH294*tbl_Data[[#This Row],[2027 ]]</f>
        <v>11.340702811704148</v>
      </c>
      <c r="AL294" s="77">
        <f>$AH294*tbl_Data[[#This Row],[2028 ]]</f>
        <v>15.010257110700637</v>
      </c>
      <c r="AM294" s="77">
        <f>$AH294*tbl_Data[[#This Row],[2029 ]]</f>
        <v>18.622368144132768</v>
      </c>
      <c r="AN294" s="77">
        <f>$AH294*tbl_Data[[#This Row],[2030 ]]</f>
        <v>22.173000049163672</v>
      </c>
      <c r="AO294" s="77">
        <f>$AH294*tbl_Data[[#This Row],[2031 ]]</f>
        <v>25.657694025797376</v>
      </c>
      <c r="AP294" s="77">
        <f>$AH294*tbl_Data[[#This Row],[2032 ]]</f>
        <v>29.079273423603144</v>
      </c>
      <c r="AQ294" s="77">
        <f>$AH294*tbl_Data[[#This Row],[2033 ]]</f>
        <v>32.445457316358912</v>
      </c>
      <c r="AR294" s="77">
        <f>$AH294*tbl_Data[[#This Row],[2034 ]]</f>
        <v>35.755092133652546</v>
      </c>
      <c r="AS294" s="77">
        <f>SUM(tbl_Data[[#This Row],[Adjusted 2025]:[Adjusted 2034]])</f>
        <v>201.52851602222009</v>
      </c>
      <c r="AT294" s="80">
        <f>AVERAGEIFS('3. Incentive Adjustment'!F:F,'3. Incentive Adjustment'!A:A,tbl_Data[[#This Row],[Trimmed Sector]],'3. Incentive Adjustment'!B:B,tbl_Data[[#This Row],[Trimmed Measure Name]])</f>
        <v>100</v>
      </c>
      <c r="AU294" s="80">
        <f>IFERROR(VLOOKUP(tbl_Data[[#This Row],[All_Meas_Name_Append]],'IRA Tax Credits'!$A$3:$D$46,4,0),0)</f>
        <v>0</v>
      </c>
      <c r="AV294" s="81">
        <f>tbl_Data[[#This Row],[Adj. per unit Incentive ($)]]/tbl_Data[[#This Row],[kWh Savings]]*tbl_Data[[#This Row],[Sum of Annuals]]</f>
        <v>9.8538278304217819</v>
      </c>
      <c r="AW294" s="81">
        <f>IFERROR(VLOOKUP(tbl_Data[[#This Row],[Column1]],'1. Set Program Names'!$B$2:$D$15,3,0)*tbl_Data[[#This Row],[Sum of Annuals]],"")</f>
        <v>7.1743536948837869</v>
      </c>
      <c r="AX294" s="81">
        <f>tbl_Data[[#This Row],[per unit IRA tax ($)]]/tbl_Data[[#This Row],[kWh Savings]]*tbl_Data[[#This Row],[Sum of Annuals]]</f>
        <v>0</v>
      </c>
      <c r="AY294" s="81">
        <f>tbl_Data[[#This Row],[Avoided Costs ($/unit)]]/tbl_Data[[#This Row],[kWh Savings]]*tbl_Data[[#This Row],[Sum of Annuals]]</f>
        <v>109.14438983826298</v>
      </c>
      <c r="AZ294" s="81">
        <f>tbl_Data[[#This Row],[Lost Revenue ($/unit)]]/tbl_Data[[#This Row],[kWh Savings]]*tbl_Data[[#This Row],[Sum of Annuals]]</f>
        <v>258.64135541530391</v>
      </c>
      <c r="BA294" s="81">
        <f>tbl_Data[[#This Row],[Incremental Cost ($/unit)]]/tbl_Data[[#This Row],[kWh Savings]]*tbl_Data[[#This Row],[Sum of Annuals]]</f>
        <v>65.628925327642293</v>
      </c>
      <c r="BB294" s="77">
        <f>ROUNDUP(tbl_Data[[#This Row],[Adjusted 2025]]/$L294,0)</f>
        <v>1</v>
      </c>
      <c r="BC294" s="77">
        <f>ROUNDUP(tbl_Data[[#This Row],[Adjusted 2026]]/$L294,0)</f>
        <v>1</v>
      </c>
      <c r="BD294" s="77">
        <f>ROUNDUP(tbl_Data[[#This Row],[Adjusted 2027]]/$L294,0)</f>
        <v>1</v>
      </c>
      <c r="BE294" s="77">
        <f>ROUNDUP(tbl_Data[[#This Row],[Adjusted 2028]]/$L294,0)</f>
        <v>1</v>
      </c>
      <c r="BF294" s="77">
        <f>ROUNDUP(tbl_Data[[#This Row],[Adjusted 2029]]/$L294,0)</f>
        <v>1</v>
      </c>
      <c r="BG294" s="77">
        <f>ROUNDUP(tbl_Data[[#This Row],[Adjusted 2030]]/$L294,0)</f>
        <v>1</v>
      </c>
      <c r="BH294" s="77">
        <f>ROUNDUP(tbl_Data[[#This Row],[Adjusted 2031]]/$L294,0)</f>
        <v>1</v>
      </c>
      <c r="BI294" s="77">
        <f>ROUNDUP(tbl_Data[[#This Row],[Adjusted 2032]]/$L294,0)</f>
        <v>1</v>
      </c>
      <c r="BJ294" s="77">
        <f>ROUNDUP(tbl_Data[[#This Row],[Adjusted 2033]]/$L294,0)</f>
        <v>1</v>
      </c>
      <c r="BK294" s="77">
        <f>ROUNDUP(tbl_Data[[#This Row],[Adjusted 2034]]/$L294,0)</f>
        <v>1</v>
      </c>
      <c r="BL294" s="80">
        <f t="shared" si="122"/>
        <v>0.27028133945734623</v>
      </c>
      <c r="BM294" s="80">
        <f t="shared" si="123"/>
        <v>0.53747801346770974</v>
      </c>
      <c r="BN294" s="80">
        <f t="shared" si="124"/>
        <v>0.80042132790090648</v>
      </c>
      <c r="BO294" s="80">
        <f t="shared" si="125"/>
        <v>1.0594166982562543</v>
      </c>
      <c r="BP294" s="80">
        <f t="shared" si="126"/>
        <v>1.3143577506680495</v>
      </c>
      <c r="BQ294" s="80">
        <f t="shared" si="127"/>
        <v>1.5649596358862283</v>
      </c>
      <c r="BR294" s="80">
        <f t="shared" si="128"/>
        <v>1.8109076539602784</v>
      </c>
      <c r="BS294" s="80">
        <f t="shared" si="129"/>
        <v>2.0524010755393718</v>
      </c>
      <c r="BT294" s="80">
        <f t="shared" si="130"/>
        <v>2.28998470912313</v>
      </c>
      <c r="BU294" s="80">
        <f t="shared" si="131"/>
        <v>2.5235771362689361</v>
      </c>
      <c r="BV294" s="80">
        <f>IFERROR(VLOOKUP($H294,'1. Set Program Names'!$B$2:$D$15,3,0)*V294,"NA")</f>
        <v>0.19678585416393968</v>
      </c>
      <c r="BW294" s="80">
        <f>IFERROR(VLOOKUP($H294,'1. Set Program Names'!$B$2:$D$15,3,0)*W294,"NA")</f>
        <v>0.39132583176824259</v>
      </c>
      <c r="BX294" s="80">
        <f>IFERROR(VLOOKUP($H294,'1. Set Program Names'!$B$2:$D$15,3,0)*X294,"NA")</f>
        <v>0.58276903251351553</v>
      </c>
      <c r="BY294" s="80">
        <f>IFERROR(VLOOKUP($H294,'1. Set Program Names'!$B$2:$D$15,3,0)*Y294,"NA")</f>
        <v>0.77133782265718809</v>
      </c>
      <c r="BZ294" s="80">
        <f>IFERROR(VLOOKUP($H294,'1. Set Program Names'!$B$2:$D$15,3,0)*Z294,"NA")</f>
        <v>0.95695475374475236</v>
      </c>
      <c r="CA294" s="80">
        <f>IFERROR(VLOOKUP($H294,'1. Set Program Names'!$B$2:$D$15,3,0)*AA294,"NA")</f>
        <v>1.1394124333491389</v>
      </c>
      <c r="CB294" s="80">
        <f>IFERROR(VLOOKUP($H294,'1. Set Program Names'!$B$2:$D$15,3,0)*AB294,"NA")</f>
        <v>1.3184817354097349</v>
      </c>
      <c r="CC294" s="80">
        <f>IFERROR(VLOOKUP($H294,'1. Set Program Names'!$B$2:$D$15,3,0)*AC294,"NA")</f>
        <v>1.4943077444706152</v>
      </c>
      <c r="CD294" s="80">
        <f>IFERROR(VLOOKUP($H294,'1. Set Program Names'!$B$2:$D$15,3,0)*AD294,"NA")</f>
        <v>1.6672871235280828</v>
      </c>
      <c r="CE294" s="80">
        <f>IFERROR(VLOOKUP($H294,'1. Set Program Names'!$B$2:$D$15,3,0)*AE294,"NA")</f>
        <v>1.8373605936181983</v>
      </c>
    </row>
    <row r="295" spans="1:83" x14ac:dyDescent="0.25">
      <c r="A295" s="79" t="s">
        <v>115</v>
      </c>
      <c r="B295" s="79" t="s">
        <v>88</v>
      </c>
      <c r="C295" s="79" t="s">
        <v>122</v>
      </c>
      <c r="D295" s="79" t="s">
        <v>90</v>
      </c>
      <c r="E295" s="79" t="s">
        <v>91</v>
      </c>
      <c r="F295" s="79" t="s">
        <v>90</v>
      </c>
      <c r="G295" s="79" t="s">
        <v>92</v>
      </c>
      <c r="H295" s="79" t="s">
        <v>14</v>
      </c>
      <c r="I295" s="79" t="s">
        <v>303</v>
      </c>
      <c r="J295" s="79" t="s">
        <v>129</v>
      </c>
      <c r="K295" s="79" t="s">
        <v>298</v>
      </c>
      <c r="L295" s="79">
        <v>2407.8671428571402</v>
      </c>
      <c r="M295" s="79">
        <v>0.43509988390469401</v>
      </c>
      <c r="N295" s="79">
        <v>0.148929049658067</v>
      </c>
      <c r="O295" s="79">
        <v>1278.9912095238201</v>
      </c>
      <c r="P295" s="79">
        <v>9094.9443435978392</v>
      </c>
      <c r="Q295" s="79">
        <v>85.719335775001198</v>
      </c>
      <c r="R295" s="79">
        <v>1364.7105452988201</v>
      </c>
      <c r="S295" s="79">
        <v>3090.2526043504499</v>
      </c>
      <c r="T295" s="79">
        <v>20</v>
      </c>
      <c r="U295" s="79">
        <v>0.94999999999999896</v>
      </c>
      <c r="V295" s="79">
        <f>tbl_Data_old[[#This Row],[2025 ]]*IFERROR(AVERAGEIFS('Participation Adjustment'!$C:$C,'Participation Adjustment'!$A:$A,$H295,'Participation Adjustment'!$B:$B,$I295),1)</f>
        <v>2.3283118771279598</v>
      </c>
      <c r="W295" s="79">
        <f>tbl_Data_old[[#This Row],[2026 ]]*IFERROR(AVERAGEIFS('Participation Adjustment'!$C:$C,'Participation Adjustment'!$A:$A,$H295,'Participation Adjustment'!$B:$B,$I295),1)</f>
        <v>4.5433767296458303</v>
      </c>
      <c r="X295" s="79">
        <f>tbl_Data_old[[#This Row],[2027 ]]*IFERROR(AVERAGEIFS('Participation Adjustment'!$C:$C,'Participation Adjustment'!$A:$A,$H295,'Participation Adjustment'!$B:$B,$I295),1)</f>
        <v>6.62806015197995</v>
      </c>
      <c r="Y295" s="79">
        <f>tbl_Data_old[[#This Row],[2028 ]]*IFERROR(AVERAGEIFS('Participation Adjustment'!$C:$C,'Participation Adjustment'!$A:$A,$H295,'Participation Adjustment'!$B:$B,$I295),1)</f>
        <v>8.5845860213727292</v>
      </c>
      <c r="Z295" s="79">
        <f>tbl_Data_old[[#This Row],[2029 ]]*IFERROR(AVERAGEIFS('Participation Adjustment'!$C:$C,'Participation Adjustment'!$A:$A,$H295,'Participation Adjustment'!$B:$B,$I295),1)</f>
        <v>10.4153137457896</v>
      </c>
      <c r="AA295" s="79">
        <f>tbl_Data_old[[#This Row],[2030 ]]*IFERROR(AVERAGEIFS('Participation Adjustment'!$C:$C,'Participation Adjustment'!$A:$A,$H295,'Participation Adjustment'!$B:$B,$I295),1)</f>
        <v>12.121357236313299</v>
      </c>
      <c r="AB295" s="79">
        <f>tbl_Data_old[[#This Row],[2031 ]]*IFERROR(AVERAGEIFS('Participation Adjustment'!$C:$C,'Participation Adjustment'!$A:$A,$H295,'Participation Adjustment'!$B:$B,$I295),1)</f>
        <v>13.706459998138101</v>
      </c>
      <c r="AC295" s="79">
        <f>tbl_Data_old[[#This Row],[2032 ]]*IFERROR(AVERAGEIFS('Participation Adjustment'!$C:$C,'Participation Adjustment'!$A:$A,$H295,'Participation Adjustment'!$B:$B,$I295),1)</f>
        <v>15.178190832799</v>
      </c>
      <c r="AD295" s="79">
        <f>tbl_Data_old[[#This Row],[2033 ]]*IFERROR(AVERAGEIFS('Participation Adjustment'!$C:$C,'Participation Adjustment'!$A:$A,$H295,'Participation Adjustment'!$B:$B,$I295),1)</f>
        <v>16.545318273036798</v>
      </c>
      <c r="AE295" s="79">
        <f>tbl_Data_old[[#This Row],[2034 ]]*IFERROR(AVERAGEIFS('Participation Adjustment'!$C:$C,'Participation Adjustment'!$A:$A,$H295,'Participation Adjustment'!$B:$B,$I295),1)</f>
        <v>17.814300206159299</v>
      </c>
      <c r="AF295" s="77" t="str">
        <f t="shared" si="121"/>
        <v>NonResidential</v>
      </c>
      <c r="AG295" s="77" t="str">
        <f>tbl_Data[[#This Row],[All_Meas_Name_Append]]</f>
        <v>Energy Star windows</v>
      </c>
      <c r="AH295" s="77">
        <f>AVERAGEIFS('3. Incentive Adjustment'!G:G,'3. Incentive Adjustment'!A:A,tbl_Data[[#This Row],[Trimmed Sector]],'3. Incentive Adjustment'!B:B,tbl_Data[[#This Row],[Trimmed Measure Name]])</f>
        <v>1.8374525511831319E-4</v>
      </c>
      <c r="AI295" s="77">
        <f>$AH295*tbl_Data[[#This Row],[2025 ]]</f>
        <v>4.2781625985787564E-4</v>
      </c>
      <c r="AJ295" s="77">
        <f>$AH295*tbl_Data[[#This Row],[2026 ]]</f>
        <v>8.3482391628738055E-4</v>
      </c>
      <c r="AK295" s="77">
        <f>$AH295*tbl_Data[[#This Row],[2027 ]]</f>
        <v>1.2178746035650817E-3</v>
      </c>
      <c r="AL295" s="77">
        <f>$AH295*tbl_Data[[#This Row],[2028 ]]</f>
        <v>1.5773769485822374E-3</v>
      </c>
      <c r="AM295" s="77">
        <f>$AH295*tbl_Data[[#This Row],[2029 ]]</f>
        <v>1.9137644813573842E-3</v>
      </c>
      <c r="AN295" s="77">
        <f>$AH295*tbl_Data[[#This Row],[2030 ]]</f>
        <v>2.227241877766599E-3</v>
      </c>
      <c r="AO295" s="77">
        <f>$AH295*tbl_Data[[#This Row],[2031 ]]</f>
        <v>2.5184969891268397E-3</v>
      </c>
      <c r="AP295" s="77">
        <f>$AH295*tbl_Data[[#This Row],[2032 ]]</f>
        <v>2.7889205468070947E-3</v>
      </c>
      <c r="AQ295" s="77">
        <f>$AH295*tbl_Data[[#This Row],[2033 ]]</f>
        <v>3.0401237270928356E-3</v>
      </c>
      <c r="AR295" s="77">
        <f>$AH295*tbl_Data[[#This Row],[2034 ]]</f>
        <v>3.2732931361349597E-3</v>
      </c>
      <c r="AS295" s="77">
        <f>SUM(tbl_Data[[#This Row],[Adjusted 2025]:[Adjusted 2034]])</f>
        <v>1.9819732486578288E-2</v>
      </c>
      <c r="AT295" s="80">
        <f>AVERAGEIFS('3. Incentive Adjustment'!F:F,'3. Incentive Adjustment'!A:A,tbl_Data[[#This Row],[Trimmed Sector]],'3. Incentive Adjustment'!B:B,tbl_Data[[#This Row],[Trimmed Measure Name]])</f>
        <v>1244.9532966663394</v>
      </c>
      <c r="AU295" s="80">
        <f>IFERROR(VLOOKUP(tbl_Data[[#This Row],[All_Meas_Name_Append]],'IRA Tax Credits'!$A$3:$D$46,4,0),0)</f>
        <v>250</v>
      </c>
      <c r="AV295" s="81">
        <f>tbl_Data[[#This Row],[Adj. per unit Incentive ($)]]/tbl_Data[[#This Row],[kWh Savings]]*tbl_Data[[#This Row],[Sum of Annuals]]</f>
        <v>1.0247509448935797E-2</v>
      </c>
      <c r="AW295" s="81">
        <f>IFERROR(VLOOKUP(tbl_Data[[#This Row],[Column1]],'1. Set Program Names'!$B$2:$D$15,3,0)*tbl_Data[[#This Row],[Sum of Annuals]],"")</f>
        <v>7.055764305881814E-4</v>
      </c>
      <c r="AX295" s="81">
        <f>tbl_Data[[#This Row],[per unit IRA tax ($)]]/tbl_Data[[#This Row],[kWh Savings]]*tbl_Data[[#This Row],[Sum of Annuals]]</f>
        <v>2.0578100151178273E-3</v>
      </c>
      <c r="AY295" s="81">
        <f>tbl_Data[[#This Row],[Avoided Costs ($/unit)]]/tbl_Data[[#This Row],[kWh Savings]]*tbl_Data[[#This Row],[Sum of Annuals]]</f>
        <v>1.1233260111411294E-2</v>
      </c>
      <c r="AZ295" s="81">
        <f>tbl_Data[[#This Row],[Lost Revenue ($/unit)]]/tbl_Data[[#This Row],[kWh Savings]]*tbl_Data[[#This Row],[Sum of Annuals]]</f>
        <v>2.5436611033905224E-2</v>
      </c>
      <c r="BA295" s="81">
        <f>tbl_Data[[#This Row],[Incremental Cost ($/unit)]]/tbl_Data[[#This Row],[kWh Savings]]*tbl_Data[[#This Row],[Sum of Annuals]]</f>
        <v>1.0527683680823123E-2</v>
      </c>
      <c r="BB295" s="77">
        <f>ROUNDUP(tbl_Data[[#This Row],[Adjusted 2025]]/$L295,0)</f>
        <v>1</v>
      </c>
      <c r="BC295" s="77">
        <f>ROUNDUP(tbl_Data[[#This Row],[Adjusted 2026]]/$L295,0)</f>
        <v>1</v>
      </c>
      <c r="BD295" s="77">
        <f>ROUNDUP(tbl_Data[[#This Row],[Adjusted 2027]]/$L295,0)</f>
        <v>1</v>
      </c>
      <c r="BE295" s="77">
        <f>ROUNDUP(tbl_Data[[#This Row],[Adjusted 2028]]/$L295,0)</f>
        <v>1</v>
      </c>
      <c r="BF295" s="77">
        <f>ROUNDUP(tbl_Data[[#This Row],[Adjusted 2029]]/$L295,0)</f>
        <v>1</v>
      </c>
      <c r="BG295" s="77">
        <f>ROUNDUP(tbl_Data[[#This Row],[Adjusted 2030]]/$L295,0)</f>
        <v>1</v>
      </c>
      <c r="BH295" s="77">
        <f>ROUNDUP(tbl_Data[[#This Row],[Adjusted 2031]]/$L295,0)</f>
        <v>1</v>
      </c>
      <c r="BI295" s="77">
        <f>ROUNDUP(tbl_Data[[#This Row],[Adjusted 2032]]/$L295,0)</f>
        <v>1</v>
      </c>
      <c r="BJ295" s="77">
        <f>ROUNDUP(tbl_Data[[#This Row],[Adjusted 2033]]/$L295,0)</f>
        <v>1</v>
      </c>
      <c r="BK295" s="77">
        <f>ROUNDUP(tbl_Data[[#This Row],[Adjusted 2034]]/$L295,0)</f>
        <v>1</v>
      </c>
      <c r="BL295" s="80">
        <f t="shared" si="122"/>
        <v>1.2038203834030323</v>
      </c>
      <c r="BM295" s="80">
        <f t="shared" si="123"/>
        <v>2.3490880110843801</v>
      </c>
      <c r="BN295" s="80">
        <f t="shared" si="124"/>
        <v>3.4269437835008532</v>
      </c>
      <c r="BO295" s="80">
        <f t="shared" si="125"/>
        <v>4.4385375246003935</v>
      </c>
      <c r="BP295" s="80">
        <f t="shared" si="126"/>
        <v>5.3850891325544854</v>
      </c>
      <c r="BQ295" s="80">
        <f t="shared" si="127"/>
        <v>6.2671745391701448</v>
      </c>
      <c r="BR295" s="80">
        <f t="shared" si="128"/>
        <v>7.0867292703116327</v>
      </c>
      <c r="BS295" s="80">
        <f t="shared" si="129"/>
        <v>7.8476666666509036</v>
      </c>
      <c r="BT295" s="80">
        <f t="shared" si="130"/>
        <v>8.5545203727351513</v>
      </c>
      <c r="BU295" s="80">
        <f t="shared" si="131"/>
        <v>9.2106293469106486</v>
      </c>
      <c r="BV295" s="80">
        <f>IFERROR(VLOOKUP($H295,'1. Set Program Names'!$B$2:$D$15,3,0)*V295,"NA")</f>
        <v>8.2887192583073574E-2</v>
      </c>
      <c r="BW295" s="80">
        <f>IFERROR(VLOOKUP($H295,'1. Set Program Names'!$B$2:$D$15,3,0)*W295,"NA")</f>
        <v>0.16174282563560205</v>
      </c>
      <c r="BX295" s="80">
        <f>IFERROR(VLOOKUP($H295,'1. Set Program Names'!$B$2:$D$15,3,0)*X295,"NA")</f>
        <v>0.23595691954594836</v>
      </c>
      <c r="BY295" s="80">
        <f>IFERROR(VLOOKUP($H295,'1. Set Program Names'!$B$2:$D$15,3,0)*Y295,"NA")</f>
        <v>0.30560864366555696</v>
      </c>
      <c r="BZ295" s="80">
        <f>IFERROR(VLOOKUP($H295,'1. Set Program Names'!$B$2:$D$15,3,0)*Z295,"NA")</f>
        <v>0.37078199219826891</v>
      </c>
      <c r="CA295" s="80">
        <f>IFERROR(VLOOKUP($H295,'1. Set Program Names'!$B$2:$D$15,3,0)*AA295,"NA")</f>
        <v>0.43151662003883517</v>
      </c>
      <c r="CB295" s="80">
        <f>IFERROR(VLOOKUP($H295,'1. Set Program Names'!$B$2:$D$15,3,0)*AB295,"NA")</f>
        <v>0.48794579483022993</v>
      </c>
      <c r="CC295" s="80">
        <f>IFERROR(VLOOKUP($H295,'1. Set Program Names'!$B$2:$D$15,3,0)*AC295,"NA")</f>
        <v>0.54033896359826494</v>
      </c>
      <c r="CD295" s="80">
        <f>IFERROR(VLOOKUP($H295,'1. Set Program Names'!$B$2:$D$15,3,0)*AD295,"NA")</f>
        <v>0.58900828343370515</v>
      </c>
      <c r="CE295" s="80">
        <f>IFERROR(VLOOKUP($H295,'1. Set Program Names'!$B$2:$D$15,3,0)*AE295,"NA")</f>
        <v>0.63418365315475433</v>
      </c>
    </row>
    <row r="296" spans="1:83" x14ac:dyDescent="0.25">
      <c r="A296" s="79" t="s">
        <v>115</v>
      </c>
      <c r="B296" s="79" t="s">
        <v>88</v>
      </c>
      <c r="C296" s="79" t="s">
        <v>122</v>
      </c>
      <c r="D296" s="79" t="s">
        <v>90</v>
      </c>
      <c r="E296" s="79" t="s">
        <v>91</v>
      </c>
      <c r="F296" s="79" t="s">
        <v>90</v>
      </c>
      <c r="G296" s="79" t="s">
        <v>92</v>
      </c>
      <c r="H296" s="79" t="s">
        <v>14</v>
      </c>
      <c r="I296" s="79" t="s">
        <v>143</v>
      </c>
      <c r="J296" s="79" t="s">
        <v>144</v>
      </c>
      <c r="K296" s="79" t="s">
        <v>108</v>
      </c>
      <c r="L296" s="79">
        <v>6670.6049999999896</v>
      </c>
      <c r="M296" s="79">
        <v>1.04667148638823</v>
      </c>
      <c r="N296" s="79">
        <v>1.5598507965563999</v>
      </c>
      <c r="O296" s="79">
        <v>2431.625</v>
      </c>
      <c r="P296" s="79">
        <v>977.24379425036398</v>
      </c>
      <c r="Q296" s="79">
        <v>237.47150315731801</v>
      </c>
      <c r="R296" s="79">
        <v>3400.8076679878</v>
      </c>
      <c r="S296" s="79">
        <v>7245.0779694633802</v>
      </c>
      <c r="T296" s="79">
        <v>15</v>
      </c>
      <c r="U296" s="79">
        <v>0.95</v>
      </c>
      <c r="V296" s="79">
        <f>tbl_Data_old[[#This Row],[2025 ]]*IFERROR(AVERAGEIFS('Participation Adjustment'!$C:$C,'Participation Adjustment'!$A:$A,$H296,'Participation Adjustment'!$B:$B,$I296),1)</f>
        <v>5.0467950254640002</v>
      </c>
      <c r="W296" s="79">
        <f>tbl_Data_old[[#This Row],[2026 ]]*IFERROR(AVERAGEIFS('Participation Adjustment'!$C:$C,'Participation Adjustment'!$A:$A,$H296,'Participation Adjustment'!$B:$B,$I296),1)</f>
        <v>10.5966153301815</v>
      </c>
      <c r="X296" s="79">
        <f>tbl_Data_old[[#This Row],[2027 ]]*IFERROR(AVERAGEIFS('Participation Adjustment'!$C:$C,'Participation Adjustment'!$A:$A,$H296,'Participation Adjustment'!$B:$B,$I296),1)</f>
        <v>16.557441043388302</v>
      </c>
      <c r="Y296" s="79">
        <f>tbl_Data_old[[#This Row],[2028 ]]*IFERROR(AVERAGEIFS('Participation Adjustment'!$C:$C,'Participation Adjustment'!$A:$A,$H296,'Participation Adjustment'!$B:$B,$I296),1)</f>
        <v>22.875863567531699</v>
      </c>
      <c r="Z296" s="79">
        <f>tbl_Data_old[[#This Row],[2029 ]]*IFERROR(AVERAGEIFS('Participation Adjustment'!$C:$C,'Participation Adjustment'!$A:$A,$H296,'Participation Adjustment'!$B:$B,$I296),1)</f>
        <v>29.500274117990202</v>
      </c>
      <c r="AA296" s="79">
        <f>tbl_Data_old[[#This Row],[2030 ]]*IFERROR(AVERAGEIFS('Participation Adjustment'!$C:$C,'Participation Adjustment'!$A:$A,$H296,'Participation Adjustment'!$B:$B,$I296),1)</f>
        <v>36.376612042925402</v>
      </c>
      <c r="AB296" s="79">
        <f>tbl_Data_old[[#This Row],[2031 ]]*IFERROR(AVERAGEIFS('Participation Adjustment'!$C:$C,'Participation Adjustment'!$A:$A,$H296,'Participation Adjustment'!$B:$B,$I296),1)</f>
        <v>43.460199141554597</v>
      </c>
      <c r="AC296" s="79">
        <f>tbl_Data_old[[#This Row],[2032 ]]*IFERROR(AVERAGEIFS('Participation Adjustment'!$C:$C,'Participation Adjustment'!$A:$A,$H296,'Participation Adjustment'!$B:$B,$I296),1)</f>
        <v>50.726168336730098</v>
      </c>
      <c r="AD296" s="79">
        <f>tbl_Data_old[[#This Row],[2033 ]]*IFERROR(AVERAGEIFS('Participation Adjustment'!$C:$C,'Participation Adjustment'!$A:$A,$H296,'Participation Adjustment'!$B:$B,$I296),1)</f>
        <v>58.155529751624897</v>
      </c>
      <c r="AE296" s="79">
        <f>tbl_Data_old[[#This Row],[2034 ]]*IFERROR(AVERAGEIFS('Participation Adjustment'!$C:$C,'Participation Adjustment'!$A:$A,$H296,'Participation Adjustment'!$B:$B,$I296),1)</f>
        <v>65.725175658526894</v>
      </c>
      <c r="AF296" s="77" t="str">
        <f t="shared" si="121"/>
        <v>NonResidential</v>
      </c>
      <c r="AG296" s="77" t="str">
        <f>tbl_Data[[#This Row],[All_Meas_Name_Append]]</f>
        <v>Heat Pump Water Heater</v>
      </c>
      <c r="AH296" s="77">
        <f>AVERAGEIFS('3. Incentive Adjustment'!G:G,'3. Incentive Adjustment'!A:A,tbl_Data[[#This Row],[Trimmed Sector]],'3. Incentive Adjustment'!B:B,tbl_Data[[#This Row],[Trimmed Measure Name]])</f>
        <v>0.82797588322898052</v>
      </c>
      <c r="AI296" s="77">
        <f>$AH296*tbl_Data[[#This Row],[2025 ]]</f>
        <v>4.1786245686841808</v>
      </c>
      <c r="AJ296" s="77">
        <f>$AH296*tbl_Data[[#This Row],[2026 ]]</f>
        <v>8.7737419372447825</v>
      </c>
      <c r="AK296" s="77">
        <f>$AH296*tbl_Data[[#This Row],[2027 ]]</f>
        <v>13.709161871911203</v>
      </c>
      <c r="AL296" s="77">
        <f>$AH296*tbl_Data[[#This Row],[2028 ]]</f>
        <v>18.940663341952714</v>
      </c>
      <c r="AM296" s="77">
        <f>$AH296*tbl_Data[[#This Row],[2029 ]]</f>
        <v>24.425515518339971</v>
      </c>
      <c r="AN296" s="77">
        <f>$AH296*tbl_Data[[#This Row],[2030 ]]</f>
        <v>30.118957485119129</v>
      </c>
      <c r="AO296" s="77">
        <f>$AH296*tbl_Data[[#This Row],[2031 ]]</f>
        <v>35.983996769536049</v>
      </c>
      <c r="AP296" s="77">
        <f>$AH296*tbl_Data[[#This Row],[2032 ]]</f>
        <v>42.00004403142605</v>
      </c>
      <c r="AQ296" s="77">
        <f>$AH296*tbl_Data[[#This Row],[2033 ]]</f>
        <v>48.151376110750881</v>
      </c>
      <c r="AR296" s="77">
        <f>$AH296*tbl_Data[[#This Row],[2034 ]]</f>
        <v>54.418860366248694</v>
      </c>
      <c r="AS296" s="77">
        <f>SUM(tbl_Data[[#This Row],[Adjusted 2025]:[Adjusted 2034]])</f>
        <v>280.70094200121366</v>
      </c>
      <c r="AT296" s="80">
        <f>AVERAGEIFS('3. Incentive Adjustment'!F:F,'3. Incentive Adjustment'!A:A,tbl_Data[[#This Row],[Trimmed Sector]],'3. Incentive Adjustment'!B:B,tbl_Data[[#This Row],[Trimmed Measure Name]])</f>
        <v>500</v>
      </c>
      <c r="AU296" s="80">
        <f>IFERROR(VLOOKUP(tbl_Data[[#This Row],[All_Meas_Name_Append]],'IRA Tax Credits'!$A$3:$D$46,4,0),0)</f>
        <v>0</v>
      </c>
      <c r="AV296" s="81">
        <f>tbl_Data[[#This Row],[Adj. per unit Incentive ($)]]/tbl_Data[[#This Row],[kWh Savings]]*tbl_Data[[#This Row],[Sum of Annuals]]</f>
        <v>21.040141186685023</v>
      </c>
      <c r="AW296" s="81">
        <f>IFERROR(VLOOKUP(tbl_Data[[#This Row],[Column1]],'1. Set Program Names'!$B$2:$D$15,3,0)*tbl_Data[[#This Row],[Sum of Annuals]],"")</f>
        <v>9.9928679084885665</v>
      </c>
      <c r="AX296" s="81">
        <f>tbl_Data[[#This Row],[per unit IRA tax ($)]]/tbl_Data[[#This Row],[kWh Savings]]*tbl_Data[[#This Row],[Sum of Annuals]]</f>
        <v>0</v>
      </c>
      <c r="AY296" s="81">
        <f>tbl_Data[[#This Row],[Avoided Costs ($/unit)]]/tbl_Data[[#This Row],[kWh Savings]]*tbl_Data[[#This Row],[Sum of Annuals]]</f>
        <v>143.10694696644873</v>
      </c>
      <c r="AZ296" s="81">
        <f>tbl_Data[[#This Row],[Lost Revenue ($/unit)]]/tbl_Data[[#This Row],[kWh Savings]]*tbl_Data[[#This Row],[Sum of Annuals]]</f>
        <v>304.87492677210156</v>
      </c>
      <c r="BA296" s="81">
        <f>tbl_Data[[#This Row],[Incremental Cost ($/unit)]]/tbl_Data[[#This Row],[kWh Savings]]*tbl_Data[[#This Row],[Sum of Annuals]]</f>
        <v>102.32346662614594</v>
      </c>
      <c r="BB296" s="77">
        <f>ROUNDUP(tbl_Data[[#This Row],[Adjusted 2025]]/$L296,0)</f>
        <v>1</v>
      </c>
      <c r="BC296" s="77">
        <f>ROUNDUP(tbl_Data[[#This Row],[Adjusted 2026]]/$L296,0)</f>
        <v>1</v>
      </c>
      <c r="BD296" s="77">
        <f>ROUNDUP(tbl_Data[[#This Row],[Adjusted 2027]]/$L296,0)</f>
        <v>1</v>
      </c>
      <c r="BE296" s="77">
        <f>ROUNDUP(tbl_Data[[#This Row],[Adjusted 2028]]/$L296,0)</f>
        <v>1</v>
      </c>
      <c r="BF296" s="77">
        <f>ROUNDUP(tbl_Data[[#This Row],[Adjusted 2029]]/$L296,0)</f>
        <v>1</v>
      </c>
      <c r="BG296" s="77">
        <f>ROUNDUP(tbl_Data[[#This Row],[Adjusted 2030]]/$L296,0)</f>
        <v>1</v>
      </c>
      <c r="BH296" s="77">
        <f>ROUNDUP(tbl_Data[[#This Row],[Adjusted 2031]]/$L296,0)</f>
        <v>1</v>
      </c>
      <c r="BI296" s="77">
        <f>ROUNDUP(tbl_Data[[#This Row],[Adjusted 2032]]/$L296,0)</f>
        <v>1</v>
      </c>
      <c r="BJ296" s="77">
        <f>ROUNDUP(tbl_Data[[#This Row],[Adjusted 2033]]/$L296,0)</f>
        <v>1</v>
      </c>
      <c r="BK296" s="77">
        <f>ROUNDUP(tbl_Data[[#This Row],[Adjusted 2034]]/$L296,0)</f>
        <v>1</v>
      </c>
      <c r="BL296" s="80">
        <f t="shared" si="122"/>
        <v>0.37828615436411001</v>
      </c>
      <c r="BM296" s="80">
        <f t="shared" si="123"/>
        <v>0.79427693066682237</v>
      </c>
      <c r="BN296" s="80">
        <f t="shared" si="124"/>
        <v>1.2410749132491228</v>
      </c>
      <c r="BO296" s="80">
        <f t="shared" si="125"/>
        <v>1.7146768222321465</v>
      </c>
      <c r="BP296" s="80">
        <f t="shared" si="126"/>
        <v>2.2112142840109894</v>
      </c>
      <c r="BQ296" s="80">
        <f t="shared" si="127"/>
        <v>2.726635143508382</v>
      </c>
      <c r="BR296" s="80">
        <f t="shared" si="128"/>
        <v>3.2575905140204426</v>
      </c>
      <c r="BS296" s="80">
        <f t="shared" si="129"/>
        <v>3.8022164658775464</v>
      </c>
      <c r="BT296" s="80">
        <f t="shared" si="130"/>
        <v>4.3590895991911518</v>
      </c>
      <c r="BU296" s="80">
        <f t="shared" si="131"/>
        <v>4.9264778575951507</v>
      </c>
      <c r="BV296" s="80">
        <f>IFERROR(VLOOKUP($H296,'1. Set Program Names'!$B$2:$D$15,3,0)*V296,"NA")</f>
        <v>0.17966436340089265</v>
      </c>
      <c r="BW296" s="80">
        <f>IFERROR(VLOOKUP($H296,'1. Set Program Names'!$B$2:$D$15,3,0)*W296,"NA")</f>
        <v>0.37723627329726184</v>
      </c>
      <c r="BX296" s="80">
        <f>IFERROR(VLOOKUP($H296,'1. Set Program Names'!$B$2:$D$15,3,0)*X296,"NA")</f>
        <v>0.58943985036021362</v>
      </c>
      <c r="BY296" s="80">
        <f>IFERROR(VLOOKUP($H296,'1. Set Program Names'!$B$2:$D$15,3,0)*Y296,"NA")</f>
        <v>0.81437376480896129</v>
      </c>
      <c r="BZ296" s="80">
        <f>IFERROR(VLOOKUP($H296,'1. Set Program Names'!$B$2:$D$15,3,0)*Z296,"NA")</f>
        <v>1.0502007596540432</v>
      </c>
      <c r="CA296" s="80">
        <f>IFERROR(VLOOKUP($H296,'1. Set Program Names'!$B$2:$D$15,3,0)*AA296,"NA")</f>
        <v>1.2949962921810083</v>
      </c>
      <c r="CB296" s="80">
        <f>IFERROR(VLOOKUP($H296,'1. Set Program Names'!$B$2:$D$15,3,0)*AB296,"NA")</f>
        <v>1.5471698320709073</v>
      </c>
      <c r="CC296" s="80">
        <f>IFERROR(VLOOKUP($H296,'1. Set Program Names'!$B$2:$D$15,3,0)*AC296,"NA")</f>
        <v>1.8058361189628902</v>
      </c>
      <c r="CD296" s="80">
        <f>IFERROR(VLOOKUP($H296,'1. Set Program Names'!$B$2:$D$15,3,0)*AD296,"NA")</f>
        <v>2.0703191190347048</v>
      </c>
      <c r="CE296" s="80">
        <f>IFERROR(VLOOKUP($H296,'1. Set Program Names'!$B$2:$D$15,3,0)*AE296,"NA")</f>
        <v>2.3397962042287253</v>
      </c>
    </row>
    <row r="297" spans="1:83" x14ac:dyDescent="0.25">
      <c r="A297" s="79" t="s">
        <v>115</v>
      </c>
      <c r="B297" s="79" t="s">
        <v>88</v>
      </c>
      <c r="C297" s="79" t="s">
        <v>122</v>
      </c>
      <c r="D297" s="79" t="s">
        <v>90</v>
      </c>
      <c r="E297" s="79" t="s">
        <v>91</v>
      </c>
      <c r="F297" s="79" t="s">
        <v>90</v>
      </c>
      <c r="G297" s="79" t="s">
        <v>92</v>
      </c>
      <c r="H297" s="79" t="s">
        <v>14</v>
      </c>
      <c r="I297" s="79" t="s">
        <v>157</v>
      </c>
      <c r="J297" s="79" t="s">
        <v>158</v>
      </c>
      <c r="K297" s="79" t="s">
        <v>159</v>
      </c>
      <c r="L297" s="79">
        <v>562.52000000000032</v>
      </c>
      <c r="M297" s="79">
        <v>0</v>
      </c>
      <c r="N297" s="79">
        <v>2.7796637938074218E-2</v>
      </c>
      <c r="O297" s="79">
        <v>169</v>
      </c>
      <c r="P297" s="79">
        <v>53.285725702774094</v>
      </c>
      <c r="Q297" s="79"/>
      <c r="R297" s="79">
        <v>275.37363005821356</v>
      </c>
      <c r="S297" s="79">
        <v>610.96426176974103</v>
      </c>
      <c r="T297" s="79">
        <v>15</v>
      </c>
      <c r="U297" s="79">
        <v>0.2</v>
      </c>
      <c r="V297" s="79">
        <f>tbl_Data_old[[#This Row],[2025 ]]*IFERROR(AVERAGEIFS('Participation Adjustment'!$C:$C,'Participation Adjustment'!$A:$A,$H297,'Participation Adjustment'!$B:$B,$I297),1)</f>
        <v>0</v>
      </c>
      <c r="W297" s="79">
        <f>tbl_Data_old[[#This Row],[2026 ]]*IFERROR(AVERAGEIFS('Participation Adjustment'!$C:$C,'Participation Adjustment'!$A:$A,$H297,'Participation Adjustment'!$B:$B,$I297),1)</f>
        <v>0</v>
      </c>
      <c r="X297" s="79">
        <f>tbl_Data_old[[#This Row],[2027 ]]*IFERROR(AVERAGEIFS('Participation Adjustment'!$C:$C,'Participation Adjustment'!$A:$A,$H297,'Participation Adjustment'!$B:$B,$I297),1)</f>
        <v>0</v>
      </c>
      <c r="Y297" s="79">
        <f>tbl_Data_old[[#This Row],[2028 ]]*IFERROR(AVERAGEIFS('Participation Adjustment'!$C:$C,'Participation Adjustment'!$A:$A,$H297,'Participation Adjustment'!$B:$B,$I297),1)</f>
        <v>0</v>
      </c>
      <c r="Z297" s="79">
        <f>tbl_Data_old[[#This Row],[2029 ]]*IFERROR(AVERAGEIFS('Participation Adjustment'!$C:$C,'Participation Adjustment'!$A:$A,$H297,'Participation Adjustment'!$B:$B,$I297),1)</f>
        <v>0</v>
      </c>
      <c r="AA297" s="79">
        <f>tbl_Data_old[[#This Row],[2030 ]]*IFERROR(AVERAGEIFS('Participation Adjustment'!$C:$C,'Participation Adjustment'!$A:$A,$H297,'Participation Adjustment'!$B:$B,$I297),1)</f>
        <v>0</v>
      </c>
      <c r="AB297" s="79">
        <f>tbl_Data_old[[#This Row],[2031 ]]*IFERROR(AVERAGEIFS('Participation Adjustment'!$C:$C,'Participation Adjustment'!$A:$A,$H297,'Participation Adjustment'!$B:$B,$I297),1)</f>
        <v>0</v>
      </c>
      <c r="AC297" s="79">
        <f>tbl_Data_old[[#This Row],[2032 ]]*IFERROR(AVERAGEIFS('Participation Adjustment'!$C:$C,'Participation Adjustment'!$A:$A,$H297,'Participation Adjustment'!$B:$B,$I297),1)</f>
        <v>0</v>
      </c>
      <c r="AD297" s="79">
        <f>tbl_Data_old[[#This Row],[2033 ]]*IFERROR(AVERAGEIFS('Participation Adjustment'!$C:$C,'Participation Adjustment'!$A:$A,$H297,'Participation Adjustment'!$B:$B,$I297),1)</f>
        <v>0</v>
      </c>
      <c r="AE297" s="79">
        <f>tbl_Data_old[[#This Row],[2034 ]]*IFERROR(AVERAGEIFS('Participation Adjustment'!$C:$C,'Participation Adjustment'!$A:$A,$H297,'Participation Adjustment'!$B:$B,$I297),1)</f>
        <v>0</v>
      </c>
      <c r="AF297" s="77" t="str">
        <f t="shared" si="121"/>
        <v>NonResidential</v>
      </c>
      <c r="AG297" s="77" t="str">
        <f>tbl_Data[[#This Row],[All_Meas_Name_Append]]</f>
        <v>LED Exterior Wall Packs</v>
      </c>
      <c r="AH297" s="77">
        <f>AVERAGEIFS('3. Incentive Adjustment'!G:G,'3. Incentive Adjustment'!A:A,tbl_Data[[#This Row],[Trimmed Sector]],'3. Incentive Adjustment'!B:B,tbl_Data[[#This Row],[Trimmed Measure Name]])</f>
        <v>0.80637708305213962</v>
      </c>
      <c r="AI297" s="77">
        <f>$AH297*tbl_Data[[#This Row],[2025 ]]</f>
        <v>0</v>
      </c>
      <c r="AJ297" s="77">
        <f>$AH297*tbl_Data[[#This Row],[2026 ]]</f>
        <v>0</v>
      </c>
      <c r="AK297" s="77">
        <f>$AH297*tbl_Data[[#This Row],[2027 ]]</f>
        <v>0</v>
      </c>
      <c r="AL297" s="77">
        <f>$AH297*tbl_Data[[#This Row],[2028 ]]</f>
        <v>0</v>
      </c>
      <c r="AM297" s="77">
        <f>$AH297*tbl_Data[[#This Row],[2029 ]]</f>
        <v>0</v>
      </c>
      <c r="AN297" s="77">
        <f>$AH297*tbl_Data[[#This Row],[2030 ]]</f>
        <v>0</v>
      </c>
      <c r="AO297" s="77">
        <f>$AH297*tbl_Data[[#This Row],[2031 ]]</f>
        <v>0</v>
      </c>
      <c r="AP297" s="77">
        <f>$AH297*tbl_Data[[#This Row],[2032 ]]</f>
        <v>0</v>
      </c>
      <c r="AQ297" s="77">
        <f>$AH297*tbl_Data[[#This Row],[2033 ]]</f>
        <v>0</v>
      </c>
      <c r="AR297" s="77">
        <f>$AH297*tbl_Data[[#This Row],[2034 ]]</f>
        <v>0</v>
      </c>
      <c r="AS297" s="77">
        <f>SUM(tbl_Data[[#This Row],[Adjusted 2025]:[Adjusted 2034]])</f>
        <v>0</v>
      </c>
      <c r="AT297" s="80">
        <f>AVERAGEIFS('3. Incentive Adjustment'!F:F,'3. Incentive Adjustment'!A:A,tbl_Data[[#This Row],[Trimmed Sector]],'3. Incentive Adjustment'!B:B,tbl_Data[[#This Row],[Trimmed Measure Name]])</f>
        <v>8.6864493556481861</v>
      </c>
      <c r="AU297" s="80">
        <f>IFERROR(VLOOKUP(tbl_Data[[#This Row],[All_Meas_Name_Append]],'IRA Tax Credits'!$A$3:$D$46,4,0),0)</f>
        <v>0</v>
      </c>
      <c r="AV297" s="81">
        <f>tbl_Data[[#This Row],[Adj. per unit Incentive ($)]]/tbl_Data[[#This Row],[kWh Savings]]*tbl_Data[[#This Row],[Sum of Annuals]]</f>
        <v>0</v>
      </c>
      <c r="AW297" s="81">
        <f>IFERROR(VLOOKUP(tbl_Data[[#This Row],[Column1]],'1. Set Program Names'!$B$2:$D$15,3,0)*tbl_Data[[#This Row],[Sum of Annuals]],"")</f>
        <v>0</v>
      </c>
      <c r="AX297" s="81">
        <f>tbl_Data[[#This Row],[per unit IRA tax ($)]]/tbl_Data[[#This Row],[kWh Savings]]*tbl_Data[[#This Row],[Sum of Annuals]]</f>
        <v>0</v>
      </c>
      <c r="AY297" s="81">
        <f>tbl_Data[[#This Row],[Avoided Costs ($/unit)]]/tbl_Data[[#This Row],[kWh Savings]]*tbl_Data[[#This Row],[Sum of Annuals]]</f>
        <v>0</v>
      </c>
      <c r="AZ297" s="81">
        <f>tbl_Data[[#This Row],[Lost Revenue ($/unit)]]/tbl_Data[[#This Row],[kWh Savings]]*tbl_Data[[#This Row],[Sum of Annuals]]</f>
        <v>0</v>
      </c>
      <c r="BA297" s="81">
        <f>tbl_Data[[#This Row],[Incremental Cost ($/unit)]]/tbl_Data[[#This Row],[kWh Savings]]*tbl_Data[[#This Row],[Sum of Annuals]]</f>
        <v>0</v>
      </c>
      <c r="BB297" s="77">
        <f>ROUNDUP(tbl_Data[[#This Row],[Adjusted 2025]]/$L297,0)</f>
        <v>0</v>
      </c>
      <c r="BC297" s="77">
        <f>ROUNDUP(tbl_Data[[#This Row],[Adjusted 2026]]/$L297,0)</f>
        <v>0</v>
      </c>
      <c r="BD297" s="77">
        <f>ROUNDUP(tbl_Data[[#This Row],[Adjusted 2027]]/$L297,0)</f>
        <v>0</v>
      </c>
      <c r="BE297" s="77">
        <f>ROUNDUP(tbl_Data[[#This Row],[Adjusted 2028]]/$L297,0)</f>
        <v>0</v>
      </c>
      <c r="BF297" s="77">
        <f>ROUNDUP(tbl_Data[[#This Row],[Adjusted 2029]]/$L297,0)</f>
        <v>0</v>
      </c>
      <c r="BG297" s="77">
        <f>ROUNDUP(tbl_Data[[#This Row],[Adjusted 2030]]/$L297,0)</f>
        <v>0</v>
      </c>
      <c r="BH297" s="77">
        <f>ROUNDUP(tbl_Data[[#This Row],[Adjusted 2031]]/$L297,0)</f>
        <v>0</v>
      </c>
      <c r="BI297" s="77">
        <f>ROUNDUP(tbl_Data[[#This Row],[Adjusted 2032]]/$L297,0)</f>
        <v>0</v>
      </c>
      <c r="BJ297" s="77">
        <f>ROUNDUP(tbl_Data[[#This Row],[Adjusted 2033]]/$L297,0)</f>
        <v>0</v>
      </c>
      <c r="BK297" s="77">
        <f>ROUNDUP(tbl_Data[[#This Row],[Adjusted 2034]]/$L297,0)</f>
        <v>0</v>
      </c>
      <c r="BL297" s="80">
        <f t="shared" si="122"/>
        <v>0</v>
      </c>
      <c r="BM297" s="80">
        <f t="shared" si="123"/>
        <v>0</v>
      </c>
      <c r="BN297" s="80">
        <f t="shared" si="124"/>
        <v>0</v>
      </c>
      <c r="BO297" s="80">
        <f t="shared" si="125"/>
        <v>0</v>
      </c>
      <c r="BP297" s="80">
        <f t="shared" si="126"/>
        <v>0</v>
      </c>
      <c r="BQ297" s="80">
        <f t="shared" si="127"/>
        <v>0</v>
      </c>
      <c r="BR297" s="80">
        <f t="shared" si="128"/>
        <v>0</v>
      </c>
      <c r="BS297" s="80">
        <f t="shared" si="129"/>
        <v>0</v>
      </c>
      <c r="BT297" s="80">
        <f t="shared" si="130"/>
        <v>0</v>
      </c>
      <c r="BU297" s="80">
        <f t="shared" si="131"/>
        <v>0</v>
      </c>
      <c r="BV297" s="80">
        <f>IFERROR(VLOOKUP($H297,'1. Set Program Names'!$B$2:$D$15,3,0)*V297,"NA")</f>
        <v>0</v>
      </c>
      <c r="BW297" s="80">
        <f>IFERROR(VLOOKUP($H297,'1. Set Program Names'!$B$2:$D$15,3,0)*W297,"NA")</f>
        <v>0</v>
      </c>
      <c r="BX297" s="80">
        <f>IFERROR(VLOOKUP($H297,'1. Set Program Names'!$B$2:$D$15,3,0)*X297,"NA")</f>
        <v>0</v>
      </c>
      <c r="BY297" s="80">
        <f>IFERROR(VLOOKUP($H297,'1. Set Program Names'!$B$2:$D$15,3,0)*Y297,"NA")</f>
        <v>0</v>
      </c>
      <c r="BZ297" s="80">
        <f>IFERROR(VLOOKUP($H297,'1. Set Program Names'!$B$2:$D$15,3,0)*Z297,"NA")</f>
        <v>0</v>
      </c>
      <c r="CA297" s="80">
        <f>IFERROR(VLOOKUP($H297,'1. Set Program Names'!$B$2:$D$15,3,0)*AA297,"NA")</f>
        <v>0</v>
      </c>
      <c r="CB297" s="80">
        <f>IFERROR(VLOOKUP($H297,'1. Set Program Names'!$B$2:$D$15,3,0)*AB297,"NA")</f>
        <v>0</v>
      </c>
      <c r="CC297" s="80">
        <f>IFERROR(VLOOKUP($H297,'1. Set Program Names'!$B$2:$D$15,3,0)*AC297,"NA")</f>
        <v>0</v>
      </c>
      <c r="CD297" s="80">
        <f>IFERROR(VLOOKUP($H297,'1. Set Program Names'!$B$2:$D$15,3,0)*AD297,"NA")</f>
        <v>0</v>
      </c>
      <c r="CE297" s="80">
        <f>IFERROR(VLOOKUP($H297,'1. Set Program Names'!$B$2:$D$15,3,0)*AE297,"NA")</f>
        <v>0</v>
      </c>
    </row>
    <row r="298" spans="1:83" x14ac:dyDescent="0.25">
      <c r="A298" s="79" t="s">
        <v>115</v>
      </c>
      <c r="B298" s="79" t="s">
        <v>88</v>
      </c>
      <c r="C298" s="79" t="s">
        <v>122</v>
      </c>
      <c r="D298" s="79" t="s">
        <v>90</v>
      </c>
      <c r="E298" s="79" t="s">
        <v>91</v>
      </c>
      <c r="F298" s="79" t="s">
        <v>90</v>
      </c>
      <c r="G298" s="79" t="s">
        <v>92</v>
      </c>
      <c r="H298" s="79" t="s">
        <v>14</v>
      </c>
      <c r="I298" s="79" t="s">
        <v>160</v>
      </c>
      <c r="J298" s="79" t="s">
        <v>161</v>
      </c>
      <c r="K298" s="79" t="s">
        <v>159</v>
      </c>
      <c r="L298" s="79">
        <v>1059.6621428571407</v>
      </c>
      <c r="M298" s="79">
        <v>0.13879011985330975</v>
      </c>
      <c r="N298" s="79">
        <v>0.14661252282673942</v>
      </c>
      <c r="O298" s="79">
        <v>179</v>
      </c>
      <c r="P298" s="79">
        <v>5.0437849584490522</v>
      </c>
      <c r="Q298" s="79"/>
      <c r="R298" s="79">
        <v>417.01467834907817</v>
      </c>
      <c r="S298" s="79">
        <v>1150.9203207638036</v>
      </c>
      <c r="T298" s="79">
        <v>15</v>
      </c>
      <c r="U298" s="79">
        <v>0.2</v>
      </c>
      <c r="V298" s="79">
        <f>tbl_Data_old[[#This Row],[2025 ]]*IFERROR(AVERAGEIFS('Participation Adjustment'!$C:$C,'Participation Adjustment'!$A:$A,$H298,'Participation Adjustment'!$B:$B,$I298),1)</f>
        <v>6.4303202357253149</v>
      </c>
      <c r="W298" s="79">
        <f>tbl_Data_old[[#This Row],[2026 ]]*IFERROR(AVERAGEIFS('Participation Adjustment'!$C:$C,'Participation Adjustment'!$A:$A,$H298,'Participation Adjustment'!$B:$B,$I298),1)</f>
        <v>13.429424537161335</v>
      </c>
      <c r="X298" s="79">
        <f>tbl_Data_old[[#This Row],[2027 ]]*IFERROR(AVERAGEIFS('Participation Adjustment'!$C:$C,'Participation Adjustment'!$A:$A,$H298,'Participation Adjustment'!$B:$B,$I298),1)</f>
        <v>20.879814599711249</v>
      </c>
      <c r="Y298" s="79">
        <f>tbl_Data_old[[#This Row],[2028 ]]*IFERROR(AVERAGEIFS('Participation Adjustment'!$C:$C,'Participation Adjustment'!$A:$A,$H298,'Participation Adjustment'!$B:$B,$I298),1)</f>
        <v>28.708309198149149</v>
      </c>
      <c r="Z298" s="79">
        <f>tbl_Data_old[[#This Row],[2029 ]]*IFERROR(AVERAGEIFS('Participation Adjustment'!$C:$C,'Participation Adjustment'!$A:$A,$H298,'Participation Adjustment'!$B:$B,$I298),1)</f>
        <v>36.842065169831095</v>
      </c>
      <c r="AA298" s="79">
        <f>tbl_Data_old[[#This Row],[2030 ]]*IFERROR(AVERAGEIFS('Participation Adjustment'!$C:$C,'Participation Adjustment'!$A:$A,$H298,'Participation Adjustment'!$B:$B,$I298),1)</f>
        <v>45.210480068670599</v>
      </c>
      <c r="AB298" s="79">
        <f>tbl_Data_old[[#This Row],[2031 ]]*IFERROR(AVERAGEIFS('Participation Adjustment'!$C:$C,'Participation Adjustment'!$A:$A,$H298,'Participation Adjustment'!$B:$B,$I298),1)</f>
        <v>53.75217609919185</v>
      </c>
      <c r="AC298" s="79">
        <f>tbl_Data_old[[#This Row],[2032 ]]*IFERROR(AVERAGEIFS('Participation Adjustment'!$C:$C,'Participation Adjustment'!$A:$A,$H298,'Participation Adjustment'!$B:$B,$I298),1)</f>
        <v>62.431644824725645</v>
      </c>
      <c r="AD298" s="79">
        <f>tbl_Data_old[[#This Row],[2033 ]]*IFERROR(AVERAGEIFS('Participation Adjustment'!$C:$C,'Participation Adjustment'!$A:$A,$H298,'Participation Adjustment'!$B:$B,$I298),1)</f>
        <v>71.226160571907002</v>
      </c>
      <c r="AE298" s="79">
        <f>tbl_Data_old[[#This Row],[2034 ]]*IFERROR(AVERAGEIFS('Participation Adjustment'!$C:$C,'Participation Adjustment'!$A:$A,$H298,'Participation Adjustment'!$B:$B,$I298),1)</f>
        <v>80.103778798034995</v>
      </c>
      <c r="AF298" s="77" t="str">
        <f t="shared" si="121"/>
        <v>NonResidential</v>
      </c>
      <c r="AG298" s="77" t="str">
        <f>tbl_Data[[#This Row],[All_Meas_Name_Append]]</f>
        <v>LED High Bay_HID Baseline</v>
      </c>
      <c r="AH298" s="77">
        <f>AVERAGEIFS('3. Incentive Adjustment'!G:G,'3. Incentive Adjustment'!A:A,tbl_Data[[#This Row],[Trimmed Sector]],'3. Incentive Adjustment'!B:B,tbl_Data[[#This Row],[Trimmed Measure Name]])</f>
        <v>1.0603846876879557</v>
      </c>
      <c r="AI298" s="77">
        <f>$AH298*tbl_Data[[#This Row],[2025 ]]</f>
        <v>6.8186131148931297</v>
      </c>
      <c r="AJ298" s="77">
        <f>$AH298*tbl_Data[[#This Row],[2026 ]]</f>
        <v>14.240356143666791</v>
      </c>
      <c r="AK298" s="77">
        <f>$AH298*tbl_Data[[#This Row],[2027 ]]</f>
        <v>22.14063568329723</v>
      </c>
      <c r="AL298" s="77">
        <f>$AH298*tbl_Data[[#This Row],[2028 ]]</f>
        <v>30.441851483128652</v>
      </c>
      <c r="AM298" s="77">
        <f>$AH298*tbl_Data[[#This Row],[2029 ]]</f>
        <v>39.066761768890657</v>
      </c>
      <c r="AN298" s="77">
        <f>$AH298*tbl_Data[[#This Row],[2030 ]]</f>
        <v>47.940500787839817</v>
      </c>
      <c r="AO298" s="77">
        <f>$AH298*tbl_Data[[#This Row],[2031 ]]</f>
        <v>56.997984465489544</v>
      </c>
      <c r="AP298" s="77">
        <f>$AH298*tbl_Data[[#This Row],[2032 ]]</f>
        <v>66.201560199312084</v>
      </c>
      <c r="AQ298" s="77">
        <f>$AH298*tbl_Data[[#This Row],[2033 ]]</f>
        <v>75.527130033253783</v>
      </c>
      <c r="AR298" s="77">
        <f>$AH298*tbl_Data[[#This Row],[2034 ]]</f>
        <v>84.940820463379424</v>
      </c>
      <c r="AS298" s="77">
        <f>SUM(tbl_Data[[#This Row],[Adjusted 2025]:[Adjusted 2034]])</f>
        <v>444.31621414315111</v>
      </c>
      <c r="AT298" s="80">
        <f>AVERAGEIFS('3. Incentive Adjustment'!F:F,'3. Incentive Adjustment'!A:A,tbl_Data[[#This Row],[Trimmed Sector]],'3. Incentive Adjustment'!B:B,tbl_Data[[#This Row],[Trimmed Measure Name]])</f>
        <v>28.590998621954778</v>
      </c>
      <c r="AU298" s="80">
        <f>IFERROR(VLOOKUP(tbl_Data[[#This Row],[All_Meas_Name_Append]],'IRA Tax Credits'!$A$3:$D$46,4,0),0)</f>
        <v>0</v>
      </c>
      <c r="AV298" s="81">
        <f>tbl_Data[[#This Row],[Adj. per unit Incentive ($)]]/tbl_Data[[#This Row],[kWh Savings]]*tbl_Data[[#This Row],[Sum of Annuals]]</f>
        <v>11.988202420846156</v>
      </c>
      <c r="AW298" s="81">
        <f>IFERROR(VLOOKUP(tbl_Data[[#This Row],[Column1]],'1. Set Program Names'!$B$2:$D$15,3,0)*tbl_Data[[#This Row],[Sum of Annuals]],"")</f>
        <v>15.817521686525124</v>
      </c>
      <c r="AX298" s="81">
        <f>tbl_Data[[#This Row],[per unit IRA tax ($)]]/tbl_Data[[#This Row],[kWh Savings]]*tbl_Data[[#This Row],[Sum of Annuals]]</f>
        <v>0</v>
      </c>
      <c r="AY298" s="81">
        <f>tbl_Data[[#This Row],[Avoided Costs ($/unit)]]/tbl_Data[[#This Row],[kWh Savings]]*tbl_Data[[#This Row],[Sum of Annuals]]</f>
        <v>174.85420648000431</v>
      </c>
      <c r="AZ298" s="81">
        <f>tbl_Data[[#This Row],[Lost Revenue ($/unit)]]/tbl_Data[[#This Row],[kWh Savings]]*tbl_Data[[#This Row],[Sum of Annuals]]</f>
        <v>482.58075760203451</v>
      </c>
      <c r="BA298" s="81">
        <f>tbl_Data[[#This Row],[Incremental Cost ($/unit)]]/tbl_Data[[#This Row],[kWh Savings]]*tbl_Data[[#This Row],[Sum of Annuals]]</f>
        <v>75.05467933126522</v>
      </c>
      <c r="BB298" s="77">
        <f>ROUNDUP(tbl_Data[[#This Row],[Adjusted 2025]]/$L298,0)</f>
        <v>1</v>
      </c>
      <c r="BC298" s="77">
        <f>ROUNDUP(tbl_Data[[#This Row],[Adjusted 2026]]/$L298,0)</f>
        <v>1</v>
      </c>
      <c r="BD298" s="77">
        <f>ROUNDUP(tbl_Data[[#This Row],[Adjusted 2027]]/$L298,0)</f>
        <v>1</v>
      </c>
      <c r="BE298" s="77">
        <f>ROUNDUP(tbl_Data[[#This Row],[Adjusted 2028]]/$L298,0)</f>
        <v>1</v>
      </c>
      <c r="BF298" s="77">
        <f>ROUNDUP(tbl_Data[[#This Row],[Adjusted 2029]]/$L298,0)</f>
        <v>1</v>
      </c>
      <c r="BG298" s="77">
        <f>ROUNDUP(tbl_Data[[#This Row],[Adjusted 2030]]/$L298,0)</f>
        <v>1</v>
      </c>
      <c r="BH298" s="77">
        <f>ROUNDUP(tbl_Data[[#This Row],[Adjusted 2031]]/$L298,0)</f>
        <v>1</v>
      </c>
      <c r="BI298" s="77">
        <f>ROUNDUP(tbl_Data[[#This Row],[Adjusted 2032]]/$L298,0)</f>
        <v>1</v>
      </c>
      <c r="BJ298" s="77">
        <f>ROUNDUP(tbl_Data[[#This Row],[Adjusted 2033]]/$L298,0)</f>
        <v>1</v>
      </c>
      <c r="BK298" s="77">
        <f>ROUNDUP(tbl_Data[[#This Row],[Adjusted 2034]]/$L298,0)</f>
        <v>1</v>
      </c>
      <c r="BL298" s="80">
        <f t="shared" si="122"/>
        <v>0.17349801371845008</v>
      </c>
      <c r="BM298" s="80">
        <f t="shared" si="123"/>
        <v>0.36234252683630075</v>
      </c>
      <c r="BN298" s="80">
        <f t="shared" si="124"/>
        <v>0.5633632893946815</v>
      </c>
      <c r="BO298" s="80">
        <f t="shared" si="125"/>
        <v>0.77458578119044008</v>
      </c>
      <c r="BP298" s="80">
        <f t="shared" si="126"/>
        <v>0.99404460336809219</v>
      </c>
      <c r="BQ298" s="80">
        <f t="shared" si="127"/>
        <v>1.2198348143834179</v>
      </c>
      <c r="BR298" s="80">
        <f t="shared" si="128"/>
        <v>1.4503003652044724</v>
      </c>
      <c r="BS298" s="80">
        <f t="shared" si="129"/>
        <v>1.684483194178567</v>
      </c>
      <c r="BT298" s="80">
        <f t="shared" si="130"/>
        <v>1.9217701344579088</v>
      </c>
      <c r="BU298" s="80">
        <f t="shared" si="131"/>
        <v>2.1612992826683919</v>
      </c>
      <c r="BV298" s="80">
        <f>IFERROR(VLOOKUP($H298,'1. Set Program Names'!$B$2:$D$15,3,0)*V298,"NA")</f>
        <v>0.22891743884709265</v>
      </c>
      <c r="BW298" s="80">
        <f>IFERROR(VLOOKUP($H298,'1. Set Program Names'!$B$2:$D$15,3,0)*W298,"NA")</f>
        <v>0.47808341692807066</v>
      </c>
      <c r="BX298" s="80">
        <f>IFERROR(VLOOKUP($H298,'1. Set Program Names'!$B$2:$D$15,3,0)*X298,"NA")</f>
        <v>0.74331503044169844</v>
      </c>
      <c r="BY298" s="80">
        <f>IFERROR(VLOOKUP($H298,'1. Set Program Names'!$B$2:$D$15,3,0)*Y298,"NA")</f>
        <v>1.0220070500935881</v>
      </c>
      <c r="BZ298" s="80">
        <f>IFERROR(VLOOKUP($H298,'1. Set Program Names'!$B$2:$D$15,3,0)*Z298,"NA")</f>
        <v>1.3115662815141451</v>
      </c>
      <c r="CA298" s="80">
        <f>IFERROR(VLOOKUP($H298,'1. Set Program Names'!$B$2:$D$15,3,0)*AA298,"NA")</f>
        <v>1.6094792991596978</v>
      </c>
      <c r="CB298" s="80">
        <f>IFERROR(VLOOKUP($H298,'1. Set Program Names'!$B$2:$D$15,3,0)*AB298,"NA")</f>
        <v>1.9135610722343708</v>
      </c>
      <c r="CC298" s="80">
        <f>IFERROR(VLOOKUP($H298,'1. Set Program Names'!$B$2:$D$15,3,0)*AC298,"NA")</f>
        <v>2.2225475112244535</v>
      </c>
      <c r="CD298" s="80">
        <f>IFERROR(VLOOKUP($H298,'1. Set Program Names'!$B$2:$D$15,3,0)*AD298,"NA")</f>
        <v>2.5356295890905334</v>
      </c>
      <c r="CE298" s="80">
        <f>IFERROR(VLOOKUP($H298,'1. Set Program Names'!$B$2:$D$15,3,0)*AE298,"NA")</f>
        <v>2.8516700898570182</v>
      </c>
    </row>
    <row r="299" spans="1:83" x14ac:dyDescent="0.25">
      <c r="A299" s="79" t="s">
        <v>115</v>
      </c>
      <c r="B299" s="79" t="s">
        <v>88</v>
      </c>
      <c r="C299" s="79" t="s">
        <v>122</v>
      </c>
      <c r="D299" s="79" t="s">
        <v>90</v>
      </c>
      <c r="E299" s="79" t="s">
        <v>91</v>
      </c>
      <c r="F299" s="79" t="s">
        <v>90</v>
      </c>
      <c r="G299" s="79" t="s">
        <v>92</v>
      </c>
      <c r="H299" s="79" t="s">
        <v>14</v>
      </c>
      <c r="I299" s="79" t="s">
        <v>162</v>
      </c>
      <c r="J299" s="79" t="s">
        <v>161</v>
      </c>
      <c r="K299" s="79" t="s">
        <v>159</v>
      </c>
      <c r="L299" s="79">
        <v>632.51142857142861</v>
      </c>
      <c r="M299" s="79">
        <v>7.5636667797052567E-2</v>
      </c>
      <c r="N299" s="79">
        <v>7.2066360150851286E-2</v>
      </c>
      <c r="O299" s="79">
        <v>179</v>
      </c>
      <c r="P299" s="79">
        <v>51.895440493260928</v>
      </c>
      <c r="Q299" s="79"/>
      <c r="R299" s="79">
        <v>248.91572427603518</v>
      </c>
      <c r="S299" s="79">
        <v>686.98335706831222</v>
      </c>
      <c r="T299" s="79">
        <v>15</v>
      </c>
      <c r="U299" s="79">
        <v>0.2</v>
      </c>
      <c r="V299" s="79">
        <f>tbl_Data_old[[#This Row],[2025 ]]*IFERROR(AVERAGEIFS('Participation Adjustment'!$C:$C,'Participation Adjustment'!$A:$A,$H299,'Participation Adjustment'!$B:$B,$I299),1)</f>
        <v>18.931143510486901</v>
      </c>
      <c r="W299" s="79">
        <f>tbl_Data_old[[#This Row],[2026 ]]*IFERROR(AVERAGEIFS('Participation Adjustment'!$C:$C,'Participation Adjustment'!$A:$A,$H299,'Participation Adjustment'!$B:$B,$I299),1)</f>
        <v>39.53681214254145</v>
      </c>
      <c r="X299" s="79">
        <f>tbl_Data_old[[#This Row],[2027 ]]*IFERROR(AVERAGEIFS('Participation Adjustment'!$C:$C,'Participation Adjustment'!$A:$A,$H299,'Participation Adjustment'!$B:$B,$I299),1)</f>
        <v>61.471085757661044</v>
      </c>
      <c r="Y299" s="79">
        <f>tbl_Data_old[[#This Row],[2028 ]]*IFERROR(AVERAGEIFS('Participation Adjustment'!$C:$C,'Participation Adjustment'!$A:$A,$H299,'Participation Adjustment'!$B:$B,$I299),1)</f>
        <v>84.518515633816051</v>
      </c>
      <c r="Z299" s="79">
        <f>tbl_Data_old[[#This Row],[2029 ]]*IFERROR(AVERAGEIFS('Participation Adjustment'!$C:$C,'Participation Adjustment'!$A:$A,$H299,'Participation Adjustment'!$B:$B,$I299),1)</f>
        <v>108.464648319978</v>
      </c>
      <c r="AA299" s="79">
        <f>tbl_Data_old[[#This Row],[2030 ]]*IFERROR(AVERAGEIFS('Participation Adjustment'!$C:$C,'Participation Adjustment'!$A:$A,$H299,'Participation Adjustment'!$B:$B,$I299),1)</f>
        <v>133.101627132489</v>
      </c>
      <c r="AB299" s="79">
        <f>tbl_Data_old[[#This Row],[2031 ]]*IFERROR(AVERAGEIFS('Participation Adjustment'!$C:$C,'Participation Adjustment'!$A:$A,$H299,'Participation Adjustment'!$B:$B,$I299),1)</f>
        <v>158.2487531618205</v>
      </c>
      <c r="AC299" s="79">
        <f>tbl_Data_old[[#This Row],[2032 ]]*IFERROR(AVERAGEIFS('Participation Adjustment'!$C:$C,'Participation Adjustment'!$A:$A,$H299,'Participation Adjustment'!$B:$B,$I299),1)</f>
        <v>183.80148802018499</v>
      </c>
      <c r="AD299" s="79">
        <f>tbl_Data_old[[#This Row],[2033 ]]*IFERROR(AVERAGEIFS('Participation Adjustment'!$C:$C,'Participation Adjustment'!$A:$A,$H299,'Participation Adjustment'!$B:$B,$I299),1)</f>
        <v>209.69292633303149</v>
      </c>
      <c r="AE299" s="79">
        <f>tbl_Data_old[[#This Row],[2034 ]]*IFERROR(AVERAGEIFS('Participation Adjustment'!$C:$C,'Participation Adjustment'!$A:$A,$H299,'Participation Adjustment'!$B:$B,$I299),1)</f>
        <v>235.82902197200551</v>
      </c>
      <c r="AF299" s="77" t="str">
        <f t="shared" si="121"/>
        <v>NonResidential</v>
      </c>
      <c r="AG299" s="77" t="str">
        <f>tbl_Data[[#This Row],[All_Meas_Name_Append]]</f>
        <v>LED High Bay_LF Baseline</v>
      </c>
      <c r="AH299" s="77">
        <f>AVERAGEIFS('3. Incentive Adjustment'!G:G,'3. Incentive Adjustment'!A:A,tbl_Data[[#This Row],[Trimmed Sector]],'3. Incentive Adjustment'!B:B,tbl_Data[[#This Row],[Trimmed Measure Name]])</f>
        <v>0.93017466414143679</v>
      </c>
      <c r="AI299" s="77">
        <f>$AH299*tbl_Data[[#This Row],[2025 ]]</f>
        <v>17.609270056680494</v>
      </c>
      <c r="AJ299" s="77">
        <f>$AH299*tbl_Data[[#This Row],[2026 ]]</f>
        <v>36.776140955911572</v>
      </c>
      <c r="AK299" s="77">
        <f>$AH299*tbl_Data[[#This Row],[2027 ]]</f>
        <v>57.178846549041822</v>
      </c>
      <c r="AL299" s="77">
        <f>$AH299*tbl_Data[[#This Row],[2028 ]]</f>
        <v>78.616981893417616</v>
      </c>
      <c r="AM299" s="77">
        <f>$AH299*tbl_Data[[#This Row],[2029 ]]</f>
        <v>100.89106782225458</v>
      </c>
      <c r="AN299" s="77">
        <f>$AH299*tbl_Data[[#This Row],[2030 ]]</f>
        <v>123.80776131464171</v>
      </c>
      <c r="AO299" s="77">
        <f>$AH299*tbl_Data[[#This Row],[2031 ]]</f>
        <v>147.19898082309751</v>
      </c>
      <c r="AP299" s="77">
        <f>$AH299*tbl_Data[[#This Row],[2032 ]]</f>
        <v>170.9674873878719</v>
      </c>
      <c r="AQ299" s="77">
        <f>$AH299*tbl_Data[[#This Row],[2033 ]]</f>
        <v>195.05104732466262</v>
      </c>
      <c r="AR299" s="77">
        <f>$AH299*tbl_Data[[#This Row],[2034 ]]</f>
        <v>219.36218130761375</v>
      </c>
      <c r="AS299" s="77">
        <f>SUM(tbl_Data[[#This Row],[Adjusted 2025]:[Adjusted 2034]])</f>
        <v>1147.4597654351935</v>
      </c>
      <c r="AT299" s="80">
        <f>AVERAGEIFS('3. Incentive Adjustment'!F:F,'3. Incentive Adjustment'!A:A,tbl_Data[[#This Row],[Trimmed Sector]],'3. Incentive Adjustment'!B:B,tbl_Data[[#This Row],[Trimmed Measure Name]])</f>
        <v>23.858858929800434</v>
      </c>
      <c r="AU299" s="80">
        <f>IFERROR(VLOOKUP(tbl_Data[[#This Row],[All_Meas_Name_Append]],'IRA Tax Credits'!$A$3:$D$46,4,0),0)</f>
        <v>0</v>
      </c>
      <c r="AV299" s="81">
        <f>tbl_Data[[#This Row],[Adj. per unit Incentive ($)]]/tbl_Data[[#This Row],[kWh Savings]]*tbl_Data[[#This Row],[Sum of Annuals]]</f>
        <v>43.283139931515912</v>
      </c>
      <c r="AW299" s="81">
        <f>IFERROR(VLOOKUP(tbl_Data[[#This Row],[Column1]],'1. Set Program Names'!$B$2:$D$15,3,0)*tbl_Data[[#This Row],[Sum of Annuals]],"")</f>
        <v>40.849217621256095</v>
      </c>
      <c r="AX299" s="81">
        <f>tbl_Data[[#This Row],[per unit IRA tax ($)]]/tbl_Data[[#This Row],[kWh Savings]]*tbl_Data[[#This Row],[Sum of Annuals]]</f>
        <v>0</v>
      </c>
      <c r="AY299" s="81">
        <f>tbl_Data[[#This Row],[Avoided Costs ($/unit)]]/tbl_Data[[#This Row],[kWh Savings]]*tbl_Data[[#This Row],[Sum of Annuals]]</f>
        <v>451.56619420459356</v>
      </c>
      <c r="AZ299" s="81">
        <f>tbl_Data[[#This Row],[Lost Revenue ($/unit)]]/tbl_Data[[#This Row],[kWh Savings]]*tbl_Data[[#This Row],[Sum of Annuals]]</f>
        <v>1246.279080743072</v>
      </c>
      <c r="BA299" s="81">
        <f>tbl_Data[[#This Row],[Incremental Cost ($/unit)]]/tbl_Data[[#This Row],[kWh Savings]]*tbl_Data[[#This Row],[Sum of Annuals]]</f>
        <v>324.72978152631856</v>
      </c>
      <c r="BB299" s="77">
        <f>ROUNDUP(tbl_Data[[#This Row],[Adjusted 2025]]/$L299,0)</f>
        <v>1</v>
      </c>
      <c r="BC299" s="77">
        <f>ROUNDUP(tbl_Data[[#This Row],[Adjusted 2026]]/$L299,0)</f>
        <v>1</v>
      </c>
      <c r="BD299" s="77">
        <f>ROUNDUP(tbl_Data[[#This Row],[Adjusted 2027]]/$L299,0)</f>
        <v>1</v>
      </c>
      <c r="BE299" s="77">
        <f>ROUNDUP(tbl_Data[[#This Row],[Adjusted 2028]]/$L299,0)</f>
        <v>1</v>
      </c>
      <c r="BF299" s="77">
        <f>ROUNDUP(tbl_Data[[#This Row],[Adjusted 2029]]/$L299,0)</f>
        <v>1</v>
      </c>
      <c r="BG299" s="77">
        <f>ROUNDUP(tbl_Data[[#This Row],[Adjusted 2030]]/$L299,0)</f>
        <v>1</v>
      </c>
      <c r="BH299" s="77">
        <f>ROUNDUP(tbl_Data[[#This Row],[Adjusted 2031]]/$L299,0)</f>
        <v>1</v>
      </c>
      <c r="BI299" s="77">
        <f>ROUNDUP(tbl_Data[[#This Row],[Adjusted 2032]]/$L299,0)</f>
        <v>1</v>
      </c>
      <c r="BJ299" s="77">
        <f>ROUNDUP(tbl_Data[[#This Row],[Adjusted 2033]]/$L299,0)</f>
        <v>1</v>
      </c>
      <c r="BK299" s="77">
        <f>ROUNDUP(tbl_Data[[#This Row],[Adjusted 2034]]/$L299,0)</f>
        <v>1</v>
      </c>
      <c r="BL299" s="80">
        <f t="shared" si="122"/>
        <v>0.71409853165286619</v>
      </c>
      <c r="BM299" s="80">
        <f t="shared" si="123"/>
        <v>1.4913615483176861</v>
      </c>
      <c r="BN299" s="80">
        <f t="shared" si="124"/>
        <v>2.3187406536925126</v>
      </c>
      <c r="BO299" s="80">
        <f t="shared" si="125"/>
        <v>3.1881089421858997</v>
      </c>
      <c r="BP299" s="80">
        <f t="shared" si="126"/>
        <v>4.0913770506591396</v>
      </c>
      <c r="BQ299" s="80">
        <f t="shared" si="127"/>
        <v>5.0207044515438835</v>
      </c>
      <c r="BR299" s="80">
        <f t="shared" si="128"/>
        <v>5.969275031175675</v>
      </c>
      <c r="BS299" s="80">
        <f t="shared" si="129"/>
        <v>6.9331455143276877</v>
      </c>
      <c r="BT299" s="80">
        <f t="shared" si="130"/>
        <v>7.909792174437916</v>
      </c>
      <c r="BU299" s="80">
        <f t="shared" si="131"/>
        <v>8.8956675130613565</v>
      </c>
      <c r="BV299" s="80">
        <f>IFERROR(VLOOKUP($H299,'1. Set Program Names'!$B$2:$D$15,3,0)*V299,"NA")</f>
        <v>0.67394293410001516</v>
      </c>
      <c r="BW299" s="80">
        <f>IFERROR(VLOOKUP($H299,'1. Set Program Names'!$B$2:$D$15,3,0)*W299,"NA")</f>
        <v>1.4074984517203197</v>
      </c>
      <c r="BX299" s="80">
        <f>IFERROR(VLOOKUP($H299,'1. Set Program Names'!$B$2:$D$15,3,0)*X299,"NA")</f>
        <v>2.1883519014518438</v>
      </c>
      <c r="BY299" s="80">
        <f>IFERROR(VLOOKUP($H299,'1. Set Program Names'!$B$2:$D$15,3,0)*Y299,"NA")</f>
        <v>3.0088333745121449</v>
      </c>
      <c r="BZ299" s="80">
        <f>IFERROR(VLOOKUP($H299,'1. Set Program Names'!$B$2:$D$15,3,0)*Z299,"NA")</f>
        <v>3.8613083934628194</v>
      </c>
      <c r="CA299" s="80">
        <f>IFERROR(VLOOKUP($H299,'1. Set Program Names'!$B$2:$D$15,3,0)*AA299,"NA")</f>
        <v>4.7383773237715374</v>
      </c>
      <c r="CB299" s="80">
        <f>IFERROR(VLOOKUP($H299,'1. Set Program Names'!$B$2:$D$15,3,0)*AB299,"NA")</f>
        <v>5.633607339380597</v>
      </c>
      <c r="CC299" s="80">
        <f>IFERROR(VLOOKUP($H299,'1. Set Program Names'!$B$2:$D$15,3,0)*AC299,"NA")</f>
        <v>6.5432769055738005</v>
      </c>
      <c r="CD299" s="80">
        <f>IFERROR(VLOOKUP($H299,'1. Set Program Names'!$B$2:$D$15,3,0)*AD299,"NA")</f>
        <v>7.4650042114263631</v>
      </c>
      <c r="CE299" s="80">
        <f>IFERROR(VLOOKUP($H299,'1. Set Program Names'!$B$2:$D$15,3,0)*AE299,"NA")</f>
        <v>8.3954412434572792</v>
      </c>
    </row>
    <row r="300" spans="1:83" x14ac:dyDescent="0.25">
      <c r="A300" s="79" t="s">
        <v>115</v>
      </c>
      <c r="B300" s="79" t="s">
        <v>88</v>
      </c>
      <c r="C300" s="79" t="s">
        <v>122</v>
      </c>
      <c r="D300" s="79" t="s">
        <v>90</v>
      </c>
      <c r="E300" s="79" t="s">
        <v>91</v>
      </c>
      <c r="F300" s="79" t="s">
        <v>90</v>
      </c>
      <c r="G300" s="79" t="s">
        <v>92</v>
      </c>
      <c r="H300" s="79" t="s">
        <v>14</v>
      </c>
      <c r="I300" s="79" t="s">
        <v>163</v>
      </c>
      <c r="J300" s="79" t="s">
        <v>161</v>
      </c>
      <c r="K300" s="79" t="s">
        <v>159</v>
      </c>
      <c r="L300" s="79">
        <v>217.06142857142831</v>
      </c>
      <c r="M300" s="79">
        <v>3.4743730880075478E-2</v>
      </c>
      <c r="N300" s="79">
        <v>3.4497784431073229E-2</v>
      </c>
      <c r="O300" s="79">
        <v>109.07999999999996</v>
      </c>
      <c r="P300" s="79">
        <v>64.428955263702662</v>
      </c>
      <c r="Q300" s="79"/>
      <c r="R300" s="79">
        <v>85.561030664747506</v>
      </c>
      <c r="S300" s="79">
        <v>235.75477399173039</v>
      </c>
      <c r="T300" s="79">
        <v>15</v>
      </c>
      <c r="U300" s="79">
        <v>0.2</v>
      </c>
      <c r="V300" s="79">
        <f>tbl_Data_old[[#This Row],[2025 ]]*IFERROR(AVERAGEIFS('Participation Adjustment'!$C:$C,'Participation Adjustment'!$A:$A,$H300,'Participation Adjustment'!$B:$B,$I300),1)</f>
        <v>59.868939682921805</v>
      </c>
      <c r="W300" s="79">
        <f>tbl_Data_old[[#This Row],[2026 ]]*IFERROR(AVERAGEIFS('Participation Adjustment'!$C:$C,'Participation Adjustment'!$A:$A,$H300,'Participation Adjustment'!$B:$B,$I300),1)</f>
        <v>122.80891762296781</v>
      </c>
      <c r="X300" s="79">
        <f>tbl_Data_old[[#This Row],[2027 ]]*IFERROR(AVERAGEIFS('Participation Adjustment'!$C:$C,'Participation Adjustment'!$A:$A,$H300,'Participation Adjustment'!$B:$B,$I300),1)</f>
        <v>187.4027921961306</v>
      </c>
      <c r="Y300" s="79">
        <f>tbl_Data_old[[#This Row],[2028 ]]*IFERROR(AVERAGEIFS('Participation Adjustment'!$C:$C,'Participation Adjustment'!$A:$A,$H300,'Participation Adjustment'!$B:$B,$I300),1)</f>
        <v>253.00967283789839</v>
      </c>
      <c r="Z300" s="79">
        <f>tbl_Data_old[[#This Row],[2029 ]]*IFERROR(AVERAGEIFS('Participation Adjustment'!$C:$C,'Participation Adjustment'!$A:$A,$H300,'Participation Adjustment'!$B:$B,$I300),1)</f>
        <v>319.18614882648302</v>
      </c>
      <c r="AA300" s="79">
        <f>tbl_Data_old[[#This Row],[2030 ]]*IFERROR(AVERAGEIFS('Participation Adjustment'!$C:$C,'Participation Adjustment'!$A:$A,$H300,'Participation Adjustment'!$B:$B,$I300),1)</f>
        <v>385.43576337741297</v>
      </c>
      <c r="AB300" s="79">
        <f>tbl_Data_old[[#This Row],[2031 ]]*IFERROR(AVERAGEIFS('Participation Adjustment'!$C:$C,'Participation Adjustment'!$A:$A,$H300,'Participation Adjustment'!$B:$B,$I300),1)</f>
        <v>451.49129918831102</v>
      </c>
      <c r="AC300" s="79">
        <f>tbl_Data_old[[#This Row],[2032 ]]*IFERROR(AVERAGEIFS('Participation Adjustment'!$C:$C,'Participation Adjustment'!$A:$A,$H300,'Participation Adjustment'!$B:$B,$I300),1)</f>
        <v>517.27418076295794</v>
      </c>
      <c r="AD300" s="79">
        <f>tbl_Data_old[[#This Row],[2033 ]]*IFERROR(AVERAGEIFS('Participation Adjustment'!$C:$C,'Participation Adjustment'!$A:$A,$H300,'Participation Adjustment'!$B:$B,$I300),1)</f>
        <v>582.65521699568694</v>
      </c>
      <c r="AE300" s="79">
        <f>tbl_Data_old[[#This Row],[2034 ]]*IFERROR(AVERAGEIFS('Participation Adjustment'!$C:$C,'Participation Adjustment'!$A:$A,$H300,'Participation Adjustment'!$B:$B,$I300),1)</f>
        <v>647.58651929421603</v>
      </c>
      <c r="AF300" s="77" t="str">
        <f t="shared" ref="AF300:AF331" si="132">IF(C300="Residential","Residential","NonResidential")</f>
        <v>NonResidential</v>
      </c>
      <c r="AG300" s="77" t="str">
        <f>tbl_Data[[#This Row],[All_Meas_Name_Append]]</f>
        <v>LED Linear - Fixture Replacement</v>
      </c>
      <c r="AH300" s="77">
        <f>AVERAGEIFS('3. Incentive Adjustment'!G:G,'3. Incentive Adjustment'!A:A,tbl_Data[[#This Row],[Trimmed Sector]],'3. Incentive Adjustment'!B:B,tbl_Data[[#This Row],[Trimmed Measure Name]])</f>
        <v>0.56055357916158088</v>
      </c>
      <c r="AI300" s="77">
        <f>$AH300*tbl_Data[[#This Row],[2025 ]]</f>
        <v>33.559748419870623</v>
      </c>
      <c r="AJ300" s="77">
        <f>$AH300*tbl_Data[[#This Row],[2026 ]]</f>
        <v>68.840978326514346</v>
      </c>
      <c r="AK300" s="77">
        <f>$AH300*tbl_Data[[#This Row],[2027 ]]</f>
        <v>105.04930591041499</v>
      </c>
      <c r="AL300" s="77">
        <f>$AH300*tbl_Data[[#This Row],[2028 ]]</f>
        <v>141.82547767178457</v>
      </c>
      <c r="AM300" s="77">
        <f>$AH300*tbl_Data[[#This Row],[2029 ]]</f>
        <v>178.9209381434861</v>
      </c>
      <c r="AN300" s="77">
        <f>$AH300*tbl_Data[[#This Row],[2030 ]]</f>
        <v>216.05739669808503</v>
      </c>
      <c r="AO300" s="77">
        <f>$AH300*tbl_Data[[#This Row],[2031 ]]</f>
        <v>253.08506372031991</v>
      </c>
      <c r="AP300" s="77">
        <f>$AH300*tbl_Data[[#This Row],[2032 ]]</f>
        <v>289.95989343455062</v>
      </c>
      <c r="AQ300" s="77">
        <f>$AH300*tbl_Data[[#This Row],[2033 ]]</f>
        <v>326.60946730409989</v>
      </c>
      <c r="AR300" s="77">
        <f>$AH300*tbl_Data[[#This Row],[2034 ]]</f>
        <v>363.00694120716298</v>
      </c>
      <c r="AS300" s="77">
        <f>SUM(tbl_Data[[#This Row],[Adjusted 2025]:[Adjusted 2034]])</f>
        <v>1976.9152108362891</v>
      </c>
      <c r="AT300" s="80">
        <f>AVERAGEIFS('3. Incentive Adjustment'!F:F,'3. Incentive Adjustment'!A:A,tbl_Data[[#This Row],[Trimmed Sector]],'3. Incentive Adjustment'!B:B,tbl_Data[[#This Row],[Trimmed Measure Name]])</f>
        <v>16.810726621008875</v>
      </c>
      <c r="AU300" s="80">
        <f>IFERROR(VLOOKUP(tbl_Data[[#This Row],[All_Meas_Name_Append]],'IRA Tax Credits'!$A$3:$D$46,4,0),0)</f>
        <v>0</v>
      </c>
      <c r="AV300" s="81">
        <f>tbl_Data[[#This Row],[Adj. per unit Incentive ($)]]/tbl_Data[[#This Row],[kWh Savings]]*tbl_Data[[#This Row],[Sum of Annuals]]</f>
        <v>153.10588058415399</v>
      </c>
      <c r="AW300" s="81">
        <f>IFERROR(VLOOKUP(tbl_Data[[#This Row],[Column1]],'1. Set Program Names'!$B$2:$D$15,3,0)*tbl_Data[[#This Row],[Sum of Annuals]],"")</f>
        <v>70.377578455306519</v>
      </c>
      <c r="AX300" s="81">
        <f>tbl_Data[[#This Row],[per unit IRA tax ($)]]/tbl_Data[[#This Row],[kWh Savings]]*tbl_Data[[#This Row],[Sum of Annuals]]</f>
        <v>0</v>
      </c>
      <c r="AY300" s="81">
        <f>tbl_Data[[#This Row],[Avoided Costs ($/unit)]]/tbl_Data[[#This Row],[kWh Savings]]*tbl_Data[[#This Row],[Sum of Annuals]]</f>
        <v>779.25822238062165</v>
      </c>
      <c r="AZ300" s="81">
        <f>tbl_Data[[#This Row],[Lost Revenue ($/unit)]]/tbl_Data[[#This Row],[kWh Savings]]*tbl_Data[[#This Row],[Sum of Annuals]]</f>
        <v>2147.167287154175</v>
      </c>
      <c r="BA300" s="81">
        <f>tbl_Data[[#This Row],[Incremental Cost ($/unit)]]/tbl_Data[[#This Row],[kWh Savings]]*tbl_Data[[#This Row],[Sum of Annuals]]</f>
        <v>993.4602965494679</v>
      </c>
      <c r="BB300" s="77">
        <f>ROUNDUP(tbl_Data[[#This Row],[Adjusted 2025]]/$L300,0)</f>
        <v>1</v>
      </c>
      <c r="BC300" s="77">
        <f>ROUNDUP(tbl_Data[[#This Row],[Adjusted 2026]]/$L300,0)</f>
        <v>1</v>
      </c>
      <c r="BD300" s="77">
        <f>ROUNDUP(tbl_Data[[#This Row],[Adjusted 2027]]/$L300,0)</f>
        <v>1</v>
      </c>
      <c r="BE300" s="77">
        <f>ROUNDUP(tbl_Data[[#This Row],[Adjusted 2028]]/$L300,0)</f>
        <v>1</v>
      </c>
      <c r="BF300" s="77">
        <f>ROUNDUP(tbl_Data[[#This Row],[Adjusted 2029]]/$L300,0)</f>
        <v>1</v>
      </c>
      <c r="BG300" s="77">
        <f>ROUNDUP(tbl_Data[[#This Row],[Adjusted 2030]]/$L300,0)</f>
        <v>1</v>
      </c>
      <c r="BH300" s="77">
        <f>ROUNDUP(tbl_Data[[#This Row],[Adjusted 2031]]/$L300,0)</f>
        <v>2</v>
      </c>
      <c r="BI300" s="77">
        <f>ROUNDUP(tbl_Data[[#This Row],[Adjusted 2032]]/$L300,0)</f>
        <v>2</v>
      </c>
      <c r="BJ300" s="77">
        <f>ROUNDUP(tbl_Data[[#This Row],[Adjusted 2033]]/$L300,0)</f>
        <v>2</v>
      </c>
      <c r="BK300" s="77">
        <f>ROUNDUP(tbl_Data[[#This Row],[Adjusted 2034]]/$L300,0)</f>
        <v>2</v>
      </c>
      <c r="BL300" s="80">
        <f t="shared" ref="BL300:BL331" si="133">$AT300/$L300*V300</f>
        <v>4.6366615419564479</v>
      </c>
      <c r="BM300" s="80">
        <f t="shared" ref="BM300:BM331" si="134">$AT300/$L300*W300</f>
        <v>9.5111653616632506</v>
      </c>
      <c r="BN300" s="80">
        <f t="shared" ref="BN300:BN331" si="135">$AT300/$L300*X300</f>
        <v>14.513758286568144</v>
      </c>
      <c r="BO300" s="80">
        <f t="shared" ref="BO300:BO331" si="136">$AT300/$L300*Y300</f>
        <v>19.59480535321908</v>
      </c>
      <c r="BP300" s="80">
        <f t="shared" ref="BP300:BP331" si="137">$AT300/$L300*Z300</f>
        <v>24.719965792397581</v>
      </c>
      <c r="BQ300" s="80">
        <f t="shared" ref="BQ300:BQ331" si="138">$AT300/$L300*AA300</f>
        <v>29.850790583760311</v>
      </c>
      <c r="BR300" s="80">
        <f t="shared" ref="BR300:BR331" si="139">$AT300/$L300*AB300</f>
        <v>34.966584585622122</v>
      </c>
      <c r="BS300" s="80">
        <f t="shared" ref="BS300:BS331" si="140">$AT300/$L300*AC300</f>
        <v>40.061262372328422</v>
      </c>
      <c r="BT300" s="80">
        <f t="shared" ref="BT300:BT331" si="141">$AT300/$L300*AD300</f>
        <v>45.12481849807741</v>
      </c>
      <c r="BU300" s="80">
        <f t="shared" ref="BU300:BU331" si="142">$AT300/$L300*AE300</f>
        <v>50.153544141645469</v>
      </c>
      <c r="BV300" s="80">
        <f>IFERROR(VLOOKUP($H300,'1. Set Program Names'!$B$2:$D$15,3,0)*V300,"NA")</f>
        <v>2.1313159899196927</v>
      </c>
      <c r="BW300" s="80">
        <f>IFERROR(VLOOKUP($H300,'1. Set Program Names'!$B$2:$D$15,3,0)*W300,"NA")</f>
        <v>4.3719600049844676</v>
      </c>
      <c r="BX300" s="80">
        <f>IFERROR(VLOOKUP($H300,'1. Set Program Names'!$B$2:$D$15,3,0)*X300,"NA")</f>
        <v>6.6714822356733237</v>
      </c>
      <c r="BY300" s="80">
        <f>IFERROR(VLOOKUP($H300,'1. Set Program Names'!$B$2:$D$15,3,0)*Y300,"NA")</f>
        <v>9.0070671733908689</v>
      </c>
      <c r="BZ300" s="80">
        <f>IFERROR(VLOOKUP($H300,'1. Set Program Names'!$B$2:$D$15,3,0)*Z300,"NA")</f>
        <v>11.362929531702202</v>
      </c>
      <c r="CA300" s="80">
        <f>IFERROR(VLOOKUP($H300,'1. Set Program Names'!$B$2:$D$15,3,0)*AA300,"NA")</f>
        <v>13.721395600522385</v>
      </c>
      <c r="CB300" s="80">
        <f>IFERROR(VLOOKUP($H300,'1. Set Program Names'!$B$2:$D$15,3,0)*AB300,"NA")</f>
        <v>16.072952525400417</v>
      </c>
      <c r="CC300" s="80">
        <f>IFERROR(VLOOKUP($H300,'1. Set Program Names'!$B$2:$D$15,3,0)*AC300,"NA")</f>
        <v>18.414803042640045</v>
      </c>
      <c r="CD300" s="80">
        <f>IFERROR(VLOOKUP($H300,'1. Set Program Names'!$B$2:$D$15,3,0)*AD300,"NA")</f>
        <v>20.742347988288788</v>
      </c>
      <c r="CE300" s="80">
        <f>IFERROR(VLOOKUP($H300,'1. Set Program Names'!$B$2:$D$15,3,0)*AE300,"NA")</f>
        <v>23.053882543069641</v>
      </c>
    </row>
    <row r="301" spans="1:83" x14ac:dyDescent="0.25">
      <c r="A301" s="79" t="s">
        <v>115</v>
      </c>
      <c r="B301" s="79" t="s">
        <v>88</v>
      </c>
      <c r="C301" s="79" t="s">
        <v>122</v>
      </c>
      <c r="D301" s="79" t="s">
        <v>90</v>
      </c>
      <c r="E301" s="79" t="s">
        <v>91</v>
      </c>
      <c r="F301" s="79" t="s">
        <v>90</v>
      </c>
      <c r="G301" s="79" t="s">
        <v>92</v>
      </c>
      <c r="H301" s="79" t="s">
        <v>14</v>
      </c>
      <c r="I301" s="79" t="s">
        <v>164</v>
      </c>
      <c r="J301" s="79" t="s">
        <v>158</v>
      </c>
      <c r="K301" s="79" t="s">
        <v>159</v>
      </c>
      <c r="L301" s="79">
        <v>612.05999999999972</v>
      </c>
      <c r="M301" s="79">
        <v>0</v>
      </c>
      <c r="N301" s="79">
        <v>3.0244631686656035E-2</v>
      </c>
      <c r="O301" s="79">
        <v>255</v>
      </c>
      <c r="P301" s="79">
        <v>129.09500333079711</v>
      </c>
      <c r="Q301" s="79"/>
      <c r="R301" s="79">
        <v>299.62522934905462</v>
      </c>
      <c r="S301" s="79">
        <v>664.77065003695441</v>
      </c>
      <c r="T301" s="79">
        <v>15</v>
      </c>
      <c r="U301" s="79">
        <v>0.2</v>
      </c>
      <c r="V301" s="79">
        <f>tbl_Data_old[[#This Row],[2025 ]]*IFERROR(AVERAGEIFS('Participation Adjustment'!$C:$C,'Participation Adjustment'!$A:$A,$H301,'Participation Adjustment'!$B:$B,$I301),1)</f>
        <v>0</v>
      </c>
      <c r="W301" s="79">
        <f>tbl_Data_old[[#This Row],[2026 ]]*IFERROR(AVERAGEIFS('Participation Adjustment'!$C:$C,'Participation Adjustment'!$A:$A,$H301,'Participation Adjustment'!$B:$B,$I301),1)</f>
        <v>0</v>
      </c>
      <c r="X301" s="79">
        <f>tbl_Data_old[[#This Row],[2027 ]]*IFERROR(AVERAGEIFS('Participation Adjustment'!$C:$C,'Participation Adjustment'!$A:$A,$H301,'Participation Adjustment'!$B:$B,$I301),1)</f>
        <v>0</v>
      </c>
      <c r="Y301" s="79">
        <f>tbl_Data_old[[#This Row],[2028 ]]*IFERROR(AVERAGEIFS('Participation Adjustment'!$C:$C,'Participation Adjustment'!$A:$A,$H301,'Participation Adjustment'!$B:$B,$I301),1)</f>
        <v>0</v>
      </c>
      <c r="Z301" s="79">
        <f>tbl_Data_old[[#This Row],[2029 ]]*IFERROR(AVERAGEIFS('Participation Adjustment'!$C:$C,'Participation Adjustment'!$A:$A,$H301,'Participation Adjustment'!$B:$B,$I301),1)</f>
        <v>0</v>
      </c>
      <c r="AA301" s="79">
        <f>tbl_Data_old[[#This Row],[2030 ]]*IFERROR(AVERAGEIFS('Participation Adjustment'!$C:$C,'Participation Adjustment'!$A:$A,$H301,'Participation Adjustment'!$B:$B,$I301),1)</f>
        <v>0</v>
      </c>
      <c r="AB301" s="79">
        <f>tbl_Data_old[[#This Row],[2031 ]]*IFERROR(AVERAGEIFS('Participation Adjustment'!$C:$C,'Participation Adjustment'!$A:$A,$H301,'Participation Adjustment'!$B:$B,$I301),1)</f>
        <v>0</v>
      </c>
      <c r="AC301" s="79">
        <f>tbl_Data_old[[#This Row],[2032 ]]*IFERROR(AVERAGEIFS('Participation Adjustment'!$C:$C,'Participation Adjustment'!$A:$A,$H301,'Participation Adjustment'!$B:$B,$I301),1)</f>
        <v>0</v>
      </c>
      <c r="AD301" s="79">
        <f>tbl_Data_old[[#This Row],[2033 ]]*IFERROR(AVERAGEIFS('Participation Adjustment'!$C:$C,'Participation Adjustment'!$A:$A,$H301,'Participation Adjustment'!$B:$B,$I301),1)</f>
        <v>0</v>
      </c>
      <c r="AE301" s="79">
        <f>tbl_Data_old[[#This Row],[2034 ]]*IFERROR(AVERAGEIFS('Participation Adjustment'!$C:$C,'Participation Adjustment'!$A:$A,$H301,'Participation Adjustment'!$B:$B,$I301),1)</f>
        <v>0</v>
      </c>
      <c r="AF301" s="77" t="str">
        <f t="shared" si="132"/>
        <v>NonResidential</v>
      </c>
      <c r="AG301" s="77" t="str">
        <f>tbl_Data[[#This Row],[All_Meas_Name_Append]]</f>
        <v>LED Parking Lighting</v>
      </c>
      <c r="AH301" s="77">
        <f>AVERAGEIFS('3. Incentive Adjustment'!G:G,'3. Incentive Adjustment'!A:A,tbl_Data[[#This Row],[Trimmed Sector]],'3. Incentive Adjustment'!B:B,tbl_Data[[#This Row],[Trimmed Measure Name]])</f>
        <v>0.59704067730377497</v>
      </c>
      <c r="AI301" s="77">
        <f>$AH301*tbl_Data[[#This Row],[2025 ]]</f>
        <v>0</v>
      </c>
      <c r="AJ301" s="77">
        <f>$AH301*tbl_Data[[#This Row],[2026 ]]</f>
        <v>0</v>
      </c>
      <c r="AK301" s="77">
        <f>$AH301*tbl_Data[[#This Row],[2027 ]]</f>
        <v>0</v>
      </c>
      <c r="AL301" s="77">
        <f>$AH301*tbl_Data[[#This Row],[2028 ]]</f>
        <v>0</v>
      </c>
      <c r="AM301" s="77">
        <f>$AH301*tbl_Data[[#This Row],[2029 ]]</f>
        <v>0</v>
      </c>
      <c r="AN301" s="77">
        <f>$AH301*tbl_Data[[#This Row],[2030 ]]</f>
        <v>0</v>
      </c>
      <c r="AO301" s="77">
        <f>$AH301*tbl_Data[[#This Row],[2031 ]]</f>
        <v>0</v>
      </c>
      <c r="AP301" s="77">
        <f>$AH301*tbl_Data[[#This Row],[2032 ]]</f>
        <v>0</v>
      </c>
      <c r="AQ301" s="77">
        <f>$AH301*tbl_Data[[#This Row],[2033 ]]</f>
        <v>0</v>
      </c>
      <c r="AR301" s="77">
        <f>$AH301*tbl_Data[[#This Row],[2034 ]]</f>
        <v>0</v>
      </c>
      <c r="AS301" s="77">
        <f>SUM(tbl_Data[[#This Row],[Adjusted 2025]:[Adjusted 2034]])</f>
        <v>0</v>
      </c>
      <c r="AT301" s="80">
        <f>AVERAGEIFS('3. Incentive Adjustment'!F:F,'3. Incentive Adjustment'!A:A,tbl_Data[[#This Row],[Trimmed Sector]],'3. Incentive Adjustment'!B:B,tbl_Data[[#This Row],[Trimmed Measure Name]])</f>
        <v>9.4514474020799994</v>
      </c>
      <c r="AU301" s="80">
        <f>IFERROR(VLOOKUP(tbl_Data[[#This Row],[All_Meas_Name_Append]],'IRA Tax Credits'!$A$3:$D$46,4,0),0)</f>
        <v>0</v>
      </c>
      <c r="AV301" s="81">
        <f>tbl_Data[[#This Row],[Adj. per unit Incentive ($)]]/tbl_Data[[#This Row],[kWh Savings]]*tbl_Data[[#This Row],[Sum of Annuals]]</f>
        <v>0</v>
      </c>
      <c r="AW301" s="81">
        <f>IFERROR(VLOOKUP(tbl_Data[[#This Row],[Column1]],'1. Set Program Names'!$B$2:$D$15,3,0)*tbl_Data[[#This Row],[Sum of Annuals]],"")</f>
        <v>0</v>
      </c>
      <c r="AX301" s="81">
        <f>tbl_Data[[#This Row],[per unit IRA tax ($)]]/tbl_Data[[#This Row],[kWh Savings]]*tbl_Data[[#This Row],[Sum of Annuals]]</f>
        <v>0</v>
      </c>
      <c r="AY301" s="81">
        <f>tbl_Data[[#This Row],[Avoided Costs ($/unit)]]/tbl_Data[[#This Row],[kWh Savings]]*tbl_Data[[#This Row],[Sum of Annuals]]</f>
        <v>0</v>
      </c>
      <c r="AZ301" s="81">
        <f>tbl_Data[[#This Row],[Lost Revenue ($/unit)]]/tbl_Data[[#This Row],[kWh Savings]]*tbl_Data[[#This Row],[Sum of Annuals]]</f>
        <v>0</v>
      </c>
      <c r="BA301" s="81">
        <f>tbl_Data[[#This Row],[Incremental Cost ($/unit)]]/tbl_Data[[#This Row],[kWh Savings]]*tbl_Data[[#This Row],[Sum of Annuals]]</f>
        <v>0</v>
      </c>
      <c r="BB301" s="77">
        <f>ROUNDUP(tbl_Data[[#This Row],[Adjusted 2025]]/$L301,0)</f>
        <v>0</v>
      </c>
      <c r="BC301" s="77">
        <f>ROUNDUP(tbl_Data[[#This Row],[Adjusted 2026]]/$L301,0)</f>
        <v>0</v>
      </c>
      <c r="BD301" s="77">
        <f>ROUNDUP(tbl_Data[[#This Row],[Adjusted 2027]]/$L301,0)</f>
        <v>0</v>
      </c>
      <c r="BE301" s="77">
        <f>ROUNDUP(tbl_Data[[#This Row],[Adjusted 2028]]/$L301,0)</f>
        <v>0</v>
      </c>
      <c r="BF301" s="77">
        <f>ROUNDUP(tbl_Data[[#This Row],[Adjusted 2029]]/$L301,0)</f>
        <v>0</v>
      </c>
      <c r="BG301" s="77">
        <f>ROUNDUP(tbl_Data[[#This Row],[Adjusted 2030]]/$L301,0)</f>
        <v>0</v>
      </c>
      <c r="BH301" s="77">
        <f>ROUNDUP(tbl_Data[[#This Row],[Adjusted 2031]]/$L301,0)</f>
        <v>0</v>
      </c>
      <c r="BI301" s="77">
        <f>ROUNDUP(tbl_Data[[#This Row],[Adjusted 2032]]/$L301,0)</f>
        <v>0</v>
      </c>
      <c r="BJ301" s="77">
        <f>ROUNDUP(tbl_Data[[#This Row],[Adjusted 2033]]/$L301,0)</f>
        <v>0</v>
      </c>
      <c r="BK301" s="77">
        <f>ROUNDUP(tbl_Data[[#This Row],[Adjusted 2034]]/$L301,0)</f>
        <v>0</v>
      </c>
      <c r="BL301" s="80">
        <f t="shared" si="133"/>
        <v>0</v>
      </c>
      <c r="BM301" s="80">
        <f t="shared" si="134"/>
        <v>0</v>
      </c>
      <c r="BN301" s="80">
        <f t="shared" si="135"/>
        <v>0</v>
      </c>
      <c r="BO301" s="80">
        <f t="shared" si="136"/>
        <v>0</v>
      </c>
      <c r="BP301" s="80">
        <f t="shared" si="137"/>
        <v>0</v>
      </c>
      <c r="BQ301" s="80">
        <f t="shared" si="138"/>
        <v>0</v>
      </c>
      <c r="BR301" s="80">
        <f t="shared" si="139"/>
        <v>0</v>
      </c>
      <c r="BS301" s="80">
        <f t="shared" si="140"/>
        <v>0</v>
      </c>
      <c r="BT301" s="80">
        <f t="shared" si="141"/>
        <v>0</v>
      </c>
      <c r="BU301" s="80">
        <f t="shared" si="142"/>
        <v>0</v>
      </c>
      <c r="BV301" s="80">
        <f>IFERROR(VLOOKUP($H301,'1. Set Program Names'!$B$2:$D$15,3,0)*V301,"NA")</f>
        <v>0</v>
      </c>
      <c r="BW301" s="80">
        <f>IFERROR(VLOOKUP($H301,'1. Set Program Names'!$B$2:$D$15,3,0)*W301,"NA")</f>
        <v>0</v>
      </c>
      <c r="BX301" s="80">
        <f>IFERROR(VLOOKUP($H301,'1. Set Program Names'!$B$2:$D$15,3,0)*X301,"NA")</f>
        <v>0</v>
      </c>
      <c r="BY301" s="80">
        <f>IFERROR(VLOOKUP($H301,'1. Set Program Names'!$B$2:$D$15,3,0)*Y301,"NA")</f>
        <v>0</v>
      </c>
      <c r="BZ301" s="80">
        <f>IFERROR(VLOOKUP($H301,'1. Set Program Names'!$B$2:$D$15,3,0)*Z301,"NA")</f>
        <v>0</v>
      </c>
      <c r="CA301" s="80">
        <f>IFERROR(VLOOKUP($H301,'1. Set Program Names'!$B$2:$D$15,3,0)*AA301,"NA")</f>
        <v>0</v>
      </c>
      <c r="CB301" s="80">
        <f>IFERROR(VLOOKUP($H301,'1. Set Program Names'!$B$2:$D$15,3,0)*AB301,"NA")</f>
        <v>0</v>
      </c>
      <c r="CC301" s="80">
        <f>IFERROR(VLOOKUP($H301,'1. Set Program Names'!$B$2:$D$15,3,0)*AC301,"NA")</f>
        <v>0</v>
      </c>
      <c r="CD301" s="80">
        <f>IFERROR(VLOOKUP($H301,'1. Set Program Names'!$B$2:$D$15,3,0)*AD301,"NA")</f>
        <v>0</v>
      </c>
      <c r="CE301" s="80">
        <f>IFERROR(VLOOKUP($H301,'1. Set Program Names'!$B$2:$D$15,3,0)*AE301,"NA")</f>
        <v>0</v>
      </c>
    </row>
    <row r="302" spans="1:83" x14ac:dyDescent="0.25">
      <c r="A302" s="79" t="s">
        <v>115</v>
      </c>
      <c r="B302" s="79" t="s">
        <v>88</v>
      </c>
      <c r="C302" s="79" t="s">
        <v>122</v>
      </c>
      <c r="D302" s="79" t="s">
        <v>90</v>
      </c>
      <c r="E302" s="79" t="s">
        <v>91</v>
      </c>
      <c r="F302" s="79" t="s">
        <v>90</v>
      </c>
      <c r="G302" s="79" t="s">
        <v>92</v>
      </c>
      <c r="H302" s="79" t="s">
        <v>14</v>
      </c>
      <c r="I302" s="79" t="s">
        <v>165</v>
      </c>
      <c r="J302" s="79" t="s">
        <v>161</v>
      </c>
      <c r="K302" s="79" t="s">
        <v>166</v>
      </c>
      <c r="L302" s="79">
        <v>510.6</v>
      </c>
      <c r="M302" s="79">
        <v>6.2552429943266097E-2</v>
      </c>
      <c r="N302" s="79">
        <v>6.4361142955417797E-2</v>
      </c>
      <c r="O302" s="79">
        <v>129</v>
      </c>
      <c r="P302" s="79">
        <v>26.468747947944401</v>
      </c>
      <c r="Q302" s="79">
        <v>18.177204243412199</v>
      </c>
      <c r="R302" s="79">
        <v>174.74401692254699</v>
      </c>
      <c r="S302" s="79">
        <v>419.99719394182398</v>
      </c>
      <c r="T302" s="79">
        <v>10</v>
      </c>
      <c r="U302" s="79">
        <v>0.2</v>
      </c>
      <c r="V302" s="79">
        <f>tbl_Data_old[[#This Row],[2025 ]]*IFERROR(AVERAGEIFS('Participation Adjustment'!$C:$C,'Participation Adjustment'!$A:$A,$H302,'Participation Adjustment'!$B:$B,$I302),1)</f>
        <v>1.0097684520058099</v>
      </c>
      <c r="W302" s="79">
        <f>tbl_Data_old[[#This Row],[2026 ]]*IFERROR(AVERAGEIFS('Participation Adjustment'!$C:$C,'Participation Adjustment'!$A:$A,$H302,'Participation Adjustment'!$B:$B,$I302),1)</f>
        <v>2.3946091870767501</v>
      </c>
      <c r="X302" s="79">
        <f>tbl_Data_old[[#This Row],[2027 ]]*IFERROR(AVERAGEIFS('Participation Adjustment'!$C:$C,'Participation Adjustment'!$A:$A,$H302,'Participation Adjustment'!$B:$B,$I302),1)</f>
        <v>4.2367473163916403</v>
      </c>
      <c r="Y302" s="79">
        <f>tbl_Data_old[[#This Row],[2028 ]]*IFERROR(AVERAGEIFS('Participation Adjustment'!$C:$C,'Participation Adjustment'!$A:$A,$H302,'Participation Adjustment'!$B:$B,$I302),1)</f>
        <v>6.61277522749974</v>
      </c>
      <c r="Z302" s="79">
        <f>tbl_Data_old[[#This Row],[2029 ]]*IFERROR(AVERAGEIFS('Participation Adjustment'!$C:$C,'Participation Adjustment'!$A:$A,$H302,'Participation Adjustment'!$B:$B,$I302),1)</f>
        <v>9.5558167537335201</v>
      </c>
      <c r="AA302" s="79">
        <f>tbl_Data_old[[#This Row],[2030 ]]*IFERROR(AVERAGEIFS('Participation Adjustment'!$C:$C,'Participation Adjustment'!$A:$A,$H302,'Participation Adjustment'!$B:$B,$I302),1)</f>
        <v>13.011077387168999</v>
      </c>
      <c r="AB302" s="79">
        <f>tbl_Data_old[[#This Row],[2031 ]]*IFERROR(AVERAGEIFS('Participation Adjustment'!$C:$C,'Participation Adjustment'!$A:$A,$H302,'Participation Adjustment'!$B:$B,$I302),1)</f>
        <v>16.809227297444501</v>
      </c>
      <c r="AC302" s="79">
        <f>tbl_Data_old[[#This Row],[2032 ]]*IFERROR(AVERAGEIFS('Participation Adjustment'!$C:$C,'Participation Adjustment'!$A:$A,$H302,'Participation Adjustment'!$B:$B,$I302),1)</f>
        <v>20.6731069652065</v>
      </c>
      <c r="AD302" s="79">
        <f>tbl_Data_old[[#This Row],[2033 ]]*IFERROR(AVERAGEIFS('Participation Adjustment'!$C:$C,'Participation Adjustment'!$A:$A,$H302,'Participation Adjustment'!$B:$B,$I302),1)</f>
        <v>24.270260196072002</v>
      </c>
      <c r="AE302" s="79">
        <f>tbl_Data_old[[#This Row],[2034 ]]*IFERROR(AVERAGEIFS('Participation Adjustment'!$C:$C,'Participation Adjustment'!$A:$A,$H302,'Participation Adjustment'!$B:$B,$I302),1)</f>
        <v>27.321521165481101</v>
      </c>
      <c r="AF302" s="77" t="str">
        <f t="shared" si="132"/>
        <v>NonResidential</v>
      </c>
      <c r="AG302" s="77" t="str">
        <f>tbl_Data[[#This Row],[All_Meas_Name_Append]]</f>
        <v>Occupancy Sensors_ Ceiling Mounted</v>
      </c>
      <c r="AH302" s="77">
        <f>AVERAGEIFS('3. Incentive Adjustment'!G:G,'3. Incentive Adjustment'!A:A,tbl_Data[[#This Row],[Trimmed Sector]],'3. Incentive Adjustment'!B:B,tbl_Data[[#This Row],[Trimmed Measure Name]])</f>
        <v>0.99348124042467356</v>
      </c>
      <c r="AI302" s="77">
        <f>$AH302*tbl_Data[[#This Row],[2025 ]]</f>
        <v>1.0031860142404345</v>
      </c>
      <c r="AJ302" s="77">
        <f>$AH302*tbl_Data[[#This Row],[2026 ]]</f>
        <v>2.3789993055093288</v>
      </c>
      <c r="AK302" s="77">
        <f>$AH302*tbl_Data[[#This Row],[2027 ]]</f>
        <v>4.2091289792546736</v>
      </c>
      <c r="AL302" s="77">
        <f>$AH302*tbl_Data[[#This Row],[2028 ]]</f>
        <v>6.5696681356659949</v>
      </c>
      <c r="AM302" s="77">
        <f>$AH302*tbl_Data[[#This Row],[2029 ]]</f>
        <v>9.4935246817700545</v>
      </c>
      <c r="AN302" s="77">
        <f>$AH302*tbl_Data[[#This Row],[2030 ]]</f>
        <v>12.926261301866077</v>
      </c>
      <c r="AO302" s="77">
        <f>$AH302*tbl_Data[[#This Row],[2031 ]]</f>
        <v>16.699651986045446</v>
      </c>
      <c r="AP302" s="77">
        <f>$AH302*tbl_Data[[#This Row],[2032 ]]</f>
        <v>20.538343951225311</v>
      </c>
      <c r="AQ302" s="77">
        <f>$AH302*tbl_Data[[#This Row],[2033 ]]</f>
        <v>24.112048205023193</v>
      </c>
      <c r="AR302" s="77">
        <f>$AH302*tbl_Data[[#This Row],[2034 ]]</f>
        <v>27.143418737771139</v>
      </c>
      <c r="AS302" s="77">
        <f>SUM(tbl_Data[[#This Row],[Adjusted 2025]:[Adjusted 2034]])</f>
        <v>125.07423129837166</v>
      </c>
      <c r="AT302" s="80">
        <f>AVERAGEIFS('3. Incentive Adjustment'!F:F,'3. Incentive Adjustment'!A:A,tbl_Data[[#This Row],[Trimmed Sector]],'3. Incentive Adjustment'!B:B,tbl_Data[[#This Row],[Trimmed Measure Name]])</f>
        <v>19.547634357270656</v>
      </c>
      <c r="AU302" s="80">
        <f>IFERROR(VLOOKUP(tbl_Data[[#This Row],[All_Meas_Name_Append]],'IRA Tax Credits'!$A$3:$D$46,4,0),0)</f>
        <v>0</v>
      </c>
      <c r="AV302" s="81">
        <f>tbl_Data[[#This Row],[Adj. per unit Incentive ($)]]/tbl_Data[[#This Row],[kWh Savings]]*tbl_Data[[#This Row],[Sum of Annuals]]</f>
        <v>4.7882987484082777</v>
      </c>
      <c r="AW302" s="81">
        <f>IFERROR(VLOOKUP(tbl_Data[[#This Row],[Column1]],'1. Set Program Names'!$B$2:$D$15,3,0)*tbl_Data[[#This Row],[Sum of Annuals]],"")</f>
        <v>4.452604480803525</v>
      </c>
      <c r="AX302" s="81">
        <f>tbl_Data[[#This Row],[per unit IRA tax ($)]]/tbl_Data[[#This Row],[kWh Savings]]*tbl_Data[[#This Row],[Sum of Annuals]]</f>
        <v>0</v>
      </c>
      <c r="AY302" s="81">
        <f>tbl_Data[[#This Row],[Avoided Costs ($/unit)]]/tbl_Data[[#This Row],[kWh Savings]]*tbl_Data[[#This Row],[Sum of Annuals]]</f>
        <v>42.804491951776761</v>
      </c>
      <c r="AZ302" s="81">
        <f>tbl_Data[[#This Row],[Lost Revenue ($/unit)]]/tbl_Data[[#This Row],[kWh Savings]]*tbl_Data[[#This Row],[Sum of Annuals]]</f>
        <v>102.88058397913582</v>
      </c>
      <c r="BA302" s="81">
        <f>tbl_Data[[#This Row],[Incremental Cost ($/unit)]]/tbl_Data[[#This Row],[kWh Savings]]*tbl_Data[[#This Row],[Sum of Annuals]]</f>
        <v>31.599247625323038</v>
      </c>
      <c r="BB302" s="77">
        <f>ROUNDUP(tbl_Data[[#This Row],[Adjusted 2025]]/$L302,0)</f>
        <v>1</v>
      </c>
      <c r="BC302" s="77">
        <f>ROUNDUP(tbl_Data[[#This Row],[Adjusted 2026]]/$L302,0)</f>
        <v>1</v>
      </c>
      <c r="BD302" s="77">
        <f>ROUNDUP(tbl_Data[[#This Row],[Adjusted 2027]]/$L302,0)</f>
        <v>1</v>
      </c>
      <c r="BE302" s="77">
        <f>ROUNDUP(tbl_Data[[#This Row],[Adjusted 2028]]/$L302,0)</f>
        <v>1</v>
      </c>
      <c r="BF302" s="77">
        <f>ROUNDUP(tbl_Data[[#This Row],[Adjusted 2029]]/$L302,0)</f>
        <v>1</v>
      </c>
      <c r="BG302" s="77">
        <f>ROUNDUP(tbl_Data[[#This Row],[Adjusted 2030]]/$L302,0)</f>
        <v>1</v>
      </c>
      <c r="BH302" s="77">
        <f>ROUNDUP(tbl_Data[[#This Row],[Adjusted 2031]]/$L302,0)</f>
        <v>1</v>
      </c>
      <c r="BI302" s="77">
        <f>ROUNDUP(tbl_Data[[#This Row],[Adjusted 2032]]/$L302,0)</f>
        <v>1</v>
      </c>
      <c r="BJ302" s="77">
        <f>ROUNDUP(tbl_Data[[#This Row],[Adjusted 2033]]/$L302,0)</f>
        <v>1</v>
      </c>
      <c r="BK302" s="77">
        <f>ROUNDUP(tbl_Data[[#This Row],[Adjusted 2034]]/$L302,0)</f>
        <v>1</v>
      </c>
      <c r="BL302" s="80">
        <f t="shared" si="133"/>
        <v>3.8657627272457452E-2</v>
      </c>
      <c r="BM302" s="80">
        <f t="shared" si="134"/>
        <v>9.1674392513782677E-2</v>
      </c>
      <c r="BN302" s="80">
        <f t="shared" si="135"/>
        <v>0.16219817353108398</v>
      </c>
      <c r="BO302" s="80">
        <f t="shared" si="136"/>
        <v>0.25316120688206462</v>
      </c>
      <c r="BP302" s="80">
        <f t="shared" si="137"/>
        <v>0.36583159398171544</v>
      </c>
      <c r="BQ302" s="80">
        <f t="shared" si="138"/>
        <v>0.49811160078051714</v>
      </c>
      <c r="BR302" s="80">
        <f t="shared" si="139"/>
        <v>0.64351866243379929</v>
      </c>
      <c r="BS302" s="80">
        <f t="shared" si="140"/>
        <v>0.79144209946063826</v>
      </c>
      <c r="BT302" s="80">
        <f t="shared" si="141"/>
        <v>0.92915427353825997</v>
      </c>
      <c r="BU302" s="80">
        <f t="shared" si="142"/>
        <v>1.0459676964889459</v>
      </c>
      <c r="BV302" s="80">
        <f>IFERROR(VLOOKUP($H302,'1. Set Program Names'!$B$2:$D$15,3,0)*V302,"NA")</f>
        <v>3.5947448865381454E-2</v>
      </c>
      <c r="BW302" s="80">
        <f>IFERROR(VLOOKUP($H302,'1. Set Program Names'!$B$2:$D$15,3,0)*W302,"NA")</f>
        <v>8.5247356593508281E-2</v>
      </c>
      <c r="BX302" s="80">
        <f>IFERROR(VLOOKUP($H302,'1. Set Program Names'!$B$2:$D$15,3,0)*X302,"NA")</f>
        <v>0.15082691205988907</v>
      </c>
      <c r="BY302" s="80">
        <f>IFERROR(VLOOKUP($H302,'1. Set Program Names'!$B$2:$D$15,3,0)*Y302,"NA")</f>
        <v>0.23541278089706094</v>
      </c>
      <c r="BZ302" s="80">
        <f>IFERROR(VLOOKUP($H302,'1. Set Program Names'!$B$2:$D$15,3,0)*Z302,"NA")</f>
        <v>0.34018416146736052</v>
      </c>
      <c r="CA302" s="80">
        <f>IFERROR(VLOOKUP($H302,'1. Set Program Names'!$B$2:$D$15,3,0)*AA302,"NA")</f>
        <v>0.46319038600355034</v>
      </c>
      <c r="CB302" s="80">
        <f>IFERROR(VLOOKUP($H302,'1. Set Program Names'!$B$2:$D$15,3,0)*AB302,"NA")</f>
        <v>0.5984033641981753</v>
      </c>
      <c r="CC302" s="80">
        <f>IFERROR(VLOOKUP($H302,'1. Set Program Names'!$B$2:$D$15,3,0)*AC302,"NA")</f>
        <v>0.73595630170870707</v>
      </c>
      <c r="CD302" s="80">
        <f>IFERROR(VLOOKUP($H302,'1. Set Program Names'!$B$2:$D$15,3,0)*AD302,"NA")</f>
        <v>0.86401385942960851</v>
      </c>
      <c r="CE302" s="80">
        <f>IFERROR(VLOOKUP($H302,'1. Set Program Names'!$B$2:$D$15,3,0)*AE302,"NA")</f>
        <v>0.97263781916502001</v>
      </c>
    </row>
    <row r="303" spans="1:83" x14ac:dyDescent="0.25">
      <c r="A303" s="79" t="s">
        <v>115</v>
      </c>
      <c r="B303" s="79" t="s">
        <v>88</v>
      </c>
      <c r="C303" s="79" t="s">
        <v>122</v>
      </c>
      <c r="D303" s="79" t="s">
        <v>90</v>
      </c>
      <c r="E303" s="79" t="s">
        <v>91</v>
      </c>
      <c r="F303" s="79" t="s">
        <v>90</v>
      </c>
      <c r="G303" s="79" t="s">
        <v>92</v>
      </c>
      <c r="H303" s="79" t="s">
        <v>14</v>
      </c>
      <c r="I303" s="79" t="s">
        <v>154</v>
      </c>
      <c r="J303" s="79" t="s">
        <v>129</v>
      </c>
      <c r="K303" s="79" t="s">
        <v>102</v>
      </c>
      <c r="L303" s="79">
        <v>111105.09249999899</v>
      </c>
      <c r="M303" s="79">
        <v>30.6532165911823</v>
      </c>
      <c r="N303" s="79">
        <v>0</v>
      </c>
      <c r="O303" s="79">
        <v>40257.675000000003</v>
      </c>
      <c r="P303" s="79">
        <v>17605.607636663401</v>
      </c>
      <c r="Q303" s="79">
        <v>3955.3074008141398</v>
      </c>
      <c r="R303" s="79">
        <v>56706.982631731698</v>
      </c>
      <c r="S303" s="79">
        <v>120673.47084214</v>
      </c>
      <c r="T303" s="79">
        <v>15</v>
      </c>
      <c r="U303" s="79">
        <v>0.95</v>
      </c>
      <c r="V303" s="79">
        <f>tbl_Data_old[[#This Row],[2025 ]]*IFERROR(AVERAGEIFS('Participation Adjustment'!$C:$C,'Participation Adjustment'!$A:$A,$H303,'Participation Adjustment'!$B:$B,$I303),1)</f>
        <v>1.0947170580366681</v>
      </c>
      <c r="W303" s="79">
        <f>tbl_Data_old[[#This Row],[2026 ]]*IFERROR(AVERAGEIFS('Participation Adjustment'!$C:$C,'Participation Adjustment'!$A:$A,$H303,'Participation Adjustment'!$B:$B,$I303),1)</f>
        <v>2.19336380019198</v>
      </c>
      <c r="X303" s="79">
        <f>tbl_Data_old[[#This Row],[2027 ]]*IFERROR(AVERAGEIFS('Participation Adjustment'!$C:$C,'Participation Adjustment'!$A:$A,$H303,'Participation Adjustment'!$B:$B,$I303),1)</f>
        <v>3.30000390026904</v>
      </c>
      <c r="Y303" s="79">
        <f>tbl_Data_old[[#This Row],[2028 ]]*IFERROR(AVERAGEIFS('Participation Adjustment'!$C:$C,'Participation Adjustment'!$A:$A,$H303,'Participation Adjustment'!$B:$B,$I303),1)</f>
        <v>4.4168728661190801</v>
      </c>
      <c r="Z303" s="79">
        <f>tbl_Data_old[[#This Row],[2029 ]]*IFERROR(AVERAGEIFS('Participation Adjustment'!$C:$C,'Participation Adjustment'!$A:$A,$H303,'Participation Adjustment'!$B:$B,$I303),1)</f>
        <v>5.5406033003123403</v>
      </c>
      <c r="AA303" s="79">
        <f>tbl_Data_old[[#This Row],[2030 ]]*IFERROR(AVERAGEIFS('Participation Adjustment'!$C:$C,'Participation Adjustment'!$A:$A,$H303,'Participation Adjustment'!$B:$B,$I303),1)</f>
        <v>6.6710294044274203</v>
      </c>
      <c r="AB303" s="79">
        <f>tbl_Data_old[[#This Row],[2031 ]]*IFERROR(AVERAGEIFS('Participation Adjustment'!$C:$C,'Participation Adjustment'!$A:$A,$H303,'Participation Adjustment'!$B:$B,$I303),1)</f>
        <v>7.8036448348256808</v>
      </c>
      <c r="AC303" s="79">
        <f>tbl_Data_old[[#This Row],[2032 ]]*IFERROR(AVERAGEIFS('Participation Adjustment'!$C:$C,'Participation Adjustment'!$A:$A,$H303,'Participation Adjustment'!$B:$B,$I303),1)</f>
        <v>8.9370368107112803</v>
      </c>
      <c r="AD303" s="79">
        <f>tbl_Data_old[[#This Row],[2033 ]]*IFERROR(AVERAGEIFS('Participation Adjustment'!$C:$C,'Participation Adjustment'!$A:$A,$H303,'Participation Adjustment'!$B:$B,$I303),1)</f>
        <v>10.077011559204161</v>
      </c>
      <c r="AE303" s="79">
        <f>tbl_Data_old[[#This Row],[2034 ]]*IFERROR(AVERAGEIFS('Participation Adjustment'!$C:$C,'Participation Adjustment'!$A:$A,$H303,'Participation Adjustment'!$B:$B,$I303),1)</f>
        <v>11.220758520182059</v>
      </c>
      <c r="AF303" s="77" t="str">
        <f t="shared" si="132"/>
        <v>NonResidential</v>
      </c>
      <c r="AG303" s="77" t="str">
        <f>tbl_Data[[#This Row],[All_Meas_Name_Append]]</f>
        <v>Reflective Roof Treatment</v>
      </c>
      <c r="AH303" s="77">
        <f>AVERAGEIFS('3. Incentive Adjustment'!G:G,'3. Incentive Adjustment'!A:A,tbl_Data[[#This Row],[Trimmed Sector]],'3. Incentive Adjustment'!B:B,tbl_Data[[#This Row],[Trimmed Measure Name]])</f>
        <v>0.87696681614875649</v>
      </c>
      <c r="AI303" s="77">
        <f>$AH303*tbl_Data[[#This Row],[2025 ]]</f>
        <v>0.96003053297015029</v>
      </c>
      <c r="AJ303" s="77">
        <f>$AH303*tbl_Data[[#This Row],[2026 ]]</f>
        <v>1.9235072685102979</v>
      </c>
      <c r="AK303" s="77">
        <f>$AH303*tbl_Data[[#This Row],[2027 ]]</f>
        <v>2.8939939136974187</v>
      </c>
      <c r="AL303" s="77">
        <f>$AH303*tbl_Data[[#This Row],[2028 ]]</f>
        <v>3.8734509347342825</v>
      </c>
      <c r="AM303" s="77">
        <f>$AH303*tbl_Data[[#This Row],[2029 ]]</f>
        <v>4.8589252358182051</v>
      </c>
      <c r="AN303" s="77">
        <f>$AH303*tbl_Data[[#This Row],[2030 ]]</f>
        <v>5.85027141723545</v>
      </c>
      <c r="AO303" s="77">
        <f>$AH303*tbl_Data[[#This Row],[2031 ]]</f>
        <v>6.8435375651527659</v>
      </c>
      <c r="AP303" s="77">
        <f>$AH303*tbl_Data[[#This Row],[2032 ]]</f>
        <v>7.8374847176937088</v>
      </c>
      <c r="AQ303" s="77">
        <f>$AH303*tbl_Data[[#This Row],[2033 ]]</f>
        <v>8.8372047433694902</v>
      </c>
      <c r="AR303" s="77">
        <f>$AH303*tbl_Data[[#This Row],[2034 ]]</f>
        <v>9.840232874218092</v>
      </c>
      <c r="AS303" s="77">
        <f>SUM(tbl_Data[[#This Row],[Adjusted 2025]:[Adjusted 2034]])</f>
        <v>53.71863920339986</v>
      </c>
      <c r="AT303" s="80">
        <f>AVERAGEIFS('3. Incentive Adjustment'!F:F,'3. Incentive Adjustment'!A:A,tbl_Data[[#This Row],[Trimmed Sector]],'3. Incentive Adjustment'!B:B,tbl_Data[[#This Row],[Trimmed Measure Name]])</f>
        <v>12077.302499999998</v>
      </c>
      <c r="AU303" s="80">
        <f>IFERROR(VLOOKUP(tbl_Data[[#This Row],[All_Meas_Name_Append]],'IRA Tax Credits'!$A$3:$D$46,4,0),0)</f>
        <v>0</v>
      </c>
      <c r="AV303" s="81">
        <f>tbl_Data[[#This Row],[Adj. per unit Incentive ($)]]/tbl_Data[[#This Row],[kWh Savings]]*tbl_Data[[#This Row],[Sum of Annuals]]</f>
        <v>5.8393026003540287</v>
      </c>
      <c r="AW303" s="81">
        <f>IFERROR(VLOOKUP(tbl_Data[[#This Row],[Column1]],'1. Set Program Names'!$B$2:$D$15,3,0)*tbl_Data[[#This Row],[Sum of Annuals]],"")</f>
        <v>1.9123671689744783</v>
      </c>
      <c r="AX303" s="81">
        <f>tbl_Data[[#This Row],[per unit IRA tax ($)]]/tbl_Data[[#This Row],[kWh Savings]]*tbl_Data[[#This Row],[Sum of Annuals]]</f>
        <v>0</v>
      </c>
      <c r="AY303" s="81">
        <f>tbl_Data[[#This Row],[Avoided Costs ($/unit)]]/tbl_Data[[#This Row],[kWh Savings]]*tbl_Data[[#This Row],[Sum of Annuals]]</f>
        <v>27.417482599256058</v>
      </c>
      <c r="AZ303" s="81">
        <f>tbl_Data[[#This Row],[Lost Revenue ($/unit)]]/tbl_Data[[#This Row],[kWh Savings]]*tbl_Data[[#This Row],[Sum of Annuals]]</f>
        <v>58.344892171265414</v>
      </c>
      <c r="BA303" s="81">
        <f>tbl_Data[[#This Row],[Incremental Cost ($/unit)]]/tbl_Data[[#This Row],[kWh Savings]]*tbl_Data[[#This Row],[Sum of Annuals]]</f>
        <v>19.464342001180103</v>
      </c>
      <c r="BB303" s="77">
        <f>ROUNDUP(tbl_Data[[#This Row],[Adjusted 2025]]/$L303,0)</f>
        <v>1</v>
      </c>
      <c r="BC303" s="77">
        <f>ROUNDUP(tbl_Data[[#This Row],[Adjusted 2026]]/$L303,0)</f>
        <v>1</v>
      </c>
      <c r="BD303" s="77">
        <f>ROUNDUP(tbl_Data[[#This Row],[Adjusted 2027]]/$L303,0)</f>
        <v>1</v>
      </c>
      <c r="BE303" s="77">
        <f>ROUNDUP(tbl_Data[[#This Row],[Adjusted 2028]]/$L303,0)</f>
        <v>1</v>
      </c>
      <c r="BF303" s="77">
        <f>ROUNDUP(tbl_Data[[#This Row],[Adjusted 2029]]/$L303,0)</f>
        <v>1</v>
      </c>
      <c r="BG303" s="77">
        <f>ROUNDUP(tbl_Data[[#This Row],[Adjusted 2030]]/$L303,0)</f>
        <v>1</v>
      </c>
      <c r="BH303" s="77">
        <f>ROUNDUP(tbl_Data[[#This Row],[Adjusted 2031]]/$L303,0)</f>
        <v>1</v>
      </c>
      <c r="BI303" s="77">
        <f>ROUNDUP(tbl_Data[[#This Row],[Adjusted 2032]]/$L303,0)</f>
        <v>1</v>
      </c>
      <c r="BJ303" s="77">
        <f>ROUNDUP(tbl_Data[[#This Row],[Adjusted 2033]]/$L303,0)</f>
        <v>1</v>
      </c>
      <c r="BK303" s="77">
        <f>ROUNDUP(tbl_Data[[#This Row],[Adjusted 2034]]/$L303,0)</f>
        <v>1</v>
      </c>
      <c r="BL303" s="80">
        <f t="shared" si="133"/>
        <v>0.11899750735385071</v>
      </c>
      <c r="BM303" s="80">
        <f t="shared" si="134"/>
        <v>0.23842217770052562</v>
      </c>
      <c r="BN303" s="80">
        <f t="shared" si="135"/>
        <v>0.35871573892735281</v>
      </c>
      <c r="BO303" s="80">
        <f t="shared" si="136"/>
        <v>0.48012119433825778</v>
      </c>
      <c r="BP303" s="80">
        <f t="shared" si="137"/>
        <v>0.6022725024091139</v>
      </c>
      <c r="BQ303" s="80">
        <f t="shared" si="138"/>
        <v>0.72515164058448101</v>
      </c>
      <c r="BR303" s="80">
        <f t="shared" si="139"/>
        <v>0.84826876205294666</v>
      </c>
      <c r="BS303" s="80">
        <f t="shared" si="140"/>
        <v>0.9714702952665859</v>
      </c>
      <c r="BT303" s="80">
        <f t="shared" si="141"/>
        <v>1.0953873864648138</v>
      </c>
      <c r="BU303" s="80">
        <f t="shared" si="142"/>
        <v>1.2197145232356681</v>
      </c>
      <c r="BV303" s="80">
        <f>IFERROR(VLOOKUP($H303,'1. Set Program Names'!$B$2:$D$15,3,0)*V303,"NA")</f>
        <v>3.897159332683086E-2</v>
      </c>
      <c r="BW303" s="80">
        <f>IFERROR(VLOOKUP($H303,'1. Set Program Names'!$B$2:$D$15,3,0)*W303,"NA")</f>
        <v>7.808308220955025E-2</v>
      </c>
      <c r="BX303" s="80">
        <f>IFERROR(VLOOKUP($H303,'1. Set Program Names'!$B$2:$D$15,3,0)*X303,"NA")</f>
        <v>0.11747913219594044</v>
      </c>
      <c r="BY303" s="80">
        <f>IFERROR(VLOOKUP($H303,'1. Set Program Names'!$B$2:$D$15,3,0)*Y303,"NA")</f>
        <v>0.15723932668357213</v>
      </c>
      <c r="BZ303" s="80">
        <f>IFERROR(VLOOKUP($H303,'1. Set Program Names'!$B$2:$D$15,3,0)*Z303,"NA")</f>
        <v>0.19724378735115763</v>
      </c>
      <c r="CA303" s="80">
        <f>IFERROR(VLOOKUP($H303,'1. Set Program Names'!$B$2:$D$15,3,0)*AA303,"NA")</f>
        <v>0.23748661182547129</v>
      </c>
      <c r="CB303" s="80">
        <f>IFERROR(VLOOKUP($H303,'1. Set Program Names'!$B$2:$D$15,3,0)*AB303,"NA")</f>
        <v>0.27780737564762048</v>
      </c>
      <c r="CC303" s="80">
        <f>IFERROR(VLOOKUP($H303,'1. Set Program Names'!$B$2:$D$15,3,0)*AC303,"NA")</f>
        <v>0.31815578425223673</v>
      </c>
      <c r="CD303" s="80">
        <f>IFERROR(VLOOKUP($H303,'1. Set Program Names'!$B$2:$D$15,3,0)*AD303,"NA")</f>
        <v>0.35873853755362245</v>
      </c>
      <c r="CE303" s="80">
        <f>IFERROR(VLOOKUP($H303,'1. Set Program Names'!$B$2:$D$15,3,0)*AE303,"NA")</f>
        <v>0.39945558046877572</v>
      </c>
    </row>
    <row r="304" spans="1:83" x14ac:dyDescent="0.25">
      <c r="A304" s="79" t="s">
        <v>115</v>
      </c>
      <c r="B304" s="79" t="s">
        <v>88</v>
      </c>
      <c r="C304" s="79" t="s">
        <v>122</v>
      </c>
      <c r="D304" s="79" t="s">
        <v>90</v>
      </c>
      <c r="E304" s="79" t="s">
        <v>91</v>
      </c>
      <c r="F304" s="79" t="s">
        <v>90</v>
      </c>
      <c r="G304" s="79" t="s">
        <v>92</v>
      </c>
      <c r="H304" s="79" t="s">
        <v>14</v>
      </c>
      <c r="I304" s="79" t="s">
        <v>167</v>
      </c>
      <c r="J304" s="79" t="s">
        <v>124</v>
      </c>
      <c r="K304" s="79" t="s">
        <v>98</v>
      </c>
      <c r="L304" s="79">
        <v>151.65999999999994</v>
      </c>
      <c r="M304" s="79">
        <v>2.2013191527321094E-2</v>
      </c>
      <c r="N304" s="79">
        <v>1.952960139549019E-2</v>
      </c>
      <c r="O304" s="79">
        <v>56.59999999999998</v>
      </c>
      <c r="P304" s="79">
        <v>25.402483751835906</v>
      </c>
      <c r="Q304" s="79"/>
      <c r="R304" s="79">
        <v>70.56447857633529</v>
      </c>
      <c r="S304" s="79">
        <v>171.41744415542868</v>
      </c>
      <c r="T304" s="79">
        <v>16</v>
      </c>
      <c r="U304" s="79">
        <v>0.2</v>
      </c>
      <c r="V304" s="79">
        <f>tbl_Data_old[[#This Row],[2025 ]]*IFERROR(AVERAGEIFS('Participation Adjustment'!$C:$C,'Participation Adjustment'!$A:$A,$H304,'Participation Adjustment'!$B:$B,$I304),1)</f>
        <v>0.14364596109632999</v>
      </c>
      <c r="W304" s="79">
        <f>tbl_Data_old[[#This Row],[2026 ]]*IFERROR(AVERAGEIFS('Participation Adjustment'!$C:$C,'Participation Adjustment'!$A:$A,$H304,'Participation Adjustment'!$B:$B,$I304),1)</f>
        <v>0.33900949753785597</v>
      </c>
      <c r="X304" s="79">
        <f>tbl_Data_old[[#This Row],[2027 ]]*IFERROR(AVERAGEIFS('Participation Adjustment'!$C:$C,'Participation Adjustment'!$A:$A,$H304,'Participation Adjustment'!$B:$B,$I304),1)</f>
        <v>0.59139822866917202</v>
      </c>
      <c r="Y304" s="79">
        <f>tbl_Data_old[[#This Row],[2028 ]]*IFERROR(AVERAGEIFS('Participation Adjustment'!$C:$C,'Participation Adjustment'!$A:$A,$H304,'Participation Adjustment'!$B:$B,$I304),1)</f>
        <v>0.903008364712369</v>
      </c>
      <c r="Z304" s="79">
        <f>tbl_Data_old[[#This Row],[2029 ]]*IFERROR(AVERAGEIFS('Participation Adjustment'!$C:$C,'Participation Adjustment'!$A:$A,$H304,'Participation Adjustment'!$B:$B,$I304),1)</f>
        <v>1.27087748875894</v>
      </c>
      <c r="AA304" s="79">
        <f>tbl_Data_old[[#This Row],[2030 ]]*IFERROR(AVERAGEIFS('Participation Adjustment'!$C:$C,'Participation Adjustment'!$A:$A,$H304,'Participation Adjustment'!$B:$B,$I304),1)</f>
        <v>1.6880070727268399</v>
      </c>
      <c r="AB304" s="79">
        <f>tbl_Data_old[[#This Row],[2031 ]]*IFERROR(AVERAGEIFS('Participation Adjustment'!$C:$C,'Participation Adjustment'!$A:$A,$H304,'Participation Adjustment'!$B:$B,$I304),1)</f>
        <v>2.1445615017056401</v>
      </c>
      <c r="AC304" s="79">
        <f>tbl_Data_old[[#This Row],[2032 ]]*IFERROR(AVERAGEIFS('Participation Adjustment'!$C:$C,'Participation Adjustment'!$A:$A,$H304,'Participation Adjustment'!$B:$B,$I304),1)</f>
        <v>2.6315244436086802</v>
      </c>
      <c r="AD304" s="79">
        <f>tbl_Data_old[[#This Row],[2033 ]]*IFERROR(AVERAGEIFS('Participation Adjustment'!$C:$C,'Participation Adjustment'!$A:$A,$H304,'Participation Adjustment'!$B:$B,$I304),1)</f>
        <v>3.1423649066629702</v>
      </c>
      <c r="AE304" s="79">
        <f>tbl_Data_old[[#This Row],[2034 ]]*IFERROR(AVERAGEIFS('Participation Adjustment'!$C:$C,'Participation Adjustment'!$A:$A,$H304,'Participation Adjustment'!$B:$B,$I304),1)</f>
        <v>3.6710168162849302</v>
      </c>
      <c r="AF304" s="77" t="str">
        <f t="shared" si="132"/>
        <v>NonResidential</v>
      </c>
      <c r="AG304" s="77" t="str">
        <f>tbl_Data[[#This Row],[All_Meas_Name_Append]]</f>
        <v>Refrigerated Display Case LED Lighting</v>
      </c>
      <c r="AH304" s="77">
        <f>AVERAGEIFS('3. Incentive Adjustment'!G:G,'3. Incentive Adjustment'!A:A,tbl_Data[[#This Row],[Trimmed Sector]],'3. Incentive Adjustment'!B:B,tbl_Data[[#This Row],[Trimmed Measure Name]])</f>
        <v>0.72450810749703154</v>
      </c>
      <c r="AI304" s="77">
        <f>$AH304*tbl_Data[[#This Row],[2025 ]]</f>
        <v>0.10407266342349426</v>
      </c>
      <c r="AJ304" s="77">
        <f>$AH304*tbl_Data[[#This Row],[2026 ]]</f>
        <v>0.2456151294846716</v>
      </c>
      <c r="AK304" s="77">
        <f>$AH304*tbl_Data[[#This Row],[2027 ]]</f>
        <v>0.4284728114301985</v>
      </c>
      <c r="AL304" s="77">
        <f>$AH304*tbl_Data[[#This Row],[2028 ]]</f>
        <v>0.65423688137174774</v>
      </c>
      <c r="AM304" s="77">
        <f>$AH304*tbl_Data[[#This Row],[2029 ]]</f>
        <v>0.92076104424131966</v>
      </c>
      <c r="AN304" s="77">
        <f>$AH304*tbl_Data[[#This Row],[2030 ]]</f>
        <v>1.2229748097029269</v>
      </c>
      <c r="AO304" s="77">
        <f>$AH304*tbl_Data[[#This Row],[2031 ]]</f>
        <v>1.5537521950117452</v>
      </c>
      <c r="AP304" s="77">
        <f>$AH304*tbl_Data[[#This Row],[2032 ]]</f>
        <v>1.9065607944711038</v>
      </c>
      <c r="AQ304" s="77">
        <f>$AH304*tbl_Data[[#This Row],[2033 ]]</f>
        <v>2.2766688515914746</v>
      </c>
      <c r="AR304" s="77">
        <f>$AH304*tbl_Data[[#This Row],[2034 ]]</f>
        <v>2.6596814461563727</v>
      </c>
      <c r="AS304" s="77">
        <f>SUM(tbl_Data[[#This Row],[Adjusted 2025]:[Adjusted 2034]])</f>
        <v>11.972796626885055</v>
      </c>
      <c r="AT304" s="80">
        <f>AVERAGEIFS('3. Incentive Adjustment'!F:F,'3. Incentive Adjustment'!A:A,tbl_Data[[#This Row],[Trimmed Sector]],'3. Incentive Adjustment'!B:B,tbl_Data[[#This Row],[Trimmed Measure Name]])</f>
        <v>6.879122352287844</v>
      </c>
      <c r="AU304" s="80">
        <f>IFERROR(VLOOKUP(tbl_Data[[#This Row],[All_Meas_Name_Append]],'IRA Tax Credits'!$A$3:$D$46,4,0),0)</f>
        <v>0</v>
      </c>
      <c r="AV304" s="81">
        <f>tbl_Data[[#This Row],[Adj. per unit Incentive ($)]]/tbl_Data[[#This Row],[kWh Savings]]*tbl_Data[[#This Row],[Sum of Annuals]]</f>
        <v>0.54307222006726563</v>
      </c>
      <c r="AW304" s="81">
        <f>IFERROR(VLOOKUP(tbl_Data[[#This Row],[Column1]],'1. Set Program Names'!$B$2:$D$15,3,0)*tbl_Data[[#This Row],[Sum of Annuals]],"")</f>
        <v>0.42622790766103846</v>
      </c>
      <c r="AX304" s="81">
        <f>tbl_Data[[#This Row],[per unit IRA tax ($)]]/tbl_Data[[#This Row],[kWh Savings]]*tbl_Data[[#This Row],[Sum of Annuals]]</f>
        <v>0</v>
      </c>
      <c r="AY304" s="81">
        <f>tbl_Data[[#This Row],[Avoided Costs ($/unit)]]/tbl_Data[[#This Row],[kWh Savings]]*tbl_Data[[#This Row],[Sum of Annuals]]</f>
        <v>5.5707117966283146</v>
      </c>
      <c r="AZ304" s="81">
        <f>tbl_Data[[#This Row],[Lost Revenue ($/unit)]]/tbl_Data[[#This Row],[kWh Savings]]*tbl_Data[[#This Row],[Sum of Annuals]]</f>
        <v>13.53254778566118</v>
      </c>
      <c r="BA304" s="81">
        <f>tbl_Data[[#This Row],[Incremental Cost ($/unit)]]/tbl_Data[[#This Row],[kWh Savings]]*tbl_Data[[#This Row],[Sum of Annuals]]</f>
        <v>4.4682862263068319</v>
      </c>
      <c r="BB304" s="77">
        <f>ROUNDUP(tbl_Data[[#This Row],[Adjusted 2025]]/$L304,0)</f>
        <v>1</v>
      </c>
      <c r="BC304" s="77">
        <f>ROUNDUP(tbl_Data[[#This Row],[Adjusted 2026]]/$L304,0)</f>
        <v>1</v>
      </c>
      <c r="BD304" s="77">
        <f>ROUNDUP(tbl_Data[[#This Row],[Adjusted 2027]]/$L304,0)</f>
        <v>1</v>
      </c>
      <c r="BE304" s="77">
        <f>ROUNDUP(tbl_Data[[#This Row],[Adjusted 2028]]/$L304,0)</f>
        <v>1</v>
      </c>
      <c r="BF304" s="77">
        <f>ROUNDUP(tbl_Data[[#This Row],[Adjusted 2029]]/$L304,0)</f>
        <v>1</v>
      </c>
      <c r="BG304" s="77">
        <f>ROUNDUP(tbl_Data[[#This Row],[Adjusted 2030]]/$L304,0)</f>
        <v>1</v>
      </c>
      <c r="BH304" s="77">
        <f>ROUNDUP(tbl_Data[[#This Row],[Adjusted 2031]]/$L304,0)</f>
        <v>1</v>
      </c>
      <c r="BI304" s="77">
        <f>ROUNDUP(tbl_Data[[#This Row],[Adjusted 2032]]/$L304,0)</f>
        <v>1</v>
      </c>
      <c r="BJ304" s="77">
        <f>ROUNDUP(tbl_Data[[#This Row],[Adjusted 2033]]/$L304,0)</f>
        <v>1</v>
      </c>
      <c r="BK304" s="77">
        <f>ROUNDUP(tbl_Data[[#This Row],[Adjusted 2034]]/$L304,0)</f>
        <v>1</v>
      </c>
      <c r="BL304" s="80">
        <f t="shared" si="133"/>
        <v>6.5156148080814588E-3</v>
      </c>
      <c r="BM304" s="80">
        <f t="shared" si="134"/>
        <v>1.5377079072600136E-2</v>
      </c>
      <c r="BN304" s="80">
        <f t="shared" si="135"/>
        <v>2.6825140273912307E-2</v>
      </c>
      <c r="BO304" s="80">
        <f t="shared" si="136"/>
        <v>4.0959415969904746E-2</v>
      </c>
      <c r="BP304" s="80">
        <f t="shared" si="137"/>
        <v>5.7645534352769819E-2</v>
      </c>
      <c r="BQ304" s="80">
        <f t="shared" si="138"/>
        <v>7.6566050275716613E-2</v>
      </c>
      <c r="BR304" s="80">
        <f t="shared" si="139"/>
        <v>9.7274831611758275E-2</v>
      </c>
      <c r="BS304" s="80">
        <f t="shared" si="140"/>
        <v>0.11936290795608803</v>
      </c>
      <c r="BT304" s="80">
        <f t="shared" si="141"/>
        <v>0.14253404106864137</v>
      </c>
      <c r="BU304" s="80">
        <f t="shared" si="142"/>
        <v>0.16651308081583957</v>
      </c>
      <c r="BV304" s="80">
        <f>IFERROR(VLOOKUP($H304,'1. Set Program Names'!$B$2:$D$15,3,0)*V304,"NA")</f>
        <v>5.1137523963753085E-3</v>
      </c>
      <c r="BW304" s="80">
        <f>IFERROR(VLOOKUP($H304,'1. Set Program Names'!$B$2:$D$15,3,0)*W304,"NA")</f>
        <v>1.2068634698789956E-2</v>
      </c>
      <c r="BX304" s="80">
        <f>IFERROR(VLOOKUP($H304,'1. Set Program Names'!$B$2:$D$15,3,0)*X304,"NA")</f>
        <v>2.1053596536842401E-2</v>
      </c>
      <c r="BY304" s="80">
        <f>IFERROR(VLOOKUP($H304,'1. Set Program Names'!$B$2:$D$15,3,0)*Y304,"NA")</f>
        <v>3.21468223244935E-2</v>
      </c>
      <c r="BZ304" s="80">
        <f>IFERROR(VLOOKUP($H304,'1. Set Program Names'!$B$2:$D$15,3,0)*Z304,"NA")</f>
        <v>4.5242850923474423E-2</v>
      </c>
      <c r="CA304" s="80">
        <f>IFERROR(VLOOKUP($H304,'1. Set Program Names'!$B$2:$D$15,3,0)*AA304,"NA")</f>
        <v>6.0092536868938728E-2</v>
      </c>
      <c r="CB304" s="80">
        <f>IFERROR(VLOOKUP($H304,'1. Set Program Names'!$B$2:$D$15,3,0)*AB304,"NA")</f>
        <v>7.6345735270392068E-2</v>
      </c>
      <c r="CC304" s="80">
        <f>IFERROR(VLOOKUP($H304,'1. Set Program Names'!$B$2:$D$15,3,0)*AC304,"NA")</f>
        <v>9.3681467455947159E-2</v>
      </c>
      <c r="CD304" s="80">
        <f>IFERROR(VLOOKUP($H304,'1. Set Program Names'!$B$2:$D$15,3,0)*AD304,"NA")</f>
        <v>0.11186723211073973</v>
      </c>
      <c r="CE304" s="80">
        <f>IFERROR(VLOOKUP($H304,'1. Set Program Names'!$B$2:$D$15,3,0)*AE304,"NA")</f>
        <v>0.13068707883002734</v>
      </c>
    </row>
    <row r="305" spans="1:83" x14ac:dyDescent="0.25">
      <c r="A305" s="79" t="s">
        <v>115</v>
      </c>
      <c r="B305" s="79" t="s">
        <v>88</v>
      </c>
      <c r="C305" s="79" t="s">
        <v>122</v>
      </c>
      <c r="D305" s="79" t="s">
        <v>90</v>
      </c>
      <c r="E305" s="79" t="s">
        <v>91</v>
      </c>
      <c r="F305" s="79" t="s">
        <v>90</v>
      </c>
      <c r="G305" s="79" t="s">
        <v>92</v>
      </c>
      <c r="H305" s="79" t="s">
        <v>14</v>
      </c>
      <c r="I305" s="79" t="s">
        <v>155</v>
      </c>
      <c r="J305" s="79" t="s">
        <v>129</v>
      </c>
      <c r="K305" s="79" t="s">
        <v>102</v>
      </c>
      <c r="L305" s="79">
        <v>1193.02</v>
      </c>
      <c r="M305" s="79">
        <v>0.274776433335365</v>
      </c>
      <c r="N305" s="79">
        <v>0.10441874276921487</v>
      </c>
      <c r="O305" s="79">
        <f>8423.99999999998/36663.4359999998*1193.02</f>
        <v>274.11507421181233</v>
      </c>
      <c r="P305" s="79">
        <f>3224.30667036527/36663.4359999998*1193.02</f>
        <v>104.91821726363004</v>
      </c>
      <c r="Q305" s="79">
        <f>1305.20713755829/36663.4359999998*1193.02</f>
        <v>42.471148073786637</v>
      </c>
      <c r="R305" s="79">
        <f>14915.0733686122/36663.4359999998*1193.02</f>
        <v>485.33314854128304</v>
      </c>
      <c r="S305" s="79">
        <f>32320.5298576745/36663.4359999998*1193.02</f>
        <v>1051.702806327346</v>
      </c>
      <c r="T305" s="79">
        <v>11</v>
      </c>
      <c r="U305" s="79">
        <v>0.94999999999999896</v>
      </c>
      <c r="V305" s="79">
        <f>tbl_Data_old[[#This Row],[2025 ]]*IFERROR(AVERAGEIFS('Participation Adjustment'!$C:$C,'Participation Adjustment'!$A:$A,$H305,'Participation Adjustment'!$B:$B,$I305),1)</f>
        <v>11.832898504920051</v>
      </c>
      <c r="W305" s="79">
        <f>tbl_Data_old[[#This Row],[2026 ]]*IFERROR(AVERAGEIFS('Participation Adjustment'!$C:$C,'Participation Adjustment'!$A:$A,$H305,'Participation Adjustment'!$B:$B,$I305),1)</f>
        <v>21.70105448777425</v>
      </c>
      <c r="X305" s="79">
        <f>tbl_Data_old[[#This Row],[2027 ]]*IFERROR(AVERAGEIFS('Participation Adjustment'!$C:$C,'Participation Adjustment'!$A:$A,$H305,'Participation Adjustment'!$B:$B,$I305),1)</f>
        <v>29.869696644289299</v>
      </c>
      <c r="Y305" s="79">
        <f>tbl_Data_old[[#This Row],[2028 ]]*IFERROR(AVERAGEIFS('Participation Adjustment'!$C:$C,'Participation Adjustment'!$A:$A,$H305,'Participation Adjustment'!$B:$B,$I305),1)</f>
        <v>36.645094405124247</v>
      </c>
      <c r="Z305" s="79">
        <f>tbl_Data_old[[#This Row],[2029 ]]*IFERROR(AVERAGEIFS('Participation Adjustment'!$C:$C,'Participation Adjustment'!$A:$A,$H305,'Participation Adjustment'!$B:$B,$I305),1)</f>
        <v>42.279951634325499</v>
      </c>
      <c r="AA305" s="79">
        <f>tbl_Data_old[[#This Row],[2030 ]]*IFERROR(AVERAGEIFS('Participation Adjustment'!$C:$C,'Participation Adjustment'!$A:$A,$H305,'Participation Adjustment'!$B:$B,$I305),1)</f>
        <v>46.9781500966415</v>
      </c>
      <c r="AB305" s="79">
        <f>tbl_Data_old[[#This Row],[2031 ]]*IFERROR(AVERAGEIFS('Participation Adjustment'!$C:$C,'Participation Adjustment'!$A:$A,$H305,'Participation Adjustment'!$B:$B,$I305),1)</f>
        <v>50.911831746178002</v>
      </c>
      <c r="AC305" s="79">
        <f>tbl_Data_old[[#This Row],[2032 ]]*IFERROR(AVERAGEIFS('Participation Adjustment'!$C:$C,'Participation Adjustment'!$A:$A,$H305,'Participation Adjustment'!$B:$B,$I305),1)</f>
        <v>54.228833490622002</v>
      </c>
      <c r="AD305" s="79">
        <f>tbl_Data_old[[#This Row],[2033 ]]*IFERROR(AVERAGEIFS('Participation Adjustment'!$C:$C,'Participation Adjustment'!$A:$A,$H305,'Participation Adjustment'!$B:$B,$I305),1)</f>
        <v>57.053822928961502</v>
      </c>
      <c r="AE305" s="79">
        <f>tbl_Data_old[[#This Row],[2034 ]]*IFERROR(AVERAGEIFS('Participation Adjustment'!$C:$C,'Participation Adjustment'!$A:$A,$H305,'Participation Adjustment'!$B:$B,$I305),1)</f>
        <v>59.480199926104</v>
      </c>
      <c r="AF305" s="77" t="str">
        <f t="shared" si="132"/>
        <v>NonResidential</v>
      </c>
      <c r="AG305" s="77" t="str">
        <f>tbl_Data[[#This Row],[All_Meas_Name_Append]]</f>
        <v>Smart thermostat</v>
      </c>
      <c r="AH305" s="77">
        <f>AVERAGEIFS('3. Incentive Adjustment'!G:G,'3. Incentive Adjustment'!A:A,tbl_Data[[#This Row],[Trimmed Sector]],'3. Incentive Adjustment'!B:B,tbl_Data[[#This Row],[Trimmed Measure Name]])</f>
        <v>0.87546479230069263</v>
      </c>
      <c r="AI305" s="77">
        <f>$AH305*tbl_Data[[#This Row],[2025 ]]</f>
        <v>10.359286031925009</v>
      </c>
      <c r="AJ305" s="77">
        <f>$AH305*tbl_Data[[#This Row],[2026 ]]</f>
        <v>18.998509159845298</v>
      </c>
      <c r="AK305" s="77">
        <f>$AH305*tbl_Data[[#This Row],[2027 ]]</f>
        <v>26.149867768777426</v>
      </c>
      <c r="AL305" s="77">
        <f>$AH305*tbl_Data[[#This Row],[2028 ]]</f>
        <v>32.081489962221376</v>
      </c>
      <c r="AM305" s="77">
        <f>$AH305*tbl_Data[[#This Row],[2029 ]]</f>
        <v>37.014609076028101</v>
      </c>
      <c r="AN305" s="77">
        <f>$AH305*tbl_Data[[#This Row],[2030 ]]</f>
        <v>41.127716417027017</v>
      </c>
      <c r="AO305" s="77">
        <f>$AH305*tbl_Data[[#This Row],[2031 ]]</f>
        <v>44.571516205315532</v>
      </c>
      <c r="AP305" s="77">
        <f>$AH305*tbl_Data[[#This Row],[2032 ]]</f>
        <v>47.475434448576237</v>
      </c>
      <c r="AQ305" s="77">
        <f>$AH305*tbl_Data[[#This Row],[2033 ]]</f>
        <v>49.948613240463779</v>
      </c>
      <c r="AR305" s="77">
        <f>$AH305*tbl_Data[[#This Row],[2034 ]]</f>
        <v>52.07282087431031</v>
      </c>
      <c r="AS305" s="77">
        <f>SUM(tbl_Data[[#This Row],[Adjusted 2025]:[Adjusted 2034]])</f>
        <v>359.79986318449011</v>
      </c>
      <c r="AT305" s="80">
        <f>AVERAGEIFS('3. Incentive Adjustment'!F:F,'3. Incentive Adjustment'!A:A,tbl_Data[[#This Row],[Trimmed Sector]],'3. Incentive Adjustment'!B:B,tbl_Data[[#This Row],[Trimmed Measure Name]])</f>
        <v>50</v>
      </c>
      <c r="AU305" s="80">
        <f>IFERROR(VLOOKUP(tbl_Data[[#This Row],[All_Meas_Name_Append]],'IRA Tax Credits'!$A$3:$D$46,4,0),0)</f>
        <v>0</v>
      </c>
      <c r="AV305" s="81">
        <f>tbl_Data[[#This Row],[Adj. per unit Incentive ($)]]/tbl_Data[[#This Row],[kWh Savings]]*tbl_Data[[#This Row],[Sum of Annuals]]</f>
        <v>15.079372650269489</v>
      </c>
      <c r="AW305" s="81">
        <f>IFERROR(VLOOKUP(tbl_Data[[#This Row],[Column1]],'1. Set Program Names'!$B$2:$D$15,3,0)*tbl_Data[[#This Row],[Sum of Annuals]],"")</f>
        <v>12.808765373788173</v>
      </c>
      <c r="AX305" s="81">
        <f>tbl_Data[[#This Row],[per unit IRA tax ($)]]/tbl_Data[[#This Row],[kWh Savings]]*tbl_Data[[#This Row],[Sum of Annuals]]</f>
        <v>0</v>
      </c>
      <c r="AY305" s="81">
        <f>tbl_Data[[#This Row],[Avoided Costs ($/unit)]]/tbl_Data[[#This Row],[kWh Savings]]*tbl_Data[[#This Row],[Sum of Annuals]]</f>
        <v>146.37038812765206</v>
      </c>
      <c r="AZ305" s="81">
        <f>tbl_Data[[#This Row],[Lost Revenue ($/unit)]]/tbl_Data[[#This Row],[kWh Savings]]*tbl_Data[[#This Row],[Sum of Annuals]]</f>
        <v>317.18037067888503</v>
      </c>
      <c r="BA305" s="81">
        <f>tbl_Data[[#This Row],[Incremental Cost ($/unit)]]/tbl_Data[[#This Row],[kWh Savings]]*tbl_Data[[#This Row],[Sum of Annuals]]</f>
        <v>82.669667061923889</v>
      </c>
      <c r="BB305" s="77">
        <f>ROUNDUP(tbl_Data[[#This Row],[Adjusted 2025]]/$L305,0)</f>
        <v>1</v>
      </c>
      <c r="BC305" s="77">
        <f>ROUNDUP(tbl_Data[[#This Row],[Adjusted 2026]]/$L305,0)</f>
        <v>1</v>
      </c>
      <c r="BD305" s="77">
        <f>ROUNDUP(tbl_Data[[#This Row],[Adjusted 2027]]/$L305,0)</f>
        <v>1</v>
      </c>
      <c r="BE305" s="77">
        <f>ROUNDUP(tbl_Data[[#This Row],[Adjusted 2028]]/$L305,0)</f>
        <v>1</v>
      </c>
      <c r="BF305" s="77">
        <f>ROUNDUP(tbl_Data[[#This Row],[Adjusted 2029]]/$L305,0)</f>
        <v>1</v>
      </c>
      <c r="BG305" s="77">
        <f>ROUNDUP(tbl_Data[[#This Row],[Adjusted 2030]]/$L305,0)</f>
        <v>1</v>
      </c>
      <c r="BH305" s="77">
        <f>ROUNDUP(tbl_Data[[#This Row],[Adjusted 2031]]/$L305,0)</f>
        <v>1</v>
      </c>
      <c r="BI305" s="77">
        <f>ROUNDUP(tbl_Data[[#This Row],[Adjusted 2032]]/$L305,0)</f>
        <v>1</v>
      </c>
      <c r="BJ305" s="77">
        <f>ROUNDUP(tbl_Data[[#This Row],[Adjusted 2033]]/$L305,0)</f>
        <v>1</v>
      </c>
      <c r="BK305" s="77">
        <f>ROUNDUP(tbl_Data[[#This Row],[Adjusted 2034]]/$L305,0)</f>
        <v>1</v>
      </c>
      <c r="BL305" s="80">
        <f t="shared" si="133"/>
        <v>0.49592205096813341</v>
      </c>
      <c r="BM305" s="80">
        <f t="shared" si="134"/>
        <v>0.90950086703384059</v>
      </c>
      <c r="BN305" s="80">
        <f t="shared" si="135"/>
        <v>1.2518523010632385</v>
      </c>
      <c r="BO305" s="80">
        <f t="shared" si="136"/>
        <v>1.5358122414177569</v>
      </c>
      <c r="BP305" s="80">
        <f t="shared" si="137"/>
        <v>1.7719716196847286</v>
      </c>
      <c r="BQ305" s="80">
        <f t="shared" si="138"/>
        <v>1.968875211506995</v>
      </c>
      <c r="BR305" s="80">
        <f t="shared" si="139"/>
        <v>2.1337375629150395</v>
      </c>
      <c r="BS305" s="80">
        <f t="shared" si="140"/>
        <v>2.2727545846097299</v>
      </c>
      <c r="BT305" s="80">
        <f t="shared" si="141"/>
        <v>2.391151151236421</v>
      </c>
      <c r="BU305" s="80">
        <f t="shared" si="142"/>
        <v>2.492841692767263</v>
      </c>
      <c r="BV305" s="80">
        <f>IFERROR(VLOOKUP($H305,'1. Set Program Names'!$B$2:$D$15,3,0)*V305,"NA")</f>
        <v>0.42124757719447431</v>
      </c>
      <c r="BW305" s="80">
        <f>IFERROR(VLOOKUP($H305,'1. Set Program Names'!$B$2:$D$15,3,0)*W305,"NA")</f>
        <v>0.77255091994063729</v>
      </c>
      <c r="BX305" s="80">
        <f>IFERROR(VLOOKUP($H305,'1. Set Program Names'!$B$2:$D$15,3,0)*X305,"NA")</f>
        <v>1.0633520888993546</v>
      </c>
      <c r="BY305" s="80">
        <f>IFERROR(VLOOKUP($H305,'1. Set Program Names'!$B$2:$D$15,3,0)*Y305,"NA")</f>
        <v>1.3045541823757638</v>
      </c>
      <c r="BZ305" s="80">
        <f>IFERROR(VLOOKUP($H305,'1. Set Program Names'!$B$2:$D$15,3,0)*Z305,"NA")</f>
        <v>1.5051533808435642</v>
      </c>
      <c r="CA305" s="80">
        <f>IFERROR(VLOOKUP($H305,'1. Set Program Names'!$B$2:$D$15,3,0)*AA305,"NA")</f>
        <v>1.6724078129344437</v>
      </c>
      <c r="CB305" s="80">
        <f>IFERROR(VLOOKUP($H305,'1. Set Program Names'!$B$2:$D$15,3,0)*AB305,"NA")</f>
        <v>1.8124456797033188</v>
      </c>
      <c r="CC305" s="80">
        <f>IFERROR(VLOOKUP($H305,'1. Set Program Names'!$B$2:$D$15,3,0)*AC305,"NA")</f>
        <v>1.93052992996676</v>
      </c>
      <c r="CD305" s="80">
        <f>IFERROR(VLOOKUP($H305,'1. Set Program Names'!$B$2:$D$15,3,0)*AD305,"NA")</f>
        <v>2.0310986922193637</v>
      </c>
      <c r="CE305" s="80">
        <f>IFERROR(VLOOKUP($H305,'1. Set Program Names'!$B$2:$D$15,3,0)*AE305,"NA")</f>
        <v>2.1174769731605627</v>
      </c>
    </row>
    <row r="306" spans="1:83" x14ac:dyDescent="0.25">
      <c r="A306" s="79" t="s">
        <v>115</v>
      </c>
      <c r="B306" s="79" t="s">
        <v>88</v>
      </c>
      <c r="C306" s="79" t="s">
        <v>122</v>
      </c>
      <c r="D306" s="79" t="s">
        <v>90</v>
      </c>
      <c r="E306" s="79" t="s">
        <v>91</v>
      </c>
      <c r="F306" s="79" t="s">
        <v>90</v>
      </c>
      <c r="G306" s="79" t="s">
        <v>92</v>
      </c>
      <c r="H306" s="79"/>
      <c r="I306" s="79" t="s">
        <v>304</v>
      </c>
      <c r="J306" s="79" t="s">
        <v>144</v>
      </c>
      <c r="K306" s="79" t="s">
        <v>98</v>
      </c>
      <c r="L306" s="79">
        <v>71859.953750000001</v>
      </c>
      <c r="M306" s="79">
        <v>2.01028298751406</v>
      </c>
      <c r="N306" s="79">
        <v>2.93501737514182</v>
      </c>
      <c r="O306" s="79">
        <v>21366.564901045898</v>
      </c>
      <c r="P306" s="79">
        <v>219059.38064062799</v>
      </c>
      <c r="Q306" s="79">
        <v>2558.1924328944401</v>
      </c>
      <c r="R306" s="79">
        <v>23924.757333940401</v>
      </c>
      <c r="S306" s="79">
        <v>92224.942677252999</v>
      </c>
      <c r="T306" s="79">
        <v>20</v>
      </c>
      <c r="U306" s="79">
        <v>1</v>
      </c>
      <c r="V306" s="79">
        <f>tbl_Data_old[[#This Row],[2025 ]]*IFERROR(AVERAGEIFS('Participation Adjustment'!$C:$C,'Participation Adjustment'!$A:$A,$H306,'Participation Adjustment'!$B:$B,$I306),1)</f>
        <v>39.845477930417701</v>
      </c>
      <c r="W306" s="79">
        <f>tbl_Data_old[[#This Row],[2026 ]]*IFERROR(AVERAGEIFS('Participation Adjustment'!$C:$C,'Participation Adjustment'!$A:$A,$H306,'Participation Adjustment'!$B:$B,$I306),1)</f>
        <v>83.613929597485694</v>
      </c>
      <c r="X306" s="79">
        <f>tbl_Data_old[[#This Row],[2027 ]]*IFERROR(AVERAGEIFS('Participation Adjustment'!$C:$C,'Participation Adjustment'!$A:$A,$H306,'Participation Adjustment'!$B:$B,$I306),1)</f>
        <v>130.57621615929801</v>
      </c>
      <c r="Y306" s="79">
        <f>tbl_Data_old[[#This Row],[2028 ]]*IFERROR(AVERAGEIFS('Participation Adjustment'!$C:$C,'Participation Adjustment'!$A:$A,$H306,'Participation Adjustment'!$B:$B,$I306),1)</f>
        <v>180.31025002927001</v>
      </c>
      <c r="Z306" s="79">
        <f>tbl_Data_old[[#This Row],[2029 ]]*IFERROR(AVERAGEIFS('Participation Adjustment'!$C:$C,'Participation Adjustment'!$A:$A,$H306,'Participation Adjustment'!$B:$B,$I306),1)</f>
        <v>232.41014942344501</v>
      </c>
      <c r="AA306" s="79">
        <f>tbl_Data_old[[#This Row],[2030 ]]*IFERROR(AVERAGEIFS('Participation Adjustment'!$C:$C,'Participation Adjustment'!$A:$A,$H306,'Participation Adjustment'!$B:$B,$I306),1)</f>
        <v>286.452142404668</v>
      </c>
      <c r="AB306" s="79">
        <f>tbl_Data_old[[#This Row],[2031 ]]*IFERROR(AVERAGEIFS('Participation Adjustment'!$C:$C,'Participation Adjustment'!$A:$A,$H306,'Participation Adjustment'!$B:$B,$I306),1)</f>
        <v>342.08760859269501</v>
      </c>
      <c r="AC306" s="79">
        <f>tbl_Data_old[[#This Row],[2032 ]]*IFERROR(AVERAGEIFS('Participation Adjustment'!$C:$C,'Participation Adjustment'!$A:$A,$H306,'Participation Adjustment'!$B:$B,$I306),1)</f>
        <v>399.12409937424701</v>
      </c>
      <c r="AD306" s="79">
        <f>tbl_Data_old[[#This Row],[2033 ]]*IFERROR(AVERAGEIFS('Participation Adjustment'!$C:$C,'Participation Adjustment'!$A:$A,$H306,'Participation Adjustment'!$B:$B,$I306),1)</f>
        <v>457.415024932667</v>
      </c>
      <c r="AE306" s="79">
        <f>tbl_Data_old[[#This Row],[2034 ]]*IFERROR(AVERAGEIFS('Participation Adjustment'!$C:$C,'Participation Adjustment'!$A:$A,$H306,'Participation Adjustment'!$B:$B,$I306),1)</f>
        <v>516.78182362284304</v>
      </c>
      <c r="AF306" s="77" t="str">
        <f t="shared" si="132"/>
        <v>NonResidential</v>
      </c>
      <c r="AG306" s="77" t="str">
        <f>tbl_Data[[#This Row],[All_Meas_Name_Append]]</f>
        <v>Solar Thermal Water Heating System Commercial</v>
      </c>
      <c r="AH306" s="77">
        <f>AVERAGEIFS('3. Incentive Adjustment'!G:G,'3. Incentive Adjustment'!A:A,tbl_Data[[#This Row],[Trimmed Sector]],'3. Incentive Adjustment'!B:B,tbl_Data[[#This Row],[Trimmed Measure Name]])</f>
        <v>3.2123848810070607E-4</v>
      </c>
      <c r="AI306" s="77">
        <f>$AH306*tbl_Data[[#This Row],[2025 ]]</f>
        <v>1.2799901088017433E-2</v>
      </c>
      <c r="AJ306" s="77">
        <f>$AH306*tbl_Data[[#This Row],[2026 ]]</f>
        <v>2.6860012328055183E-2</v>
      </c>
      <c r="AK306" s="77">
        <f>$AH306*tbl_Data[[#This Row],[2027 ]]</f>
        <v>4.1946106260923877E-2</v>
      </c>
      <c r="AL306" s="77">
        <f>$AH306*tbl_Data[[#This Row],[2028 ]]</f>
        <v>5.7922592108462991E-2</v>
      </c>
      <c r="AM306" s="77">
        <f>$AH306*tbl_Data[[#This Row],[2029 ]]</f>
        <v>7.4659085020046659E-2</v>
      </c>
      <c r="AN306" s="77">
        <f>$AH306*tbl_Data[[#This Row],[2030 ]]</f>
        <v>9.2019453139283697E-2</v>
      </c>
      <c r="AO306" s="77">
        <f>$AH306*tbl_Data[[#This Row],[2031 ]]</f>
        <v>0.10989170618230346</v>
      </c>
      <c r="AP306" s="77">
        <f>$AH306*tbl_Data[[#This Row],[2032 ]]</f>
        <v>0.12821402224753908</v>
      </c>
      <c r="AQ306" s="77">
        <f>$AH306*tbl_Data[[#This Row],[2033 ]]</f>
        <v>0.14693931104391672</v>
      </c>
      <c r="AR306" s="77">
        <f>$AH306*tbl_Data[[#This Row],[2034 ]]</f>
        <v>0.16601021169852784</v>
      </c>
      <c r="AS306" s="77">
        <f>SUM(tbl_Data[[#This Row],[Adjusted 2025]:[Adjusted 2034]])</f>
        <v>0.85726240111707686</v>
      </c>
      <c r="AT306" s="80">
        <f>AVERAGEIFS('3. Incentive Adjustment'!F:F,'3. Incentive Adjustment'!A:A,tbl_Data[[#This Row],[Trimmed Sector]],'3. Incentive Adjustment'!B:B,tbl_Data[[#This Row],[Trimmed Measure Name]])</f>
        <v>0</v>
      </c>
      <c r="AU306" s="80">
        <f>IFERROR(VLOOKUP(tbl_Data[[#This Row],[All_Meas_Name_Append]],'IRA Tax Credits'!$A$3:$D$46,4,0),0)</f>
        <v>0</v>
      </c>
      <c r="AV306" s="81">
        <f>tbl_Data[[#This Row],[Adj. per unit Incentive ($)]]/tbl_Data[[#This Row],[kWh Savings]]*tbl_Data[[#This Row],[Sum of Annuals]]</f>
        <v>0</v>
      </c>
      <c r="AW306" s="81" t="str">
        <f>IFERROR(VLOOKUP(tbl_Data[[#This Row],[Column1]],'1. Set Program Names'!$B$2:$D$15,3,0)*tbl_Data[[#This Row],[Sum of Annuals]],"")</f>
        <v/>
      </c>
      <c r="AX306" s="81">
        <f>tbl_Data[[#This Row],[per unit IRA tax ($)]]/tbl_Data[[#This Row],[kWh Savings]]*tbl_Data[[#This Row],[Sum of Annuals]]</f>
        <v>0</v>
      </c>
      <c r="AY306" s="81">
        <f>tbl_Data[[#This Row],[Avoided Costs ($/unit)]]/tbl_Data[[#This Row],[kWh Savings]]*tbl_Data[[#This Row],[Sum of Annuals]]</f>
        <v>0.28541341662409769</v>
      </c>
      <c r="AZ306" s="81">
        <f>tbl_Data[[#This Row],[Lost Revenue ($/unit)]]/tbl_Data[[#This Row],[kWh Savings]]*tbl_Data[[#This Row],[Sum of Annuals]]</f>
        <v>1.1002091105908438</v>
      </c>
      <c r="BA306" s="81">
        <f>tbl_Data[[#This Row],[Incremental Cost ($/unit)]]/tbl_Data[[#This Row],[kWh Savings]]*tbl_Data[[#This Row],[Sum of Annuals]]</f>
        <v>0.25489513664896374</v>
      </c>
      <c r="BB306" s="77">
        <f>ROUNDUP(tbl_Data[[#This Row],[Adjusted 2025]]/$L306,0)</f>
        <v>1</v>
      </c>
      <c r="BC306" s="77">
        <f>ROUNDUP(tbl_Data[[#This Row],[Adjusted 2026]]/$L306,0)</f>
        <v>1</v>
      </c>
      <c r="BD306" s="77">
        <f>ROUNDUP(tbl_Data[[#This Row],[Adjusted 2027]]/$L306,0)</f>
        <v>1</v>
      </c>
      <c r="BE306" s="77">
        <f>ROUNDUP(tbl_Data[[#This Row],[Adjusted 2028]]/$L306,0)</f>
        <v>1</v>
      </c>
      <c r="BF306" s="77">
        <f>ROUNDUP(tbl_Data[[#This Row],[Adjusted 2029]]/$L306,0)</f>
        <v>1</v>
      </c>
      <c r="BG306" s="77">
        <f>ROUNDUP(tbl_Data[[#This Row],[Adjusted 2030]]/$L306,0)</f>
        <v>1</v>
      </c>
      <c r="BH306" s="77">
        <f>ROUNDUP(tbl_Data[[#This Row],[Adjusted 2031]]/$L306,0)</f>
        <v>1</v>
      </c>
      <c r="BI306" s="77">
        <f>ROUNDUP(tbl_Data[[#This Row],[Adjusted 2032]]/$L306,0)</f>
        <v>1</v>
      </c>
      <c r="BJ306" s="77">
        <f>ROUNDUP(tbl_Data[[#This Row],[Adjusted 2033]]/$L306,0)</f>
        <v>1</v>
      </c>
      <c r="BK306" s="77">
        <f>ROUNDUP(tbl_Data[[#This Row],[Adjusted 2034]]/$L306,0)</f>
        <v>1</v>
      </c>
      <c r="BL306" s="80">
        <f t="shared" si="133"/>
        <v>0</v>
      </c>
      <c r="BM306" s="80">
        <f t="shared" si="134"/>
        <v>0</v>
      </c>
      <c r="BN306" s="80">
        <f t="shared" si="135"/>
        <v>0</v>
      </c>
      <c r="BO306" s="80">
        <f t="shared" si="136"/>
        <v>0</v>
      </c>
      <c r="BP306" s="80">
        <f t="shared" si="137"/>
        <v>0</v>
      </c>
      <c r="BQ306" s="80">
        <f t="shared" si="138"/>
        <v>0</v>
      </c>
      <c r="BR306" s="80">
        <f t="shared" si="139"/>
        <v>0</v>
      </c>
      <c r="BS306" s="80">
        <f t="shared" si="140"/>
        <v>0</v>
      </c>
      <c r="BT306" s="80">
        <f t="shared" si="141"/>
        <v>0</v>
      </c>
      <c r="BU306" s="80">
        <f t="shared" si="142"/>
        <v>0</v>
      </c>
      <c r="BV306" s="80" t="str">
        <f>IFERROR(VLOOKUP($H306,'1. Set Program Names'!$B$2:$D$15,3,0)*V306,"NA")</f>
        <v>NA</v>
      </c>
      <c r="BW306" s="80" t="str">
        <f>IFERROR(VLOOKUP($H306,'1. Set Program Names'!$B$2:$D$15,3,0)*W306,"NA")</f>
        <v>NA</v>
      </c>
      <c r="BX306" s="80" t="str">
        <f>IFERROR(VLOOKUP($H306,'1. Set Program Names'!$B$2:$D$15,3,0)*X306,"NA")</f>
        <v>NA</v>
      </c>
      <c r="BY306" s="80" t="str">
        <f>IFERROR(VLOOKUP($H306,'1. Set Program Names'!$B$2:$D$15,3,0)*Y306,"NA")</f>
        <v>NA</v>
      </c>
      <c r="BZ306" s="80" t="str">
        <f>IFERROR(VLOOKUP($H306,'1. Set Program Names'!$B$2:$D$15,3,0)*Z306,"NA")</f>
        <v>NA</v>
      </c>
      <c r="CA306" s="80" t="str">
        <f>IFERROR(VLOOKUP($H306,'1. Set Program Names'!$B$2:$D$15,3,0)*AA306,"NA")</f>
        <v>NA</v>
      </c>
      <c r="CB306" s="80" t="str">
        <f>IFERROR(VLOOKUP($H306,'1. Set Program Names'!$B$2:$D$15,3,0)*AB306,"NA")</f>
        <v>NA</v>
      </c>
      <c r="CC306" s="80" t="str">
        <f>IFERROR(VLOOKUP($H306,'1. Set Program Names'!$B$2:$D$15,3,0)*AC306,"NA")</f>
        <v>NA</v>
      </c>
      <c r="CD306" s="80" t="str">
        <f>IFERROR(VLOOKUP($H306,'1. Set Program Names'!$B$2:$D$15,3,0)*AD306,"NA")</f>
        <v>NA</v>
      </c>
      <c r="CE306" s="80" t="str">
        <f>IFERROR(VLOOKUP($H306,'1. Set Program Names'!$B$2:$D$15,3,0)*AE306,"NA")</f>
        <v>NA</v>
      </c>
    </row>
    <row r="307" spans="1:83" x14ac:dyDescent="0.25">
      <c r="A307" s="79" t="s">
        <v>115</v>
      </c>
      <c r="B307" s="79" t="s">
        <v>88</v>
      </c>
      <c r="C307" s="79" t="s">
        <v>122</v>
      </c>
      <c r="D307" s="79" t="s">
        <v>90</v>
      </c>
      <c r="E307" s="79" t="s">
        <v>91</v>
      </c>
      <c r="F307" s="79" t="s">
        <v>90</v>
      </c>
      <c r="G307" s="79" t="s">
        <v>92</v>
      </c>
      <c r="H307" s="79" t="s">
        <v>14</v>
      </c>
      <c r="I307" s="79" t="s">
        <v>305</v>
      </c>
      <c r="J307" s="79" t="s">
        <v>129</v>
      </c>
      <c r="K307" s="79" t="s">
        <v>306</v>
      </c>
      <c r="L307" s="79">
        <v>1181.58666666666</v>
      </c>
      <c r="M307" s="79">
        <v>0.32580149205424902</v>
      </c>
      <c r="N307" s="79">
        <v>0</v>
      </c>
      <c r="O307" s="79">
        <v>442.61899981344197</v>
      </c>
      <c r="P307" s="79">
        <v>13015.025349926</v>
      </c>
      <c r="Q307" s="79">
        <v>42.064124894815102</v>
      </c>
      <c r="R307" s="79">
        <v>484.68312470825703</v>
      </c>
      <c r="S307" s="79">
        <v>971.92143438909795</v>
      </c>
      <c r="T307" s="79">
        <v>10</v>
      </c>
      <c r="U307" s="79">
        <v>0.94999999999999896</v>
      </c>
      <c r="V307" s="79">
        <f>tbl_Data_old[[#This Row],[2025 ]]*IFERROR(AVERAGEIFS('Participation Adjustment'!$C:$C,'Participation Adjustment'!$A:$A,$H307,'Participation Adjustment'!$B:$B,$I307),1)</f>
        <v>1.6435648158984699</v>
      </c>
      <c r="W307" s="79">
        <f>tbl_Data_old[[#This Row],[2026 ]]*IFERROR(AVERAGEIFS('Participation Adjustment'!$C:$C,'Participation Adjustment'!$A:$A,$H307,'Participation Adjustment'!$B:$B,$I307),1)</f>
        <v>3.0236204450481798</v>
      </c>
      <c r="X307" s="79">
        <f>tbl_Data_old[[#This Row],[2027 ]]*IFERROR(AVERAGEIFS('Participation Adjustment'!$C:$C,'Participation Adjustment'!$A:$A,$H307,'Participation Adjustment'!$B:$B,$I307),1)</f>
        <v>4.1772579475822802</v>
      </c>
      <c r="Y307" s="79">
        <f>tbl_Data_old[[#This Row],[2028 ]]*IFERROR(AVERAGEIFS('Participation Adjustment'!$C:$C,'Participation Adjustment'!$A:$A,$H307,'Participation Adjustment'!$B:$B,$I307),1)</f>
        <v>5.1459297874675496</v>
      </c>
      <c r="Z307" s="79">
        <f>tbl_Data_old[[#This Row],[2029 ]]*IFERROR(AVERAGEIFS('Participation Adjustment'!$C:$C,'Participation Adjustment'!$A:$A,$H307,'Participation Adjustment'!$B:$B,$I307),1)</f>
        <v>5.96308969867545</v>
      </c>
      <c r="AA307" s="79">
        <f>tbl_Data_old[[#This Row],[2030 ]]*IFERROR(AVERAGEIFS('Participation Adjustment'!$C:$C,'Participation Adjustment'!$A:$A,$H307,'Participation Adjustment'!$B:$B,$I307),1)</f>
        <v>6.6561705884006104</v>
      </c>
      <c r="AB307" s="79">
        <f>tbl_Data_old[[#This Row],[2031 ]]*IFERROR(AVERAGEIFS('Participation Adjustment'!$C:$C,'Participation Adjustment'!$A:$A,$H307,'Participation Adjustment'!$B:$B,$I307),1)</f>
        <v>7.2476808716259997</v>
      </c>
      <c r="AC307" s="79">
        <f>tbl_Data_old[[#This Row],[2032 ]]*IFERROR(AVERAGEIFS('Participation Adjustment'!$C:$C,'Participation Adjustment'!$A:$A,$H307,'Participation Adjustment'!$B:$B,$I307),1)</f>
        <v>7.7571305778960298</v>
      </c>
      <c r="AD307" s="79">
        <f>tbl_Data_old[[#This Row],[2033 ]]*IFERROR(AVERAGEIFS('Participation Adjustment'!$C:$C,'Participation Adjustment'!$A:$A,$H307,'Participation Adjustment'!$B:$B,$I307),1)</f>
        <v>8.2018213531032291</v>
      </c>
      <c r="AE307" s="79">
        <f>tbl_Data_old[[#This Row],[2034 ]]*IFERROR(AVERAGEIFS('Participation Adjustment'!$C:$C,'Participation Adjustment'!$A:$A,$H307,'Participation Adjustment'!$B:$B,$I307),1)</f>
        <v>8.5938834695509208</v>
      </c>
      <c r="AF307" s="77" t="str">
        <f t="shared" si="132"/>
        <v>NonResidential</v>
      </c>
      <c r="AG307" s="77" t="str">
        <f>tbl_Data[[#This Row],[All_Meas_Name_Append]]</f>
        <v>Window shade film</v>
      </c>
      <c r="AH307" s="77">
        <f>AVERAGEIFS('3. Incentive Adjustment'!G:G,'3. Incentive Adjustment'!A:A,tbl_Data[[#This Row],[Trimmed Sector]],'3. Incentive Adjustment'!B:B,tbl_Data[[#This Row],[Trimmed Measure Name]])</f>
        <v>3.2127764592544555E-13</v>
      </c>
      <c r="AI307" s="77">
        <f>$AH307*tbl_Data[[#This Row],[2025 ]]</f>
        <v>5.280406349777487E-13</v>
      </c>
      <c r="AJ307" s="77">
        <f>$AH307*tbl_Data[[#This Row],[2026 ]]</f>
        <v>9.7142165875712715E-13</v>
      </c>
      <c r="AK307" s="77">
        <f>$AH307*tbl_Data[[#This Row],[2027 ]]</f>
        <v>1.3420595998225932E-12</v>
      </c>
      <c r="AL307" s="77">
        <f>$AH307*tbl_Data[[#This Row],[2028 ]]</f>
        <v>1.6532722082152028E-12</v>
      </c>
      <c r="AM307" s="77">
        <f>$AH307*tbl_Data[[#This Row],[2029 ]]</f>
        <v>1.9158074208327229E-12</v>
      </c>
      <c r="AN307" s="77">
        <f>$AH307*tbl_Data[[#This Row],[2030 ]]</f>
        <v>2.138478817519536E-12</v>
      </c>
      <c r="AO307" s="77">
        <f>$AH307*tbl_Data[[#This Row],[2031 ]]</f>
        <v>2.3285178488548826E-12</v>
      </c>
      <c r="AP307" s="77">
        <f>$AH307*tbl_Data[[#This Row],[2032 ]]</f>
        <v>2.4921926512027275E-12</v>
      </c>
      <c r="AQ307" s="77">
        <f>$AH307*tbl_Data[[#This Row],[2033 ]]</f>
        <v>2.6350618566260581E-12</v>
      </c>
      <c r="AR307" s="77">
        <f>$AH307*tbl_Data[[#This Row],[2034 ]]</f>
        <v>2.7610226504549205E-12</v>
      </c>
      <c r="AS307" s="77">
        <f>SUM(tbl_Data[[#This Row],[Adjusted 2025]:[Adjusted 2034]])</f>
        <v>1.8765875347263517E-11</v>
      </c>
      <c r="AT307" s="80">
        <f>AVERAGEIFS('3. Incentive Adjustment'!F:F,'3. Incentive Adjustment'!A:A,tbl_Data[[#This Row],[Trimmed Sector]],'3. Incentive Adjustment'!B:B,tbl_Data[[#This Row],[Trimmed Measure Name]])</f>
        <v>132.78569994403261</v>
      </c>
      <c r="AU307" s="80">
        <f>IFERROR(VLOOKUP(tbl_Data[[#This Row],[All_Meas_Name_Append]],'IRA Tax Credits'!$A$3:$D$46,4,0),0)</f>
        <v>0</v>
      </c>
      <c r="AV307" s="81">
        <f>tbl_Data[[#This Row],[Adj. per unit Incentive ($)]]/tbl_Data[[#This Row],[kWh Savings]]*tbl_Data[[#This Row],[Sum of Annuals]]</f>
        <v>2.1088930362412686E-12</v>
      </c>
      <c r="AW307" s="81">
        <f>IFERROR(VLOOKUP(tbl_Data[[#This Row],[Column1]],'1. Set Program Names'!$B$2:$D$15,3,0)*tbl_Data[[#This Row],[Sum of Annuals]],"")</f>
        <v>6.6805943790368732E-13</v>
      </c>
      <c r="AX307" s="81">
        <f>tbl_Data[[#This Row],[per unit IRA tax ($)]]/tbl_Data[[#This Row],[kWh Savings]]*tbl_Data[[#This Row],[Sum of Annuals]]</f>
        <v>0</v>
      </c>
      <c r="AY307" s="81">
        <f>tbl_Data[[#This Row],[Avoided Costs ($/unit)]]/tbl_Data[[#This Row],[kWh Savings]]*tbl_Data[[#This Row],[Sum of Annuals]]</f>
        <v>7.6977028920412497E-12</v>
      </c>
      <c r="AZ307" s="81">
        <f>tbl_Data[[#This Row],[Lost Revenue ($/unit)]]/tbl_Data[[#This Row],[kWh Savings]]*tbl_Data[[#This Row],[Sum of Annuals]]</f>
        <v>1.5435987049966266E-11</v>
      </c>
      <c r="BA307" s="81">
        <f>tbl_Data[[#This Row],[Incremental Cost ($/unit)]]/tbl_Data[[#This Row],[kWh Savings]]*tbl_Data[[#This Row],[Sum of Annuals]]</f>
        <v>7.0296434541375605E-12</v>
      </c>
      <c r="BB307" s="77">
        <f>ROUNDUP(tbl_Data[[#This Row],[Adjusted 2025]]/$L307,0)</f>
        <v>1</v>
      </c>
      <c r="BC307" s="77">
        <f>ROUNDUP(tbl_Data[[#This Row],[Adjusted 2026]]/$L307,0)</f>
        <v>1</v>
      </c>
      <c r="BD307" s="77">
        <f>ROUNDUP(tbl_Data[[#This Row],[Adjusted 2027]]/$L307,0)</f>
        <v>1</v>
      </c>
      <c r="BE307" s="77">
        <f>ROUNDUP(tbl_Data[[#This Row],[Adjusted 2028]]/$L307,0)</f>
        <v>1</v>
      </c>
      <c r="BF307" s="77">
        <f>ROUNDUP(tbl_Data[[#This Row],[Adjusted 2029]]/$L307,0)</f>
        <v>1</v>
      </c>
      <c r="BG307" s="77">
        <f>ROUNDUP(tbl_Data[[#This Row],[Adjusted 2030]]/$L307,0)</f>
        <v>1</v>
      </c>
      <c r="BH307" s="77">
        <f>ROUNDUP(tbl_Data[[#This Row],[Adjusted 2031]]/$L307,0)</f>
        <v>1</v>
      </c>
      <c r="BI307" s="77">
        <f>ROUNDUP(tbl_Data[[#This Row],[Adjusted 2032]]/$L307,0)</f>
        <v>1</v>
      </c>
      <c r="BJ307" s="77">
        <f>ROUNDUP(tbl_Data[[#This Row],[Adjusted 2033]]/$L307,0)</f>
        <v>1</v>
      </c>
      <c r="BK307" s="77">
        <f>ROUNDUP(tbl_Data[[#This Row],[Adjusted 2034]]/$L307,0)</f>
        <v>1</v>
      </c>
      <c r="BL307" s="80">
        <f t="shared" si="133"/>
        <v>0.18470240959822215</v>
      </c>
      <c r="BM307" s="80">
        <f t="shared" si="134"/>
        <v>0.33979188195602428</v>
      </c>
      <c r="BN307" s="80">
        <f t="shared" si="135"/>
        <v>0.46943667871716788</v>
      </c>
      <c r="BO307" s="80">
        <f t="shared" si="136"/>
        <v>0.5782951923614541</v>
      </c>
      <c r="BP307" s="80">
        <f t="shared" si="137"/>
        <v>0.67012692492665904</v>
      </c>
      <c r="BQ307" s="80">
        <f t="shared" si="138"/>
        <v>0.74801476308212411</v>
      </c>
      <c r="BR307" s="80">
        <f t="shared" si="139"/>
        <v>0.8144881832703823</v>
      </c>
      <c r="BS307" s="80">
        <f t="shared" si="140"/>
        <v>0.87173970594047689</v>
      </c>
      <c r="BT307" s="80">
        <f t="shared" si="141"/>
        <v>0.92171367527369785</v>
      </c>
      <c r="BU307" s="80">
        <f t="shared" si="142"/>
        <v>0.96577328090627601</v>
      </c>
      <c r="BV307" s="80">
        <f>IFERROR(VLOOKUP($H307,'1. Set Program Names'!$B$2:$D$15,3,0)*V307,"NA")</f>
        <v>5.8510406082790151E-2</v>
      </c>
      <c r="BW307" s="80">
        <f>IFERROR(VLOOKUP($H307,'1. Set Program Names'!$B$2:$D$15,3,0)*W307,"NA")</f>
        <v>0.10763996549979954</v>
      </c>
      <c r="BX307" s="80">
        <f>IFERROR(VLOOKUP($H307,'1. Set Program Names'!$B$2:$D$15,3,0)*X307,"NA")</f>
        <v>0.14870910867728152</v>
      </c>
      <c r="BY307" s="80">
        <f>IFERROR(VLOOKUP($H307,'1. Set Program Names'!$B$2:$D$15,3,0)*Y307,"NA")</f>
        <v>0.18319353068753694</v>
      </c>
      <c r="BZ307" s="80">
        <f>IFERROR(VLOOKUP($H307,'1. Set Program Names'!$B$2:$D$15,3,0)*Z307,"NA")</f>
        <v>0.21228417425501556</v>
      </c>
      <c r="CA307" s="80">
        <f>IFERROR(VLOOKUP($H307,'1. Set Program Names'!$B$2:$D$15,3,0)*AA307,"NA")</f>
        <v>0.23695764250754217</v>
      </c>
      <c r="CB307" s="80">
        <f>IFERROR(VLOOKUP($H307,'1. Set Program Names'!$B$2:$D$15,3,0)*AB307,"NA")</f>
        <v>0.25801522815240407</v>
      </c>
      <c r="CC307" s="80">
        <f>IFERROR(VLOOKUP($H307,'1. Set Program Names'!$B$2:$D$15,3,0)*AC307,"NA")</f>
        <v>0.27615148228992209</v>
      </c>
      <c r="CD307" s="80">
        <f>IFERROR(VLOOKUP($H307,'1. Set Program Names'!$B$2:$D$15,3,0)*AD307,"NA")</f>
        <v>0.29198233823606889</v>
      </c>
      <c r="CE307" s="80">
        <f>IFERROR(VLOOKUP($H307,'1. Set Program Names'!$B$2:$D$15,3,0)*AE307,"NA")</f>
        <v>0.30593962998454938</v>
      </c>
    </row>
    <row r="308" spans="1:83" x14ac:dyDescent="0.25">
      <c r="A308" s="79" t="s">
        <v>116</v>
      </c>
      <c r="B308" s="79" t="s">
        <v>88</v>
      </c>
      <c r="C308" s="79" t="s">
        <v>122</v>
      </c>
      <c r="D308" s="79" t="s">
        <v>90</v>
      </c>
      <c r="E308" s="79" t="s">
        <v>91</v>
      </c>
      <c r="F308" s="79" t="s">
        <v>90</v>
      </c>
      <c r="G308" s="79" t="s">
        <v>92</v>
      </c>
      <c r="H308" s="79" t="s">
        <v>14</v>
      </c>
      <c r="I308" s="79" t="s">
        <v>237</v>
      </c>
      <c r="J308" s="79" t="s">
        <v>129</v>
      </c>
      <c r="K308" s="79" t="s">
        <v>102</v>
      </c>
      <c r="L308" s="79">
        <v>2568.1199999999699</v>
      </c>
      <c r="M308" s="79">
        <v>0.53641456399840104</v>
      </c>
      <c r="N308" s="79">
        <v>2.1892485513222901E-2</v>
      </c>
      <c r="O308" s="79">
        <f>9025.1/929.29*tbl_Data[[#This Row],[kWh Savings]]</f>
        <v>24941.126894725789</v>
      </c>
      <c r="P308" s="79">
        <v>35498.089296558101</v>
      </c>
      <c r="Q308" s="79">
        <v>91.4242886047615</v>
      </c>
      <c r="R308" s="79">
        <v>1534.4473108970501</v>
      </c>
      <c r="S308" s="79">
        <v>3958.9826982459099</v>
      </c>
      <c r="T308" s="79">
        <v>30</v>
      </c>
      <c r="U308" s="79">
        <v>0.94999999999999896</v>
      </c>
      <c r="V308" s="79">
        <f>tbl_Data_old[[#This Row],[2025 ]]*IFERROR(AVERAGEIFS('Participation Adjustment'!$C:$C,'Participation Adjustment'!$A:$A,$H308,'Participation Adjustment'!$B:$B,$I308),1)</f>
        <v>4.8777137609607703E-2</v>
      </c>
      <c r="W308" s="79">
        <f>tbl_Data_old[[#This Row],[2026 ]]*IFERROR(AVERAGEIFS('Participation Adjustment'!$C:$C,'Participation Adjustment'!$A:$A,$H308,'Participation Adjustment'!$B:$B,$I308),1)</f>
        <v>5.4244533437983501E-2</v>
      </c>
      <c r="X308" s="79">
        <f>tbl_Data_old[[#This Row],[2027 ]]*IFERROR(AVERAGEIFS('Participation Adjustment'!$C:$C,'Participation Adjustment'!$A:$A,$H308,'Participation Adjustment'!$B:$B,$I308),1)</f>
        <v>6.0052582524487703E-2</v>
      </c>
      <c r="Y308" s="79">
        <f>tbl_Data_old[[#This Row],[2028 ]]*IFERROR(AVERAGEIFS('Participation Adjustment'!$C:$C,'Participation Adjustment'!$A:$A,$H308,'Participation Adjustment'!$B:$B,$I308),1)</f>
        <v>6.6293368755847501E-2</v>
      </c>
      <c r="Z308" s="79">
        <f>tbl_Data_old[[#This Row],[2029 ]]*IFERROR(AVERAGEIFS('Participation Adjustment'!$C:$C,'Participation Adjustment'!$A:$A,$H308,'Participation Adjustment'!$B:$B,$I308),1)</f>
        <v>7.2732390748644599E-2</v>
      </c>
      <c r="AA308" s="79">
        <f>tbl_Data_old[[#This Row],[2030 ]]*IFERROR(AVERAGEIFS('Participation Adjustment'!$C:$C,'Participation Adjustment'!$A:$A,$H308,'Participation Adjustment'!$B:$B,$I308),1)</f>
        <v>7.9333780530112502E-2</v>
      </c>
      <c r="AB308" s="79">
        <f>tbl_Data_old[[#This Row],[2031 ]]*IFERROR(AVERAGEIFS('Participation Adjustment'!$C:$C,'Participation Adjustment'!$A:$A,$H308,'Participation Adjustment'!$B:$B,$I308),1)</f>
        <v>8.58854341133541E-2</v>
      </c>
      <c r="AC308" s="79">
        <f>tbl_Data_old[[#This Row],[2032 ]]*IFERROR(AVERAGEIFS('Participation Adjustment'!$C:$C,'Participation Adjustment'!$A:$A,$H308,'Participation Adjustment'!$B:$B,$I308),1)</f>
        <v>9.2491926593195106E-2</v>
      </c>
      <c r="AD308" s="79">
        <f>tbl_Data_old[[#This Row],[2033 ]]*IFERROR(AVERAGEIFS('Participation Adjustment'!$C:$C,'Participation Adjustment'!$A:$A,$H308,'Participation Adjustment'!$B:$B,$I308),1)</f>
        <v>9.9348199169642201E-2</v>
      </c>
      <c r="AE308" s="79">
        <f>tbl_Data_old[[#This Row],[2034 ]]*IFERROR(AVERAGEIFS('Participation Adjustment'!$C:$C,'Participation Adjustment'!$A:$A,$H308,'Participation Adjustment'!$B:$B,$I308),1)</f>
        <v>0.106015994040864</v>
      </c>
      <c r="AF308" s="77" t="str">
        <f t="shared" si="132"/>
        <v>NonResidential</v>
      </c>
      <c r="AG308" s="77" t="str">
        <f>tbl_Data[[#This Row],[All_Meas_Name_Append]]</f>
        <v>Ceiling Insulation(R19 to R38)</v>
      </c>
      <c r="AH308" s="77">
        <f>AVERAGEIFS('3. Incentive Adjustment'!G:G,'3. Incentive Adjustment'!A:A,tbl_Data[[#This Row],[Trimmed Sector]],'3. Incentive Adjustment'!B:B,tbl_Data[[#This Row],[Trimmed Measure Name]])</f>
        <v>3.9688771318830651E-15</v>
      </c>
      <c r="AI308" s="77">
        <f>$AH308*tbl_Data[[#This Row],[2025 ]]</f>
        <v>1.9359046601748541E-16</v>
      </c>
      <c r="AJ308" s="77">
        <f>$AH308*tbl_Data[[#This Row],[2026 ]]</f>
        <v>2.1528988829167898E-16</v>
      </c>
      <c r="AK308" s="77">
        <f>$AH308*tbl_Data[[#This Row],[2027 ]]</f>
        <v>2.3834132149195981E-16</v>
      </c>
      <c r="AL308" s="77">
        <f>$AH308*tbl_Data[[#This Row],[2028 ]]</f>
        <v>2.6311023525057443E-16</v>
      </c>
      <c r="AM308" s="77">
        <f>$AH308*tbl_Data[[#This Row],[2029 ]]</f>
        <v>2.8866592238947897E-16</v>
      </c>
      <c r="AN308" s="77">
        <f>$AH308*tbl_Data[[#This Row],[2030 ]]</f>
        <v>3.1486602733179346E-16</v>
      </c>
      <c r="AO308" s="77">
        <f>$AH308*tbl_Data[[#This Row],[2031 ]]</f>
        <v>3.408687354143408E-16</v>
      </c>
      <c r="AP308" s="77">
        <f>$AH308*tbl_Data[[#This Row],[2032 ]]</f>
        <v>3.6708909233953916E-16</v>
      </c>
      <c r="AQ308" s="77">
        <f>$AH308*tbl_Data[[#This Row],[2033 ]]</f>
        <v>3.9430079577815702E-16</v>
      </c>
      <c r="AR308" s="77">
        <f>$AH308*tbl_Data[[#This Row],[2034 ]]</f>
        <v>4.2076445436263642E-16</v>
      </c>
      <c r="AS308" s="77">
        <f>SUM(tbl_Data[[#This Row],[Adjusted 2025]:[Adjusted 2034]])</f>
        <v>3.0368869386676444E-15</v>
      </c>
      <c r="AT308" s="80">
        <f>AVERAGEIFS('3. Incentive Adjustment'!F:F,'3. Incentive Adjustment'!A:A,tbl_Data[[#This Row],[Trimmed Sector]],'3. Incentive Adjustment'!B:B,tbl_Data[[#This Row],[Trimmed Measure Name]])</f>
        <v>3222.5963039661074</v>
      </c>
      <c r="AU308" s="80">
        <f>IFERROR(VLOOKUP(tbl_Data[[#This Row],[All_Meas_Name_Append]],'IRA Tax Credits'!$A$3:$D$46,4,0),0)</f>
        <v>0</v>
      </c>
      <c r="AV308" s="81">
        <f>tbl_Data[[#This Row],[Adj. per unit Incentive ($)]]/tbl_Data[[#This Row],[kWh Savings]]*tbl_Data[[#This Row],[Sum of Annuals]]</f>
        <v>3.8108268399114577E-15</v>
      </c>
      <c r="AW308" s="81">
        <f>IFERROR(VLOOKUP(tbl_Data[[#This Row],[Column1]],'1. Set Program Names'!$B$2:$D$15,3,0)*tbl_Data[[#This Row],[Sum of Annuals]],"")</f>
        <v>1.0811224862575906E-16</v>
      </c>
      <c r="AX308" s="81">
        <f>tbl_Data[[#This Row],[per unit IRA tax ($)]]/tbl_Data[[#This Row],[kWh Savings]]*tbl_Data[[#This Row],[Sum of Annuals]]</f>
        <v>0</v>
      </c>
      <c r="AY308" s="81">
        <f>tbl_Data[[#This Row],[Avoided Costs ($/unit)]]/tbl_Data[[#This Row],[kWh Savings]]*tbl_Data[[#This Row],[Sum of Annuals]]</f>
        <v>1.8145347555943636E-15</v>
      </c>
      <c r="AZ308" s="81">
        <f>tbl_Data[[#This Row],[Lost Revenue ($/unit)]]/tbl_Data[[#This Row],[kWh Savings]]*tbl_Data[[#This Row],[Sum of Annuals]]</f>
        <v>4.68162813525627E-15</v>
      </c>
      <c r="BA308" s="81">
        <f>tbl_Data[[#This Row],[Incremental Cost ($/unit)]]/tbl_Data[[#This Row],[kWh Savings]]*tbl_Data[[#This Row],[Sum of Annuals]]</f>
        <v>2.9493708433502308E-14</v>
      </c>
      <c r="BB308" s="77">
        <f>ROUNDUP(tbl_Data[[#This Row],[Adjusted 2025]]/$L308,0)</f>
        <v>1</v>
      </c>
      <c r="BC308" s="77">
        <f>ROUNDUP(tbl_Data[[#This Row],[Adjusted 2026]]/$L308,0)</f>
        <v>1</v>
      </c>
      <c r="BD308" s="77">
        <f>ROUNDUP(tbl_Data[[#This Row],[Adjusted 2027]]/$L308,0)</f>
        <v>1</v>
      </c>
      <c r="BE308" s="77">
        <f>ROUNDUP(tbl_Data[[#This Row],[Adjusted 2028]]/$L308,0)</f>
        <v>1</v>
      </c>
      <c r="BF308" s="77">
        <f>ROUNDUP(tbl_Data[[#This Row],[Adjusted 2029]]/$L308,0)</f>
        <v>1</v>
      </c>
      <c r="BG308" s="77">
        <f>ROUNDUP(tbl_Data[[#This Row],[Adjusted 2030]]/$L308,0)</f>
        <v>1</v>
      </c>
      <c r="BH308" s="77">
        <f>ROUNDUP(tbl_Data[[#This Row],[Adjusted 2031]]/$L308,0)</f>
        <v>1</v>
      </c>
      <c r="BI308" s="77">
        <f>ROUNDUP(tbl_Data[[#This Row],[Adjusted 2032]]/$L308,0)</f>
        <v>1</v>
      </c>
      <c r="BJ308" s="77">
        <f>ROUNDUP(tbl_Data[[#This Row],[Adjusted 2033]]/$L308,0)</f>
        <v>1</v>
      </c>
      <c r="BK308" s="77">
        <f>ROUNDUP(tbl_Data[[#This Row],[Adjusted 2034]]/$L308,0)</f>
        <v>1</v>
      </c>
      <c r="BL308" s="80">
        <f t="shared" si="133"/>
        <v>6.1207818707369535E-2</v>
      </c>
      <c r="BM308" s="80">
        <f t="shared" si="134"/>
        <v>6.8068561035938197E-2</v>
      </c>
      <c r="BN308" s="80">
        <f t="shared" si="135"/>
        <v>7.5356770901295889E-2</v>
      </c>
      <c r="BO308" s="80">
        <f t="shared" si="136"/>
        <v>8.3187999443195368E-2</v>
      </c>
      <c r="BP308" s="80">
        <f t="shared" si="137"/>
        <v>9.1267983429591901E-2</v>
      </c>
      <c r="BQ308" s="80">
        <f t="shared" si="138"/>
        <v>9.9551714061648949E-2</v>
      </c>
      <c r="BR308" s="80">
        <f t="shared" si="139"/>
        <v>0.10777303340117395</v>
      </c>
      <c r="BS308" s="80">
        <f t="shared" si="140"/>
        <v>0.11606316713624698</v>
      </c>
      <c r="BT308" s="80">
        <f t="shared" si="141"/>
        <v>0.12466673654259981</v>
      </c>
      <c r="BU308" s="80">
        <f t="shared" si="142"/>
        <v>0.13303379536679952</v>
      </c>
      <c r="BV308" s="80">
        <f>IFERROR(VLOOKUP($H308,'1. Set Program Names'!$B$2:$D$15,3,0)*V308,"NA")</f>
        <v>1.7364512196217426E-3</v>
      </c>
      <c r="BW308" s="80">
        <f>IFERROR(VLOOKUP($H308,'1. Set Program Names'!$B$2:$D$15,3,0)*W308,"NA")</f>
        <v>1.9310888433036202E-3</v>
      </c>
      <c r="BX308" s="80">
        <f>IFERROR(VLOOKUP($H308,'1. Set Program Names'!$B$2:$D$15,3,0)*X308,"NA")</f>
        <v>2.1378536190598883E-3</v>
      </c>
      <c r="BY308" s="80">
        <f>IFERROR(VLOOKUP($H308,'1. Set Program Names'!$B$2:$D$15,3,0)*Y308,"NA")</f>
        <v>2.3600237051681957E-3</v>
      </c>
      <c r="BZ308" s="80">
        <f>IFERROR(VLOOKUP($H308,'1. Set Program Names'!$B$2:$D$15,3,0)*Z308,"NA")</f>
        <v>2.5892509239126057E-3</v>
      </c>
      <c r="CA308" s="80">
        <f>IFERROR(VLOOKUP($H308,'1. Set Program Names'!$B$2:$D$15,3,0)*AA308,"NA")</f>
        <v>2.8242583864040204E-3</v>
      </c>
      <c r="CB308" s="80">
        <f>IFERROR(VLOOKUP($H308,'1. Set Program Names'!$B$2:$D$15,3,0)*AB308,"NA")</f>
        <v>3.0574952554104167E-3</v>
      </c>
      <c r="CC308" s="80">
        <f>IFERROR(VLOOKUP($H308,'1. Set Program Names'!$B$2:$D$15,3,0)*AC308,"NA")</f>
        <v>3.2926843724073551E-3</v>
      </c>
      <c r="CD308" s="80">
        <f>IFERROR(VLOOKUP($H308,'1. Set Program Names'!$B$2:$D$15,3,0)*AD308,"NA")</f>
        <v>3.5367655846490018E-3</v>
      </c>
      <c r="CE308" s="80">
        <f>IFERROR(VLOOKUP($H308,'1. Set Program Names'!$B$2:$D$15,3,0)*AE308,"NA")</f>
        <v>3.7741370480790346E-3</v>
      </c>
    </row>
    <row r="309" spans="1:83" x14ac:dyDescent="0.25">
      <c r="A309" s="79" t="s">
        <v>116</v>
      </c>
      <c r="B309" s="79" t="s">
        <v>88</v>
      </c>
      <c r="C309" s="79" t="s">
        <v>122</v>
      </c>
      <c r="D309" s="79" t="s">
        <v>90</v>
      </c>
      <c r="E309" s="79" t="s">
        <v>91</v>
      </c>
      <c r="F309" s="79" t="s">
        <v>90</v>
      </c>
      <c r="G309" s="79" t="s">
        <v>92</v>
      </c>
      <c r="H309" s="79" t="s">
        <v>14</v>
      </c>
      <c r="I309" s="79" t="s">
        <v>238</v>
      </c>
      <c r="J309" s="79" t="s">
        <v>129</v>
      </c>
      <c r="K309" s="79" t="s">
        <v>102</v>
      </c>
      <c r="L309" s="79">
        <v>4477.6116666666303</v>
      </c>
      <c r="M309" s="79">
        <v>0.90610878358590996</v>
      </c>
      <c r="N309" s="79">
        <v>4.9616670393602701E-2</v>
      </c>
      <c r="O309" s="79">
        <f>9351.31/1137.9*tbl_Data[[#This Row],[kWh Savings]]</f>
        <v>36797.200768623181</v>
      </c>
      <c r="P309" s="79">
        <v>44221.719775682497</v>
      </c>
      <c r="Q309" s="79">
        <v>159.401609454924</v>
      </c>
      <c r="R309" s="79">
        <v>2670.7044942461998</v>
      </c>
      <c r="S309" s="79">
        <v>6902.6319322295803</v>
      </c>
      <c r="T309" s="79">
        <v>30</v>
      </c>
      <c r="U309" s="79">
        <v>0.94999999999999896</v>
      </c>
      <c r="V309" s="79">
        <f>tbl_Data_old[[#This Row],[2025 ]]*IFERROR(AVERAGEIFS('Participation Adjustment'!$C:$C,'Participation Adjustment'!$A:$A,$H309,'Participation Adjustment'!$B:$B,$I309),1)</f>
        <v>8.98310706745101E-2</v>
      </c>
      <c r="W309" s="79">
        <f>tbl_Data_old[[#This Row],[2026 ]]*IFERROR(AVERAGEIFS('Participation Adjustment'!$C:$C,'Participation Adjustment'!$A:$A,$H309,'Participation Adjustment'!$B:$B,$I309),1)</f>
        <v>9.9706409524747699E-2</v>
      </c>
      <c r="X309" s="79">
        <f>tbl_Data_old[[#This Row],[2027 ]]*IFERROR(AVERAGEIFS('Participation Adjustment'!$C:$C,'Participation Adjustment'!$A:$A,$H309,'Participation Adjustment'!$B:$B,$I309),1)</f>
        <v>0.110150604565178</v>
      </c>
      <c r="Y309" s="79">
        <f>tbl_Data_old[[#This Row],[2028 ]]*IFERROR(AVERAGEIFS('Participation Adjustment'!$C:$C,'Participation Adjustment'!$A:$A,$H309,'Participation Adjustment'!$B:$B,$I309),1)</f>
        <v>0.12134628470832499</v>
      </c>
      <c r="Z309" s="79">
        <f>tbl_Data_old[[#This Row],[2029 ]]*IFERROR(AVERAGEIFS('Participation Adjustment'!$C:$C,'Participation Adjustment'!$A:$A,$H309,'Participation Adjustment'!$B:$B,$I309),1)</f>
        <v>0.13287283417722801</v>
      </c>
      <c r="AA309" s="79">
        <f>tbl_Data_old[[#This Row],[2030 ]]*IFERROR(AVERAGEIFS('Participation Adjustment'!$C:$C,'Participation Adjustment'!$A:$A,$H309,'Participation Adjustment'!$B:$B,$I309),1)</f>
        <v>0.14465832022960201</v>
      </c>
      <c r="AB309" s="79">
        <f>tbl_Data_old[[#This Row],[2031 ]]*IFERROR(AVERAGEIFS('Participation Adjustment'!$C:$C,'Participation Adjustment'!$A:$A,$H309,'Participation Adjustment'!$B:$B,$I309),1)</f>
        <v>0.15632875646543501</v>
      </c>
      <c r="AC309" s="79">
        <f>tbl_Data_old[[#This Row],[2032 ]]*IFERROR(AVERAGEIFS('Participation Adjustment'!$C:$C,'Participation Adjustment'!$A:$A,$H309,'Participation Adjustment'!$B:$B,$I309),1)</f>
        <v>0.168076992436659</v>
      </c>
      <c r="AD309" s="79">
        <f>tbl_Data_old[[#This Row],[2033 ]]*IFERROR(AVERAGEIFS('Participation Adjustment'!$C:$C,'Participation Adjustment'!$A:$A,$H309,'Participation Adjustment'!$B:$B,$I309),1)</f>
        <v>0.18024604603557301</v>
      </c>
      <c r="AE309" s="79">
        <f>tbl_Data_old[[#This Row],[2034 ]]*IFERROR(AVERAGEIFS('Participation Adjustment'!$C:$C,'Participation Adjustment'!$A:$A,$H309,'Participation Adjustment'!$B:$B,$I309),1)</f>
        <v>0.19205649272896499</v>
      </c>
      <c r="AF309" s="77" t="str">
        <f t="shared" si="132"/>
        <v>NonResidential</v>
      </c>
      <c r="AG309" s="77" t="str">
        <f>tbl_Data[[#This Row],[All_Meas_Name_Append]]</f>
        <v>Ceiling Insulation(R19 to R49)</v>
      </c>
      <c r="AH309" s="77">
        <f>AVERAGEIFS('3. Incentive Adjustment'!G:G,'3. Incentive Adjustment'!A:A,tbl_Data[[#This Row],[Trimmed Sector]],'3. Incentive Adjustment'!B:B,tbl_Data[[#This Row],[Trimmed Measure Name]])</f>
        <v>7.9373870200739678E-11</v>
      </c>
      <c r="AI309" s="77">
        <f>$AH309*tbl_Data[[#This Row],[2025 ]]</f>
        <v>7.1302397437120371E-12</v>
      </c>
      <c r="AJ309" s="77">
        <f>$AH309*tbl_Data[[#This Row],[2026 ]]</f>
        <v>7.9140836077991178E-12</v>
      </c>
      <c r="AK309" s="77">
        <f>$AH309*tbl_Data[[#This Row],[2027 ]]</f>
        <v>8.7430797892894419E-12</v>
      </c>
      <c r="AL309" s="77">
        <f>$AH309*tbl_Data[[#This Row],[2028 ]]</f>
        <v>9.6317242517805904E-12</v>
      </c>
      <c r="AM309" s="77">
        <f>$AH309*tbl_Data[[#This Row],[2029 ]]</f>
        <v>1.0546631093187703E-11</v>
      </c>
      <c r="AN309" s="77">
        <f>$AH309*tbl_Data[[#This Row],[2030 ]]</f>
        <v>1.1482090733361464E-11</v>
      </c>
      <c r="AO309" s="77">
        <f>$AH309*tbl_Data[[#This Row],[2031 ]]</f>
        <v>1.2408418424330483E-11</v>
      </c>
      <c r="AP309" s="77">
        <f>$AH309*tbl_Data[[#This Row],[2032 ]]</f>
        <v>1.3340921381398076E-11</v>
      </c>
      <c r="AQ309" s="77">
        <f>$AH309*tbl_Data[[#This Row],[2033 ]]</f>
        <v>1.4306826262224121E-11</v>
      </c>
      <c r="AR309" s="77">
        <f>$AH309*tbl_Data[[#This Row],[2034 ]]</f>
        <v>1.5244267125078173E-11</v>
      </c>
      <c r="AS309" s="77">
        <f>SUM(tbl_Data[[#This Row],[Adjusted 2025]:[Adjusted 2034]])</f>
        <v>1.1074828241216121E-10</v>
      </c>
      <c r="AT309" s="80">
        <f>AVERAGEIFS('3. Incentive Adjustment'!F:F,'3. Incentive Adjustment'!A:A,tbl_Data[[#This Row],[Trimmed Sector]],'3. Incentive Adjustment'!B:B,tbl_Data[[#This Row],[Trimmed Measure Name]])</f>
        <v>4754.4974087894998</v>
      </c>
      <c r="AU309" s="80">
        <f>IFERROR(VLOOKUP(tbl_Data[[#This Row],[All_Meas_Name_Append]],'IRA Tax Credits'!$A$3:$D$46,4,0),0)</f>
        <v>500</v>
      </c>
      <c r="AV309" s="81">
        <f>tbl_Data[[#This Row],[Adj. per unit Incentive ($)]]/tbl_Data[[#This Row],[kWh Savings]]*tbl_Data[[#This Row],[Sum of Annuals]]</f>
        <v>1.1759671471208703E-10</v>
      </c>
      <c r="AW309" s="81">
        <f>IFERROR(VLOOKUP(tbl_Data[[#This Row],[Column1]],'1. Set Program Names'!$B$2:$D$15,3,0)*tbl_Data[[#This Row],[Sum of Annuals]],"")</f>
        <v>3.9426050705306481E-12</v>
      </c>
      <c r="AX309" s="81">
        <f>tbl_Data[[#This Row],[per unit IRA tax ($)]]/tbl_Data[[#This Row],[kWh Savings]]*tbl_Data[[#This Row],[Sum of Annuals]]</f>
        <v>1.2366892291779297E-11</v>
      </c>
      <c r="AY309" s="81">
        <f>tbl_Data[[#This Row],[Avoided Costs ($/unit)]]/tbl_Data[[#This Row],[kWh Savings]]*tbl_Data[[#This Row],[Sum of Annuals]]</f>
        <v>6.6056629647027307E-11</v>
      </c>
      <c r="AZ309" s="81">
        <f>tbl_Data[[#This Row],[Lost Revenue ($/unit)]]/tbl_Data[[#This Row],[kWh Savings]]*tbl_Data[[#This Row],[Sum of Annuals]]</f>
        <v>1.7072821127135926E-10</v>
      </c>
      <c r="BA309" s="81">
        <f>tbl_Data[[#This Row],[Incremental Cost ($/unit)]]/tbl_Data[[#This Row],[kWh Savings]]*tbl_Data[[#This Row],[Sum of Annuals]]</f>
        <v>9.101340370890825E-10</v>
      </c>
      <c r="BB309" s="77">
        <f>ROUNDUP(tbl_Data[[#This Row],[Adjusted 2025]]/$L309,0)</f>
        <v>1</v>
      </c>
      <c r="BC309" s="77">
        <f>ROUNDUP(tbl_Data[[#This Row],[Adjusted 2026]]/$L309,0)</f>
        <v>1</v>
      </c>
      <c r="BD309" s="77">
        <f>ROUNDUP(tbl_Data[[#This Row],[Adjusted 2027]]/$L309,0)</f>
        <v>1</v>
      </c>
      <c r="BE309" s="77">
        <f>ROUNDUP(tbl_Data[[#This Row],[Adjusted 2028]]/$L309,0)</f>
        <v>1</v>
      </c>
      <c r="BF309" s="77">
        <f>ROUNDUP(tbl_Data[[#This Row],[Adjusted 2029]]/$L309,0)</f>
        <v>1</v>
      </c>
      <c r="BG309" s="77">
        <f>ROUNDUP(tbl_Data[[#This Row],[Adjusted 2030]]/$L309,0)</f>
        <v>1</v>
      </c>
      <c r="BH309" s="77">
        <f>ROUNDUP(tbl_Data[[#This Row],[Adjusted 2031]]/$L309,0)</f>
        <v>1</v>
      </c>
      <c r="BI309" s="77">
        <f>ROUNDUP(tbl_Data[[#This Row],[Adjusted 2032]]/$L309,0)</f>
        <v>1</v>
      </c>
      <c r="BJ309" s="77">
        <f>ROUNDUP(tbl_Data[[#This Row],[Adjusted 2033]]/$L309,0)</f>
        <v>1</v>
      </c>
      <c r="BK309" s="77">
        <f>ROUNDUP(tbl_Data[[#This Row],[Adjusted 2034]]/$L309,0)</f>
        <v>1</v>
      </c>
      <c r="BL309" s="80">
        <f t="shared" si="133"/>
        <v>9.5386028210146606E-2</v>
      </c>
      <c r="BM309" s="80">
        <f t="shared" si="134"/>
        <v>0.10587203648190159</v>
      </c>
      <c r="BN309" s="80">
        <f t="shared" si="135"/>
        <v>0.11696207777027112</v>
      </c>
      <c r="BO309" s="80">
        <f t="shared" si="136"/>
        <v>0.12885007436151091</v>
      </c>
      <c r="BP309" s="80">
        <f t="shared" si="137"/>
        <v>0.14108940051615745</v>
      </c>
      <c r="BQ309" s="80">
        <f t="shared" si="138"/>
        <v>0.15360367532799071</v>
      </c>
      <c r="BR309" s="80">
        <f t="shared" si="139"/>
        <v>0.16599578589349195</v>
      </c>
      <c r="BS309" s="80">
        <f t="shared" si="140"/>
        <v>0.17847050716037993</v>
      </c>
      <c r="BT309" s="80">
        <f t="shared" si="141"/>
        <v>0.1913920684994698</v>
      </c>
      <c r="BU309" s="80">
        <f t="shared" si="142"/>
        <v>0.20393284746393542</v>
      </c>
      <c r="BV309" s="80">
        <f>IFERROR(VLOOKUP($H309,'1. Set Program Names'!$B$2:$D$15,3,0)*V309,"NA")</f>
        <v>3.1979587133861456E-3</v>
      </c>
      <c r="BW309" s="80">
        <f>IFERROR(VLOOKUP($H309,'1. Set Program Names'!$B$2:$D$15,3,0)*W309,"NA")</f>
        <v>3.5495177640200511E-3</v>
      </c>
      <c r="BX309" s="80">
        <f>IFERROR(VLOOKUP($H309,'1. Set Program Names'!$B$2:$D$15,3,0)*X309,"NA")</f>
        <v>3.9213279214973997E-3</v>
      </c>
      <c r="BY309" s="80">
        <f>IFERROR(VLOOKUP($H309,'1. Set Program Names'!$B$2:$D$15,3,0)*Y309,"NA")</f>
        <v>4.3198907193937909E-3</v>
      </c>
      <c r="BZ309" s="80">
        <f>IFERROR(VLOOKUP($H309,'1. Set Program Names'!$B$2:$D$15,3,0)*Z309,"NA")</f>
        <v>4.7302323643566664E-3</v>
      </c>
      <c r="CA309" s="80">
        <f>IFERROR(VLOOKUP($H309,'1. Set Program Names'!$B$2:$D$15,3,0)*AA309,"NA")</f>
        <v>5.1497920727034902E-3</v>
      </c>
      <c r="CB309" s="80">
        <f>IFERROR(VLOOKUP($H309,'1. Set Program Names'!$B$2:$D$15,3,0)*AB309,"NA")</f>
        <v>5.5652560426769629E-3</v>
      </c>
      <c r="CC309" s="80">
        <f>IFERROR(VLOOKUP($H309,'1. Set Program Names'!$B$2:$D$15,3,0)*AC309,"NA")</f>
        <v>5.9834896594978407E-3</v>
      </c>
      <c r="CD309" s="80">
        <f>IFERROR(VLOOKUP($H309,'1. Set Program Names'!$B$2:$D$15,3,0)*AD309,"NA")</f>
        <v>6.4167042554956677E-3</v>
      </c>
      <c r="CE309" s="80">
        <f>IFERROR(VLOOKUP($H309,'1. Set Program Names'!$B$2:$D$15,3,0)*AE309,"NA")</f>
        <v>6.8371525550485826E-3</v>
      </c>
    </row>
    <row r="310" spans="1:83" x14ac:dyDescent="0.25">
      <c r="A310" s="79" t="s">
        <v>116</v>
      </c>
      <c r="B310" s="79" t="s">
        <v>88</v>
      </c>
      <c r="C310" s="79" t="s">
        <v>122</v>
      </c>
      <c r="D310" s="79" t="s">
        <v>90</v>
      </c>
      <c r="E310" s="79" t="s">
        <v>91</v>
      </c>
      <c r="F310" s="79" t="s">
        <v>90</v>
      </c>
      <c r="G310" s="79" t="s">
        <v>92</v>
      </c>
      <c r="H310" s="79" t="s">
        <v>14</v>
      </c>
      <c r="I310" s="79" t="s">
        <v>240</v>
      </c>
      <c r="J310" s="79" t="s">
        <v>129</v>
      </c>
      <c r="K310" s="79" t="s">
        <v>102</v>
      </c>
      <c r="L310" s="79">
        <v>18717.787499999999</v>
      </c>
      <c r="M310" s="79">
        <v>3.6380387810097399</v>
      </c>
      <c r="N310" s="79">
        <v>0.14255501576814</v>
      </c>
      <c r="O310" s="79">
        <f>11091.09/6133.31*tbl_Data[[#This Row],[kWh Savings]]</f>
        <v>33848.063405139306</v>
      </c>
      <c r="P310" s="79">
        <v>45532.278837645601</v>
      </c>
      <c r="Q310" s="79">
        <v>666.34752521012103</v>
      </c>
      <c r="R310" s="79">
        <v>11042.715256281999</v>
      </c>
      <c r="S310" s="79">
        <v>28855.114582630202</v>
      </c>
      <c r="T310" s="79">
        <v>30</v>
      </c>
      <c r="U310" s="79">
        <v>0.95</v>
      </c>
      <c r="V310" s="79">
        <f>tbl_Data_old[[#This Row],[2025 ]]*IFERROR(AVERAGEIFS('Participation Adjustment'!$C:$C,'Participation Adjustment'!$A:$A,$H310,'Participation Adjustment'!$B:$B,$I310),1)</f>
        <v>4.74004277801948E-2</v>
      </c>
      <c r="W310" s="79">
        <f>tbl_Data_old[[#This Row],[2026 ]]*IFERROR(AVERAGEIFS('Participation Adjustment'!$C:$C,'Participation Adjustment'!$A:$A,$H310,'Participation Adjustment'!$B:$B,$I310),1)</f>
        <v>4.64631956894229E-2</v>
      </c>
      <c r="X310" s="79">
        <f>tbl_Data_old[[#This Row],[2027 ]]*IFERROR(AVERAGEIFS('Participation Adjustment'!$C:$C,'Participation Adjustment'!$A:$A,$H310,'Participation Adjustment'!$B:$B,$I310),1)</f>
        <v>4.5072389709602201E-2</v>
      </c>
      <c r="Y310" s="79">
        <f>tbl_Data_old[[#This Row],[2028 ]]*IFERROR(AVERAGEIFS('Participation Adjustment'!$C:$C,'Participation Adjustment'!$A:$A,$H310,'Participation Adjustment'!$B:$B,$I310),1)</f>
        <v>4.3664815630035797E-2</v>
      </c>
      <c r="Z310" s="79">
        <f>tbl_Data_old[[#This Row],[2029 ]]*IFERROR(AVERAGEIFS('Participation Adjustment'!$C:$C,'Participation Adjustment'!$A:$A,$H310,'Participation Adjustment'!$B:$B,$I310),1)</f>
        <v>4.2259323752508501E-2</v>
      </c>
      <c r="AA310" s="79">
        <f>tbl_Data_old[[#This Row],[2030 ]]*IFERROR(AVERAGEIFS('Participation Adjustment'!$C:$C,'Participation Adjustment'!$A:$A,$H310,'Participation Adjustment'!$B:$B,$I310),1)</f>
        <v>4.0744900408860203E-2</v>
      </c>
      <c r="AB310" s="79">
        <f>tbl_Data_old[[#This Row],[2031 ]]*IFERROR(AVERAGEIFS('Participation Adjustment'!$C:$C,'Participation Adjustment'!$A:$A,$H310,'Participation Adjustment'!$B:$B,$I310),1)</f>
        <v>3.9212877890017699E-2</v>
      </c>
      <c r="AC310" s="79">
        <f>tbl_Data_old[[#This Row],[2032 ]]*IFERROR(AVERAGEIFS('Participation Adjustment'!$C:$C,'Participation Adjustment'!$A:$A,$H310,'Participation Adjustment'!$B:$B,$I310),1)</f>
        <v>3.77339428985786E-2</v>
      </c>
      <c r="AD310" s="79">
        <f>tbl_Data_old[[#This Row],[2033 ]]*IFERROR(AVERAGEIFS('Participation Adjustment'!$C:$C,'Participation Adjustment'!$A:$A,$H310,'Participation Adjustment'!$B:$B,$I310),1)</f>
        <v>3.6247600626199299E-2</v>
      </c>
      <c r="AE310" s="79">
        <f>tbl_Data_old[[#This Row],[2034 ]]*IFERROR(AVERAGEIFS('Participation Adjustment'!$C:$C,'Participation Adjustment'!$A:$A,$H310,'Participation Adjustment'!$B:$B,$I310),1)</f>
        <v>3.4779044409619701E-2</v>
      </c>
      <c r="AF310" s="77" t="str">
        <f t="shared" si="132"/>
        <v>NonResidential</v>
      </c>
      <c r="AG310" s="77" t="str">
        <f>tbl_Data[[#This Row],[All_Meas_Name_Append]]</f>
        <v>Ceiling Insulation(R2 to R38)</v>
      </c>
      <c r="AH310" s="77">
        <f>AVERAGEIFS('3. Incentive Adjustment'!G:G,'3. Incentive Adjustment'!A:A,tbl_Data[[#This Row],[Trimmed Sector]],'3. Incentive Adjustment'!B:B,tbl_Data[[#This Row],[Trimmed Measure Name]])</f>
        <v>3.0218441517909909E-3</v>
      </c>
      <c r="AI310" s="77">
        <f>$AH310*tbl_Data[[#This Row],[2025 ]]</f>
        <v>1.4323670547997287E-4</v>
      </c>
      <c r="AJ310" s="77">
        <f>$AH310*tbl_Data[[#This Row],[2026 ]]</f>
        <v>1.4040453616760297E-4</v>
      </c>
      <c r="AK310" s="77">
        <f>$AH310*tbl_Data[[#This Row],[2027 ]]</f>
        <v>1.3620173725120585E-4</v>
      </c>
      <c r="AL310" s="77">
        <f>$AH310*tbl_Data[[#This Row],[2028 ]]</f>
        <v>1.3194826775065553E-4</v>
      </c>
      <c r="AM310" s="77">
        <f>$AH310*tbl_Data[[#This Row],[2029 ]]</f>
        <v>1.2770109034015992E-4</v>
      </c>
      <c r="AN310" s="77">
        <f>$AH310*tbl_Data[[#This Row],[2030 ]]</f>
        <v>1.2312473901582055E-4</v>
      </c>
      <c r="AO310" s="77">
        <f>$AH310*tbl_Data[[#This Row],[2031 ]]</f>
        <v>1.1849520572684423E-4</v>
      </c>
      <c r="AP310" s="77">
        <f>$AH310*tbl_Data[[#This Row],[2032 ]]</f>
        <v>1.1402609467208493E-4</v>
      </c>
      <c r="AQ310" s="77">
        <f>$AH310*tbl_Data[[#This Row],[2033 ]]</f>
        <v>1.0953459996873581E-4</v>
      </c>
      <c r="AR310" s="77">
        <f>$AH310*tbl_Data[[#This Row],[2034 ]]</f>
        <v>1.0509685195408845E-4</v>
      </c>
      <c r="AS310" s="77">
        <f>SUM(tbl_Data[[#This Row],[Adjusted 2025]:[Adjusted 2034]])</f>
        <v>1.2497698283271711E-3</v>
      </c>
      <c r="AT310" s="80">
        <f>AVERAGEIFS('3. Incentive Adjustment'!F:F,'3. Incentive Adjustment'!A:A,tbl_Data[[#This Row],[Trimmed Sector]],'3. Incentive Adjustment'!B:B,tbl_Data[[#This Row],[Trimmed Measure Name]])</f>
        <v>4373.4448922946976</v>
      </c>
      <c r="AU310" s="80">
        <f>IFERROR(VLOOKUP(tbl_Data[[#This Row],[All_Meas_Name_Append]],'IRA Tax Credits'!$A$3:$D$46,4,0),0)</f>
        <v>0</v>
      </c>
      <c r="AV310" s="81">
        <f>tbl_Data[[#This Row],[Adj. per unit Incentive ($)]]/tbl_Data[[#This Row],[kWh Savings]]*tbl_Data[[#This Row],[Sum of Annuals]]</f>
        <v>2.9201098004993849E-4</v>
      </c>
      <c r="AW310" s="81">
        <f>IFERROR(VLOOKUP(tbl_Data[[#This Row],[Column1]],'1. Set Program Names'!$B$2:$D$15,3,0)*tbl_Data[[#This Row],[Sum of Annuals]],"")</f>
        <v>4.4491424650914975E-5</v>
      </c>
      <c r="AX310" s="81">
        <f>tbl_Data[[#This Row],[per unit IRA tax ($)]]/tbl_Data[[#This Row],[kWh Savings]]*tbl_Data[[#This Row],[Sum of Annuals]]</f>
        <v>0</v>
      </c>
      <c r="AY310" s="81">
        <f>tbl_Data[[#This Row],[Avoided Costs ($/unit)]]/tbl_Data[[#This Row],[kWh Savings]]*tbl_Data[[#This Row],[Sum of Annuals]]</f>
        <v>7.3731216096503867E-4</v>
      </c>
      <c r="AZ310" s="81">
        <f>tbl_Data[[#This Row],[Lost Revenue ($/unit)]]/tbl_Data[[#This Row],[kWh Savings]]*tbl_Data[[#This Row],[Sum of Annuals]]</f>
        <v>1.9266300356436147E-3</v>
      </c>
      <c r="BA310" s="81">
        <f>tbl_Data[[#This Row],[Incremental Cost ($/unit)]]/tbl_Data[[#This Row],[kWh Savings]]*tbl_Data[[#This Row],[Sum of Annuals]]</f>
        <v>2.2600047356584295E-3</v>
      </c>
      <c r="BB310" s="77">
        <f>ROUNDUP(tbl_Data[[#This Row],[Adjusted 2025]]/$L310,0)</f>
        <v>1</v>
      </c>
      <c r="BC310" s="77">
        <f>ROUNDUP(tbl_Data[[#This Row],[Adjusted 2026]]/$L310,0)</f>
        <v>1</v>
      </c>
      <c r="BD310" s="77">
        <f>ROUNDUP(tbl_Data[[#This Row],[Adjusted 2027]]/$L310,0)</f>
        <v>1</v>
      </c>
      <c r="BE310" s="77">
        <f>ROUNDUP(tbl_Data[[#This Row],[Adjusted 2028]]/$L310,0)</f>
        <v>1</v>
      </c>
      <c r="BF310" s="77">
        <f>ROUNDUP(tbl_Data[[#This Row],[Adjusted 2029]]/$L310,0)</f>
        <v>1</v>
      </c>
      <c r="BG310" s="77">
        <f>ROUNDUP(tbl_Data[[#This Row],[Adjusted 2030]]/$L310,0)</f>
        <v>1</v>
      </c>
      <c r="BH310" s="77">
        <f>ROUNDUP(tbl_Data[[#This Row],[Adjusted 2031]]/$L310,0)</f>
        <v>1</v>
      </c>
      <c r="BI310" s="77">
        <f>ROUNDUP(tbl_Data[[#This Row],[Adjusted 2032]]/$L310,0)</f>
        <v>1</v>
      </c>
      <c r="BJ310" s="77">
        <f>ROUNDUP(tbl_Data[[#This Row],[Adjusted 2033]]/$L310,0)</f>
        <v>1</v>
      </c>
      <c r="BK310" s="77">
        <f>ROUNDUP(tbl_Data[[#This Row],[Adjusted 2034]]/$L310,0)</f>
        <v>1</v>
      </c>
      <c r="BL310" s="80">
        <f t="shared" si="133"/>
        <v>1.1075195653753237E-2</v>
      </c>
      <c r="BM310" s="80">
        <f t="shared" si="134"/>
        <v>1.0856209681170684E-2</v>
      </c>
      <c r="BN310" s="80">
        <f t="shared" si="135"/>
        <v>1.0531245349322182E-2</v>
      </c>
      <c r="BO310" s="80">
        <f t="shared" si="136"/>
        <v>1.0202363120650331E-2</v>
      </c>
      <c r="BP310" s="80">
        <f t="shared" si="137"/>
        <v>9.8739674022496685E-3</v>
      </c>
      <c r="BQ310" s="80">
        <f t="shared" si="138"/>
        <v>9.5201196498349936E-3</v>
      </c>
      <c r="BR310" s="80">
        <f t="shared" si="139"/>
        <v>9.1621598183157914E-3</v>
      </c>
      <c r="BS310" s="80">
        <f t="shared" si="140"/>
        <v>8.8166039835599359E-3</v>
      </c>
      <c r="BT310" s="80">
        <f t="shared" si="141"/>
        <v>8.4693174242195784E-3</v>
      </c>
      <c r="BU310" s="80">
        <f t="shared" si="142"/>
        <v>8.1261866089751139E-3</v>
      </c>
      <c r="BV310" s="80">
        <f>IFERROR(VLOOKUP($H310,'1. Set Program Names'!$B$2:$D$15,3,0)*V310,"NA")</f>
        <v>1.68744076965474E-3</v>
      </c>
      <c r="BW310" s="80">
        <f>IFERROR(VLOOKUP($H310,'1. Set Program Names'!$B$2:$D$15,3,0)*W310,"NA")</f>
        <v>1.6540755931223447E-3</v>
      </c>
      <c r="BX310" s="80">
        <f>IFERROR(VLOOKUP($H310,'1. Set Program Names'!$B$2:$D$15,3,0)*X310,"NA")</f>
        <v>1.6045633245008017E-3</v>
      </c>
      <c r="BY310" s="80">
        <f>IFERROR(VLOOKUP($H310,'1. Set Program Names'!$B$2:$D$15,3,0)*Y310,"NA")</f>
        <v>1.5544541166433567E-3</v>
      </c>
      <c r="BZ310" s="80">
        <f>IFERROR(VLOOKUP($H310,'1. Set Program Names'!$B$2:$D$15,3,0)*Z310,"NA")</f>
        <v>1.504419034543336E-3</v>
      </c>
      <c r="CA310" s="80">
        <f>IFERROR(VLOOKUP($H310,'1. Set Program Names'!$B$2:$D$15,3,0)*AA310,"NA")</f>
        <v>1.4505060254785371E-3</v>
      </c>
      <c r="CB310" s="80">
        <f>IFERROR(VLOOKUP($H310,'1. Set Program Names'!$B$2:$D$15,3,0)*AB310,"NA")</f>
        <v>1.3959664911453859E-3</v>
      </c>
      <c r="CC310" s="80">
        <f>IFERROR(VLOOKUP($H310,'1. Set Program Names'!$B$2:$D$15,3,0)*AC310,"NA")</f>
        <v>1.3433168565936476E-3</v>
      </c>
      <c r="CD310" s="80">
        <f>IFERROR(VLOOKUP($H310,'1. Set Program Names'!$B$2:$D$15,3,0)*AD310,"NA")</f>
        <v>1.2904035251000009E-3</v>
      </c>
      <c r="CE310" s="80">
        <f>IFERROR(VLOOKUP($H310,'1. Set Program Names'!$B$2:$D$15,3,0)*AE310,"NA")</f>
        <v>1.238123371767255E-3</v>
      </c>
    </row>
    <row r="311" spans="1:83" x14ac:dyDescent="0.25">
      <c r="A311" s="79" t="s">
        <v>116</v>
      </c>
      <c r="B311" s="79" t="s">
        <v>88</v>
      </c>
      <c r="C311" s="79" t="s">
        <v>122</v>
      </c>
      <c r="D311" s="79" t="s">
        <v>90</v>
      </c>
      <c r="E311" s="79" t="s">
        <v>91</v>
      </c>
      <c r="F311" s="79" t="s">
        <v>90</v>
      </c>
      <c r="G311" s="79" t="s">
        <v>92</v>
      </c>
      <c r="H311" s="79" t="s">
        <v>14</v>
      </c>
      <c r="I311" s="79" t="s">
        <v>241</v>
      </c>
      <c r="J311" s="79" t="s">
        <v>129</v>
      </c>
      <c r="K311" s="79" t="s">
        <v>102</v>
      </c>
      <c r="L311" s="79">
        <v>19185.113333333298</v>
      </c>
      <c r="M311" s="79">
        <v>4.6125790568704801</v>
      </c>
      <c r="N311" s="79">
        <v>0.25911922024205197</v>
      </c>
      <c r="O311" s="79">
        <f>11417.3/6341.92*tbl_Data[[#This Row],[kWh Savings]]</f>
        <v>34538.782334161617</v>
      </c>
      <c r="P311" s="79">
        <v>25197.386166847798</v>
      </c>
      <c r="Q311" s="79">
        <v>682.98418232081895</v>
      </c>
      <c r="R311" s="79">
        <v>12014.6297388403</v>
      </c>
      <c r="S311" s="79">
        <v>29575.538429105502</v>
      </c>
      <c r="T311" s="79">
        <v>30</v>
      </c>
      <c r="U311" s="79">
        <v>0.95</v>
      </c>
      <c r="V311" s="79">
        <f>tbl_Data_old[[#This Row],[2025 ]]*IFERROR(AVERAGEIFS('Participation Adjustment'!$C:$C,'Participation Adjustment'!$A:$A,$H311,'Participation Adjustment'!$B:$B,$I311),1)</f>
        <v>0.18765984582977799</v>
      </c>
      <c r="W311" s="79">
        <f>tbl_Data_old[[#This Row],[2026 ]]*IFERROR(AVERAGEIFS('Participation Adjustment'!$C:$C,'Participation Adjustment'!$A:$A,$H311,'Participation Adjustment'!$B:$B,$I311),1)</f>
        <v>0.183651011910094</v>
      </c>
      <c r="X311" s="79">
        <f>tbl_Data_old[[#This Row],[2027 ]]*IFERROR(AVERAGEIFS('Participation Adjustment'!$C:$C,'Participation Adjustment'!$A:$A,$H311,'Participation Adjustment'!$B:$B,$I311),1)</f>
        <v>0.17788372740226899</v>
      </c>
      <c r="Y311" s="79">
        <f>tbl_Data_old[[#This Row],[2028 ]]*IFERROR(AVERAGEIFS('Participation Adjustment'!$C:$C,'Participation Adjustment'!$A:$A,$H311,'Participation Adjustment'!$B:$B,$I311),1)</f>
        <v>0.17208396050223401</v>
      </c>
      <c r="Z311" s="79">
        <f>tbl_Data_old[[#This Row],[2029 ]]*IFERROR(AVERAGEIFS('Participation Adjustment'!$C:$C,'Participation Adjustment'!$A:$A,$H311,'Participation Adjustment'!$B:$B,$I311),1)</f>
        <v>0.166322980150476</v>
      </c>
      <c r="AA311" s="79">
        <f>tbl_Data_old[[#This Row],[2030 ]]*IFERROR(AVERAGEIFS('Participation Adjustment'!$C:$C,'Participation Adjustment'!$A:$A,$H311,'Participation Adjustment'!$B:$B,$I311),1)</f>
        <v>0.160161597890423</v>
      </c>
      <c r="AB311" s="79">
        <f>tbl_Data_old[[#This Row],[2031 ]]*IFERROR(AVERAGEIFS('Participation Adjustment'!$C:$C,'Participation Adjustment'!$A:$A,$H311,'Participation Adjustment'!$B:$B,$I311),1)</f>
        <v>0.153957502544848</v>
      </c>
      <c r="AC311" s="79">
        <f>tbl_Data_old[[#This Row],[2032 ]]*IFERROR(AVERAGEIFS('Participation Adjustment'!$C:$C,'Participation Adjustment'!$A:$A,$H311,'Participation Adjustment'!$B:$B,$I311),1)</f>
        <v>0.147985946823845</v>
      </c>
      <c r="AD311" s="79">
        <f>tbl_Data_old[[#This Row],[2033 ]]*IFERROR(AVERAGEIFS('Participation Adjustment'!$C:$C,'Participation Adjustment'!$A:$A,$H311,'Participation Adjustment'!$B:$B,$I311),1)</f>
        <v>0.14200732310710901</v>
      </c>
      <c r="AE311" s="79">
        <f>tbl_Data_old[[#This Row],[2034 ]]*IFERROR(AVERAGEIFS('Participation Adjustment'!$C:$C,'Participation Adjustment'!$A:$A,$H311,'Participation Adjustment'!$B:$B,$I311),1)</f>
        <v>0.13611862351398399</v>
      </c>
      <c r="AF311" s="77" t="str">
        <f t="shared" si="132"/>
        <v>NonResidential</v>
      </c>
      <c r="AG311" s="77" t="str">
        <f>tbl_Data[[#This Row],[All_Meas_Name_Append]]</f>
        <v>Ceiling Insulation(R2 to R49)</v>
      </c>
      <c r="AH311" s="77">
        <f>AVERAGEIFS('3. Incentive Adjustment'!G:G,'3. Incentive Adjustment'!A:A,tbl_Data[[#This Row],[Trimmed Sector]],'3. Incentive Adjustment'!B:B,tbl_Data[[#This Row],[Trimmed Measure Name]])</f>
        <v>5.674595082038876E-2</v>
      </c>
      <c r="AI311" s="77">
        <f>$AH311*tbl_Data[[#This Row],[2025 ]]</f>
        <v>1.0648936382418319E-2</v>
      </c>
      <c r="AJ311" s="77">
        <f>$AH311*tbl_Data[[#This Row],[2026 ]]</f>
        <v>1.0421451289964825E-2</v>
      </c>
      <c r="AK311" s="77">
        <f>$AH311*tbl_Data[[#This Row],[2027 ]]</f>
        <v>1.0094181246916597E-2</v>
      </c>
      <c r="AL311" s="77">
        <f>$AH311*tbl_Data[[#This Row],[2028 ]]</f>
        <v>9.7650679596374933E-3</v>
      </c>
      <c r="AM311" s="77">
        <f>$AH311*tbl_Data[[#This Row],[2029 ]]</f>
        <v>9.4381556519194075E-3</v>
      </c>
      <c r="AN311" s="77">
        <f>$AH311*tbl_Data[[#This Row],[2030 ]]</f>
        <v>9.0885221572048237E-3</v>
      </c>
      <c r="AO311" s="77">
        <f>$AH311*tbl_Data[[#This Row],[2031 ]]</f>
        <v>8.7364648678398219E-3</v>
      </c>
      <c r="AP311" s="77">
        <f>$AH311*tbl_Data[[#This Row],[2032 ]]</f>
        <v>8.3976032605745741E-3</v>
      </c>
      <c r="AQ311" s="77">
        <f>$AH311*tbl_Data[[#This Row],[2033 ]]</f>
        <v>8.0583405731710633E-3</v>
      </c>
      <c r="AR311" s="77">
        <f>$AH311*tbl_Data[[#This Row],[2034 ]]</f>
        <v>7.7241807156635481E-3</v>
      </c>
      <c r="AS311" s="77">
        <f>SUM(tbl_Data[[#This Row],[Adjusted 2025]:[Adjusted 2034]])</f>
        <v>9.2372904105310488E-2</v>
      </c>
      <c r="AT311" s="80">
        <f>AVERAGEIFS('3. Incentive Adjustment'!F:F,'3. Incentive Adjustment'!A:A,tbl_Data[[#This Row],[Trimmed Sector]],'3. Incentive Adjustment'!B:B,tbl_Data[[#This Row],[Trimmed Measure Name]])</f>
        <v>4335.1908026959672</v>
      </c>
      <c r="AU311" s="80">
        <f>IFERROR(VLOOKUP(tbl_Data[[#This Row],[All_Meas_Name_Append]],'IRA Tax Credits'!$A$3:$D$46,4,0),0)</f>
        <v>500</v>
      </c>
      <c r="AV311" s="81">
        <f>tbl_Data[[#This Row],[Adj. per unit Incentive ($)]]/tbl_Data[[#This Row],[kWh Savings]]*tbl_Data[[#This Row],[Sum of Annuals]]</f>
        <v>2.0873171679412855E-2</v>
      </c>
      <c r="AW311" s="81">
        <f>IFERROR(VLOOKUP(tbl_Data[[#This Row],[Column1]],'1. Set Program Names'!$B$2:$D$15,3,0)*tbl_Data[[#This Row],[Sum of Annuals]],"")</f>
        <v>3.2884472081460198E-3</v>
      </c>
      <c r="AX311" s="81">
        <f>tbl_Data[[#This Row],[per unit IRA tax ($)]]/tbl_Data[[#This Row],[kWh Savings]]*tbl_Data[[#This Row],[Sum of Annuals]]</f>
        <v>2.4074109571408315E-3</v>
      </c>
      <c r="AY311" s="81">
        <f>tbl_Data[[#This Row],[Avoided Costs ($/unit)]]/tbl_Data[[#This Row],[kWh Savings]]*tbl_Data[[#This Row],[Sum of Annuals]]</f>
        <v>5.7848302558548448E-2</v>
      </c>
      <c r="AZ311" s="81">
        <f>tbl_Data[[#This Row],[Lost Revenue ($/unit)]]/tbl_Data[[#This Row],[kWh Savings]]*tbl_Data[[#This Row],[Sum of Annuals]]</f>
        <v>0.14240095055513663</v>
      </c>
      <c r="BA311" s="81">
        <f>tbl_Data[[#This Row],[Incremental Cost ($/unit)]]/tbl_Data[[#This Row],[kWh Savings]]*tbl_Data[[#This Row],[Sum of Annuals]]</f>
        <v>0.16629808607512572</v>
      </c>
      <c r="BB311" s="77">
        <f>ROUNDUP(tbl_Data[[#This Row],[Adjusted 2025]]/$L311,0)</f>
        <v>1</v>
      </c>
      <c r="BC311" s="77">
        <f>ROUNDUP(tbl_Data[[#This Row],[Adjusted 2026]]/$L311,0)</f>
        <v>1</v>
      </c>
      <c r="BD311" s="77">
        <f>ROUNDUP(tbl_Data[[#This Row],[Adjusted 2027]]/$L311,0)</f>
        <v>1</v>
      </c>
      <c r="BE311" s="77">
        <f>ROUNDUP(tbl_Data[[#This Row],[Adjusted 2028]]/$L311,0)</f>
        <v>1</v>
      </c>
      <c r="BF311" s="77">
        <f>ROUNDUP(tbl_Data[[#This Row],[Adjusted 2029]]/$L311,0)</f>
        <v>1</v>
      </c>
      <c r="BG311" s="77">
        <f>ROUNDUP(tbl_Data[[#This Row],[Adjusted 2030]]/$L311,0)</f>
        <v>1</v>
      </c>
      <c r="BH311" s="77">
        <f>ROUNDUP(tbl_Data[[#This Row],[Adjusted 2031]]/$L311,0)</f>
        <v>1</v>
      </c>
      <c r="BI311" s="77">
        <f>ROUNDUP(tbl_Data[[#This Row],[Adjusted 2032]]/$L311,0)</f>
        <v>1</v>
      </c>
      <c r="BJ311" s="77">
        <f>ROUNDUP(tbl_Data[[#This Row],[Adjusted 2033]]/$L311,0)</f>
        <v>1</v>
      </c>
      <c r="BK311" s="77">
        <f>ROUNDUP(tbl_Data[[#This Row],[Adjusted 2034]]/$L311,0)</f>
        <v>1</v>
      </c>
      <c r="BL311" s="80">
        <f t="shared" si="133"/>
        <v>4.2404817920106017E-2</v>
      </c>
      <c r="BM311" s="80">
        <f t="shared" si="134"/>
        <v>4.1498956190951966E-2</v>
      </c>
      <c r="BN311" s="80">
        <f t="shared" si="135"/>
        <v>4.0195743730308667E-2</v>
      </c>
      <c r="BO311" s="80">
        <f t="shared" si="136"/>
        <v>3.888519134075738E-2</v>
      </c>
      <c r="BP311" s="80">
        <f t="shared" si="137"/>
        <v>3.7583403407502873E-2</v>
      </c>
      <c r="BQ311" s="80">
        <f t="shared" si="138"/>
        <v>3.6191138100460506E-2</v>
      </c>
      <c r="BR311" s="80">
        <f t="shared" si="139"/>
        <v>3.4789221071674696E-2</v>
      </c>
      <c r="BS311" s="80">
        <f t="shared" si="140"/>
        <v>3.3439850182397764E-2</v>
      </c>
      <c r="BT311" s="80">
        <f t="shared" si="141"/>
        <v>3.2088882163640135E-2</v>
      </c>
      <c r="BU311" s="80">
        <f t="shared" si="142"/>
        <v>3.0758233974473585E-2</v>
      </c>
      <c r="BV311" s="80">
        <f>IFERROR(VLOOKUP($H311,'1. Set Program Names'!$B$2:$D$15,3,0)*V311,"NA")</f>
        <v>6.6806332666179379E-3</v>
      </c>
      <c r="BW311" s="80">
        <f>IFERROR(VLOOKUP($H311,'1. Set Program Names'!$B$2:$D$15,3,0)*W311,"NA")</f>
        <v>6.5379200019567265E-3</v>
      </c>
      <c r="BX311" s="80">
        <f>IFERROR(VLOOKUP($H311,'1. Set Program Names'!$B$2:$D$15,3,0)*X311,"NA")</f>
        <v>6.3326064327663576E-3</v>
      </c>
      <c r="BY311" s="80">
        <f>IFERROR(VLOOKUP($H311,'1. Set Program Names'!$B$2:$D$15,3,0)*Y311,"NA")</f>
        <v>6.1261365003219444E-3</v>
      </c>
      <c r="BZ311" s="80">
        <f>IFERROR(VLOOKUP($H311,'1. Set Program Names'!$B$2:$D$15,3,0)*Z311,"NA")</f>
        <v>5.9210473571645024E-3</v>
      </c>
      <c r="CA311" s="80">
        <f>IFERROR(VLOOKUP($H311,'1. Set Program Names'!$B$2:$D$15,3,0)*AA311,"NA")</f>
        <v>5.7017040282128376E-3</v>
      </c>
      <c r="CB311" s="80">
        <f>IFERROR(VLOOKUP($H311,'1. Set Program Names'!$B$2:$D$15,3,0)*AB311,"NA")</f>
        <v>5.480840126446054E-3</v>
      </c>
      <c r="CC311" s="80">
        <f>IFERROR(VLOOKUP($H311,'1. Set Program Names'!$B$2:$D$15,3,0)*AC311,"NA")</f>
        <v>5.2682545643787052E-3</v>
      </c>
      <c r="CD311" s="80">
        <f>IFERROR(VLOOKUP($H311,'1. Set Program Names'!$B$2:$D$15,3,0)*AD311,"NA")</f>
        <v>5.0554173838193274E-3</v>
      </c>
      <c r="CE311" s="80">
        <f>IFERROR(VLOOKUP($H311,'1. Set Program Names'!$B$2:$D$15,3,0)*AE311,"NA")</f>
        <v>4.8457814746294889E-3</v>
      </c>
    </row>
    <row r="312" spans="1:83" x14ac:dyDescent="0.25">
      <c r="A312" s="79" t="s">
        <v>116</v>
      </c>
      <c r="B312" s="79" t="s">
        <v>88</v>
      </c>
      <c r="C312" s="79" t="s">
        <v>122</v>
      </c>
      <c r="D312" s="79" t="s">
        <v>90</v>
      </c>
      <c r="E312" s="79" t="s">
        <v>91</v>
      </c>
      <c r="F312" s="79" t="s">
        <v>90</v>
      </c>
      <c r="G312" s="79" t="s">
        <v>92</v>
      </c>
      <c r="H312" s="79" t="s">
        <v>14</v>
      </c>
      <c r="I312" s="79" t="s">
        <v>128</v>
      </c>
      <c r="J312" s="79" t="s">
        <v>129</v>
      </c>
      <c r="K312" s="79" t="s">
        <v>130</v>
      </c>
      <c r="L312" s="79">
        <v>2045.1799999999989</v>
      </c>
      <c r="M312" s="79">
        <v>0.47104509500000002</v>
      </c>
      <c r="N312" s="79">
        <v>0.17900382200000001</v>
      </c>
      <c r="O312" s="79">
        <f>19591.5999999999/60160.456*2045.18</f>
        <v>666.02468053100858</v>
      </c>
      <c r="P312" s="79">
        <f>11310.7385995848/60160.456*2045.18</f>
        <v>384.51331501042552</v>
      </c>
      <c r="Q312" s="79">
        <f>2141.69388188172/60160.456*2045.18</f>
        <v>72.807784125619918</v>
      </c>
      <c r="R312" s="79">
        <f>32581.871747558/60160.456*2045.18</f>
        <v>1107.6344311730397</v>
      </c>
      <c r="S312" s="79">
        <f>77209.8271220691/60160.456*2045.18</f>
        <v>2624.780540784353</v>
      </c>
      <c r="T312" s="79">
        <v>20</v>
      </c>
      <c r="U312" s="79">
        <v>0.94999999999999896</v>
      </c>
      <c r="V312" s="79">
        <f>tbl_Data_old[[#This Row],[2025 ]]*IFERROR(AVERAGEIFS('Participation Adjustment'!$C:$C,'Participation Adjustment'!$A:$A,$H312,'Participation Adjustment'!$B:$B,$I312),1)</f>
        <v>8.1140966388998503</v>
      </c>
      <c r="W312" s="79">
        <f>tbl_Data_old[[#This Row],[2026 ]]*IFERROR(AVERAGEIFS('Participation Adjustment'!$C:$C,'Participation Adjustment'!$A:$A,$H312,'Participation Adjustment'!$B:$B,$I312),1)</f>
        <v>7.9884982884165501</v>
      </c>
      <c r="X312" s="79">
        <f>tbl_Data_old[[#This Row],[2027 ]]*IFERROR(AVERAGEIFS('Participation Adjustment'!$C:$C,'Participation Adjustment'!$A:$A,$H312,'Participation Adjustment'!$B:$B,$I312),1)</f>
        <v>7.8156783187362002</v>
      </c>
      <c r="Y312" s="79">
        <f>tbl_Data_old[[#This Row],[2028 ]]*IFERROR(AVERAGEIFS('Participation Adjustment'!$C:$C,'Participation Adjustment'!$A:$A,$H312,'Participation Adjustment'!$B:$B,$I312),1)</f>
        <v>7.6422173620103502</v>
      </c>
      <c r="Z312" s="79">
        <f>tbl_Data_old[[#This Row],[2029 ]]*IFERROR(AVERAGEIFS('Participation Adjustment'!$C:$C,'Participation Adjustment'!$A:$A,$H312,'Participation Adjustment'!$B:$B,$I312),1)</f>
        <v>7.4581196551789501</v>
      </c>
      <c r="AA312" s="79">
        <f>tbl_Data_old[[#This Row],[2030 ]]*IFERROR(AVERAGEIFS('Participation Adjustment'!$C:$C,'Participation Adjustment'!$A:$A,$H312,'Participation Adjustment'!$B:$B,$I312),1)</f>
        <v>7.2582103909258997</v>
      </c>
      <c r="AB312" s="79">
        <f>tbl_Data_old[[#This Row],[2031 ]]*IFERROR(AVERAGEIFS('Participation Adjustment'!$C:$C,'Participation Adjustment'!$A:$A,$H312,'Participation Adjustment'!$B:$B,$I312),1)</f>
        <v>7.0442997337223501</v>
      </c>
      <c r="AC312" s="79">
        <f>tbl_Data_old[[#This Row],[2032 ]]*IFERROR(AVERAGEIFS('Participation Adjustment'!$C:$C,'Participation Adjustment'!$A:$A,$H312,'Participation Adjustment'!$B:$B,$I312),1)</f>
        <v>6.8321130649163004</v>
      </c>
      <c r="AD312" s="79">
        <f>tbl_Data_old[[#This Row],[2033 ]]*IFERROR(AVERAGEIFS('Participation Adjustment'!$C:$C,'Participation Adjustment'!$A:$A,$H312,'Participation Adjustment'!$B:$B,$I312),1)</f>
        <v>6.6298742140620996</v>
      </c>
      <c r="AE312" s="79">
        <f>tbl_Data_old[[#This Row],[2034 ]]*IFERROR(AVERAGEIFS('Participation Adjustment'!$C:$C,'Participation Adjustment'!$A:$A,$H312,'Participation Adjustment'!$B:$B,$I312),1)</f>
        <v>6.4226751746280497</v>
      </c>
      <c r="AF312" s="77" t="str">
        <f t="shared" si="132"/>
        <v>NonResidential</v>
      </c>
      <c r="AG312" s="77" t="str">
        <f>tbl_Data[[#This Row],[All_Meas_Name_Append]]</f>
        <v>Commercial Duct Sealing</v>
      </c>
      <c r="AH312" s="77">
        <f>AVERAGEIFS('3. Incentive Adjustment'!G:G,'3. Incentive Adjustment'!A:A,tbl_Data[[#This Row],[Trimmed Sector]],'3. Incentive Adjustment'!B:B,tbl_Data[[#This Row],[Trimmed Measure Name]])</f>
        <v>0.69277112909915817</v>
      </c>
      <c r="AI312" s="77">
        <f>$AH312*tbl_Data[[#This Row],[2025 ]]</f>
        <v>5.6212118901503336</v>
      </c>
      <c r="AJ312" s="77">
        <f>$AH312*tbl_Data[[#This Row],[2026 ]]</f>
        <v>5.5342009790730256</v>
      </c>
      <c r="AK312" s="77">
        <f>$AH312*tbl_Data[[#This Row],[2027 ]]</f>
        <v>5.4144762935466879</v>
      </c>
      <c r="AL312" s="77">
        <f>$AH312*tbl_Data[[#This Row],[2028 ]]</f>
        <v>5.2943075507011006</v>
      </c>
      <c r="AM312" s="77">
        <f>$AH312*tbl_Data[[#This Row],[2029 ]]</f>
        <v>5.1667699744749456</v>
      </c>
      <c r="AN312" s="77">
        <f>$AH312*tbl_Data[[#This Row],[2030 ]]</f>
        <v>5.0282786077609778</v>
      </c>
      <c r="AO312" s="77">
        <f>$AH312*tbl_Data[[#This Row],[2031 ]]</f>
        <v>4.8800874802437315</v>
      </c>
      <c r="AP312" s="77">
        <f>$AH312*tbl_Data[[#This Row],[2032 ]]</f>
        <v>4.7330906821151757</v>
      </c>
      <c r="AQ312" s="77">
        <f>$AH312*tbl_Data[[#This Row],[2033 ]]</f>
        <v>4.5929854450611947</v>
      </c>
      <c r="AR312" s="77">
        <f>$AH312*tbl_Data[[#This Row],[2034 ]]</f>
        <v>4.4494439325642068</v>
      </c>
      <c r="AS312" s="77">
        <f>SUM(tbl_Data[[#This Row],[Adjusted 2025]:[Adjusted 2034]])</f>
        <v>50.714852835691381</v>
      </c>
      <c r="AT312" s="80">
        <f>AVERAGEIFS('3. Incentive Adjustment'!F:F,'3. Incentive Adjustment'!A:A,tbl_Data[[#This Row],[Trimmed Sector]],'3. Incentive Adjustment'!B:B,tbl_Data[[#This Row],[Trimmed Measure Name]])</f>
        <v>100</v>
      </c>
      <c r="AU312" s="80">
        <f>IFERROR(VLOOKUP(tbl_Data[[#This Row],[All_Meas_Name_Append]],'IRA Tax Credits'!$A$3:$D$46,4,0),0)</f>
        <v>0</v>
      </c>
      <c r="AV312" s="81">
        <f>tbl_Data[[#This Row],[Adj. per unit Incentive ($)]]/tbl_Data[[#This Row],[kWh Savings]]*tbl_Data[[#This Row],[Sum of Annuals]]</f>
        <v>2.4797256395863156</v>
      </c>
      <c r="AW312" s="81">
        <f>IFERROR(VLOOKUP(tbl_Data[[#This Row],[Column1]],'1. Set Program Names'!$B$2:$D$15,3,0)*tbl_Data[[#This Row],[Sum of Annuals]],"")</f>
        <v>1.8054332905776624</v>
      </c>
      <c r="AX312" s="81">
        <f>tbl_Data[[#This Row],[per unit IRA tax ($)]]/tbl_Data[[#This Row],[kWh Savings]]*tbl_Data[[#This Row],[Sum of Annuals]]</f>
        <v>0</v>
      </c>
      <c r="AY312" s="81">
        <f>tbl_Data[[#This Row],[Avoided Costs ($/unit)]]/tbl_Data[[#This Row],[kWh Savings]]*tbl_Data[[#This Row],[Sum of Annuals]]</f>
        <v>27.466294982683909</v>
      </c>
      <c r="AZ312" s="81">
        <f>tbl_Data[[#This Row],[Lost Revenue ($/unit)]]/tbl_Data[[#This Row],[kWh Savings]]*tbl_Data[[#This Row],[Sum of Annuals]]</f>
        <v>65.087356052701949</v>
      </c>
      <c r="BA312" s="81">
        <f>tbl_Data[[#This Row],[Incremental Cost ($/unit)]]/tbl_Data[[#This Row],[kWh Savings]]*tbl_Data[[#This Row],[Sum of Annuals]]</f>
        <v>16.515584769100268</v>
      </c>
      <c r="BB312" s="77">
        <f>ROUNDUP(tbl_Data[[#This Row],[Adjusted 2025]]/$L312,0)</f>
        <v>1</v>
      </c>
      <c r="BC312" s="77">
        <f>ROUNDUP(tbl_Data[[#This Row],[Adjusted 2026]]/$L312,0)</f>
        <v>1</v>
      </c>
      <c r="BD312" s="77">
        <f>ROUNDUP(tbl_Data[[#This Row],[Adjusted 2027]]/$L312,0)</f>
        <v>1</v>
      </c>
      <c r="BE312" s="77">
        <f>ROUNDUP(tbl_Data[[#This Row],[Adjusted 2028]]/$L312,0)</f>
        <v>1</v>
      </c>
      <c r="BF312" s="77">
        <f>ROUNDUP(tbl_Data[[#This Row],[Adjusted 2029]]/$L312,0)</f>
        <v>1</v>
      </c>
      <c r="BG312" s="77">
        <f>ROUNDUP(tbl_Data[[#This Row],[Adjusted 2030]]/$L312,0)</f>
        <v>1</v>
      </c>
      <c r="BH312" s="77">
        <f>ROUNDUP(tbl_Data[[#This Row],[Adjusted 2031]]/$L312,0)</f>
        <v>1</v>
      </c>
      <c r="BI312" s="77">
        <f>ROUNDUP(tbl_Data[[#This Row],[Adjusted 2032]]/$L312,0)</f>
        <v>1</v>
      </c>
      <c r="BJ312" s="77">
        <f>ROUNDUP(tbl_Data[[#This Row],[Adjusted 2033]]/$L312,0)</f>
        <v>1</v>
      </c>
      <c r="BK312" s="77">
        <f>ROUNDUP(tbl_Data[[#This Row],[Adjusted 2034]]/$L312,0)</f>
        <v>1</v>
      </c>
      <c r="BL312" s="80">
        <f t="shared" si="133"/>
        <v>0.39674242066223292</v>
      </c>
      <c r="BM312" s="80">
        <f t="shared" si="134"/>
        <v>0.3906012325769152</v>
      </c>
      <c r="BN312" s="80">
        <f t="shared" si="135"/>
        <v>0.38215112208882368</v>
      </c>
      <c r="BO312" s="80">
        <f t="shared" si="136"/>
        <v>0.3736696702495797</v>
      </c>
      <c r="BP312" s="80">
        <f t="shared" si="137"/>
        <v>0.36466812970882534</v>
      </c>
      <c r="BQ312" s="80">
        <f t="shared" si="138"/>
        <v>0.35489347592514614</v>
      </c>
      <c r="BR312" s="80">
        <f t="shared" si="139"/>
        <v>0.34443421770809191</v>
      </c>
      <c r="BS312" s="80">
        <f t="shared" si="140"/>
        <v>0.33405925468253672</v>
      </c>
      <c r="BT312" s="80">
        <f t="shared" si="141"/>
        <v>0.32417069470961496</v>
      </c>
      <c r="BU312" s="80">
        <f t="shared" si="142"/>
        <v>0.31403960407534071</v>
      </c>
      <c r="BV312" s="80">
        <f>IFERROR(VLOOKUP($H312,'1. Set Program Names'!$B$2:$D$15,3,0)*V312,"NA")</f>
        <v>0.28885936517051897</v>
      </c>
      <c r="BW312" s="80">
        <f>IFERROR(VLOOKUP($H312,'1. Set Program Names'!$B$2:$D$15,3,0)*W312,"NA")</f>
        <v>0.28438810220661259</v>
      </c>
      <c r="BX312" s="80">
        <f>IFERROR(VLOOKUP($H312,'1. Set Program Names'!$B$2:$D$15,3,0)*X312,"NA")</f>
        <v>0.27823576400406652</v>
      </c>
      <c r="BY312" s="80">
        <f>IFERROR(VLOOKUP($H312,'1. Set Program Names'!$B$2:$D$15,3,0)*Y312,"NA")</f>
        <v>0.2720606068582313</v>
      </c>
      <c r="BZ312" s="80">
        <f>IFERROR(VLOOKUP($H312,'1. Set Program Names'!$B$2:$D$15,3,0)*Z312,"NA")</f>
        <v>0.26550678465333866</v>
      </c>
      <c r="CA312" s="80">
        <f>IFERROR(VLOOKUP($H312,'1. Set Program Names'!$B$2:$D$15,3,0)*AA312,"NA")</f>
        <v>0.25839007582749074</v>
      </c>
      <c r="CB312" s="80">
        <f>IFERROR(VLOOKUP($H312,'1. Set Program Names'!$B$2:$D$15,3,0)*AB312,"NA")</f>
        <v>0.25077492168367665</v>
      </c>
      <c r="CC312" s="80">
        <f>IFERROR(VLOOKUP($H312,'1. Set Program Names'!$B$2:$D$15,3,0)*AC312,"NA")</f>
        <v>0.24322114100091752</v>
      </c>
      <c r="CD312" s="80">
        <f>IFERROR(VLOOKUP($H312,'1. Set Program Names'!$B$2:$D$15,3,0)*AD312,"NA")</f>
        <v>0.23602149960270014</v>
      </c>
      <c r="CE312" s="80">
        <f>IFERROR(VLOOKUP($H312,'1. Set Program Names'!$B$2:$D$15,3,0)*AE312,"NA")</f>
        <v>0.22864527700412682</v>
      </c>
    </row>
    <row r="313" spans="1:83" x14ac:dyDescent="0.25">
      <c r="A313" s="79" t="s">
        <v>116</v>
      </c>
      <c r="B313" s="79" t="s">
        <v>88</v>
      </c>
      <c r="C313" s="79" t="s">
        <v>122</v>
      </c>
      <c r="D313" s="79" t="s">
        <v>90</v>
      </c>
      <c r="E313" s="79" t="s">
        <v>91</v>
      </c>
      <c r="F313" s="79" t="s">
        <v>90</v>
      </c>
      <c r="G313" s="79" t="s">
        <v>92</v>
      </c>
      <c r="H313" s="79" t="s">
        <v>14</v>
      </c>
      <c r="I313" s="79" t="s">
        <v>303</v>
      </c>
      <c r="J313" s="79" t="s">
        <v>129</v>
      </c>
      <c r="K313" s="79" t="s">
        <v>298</v>
      </c>
      <c r="L313" s="79">
        <v>2407.8671428571402</v>
      </c>
      <c r="M313" s="79">
        <v>0.43509988390469401</v>
      </c>
      <c r="N313" s="79">
        <v>0.148929049658067</v>
      </c>
      <c r="O313" s="79">
        <v>1278.9912095238201</v>
      </c>
      <c r="P313" s="79">
        <v>9094.9443435978392</v>
      </c>
      <c r="Q313" s="79">
        <v>85.719335775001198</v>
      </c>
      <c r="R313" s="79">
        <v>1364.7105452988201</v>
      </c>
      <c r="S313" s="79">
        <v>3090.2526043504499</v>
      </c>
      <c r="T313" s="79">
        <v>20</v>
      </c>
      <c r="U313" s="79">
        <v>0.94999999999999896</v>
      </c>
      <c r="V313" s="79">
        <f>tbl_Data_old[[#This Row],[2025 ]]*IFERROR(AVERAGEIFS('Participation Adjustment'!$C:$C,'Participation Adjustment'!$A:$A,$H313,'Participation Adjustment'!$B:$B,$I313),1)</f>
        <v>8.6280651749864194</v>
      </c>
      <c r="W313" s="79">
        <f>tbl_Data_old[[#This Row],[2026 ]]*IFERROR(AVERAGEIFS('Participation Adjustment'!$C:$C,'Participation Adjustment'!$A:$A,$H313,'Participation Adjustment'!$B:$B,$I313),1)</f>
        <v>8.1924895352709708</v>
      </c>
      <c r="X313" s="79">
        <f>tbl_Data_old[[#This Row],[2027 ]]*IFERROR(AVERAGEIFS('Participation Adjustment'!$C:$C,'Participation Adjustment'!$A:$A,$H313,'Participation Adjustment'!$B:$B,$I313),1)</f>
        <v>7.6832847124369197</v>
      </c>
      <c r="Y313" s="79">
        <f>tbl_Data_old[[#This Row],[2028 ]]*IFERROR(AVERAGEIFS('Participation Adjustment'!$C:$C,'Participation Adjustment'!$A:$A,$H313,'Participation Adjustment'!$B:$B,$I313),1)</f>
        <v>7.1744183844989404</v>
      </c>
      <c r="Z313" s="79">
        <f>tbl_Data_old[[#This Row],[2029 ]]*IFERROR(AVERAGEIFS('Participation Adjustment'!$C:$C,'Participation Adjustment'!$A:$A,$H313,'Participation Adjustment'!$B:$B,$I313),1)</f>
        <v>6.6689160230595999</v>
      </c>
      <c r="AA313" s="79">
        <f>tbl_Data_old[[#This Row],[2030 ]]*IFERROR(AVERAGEIFS('Participation Adjustment'!$C:$C,'Participation Adjustment'!$A:$A,$H313,'Participation Adjustment'!$B:$B,$I313),1)</f>
        <v>6.1646464492078401</v>
      </c>
      <c r="AB313" s="79">
        <f>tbl_Data_old[[#This Row],[2031 ]]*IFERROR(AVERAGEIFS('Participation Adjustment'!$C:$C,'Participation Adjustment'!$A:$A,$H313,'Participation Adjustment'!$B:$B,$I313),1)</f>
        <v>5.6733378713615403</v>
      </c>
      <c r="AC313" s="79">
        <f>tbl_Data_old[[#This Row],[2032 ]]*IFERROR(AVERAGEIFS('Participation Adjustment'!$C:$C,'Participation Adjustment'!$A:$A,$H313,'Participation Adjustment'!$B:$B,$I313),1)</f>
        <v>5.2103881056897503</v>
      </c>
      <c r="AD313" s="79">
        <f>tbl_Data_old[[#This Row],[2033 ]]*IFERROR(AVERAGEIFS('Participation Adjustment'!$C:$C,'Participation Adjustment'!$A:$A,$H313,'Participation Adjustment'!$B:$B,$I313),1)</f>
        <v>4.7807474076644301</v>
      </c>
      <c r="AE313" s="79">
        <f>tbl_Data_old[[#This Row],[2034 ]]*IFERROR(AVERAGEIFS('Participation Adjustment'!$C:$C,'Participation Adjustment'!$A:$A,$H313,'Participation Adjustment'!$B:$B,$I313),1)</f>
        <v>4.3772815463808499</v>
      </c>
      <c r="AF313" s="77" t="str">
        <f t="shared" si="132"/>
        <v>NonResidential</v>
      </c>
      <c r="AG313" s="77" t="str">
        <f>tbl_Data[[#This Row],[All_Meas_Name_Append]]</f>
        <v>Energy Star windows</v>
      </c>
      <c r="AH313" s="77">
        <f>AVERAGEIFS('3. Incentive Adjustment'!G:G,'3. Incentive Adjustment'!A:A,tbl_Data[[#This Row],[Trimmed Sector]],'3. Incentive Adjustment'!B:B,tbl_Data[[#This Row],[Trimmed Measure Name]])</f>
        <v>1.8374525511831319E-4</v>
      </c>
      <c r="AI313" s="77">
        <f>$AH313*tbl_Data[[#This Row],[2025 ]]</f>
        <v>1.5853660367553131E-3</v>
      </c>
      <c r="AJ313" s="77">
        <f>$AH313*tbl_Data[[#This Row],[2026 ]]</f>
        <v>1.5053310797124755E-3</v>
      </c>
      <c r="AK313" s="77">
        <f>$AH313*tbl_Data[[#This Row],[2027 ]]</f>
        <v>1.4117671096333575E-3</v>
      </c>
      <c r="AL313" s="77">
        <f>$AH313*tbl_Data[[#This Row],[2028 ]]</f>
        <v>1.3182653363852741E-3</v>
      </c>
      <c r="AM313" s="77">
        <f>$AH313*tbl_Data[[#This Row],[2029 ]]</f>
        <v>1.2253816760196927E-3</v>
      </c>
      <c r="AN313" s="77">
        <f>$AH313*tbl_Data[[#This Row],[2030 ]]</f>
        <v>1.1327245345238981E-3</v>
      </c>
      <c r="AO313" s="77">
        <f>$AH313*tbl_Data[[#This Row],[2031 ]]</f>
        <v>1.0424489145457142E-3</v>
      </c>
      <c r="AP313" s="77">
        <f>$AH313*tbl_Data[[#This Row],[2032 ]]</f>
        <v>9.573840917453878E-4</v>
      </c>
      <c r="AQ313" s="77">
        <f>$AH313*tbl_Data[[#This Row],[2033 ]]</f>
        <v>8.784396520775151E-4</v>
      </c>
      <c r="AR313" s="77">
        <f>$AH313*tbl_Data[[#This Row],[2034 ]]</f>
        <v>8.0430471446443373E-4</v>
      </c>
      <c r="AS313" s="77">
        <f>SUM(tbl_Data[[#This Row],[Adjusted 2025]:[Adjusted 2034]])</f>
        <v>1.1861413145863062E-2</v>
      </c>
      <c r="AT313" s="80">
        <f>AVERAGEIFS('3. Incentive Adjustment'!F:F,'3. Incentive Adjustment'!A:A,tbl_Data[[#This Row],[Trimmed Sector]],'3. Incentive Adjustment'!B:B,tbl_Data[[#This Row],[Trimmed Measure Name]])</f>
        <v>1244.9532966663394</v>
      </c>
      <c r="AU313" s="80">
        <f>IFERROR(VLOOKUP(tbl_Data[[#This Row],[All_Meas_Name_Append]],'IRA Tax Credits'!$A$3:$D$46,4,0),0)</f>
        <v>250</v>
      </c>
      <c r="AV313" s="81">
        <f>tbl_Data[[#This Row],[Adj. per unit Incentive ($)]]/tbl_Data[[#This Row],[kWh Savings]]*tbl_Data[[#This Row],[Sum of Annuals]]</f>
        <v>6.1327741619255126E-3</v>
      </c>
      <c r="AW313" s="81">
        <f>IFERROR(VLOOKUP(tbl_Data[[#This Row],[Column1]],'1. Set Program Names'!$B$2:$D$15,3,0)*tbl_Data[[#This Row],[Sum of Annuals]],"")</f>
        <v>4.2226268971376274E-4</v>
      </c>
      <c r="AX313" s="81">
        <f>tbl_Data[[#This Row],[per unit IRA tax ($)]]/tbl_Data[[#This Row],[kWh Savings]]*tbl_Data[[#This Row],[Sum of Annuals]]</f>
        <v>1.2315269533297922E-3</v>
      </c>
      <c r="AY313" s="81">
        <f>tbl_Data[[#This Row],[Avoided Costs ($/unit)]]/tbl_Data[[#This Row],[kWh Savings]]*tbl_Data[[#This Row],[Sum of Annuals]]</f>
        <v>6.722711280115581E-3</v>
      </c>
      <c r="AZ313" s="81">
        <f>tbl_Data[[#This Row],[Lost Revenue ($/unit)]]/tbl_Data[[#This Row],[kWh Savings]]*tbl_Data[[#This Row],[Sum of Annuals]]</f>
        <v>1.5222917499420664E-2</v>
      </c>
      <c r="BA313" s="81">
        <f>tbl_Data[[#This Row],[Incremental Cost ($/unit)]]/tbl_Data[[#This Row],[kWh Savings]]*tbl_Data[[#This Row],[Sum of Annuals]]</f>
        <v>6.3004485904018248E-3</v>
      </c>
      <c r="BB313" s="77">
        <f>ROUNDUP(tbl_Data[[#This Row],[Adjusted 2025]]/$L313,0)</f>
        <v>1</v>
      </c>
      <c r="BC313" s="77">
        <f>ROUNDUP(tbl_Data[[#This Row],[Adjusted 2026]]/$L313,0)</f>
        <v>1</v>
      </c>
      <c r="BD313" s="77">
        <f>ROUNDUP(tbl_Data[[#This Row],[Adjusted 2027]]/$L313,0)</f>
        <v>1</v>
      </c>
      <c r="BE313" s="77">
        <f>ROUNDUP(tbl_Data[[#This Row],[Adjusted 2028]]/$L313,0)</f>
        <v>1</v>
      </c>
      <c r="BF313" s="77">
        <f>ROUNDUP(tbl_Data[[#This Row],[Adjusted 2029]]/$L313,0)</f>
        <v>1</v>
      </c>
      <c r="BG313" s="77">
        <f>ROUNDUP(tbl_Data[[#This Row],[Adjusted 2030]]/$L313,0)</f>
        <v>1</v>
      </c>
      <c r="BH313" s="77">
        <f>ROUNDUP(tbl_Data[[#This Row],[Adjusted 2031]]/$L313,0)</f>
        <v>1</v>
      </c>
      <c r="BI313" s="77">
        <f>ROUNDUP(tbl_Data[[#This Row],[Adjusted 2032]]/$L313,0)</f>
        <v>1</v>
      </c>
      <c r="BJ313" s="77">
        <f>ROUNDUP(tbl_Data[[#This Row],[Adjusted 2033]]/$L313,0)</f>
        <v>1</v>
      </c>
      <c r="BK313" s="77">
        <f>ROUNDUP(tbl_Data[[#This Row],[Adjusted 2034]]/$L313,0)</f>
        <v>1</v>
      </c>
      <c r="BL313" s="80">
        <f t="shared" si="133"/>
        <v>4.4610177996389062</v>
      </c>
      <c r="BM313" s="80">
        <f t="shared" si="134"/>
        <v>4.2358096397037004</v>
      </c>
      <c r="BN313" s="80">
        <f t="shared" si="135"/>
        <v>3.9725325628324946</v>
      </c>
      <c r="BO313" s="80">
        <f t="shared" si="136"/>
        <v>3.7094304999100518</v>
      </c>
      <c r="BP313" s="80">
        <f t="shared" si="137"/>
        <v>3.4480677277930747</v>
      </c>
      <c r="BQ313" s="80">
        <f t="shared" si="138"/>
        <v>3.1873423508811456</v>
      </c>
      <c r="BR313" s="80">
        <f t="shared" si="139"/>
        <v>2.9333182717351427</v>
      </c>
      <c r="BS313" s="80">
        <f t="shared" si="140"/>
        <v>2.6939567111632772</v>
      </c>
      <c r="BT313" s="80">
        <f t="shared" si="141"/>
        <v>2.471817128015859</v>
      </c>
      <c r="BU313" s="80">
        <f t="shared" si="142"/>
        <v>2.263210870155095</v>
      </c>
      <c r="BV313" s="80">
        <f>IFERROR(VLOOKUP($H313,'1. Set Program Names'!$B$2:$D$15,3,0)*V313,"NA")</f>
        <v>0.30715648827105391</v>
      </c>
      <c r="BW313" s="80">
        <f>IFERROR(VLOOKUP($H313,'1. Set Program Names'!$B$2:$D$15,3,0)*W313,"NA")</f>
        <v>0.29165012836787602</v>
      </c>
      <c r="BX313" s="80">
        <f>IFERROR(VLOOKUP($H313,'1. Set Program Names'!$B$2:$D$15,3,0)*X313,"NA")</f>
        <v>0.27352259200597812</v>
      </c>
      <c r="BY313" s="80">
        <f>IFERROR(VLOOKUP($H313,'1. Set Program Names'!$B$2:$D$15,3,0)*Y313,"NA")</f>
        <v>0.2554071059591238</v>
      </c>
      <c r="BZ313" s="80">
        <f>IFERROR(VLOOKUP($H313,'1. Set Program Names'!$B$2:$D$15,3,0)*Z313,"NA")</f>
        <v>0.23741137609345583</v>
      </c>
      <c r="CA313" s="80">
        <f>IFERROR(VLOOKUP($H313,'1. Set Program Names'!$B$2:$D$15,3,0)*AA313,"NA")</f>
        <v>0.21945953308984856</v>
      </c>
      <c r="CB313" s="80">
        <f>IFERROR(VLOOKUP($H313,'1. Set Program Names'!$B$2:$D$15,3,0)*AB313,"NA")</f>
        <v>0.20196909759033316</v>
      </c>
      <c r="CC313" s="80">
        <f>IFERROR(VLOOKUP($H313,'1. Set Program Names'!$B$2:$D$15,3,0)*AC313,"NA")</f>
        <v>0.18548822715348251</v>
      </c>
      <c r="CD313" s="80">
        <f>IFERROR(VLOOKUP($H313,'1. Set Program Names'!$B$2:$D$15,3,0)*AD313,"NA")</f>
        <v>0.17019314936404178</v>
      </c>
      <c r="CE313" s="80">
        <f>IFERROR(VLOOKUP($H313,'1. Set Program Names'!$B$2:$D$15,3,0)*AE313,"NA")</f>
        <v>0.15582988777807263</v>
      </c>
    </row>
    <row r="314" spans="1:83" x14ac:dyDescent="0.25">
      <c r="A314" s="79" t="s">
        <v>116</v>
      </c>
      <c r="B314" s="79" t="s">
        <v>88</v>
      </c>
      <c r="C314" s="79" t="s">
        <v>122</v>
      </c>
      <c r="D314" s="79" t="s">
        <v>90</v>
      </c>
      <c r="E314" s="79" t="s">
        <v>91</v>
      </c>
      <c r="F314" s="79" t="s">
        <v>90</v>
      </c>
      <c r="G314" s="79" t="s">
        <v>92</v>
      </c>
      <c r="H314" s="79" t="s">
        <v>14</v>
      </c>
      <c r="I314" s="79" t="s">
        <v>143</v>
      </c>
      <c r="J314" s="79" t="s">
        <v>144</v>
      </c>
      <c r="K314" s="79" t="s">
        <v>108</v>
      </c>
      <c r="L314" s="79">
        <v>6670.6049999999896</v>
      </c>
      <c r="M314" s="79">
        <v>1.04667148638823</v>
      </c>
      <c r="N314" s="79">
        <v>1.5598507965563999</v>
      </c>
      <c r="O314" s="79">
        <v>2431.625</v>
      </c>
      <c r="P314" s="79">
        <v>977.24379425036398</v>
      </c>
      <c r="Q314" s="79">
        <v>237.47150315731801</v>
      </c>
      <c r="R314" s="79">
        <v>3400.8076679878</v>
      </c>
      <c r="S314" s="79">
        <v>7245.0779694633802</v>
      </c>
      <c r="T314" s="79">
        <v>15</v>
      </c>
      <c r="U314" s="79">
        <v>0.95</v>
      </c>
      <c r="V314" s="79">
        <f>tbl_Data_old[[#This Row],[2025 ]]*IFERROR(AVERAGEIFS('Participation Adjustment'!$C:$C,'Participation Adjustment'!$A:$A,$H314,'Participation Adjustment'!$B:$B,$I314),1)</f>
        <v>7.5212206914050803</v>
      </c>
      <c r="W314" s="79">
        <f>tbl_Data_old[[#This Row],[2026 ]]*IFERROR(AVERAGEIFS('Participation Adjustment'!$C:$C,'Participation Adjustment'!$A:$A,$H314,'Participation Adjustment'!$B:$B,$I314),1)</f>
        <v>8.2708774774509095</v>
      </c>
      <c r="X314" s="79">
        <f>tbl_Data_old[[#This Row],[2027 ]]*IFERROR(AVERAGEIFS('Participation Adjustment'!$C:$C,'Participation Adjustment'!$A:$A,$H314,'Participation Adjustment'!$B:$B,$I314),1)</f>
        <v>8.8833973771123702</v>
      </c>
      <c r="Y314" s="79">
        <f>tbl_Data_old[[#This Row],[2028 ]]*IFERROR(AVERAGEIFS('Participation Adjustment'!$C:$C,'Participation Adjustment'!$A:$A,$H314,'Participation Adjustment'!$B:$B,$I314),1)</f>
        <v>9.4163226336417907</v>
      </c>
      <c r="Z314" s="79">
        <f>tbl_Data_old[[#This Row],[2029 ]]*IFERROR(AVERAGEIFS('Participation Adjustment'!$C:$C,'Participation Adjustment'!$A:$A,$H314,'Participation Adjustment'!$B:$B,$I314),1)</f>
        <v>9.8723355018544403</v>
      </c>
      <c r="AA314" s="79">
        <f>tbl_Data_old[[#This Row],[2030 ]]*IFERROR(AVERAGEIFS('Participation Adjustment'!$C:$C,'Participation Adjustment'!$A:$A,$H314,'Participation Adjustment'!$B:$B,$I314),1)</f>
        <v>10.2477819727502</v>
      </c>
      <c r="AB314" s="79">
        <f>tbl_Data_old[[#This Row],[2031 ]]*IFERROR(AVERAGEIFS('Participation Adjustment'!$C:$C,'Participation Adjustment'!$A:$A,$H314,'Participation Adjustment'!$B:$B,$I314),1)</f>
        <v>10.5566446797948</v>
      </c>
      <c r="AC314" s="79">
        <f>tbl_Data_old[[#This Row],[2032 ]]*IFERROR(AVERAGEIFS('Participation Adjustment'!$C:$C,'Participation Adjustment'!$A:$A,$H314,'Participation Adjustment'!$B:$B,$I314),1)</f>
        <v>10.8284480701377</v>
      </c>
      <c r="AD314" s="79">
        <f>tbl_Data_old[[#This Row],[2033 ]]*IFERROR(AVERAGEIFS('Participation Adjustment'!$C:$C,'Participation Adjustment'!$A:$A,$H314,'Participation Adjustment'!$B:$B,$I314),1)</f>
        <v>11.0719509145302</v>
      </c>
      <c r="AE314" s="79">
        <f>tbl_Data_old[[#This Row],[2034 ]]*IFERROR(AVERAGEIFS('Participation Adjustment'!$C:$C,'Participation Adjustment'!$A:$A,$H314,'Participation Adjustment'!$B:$B,$I314),1)</f>
        <v>11.2810163944328</v>
      </c>
      <c r="AF314" s="77" t="str">
        <f t="shared" si="132"/>
        <v>NonResidential</v>
      </c>
      <c r="AG314" s="77" t="str">
        <f>tbl_Data[[#This Row],[All_Meas_Name_Append]]</f>
        <v>Heat Pump Water Heater</v>
      </c>
      <c r="AH314" s="77">
        <f>AVERAGEIFS('3. Incentive Adjustment'!G:G,'3. Incentive Adjustment'!A:A,tbl_Data[[#This Row],[Trimmed Sector]],'3. Incentive Adjustment'!B:B,tbl_Data[[#This Row],[Trimmed Measure Name]])</f>
        <v>0.82797588322898052</v>
      </c>
      <c r="AI314" s="77">
        <f>$AH314*tbl_Data[[#This Row],[2025 ]]</f>
        <v>6.2273893449262046</v>
      </c>
      <c r="AJ314" s="77">
        <f>$AH314*tbl_Data[[#This Row],[2026 ]]</f>
        <v>6.848087084471099</v>
      </c>
      <c r="AK314" s="77">
        <f>$AH314*tbl_Data[[#This Row],[2027 ]]</f>
        <v>7.3552387893886237</v>
      </c>
      <c r="AL314" s="77">
        <f>$AH314*tbl_Data[[#This Row],[2028 ]]</f>
        <v>7.7964880493586017</v>
      </c>
      <c r="AM314" s="77">
        <f>$AH314*tbl_Data[[#This Row],[2029 ]]</f>
        <v>8.1740557066807504</v>
      </c>
      <c r="AN314" s="77">
        <f>$AH314*tbl_Data[[#This Row],[2030 ]]</f>
        <v>8.4849163300258716</v>
      </c>
      <c r="AO314" s="77">
        <f>$AH314*tbl_Data[[#This Row],[2031 ]]</f>
        <v>8.7406472026876187</v>
      </c>
      <c r="AP314" s="77">
        <f>$AH314*tbl_Data[[#This Row],[2032 ]]</f>
        <v>8.9656938548714109</v>
      </c>
      <c r="AQ314" s="77">
        <f>$AH314*tbl_Data[[#This Row],[2033 ]]</f>
        <v>9.1673083375260607</v>
      </c>
      <c r="AR314" s="77">
        <f>$AH314*tbl_Data[[#This Row],[2034 ]]</f>
        <v>9.3404095129011075</v>
      </c>
      <c r="AS314" s="77">
        <f>SUM(tbl_Data[[#This Row],[Adjusted 2025]:[Adjusted 2034]])</f>
        <v>81.10023421283735</v>
      </c>
      <c r="AT314" s="80">
        <f>AVERAGEIFS('3. Incentive Adjustment'!F:F,'3. Incentive Adjustment'!A:A,tbl_Data[[#This Row],[Trimmed Sector]],'3. Incentive Adjustment'!B:B,tbl_Data[[#This Row],[Trimmed Measure Name]])</f>
        <v>500</v>
      </c>
      <c r="AU314" s="80">
        <f>IFERROR(VLOOKUP(tbl_Data[[#This Row],[All_Meas_Name_Append]],'IRA Tax Credits'!$A$3:$D$46,4,0),0)</f>
        <v>0</v>
      </c>
      <c r="AV314" s="81">
        <f>tbl_Data[[#This Row],[Adj. per unit Incentive ($)]]/tbl_Data[[#This Row],[kWh Savings]]*tbl_Data[[#This Row],[Sum of Annuals]]</f>
        <v>6.0789264401682814</v>
      </c>
      <c r="AW314" s="81">
        <f>IFERROR(VLOOKUP(tbl_Data[[#This Row],[Column1]],'1. Set Program Names'!$B$2:$D$15,3,0)*tbl_Data[[#This Row],[Sum of Annuals]],"")</f>
        <v>2.8871435986590481</v>
      </c>
      <c r="AX314" s="81">
        <f>tbl_Data[[#This Row],[per unit IRA tax ($)]]/tbl_Data[[#This Row],[kWh Savings]]*tbl_Data[[#This Row],[Sum of Annuals]]</f>
        <v>0</v>
      </c>
      <c r="AY314" s="81">
        <f>tbl_Data[[#This Row],[Avoided Costs ($/unit)]]/tbl_Data[[#This Row],[kWh Savings]]*tbl_Data[[#This Row],[Sum of Annuals]]</f>
        <v>41.346519301716143</v>
      </c>
      <c r="AZ314" s="81">
        <f>tbl_Data[[#This Row],[Lost Revenue ($/unit)]]/tbl_Data[[#This Row],[kWh Savings]]*tbl_Data[[#This Row],[Sum of Annuals]]</f>
        <v>88.084592059303333</v>
      </c>
      <c r="BA314" s="81">
        <f>tbl_Data[[#This Row],[Incremental Cost ($/unit)]]/tbl_Data[[#This Row],[kWh Savings]]*tbl_Data[[#This Row],[Sum of Annuals]]</f>
        <v>29.563339010148397</v>
      </c>
      <c r="BB314" s="77">
        <f>ROUNDUP(tbl_Data[[#This Row],[Adjusted 2025]]/$L314,0)</f>
        <v>1</v>
      </c>
      <c r="BC314" s="77">
        <f>ROUNDUP(tbl_Data[[#This Row],[Adjusted 2026]]/$L314,0)</f>
        <v>1</v>
      </c>
      <c r="BD314" s="77">
        <f>ROUNDUP(tbl_Data[[#This Row],[Adjusted 2027]]/$L314,0)</f>
        <v>1</v>
      </c>
      <c r="BE314" s="77">
        <f>ROUNDUP(tbl_Data[[#This Row],[Adjusted 2028]]/$L314,0)</f>
        <v>1</v>
      </c>
      <c r="BF314" s="77">
        <f>ROUNDUP(tbl_Data[[#This Row],[Adjusted 2029]]/$L314,0)</f>
        <v>1</v>
      </c>
      <c r="BG314" s="77">
        <f>ROUNDUP(tbl_Data[[#This Row],[Adjusted 2030]]/$L314,0)</f>
        <v>1</v>
      </c>
      <c r="BH314" s="77">
        <f>ROUNDUP(tbl_Data[[#This Row],[Adjusted 2031]]/$L314,0)</f>
        <v>1</v>
      </c>
      <c r="BI314" s="77">
        <f>ROUNDUP(tbl_Data[[#This Row],[Adjusted 2032]]/$L314,0)</f>
        <v>1</v>
      </c>
      <c r="BJ314" s="77">
        <f>ROUNDUP(tbl_Data[[#This Row],[Adjusted 2033]]/$L314,0)</f>
        <v>1</v>
      </c>
      <c r="BK314" s="77">
        <f>ROUNDUP(tbl_Data[[#This Row],[Adjusted 2034]]/$L314,0)</f>
        <v>1</v>
      </c>
      <c r="BL314" s="80">
        <f t="shared" si="133"/>
        <v>0.56375851151470457</v>
      </c>
      <c r="BM314" s="80">
        <f t="shared" si="134"/>
        <v>0.61994957559703523</v>
      </c>
      <c r="BN314" s="80">
        <f t="shared" si="135"/>
        <v>0.66586144563442029</v>
      </c>
      <c r="BO314" s="80">
        <f t="shared" si="136"/>
        <v>0.705807241894986</v>
      </c>
      <c r="BP314" s="80">
        <f t="shared" si="137"/>
        <v>0.7399880147193888</v>
      </c>
      <c r="BQ314" s="80">
        <f t="shared" si="138"/>
        <v>0.76812987523247267</v>
      </c>
      <c r="BR314" s="80">
        <f t="shared" si="139"/>
        <v>0.79128090179187771</v>
      </c>
      <c r="BS314" s="80">
        <f t="shared" si="140"/>
        <v>0.8116541205885911</v>
      </c>
      <c r="BT314" s="80">
        <f t="shared" si="141"/>
        <v>0.8299060515897897</v>
      </c>
      <c r="BU314" s="80">
        <f t="shared" si="142"/>
        <v>0.8455767051438976</v>
      </c>
      <c r="BV314" s="80">
        <f>IFERROR(VLOOKUP($H314,'1. Set Program Names'!$B$2:$D$15,3,0)*V314,"NA")</f>
        <v>0.26775316229425783</v>
      </c>
      <c r="BW314" s="80">
        <f>IFERROR(VLOOKUP($H314,'1. Set Program Names'!$B$2:$D$15,3,0)*W314,"NA")</f>
        <v>0.29444071519753823</v>
      </c>
      <c r="BX314" s="80">
        <f>IFERROR(VLOOKUP($H314,'1. Set Program Names'!$B$2:$D$15,3,0)*X314,"NA")</f>
        <v>0.31624623677862074</v>
      </c>
      <c r="BY314" s="80">
        <f>IFERROR(VLOOKUP($H314,'1. Set Program Names'!$B$2:$D$15,3,0)*Y314,"NA")</f>
        <v>0.33521821334424573</v>
      </c>
      <c r="BZ314" s="80">
        <f>IFERROR(VLOOKUP($H314,'1. Set Program Names'!$B$2:$D$15,3,0)*Z314,"NA")</f>
        <v>0.35145213234762518</v>
      </c>
      <c r="CA314" s="80">
        <f>IFERROR(VLOOKUP($H314,'1. Set Program Names'!$B$2:$D$15,3,0)*AA314,"NA")</f>
        <v>0.36481791218299636</v>
      </c>
      <c r="CB314" s="80">
        <f>IFERROR(VLOOKUP($H314,'1. Set Program Names'!$B$2:$D$15,3,0)*AB314,"NA")</f>
        <v>0.37581333033639019</v>
      </c>
      <c r="CC314" s="80">
        <f>IFERROR(VLOOKUP($H314,'1. Set Program Names'!$B$2:$D$15,3,0)*AC314,"NA")</f>
        <v>0.38548944812000707</v>
      </c>
      <c r="CD314" s="80">
        <f>IFERROR(VLOOKUP($H314,'1. Set Program Names'!$B$2:$D$15,3,0)*AD314,"NA")</f>
        <v>0.39415807510076362</v>
      </c>
      <c r="CE314" s="80">
        <f>IFERROR(VLOOKUP($H314,'1. Set Program Names'!$B$2:$D$15,3,0)*AE314,"NA")</f>
        <v>0.40160074241066679</v>
      </c>
    </row>
    <row r="315" spans="1:83" x14ac:dyDescent="0.25">
      <c r="A315" s="79" t="s">
        <v>116</v>
      </c>
      <c r="B315" s="79" t="s">
        <v>88</v>
      </c>
      <c r="C315" s="79" t="s">
        <v>122</v>
      </c>
      <c r="D315" s="79" t="s">
        <v>90</v>
      </c>
      <c r="E315" s="79" t="s">
        <v>91</v>
      </c>
      <c r="F315" s="79" t="s">
        <v>90</v>
      </c>
      <c r="G315" s="79" t="s">
        <v>92</v>
      </c>
      <c r="H315" s="79" t="s">
        <v>14</v>
      </c>
      <c r="I315" s="79" t="s">
        <v>157</v>
      </c>
      <c r="J315" s="79" t="s">
        <v>158</v>
      </c>
      <c r="K315" s="79" t="s">
        <v>159</v>
      </c>
      <c r="L315" s="79">
        <v>562.52000000000032</v>
      </c>
      <c r="M315" s="79">
        <v>0</v>
      </c>
      <c r="N315" s="79">
        <v>2.7796637938074218E-2</v>
      </c>
      <c r="O315" s="79">
        <v>169</v>
      </c>
      <c r="P315" s="79">
        <v>53.285725702774094</v>
      </c>
      <c r="Q315" s="79"/>
      <c r="R315" s="79">
        <v>275.37363005821356</v>
      </c>
      <c r="S315" s="79">
        <v>610.96426176974103</v>
      </c>
      <c r="T315" s="79">
        <v>15</v>
      </c>
      <c r="U315" s="79">
        <v>0.2</v>
      </c>
      <c r="V315" s="79">
        <f>tbl_Data_old[[#This Row],[2025 ]]*IFERROR(AVERAGEIFS('Participation Adjustment'!$C:$C,'Participation Adjustment'!$A:$A,$H315,'Participation Adjustment'!$B:$B,$I315),1)</f>
        <v>3.7749084951401904E-2</v>
      </c>
      <c r="W315" s="79">
        <f>tbl_Data_old[[#This Row],[2026 ]]*IFERROR(AVERAGEIFS('Participation Adjustment'!$C:$C,'Participation Adjustment'!$A:$A,$H315,'Participation Adjustment'!$B:$B,$I315),1)</f>
        <v>4.1116653965917398E-2</v>
      </c>
      <c r="X315" s="79">
        <f>tbl_Data_old[[#This Row],[2027 ]]*IFERROR(AVERAGEIFS('Participation Adjustment'!$C:$C,'Participation Adjustment'!$A:$A,$H315,'Participation Adjustment'!$B:$B,$I315),1)</f>
        <v>4.3775924349865006E-2</v>
      </c>
      <c r="Y315" s="79">
        <f>tbl_Data_old[[#This Row],[2028 ]]*IFERROR(AVERAGEIFS('Participation Adjustment'!$C:$C,'Participation Adjustment'!$A:$A,$H315,'Participation Adjustment'!$B:$B,$I315),1)</f>
        <v>4.6002615365257099E-2</v>
      </c>
      <c r="Z315" s="79">
        <f>tbl_Data_old[[#This Row],[2029 ]]*IFERROR(AVERAGEIFS('Participation Adjustment'!$C:$C,'Participation Adjustment'!$A:$A,$H315,'Participation Adjustment'!$B:$B,$I315),1)</f>
        <v>4.7806750064284802E-2</v>
      </c>
      <c r="AA315" s="79">
        <f>tbl_Data_old[[#This Row],[2030 ]]*IFERROR(AVERAGEIFS('Participation Adjustment'!$C:$C,'Participation Adjustment'!$A:$A,$H315,'Participation Adjustment'!$B:$B,$I315),1)</f>
        <v>4.9192879494914396E-2</v>
      </c>
      <c r="AB315" s="79">
        <f>tbl_Data_old[[#This Row],[2031 ]]*IFERROR(AVERAGEIFS('Participation Adjustment'!$C:$C,'Participation Adjustment'!$A:$A,$H315,'Participation Adjustment'!$B:$B,$I315),1)</f>
        <v>5.0223685455095396E-2</v>
      </c>
      <c r="AC315" s="79">
        <f>tbl_Data_old[[#This Row],[2032 ]]*IFERROR(AVERAGEIFS('Participation Adjustment'!$C:$C,'Participation Adjustment'!$A:$A,$H315,'Participation Adjustment'!$B:$B,$I315),1)</f>
        <v>5.1049402408000294E-2</v>
      </c>
      <c r="AD315" s="79">
        <f>tbl_Data_old[[#This Row],[2033 ]]*IFERROR(AVERAGEIFS('Participation Adjustment'!$C:$C,'Participation Adjustment'!$A:$A,$H315,'Participation Adjustment'!$B:$B,$I315),1)</f>
        <v>5.1733938051851502E-2</v>
      </c>
      <c r="AE315" s="79">
        <f>tbl_Data_old[[#This Row],[2034 ]]*IFERROR(AVERAGEIFS('Participation Adjustment'!$C:$C,'Participation Adjustment'!$A:$A,$H315,'Participation Adjustment'!$B:$B,$I315),1)</f>
        <v>5.2234634980719397E-2</v>
      </c>
      <c r="AF315" s="77" t="str">
        <f t="shared" si="132"/>
        <v>NonResidential</v>
      </c>
      <c r="AG315" s="77" t="str">
        <f>tbl_Data[[#This Row],[All_Meas_Name_Append]]</f>
        <v>LED Exterior Wall Packs</v>
      </c>
      <c r="AH315" s="77">
        <f>AVERAGEIFS('3. Incentive Adjustment'!G:G,'3. Incentive Adjustment'!A:A,tbl_Data[[#This Row],[Trimmed Sector]],'3. Incentive Adjustment'!B:B,tbl_Data[[#This Row],[Trimmed Measure Name]])</f>
        <v>0.80637708305213962</v>
      </c>
      <c r="AI315" s="77">
        <f>$AH315*tbl_Data[[#This Row],[2025 ]]</f>
        <v>3.0439997010998886E-2</v>
      </c>
      <c r="AJ315" s="77">
        <f>$AH315*tbl_Data[[#This Row],[2026 ]]</f>
        <v>3.3155527489900659E-2</v>
      </c>
      <c r="AK315" s="77">
        <f>$AH315*tbl_Data[[#This Row],[2027 ]]</f>
        <v>3.5299902185155274E-2</v>
      </c>
      <c r="AL315" s="77">
        <f>$AH315*tbl_Data[[#This Row],[2028 ]]</f>
        <v>3.709545479100556E-2</v>
      </c>
      <c r="AM315" s="77">
        <f>$AH315*tbl_Data[[#This Row],[2029 ]]</f>
        <v>3.8550267667040665E-2</v>
      </c>
      <c r="AN315" s="77">
        <f>$AH315*tbl_Data[[#This Row],[2030 ]]</f>
        <v>3.9668010674044483E-2</v>
      </c>
      <c r="AO315" s="77">
        <f>$AH315*tbl_Data[[#This Row],[2031 ]]</f>
        <v>4.0499228977408E-2</v>
      </c>
      <c r="AP315" s="77">
        <f>$AH315*tbl_Data[[#This Row],[2032 ]]</f>
        <v>4.116506820531815E-2</v>
      </c>
      <c r="AQ315" s="77">
        <f>$AH315*tbl_Data[[#This Row],[2033 ]]</f>
        <v>4.1717062061052107E-2</v>
      </c>
      <c r="AR315" s="77">
        <f>$AH315*tbl_Data[[#This Row],[2034 ]]</f>
        <v>4.2120812590045763E-2</v>
      </c>
      <c r="AS315" s="77">
        <f>SUM(tbl_Data[[#This Row],[Adjusted 2025]:[Adjusted 2034]])</f>
        <v>0.37971133165196946</v>
      </c>
      <c r="AT315" s="80">
        <f>AVERAGEIFS('3. Incentive Adjustment'!F:F,'3. Incentive Adjustment'!A:A,tbl_Data[[#This Row],[Trimmed Sector]],'3. Incentive Adjustment'!B:B,tbl_Data[[#This Row],[Trimmed Measure Name]])</f>
        <v>8.6864493556481861</v>
      </c>
      <c r="AU315" s="80">
        <f>IFERROR(VLOOKUP(tbl_Data[[#This Row],[All_Meas_Name_Append]],'IRA Tax Credits'!$A$3:$D$46,4,0),0)</f>
        <v>0</v>
      </c>
      <c r="AV315" s="81">
        <f>tbl_Data[[#This Row],[Adj. per unit Incentive ($)]]/tbl_Data[[#This Row],[kWh Savings]]*tbl_Data[[#This Row],[Sum of Annuals]]</f>
        <v>5.8635128567172063E-3</v>
      </c>
      <c r="AW315" s="81">
        <f>IFERROR(VLOOKUP(tbl_Data[[#This Row],[Column1]],'1. Set Program Names'!$B$2:$D$15,3,0)*tbl_Data[[#This Row],[Sum of Annuals]],"")</f>
        <v>1.3517607577312721E-2</v>
      </c>
      <c r="AX315" s="81">
        <f>tbl_Data[[#This Row],[per unit IRA tax ($)]]/tbl_Data[[#This Row],[kWh Savings]]*tbl_Data[[#This Row],[Sum of Annuals]]</f>
        <v>0</v>
      </c>
      <c r="AY315" s="81">
        <f>tbl_Data[[#This Row],[Avoided Costs ($/unit)]]/tbl_Data[[#This Row],[kWh Savings]]*tbl_Data[[#This Row],[Sum of Annuals]]</f>
        <v>0.18588225800192174</v>
      </c>
      <c r="AZ315" s="81">
        <f>tbl_Data[[#This Row],[Lost Revenue ($/unit)]]/tbl_Data[[#This Row],[kWh Savings]]*tbl_Data[[#This Row],[Sum of Annuals]]</f>
        <v>0.41241209810913515</v>
      </c>
      <c r="BA315" s="81">
        <f>tbl_Data[[#This Row],[Incremental Cost ($/unit)]]/tbl_Data[[#This Row],[kWh Savings]]*tbl_Data[[#This Row],[Sum of Annuals]]</f>
        <v>0.11407810397707246</v>
      </c>
      <c r="BB315" s="77">
        <f>ROUNDUP(tbl_Data[[#This Row],[Adjusted 2025]]/$L315,0)</f>
        <v>1</v>
      </c>
      <c r="BC315" s="77">
        <f>ROUNDUP(tbl_Data[[#This Row],[Adjusted 2026]]/$L315,0)</f>
        <v>1</v>
      </c>
      <c r="BD315" s="77">
        <f>ROUNDUP(tbl_Data[[#This Row],[Adjusted 2027]]/$L315,0)</f>
        <v>1</v>
      </c>
      <c r="BE315" s="77">
        <f>ROUNDUP(tbl_Data[[#This Row],[Adjusted 2028]]/$L315,0)</f>
        <v>1</v>
      </c>
      <c r="BF315" s="77">
        <f>ROUNDUP(tbl_Data[[#This Row],[Adjusted 2029]]/$L315,0)</f>
        <v>1</v>
      </c>
      <c r="BG315" s="77">
        <f>ROUNDUP(tbl_Data[[#This Row],[Adjusted 2030]]/$L315,0)</f>
        <v>1</v>
      </c>
      <c r="BH315" s="77">
        <f>ROUNDUP(tbl_Data[[#This Row],[Adjusted 2031]]/$L315,0)</f>
        <v>1</v>
      </c>
      <c r="BI315" s="77">
        <f>ROUNDUP(tbl_Data[[#This Row],[Adjusted 2032]]/$L315,0)</f>
        <v>1</v>
      </c>
      <c r="BJ315" s="77">
        <f>ROUNDUP(tbl_Data[[#This Row],[Adjusted 2033]]/$L315,0)</f>
        <v>1</v>
      </c>
      <c r="BK315" s="77">
        <f>ROUNDUP(tbl_Data[[#This Row],[Adjusted 2034]]/$L315,0)</f>
        <v>1</v>
      </c>
      <c r="BL315" s="80">
        <f t="shared" si="133"/>
        <v>5.8292241102967626E-4</v>
      </c>
      <c r="BM315" s="80">
        <f t="shared" si="134"/>
        <v>6.349245046374394E-4</v>
      </c>
      <c r="BN315" s="80">
        <f t="shared" si="135"/>
        <v>6.7598903125540137E-4</v>
      </c>
      <c r="BO315" s="80">
        <f t="shared" si="136"/>
        <v>7.1037365533255464E-4</v>
      </c>
      <c r="BP315" s="80">
        <f t="shared" si="137"/>
        <v>7.3823315311729427E-4</v>
      </c>
      <c r="BQ315" s="80">
        <f t="shared" si="138"/>
        <v>7.5963780201784425E-4</v>
      </c>
      <c r="BR315" s="80">
        <f t="shared" si="139"/>
        <v>7.7555553608705521E-4</v>
      </c>
      <c r="BS315" s="80">
        <f t="shared" si="140"/>
        <v>7.8830628004906294E-4</v>
      </c>
      <c r="BT315" s="80">
        <f t="shared" si="141"/>
        <v>7.9887689834254501E-4</v>
      </c>
      <c r="BU315" s="80">
        <f t="shared" si="142"/>
        <v>8.0660867412854292E-4</v>
      </c>
      <c r="BV315" s="80">
        <f>IFERROR(VLOOKUP($H315,'1. Set Program Names'!$B$2:$D$15,3,0)*V315,"NA")</f>
        <v>1.3438559090551314E-3</v>
      </c>
      <c r="BW315" s="80">
        <f>IFERROR(VLOOKUP($H315,'1. Set Program Names'!$B$2:$D$15,3,0)*W315,"NA")</f>
        <v>1.4637403387077646E-3</v>
      </c>
      <c r="BX315" s="80">
        <f>IFERROR(VLOOKUP($H315,'1. Set Program Names'!$B$2:$D$15,3,0)*X315,"NA")</f>
        <v>1.5584095531759842E-3</v>
      </c>
      <c r="BY315" s="80">
        <f>IFERROR(VLOOKUP($H315,'1. Set Program Names'!$B$2:$D$15,3,0)*Y315,"NA")</f>
        <v>1.637679074080318E-3</v>
      </c>
      <c r="BZ315" s="80">
        <f>IFERROR(VLOOKUP($H315,'1. Set Program Names'!$B$2:$D$15,3,0)*Z315,"NA")</f>
        <v>1.7019057190212768E-3</v>
      </c>
      <c r="CA315" s="80">
        <f>IFERROR(VLOOKUP($H315,'1. Set Program Names'!$B$2:$D$15,3,0)*AA315,"NA")</f>
        <v>1.7512515039181801E-3</v>
      </c>
      <c r="CB315" s="80">
        <f>IFERROR(VLOOKUP($H315,'1. Set Program Names'!$B$2:$D$15,3,0)*AB315,"NA")</f>
        <v>1.7879478816571865E-3</v>
      </c>
      <c r="CC315" s="80">
        <f>IFERROR(VLOOKUP($H315,'1. Set Program Names'!$B$2:$D$15,3,0)*AC315,"NA")</f>
        <v>1.8173431532987853E-3</v>
      </c>
      <c r="CD315" s="80">
        <f>IFERROR(VLOOKUP($H315,'1. Set Program Names'!$B$2:$D$15,3,0)*AD315,"NA")</f>
        <v>1.8417124134048938E-3</v>
      </c>
      <c r="CE315" s="80">
        <f>IFERROR(VLOOKUP($H315,'1. Set Program Names'!$B$2:$D$15,3,0)*AE315,"NA")</f>
        <v>1.8595370713368972E-3</v>
      </c>
    </row>
    <row r="316" spans="1:83" x14ac:dyDescent="0.25">
      <c r="A316" s="79" t="s">
        <v>116</v>
      </c>
      <c r="B316" s="79" t="s">
        <v>88</v>
      </c>
      <c r="C316" s="79" t="s">
        <v>122</v>
      </c>
      <c r="D316" s="79" t="s">
        <v>90</v>
      </c>
      <c r="E316" s="79" t="s">
        <v>91</v>
      </c>
      <c r="F316" s="79" t="s">
        <v>90</v>
      </c>
      <c r="G316" s="79" t="s">
        <v>92</v>
      </c>
      <c r="H316" s="79" t="s">
        <v>14</v>
      </c>
      <c r="I316" s="79" t="s">
        <v>160</v>
      </c>
      <c r="J316" s="79" t="s">
        <v>161</v>
      </c>
      <c r="K316" s="79" t="s">
        <v>159</v>
      </c>
      <c r="L316" s="79">
        <v>1059.6621428571407</v>
      </c>
      <c r="M316" s="79">
        <v>0.13879011985330975</v>
      </c>
      <c r="N316" s="79">
        <v>0.14661252282673942</v>
      </c>
      <c r="O316" s="79">
        <v>179</v>
      </c>
      <c r="P316" s="79">
        <v>5.0437849584490522</v>
      </c>
      <c r="Q316" s="79"/>
      <c r="R316" s="79">
        <v>417.01467834907817</v>
      </c>
      <c r="S316" s="79">
        <v>1150.9203207638036</v>
      </c>
      <c r="T316" s="79">
        <v>15</v>
      </c>
      <c r="U316" s="79">
        <v>0.2</v>
      </c>
      <c r="V316" s="79">
        <f>tbl_Data_old[[#This Row],[2025 ]]*IFERROR(AVERAGEIFS('Participation Adjustment'!$C:$C,'Participation Adjustment'!$A:$A,$H316,'Participation Adjustment'!$B:$B,$I316),1)</f>
        <v>6.8311576781038346</v>
      </c>
      <c r="W316" s="79">
        <f>tbl_Data_old[[#This Row],[2026 ]]*IFERROR(AVERAGEIFS('Participation Adjustment'!$C:$C,'Participation Adjustment'!$A:$A,$H316,'Participation Adjustment'!$B:$B,$I316),1)</f>
        <v>7.4353972019888399</v>
      </c>
      <c r="X316" s="79">
        <f>tbl_Data_old[[#This Row],[2027 ]]*IFERROR(AVERAGEIFS('Participation Adjustment'!$C:$C,'Participation Adjustment'!$A:$A,$H316,'Participation Adjustment'!$B:$B,$I316),1)</f>
        <v>7.9148141017763693</v>
      </c>
      <c r="Y316" s="79">
        <f>tbl_Data_old[[#This Row],[2028 ]]*IFERROR(AVERAGEIFS('Participation Adjustment'!$C:$C,'Participation Adjustment'!$A:$A,$H316,'Participation Adjustment'!$B:$B,$I316),1)</f>
        <v>8.3164879856223148</v>
      </c>
      <c r="Z316" s="79">
        <f>tbl_Data_old[[#This Row],[2029 ]]*IFERROR(AVERAGEIFS('Participation Adjustment'!$C:$C,'Participation Adjustment'!$A:$A,$H316,'Participation Adjustment'!$B:$B,$I316),1)</f>
        <v>8.640777989420144</v>
      </c>
      <c r="AA316" s="79">
        <f>tbl_Data_old[[#This Row],[2030 ]]*IFERROR(AVERAGEIFS('Participation Adjustment'!$C:$C,'Participation Adjustment'!$A:$A,$H316,'Participation Adjustment'!$B:$B,$I316),1)</f>
        <v>8.8900645059891303</v>
      </c>
      <c r="AB316" s="79">
        <f>tbl_Data_old[[#This Row],[2031 ]]*IFERROR(AVERAGEIFS('Participation Adjustment'!$C:$C,'Participation Adjustment'!$A:$A,$H316,'Participation Adjustment'!$B:$B,$I316),1)</f>
        <v>9.0741472094573563</v>
      </c>
      <c r="AC316" s="79">
        <f>tbl_Data_old[[#This Row],[2032 ]]*IFERROR(AVERAGEIFS('Participation Adjustment'!$C:$C,'Participation Adjustment'!$A:$A,$H316,'Participation Adjustment'!$B:$B,$I316),1)</f>
        <v>9.2205080389133247</v>
      </c>
      <c r="AD316" s="79">
        <f>tbl_Data_old[[#This Row],[2033 ]]*IFERROR(AVERAGEIFS('Participation Adjustment'!$C:$C,'Participation Adjustment'!$A:$A,$H316,'Participation Adjustment'!$B:$B,$I316),1)</f>
        <v>9.3427265780313</v>
      </c>
      <c r="AE316" s="79">
        <f>tbl_Data_old[[#This Row],[2034 ]]*IFERROR(AVERAGEIFS('Participation Adjustment'!$C:$C,'Participation Adjustment'!$A:$A,$H316,'Participation Adjustment'!$B:$B,$I316),1)</f>
        <v>9.4310092943369401</v>
      </c>
      <c r="AF316" s="77" t="str">
        <f t="shared" si="132"/>
        <v>NonResidential</v>
      </c>
      <c r="AG316" s="77" t="str">
        <f>tbl_Data[[#This Row],[All_Meas_Name_Append]]</f>
        <v>LED High Bay_HID Baseline</v>
      </c>
      <c r="AH316" s="77">
        <f>AVERAGEIFS('3. Incentive Adjustment'!G:G,'3. Incentive Adjustment'!A:A,tbl_Data[[#This Row],[Trimmed Sector]],'3. Incentive Adjustment'!B:B,tbl_Data[[#This Row],[Trimmed Measure Name]])</f>
        <v>1.0603846876879557</v>
      </c>
      <c r="AI316" s="77">
        <f>$AH316*tbl_Data[[#This Row],[2025 ]]</f>
        <v>7.2436550010433152</v>
      </c>
      <c r="AJ316" s="77">
        <f>$AH316*tbl_Data[[#This Row],[2026 ]]</f>
        <v>7.8843813398668354</v>
      </c>
      <c r="AK316" s="77">
        <f>$AH316*tbl_Data[[#This Row],[2027 ]]</f>
        <v>8.3927476794203635</v>
      </c>
      <c r="AL316" s="77">
        <f>$AH316*tbl_Data[[#This Row],[2028 ]]</f>
        <v>8.8186765152947544</v>
      </c>
      <c r="AM316" s="77">
        <f>$AH316*tbl_Data[[#This Row],[2029 ]]</f>
        <v>9.1625486696922405</v>
      </c>
      <c r="AN316" s="77">
        <f>$AH316*tbl_Data[[#This Row],[2030 ]]</f>
        <v>9.4268882747090643</v>
      </c>
      <c r="AO316" s="77">
        <f>$AH316*tbl_Data[[#This Row],[2031 ]]</f>
        <v>9.6220867547349727</v>
      </c>
      <c r="AP316" s="77">
        <f>$AH316*tbl_Data[[#This Row],[2032 ]]</f>
        <v>9.7772855371673906</v>
      </c>
      <c r="AQ316" s="77">
        <f>$AH316*tbl_Data[[#This Row],[2033 ]]</f>
        <v>9.9068842045996828</v>
      </c>
      <c r="AR316" s="77">
        <f>$AH316*tbl_Data[[#This Row],[2034 ]]</f>
        <v>10.000497845157684</v>
      </c>
      <c r="AS316" s="77">
        <f>SUM(tbl_Data[[#This Row],[Adjusted 2025]:[Adjusted 2034]])</f>
        <v>90.23565182168629</v>
      </c>
      <c r="AT316" s="80">
        <f>AVERAGEIFS('3. Incentive Adjustment'!F:F,'3. Incentive Adjustment'!A:A,tbl_Data[[#This Row],[Trimmed Sector]],'3. Incentive Adjustment'!B:B,tbl_Data[[#This Row],[Trimmed Measure Name]])</f>
        <v>28.590998621954778</v>
      </c>
      <c r="AU316" s="80">
        <f>IFERROR(VLOOKUP(tbl_Data[[#This Row],[All_Meas_Name_Append]],'IRA Tax Credits'!$A$3:$D$46,4,0),0)</f>
        <v>0</v>
      </c>
      <c r="AV316" s="81">
        <f>tbl_Data[[#This Row],[Adj. per unit Incentive ($)]]/tbl_Data[[#This Row],[kWh Savings]]*tbl_Data[[#This Row],[Sum of Annuals]]</f>
        <v>2.4346697806235014</v>
      </c>
      <c r="AW316" s="81">
        <f>IFERROR(VLOOKUP(tbl_Data[[#This Row],[Column1]],'1. Set Program Names'!$B$2:$D$15,3,0)*tbl_Data[[#This Row],[Sum of Annuals]],"")</f>
        <v>3.2123616788096778</v>
      </c>
      <c r="AX316" s="81">
        <f>tbl_Data[[#This Row],[per unit IRA tax ($)]]/tbl_Data[[#This Row],[kWh Savings]]*tbl_Data[[#This Row],[Sum of Annuals]]</f>
        <v>0</v>
      </c>
      <c r="AY316" s="81">
        <f>tbl_Data[[#This Row],[Avoided Costs ($/unit)]]/tbl_Data[[#This Row],[kWh Savings]]*tbl_Data[[#This Row],[Sum of Annuals]]</f>
        <v>35.510932964520357</v>
      </c>
      <c r="AZ316" s="81">
        <f>tbl_Data[[#This Row],[Lost Revenue ($/unit)]]/tbl_Data[[#This Row],[kWh Savings]]*tbl_Data[[#This Row],[Sum of Annuals]]</f>
        <v>98.006752471997345</v>
      </c>
      <c r="BA316" s="81">
        <f>tbl_Data[[#This Row],[Incremental Cost ($/unit)]]/tbl_Data[[#This Row],[kWh Savings]]*tbl_Data[[#This Row],[Sum of Annuals]]</f>
        <v>15.242765616341753</v>
      </c>
      <c r="BB316" s="77">
        <f>ROUNDUP(tbl_Data[[#This Row],[Adjusted 2025]]/$L316,0)</f>
        <v>1</v>
      </c>
      <c r="BC316" s="77">
        <f>ROUNDUP(tbl_Data[[#This Row],[Adjusted 2026]]/$L316,0)</f>
        <v>1</v>
      </c>
      <c r="BD316" s="77">
        <f>ROUNDUP(tbl_Data[[#This Row],[Adjusted 2027]]/$L316,0)</f>
        <v>1</v>
      </c>
      <c r="BE316" s="77">
        <f>ROUNDUP(tbl_Data[[#This Row],[Adjusted 2028]]/$L316,0)</f>
        <v>1</v>
      </c>
      <c r="BF316" s="77">
        <f>ROUNDUP(tbl_Data[[#This Row],[Adjusted 2029]]/$L316,0)</f>
        <v>1</v>
      </c>
      <c r="BG316" s="77">
        <f>ROUNDUP(tbl_Data[[#This Row],[Adjusted 2030]]/$L316,0)</f>
        <v>1</v>
      </c>
      <c r="BH316" s="77">
        <f>ROUNDUP(tbl_Data[[#This Row],[Adjusted 2031]]/$L316,0)</f>
        <v>1</v>
      </c>
      <c r="BI316" s="77">
        <f>ROUNDUP(tbl_Data[[#This Row],[Adjusted 2032]]/$L316,0)</f>
        <v>1</v>
      </c>
      <c r="BJ316" s="77">
        <f>ROUNDUP(tbl_Data[[#This Row],[Adjusted 2033]]/$L316,0)</f>
        <v>1</v>
      </c>
      <c r="BK316" s="77">
        <f>ROUNDUP(tbl_Data[[#This Row],[Adjusted 2034]]/$L316,0)</f>
        <v>1</v>
      </c>
      <c r="BL316" s="80">
        <f t="shared" si="133"/>
        <v>0.18431310496231759</v>
      </c>
      <c r="BM316" s="80">
        <f t="shared" si="134"/>
        <v>0.20061623658891931</v>
      </c>
      <c r="BN316" s="80">
        <f t="shared" si="135"/>
        <v>0.2135514990341825</v>
      </c>
      <c r="BO316" s="80">
        <f t="shared" si="136"/>
        <v>0.22438915850604957</v>
      </c>
      <c r="BP316" s="80">
        <f t="shared" si="137"/>
        <v>0.23313890493626382</v>
      </c>
      <c r="BQ316" s="80">
        <f t="shared" si="138"/>
        <v>0.23986496427483611</v>
      </c>
      <c r="BR316" s="80">
        <f t="shared" si="139"/>
        <v>0.24483174388158413</v>
      </c>
      <c r="BS316" s="80">
        <f t="shared" si="140"/>
        <v>0.24878074055141033</v>
      </c>
      <c r="BT316" s="80">
        <f t="shared" si="141"/>
        <v>0.25207834829087117</v>
      </c>
      <c r="BU316" s="80">
        <f t="shared" si="142"/>
        <v>0.25446032544958269</v>
      </c>
      <c r="BV316" s="80">
        <f>IFERROR(VLOOKUP($H316,'1. Set Program Names'!$B$2:$D$15,3,0)*V316,"NA")</f>
        <v>0.24318712952183083</v>
      </c>
      <c r="BW316" s="80">
        <f>IFERROR(VLOOKUP($H316,'1. Set Program Names'!$B$2:$D$15,3,0)*W316,"NA")</f>
        <v>0.26469787225116864</v>
      </c>
      <c r="BX316" s="80">
        <f>IFERROR(VLOOKUP($H316,'1. Set Program Names'!$B$2:$D$15,3,0)*X316,"NA")</f>
        <v>0.28176496763930298</v>
      </c>
      <c r="BY316" s="80">
        <f>IFERROR(VLOOKUP($H316,'1. Set Program Names'!$B$2:$D$15,3,0)*Y316,"NA")</f>
        <v>0.29606443537512828</v>
      </c>
      <c r="BZ316" s="80">
        <f>IFERROR(VLOOKUP($H316,'1. Set Program Names'!$B$2:$D$15,3,0)*Z316,"NA")</f>
        <v>0.30760906058689885</v>
      </c>
      <c r="CA316" s="80">
        <f>IFERROR(VLOOKUP($H316,'1. Set Program Names'!$B$2:$D$15,3,0)*AA316,"NA")</f>
        <v>0.31648358453285108</v>
      </c>
      <c r="CB316" s="80">
        <f>IFERROR(VLOOKUP($H316,'1. Set Program Names'!$B$2:$D$15,3,0)*AB316,"NA")</f>
        <v>0.32303687262259145</v>
      </c>
      <c r="CC316" s="80">
        <f>IFERROR(VLOOKUP($H316,'1. Set Program Names'!$B$2:$D$15,3,0)*AC316,"NA")</f>
        <v>0.32824727350440963</v>
      </c>
      <c r="CD316" s="80">
        <f>IFERROR(VLOOKUP($H316,'1. Set Program Names'!$B$2:$D$15,3,0)*AD316,"NA")</f>
        <v>0.33259821621470909</v>
      </c>
      <c r="CE316" s="80">
        <f>IFERROR(VLOOKUP($H316,'1. Set Program Names'!$B$2:$D$15,3,0)*AE316,"NA")</f>
        <v>0.33574105398488308</v>
      </c>
    </row>
    <row r="317" spans="1:83" x14ac:dyDescent="0.25">
      <c r="A317" s="79" t="s">
        <v>116</v>
      </c>
      <c r="B317" s="79" t="s">
        <v>88</v>
      </c>
      <c r="C317" s="79" t="s">
        <v>122</v>
      </c>
      <c r="D317" s="79" t="s">
        <v>90</v>
      </c>
      <c r="E317" s="79" t="s">
        <v>91</v>
      </c>
      <c r="F317" s="79" t="s">
        <v>90</v>
      </c>
      <c r="G317" s="79" t="s">
        <v>92</v>
      </c>
      <c r="H317" s="79" t="s">
        <v>14</v>
      </c>
      <c r="I317" s="79" t="s">
        <v>162</v>
      </c>
      <c r="J317" s="79" t="s">
        <v>161</v>
      </c>
      <c r="K317" s="79" t="s">
        <v>159</v>
      </c>
      <c r="L317" s="79">
        <v>632.51142857142861</v>
      </c>
      <c r="M317" s="79">
        <v>7.5636667797052567E-2</v>
      </c>
      <c r="N317" s="79">
        <v>7.2066360150851286E-2</v>
      </c>
      <c r="O317" s="79">
        <v>179</v>
      </c>
      <c r="P317" s="79">
        <v>51.895440493260928</v>
      </c>
      <c r="Q317" s="79"/>
      <c r="R317" s="79">
        <v>248.91572427603518</v>
      </c>
      <c r="S317" s="79">
        <v>686.98335706831222</v>
      </c>
      <c r="T317" s="79">
        <v>15</v>
      </c>
      <c r="U317" s="79">
        <v>0.2</v>
      </c>
      <c r="V317" s="79">
        <f>tbl_Data_old[[#This Row],[2025 ]]*IFERROR(AVERAGEIFS('Participation Adjustment'!$C:$C,'Participation Adjustment'!$A:$A,$H317,'Participation Adjustment'!$B:$B,$I317),1)</f>
        <v>17.576662448692801</v>
      </c>
      <c r="W317" s="79">
        <f>tbl_Data_old[[#This Row],[2026 ]]*IFERROR(AVERAGEIFS('Participation Adjustment'!$C:$C,'Participation Adjustment'!$A:$A,$H317,'Participation Adjustment'!$B:$B,$I317),1)</f>
        <v>19.13137903553535</v>
      </c>
      <c r="X317" s="79">
        <f>tbl_Data_old[[#This Row],[2027 ]]*IFERROR(AVERAGEIFS('Participation Adjustment'!$C:$C,'Participation Adjustment'!$A:$A,$H317,'Participation Adjustment'!$B:$B,$I317),1)</f>
        <v>20.36492529765345</v>
      </c>
      <c r="Y317" s="79">
        <f>tbl_Data_old[[#This Row],[2028 ]]*IFERROR(AVERAGEIFS('Participation Adjustment'!$C:$C,'Participation Adjustment'!$A:$A,$H317,'Participation Adjustment'!$B:$B,$I317),1)</f>
        <v>21.398437712898453</v>
      </c>
      <c r="Z317" s="79">
        <f>tbl_Data_old[[#This Row],[2029 ]]*IFERROR(AVERAGEIFS('Participation Adjustment'!$C:$C,'Participation Adjustment'!$A:$A,$H317,'Participation Adjustment'!$B:$B,$I317),1)</f>
        <v>22.232840342852249</v>
      </c>
      <c r="AA317" s="79">
        <f>tbl_Data_old[[#This Row],[2030 ]]*IFERROR(AVERAGEIFS('Participation Adjustment'!$C:$C,'Participation Adjustment'!$A:$A,$H317,'Participation Adjustment'!$B:$B,$I317),1)</f>
        <v>22.874257970905049</v>
      </c>
      <c r="AB317" s="79">
        <f>tbl_Data_old[[#This Row],[2031 ]]*IFERROR(AVERAGEIFS('Participation Adjustment'!$C:$C,'Participation Adjustment'!$A:$A,$H317,'Participation Adjustment'!$B:$B,$I317),1)</f>
        <v>23.347905293067601</v>
      </c>
      <c r="AC317" s="79">
        <f>tbl_Data_old[[#This Row],[2032 ]]*IFERROR(AVERAGEIFS('Participation Adjustment'!$C:$C,'Participation Adjustment'!$A:$A,$H317,'Participation Adjustment'!$B:$B,$I317),1)</f>
        <v>23.724493715744998</v>
      </c>
      <c r="AD317" s="79">
        <f>tbl_Data_old[[#This Row],[2033 ]]*IFERROR(AVERAGEIFS('Participation Adjustment'!$C:$C,'Participation Adjustment'!$A:$A,$H317,'Participation Adjustment'!$B:$B,$I317),1)</f>
        <v>24.0389636940819</v>
      </c>
      <c r="AE317" s="79">
        <f>tbl_Data_old[[#This Row],[2034 ]]*IFERROR(AVERAGEIFS('Participation Adjustment'!$C:$C,'Participation Adjustment'!$A:$A,$H317,'Participation Adjustment'!$B:$B,$I317),1)</f>
        <v>24.266116334626499</v>
      </c>
      <c r="AF317" s="77" t="str">
        <f t="shared" si="132"/>
        <v>NonResidential</v>
      </c>
      <c r="AG317" s="77" t="str">
        <f>tbl_Data[[#This Row],[All_Meas_Name_Append]]</f>
        <v>LED High Bay_LF Baseline</v>
      </c>
      <c r="AH317" s="77">
        <f>AVERAGEIFS('3. Incentive Adjustment'!G:G,'3. Incentive Adjustment'!A:A,tbl_Data[[#This Row],[Trimmed Sector]],'3. Incentive Adjustment'!B:B,tbl_Data[[#This Row],[Trimmed Measure Name]])</f>
        <v>0.93017466414143679</v>
      </c>
      <c r="AI317" s="77">
        <f>$AH317*tbl_Data[[#This Row],[2025 ]]</f>
        <v>16.349366089940229</v>
      </c>
      <c r="AJ317" s="77">
        <f>$AH317*tbl_Data[[#This Row],[2026 ]]</f>
        <v>17.795524068941617</v>
      </c>
      <c r="AK317" s="77">
        <f>$AH317*tbl_Data[[#This Row],[2027 ]]</f>
        <v>18.942937549010246</v>
      </c>
      <c r="AL317" s="77">
        <f>$AH317*tbl_Data[[#This Row],[2028 ]]</f>
        <v>19.904284612746775</v>
      </c>
      <c r="AM317" s="77">
        <f>$AH317*tbl_Data[[#This Row],[2029 ]]</f>
        <v>20.680424798822777</v>
      </c>
      <c r="AN317" s="77">
        <f>$AH317*tbl_Data[[#This Row],[2030 ]]</f>
        <v>21.277055225571186</v>
      </c>
      <c r="AO317" s="77">
        <f>$AH317*tbl_Data[[#This Row],[2031 ]]</f>
        <v>21.717629964385232</v>
      </c>
      <c r="AP317" s="77">
        <f>$AH317*tbl_Data[[#This Row],[2032 ]]</f>
        <v>22.067922973968731</v>
      </c>
      <c r="AQ317" s="77">
        <f>$AH317*tbl_Data[[#This Row],[2033 ]]</f>
        <v>22.360434980450826</v>
      </c>
      <c r="AR317" s="77">
        <f>$AH317*tbl_Data[[#This Row],[2034 ]]</f>
        <v>22.571726611578239</v>
      </c>
      <c r="AS317" s="77">
        <f>SUM(tbl_Data[[#This Row],[Adjusted 2025]:[Adjusted 2034]])</f>
        <v>203.66730687541587</v>
      </c>
      <c r="AT317" s="80">
        <f>AVERAGEIFS('3. Incentive Adjustment'!F:F,'3. Incentive Adjustment'!A:A,tbl_Data[[#This Row],[Trimmed Sector]],'3. Incentive Adjustment'!B:B,tbl_Data[[#This Row],[Trimmed Measure Name]])</f>
        <v>23.858858929800434</v>
      </c>
      <c r="AU317" s="80">
        <f>IFERROR(VLOOKUP(tbl_Data[[#This Row],[All_Meas_Name_Append]],'IRA Tax Credits'!$A$3:$D$46,4,0),0)</f>
        <v>0</v>
      </c>
      <c r="AV317" s="81">
        <f>tbl_Data[[#This Row],[Adj. per unit Incentive ($)]]/tbl_Data[[#This Row],[kWh Savings]]*tbl_Data[[#This Row],[Sum of Annuals]]</f>
        <v>7.6825007799905238</v>
      </c>
      <c r="AW317" s="81">
        <f>IFERROR(VLOOKUP(tbl_Data[[#This Row],[Column1]],'1. Set Program Names'!$B$2:$D$15,3,0)*tbl_Data[[#This Row],[Sum of Annuals]],"")</f>
        <v>7.2504939968275428</v>
      </c>
      <c r="AX317" s="81">
        <f>tbl_Data[[#This Row],[per unit IRA tax ($)]]/tbl_Data[[#This Row],[kWh Savings]]*tbl_Data[[#This Row],[Sum of Annuals]]</f>
        <v>0</v>
      </c>
      <c r="AY317" s="81">
        <f>tbl_Data[[#This Row],[Avoided Costs ($/unit)]]/tbl_Data[[#This Row],[kWh Savings]]*tbl_Data[[#This Row],[Sum of Annuals]]</f>
        <v>80.150322843563657</v>
      </c>
      <c r="AZ317" s="81">
        <f>tbl_Data[[#This Row],[Lost Revenue ($/unit)]]/tbl_Data[[#This Row],[kWh Savings]]*tbl_Data[[#This Row],[Sum of Annuals]]</f>
        <v>221.20714959782708</v>
      </c>
      <c r="BA317" s="81">
        <f>tbl_Data[[#This Row],[Incremental Cost ($/unit)]]/tbl_Data[[#This Row],[kWh Savings]]*tbl_Data[[#This Row],[Sum of Annuals]]</f>
        <v>57.637611407336763</v>
      </c>
      <c r="BB317" s="77">
        <f>ROUNDUP(tbl_Data[[#This Row],[Adjusted 2025]]/$L317,0)</f>
        <v>1</v>
      </c>
      <c r="BC317" s="77">
        <f>ROUNDUP(tbl_Data[[#This Row],[Adjusted 2026]]/$L317,0)</f>
        <v>1</v>
      </c>
      <c r="BD317" s="77">
        <f>ROUNDUP(tbl_Data[[#This Row],[Adjusted 2027]]/$L317,0)</f>
        <v>1</v>
      </c>
      <c r="BE317" s="77">
        <f>ROUNDUP(tbl_Data[[#This Row],[Adjusted 2028]]/$L317,0)</f>
        <v>1</v>
      </c>
      <c r="BF317" s="77">
        <f>ROUNDUP(tbl_Data[[#This Row],[Adjusted 2029]]/$L317,0)</f>
        <v>1</v>
      </c>
      <c r="BG317" s="77">
        <f>ROUNDUP(tbl_Data[[#This Row],[Adjusted 2030]]/$L317,0)</f>
        <v>1</v>
      </c>
      <c r="BH317" s="77">
        <f>ROUNDUP(tbl_Data[[#This Row],[Adjusted 2031]]/$L317,0)</f>
        <v>1</v>
      </c>
      <c r="BI317" s="77">
        <f>ROUNDUP(tbl_Data[[#This Row],[Adjusted 2032]]/$L317,0)</f>
        <v>1</v>
      </c>
      <c r="BJ317" s="77">
        <f>ROUNDUP(tbl_Data[[#This Row],[Adjusted 2033]]/$L317,0)</f>
        <v>1</v>
      </c>
      <c r="BK317" s="77">
        <f>ROUNDUP(tbl_Data[[#This Row],[Adjusted 2034]]/$L317,0)</f>
        <v>1</v>
      </c>
      <c r="BL317" s="80">
        <f t="shared" si="133"/>
        <v>0.66300637565906773</v>
      </c>
      <c r="BM317" s="80">
        <f t="shared" si="134"/>
        <v>0.72165158275844943</v>
      </c>
      <c r="BN317" s="80">
        <f t="shared" si="135"/>
        <v>0.76818197718583603</v>
      </c>
      <c r="BO317" s="80">
        <f t="shared" si="136"/>
        <v>0.80716692797671841</v>
      </c>
      <c r="BP317" s="80">
        <f t="shared" si="137"/>
        <v>0.83864129150511424</v>
      </c>
      <c r="BQ317" s="80">
        <f t="shared" si="138"/>
        <v>0.86283609971176267</v>
      </c>
      <c r="BR317" s="80">
        <f t="shared" si="139"/>
        <v>0.88070247197238327</v>
      </c>
      <c r="BS317" s="80">
        <f t="shared" si="140"/>
        <v>0.89490770154673149</v>
      </c>
      <c r="BT317" s="80">
        <f t="shared" si="141"/>
        <v>0.90676977156140826</v>
      </c>
      <c r="BU317" s="80">
        <f t="shared" si="142"/>
        <v>0.91533815872640512</v>
      </c>
      <c r="BV317" s="80">
        <f>IFERROR(VLOOKUP($H317,'1. Set Program Names'!$B$2:$D$15,3,0)*V317,"NA")</f>
        <v>0.62572382147944106</v>
      </c>
      <c r="BW317" s="80">
        <f>IFERROR(VLOOKUP($H317,'1. Set Program Names'!$B$2:$D$15,3,0)*W317,"NA")</f>
        <v>0.68107125771065469</v>
      </c>
      <c r="BX317" s="80">
        <f>IFERROR(VLOOKUP($H317,'1. Set Program Names'!$B$2:$D$15,3,0)*X317,"NA")</f>
        <v>0.72498512835346385</v>
      </c>
      <c r="BY317" s="80">
        <f>IFERROR(VLOOKUP($H317,'1. Set Program Names'!$B$2:$D$15,3,0)*Y317,"NA")</f>
        <v>0.76177785506715501</v>
      </c>
      <c r="BZ317" s="80">
        <f>IFERROR(VLOOKUP($H317,'1. Set Program Names'!$B$2:$D$15,3,0)*Z317,"NA")</f>
        <v>0.79148233416216174</v>
      </c>
      <c r="CA317" s="80">
        <f>IFERROR(VLOOKUP($H317,'1. Set Program Names'!$B$2:$D$15,3,0)*AA317,"NA")</f>
        <v>0.81431660605883371</v>
      </c>
      <c r="CB317" s="80">
        <f>IFERROR(VLOOKUP($H317,'1. Set Program Names'!$B$2:$D$15,3,0)*AB317,"NA")</f>
        <v>0.83117830624350664</v>
      </c>
      <c r="CC317" s="80">
        <f>IFERROR(VLOOKUP($H317,'1. Set Program Names'!$B$2:$D$15,3,0)*AC317,"NA")</f>
        <v>0.84458473921395605</v>
      </c>
      <c r="CD317" s="80">
        <f>IFERROR(VLOOKUP($H317,'1. Set Program Names'!$B$2:$D$15,3,0)*AD317,"NA")</f>
        <v>0.85577977451487908</v>
      </c>
      <c r="CE317" s="80">
        <f>IFERROR(VLOOKUP($H317,'1. Set Program Names'!$B$2:$D$15,3,0)*AE317,"NA")</f>
        <v>0.86386633922621781</v>
      </c>
    </row>
    <row r="318" spans="1:83" x14ac:dyDescent="0.25">
      <c r="A318" s="79" t="s">
        <v>116</v>
      </c>
      <c r="B318" s="79" t="s">
        <v>88</v>
      </c>
      <c r="C318" s="79" t="s">
        <v>122</v>
      </c>
      <c r="D318" s="79" t="s">
        <v>90</v>
      </c>
      <c r="E318" s="79" t="s">
        <v>91</v>
      </c>
      <c r="F318" s="79" t="s">
        <v>90</v>
      </c>
      <c r="G318" s="79" t="s">
        <v>92</v>
      </c>
      <c r="H318" s="79" t="s">
        <v>14</v>
      </c>
      <c r="I318" s="79" t="s">
        <v>163</v>
      </c>
      <c r="J318" s="79" t="s">
        <v>161</v>
      </c>
      <c r="K318" s="79" t="s">
        <v>159</v>
      </c>
      <c r="L318" s="79">
        <v>217.06142857142831</v>
      </c>
      <c r="M318" s="79">
        <v>3.4743730880075478E-2</v>
      </c>
      <c r="N318" s="79">
        <v>3.4497784431073229E-2</v>
      </c>
      <c r="O318" s="79">
        <v>109.07999999999996</v>
      </c>
      <c r="P318" s="79">
        <v>64.428955263702662</v>
      </c>
      <c r="Q318" s="79"/>
      <c r="R318" s="79">
        <v>85.561030664747506</v>
      </c>
      <c r="S318" s="79">
        <v>235.75477399173039</v>
      </c>
      <c r="T318" s="79">
        <v>15</v>
      </c>
      <c r="U318" s="79">
        <v>0.2</v>
      </c>
      <c r="V318" s="79">
        <f>tbl_Data_old[[#This Row],[2025 ]]*IFERROR(AVERAGEIFS('Participation Adjustment'!$C:$C,'Participation Adjustment'!$A:$A,$H318,'Participation Adjustment'!$B:$B,$I318),1)</f>
        <v>59.638577214734703</v>
      </c>
      <c r="W318" s="79">
        <f>tbl_Data_old[[#This Row],[2026 ]]*IFERROR(AVERAGEIFS('Participation Adjustment'!$C:$C,'Participation Adjustment'!$A:$A,$H318,'Participation Adjustment'!$B:$B,$I318),1)</f>
        <v>62.697798794354107</v>
      </c>
      <c r="X318" s="79">
        <f>tbl_Data_old[[#This Row],[2027 ]]*IFERROR(AVERAGEIFS('Participation Adjustment'!$C:$C,'Participation Adjustment'!$A:$A,$H318,'Participation Adjustment'!$B:$B,$I318),1)</f>
        <v>64.3453315982037</v>
      </c>
      <c r="Y318" s="79">
        <f>tbl_Data_old[[#This Row],[2028 ]]*IFERROR(AVERAGEIFS('Participation Adjustment'!$C:$C,'Participation Adjustment'!$A:$A,$H318,'Participation Adjustment'!$B:$B,$I318),1)</f>
        <v>65.354439843004201</v>
      </c>
      <c r="Z318" s="79">
        <f>tbl_Data_old[[#This Row],[2029 ]]*IFERROR(AVERAGEIFS('Participation Adjustment'!$C:$C,'Participation Adjustment'!$A:$A,$H318,'Participation Adjustment'!$B:$B,$I318),1)</f>
        <v>65.921843512624505</v>
      </c>
      <c r="AA318" s="79">
        <f>tbl_Data_old[[#This Row],[2030 ]]*IFERROR(AVERAGEIFS('Participation Adjustment'!$C:$C,'Participation Adjustment'!$A:$A,$H318,'Participation Adjustment'!$B:$B,$I318),1)</f>
        <v>65.99470065392039</v>
      </c>
      <c r="AB318" s="79">
        <f>tbl_Data_old[[#This Row],[2031 ]]*IFERROR(AVERAGEIFS('Participation Adjustment'!$C:$C,'Participation Adjustment'!$A:$A,$H318,'Participation Adjustment'!$B:$B,$I318),1)</f>
        <v>65.801368686050694</v>
      </c>
      <c r="AC318" s="79">
        <f>tbl_Data_old[[#This Row],[2032 ]]*IFERROR(AVERAGEIFS('Participation Adjustment'!$C:$C,'Participation Adjustment'!$A:$A,$H318,'Participation Adjustment'!$B:$B,$I318),1)</f>
        <v>65.529763563134395</v>
      </c>
      <c r="AD318" s="79">
        <f>tbl_Data_old[[#This Row],[2033 ]]*IFERROR(AVERAGEIFS('Participation Adjustment'!$C:$C,'Participation Adjustment'!$A:$A,$H318,'Participation Adjustment'!$B:$B,$I318),1)</f>
        <v>65.129464433412593</v>
      </c>
      <c r="AE318" s="79">
        <f>tbl_Data_old[[#This Row],[2034 ]]*IFERROR(AVERAGEIFS('Participation Adjustment'!$C:$C,'Participation Adjustment'!$A:$A,$H318,'Participation Adjustment'!$B:$B,$I318),1)</f>
        <v>64.681460976145203</v>
      </c>
      <c r="AF318" s="77" t="str">
        <f t="shared" si="132"/>
        <v>NonResidential</v>
      </c>
      <c r="AG318" s="77" t="str">
        <f>tbl_Data[[#This Row],[All_Meas_Name_Append]]</f>
        <v>LED Linear - Fixture Replacement</v>
      </c>
      <c r="AH318" s="77">
        <f>AVERAGEIFS('3. Incentive Adjustment'!G:G,'3. Incentive Adjustment'!A:A,tbl_Data[[#This Row],[Trimmed Sector]],'3. Incentive Adjustment'!B:B,tbl_Data[[#This Row],[Trimmed Measure Name]])</f>
        <v>0.56055357916158088</v>
      </c>
      <c r="AI318" s="77">
        <f>$AH318*tbl_Data[[#This Row],[2025 ]]</f>
        <v>33.430617913823845</v>
      </c>
      <c r="AJ318" s="77">
        <f>$AH318*tbl_Data[[#This Row],[2026 ]]</f>
        <v>35.145475519727846</v>
      </c>
      <c r="AK318" s="77">
        <f>$AH318*tbl_Data[[#This Row],[2027 ]]</f>
        <v>36.069005929711849</v>
      </c>
      <c r="AL318" s="77">
        <f>$AH318*tbl_Data[[#This Row],[2028 ]]</f>
        <v>36.634665168096234</v>
      </c>
      <c r="AM318" s="77">
        <f>$AH318*tbl_Data[[#This Row],[2029 ]]</f>
        <v>36.952725325931311</v>
      </c>
      <c r="AN318" s="77">
        <f>$AH318*tbl_Data[[#This Row],[2030 ]]</f>
        <v>36.993565657252198</v>
      </c>
      <c r="AO318" s="77">
        <f>$AH318*tbl_Data[[#This Row],[2031 ]]</f>
        <v>36.885192730696488</v>
      </c>
      <c r="AP318" s="77">
        <f>$AH318*tbl_Data[[#This Row],[2032 ]]</f>
        <v>36.732943506927136</v>
      </c>
      <c r="AQ318" s="77">
        <f>$AH318*tbl_Data[[#This Row],[2033 ]]</f>
        <v>36.508554397026316</v>
      </c>
      <c r="AR318" s="77">
        <f>$AH318*tbl_Data[[#This Row],[2034 ]]</f>
        <v>36.257424455578317</v>
      </c>
      <c r="AS318" s="77">
        <f>SUM(tbl_Data[[#This Row],[Adjusted 2025]:[Adjusted 2034]])</f>
        <v>361.61017060477155</v>
      </c>
      <c r="AT318" s="80">
        <f>AVERAGEIFS('3. Incentive Adjustment'!F:F,'3. Incentive Adjustment'!A:A,tbl_Data[[#This Row],[Trimmed Sector]],'3. Incentive Adjustment'!B:B,tbl_Data[[#This Row],[Trimmed Measure Name]])</f>
        <v>16.810726621008875</v>
      </c>
      <c r="AU318" s="80">
        <f>IFERROR(VLOOKUP(tbl_Data[[#This Row],[All_Meas_Name_Append]],'IRA Tax Credits'!$A$3:$D$46,4,0),0)</f>
        <v>0</v>
      </c>
      <c r="AV318" s="81">
        <f>tbl_Data[[#This Row],[Adj. per unit Incentive ($)]]/tbl_Data[[#This Row],[kWh Savings]]*tbl_Data[[#This Row],[Sum of Annuals]]</f>
        <v>28.005573175396304</v>
      </c>
      <c r="AW318" s="81">
        <f>IFERROR(VLOOKUP(tbl_Data[[#This Row],[Column1]],'1. Set Program Names'!$B$2:$D$15,3,0)*tbl_Data[[#This Row],[Sum of Annuals]],"")</f>
        <v>12.8732117657228</v>
      </c>
      <c r="AX318" s="81">
        <f>tbl_Data[[#This Row],[per unit IRA tax ($)]]/tbl_Data[[#This Row],[kWh Savings]]*tbl_Data[[#This Row],[Sum of Annuals]]</f>
        <v>0</v>
      </c>
      <c r="AY318" s="81">
        <f>tbl_Data[[#This Row],[Avoided Costs ($/unit)]]/tbl_Data[[#This Row],[kWh Savings]]*tbl_Data[[#This Row],[Sum of Annuals]]</f>
        <v>142.53909181113727</v>
      </c>
      <c r="AZ318" s="81">
        <f>tbl_Data[[#This Row],[Lost Revenue ($/unit)]]/tbl_Data[[#This Row],[kWh Savings]]*tbl_Data[[#This Row],[Sum of Annuals]]</f>
        <v>392.75206380568613</v>
      </c>
      <c r="BA318" s="81">
        <f>tbl_Data[[#This Row],[Incremental Cost ($/unit)]]/tbl_Data[[#This Row],[kWh Savings]]*tbl_Data[[#This Row],[Sum of Annuals]]</f>
        <v>181.72015944596299</v>
      </c>
      <c r="BB318" s="77">
        <f>ROUNDUP(tbl_Data[[#This Row],[Adjusted 2025]]/$L318,0)</f>
        <v>1</v>
      </c>
      <c r="BC318" s="77">
        <f>ROUNDUP(tbl_Data[[#This Row],[Adjusted 2026]]/$L318,0)</f>
        <v>1</v>
      </c>
      <c r="BD318" s="77">
        <f>ROUNDUP(tbl_Data[[#This Row],[Adjusted 2027]]/$L318,0)</f>
        <v>1</v>
      </c>
      <c r="BE318" s="77">
        <f>ROUNDUP(tbl_Data[[#This Row],[Adjusted 2028]]/$L318,0)</f>
        <v>1</v>
      </c>
      <c r="BF318" s="77">
        <f>ROUNDUP(tbl_Data[[#This Row],[Adjusted 2029]]/$L318,0)</f>
        <v>1</v>
      </c>
      <c r="BG318" s="77">
        <f>ROUNDUP(tbl_Data[[#This Row],[Adjusted 2030]]/$L318,0)</f>
        <v>1</v>
      </c>
      <c r="BH318" s="77">
        <f>ROUNDUP(tbl_Data[[#This Row],[Adjusted 2031]]/$L318,0)</f>
        <v>1</v>
      </c>
      <c r="BI318" s="77">
        <f>ROUNDUP(tbl_Data[[#This Row],[Adjusted 2032]]/$L318,0)</f>
        <v>1</v>
      </c>
      <c r="BJ318" s="77">
        <f>ROUNDUP(tbl_Data[[#This Row],[Adjusted 2033]]/$L318,0)</f>
        <v>1</v>
      </c>
      <c r="BK318" s="77">
        <f>ROUNDUP(tbl_Data[[#This Row],[Adjusted 2034]]/$L318,0)</f>
        <v>1</v>
      </c>
      <c r="BL318" s="80">
        <f t="shared" si="133"/>
        <v>4.6188206915487031</v>
      </c>
      <c r="BM318" s="80">
        <f t="shared" si="134"/>
        <v>4.8557478047006812</v>
      </c>
      <c r="BN318" s="80">
        <f t="shared" si="135"/>
        <v>4.9833440512882952</v>
      </c>
      <c r="BO318" s="80">
        <f t="shared" si="136"/>
        <v>5.0614963188099518</v>
      </c>
      <c r="BP318" s="80">
        <f t="shared" si="137"/>
        <v>5.1054399528149466</v>
      </c>
      <c r="BQ318" s="80">
        <f t="shared" si="138"/>
        <v>5.1110825098218466</v>
      </c>
      <c r="BR318" s="80">
        <f t="shared" si="139"/>
        <v>5.0961095554819202</v>
      </c>
      <c r="BS318" s="80">
        <f t="shared" si="140"/>
        <v>5.0750745908626351</v>
      </c>
      <c r="BT318" s="80">
        <f t="shared" si="141"/>
        <v>5.0440726791887398</v>
      </c>
      <c r="BU318" s="80">
        <f t="shared" si="142"/>
        <v>5.009376217016924</v>
      </c>
      <c r="BV318" s="80">
        <f>IFERROR(VLOOKUP($H318,'1. Set Program Names'!$B$2:$D$15,3,0)*V318,"NA")</f>
        <v>2.1231151563234265</v>
      </c>
      <c r="BW318" s="80">
        <f>IFERROR(VLOOKUP($H318,'1. Set Program Names'!$B$2:$D$15,3,0)*W318,"NA")</f>
        <v>2.2320225113539709</v>
      </c>
      <c r="BX318" s="80">
        <f>IFERROR(VLOOKUP($H318,'1. Set Program Names'!$B$2:$D$15,3,0)*X318,"NA")</f>
        <v>2.2906741765974012</v>
      </c>
      <c r="BY318" s="80">
        <f>IFERROR(VLOOKUP($H318,'1. Set Program Names'!$B$2:$D$15,3,0)*Y318,"NA")</f>
        <v>2.3265981222876677</v>
      </c>
      <c r="BZ318" s="80">
        <f>IFERROR(VLOOKUP($H318,'1. Set Program Names'!$B$2:$D$15,3,0)*Z318,"NA")</f>
        <v>2.3467975198418194</v>
      </c>
      <c r="CA318" s="80">
        <f>IFERROR(VLOOKUP($H318,'1. Set Program Names'!$B$2:$D$15,3,0)*AA318,"NA")</f>
        <v>2.3493912118471587</v>
      </c>
      <c r="CB318" s="80">
        <f>IFERROR(VLOOKUP($H318,'1. Set Program Names'!$B$2:$D$15,3,0)*AB318,"NA")</f>
        <v>2.3425086527661789</v>
      </c>
      <c r="CC318" s="80">
        <f>IFERROR(VLOOKUP($H318,'1. Set Program Names'!$B$2:$D$15,3,0)*AC318,"NA")</f>
        <v>2.3328395932424684</v>
      </c>
      <c r="CD318" s="80">
        <f>IFERROR(VLOOKUP($H318,'1. Set Program Names'!$B$2:$D$15,3,0)*AD318,"NA")</f>
        <v>2.3185890663340993</v>
      </c>
      <c r="CE318" s="80">
        <f>IFERROR(VLOOKUP($H318,'1. Set Program Names'!$B$2:$D$15,3,0)*AE318,"NA")</f>
        <v>2.3026402799171306</v>
      </c>
    </row>
    <row r="319" spans="1:83" x14ac:dyDescent="0.25">
      <c r="A319" s="79" t="s">
        <v>116</v>
      </c>
      <c r="B319" s="79" t="s">
        <v>88</v>
      </c>
      <c r="C319" s="79" t="s">
        <v>122</v>
      </c>
      <c r="D319" s="79" t="s">
        <v>90</v>
      </c>
      <c r="E319" s="79" t="s">
        <v>91</v>
      </c>
      <c r="F319" s="79" t="s">
        <v>90</v>
      </c>
      <c r="G319" s="79" t="s">
        <v>92</v>
      </c>
      <c r="H319" s="79" t="s">
        <v>14</v>
      </c>
      <c r="I319" s="79" t="s">
        <v>164</v>
      </c>
      <c r="J319" s="79" t="s">
        <v>158</v>
      </c>
      <c r="K319" s="79" t="s">
        <v>159</v>
      </c>
      <c r="L319" s="79">
        <v>612.05999999999972</v>
      </c>
      <c r="M319" s="79">
        <v>0</v>
      </c>
      <c r="N319" s="79">
        <v>3.0244631686656035E-2</v>
      </c>
      <c r="O319" s="79">
        <v>255</v>
      </c>
      <c r="P319" s="79">
        <v>129.09500333079711</v>
      </c>
      <c r="Q319" s="79"/>
      <c r="R319" s="79">
        <v>299.62522934905462</v>
      </c>
      <c r="S319" s="79">
        <v>664.77065003695441</v>
      </c>
      <c r="T319" s="79">
        <v>15</v>
      </c>
      <c r="U319" s="79">
        <v>0.2</v>
      </c>
      <c r="V319" s="79">
        <f>tbl_Data_old[[#This Row],[2025 ]]*IFERROR(AVERAGEIFS('Participation Adjustment'!$C:$C,'Participation Adjustment'!$A:$A,$H319,'Participation Adjustment'!$B:$B,$I319),1)</f>
        <v>5.3084506023595797</v>
      </c>
      <c r="W319" s="79">
        <f>tbl_Data_old[[#This Row],[2026 ]]*IFERROR(AVERAGEIFS('Participation Adjustment'!$C:$C,'Participation Adjustment'!$A:$A,$H319,'Participation Adjustment'!$B:$B,$I319),1)</f>
        <v>5.7676165866555396</v>
      </c>
      <c r="X319" s="79">
        <f>tbl_Data_old[[#This Row],[2027 ]]*IFERROR(AVERAGEIFS('Participation Adjustment'!$C:$C,'Participation Adjustment'!$A:$A,$H319,'Participation Adjustment'!$B:$B,$I319),1)</f>
        <v>6.1365269458418599</v>
      </c>
      <c r="Y319" s="79">
        <f>tbl_Data_old[[#This Row],[2028 ]]*IFERROR(AVERAGEIFS('Participation Adjustment'!$C:$C,'Participation Adjustment'!$A:$A,$H319,'Participation Adjustment'!$B:$B,$I319),1)</f>
        <v>6.4461047715476401</v>
      </c>
      <c r="Z319" s="79">
        <f>tbl_Data_old[[#This Row],[2029 ]]*IFERROR(AVERAGEIFS('Participation Adjustment'!$C:$C,'Participation Adjustment'!$A:$A,$H319,'Participation Adjustment'!$B:$B,$I319),1)</f>
        <v>6.6937033642292203</v>
      </c>
      <c r="AA319" s="79">
        <f>tbl_Data_old[[#This Row],[2030 ]]*IFERROR(AVERAGEIFS('Participation Adjustment'!$C:$C,'Participation Adjustment'!$A:$A,$H319,'Participation Adjustment'!$B:$B,$I319),1)</f>
        <v>6.8843037856493599</v>
      </c>
      <c r="AB319" s="79">
        <f>tbl_Data_old[[#This Row],[2031 ]]*IFERROR(AVERAGEIFS('Participation Adjustment'!$C:$C,'Participation Adjustment'!$A:$A,$H319,'Participation Adjustment'!$B:$B,$I319),1)</f>
        <v>7.0224171072295603</v>
      </c>
      <c r="AC319" s="79">
        <f>tbl_Data_old[[#This Row],[2032 ]]*IFERROR(AVERAGEIFS('Participation Adjustment'!$C:$C,'Participation Adjustment'!$A:$A,$H319,'Participation Adjustment'!$B:$B,$I319),1)</f>
        <v>7.1299930746091</v>
      </c>
      <c r="AD319" s="79">
        <f>tbl_Data_old[[#This Row],[2033 ]]*IFERROR(AVERAGEIFS('Participation Adjustment'!$C:$C,'Participation Adjustment'!$A:$A,$H319,'Participation Adjustment'!$B:$B,$I319),1)</f>
        <v>7.2216365159484397</v>
      </c>
      <c r="AE319" s="79">
        <f>tbl_Data_old[[#This Row],[2034 ]]*IFERROR(AVERAGEIFS('Participation Adjustment'!$C:$C,'Participation Adjustment'!$A:$A,$H319,'Participation Adjustment'!$B:$B,$I319),1)</f>
        <v>7.2855651501052003</v>
      </c>
      <c r="AF319" s="77" t="str">
        <f t="shared" si="132"/>
        <v>NonResidential</v>
      </c>
      <c r="AG319" s="77" t="str">
        <f>tbl_Data[[#This Row],[All_Meas_Name_Append]]</f>
        <v>LED Parking Lighting</v>
      </c>
      <c r="AH319" s="77">
        <f>AVERAGEIFS('3. Incentive Adjustment'!G:G,'3. Incentive Adjustment'!A:A,tbl_Data[[#This Row],[Trimmed Sector]],'3. Incentive Adjustment'!B:B,tbl_Data[[#This Row],[Trimmed Measure Name]])</f>
        <v>0.59704067730377497</v>
      </c>
      <c r="AI319" s="77">
        <f>$AH319*tbl_Data[[#This Row],[2025 ]]</f>
        <v>3.1693609430663958</v>
      </c>
      <c r="AJ319" s="77">
        <f>$AH319*tbl_Data[[#This Row],[2026 ]]</f>
        <v>3.4435017133253099</v>
      </c>
      <c r="AK319" s="77">
        <f>$AH319*tbl_Data[[#This Row],[2027 ]]</f>
        <v>3.6637562040382896</v>
      </c>
      <c r="AL319" s="77">
        <f>$AH319*tbl_Data[[#This Row],[2028 ]]</f>
        <v>3.8485867587758986</v>
      </c>
      <c r="AM319" s="77">
        <f>$AH319*tbl_Data[[#This Row],[2029 ]]</f>
        <v>3.9964131902499709</v>
      </c>
      <c r="AN319" s="77">
        <f>$AH319*tbl_Data[[#This Row],[2030 ]]</f>
        <v>4.1102093949490355</v>
      </c>
      <c r="AO319" s="77">
        <f>$AH319*tbl_Data[[#This Row],[2031 ]]</f>
        <v>4.1926686660099524</v>
      </c>
      <c r="AP319" s="77">
        <f>$AH319*tbl_Data[[#This Row],[2032 ]]</f>
        <v>4.2568958944358419</v>
      </c>
      <c r="AQ319" s="77">
        <f>$AH319*tbl_Data[[#This Row],[2033 ]]</f>
        <v>4.31161075672353</v>
      </c>
      <c r="AR319" s="77">
        <f>$AH319*tbl_Data[[#This Row],[2034 ]]</f>
        <v>4.3497787517595876</v>
      </c>
      <c r="AS319" s="77">
        <f>SUM(tbl_Data[[#This Row],[Adjusted 2025]:[Adjusted 2034]])</f>
        <v>39.34278227333381</v>
      </c>
      <c r="AT319" s="80">
        <f>AVERAGEIFS('3. Incentive Adjustment'!F:F,'3. Incentive Adjustment'!A:A,tbl_Data[[#This Row],[Trimmed Sector]],'3. Incentive Adjustment'!B:B,tbl_Data[[#This Row],[Trimmed Measure Name]])</f>
        <v>9.4514474020799994</v>
      </c>
      <c r="AU319" s="80">
        <f>IFERROR(VLOOKUP(tbl_Data[[#This Row],[All_Meas_Name_Append]],'IRA Tax Credits'!$A$3:$D$46,4,0),0)</f>
        <v>0</v>
      </c>
      <c r="AV319" s="81">
        <f>tbl_Data[[#This Row],[Adj. per unit Incentive ($)]]/tbl_Data[[#This Row],[kWh Savings]]*tbl_Data[[#This Row],[Sum of Annuals]]</f>
        <v>0.60753232903293808</v>
      </c>
      <c r="AW319" s="81">
        <f>IFERROR(VLOOKUP(tbl_Data[[#This Row],[Column1]],'1. Set Program Names'!$B$2:$D$15,3,0)*tbl_Data[[#This Row],[Sum of Annuals]],"")</f>
        <v>1.4005910475646013</v>
      </c>
      <c r="AX319" s="81">
        <f>tbl_Data[[#This Row],[per unit IRA tax ($)]]/tbl_Data[[#This Row],[kWh Savings]]*tbl_Data[[#This Row],[Sum of Annuals]]</f>
        <v>0</v>
      </c>
      <c r="AY319" s="81">
        <f>tbl_Data[[#This Row],[Avoided Costs ($/unit)]]/tbl_Data[[#This Row],[kWh Savings]]*tbl_Data[[#This Row],[Sum of Annuals]]</f>
        <v>19.259697026235283</v>
      </c>
      <c r="AZ319" s="81">
        <f>tbl_Data[[#This Row],[Lost Revenue ($/unit)]]/tbl_Data[[#This Row],[kWh Savings]]*tbl_Data[[#This Row],[Sum of Annuals]]</f>
        <v>42.730985436242349</v>
      </c>
      <c r="BA319" s="81">
        <f>tbl_Data[[#This Row],[Incremental Cost ($/unit)]]/tbl_Data[[#This Row],[kWh Savings]]*tbl_Data[[#This Row],[Sum of Annuals]]</f>
        <v>16.39121896497096</v>
      </c>
      <c r="BB319" s="77">
        <f>ROUNDUP(tbl_Data[[#This Row],[Adjusted 2025]]/$L319,0)</f>
        <v>1</v>
      </c>
      <c r="BC319" s="77">
        <f>ROUNDUP(tbl_Data[[#This Row],[Adjusted 2026]]/$L319,0)</f>
        <v>1</v>
      </c>
      <c r="BD319" s="77">
        <f>ROUNDUP(tbl_Data[[#This Row],[Adjusted 2027]]/$L319,0)</f>
        <v>1</v>
      </c>
      <c r="BE319" s="77">
        <f>ROUNDUP(tbl_Data[[#This Row],[Adjusted 2028]]/$L319,0)</f>
        <v>1</v>
      </c>
      <c r="BF319" s="77">
        <f>ROUNDUP(tbl_Data[[#This Row],[Adjusted 2029]]/$L319,0)</f>
        <v>1</v>
      </c>
      <c r="BG319" s="77">
        <f>ROUNDUP(tbl_Data[[#This Row],[Adjusted 2030]]/$L319,0)</f>
        <v>1</v>
      </c>
      <c r="BH319" s="77">
        <f>ROUNDUP(tbl_Data[[#This Row],[Adjusted 2031]]/$L319,0)</f>
        <v>1</v>
      </c>
      <c r="BI319" s="77">
        <f>ROUNDUP(tbl_Data[[#This Row],[Adjusted 2032]]/$L319,0)</f>
        <v>1</v>
      </c>
      <c r="BJ319" s="77">
        <f>ROUNDUP(tbl_Data[[#This Row],[Adjusted 2033]]/$L319,0)</f>
        <v>1</v>
      </c>
      <c r="BK319" s="77">
        <f>ROUNDUP(tbl_Data[[#This Row],[Adjusted 2034]]/$L319,0)</f>
        <v>1</v>
      </c>
      <c r="BL319" s="80">
        <f t="shared" si="133"/>
        <v>8.1973240621412077E-2</v>
      </c>
      <c r="BM319" s="80">
        <f t="shared" si="134"/>
        <v>8.9063694415807332E-2</v>
      </c>
      <c r="BN319" s="80">
        <f t="shared" si="135"/>
        <v>9.4760418357793336E-2</v>
      </c>
      <c r="BO319" s="80">
        <f t="shared" si="136"/>
        <v>9.9540927681239511E-2</v>
      </c>
      <c r="BP319" s="80">
        <f t="shared" si="137"/>
        <v>0.10336435197879039</v>
      </c>
      <c r="BQ319" s="80">
        <f t="shared" si="138"/>
        <v>0.10630760894357608</v>
      </c>
      <c r="BR319" s="80">
        <f t="shared" si="139"/>
        <v>0.10844035866491357</v>
      </c>
      <c r="BS319" s="80">
        <f t="shared" si="140"/>
        <v>0.11010154972039113</v>
      </c>
      <c r="BT319" s="80">
        <f t="shared" si="141"/>
        <v>0.11151671026929871</v>
      </c>
      <c r="BU319" s="80">
        <f t="shared" si="142"/>
        <v>0.11250389800125217</v>
      </c>
      <c r="BV319" s="80">
        <f>IFERROR(VLOOKUP($H319,'1. Set Program Names'!$B$2:$D$15,3,0)*V319,"NA")</f>
        <v>0.18897922212133683</v>
      </c>
      <c r="BW319" s="80">
        <f>IFERROR(VLOOKUP($H319,'1. Set Program Names'!$B$2:$D$15,3,0)*W319,"NA")</f>
        <v>0.20532539109543604</v>
      </c>
      <c r="BX319" s="80">
        <f>IFERROR(VLOOKUP($H319,'1. Set Program Names'!$B$2:$D$15,3,0)*X319,"NA")</f>
        <v>0.21845848734776721</v>
      </c>
      <c r="BY319" s="80">
        <f>IFERROR(VLOOKUP($H319,'1. Set Program Names'!$B$2:$D$15,3,0)*Y319,"NA")</f>
        <v>0.22947936350735482</v>
      </c>
      <c r="BZ319" s="80">
        <f>IFERROR(VLOOKUP($H319,'1. Set Program Names'!$B$2:$D$15,3,0)*Z319,"NA")</f>
        <v>0.23829379787781019</v>
      </c>
      <c r="CA319" s="80">
        <f>IFERROR(VLOOKUP($H319,'1. Set Program Names'!$B$2:$D$15,3,0)*AA319,"NA")</f>
        <v>0.24507911473843358</v>
      </c>
      <c r="CB319" s="80">
        <f>IFERROR(VLOOKUP($H319,'1. Set Program Names'!$B$2:$D$15,3,0)*AB319,"NA")</f>
        <v>0.24999590685574533</v>
      </c>
      <c r="CC319" s="80">
        <f>IFERROR(VLOOKUP($H319,'1. Set Program Names'!$B$2:$D$15,3,0)*AC319,"NA")</f>
        <v>0.25382557847881726</v>
      </c>
      <c r="CD319" s="80">
        <f>IFERROR(VLOOKUP($H319,'1. Set Program Names'!$B$2:$D$15,3,0)*AD319,"NA")</f>
        <v>0.25708805703501458</v>
      </c>
      <c r="CE319" s="80">
        <f>IFERROR(VLOOKUP($H319,'1. Set Program Names'!$B$2:$D$15,3,0)*AE319,"NA")</f>
        <v>0.2593638969098086</v>
      </c>
    </row>
    <row r="320" spans="1:83" x14ac:dyDescent="0.25">
      <c r="A320" s="79" t="s">
        <v>116</v>
      </c>
      <c r="B320" s="79" t="s">
        <v>88</v>
      </c>
      <c r="C320" s="79" t="s">
        <v>122</v>
      </c>
      <c r="D320" s="79" t="s">
        <v>90</v>
      </c>
      <c r="E320" s="79" t="s">
        <v>91</v>
      </c>
      <c r="F320" s="79" t="s">
        <v>90</v>
      </c>
      <c r="G320" s="79" t="s">
        <v>92</v>
      </c>
      <c r="H320" s="79" t="s">
        <v>14</v>
      </c>
      <c r="I320" s="79" t="s">
        <v>165</v>
      </c>
      <c r="J320" s="79" t="s">
        <v>161</v>
      </c>
      <c r="K320" s="79" t="s">
        <v>166</v>
      </c>
      <c r="L320" s="79">
        <v>510.6</v>
      </c>
      <c r="M320" s="79">
        <v>6.2552429943266097E-2</v>
      </c>
      <c r="N320" s="79">
        <v>6.4361142955417797E-2</v>
      </c>
      <c r="O320" s="79">
        <v>129</v>
      </c>
      <c r="P320" s="79">
        <v>26.468747947944401</v>
      </c>
      <c r="Q320" s="79">
        <v>18.177204243412199</v>
      </c>
      <c r="R320" s="79">
        <v>174.74401692254699</v>
      </c>
      <c r="S320" s="79">
        <v>419.99719394182398</v>
      </c>
      <c r="T320" s="79">
        <v>10</v>
      </c>
      <c r="U320" s="79">
        <v>0.2</v>
      </c>
      <c r="V320" s="79">
        <f>tbl_Data_old[[#This Row],[2025 ]]*IFERROR(AVERAGEIFS('Participation Adjustment'!$C:$C,'Participation Adjustment'!$A:$A,$H320,'Participation Adjustment'!$B:$B,$I320),1)</f>
        <v>1.01031225358409</v>
      </c>
      <c r="W320" s="79">
        <f>tbl_Data_old[[#This Row],[2026 ]]*IFERROR(AVERAGEIFS('Participation Adjustment'!$C:$C,'Participation Adjustment'!$A:$A,$H320,'Participation Adjustment'!$B:$B,$I320),1)</f>
        <v>1.3855865284019699</v>
      </c>
      <c r="X320" s="79">
        <f>tbl_Data_old[[#This Row],[2027 ]]*IFERROR(AVERAGEIFS('Participation Adjustment'!$C:$C,'Participation Adjustment'!$A:$A,$H320,'Participation Adjustment'!$B:$B,$I320),1)</f>
        <v>1.8431301959813899</v>
      </c>
      <c r="Y320" s="79">
        <f>tbl_Data_old[[#This Row],[2028 ]]*IFERROR(AVERAGEIFS('Participation Adjustment'!$C:$C,'Participation Adjustment'!$A:$A,$H320,'Participation Adjustment'!$B:$B,$I320),1)</f>
        <v>2.37730749924091</v>
      </c>
      <c r="Z320" s="79">
        <f>tbl_Data_old[[#This Row],[2029 ]]*IFERROR(AVERAGEIFS('Participation Adjustment'!$C:$C,'Participation Adjustment'!$A:$A,$H320,'Participation Adjustment'!$B:$B,$I320),1)</f>
        <v>2.9446264743708599</v>
      </c>
      <c r="AA320" s="79">
        <f>tbl_Data_old[[#This Row],[2030 ]]*IFERROR(AVERAGEIFS('Participation Adjustment'!$C:$C,'Participation Adjustment'!$A:$A,$H320,'Participation Adjustment'!$B:$B,$I320),1)</f>
        <v>3.4571214324950601</v>
      </c>
      <c r="AB320" s="79">
        <f>tbl_Data_old[[#This Row],[2031 ]]*IFERROR(AVERAGEIFS('Participation Adjustment'!$C:$C,'Participation Adjustment'!$A:$A,$H320,'Participation Adjustment'!$B:$B,$I320),1)</f>
        <v>3.8001953692236401</v>
      </c>
      <c r="AC320" s="79">
        <f>tbl_Data_old[[#This Row],[2032 ]]*IFERROR(AVERAGEIFS('Participation Adjustment'!$C:$C,'Participation Adjustment'!$A:$A,$H320,'Participation Adjustment'!$B:$B,$I320),1)</f>
        <v>3.8659605248708302</v>
      </c>
      <c r="AD320" s="79">
        <f>tbl_Data_old[[#This Row],[2033 ]]*IFERROR(AVERAGEIFS('Participation Adjustment'!$C:$C,'Participation Adjustment'!$A:$A,$H320,'Participation Adjustment'!$B:$B,$I320),1)</f>
        <v>3.5990904448874499</v>
      </c>
      <c r="AE320" s="79">
        <f>tbl_Data_old[[#This Row],[2034 ]]*IFERROR(AVERAGEIFS('Participation Adjustment'!$C:$C,'Participation Adjustment'!$A:$A,$H320,'Participation Adjustment'!$B:$B,$I320),1)</f>
        <v>3.0529041981390601</v>
      </c>
      <c r="AF320" s="77" t="str">
        <f t="shared" si="132"/>
        <v>NonResidential</v>
      </c>
      <c r="AG320" s="77" t="str">
        <f>tbl_Data[[#This Row],[All_Meas_Name_Append]]</f>
        <v>Occupancy Sensors_ Ceiling Mounted</v>
      </c>
      <c r="AH320" s="77">
        <f>AVERAGEIFS('3. Incentive Adjustment'!G:G,'3. Incentive Adjustment'!A:A,tbl_Data[[#This Row],[Trimmed Sector]],'3. Incentive Adjustment'!B:B,tbl_Data[[#This Row],[Trimmed Measure Name]])</f>
        <v>0.99348124042467356</v>
      </c>
      <c r="AI320" s="77">
        <f>$AH320*tbl_Data[[#This Row],[2025 ]]</f>
        <v>1.0037262709069692</v>
      </c>
      <c r="AJ320" s="77">
        <f>$AH320*tbl_Data[[#This Row],[2026 ]]</f>
        <v>1.3765542229525063</v>
      </c>
      <c r="AK320" s="77">
        <f>$AH320*tbl_Data[[#This Row],[2027 ]]</f>
        <v>1.8311152733677629</v>
      </c>
      <c r="AL320" s="77">
        <f>$AH320*tbl_Data[[#This Row],[2028 ]]</f>
        <v>2.361810403216738</v>
      </c>
      <c r="AM320" s="77">
        <f>$AH320*tbl_Data[[#This Row],[2029 ]]</f>
        <v>2.9254311623452951</v>
      </c>
      <c r="AN320" s="77">
        <f>$AH320*tbl_Data[[#This Row],[2030 ]]</f>
        <v>3.4345852890539166</v>
      </c>
      <c r="AO320" s="77">
        <f>$AH320*tbl_Data[[#This Row],[2031 ]]</f>
        <v>3.7754228092724023</v>
      </c>
      <c r="AP320" s="77">
        <f>$AH320*tbl_Data[[#This Row],[2032 ]]</f>
        <v>3.8407592576814946</v>
      </c>
      <c r="AQ320" s="77">
        <f>$AH320*tbl_Data[[#This Row],[2033 ]]</f>
        <v>3.5756288395873739</v>
      </c>
      <c r="AR320" s="77">
        <f>$AH320*tbl_Data[[#This Row],[2034 ]]</f>
        <v>3.0330030496648868</v>
      </c>
      <c r="AS320" s="77">
        <f>SUM(tbl_Data[[#This Row],[Adjusted 2025]:[Adjusted 2034]])</f>
        <v>27.158036578049348</v>
      </c>
      <c r="AT320" s="80">
        <f>AVERAGEIFS('3. Incentive Adjustment'!F:F,'3. Incentive Adjustment'!A:A,tbl_Data[[#This Row],[Trimmed Sector]],'3. Incentive Adjustment'!B:B,tbl_Data[[#This Row],[Trimmed Measure Name]])</f>
        <v>19.547634357270656</v>
      </c>
      <c r="AU320" s="80">
        <f>IFERROR(VLOOKUP(tbl_Data[[#This Row],[All_Meas_Name_Append]],'IRA Tax Credits'!$A$3:$D$46,4,0),0)</f>
        <v>0</v>
      </c>
      <c r="AV320" s="81">
        <f>tbl_Data[[#This Row],[Adj. per unit Incentive ($)]]/tbl_Data[[#This Row],[kWh Savings]]*tbl_Data[[#This Row],[Sum of Annuals]]</f>
        <v>1.0397089089093041</v>
      </c>
      <c r="AW320" s="81">
        <f>IFERROR(VLOOKUP(tbl_Data[[#This Row],[Column1]],'1. Set Program Names'!$B$2:$D$15,3,0)*tbl_Data[[#This Row],[Sum of Annuals]],"")</f>
        <v>0.96681781772280107</v>
      </c>
      <c r="AX320" s="81">
        <f>tbl_Data[[#This Row],[per unit IRA tax ($)]]/tbl_Data[[#This Row],[kWh Savings]]*tbl_Data[[#This Row],[Sum of Annuals]]</f>
        <v>0</v>
      </c>
      <c r="AY320" s="81">
        <f>tbl_Data[[#This Row],[Avoided Costs ($/unit)]]/tbl_Data[[#This Row],[kWh Savings]]*tbl_Data[[#This Row],[Sum of Annuals]]</f>
        <v>9.2943682008966029</v>
      </c>
      <c r="AZ320" s="81">
        <f>tbl_Data[[#This Row],[Lost Revenue ($/unit)]]/tbl_Data[[#This Row],[kWh Savings]]*tbl_Data[[#This Row],[Sum of Annuals]]</f>
        <v>22.339011272522797</v>
      </c>
      <c r="BA320" s="81">
        <f>tbl_Data[[#This Row],[Incremental Cost ($/unit)]]/tbl_Data[[#This Row],[kWh Savings]]*tbl_Data[[#This Row],[Sum of Annuals]]</f>
        <v>6.861313589048895</v>
      </c>
      <c r="BB320" s="77">
        <f>ROUNDUP(tbl_Data[[#This Row],[Adjusted 2025]]/$L320,0)</f>
        <v>1</v>
      </c>
      <c r="BC320" s="77">
        <f>ROUNDUP(tbl_Data[[#This Row],[Adjusted 2026]]/$L320,0)</f>
        <v>1</v>
      </c>
      <c r="BD320" s="77">
        <f>ROUNDUP(tbl_Data[[#This Row],[Adjusted 2027]]/$L320,0)</f>
        <v>1</v>
      </c>
      <c r="BE320" s="77">
        <f>ROUNDUP(tbl_Data[[#This Row],[Adjusted 2028]]/$L320,0)</f>
        <v>1</v>
      </c>
      <c r="BF320" s="77">
        <f>ROUNDUP(tbl_Data[[#This Row],[Adjusted 2029]]/$L320,0)</f>
        <v>1</v>
      </c>
      <c r="BG320" s="77">
        <f>ROUNDUP(tbl_Data[[#This Row],[Adjusted 2030]]/$L320,0)</f>
        <v>1</v>
      </c>
      <c r="BH320" s="77">
        <f>ROUNDUP(tbl_Data[[#This Row],[Adjusted 2031]]/$L320,0)</f>
        <v>1</v>
      </c>
      <c r="BI320" s="77">
        <f>ROUNDUP(tbl_Data[[#This Row],[Adjusted 2032]]/$L320,0)</f>
        <v>1</v>
      </c>
      <c r="BJ320" s="77">
        <f>ROUNDUP(tbl_Data[[#This Row],[Adjusted 2033]]/$L320,0)</f>
        <v>1</v>
      </c>
      <c r="BK320" s="77">
        <f>ROUNDUP(tbl_Data[[#This Row],[Adjusted 2034]]/$L320,0)</f>
        <v>1</v>
      </c>
      <c r="BL320" s="80">
        <f t="shared" si="133"/>
        <v>3.8678445984590484E-2</v>
      </c>
      <c r="BM320" s="80">
        <f t="shared" si="134"/>
        <v>5.3045316936078578E-2</v>
      </c>
      <c r="BN320" s="80">
        <f t="shared" si="135"/>
        <v>7.0561760955520594E-2</v>
      </c>
      <c r="BO320" s="80">
        <f t="shared" si="136"/>
        <v>9.1012020661885615E-2</v>
      </c>
      <c r="BP320" s="80">
        <f t="shared" si="137"/>
        <v>0.11273106470767838</v>
      </c>
      <c r="BQ320" s="80">
        <f t="shared" si="138"/>
        <v>0.13235124498843945</v>
      </c>
      <c r="BR320" s="80">
        <f t="shared" si="139"/>
        <v>0.14548536929842709</v>
      </c>
      <c r="BS320" s="80">
        <f t="shared" si="140"/>
        <v>0.14800309984296345</v>
      </c>
      <c r="BT320" s="80">
        <f t="shared" si="141"/>
        <v>0.13778633771133264</v>
      </c>
      <c r="BU320" s="80">
        <f t="shared" si="142"/>
        <v>0.11687633175283767</v>
      </c>
      <c r="BV320" s="80">
        <f>IFERROR(VLOOKUP($H320,'1. Set Program Names'!$B$2:$D$15,3,0)*V320,"NA")</f>
        <v>3.5966808035683626E-2</v>
      </c>
      <c r="BW320" s="80">
        <f>IFERROR(VLOOKUP($H320,'1. Set Program Names'!$B$2:$D$15,3,0)*W320,"NA")</f>
        <v>4.9326457743210067E-2</v>
      </c>
      <c r="BX320" s="80">
        <f>IFERROR(VLOOKUP($H320,'1. Set Program Names'!$B$2:$D$15,3,0)*X320,"NA")</f>
        <v>6.5614872737082011E-2</v>
      </c>
      <c r="BY320" s="80">
        <f>IFERROR(VLOOKUP($H320,'1. Set Program Names'!$B$2:$D$15,3,0)*Y320,"NA")</f>
        <v>8.4631421784366445E-2</v>
      </c>
      <c r="BZ320" s="80">
        <f>IFERROR(VLOOKUP($H320,'1. Set Program Names'!$B$2:$D$15,3,0)*Z320,"NA")</f>
        <v>0.10482780424049723</v>
      </c>
      <c r="CA320" s="80">
        <f>IFERROR(VLOOKUP($H320,'1. Set Program Names'!$B$2:$D$15,3,0)*AA320,"NA")</f>
        <v>0.1230724684150812</v>
      </c>
      <c r="CB320" s="80">
        <f>IFERROR(VLOOKUP($H320,'1. Set Program Names'!$B$2:$D$15,3,0)*AB320,"NA")</f>
        <v>0.13528579590921921</v>
      </c>
      <c r="CC320" s="80">
        <f>IFERROR(VLOOKUP($H320,'1. Set Program Names'!$B$2:$D$15,3,0)*AC320,"NA")</f>
        <v>0.13762701538884861</v>
      </c>
      <c r="CD320" s="80">
        <f>IFERROR(VLOOKUP($H320,'1. Set Program Names'!$B$2:$D$15,3,0)*AD320,"NA")</f>
        <v>0.12812652194914306</v>
      </c>
      <c r="CE320" s="80">
        <f>IFERROR(VLOOKUP($H320,'1. Set Program Names'!$B$2:$D$15,3,0)*AE320,"NA")</f>
        <v>0.10868245817693739</v>
      </c>
    </row>
    <row r="321" spans="1:83" x14ac:dyDescent="0.25">
      <c r="A321" s="79" t="s">
        <v>116</v>
      </c>
      <c r="B321" s="79" t="s">
        <v>88</v>
      </c>
      <c r="C321" s="79" t="s">
        <v>122</v>
      </c>
      <c r="D321" s="79" t="s">
        <v>90</v>
      </c>
      <c r="E321" s="79" t="s">
        <v>91</v>
      </c>
      <c r="F321" s="79" t="s">
        <v>90</v>
      </c>
      <c r="G321" s="79" t="s">
        <v>92</v>
      </c>
      <c r="H321" s="79" t="s">
        <v>14</v>
      </c>
      <c r="I321" s="79" t="s">
        <v>154</v>
      </c>
      <c r="J321" s="79" t="s">
        <v>129</v>
      </c>
      <c r="K321" s="79" t="s">
        <v>102</v>
      </c>
      <c r="L321" s="79">
        <v>111105.09249999899</v>
      </c>
      <c r="M321" s="79">
        <v>30.6532165911823</v>
      </c>
      <c r="N321" s="79">
        <v>0</v>
      </c>
      <c r="O321" s="79">
        <v>40257.675000000003</v>
      </c>
      <c r="P321" s="79">
        <v>17605.607636663401</v>
      </c>
      <c r="Q321" s="79">
        <v>3955.3074008141398</v>
      </c>
      <c r="R321" s="79">
        <v>56706.982631731698</v>
      </c>
      <c r="S321" s="79">
        <v>120673.47084214</v>
      </c>
      <c r="T321" s="79">
        <v>15</v>
      </c>
      <c r="U321" s="79">
        <v>0.95</v>
      </c>
      <c r="V321" s="79">
        <f>tbl_Data_old[[#This Row],[2025 ]]*IFERROR(AVERAGEIFS('Participation Adjustment'!$C:$C,'Participation Adjustment'!$A:$A,$H321,'Participation Adjustment'!$B:$B,$I321),1)</f>
        <v>0</v>
      </c>
      <c r="W321" s="79">
        <f>tbl_Data_old[[#This Row],[2026 ]]*IFERROR(AVERAGEIFS('Participation Adjustment'!$C:$C,'Participation Adjustment'!$A:$A,$H321,'Participation Adjustment'!$B:$B,$I321),1)</f>
        <v>0</v>
      </c>
      <c r="X321" s="79">
        <f>tbl_Data_old[[#This Row],[2027 ]]*IFERROR(AVERAGEIFS('Participation Adjustment'!$C:$C,'Participation Adjustment'!$A:$A,$H321,'Participation Adjustment'!$B:$B,$I321),1)</f>
        <v>0</v>
      </c>
      <c r="Y321" s="79">
        <f>tbl_Data_old[[#This Row],[2028 ]]*IFERROR(AVERAGEIFS('Participation Adjustment'!$C:$C,'Participation Adjustment'!$A:$A,$H321,'Participation Adjustment'!$B:$B,$I321),1)</f>
        <v>0</v>
      </c>
      <c r="Z321" s="79">
        <f>tbl_Data_old[[#This Row],[2029 ]]*IFERROR(AVERAGEIFS('Participation Adjustment'!$C:$C,'Participation Adjustment'!$A:$A,$H321,'Participation Adjustment'!$B:$B,$I321),1)</f>
        <v>0</v>
      </c>
      <c r="AA321" s="79">
        <f>tbl_Data_old[[#This Row],[2030 ]]*IFERROR(AVERAGEIFS('Participation Adjustment'!$C:$C,'Participation Adjustment'!$A:$A,$H321,'Participation Adjustment'!$B:$B,$I321),1)</f>
        <v>0</v>
      </c>
      <c r="AB321" s="79">
        <f>tbl_Data_old[[#This Row],[2031 ]]*IFERROR(AVERAGEIFS('Participation Adjustment'!$C:$C,'Participation Adjustment'!$A:$A,$H321,'Participation Adjustment'!$B:$B,$I321),1)</f>
        <v>0</v>
      </c>
      <c r="AC321" s="79">
        <f>tbl_Data_old[[#This Row],[2032 ]]*IFERROR(AVERAGEIFS('Participation Adjustment'!$C:$C,'Participation Adjustment'!$A:$A,$H321,'Participation Adjustment'!$B:$B,$I321),1)</f>
        <v>0</v>
      </c>
      <c r="AD321" s="79">
        <f>tbl_Data_old[[#This Row],[2033 ]]*IFERROR(AVERAGEIFS('Participation Adjustment'!$C:$C,'Participation Adjustment'!$A:$A,$H321,'Participation Adjustment'!$B:$B,$I321),1)</f>
        <v>0</v>
      </c>
      <c r="AE321" s="79">
        <f>tbl_Data_old[[#This Row],[2034 ]]*IFERROR(AVERAGEIFS('Participation Adjustment'!$C:$C,'Participation Adjustment'!$A:$A,$H321,'Participation Adjustment'!$B:$B,$I321),1)</f>
        <v>0</v>
      </c>
      <c r="AF321" s="77" t="str">
        <f t="shared" si="132"/>
        <v>NonResidential</v>
      </c>
      <c r="AG321" s="77" t="str">
        <f>tbl_Data[[#This Row],[All_Meas_Name_Append]]</f>
        <v>Reflective Roof Treatment</v>
      </c>
      <c r="AH321" s="77">
        <f>AVERAGEIFS('3. Incentive Adjustment'!G:G,'3. Incentive Adjustment'!A:A,tbl_Data[[#This Row],[Trimmed Sector]],'3. Incentive Adjustment'!B:B,tbl_Data[[#This Row],[Trimmed Measure Name]])</f>
        <v>0.87696681614875649</v>
      </c>
      <c r="AI321" s="77">
        <f>$AH321*tbl_Data[[#This Row],[2025 ]]</f>
        <v>0</v>
      </c>
      <c r="AJ321" s="77">
        <f>$AH321*tbl_Data[[#This Row],[2026 ]]</f>
        <v>0</v>
      </c>
      <c r="AK321" s="77">
        <f>$AH321*tbl_Data[[#This Row],[2027 ]]</f>
        <v>0</v>
      </c>
      <c r="AL321" s="77">
        <f>$AH321*tbl_Data[[#This Row],[2028 ]]</f>
        <v>0</v>
      </c>
      <c r="AM321" s="77">
        <f>$AH321*tbl_Data[[#This Row],[2029 ]]</f>
        <v>0</v>
      </c>
      <c r="AN321" s="77">
        <f>$AH321*tbl_Data[[#This Row],[2030 ]]</f>
        <v>0</v>
      </c>
      <c r="AO321" s="77">
        <f>$AH321*tbl_Data[[#This Row],[2031 ]]</f>
        <v>0</v>
      </c>
      <c r="AP321" s="77">
        <f>$AH321*tbl_Data[[#This Row],[2032 ]]</f>
        <v>0</v>
      </c>
      <c r="AQ321" s="77">
        <f>$AH321*tbl_Data[[#This Row],[2033 ]]</f>
        <v>0</v>
      </c>
      <c r="AR321" s="77">
        <f>$AH321*tbl_Data[[#This Row],[2034 ]]</f>
        <v>0</v>
      </c>
      <c r="AS321" s="77">
        <f>SUM(tbl_Data[[#This Row],[Adjusted 2025]:[Adjusted 2034]])</f>
        <v>0</v>
      </c>
      <c r="AT321" s="80">
        <f>AVERAGEIFS('3. Incentive Adjustment'!F:F,'3. Incentive Adjustment'!A:A,tbl_Data[[#This Row],[Trimmed Sector]],'3. Incentive Adjustment'!B:B,tbl_Data[[#This Row],[Trimmed Measure Name]])</f>
        <v>12077.302499999998</v>
      </c>
      <c r="AU321" s="80">
        <f>IFERROR(VLOOKUP(tbl_Data[[#This Row],[All_Meas_Name_Append]],'IRA Tax Credits'!$A$3:$D$46,4,0),0)</f>
        <v>0</v>
      </c>
      <c r="AV321" s="81">
        <f>tbl_Data[[#This Row],[Adj. per unit Incentive ($)]]/tbl_Data[[#This Row],[kWh Savings]]*tbl_Data[[#This Row],[Sum of Annuals]]</f>
        <v>0</v>
      </c>
      <c r="AW321" s="81">
        <f>IFERROR(VLOOKUP(tbl_Data[[#This Row],[Column1]],'1. Set Program Names'!$B$2:$D$15,3,0)*tbl_Data[[#This Row],[Sum of Annuals]],"")</f>
        <v>0</v>
      </c>
      <c r="AX321" s="81">
        <f>tbl_Data[[#This Row],[per unit IRA tax ($)]]/tbl_Data[[#This Row],[kWh Savings]]*tbl_Data[[#This Row],[Sum of Annuals]]</f>
        <v>0</v>
      </c>
      <c r="AY321" s="81">
        <f>tbl_Data[[#This Row],[Avoided Costs ($/unit)]]/tbl_Data[[#This Row],[kWh Savings]]*tbl_Data[[#This Row],[Sum of Annuals]]</f>
        <v>0</v>
      </c>
      <c r="AZ321" s="81">
        <f>tbl_Data[[#This Row],[Lost Revenue ($/unit)]]/tbl_Data[[#This Row],[kWh Savings]]*tbl_Data[[#This Row],[Sum of Annuals]]</f>
        <v>0</v>
      </c>
      <c r="BA321" s="81">
        <f>tbl_Data[[#This Row],[Incremental Cost ($/unit)]]/tbl_Data[[#This Row],[kWh Savings]]*tbl_Data[[#This Row],[Sum of Annuals]]</f>
        <v>0</v>
      </c>
      <c r="BB321" s="77">
        <f>ROUNDUP(tbl_Data[[#This Row],[Adjusted 2025]]/$L321,0)</f>
        <v>0</v>
      </c>
      <c r="BC321" s="77">
        <f>ROUNDUP(tbl_Data[[#This Row],[Adjusted 2026]]/$L321,0)</f>
        <v>0</v>
      </c>
      <c r="BD321" s="77">
        <f>ROUNDUP(tbl_Data[[#This Row],[Adjusted 2027]]/$L321,0)</f>
        <v>0</v>
      </c>
      <c r="BE321" s="77">
        <f>ROUNDUP(tbl_Data[[#This Row],[Adjusted 2028]]/$L321,0)</f>
        <v>0</v>
      </c>
      <c r="BF321" s="77">
        <f>ROUNDUP(tbl_Data[[#This Row],[Adjusted 2029]]/$L321,0)</f>
        <v>0</v>
      </c>
      <c r="BG321" s="77">
        <f>ROUNDUP(tbl_Data[[#This Row],[Adjusted 2030]]/$L321,0)</f>
        <v>0</v>
      </c>
      <c r="BH321" s="77">
        <f>ROUNDUP(tbl_Data[[#This Row],[Adjusted 2031]]/$L321,0)</f>
        <v>0</v>
      </c>
      <c r="BI321" s="77">
        <f>ROUNDUP(tbl_Data[[#This Row],[Adjusted 2032]]/$L321,0)</f>
        <v>0</v>
      </c>
      <c r="BJ321" s="77">
        <f>ROUNDUP(tbl_Data[[#This Row],[Adjusted 2033]]/$L321,0)</f>
        <v>0</v>
      </c>
      <c r="BK321" s="77">
        <f>ROUNDUP(tbl_Data[[#This Row],[Adjusted 2034]]/$L321,0)</f>
        <v>0</v>
      </c>
      <c r="BL321" s="80">
        <f t="shared" si="133"/>
        <v>0</v>
      </c>
      <c r="BM321" s="80">
        <f t="shared" si="134"/>
        <v>0</v>
      </c>
      <c r="BN321" s="80">
        <f t="shared" si="135"/>
        <v>0</v>
      </c>
      <c r="BO321" s="80">
        <f t="shared" si="136"/>
        <v>0</v>
      </c>
      <c r="BP321" s="80">
        <f t="shared" si="137"/>
        <v>0</v>
      </c>
      <c r="BQ321" s="80">
        <f t="shared" si="138"/>
        <v>0</v>
      </c>
      <c r="BR321" s="80">
        <f t="shared" si="139"/>
        <v>0</v>
      </c>
      <c r="BS321" s="80">
        <f t="shared" si="140"/>
        <v>0</v>
      </c>
      <c r="BT321" s="80">
        <f t="shared" si="141"/>
        <v>0</v>
      </c>
      <c r="BU321" s="80">
        <f t="shared" si="142"/>
        <v>0</v>
      </c>
      <c r="BV321" s="80">
        <f>IFERROR(VLOOKUP($H321,'1. Set Program Names'!$B$2:$D$15,3,0)*V321,"NA")</f>
        <v>0</v>
      </c>
      <c r="BW321" s="80">
        <f>IFERROR(VLOOKUP($H321,'1. Set Program Names'!$B$2:$D$15,3,0)*W321,"NA")</f>
        <v>0</v>
      </c>
      <c r="BX321" s="80">
        <f>IFERROR(VLOOKUP($H321,'1. Set Program Names'!$B$2:$D$15,3,0)*X321,"NA")</f>
        <v>0</v>
      </c>
      <c r="BY321" s="80">
        <f>IFERROR(VLOOKUP($H321,'1. Set Program Names'!$B$2:$D$15,3,0)*Y321,"NA")</f>
        <v>0</v>
      </c>
      <c r="BZ321" s="80">
        <f>IFERROR(VLOOKUP($H321,'1. Set Program Names'!$B$2:$D$15,3,0)*Z321,"NA")</f>
        <v>0</v>
      </c>
      <c r="CA321" s="80">
        <f>IFERROR(VLOOKUP($H321,'1. Set Program Names'!$B$2:$D$15,3,0)*AA321,"NA")</f>
        <v>0</v>
      </c>
      <c r="CB321" s="80">
        <f>IFERROR(VLOOKUP($H321,'1. Set Program Names'!$B$2:$D$15,3,0)*AB321,"NA")</f>
        <v>0</v>
      </c>
      <c r="CC321" s="80">
        <f>IFERROR(VLOOKUP($H321,'1. Set Program Names'!$B$2:$D$15,3,0)*AC321,"NA")</f>
        <v>0</v>
      </c>
      <c r="CD321" s="80">
        <f>IFERROR(VLOOKUP($H321,'1. Set Program Names'!$B$2:$D$15,3,0)*AD321,"NA")</f>
        <v>0</v>
      </c>
      <c r="CE321" s="80">
        <f>IFERROR(VLOOKUP($H321,'1. Set Program Names'!$B$2:$D$15,3,0)*AE321,"NA")</f>
        <v>0</v>
      </c>
    </row>
    <row r="322" spans="1:83" x14ac:dyDescent="0.25">
      <c r="A322" s="79" t="s">
        <v>116</v>
      </c>
      <c r="B322" s="79" t="s">
        <v>88</v>
      </c>
      <c r="C322" s="79" t="s">
        <v>122</v>
      </c>
      <c r="D322" s="79" t="s">
        <v>90</v>
      </c>
      <c r="E322" s="79" t="s">
        <v>91</v>
      </c>
      <c r="F322" s="79" t="s">
        <v>90</v>
      </c>
      <c r="G322" s="79" t="s">
        <v>92</v>
      </c>
      <c r="H322" s="79" t="s">
        <v>14</v>
      </c>
      <c r="I322" s="79" t="s">
        <v>167</v>
      </c>
      <c r="J322" s="79" t="s">
        <v>124</v>
      </c>
      <c r="K322" s="79" t="s">
        <v>98</v>
      </c>
      <c r="L322" s="79">
        <v>151.65999999999994</v>
      </c>
      <c r="M322" s="79">
        <v>2.2013191527321094E-2</v>
      </c>
      <c r="N322" s="79">
        <v>1.952960139549019E-2</v>
      </c>
      <c r="O322" s="79">
        <v>56.59999999999998</v>
      </c>
      <c r="P322" s="79">
        <v>25.402483751835906</v>
      </c>
      <c r="Q322" s="79"/>
      <c r="R322" s="79">
        <v>70.56447857633529</v>
      </c>
      <c r="S322" s="79">
        <v>171.41744415542868</v>
      </c>
      <c r="T322" s="79">
        <v>16</v>
      </c>
      <c r="U322" s="79">
        <v>0.2</v>
      </c>
      <c r="V322" s="79">
        <f>tbl_Data_old[[#This Row],[2025 ]]*IFERROR(AVERAGEIFS('Participation Adjustment'!$C:$C,'Participation Adjustment'!$A:$A,$H322,'Participation Adjustment'!$B:$B,$I322),1)</f>
        <v>0.128353484704023</v>
      </c>
      <c r="W322" s="79">
        <f>tbl_Data_old[[#This Row],[2026 ]]*IFERROR(AVERAGEIFS('Participation Adjustment'!$C:$C,'Participation Adjustment'!$A:$A,$H322,'Participation Adjustment'!$B:$B,$I322),1)</f>
        <v>0.17456523312587499</v>
      </c>
      <c r="X322" s="79">
        <f>tbl_Data_old[[#This Row],[2027 ]]*IFERROR(AVERAGEIFS('Participation Adjustment'!$C:$C,'Participation Adjustment'!$A:$A,$H322,'Participation Adjustment'!$B:$B,$I322),1)</f>
        <v>0.22551955442037699</v>
      </c>
      <c r="Y322" s="79">
        <f>tbl_Data_old[[#This Row],[2028 ]]*IFERROR(AVERAGEIFS('Participation Adjustment'!$C:$C,'Participation Adjustment'!$A:$A,$H322,'Participation Adjustment'!$B:$B,$I322),1)</f>
        <v>0.278436278507108</v>
      </c>
      <c r="Z322" s="79">
        <f>tbl_Data_old[[#This Row],[2029 ]]*IFERROR(AVERAGEIFS('Participation Adjustment'!$C:$C,'Participation Adjustment'!$A:$A,$H322,'Participation Adjustment'!$B:$B,$I322),1)</f>
        <v>0.32870596309164901</v>
      </c>
      <c r="AA322" s="79">
        <f>tbl_Data_old[[#This Row],[2030 ]]*IFERROR(AVERAGEIFS('Participation Adjustment'!$C:$C,'Participation Adjustment'!$A:$A,$H322,'Participation Adjustment'!$B:$B,$I322),1)</f>
        <v>0.37272217935535901</v>
      </c>
      <c r="AB322" s="79">
        <f>tbl_Data_old[[#This Row],[2031 ]]*IFERROR(AVERAGEIFS('Participation Adjustment'!$C:$C,'Participation Adjustment'!$A:$A,$H322,'Participation Adjustment'!$B:$B,$I322),1)</f>
        <v>0.40794987529922</v>
      </c>
      <c r="AC322" s="79">
        <f>tbl_Data_old[[#This Row],[2032 ]]*IFERROR(AVERAGEIFS('Participation Adjustment'!$C:$C,'Participation Adjustment'!$A:$A,$H322,'Participation Adjustment'!$B:$B,$I322),1)</f>
        <v>0.43512111331179598</v>
      </c>
      <c r="AD322" s="79">
        <f>tbl_Data_old[[#This Row],[2033 ]]*IFERROR(AVERAGEIFS('Participation Adjustment'!$C:$C,'Participation Adjustment'!$A:$A,$H322,'Participation Adjustment'!$B:$B,$I322),1)</f>
        <v>0.45645664563352001</v>
      </c>
      <c r="AE322" s="79">
        <f>tbl_Data_old[[#This Row],[2034 ]]*IFERROR(AVERAGEIFS('Participation Adjustment'!$C:$C,'Participation Adjustment'!$A:$A,$H322,'Participation Adjustment'!$B:$B,$I322),1)</f>
        <v>0.47237189460489698</v>
      </c>
      <c r="AF322" s="77" t="str">
        <f t="shared" si="132"/>
        <v>NonResidential</v>
      </c>
      <c r="AG322" s="77" t="str">
        <f>tbl_Data[[#This Row],[All_Meas_Name_Append]]</f>
        <v>Refrigerated Display Case LED Lighting</v>
      </c>
      <c r="AH322" s="77">
        <f>AVERAGEIFS('3. Incentive Adjustment'!G:G,'3. Incentive Adjustment'!A:A,tbl_Data[[#This Row],[Trimmed Sector]],'3. Incentive Adjustment'!B:B,tbl_Data[[#This Row],[Trimmed Measure Name]])</f>
        <v>0.72450810749703154</v>
      </c>
      <c r="AI322" s="77">
        <f>$AH322*tbl_Data[[#This Row],[2025 ]]</f>
        <v>9.2993140293560886E-2</v>
      </c>
      <c r="AJ322" s="77">
        <f>$AH322*tbl_Data[[#This Row],[2026 ]]</f>
        <v>0.12647392668680582</v>
      </c>
      <c r="AK322" s="77">
        <f>$AH322*tbl_Data[[#This Row],[2027 ]]</f>
        <v>0.16339074557668115</v>
      </c>
      <c r="AL322" s="77">
        <f>$AH322*tbl_Data[[#This Row],[2028 ]]</f>
        <v>0.20172934119970121</v>
      </c>
      <c r="AM322" s="77">
        <f>$AH322*tbl_Data[[#This Row],[2029 ]]</f>
        <v>0.23815013524251971</v>
      </c>
      <c r="AN322" s="77">
        <f>$AH322*tbl_Data[[#This Row],[2030 ]]</f>
        <v>0.27004024078692029</v>
      </c>
      <c r="AO322" s="77">
        <f>$AH322*tbl_Data[[#This Row],[2031 ]]</f>
        <v>0.29556299210668791</v>
      </c>
      <c r="AP322" s="77">
        <f>$AH322*tbl_Data[[#This Row],[2032 ]]</f>
        <v>0.31524877433753073</v>
      </c>
      <c r="AQ322" s="77">
        <f>$AH322*tbl_Data[[#This Row],[2033 ]]</f>
        <v>0.33070654048238474</v>
      </c>
      <c r="AR322" s="77">
        <f>$AH322*tbl_Data[[#This Row],[2034 ]]</f>
        <v>0.34223726739498117</v>
      </c>
      <c r="AS322" s="77">
        <f>SUM(tbl_Data[[#This Row],[Adjusted 2025]:[Adjusted 2034]])</f>
        <v>2.3765331041077733</v>
      </c>
      <c r="AT322" s="80">
        <f>AVERAGEIFS('3. Incentive Adjustment'!F:F,'3. Incentive Adjustment'!A:A,tbl_Data[[#This Row],[Trimmed Sector]],'3. Incentive Adjustment'!B:B,tbl_Data[[#This Row],[Trimmed Measure Name]])</f>
        <v>6.879122352287844</v>
      </c>
      <c r="AU322" s="80">
        <f>IFERROR(VLOOKUP(tbl_Data[[#This Row],[All_Meas_Name_Append]],'IRA Tax Credits'!$A$3:$D$46,4,0),0)</f>
        <v>0</v>
      </c>
      <c r="AV322" s="81">
        <f>tbl_Data[[#This Row],[Adj. per unit Incentive ($)]]/tbl_Data[[#This Row],[kWh Savings]]*tbl_Data[[#This Row],[Sum of Annuals]]</f>
        <v>0.10779679544652382</v>
      </c>
      <c r="AW322" s="81">
        <f>IFERROR(VLOOKUP(tbl_Data[[#This Row],[Column1]],'1. Set Program Names'!$B$2:$D$15,3,0)*tbl_Data[[#This Row],[Sum of Annuals]],"")</f>
        <v>8.4603853553853067E-2</v>
      </c>
      <c r="AX322" s="81">
        <f>tbl_Data[[#This Row],[per unit IRA tax ($)]]/tbl_Data[[#This Row],[kWh Savings]]*tbl_Data[[#This Row],[Sum of Annuals]]</f>
        <v>0</v>
      </c>
      <c r="AY322" s="81">
        <f>tbl_Data[[#This Row],[Avoided Costs ($/unit)]]/tbl_Data[[#This Row],[kWh Savings]]*tbl_Data[[#This Row],[Sum of Annuals]]</f>
        <v>1.1057551055701216</v>
      </c>
      <c r="AZ322" s="81">
        <f>tbl_Data[[#This Row],[Lost Revenue ($/unit)]]/tbl_Data[[#This Row],[kWh Savings]]*tbl_Data[[#This Row],[Sum of Annuals]]</f>
        <v>2.6861349772973884</v>
      </c>
      <c r="BA322" s="81">
        <f>tbl_Data[[#This Row],[Incremental Cost ($/unit)]]/tbl_Data[[#This Row],[kWh Savings]]*tbl_Data[[#This Row],[Sum of Annuals]]</f>
        <v>0.88692980148028466</v>
      </c>
      <c r="BB322" s="77">
        <f>ROUNDUP(tbl_Data[[#This Row],[Adjusted 2025]]/$L322,0)</f>
        <v>1</v>
      </c>
      <c r="BC322" s="77">
        <f>ROUNDUP(tbl_Data[[#This Row],[Adjusted 2026]]/$L322,0)</f>
        <v>1</v>
      </c>
      <c r="BD322" s="77">
        <f>ROUNDUP(tbl_Data[[#This Row],[Adjusted 2027]]/$L322,0)</f>
        <v>1</v>
      </c>
      <c r="BE322" s="77">
        <f>ROUNDUP(tbl_Data[[#This Row],[Adjusted 2028]]/$L322,0)</f>
        <v>1</v>
      </c>
      <c r="BF322" s="77">
        <f>ROUNDUP(tbl_Data[[#This Row],[Adjusted 2029]]/$L322,0)</f>
        <v>1</v>
      </c>
      <c r="BG322" s="77">
        <f>ROUNDUP(tbl_Data[[#This Row],[Adjusted 2030]]/$L322,0)</f>
        <v>1</v>
      </c>
      <c r="BH322" s="77">
        <f>ROUNDUP(tbl_Data[[#This Row],[Adjusted 2031]]/$L322,0)</f>
        <v>1</v>
      </c>
      <c r="BI322" s="77">
        <f>ROUNDUP(tbl_Data[[#This Row],[Adjusted 2032]]/$L322,0)</f>
        <v>1</v>
      </c>
      <c r="BJ322" s="77">
        <f>ROUNDUP(tbl_Data[[#This Row],[Adjusted 2033]]/$L322,0)</f>
        <v>1</v>
      </c>
      <c r="BK322" s="77">
        <f>ROUNDUP(tbl_Data[[#This Row],[Adjusted 2034]]/$L322,0)</f>
        <v>1</v>
      </c>
      <c r="BL322" s="80">
        <f t="shared" si="133"/>
        <v>5.8219657498449215E-3</v>
      </c>
      <c r="BM322" s="80">
        <f t="shared" si="134"/>
        <v>7.9180772591886158E-3</v>
      </c>
      <c r="BN322" s="80">
        <f t="shared" si="135"/>
        <v>1.0229306393849471E-2</v>
      </c>
      <c r="BO322" s="80">
        <f t="shared" si="136"/>
        <v>1.2629547851550117E-2</v>
      </c>
      <c r="BP322" s="80">
        <f t="shared" si="137"/>
        <v>1.4909722656165546E-2</v>
      </c>
      <c r="BQ322" s="80">
        <f t="shared" si="138"/>
        <v>1.6906247363819661E-2</v>
      </c>
      <c r="BR322" s="80">
        <f t="shared" si="139"/>
        <v>1.8504134945166187E-2</v>
      </c>
      <c r="BS322" s="80">
        <f t="shared" si="140"/>
        <v>1.9736590904230175E-2</v>
      </c>
      <c r="BT322" s="80">
        <f t="shared" si="141"/>
        <v>2.0704345996491364E-2</v>
      </c>
      <c r="BU322" s="80">
        <f t="shared" si="142"/>
        <v>2.1426243299281982E-2</v>
      </c>
      <c r="BV322" s="80">
        <f>IFERROR(VLOOKUP($H322,'1. Set Program Names'!$B$2:$D$15,3,0)*V322,"NA")</f>
        <v>4.5693449017209344E-3</v>
      </c>
      <c r="BW322" s="80">
        <f>IFERROR(VLOOKUP($H322,'1. Set Program Names'!$B$2:$D$15,3,0)*W322,"NA")</f>
        <v>6.2144690488207879E-3</v>
      </c>
      <c r="BX322" s="80">
        <f>IFERROR(VLOOKUP($H322,'1. Set Program Names'!$B$2:$D$15,3,0)*X322,"NA")</f>
        <v>8.028427343483165E-3</v>
      </c>
      <c r="BY322" s="80">
        <f>IFERROR(VLOOKUP($H322,'1. Set Program Names'!$B$2:$D$15,3,0)*Y322,"NA")</f>
        <v>9.9122465789253898E-3</v>
      </c>
      <c r="BZ322" s="80">
        <f>IFERROR(VLOOKUP($H322,'1. Set Program Names'!$B$2:$D$15,3,0)*Z322,"NA")</f>
        <v>1.170183201555898E-2</v>
      </c>
      <c r="CA322" s="80">
        <f>IFERROR(VLOOKUP($H322,'1. Set Program Names'!$B$2:$D$15,3,0)*AA322,"NA")</f>
        <v>1.3268795887567712E-2</v>
      </c>
      <c r="CB322" s="80">
        <f>IFERROR(VLOOKUP($H322,'1. Set Program Names'!$B$2:$D$15,3,0)*AB322,"NA")</f>
        <v>1.4522891117094512E-2</v>
      </c>
      <c r="CC322" s="80">
        <f>IFERROR(VLOOKUP($H322,'1. Set Program Names'!$B$2:$D$15,3,0)*AC322,"NA")</f>
        <v>1.5490178901859414E-2</v>
      </c>
      <c r="CD322" s="80">
        <f>IFERROR(VLOOKUP($H322,'1. Set Program Names'!$B$2:$D$15,3,0)*AD322,"NA")</f>
        <v>1.6249717344189809E-2</v>
      </c>
      <c r="CE322" s="80">
        <f>IFERROR(VLOOKUP($H322,'1. Set Program Names'!$B$2:$D$15,3,0)*AE322,"NA")</f>
        <v>1.6816295352684668E-2</v>
      </c>
    </row>
    <row r="323" spans="1:83" x14ac:dyDescent="0.25">
      <c r="A323" s="79" t="s">
        <v>116</v>
      </c>
      <c r="B323" s="79" t="s">
        <v>88</v>
      </c>
      <c r="C323" s="79" t="s">
        <v>122</v>
      </c>
      <c r="D323" s="79" t="s">
        <v>90</v>
      </c>
      <c r="E323" s="79" t="s">
        <v>91</v>
      </c>
      <c r="F323" s="79" t="s">
        <v>90</v>
      </c>
      <c r="G323" s="79" t="s">
        <v>92</v>
      </c>
      <c r="H323" s="79" t="s">
        <v>14</v>
      </c>
      <c r="I323" s="79" t="s">
        <v>155</v>
      </c>
      <c r="J323" s="79" t="s">
        <v>129</v>
      </c>
      <c r="K323" s="79" t="s">
        <v>102</v>
      </c>
      <c r="L323" s="79">
        <v>1193.02</v>
      </c>
      <c r="M323" s="79">
        <v>0.274776433335365</v>
      </c>
      <c r="N323" s="79">
        <v>0.10441874276921487</v>
      </c>
      <c r="O323" s="79">
        <f>8423.99999999998/36663.4359999998*1193.02</f>
        <v>274.11507421181233</v>
      </c>
      <c r="P323" s="79">
        <f>3224.30667036527/36663.4359999998*1193.02</f>
        <v>104.91821726363004</v>
      </c>
      <c r="Q323" s="79">
        <f>1305.20713755829/36663.4359999998*1193.02</f>
        <v>42.471148073786637</v>
      </c>
      <c r="R323" s="79">
        <f>14915.0733686122/36663.4359999998*1193.02</f>
        <v>485.33314854128304</v>
      </c>
      <c r="S323" s="79">
        <f>32320.5298576745/36663.4359999998*1193.02</f>
        <v>1051.702806327346</v>
      </c>
      <c r="T323" s="79">
        <v>11</v>
      </c>
      <c r="U323" s="79">
        <v>0.94999999999999896</v>
      </c>
      <c r="V323" s="79">
        <f>tbl_Data_old[[#This Row],[2025 ]]*IFERROR(AVERAGEIFS('Participation Adjustment'!$C:$C,'Participation Adjustment'!$A:$A,$H323,'Participation Adjustment'!$B:$B,$I323),1)</f>
        <v>13.924633951244299</v>
      </c>
      <c r="W323" s="79">
        <f>tbl_Data_old[[#This Row],[2026 ]]*IFERROR(AVERAGEIFS('Participation Adjustment'!$C:$C,'Participation Adjustment'!$A:$A,$H323,'Participation Adjustment'!$B:$B,$I323),1)</f>
        <v>11.585725768653999</v>
      </c>
      <c r="X323" s="79">
        <f>tbl_Data_old[[#This Row],[2027 ]]*IFERROR(AVERAGEIFS('Participation Adjustment'!$C:$C,'Participation Adjustment'!$A:$A,$H323,'Participation Adjustment'!$B:$B,$I323),1)</f>
        <v>9.5521048091159493</v>
      </c>
      <c r="Y323" s="79">
        <f>tbl_Data_old[[#This Row],[2028 ]]*IFERROR(AVERAGEIFS('Participation Adjustment'!$C:$C,'Participation Adjustment'!$A:$A,$H323,'Participation Adjustment'!$B:$B,$I323),1)</f>
        <v>7.87754804768685</v>
      </c>
      <c r="Z323" s="79">
        <f>tbl_Data_old[[#This Row],[2029 ]]*IFERROR(AVERAGEIFS('Participation Adjustment'!$C:$C,'Participation Adjustment'!$A:$A,$H323,'Participation Adjustment'!$B:$B,$I323),1)</f>
        <v>6.5025744854083003</v>
      </c>
      <c r="AA323" s="79">
        <f>tbl_Data_old[[#This Row],[2030 ]]*IFERROR(AVERAGEIFS('Participation Adjustment'!$C:$C,'Participation Adjustment'!$A:$A,$H323,'Participation Adjustment'!$B:$B,$I323),1)</f>
        <v>5.3715469796047497</v>
      </c>
      <c r="AB323" s="79">
        <f>tbl_Data_old[[#This Row],[2031 ]]*IFERROR(AVERAGEIFS('Participation Adjustment'!$C:$C,'Participation Adjustment'!$A:$A,$H323,'Participation Adjustment'!$B:$B,$I323),1)</f>
        <v>4.4479335449457853</v>
      </c>
      <c r="AC323" s="79">
        <f>tbl_Data_old[[#This Row],[2032 ]]*IFERROR(AVERAGEIFS('Participation Adjustment'!$C:$C,'Participation Adjustment'!$A:$A,$H323,'Participation Adjustment'!$B:$B,$I323),1)</f>
        <v>3.7027646044922</v>
      </c>
      <c r="AD323" s="79">
        <f>tbl_Data_old[[#This Row],[2033 ]]*IFERROR(AVERAGEIFS('Participation Adjustment'!$C:$C,'Participation Adjustment'!$A:$A,$H323,'Participation Adjustment'!$B:$B,$I323),1)</f>
        <v>3.1074151891663702</v>
      </c>
      <c r="AE323" s="79">
        <f>tbl_Data_old[[#This Row],[2034 ]]*IFERROR(AVERAGEIFS('Participation Adjustment'!$C:$C,'Participation Adjustment'!$A:$A,$H323,'Participation Adjustment'!$B:$B,$I323),1)</f>
        <v>2.6253989687073749</v>
      </c>
      <c r="AF323" s="77" t="str">
        <f t="shared" si="132"/>
        <v>NonResidential</v>
      </c>
      <c r="AG323" s="77" t="str">
        <f>tbl_Data[[#This Row],[All_Meas_Name_Append]]</f>
        <v>Smart thermostat</v>
      </c>
      <c r="AH323" s="77">
        <f>AVERAGEIFS('3. Incentive Adjustment'!G:G,'3. Incentive Adjustment'!A:A,tbl_Data[[#This Row],[Trimmed Sector]],'3. Incentive Adjustment'!B:B,tbl_Data[[#This Row],[Trimmed Measure Name]])</f>
        <v>0.87546479230069263</v>
      </c>
      <c r="AI323" s="77">
        <f>$AH323*tbl_Data[[#This Row],[2025 ]]</f>
        <v>12.190526769989264</v>
      </c>
      <c r="AJ323" s="77">
        <f>$AH323*tbl_Data[[#This Row],[2026 ]]</f>
        <v>10.142895003707455</v>
      </c>
      <c r="AK323" s="77">
        <f>$AH323*tbl_Data[[#This Row],[2027 ]]</f>
        <v>8.3625314527471417</v>
      </c>
      <c r="AL323" s="77">
        <f>$AH323*tbl_Data[[#This Row],[2028 ]]</f>
        <v>6.8965159654068948</v>
      </c>
      <c r="AM323" s="77">
        <f>$AH323*tbl_Data[[#This Row],[2029 ]]</f>
        <v>5.692775021287761</v>
      </c>
      <c r="AN323" s="77">
        <f>$AH323*tbl_Data[[#This Row],[2030 ]]</f>
        <v>4.7026002608330852</v>
      </c>
      <c r="AO323" s="77">
        <f>$AH323*tbl_Data[[#This Row],[2031 ]]</f>
        <v>3.8940092170932452</v>
      </c>
      <c r="AP323" s="77">
        <f>$AH323*tbl_Data[[#This Row],[2032 ]]</f>
        <v>3.24164004541012</v>
      </c>
      <c r="AQ323" s="77">
        <f>$AH323*tbl_Data[[#This Row],[2033 ]]</f>
        <v>2.7204325931755537</v>
      </c>
      <c r="AR323" s="77">
        <f>$AH323*tbl_Data[[#This Row],[2034 ]]</f>
        <v>2.2984443628458546</v>
      </c>
      <c r="AS323" s="77">
        <f>SUM(tbl_Data[[#This Row],[Adjusted 2025]:[Adjusted 2034]])</f>
        <v>60.142370692496378</v>
      </c>
      <c r="AT323" s="80">
        <f>AVERAGEIFS('3. Incentive Adjustment'!F:F,'3. Incentive Adjustment'!A:A,tbl_Data[[#This Row],[Trimmed Sector]],'3. Incentive Adjustment'!B:B,tbl_Data[[#This Row],[Trimmed Measure Name]])</f>
        <v>50</v>
      </c>
      <c r="AU323" s="80">
        <f>IFERROR(VLOOKUP(tbl_Data[[#This Row],[All_Meas_Name_Append]],'IRA Tax Credits'!$A$3:$D$46,4,0),0)</f>
        <v>0</v>
      </c>
      <c r="AV323" s="81">
        <f>tbl_Data[[#This Row],[Adj. per unit Incentive ($)]]/tbl_Data[[#This Row],[kWh Savings]]*tbl_Data[[#This Row],[Sum of Annuals]]</f>
        <v>2.5205935647556781</v>
      </c>
      <c r="AW323" s="81">
        <f>IFERROR(VLOOKUP(tbl_Data[[#This Row],[Column1]],'1. Set Program Names'!$B$2:$D$15,3,0)*tbl_Data[[#This Row],[Sum of Annuals]],"")</f>
        <v>2.141050050451458</v>
      </c>
      <c r="AX323" s="81">
        <f>tbl_Data[[#This Row],[per unit IRA tax ($)]]/tbl_Data[[#This Row],[kWh Savings]]*tbl_Data[[#This Row],[Sum of Annuals]]</f>
        <v>0</v>
      </c>
      <c r="AY323" s="81">
        <f>tbl_Data[[#This Row],[Avoided Costs ($/unit)]]/tbl_Data[[#This Row],[kWh Savings]]*tbl_Data[[#This Row],[Sum of Annuals]]</f>
        <v>24.466552219515393</v>
      </c>
      <c r="AZ323" s="81">
        <f>tbl_Data[[#This Row],[Lost Revenue ($/unit)]]/tbl_Data[[#This Row],[kWh Savings]]*tbl_Data[[#This Row],[Sum of Annuals]]</f>
        <v>53.01830651328391</v>
      </c>
      <c r="BA323" s="81">
        <f>tbl_Data[[#This Row],[Incremental Cost ($/unit)]]/tbl_Data[[#This Row],[kWh Savings]]*tbl_Data[[#This Row],[Sum of Annuals]]</f>
        <v>13.818653841216385</v>
      </c>
      <c r="BB323" s="77">
        <f>ROUNDUP(tbl_Data[[#This Row],[Adjusted 2025]]/$L323,0)</f>
        <v>1</v>
      </c>
      <c r="BC323" s="77">
        <f>ROUNDUP(tbl_Data[[#This Row],[Adjusted 2026]]/$L323,0)</f>
        <v>1</v>
      </c>
      <c r="BD323" s="77">
        <f>ROUNDUP(tbl_Data[[#This Row],[Adjusted 2027]]/$L323,0)</f>
        <v>1</v>
      </c>
      <c r="BE323" s="77">
        <f>ROUNDUP(tbl_Data[[#This Row],[Adjusted 2028]]/$L323,0)</f>
        <v>1</v>
      </c>
      <c r="BF323" s="77">
        <f>ROUNDUP(tbl_Data[[#This Row],[Adjusted 2029]]/$L323,0)</f>
        <v>1</v>
      </c>
      <c r="BG323" s="77">
        <f>ROUNDUP(tbl_Data[[#This Row],[Adjusted 2030]]/$L323,0)</f>
        <v>1</v>
      </c>
      <c r="BH323" s="77">
        <f>ROUNDUP(tbl_Data[[#This Row],[Adjusted 2031]]/$L323,0)</f>
        <v>1</v>
      </c>
      <c r="BI323" s="77">
        <f>ROUNDUP(tbl_Data[[#This Row],[Adjusted 2032]]/$L323,0)</f>
        <v>1</v>
      </c>
      <c r="BJ323" s="77">
        <f>ROUNDUP(tbl_Data[[#This Row],[Adjusted 2033]]/$L323,0)</f>
        <v>1</v>
      </c>
      <c r="BK323" s="77">
        <f>ROUNDUP(tbl_Data[[#This Row],[Adjusted 2034]]/$L323,0)</f>
        <v>1</v>
      </c>
      <c r="BL323" s="80">
        <f t="shared" si="133"/>
        <v>0.58358761593453168</v>
      </c>
      <c r="BM323" s="80">
        <f t="shared" si="134"/>
        <v>0.4855629314116276</v>
      </c>
      <c r="BN323" s="80">
        <f t="shared" si="135"/>
        <v>0.40033297049152361</v>
      </c>
      <c r="BO323" s="80">
        <f t="shared" si="136"/>
        <v>0.33015155017044351</v>
      </c>
      <c r="BP323" s="80">
        <f t="shared" si="137"/>
        <v>0.27252579526782034</v>
      </c>
      <c r="BQ323" s="80">
        <f t="shared" si="138"/>
        <v>0.2251239283333368</v>
      </c>
      <c r="BR323" s="80">
        <f t="shared" si="139"/>
        <v>0.18641487757731579</v>
      </c>
      <c r="BS323" s="80">
        <f t="shared" si="140"/>
        <v>0.15518451511677089</v>
      </c>
      <c r="BT323" s="80">
        <f t="shared" si="141"/>
        <v>0.130233155737807</v>
      </c>
      <c r="BU323" s="80">
        <f t="shared" si="142"/>
        <v>0.11003164107506055</v>
      </c>
      <c r="BV323" s="80">
        <f>IFERROR(VLOOKUP($H323,'1. Set Program Names'!$B$2:$D$15,3,0)*V323,"NA")</f>
        <v>0.4957127210076761</v>
      </c>
      <c r="BW323" s="80">
        <f>IFERROR(VLOOKUP($H323,'1. Set Program Names'!$B$2:$D$15,3,0)*W323,"NA")</f>
        <v>0.41244830318250586</v>
      </c>
      <c r="BX323" s="80">
        <f>IFERROR(VLOOKUP($H323,'1. Set Program Names'!$B$2:$D$15,3,0)*X323,"NA")</f>
        <v>0.34005201737128959</v>
      </c>
      <c r="BY323" s="80">
        <f>IFERROR(VLOOKUP($H323,'1. Set Program Names'!$B$2:$D$15,3,0)*Y323,"NA")</f>
        <v>0.28043830748158416</v>
      </c>
      <c r="BZ323" s="80">
        <f>IFERROR(VLOOKUP($H323,'1. Set Program Names'!$B$2:$D$15,3,0)*Z323,"NA")</f>
        <v>0.23148966809492291</v>
      </c>
      <c r="CA323" s="80">
        <f>IFERROR(VLOOKUP($H323,'1. Set Program Names'!$B$2:$D$15,3,0)*AA323,"NA")</f>
        <v>0.19122543390395499</v>
      </c>
      <c r="CB323" s="80">
        <f>IFERROR(VLOOKUP($H323,'1. Set Program Names'!$B$2:$D$15,3,0)*AB323,"NA")</f>
        <v>0.15834507737486092</v>
      </c>
      <c r="CC323" s="80">
        <f>IFERROR(VLOOKUP($H323,'1. Set Program Names'!$B$2:$D$15,3,0)*AC323,"NA")</f>
        <v>0.13181729040566412</v>
      </c>
      <c r="CD323" s="80">
        <f>IFERROR(VLOOKUP($H323,'1. Set Program Names'!$B$2:$D$15,3,0)*AD323,"NA")</f>
        <v>0.11062303282913916</v>
      </c>
      <c r="CE323" s="80">
        <f>IFERROR(VLOOKUP($H323,'1. Set Program Names'!$B$2:$D$15,3,0)*AE323,"NA")</f>
        <v>9.3463402418013514E-2</v>
      </c>
    </row>
    <row r="324" spans="1:83" x14ac:dyDescent="0.25">
      <c r="A324" s="79" t="s">
        <v>116</v>
      </c>
      <c r="B324" s="79" t="s">
        <v>88</v>
      </c>
      <c r="C324" s="79" t="s">
        <v>122</v>
      </c>
      <c r="D324" s="79" t="s">
        <v>90</v>
      </c>
      <c r="E324" s="79" t="s">
        <v>91</v>
      </c>
      <c r="F324" s="79" t="s">
        <v>90</v>
      </c>
      <c r="G324" s="79" t="s">
        <v>92</v>
      </c>
      <c r="H324" s="79"/>
      <c r="I324" s="79" t="s">
        <v>304</v>
      </c>
      <c r="J324" s="79" t="s">
        <v>144</v>
      </c>
      <c r="K324" s="79" t="s">
        <v>98</v>
      </c>
      <c r="L324" s="79">
        <v>71859.953750000001</v>
      </c>
      <c r="M324" s="79">
        <v>2.01028298751406</v>
      </c>
      <c r="N324" s="79">
        <v>2.93501737514182</v>
      </c>
      <c r="O324" s="79">
        <v>21366.564901045898</v>
      </c>
      <c r="P324" s="79">
        <v>219059.38064062799</v>
      </c>
      <c r="Q324" s="79">
        <v>2558.1924328944401</v>
      </c>
      <c r="R324" s="79">
        <v>23924.757333940401</v>
      </c>
      <c r="S324" s="79">
        <v>92224.942677252999</v>
      </c>
      <c r="T324" s="79">
        <v>20</v>
      </c>
      <c r="U324" s="79">
        <v>1</v>
      </c>
      <c r="V324" s="79">
        <f>tbl_Data_old[[#This Row],[2025 ]]*IFERROR(AVERAGEIFS('Participation Adjustment'!$C:$C,'Participation Adjustment'!$A:$A,$H324,'Participation Adjustment'!$B:$B,$I324),1)</f>
        <v>59.343300162357799</v>
      </c>
      <c r="W324" s="79">
        <f>tbl_Data_old[[#This Row],[2026 ]]*IFERROR(AVERAGEIFS('Participation Adjustment'!$C:$C,'Participation Adjustment'!$A:$A,$H324,'Participation Adjustment'!$B:$B,$I324),1)</f>
        <v>65.185875132448203</v>
      </c>
      <c r="X324" s="79">
        <f>tbl_Data_old[[#This Row],[2027 ]]*IFERROR(AVERAGEIFS('Participation Adjustment'!$C:$C,'Participation Adjustment'!$A:$A,$H324,'Participation Adjustment'!$B:$B,$I324),1)</f>
        <v>69.942513448571304</v>
      </c>
      <c r="Y324" s="79">
        <f>tbl_Data_old[[#This Row],[2028 ]]*IFERROR(AVERAGEIFS('Participation Adjustment'!$C:$C,'Participation Adjustment'!$A:$A,$H324,'Participation Adjustment'!$B:$B,$I324),1)</f>
        <v>74.070520258874595</v>
      </c>
      <c r="Z324" s="79">
        <f>tbl_Data_old[[#This Row],[2029 ]]*IFERROR(AVERAGEIFS('Participation Adjustment'!$C:$C,'Participation Adjustment'!$A:$A,$H324,'Participation Adjustment'!$B:$B,$I324),1)</f>
        <v>77.594034241074297</v>
      </c>
      <c r="AA324" s="79">
        <f>tbl_Data_old[[#This Row],[2030 ]]*IFERROR(AVERAGEIFS('Participation Adjustment'!$C:$C,'Participation Adjustment'!$A:$A,$H324,'Participation Adjustment'!$B:$B,$I324),1)</f>
        <v>80.486412689350303</v>
      </c>
      <c r="AB324" s="79">
        <f>tbl_Data_old[[#This Row],[2031 ]]*IFERROR(AVERAGEIFS('Participation Adjustment'!$C:$C,'Participation Adjustment'!$A:$A,$H324,'Participation Adjustment'!$B:$B,$I324),1)</f>
        <v>82.859583488765594</v>
      </c>
      <c r="AC324" s="79">
        <f>tbl_Data_old[[#This Row],[2032 ]]*IFERROR(AVERAGEIFS('Participation Adjustment'!$C:$C,'Participation Adjustment'!$A:$A,$H324,'Participation Adjustment'!$B:$B,$I324),1)</f>
        <v>84.946138769889998</v>
      </c>
      <c r="AD324" s="79">
        <f>tbl_Data_old[[#This Row],[2033 ]]*IFERROR(AVERAGEIFS('Participation Adjustment'!$C:$C,'Participation Adjustment'!$A:$A,$H324,'Participation Adjustment'!$B:$B,$I324),1)</f>
        <v>86.814376409845806</v>
      </c>
      <c r="AE324" s="79">
        <f>tbl_Data_old[[#This Row],[2034 ]]*IFERROR(AVERAGEIFS('Participation Adjustment'!$C:$C,'Participation Adjustment'!$A:$A,$H324,'Participation Adjustment'!$B:$B,$I324),1)</f>
        <v>88.416680727071807</v>
      </c>
      <c r="AF324" s="77" t="str">
        <f t="shared" si="132"/>
        <v>NonResidential</v>
      </c>
      <c r="AG324" s="77" t="str">
        <f>tbl_Data[[#This Row],[All_Meas_Name_Append]]</f>
        <v>Solar Thermal Water Heating System Commercial</v>
      </c>
      <c r="AH324" s="77">
        <f>AVERAGEIFS('3. Incentive Adjustment'!G:G,'3. Incentive Adjustment'!A:A,tbl_Data[[#This Row],[Trimmed Sector]],'3. Incentive Adjustment'!B:B,tbl_Data[[#This Row],[Trimmed Measure Name]])</f>
        <v>3.2123848810070607E-4</v>
      </c>
      <c r="AI324" s="77">
        <f>$AH324*tbl_Data[[#This Row],[2025 ]]</f>
        <v>1.9063352023062204E-2</v>
      </c>
      <c r="AJ324" s="77">
        <f>$AH324*tbl_Data[[#This Row],[2026 ]]</f>
        <v>2.0940211973069073E-2</v>
      </c>
      <c r="AK324" s="77">
        <f>$AH324*tbl_Data[[#This Row],[2027 ]]</f>
        <v>2.2468227274182347E-2</v>
      </c>
      <c r="AL324" s="77">
        <f>$AH324*tbl_Data[[#This Row],[2028 ]]</f>
        <v>2.3794301940793593E-2</v>
      </c>
      <c r="AM324" s="77">
        <f>$AH324*tbl_Data[[#This Row],[2029 ]]</f>
        <v>2.4926190245237127E-2</v>
      </c>
      <c r="AN324" s="77">
        <f>$AH324*tbl_Data[[#This Row],[2030 ]]</f>
        <v>2.5855333524976376E-2</v>
      </c>
      <c r="AO324" s="77">
        <f>$AH324*tbl_Data[[#This Row],[2031 ]]</f>
        <v>2.6617687324585287E-2</v>
      </c>
      <c r="AP324" s="77">
        <f>$AH324*tbl_Data[[#This Row],[2032 ]]</f>
        <v>2.7287969188432234E-2</v>
      </c>
      <c r="AQ324" s="77">
        <f>$AH324*tbl_Data[[#This Row],[2033 ]]</f>
        <v>2.7888119023304469E-2</v>
      </c>
      <c r="AR324" s="77">
        <f>$AH324*tbl_Data[[#This Row],[2034 ]]</f>
        <v>2.8402840839647385E-2</v>
      </c>
      <c r="AS324" s="77">
        <f>SUM(tbl_Data[[#This Row],[Adjusted 2025]:[Adjusted 2034]])</f>
        <v>0.24724423335729009</v>
      </c>
      <c r="AT324" s="80">
        <f>AVERAGEIFS('3. Incentive Adjustment'!F:F,'3. Incentive Adjustment'!A:A,tbl_Data[[#This Row],[Trimmed Sector]],'3. Incentive Adjustment'!B:B,tbl_Data[[#This Row],[Trimmed Measure Name]])</f>
        <v>0</v>
      </c>
      <c r="AU324" s="80">
        <f>IFERROR(VLOOKUP(tbl_Data[[#This Row],[All_Meas_Name_Append]],'IRA Tax Credits'!$A$3:$D$46,4,0),0)</f>
        <v>0</v>
      </c>
      <c r="AV324" s="81">
        <f>tbl_Data[[#This Row],[Adj. per unit Incentive ($)]]/tbl_Data[[#This Row],[kWh Savings]]*tbl_Data[[#This Row],[Sum of Annuals]]</f>
        <v>0</v>
      </c>
      <c r="AW324" s="81" t="str">
        <f>IFERROR(VLOOKUP(tbl_Data[[#This Row],[Column1]],'1. Set Program Names'!$B$2:$D$15,3,0)*tbl_Data[[#This Row],[Sum of Annuals]],"")</f>
        <v/>
      </c>
      <c r="AX324" s="81">
        <f>tbl_Data[[#This Row],[per unit IRA tax ($)]]/tbl_Data[[#This Row],[kWh Savings]]*tbl_Data[[#This Row],[Sum of Annuals]]</f>
        <v>0</v>
      </c>
      <c r="AY324" s="81">
        <f>tbl_Data[[#This Row],[Avoided Costs ($/unit)]]/tbl_Data[[#This Row],[kWh Savings]]*tbl_Data[[#This Row],[Sum of Annuals]]</f>
        <v>8.2316477768249297E-2</v>
      </c>
      <c r="AZ324" s="81">
        <f>tbl_Data[[#This Row],[Lost Revenue ($/unit)]]/tbl_Data[[#This Row],[kWh Savings]]*tbl_Data[[#This Row],[Sum of Annuals]]</f>
        <v>0.31731282945137496</v>
      </c>
      <c r="BA324" s="81">
        <f>tbl_Data[[#This Row],[Incremental Cost ($/unit)]]/tbl_Data[[#This Row],[kWh Savings]]*tbl_Data[[#This Row],[Sum of Annuals]]</f>
        <v>7.3514658481642514E-2</v>
      </c>
      <c r="BB324" s="77">
        <f>ROUNDUP(tbl_Data[[#This Row],[Adjusted 2025]]/$L324,0)</f>
        <v>1</v>
      </c>
      <c r="BC324" s="77">
        <f>ROUNDUP(tbl_Data[[#This Row],[Adjusted 2026]]/$L324,0)</f>
        <v>1</v>
      </c>
      <c r="BD324" s="77">
        <f>ROUNDUP(tbl_Data[[#This Row],[Adjusted 2027]]/$L324,0)</f>
        <v>1</v>
      </c>
      <c r="BE324" s="77">
        <f>ROUNDUP(tbl_Data[[#This Row],[Adjusted 2028]]/$L324,0)</f>
        <v>1</v>
      </c>
      <c r="BF324" s="77">
        <f>ROUNDUP(tbl_Data[[#This Row],[Adjusted 2029]]/$L324,0)</f>
        <v>1</v>
      </c>
      <c r="BG324" s="77">
        <f>ROUNDUP(tbl_Data[[#This Row],[Adjusted 2030]]/$L324,0)</f>
        <v>1</v>
      </c>
      <c r="BH324" s="77">
        <f>ROUNDUP(tbl_Data[[#This Row],[Adjusted 2031]]/$L324,0)</f>
        <v>1</v>
      </c>
      <c r="BI324" s="77">
        <f>ROUNDUP(tbl_Data[[#This Row],[Adjusted 2032]]/$L324,0)</f>
        <v>1</v>
      </c>
      <c r="BJ324" s="77">
        <f>ROUNDUP(tbl_Data[[#This Row],[Adjusted 2033]]/$L324,0)</f>
        <v>1</v>
      </c>
      <c r="BK324" s="77">
        <f>ROUNDUP(tbl_Data[[#This Row],[Adjusted 2034]]/$L324,0)</f>
        <v>1</v>
      </c>
      <c r="BL324" s="80">
        <f t="shared" si="133"/>
        <v>0</v>
      </c>
      <c r="BM324" s="80">
        <f t="shared" si="134"/>
        <v>0</v>
      </c>
      <c r="BN324" s="80">
        <f t="shared" si="135"/>
        <v>0</v>
      </c>
      <c r="BO324" s="80">
        <f t="shared" si="136"/>
        <v>0</v>
      </c>
      <c r="BP324" s="80">
        <f t="shared" si="137"/>
        <v>0</v>
      </c>
      <c r="BQ324" s="80">
        <f t="shared" si="138"/>
        <v>0</v>
      </c>
      <c r="BR324" s="80">
        <f t="shared" si="139"/>
        <v>0</v>
      </c>
      <c r="BS324" s="80">
        <f t="shared" si="140"/>
        <v>0</v>
      </c>
      <c r="BT324" s="80">
        <f t="shared" si="141"/>
        <v>0</v>
      </c>
      <c r="BU324" s="80">
        <f t="shared" si="142"/>
        <v>0</v>
      </c>
      <c r="BV324" s="80" t="str">
        <f>IFERROR(VLOOKUP($H324,'1. Set Program Names'!$B$2:$D$15,3,0)*V324,"NA")</f>
        <v>NA</v>
      </c>
      <c r="BW324" s="80" t="str">
        <f>IFERROR(VLOOKUP($H324,'1. Set Program Names'!$B$2:$D$15,3,0)*W324,"NA")</f>
        <v>NA</v>
      </c>
      <c r="BX324" s="80" t="str">
        <f>IFERROR(VLOOKUP($H324,'1. Set Program Names'!$B$2:$D$15,3,0)*X324,"NA")</f>
        <v>NA</v>
      </c>
      <c r="BY324" s="80" t="str">
        <f>IFERROR(VLOOKUP($H324,'1. Set Program Names'!$B$2:$D$15,3,0)*Y324,"NA")</f>
        <v>NA</v>
      </c>
      <c r="BZ324" s="80" t="str">
        <f>IFERROR(VLOOKUP($H324,'1. Set Program Names'!$B$2:$D$15,3,0)*Z324,"NA")</f>
        <v>NA</v>
      </c>
      <c r="CA324" s="80" t="str">
        <f>IFERROR(VLOOKUP($H324,'1. Set Program Names'!$B$2:$D$15,3,0)*AA324,"NA")</f>
        <v>NA</v>
      </c>
      <c r="CB324" s="80" t="str">
        <f>IFERROR(VLOOKUP($H324,'1. Set Program Names'!$B$2:$D$15,3,0)*AB324,"NA")</f>
        <v>NA</v>
      </c>
      <c r="CC324" s="80" t="str">
        <f>IFERROR(VLOOKUP($H324,'1. Set Program Names'!$B$2:$D$15,3,0)*AC324,"NA")</f>
        <v>NA</v>
      </c>
      <c r="CD324" s="80" t="str">
        <f>IFERROR(VLOOKUP($H324,'1. Set Program Names'!$B$2:$D$15,3,0)*AD324,"NA")</f>
        <v>NA</v>
      </c>
      <c r="CE324" s="80" t="str">
        <f>IFERROR(VLOOKUP($H324,'1. Set Program Names'!$B$2:$D$15,3,0)*AE324,"NA")</f>
        <v>NA</v>
      </c>
    </row>
    <row r="325" spans="1:83" x14ac:dyDescent="0.25">
      <c r="A325" s="79" t="s">
        <v>116</v>
      </c>
      <c r="B325" s="79" t="s">
        <v>88</v>
      </c>
      <c r="C325" s="79" t="s">
        <v>122</v>
      </c>
      <c r="D325" s="79" t="s">
        <v>90</v>
      </c>
      <c r="E325" s="79" t="s">
        <v>91</v>
      </c>
      <c r="F325" s="79" t="s">
        <v>90</v>
      </c>
      <c r="G325" s="79" t="s">
        <v>92</v>
      </c>
      <c r="H325" s="79" t="s">
        <v>14</v>
      </c>
      <c r="I325" s="79" t="s">
        <v>305</v>
      </c>
      <c r="J325" s="79" t="s">
        <v>129</v>
      </c>
      <c r="K325" s="79" t="s">
        <v>306</v>
      </c>
      <c r="L325" s="79">
        <v>1181.58666666666</v>
      </c>
      <c r="M325" s="79">
        <v>0.32580149205424902</v>
      </c>
      <c r="N325" s="79">
        <v>0</v>
      </c>
      <c r="O325" s="79">
        <v>442.61899981344197</v>
      </c>
      <c r="P325" s="79">
        <v>13015.025349926</v>
      </c>
      <c r="Q325" s="79">
        <v>42.064124894815102</v>
      </c>
      <c r="R325" s="79">
        <v>484.68312470825703</v>
      </c>
      <c r="S325" s="79">
        <v>971.92143438909795</v>
      </c>
      <c r="T325" s="79">
        <v>10</v>
      </c>
      <c r="U325" s="79">
        <v>0.94999999999999896</v>
      </c>
      <c r="V325" s="79">
        <f>tbl_Data_old[[#This Row],[2025 ]]*IFERROR(AVERAGEIFS('Participation Adjustment'!$C:$C,'Participation Adjustment'!$A:$A,$H325,'Participation Adjustment'!$B:$B,$I325),1)</f>
        <v>0</v>
      </c>
      <c r="W325" s="79">
        <f>tbl_Data_old[[#This Row],[2026 ]]*IFERROR(AVERAGEIFS('Participation Adjustment'!$C:$C,'Participation Adjustment'!$A:$A,$H325,'Participation Adjustment'!$B:$B,$I325),1)</f>
        <v>0</v>
      </c>
      <c r="X325" s="79">
        <f>tbl_Data_old[[#This Row],[2027 ]]*IFERROR(AVERAGEIFS('Participation Adjustment'!$C:$C,'Participation Adjustment'!$A:$A,$H325,'Participation Adjustment'!$B:$B,$I325),1)</f>
        <v>0</v>
      </c>
      <c r="Y325" s="79">
        <f>tbl_Data_old[[#This Row],[2028 ]]*IFERROR(AVERAGEIFS('Participation Adjustment'!$C:$C,'Participation Adjustment'!$A:$A,$H325,'Participation Adjustment'!$B:$B,$I325),1)</f>
        <v>0</v>
      </c>
      <c r="Z325" s="79">
        <f>tbl_Data_old[[#This Row],[2029 ]]*IFERROR(AVERAGEIFS('Participation Adjustment'!$C:$C,'Participation Adjustment'!$A:$A,$H325,'Participation Adjustment'!$B:$B,$I325),1)</f>
        <v>0</v>
      </c>
      <c r="AA325" s="79">
        <f>tbl_Data_old[[#This Row],[2030 ]]*IFERROR(AVERAGEIFS('Participation Adjustment'!$C:$C,'Participation Adjustment'!$A:$A,$H325,'Participation Adjustment'!$B:$B,$I325),1)</f>
        <v>0</v>
      </c>
      <c r="AB325" s="79">
        <f>tbl_Data_old[[#This Row],[2031 ]]*IFERROR(AVERAGEIFS('Participation Adjustment'!$C:$C,'Participation Adjustment'!$A:$A,$H325,'Participation Adjustment'!$B:$B,$I325),1)</f>
        <v>0</v>
      </c>
      <c r="AC325" s="79">
        <f>tbl_Data_old[[#This Row],[2032 ]]*IFERROR(AVERAGEIFS('Participation Adjustment'!$C:$C,'Participation Adjustment'!$A:$A,$H325,'Participation Adjustment'!$B:$B,$I325),1)</f>
        <v>0</v>
      </c>
      <c r="AD325" s="79">
        <f>tbl_Data_old[[#This Row],[2033 ]]*IFERROR(AVERAGEIFS('Participation Adjustment'!$C:$C,'Participation Adjustment'!$A:$A,$H325,'Participation Adjustment'!$B:$B,$I325),1)</f>
        <v>0</v>
      </c>
      <c r="AE325" s="79">
        <f>tbl_Data_old[[#This Row],[2034 ]]*IFERROR(AVERAGEIFS('Participation Adjustment'!$C:$C,'Participation Adjustment'!$A:$A,$H325,'Participation Adjustment'!$B:$B,$I325),1)</f>
        <v>0</v>
      </c>
      <c r="AF325" s="77" t="str">
        <f t="shared" si="132"/>
        <v>NonResidential</v>
      </c>
      <c r="AG325" s="77" t="str">
        <f>tbl_Data[[#This Row],[All_Meas_Name_Append]]</f>
        <v>Window shade film</v>
      </c>
      <c r="AH325" s="77">
        <f>AVERAGEIFS('3. Incentive Adjustment'!G:G,'3. Incentive Adjustment'!A:A,tbl_Data[[#This Row],[Trimmed Sector]],'3. Incentive Adjustment'!B:B,tbl_Data[[#This Row],[Trimmed Measure Name]])</f>
        <v>3.2127764592544555E-13</v>
      </c>
      <c r="AI325" s="77">
        <f>$AH325*tbl_Data[[#This Row],[2025 ]]</f>
        <v>0</v>
      </c>
      <c r="AJ325" s="77">
        <f>$AH325*tbl_Data[[#This Row],[2026 ]]</f>
        <v>0</v>
      </c>
      <c r="AK325" s="77">
        <f>$AH325*tbl_Data[[#This Row],[2027 ]]</f>
        <v>0</v>
      </c>
      <c r="AL325" s="77">
        <f>$AH325*tbl_Data[[#This Row],[2028 ]]</f>
        <v>0</v>
      </c>
      <c r="AM325" s="77">
        <f>$AH325*tbl_Data[[#This Row],[2029 ]]</f>
        <v>0</v>
      </c>
      <c r="AN325" s="77">
        <f>$AH325*tbl_Data[[#This Row],[2030 ]]</f>
        <v>0</v>
      </c>
      <c r="AO325" s="77">
        <f>$AH325*tbl_Data[[#This Row],[2031 ]]</f>
        <v>0</v>
      </c>
      <c r="AP325" s="77">
        <f>$AH325*tbl_Data[[#This Row],[2032 ]]</f>
        <v>0</v>
      </c>
      <c r="AQ325" s="77">
        <f>$AH325*tbl_Data[[#This Row],[2033 ]]</f>
        <v>0</v>
      </c>
      <c r="AR325" s="77">
        <f>$AH325*tbl_Data[[#This Row],[2034 ]]</f>
        <v>0</v>
      </c>
      <c r="AS325" s="77">
        <f>SUM(tbl_Data[[#This Row],[Adjusted 2025]:[Adjusted 2034]])</f>
        <v>0</v>
      </c>
      <c r="AT325" s="80">
        <f>AVERAGEIFS('3. Incentive Adjustment'!F:F,'3. Incentive Adjustment'!A:A,tbl_Data[[#This Row],[Trimmed Sector]],'3. Incentive Adjustment'!B:B,tbl_Data[[#This Row],[Trimmed Measure Name]])</f>
        <v>132.78569994403261</v>
      </c>
      <c r="AU325" s="80">
        <f>IFERROR(VLOOKUP(tbl_Data[[#This Row],[All_Meas_Name_Append]],'IRA Tax Credits'!$A$3:$D$46,4,0),0)</f>
        <v>0</v>
      </c>
      <c r="AV325" s="81">
        <f>tbl_Data[[#This Row],[Adj. per unit Incentive ($)]]/tbl_Data[[#This Row],[kWh Savings]]*tbl_Data[[#This Row],[Sum of Annuals]]</f>
        <v>0</v>
      </c>
      <c r="AW325" s="81">
        <f>IFERROR(VLOOKUP(tbl_Data[[#This Row],[Column1]],'1. Set Program Names'!$B$2:$D$15,3,0)*tbl_Data[[#This Row],[Sum of Annuals]],"")</f>
        <v>0</v>
      </c>
      <c r="AX325" s="81">
        <f>tbl_Data[[#This Row],[per unit IRA tax ($)]]/tbl_Data[[#This Row],[kWh Savings]]*tbl_Data[[#This Row],[Sum of Annuals]]</f>
        <v>0</v>
      </c>
      <c r="AY325" s="81">
        <f>tbl_Data[[#This Row],[Avoided Costs ($/unit)]]/tbl_Data[[#This Row],[kWh Savings]]*tbl_Data[[#This Row],[Sum of Annuals]]</f>
        <v>0</v>
      </c>
      <c r="AZ325" s="81">
        <f>tbl_Data[[#This Row],[Lost Revenue ($/unit)]]/tbl_Data[[#This Row],[kWh Savings]]*tbl_Data[[#This Row],[Sum of Annuals]]</f>
        <v>0</v>
      </c>
      <c r="BA325" s="81">
        <f>tbl_Data[[#This Row],[Incremental Cost ($/unit)]]/tbl_Data[[#This Row],[kWh Savings]]*tbl_Data[[#This Row],[Sum of Annuals]]</f>
        <v>0</v>
      </c>
      <c r="BB325" s="77">
        <f>ROUNDUP(tbl_Data[[#This Row],[Adjusted 2025]]/$L325,0)</f>
        <v>0</v>
      </c>
      <c r="BC325" s="77">
        <f>ROUNDUP(tbl_Data[[#This Row],[Adjusted 2026]]/$L325,0)</f>
        <v>0</v>
      </c>
      <c r="BD325" s="77">
        <f>ROUNDUP(tbl_Data[[#This Row],[Adjusted 2027]]/$L325,0)</f>
        <v>0</v>
      </c>
      <c r="BE325" s="77">
        <f>ROUNDUP(tbl_Data[[#This Row],[Adjusted 2028]]/$L325,0)</f>
        <v>0</v>
      </c>
      <c r="BF325" s="77">
        <f>ROUNDUP(tbl_Data[[#This Row],[Adjusted 2029]]/$L325,0)</f>
        <v>0</v>
      </c>
      <c r="BG325" s="77">
        <f>ROUNDUP(tbl_Data[[#This Row],[Adjusted 2030]]/$L325,0)</f>
        <v>0</v>
      </c>
      <c r="BH325" s="77">
        <f>ROUNDUP(tbl_Data[[#This Row],[Adjusted 2031]]/$L325,0)</f>
        <v>0</v>
      </c>
      <c r="BI325" s="77">
        <f>ROUNDUP(tbl_Data[[#This Row],[Adjusted 2032]]/$L325,0)</f>
        <v>0</v>
      </c>
      <c r="BJ325" s="77">
        <f>ROUNDUP(tbl_Data[[#This Row],[Adjusted 2033]]/$L325,0)</f>
        <v>0</v>
      </c>
      <c r="BK325" s="77">
        <f>ROUNDUP(tbl_Data[[#This Row],[Adjusted 2034]]/$L325,0)</f>
        <v>0</v>
      </c>
      <c r="BL325" s="80">
        <f t="shared" si="133"/>
        <v>0</v>
      </c>
      <c r="BM325" s="80">
        <f t="shared" si="134"/>
        <v>0</v>
      </c>
      <c r="BN325" s="80">
        <f t="shared" si="135"/>
        <v>0</v>
      </c>
      <c r="BO325" s="80">
        <f t="shared" si="136"/>
        <v>0</v>
      </c>
      <c r="BP325" s="80">
        <f t="shared" si="137"/>
        <v>0</v>
      </c>
      <c r="BQ325" s="80">
        <f t="shared" si="138"/>
        <v>0</v>
      </c>
      <c r="BR325" s="80">
        <f t="shared" si="139"/>
        <v>0</v>
      </c>
      <c r="BS325" s="80">
        <f t="shared" si="140"/>
        <v>0</v>
      </c>
      <c r="BT325" s="80">
        <f t="shared" si="141"/>
        <v>0</v>
      </c>
      <c r="BU325" s="80">
        <f t="shared" si="142"/>
        <v>0</v>
      </c>
      <c r="BV325" s="80">
        <f>IFERROR(VLOOKUP($H325,'1. Set Program Names'!$B$2:$D$15,3,0)*V325,"NA")</f>
        <v>0</v>
      </c>
      <c r="BW325" s="80">
        <f>IFERROR(VLOOKUP($H325,'1. Set Program Names'!$B$2:$D$15,3,0)*W325,"NA")</f>
        <v>0</v>
      </c>
      <c r="BX325" s="80">
        <f>IFERROR(VLOOKUP($H325,'1. Set Program Names'!$B$2:$D$15,3,0)*X325,"NA")</f>
        <v>0</v>
      </c>
      <c r="BY325" s="80">
        <f>IFERROR(VLOOKUP($H325,'1. Set Program Names'!$B$2:$D$15,3,0)*Y325,"NA")</f>
        <v>0</v>
      </c>
      <c r="BZ325" s="80">
        <f>IFERROR(VLOOKUP($H325,'1. Set Program Names'!$B$2:$D$15,3,0)*Z325,"NA")</f>
        <v>0</v>
      </c>
      <c r="CA325" s="80">
        <f>IFERROR(VLOOKUP($H325,'1. Set Program Names'!$B$2:$D$15,3,0)*AA325,"NA")</f>
        <v>0</v>
      </c>
      <c r="CB325" s="80">
        <f>IFERROR(VLOOKUP($H325,'1. Set Program Names'!$B$2:$D$15,3,0)*AB325,"NA")</f>
        <v>0</v>
      </c>
      <c r="CC325" s="80">
        <f>IFERROR(VLOOKUP($H325,'1. Set Program Names'!$B$2:$D$15,3,0)*AC325,"NA")</f>
        <v>0</v>
      </c>
      <c r="CD325" s="80">
        <f>IFERROR(VLOOKUP($H325,'1. Set Program Names'!$B$2:$D$15,3,0)*AD325,"NA")</f>
        <v>0</v>
      </c>
      <c r="CE325" s="80">
        <f>IFERROR(VLOOKUP($H325,'1. Set Program Names'!$B$2:$D$15,3,0)*AE325,"NA")</f>
        <v>0</v>
      </c>
    </row>
    <row r="326" spans="1:83" x14ac:dyDescent="0.25">
      <c r="A326" s="79" t="s">
        <v>117</v>
      </c>
      <c r="B326" s="79" t="s">
        <v>88</v>
      </c>
      <c r="C326" s="79" t="s">
        <v>122</v>
      </c>
      <c r="D326" s="79" t="s">
        <v>90</v>
      </c>
      <c r="E326" s="79" t="s">
        <v>91</v>
      </c>
      <c r="F326" s="79" t="s">
        <v>90</v>
      </c>
      <c r="G326" s="79" t="s">
        <v>92</v>
      </c>
      <c r="H326" s="79" t="s">
        <v>14</v>
      </c>
      <c r="I326" s="79" t="s">
        <v>237</v>
      </c>
      <c r="J326" s="79" t="s">
        <v>129</v>
      </c>
      <c r="K326" s="79" t="s">
        <v>102</v>
      </c>
      <c r="L326" s="79">
        <v>2568.1199999999699</v>
      </c>
      <c r="M326" s="79">
        <v>0.53641456399840104</v>
      </c>
      <c r="N326" s="79">
        <v>2.1892485513222901E-2</v>
      </c>
      <c r="O326" s="79">
        <f>9025.1/929.29*tbl_Data[[#This Row],[kWh Savings]]</f>
        <v>24941.126894725789</v>
      </c>
      <c r="P326" s="79">
        <v>35498.089296558101</v>
      </c>
      <c r="Q326" s="79">
        <v>91.4242886047615</v>
      </c>
      <c r="R326" s="79">
        <v>1534.4473108970501</v>
      </c>
      <c r="S326" s="79">
        <v>3958.9826982459099</v>
      </c>
      <c r="T326" s="79">
        <v>30</v>
      </c>
      <c r="U326" s="79">
        <v>0.94999999999999896</v>
      </c>
      <c r="V326" s="79">
        <f>tbl_Data_old[[#This Row],[2025 ]]*IFERROR(AVERAGEIFS('Participation Adjustment'!$C:$C,'Participation Adjustment'!$A:$A,$H326,'Participation Adjustment'!$B:$B,$I326),1)</f>
        <v>4.8777137609607703E-2</v>
      </c>
      <c r="W326" s="79">
        <f>tbl_Data_old[[#This Row],[2026 ]]*IFERROR(AVERAGEIFS('Participation Adjustment'!$C:$C,'Participation Adjustment'!$A:$A,$H326,'Participation Adjustment'!$B:$B,$I326),1)</f>
        <v>0.103021671047591</v>
      </c>
      <c r="X326" s="79">
        <f>tbl_Data_old[[#This Row],[2027 ]]*IFERROR(AVERAGEIFS('Participation Adjustment'!$C:$C,'Participation Adjustment'!$A:$A,$H326,'Participation Adjustment'!$B:$B,$I326),1)</f>
        <v>0.163074253572079</v>
      </c>
      <c r="Y326" s="79">
        <f>tbl_Data_old[[#This Row],[2028 ]]*IFERROR(AVERAGEIFS('Participation Adjustment'!$C:$C,'Participation Adjustment'!$A:$A,$H326,'Participation Adjustment'!$B:$B,$I326),1)</f>
        <v>0.22936762232792601</v>
      </c>
      <c r="Z326" s="79">
        <f>tbl_Data_old[[#This Row],[2029 ]]*IFERROR(AVERAGEIFS('Participation Adjustment'!$C:$C,'Participation Adjustment'!$A:$A,$H326,'Participation Adjustment'!$B:$B,$I326),1)</f>
        <v>0.30210001307657097</v>
      </c>
      <c r="AA326" s="79">
        <f>tbl_Data_old[[#This Row],[2030 ]]*IFERROR(AVERAGEIFS('Participation Adjustment'!$C:$C,'Participation Adjustment'!$A:$A,$H326,'Participation Adjustment'!$B:$B,$I326),1)</f>
        <v>0.381433793606683</v>
      </c>
      <c r="AB326" s="79">
        <f>tbl_Data_old[[#This Row],[2031 ]]*IFERROR(AVERAGEIFS('Participation Adjustment'!$C:$C,'Participation Adjustment'!$A:$A,$H326,'Participation Adjustment'!$B:$B,$I326),1)</f>
        <v>0.46731922772003698</v>
      </c>
      <c r="AC326" s="79">
        <f>tbl_Data_old[[#This Row],[2032 ]]*IFERROR(AVERAGEIFS('Participation Adjustment'!$C:$C,'Participation Adjustment'!$A:$A,$H326,'Participation Adjustment'!$B:$B,$I326),1)</f>
        <v>0.55981115431323303</v>
      </c>
      <c r="AD326" s="79">
        <f>tbl_Data_old[[#This Row],[2033 ]]*IFERROR(AVERAGEIFS('Participation Adjustment'!$C:$C,'Participation Adjustment'!$A:$A,$H326,'Participation Adjustment'!$B:$B,$I326),1)</f>
        <v>0.65915935348287502</v>
      </c>
      <c r="AE326" s="79">
        <f>tbl_Data_old[[#This Row],[2034 ]]*IFERROR(AVERAGEIFS('Participation Adjustment'!$C:$C,'Participation Adjustment'!$A:$A,$H326,'Participation Adjustment'!$B:$B,$I326),1)</f>
        <v>0.76517534752373995</v>
      </c>
      <c r="AF326" s="77" t="str">
        <f t="shared" si="132"/>
        <v>NonResidential</v>
      </c>
      <c r="AG326" s="77" t="str">
        <f>tbl_Data[[#This Row],[All_Meas_Name_Append]]</f>
        <v>Ceiling Insulation(R19 to R38)</v>
      </c>
      <c r="AH326" s="77">
        <f>AVERAGEIFS('3. Incentive Adjustment'!G:G,'3. Incentive Adjustment'!A:A,tbl_Data[[#This Row],[Trimmed Sector]],'3. Incentive Adjustment'!B:B,tbl_Data[[#This Row],[Trimmed Measure Name]])</f>
        <v>3.9688771318830651E-15</v>
      </c>
      <c r="AI326" s="77">
        <f>$AH326*tbl_Data[[#This Row],[2025 ]]</f>
        <v>1.9359046601748541E-16</v>
      </c>
      <c r="AJ326" s="77">
        <f>$AH326*tbl_Data[[#This Row],[2026 ]]</f>
        <v>4.0888035430916358E-16</v>
      </c>
      <c r="AK326" s="77">
        <f>$AH326*tbl_Data[[#This Row],[2027 ]]</f>
        <v>6.4722167580112452E-16</v>
      </c>
      <c r="AL326" s="77">
        <f>$AH326*tbl_Data[[#This Row],[2028 ]]</f>
        <v>9.1033191105169713E-16</v>
      </c>
      <c r="AM326" s="77">
        <f>$AH326*tbl_Data[[#This Row],[2029 ]]</f>
        <v>1.1989978334411775E-15</v>
      </c>
      <c r="AN326" s="77">
        <f>$AH326*tbl_Data[[#This Row],[2030 ]]</f>
        <v>1.5138638607729691E-15</v>
      </c>
      <c r="AO326" s="77">
        <f>$AH326*tbl_Data[[#This Row],[2031 ]]</f>
        <v>1.8547325961873094E-15</v>
      </c>
      <c r="AP326" s="77">
        <f>$AH326*tbl_Data[[#This Row],[2032 ]]</f>
        <v>2.2218216885268523E-15</v>
      </c>
      <c r="AQ326" s="77">
        <f>$AH326*tbl_Data[[#This Row],[2033 ]]</f>
        <v>2.6161224843050084E-15</v>
      </c>
      <c r="AR326" s="77">
        <f>$AH326*tbl_Data[[#This Row],[2034 ]]</f>
        <v>3.0368869386676487E-15</v>
      </c>
      <c r="AS326" s="77">
        <f>SUM(tbl_Data[[#This Row],[Adjusted 2025]:[Adjusted 2034]])</f>
        <v>1.4602449809080436E-14</v>
      </c>
      <c r="AT326" s="80">
        <f>AVERAGEIFS('3. Incentive Adjustment'!F:F,'3. Incentive Adjustment'!A:A,tbl_Data[[#This Row],[Trimmed Sector]],'3. Incentive Adjustment'!B:B,tbl_Data[[#This Row],[Trimmed Measure Name]])</f>
        <v>3222.5963039661074</v>
      </c>
      <c r="AU326" s="80">
        <f>IFERROR(VLOOKUP(tbl_Data[[#This Row],[All_Meas_Name_Append]],'IRA Tax Credits'!$A$3:$D$46,4,0),0)</f>
        <v>0</v>
      </c>
      <c r="AV326" s="81">
        <f>tbl_Data[[#This Row],[Adj. per unit Incentive ($)]]/tbl_Data[[#This Row],[kWh Savings]]*tbl_Data[[#This Row],[Sum of Annuals]]</f>
        <v>1.8323832524801707E-14</v>
      </c>
      <c r="AW326" s="81">
        <f>IFERROR(VLOOKUP(tbl_Data[[#This Row],[Column1]],'1. Set Program Names'!$B$2:$D$15,3,0)*tbl_Data[[#This Row],[Sum of Annuals]],"")</f>
        <v>5.1984275878149338E-16</v>
      </c>
      <c r="AX326" s="81">
        <f>tbl_Data[[#This Row],[per unit IRA tax ($)]]/tbl_Data[[#This Row],[kWh Savings]]*tbl_Data[[#This Row],[Sum of Annuals]]</f>
        <v>0</v>
      </c>
      <c r="AY326" s="81">
        <f>tbl_Data[[#This Row],[Avoided Costs ($/unit)]]/tbl_Data[[#This Row],[kWh Savings]]*tbl_Data[[#This Row],[Sum of Annuals]]</f>
        <v>8.7249388042820746E-15</v>
      </c>
      <c r="AZ326" s="81">
        <f>tbl_Data[[#This Row],[Lost Revenue ($/unit)]]/tbl_Data[[#This Row],[kWh Savings]]*tbl_Data[[#This Row],[Sum of Annuals]]</f>
        <v>2.2510959825146182E-14</v>
      </c>
      <c r="BA326" s="81">
        <f>tbl_Data[[#This Row],[Incremental Cost ($/unit)]]/tbl_Data[[#This Row],[kWh Savings]]*tbl_Data[[#This Row],[Sum of Annuals]]</f>
        <v>1.4181640798021268E-13</v>
      </c>
      <c r="BB326" s="77">
        <f>ROUNDUP(tbl_Data[[#This Row],[Adjusted 2025]]/$L326,0)</f>
        <v>1</v>
      </c>
      <c r="BC326" s="77">
        <f>ROUNDUP(tbl_Data[[#This Row],[Adjusted 2026]]/$L326,0)</f>
        <v>1</v>
      </c>
      <c r="BD326" s="77">
        <f>ROUNDUP(tbl_Data[[#This Row],[Adjusted 2027]]/$L326,0)</f>
        <v>1</v>
      </c>
      <c r="BE326" s="77">
        <f>ROUNDUP(tbl_Data[[#This Row],[Adjusted 2028]]/$L326,0)</f>
        <v>1</v>
      </c>
      <c r="BF326" s="77">
        <f>ROUNDUP(tbl_Data[[#This Row],[Adjusted 2029]]/$L326,0)</f>
        <v>1</v>
      </c>
      <c r="BG326" s="77">
        <f>ROUNDUP(tbl_Data[[#This Row],[Adjusted 2030]]/$L326,0)</f>
        <v>1</v>
      </c>
      <c r="BH326" s="77">
        <f>ROUNDUP(tbl_Data[[#This Row],[Adjusted 2031]]/$L326,0)</f>
        <v>1</v>
      </c>
      <c r="BI326" s="77">
        <f>ROUNDUP(tbl_Data[[#This Row],[Adjusted 2032]]/$L326,0)</f>
        <v>1</v>
      </c>
      <c r="BJ326" s="77">
        <f>ROUNDUP(tbl_Data[[#This Row],[Adjusted 2033]]/$L326,0)</f>
        <v>1</v>
      </c>
      <c r="BK326" s="77">
        <f>ROUNDUP(tbl_Data[[#This Row],[Adjusted 2034]]/$L326,0)</f>
        <v>1</v>
      </c>
      <c r="BL326" s="80">
        <f t="shared" si="133"/>
        <v>6.1207818707369535E-2</v>
      </c>
      <c r="BM326" s="80">
        <f t="shared" si="134"/>
        <v>0.12927637974330747</v>
      </c>
      <c r="BN326" s="80">
        <f t="shared" si="135"/>
        <v>0.20463315064460375</v>
      </c>
      <c r="BO326" s="80">
        <f t="shared" si="136"/>
        <v>0.28782115008779852</v>
      </c>
      <c r="BP326" s="80">
        <f t="shared" si="137"/>
        <v>0.37908913351739087</v>
      </c>
      <c r="BQ326" s="80">
        <f t="shared" si="138"/>
        <v>0.47864084757903919</v>
      </c>
      <c r="BR326" s="80">
        <f t="shared" si="139"/>
        <v>0.58641388098021296</v>
      </c>
      <c r="BS326" s="80">
        <f t="shared" si="140"/>
        <v>0.70247704811646117</v>
      </c>
      <c r="BT326" s="80">
        <f t="shared" si="141"/>
        <v>0.82714378465906069</v>
      </c>
      <c r="BU326" s="80">
        <f t="shared" si="142"/>
        <v>0.9601775800258614</v>
      </c>
      <c r="BV326" s="80">
        <f>IFERROR(VLOOKUP($H326,'1. Set Program Names'!$B$2:$D$15,3,0)*V326,"NA")</f>
        <v>1.7364512196217426E-3</v>
      </c>
      <c r="BW326" s="80">
        <f>IFERROR(VLOOKUP($H326,'1. Set Program Names'!$B$2:$D$15,3,0)*W326,"NA")</f>
        <v>3.6675400629253554E-3</v>
      </c>
      <c r="BX326" s="80">
        <f>IFERROR(VLOOKUP($H326,'1. Set Program Names'!$B$2:$D$15,3,0)*X326,"NA")</f>
        <v>5.8053936819852546E-3</v>
      </c>
      <c r="BY326" s="80">
        <f>IFERROR(VLOOKUP($H326,'1. Set Program Names'!$B$2:$D$15,3,0)*Y326,"NA")</f>
        <v>8.165417387153432E-3</v>
      </c>
      <c r="BZ326" s="80">
        <f>IFERROR(VLOOKUP($H326,'1. Set Program Names'!$B$2:$D$15,3,0)*Z326,"NA")</f>
        <v>1.0754668311066052E-2</v>
      </c>
      <c r="CA326" s="80">
        <f>IFERROR(VLOOKUP($H326,'1. Set Program Names'!$B$2:$D$15,3,0)*AA326,"NA")</f>
        <v>1.3578926697470056E-2</v>
      </c>
      <c r="CB326" s="80">
        <f>IFERROR(VLOOKUP($H326,'1. Set Program Names'!$B$2:$D$15,3,0)*AB326,"NA")</f>
        <v>1.6636421952880467E-2</v>
      </c>
      <c r="CC326" s="80">
        <f>IFERROR(VLOOKUP($H326,'1. Set Program Names'!$B$2:$D$15,3,0)*AC326,"NA")</f>
        <v>1.9929106325287854E-2</v>
      </c>
      <c r="CD326" s="80">
        <f>IFERROR(VLOOKUP($H326,'1. Set Program Names'!$B$2:$D$15,3,0)*AD326,"NA")</f>
        <v>2.3465871909936851E-2</v>
      </c>
      <c r="CE326" s="80">
        <f>IFERROR(VLOOKUP($H326,'1. Set Program Names'!$B$2:$D$15,3,0)*AE326,"NA")</f>
        <v>2.7240008958015916E-2</v>
      </c>
    </row>
    <row r="327" spans="1:83" x14ac:dyDescent="0.25">
      <c r="A327" s="79" t="s">
        <v>117</v>
      </c>
      <c r="B327" s="79" t="s">
        <v>88</v>
      </c>
      <c r="C327" s="79" t="s">
        <v>122</v>
      </c>
      <c r="D327" s="79" t="s">
        <v>90</v>
      </c>
      <c r="E327" s="79" t="s">
        <v>91</v>
      </c>
      <c r="F327" s="79" t="s">
        <v>90</v>
      </c>
      <c r="G327" s="79" t="s">
        <v>92</v>
      </c>
      <c r="H327" s="79" t="s">
        <v>14</v>
      </c>
      <c r="I327" s="79" t="s">
        <v>238</v>
      </c>
      <c r="J327" s="79" t="s">
        <v>129</v>
      </c>
      <c r="K327" s="79" t="s">
        <v>102</v>
      </c>
      <c r="L327" s="79">
        <v>4477.6116666666303</v>
      </c>
      <c r="M327" s="79">
        <v>0.90610878358590996</v>
      </c>
      <c r="N327" s="79">
        <v>4.9616670393602701E-2</v>
      </c>
      <c r="O327" s="79">
        <f>9351.31/1137.9*tbl_Data[[#This Row],[kWh Savings]]</f>
        <v>36797.200768623181</v>
      </c>
      <c r="P327" s="79">
        <v>44221.719775682497</v>
      </c>
      <c r="Q327" s="79">
        <v>159.401609454924</v>
      </c>
      <c r="R327" s="79">
        <v>2670.7044942461998</v>
      </c>
      <c r="S327" s="79">
        <v>6902.6319322295803</v>
      </c>
      <c r="T327" s="79">
        <v>30</v>
      </c>
      <c r="U327" s="79">
        <v>0.94999999999999896</v>
      </c>
      <c r="V327" s="79">
        <f>tbl_Data_old[[#This Row],[2025 ]]*IFERROR(AVERAGEIFS('Participation Adjustment'!$C:$C,'Participation Adjustment'!$A:$A,$H327,'Participation Adjustment'!$B:$B,$I327),1)</f>
        <v>8.98310706745101E-2</v>
      </c>
      <c r="W327" s="79">
        <f>tbl_Data_old[[#This Row],[2026 ]]*IFERROR(AVERAGEIFS('Participation Adjustment'!$C:$C,'Participation Adjustment'!$A:$A,$H327,'Participation Adjustment'!$B:$B,$I327),1)</f>
        <v>0.18953748019925701</v>
      </c>
      <c r="X327" s="79">
        <f>tbl_Data_old[[#This Row],[2027 ]]*IFERROR(AVERAGEIFS('Participation Adjustment'!$C:$C,'Participation Adjustment'!$A:$A,$H327,'Participation Adjustment'!$B:$B,$I327),1)</f>
        <v>0.29968808476443598</v>
      </c>
      <c r="Y327" s="79">
        <f>tbl_Data_old[[#This Row],[2028 ]]*IFERROR(AVERAGEIFS('Participation Adjustment'!$C:$C,'Participation Adjustment'!$A:$A,$H327,'Participation Adjustment'!$B:$B,$I327),1)</f>
        <v>0.42103436947276202</v>
      </c>
      <c r="Z327" s="79">
        <f>tbl_Data_old[[#This Row],[2029 ]]*IFERROR(AVERAGEIFS('Participation Adjustment'!$C:$C,'Participation Adjustment'!$A:$A,$H327,'Participation Adjustment'!$B:$B,$I327),1)</f>
        <v>0.55390720364999002</v>
      </c>
      <c r="AA327" s="79">
        <f>tbl_Data_old[[#This Row],[2030 ]]*IFERROR(AVERAGEIFS('Participation Adjustment'!$C:$C,'Participation Adjustment'!$A:$A,$H327,'Participation Adjustment'!$B:$B,$I327),1)</f>
        <v>0.69856552387959203</v>
      </c>
      <c r="AB327" s="79">
        <f>tbl_Data_old[[#This Row],[2031 ]]*IFERROR(AVERAGEIFS('Participation Adjustment'!$C:$C,'Participation Adjustment'!$A:$A,$H327,'Participation Adjustment'!$B:$B,$I327),1)</f>
        <v>0.85489428034502701</v>
      </c>
      <c r="AC327" s="79">
        <f>tbl_Data_old[[#This Row],[2032 ]]*IFERROR(AVERAGEIFS('Participation Adjustment'!$C:$C,'Participation Adjustment'!$A:$A,$H327,'Participation Adjustment'!$B:$B,$I327),1)</f>
        <v>1.02297127278168</v>
      </c>
      <c r="AD327" s="79">
        <f>tbl_Data_old[[#This Row],[2033 ]]*IFERROR(AVERAGEIFS('Participation Adjustment'!$C:$C,'Participation Adjustment'!$A:$A,$H327,'Participation Adjustment'!$B:$B,$I327),1)</f>
        <v>1.2032173188172599</v>
      </c>
      <c r="AE327" s="79">
        <f>tbl_Data_old[[#This Row],[2034 ]]*IFERROR(AVERAGEIFS('Participation Adjustment'!$C:$C,'Participation Adjustment'!$A:$A,$H327,'Participation Adjustment'!$B:$B,$I327),1)</f>
        <v>1.39527381154622</v>
      </c>
      <c r="AF327" s="77" t="str">
        <f t="shared" si="132"/>
        <v>NonResidential</v>
      </c>
      <c r="AG327" s="77" t="str">
        <f>tbl_Data[[#This Row],[All_Meas_Name_Append]]</f>
        <v>Ceiling Insulation(R19 to R49)</v>
      </c>
      <c r="AH327" s="77">
        <f>AVERAGEIFS('3. Incentive Adjustment'!G:G,'3. Incentive Adjustment'!A:A,tbl_Data[[#This Row],[Trimmed Sector]],'3. Incentive Adjustment'!B:B,tbl_Data[[#This Row],[Trimmed Measure Name]])</f>
        <v>7.9373870200739678E-11</v>
      </c>
      <c r="AI327" s="77">
        <f>$AH327*tbl_Data[[#This Row],[2025 ]]</f>
        <v>7.1302397437120371E-12</v>
      </c>
      <c r="AJ327" s="77">
        <f>$AH327*tbl_Data[[#This Row],[2026 ]]</f>
        <v>1.5044323351511091E-11</v>
      </c>
      <c r="AK327" s="77">
        <f>$AH327*tbl_Data[[#This Row],[2027 ]]</f>
        <v>2.3787403140800612E-11</v>
      </c>
      <c r="AL327" s="77">
        <f>$AH327*tbl_Data[[#This Row],[2028 ]]</f>
        <v>3.3419127392581282E-11</v>
      </c>
      <c r="AM327" s="77">
        <f>$AH327*tbl_Data[[#This Row],[2029 ]]</f>
        <v>4.3965758485768986E-11</v>
      </c>
      <c r="AN327" s="77">
        <f>$AH327*tbl_Data[[#This Row],[2030 ]]</f>
        <v>5.5447849219130451E-11</v>
      </c>
      <c r="AO327" s="77">
        <f>$AH327*tbl_Data[[#This Row],[2031 ]]</f>
        <v>6.7856267643460938E-11</v>
      </c>
      <c r="AP327" s="77">
        <f>$AH327*tbl_Data[[#This Row],[2032 ]]</f>
        <v>8.1197189024858536E-11</v>
      </c>
      <c r="AQ327" s="77">
        <f>$AH327*tbl_Data[[#This Row],[2033 ]]</f>
        <v>9.5504015287083194E-11</v>
      </c>
      <c r="AR327" s="77">
        <f>$AH327*tbl_Data[[#This Row],[2034 ]]</f>
        <v>1.1074828241216099E-10</v>
      </c>
      <c r="AS327" s="77">
        <f>SUM(tbl_Data[[#This Row],[Adjusted 2025]:[Adjusted 2034]])</f>
        <v>5.3410045570106815E-10</v>
      </c>
      <c r="AT327" s="80">
        <f>AVERAGEIFS('3. Incentive Adjustment'!F:F,'3. Incentive Adjustment'!A:A,tbl_Data[[#This Row],[Trimmed Sector]],'3. Incentive Adjustment'!B:B,tbl_Data[[#This Row],[Trimmed Measure Name]])</f>
        <v>4754.4974087894998</v>
      </c>
      <c r="AU327" s="80">
        <f>IFERROR(VLOOKUP(tbl_Data[[#This Row],[All_Meas_Name_Append]],'IRA Tax Credits'!$A$3:$D$46,4,0),0)</f>
        <v>500</v>
      </c>
      <c r="AV327" s="81">
        <f>tbl_Data[[#This Row],[Adj. per unit Incentive ($)]]/tbl_Data[[#This Row],[kWh Savings]]*tbl_Data[[#This Row],[Sum of Annuals]]</f>
        <v>5.6712806328612845E-10</v>
      </c>
      <c r="AW327" s="81">
        <f>IFERROR(VLOOKUP(tbl_Data[[#This Row],[Column1]],'1. Set Program Names'!$B$2:$D$15,3,0)*tbl_Data[[#This Row],[Sum of Annuals]],"")</f>
        <v>1.90138132976456E-11</v>
      </c>
      <c r="AX327" s="81">
        <f>tbl_Data[[#This Row],[per unit IRA tax ($)]]/tbl_Data[[#This Row],[kWh Savings]]*tbl_Data[[#This Row],[Sum of Annuals]]</f>
        <v>5.9641221198027724E-11</v>
      </c>
      <c r="AY327" s="81">
        <f>tbl_Data[[#This Row],[Avoided Costs ($/unit)]]/tbl_Data[[#This Row],[kWh Savings]]*tbl_Data[[#This Row],[Sum of Annuals]]</f>
        <v>3.1856815499180871E-10</v>
      </c>
      <c r="AZ327" s="81">
        <f>tbl_Data[[#This Row],[Lost Revenue ($/unit)]]/tbl_Data[[#This Row],[kWh Savings]]*tbl_Data[[#This Row],[Sum of Annuals]]</f>
        <v>8.2336279583734778E-10</v>
      </c>
      <c r="BA327" s="81">
        <f>tbl_Data[[#This Row],[Incremental Cost ($/unit)]]/tbl_Data[[#This Row],[kWh Savings]]*tbl_Data[[#This Row],[Sum of Annuals]]</f>
        <v>4.3892599810193819E-9</v>
      </c>
      <c r="BB327" s="77">
        <f>ROUNDUP(tbl_Data[[#This Row],[Adjusted 2025]]/$L327,0)</f>
        <v>1</v>
      </c>
      <c r="BC327" s="77">
        <f>ROUNDUP(tbl_Data[[#This Row],[Adjusted 2026]]/$L327,0)</f>
        <v>1</v>
      </c>
      <c r="BD327" s="77">
        <f>ROUNDUP(tbl_Data[[#This Row],[Adjusted 2027]]/$L327,0)</f>
        <v>1</v>
      </c>
      <c r="BE327" s="77">
        <f>ROUNDUP(tbl_Data[[#This Row],[Adjusted 2028]]/$L327,0)</f>
        <v>1</v>
      </c>
      <c r="BF327" s="77">
        <f>ROUNDUP(tbl_Data[[#This Row],[Adjusted 2029]]/$L327,0)</f>
        <v>1</v>
      </c>
      <c r="BG327" s="77">
        <f>ROUNDUP(tbl_Data[[#This Row],[Adjusted 2030]]/$L327,0)</f>
        <v>1</v>
      </c>
      <c r="BH327" s="77">
        <f>ROUNDUP(tbl_Data[[#This Row],[Adjusted 2031]]/$L327,0)</f>
        <v>1</v>
      </c>
      <c r="BI327" s="77">
        <f>ROUNDUP(tbl_Data[[#This Row],[Adjusted 2032]]/$L327,0)</f>
        <v>1</v>
      </c>
      <c r="BJ327" s="77">
        <f>ROUNDUP(tbl_Data[[#This Row],[Adjusted 2033]]/$L327,0)</f>
        <v>1</v>
      </c>
      <c r="BK327" s="77">
        <f>ROUNDUP(tbl_Data[[#This Row],[Adjusted 2034]]/$L327,0)</f>
        <v>1</v>
      </c>
      <c r="BL327" s="80">
        <f t="shared" si="133"/>
        <v>9.5386028210146606E-2</v>
      </c>
      <c r="BM327" s="80">
        <f t="shared" si="134"/>
        <v>0.20125806469204735</v>
      </c>
      <c r="BN327" s="80">
        <f t="shared" si="135"/>
        <v>0.3182201424623195</v>
      </c>
      <c r="BO327" s="80">
        <f t="shared" si="136"/>
        <v>0.44707021682383152</v>
      </c>
      <c r="BP327" s="80">
        <f t="shared" si="137"/>
        <v>0.588159617339989</v>
      </c>
      <c r="BQ327" s="80">
        <f t="shared" si="138"/>
        <v>0.74176329266797969</v>
      </c>
      <c r="BR327" s="80">
        <f t="shared" si="139"/>
        <v>0.90775907856147164</v>
      </c>
      <c r="BS327" s="80">
        <f t="shared" si="140"/>
        <v>1.0862295857218451</v>
      </c>
      <c r="BT327" s="80">
        <f t="shared" si="141"/>
        <v>1.2776216542213223</v>
      </c>
      <c r="BU327" s="80">
        <f t="shared" si="142"/>
        <v>1.4815545016852525</v>
      </c>
      <c r="BV327" s="80">
        <f>IFERROR(VLOOKUP($H327,'1. Set Program Names'!$B$2:$D$15,3,0)*V327,"NA")</f>
        <v>3.1979587133861456E-3</v>
      </c>
      <c r="BW327" s="80">
        <f>IFERROR(VLOOKUP($H327,'1. Set Program Names'!$B$2:$D$15,3,0)*W327,"NA")</f>
        <v>6.7474764774061681E-3</v>
      </c>
      <c r="BX327" s="80">
        <f>IFERROR(VLOOKUP($H327,'1. Set Program Names'!$B$2:$D$15,3,0)*X327,"NA")</f>
        <v>1.0668804398903603E-2</v>
      </c>
      <c r="BY327" s="80">
        <f>IFERROR(VLOOKUP($H327,'1. Set Program Names'!$B$2:$D$15,3,0)*Y327,"NA")</f>
        <v>1.4988695118297431E-2</v>
      </c>
      <c r="BZ327" s="80">
        <f>IFERROR(VLOOKUP($H327,'1. Set Program Names'!$B$2:$D$15,3,0)*Z327,"NA")</f>
        <v>1.9718927482654098E-2</v>
      </c>
      <c r="CA327" s="80">
        <f>IFERROR(VLOOKUP($H327,'1. Set Program Names'!$B$2:$D$15,3,0)*AA327,"NA")</f>
        <v>2.4868719555357587E-2</v>
      </c>
      <c r="CB327" s="80">
        <f>IFERROR(VLOOKUP($H327,'1. Set Program Names'!$B$2:$D$15,3,0)*AB327,"NA")</f>
        <v>3.0433975598034547E-2</v>
      </c>
      <c r="CC327" s="80">
        <f>IFERROR(VLOOKUP($H327,'1. Set Program Names'!$B$2:$D$15,3,0)*AC327,"NA")</f>
        <v>3.6417465257532172E-2</v>
      </c>
      <c r="CD327" s="80">
        <f>IFERROR(VLOOKUP($H327,'1. Set Program Names'!$B$2:$D$15,3,0)*AD327,"NA")</f>
        <v>4.2834169513028091E-2</v>
      </c>
      <c r="CE327" s="80">
        <f>IFERROR(VLOOKUP($H327,'1. Set Program Names'!$B$2:$D$15,3,0)*AE327,"NA")</f>
        <v>4.9671322068076493E-2</v>
      </c>
    </row>
    <row r="328" spans="1:83" x14ac:dyDescent="0.25">
      <c r="A328" s="79" t="s">
        <v>117</v>
      </c>
      <c r="B328" s="79" t="s">
        <v>88</v>
      </c>
      <c r="C328" s="79" t="s">
        <v>122</v>
      </c>
      <c r="D328" s="79" t="s">
        <v>90</v>
      </c>
      <c r="E328" s="79" t="s">
        <v>91</v>
      </c>
      <c r="F328" s="79" t="s">
        <v>90</v>
      </c>
      <c r="G328" s="79" t="s">
        <v>92</v>
      </c>
      <c r="H328" s="79" t="s">
        <v>14</v>
      </c>
      <c r="I328" s="79" t="s">
        <v>240</v>
      </c>
      <c r="J328" s="79" t="s">
        <v>129</v>
      </c>
      <c r="K328" s="79" t="s">
        <v>102</v>
      </c>
      <c r="L328" s="79">
        <v>18717.787499999999</v>
      </c>
      <c r="M328" s="79">
        <v>3.6380387810097399</v>
      </c>
      <c r="N328" s="79">
        <v>0.14255501576814</v>
      </c>
      <c r="O328" s="79">
        <f>11091.09/6133.31*tbl_Data[[#This Row],[kWh Savings]]</f>
        <v>33848.063405139306</v>
      </c>
      <c r="P328" s="79">
        <v>45532.278837645601</v>
      </c>
      <c r="Q328" s="79">
        <v>666.34752521012103</v>
      </c>
      <c r="R328" s="79">
        <v>11042.715256281999</v>
      </c>
      <c r="S328" s="79">
        <v>28855.114582630202</v>
      </c>
      <c r="T328" s="79">
        <v>30</v>
      </c>
      <c r="U328" s="79">
        <v>0.95</v>
      </c>
      <c r="V328" s="79">
        <f>tbl_Data_old[[#This Row],[2025 ]]*IFERROR(AVERAGEIFS('Participation Adjustment'!$C:$C,'Participation Adjustment'!$A:$A,$H328,'Participation Adjustment'!$B:$B,$I328),1)</f>
        <v>4.74004277801948E-2</v>
      </c>
      <c r="W328" s="79">
        <f>tbl_Data_old[[#This Row],[2026 ]]*IFERROR(AVERAGEIFS('Participation Adjustment'!$C:$C,'Participation Adjustment'!$A:$A,$H328,'Participation Adjustment'!$B:$B,$I328),1)</f>
        <v>9.3863623469617699E-2</v>
      </c>
      <c r="X328" s="79">
        <f>tbl_Data_old[[#This Row],[2027 ]]*IFERROR(AVERAGEIFS('Participation Adjustment'!$C:$C,'Participation Adjustment'!$A:$A,$H328,'Participation Adjustment'!$B:$B,$I328),1)</f>
        <v>0.13893601317922</v>
      </c>
      <c r="Y328" s="79">
        <f>tbl_Data_old[[#This Row],[2028 ]]*IFERROR(AVERAGEIFS('Participation Adjustment'!$C:$C,'Participation Adjustment'!$A:$A,$H328,'Participation Adjustment'!$B:$B,$I328),1)</f>
        <v>0.18260082880925499</v>
      </c>
      <c r="Z328" s="79">
        <f>tbl_Data_old[[#This Row],[2029 ]]*IFERROR(AVERAGEIFS('Participation Adjustment'!$C:$C,'Participation Adjustment'!$A:$A,$H328,'Participation Adjustment'!$B:$B,$I328),1)</f>
        <v>0.224860152561764</v>
      </c>
      <c r="AA328" s="79">
        <f>tbl_Data_old[[#This Row],[2030 ]]*IFERROR(AVERAGEIFS('Participation Adjustment'!$C:$C,'Participation Adjustment'!$A:$A,$H328,'Participation Adjustment'!$B:$B,$I328),1)</f>
        <v>0.26560505297062398</v>
      </c>
      <c r="AB328" s="79">
        <f>tbl_Data_old[[#This Row],[2031 ]]*IFERROR(AVERAGEIFS('Participation Adjustment'!$C:$C,'Participation Adjustment'!$A:$A,$H328,'Participation Adjustment'!$B:$B,$I328),1)</f>
        <v>0.30481793086064202</v>
      </c>
      <c r="AC328" s="79">
        <f>tbl_Data_old[[#This Row],[2032 ]]*IFERROR(AVERAGEIFS('Participation Adjustment'!$C:$C,'Participation Adjustment'!$A:$A,$H328,'Participation Adjustment'!$B:$B,$I328),1)</f>
        <v>0.34255187375922103</v>
      </c>
      <c r="AD328" s="79">
        <f>tbl_Data_old[[#This Row],[2033 ]]*IFERROR(AVERAGEIFS('Participation Adjustment'!$C:$C,'Participation Adjustment'!$A:$A,$H328,'Participation Adjustment'!$B:$B,$I328),1)</f>
        <v>0.37879947438542</v>
      </c>
      <c r="AE328" s="79">
        <f>tbl_Data_old[[#This Row],[2034 ]]*IFERROR(AVERAGEIFS('Participation Adjustment'!$C:$C,'Participation Adjustment'!$A:$A,$H328,'Participation Adjustment'!$B:$B,$I328),1)</f>
        <v>0.41357851879503998</v>
      </c>
      <c r="AF328" s="77" t="str">
        <f t="shared" si="132"/>
        <v>NonResidential</v>
      </c>
      <c r="AG328" s="77" t="str">
        <f>tbl_Data[[#This Row],[All_Meas_Name_Append]]</f>
        <v>Ceiling Insulation(R2 to R38)</v>
      </c>
      <c r="AH328" s="77">
        <f>AVERAGEIFS('3. Incentive Adjustment'!G:G,'3. Incentive Adjustment'!A:A,tbl_Data[[#This Row],[Trimmed Sector]],'3. Incentive Adjustment'!B:B,tbl_Data[[#This Row],[Trimmed Measure Name]])</f>
        <v>3.0218441517909909E-3</v>
      </c>
      <c r="AI328" s="77">
        <f>$AH328*tbl_Data[[#This Row],[2025 ]]</f>
        <v>1.4323670547997287E-4</v>
      </c>
      <c r="AJ328" s="77">
        <f>$AH328*tbl_Data[[#This Row],[2026 ]]</f>
        <v>2.8364124164757587E-4</v>
      </c>
      <c r="AK328" s="77">
        <f>$AH328*tbl_Data[[#This Row],[2027 ]]</f>
        <v>4.1984297889878199E-4</v>
      </c>
      <c r="AL328" s="77">
        <f>$AH328*tbl_Data[[#This Row],[2028 ]]</f>
        <v>5.5179124664943508E-4</v>
      </c>
      <c r="AM328" s="77">
        <f>$AH328*tbl_Data[[#This Row],[2029 ]]</f>
        <v>6.7949233698959657E-4</v>
      </c>
      <c r="AN328" s="77">
        <f>$AH328*tbl_Data[[#This Row],[2030 ]]</f>
        <v>8.0261707600541641E-4</v>
      </c>
      <c r="AO328" s="77">
        <f>$AH328*tbl_Data[[#This Row],[2031 ]]</f>
        <v>9.2111228173226173E-4</v>
      </c>
      <c r="AP328" s="77">
        <f>$AH328*tbl_Data[[#This Row],[2032 ]]</f>
        <v>1.0351383764043479E-3</v>
      </c>
      <c r="AQ328" s="77">
        <f>$AH328*tbl_Data[[#This Row],[2033 ]]</f>
        <v>1.1446729763730827E-3</v>
      </c>
      <c r="AR328" s="77">
        <f>$AH328*tbl_Data[[#This Row],[2034 ]]</f>
        <v>1.249769828327172E-3</v>
      </c>
      <c r="AS328" s="77">
        <f>SUM(tbl_Data[[#This Row],[Adjusted 2025]:[Adjusted 2034]])</f>
        <v>7.2313150485076427E-3</v>
      </c>
      <c r="AT328" s="80">
        <f>AVERAGEIFS('3. Incentive Adjustment'!F:F,'3. Incentive Adjustment'!A:A,tbl_Data[[#This Row],[Trimmed Sector]],'3. Incentive Adjustment'!B:B,tbl_Data[[#This Row],[Trimmed Measure Name]])</f>
        <v>4373.4448922946976</v>
      </c>
      <c r="AU328" s="80">
        <f>IFERROR(VLOOKUP(tbl_Data[[#This Row],[All_Meas_Name_Append]],'IRA Tax Credits'!$A$3:$D$46,4,0),0)</f>
        <v>0</v>
      </c>
      <c r="AV328" s="81">
        <f>tbl_Data[[#This Row],[Adj. per unit Incentive ($)]]/tbl_Data[[#This Row],[kWh Savings]]*tbl_Data[[#This Row],[Sum of Annuals]]</f>
        <v>1.6896098357495263E-3</v>
      </c>
      <c r="AW328" s="81">
        <f>IFERROR(VLOOKUP(tbl_Data[[#This Row],[Column1]],'1. Set Program Names'!$B$2:$D$15,3,0)*tbl_Data[[#This Row],[Sum of Annuals]],"")</f>
        <v>2.5743260984172268E-4</v>
      </c>
      <c r="AX328" s="81">
        <f>tbl_Data[[#This Row],[per unit IRA tax ($)]]/tbl_Data[[#This Row],[kWh Savings]]*tbl_Data[[#This Row],[Sum of Annuals]]</f>
        <v>0</v>
      </c>
      <c r="AY328" s="81">
        <f>tbl_Data[[#This Row],[Avoided Costs ($/unit)]]/tbl_Data[[#This Row],[kWh Savings]]*tbl_Data[[#This Row],[Sum of Annuals]]</f>
        <v>4.2661747820962794E-3</v>
      </c>
      <c r="AZ328" s="81">
        <f>tbl_Data[[#This Row],[Lost Revenue ($/unit)]]/tbl_Data[[#This Row],[kWh Savings]]*tbl_Data[[#This Row],[Sum of Annuals]]</f>
        <v>1.1147707724953397E-2</v>
      </c>
      <c r="BA328" s="81">
        <f>tbl_Data[[#This Row],[Incremental Cost ($/unit)]]/tbl_Data[[#This Row],[kWh Savings]]*tbl_Data[[#This Row],[Sum of Annuals]]</f>
        <v>1.3076652903791366E-2</v>
      </c>
      <c r="BB328" s="77">
        <f>ROUNDUP(tbl_Data[[#This Row],[Adjusted 2025]]/$L328,0)</f>
        <v>1</v>
      </c>
      <c r="BC328" s="77">
        <f>ROUNDUP(tbl_Data[[#This Row],[Adjusted 2026]]/$L328,0)</f>
        <v>1</v>
      </c>
      <c r="BD328" s="77">
        <f>ROUNDUP(tbl_Data[[#This Row],[Adjusted 2027]]/$L328,0)</f>
        <v>1</v>
      </c>
      <c r="BE328" s="77">
        <f>ROUNDUP(tbl_Data[[#This Row],[Adjusted 2028]]/$L328,0)</f>
        <v>1</v>
      </c>
      <c r="BF328" s="77">
        <f>ROUNDUP(tbl_Data[[#This Row],[Adjusted 2029]]/$L328,0)</f>
        <v>1</v>
      </c>
      <c r="BG328" s="77">
        <f>ROUNDUP(tbl_Data[[#This Row],[Adjusted 2030]]/$L328,0)</f>
        <v>1</v>
      </c>
      <c r="BH328" s="77">
        <f>ROUNDUP(tbl_Data[[#This Row],[Adjusted 2031]]/$L328,0)</f>
        <v>1</v>
      </c>
      <c r="BI328" s="77">
        <f>ROUNDUP(tbl_Data[[#This Row],[Adjusted 2032]]/$L328,0)</f>
        <v>1</v>
      </c>
      <c r="BJ328" s="77">
        <f>ROUNDUP(tbl_Data[[#This Row],[Adjusted 2033]]/$L328,0)</f>
        <v>1</v>
      </c>
      <c r="BK328" s="77">
        <f>ROUNDUP(tbl_Data[[#This Row],[Adjusted 2034]]/$L328,0)</f>
        <v>1</v>
      </c>
      <c r="BL328" s="80">
        <f t="shared" si="133"/>
        <v>1.1075195653753237E-2</v>
      </c>
      <c r="BM328" s="80">
        <f t="shared" si="134"/>
        <v>2.1931405334923919E-2</v>
      </c>
      <c r="BN328" s="80">
        <f t="shared" si="135"/>
        <v>3.2462650684246128E-2</v>
      </c>
      <c r="BO328" s="80">
        <f t="shared" si="136"/>
        <v>4.2665013804896269E-2</v>
      </c>
      <c r="BP328" s="80">
        <f t="shared" si="137"/>
        <v>5.2538981207146056E-2</v>
      </c>
      <c r="BQ328" s="80">
        <f t="shared" si="138"/>
        <v>6.2059100856980999E-2</v>
      </c>
      <c r="BR328" s="80">
        <f t="shared" si="139"/>
        <v>7.1221260675296869E-2</v>
      </c>
      <c r="BS328" s="80">
        <f t="shared" si="140"/>
        <v>8.00378646588569E-2</v>
      </c>
      <c r="BT328" s="80">
        <f t="shared" si="141"/>
        <v>8.8507182083076397E-2</v>
      </c>
      <c r="BU328" s="80">
        <f t="shared" si="142"/>
        <v>9.663336869205158E-2</v>
      </c>
      <c r="BV328" s="80">
        <f>IFERROR(VLOOKUP($H328,'1. Set Program Names'!$B$2:$D$15,3,0)*V328,"NA")</f>
        <v>1.68744076965474E-3</v>
      </c>
      <c r="BW328" s="80">
        <f>IFERROR(VLOOKUP($H328,'1. Set Program Names'!$B$2:$D$15,3,0)*W328,"NA")</f>
        <v>3.3415163627770845E-3</v>
      </c>
      <c r="BX328" s="80">
        <f>IFERROR(VLOOKUP($H328,'1. Set Program Names'!$B$2:$D$15,3,0)*X328,"NA")</f>
        <v>4.9460796872778899E-3</v>
      </c>
      <c r="BY328" s="80">
        <f>IFERROR(VLOOKUP($H328,'1. Set Program Names'!$B$2:$D$15,3,0)*Y328,"NA")</f>
        <v>6.500533803921218E-3</v>
      </c>
      <c r="BZ328" s="80">
        <f>IFERROR(VLOOKUP($H328,'1. Set Program Names'!$B$2:$D$15,3,0)*Z328,"NA")</f>
        <v>8.0049528384645713E-3</v>
      </c>
      <c r="CA328" s="80">
        <f>IFERROR(VLOOKUP($H328,'1. Set Program Names'!$B$2:$D$15,3,0)*AA328,"NA")</f>
        <v>9.455458863943101E-3</v>
      </c>
      <c r="CB328" s="80">
        <f>IFERROR(VLOOKUP($H328,'1. Set Program Names'!$B$2:$D$15,3,0)*AB328,"NA")</f>
        <v>1.0851425355088498E-2</v>
      </c>
      <c r="CC328" s="80">
        <f>IFERROR(VLOOKUP($H328,'1. Set Program Names'!$B$2:$D$15,3,0)*AC328,"NA")</f>
        <v>1.2194742211682161E-2</v>
      </c>
      <c r="CD328" s="80">
        <f>IFERROR(VLOOKUP($H328,'1. Set Program Names'!$B$2:$D$15,3,0)*AD328,"NA")</f>
        <v>1.348514573678215E-2</v>
      </c>
      <c r="CE328" s="80">
        <f>IFERROR(VLOOKUP($H328,'1. Set Program Names'!$B$2:$D$15,3,0)*AE328,"NA")</f>
        <v>1.4723269108549415E-2</v>
      </c>
    </row>
    <row r="329" spans="1:83" x14ac:dyDescent="0.25">
      <c r="A329" s="79" t="s">
        <v>117</v>
      </c>
      <c r="B329" s="79" t="s">
        <v>88</v>
      </c>
      <c r="C329" s="79" t="s">
        <v>122</v>
      </c>
      <c r="D329" s="79" t="s">
        <v>90</v>
      </c>
      <c r="E329" s="79" t="s">
        <v>91</v>
      </c>
      <c r="F329" s="79" t="s">
        <v>90</v>
      </c>
      <c r="G329" s="79" t="s">
        <v>92</v>
      </c>
      <c r="H329" s="79" t="s">
        <v>14</v>
      </c>
      <c r="I329" s="79" t="s">
        <v>241</v>
      </c>
      <c r="J329" s="79" t="s">
        <v>129</v>
      </c>
      <c r="K329" s="79" t="s">
        <v>102</v>
      </c>
      <c r="L329" s="79">
        <v>19185.113333333298</v>
      </c>
      <c r="M329" s="79">
        <v>4.6125790568704801</v>
      </c>
      <c r="N329" s="79">
        <v>0.25911922024205197</v>
      </c>
      <c r="O329" s="79">
        <f>11417.3/6341.92*tbl_Data[[#This Row],[kWh Savings]]</f>
        <v>34538.782334161617</v>
      </c>
      <c r="P329" s="79">
        <v>25197.386166847798</v>
      </c>
      <c r="Q329" s="79">
        <v>682.98418232081895</v>
      </c>
      <c r="R329" s="79">
        <v>12014.6297388403</v>
      </c>
      <c r="S329" s="79">
        <v>29575.538429105502</v>
      </c>
      <c r="T329" s="79">
        <v>30</v>
      </c>
      <c r="U329" s="79">
        <v>0.95</v>
      </c>
      <c r="V329" s="79">
        <f>tbl_Data_old[[#This Row],[2025 ]]*IFERROR(AVERAGEIFS('Participation Adjustment'!$C:$C,'Participation Adjustment'!$A:$A,$H329,'Participation Adjustment'!$B:$B,$I329),1)</f>
        <v>0.18765984582977799</v>
      </c>
      <c r="W329" s="79">
        <f>tbl_Data_old[[#This Row],[2026 ]]*IFERROR(AVERAGEIFS('Participation Adjustment'!$C:$C,'Participation Adjustment'!$A:$A,$H329,'Participation Adjustment'!$B:$B,$I329),1)</f>
        <v>0.37131085773987299</v>
      </c>
      <c r="X329" s="79">
        <f>tbl_Data_old[[#This Row],[2027 ]]*IFERROR(AVERAGEIFS('Participation Adjustment'!$C:$C,'Participation Adjustment'!$A:$A,$H329,'Participation Adjustment'!$B:$B,$I329),1)</f>
        <v>0.54919458514214303</v>
      </c>
      <c r="Y329" s="79">
        <f>tbl_Data_old[[#This Row],[2028 ]]*IFERROR(AVERAGEIFS('Participation Adjustment'!$C:$C,'Participation Adjustment'!$A:$A,$H329,'Participation Adjustment'!$B:$B,$I329),1)</f>
        <v>0.72127854564437699</v>
      </c>
      <c r="Z329" s="79">
        <f>tbl_Data_old[[#This Row],[2029 ]]*IFERROR(AVERAGEIFS('Participation Adjustment'!$C:$C,'Participation Adjustment'!$A:$A,$H329,'Participation Adjustment'!$B:$B,$I329),1)</f>
        <v>0.88760152579485396</v>
      </c>
      <c r="AA329" s="79">
        <f>tbl_Data_old[[#This Row],[2030 ]]*IFERROR(AVERAGEIFS('Participation Adjustment'!$C:$C,'Participation Adjustment'!$A:$A,$H329,'Participation Adjustment'!$B:$B,$I329),1)</f>
        <v>1.04776312368527</v>
      </c>
      <c r="AB329" s="79">
        <f>tbl_Data_old[[#This Row],[2031 ]]*IFERROR(AVERAGEIFS('Participation Adjustment'!$C:$C,'Participation Adjustment'!$A:$A,$H329,'Participation Adjustment'!$B:$B,$I329),1)</f>
        <v>1.2017206262301201</v>
      </c>
      <c r="AC329" s="79">
        <f>tbl_Data_old[[#This Row],[2032 ]]*IFERROR(AVERAGEIFS('Participation Adjustment'!$C:$C,'Participation Adjustment'!$A:$A,$H329,'Participation Adjustment'!$B:$B,$I329),1)</f>
        <v>1.3497065730539699</v>
      </c>
      <c r="AD329" s="79">
        <f>tbl_Data_old[[#This Row],[2033 ]]*IFERROR(AVERAGEIFS('Participation Adjustment'!$C:$C,'Participation Adjustment'!$A:$A,$H329,'Participation Adjustment'!$B:$B,$I329),1)</f>
        <v>1.4917138961610801</v>
      </c>
      <c r="AE329" s="79">
        <f>tbl_Data_old[[#This Row],[2034 ]]*IFERROR(AVERAGEIFS('Participation Adjustment'!$C:$C,'Participation Adjustment'!$A:$A,$H329,'Participation Adjustment'!$B:$B,$I329),1)</f>
        <v>1.62783251967506</v>
      </c>
      <c r="AF329" s="77" t="str">
        <f t="shared" si="132"/>
        <v>NonResidential</v>
      </c>
      <c r="AG329" s="77" t="str">
        <f>tbl_Data[[#This Row],[All_Meas_Name_Append]]</f>
        <v>Ceiling Insulation(R2 to R49)</v>
      </c>
      <c r="AH329" s="77">
        <f>AVERAGEIFS('3. Incentive Adjustment'!G:G,'3. Incentive Adjustment'!A:A,tbl_Data[[#This Row],[Trimmed Sector]],'3. Incentive Adjustment'!B:B,tbl_Data[[#This Row],[Trimmed Measure Name]])</f>
        <v>5.674595082038876E-2</v>
      </c>
      <c r="AI329" s="77">
        <f>$AH329*tbl_Data[[#This Row],[2025 ]]</f>
        <v>1.0648936382418319E-2</v>
      </c>
      <c r="AJ329" s="77">
        <f>$AH329*tbl_Data[[#This Row],[2026 ]]</f>
        <v>2.1070387672383201E-2</v>
      </c>
      <c r="AK329" s="77">
        <f>$AH329*tbl_Data[[#This Row],[2027 ]]</f>
        <v>3.1164568919299855E-2</v>
      </c>
      <c r="AL329" s="77">
        <f>$AH329*tbl_Data[[#This Row],[2028 ]]</f>
        <v>4.0929636878937345E-2</v>
      </c>
      <c r="AM329" s="77">
        <f>$AH329*tbl_Data[[#This Row],[2029 ]]</f>
        <v>5.0367792530856811E-2</v>
      </c>
      <c r="AN329" s="77">
        <f>$AH329*tbl_Data[[#This Row],[2030 ]]</f>
        <v>5.9456314688061236E-2</v>
      </c>
      <c r="AO329" s="77">
        <f>$AH329*tbl_Data[[#This Row],[2031 ]]</f>
        <v>6.8192779555901181E-2</v>
      </c>
      <c r="AP329" s="77">
        <f>$AH329*tbl_Data[[#This Row],[2032 ]]</f>
        <v>7.6590382816476024E-2</v>
      </c>
      <c r="AQ329" s="77">
        <f>$AH329*tbl_Data[[#This Row],[2033 ]]</f>
        <v>8.4648723389647157E-2</v>
      </c>
      <c r="AR329" s="77">
        <f>$AH329*tbl_Data[[#This Row],[2034 ]]</f>
        <v>9.2372904105310474E-2</v>
      </c>
      <c r="AS329" s="77">
        <f>SUM(tbl_Data[[#This Row],[Adjusted 2025]:[Adjusted 2034]])</f>
        <v>0.53544242693929167</v>
      </c>
      <c r="AT329" s="80">
        <f>AVERAGEIFS('3. Incentive Adjustment'!F:F,'3. Incentive Adjustment'!A:A,tbl_Data[[#This Row],[Trimmed Sector]],'3. Incentive Adjustment'!B:B,tbl_Data[[#This Row],[Trimmed Measure Name]])</f>
        <v>4335.1908026959672</v>
      </c>
      <c r="AU329" s="80">
        <f>IFERROR(VLOOKUP(tbl_Data[[#This Row],[All_Meas_Name_Append]],'IRA Tax Credits'!$A$3:$D$46,4,0),0)</f>
        <v>500</v>
      </c>
      <c r="AV329" s="81">
        <f>tbl_Data[[#This Row],[Adj. per unit Incentive ($)]]/tbl_Data[[#This Row],[kWh Savings]]*tbl_Data[[#This Row],[Sum of Annuals]]</f>
        <v>0.12099199229682749</v>
      </c>
      <c r="AW329" s="81">
        <f>IFERROR(VLOOKUP(tbl_Data[[#This Row],[Column1]],'1. Set Program Names'!$B$2:$D$15,3,0)*tbl_Data[[#This Row],[Sum of Annuals]],"")</f>
        <v>1.9061587064363138E-2</v>
      </c>
      <c r="AX329" s="81">
        <f>tbl_Data[[#This Row],[per unit IRA tax ($)]]/tbl_Data[[#This Row],[kWh Savings]]*tbl_Data[[#This Row],[Sum of Annuals]]</f>
        <v>1.3954632887390447E-2</v>
      </c>
      <c r="AY329" s="81">
        <f>tbl_Data[[#This Row],[Avoided Costs ($/unit)]]/tbl_Data[[#This Row],[kWh Savings]]*tbl_Data[[#This Row],[Sum of Annuals]]</f>
        <v>0.33531949456688032</v>
      </c>
      <c r="AZ329" s="81">
        <f>tbl_Data[[#This Row],[Lost Revenue ($/unit)]]/tbl_Data[[#This Row],[kWh Savings]]*tbl_Data[[#This Row],[Sum of Annuals]]</f>
        <v>0.82543156245015137</v>
      </c>
      <c r="BA329" s="81">
        <f>tbl_Data[[#This Row],[Incremental Cost ($/unit)]]/tbl_Data[[#This Row],[kWh Savings]]*tbl_Data[[#This Row],[Sum of Annuals]]</f>
        <v>0.96395205570142384</v>
      </c>
      <c r="BB329" s="77">
        <f>ROUNDUP(tbl_Data[[#This Row],[Adjusted 2025]]/$L329,0)</f>
        <v>1</v>
      </c>
      <c r="BC329" s="77">
        <f>ROUNDUP(tbl_Data[[#This Row],[Adjusted 2026]]/$L329,0)</f>
        <v>1</v>
      </c>
      <c r="BD329" s="77">
        <f>ROUNDUP(tbl_Data[[#This Row],[Adjusted 2027]]/$L329,0)</f>
        <v>1</v>
      </c>
      <c r="BE329" s="77">
        <f>ROUNDUP(tbl_Data[[#This Row],[Adjusted 2028]]/$L329,0)</f>
        <v>1</v>
      </c>
      <c r="BF329" s="77">
        <f>ROUNDUP(tbl_Data[[#This Row],[Adjusted 2029]]/$L329,0)</f>
        <v>1</v>
      </c>
      <c r="BG329" s="77">
        <f>ROUNDUP(tbl_Data[[#This Row],[Adjusted 2030]]/$L329,0)</f>
        <v>1</v>
      </c>
      <c r="BH329" s="77">
        <f>ROUNDUP(tbl_Data[[#This Row],[Adjusted 2031]]/$L329,0)</f>
        <v>1</v>
      </c>
      <c r="BI329" s="77">
        <f>ROUNDUP(tbl_Data[[#This Row],[Adjusted 2032]]/$L329,0)</f>
        <v>1</v>
      </c>
      <c r="BJ329" s="77">
        <f>ROUNDUP(tbl_Data[[#This Row],[Adjusted 2033]]/$L329,0)</f>
        <v>1</v>
      </c>
      <c r="BK329" s="77">
        <f>ROUNDUP(tbl_Data[[#This Row],[Adjusted 2034]]/$L329,0)</f>
        <v>1</v>
      </c>
      <c r="BL329" s="80">
        <f t="shared" si="133"/>
        <v>4.2404817920106017E-2</v>
      </c>
      <c r="BM329" s="80">
        <f t="shared" si="134"/>
        <v>8.3903774111058205E-2</v>
      </c>
      <c r="BN329" s="80">
        <f t="shared" si="135"/>
        <v>0.12409951784136711</v>
      </c>
      <c r="BO329" s="80">
        <f t="shared" si="136"/>
        <v>0.16298470918212449</v>
      </c>
      <c r="BP329" s="80">
        <f t="shared" si="137"/>
        <v>0.20056811258962759</v>
      </c>
      <c r="BQ329" s="80">
        <f t="shared" si="138"/>
        <v>0.23675925069008652</v>
      </c>
      <c r="BR329" s="80">
        <f t="shared" si="139"/>
        <v>0.27154847176176167</v>
      </c>
      <c r="BS329" s="80">
        <f t="shared" si="140"/>
        <v>0.30498832194416053</v>
      </c>
      <c r="BT329" s="80">
        <f t="shared" si="141"/>
        <v>0.33707720410780095</v>
      </c>
      <c r="BU329" s="80">
        <f t="shared" si="142"/>
        <v>0.36783543808227359</v>
      </c>
      <c r="BV329" s="80">
        <f>IFERROR(VLOOKUP($H329,'1. Set Program Names'!$B$2:$D$15,3,0)*V329,"NA")</f>
        <v>6.6806332666179379E-3</v>
      </c>
      <c r="BW329" s="80">
        <f>IFERROR(VLOOKUP($H329,'1. Set Program Names'!$B$2:$D$15,3,0)*W329,"NA")</f>
        <v>1.32185532685747E-2</v>
      </c>
      <c r="BX329" s="80">
        <f>IFERROR(VLOOKUP($H329,'1. Set Program Names'!$B$2:$D$15,3,0)*X329,"NA")</f>
        <v>1.9551159701341095E-2</v>
      </c>
      <c r="BY329" s="80">
        <f>IFERROR(VLOOKUP($H329,'1. Set Program Names'!$B$2:$D$15,3,0)*Y329,"NA")</f>
        <v>2.5677296201663036E-2</v>
      </c>
      <c r="BZ329" s="80">
        <f>IFERROR(VLOOKUP($H329,'1. Set Program Names'!$B$2:$D$15,3,0)*Z329,"NA")</f>
        <v>3.1598343558827575E-2</v>
      </c>
      <c r="CA329" s="80">
        <f>IFERROR(VLOOKUP($H329,'1. Set Program Names'!$B$2:$D$15,3,0)*AA329,"NA")</f>
        <v>3.7300047587040162E-2</v>
      </c>
      <c r="CB329" s="80">
        <f>IFERROR(VLOOKUP($H329,'1. Set Program Names'!$B$2:$D$15,3,0)*AB329,"NA")</f>
        <v>4.2780887713486294E-2</v>
      </c>
      <c r="CC329" s="80">
        <f>IFERROR(VLOOKUP($H329,'1. Set Program Names'!$B$2:$D$15,3,0)*AC329,"NA")</f>
        <v>4.8049142277865171E-2</v>
      </c>
      <c r="CD329" s="80">
        <f>IFERROR(VLOOKUP($H329,'1. Set Program Names'!$B$2:$D$15,3,0)*AD329,"NA")</f>
        <v>5.3104559661684536E-2</v>
      </c>
      <c r="CE329" s="80">
        <f>IFERROR(VLOOKUP($H329,'1. Set Program Names'!$B$2:$D$15,3,0)*AE329,"NA")</f>
        <v>5.7950341136313879E-2</v>
      </c>
    </row>
    <row r="330" spans="1:83" x14ac:dyDescent="0.25">
      <c r="A330" s="79" t="s">
        <v>117</v>
      </c>
      <c r="B330" s="79" t="s">
        <v>88</v>
      </c>
      <c r="C330" s="79" t="s">
        <v>122</v>
      </c>
      <c r="D330" s="79" t="s">
        <v>90</v>
      </c>
      <c r="E330" s="79" t="s">
        <v>91</v>
      </c>
      <c r="F330" s="79" t="s">
        <v>90</v>
      </c>
      <c r="G330" s="79" t="s">
        <v>92</v>
      </c>
      <c r="H330" s="79" t="s">
        <v>14</v>
      </c>
      <c r="I330" s="79" t="s">
        <v>128</v>
      </c>
      <c r="J330" s="79" t="s">
        <v>129</v>
      </c>
      <c r="K330" s="79" t="s">
        <v>130</v>
      </c>
      <c r="L330" s="79">
        <v>2045.1799999999989</v>
      </c>
      <c r="M330" s="79">
        <v>0.47104509500000002</v>
      </c>
      <c r="N330" s="79">
        <v>0.17900382200000001</v>
      </c>
      <c r="O330" s="79">
        <f>19591.5999999999/60160.456*2045.18</f>
        <v>666.02468053100858</v>
      </c>
      <c r="P330" s="79">
        <f>11310.7385995848/60160.456*2045.18</f>
        <v>384.51331501042552</v>
      </c>
      <c r="Q330" s="79">
        <f>2141.69388188172/60160.456*2045.18</f>
        <v>72.807784125619918</v>
      </c>
      <c r="R330" s="79">
        <f>32581.871747558/60160.456*2045.18</f>
        <v>1107.6344311730397</v>
      </c>
      <c r="S330" s="79">
        <f>77209.8271220691/60160.456*2045.18</f>
        <v>2624.780540784353</v>
      </c>
      <c r="T330" s="79">
        <v>20</v>
      </c>
      <c r="U330" s="79">
        <v>0.94999999999999896</v>
      </c>
      <c r="V330" s="79">
        <f>tbl_Data_old[[#This Row],[2025 ]]*IFERROR(AVERAGEIFS('Participation Adjustment'!$C:$C,'Participation Adjustment'!$A:$A,$H330,'Participation Adjustment'!$B:$B,$I330),1)</f>
        <v>8.1140966388998503</v>
      </c>
      <c r="W330" s="79">
        <f>tbl_Data_old[[#This Row],[2026 ]]*IFERROR(AVERAGEIFS('Participation Adjustment'!$C:$C,'Participation Adjustment'!$A:$A,$H330,'Participation Adjustment'!$B:$B,$I330),1)</f>
        <v>16.102594927316449</v>
      </c>
      <c r="X330" s="79">
        <f>tbl_Data_old[[#This Row],[2027 ]]*IFERROR(AVERAGEIFS('Participation Adjustment'!$C:$C,'Participation Adjustment'!$A:$A,$H330,'Participation Adjustment'!$B:$B,$I330),1)</f>
        <v>23.918273246052649</v>
      </c>
      <c r="Y330" s="79">
        <f>tbl_Data_old[[#This Row],[2028 ]]*IFERROR(AVERAGEIFS('Participation Adjustment'!$C:$C,'Participation Adjustment'!$A:$A,$H330,'Participation Adjustment'!$B:$B,$I330),1)</f>
        <v>31.560490608063049</v>
      </c>
      <c r="Z330" s="79">
        <f>tbl_Data_old[[#This Row],[2029 ]]*IFERROR(AVERAGEIFS('Participation Adjustment'!$C:$C,'Participation Adjustment'!$A:$A,$H330,'Participation Adjustment'!$B:$B,$I330),1)</f>
        <v>39.018610263242003</v>
      </c>
      <c r="AA330" s="79">
        <f>tbl_Data_old[[#This Row],[2030 ]]*IFERROR(AVERAGEIFS('Participation Adjustment'!$C:$C,'Participation Adjustment'!$A:$A,$H330,'Participation Adjustment'!$B:$B,$I330),1)</f>
        <v>46.276820654167899</v>
      </c>
      <c r="AB330" s="79">
        <f>tbl_Data_old[[#This Row],[2031 ]]*IFERROR(AVERAGEIFS('Participation Adjustment'!$C:$C,'Participation Adjustment'!$A:$A,$H330,'Participation Adjustment'!$B:$B,$I330),1)</f>
        <v>53.321120387889998</v>
      </c>
      <c r="AC330" s="79">
        <f>tbl_Data_old[[#This Row],[2032 ]]*IFERROR(AVERAGEIFS('Participation Adjustment'!$C:$C,'Participation Adjustment'!$A:$A,$H330,'Participation Adjustment'!$B:$B,$I330),1)</f>
        <v>60.153233452806496</v>
      </c>
      <c r="AD330" s="79">
        <f>tbl_Data_old[[#This Row],[2033 ]]*IFERROR(AVERAGEIFS('Participation Adjustment'!$C:$C,'Participation Adjustment'!$A:$A,$H330,'Participation Adjustment'!$B:$B,$I330),1)</f>
        <v>66.783107666868503</v>
      </c>
      <c r="AE330" s="79">
        <f>tbl_Data_old[[#This Row],[2034 ]]*IFERROR(AVERAGEIFS('Participation Adjustment'!$C:$C,'Participation Adjustment'!$A:$A,$H330,'Participation Adjustment'!$B:$B,$I330),1)</f>
        <v>73.2057828414965</v>
      </c>
      <c r="AF330" s="77" t="str">
        <f t="shared" si="132"/>
        <v>NonResidential</v>
      </c>
      <c r="AG330" s="77" t="str">
        <f>tbl_Data[[#This Row],[All_Meas_Name_Append]]</f>
        <v>Commercial Duct Sealing</v>
      </c>
      <c r="AH330" s="77">
        <f>AVERAGEIFS('3. Incentive Adjustment'!G:G,'3. Incentive Adjustment'!A:A,tbl_Data[[#This Row],[Trimmed Sector]],'3. Incentive Adjustment'!B:B,tbl_Data[[#This Row],[Trimmed Measure Name]])</f>
        <v>0.69277112909915817</v>
      </c>
      <c r="AI330" s="77">
        <f>$AH330*tbl_Data[[#This Row],[2025 ]]</f>
        <v>5.6212118901503336</v>
      </c>
      <c r="AJ330" s="77">
        <f>$AH330*tbl_Data[[#This Row],[2026 ]]</f>
        <v>11.155412869223394</v>
      </c>
      <c r="AK330" s="77">
        <f>$AH330*tbl_Data[[#This Row],[2027 ]]</f>
        <v>16.569889162770082</v>
      </c>
      <c r="AL330" s="77">
        <f>$AH330*tbl_Data[[#This Row],[2028 ]]</f>
        <v>21.864196713471216</v>
      </c>
      <c r="AM330" s="77">
        <f>$AH330*tbl_Data[[#This Row],[2029 ]]</f>
        <v>27.030966687946165</v>
      </c>
      <c r="AN330" s="77">
        <f>$AH330*tbl_Data[[#This Row],[2030 ]]</f>
        <v>32.059245295707136</v>
      </c>
      <c r="AO330" s="77">
        <f>$AH330*tbl_Data[[#This Row],[2031 ]]</f>
        <v>36.939332775950696</v>
      </c>
      <c r="AP330" s="77">
        <f>$AH330*tbl_Data[[#This Row],[2032 ]]</f>
        <v>41.672423458066007</v>
      </c>
      <c r="AQ330" s="77">
        <f>$AH330*tbl_Data[[#This Row],[2033 ]]</f>
        <v>46.265408903127138</v>
      </c>
      <c r="AR330" s="77">
        <f>$AH330*tbl_Data[[#This Row],[2034 ]]</f>
        <v>50.71485283569131</v>
      </c>
      <c r="AS330" s="77">
        <f>SUM(tbl_Data[[#This Row],[Adjusted 2025]:[Adjusted 2034]])</f>
        <v>289.89294059210351</v>
      </c>
      <c r="AT330" s="80">
        <f>AVERAGEIFS('3. Incentive Adjustment'!F:F,'3. Incentive Adjustment'!A:A,tbl_Data[[#This Row],[Trimmed Sector]],'3. Incentive Adjustment'!B:B,tbl_Data[[#This Row],[Trimmed Measure Name]])</f>
        <v>100</v>
      </c>
      <c r="AU330" s="80">
        <f>IFERROR(VLOOKUP(tbl_Data[[#This Row],[All_Meas_Name_Append]],'IRA Tax Credits'!$A$3:$D$46,4,0),0)</f>
        <v>0</v>
      </c>
      <c r="AV330" s="81">
        <f>tbl_Data[[#This Row],[Adj. per unit Incentive ($)]]/tbl_Data[[#This Row],[kWh Savings]]*tbl_Data[[#This Row],[Sum of Annuals]]</f>
        <v>14.174446287960164</v>
      </c>
      <c r="AW330" s="81">
        <f>IFERROR(VLOOKUP(tbl_Data[[#This Row],[Column1]],'1. Set Program Names'!$B$2:$D$15,3,0)*tbl_Data[[#This Row],[Sum of Annuals]],"")</f>
        <v>10.320100254340039</v>
      </c>
      <c r="AX330" s="81">
        <f>tbl_Data[[#This Row],[per unit IRA tax ($)]]/tbl_Data[[#This Row],[kWh Savings]]*tbl_Data[[#This Row],[Sum of Annuals]]</f>
        <v>0</v>
      </c>
      <c r="AY330" s="81">
        <f>tbl_Data[[#This Row],[Avoided Costs ($/unit)]]/tbl_Data[[#This Row],[kWh Savings]]*tbl_Data[[#This Row],[Sum of Annuals]]</f>
        <v>157.0010475135756</v>
      </c>
      <c r="AZ330" s="81">
        <f>tbl_Data[[#This Row],[Lost Revenue ($/unit)]]/tbl_Data[[#This Row],[kWh Savings]]*tbl_Data[[#This Row],[Sum of Annuals]]</f>
        <v>372.04810793030845</v>
      </c>
      <c r="BA330" s="81">
        <f>tbl_Data[[#This Row],[Incremental Cost ($/unit)]]/tbl_Data[[#This Row],[kWh Savings]]*tbl_Data[[#This Row],[Sum of Annuals]]</f>
        <v>94.405310606426085</v>
      </c>
      <c r="BB330" s="77">
        <f>ROUNDUP(tbl_Data[[#This Row],[Adjusted 2025]]/$L330,0)</f>
        <v>1</v>
      </c>
      <c r="BC330" s="77">
        <f>ROUNDUP(tbl_Data[[#This Row],[Adjusted 2026]]/$L330,0)</f>
        <v>1</v>
      </c>
      <c r="BD330" s="77">
        <f>ROUNDUP(tbl_Data[[#This Row],[Adjusted 2027]]/$L330,0)</f>
        <v>1</v>
      </c>
      <c r="BE330" s="77">
        <f>ROUNDUP(tbl_Data[[#This Row],[Adjusted 2028]]/$L330,0)</f>
        <v>1</v>
      </c>
      <c r="BF330" s="77">
        <f>ROUNDUP(tbl_Data[[#This Row],[Adjusted 2029]]/$L330,0)</f>
        <v>1</v>
      </c>
      <c r="BG330" s="77">
        <f>ROUNDUP(tbl_Data[[#This Row],[Adjusted 2030]]/$L330,0)</f>
        <v>1</v>
      </c>
      <c r="BH330" s="77">
        <f>ROUNDUP(tbl_Data[[#This Row],[Adjusted 2031]]/$L330,0)</f>
        <v>1</v>
      </c>
      <c r="BI330" s="77">
        <f>ROUNDUP(tbl_Data[[#This Row],[Adjusted 2032]]/$L330,0)</f>
        <v>1</v>
      </c>
      <c r="BJ330" s="77">
        <f>ROUNDUP(tbl_Data[[#This Row],[Adjusted 2033]]/$L330,0)</f>
        <v>1</v>
      </c>
      <c r="BK330" s="77">
        <f>ROUNDUP(tbl_Data[[#This Row],[Adjusted 2034]]/$L330,0)</f>
        <v>1</v>
      </c>
      <c r="BL330" s="80">
        <f t="shared" si="133"/>
        <v>0.39674242066223292</v>
      </c>
      <c r="BM330" s="80">
        <f t="shared" si="134"/>
        <v>0.78734365323915045</v>
      </c>
      <c r="BN330" s="80">
        <f t="shared" si="135"/>
        <v>1.1694947753279743</v>
      </c>
      <c r="BO330" s="80">
        <f t="shared" si="136"/>
        <v>1.5431644455775564</v>
      </c>
      <c r="BP330" s="80">
        <f t="shared" si="137"/>
        <v>1.9078325752863818</v>
      </c>
      <c r="BQ330" s="80">
        <f t="shared" si="138"/>
        <v>2.2627260512115277</v>
      </c>
      <c r="BR330" s="80">
        <f t="shared" si="139"/>
        <v>2.6071602689196074</v>
      </c>
      <c r="BS330" s="80">
        <f t="shared" si="140"/>
        <v>2.9412195236021539</v>
      </c>
      <c r="BT330" s="80">
        <f t="shared" si="141"/>
        <v>3.2653902183117642</v>
      </c>
      <c r="BU330" s="80">
        <f t="shared" si="142"/>
        <v>3.5794298223871022</v>
      </c>
      <c r="BV330" s="80">
        <f>IFERROR(VLOOKUP($H330,'1. Set Program Names'!$B$2:$D$15,3,0)*V330,"NA")</f>
        <v>0.28885936517051897</v>
      </c>
      <c r="BW330" s="80">
        <f>IFERROR(VLOOKUP($H330,'1. Set Program Names'!$B$2:$D$15,3,0)*W330,"NA")</f>
        <v>0.57324746737713328</v>
      </c>
      <c r="BX330" s="80">
        <f>IFERROR(VLOOKUP($H330,'1. Set Program Names'!$B$2:$D$15,3,0)*X330,"NA")</f>
        <v>0.85148323138119986</v>
      </c>
      <c r="BY330" s="80">
        <f>IFERROR(VLOOKUP($H330,'1. Set Program Names'!$B$2:$D$15,3,0)*Y330,"NA")</f>
        <v>1.1235438382394329</v>
      </c>
      <c r="BZ330" s="80">
        <f>IFERROR(VLOOKUP($H330,'1. Set Program Names'!$B$2:$D$15,3,0)*Z330,"NA")</f>
        <v>1.3890506228927717</v>
      </c>
      <c r="CA330" s="80">
        <f>IFERROR(VLOOKUP($H330,'1. Set Program Names'!$B$2:$D$15,3,0)*AA330,"NA")</f>
        <v>1.6474406987202623</v>
      </c>
      <c r="CB330" s="80">
        <f>IFERROR(VLOOKUP($H330,'1. Set Program Names'!$B$2:$D$15,3,0)*AB330,"NA")</f>
        <v>1.89821562040393</v>
      </c>
      <c r="CC330" s="80">
        <f>IFERROR(VLOOKUP($H330,'1. Set Program Names'!$B$2:$D$15,3,0)*AC330,"NA")</f>
        <v>2.1414367614048544</v>
      </c>
      <c r="CD330" s="80">
        <f>IFERROR(VLOOKUP($H330,'1. Set Program Names'!$B$2:$D$15,3,0)*AD330,"NA")</f>
        <v>2.3774582610075514</v>
      </c>
      <c r="CE330" s="80">
        <f>IFERROR(VLOOKUP($H330,'1. Set Program Names'!$B$2:$D$15,3,0)*AE330,"NA")</f>
        <v>2.6061035380116762</v>
      </c>
    </row>
    <row r="331" spans="1:83" x14ac:dyDescent="0.25">
      <c r="A331" s="79" t="s">
        <v>117</v>
      </c>
      <c r="B331" s="79" t="s">
        <v>88</v>
      </c>
      <c r="C331" s="79" t="s">
        <v>122</v>
      </c>
      <c r="D331" s="79" t="s">
        <v>90</v>
      </c>
      <c r="E331" s="79" t="s">
        <v>91</v>
      </c>
      <c r="F331" s="79" t="s">
        <v>90</v>
      </c>
      <c r="G331" s="79" t="s">
        <v>92</v>
      </c>
      <c r="H331" s="79" t="s">
        <v>14</v>
      </c>
      <c r="I331" s="79" t="s">
        <v>303</v>
      </c>
      <c r="J331" s="79" t="s">
        <v>129</v>
      </c>
      <c r="K331" s="79" t="s">
        <v>298</v>
      </c>
      <c r="L331" s="79">
        <v>2407.8671428571402</v>
      </c>
      <c r="M331" s="79">
        <v>0.43509988390469401</v>
      </c>
      <c r="N331" s="79">
        <v>0.148929049658067</v>
      </c>
      <c r="O331" s="79">
        <v>1278.9912095238201</v>
      </c>
      <c r="P331" s="79">
        <v>9094.9443435978392</v>
      </c>
      <c r="Q331" s="79">
        <v>85.719335775001198</v>
      </c>
      <c r="R331" s="79">
        <v>1364.7105452988201</v>
      </c>
      <c r="S331" s="79">
        <v>3090.2526043504499</v>
      </c>
      <c r="T331" s="79">
        <v>20</v>
      </c>
      <c r="U331" s="79">
        <v>0.94999999999999896</v>
      </c>
      <c r="V331" s="79">
        <f>tbl_Data_old[[#This Row],[2025 ]]*IFERROR(AVERAGEIFS('Participation Adjustment'!$C:$C,'Participation Adjustment'!$A:$A,$H331,'Participation Adjustment'!$B:$B,$I331),1)</f>
        <v>8.6280651749864194</v>
      </c>
      <c r="W331" s="79">
        <f>tbl_Data_old[[#This Row],[2026 ]]*IFERROR(AVERAGEIFS('Participation Adjustment'!$C:$C,'Participation Adjustment'!$A:$A,$H331,'Participation Adjustment'!$B:$B,$I331),1)</f>
        <v>16.820554710257401</v>
      </c>
      <c r="X331" s="79">
        <f>tbl_Data_old[[#This Row],[2027 ]]*IFERROR(AVERAGEIFS('Participation Adjustment'!$C:$C,'Participation Adjustment'!$A:$A,$H331,'Participation Adjustment'!$B:$B,$I331),1)</f>
        <v>24.503839422694298</v>
      </c>
      <c r="Y331" s="79">
        <f>tbl_Data_old[[#This Row],[2028 ]]*IFERROR(AVERAGEIFS('Participation Adjustment'!$C:$C,'Participation Adjustment'!$A:$A,$H331,'Participation Adjustment'!$B:$B,$I331),1)</f>
        <v>31.678257807193202</v>
      </c>
      <c r="Z331" s="79">
        <f>tbl_Data_old[[#This Row],[2029 ]]*IFERROR(AVERAGEIFS('Participation Adjustment'!$C:$C,'Participation Adjustment'!$A:$A,$H331,'Participation Adjustment'!$B:$B,$I331),1)</f>
        <v>38.3471738302528</v>
      </c>
      <c r="AA331" s="79">
        <f>tbl_Data_old[[#This Row],[2030 ]]*IFERROR(AVERAGEIFS('Participation Adjustment'!$C:$C,'Participation Adjustment'!$A:$A,$H331,'Participation Adjustment'!$B:$B,$I331),1)</f>
        <v>44.5118202794607</v>
      </c>
      <c r="AB331" s="79">
        <f>tbl_Data_old[[#This Row],[2031 ]]*IFERROR(AVERAGEIFS('Participation Adjustment'!$C:$C,'Participation Adjustment'!$A:$A,$H331,'Participation Adjustment'!$B:$B,$I331),1)</f>
        <v>50.185158150822197</v>
      </c>
      <c r="AC331" s="79">
        <f>tbl_Data_old[[#This Row],[2032 ]]*IFERROR(AVERAGEIFS('Participation Adjustment'!$C:$C,'Participation Adjustment'!$A:$A,$H331,'Participation Adjustment'!$B:$B,$I331),1)</f>
        <v>55.395546256511999</v>
      </c>
      <c r="AD331" s="79">
        <f>tbl_Data_old[[#This Row],[2033 ]]*IFERROR(AVERAGEIFS('Participation Adjustment'!$C:$C,'Participation Adjustment'!$A:$A,$H331,'Participation Adjustment'!$B:$B,$I331),1)</f>
        <v>60.176293664176399</v>
      </c>
      <c r="AE331" s="79">
        <f>tbl_Data_old[[#This Row],[2034 ]]*IFERROR(AVERAGEIFS('Participation Adjustment'!$C:$C,'Participation Adjustment'!$A:$A,$H331,'Participation Adjustment'!$B:$B,$I331),1)</f>
        <v>64.553575210557298</v>
      </c>
      <c r="AF331" s="77" t="str">
        <f t="shared" si="132"/>
        <v>NonResidential</v>
      </c>
      <c r="AG331" s="77" t="str">
        <f>tbl_Data[[#This Row],[All_Meas_Name_Append]]</f>
        <v>Energy Star windows</v>
      </c>
      <c r="AH331" s="77">
        <f>AVERAGEIFS('3. Incentive Adjustment'!G:G,'3. Incentive Adjustment'!A:A,tbl_Data[[#This Row],[Trimmed Sector]],'3. Incentive Adjustment'!B:B,tbl_Data[[#This Row],[Trimmed Measure Name]])</f>
        <v>1.8374525511831319E-4</v>
      </c>
      <c r="AI331" s="77">
        <f>$AH331*tbl_Data[[#This Row],[2025 ]]</f>
        <v>1.5853660367553131E-3</v>
      </c>
      <c r="AJ331" s="77">
        <f>$AH331*tbl_Data[[#This Row],[2026 ]]</f>
        <v>3.0906971164677906E-3</v>
      </c>
      <c r="AK331" s="77">
        <f>$AH331*tbl_Data[[#This Row],[2027 ]]</f>
        <v>4.5024642261011442E-3</v>
      </c>
      <c r="AL331" s="77">
        <f>$AH331*tbl_Data[[#This Row],[2028 ]]</f>
        <v>5.8207295624864118E-3</v>
      </c>
      <c r="AM331" s="77">
        <f>$AH331*tbl_Data[[#This Row],[2029 ]]</f>
        <v>7.0461112385061036E-3</v>
      </c>
      <c r="AN331" s="77">
        <f>$AH331*tbl_Data[[#This Row],[2030 ]]</f>
        <v>8.1788357730300139E-3</v>
      </c>
      <c r="AO331" s="77">
        <f>$AH331*tbl_Data[[#This Row],[2031 ]]</f>
        <v>9.22128468757572E-3</v>
      </c>
      <c r="AP331" s="77">
        <f>$AH331*tbl_Data[[#This Row],[2032 ]]</f>
        <v>1.0178668779321116E-2</v>
      </c>
      <c r="AQ331" s="77">
        <f>$AH331*tbl_Data[[#This Row],[2033 ]]</f>
        <v>1.1057108431398626E-2</v>
      </c>
      <c r="AR331" s="77">
        <f>$AH331*tbl_Data[[#This Row],[2034 ]]</f>
        <v>1.1861413145863069E-2</v>
      </c>
      <c r="AS331" s="77">
        <f>SUM(tbl_Data[[#This Row],[Adjusted 2025]:[Adjusted 2034]])</f>
        <v>7.2542678997505314E-2</v>
      </c>
      <c r="AT331" s="80">
        <f>AVERAGEIFS('3. Incentive Adjustment'!F:F,'3. Incentive Adjustment'!A:A,tbl_Data[[#This Row],[Trimmed Sector]],'3. Incentive Adjustment'!B:B,tbl_Data[[#This Row],[Trimmed Measure Name]])</f>
        <v>1244.9532966663394</v>
      </c>
      <c r="AU331" s="80">
        <f>IFERROR(VLOOKUP(tbl_Data[[#This Row],[All_Meas_Name_Append]],'IRA Tax Credits'!$A$3:$D$46,4,0),0)</f>
        <v>250</v>
      </c>
      <c r="AV331" s="81">
        <f>tbl_Data[[#This Row],[Adj. per unit Incentive ($)]]/tbl_Data[[#This Row],[kWh Savings]]*tbl_Data[[#This Row],[Sum of Annuals]]</f>
        <v>3.7507155506839578E-2</v>
      </c>
      <c r="AW331" s="81">
        <f>IFERROR(VLOOKUP(tbl_Data[[#This Row],[Column1]],'1. Set Program Names'!$B$2:$D$15,3,0)*tbl_Data[[#This Row],[Sum of Annuals]],"")</f>
        <v>2.5824972434428952E-3</v>
      </c>
      <c r="AX331" s="81">
        <f>tbl_Data[[#This Row],[per unit IRA tax ($)]]/tbl_Data[[#This Row],[kWh Savings]]*tbl_Data[[#This Row],[Sum of Annuals]]</f>
        <v>7.5318398704742511E-3</v>
      </c>
      <c r="AY331" s="81">
        <f>tbl_Data[[#This Row],[Avoided Costs ($/unit)]]/tbl_Data[[#This Row],[kWh Savings]]*tbl_Data[[#This Row],[Sum of Annuals]]</f>
        <v>4.111512518695324E-2</v>
      </c>
      <c r="AZ331" s="81">
        <f>tbl_Data[[#This Row],[Lost Revenue ($/unit)]]/tbl_Data[[#This Row],[kWh Savings]]*tbl_Data[[#This Row],[Sum of Annuals]]</f>
        <v>9.3101151101134455E-2</v>
      </c>
      <c r="BA331" s="81">
        <f>tbl_Data[[#This Row],[Incremental Cost ($/unit)]]/tbl_Data[[#This Row],[kWh Savings]]*tbl_Data[[#This Row],[Sum of Annuals]]</f>
        <v>3.8532627943510381E-2</v>
      </c>
      <c r="BB331" s="77">
        <f>ROUNDUP(tbl_Data[[#This Row],[Adjusted 2025]]/$L331,0)</f>
        <v>1</v>
      </c>
      <c r="BC331" s="77">
        <f>ROUNDUP(tbl_Data[[#This Row],[Adjusted 2026]]/$L331,0)</f>
        <v>1</v>
      </c>
      <c r="BD331" s="77">
        <f>ROUNDUP(tbl_Data[[#This Row],[Adjusted 2027]]/$L331,0)</f>
        <v>1</v>
      </c>
      <c r="BE331" s="77">
        <f>ROUNDUP(tbl_Data[[#This Row],[Adjusted 2028]]/$L331,0)</f>
        <v>1</v>
      </c>
      <c r="BF331" s="77">
        <f>ROUNDUP(tbl_Data[[#This Row],[Adjusted 2029]]/$L331,0)</f>
        <v>1</v>
      </c>
      <c r="BG331" s="77">
        <f>ROUNDUP(tbl_Data[[#This Row],[Adjusted 2030]]/$L331,0)</f>
        <v>1</v>
      </c>
      <c r="BH331" s="77">
        <f>ROUNDUP(tbl_Data[[#This Row],[Adjusted 2031]]/$L331,0)</f>
        <v>1</v>
      </c>
      <c r="BI331" s="77">
        <f>ROUNDUP(tbl_Data[[#This Row],[Adjusted 2032]]/$L331,0)</f>
        <v>1</v>
      </c>
      <c r="BJ331" s="77">
        <f>ROUNDUP(tbl_Data[[#This Row],[Adjusted 2033]]/$L331,0)</f>
        <v>1</v>
      </c>
      <c r="BK331" s="77">
        <f>ROUNDUP(tbl_Data[[#This Row],[Adjusted 2034]]/$L331,0)</f>
        <v>1</v>
      </c>
      <c r="BL331" s="80">
        <f t="shared" si="133"/>
        <v>4.4610177996389062</v>
      </c>
      <c r="BM331" s="80">
        <f t="shared" si="134"/>
        <v>8.6968274393426128</v>
      </c>
      <c r="BN331" s="80">
        <f t="shared" si="135"/>
        <v>12.669360002175095</v>
      </c>
      <c r="BO331" s="80">
        <f t="shared" si="136"/>
        <v>16.378790502085128</v>
      </c>
      <c r="BP331" s="80">
        <f t="shared" si="137"/>
        <v>19.826858229878201</v>
      </c>
      <c r="BQ331" s="80">
        <f t="shared" si="138"/>
        <v>23.014200580759379</v>
      </c>
      <c r="BR331" s="80">
        <f t="shared" si="139"/>
        <v>25.9475188524945</v>
      </c>
      <c r="BS331" s="80">
        <f t="shared" si="140"/>
        <v>28.641475563657803</v>
      </c>
      <c r="BT331" s="80">
        <f t="shared" si="141"/>
        <v>31.113292691673646</v>
      </c>
      <c r="BU331" s="80">
        <f t="shared" si="142"/>
        <v>33.37650356182877</v>
      </c>
      <c r="BV331" s="80">
        <f>IFERROR(VLOOKUP($H331,'1. Set Program Names'!$B$2:$D$15,3,0)*V331,"NA")</f>
        <v>0.30715648827105391</v>
      </c>
      <c r="BW331" s="80">
        <f>IFERROR(VLOOKUP($H331,'1. Set Program Names'!$B$2:$D$15,3,0)*W331,"NA")</f>
        <v>0.59880661663893031</v>
      </c>
      <c r="BX331" s="80">
        <f>IFERROR(VLOOKUP($H331,'1. Set Program Names'!$B$2:$D$15,3,0)*X331,"NA")</f>
        <v>0.87232920864490771</v>
      </c>
      <c r="BY331" s="80">
        <f>IFERROR(VLOOKUP($H331,'1. Set Program Names'!$B$2:$D$15,3,0)*Y331,"NA")</f>
        <v>1.1277363146040302</v>
      </c>
      <c r="BZ331" s="80">
        <f>IFERROR(VLOOKUP($H331,'1. Set Program Names'!$B$2:$D$15,3,0)*Z331,"NA")</f>
        <v>1.365147690697486</v>
      </c>
      <c r="CA331" s="80">
        <f>IFERROR(VLOOKUP($H331,'1. Set Program Names'!$B$2:$D$15,3,0)*AA331,"NA")</f>
        <v>1.5846072237873365</v>
      </c>
      <c r="CB331" s="80">
        <f>IFERROR(VLOOKUP($H331,'1. Set Program Names'!$B$2:$D$15,3,0)*AB331,"NA")</f>
        <v>1.7865763213776682</v>
      </c>
      <c r="CC331" s="80">
        <f>IFERROR(VLOOKUP($H331,'1. Set Program Names'!$B$2:$D$15,3,0)*AC331,"NA")</f>
        <v>1.9720645485311525</v>
      </c>
      <c r="CD331" s="80">
        <f>IFERROR(VLOOKUP($H331,'1. Set Program Names'!$B$2:$D$15,3,0)*AD331,"NA")</f>
        <v>2.142257697895193</v>
      </c>
      <c r="CE331" s="80">
        <f>IFERROR(VLOOKUP($H331,'1. Set Program Names'!$B$2:$D$15,3,0)*AE331,"NA")</f>
        <v>2.2980875856732679</v>
      </c>
    </row>
    <row r="332" spans="1:83" x14ac:dyDescent="0.25">
      <c r="A332" s="79" t="s">
        <v>117</v>
      </c>
      <c r="B332" s="79" t="s">
        <v>88</v>
      </c>
      <c r="C332" s="79" t="s">
        <v>122</v>
      </c>
      <c r="D332" s="79" t="s">
        <v>90</v>
      </c>
      <c r="E332" s="79" t="s">
        <v>91</v>
      </c>
      <c r="F332" s="79" t="s">
        <v>90</v>
      </c>
      <c r="G332" s="79" t="s">
        <v>92</v>
      </c>
      <c r="H332" s="79" t="s">
        <v>14</v>
      </c>
      <c r="I332" s="79" t="s">
        <v>143</v>
      </c>
      <c r="J332" s="79" t="s">
        <v>144</v>
      </c>
      <c r="K332" s="79" t="s">
        <v>108</v>
      </c>
      <c r="L332" s="79">
        <v>6670.6049999999896</v>
      </c>
      <c r="M332" s="79">
        <v>1.04667148638823</v>
      </c>
      <c r="N332" s="79">
        <v>1.5598507965563999</v>
      </c>
      <c r="O332" s="79">
        <v>2431.625</v>
      </c>
      <c r="P332" s="79">
        <v>977.24379425036398</v>
      </c>
      <c r="Q332" s="79">
        <v>237.47150315731801</v>
      </c>
      <c r="R332" s="79">
        <v>3400.8076679878</v>
      </c>
      <c r="S332" s="79">
        <v>7245.0779694633802</v>
      </c>
      <c r="T332" s="79">
        <v>15</v>
      </c>
      <c r="U332" s="79">
        <v>0.95</v>
      </c>
      <c r="V332" s="79">
        <f>tbl_Data_old[[#This Row],[2025 ]]*IFERROR(AVERAGEIFS('Participation Adjustment'!$C:$C,'Participation Adjustment'!$A:$A,$H332,'Participation Adjustment'!$B:$B,$I332),1)</f>
        <v>7.5212206914050803</v>
      </c>
      <c r="W332" s="79">
        <f>tbl_Data_old[[#This Row],[2026 ]]*IFERROR(AVERAGEIFS('Participation Adjustment'!$C:$C,'Participation Adjustment'!$A:$A,$H332,'Participation Adjustment'!$B:$B,$I332),1)</f>
        <v>15.792098168856</v>
      </c>
      <c r="X332" s="79">
        <f>tbl_Data_old[[#This Row],[2027 ]]*IFERROR(AVERAGEIFS('Participation Adjustment'!$C:$C,'Participation Adjustment'!$A:$A,$H332,'Participation Adjustment'!$B:$B,$I332),1)</f>
        <v>24.6754955459683</v>
      </c>
      <c r="Y332" s="79">
        <f>tbl_Data_old[[#This Row],[2028 ]]*IFERROR(AVERAGEIFS('Participation Adjustment'!$C:$C,'Participation Adjustment'!$A:$A,$H332,'Participation Adjustment'!$B:$B,$I332),1)</f>
        <v>34.091818179610101</v>
      </c>
      <c r="Z332" s="79">
        <f>tbl_Data_old[[#This Row],[2029 ]]*IFERROR(AVERAGEIFS('Participation Adjustment'!$C:$C,'Participation Adjustment'!$A:$A,$H332,'Participation Adjustment'!$B:$B,$I332),1)</f>
        <v>43.964153681464602</v>
      </c>
      <c r="AA332" s="79">
        <f>tbl_Data_old[[#This Row],[2030 ]]*IFERROR(AVERAGEIFS('Participation Adjustment'!$C:$C,'Participation Adjustment'!$A:$A,$H332,'Participation Adjustment'!$B:$B,$I332),1)</f>
        <v>54.211935654214898</v>
      </c>
      <c r="AB332" s="79">
        <f>tbl_Data_old[[#This Row],[2031 ]]*IFERROR(AVERAGEIFS('Participation Adjustment'!$C:$C,'Participation Adjustment'!$A:$A,$H332,'Participation Adjustment'!$B:$B,$I332),1)</f>
        <v>64.768580334009698</v>
      </c>
      <c r="AC332" s="79">
        <f>tbl_Data_old[[#This Row],[2032 ]]*IFERROR(AVERAGEIFS('Participation Adjustment'!$C:$C,'Participation Adjustment'!$A:$A,$H332,'Participation Adjustment'!$B:$B,$I332),1)</f>
        <v>75.597028404147395</v>
      </c>
      <c r="AD332" s="79">
        <f>tbl_Data_old[[#This Row],[2033 ]]*IFERROR(AVERAGEIFS('Participation Adjustment'!$C:$C,'Participation Adjustment'!$A:$A,$H332,'Participation Adjustment'!$B:$B,$I332),1)</f>
        <v>86.6689793186777</v>
      </c>
      <c r="AE332" s="79">
        <f>tbl_Data_old[[#This Row],[2034 ]]*IFERROR(AVERAGEIFS('Participation Adjustment'!$C:$C,'Participation Adjustment'!$A:$A,$H332,'Participation Adjustment'!$B:$B,$I332),1)</f>
        <v>97.949995713110496</v>
      </c>
      <c r="AF332" s="77" t="str">
        <f t="shared" ref="AF332:AF343" si="143">IF(C332="Residential","Residential","NonResidential")</f>
        <v>NonResidential</v>
      </c>
      <c r="AG332" s="77" t="str">
        <f>tbl_Data[[#This Row],[All_Meas_Name_Append]]</f>
        <v>Heat Pump Water Heater</v>
      </c>
      <c r="AH332" s="77">
        <f>AVERAGEIFS('3. Incentive Adjustment'!G:G,'3. Incentive Adjustment'!A:A,tbl_Data[[#This Row],[Trimmed Sector]],'3. Incentive Adjustment'!B:B,tbl_Data[[#This Row],[Trimmed Measure Name]])</f>
        <v>0.82797588322898052</v>
      </c>
      <c r="AI332" s="77">
        <f>$AH332*tbl_Data[[#This Row],[2025 ]]</f>
        <v>6.2273893449262046</v>
      </c>
      <c r="AJ332" s="77">
        <f>$AH332*tbl_Data[[#This Row],[2026 ]]</f>
        <v>13.075476429397312</v>
      </c>
      <c r="AK332" s="77">
        <f>$AH332*tbl_Data[[#This Row],[2027 ]]</f>
        <v>20.430715218785878</v>
      </c>
      <c r="AL332" s="77">
        <f>$AH332*tbl_Data[[#This Row],[2028 ]]</f>
        <v>28.227203268144489</v>
      </c>
      <c r="AM332" s="77">
        <f>$AH332*tbl_Data[[#This Row],[2029 ]]</f>
        <v>36.401258974825289</v>
      </c>
      <c r="AN332" s="77">
        <f>$AH332*tbl_Data[[#This Row],[2030 ]]</f>
        <v>44.886175304851243</v>
      </c>
      <c r="AO332" s="77">
        <f>$AH332*tbl_Data[[#This Row],[2031 ]]</f>
        <v>53.626822507538861</v>
      </c>
      <c r="AP332" s="77">
        <f>$AH332*tbl_Data[[#This Row],[2032 ]]</f>
        <v>62.592516362410265</v>
      </c>
      <c r="AQ332" s="77">
        <f>$AH332*tbl_Data[[#This Row],[2033 ]]</f>
        <v>71.759824699936416</v>
      </c>
      <c r="AR332" s="77">
        <f>$AH332*tbl_Data[[#This Row],[2034 ]]</f>
        <v>81.10023421283752</v>
      </c>
      <c r="AS332" s="77">
        <f>SUM(tbl_Data[[#This Row],[Adjusted 2025]:[Adjusted 2034]])</f>
        <v>418.32761632365344</v>
      </c>
      <c r="AT332" s="80">
        <f>AVERAGEIFS('3. Incentive Adjustment'!F:F,'3. Incentive Adjustment'!A:A,tbl_Data[[#This Row],[Trimmed Sector]],'3. Incentive Adjustment'!B:B,tbl_Data[[#This Row],[Trimmed Measure Name]])</f>
        <v>500</v>
      </c>
      <c r="AU332" s="80">
        <f>IFERROR(VLOOKUP(tbl_Data[[#This Row],[All_Meas_Name_Append]],'IRA Tax Credits'!$A$3:$D$46,4,0),0)</f>
        <v>0</v>
      </c>
      <c r="AV332" s="81">
        <f>tbl_Data[[#This Row],[Adj. per unit Incentive ($)]]/tbl_Data[[#This Row],[kWh Savings]]*tbl_Data[[#This Row],[Sum of Annuals]]</f>
        <v>31.356047639131244</v>
      </c>
      <c r="AW332" s="81">
        <f>IFERROR(VLOOKUP(tbl_Data[[#This Row],[Column1]],'1. Set Program Names'!$B$2:$D$15,3,0)*tbl_Data[[#This Row],[Sum of Annuals]],"")</f>
        <v>14.892335531873918</v>
      </c>
      <c r="AX332" s="81">
        <f>tbl_Data[[#This Row],[per unit IRA tax ($)]]/tbl_Data[[#This Row],[kWh Savings]]*tbl_Data[[#This Row],[Sum of Annuals]]</f>
        <v>0</v>
      </c>
      <c r="AY332" s="81">
        <f>tbl_Data[[#This Row],[Avoided Costs ($/unit)]]/tbl_Data[[#This Row],[kWh Savings]]*tbl_Data[[#This Row],[Sum of Annuals]]</f>
        <v>213.27177449789656</v>
      </c>
      <c r="AZ332" s="81">
        <f>tbl_Data[[#This Row],[Lost Revenue ($/unit)]]/tbl_Data[[#This Row],[kWh Savings]]*tbl_Data[[#This Row],[Sum of Annuals]]</f>
        <v>454.35401991942797</v>
      </c>
      <c r="BA332" s="81">
        <f>tbl_Data[[#This Row],[Incremental Cost ($/unit)]]/tbl_Data[[#This Row],[kWh Savings]]*tbl_Data[[#This Row],[Sum of Annuals]]</f>
        <v>152.49229868100502</v>
      </c>
      <c r="BB332" s="77">
        <f>ROUNDUP(tbl_Data[[#This Row],[Adjusted 2025]]/$L332,0)</f>
        <v>1</v>
      </c>
      <c r="BC332" s="77">
        <f>ROUNDUP(tbl_Data[[#This Row],[Adjusted 2026]]/$L332,0)</f>
        <v>1</v>
      </c>
      <c r="BD332" s="77">
        <f>ROUNDUP(tbl_Data[[#This Row],[Adjusted 2027]]/$L332,0)</f>
        <v>1</v>
      </c>
      <c r="BE332" s="77">
        <f>ROUNDUP(tbl_Data[[#This Row],[Adjusted 2028]]/$L332,0)</f>
        <v>1</v>
      </c>
      <c r="BF332" s="77">
        <f>ROUNDUP(tbl_Data[[#This Row],[Adjusted 2029]]/$L332,0)</f>
        <v>1</v>
      </c>
      <c r="BG332" s="77">
        <f>ROUNDUP(tbl_Data[[#This Row],[Adjusted 2030]]/$L332,0)</f>
        <v>1</v>
      </c>
      <c r="BH332" s="77">
        <f>ROUNDUP(tbl_Data[[#This Row],[Adjusted 2031]]/$L332,0)</f>
        <v>1</v>
      </c>
      <c r="BI332" s="77">
        <f>ROUNDUP(tbl_Data[[#This Row],[Adjusted 2032]]/$L332,0)</f>
        <v>1</v>
      </c>
      <c r="BJ332" s="77">
        <f>ROUNDUP(tbl_Data[[#This Row],[Adjusted 2033]]/$L332,0)</f>
        <v>1</v>
      </c>
      <c r="BK332" s="77">
        <f>ROUNDUP(tbl_Data[[#This Row],[Adjusted 2034]]/$L332,0)</f>
        <v>1</v>
      </c>
      <c r="BL332" s="80">
        <f t="shared" ref="BL332:BL343" si="144">$AT332/$L332*V332</f>
        <v>0.56375851151470457</v>
      </c>
      <c r="BM332" s="80">
        <f t="shared" ref="BM332:BM343" si="145">$AT332/$L332*W332</f>
        <v>1.1837080871117407</v>
      </c>
      <c r="BN332" s="80">
        <f t="shared" ref="BN332:BN343" si="146">$AT332/$L332*X332</f>
        <v>1.8495695327461557</v>
      </c>
      <c r="BO332" s="80">
        <f t="shared" ref="BO332:BO343" si="147">$AT332/$L332*Y332</f>
        <v>2.5553767746411427</v>
      </c>
      <c r="BP332" s="80">
        <f t="shared" ref="BP332:BP343" si="148">$AT332/$L332*Z332</f>
        <v>3.2953647893605358</v>
      </c>
      <c r="BQ332" s="80">
        <f t="shared" ref="BQ332:BQ343" si="149">$AT332/$L332*AA332</f>
        <v>4.0634946645930157</v>
      </c>
      <c r="BR332" s="80">
        <f t="shared" ref="BR332:BR343" si="150">$AT332/$L332*AB332</f>
        <v>4.8547755663848937</v>
      </c>
      <c r="BS332" s="80">
        <f t="shared" ref="BS332:BS343" si="151">$AT332/$L332*AC332</f>
        <v>5.6664296869734843</v>
      </c>
      <c r="BT332" s="80">
        <f t="shared" ref="BT332:BT343" si="152">$AT332/$L332*AD332</f>
        <v>6.4963357385632818</v>
      </c>
      <c r="BU332" s="80">
        <f t="shared" ref="BU332:BU343" si="153">$AT332/$L332*AE332</f>
        <v>7.3419124437071792</v>
      </c>
      <c r="BV332" s="80">
        <f>IFERROR(VLOOKUP($H332,'1. Set Program Names'!$B$2:$D$15,3,0)*V332,"NA")</f>
        <v>0.26775316229425783</v>
      </c>
      <c r="BW332" s="80">
        <f>IFERROR(VLOOKUP($H332,'1. Set Program Names'!$B$2:$D$15,3,0)*W332,"NA")</f>
        <v>0.56219387749179639</v>
      </c>
      <c r="BX332" s="80">
        <f>IFERROR(VLOOKUP($H332,'1. Set Program Names'!$B$2:$D$15,3,0)*X332,"NA")</f>
        <v>0.87844011427041468</v>
      </c>
      <c r="BY332" s="80">
        <f>IFERROR(VLOOKUP($H332,'1. Set Program Names'!$B$2:$D$15,3,0)*Y332,"NA")</f>
        <v>1.2136583276146606</v>
      </c>
      <c r="BZ332" s="80">
        <f>IFERROR(VLOOKUP($H332,'1. Set Program Names'!$B$2:$D$15,3,0)*Z332,"NA")</f>
        <v>1.565110459962288</v>
      </c>
      <c r="CA332" s="80">
        <f>IFERROR(VLOOKUP($H332,'1. Set Program Names'!$B$2:$D$15,3,0)*AA332,"NA")</f>
        <v>1.9299283721452878</v>
      </c>
      <c r="CB332" s="80">
        <f>IFERROR(VLOOKUP($H332,'1. Set Program Names'!$B$2:$D$15,3,0)*AB332,"NA")</f>
        <v>2.305741702481678</v>
      </c>
      <c r="CC332" s="80">
        <f>IFERROR(VLOOKUP($H332,'1. Set Program Names'!$B$2:$D$15,3,0)*AC332,"NA")</f>
        <v>2.6912311506016851</v>
      </c>
      <c r="CD332" s="80">
        <f>IFERROR(VLOOKUP($H332,'1. Set Program Names'!$B$2:$D$15,3,0)*AD332,"NA")</f>
        <v>3.0853892257024524</v>
      </c>
      <c r="CE332" s="80">
        <f>IFERROR(VLOOKUP($H332,'1. Set Program Names'!$B$2:$D$15,3,0)*AE332,"NA")</f>
        <v>3.4869899681131189</v>
      </c>
    </row>
    <row r="333" spans="1:83" x14ac:dyDescent="0.25">
      <c r="A333" s="79" t="s">
        <v>117</v>
      </c>
      <c r="B333" s="79" t="s">
        <v>88</v>
      </c>
      <c r="C333" s="79" t="s">
        <v>122</v>
      </c>
      <c r="D333" s="79" t="s">
        <v>90</v>
      </c>
      <c r="E333" s="79" t="s">
        <v>91</v>
      </c>
      <c r="F333" s="79" t="s">
        <v>90</v>
      </c>
      <c r="G333" s="79" t="s">
        <v>92</v>
      </c>
      <c r="H333" s="79" t="s">
        <v>14</v>
      </c>
      <c r="I333" s="79" t="s">
        <v>157</v>
      </c>
      <c r="J333" s="79" t="s">
        <v>158</v>
      </c>
      <c r="K333" s="79" t="s">
        <v>159</v>
      </c>
      <c r="L333" s="79">
        <v>562.52000000000032</v>
      </c>
      <c r="M333" s="79">
        <v>0</v>
      </c>
      <c r="N333" s="79">
        <v>2.7796637938074218E-2</v>
      </c>
      <c r="O333" s="79">
        <v>169</v>
      </c>
      <c r="P333" s="79">
        <v>53.285725702774094</v>
      </c>
      <c r="Q333" s="79"/>
      <c r="R333" s="79">
        <v>275.37363005821356</v>
      </c>
      <c r="S333" s="79">
        <v>610.96426176974103</v>
      </c>
      <c r="T333" s="79">
        <v>15</v>
      </c>
      <c r="U333" s="79">
        <v>0.2</v>
      </c>
      <c r="V333" s="79">
        <f>tbl_Data_old[[#This Row],[2025 ]]*IFERROR(AVERAGEIFS('Participation Adjustment'!$C:$C,'Participation Adjustment'!$A:$A,$H333,'Participation Adjustment'!$B:$B,$I333),1)</f>
        <v>3.7749084951401904E-2</v>
      </c>
      <c r="W333" s="79">
        <f>tbl_Data_old[[#This Row],[2026 ]]*IFERROR(AVERAGEIFS('Participation Adjustment'!$C:$C,'Participation Adjustment'!$A:$A,$H333,'Participation Adjustment'!$B:$B,$I333),1)</f>
        <v>7.8865738917319392E-2</v>
      </c>
      <c r="X333" s="79">
        <f>tbl_Data_old[[#This Row],[2027 ]]*IFERROR(AVERAGEIFS('Participation Adjustment'!$C:$C,'Participation Adjustment'!$A:$A,$H333,'Participation Adjustment'!$B:$B,$I333),1)</f>
        <v>0.12264166326718401</v>
      </c>
      <c r="Y333" s="79">
        <f>tbl_Data_old[[#This Row],[2028 ]]*IFERROR(AVERAGEIFS('Participation Adjustment'!$C:$C,'Participation Adjustment'!$A:$A,$H333,'Participation Adjustment'!$B:$B,$I333),1)</f>
        <v>0.168644278632441</v>
      </c>
      <c r="Z333" s="79">
        <f>tbl_Data_old[[#This Row],[2029 ]]*IFERROR(AVERAGEIFS('Participation Adjustment'!$C:$C,'Participation Adjustment'!$A:$A,$H333,'Participation Adjustment'!$B:$B,$I333),1)</f>
        <v>0.216451028696726</v>
      </c>
      <c r="AA333" s="79">
        <f>tbl_Data_old[[#This Row],[2030 ]]*IFERROR(AVERAGEIFS('Participation Adjustment'!$C:$C,'Participation Adjustment'!$A:$A,$H333,'Participation Adjustment'!$B:$B,$I333),1)</f>
        <v>0.26564390819164002</v>
      </c>
      <c r="AB333" s="79">
        <f>tbl_Data_old[[#This Row],[2031 ]]*IFERROR(AVERAGEIFS('Participation Adjustment'!$C:$C,'Participation Adjustment'!$A:$A,$H333,'Participation Adjustment'!$B:$B,$I333),1)</f>
        <v>0.315867593646736</v>
      </c>
      <c r="AC333" s="79">
        <f>tbl_Data_old[[#This Row],[2032 ]]*IFERROR(AVERAGEIFS('Participation Adjustment'!$C:$C,'Participation Adjustment'!$A:$A,$H333,'Participation Adjustment'!$B:$B,$I333),1)</f>
        <v>0.36691699605473604</v>
      </c>
      <c r="AD333" s="79">
        <f>tbl_Data_old[[#This Row],[2033 ]]*IFERROR(AVERAGEIFS('Participation Adjustment'!$C:$C,'Participation Adjustment'!$A:$A,$H333,'Participation Adjustment'!$B:$B,$I333),1)</f>
        <v>0.41865093410658799</v>
      </c>
      <c r="AE333" s="79">
        <f>tbl_Data_old[[#This Row],[2034 ]]*IFERROR(AVERAGEIFS('Participation Adjustment'!$C:$C,'Participation Adjustment'!$A:$A,$H333,'Participation Adjustment'!$B:$B,$I333),1)</f>
        <v>0.470885569087307</v>
      </c>
      <c r="AF333" s="77" t="str">
        <f t="shared" si="143"/>
        <v>NonResidential</v>
      </c>
      <c r="AG333" s="77" t="str">
        <f>tbl_Data[[#This Row],[All_Meas_Name_Append]]</f>
        <v>LED Exterior Wall Packs</v>
      </c>
      <c r="AH333" s="77">
        <f>AVERAGEIFS('3. Incentive Adjustment'!G:G,'3. Incentive Adjustment'!A:A,tbl_Data[[#This Row],[Trimmed Sector]],'3. Incentive Adjustment'!B:B,tbl_Data[[#This Row],[Trimmed Measure Name]])</f>
        <v>0.80637708305213962</v>
      </c>
      <c r="AI333" s="77">
        <f>$AH333*tbl_Data[[#This Row],[2025 ]]</f>
        <v>3.0439997010998886E-2</v>
      </c>
      <c r="AJ333" s="77">
        <f>$AH333*tbl_Data[[#This Row],[2026 ]]</f>
        <v>6.3595524500899614E-2</v>
      </c>
      <c r="AK333" s="77">
        <f>$AH333*tbl_Data[[#This Row],[2027 ]]</f>
        <v>9.8895426686054583E-2</v>
      </c>
      <c r="AL333" s="77">
        <f>$AH333*tbl_Data[[#This Row],[2028 ]]</f>
        <v>0.13599088147706004</v>
      </c>
      <c r="AM333" s="77">
        <f>$AH333*tbl_Data[[#This Row],[2029 ]]</f>
        <v>0.17454114914410088</v>
      </c>
      <c r="AN333" s="77">
        <f>$AH333*tbl_Data[[#This Row],[2030 ]]</f>
        <v>0.21420915981814506</v>
      </c>
      <c r="AO333" s="77">
        <f>$AH333*tbl_Data[[#This Row],[2031 ]]</f>
        <v>0.25470838879555352</v>
      </c>
      <c r="AP333" s="77">
        <f>$AH333*tbl_Data[[#This Row],[2032 ]]</f>
        <v>0.29587345700087148</v>
      </c>
      <c r="AQ333" s="77">
        <f>$AH333*tbl_Data[[#This Row],[2033 ]]</f>
        <v>0.33759051906192394</v>
      </c>
      <c r="AR333" s="77">
        <f>$AH333*tbl_Data[[#This Row],[2034 ]]</f>
        <v>0.37971133165196941</v>
      </c>
      <c r="AS333" s="77">
        <f>SUM(tbl_Data[[#This Row],[Adjusted 2025]:[Adjusted 2034]])</f>
        <v>1.9855558351475773</v>
      </c>
      <c r="AT333" s="80">
        <f>AVERAGEIFS('3. Incentive Adjustment'!F:F,'3. Incentive Adjustment'!A:A,tbl_Data[[#This Row],[Trimmed Sector]],'3. Incentive Adjustment'!B:B,tbl_Data[[#This Row],[Trimmed Measure Name]])</f>
        <v>8.6864493556481861</v>
      </c>
      <c r="AU333" s="80">
        <f>IFERROR(VLOOKUP(tbl_Data[[#This Row],[All_Meas_Name_Append]],'IRA Tax Credits'!$A$3:$D$46,4,0),0)</f>
        <v>0</v>
      </c>
      <c r="AV333" s="81">
        <f>tbl_Data[[#This Row],[Adj. per unit Incentive ($)]]/tbl_Data[[#This Row],[kWh Savings]]*tbl_Data[[#This Row],[Sum of Annuals]]</f>
        <v>3.066100797273192E-2</v>
      </c>
      <c r="AW333" s="81">
        <f>IFERROR(VLOOKUP(tbl_Data[[#This Row],[Column1]],'1. Set Program Names'!$B$2:$D$15,3,0)*tbl_Data[[#This Row],[Sum of Annuals]],"")</f>
        <v>7.0685182044998796E-2</v>
      </c>
      <c r="AX333" s="81">
        <f>tbl_Data[[#This Row],[per unit IRA tax ($)]]/tbl_Data[[#This Row],[kWh Savings]]*tbl_Data[[#This Row],[Sum of Annuals]]</f>
        <v>0</v>
      </c>
      <c r="AY333" s="81">
        <f>tbl_Data[[#This Row],[Avoided Costs ($/unit)]]/tbl_Data[[#This Row],[kWh Savings]]*tbl_Data[[#This Row],[Sum of Annuals]]</f>
        <v>0.97200049421861612</v>
      </c>
      <c r="AZ333" s="81">
        <f>tbl_Data[[#This Row],[Lost Revenue ($/unit)]]/tbl_Data[[#This Row],[kWh Savings]]*tbl_Data[[#This Row],[Sum of Annuals]]</f>
        <v>2.1565520426358895</v>
      </c>
      <c r="BA333" s="81">
        <f>tbl_Data[[#This Row],[Incremental Cost ($/unit)]]/tbl_Data[[#This Row],[kWh Savings]]*tbl_Data[[#This Row],[Sum of Annuals]]</f>
        <v>0.59652800991954136</v>
      </c>
      <c r="BB333" s="77">
        <f>ROUNDUP(tbl_Data[[#This Row],[Adjusted 2025]]/$L333,0)</f>
        <v>1</v>
      </c>
      <c r="BC333" s="77">
        <f>ROUNDUP(tbl_Data[[#This Row],[Adjusted 2026]]/$L333,0)</f>
        <v>1</v>
      </c>
      <c r="BD333" s="77">
        <f>ROUNDUP(tbl_Data[[#This Row],[Adjusted 2027]]/$L333,0)</f>
        <v>1</v>
      </c>
      <c r="BE333" s="77">
        <f>ROUNDUP(tbl_Data[[#This Row],[Adjusted 2028]]/$L333,0)</f>
        <v>1</v>
      </c>
      <c r="BF333" s="77">
        <f>ROUNDUP(tbl_Data[[#This Row],[Adjusted 2029]]/$L333,0)</f>
        <v>1</v>
      </c>
      <c r="BG333" s="77">
        <f>ROUNDUP(tbl_Data[[#This Row],[Adjusted 2030]]/$L333,0)</f>
        <v>1</v>
      </c>
      <c r="BH333" s="77">
        <f>ROUNDUP(tbl_Data[[#This Row],[Adjusted 2031]]/$L333,0)</f>
        <v>1</v>
      </c>
      <c r="BI333" s="77">
        <f>ROUNDUP(tbl_Data[[#This Row],[Adjusted 2032]]/$L333,0)</f>
        <v>1</v>
      </c>
      <c r="BJ333" s="77">
        <f>ROUNDUP(tbl_Data[[#This Row],[Adjusted 2033]]/$L333,0)</f>
        <v>1</v>
      </c>
      <c r="BK333" s="77">
        <f>ROUNDUP(tbl_Data[[#This Row],[Adjusted 2034]]/$L333,0)</f>
        <v>1</v>
      </c>
      <c r="BL333" s="80">
        <f t="shared" si="144"/>
        <v>5.8292241102967626E-4</v>
      </c>
      <c r="BM333" s="80">
        <f t="shared" si="145"/>
        <v>1.2178469156671171E-3</v>
      </c>
      <c r="BN333" s="80">
        <f t="shared" si="146"/>
        <v>1.8938359469225126E-3</v>
      </c>
      <c r="BO333" s="80">
        <f t="shared" si="147"/>
        <v>2.6042096022550654E-3</v>
      </c>
      <c r="BP333" s="80">
        <f t="shared" si="148"/>
        <v>3.3424427553723629E-3</v>
      </c>
      <c r="BQ333" s="80">
        <f t="shared" si="149"/>
        <v>4.102080557390201E-3</v>
      </c>
      <c r="BR333" s="80">
        <f t="shared" si="150"/>
        <v>4.8776360934772653E-3</v>
      </c>
      <c r="BS333" s="80">
        <f t="shared" si="151"/>
        <v>5.6659423735263247E-3</v>
      </c>
      <c r="BT333" s="80">
        <f t="shared" si="152"/>
        <v>6.4648192718688765E-3</v>
      </c>
      <c r="BU333" s="80">
        <f t="shared" si="153"/>
        <v>7.2714279459974137E-3</v>
      </c>
      <c r="BV333" s="80">
        <f>IFERROR(VLOOKUP($H333,'1. Set Program Names'!$B$2:$D$15,3,0)*V333,"NA")</f>
        <v>1.3438559090551314E-3</v>
      </c>
      <c r="BW333" s="80">
        <f>IFERROR(VLOOKUP($H333,'1. Set Program Names'!$B$2:$D$15,3,0)*W333,"NA")</f>
        <v>2.8075962477628995E-3</v>
      </c>
      <c r="BX333" s="80">
        <f>IFERROR(VLOOKUP($H333,'1. Set Program Names'!$B$2:$D$15,3,0)*X333,"NA")</f>
        <v>4.36600580093887E-3</v>
      </c>
      <c r="BY333" s="80">
        <f>IFERROR(VLOOKUP($H333,'1. Set Program Names'!$B$2:$D$15,3,0)*Y333,"NA")</f>
        <v>6.0036848750191834E-3</v>
      </c>
      <c r="BZ333" s="80">
        <f>IFERROR(VLOOKUP($H333,'1. Set Program Names'!$B$2:$D$15,3,0)*Z333,"NA")</f>
        <v>7.7055905940404679E-3</v>
      </c>
      <c r="CA333" s="80">
        <f>IFERROR(VLOOKUP($H333,'1. Set Program Names'!$B$2:$D$15,3,0)*AA333,"NA")</f>
        <v>9.4568420979586343E-3</v>
      </c>
      <c r="CB333" s="80">
        <f>IFERROR(VLOOKUP($H333,'1. Set Program Names'!$B$2:$D$15,3,0)*AB333,"NA")</f>
        <v>1.1244789979615841E-2</v>
      </c>
      <c r="CC333" s="80">
        <f>IFERROR(VLOOKUP($H333,'1. Set Program Names'!$B$2:$D$15,3,0)*AC333,"NA")</f>
        <v>1.3062133132914619E-2</v>
      </c>
      <c r="CD333" s="80">
        <f>IFERROR(VLOOKUP($H333,'1. Set Program Names'!$B$2:$D$15,3,0)*AD333,"NA")</f>
        <v>1.4903845546319528E-2</v>
      </c>
      <c r="CE333" s="80">
        <f>IFERROR(VLOOKUP($H333,'1. Set Program Names'!$B$2:$D$15,3,0)*AE333,"NA")</f>
        <v>1.6763382617656412E-2</v>
      </c>
    </row>
    <row r="334" spans="1:83" x14ac:dyDescent="0.25">
      <c r="A334" s="79" t="s">
        <v>117</v>
      </c>
      <c r="B334" s="79" t="s">
        <v>88</v>
      </c>
      <c r="C334" s="79" t="s">
        <v>122</v>
      </c>
      <c r="D334" s="79" t="s">
        <v>90</v>
      </c>
      <c r="E334" s="79" t="s">
        <v>91</v>
      </c>
      <c r="F334" s="79" t="s">
        <v>90</v>
      </c>
      <c r="G334" s="79" t="s">
        <v>92</v>
      </c>
      <c r="H334" s="79" t="s">
        <v>14</v>
      </c>
      <c r="I334" s="79" t="s">
        <v>160</v>
      </c>
      <c r="J334" s="79" t="s">
        <v>161</v>
      </c>
      <c r="K334" s="79" t="s">
        <v>159</v>
      </c>
      <c r="L334" s="79">
        <v>1059.6621428571407</v>
      </c>
      <c r="M334" s="79">
        <v>0.13879011985330975</v>
      </c>
      <c r="N334" s="79">
        <v>0.14661252282673942</v>
      </c>
      <c r="O334" s="79">
        <v>179</v>
      </c>
      <c r="P334" s="79">
        <v>5.0437849584490522</v>
      </c>
      <c r="Q334" s="79"/>
      <c r="R334" s="79">
        <v>417.01467834907817</v>
      </c>
      <c r="S334" s="79">
        <v>1150.9203207638036</v>
      </c>
      <c r="T334" s="79">
        <v>15</v>
      </c>
      <c r="U334" s="79">
        <v>0.2</v>
      </c>
      <c r="V334" s="79">
        <f>tbl_Data_old[[#This Row],[2025 ]]*IFERROR(AVERAGEIFS('Participation Adjustment'!$C:$C,'Participation Adjustment'!$A:$A,$H334,'Participation Adjustment'!$B:$B,$I334),1)</f>
        <v>6.8311576781038346</v>
      </c>
      <c r="W334" s="79">
        <f>tbl_Data_old[[#This Row],[2026 ]]*IFERROR(AVERAGEIFS('Participation Adjustment'!$C:$C,'Participation Adjustment'!$A:$A,$H334,'Participation Adjustment'!$B:$B,$I334),1)</f>
        <v>14.26655488009269</v>
      </c>
      <c r="X334" s="79">
        <f>tbl_Data_old[[#This Row],[2027 ]]*IFERROR(AVERAGEIFS('Participation Adjustment'!$C:$C,'Participation Adjustment'!$A:$A,$H334,'Participation Adjustment'!$B:$B,$I334),1)</f>
        <v>22.181368981868999</v>
      </c>
      <c r="Y334" s="79">
        <f>tbl_Data_old[[#This Row],[2028 ]]*IFERROR(AVERAGEIFS('Participation Adjustment'!$C:$C,'Participation Adjustment'!$A:$A,$H334,'Participation Adjustment'!$B:$B,$I334),1)</f>
        <v>30.497856967491302</v>
      </c>
      <c r="Z334" s="79">
        <f>tbl_Data_old[[#This Row],[2029 ]]*IFERROR(AVERAGEIFS('Participation Adjustment'!$C:$C,'Participation Adjustment'!$A:$A,$H334,'Participation Adjustment'!$B:$B,$I334),1)</f>
        <v>39.138634956911403</v>
      </c>
      <c r="AA334" s="79">
        <f>tbl_Data_old[[#This Row],[2030 ]]*IFERROR(AVERAGEIFS('Participation Adjustment'!$C:$C,'Participation Adjustment'!$A:$A,$H334,'Participation Adjustment'!$B:$B,$I334),1)</f>
        <v>48.028699462900654</v>
      </c>
      <c r="AB334" s="79">
        <f>tbl_Data_old[[#This Row],[2031 ]]*IFERROR(AVERAGEIFS('Participation Adjustment'!$C:$C,'Participation Adjustment'!$A:$A,$H334,'Participation Adjustment'!$B:$B,$I334),1)</f>
        <v>57.102846672357906</v>
      </c>
      <c r="AC334" s="79">
        <f>tbl_Data_old[[#This Row],[2032 ]]*IFERROR(AVERAGEIFS('Participation Adjustment'!$C:$C,'Participation Adjustment'!$A:$A,$H334,'Participation Adjustment'!$B:$B,$I334),1)</f>
        <v>66.323354711271307</v>
      </c>
      <c r="AD334" s="79">
        <f>tbl_Data_old[[#This Row],[2033 ]]*IFERROR(AVERAGEIFS('Participation Adjustment'!$C:$C,'Participation Adjustment'!$A:$A,$H334,'Participation Adjustment'!$B:$B,$I334),1)</f>
        <v>75.666081289302596</v>
      </c>
      <c r="AE334" s="79">
        <f>tbl_Data_old[[#This Row],[2034 ]]*IFERROR(AVERAGEIFS('Participation Adjustment'!$C:$C,'Participation Adjustment'!$A:$A,$H334,'Participation Adjustment'!$B:$B,$I334),1)</f>
        <v>85.097090583639599</v>
      </c>
      <c r="AF334" s="77" t="str">
        <f t="shared" si="143"/>
        <v>NonResidential</v>
      </c>
      <c r="AG334" s="77" t="str">
        <f>tbl_Data[[#This Row],[All_Meas_Name_Append]]</f>
        <v>LED High Bay_HID Baseline</v>
      </c>
      <c r="AH334" s="77">
        <f>AVERAGEIFS('3. Incentive Adjustment'!G:G,'3. Incentive Adjustment'!A:A,tbl_Data[[#This Row],[Trimmed Sector]],'3. Incentive Adjustment'!B:B,tbl_Data[[#This Row],[Trimmed Measure Name]])</f>
        <v>1.0603846876879557</v>
      </c>
      <c r="AI334" s="77">
        <f>$AH334*tbl_Data[[#This Row],[2025 ]]</f>
        <v>7.2436550010433152</v>
      </c>
      <c r="AJ334" s="77">
        <f>$AH334*tbl_Data[[#This Row],[2026 ]]</f>
        <v>15.128036340910167</v>
      </c>
      <c r="AK334" s="77">
        <f>$AH334*tbl_Data[[#This Row],[2027 ]]</f>
        <v>23.520784020330467</v>
      </c>
      <c r="AL334" s="77">
        <f>$AH334*tbl_Data[[#This Row],[2028 ]]</f>
        <v>32.339460535625207</v>
      </c>
      <c r="AM334" s="77">
        <f>$AH334*tbl_Data[[#This Row],[2029 ]]</f>
        <v>41.5020092053174</v>
      </c>
      <c r="AN334" s="77">
        <f>$AH334*tbl_Data[[#This Row],[2030 ]]</f>
        <v>50.928897480026592</v>
      </c>
      <c r="AO334" s="77">
        <f>$AH334*tbl_Data[[#This Row],[2031 ]]</f>
        <v>60.550984234761458</v>
      </c>
      <c r="AP334" s="77">
        <f>$AH334*tbl_Data[[#This Row],[2032 ]]</f>
        <v>70.32826977192893</v>
      </c>
      <c r="AQ334" s="77">
        <f>$AH334*tbl_Data[[#This Row],[2033 ]]</f>
        <v>80.235153976528608</v>
      </c>
      <c r="AR334" s="77">
        <f>$AH334*tbl_Data[[#This Row],[2034 ]]</f>
        <v>90.235651821686346</v>
      </c>
      <c r="AS334" s="77">
        <f>SUM(tbl_Data[[#This Row],[Adjusted 2025]:[Adjusted 2034]])</f>
        <v>472.01290238815852</v>
      </c>
      <c r="AT334" s="80">
        <f>AVERAGEIFS('3. Incentive Adjustment'!F:F,'3. Incentive Adjustment'!A:A,tbl_Data[[#This Row],[Trimmed Sector]],'3. Incentive Adjustment'!B:B,tbl_Data[[#This Row],[Trimmed Measure Name]])</f>
        <v>28.590998621954778</v>
      </c>
      <c r="AU334" s="80">
        <f>IFERROR(VLOOKUP(tbl_Data[[#This Row],[All_Meas_Name_Append]],'IRA Tax Credits'!$A$3:$D$46,4,0),0)</f>
        <v>0</v>
      </c>
      <c r="AV334" s="81">
        <f>tbl_Data[[#This Row],[Adj. per unit Incentive ($)]]/tbl_Data[[#This Row],[kWh Savings]]*tbl_Data[[#This Row],[Sum of Annuals]]</f>
        <v>12.735493414285443</v>
      </c>
      <c r="AW334" s="81">
        <f>IFERROR(VLOOKUP(tbl_Data[[#This Row],[Column1]],'1. Set Program Names'!$B$2:$D$15,3,0)*tbl_Data[[#This Row],[Sum of Annuals]],"")</f>
        <v>16.80351533927799</v>
      </c>
      <c r="AX334" s="81">
        <f>tbl_Data[[#This Row],[per unit IRA tax ($)]]/tbl_Data[[#This Row],[kWh Savings]]*tbl_Data[[#This Row],[Sum of Annuals]]</f>
        <v>0</v>
      </c>
      <c r="AY334" s="81">
        <f>tbl_Data[[#This Row],[Avoided Costs ($/unit)]]/tbl_Data[[#This Row],[kWh Savings]]*tbl_Data[[#This Row],[Sum of Annuals]]</f>
        <v>185.75383672317284</v>
      </c>
      <c r="AZ334" s="81">
        <f>tbl_Data[[#This Row],[Lost Revenue ($/unit)]]/tbl_Data[[#This Row],[kWh Savings]]*tbl_Data[[#This Row],[Sum of Annuals]]</f>
        <v>512.66268657714227</v>
      </c>
      <c r="BA334" s="81">
        <f>tbl_Data[[#This Row],[Incremental Cost ($/unit)]]/tbl_Data[[#This Row],[kWh Savings]]*tbl_Data[[#This Row],[Sum of Annuals]]</f>
        <v>79.733252807985821</v>
      </c>
      <c r="BB334" s="77">
        <f>ROUNDUP(tbl_Data[[#This Row],[Adjusted 2025]]/$L334,0)</f>
        <v>1</v>
      </c>
      <c r="BC334" s="77">
        <f>ROUNDUP(tbl_Data[[#This Row],[Adjusted 2026]]/$L334,0)</f>
        <v>1</v>
      </c>
      <c r="BD334" s="77">
        <f>ROUNDUP(tbl_Data[[#This Row],[Adjusted 2027]]/$L334,0)</f>
        <v>1</v>
      </c>
      <c r="BE334" s="77">
        <f>ROUNDUP(tbl_Data[[#This Row],[Adjusted 2028]]/$L334,0)</f>
        <v>1</v>
      </c>
      <c r="BF334" s="77">
        <f>ROUNDUP(tbl_Data[[#This Row],[Adjusted 2029]]/$L334,0)</f>
        <v>1</v>
      </c>
      <c r="BG334" s="77">
        <f>ROUNDUP(tbl_Data[[#This Row],[Adjusted 2030]]/$L334,0)</f>
        <v>1</v>
      </c>
      <c r="BH334" s="77">
        <f>ROUNDUP(tbl_Data[[#This Row],[Adjusted 2031]]/$L334,0)</f>
        <v>1</v>
      </c>
      <c r="BI334" s="77">
        <f>ROUNDUP(tbl_Data[[#This Row],[Adjusted 2032]]/$L334,0)</f>
        <v>1</v>
      </c>
      <c r="BJ334" s="77">
        <f>ROUNDUP(tbl_Data[[#This Row],[Adjusted 2033]]/$L334,0)</f>
        <v>1</v>
      </c>
      <c r="BK334" s="77">
        <f>ROUNDUP(tbl_Data[[#This Row],[Adjusted 2034]]/$L334,0)</f>
        <v>1</v>
      </c>
      <c r="BL334" s="80">
        <f t="shared" si="144"/>
        <v>0.18431310496231759</v>
      </c>
      <c r="BM334" s="80">
        <f t="shared" si="145"/>
        <v>0.38492934155123731</v>
      </c>
      <c r="BN334" s="80">
        <f t="shared" si="146"/>
        <v>0.59848084058541817</v>
      </c>
      <c r="BO334" s="80">
        <f t="shared" si="147"/>
        <v>0.82286999909146741</v>
      </c>
      <c r="BP334" s="80">
        <f t="shared" si="148"/>
        <v>1.0560089040277301</v>
      </c>
      <c r="BQ334" s="80">
        <f t="shared" si="149"/>
        <v>1.2958738683025695</v>
      </c>
      <c r="BR334" s="80">
        <f t="shared" si="150"/>
        <v>1.5407056121841507</v>
      </c>
      <c r="BS334" s="80">
        <f t="shared" si="151"/>
        <v>1.7894863527355631</v>
      </c>
      <c r="BT334" s="80">
        <f t="shared" si="152"/>
        <v>2.0415647010264339</v>
      </c>
      <c r="BU334" s="80">
        <f t="shared" si="153"/>
        <v>2.2960250264760185</v>
      </c>
      <c r="BV334" s="80">
        <f>IFERROR(VLOOKUP($H334,'1. Set Program Names'!$B$2:$D$15,3,0)*V334,"NA")</f>
        <v>0.24318712952183083</v>
      </c>
      <c r="BW334" s="80">
        <f>IFERROR(VLOOKUP($H334,'1. Set Program Names'!$B$2:$D$15,3,0)*W334,"NA")</f>
        <v>0.507885001773</v>
      </c>
      <c r="BX334" s="80">
        <f>IFERROR(VLOOKUP($H334,'1. Set Program Names'!$B$2:$D$15,3,0)*X334,"NA")</f>
        <v>0.78964996941230092</v>
      </c>
      <c r="BY334" s="80">
        <f>IFERROR(VLOOKUP($H334,'1. Set Program Names'!$B$2:$D$15,3,0)*Y334,"NA")</f>
        <v>1.0857144047874288</v>
      </c>
      <c r="BZ334" s="80">
        <f>IFERROR(VLOOKUP($H334,'1. Set Program Names'!$B$2:$D$15,3,0)*Z334,"NA")</f>
        <v>1.3933234653743261</v>
      </c>
      <c r="CA334" s="80">
        <f>IFERROR(VLOOKUP($H334,'1. Set Program Names'!$B$2:$D$15,3,0)*AA334,"NA")</f>
        <v>1.7098070499071814</v>
      </c>
      <c r="CB334" s="80">
        <f>IFERROR(VLOOKUP($H334,'1. Set Program Names'!$B$2:$D$15,3,0)*AB334,"NA")</f>
        <v>2.0328439225297692</v>
      </c>
      <c r="CC334" s="80">
        <f>IFERROR(VLOOKUP($H334,'1. Set Program Names'!$B$2:$D$15,3,0)*AC334,"NA")</f>
        <v>2.3610911960341814</v>
      </c>
      <c r="CD334" s="80">
        <f>IFERROR(VLOOKUP($H334,'1. Set Program Names'!$B$2:$D$15,3,0)*AD334,"NA")</f>
        <v>2.6936894122488901</v>
      </c>
      <c r="CE334" s="80">
        <f>IFERROR(VLOOKUP($H334,'1. Set Program Names'!$B$2:$D$15,3,0)*AE334,"NA")</f>
        <v>3.0294304662337757</v>
      </c>
    </row>
    <row r="335" spans="1:83" x14ac:dyDescent="0.25">
      <c r="A335" s="79" t="s">
        <v>117</v>
      </c>
      <c r="B335" s="79" t="s">
        <v>88</v>
      </c>
      <c r="C335" s="79" t="s">
        <v>122</v>
      </c>
      <c r="D335" s="79" t="s">
        <v>90</v>
      </c>
      <c r="E335" s="79" t="s">
        <v>91</v>
      </c>
      <c r="F335" s="79" t="s">
        <v>90</v>
      </c>
      <c r="G335" s="79" t="s">
        <v>92</v>
      </c>
      <c r="H335" s="79" t="s">
        <v>14</v>
      </c>
      <c r="I335" s="79" t="s">
        <v>162</v>
      </c>
      <c r="J335" s="79" t="s">
        <v>161</v>
      </c>
      <c r="K335" s="79" t="s">
        <v>159</v>
      </c>
      <c r="L335" s="79">
        <v>632.51142857142861</v>
      </c>
      <c r="M335" s="79">
        <v>7.5636667797052567E-2</v>
      </c>
      <c r="N335" s="79">
        <v>7.2066360150851286E-2</v>
      </c>
      <c r="O335" s="79">
        <v>179</v>
      </c>
      <c r="P335" s="79">
        <v>51.895440493260928</v>
      </c>
      <c r="Q335" s="79"/>
      <c r="R335" s="79">
        <v>248.91572427603518</v>
      </c>
      <c r="S335" s="79">
        <v>686.98335706831222</v>
      </c>
      <c r="T335" s="79">
        <v>15</v>
      </c>
      <c r="U335" s="79">
        <v>0.2</v>
      </c>
      <c r="V335" s="79">
        <f>tbl_Data_old[[#This Row],[2025 ]]*IFERROR(AVERAGEIFS('Participation Adjustment'!$C:$C,'Participation Adjustment'!$A:$A,$H335,'Participation Adjustment'!$B:$B,$I335),1)</f>
        <v>17.576662448692801</v>
      </c>
      <c r="W335" s="79">
        <f>tbl_Data_old[[#This Row],[2026 ]]*IFERROR(AVERAGEIFS('Participation Adjustment'!$C:$C,'Participation Adjustment'!$A:$A,$H335,'Participation Adjustment'!$B:$B,$I335),1)</f>
        <v>36.708041484228303</v>
      </c>
      <c r="X335" s="79">
        <f>tbl_Data_old[[#This Row],[2027 ]]*IFERROR(AVERAGEIFS('Participation Adjustment'!$C:$C,'Participation Adjustment'!$A:$A,$H335,'Participation Adjustment'!$B:$B,$I335),1)</f>
        <v>57.072966781881902</v>
      </c>
      <c r="Y335" s="79">
        <f>tbl_Data_old[[#This Row],[2028 ]]*IFERROR(AVERAGEIFS('Participation Adjustment'!$C:$C,'Participation Adjustment'!$A:$A,$H335,'Participation Adjustment'!$B:$B,$I335),1)</f>
        <v>78.471404494780344</v>
      </c>
      <c r="Z335" s="79">
        <f>tbl_Data_old[[#This Row],[2029 ]]*IFERROR(AVERAGEIFS('Participation Adjustment'!$C:$C,'Participation Adjustment'!$A:$A,$H335,'Participation Adjustment'!$B:$B,$I335),1)</f>
        <v>100.70424483763274</v>
      </c>
      <c r="AA335" s="79">
        <f>tbl_Data_old[[#This Row],[2030 ]]*IFERROR(AVERAGEIFS('Participation Adjustment'!$C:$C,'Participation Adjustment'!$A:$A,$H335,'Participation Adjustment'!$B:$B,$I335),1)</f>
        <v>123.57850280853781</v>
      </c>
      <c r="AB335" s="79">
        <f>tbl_Data_old[[#This Row],[2031 ]]*IFERROR(AVERAGEIFS('Participation Adjustment'!$C:$C,'Participation Adjustment'!$A:$A,$H335,'Participation Adjustment'!$B:$B,$I335),1)</f>
        <v>146.92640810160555</v>
      </c>
      <c r="AC335" s="79">
        <f>tbl_Data_old[[#This Row],[2032 ]]*IFERROR(AVERAGEIFS('Participation Adjustment'!$C:$C,'Participation Adjustment'!$A:$A,$H335,'Participation Adjustment'!$B:$B,$I335),1)</f>
        <v>170.65090181734951</v>
      </c>
      <c r="AD335" s="79">
        <f>tbl_Data_old[[#This Row],[2033 ]]*IFERROR(AVERAGEIFS('Participation Adjustment'!$C:$C,'Participation Adjustment'!$A:$A,$H335,'Participation Adjustment'!$B:$B,$I335),1)</f>
        <v>194.689865511432</v>
      </c>
      <c r="AE335" s="79">
        <f>tbl_Data_old[[#This Row],[2034 ]]*IFERROR(AVERAGEIFS('Participation Adjustment'!$C:$C,'Participation Adjustment'!$A:$A,$H335,'Participation Adjustment'!$B:$B,$I335),1)</f>
        <v>218.95598184605851</v>
      </c>
      <c r="AF335" s="77" t="str">
        <f t="shared" si="143"/>
        <v>NonResidential</v>
      </c>
      <c r="AG335" s="77" t="str">
        <f>tbl_Data[[#This Row],[All_Meas_Name_Append]]</f>
        <v>LED High Bay_LF Baseline</v>
      </c>
      <c r="AH335" s="77">
        <f>AVERAGEIFS('3. Incentive Adjustment'!G:G,'3. Incentive Adjustment'!A:A,tbl_Data[[#This Row],[Trimmed Sector]],'3. Incentive Adjustment'!B:B,tbl_Data[[#This Row],[Trimmed Measure Name]])</f>
        <v>0.93017466414143679</v>
      </c>
      <c r="AI335" s="77">
        <f>$AH335*tbl_Data[[#This Row],[2025 ]]</f>
        <v>16.349366089940229</v>
      </c>
      <c r="AJ335" s="77">
        <f>$AH335*tbl_Data[[#This Row],[2026 ]]</f>
        <v>34.144890158881992</v>
      </c>
      <c r="AK335" s="77">
        <f>$AH335*tbl_Data[[#This Row],[2027 ]]</f>
        <v>53.08782770789238</v>
      </c>
      <c r="AL335" s="77">
        <f>$AH335*tbl_Data[[#This Row],[2028 ]]</f>
        <v>72.992112320639137</v>
      </c>
      <c r="AM335" s="77">
        <f>$AH335*tbl_Data[[#This Row],[2029 ]]</f>
        <v>93.672537119462049</v>
      </c>
      <c r="AN335" s="77">
        <f>$AH335*tbl_Data[[#This Row],[2030 ]]</f>
        <v>114.94959234503325</v>
      </c>
      <c r="AO335" s="77">
        <f>$AH335*tbl_Data[[#This Row],[2031 ]]</f>
        <v>136.66722230941861</v>
      </c>
      <c r="AP335" s="77">
        <f>$AH335*tbl_Data[[#This Row],[2032 ]]</f>
        <v>158.73514528338637</v>
      </c>
      <c r="AQ335" s="77">
        <f>$AH335*tbl_Data[[#This Row],[2033 ]]</f>
        <v>181.09558026383777</v>
      </c>
      <c r="AR335" s="77">
        <f>$AH335*tbl_Data[[#This Row],[2034 ]]</f>
        <v>203.66730687541599</v>
      </c>
      <c r="AS335" s="77">
        <f>SUM(tbl_Data[[#This Row],[Adjusted 2025]:[Adjusted 2034]])</f>
        <v>1065.3615804739077</v>
      </c>
      <c r="AT335" s="80">
        <f>AVERAGEIFS('3. Incentive Adjustment'!F:F,'3. Incentive Adjustment'!A:A,tbl_Data[[#This Row],[Trimmed Sector]],'3. Incentive Adjustment'!B:B,tbl_Data[[#This Row],[Trimmed Measure Name]])</f>
        <v>23.858858929800434</v>
      </c>
      <c r="AU335" s="80">
        <f>IFERROR(VLOOKUP(tbl_Data[[#This Row],[All_Meas_Name_Append]],'IRA Tax Credits'!$A$3:$D$46,4,0),0)</f>
        <v>0</v>
      </c>
      <c r="AV335" s="81">
        <f>tbl_Data[[#This Row],[Adj. per unit Incentive ($)]]/tbl_Data[[#This Row],[kWh Savings]]*tbl_Data[[#This Row],[Sum of Annuals]]</f>
        <v>40.186327882114689</v>
      </c>
      <c r="AW335" s="81">
        <f>IFERROR(VLOOKUP(tbl_Data[[#This Row],[Column1]],'1. Set Program Names'!$B$2:$D$15,3,0)*tbl_Data[[#This Row],[Sum of Annuals]],"")</f>
        <v>37.926547280373363</v>
      </c>
      <c r="AX335" s="81">
        <f>tbl_Data[[#This Row],[per unit IRA tax ($)]]/tbl_Data[[#This Row],[kWh Savings]]*tbl_Data[[#This Row],[Sum of Annuals]]</f>
        <v>0</v>
      </c>
      <c r="AY335" s="81">
        <f>tbl_Data[[#This Row],[Avoided Costs ($/unit)]]/tbl_Data[[#This Row],[kWh Savings]]*tbl_Data[[#This Row],[Sum of Annuals]]</f>
        <v>419.25764095435198</v>
      </c>
      <c r="AZ335" s="81">
        <f>tbl_Data[[#This Row],[Lost Revenue ($/unit)]]/tbl_Data[[#This Row],[kWh Savings]]*tbl_Data[[#This Row],[Sum of Annuals]]</f>
        <v>1157.1105943470191</v>
      </c>
      <c r="BA335" s="81">
        <f>tbl_Data[[#This Row],[Incremental Cost ($/unit)]]/tbl_Data[[#This Row],[kWh Savings]]*tbl_Data[[#This Row],[Sum of Annuals]]</f>
        <v>301.49609049047251</v>
      </c>
      <c r="BB335" s="77">
        <f>ROUNDUP(tbl_Data[[#This Row],[Adjusted 2025]]/$L335,0)</f>
        <v>1</v>
      </c>
      <c r="BC335" s="77">
        <f>ROUNDUP(tbl_Data[[#This Row],[Adjusted 2026]]/$L335,0)</f>
        <v>1</v>
      </c>
      <c r="BD335" s="77">
        <f>ROUNDUP(tbl_Data[[#This Row],[Adjusted 2027]]/$L335,0)</f>
        <v>1</v>
      </c>
      <c r="BE335" s="77">
        <f>ROUNDUP(tbl_Data[[#This Row],[Adjusted 2028]]/$L335,0)</f>
        <v>1</v>
      </c>
      <c r="BF335" s="77">
        <f>ROUNDUP(tbl_Data[[#This Row],[Adjusted 2029]]/$L335,0)</f>
        <v>1</v>
      </c>
      <c r="BG335" s="77">
        <f>ROUNDUP(tbl_Data[[#This Row],[Adjusted 2030]]/$L335,0)</f>
        <v>1</v>
      </c>
      <c r="BH335" s="77">
        <f>ROUNDUP(tbl_Data[[#This Row],[Adjusted 2031]]/$L335,0)</f>
        <v>1</v>
      </c>
      <c r="BI335" s="77">
        <f>ROUNDUP(tbl_Data[[#This Row],[Adjusted 2032]]/$L335,0)</f>
        <v>1</v>
      </c>
      <c r="BJ335" s="77">
        <f>ROUNDUP(tbl_Data[[#This Row],[Adjusted 2033]]/$L335,0)</f>
        <v>1</v>
      </c>
      <c r="BK335" s="77">
        <f>ROUNDUP(tbl_Data[[#This Row],[Adjusted 2034]]/$L335,0)</f>
        <v>1</v>
      </c>
      <c r="BL335" s="80">
        <f t="shared" si="144"/>
        <v>0.66300637565906773</v>
      </c>
      <c r="BM335" s="80">
        <f t="shared" si="145"/>
        <v>1.3846579584175229</v>
      </c>
      <c r="BN335" s="80">
        <f t="shared" si="146"/>
        <v>2.1528399356033647</v>
      </c>
      <c r="BO335" s="80">
        <f t="shared" si="147"/>
        <v>2.9600068635800825</v>
      </c>
      <c r="BP335" s="80">
        <f t="shared" si="148"/>
        <v>3.7986481550852025</v>
      </c>
      <c r="BQ335" s="80">
        <f t="shared" si="149"/>
        <v>4.6614842547969655</v>
      </c>
      <c r="BR335" s="80">
        <f t="shared" si="150"/>
        <v>5.5421867267693541</v>
      </c>
      <c r="BS335" s="80">
        <f t="shared" si="151"/>
        <v>6.4370944283160467</v>
      </c>
      <c r="BT335" s="80">
        <f t="shared" si="152"/>
        <v>7.3438641998774772</v>
      </c>
      <c r="BU335" s="80">
        <f t="shared" si="153"/>
        <v>8.2592023586038827</v>
      </c>
      <c r="BV335" s="80">
        <f>IFERROR(VLOOKUP($H335,'1. Set Program Names'!$B$2:$D$15,3,0)*V335,"NA")</f>
        <v>0.62572382147944106</v>
      </c>
      <c r="BW335" s="80">
        <f>IFERROR(VLOOKUP($H335,'1. Set Program Names'!$B$2:$D$15,3,0)*W335,"NA")</f>
        <v>1.3067950791901011</v>
      </c>
      <c r="BX335" s="80">
        <f>IFERROR(VLOOKUP($H335,'1. Set Program Names'!$B$2:$D$15,3,0)*X335,"NA")</f>
        <v>2.0317802075435702</v>
      </c>
      <c r="BY335" s="80">
        <f>IFERROR(VLOOKUP($H335,'1. Set Program Names'!$B$2:$D$15,3,0)*Y335,"NA")</f>
        <v>2.793558062610725</v>
      </c>
      <c r="BZ335" s="80">
        <f>IFERROR(VLOOKUP($H335,'1. Set Program Names'!$B$2:$D$15,3,0)*Z335,"NA")</f>
        <v>3.5850403967728921</v>
      </c>
      <c r="CA335" s="80">
        <f>IFERROR(VLOOKUP($H335,'1. Set Program Names'!$B$2:$D$15,3,0)*AA335,"NA")</f>
        <v>4.3993570028317261</v>
      </c>
      <c r="CB335" s="80">
        <f>IFERROR(VLOOKUP($H335,'1. Set Program Names'!$B$2:$D$15,3,0)*AB335,"NA")</f>
        <v>5.230535309075238</v>
      </c>
      <c r="CC335" s="80">
        <f>IFERROR(VLOOKUP($H335,'1. Set Program Names'!$B$2:$D$15,3,0)*AC335,"NA")</f>
        <v>6.0751200482891567</v>
      </c>
      <c r="CD335" s="80">
        <f>IFERROR(VLOOKUP($H335,'1. Set Program Names'!$B$2:$D$15,3,0)*AD335,"NA")</f>
        <v>6.930899822804057</v>
      </c>
      <c r="CE335" s="80">
        <f>IFERROR(VLOOKUP($H335,'1. Set Program Names'!$B$2:$D$15,3,0)*AE335,"NA")</f>
        <v>7.7947661620302746</v>
      </c>
    </row>
    <row r="336" spans="1:83" x14ac:dyDescent="0.25">
      <c r="A336" s="79" t="s">
        <v>117</v>
      </c>
      <c r="B336" s="79" t="s">
        <v>88</v>
      </c>
      <c r="C336" s="79" t="s">
        <v>122</v>
      </c>
      <c r="D336" s="79" t="s">
        <v>90</v>
      </c>
      <c r="E336" s="79" t="s">
        <v>91</v>
      </c>
      <c r="F336" s="79" t="s">
        <v>90</v>
      </c>
      <c r="G336" s="79" t="s">
        <v>92</v>
      </c>
      <c r="H336" s="79" t="s">
        <v>14</v>
      </c>
      <c r="I336" s="79" t="s">
        <v>163</v>
      </c>
      <c r="J336" s="79" t="s">
        <v>161</v>
      </c>
      <c r="K336" s="79" t="s">
        <v>159</v>
      </c>
      <c r="L336" s="79">
        <v>217.06142857142831</v>
      </c>
      <c r="M336" s="79">
        <v>3.4743730880075478E-2</v>
      </c>
      <c r="N336" s="79">
        <v>3.4497784431073229E-2</v>
      </c>
      <c r="O336" s="79">
        <v>109.07999999999996</v>
      </c>
      <c r="P336" s="79">
        <v>64.428955263702662</v>
      </c>
      <c r="Q336" s="79"/>
      <c r="R336" s="79">
        <v>85.561030664747506</v>
      </c>
      <c r="S336" s="79">
        <v>235.75477399173039</v>
      </c>
      <c r="T336" s="79">
        <v>15</v>
      </c>
      <c r="U336" s="79">
        <v>0.2</v>
      </c>
      <c r="V336" s="79">
        <f>tbl_Data_old[[#This Row],[2025 ]]*IFERROR(AVERAGEIFS('Participation Adjustment'!$C:$C,'Participation Adjustment'!$A:$A,$H336,'Participation Adjustment'!$B:$B,$I336),1)</f>
        <v>59.638577214734703</v>
      </c>
      <c r="W336" s="79">
        <f>tbl_Data_old[[#This Row],[2026 ]]*IFERROR(AVERAGEIFS('Participation Adjustment'!$C:$C,'Participation Adjustment'!$A:$A,$H336,'Participation Adjustment'!$B:$B,$I336),1)</f>
        <v>122.33637600908909</v>
      </c>
      <c r="X336" s="79">
        <f>tbl_Data_old[[#This Row],[2027 ]]*IFERROR(AVERAGEIFS('Participation Adjustment'!$C:$C,'Participation Adjustment'!$A:$A,$H336,'Participation Adjustment'!$B:$B,$I336),1)</f>
        <v>186.68170760729279</v>
      </c>
      <c r="Y336" s="79">
        <f>tbl_Data_old[[#This Row],[2028 ]]*IFERROR(AVERAGEIFS('Participation Adjustment'!$C:$C,'Participation Adjustment'!$A:$A,$H336,'Participation Adjustment'!$B:$B,$I336),1)</f>
        <v>252.03614745029702</v>
      </c>
      <c r="Z336" s="79">
        <f>tbl_Data_old[[#This Row],[2029 ]]*IFERROR(AVERAGEIFS('Participation Adjustment'!$C:$C,'Participation Adjustment'!$A:$A,$H336,'Participation Adjustment'!$B:$B,$I336),1)</f>
        <v>317.95799096292001</v>
      </c>
      <c r="AA336" s="79">
        <f>tbl_Data_old[[#This Row],[2030 ]]*IFERROR(AVERAGEIFS('Participation Adjustment'!$C:$C,'Participation Adjustment'!$A:$A,$H336,'Participation Adjustment'!$B:$B,$I336),1)</f>
        <v>383.95269161684098</v>
      </c>
      <c r="AB336" s="79">
        <f>tbl_Data_old[[#This Row],[2031 ]]*IFERROR(AVERAGEIFS('Participation Adjustment'!$C:$C,'Participation Adjustment'!$A:$A,$H336,'Participation Adjustment'!$B:$B,$I336),1)</f>
        <v>449.75406030289201</v>
      </c>
      <c r="AC336" s="79">
        <f>tbl_Data_old[[#This Row],[2032 ]]*IFERROR(AVERAGEIFS('Participation Adjustment'!$C:$C,'Participation Adjustment'!$A:$A,$H336,'Participation Adjustment'!$B:$B,$I336),1)</f>
        <v>515.28382386602698</v>
      </c>
      <c r="AD336" s="79">
        <f>tbl_Data_old[[#This Row],[2033 ]]*IFERROR(AVERAGEIFS('Participation Adjustment'!$C:$C,'Participation Adjustment'!$A:$A,$H336,'Participation Adjustment'!$B:$B,$I336),1)</f>
        <v>580.41328829943893</v>
      </c>
      <c r="AE336" s="79">
        <f>tbl_Data_old[[#This Row],[2034 ]]*IFERROR(AVERAGEIFS('Participation Adjustment'!$C:$C,'Participation Adjustment'!$A:$A,$H336,'Participation Adjustment'!$B:$B,$I336),1)</f>
        <v>645.09474927558301</v>
      </c>
      <c r="AF336" s="77" t="str">
        <f t="shared" si="143"/>
        <v>NonResidential</v>
      </c>
      <c r="AG336" s="77" t="str">
        <f>tbl_Data[[#This Row],[All_Meas_Name_Append]]</f>
        <v>LED Linear - Fixture Replacement</v>
      </c>
      <c r="AH336" s="77">
        <f>AVERAGEIFS('3. Incentive Adjustment'!G:G,'3. Incentive Adjustment'!A:A,tbl_Data[[#This Row],[Trimmed Sector]],'3. Incentive Adjustment'!B:B,tbl_Data[[#This Row],[Trimmed Measure Name]])</f>
        <v>0.56055357916158088</v>
      </c>
      <c r="AI336" s="77">
        <f>$AH336*tbl_Data[[#This Row],[2025 ]]</f>
        <v>33.430617913823845</v>
      </c>
      <c r="AJ336" s="77">
        <f>$AH336*tbl_Data[[#This Row],[2026 ]]</f>
        <v>68.576093433551847</v>
      </c>
      <c r="AK336" s="77">
        <f>$AH336*tbl_Data[[#This Row],[2027 ]]</f>
        <v>104.6450993632637</v>
      </c>
      <c r="AL336" s="77">
        <f>$AH336*tbl_Data[[#This Row],[2028 ]]</f>
        <v>141.27976453135994</v>
      </c>
      <c r="AM336" s="77">
        <f>$AH336*tbl_Data[[#This Row],[2029 ]]</f>
        <v>178.2324898572904</v>
      </c>
      <c r="AN336" s="77">
        <f>$AH336*tbl_Data[[#This Row],[2030 ]]</f>
        <v>215.22605551454294</v>
      </c>
      <c r="AO336" s="77">
        <f>$AH336*tbl_Data[[#This Row],[2031 ]]</f>
        <v>252.11124824523961</v>
      </c>
      <c r="AP336" s="77">
        <f>$AH336*tbl_Data[[#This Row],[2032 ]]</f>
        <v>288.84419175216703</v>
      </c>
      <c r="AQ336" s="77">
        <f>$AH336*tbl_Data[[#This Row],[2033 ]]</f>
        <v>325.35274614919302</v>
      </c>
      <c r="AR336" s="77">
        <f>$AH336*tbl_Data[[#This Row],[2034 ]]</f>
        <v>361.6101706047707</v>
      </c>
      <c r="AS336" s="77">
        <f>SUM(tbl_Data[[#This Row],[Adjusted 2025]:[Adjusted 2034]])</f>
        <v>1969.3084773652031</v>
      </c>
      <c r="AT336" s="80">
        <f>AVERAGEIFS('3. Incentive Adjustment'!F:F,'3. Incentive Adjustment'!A:A,tbl_Data[[#This Row],[Trimmed Sector]],'3. Incentive Adjustment'!B:B,tbl_Data[[#This Row],[Trimmed Measure Name]])</f>
        <v>16.810726621008875</v>
      </c>
      <c r="AU336" s="80">
        <f>IFERROR(VLOOKUP(tbl_Data[[#This Row],[All_Meas_Name_Append]],'IRA Tax Credits'!$A$3:$D$46,4,0),0)</f>
        <v>0</v>
      </c>
      <c r="AV336" s="81">
        <f>tbl_Data[[#This Row],[Adj. per unit Incentive ($)]]/tbl_Data[[#This Row],[kWh Savings]]*tbl_Data[[#This Row],[Sum of Annuals]]</f>
        <v>152.51676294265084</v>
      </c>
      <c r="AW336" s="81">
        <f>IFERROR(VLOOKUP(tbl_Data[[#This Row],[Column1]],'1. Set Program Names'!$B$2:$D$15,3,0)*tbl_Data[[#This Row],[Sum of Annuals]],"")</f>
        <v>70.106781064140975</v>
      </c>
      <c r="AX336" s="81">
        <f>tbl_Data[[#This Row],[per unit IRA tax ($)]]/tbl_Data[[#This Row],[kWh Savings]]*tbl_Data[[#This Row],[Sum of Annuals]]</f>
        <v>0</v>
      </c>
      <c r="AY336" s="81">
        <f>tbl_Data[[#This Row],[Avoided Costs ($/unit)]]/tbl_Data[[#This Row],[kWh Savings]]*tbl_Data[[#This Row],[Sum of Annuals]]</f>
        <v>776.25980870546255</v>
      </c>
      <c r="AZ336" s="81">
        <f>tbl_Data[[#This Row],[Lost Revenue ($/unit)]]/tbl_Data[[#This Row],[kWh Savings]]*tbl_Data[[#This Row],[Sum of Annuals]]</f>
        <v>2138.9054612641776</v>
      </c>
      <c r="BA336" s="81">
        <f>tbl_Data[[#This Row],[Incremental Cost ($/unit)]]/tbl_Data[[#This Row],[kWh Savings]]*tbl_Data[[#This Row],[Sum of Annuals]]</f>
        <v>989.63768056243168</v>
      </c>
      <c r="BB336" s="77">
        <f>ROUNDUP(tbl_Data[[#This Row],[Adjusted 2025]]/$L336,0)</f>
        <v>1</v>
      </c>
      <c r="BC336" s="77">
        <f>ROUNDUP(tbl_Data[[#This Row],[Adjusted 2026]]/$L336,0)</f>
        <v>1</v>
      </c>
      <c r="BD336" s="77">
        <f>ROUNDUP(tbl_Data[[#This Row],[Adjusted 2027]]/$L336,0)</f>
        <v>1</v>
      </c>
      <c r="BE336" s="77">
        <f>ROUNDUP(tbl_Data[[#This Row],[Adjusted 2028]]/$L336,0)</f>
        <v>1</v>
      </c>
      <c r="BF336" s="77">
        <f>ROUNDUP(tbl_Data[[#This Row],[Adjusted 2029]]/$L336,0)</f>
        <v>1</v>
      </c>
      <c r="BG336" s="77">
        <f>ROUNDUP(tbl_Data[[#This Row],[Adjusted 2030]]/$L336,0)</f>
        <v>1</v>
      </c>
      <c r="BH336" s="77">
        <f>ROUNDUP(tbl_Data[[#This Row],[Adjusted 2031]]/$L336,0)</f>
        <v>2</v>
      </c>
      <c r="BI336" s="77">
        <f>ROUNDUP(tbl_Data[[#This Row],[Adjusted 2032]]/$L336,0)</f>
        <v>2</v>
      </c>
      <c r="BJ336" s="77">
        <f>ROUNDUP(tbl_Data[[#This Row],[Adjusted 2033]]/$L336,0)</f>
        <v>2</v>
      </c>
      <c r="BK336" s="77">
        <f>ROUNDUP(tbl_Data[[#This Row],[Adjusted 2034]]/$L336,0)</f>
        <v>2</v>
      </c>
      <c r="BL336" s="80">
        <f t="shared" si="144"/>
        <v>4.6188206915487031</v>
      </c>
      <c r="BM336" s="80">
        <f t="shared" si="145"/>
        <v>9.4745684962494057</v>
      </c>
      <c r="BN336" s="80">
        <f t="shared" si="146"/>
        <v>14.457912547537701</v>
      </c>
      <c r="BO336" s="80">
        <f t="shared" si="147"/>
        <v>19.519408866347657</v>
      </c>
      <c r="BP336" s="80">
        <f t="shared" si="148"/>
        <v>24.624848819162484</v>
      </c>
      <c r="BQ336" s="80">
        <f t="shared" si="149"/>
        <v>29.735931328984375</v>
      </c>
      <c r="BR336" s="80">
        <f t="shared" si="150"/>
        <v>34.832040884466323</v>
      </c>
      <c r="BS336" s="80">
        <f t="shared" si="151"/>
        <v>39.907115475329</v>
      </c>
      <c r="BT336" s="80">
        <f t="shared" si="152"/>
        <v>44.951188154517695</v>
      </c>
      <c r="BU336" s="80">
        <f t="shared" si="153"/>
        <v>49.960564371534531</v>
      </c>
      <c r="BV336" s="80">
        <f>IFERROR(VLOOKUP($H336,'1. Set Program Names'!$B$2:$D$15,3,0)*V336,"NA")</f>
        <v>2.1231151563234265</v>
      </c>
      <c r="BW336" s="80">
        <f>IFERROR(VLOOKUP($H336,'1. Set Program Names'!$B$2:$D$15,3,0)*W336,"NA")</f>
        <v>4.3551376676774076</v>
      </c>
      <c r="BX336" s="80">
        <f>IFERROR(VLOOKUP($H336,'1. Set Program Names'!$B$2:$D$15,3,0)*X336,"NA")</f>
        <v>6.6458118442748084</v>
      </c>
      <c r="BY336" s="80">
        <f>IFERROR(VLOOKUP($H336,'1. Set Program Names'!$B$2:$D$15,3,0)*Y336,"NA")</f>
        <v>8.972409966562477</v>
      </c>
      <c r="BZ336" s="80">
        <f>IFERROR(VLOOKUP($H336,'1. Set Program Names'!$B$2:$D$15,3,0)*Z336,"NA")</f>
        <v>11.319207486404242</v>
      </c>
      <c r="CA336" s="80">
        <f>IFERROR(VLOOKUP($H336,'1. Set Program Names'!$B$2:$D$15,3,0)*AA336,"NA")</f>
        <v>13.668598698251422</v>
      </c>
      <c r="CB336" s="80">
        <f>IFERROR(VLOOKUP($H336,'1. Set Program Names'!$B$2:$D$15,3,0)*AB336,"NA")</f>
        <v>16.011107351017614</v>
      </c>
      <c r="CC336" s="80">
        <f>IFERROR(VLOOKUP($H336,'1. Set Program Names'!$B$2:$D$15,3,0)*AC336,"NA")</f>
        <v>18.343946944260104</v>
      </c>
      <c r="CD336" s="80">
        <f>IFERROR(VLOOKUP($H336,'1. Set Program Names'!$B$2:$D$15,3,0)*AD336,"NA")</f>
        <v>20.662536010594177</v>
      </c>
      <c r="CE336" s="80">
        <f>IFERROR(VLOOKUP($H336,'1. Set Program Names'!$B$2:$D$15,3,0)*AE336,"NA")</f>
        <v>22.96517629051127</v>
      </c>
    </row>
    <row r="337" spans="1:83" x14ac:dyDescent="0.25">
      <c r="A337" s="79" t="s">
        <v>117</v>
      </c>
      <c r="B337" s="79" t="s">
        <v>88</v>
      </c>
      <c r="C337" s="79" t="s">
        <v>122</v>
      </c>
      <c r="D337" s="79" t="s">
        <v>90</v>
      </c>
      <c r="E337" s="79" t="s">
        <v>91</v>
      </c>
      <c r="F337" s="79" t="s">
        <v>90</v>
      </c>
      <c r="G337" s="79" t="s">
        <v>92</v>
      </c>
      <c r="H337" s="79" t="s">
        <v>14</v>
      </c>
      <c r="I337" s="79" t="s">
        <v>164</v>
      </c>
      <c r="J337" s="79" t="s">
        <v>158</v>
      </c>
      <c r="K337" s="79" t="s">
        <v>159</v>
      </c>
      <c r="L337" s="79">
        <v>612.05999999999972</v>
      </c>
      <c r="M337" s="79">
        <v>0</v>
      </c>
      <c r="N337" s="79">
        <v>3.0244631686656035E-2</v>
      </c>
      <c r="O337" s="79">
        <v>255</v>
      </c>
      <c r="P337" s="79">
        <v>129.09500333079711</v>
      </c>
      <c r="Q337" s="79"/>
      <c r="R337" s="79">
        <v>299.62522934905462</v>
      </c>
      <c r="S337" s="79">
        <v>664.77065003695441</v>
      </c>
      <c r="T337" s="79">
        <v>15</v>
      </c>
      <c r="U337" s="79">
        <v>0.2</v>
      </c>
      <c r="V337" s="79">
        <f>tbl_Data_old[[#This Row],[2025 ]]*IFERROR(AVERAGEIFS('Participation Adjustment'!$C:$C,'Participation Adjustment'!$A:$A,$H337,'Participation Adjustment'!$B:$B,$I337),1)</f>
        <v>5.3084506023595797</v>
      </c>
      <c r="W337" s="79">
        <f>tbl_Data_old[[#This Row],[2026 ]]*IFERROR(AVERAGEIFS('Participation Adjustment'!$C:$C,'Participation Adjustment'!$A:$A,$H337,'Participation Adjustment'!$B:$B,$I337),1)</f>
        <v>11.07606718901514</v>
      </c>
      <c r="X337" s="79">
        <f>tbl_Data_old[[#This Row],[2027 ]]*IFERROR(AVERAGEIFS('Participation Adjustment'!$C:$C,'Participation Adjustment'!$A:$A,$H337,'Participation Adjustment'!$B:$B,$I337),1)</f>
        <v>17.212594134857021</v>
      </c>
      <c r="Y337" s="79">
        <f>tbl_Data_old[[#This Row],[2028 ]]*IFERROR(AVERAGEIFS('Participation Adjustment'!$C:$C,'Participation Adjustment'!$A:$A,$H337,'Participation Adjustment'!$B:$B,$I337),1)</f>
        <v>23.658698906404599</v>
      </c>
      <c r="Z337" s="79">
        <f>tbl_Data_old[[#This Row],[2029 ]]*IFERROR(AVERAGEIFS('Participation Adjustment'!$C:$C,'Participation Adjustment'!$A:$A,$H337,'Participation Adjustment'!$B:$B,$I337),1)</f>
        <v>30.352402270633799</v>
      </c>
      <c r="AA337" s="79">
        <f>tbl_Data_old[[#This Row],[2030 ]]*IFERROR(AVERAGEIFS('Participation Adjustment'!$C:$C,'Participation Adjustment'!$A:$A,$H337,'Participation Adjustment'!$B:$B,$I337),1)</f>
        <v>37.236706056283197</v>
      </c>
      <c r="AB337" s="79">
        <f>tbl_Data_old[[#This Row],[2031 ]]*IFERROR(AVERAGEIFS('Participation Adjustment'!$C:$C,'Participation Adjustment'!$A:$A,$H337,'Participation Adjustment'!$B:$B,$I337),1)</f>
        <v>44.259123163512797</v>
      </c>
      <c r="AC337" s="79">
        <f>tbl_Data_old[[#This Row],[2032 ]]*IFERROR(AVERAGEIFS('Participation Adjustment'!$C:$C,'Participation Adjustment'!$A:$A,$H337,'Participation Adjustment'!$B:$B,$I337),1)</f>
        <v>51.389116238121801</v>
      </c>
      <c r="AD337" s="79">
        <f>tbl_Data_old[[#This Row],[2033 ]]*IFERROR(AVERAGEIFS('Participation Adjustment'!$C:$C,'Participation Adjustment'!$A:$A,$H337,'Participation Adjustment'!$B:$B,$I337),1)</f>
        <v>58.610752754070198</v>
      </c>
      <c r="AE337" s="79">
        <f>tbl_Data_old[[#This Row],[2034 ]]*IFERROR(AVERAGEIFS('Participation Adjustment'!$C:$C,'Participation Adjustment'!$A:$A,$H337,'Participation Adjustment'!$B:$B,$I337),1)</f>
        <v>65.896317904175604</v>
      </c>
      <c r="AF337" s="77" t="str">
        <f t="shared" si="143"/>
        <v>NonResidential</v>
      </c>
      <c r="AG337" s="77" t="str">
        <f>tbl_Data[[#This Row],[All_Meas_Name_Append]]</f>
        <v>LED Parking Lighting</v>
      </c>
      <c r="AH337" s="77">
        <f>AVERAGEIFS('3. Incentive Adjustment'!G:G,'3. Incentive Adjustment'!A:A,tbl_Data[[#This Row],[Trimmed Sector]],'3. Incentive Adjustment'!B:B,tbl_Data[[#This Row],[Trimmed Measure Name]])</f>
        <v>0.59704067730377497</v>
      </c>
      <c r="AI337" s="77">
        <f>$AH337*tbl_Data[[#This Row],[2025 ]]</f>
        <v>3.1693609430663958</v>
      </c>
      <c r="AJ337" s="77">
        <f>$AH337*tbl_Data[[#This Row],[2026 ]]</f>
        <v>6.6128626563917177</v>
      </c>
      <c r="AK337" s="77">
        <f>$AH337*tbl_Data[[#This Row],[2027 ]]</f>
        <v>10.27661886043002</v>
      </c>
      <c r="AL337" s="77">
        <f>$AH337*tbl_Data[[#This Row],[2028 ]]</f>
        <v>14.125205619205882</v>
      </c>
      <c r="AM337" s="77">
        <f>$AH337*tbl_Data[[#This Row],[2029 ]]</f>
        <v>18.121618809455843</v>
      </c>
      <c r="AN337" s="77">
        <f>$AH337*tbl_Data[[#This Row],[2030 ]]</f>
        <v>22.231828204404898</v>
      </c>
      <c r="AO337" s="77">
        <f>$AH337*tbl_Data[[#This Row],[2031 ]]</f>
        <v>26.424496870414874</v>
      </c>
      <c r="AP337" s="77">
        <f>$AH337*tbl_Data[[#This Row],[2032 ]]</f>
        <v>30.68139276485066</v>
      </c>
      <c r="AQ337" s="77">
        <f>$AH337*tbl_Data[[#This Row],[2033 ]]</f>
        <v>34.993003521574167</v>
      </c>
      <c r="AR337" s="77">
        <f>$AH337*tbl_Data[[#This Row],[2034 ]]</f>
        <v>39.342782273333874</v>
      </c>
      <c r="AS337" s="77">
        <f>SUM(tbl_Data[[#This Row],[Adjusted 2025]:[Adjusted 2034]])</f>
        <v>205.97917052312832</v>
      </c>
      <c r="AT337" s="80">
        <f>AVERAGEIFS('3. Incentive Adjustment'!F:F,'3. Incentive Adjustment'!A:A,tbl_Data[[#This Row],[Trimmed Sector]],'3. Incentive Adjustment'!B:B,tbl_Data[[#This Row],[Trimmed Measure Name]])</f>
        <v>9.4514474020799994</v>
      </c>
      <c r="AU337" s="80">
        <f>IFERROR(VLOOKUP(tbl_Data[[#This Row],[All_Meas_Name_Append]],'IRA Tax Credits'!$A$3:$D$46,4,0),0)</f>
        <v>0</v>
      </c>
      <c r="AV337" s="81">
        <f>tbl_Data[[#This Row],[Adj. per unit Incentive ($)]]/tbl_Data[[#This Row],[kWh Savings]]*tbl_Data[[#This Row],[Sum of Annuals]]</f>
        <v>3.1807360326167617</v>
      </c>
      <c r="AW337" s="81">
        <f>IFERROR(VLOOKUP(tbl_Data[[#This Row],[Column1]],'1. Set Program Names'!$B$2:$D$15,3,0)*tbl_Data[[#This Row],[Sum of Annuals]],"")</f>
        <v>7.3327956374608938</v>
      </c>
      <c r="AX337" s="81">
        <f>tbl_Data[[#This Row],[per unit IRA tax ($)]]/tbl_Data[[#This Row],[kWh Savings]]*tbl_Data[[#This Row],[Sum of Annuals]]</f>
        <v>0</v>
      </c>
      <c r="AY337" s="81">
        <f>tbl_Data[[#This Row],[Avoided Costs ($/unit)]]/tbl_Data[[#This Row],[kWh Savings]]*tbl_Data[[#This Row],[Sum of Annuals]]</f>
        <v>100.83416039133481</v>
      </c>
      <c r="AZ337" s="81">
        <f>tbl_Data[[#This Row],[Lost Revenue ($/unit)]]/tbl_Data[[#This Row],[kWh Savings]]*tbl_Data[[#This Row],[Sum of Annuals]]</f>
        <v>223.71811110468374</v>
      </c>
      <c r="BA337" s="81">
        <f>tbl_Data[[#This Row],[Incremental Cost ($/unit)]]/tbl_Data[[#This Row],[kWh Savings]]*tbl_Data[[#This Row],[Sum of Annuals]]</f>
        <v>85.816241027673343</v>
      </c>
      <c r="BB337" s="77">
        <f>ROUNDUP(tbl_Data[[#This Row],[Adjusted 2025]]/$L337,0)</f>
        <v>1</v>
      </c>
      <c r="BC337" s="77">
        <f>ROUNDUP(tbl_Data[[#This Row],[Adjusted 2026]]/$L337,0)</f>
        <v>1</v>
      </c>
      <c r="BD337" s="77">
        <f>ROUNDUP(tbl_Data[[#This Row],[Adjusted 2027]]/$L337,0)</f>
        <v>1</v>
      </c>
      <c r="BE337" s="77">
        <f>ROUNDUP(tbl_Data[[#This Row],[Adjusted 2028]]/$L337,0)</f>
        <v>1</v>
      </c>
      <c r="BF337" s="77">
        <f>ROUNDUP(tbl_Data[[#This Row],[Adjusted 2029]]/$L337,0)</f>
        <v>1</v>
      </c>
      <c r="BG337" s="77">
        <f>ROUNDUP(tbl_Data[[#This Row],[Adjusted 2030]]/$L337,0)</f>
        <v>1</v>
      </c>
      <c r="BH337" s="77">
        <f>ROUNDUP(tbl_Data[[#This Row],[Adjusted 2031]]/$L337,0)</f>
        <v>1</v>
      </c>
      <c r="BI337" s="77">
        <f>ROUNDUP(tbl_Data[[#This Row],[Adjusted 2032]]/$L337,0)</f>
        <v>1</v>
      </c>
      <c r="BJ337" s="77">
        <f>ROUNDUP(tbl_Data[[#This Row],[Adjusted 2033]]/$L337,0)</f>
        <v>1</v>
      </c>
      <c r="BK337" s="77">
        <f>ROUNDUP(tbl_Data[[#This Row],[Adjusted 2034]]/$L337,0)</f>
        <v>1</v>
      </c>
      <c r="BL337" s="80">
        <f t="shared" si="144"/>
        <v>8.1973240621412077E-2</v>
      </c>
      <c r="BM337" s="80">
        <f t="shared" si="145"/>
        <v>0.17103693503721973</v>
      </c>
      <c r="BN337" s="80">
        <f t="shared" si="146"/>
        <v>0.26579735339501337</v>
      </c>
      <c r="BO337" s="80">
        <f t="shared" si="147"/>
        <v>0.36533828107625194</v>
      </c>
      <c r="BP337" s="80">
        <f t="shared" si="148"/>
        <v>0.46870263305504201</v>
      </c>
      <c r="BQ337" s="80">
        <f t="shared" si="149"/>
        <v>0.57501024199861872</v>
      </c>
      <c r="BR337" s="80">
        <f t="shared" si="150"/>
        <v>0.68345060066353291</v>
      </c>
      <c r="BS337" s="80">
        <f t="shared" si="151"/>
        <v>0.79355215038392257</v>
      </c>
      <c r="BT337" s="80">
        <f t="shared" si="152"/>
        <v>0.90506886065322056</v>
      </c>
      <c r="BU337" s="80">
        <f t="shared" si="153"/>
        <v>1.0175727586544758</v>
      </c>
      <c r="BV337" s="80">
        <f>IFERROR(VLOOKUP($H337,'1. Set Program Names'!$B$2:$D$15,3,0)*V337,"NA")</f>
        <v>0.18897922212133683</v>
      </c>
      <c r="BW337" s="80">
        <f>IFERROR(VLOOKUP($H337,'1. Set Program Names'!$B$2:$D$15,3,0)*W337,"NA")</f>
        <v>0.39430461321677357</v>
      </c>
      <c r="BX337" s="80">
        <f>IFERROR(VLOOKUP($H337,'1. Set Program Names'!$B$2:$D$15,3,0)*X337,"NA")</f>
        <v>0.61276310056454153</v>
      </c>
      <c r="BY337" s="80">
        <f>IFERROR(VLOOKUP($H337,'1. Set Program Names'!$B$2:$D$15,3,0)*Y337,"NA")</f>
        <v>0.84224246407189418</v>
      </c>
      <c r="BZ337" s="80">
        <f>IFERROR(VLOOKUP($H337,'1. Set Program Names'!$B$2:$D$15,3,0)*Z337,"NA")</f>
        <v>1.0805362619497036</v>
      </c>
      <c r="CA337" s="80">
        <f>IFERROR(VLOOKUP($H337,'1. Set Program Names'!$B$2:$D$15,3,0)*AA337,"NA")</f>
        <v>1.3256153766881384</v>
      </c>
      <c r="CB337" s="80">
        <f>IFERROR(VLOOKUP($H337,'1. Set Program Names'!$B$2:$D$15,3,0)*AB337,"NA")</f>
        <v>1.5756112835438854</v>
      </c>
      <c r="CC337" s="80">
        <f>IFERROR(VLOOKUP($H337,'1. Set Program Names'!$B$2:$D$15,3,0)*AC337,"NA")</f>
        <v>1.8294368620226991</v>
      </c>
      <c r="CD337" s="80">
        <f>IFERROR(VLOOKUP($H337,'1. Set Program Names'!$B$2:$D$15,3,0)*AD337,"NA")</f>
        <v>2.0865249190577124</v>
      </c>
      <c r="CE337" s="80">
        <f>IFERROR(VLOOKUP($H337,'1. Set Program Names'!$B$2:$D$15,3,0)*AE337,"NA")</f>
        <v>2.3458888159675282</v>
      </c>
    </row>
    <row r="338" spans="1:83" x14ac:dyDescent="0.25">
      <c r="A338" s="79" t="s">
        <v>117</v>
      </c>
      <c r="B338" s="79" t="s">
        <v>88</v>
      </c>
      <c r="C338" s="79" t="s">
        <v>122</v>
      </c>
      <c r="D338" s="79" t="s">
        <v>90</v>
      </c>
      <c r="E338" s="79" t="s">
        <v>91</v>
      </c>
      <c r="F338" s="79" t="s">
        <v>90</v>
      </c>
      <c r="G338" s="79" t="s">
        <v>92</v>
      </c>
      <c r="H338" s="79" t="s">
        <v>14</v>
      </c>
      <c r="I338" s="79" t="s">
        <v>165</v>
      </c>
      <c r="J338" s="79" t="s">
        <v>161</v>
      </c>
      <c r="K338" s="79" t="s">
        <v>166</v>
      </c>
      <c r="L338" s="79">
        <v>510.6</v>
      </c>
      <c r="M338" s="79">
        <v>6.2552429943266097E-2</v>
      </c>
      <c r="N338" s="79">
        <v>6.4361142955417797E-2</v>
      </c>
      <c r="O338" s="79">
        <v>129</v>
      </c>
      <c r="P338" s="79">
        <v>26.468747947944401</v>
      </c>
      <c r="Q338" s="79">
        <v>18.177204243412199</v>
      </c>
      <c r="R338" s="79">
        <v>174.74401692254699</v>
      </c>
      <c r="S338" s="79">
        <v>419.99719394182398</v>
      </c>
      <c r="T338" s="79">
        <v>10</v>
      </c>
      <c r="U338" s="79">
        <v>0.2</v>
      </c>
      <c r="V338" s="79">
        <f>tbl_Data_old[[#This Row],[2025 ]]*IFERROR(AVERAGEIFS('Participation Adjustment'!$C:$C,'Participation Adjustment'!$A:$A,$H338,'Participation Adjustment'!$B:$B,$I338),1)</f>
        <v>1.01031225358409</v>
      </c>
      <c r="W338" s="79">
        <f>tbl_Data_old[[#This Row],[2026 ]]*IFERROR(AVERAGEIFS('Participation Adjustment'!$C:$C,'Participation Adjustment'!$A:$A,$H338,'Participation Adjustment'!$B:$B,$I338),1)</f>
        <v>2.3958987819860602</v>
      </c>
      <c r="X338" s="79">
        <f>tbl_Data_old[[#This Row],[2027 ]]*IFERROR(AVERAGEIFS('Participation Adjustment'!$C:$C,'Participation Adjustment'!$A:$A,$H338,'Participation Adjustment'!$B:$B,$I338),1)</f>
        <v>4.2390289779674504</v>
      </c>
      <c r="Y338" s="79">
        <f>tbl_Data_old[[#This Row],[2028 ]]*IFERROR(AVERAGEIFS('Participation Adjustment'!$C:$C,'Participation Adjustment'!$A:$A,$H338,'Participation Adjustment'!$B:$B,$I338),1)</f>
        <v>6.6163364772083701</v>
      </c>
      <c r="Z338" s="79">
        <f>tbl_Data_old[[#This Row],[2029 ]]*IFERROR(AVERAGEIFS('Participation Adjustment'!$C:$C,'Participation Adjustment'!$A:$A,$H338,'Participation Adjustment'!$B:$B,$I338),1)</f>
        <v>9.5609629515792296</v>
      </c>
      <c r="AA338" s="79">
        <f>tbl_Data_old[[#This Row],[2030 ]]*IFERROR(AVERAGEIFS('Participation Adjustment'!$C:$C,'Participation Adjustment'!$A:$A,$H338,'Participation Adjustment'!$B:$B,$I338),1)</f>
        <v>13.0180843840742</v>
      </c>
      <c r="AB338" s="79">
        <f>tbl_Data_old[[#This Row],[2031 ]]*IFERROR(AVERAGEIFS('Participation Adjustment'!$C:$C,'Participation Adjustment'!$A:$A,$H338,'Participation Adjustment'!$B:$B,$I338),1)</f>
        <v>16.818279753297901</v>
      </c>
      <c r="AC338" s="79">
        <f>tbl_Data_old[[#This Row],[2032 ]]*IFERROR(AVERAGEIFS('Participation Adjustment'!$C:$C,'Participation Adjustment'!$A:$A,$H338,'Participation Adjustment'!$B:$B,$I338),1)</f>
        <v>20.684240278168701</v>
      </c>
      <c r="AD338" s="79">
        <f>tbl_Data_old[[#This Row],[2033 ]]*IFERROR(AVERAGEIFS('Participation Adjustment'!$C:$C,'Participation Adjustment'!$A:$A,$H338,'Participation Adjustment'!$B:$B,$I338),1)</f>
        <v>24.283330723056199</v>
      </c>
      <c r="AE338" s="79">
        <f>tbl_Data_old[[#This Row],[2034 ]]*IFERROR(AVERAGEIFS('Participation Adjustment'!$C:$C,'Participation Adjustment'!$A:$A,$H338,'Participation Adjustment'!$B:$B,$I338),1)</f>
        <v>27.336234921195199</v>
      </c>
      <c r="AF338" s="77" t="str">
        <f t="shared" si="143"/>
        <v>NonResidential</v>
      </c>
      <c r="AG338" s="77" t="str">
        <f>tbl_Data[[#This Row],[All_Meas_Name_Append]]</f>
        <v>Occupancy Sensors_ Ceiling Mounted</v>
      </c>
      <c r="AH338" s="77">
        <f>AVERAGEIFS('3. Incentive Adjustment'!G:G,'3. Incentive Adjustment'!A:A,tbl_Data[[#This Row],[Trimmed Sector]],'3. Incentive Adjustment'!B:B,tbl_Data[[#This Row],[Trimmed Measure Name]])</f>
        <v>0.99348124042467356</v>
      </c>
      <c r="AI338" s="77">
        <f>$AH338*tbl_Data[[#This Row],[2025 ]]</f>
        <v>1.0037262709069692</v>
      </c>
      <c r="AJ338" s="77">
        <f>$AH338*tbl_Data[[#This Row],[2026 ]]</f>
        <v>2.3802804938594755</v>
      </c>
      <c r="AK338" s="77">
        <f>$AH338*tbl_Data[[#This Row],[2027 ]]</f>
        <v>4.2113957672272386</v>
      </c>
      <c r="AL338" s="77">
        <f>$AH338*tbl_Data[[#This Row],[2028 ]]</f>
        <v>6.5732061704439868</v>
      </c>
      <c r="AM338" s="77">
        <f>$AH338*tbl_Data[[#This Row],[2029 ]]</f>
        <v>9.498637332789281</v>
      </c>
      <c r="AN338" s="77">
        <f>$AH338*tbl_Data[[#This Row],[2030 ]]</f>
        <v>12.933222621843109</v>
      </c>
      <c r="AO338" s="77">
        <f>$AH338*tbl_Data[[#This Row],[2031 ]]</f>
        <v>16.708645431115571</v>
      </c>
      <c r="AP338" s="77">
        <f>$AH338*tbl_Data[[#This Row],[2032 ]]</f>
        <v>20.549404688797036</v>
      </c>
      <c r="AQ338" s="77">
        <f>$AH338*tbl_Data[[#This Row],[2033 ]]</f>
        <v>24.125033528384456</v>
      </c>
      <c r="AR338" s="77">
        <f>$AH338*tbl_Data[[#This Row],[2034 ]]</f>
        <v>27.158036578049284</v>
      </c>
      <c r="AS338" s="77">
        <f>SUM(tbl_Data[[#This Row],[Adjusted 2025]:[Adjusted 2034]])</f>
        <v>125.1415888834164</v>
      </c>
      <c r="AT338" s="80">
        <f>AVERAGEIFS('3. Incentive Adjustment'!F:F,'3. Incentive Adjustment'!A:A,tbl_Data[[#This Row],[Trimmed Sector]],'3. Incentive Adjustment'!B:B,tbl_Data[[#This Row],[Trimmed Measure Name]])</f>
        <v>19.547634357270656</v>
      </c>
      <c r="AU338" s="80">
        <f>IFERROR(VLOOKUP(tbl_Data[[#This Row],[All_Meas_Name_Append]],'IRA Tax Credits'!$A$3:$D$46,4,0),0)</f>
        <v>0</v>
      </c>
      <c r="AV338" s="81">
        <f>tbl_Data[[#This Row],[Adj. per unit Incentive ($)]]/tbl_Data[[#This Row],[kWh Savings]]*tbl_Data[[#This Row],[Sum of Annuals]]</f>
        <v>4.7908774429708387</v>
      </c>
      <c r="AW338" s="81">
        <f>IFERROR(VLOOKUP(tbl_Data[[#This Row],[Column1]],'1. Set Program Names'!$B$2:$D$15,3,0)*tbl_Data[[#This Row],[Sum of Annuals]],"")</f>
        <v>4.4550023902839424</v>
      </c>
      <c r="AX338" s="81">
        <f>tbl_Data[[#This Row],[per unit IRA tax ($)]]/tbl_Data[[#This Row],[kWh Savings]]*tbl_Data[[#This Row],[Sum of Annuals]]</f>
        <v>0</v>
      </c>
      <c r="AY338" s="81">
        <f>tbl_Data[[#This Row],[Avoided Costs ($/unit)]]/tbl_Data[[#This Row],[kWh Savings]]*tbl_Data[[#This Row],[Sum of Annuals]]</f>
        <v>42.827543920012012</v>
      </c>
      <c r="AZ338" s="81">
        <f>tbl_Data[[#This Row],[Lost Revenue ($/unit)]]/tbl_Data[[#This Row],[kWh Savings]]*tbl_Data[[#This Row],[Sum of Annuals]]</f>
        <v>102.93598937809682</v>
      </c>
      <c r="BA338" s="81">
        <f>tbl_Data[[#This Row],[Incremental Cost ($/unit)]]/tbl_Data[[#This Row],[kWh Savings]]*tbl_Data[[#This Row],[Sum of Annuals]]</f>
        <v>31.616265111556434</v>
      </c>
      <c r="BB338" s="77">
        <f>ROUNDUP(tbl_Data[[#This Row],[Adjusted 2025]]/$L338,0)</f>
        <v>1</v>
      </c>
      <c r="BC338" s="77">
        <f>ROUNDUP(tbl_Data[[#This Row],[Adjusted 2026]]/$L338,0)</f>
        <v>1</v>
      </c>
      <c r="BD338" s="77">
        <f>ROUNDUP(tbl_Data[[#This Row],[Adjusted 2027]]/$L338,0)</f>
        <v>1</v>
      </c>
      <c r="BE338" s="77">
        <f>ROUNDUP(tbl_Data[[#This Row],[Adjusted 2028]]/$L338,0)</f>
        <v>1</v>
      </c>
      <c r="BF338" s="77">
        <f>ROUNDUP(tbl_Data[[#This Row],[Adjusted 2029]]/$L338,0)</f>
        <v>1</v>
      </c>
      <c r="BG338" s="77">
        <f>ROUNDUP(tbl_Data[[#This Row],[Adjusted 2030]]/$L338,0)</f>
        <v>1</v>
      </c>
      <c r="BH338" s="77">
        <f>ROUNDUP(tbl_Data[[#This Row],[Adjusted 2031]]/$L338,0)</f>
        <v>1</v>
      </c>
      <c r="BI338" s="77">
        <f>ROUNDUP(tbl_Data[[#This Row],[Adjusted 2032]]/$L338,0)</f>
        <v>1</v>
      </c>
      <c r="BJ338" s="77">
        <f>ROUNDUP(tbl_Data[[#This Row],[Adjusted 2033]]/$L338,0)</f>
        <v>1</v>
      </c>
      <c r="BK338" s="77">
        <f>ROUNDUP(tbl_Data[[#This Row],[Adjusted 2034]]/$L338,0)</f>
        <v>1</v>
      </c>
      <c r="BL338" s="80">
        <f t="shared" si="144"/>
        <v>3.8678445984590484E-2</v>
      </c>
      <c r="BM338" s="80">
        <f t="shared" si="145"/>
        <v>9.1723762920669069E-2</v>
      </c>
      <c r="BN338" s="80">
        <f t="shared" si="146"/>
        <v>0.16228552387618969</v>
      </c>
      <c r="BO338" s="80">
        <f t="shared" si="147"/>
        <v>0.25329754453807568</v>
      </c>
      <c r="BP338" s="80">
        <f t="shared" si="148"/>
        <v>0.36602860924575403</v>
      </c>
      <c r="BQ338" s="80">
        <f t="shared" si="149"/>
        <v>0.49837985423419007</v>
      </c>
      <c r="BR338" s="80">
        <f t="shared" si="150"/>
        <v>0.64386522353261955</v>
      </c>
      <c r="BS338" s="80">
        <f t="shared" si="151"/>
        <v>0.79186832337558177</v>
      </c>
      <c r="BT338" s="80">
        <f t="shared" si="152"/>
        <v>0.9296546610869163</v>
      </c>
      <c r="BU338" s="80">
        <f t="shared" si="153"/>
        <v>1.0465309928397517</v>
      </c>
      <c r="BV338" s="80">
        <f>IFERROR(VLOOKUP($H338,'1. Set Program Names'!$B$2:$D$15,3,0)*V338,"NA")</f>
        <v>3.5966808035683626E-2</v>
      </c>
      <c r="BW338" s="80">
        <f>IFERROR(VLOOKUP($H338,'1. Set Program Names'!$B$2:$D$15,3,0)*W338,"NA")</f>
        <v>8.5293265778893707E-2</v>
      </c>
      <c r="BX338" s="80">
        <f>IFERROR(VLOOKUP($H338,'1. Set Program Names'!$B$2:$D$15,3,0)*X338,"NA")</f>
        <v>0.15090813851597573</v>
      </c>
      <c r="BY338" s="80">
        <f>IFERROR(VLOOKUP($H338,'1. Set Program Names'!$B$2:$D$15,3,0)*Y338,"NA")</f>
        <v>0.23553956030034251</v>
      </c>
      <c r="BZ338" s="80">
        <f>IFERROR(VLOOKUP($H338,'1. Set Program Names'!$B$2:$D$15,3,0)*Z338,"NA")</f>
        <v>0.34036736454083971</v>
      </c>
      <c r="CA338" s="80">
        <f>IFERROR(VLOOKUP($H338,'1. Set Program Names'!$B$2:$D$15,3,0)*AA338,"NA")</f>
        <v>0.46343983295591773</v>
      </c>
      <c r="CB338" s="80">
        <f>IFERROR(VLOOKUP($H338,'1. Set Program Names'!$B$2:$D$15,3,0)*AB338,"NA")</f>
        <v>0.59872562886513914</v>
      </c>
      <c r="CC338" s="80">
        <f>IFERROR(VLOOKUP($H338,'1. Set Program Names'!$B$2:$D$15,3,0)*AC338,"NA")</f>
        <v>0.73635264425398661</v>
      </c>
      <c r="CD338" s="80">
        <f>IFERROR(VLOOKUP($H338,'1. Set Program Names'!$B$2:$D$15,3,0)*AD338,"NA")</f>
        <v>0.86447916620313137</v>
      </c>
      <c r="CE338" s="80">
        <f>IFERROR(VLOOKUP($H338,'1. Set Program Names'!$B$2:$D$15,3,0)*AE338,"NA")</f>
        <v>0.9731616243800667</v>
      </c>
    </row>
    <row r="339" spans="1:83" x14ac:dyDescent="0.25">
      <c r="A339" s="79" t="s">
        <v>117</v>
      </c>
      <c r="B339" s="79" t="s">
        <v>88</v>
      </c>
      <c r="C339" s="79" t="s">
        <v>122</v>
      </c>
      <c r="D339" s="79" t="s">
        <v>90</v>
      </c>
      <c r="E339" s="79" t="s">
        <v>91</v>
      </c>
      <c r="F339" s="79" t="s">
        <v>90</v>
      </c>
      <c r="G339" s="79" t="s">
        <v>92</v>
      </c>
      <c r="H339" s="79" t="s">
        <v>14</v>
      </c>
      <c r="I339" s="79" t="s">
        <v>154</v>
      </c>
      <c r="J339" s="79" t="s">
        <v>129</v>
      </c>
      <c r="K339" s="79" t="s">
        <v>102</v>
      </c>
      <c r="L339" s="79">
        <v>111105.09249999899</v>
      </c>
      <c r="M339" s="79">
        <v>30.6532165911823</v>
      </c>
      <c r="N339" s="79">
        <v>0</v>
      </c>
      <c r="O339" s="79">
        <v>40257.675000000003</v>
      </c>
      <c r="P339" s="79">
        <v>17605.607636663401</v>
      </c>
      <c r="Q339" s="79">
        <v>3955.3074008141398</v>
      </c>
      <c r="R339" s="79">
        <v>56706.982631731698</v>
      </c>
      <c r="S339" s="79">
        <v>120673.47084214</v>
      </c>
      <c r="T339" s="79">
        <v>15</v>
      </c>
      <c r="U339" s="79">
        <v>0.95</v>
      </c>
      <c r="V339" s="79">
        <f>tbl_Data_old[[#This Row],[2025 ]]*IFERROR(AVERAGEIFS('Participation Adjustment'!$C:$C,'Participation Adjustment'!$A:$A,$H339,'Participation Adjustment'!$B:$B,$I339),1)</f>
        <v>0</v>
      </c>
      <c r="W339" s="79">
        <f>tbl_Data_old[[#This Row],[2026 ]]*IFERROR(AVERAGEIFS('Participation Adjustment'!$C:$C,'Participation Adjustment'!$A:$A,$H339,'Participation Adjustment'!$B:$B,$I339),1)</f>
        <v>0</v>
      </c>
      <c r="X339" s="79">
        <f>tbl_Data_old[[#This Row],[2027 ]]*IFERROR(AVERAGEIFS('Participation Adjustment'!$C:$C,'Participation Adjustment'!$A:$A,$H339,'Participation Adjustment'!$B:$B,$I339),1)</f>
        <v>0</v>
      </c>
      <c r="Y339" s="79">
        <f>tbl_Data_old[[#This Row],[2028 ]]*IFERROR(AVERAGEIFS('Participation Adjustment'!$C:$C,'Participation Adjustment'!$A:$A,$H339,'Participation Adjustment'!$B:$B,$I339),1)</f>
        <v>0</v>
      </c>
      <c r="Z339" s="79">
        <f>tbl_Data_old[[#This Row],[2029 ]]*IFERROR(AVERAGEIFS('Participation Adjustment'!$C:$C,'Participation Adjustment'!$A:$A,$H339,'Participation Adjustment'!$B:$B,$I339),1)</f>
        <v>0</v>
      </c>
      <c r="AA339" s="79">
        <f>tbl_Data_old[[#This Row],[2030 ]]*IFERROR(AVERAGEIFS('Participation Adjustment'!$C:$C,'Participation Adjustment'!$A:$A,$H339,'Participation Adjustment'!$B:$B,$I339),1)</f>
        <v>0</v>
      </c>
      <c r="AB339" s="79">
        <f>tbl_Data_old[[#This Row],[2031 ]]*IFERROR(AVERAGEIFS('Participation Adjustment'!$C:$C,'Participation Adjustment'!$A:$A,$H339,'Participation Adjustment'!$B:$B,$I339),1)</f>
        <v>0</v>
      </c>
      <c r="AC339" s="79">
        <f>tbl_Data_old[[#This Row],[2032 ]]*IFERROR(AVERAGEIFS('Participation Adjustment'!$C:$C,'Participation Adjustment'!$A:$A,$H339,'Participation Adjustment'!$B:$B,$I339),1)</f>
        <v>0</v>
      </c>
      <c r="AD339" s="79">
        <f>tbl_Data_old[[#This Row],[2033 ]]*IFERROR(AVERAGEIFS('Participation Adjustment'!$C:$C,'Participation Adjustment'!$A:$A,$H339,'Participation Adjustment'!$B:$B,$I339),1)</f>
        <v>0</v>
      </c>
      <c r="AE339" s="79">
        <f>tbl_Data_old[[#This Row],[2034 ]]*IFERROR(AVERAGEIFS('Participation Adjustment'!$C:$C,'Participation Adjustment'!$A:$A,$H339,'Participation Adjustment'!$B:$B,$I339),1)</f>
        <v>0</v>
      </c>
      <c r="AF339" s="77" t="str">
        <f t="shared" si="143"/>
        <v>NonResidential</v>
      </c>
      <c r="AG339" s="77" t="str">
        <f>tbl_Data[[#This Row],[All_Meas_Name_Append]]</f>
        <v>Reflective Roof Treatment</v>
      </c>
      <c r="AH339" s="77">
        <f>AVERAGEIFS('3. Incentive Adjustment'!G:G,'3. Incentive Adjustment'!A:A,tbl_Data[[#This Row],[Trimmed Sector]],'3. Incentive Adjustment'!B:B,tbl_Data[[#This Row],[Trimmed Measure Name]])</f>
        <v>0.87696681614875649</v>
      </c>
      <c r="AI339" s="77">
        <f>$AH339*tbl_Data[[#This Row],[2025 ]]</f>
        <v>0</v>
      </c>
      <c r="AJ339" s="77">
        <f>$AH339*tbl_Data[[#This Row],[2026 ]]</f>
        <v>0</v>
      </c>
      <c r="AK339" s="77">
        <f>$AH339*tbl_Data[[#This Row],[2027 ]]</f>
        <v>0</v>
      </c>
      <c r="AL339" s="77">
        <f>$AH339*tbl_Data[[#This Row],[2028 ]]</f>
        <v>0</v>
      </c>
      <c r="AM339" s="77">
        <f>$AH339*tbl_Data[[#This Row],[2029 ]]</f>
        <v>0</v>
      </c>
      <c r="AN339" s="77">
        <f>$AH339*tbl_Data[[#This Row],[2030 ]]</f>
        <v>0</v>
      </c>
      <c r="AO339" s="77">
        <f>$AH339*tbl_Data[[#This Row],[2031 ]]</f>
        <v>0</v>
      </c>
      <c r="AP339" s="77">
        <f>$AH339*tbl_Data[[#This Row],[2032 ]]</f>
        <v>0</v>
      </c>
      <c r="AQ339" s="77">
        <f>$AH339*tbl_Data[[#This Row],[2033 ]]</f>
        <v>0</v>
      </c>
      <c r="AR339" s="77">
        <f>$AH339*tbl_Data[[#This Row],[2034 ]]</f>
        <v>0</v>
      </c>
      <c r="AS339" s="77">
        <f>SUM(tbl_Data[[#This Row],[Adjusted 2025]:[Adjusted 2034]])</f>
        <v>0</v>
      </c>
      <c r="AT339" s="80">
        <f>AVERAGEIFS('3. Incentive Adjustment'!F:F,'3. Incentive Adjustment'!A:A,tbl_Data[[#This Row],[Trimmed Sector]],'3. Incentive Adjustment'!B:B,tbl_Data[[#This Row],[Trimmed Measure Name]])</f>
        <v>12077.302499999998</v>
      </c>
      <c r="AU339" s="80">
        <f>IFERROR(VLOOKUP(tbl_Data[[#This Row],[All_Meas_Name_Append]],'IRA Tax Credits'!$A$3:$D$46,4,0),0)</f>
        <v>0</v>
      </c>
      <c r="AV339" s="81">
        <f>tbl_Data[[#This Row],[Adj. per unit Incentive ($)]]/tbl_Data[[#This Row],[kWh Savings]]*tbl_Data[[#This Row],[Sum of Annuals]]</f>
        <v>0</v>
      </c>
      <c r="AW339" s="81">
        <f>IFERROR(VLOOKUP(tbl_Data[[#This Row],[Column1]],'1. Set Program Names'!$B$2:$D$15,3,0)*tbl_Data[[#This Row],[Sum of Annuals]],"")</f>
        <v>0</v>
      </c>
      <c r="AX339" s="81">
        <f>tbl_Data[[#This Row],[per unit IRA tax ($)]]/tbl_Data[[#This Row],[kWh Savings]]*tbl_Data[[#This Row],[Sum of Annuals]]</f>
        <v>0</v>
      </c>
      <c r="AY339" s="81">
        <f>tbl_Data[[#This Row],[Avoided Costs ($/unit)]]/tbl_Data[[#This Row],[kWh Savings]]*tbl_Data[[#This Row],[Sum of Annuals]]</f>
        <v>0</v>
      </c>
      <c r="AZ339" s="81">
        <f>tbl_Data[[#This Row],[Lost Revenue ($/unit)]]/tbl_Data[[#This Row],[kWh Savings]]*tbl_Data[[#This Row],[Sum of Annuals]]</f>
        <v>0</v>
      </c>
      <c r="BA339" s="81">
        <f>tbl_Data[[#This Row],[Incremental Cost ($/unit)]]/tbl_Data[[#This Row],[kWh Savings]]*tbl_Data[[#This Row],[Sum of Annuals]]</f>
        <v>0</v>
      </c>
      <c r="BB339" s="77">
        <f>ROUNDUP(tbl_Data[[#This Row],[Adjusted 2025]]/$L339,0)</f>
        <v>0</v>
      </c>
      <c r="BC339" s="77">
        <f>ROUNDUP(tbl_Data[[#This Row],[Adjusted 2026]]/$L339,0)</f>
        <v>0</v>
      </c>
      <c r="BD339" s="77">
        <f>ROUNDUP(tbl_Data[[#This Row],[Adjusted 2027]]/$L339,0)</f>
        <v>0</v>
      </c>
      <c r="BE339" s="77">
        <f>ROUNDUP(tbl_Data[[#This Row],[Adjusted 2028]]/$L339,0)</f>
        <v>0</v>
      </c>
      <c r="BF339" s="77">
        <f>ROUNDUP(tbl_Data[[#This Row],[Adjusted 2029]]/$L339,0)</f>
        <v>0</v>
      </c>
      <c r="BG339" s="77">
        <f>ROUNDUP(tbl_Data[[#This Row],[Adjusted 2030]]/$L339,0)</f>
        <v>0</v>
      </c>
      <c r="BH339" s="77">
        <f>ROUNDUP(tbl_Data[[#This Row],[Adjusted 2031]]/$L339,0)</f>
        <v>0</v>
      </c>
      <c r="BI339" s="77">
        <f>ROUNDUP(tbl_Data[[#This Row],[Adjusted 2032]]/$L339,0)</f>
        <v>0</v>
      </c>
      <c r="BJ339" s="77">
        <f>ROUNDUP(tbl_Data[[#This Row],[Adjusted 2033]]/$L339,0)</f>
        <v>0</v>
      </c>
      <c r="BK339" s="77">
        <f>ROUNDUP(tbl_Data[[#This Row],[Adjusted 2034]]/$L339,0)</f>
        <v>0</v>
      </c>
      <c r="BL339" s="80">
        <f t="shared" si="144"/>
        <v>0</v>
      </c>
      <c r="BM339" s="80">
        <f t="shared" si="145"/>
        <v>0</v>
      </c>
      <c r="BN339" s="80">
        <f t="shared" si="146"/>
        <v>0</v>
      </c>
      <c r="BO339" s="80">
        <f t="shared" si="147"/>
        <v>0</v>
      </c>
      <c r="BP339" s="80">
        <f t="shared" si="148"/>
        <v>0</v>
      </c>
      <c r="BQ339" s="80">
        <f t="shared" si="149"/>
        <v>0</v>
      </c>
      <c r="BR339" s="80">
        <f t="shared" si="150"/>
        <v>0</v>
      </c>
      <c r="BS339" s="80">
        <f t="shared" si="151"/>
        <v>0</v>
      </c>
      <c r="BT339" s="80">
        <f t="shared" si="152"/>
        <v>0</v>
      </c>
      <c r="BU339" s="80">
        <f t="shared" si="153"/>
        <v>0</v>
      </c>
      <c r="BV339" s="80">
        <f>IFERROR(VLOOKUP($H339,'1. Set Program Names'!$B$2:$D$15,3,0)*V339,"NA")</f>
        <v>0</v>
      </c>
      <c r="BW339" s="80">
        <f>IFERROR(VLOOKUP($H339,'1. Set Program Names'!$B$2:$D$15,3,0)*W339,"NA")</f>
        <v>0</v>
      </c>
      <c r="BX339" s="80">
        <f>IFERROR(VLOOKUP($H339,'1. Set Program Names'!$B$2:$D$15,3,0)*X339,"NA")</f>
        <v>0</v>
      </c>
      <c r="BY339" s="80">
        <f>IFERROR(VLOOKUP($H339,'1. Set Program Names'!$B$2:$D$15,3,0)*Y339,"NA")</f>
        <v>0</v>
      </c>
      <c r="BZ339" s="80">
        <f>IFERROR(VLOOKUP($H339,'1. Set Program Names'!$B$2:$D$15,3,0)*Z339,"NA")</f>
        <v>0</v>
      </c>
      <c r="CA339" s="80">
        <f>IFERROR(VLOOKUP($H339,'1. Set Program Names'!$B$2:$D$15,3,0)*AA339,"NA")</f>
        <v>0</v>
      </c>
      <c r="CB339" s="80">
        <f>IFERROR(VLOOKUP($H339,'1. Set Program Names'!$B$2:$D$15,3,0)*AB339,"NA")</f>
        <v>0</v>
      </c>
      <c r="CC339" s="80">
        <f>IFERROR(VLOOKUP($H339,'1. Set Program Names'!$B$2:$D$15,3,0)*AC339,"NA")</f>
        <v>0</v>
      </c>
      <c r="CD339" s="80">
        <f>IFERROR(VLOOKUP($H339,'1. Set Program Names'!$B$2:$D$15,3,0)*AD339,"NA")</f>
        <v>0</v>
      </c>
      <c r="CE339" s="80">
        <f>IFERROR(VLOOKUP($H339,'1. Set Program Names'!$B$2:$D$15,3,0)*AE339,"NA")</f>
        <v>0</v>
      </c>
    </row>
    <row r="340" spans="1:83" x14ac:dyDescent="0.25">
      <c r="A340" s="79" t="s">
        <v>117</v>
      </c>
      <c r="B340" s="79" t="s">
        <v>88</v>
      </c>
      <c r="C340" s="79" t="s">
        <v>122</v>
      </c>
      <c r="D340" s="79" t="s">
        <v>90</v>
      </c>
      <c r="E340" s="79" t="s">
        <v>91</v>
      </c>
      <c r="F340" s="79" t="s">
        <v>90</v>
      </c>
      <c r="G340" s="79" t="s">
        <v>92</v>
      </c>
      <c r="H340" s="79" t="s">
        <v>14</v>
      </c>
      <c r="I340" s="79" t="s">
        <v>167</v>
      </c>
      <c r="J340" s="79" t="s">
        <v>124</v>
      </c>
      <c r="K340" s="79" t="s">
        <v>98</v>
      </c>
      <c r="L340" s="79">
        <v>151.65999999999994</v>
      </c>
      <c r="M340" s="79">
        <v>2.2013191527321094E-2</v>
      </c>
      <c r="N340" s="79">
        <v>1.952960139549019E-2</v>
      </c>
      <c r="O340" s="79">
        <v>56.59999999999998</v>
      </c>
      <c r="P340" s="79">
        <v>25.402483751835906</v>
      </c>
      <c r="Q340" s="79"/>
      <c r="R340" s="79">
        <v>70.56447857633529</v>
      </c>
      <c r="S340" s="79">
        <v>171.41744415542868</v>
      </c>
      <c r="T340" s="79">
        <v>16</v>
      </c>
      <c r="U340" s="79">
        <v>0.2</v>
      </c>
      <c r="V340" s="79">
        <f>tbl_Data_old[[#This Row],[2025 ]]*IFERROR(AVERAGEIFS('Participation Adjustment'!$C:$C,'Participation Adjustment'!$A:$A,$H340,'Participation Adjustment'!$B:$B,$I340),1)</f>
        <v>0.128353484704023</v>
      </c>
      <c r="W340" s="79">
        <f>tbl_Data_old[[#This Row],[2026 ]]*IFERROR(AVERAGEIFS('Participation Adjustment'!$C:$C,'Participation Adjustment'!$A:$A,$H340,'Participation Adjustment'!$B:$B,$I340),1)</f>
        <v>0.30291871782989899</v>
      </c>
      <c r="X340" s="79">
        <f>tbl_Data_old[[#This Row],[2027 ]]*IFERROR(AVERAGEIFS('Participation Adjustment'!$C:$C,'Participation Adjustment'!$A:$A,$H340,'Participation Adjustment'!$B:$B,$I340),1)</f>
        <v>0.52843827225027595</v>
      </c>
      <c r="Y340" s="79">
        <f>tbl_Data_old[[#This Row],[2028 ]]*IFERROR(AVERAGEIFS('Participation Adjustment'!$C:$C,'Participation Adjustment'!$A:$A,$H340,'Participation Adjustment'!$B:$B,$I340),1)</f>
        <v>0.80687455075738501</v>
      </c>
      <c r="Z340" s="79">
        <f>tbl_Data_old[[#This Row],[2029 ]]*IFERROR(AVERAGEIFS('Participation Adjustment'!$C:$C,'Participation Adjustment'!$A:$A,$H340,'Participation Adjustment'!$B:$B,$I340),1)</f>
        <v>1.13558051384903</v>
      </c>
      <c r="AA340" s="79">
        <f>tbl_Data_old[[#This Row],[2030 ]]*IFERROR(AVERAGEIFS('Participation Adjustment'!$C:$C,'Participation Adjustment'!$A:$A,$H340,'Participation Adjustment'!$B:$B,$I340),1)</f>
        <v>1.5083026932043899</v>
      </c>
      <c r="AB340" s="79">
        <f>tbl_Data_old[[#This Row],[2031 ]]*IFERROR(AVERAGEIFS('Participation Adjustment'!$C:$C,'Participation Adjustment'!$A:$A,$H340,'Participation Adjustment'!$B:$B,$I340),1)</f>
        <v>1.91625256850361</v>
      </c>
      <c r="AC340" s="79">
        <f>tbl_Data_old[[#This Row],[2032 ]]*IFERROR(AVERAGEIFS('Participation Adjustment'!$C:$C,'Participation Adjustment'!$A:$A,$H340,'Participation Adjustment'!$B:$B,$I340),1)</f>
        <v>2.3513736818154101</v>
      </c>
      <c r="AD340" s="79">
        <f>tbl_Data_old[[#This Row],[2033 ]]*IFERROR(AVERAGEIFS('Participation Adjustment'!$C:$C,'Participation Adjustment'!$A:$A,$H340,'Participation Adjustment'!$B:$B,$I340),1)</f>
        <v>2.8078303274489298</v>
      </c>
      <c r="AE340" s="79">
        <f>tbl_Data_old[[#This Row],[2034 ]]*IFERROR(AVERAGEIFS('Participation Adjustment'!$C:$C,'Participation Adjustment'!$A:$A,$H340,'Participation Adjustment'!$B:$B,$I340),1)</f>
        <v>3.2802022220538198</v>
      </c>
      <c r="AF340" s="77" t="str">
        <f t="shared" si="143"/>
        <v>NonResidential</v>
      </c>
      <c r="AG340" s="77" t="str">
        <f>tbl_Data[[#This Row],[All_Meas_Name_Append]]</f>
        <v>Refrigerated Display Case LED Lighting</v>
      </c>
      <c r="AH340" s="77">
        <f>AVERAGEIFS('3. Incentive Adjustment'!G:G,'3. Incentive Adjustment'!A:A,tbl_Data[[#This Row],[Trimmed Sector]],'3. Incentive Adjustment'!B:B,tbl_Data[[#This Row],[Trimmed Measure Name]])</f>
        <v>0.72450810749703154</v>
      </c>
      <c r="AI340" s="77">
        <f>$AH340*tbl_Data[[#This Row],[2025 ]]</f>
        <v>9.2993140293560886E-2</v>
      </c>
      <c r="AJ340" s="77">
        <f>$AH340*tbl_Data[[#This Row],[2026 ]]</f>
        <v>0.21946706698036741</v>
      </c>
      <c r="AK340" s="77">
        <f>$AH340*tbl_Data[[#This Row],[2027 ]]</f>
        <v>0.38285781255704854</v>
      </c>
      <c r="AL340" s="77">
        <f>$AH340*tbl_Data[[#This Row],[2028 ]]</f>
        <v>0.58458715375675052</v>
      </c>
      <c r="AM340" s="77">
        <f>$AH340*tbl_Data[[#This Row],[2029 ]]</f>
        <v>0.82273728899926735</v>
      </c>
      <c r="AN340" s="77">
        <f>$AH340*tbl_Data[[#This Row],[2030 ]]</f>
        <v>1.0927775297861884</v>
      </c>
      <c r="AO340" s="77">
        <f>$AH340*tbl_Data[[#This Row],[2031 ]]</f>
        <v>1.3883405218928764</v>
      </c>
      <c r="AP340" s="77">
        <f>$AH340*tbl_Data[[#This Row],[2032 ]]</f>
        <v>1.70358929623041</v>
      </c>
      <c r="AQ340" s="77">
        <f>$AH340*tbl_Data[[#This Row],[2033 ]]</f>
        <v>2.0342958367127943</v>
      </c>
      <c r="AR340" s="77">
        <f>$AH340*tbl_Data[[#This Row],[2034 ]]</f>
        <v>2.3765331041077706</v>
      </c>
      <c r="AS340" s="77">
        <f>SUM(tbl_Data[[#This Row],[Adjusted 2025]:[Adjusted 2034]])</f>
        <v>10.698178751317034</v>
      </c>
      <c r="AT340" s="80">
        <f>AVERAGEIFS('3. Incentive Adjustment'!F:F,'3. Incentive Adjustment'!A:A,tbl_Data[[#This Row],[Trimmed Sector]],'3. Incentive Adjustment'!B:B,tbl_Data[[#This Row],[Trimmed Measure Name]])</f>
        <v>6.879122352287844</v>
      </c>
      <c r="AU340" s="80">
        <f>IFERROR(VLOOKUP(tbl_Data[[#This Row],[All_Meas_Name_Append]],'IRA Tax Credits'!$A$3:$D$46,4,0),0)</f>
        <v>0</v>
      </c>
      <c r="AV340" s="81">
        <f>tbl_Data[[#This Row],[Adj. per unit Incentive ($)]]/tbl_Data[[#This Row],[kWh Savings]]*tbl_Data[[#This Row],[Sum of Annuals]]</f>
        <v>0.48525702609096588</v>
      </c>
      <c r="AW340" s="81">
        <f>IFERROR(VLOOKUP(tbl_Data[[#This Row],[Column1]],'1. Set Program Names'!$B$2:$D$15,3,0)*tbl_Data[[#This Row],[Sum of Annuals]],"")</f>
        <v>0.38085190010815156</v>
      </c>
      <c r="AX340" s="81">
        <f>tbl_Data[[#This Row],[per unit IRA tax ($)]]/tbl_Data[[#This Row],[kWh Savings]]*tbl_Data[[#This Row],[Sum of Annuals]]</f>
        <v>0</v>
      </c>
      <c r="AY340" s="81">
        <f>tbl_Data[[#This Row],[Avoided Costs ($/unit)]]/tbl_Data[[#This Row],[kWh Savings]]*tbl_Data[[#This Row],[Sum of Annuals]]</f>
        <v>4.9776566352572633</v>
      </c>
      <c r="AZ340" s="81">
        <f>tbl_Data[[#This Row],[Lost Revenue ($/unit)]]/tbl_Data[[#This Row],[kWh Savings]]*tbl_Data[[#This Row],[Sum of Annuals]]</f>
        <v>12.09187959032495</v>
      </c>
      <c r="BA340" s="81">
        <f>tbl_Data[[#This Row],[Incremental Cost ($/unit)]]/tbl_Data[[#This Row],[kWh Savings]]*tbl_Data[[#This Row],[Sum of Annuals]]</f>
        <v>3.9925947337765009</v>
      </c>
      <c r="BB340" s="77">
        <f>ROUNDUP(tbl_Data[[#This Row],[Adjusted 2025]]/$L340,0)</f>
        <v>1</v>
      </c>
      <c r="BC340" s="77">
        <f>ROUNDUP(tbl_Data[[#This Row],[Adjusted 2026]]/$L340,0)</f>
        <v>1</v>
      </c>
      <c r="BD340" s="77">
        <f>ROUNDUP(tbl_Data[[#This Row],[Adjusted 2027]]/$L340,0)</f>
        <v>1</v>
      </c>
      <c r="BE340" s="77">
        <f>ROUNDUP(tbl_Data[[#This Row],[Adjusted 2028]]/$L340,0)</f>
        <v>1</v>
      </c>
      <c r="BF340" s="77">
        <f>ROUNDUP(tbl_Data[[#This Row],[Adjusted 2029]]/$L340,0)</f>
        <v>1</v>
      </c>
      <c r="BG340" s="77">
        <f>ROUNDUP(tbl_Data[[#This Row],[Adjusted 2030]]/$L340,0)</f>
        <v>1</v>
      </c>
      <c r="BH340" s="77">
        <f>ROUNDUP(tbl_Data[[#This Row],[Adjusted 2031]]/$L340,0)</f>
        <v>1</v>
      </c>
      <c r="BI340" s="77">
        <f>ROUNDUP(tbl_Data[[#This Row],[Adjusted 2032]]/$L340,0)</f>
        <v>1</v>
      </c>
      <c r="BJ340" s="77">
        <f>ROUNDUP(tbl_Data[[#This Row],[Adjusted 2033]]/$L340,0)</f>
        <v>1</v>
      </c>
      <c r="BK340" s="77">
        <f>ROUNDUP(tbl_Data[[#This Row],[Adjusted 2034]]/$L340,0)</f>
        <v>1</v>
      </c>
      <c r="BL340" s="80">
        <f t="shared" si="144"/>
        <v>5.8219657498449215E-3</v>
      </c>
      <c r="BM340" s="80">
        <f t="shared" si="145"/>
        <v>1.3740043009033583E-2</v>
      </c>
      <c r="BN340" s="80">
        <f t="shared" si="146"/>
        <v>2.3969349402883051E-2</v>
      </c>
      <c r="BO340" s="80">
        <f t="shared" si="147"/>
        <v>3.6598897254433216E-2</v>
      </c>
      <c r="BP340" s="80">
        <f t="shared" si="148"/>
        <v>5.1508619910598581E-2</v>
      </c>
      <c r="BQ340" s="80">
        <f t="shared" si="149"/>
        <v>6.8414867274418284E-2</v>
      </c>
      <c r="BR340" s="80">
        <f t="shared" si="150"/>
        <v>8.6919002219584471E-2</v>
      </c>
      <c r="BS340" s="80">
        <f t="shared" si="151"/>
        <v>0.10665559312381484</v>
      </c>
      <c r="BT340" s="80">
        <f t="shared" si="152"/>
        <v>0.12735993912030619</v>
      </c>
      <c r="BU340" s="80">
        <f t="shared" si="153"/>
        <v>0.14878618241958785</v>
      </c>
      <c r="BV340" s="80">
        <f>IFERROR(VLOOKUP($H340,'1. Set Program Names'!$B$2:$D$15,3,0)*V340,"NA")</f>
        <v>4.5693449017209344E-3</v>
      </c>
      <c r="BW340" s="80">
        <f>IFERROR(VLOOKUP($H340,'1. Set Program Names'!$B$2:$D$15,3,0)*W340,"NA")</f>
        <v>1.0783813950541758E-2</v>
      </c>
      <c r="BX340" s="80">
        <f>IFERROR(VLOOKUP($H340,'1. Set Program Names'!$B$2:$D$15,3,0)*X340,"NA")</f>
        <v>1.8812241294024923E-2</v>
      </c>
      <c r="BY340" s="80">
        <f>IFERROR(VLOOKUP($H340,'1. Set Program Names'!$B$2:$D$15,3,0)*Y340,"NA")</f>
        <v>2.8724487872950347E-2</v>
      </c>
      <c r="BZ340" s="80">
        <f>IFERROR(VLOOKUP($H340,'1. Set Program Names'!$B$2:$D$15,3,0)*Z340,"NA")</f>
        <v>4.0426319888509185E-2</v>
      </c>
      <c r="CA340" s="80">
        <f>IFERROR(VLOOKUP($H340,'1. Set Program Names'!$B$2:$D$15,3,0)*AA340,"NA")</f>
        <v>5.3695115776076927E-2</v>
      </c>
      <c r="CB340" s="80">
        <f>IFERROR(VLOOKUP($H340,'1. Set Program Names'!$B$2:$D$15,3,0)*AB340,"NA")</f>
        <v>6.8218006893171451E-2</v>
      </c>
      <c r="CC340" s="80">
        <f>IFERROR(VLOOKUP($H340,'1. Set Program Names'!$B$2:$D$15,3,0)*AC340,"NA")</f>
        <v>8.3708185795031004E-2</v>
      </c>
      <c r="CD340" s="80">
        <f>IFERROR(VLOOKUP($H340,'1. Set Program Names'!$B$2:$D$15,3,0)*AD340,"NA")</f>
        <v>9.9957903139220802E-2</v>
      </c>
      <c r="CE340" s="80">
        <f>IFERROR(VLOOKUP($H340,'1. Set Program Names'!$B$2:$D$15,3,0)*AE340,"NA")</f>
        <v>0.11677419849190522</v>
      </c>
    </row>
    <row r="341" spans="1:83" x14ac:dyDescent="0.25">
      <c r="A341" s="79" t="s">
        <v>117</v>
      </c>
      <c r="B341" s="79" t="s">
        <v>88</v>
      </c>
      <c r="C341" s="79" t="s">
        <v>122</v>
      </c>
      <c r="D341" s="79" t="s">
        <v>90</v>
      </c>
      <c r="E341" s="79" t="s">
        <v>91</v>
      </c>
      <c r="F341" s="79" t="s">
        <v>90</v>
      </c>
      <c r="G341" s="79" t="s">
        <v>92</v>
      </c>
      <c r="H341" s="79" t="s">
        <v>14</v>
      </c>
      <c r="I341" s="79" t="s">
        <v>155</v>
      </c>
      <c r="J341" s="79" t="s">
        <v>129</v>
      </c>
      <c r="K341" s="79" t="s">
        <v>102</v>
      </c>
      <c r="L341" s="79">
        <v>1193.02</v>
      </c>
      <c r="M341" s="79">
        <v>0.274776433335365</v>
      </c>
      <c r="N341" s="79">
        <v>0.10441874276921487</v>
      </c>
      <c r="O341" s="79">
        <f>8423.99999999998/36663.4359999998*1193.02</f>
        <v>274.11507421181233</v>
      </c>
      <c r="P341" s="79">
        <f>3224.30667036527/36663.4359999998*1193.02</f>
        <v>104.91821726363004</v>
      </c>
      <c r="Q341" s="79">
        <f>1305.20713755829/36663.4359999998*1193.02</f>
        <v>42.471148073786637</v>
      </c>
      <c r="R341" s="79">
        <f>14915.0733686122/36663.4359999998*1193.02</f>
        <v>485.33314854128304</v>
      </c>
      <c r="S341" s="79">
        <f>32320.5298576745/36663.4359999998*1193.02</f>
        <v>1051.702806327346</v>
      </c>
      <c r="T341" s="79">
        <v>11</v>
      </c>
      <c r="U341" s="79">
        <v>0.94999999999999896</v>
      </c>
      <c r="V341" s="79">
        <f>tbl_Data_old[[#This Row],[2025 ]]*IFERROR(AVERAGEIFS('Participation Adjustment'!$C:$C,'Participation Adjustment'!$A:$A,$H341,'Participation Adjustment'!$B:$B,$I341),1)</f>
        <v>13.924633951244299</v>
      </c>
      <c r="W341" s="79">
        <f>tbl_Data_old[[#This Row],[2026 ]]*IFERROR(AVERAGEIFS('Participation Adjustment'!$C:$C,'Participation Adjustment'!$A:$A,$H341,'Participation Adjustment'!$B:$B,$I341),1)</f>
        <v>25.51035971989835</v>
      </c>
      <c r="X341" s="79">
        <f>tbl_Data_old[[#This Row],[2027 ]]*IFERROR(AVERAGEIFS('Participation Adjustment'!$C:$C,'Participation Adjustment'!$A:$A,$H341,'Participation Adjustment'!$B:$B,$I341),1)</f>
        <v>35.062464529014299</v>
      </c>
      <c r="Y341" s="79">
        <f>tbl_Data_old[[#This Row],[2028 ]]*IFERROR(AVERAGEIFS('Participation Adjustment'!$C:$C,'Participation Adjustment'!$A:$A,$H341,'Participation Adjustment'!$B:$B,$I341),1)</f>
        <v>42.9400125767012</v>
      </c>
      <c r="Z341" s="79">
        <f>tbl_Data_old[[#This Row],[2029 ]]*IFERROR(AVERAGEIFS('Participation Adjustment'!$C:$C,'Participation Adjustment'!$A:$A,$H341,'Participation Adjustment'!$B:$B,$I341),1)</f>
        <v>49.442587062109503</v>
      </c>
      <c r="AA341" s="79">
        <f>tbl_Data_old[[#This Row],[2030 ]]*IFERROR(AVERAGEIFS('Participation Adjustment'!$C:$C,'Participation Adjustment'!$A:$A,$H341,'Participation Adjustment'!$B:$B,$I341),1)</f>
        <v>54.814134041713999</v>
      </c>
      <c r="AB341" s="79">
        <f>tbl_Data_old[[#This Row],[2031 ]]*IFERROR(AVERAGEIFS('Participation Adjustment'!$C:$C,'Participation Adjustment'!$A:$A,$H341,'Participation Adjustment'!$B:$B,$I341),1)</f>
        <v>59.262067586660002</v>
      </c>
      <c r="AC341" s="79">
        <f>tbl_Data_old[[#This Row],[2032 ]]*IFERROR(AVERAGEIFS('Participation Adjustment'!$C:$C,'Participation Adjustment'!$A:$A,$H341,'Participation Adjustment'!$B:$B,$I341),1)</f>
        <v>62.964832191151999</v>
      </c>
      <c r="AD341" s="79">
        <f>tbl_Data_old[[#This Row],[2033 ]]*IFERROR(AVERAGEIFS('Participation Adjustment'!$C:$C,'Participation Adjustment'!$A:$A,$H341,'Participation Adjustment'!$B:$B,$I341),1)</f>
        <v>66.072247380318501</v>
      </c>
      <c r="AE341" s="79">
        <f>tbl_Data_old[[#This Row],[2034 ]]*IFERROR(AVERAGEIFS('Participation Adjustment'!$C:$C,'Participation Adjustment'!$A:$A,$H341,'Participation Adjustment'!$B:$B,$I341),1)</f>
        <v>68.697646349026002</v>
      </c>
      <c r="AF341" s="77" t="str">
        <f t="shared" si="143"/>
        <v>NonResidential</v>
      </c>
      <c r="AG341" s="77" t="str">
        <f>tbl_Data[[#This Row],[All_Meas_Name_Append]]</f>
        <v>Smart thermostat</v>
      </c>
      <c r="AH341" s="77">
        <f>AVERAGEIFS('3. Incentive Adjustment'!G:G,'3. Incentive Adjustment'!A:A,tbl_Data[[#This Row],[Trimmed Sector]],'3. Incentive Adjustment'!B:B,tbl_Data[[#This Row],[Trimmed Measure Name]])</f>
        <v>0.87546479230069263</v>
      </c>
      <c r="AI341" s="77">
        <f>$AH341*tbl_Data[[#This Row],[2025 ]]</f>
        <v>12.190526769989264</v>
      </c>
      <c r="AJ341" s="77">
        <f>$AH341*tbl_Data[[#This Row],[2026 ]]</f>
        <v>22.333421773696763</v>
      </c>
      <c r="AK341" s="77">
        <f>$AH341*tbl_Data[[#This Row],[2027 ]]</f>
        <v>30.695953226443905</v>
      </c>
      <c r="AL341" s="77">
        <f>$AH341*tbl_Data[[#This Row],[2028 ]]</f>
        <v>37.592469191850846</v>
      </c>
      <c r="AM341" s="77">
        <f>$AH341*tbl_Data[[#This Row],[2029 ]]</f>
        <v>43.285244213138611</v>
      </c>
      <c r="AN341" s="77">
        <f>$AH341*tbl_Data[[#This Row],[2030 ]]</f>
        <v>47.987844473971471</v>
      </c>
      <c r="AO341" s="77">
        <f>$AH341*tbl_Data[[#This Row],[2031 ]]</f>
        <v>51.881853691064904</v>
      </c>
      <c r="AP341" s="77">
        <f>$AH341*tbl_Data[[#This Row],[2032 ]]</f>
        <v>55.123493736474849</v>
      </c>
      <c r="AQ341" s="77">
        <f>$AH341*tbl_Data[[#This Row],[2033 ]]</f>
        <v>57.843926329650522</v>
      </c>
      <c r="AR341" s="77">
        <f>$AH341*tbl_Data[[#This Row],[2034 ]]</f>
        <v>60.142370692496485</v>
      </c>
      <c r="AS341" s="77">
        <f>SUM(tbl_Data[[#This Row],[Adjusted 2025]:[Adjusted 2034]])</f>
        <v>419.07710409877768</v>
      </c>
      <c r="AT341" s="80">
        <f>AVERAGEIFS('3. Incentive Adjustment'!F:F,'3. Incentive Adjustment'!A:A,tbl_Data[[#This Row],[Trimmed Sector]],'3. Incentive Adjustment'!B:B,tbl_Data[[#This Row],[Trimmed Measure Name]])</f>
        <v>50</v>
      </c>
      <c r="AU341" s="80">
        <f>IFERROR(VLOOKUP(tbl_Data[[#This Row],[All_Meas_Name_Append]],'IRA Tax Credits'!$A$3:$D$46,4,0),0)</f>
        <v>0</v>
      </c>
      <c r="AV341" s="81">
        <f>tbl_Data[[#This Row],[Adj. per unit Incentive ($)]]/tbl_Data[[#This Row],[kWh Savings]]*tbl_Data[[#This Row],[Sum of Annuals]]</f>
        <v>17.563708240380617</v>
      </c>
      <c r="AW341" s="81">
        <f>IFERROR(VLOOKUP(tbl_Data[[#This Row],[Column1]],'1. Set Program Names'!$B$2:$D$15,3,0)*tbl_Data[[#This Row],[Sum of Annuals]],"")</f>
        <v>14.919017068039945</v>
      </c>
      <c r="AX341" s="81">
        <f>tbl_Data[[#This Row],[per unit IRA tax ($)]]/tbl_Data[[#This Row],[kWh Savings]]*tbl_Data[[#This Row],[Sum of Annuals]]</f>
        <v>0</v>
      </c>
      <c r="AY341" s="81">
        <f>tbl_Data[[#This Row],[Avoided Costs ($/unit)]]/tbl_Data[[#This Row],[kWh Savings]]*tbl_Data[[#This Row],[Sum of Annuals]]</f>
        <v>170.48499640728807</v>
      </c>
      <c r="AZ341" s="81">
        <f>tbl_Data[[#This Row],[Lost Revenue ($/unit)]]/tbl_Data[[#This Row],[kWh Savings]]*tbl_Data[[#This Row],[Sum of Annuals]]</f>
        <v>369.43602491846053</v>
      </c>
      <c r="BA341" s="81">
        <f>tbl_Data[[#This Row],[Incremental Cost ($/unit)]]/tbl_Data[[#This Row],[kWh Savings]]*tbl_Data[[#This Row],[Sum of Annuals]]</f>
        <v>96.28954375493106</v>
      </c>
      <c r="BB341" s="77">
        <f>ROUNDUP(tbl_Data[[#This Row],[Adjusted 2025]]/$L341,0)</f>
        <v>1</v>
      </c>
      <c r="BC341" s="77">
        <f>ROUNDUP(tbl_Data[[#This Row],[Adjusted 2026]]/$L341,0)</f>
        <v>1</v>
      </c>
      <c r="BD341" s="77">
        <f>ROUNDUP(tbl_Data[[#This Row],[Adjusted 2027]]/$L341,0)</f>
        <v>1</v>
      </c>
      <c r="BE341" s="77">
        <f>ROUNDUP(tbl_Data[[#This Row],[Adjusted 2028]]/$L341,0)</f>
        <v>1</v>
      </c>
      <c r="BF341" s="77">
        <f>ROUNDUP(tbl_Data[[#This Row],[Adjusted 2029]]/$L341,0)</f>
        <v>1</v>
      </c>
      <c r="BG341" s="77">
        <f>ROUNDUP(tbl_Data[[#This Row],[Adjusted 2030]]/$L341,0)</f>
        <v>1</v>
      </c>
      <c r="BH341" s="77">
        <f>ROUNDUP(tbl_Data[[#This Row],[Adjusted 2031]]/$L341,0)</f>
        <v>1</v>
      </c>
      <c r="BI341" s="77">
        <f>ROUNDUP(tbl_Data[[#This Row],[Adjusted 2032]]/$L341,0)</f>
        <v>1</v>
      </c>
      <c r="BJ341" s="77">
        <f>ROUNDUP(tbl_Data[[#This Row],[Adjusted 2033]]/$L341,0)</f>
        <v>1</v>
      </c>
      <c r="BK341" s="77">
        <f>ROUNDUP(tbl_Data[[#This Row],[Adjusted 2034]]/$L341,0)</f>
        <v>1</v>
      </c>
      <c r="BL341" s="80">
        <f t="shared" si="144"/>
        <v>0.58358761593453168</v>
      </c>
      <c r="BM341" s="80">
        <f t="shared" si="145"/>
        <v>1.0691505473461613</v>
      </c>
      <c r="BN341" s="80">
        <f t="shared" si="146"/>
        <v>1.469483517837685</v>
      </c>
      <c r="BO341" s="80">
        <f t="shared" si="147"/>
        <v>1.7996350680081306</v>
      </c>
      <c r="BP341" s="80">
        <f t="shared" si="148"/>
        <v>2.0721608632759509</v>
      </c>
      <c r="BQ341" s="80">
        <f t="shared" si="149"/>
        <v>2.2972847916092771</v>
      </c>
      <c r="BR341" s="80">
        <f t="shared" si="150"/>
        <v>2.4836996691866022</v>
      </c>
      <c r="BS341" s="80">
        <f t="shared" si="151"/>
        <v>2.6388841843033646</v>
      </c>
      <c r="BT341" s="80">
        <f t="shared" si="152"/>
        <v>2.769117340041177</v>
      </c>
      <c r="BU341" s="80">
        <f t="shared" si="153"/>
        <v>2.8791489811162427</v>
      </c>
      <c r="BV341" s="80">
        <f>IFERROR(VLOOKUP($H341,'1. Set Program Names'!$B$2:$D$15,3,0)*V341,"NA")</f>
        <v>0.4957127210076761</v>
      </c>
      <c r="BW341" s="80">
        <f>IFERROR(VLOOKUP($H341,'1. Set Program Names'!$B$2:$D$15,3,0)*W341,"NA")</f>
        <v>0.90816102419018385</v>
      </c>
      <c r="BX341" s="80">
        <f>IFERROR(VLOOKUP($H341,'1. Set Program Names'!$B$2:$D$15,3,0)*X341,"NA")</f>
        <v>1.2482130415614734</v>
      </c>
      <c r="BY341" s="80">
        <f>IFERROR(VLOOKUP($H341,'1. Set Program Names'!$B$2:$D$15,3,0)*Y341,"NA")</f>
        <v>1.5286513490430593</v>
      </c>
      <c r="BZ341" s="80">
        <f>IFERROR(VLOOKUP($H341,'1. Set Program Names'!$B$2:$D$15,3,0)*Z341,"NA")</f>
        <v>1.7601410171379823</v>
      </c>
      <c r="CA341" s="80">
        <f>IFERROR(VLOOKUP($H341,'1. Set Program Names'!$B$2:$D$15,3,0)*AA341,"NA")</f>
        <v>1.9513664510419284</v>
      </c>
      <c r="CB341" s="80">
        <f>IFERROR(VLOOKUP($H341,'1. Set Program Names'!$B$2:$D$15,3,0)*AB341,"NA")</f>
        <v>2.1097115284167969</v>
      </c>
      <c r="CC341" s="80">
        <f>IFERROR(VLOOKUP($H341,'1. Set Program Names'!$B$2:$D$15,3,0)*AC341,"NA")</f>
        <v>2.241528818822454</v>
      </c>
      <c r="CD341" s="80">
        <f>IFERROR(VLOOKUP($H341,'1. Set Program Names'!$B$2:$D$15,3,0)*AD341,"NA")</f>
        <v>2.3521518516515978</v>
      </c>
      <c r="CE341" s="80">
        <f>IFERROR(VLOOKUP($H341,'1. Set Program Names'!$B$2:$D$15,3,0)*AE341,"NA")</f>
        <v>2.4456152540696157</v>
      </c>
    </row>
    <row r="342" spans="1:83" x14ac:dyDescent="0.25">
      <c r="A342" s="79" t="s">
        <v>117</v>
      </c>
      <c r="B342" s="79" t="s">
        <v>88</v>
      </c>
      <c r="C342" s="79" t="s">
        <v>122</v>
      </c>
      <c r="D342" s="79" t="s">
        <v>90</v>
      </c>
      <c r="E342" s="79" t="s">
        <v>91</v>
      </c>
      <c r="F342" s="79" t="s">
        <v>90</v>
      </c>
      <c r="G342" s="79" t="s">
        <v>92</v>
      </c>
      <c r="H342" s="79"/>
      <c r="I342" s="79" t="s">
        <v>304</v>
      </c>
      <c r="J342" s="79" t="s">
        <v>144</v>
      </c>
      <c r="K342" s="79" t="s">
        <v>98</v>
      </c>
      <c r="L342" s="79">
        <v>71859.953750000001</v>
      </c>
      <c r="M342" s="79">
        <v>2.01028298751406</v>
      </c>
      <c r="N342" s="79">
        <v>2.93501737514182</v>
      </c>
      <c r="O342" s="79">
        <v>21366.564901045898</v>
      </c>
      <c r="P342" s="79">
        <v>219059.38064062799</v>
      </c>
      <c r="Q342" s="79">
        <v>2558.1924328944401</v>
      </c>
      <c r="R342" s="79">
        <v>23924.757333940401</v>
      </c>
      <c r="S342" s="79">
        <v>92224.942677252999</v>
      </c>
      <c r="T342" s="79">
        <v>20</v>
      </c>
      <c r="U342" s="79">
        <v>1</v>
      </c>
      <c r="V342" s="79">
        <f>tbl_Data_old[[#This Row],[2025 ]]*IFERROR(AVERAGEIFS('Participation Adjustment'!$C:$C,'Participation Adjustment'!$A:$A,$H342,'Participation Adjustment'!$B:$B,$I342),1)</f>
        <v>59.343300162357799</v>
      </c>
      <c r="W342" s="79">
        <f>tbl_Data_old[[#This Row],[2026 ]]*IFERROR(AVERAGEIFS('Participation Adjustment'!$C:$C,'Participation Adjustment'!$A:$A,$H342,'Participation Adjustment'!$B:$B,$I342),1)</f>
        <v>124.529175294806</v>
      </c>
      <c r="X342" s="79">
        <f>tbl_Data_old[[#This Row],[2027 ]]*IFERROR(AVERAGEIFS('Participation Adjustment'!$C:$C,'Participation Adjustment'!$A:$A,$H342,'Participation Adjustment'!$B:$B,$I342),1)</f>
        <v>194.471688743377</v>
      </c>
      <c r="Y342" s="79">
        <f>tbl_Data_old[[#This Row],[2028 ]]*IFERROR(AVERAGEIFS('Participation Adjustment'!$C:$C,'Participation Adjustment'!$A:$A,$H342,'Participation Adjustment'!$B:$B,$I342),1)</f>
        <v>268.54220900225198</v>
      </c>
      <c r="Z342" s="79">
        <f>tbl_Data_old[[#This Row],[2029 ]]*IFERROR(AVERAGEIFS('Participation Adjustment'!$C:$C,'Participation Adjustment'!$A:$A,$H342,'Participation Adjustment'!$B:$B,$I342),1)</f>
        <v>346.13624324332602</v>
      </c>
      <c r="AA342" s="79">
        <f>tbl_Data_old[[#This Row],[2030 ]]*IFERROR(AVERAGEIFS('Participation Adjustment'!$C:$C,'Participation Adjustment'!$A:$A,$H342,'Participation Adjustment'!$B:$B,$I342),1)</f>
        <v>426.62265593267603</v>
      </c>
      <c r="AB342" s="79">
        <f>tbl_Data_old[[#This Row],[2031 ]]*IFERROR(AVERAGEIFS('Participation Adjustment'!$C:$C,'Participation Adjustment'!$A:$A,$H342,'Participation Adjustment'!$B:$B,$I342),1)</f>
        <v>509.48223942144199</v>
      </c>
      <c r="AC342" s="79">
        <f>tbl_Data_old[[#This Row],[2032 ]]*IFERROR(AVERAGEIFS('Participation Adjustment'!$C:$C,'Participation Adjustment'!$A:$A,$H342,'Participation Adjustment'!$B:$B,$I342),1)</f>
        <v>594.42837819133194</v>
      </c>
      <c r="AD342" s="79">
        <f>tbl_Data_old[[#This Row],[2033 ]]*IFERROR(AVERAGEIFS('Participation Adjustment'!$C:$C,'Participation Adjustment'!$A:$A,$H342,'Participation Adjustment'!$B:$B,$I342),1)</f>
        <v>681.24275460117804</v>
      </c>
      <c r="AE342" s="79">
        <f>tbl_Data_old[[#This Row],[2034 ]]*IFERROR(AVERAGEIFS('Participation Adjustment'!$C:$C,'Participation Adjustment'!$A:$A,$H342,'Participation Adjustment'!$B:$B,$I342),1)</f>
        <v>769.65943532824997</v>
      </c>
      <c r="AF342" s="77" t="str">
        <f t="shared" si="143"/>
        <v>NonResidential</v>
      </c>
      <c r="AG342" s="77" t="str">
        <f>tbl_Data[[#This Row],[All_Meas_Name_Append]]</f>
        <v>Solar Thermal Water Heating System Commercial</v>
      </c>
      <c r="AH342" s="77">
        <f>AVERAGEIFS('3. Incentive Adjustment'!G:G,'3. Incentive Adjustment'!A:A,tbl_Data[[#This Row],[Trimmed Sector]],'3. Incentive Adjustment'!B:B,tbl_Data[[#This Row],[Trimmed Measure Name]])</f>
        <v>3.2123848810070607E-4</v>
      </c>
      <c r="AI342" s="77">
        <f>$AH342*tbl_Data[[#This Row],[2025 ]]</f>
        <v>1.9063352023062204E-2</v>
      </c>
      <c r="AJ342" s="77">
        <f>$AH342*tbl_Data[[#This Row],[2026 ]]</f>
        <v>4.0003563996131274E-2</v>
      </c>
      <c r="AK342" s="77">
        <f>$AH342*tbl_Data[[#This Row],[2027 ]]</f>
        <v>6.2471791270313527E-2</v>
      </c>
      <c r="AL342" s="77">
        <f>$AH342*tbl_Data[[#This Row],[2028 ]]</f>
        <v>8.6266093211107245E-2</v>
      </c>
      <c r="AM342" s="77">
        <f>$AH342*tbl_Data[[#This Row],[2029 ]]</f>
        <v>0.11119228345634428</v>
      </c>
      <c r="AN342" s="77">
        <f>$AH342*tbl_Data[[#This Row],[2030 ]]</f>
        <v>0.13704761698132056</v>
      </c>
      <c r="AO342" s="77">
        <f>$AH342*tbl_Data[[#This Row],[2031 ]]</f>
        <v>0.16366530430590598</v>
      </c>
      <c r="AP342" s="77">
        <f>$AH342*tbl_Data[[#This Row],[2032 ]]</f>
        <v>0.19095327349433819</v>
      </c>
      <c r="AQ342" s="77">
        <f>$AH342*tbl_Data[[#This Row],[2033 ]]</f>
        <v>0.21884139251764276</v>
      </c>
      <c r="AR342" s="77">
        <f>$AH342*tbl_Data[[#This Row],[2034 ]]</f>
        <v>0.24724423335729018</v>
      </c>
      <c r="AS342" s="77">
        <f>SUM(tbl_Data[[#This Row],[Adjusted 2025]:[Adjusted 2034]])</f>
        <v>1.2767489046134561</v>
      </c>
      <c r="AT342" s="80">
        <f>AVERAGEIFS('3. Incentive Adjustment'!F:F,'3. Incentive Adjustment'!A:A,tbl_Data[[#This Row],[Trimmed Sector]],'3. Incentive Adjustment'!B:B,tbl_Data[[#This Row],[Trimmed Measure Name]])</f>
        <v>0</v>
      </c>
      <c r="AU342" s="80">
        <f>IFERROR(VLOOKUP(tbl_Data[[#This Row],[All_Meas_Name_Append]],'IRA Tax Credits'!$A$3:$D$46,4,0),0)</f>
        <v>0</v>
      </c>
      <c r="AV342" s="81">
        <f>tbl_Data[[#This Row],[Adj. per unit Incentive ($)]]/tbl_Data[[#This Row],[kWh Savings]]*tbl_Data[[#This Row],[Sum of Annuals]]</f>
        <v>0</v>
      </c>
      <c r="AW342" s="81" t="str">
        <f>IFERROR(VLOOKUP(tbl_Data[[#This Row],[Column1]],'1. Set Program Names'!$B$2:$D$15,3,0)*tbl_Data[[#This Row],[Sum of Annuals]],"")</f>
        <v/>
      </c>
      <c r="AX342" s="81">
        <f>tbl_Data[[#This Row],[per unit IRA tax ($)]]/tbl_Data[[#This Row],[kWh Savings]]*tbl_Data[[#This Row],[Sum of Annuals]]</f>
        <v>0</v>
      </c>
      <c r="AY342" s="81">
        <f>tbl_Data[[#This Row],[Avoided Costs ($/unit)]]/tbl_Data[[#This Row],[kWh Savings]]*tbl_Data[[#This Row],[Sum of Annuals]]</f>
        <v>0.4250755271221025</v>
      </c>
      <c r="AZ342" s="81">
        <f>tbl_Data[[#This Row],[Lost Revenue ($/unit)]]/tbl_Data[[#This Row],[kWh Savings]]*tbl_Data[[#This Row],[Sum of Annuals]]</f>
        <v>1.6385773771976795</v>
      </c>
      <c r="BA342" s="81">
        <f>tbl_Data[[#This Row],[Incremental Cost ($/unit)]]/tbl_Data[[#This Row],[kWh Savings]]*tbl_Data[[#This Row],[Sum of Annuals]]</f>
        <v>0.3796236555852594</v>
      </c>
      <c r="BB342" s="77">
        <f>ROUNDUP(tbl_Data[[#This Row],[Adjusted 2025]]/$L342,0)</f>
        <v>1</v>
      </c>
      <c r="BC342" s="77">
        <f>ROUNDUP(tbl_Data[[#This Row],[Adjusted 2026]]/$L342,0)</f>
        <v>1</v>
      </c>
      <c r="BD342" s="77">
        <f>ROUNDUP(tbl_Data[[#This Row],[Adjusted 2027]]/$L342,0)</f>
        <v>1</v>
      </c>
      <c r="BE342" s="77">
        <f>ROUNDUP(tbl_Data[[#This Row],[Adjusted 2028]]/$L342,0)</f>
        <v>1</v>
      </c>
      <c r="BF342" s="77">
        <f>ROUNDUP(tbl_Data[[#This Row],[Adjusted 2029]]/$L342,0)</f>
        <v>1</v>
      </c>
      <c r="BG342" s="77">
        <f>ROUNDUP(tbl_Data[[#This Row],[Adjusted 2030]]/$L342,0)</f>
        <v>1</v>
      </c>
      <c r="BH342" s="77">
        <f>ROUNDUP(tbl_Data[[#This Row],[Adjusted 2031]]/$L342,0)</f>
        <v>1</v>
      </c>
      <c r="BI342" s="77">
        <f>ROUNDUP(tbl_Data[[#This Row],[Adjusted 2032]]/$L342,0)</f>
        <v>1</v>
      </c>
      <c r="BJ342" s="77">
        <f>ROUNDUP(tbl_Data[[#This Row],[Adjusted 2033]]/$L342,0)</f>
        <v>1</v>
      </c>
      <c r="BK342" s="77">
        <f>ROUNDUP(tbl_Data[[#This Row],[Adjusted 2034]]/$L342,0)</f>
        <v>1</v>
      </c>
      <c r="BL342" s="80">
        <f t="shared" si="144"/>
        <v>0</v>
      </c>
      <c r="BM342" s="80">
        <f t="shared" si="145"/>
        <v>0</v>
      </c>
      <c r="BN342" s="80">
        <f t="shared" si="146"/>
        <v>0</v>
      </c>
      <c r="BO342" s="80">
        <f t="shared" si="147"/>
        <v>0</v>
      </c>
      <c r="BP342" s="80">
        <f t="shared" si="148"/>
        <v>0</v>
      </c>
      <c r="BQ342" s="80">
        <f t="shared" si="149"/>
        <v>0</v>
      </c>
      <c r="BR342" s="80">
        <f t="shared" si="150"/>
        <v>0</v>
      </c>
      <c r="BS342" s="80">
        <f t="shared" si="151"/>
        <v>0</v>
      </c>
      <c r="BT342" s="80">
        <f t="shared" si="152"/>
        <v>0</v>
      </c>
      <c r="BU342" s="80">
        <f t="shared" si="153"/>
        <v>0</v>
      </c>
      <c r="BV342" s="80" t="str">
        <f>IFERROR(VLOOKUP($H342,'1. Set Program Names'!$B$2:$D$15,3,0)*V342,"NA")</f>
        <v>NA</v>
      </c>
      <c r="BW342" s="80" t="str">
        <f>IFERROR(VLOOKUP($H342,'1. Set Program Names'!$B$2:$D$15,3,0)*W342,"NA")</f>
        <v>NA</v>
      </c>
      <c r="BX342" s="80" t="str">
        <f>IFERROR(VLOOKUP($H342,'1. Set Program Names'!$B$2:$D$15,3,0)*X342,"NA")</f>
        <v>NA</v>
      </c>
      <c r="BY342" s="80" t="str">
        <f>IFERROR(VLOOKUP($H342,'1. Set Program Names'!$B$2:$D$15,3,0)*Y342,"NA")</f>
        <v>NA</v>
      </c>
      <c r="BZ342" s="80" t="str">
        <f>IFERROR(VLOOKUP($H342,'1. Set Program Names'!$B$2:$D$15,3,0)*Z342,"NA")</f>
        <v>NA</v>
      </c>
      <c r="CA342" s="80" t="str">
        <f>IFERROR(VLOOKUP($H342,'1. Set Program Names'!$B$2:$D$15,3,0)*AA342,"NA")</f>
        <v>NA</v>
      </c>
      <c r="CB342" s="80" t="str">
        <f>IFERROR(VLOOKUP($H342,'1. Set Program Names'!$B$2:$D$15,3,0)*AB342,"NA")</f>
        <v>NA</v>
      </c>
      <c r="CC342" s="80" t="str">
        <f>IFERROR(VLOOKUP($H342,'1. Set Program Names'!$B$2:$D$15,3,0)*AC342,"NA")</f>
        <v>NA</v>
      </c>
      <c r="CD342" s="80" t="str">
        <f>IFERROR(VLOOKUP($H342,'1. Set Program Names'!$B$2:$D$15,3,0)*AD342,"NA")</f>
        <v>NA</v>
      </c>
      <c r="CE342" s="80" t="str">
        <f>IFERROR(VLOOKUP($H342,'1. Set Program Names'!$B$2:$D$15,3,0)*AE342,"NA")</f>
        <v>NA</v>
      </c>
    </row>
    <row r="343" spans="1:83" x14ac:dyDescent="0.25">
      <c r="A343" s="79" t="s">
        <v>117</v>
      </c>
      <c r="B343" s="79" t="s">
        <v>88</v>
      </c>
      <c r="C343" s="79" t="s">
        <v>122</v>
      </c>
      <c r="D343" s="79" t="s">
        <v>90</v>
      </c>
      <c r="E343" s="79" t="s">
        <v>91</v>
      </c>
      <c r="F343" s="79" t="s">
        <v>90</v>
      </c>
      <c r="G343" s="79" t="s">
        <v>92</v>
      </c>
      <c r="H343" s="79" t="s">
        <v>14</v>
      </c>
      <c r="I343" s="79" t="s">
        <v>305</v>
      </c>
      <c r="J343" s="79" t="s">
        <v>129</v>
      </c>
      <c r="K343" s="79" t="s">
        <v>306</v>
      </c>
      <c r="L343" s="79">
        <v>1181.58666666666</v>
      </c>
      <c r="M343" s="79">
        <v>0.32580149205424902</v>
      </c>
      <c r="N343" s="79">
        <v>0</v>
      </c>
      <c r="O343" s="79">
        <v>442.61899981344197</v>
      </c>
      <c r="P343" s="79">
        <v>13015.025349926</v>
      </c>
      <c r="Q343" s="79">
        <v>42.064124894815102</v>
      </c>
      <c r="R343" s="79">
        <v>484.68312470825703</v>
      </c>
      <c r="S343" s="79">
        <v>971.92143438909795</v>
      </c>
      <c r="T343" s="79">
        <v>10</v>
      </c>
      <c r="U343" s="79">
        <v>0.94999999999999896</v>
      </c>
      <c r="V343" s="79">
        <f>tbl_Data_old[[#This Row],[2025 ]]*IFERROR(AVERAGEIFS('Participation Adjustment'!$C:$C,'Participation Adjustment'!$A:$A,$H343,'Participation Adjustment'!$B:$B,$I343),1)</f>
        <v>0</v>
      </c>
      <c r="W343" s="79">
        <f>tbl_Data_old[[#This Row],[2026 ]]*IFERROR(AVERAGEIFS('Participation Adjustment'!$C:$C,'Participation Adjustment'!$A:$A,$H343,'Participation Adjustment'!$B:$B,$I343),1)</f>
        <v>0</v>
      </c>
      <c r="X343" s="79">
        <f>tbl_Data_old[[#This Row],[2027 ]]*IFERROR(AVERAGEIFS('Participation Adjustment'!$C:$C,'Participation Adjustment'!$A:$A,$H343,'Participation Adjustment'!$B:$B,$I343),1)</f>
        <v>0</v>
      </c>
      <c r="Y343" s="79">
        <f>tbl_Data_old[[#This Row],[2028 ]]*IFERROR(AVERAGEIFS('Participation Adjustment'!$C:$C,'Participation Adjustment'!$A:$A,$H343,'Participation Adjustment'!$B:$B,$I343),1)</f>
        <v>0</v>
      </c>
      <c r="Z343" s="79">
        <f>tbl_Data_old[[#This Row],[2029 ]]*IFERROR(AVERAGEIFS('Participation Adjustment'!$C:$C,'Participation Adjustment'!$A:$A,$H343,'Participation Adjustment'!$B:$B,$I343),1)</f>
        <v>0</v>
      </c>
      <c r="AA343" s="79">
        <f>tbl_Data_old[[#This Row],[2030 ]]*IFERROR(AVERAGEIFS('Participation Adjustment'!$C:$C,'Participation Adjustment'!$A:$A,$H343,'Participation Adjustment'!$B:$B,$I343),1)</f>
        <v>0</v>
      </c>
      <c r="AB343" s="79">
        <f>tbl_Data_old[[#This Row],[2031 ]]*IFERROR(AVERAGEIFS('Participation Adjustment'!$C:$C,'Participation Adjustment'!$A:$A,$H343,'Participation Adjustment'!$B:$B,$I343),1)</f>
        <v>0</v>
      </c>
      <c r="AC343" s="79">
        <f>tbl_Data_old[[#This Row],[2032 ]]*IFERROR(AVERAGEIFS('Participation Adjustment'!$C:$C,'Participation Adjustment'!$A:$A,$H343,'Participation Adjustment'!$B:$B,$I343),1)</f>
        <v>0</v>
      </c>
      <c r="AD343" s="79">
        <f>tbl_Data_old[[#This Row],[2033 ]]*IFERROR(AVERAGEIFS('Participation Adjustment'!$C:$C,'Participation Adjustment'!$A:$A,$H343,'Participation Adjustment'!$B:$B,$I343),1)</f>
        <v>0</v>
      </c>
      <c r="AE343" s="79">
        <f>tbl_Data_old[[#This Row],[2034 ]]*IFERROR(AVERAGEIFS('Participation Adjustment'!$C:$C,'Participation Adjustment'!$A:$A,$H343,'Participation Adjustment'!$B:$B,$I343),1)</f>
        <v>0</v>
      </c>
      <c r="AF343" s="77" t="str">
        <f t="shared" si="143"/>
        <v>NonResidential</v>
      </c>
      <c r="AG343" s="77" t="str">
        <f>tbl_Data[[#This Row],[All_Meas_Name_Append]]</f>
        <v>Window shade film</v>
      </c>
      <c r="AH343" s="77">
        <f>AVERAGEIFS('3. Incentive Adjustment'!G:G,'3. Incentive Adjustment'!A:A,tbl_Data[[#This Row],[Trimmed Sector]],'3. Incentive Adjustment'!B:B,tbl_Data[[#This Row],[Trimmed Measure Name]])</f>
        <v>3.2127764592544555E-13</v>
      </c>
      <c r="AI343" s="77">
        <f>$AH343*tbl_Data[[#This Row],[2025 ]]</f>
        <v>0</v>
      </c>
      <c r="AJ343" s="77">
        <f>$AH343*tbl_Data[[#This Row],[2026 ]]</f>
        <v>0</v>
      </c>
      <c r="AK343" s="77">
        <f>$AH343*tbl_Data[[#This Row],[2027 ]]</f>
        <v>0</v>
      </c>
      <c r="AL343" s="77">
        <f>$AH343*tbl_Data[[#This Row],[2028 ]]</f>
        <v>0</v>
      </c>
      <c r="AM343" s="77">
        <f>$AH343*tbl_Data[[#This Row],[2029 ]]</f>
        <v>0</v>
      </c>
      <c r="AN343" s="77">
        <f>$AH343*tbl_Data[[#This Row],[2030 ]]</f>
        <v>0</v>
      </c>
      <c r="AO343" s="77">
        <f>$AH343*tbl_Data[[#This Row],[2031 ]]</f>
        <v>0</v>
      </c>
      <c r="AP343" s="77">
        <f>$AH343*tbl_Data[[#This Row],[2032 ]]</f>
        <v>0</v>
      </c>
      <c r="AQ343" s="77">
        <f>$AH343*tbl_Data[[#This Row],[2033 ]]</f>
        <v>0</v>
      </c>
      <c r="AR343" s="77">
        <f>$AH343*tbl_Data[[#This Row],[2034 ]]</f>
        <v>0</v>
      </c>
      <c r="AS343" s="77">
        <f>SUM(tbl_Data[[#This Row],[Adjusted 2025]:[Adjusted 2034]])</f>
        <v>0</v>
      </c>
      <c r="AT343" s="80">
        <f>AVERAGEIFS('3. Incentive Adjustment'!F:F,'3. Incentive Adjustment'!A:A,tbl_Data[[#This Row],[Trimmed Sector]],'3. Incentive Adjustment'!B:B,tbl_Data[[#This Row],[Trimmed Measure Name]])</f>
        <v>132.78569994403261</v>
      </c>
      <c r="AU343" s="80">
        <f>IFERROR(VLOOKUP(tbl_Data[[#This Row],[All_Meas_Name_Append]],'IRA Tax Credits'!$A$3:$D$46,4,0),0)</f>
        <v>0</v>
      </c>
      <c r="AV343" s="81">
        <f>tbl_Data[[#This Row],[Adj. per unit Incentive ($)]]/tbl_Data[[#This Row],[kWh Savings]]*tbl_Data[[#This Row],[Sum of Annuals]]</f>
        <v>0</v>
      </c>
      <c r="AW343" s="81">
        <f>IFERROR(VLOOKUP(tbl_Data[[#This Row],[Column1]],'1. Set Program Names'!$B$2:$D$15,3,0)*tbl_Data[[#This Row],[Sum of Annuals]],"")</f>
        <v>0</v>
      </c>
      <c r="AX343" s="81">
        <f>tbl_Data[[#This Row],[per unit IRA tax ($)]]/tbl_Data[[#This Row],[kWh Savings]]*tbl_Data[[#This Row],[Sum of Annuals]]</f>
        <v>0</v>
      </c>
      <c r="AY343" s="81">
        <f>tbl_Data[[#This Row],[Avoided Costs ($/unit)]]/tbl_Data[[#This Row],[kWh Savings]]*tbl_Data[[#This Row],[Sum of Annuals]]</f>
        <v>0</v>
      </c>
      <c r="AZ343" s="81">
        <f>tbl_Data[[#This Row],[Lost Revenue ($/unit)]]/tbl_Data[[#This Row],[kWh Savings]]*tbl_Data[[#This Row],[Sum of Annuals]]</f>
        <v>0</v>
      </c>
      <c r="BA343" s="81">
        <f>tbl_Data[[#This Row],[Incremental Cost ($/unit)]]/tbl_Data[[#This Row],[kWh Savings]]*tbl_Data[[#This Row],[Sum of Annuals]]</f>
        <v>0</v>
      </c>
      <c r="BB343" s="77">
        <f>ROUNDUP(tbl_Data[[#This Row],[Adjusted 2025]]/$L343,0)</f>
        <v>0</v>
      </c>
      <c r="BC343" s="77">
        <f>ROUNDUP(tbl_Data[[#This Row],[Adjusted 2026]]/$L343,0)</f>
        <v>0</v>
      </c>
      <c r="BD343" s="77">
        <f>ROUNDUP(tbl_Data[[#This Row],[Adjusted 2027]]/$L343,0)</f>
        <v>0</v>
      </c>
      <c r="BE343" s="77">
        <f>ROUNDUP(tbl_Data[[#This Row],[Adjusted 2028]]/$L343,0)</f>
        <v>0</v>
      </c>
      <c r="BF343" s="77">
        <f>ROUNDUP(tbl_Data[[#This Row],[Adjusted 2029]]/$L343,0)</f>
        <v>0</v>
      </c>
      <c r="BG343" s="77">
        <f>ROUNDUP(tbl_Data[[#This Row],[Adjusted 2030]]/$L343,0)</f>
        <v>0</v>
      </c>
      <c r="BH343" s="77">
        <f>ROUNDUP(tbl_Data[[#This Row],[Adjusted 2031]]/$L343,0)</f>
        <v>0</v>
      </c>
      <c r="BI343" s="77">
        <f>ROUNDUP(tbl_Data[[#This Row],[Adjusted 2032]]/$L343,0)</f>
        <v>0</v>
      </c>
      <c r="BJ343" s="77">
        <f>ROUNDUP(tbl_Data[[#This Row],[Adjusted 2033]]/$L343,0)</f>
        <v>0</v>
      </c>
      <c r="BK343" s="77">
        <f>ROUNDUP(tbl_Data[[#This Row],[Adjusted 2034]]/$L343,0)</f>
        <v>0</v>
      </c>
      <c r="BL343" s="80">
        <f t="shared" si="144"/>
        <v>0</v>
      </c>
      <c r="BM343" s="80">
        <f t="shared" si="145"/>
        <v>0</v>
      </c>
      <c r="BN343" s="80">
        <f t="shared" si="146"/>
        <v>0</v>
      </c>
      <c r="BO343" s="80">
        <f t="shared" si="147"/>
        <v>0</v>
      </c>
      <c r="BP343" s="80">
        <f t="shared" si="148"/>
        <v>0</v>
      </c>
      <c r="BQ343" s="80">
        <f t="shared" si="149"/>
        <v>0</v>
      </c>
      <c r="BR343" s="80">
        <f t="shared" si="150"/>
        <v>0</v>
      </c>
      <c r="BS343" s="80">
        <f t="shared" si="151"/>
        <v>0</v>
      </c>
      <c r="BT343" s="80">
        <f t="shared" si="152"/>
        <v>0</v>
      </c>
      <c r="BU343" s="80">
        <f t="shared" si="153"/>
        <v>0</v>
      </c>
      <c r="BV343" s="80">
        <f>IFERROR(VLOOKUP($H343,'1. Set Program Names'!$B$2:$D$15,3,0)*V343,"NA")</f>
        <v>0</v>
      </c>
      <c r="BW343" s="80">
        <f>IFERROR(VLOOKUP($H343,'1. Set Program Names'!$B$2:$D$15,3,0)*W343,"NA")</f>
        <v>0</v>
      </c>
      <c r="BX343" s="80">
        <f>IFERROR(VLOOKUP($H343,'1. Set Program Names'!$B$2:$D$15,3,0)*X343,"NA")</f>
        <v>0</v>
      </c>
      <c r="BY343" s="80">
        <f>IFERROR(VLOOKUP($H343,'1. Set Program Names'!$B$2:$D$15,3,0)*Y343,"NA")</f>
        <v>0</v>
      </c>
      <c r="BZ343" s="80">
        <f>IFERROR(VLOOKUP($H343,'1. Set Program Names'!$B$2:$D$15,3,0)*Z343,"NA")</f>
        <v>0</v>
      </c>
      <c r="CA343" s="80">
        <f>IFERROR(VLOOKUP($H343,'1. Set Program Names'!$B$2:$D$15,3,0)*AA343,"NA")</f>
        <v>0</v>
      </c>
      <c r="CB343" s="80">
        <f>IFERROR(VLOOKUP($H343,'1. Set Program Names'!$B$2:$D$15,3,0)*AB343,"NA")</f>
        <v>0</v>
      </c>
      <c r="CC343" s="80">
        <f>IFERROR(VLOOKUP($H343,'1. Set Program Names'!$B$2:$D$15,3,0)*AC343,"NA")</f>
        <v>0</v>
      </c>
      <c r="CD343" s="80">
        <f>IFERROR(VLOOKUP($H343,'1. Set Program Names'!$B$2:$D$15,3,0)*AD343,"NA")</f>
        <v>0</v>
      </c>
      <c r="CE343" s="80">
        <f>IFERROR(VLOOKUP($H343,'1. Set Program Names'!$B$2:$D$15,3,0)*AE343,"NA")</f>
        <v>0</v>
      </c>
    </row>
    <row r="344" spans="1:83" x14ac:dyDescent="0.25">
      <c r="A344" s="79" t="s">
        <v>87</v>
      </c>
      <c r="B344" s="79" t="s">
        <v>88</v>
      </c>
      <c r="C344" s="79" t="s">
        <v>122</v>
      </c>
      <c r="D344" s="79" t="s">
        <v>90</v>
      </c>
      <c r="E344" s="79" t="s">
        <v>91</v>
      </c>
      <c r="F344" s="79" t="s">
        <v>90</v>
      </c>
      <c r="G344" s="79" t="s">
        <v>92</v>
      </c>
      <c r="H344" s="79" t="s">
        <v>16</v>
      </c>
      <c r="I344" s="79" t="s">
        <v>157</v>
      </c>
      <c r="J344" s="79" t="s">
        <v>158</v>
      </c>
      <c r="K344" s="79" t="s">
        <v>159</v>
      </c>
      <c r="L344" s="79">
        <v>562.52000000000032</v>
      </c>
      <c r="M344" s="79">
        <v>0</v>
      </c>
      <c r="N344" s="79">
        <v>2.7796637938074218E-2</v>
      </c>
      <c r="O344" s="79">
        <v>169</v>
      </c>
      <c r="P344" s="79">
        <v>53.285725702774094</v>
      </c>
      <c r="Q344" s="79"/>
      <c r="R344" s="79">
        <v>275.37363005821356</v>
      </c>
      <c r="S344" s="79">
        <v>610.96426176974103</v>
      </c>
      <c r="T344" s="79">
        <v>15</v>
      </c>
      <c r="U344" s="79">
        <v>0.59999999999999898</v>
      </c>
      <c r="V344" s="79">
        <f>tbl_Data_old[[#This Row],[2025 ]]*IFERROR(AVERAGEIFS('Participation Adjustment'!$C:$C,'Participation Adjustment'!$A:$A,$H344,'Participation Adjustment'!$B:$B,$I344),1)</f>
        <v>2258.1648277305198</v>
      </c>
      <c r="W344" s="79">
        <f>tbl_Data_old[[#This Row],[2026 ]]*IFERROR(AVERAGEIFS('Participation Adjustment'!$C:$C,'Participation Adjustment'!$A:$A,$H344,'Participation Adjustment'!$B:$B,$I344),1)</f>
        <v>2459.6148951092</v>
      </c>
      <c r="X344" s="79">
        <f>tbl_Data_old[[#This Row],[2027 ]]*IFERROR(AVERAGEIFS('Participation Adjustment'!$C:$C,'Participation Adjustment'!$A:$A,$H344,'Participation Adjustment'!$B:$B,$I344),1)</f>
        <v>2618.6937524405603</v>
      </c>
      <c r="Y344" s="79">
        <f>tbl_Data_old[[#This Row],[2028 ]]*IFERROR(AVERAGEIFS('Participation Adjustment'!$C:$C,'Participation Adjustment'!$A:$A,$H344,'Participation Adjustment'!$B:$B,$I344),1)</f>
        <v>2751.8954628387401</v>
      </c>
      <c r="Z344" s="79">
        <f>tbl_Data_old[[#This Row],[2029 ]]*IFERROR(AVERAGEIFS('Participation Adjustment'!$C:$C,'Participation Adjustment'!$A:$A,$H344,'Participation Adjustment'!$B:$B,$I344),1)</f>
        <v>2859.8198315877603</v>
      </c>
      <c r="AA344" s="79">
        <f>tbl_Data_old[[#This Row],[2030 ]]*IFERROR(AVERAGEIFS('Participation Adjustment'!$C:$C,'Participation Adjustment'!$A:$A,$H344,'Participation Adjustment'!$B:$B,$I344),1)</f>
        <v>2942.7388660759998</v>
      </c>
      <c r="AB344" s="79">
        <f>tbl_Data_old[[#This Row],[2031 ]]*IFERROR(AVERAGEIFS('Participation Adjustment'!$C:$C,'Participation Adjustment'!$A:$A,$H344,'Participation Adjustment'!$B:$B,$I344),1)</f>
        <v>3004.4024516417303</v>
      </c>
      <c r="AC344" s="79">
        <f>tbl_Data_old[[#This Row],[2032 ]]*IFERROR(AVERAGEIFS('Participation Adjustment'!$C:$C,'Participation Adjustment'!$A:$A,$H344,'Participation Adjustment'!$B:$B,$I344),1)</f>
        <v>3053.79762670529</v>
      </c>
      <c r="AD344" s="79">
        <f>tbl_Data_old[[#This Row],[2033 ]]*IFERROR(AVERAGEIFS('Participation Adjustment'!$C:$C,'Participation Adjustment'!$A:$A,$H344,'Participation Adjustment'!$B:$B,$I344),1)</f>
        <v>3094.74706636151</v>
      </c>
      <c r="AE344" s="79">
        <f>tbl_Data_old[[#This Row],[2034 ]]*IFERROR(AVERAGEIFS('Participation Adjustment'!$C:$C,'Participation Adjustment'!$A:$A,$H344,'Participation Adjustment'!$B:$B,$I344),1)</f>
        <v>3124.69930529059</v>
      </c>
      <c r="AF344" s="77" t="str">
        <f t="shared" ref="AF344:AF385" si="154">IF(C344="Residential","Residential","NonResidential")</f>
        <v>NonResidential</v>
      </c>
      <c r="AG344" s="77" t="str">
        <f>tbl_Data[[#This Row],[All_Meas_Name_Append]]</f>
        <v>LED Exterior Wall Packs</v>
      </c>
      <c r="AH344" s="77">
        <f>AVERAGEIFS('3. Incentive Adjustment'!G:G,'3. Incentive Adjustment'!A:A,tbl_Data[[#This Row],[Trimmed Sector]],'3. Incentive Adjustment'!B:B,tbl_Data[[#This Row],[Trimmed Measure Name]])</f>
        <v>0.80637708305213962</v>
      </c>
      <c r="AI344" s="77">
        <f>$AH344*tbl_Data[[#This Row],[2025 ]]</f>
        <v>1820.932366836274</v>
      </c>
      <c r="AJ344" s="77">
        <f>$AH344*tbl_Data[[#This Row],[2026 ]]</f>
        <v>1983.3770845497511</v>
      </c>
      <c r="AK344" s="77">
        <f>$AH344*tbl_Data[[#This Row],[2027 ]]</f>
        <v>2111.6546294998807</v>
      </c>
      <c r="AL344" s="77">
        <f>$AH344*tbl_Data[[#This Row],[2028 ]]</f>
        <v>2219.0654361883207</v>
      </c>
      <c r="AM344" s="77">
        <f>$AH344*tbl_Data[[#This Row],[2029 ]]</f>
        <v>2306.0931738503991</v>
      </c>
      <c r="AN344" s="77">
        <f>$AH344*tbl_Data[[#This Row],[2030 ]]</f>
        <v>2372.9571830105256</v>
      </c>
      <c r="AO344" s="77">
        <f>$AH344*tbl_Data[[#This Row],[2031 ]]</f>
        <v>2422.6812852695552</v>
      </c>
      <c r="AP344" s="77">
        <f>$AH344*tbl_Data[[#This Row],[2032 ]]</f>
        <v>2462.5124224541587</v>
      </c>
      <c r="AQ344" s="77">
        <f>$AH344*tbl_Data[[#This Row],[2033 ]]</f>
        <v>2495.5331121567606</v>
      </c>
      <c r="AR344" s="77">
        <f>$AH344*tbl_Data[[#This Row],[2034 ]]</f>
        <v>2519.6859112152729</v>
      </c>
      <c r="AS344" s="77">
        <f>SUM(tbl_Data[[#This Row],[Adjusted 2025]:[Adjusted 2034]])</f>
        <v>22714.4926050309</v>
      </c>
      <c r="AT344" s="80">
        <f>AVERAGEIFS('3. Incentive Adjustment'!F:F,'3. Incentive Adjustment'!A:A,tbl_Data[[#This Row],[Trimmed Sector]],'3. Incentive Adjustment'!B:B,tbl_Data[[#This Row],[Trimmed Measure Name]])</f>
        <v>8.6864493556481861</v>
      </c>
      <c r="AU344" s="80">
        <f>IFERROR(VLOOKUP(tbl_Data[[#This Row],[All_Meas_Name_Append]],'IRA Tax Credits'!$A$3:$D$46,4,0),0)</f>
        <v>0</v>
      </c>
      <c r="AV344" s="81">
        <f>tbl_Data[[#This Row],[Adj. per unit Incentive ($)]]/tbl_Data[[#This Row],[kWh Savings]]*tbl_Data[[#This Row],[Sum of Annuals]]</f>
        <v>350.75782132696798</v>
      </c>
      <c r="AW344" s="81">
        <f>IFERROR(VLOOKUP(tbl_Data[[#This Row],[Column1]],'1. Set Program Names'!$B$2:$D$15,3,0)*tbl_Data[[#This Row],[Sum of Annuals]],"")</f>
        <v>827.43279851681359</v>
      </c>
      <c r="AX344" s="81">
        <f>tbl_Data[[#This Row],[per unit IRA tax ($)]]/tbl_Data[[#This Row],[kWh Savings]]*tbl_Data[[#This Row],[Sum of Annuals]]</f>
        <v>0</v>
      </c>
      <c r="AY344" s="81">
        <f>tbl_Data[[#This Row],[Avoided Costs ($/unit)]]/tbl_Data[[#This Row],[kWh Savings]]*tbl_Data[[#This Row],[Sum of Annuals]]</f>
        <v>11119.555364392028</v>
      </c>
      <c r="AZ344" s="81">
        <f>tbl_Data[[#This Row],[Lost Revenue ($/unit)]]/tbl_Data[[#This Row],[kWh Savings]]*tbl_Data[[#This Row],[Sum of Annuals]]</f>
        <v>24670.666297921744</v>
      </c>
      <c r="BA344" s="81">
        <f>tbl_Data[[#This Row],[Incremental Cost ($/unit)]]/tbl_Data[[#This Row],[kWh Savings]]*tbl_Data[[#This Row],[Sum of Annuals]]</f>
        <v>6824.2004733168951</v>
      </c>
      <c r="BB344" s="77">
        <f>ROUNDUP(tbl_Data[[#This Row],[Adjusted 2025]]/$L344,0)</f>
        <v>4</v>
      </c>
      <c r="BC344" s="77">
        <f>ROUNDUP(tbl_Data[[#This Row],[Adjusted 2026]]/$L344,0)</f>
        <v>4</v>
      </c>
      <c r="BD344" s="77">
        <f>ROUNDUP(tbl_Data[[#This Row],[Adjusted 2027]]/$L344,0)</f>
        <v>4</v>
      </c>
      <c r="BE344" s="77">
        <f>ROUNDUP(tbl_Data[[#This Row],[Adjusted 2028]]/$L344,0)</f>
        <v>4</v>
      </c>
      <c r="BF344" s="77">
        <f>ROUNDUP(tbl_Data[[#This Row],[Adjusted 2029]]/$L344,0)</f>
        <v>5</v>
      </c>
      <c r="BG344" s="77">
        <f>ROUNDUP(tbl_Data[[#This Row],[Adjusted 2030]]/$L344,0)</f>
        <v>5</v>
      </c>
      <c r="BH344" s="77">
        <f>ROUNDUP(tbl_Data[[#This Row],[Adjusted 2031]]/$L344,0)</f>
        <v>5</v>
      </c>
      <c r="BI344" s="77">
        <f>ROUNDUP(tbl_Data[[#This Row],[Adjusted 2032]]/$L344,0)</f>
        <v>5</v>
      </c>
      <c r="BJ344" s="77">
        <f>ROUNDUP(tbl_Data[[#This Row],[Adjusted 2033]]/$L344,0)</f>
        <v>5</v>
      </c>
      <c r="BK344" s="77">
        <f>ROUNDUP(tbl_Data[[#This Row],[Adjusted 2034]]/$L344,0)</f>
        <v>5</v>
      </c>
      <c r="BL344" s="80">
        <f t="shared" ref="BL344:BL385" si="155">$AT344/$L344*V344</f>
        <v>34.870643555406318</v>
      </c>
      <c r="BM344" s="80">
        <f t="shared" ref="BM344:BM385" si="156">$AT344/$L344*W344</f>
        <v>37.981441052342987</v>
      </c>
      <c r="BN344" s="80">
        <f t="shared" ref="BN344:BN385" si="157">$AT344/$L344*X344</f>
        <v>40.437941155029549</v>
      </c>
      <c r="BO344" s="80">
        <f t="shared" ref="BO344:BO385" si="158">$AT344/$L344*Y344</f>
        <v>42.494845641020277</v>
      </c>
      <c r="BP344" s="80">
        <f t="shared" ref="BP344:BP385" si="159">$AT344/$L344*Z344</f>
        <v>44.161416720055094</v>
      </c>
      <c r="BQ344" s="80">
        <f t="shared" ref="BQ344:BQ385" si="160">$AT344/$L344*AA344</f>
        <v>45.441854737727951</v>
      </c>
      <c r="BR344" s="80">
        <f t="shared" ref="BR344:BR385" si="161">$AT344/$L344*AB344</f>
        <v>46.394065526863265</v>
      </c>
      <c r="BS344" s="80">
        <f t="shared" ref="BS344:BS385" si="162">$AT344/$L344*AC344</f>
        <v>47.156827182631929</v>
      </c>
      <c r="BT344" s="80">
        <f t="shared" ref="BT344:BT385" si="163">$AT344/$L344*AD344</f>
        <v>47.789169559286847</v>
      </c>
      <c r="BU344" s="80">
        <f t="shared" ref="BU344:BU385" si="164">$AT344/$L344*AE344</f>
        <v>48.25169285898415</v>
      </c>
      <c r="BV344" s="80">
        <f>IFERROR(VLOOKUP($H344,'1. Set Program Names'!$B$2:$D$15,3,0)*V344,"NA")</f>
        <v>82.259360814754174</v>
      </c>
      <c r="BW344" s="80">
        <f>IFERROR(VLOOKUP($H344,'1. Set Program Names'!$B$2:$D$15,3,0)*W344,"NA")</f>
        <v>89.597688635276285</v>
      </c>
      <c r="BX344" s="80">
        <f>IFERROR(VLOOKUP($H344,'1. Set Program Names'!$B$2:$D$15,3,0)*X344,"NA")</f>
        <v>95.392538046853758</v>
      </c>
      <c r="BY344" s="80">
        <f>IFERROR(VLOOKUP($H344,'1. Set Program Names'!$B$2:$D$15,3,0)*Y344,"NA")</f>
        <v>100.24474698316877</v>
      </c>
      <c r="BZ344" s="80">
        <f>IFERROR(VLOOKUP($H344,'1. Set Program Names'!$B$2:$D$15,3,0)*Z344,"NA")</f>
        <v>104.17616486755435</v>
      </c>
      <c r="CA344" s="80">
        <f>IFERROR(VLOOKUP($H344,'1. Set Program Names'!$B$2:$D$15,3,0)*AA344,"NA")</f>
        <v>107.19670025656498</v>
      </c>
      <c r="CB344" s="80">
        <f>IFERROR(VLOOKUP($H344,'1. Set Program Names'!$B$2:$D$15,3,0)*AB344,"NA")</f>
        <v>109.44295220057418</v>
      </c>
      <c r="CC344" s="80">
        <f>IFERROR(VLOOKUP($H344,'1. Set Program Names'!$B$2:$D$15,3,0)*AC344,"NA")</f>
        <v>111.24229628660571</v>
      </c>
      <c r="CD344" s="80">
        <f>IFERROR(VLOOKUP($H344,'1. Set Program Names'!$B$2:$D$15,3,0)*AD344,"NA")</f>
        <v>112.73398311587421</v>
      </c>
      <c r="CE344" s="80">
        <f>IFERROR(VLOOKUP($H344,'1. Set Program Names'!$B$2:$D$15,3,0)*AE344,"NA")</f>
        <v>113.82506911589536</v>
      </c>
    </row>
    <row r="345" spans="1:83" x14ac:dyDescent="0.25">
      <c r="A345" s="79" t="s">
        <v>87</v>
      </c>
      <c r="B345" s="79" t="s">
        <v>88</v>
      </c>
      <c r="C345" s="79" t="s">
        <v>122</v>
      </c>
      <c r="D345" s="79" t="s">
        <v>90</v>
      </c>
      <c r="E345" s="79" t="s">
        <v>91</v>
      </c>
      <c r="F345" s="79" t="s">
        <v>90</v>
      </c>
      <c r="G345" s="79" t="s">
        <v>92</v>
      </c>
      <c r="H345" s="79" t="s">
        <v>16</v>
      </c>
      <c r="I345" s="79" t="s">
        <v>160</v>
      </c>
      <c r="J345" s="79" t="s">
        <v>161</v>
      </c>
      <c r="K345" s="79" t="s">
        <v>159</v>
      </c>
      <c r="L345" s="79">
        <v>1059.6621428571407</v>
      </c>
      <c r="M345" s="79">
        <v>0.13879011985330975</v>
      </c>
      <c r="N345" s="79">
        <v>0.14661252282673942</v>
      </c>
      <c r="O345" s="79">
        <v>179</v>
      </c>
      <c r="P345" s="79">
        <v>5.0437849584490522</v>
      </c>
      <c r="Q345" s="79"/>
      <c r="R345" s="79">
        <v>417.01467834907817</v>
      </c>
      <c r="S345" s="79">
        <v>1150.9203207638036</v>
      </c>
      <c r="T345" s="79">
        <v>15</v>
      </c>
      <c r="U345" s="79">
        <v>0.59999999999999898</v>
      </c>
      <c r="V345" s="79">
        <f>tbl_Data_old[[#This Row],[2025 ]]*IFERROR(AVERAGEIFS('Participation Adjustment'!$C:$C,'Participation Adjustment'!$A:$A,$H345,'Participation Adjustment'!$B:$B,$I345),1)</f>
        <v>150297.99707065048</v>
      </c>
      <c r="W345" s="79">
        <f>tbl_Data_old[[#This Row],[2026 ]]*IFERROR(AVERAGEIFS('Participation Adjustment'!$C:$C,'Participation Adjustment'!$A:$A,$H345,'Participation Adjustment'!$B:$B,$I345),1)</f>
        <v>163592.37475452901</v>
      </c>
      <c r="X345" s="79">
        <f>tbl_Data_old[[#This Row],[2027 ]]*IFERROR(AVERAGEIFS('Participation Adjustment'!$C:$C,'Participation Adjustment'!$A:$A,$H345,'Participation Adjustment'!$B:$B,$I345),1)</f>
        <v>174140.42578705799</v>
      </c>
      <c r="Y345" s="79">
        <f>tbl_Data_old[[#This Row],[2028 ]]*IFERROR(AVERAGEIFS('Participation Adjustment'!$C:$C,'Participation Adjustment'!$A:$A,$H345,'Participation Adjustment'!$B:$B,$I345),1)</f>
        <v>182977.98789035101</v>
      </c>
      <c r="Z345" s="79">
        <f>tbl_Data_old[[#This Row],[2029 ]]*IFERROR(AVERAGEIFS('Participation Adjustment'!$C:$C,'Participation Adjustment'!$A:$A,$H345,'Participation Adjustment'!$B:$B,$I345),1)</f>
        <v>190112.962712712</v>
      </c>
      <c r="AA345" s="79">
        <f>tbl_Data_old[[#This Row],[2030 ]]*IFERROR(AVERAGEIFS('Participation Adjustment'!$C:$C,'Participation Adjustment'!$A:$A,$H345,'Participation Adjustment'!$B:$B,$I345),1)</f>
        <v>195597.72326173799</v>
      </c>
      <c r="AB345" s="79">
        <f>tbl_Data_old[[#This Row],[2031 ]]*IFERROR(AVERAGEIFS('Participation Adjustment'!$C:$C,'Participation Adjustment'!$A:$A,$H345,'Participation Adjustment'!$B:$B,$I345),1)</f>
        <v>199647.8803405755</v>
      </c>
      <c r="AC345" s="79">
        <f>tbl_Data_old[[#This Row],[2032 ]]*IFERROR(AVERAGEIFS('Participation Adjustment'!$C:$C,'Participation Adjustment'!$A:$A,$H345,'Participation Adjustment'!$B:$B,$I345),1)</f>
        <v>202868.08701027901</v>
      </c>
      <c r="AD345" s="79">
        <f>tbl_Data_old[[#This Row],[2033 ]]*IFERROR(AVERAGEIFS('Participation Adjustment'!$C:$C,'Participation Adjustment'!$A:$A,$H345,'Participation Adjustment'!$B:$B,$I345),1)</f>
        <v>205557.11901626101</v>
      </c>
      <c r="AE345" s="79">
        <f>tbl_Data_old[[#This Row],[2034 ]]*IFERROR(AVERAGEIFS('Participation Adjustment'!$C:$C,'Participation Adjustment'!$A:$A,$H345,'Participation Adjustment'!$B:$B,$I345),1)</f>
        <v>207499.50068302199</v>
      </c>
      <c r="AF345" s="77" t="str">
        <f t="shared" si="154"/>
        <v>NonResidential</v>
      </c>
      <c r="AG345" s="77" t="str">
        <f>tbl_Data[[#This Row],[All_Meas_Name_Append]]</f>
        <v>LED High Bay_HID Baseline</v>
      </c>
      <c r="AH345" s="77">
        <f>AVERAGEIFS('3. Incentive Adjustment'!G:G,'3. Incentive Adjustment'!A:A,tbl_Data[[#This Row],[Trimmed Sector]],'3. Incentive Adjustment'!B:B,tbl_Data[[#This Row],[Trimmed Measure Name]])</f>
        <v>1.0603846876879557</v>
      </c>
      <c r="AI345" s="77">
        <f>$AH345*tbl_Data[[#This Row],[2025 ]]</f>
        <v>159373.69468388698</v>
      </c>
      <c r="AJ345" s="77">
        <f>$AH345*tbl_Data[[#This Row],[2026 ]]</f>
        <v>173470.84921221226</v>
      </c>
      <c r="AK345" s="77">
        <f>$AH345*tbl_Data[[#This Row],[2027 ]]</f>
        <v>184655.84101205712</v>
      </c>
      <c r="AL345" s="77">
        <f>$AH345*tbl_Data[[#This Row],[2028 ]]</f>
        <v>194027.0565428804</v>
      </c>
      <c r="AM345" s="77">
        <f>$AH345*tbl_Data[[#This Row],[2029 ]]</f>
        <v>201592.87459155108</v>
      </c>
      <c r="AN345" s="77">
        <f>$AH345*tbl_Data[[#This Row],[2030 ]]</f>
        <v>207408.83069337322</v>
      </c>
      <c r="AO345" s="77">
        <f>$AH345*tbl_Data[[#This Row],[2031 ]]</f>
        <v>211703.5552425035</v>
      </c>
      <c r="AP345" s="77">
        <f>$AH345*tbl_Data[[#This Row],[2032 ]]</f>
        <v>215118.21308624774</v>
      </c>
      <c r="AQ345" s="77">
        <f>$AH345*tbl_Data[[#This Row],[2033 ]]</f>
        <v>217969.62145009387</v>
      </c>
      <c r="AR345" s="77">
        <f>$AH345*tbl_Data[[#This Row],[2034 ]]</f>
        <v>220029.29322717301</v>
      </c>
      <c r="AS345" s="77">
        <f>SUM(tbl_Data[[#This Row],[Adjusted 2025]:[Adjusted 2034]])</f>
        <v>1985349.829741979</v>
      </c>
      <c r="AT345" s="80">
        <f>AVERAGEIFS('3. Incentive Adjustment'!F:F,'3. Incentive Adjustment'!A:A,tbl_Data[[#This Row],[Trimmed Sector]],'3. Incentive Adjustment'!B:B,tbl_Data[[#This Row],[Trimmed Measure Name]])</f>
        <v>28.590998621954778</v>
      </c>
      <c r="AU345" s="80">
        <f>IFERROR(VLOOKUP(tbl_Data[[#This Row],[All_Meas_Name_Append]],'IRA Tax Credits'!$A$3:$D$46,4,0),0)</f>
        <v>0</v>
      </c>
      <c r="AV345" s="81">
        <f>tbl_Data[[#This Row],[Adj. per unit Incentive ($)]]/tbl_Data[[#This Row],[kWh Savings]]*tbl_Data[[#This Row],[Sum of Annuals]]</f>
        <v>53567.200290086847</v>
      </c>
      <c r="AW345" s="81">
        <f>IFERROR(VLOOKUP(tbl_Data[[#This Row],[Column1]],'1. Set Program Names'!$B$2:$D$15,3,0)*tbl_Data[[#This Row],[Sum of Annuals]],"")</f>
        <v>72321.3850391905</v>
      </c>
      <c r="AX345" s="81">
        <f>tbl_Data[[#This Row],[per unit IRA tax ($)]]/tbl_Data[[#This Row],[kWh Savings]]*tbl_Data[[#This Row],[Sum of Annuals]]</f>
        <v>0</v>
      </c>
      <c r="AY345" s="81">
        <f>tbl_Data[[#This Row],[Avoided Costs ($/unit)]]/tbl_Data[[#This Row],[kWh Savings]]*tbl_Data[[#This Row],[Sum of Annuals]]</f>
        <v>781305.65127857483</v>
      </c>
      <c r="AZ345" s="81">
        <f>tbl_Data[[#This Row],[Lost Revenue ($/unit)]]/tbl_Data[[#This Row],[kWh Savings]]*tbl_Data[[#This Row],[Sum of Annuals]]</f>
        <v>2156328.296030344</v>
      </c>
      <c r="BA345" s="81">
        <f>tbl_Data[[#This Row],[Incremental Cost ($/unit)]]/tbl_Data[[#This Row],[kWh Savings]]*tbl_Data[[#This Row],[Sum of Annuals]]</f>
        <v>335368.79836588143</v>
      </c>
      <c r="BB345" s="77">
        <f>ROUNDUP(tbl_Data[[#This Row],[Adjusted 2025]]/$L345,0)</f>
        <v>151</v>
      </c>
      <c r="BC345" s="77">
        <f>ROUNDUP(tbl_Data[[#This Row],[Adjusted 2026]]/$L345,0)</f>
        <v>164</v>
      </c>
      <c r="BD345" s="77">
        <f>ROUNDUP(tbl_Data[[#This Row],[Adjusted 2027]]/$L345,0)</f>
        <v>175</v>
      </c>
      <c r="BE345" s="77">
        <f>ROUNDUP(tbl_Data[[#This Row],[Adjusted 2028]]/$L345,0)</f>
        <v>184</v>
      </c>
      <c r="BF345" s="77">
        <f>ROUNDUP(tbl_Data[[#This Row],[Adjusted 2029]]/$L345,0)</f>
        <v>191</v>
      </c>
      <c r="BG345" s="77">
        <f>ROUNDUP(tbl_Data[[#This Row],[Adjusted 2030]]/$L345,0)</f>
        <v>196</v>
      </c>
      <c r="BH345" s="77">
        <f>ROUNDUP(tbl_Data[[#This Row],[Adjusted 2031]]/$L345,0)</f>
        <v>200</v>
      </c>
      <c r="BI345" s="77">
        <f>ROUNDUP(tbl_Data[[#This Row],[Adjusted 2032]]/$L345,0)</f>
        <v>204</v>
      </c>
      <c r="BJ345" s="77">
        <f>ROUNDUP(tbl_Data[[#This Row],[Adjusted 2033]]/$L345,0)</f>
        <v>206</v>
      </c>
      <c r="BK345" s="77">
        <f>ROUNDUP(tbl_Data[[#This Row],[Adjusted 2034]]/$L345,0)</f>
        <v>208</v>
      </c>
      <c r="BL345" s="80">
        <f t="shared" si="155"/>
        <v>4055.2263342570486</v>
      </c>
      <c r="BM345" s="80">
        <f t="shared" si="156"/>
        <v>4413.9251295302893</v>
      </c>
      <c r="BN345" s="80">
        <f t="shared" si="157"/>
        <v>4698.5246262361015</v>
      </c>
      <c r="BO345" s="80">
        <f t="shared" si="158"/>
        <v>4936.973010581899</v>
      </c>
      <c r="BP345" s="80">
        <f t="shared" si="159"/>
        <v>5129.4834788371636</v>
      </c>
      <c r="BQ345" s="80">
        <f t="shared" si="160"/>
        <v>5277.4691196907079</v>
      </c>
      <c r="BR345" s="80">
        <f t="shared" si="161"/>
        <v>5386.7473799742356</v>
      </c>
      <c r="BS345" s="80">
        <f t="shared" si="162"/>
        <v>5473.6325490599784</v>
      </c>
      <c r="BT345" s="80">
        <f t="shared" si="163"/>
        <v>5546.185967048591</v>
      </c>
      <c r="BU345" s="80">
        <f t="shared" si="164"/>
        <v>5598.5938330198496</v>
      </c>
      <c r="BV345" s="80">
        <f>IFERROR(VLOOKUP($H345,'1. Set Program Names'!$B$2:$D$15,3,0)*V345,"NA")</f>
        <v>5474.9843850835605</v>
      </c>
      <c r="BW345" s="80">
        <f>IFERROR(VLOOKUP($H345,'1. Set Program Names'!$B$2:$D$15,3,0)*W345,"NA")</f>
        <v>5959.2656905385065</v>
      </c>
      <c r="BX345" s="80">
        <f>IFERROR(VLOOKUP($H345,'1. Set Program Names'!$B$2:$D$15,3,0)*X345,"NA")</f>
        <v>6343.5051070425998</v>
      </c>
      <c r="BY345" s="80">
        <f>IFERROR(VLOOKUP($H345,'1. Set Program Names'!$B$2:$D$15,3,0)*Y345,"NA")</f>
        <v>6665.4356414527883</v>
      </c>
      <c r="BZ345" s="80">
        <f>IFERROR(VLOOKUP($H345,'1. Set Program Names'!$B$2:$D$15,3,0)*Z345,"NA")</f>
        <v>6925.3451312780462</v>
      </c>
      <c r="CA345" s="80">
        <f>IFERROR(VLOOKUP($H345,'1. Set Program Names'!$B$2:$D$15,3,0)*AA345,"NA")</f>
        <v>7125.1413956801853</v>
      </c>
      <c r="CB345" s="80">
        <f>IFERROR(VLOOKUP($H345,'1. Set Program Names'!$B$2:$D$15,3,0)*AB345,"NA")</f>
        <v>7272.6786030679023</v>
      </c>
      <c r="CC345" s="80">
        <f>IFERROR(VLOOKUP($H345,'1. Set Program Names'!$B$2:$D$15,3,0)*AC345,"NA")</f>
        <v>7389.9827693042689</v>
      </c>
      <c r="CD345" s="80">
        <f>IFERROR(VLOOKUP($H345,'1. Set Program Names'!$B$2:$D$15,3,0)*AD345,"NA")</f>
        <v>7487.9375559992695</v>
      </c>
      <c r="CE345" s="80">
        <f>IFERROR(VLOOKUP($H345,'1. Set Program Names'!$B$2:$D$15,3,0)*AE345,"NA")</f>
        <v>7558.6937171102527</v>
      </c>
    </row>
    <row r="346" spans="1:83" x14ac:dyDescent="0.25">
      <c r="A346" s="79" t="s">
        <v>87</v>
      </c>
      <c r="B346" s="79" t="s">
        <v>88</v>
      </c>
      <c r="C346" s="79" t="s">
        <v>122</v>
      </c>
      <c r="D346" s="79" t="s">
        <v>90</v>
      </c>
      <c r="E346" s="79" t="s">
        <v>91</v>
      </c>
      <c r="F346" s="79" t="s">
        <v>90</v>
      </c>
      <c r="G346" s="79" t="s">
        <v>92</v>
      </c>
      <c r="H346" s="79" t="s">
        <v>16</v>
      </c>
      <c r="I346" s="79" t="s">
        <v>162</v>
      </c>
      <c r="J346" s="79" t="s">
        <v>161</v>
      </c>
      <c r="K346" s="79" t="s">
        <v>159</v>
      </c>
      <c r="L346" s="79">
        <v>632.51142857142861</v>
      </c>
      <c r="M346" s="79">
        <v>7.5636667797052567E-2</v>
      </c>
      <c r="N346" s="79">
        <v>7.2066360150851286E-2</v>
      </c>
      <c r="O346" s="79">
        <v>179</v>
      </c>
      <c r="P346" s="79">
        <v>51.895440493260928</v>
      </c>
      <c r="Q346" s="79"/>
      <c r="R346" s="79">
        <v>248.91572427603518</v>
      </c>
      <c r="S346" s="79">
        <v>686.98335706831222</v>
      </c>
      <c r="T346" s="79">
        <v>15</v>
      </c>
      <c r="U346" s="79">
        <v>0.59999999999999898</v>
      </c>
      <c r="V346" s="79">
        <f>tbl_Data_old[[#This Row],[2025 ]]*IFERROR(AVERAGEIFS('Participation Adjustment'!$C:$C,'Participation Adjustment'!$A:$A,$H346,'Participation Adjustment'!$B:$B,$I346),1)</f>
        <v>439077.40977430798</v>
      </c>
      <c r="W346" s="79">
        <f>tbl_Data_old[[#This Row],[2026 ]]*IFERROR(AVERAGEIFS('Participation Adjustment'!$C:$C,'Participation Adjustment'!$A:$A,$H346,'Participation Adjustment'!$B:$B,$I346),1)</f>
        <v>477915.32532719849</v>
      </c>
      <c r="X346" s="79">
        <f>tbl_Data_old[[#This Row],[2027 ]]*IFERROR(AVERAGEIFS('Participation Adjustment'!$C:$C,'Participation Adjustment'!$A:$A,$H346,'Participation Adjustment'!$B:$B,$I346),1)</f>
        <v>508730.17992138601</v>
      </c>
      <c r="Y346" s="79">
        <f>tbl_Data_old[[#This Row],[2028 ]]*IFERROR(AVERAGEIFS('Participation Adjustment'!$C:$C,'Participation Adjustment'!$A:$A,$H346,'Participation Adjustment'!$B:$B,$I346),1)</f>
        <v>534548.04810767854</v>
      </c>
      <c r="Z346" s="79">
        <f>tbl_Data_old[[#This Row],[2029 ]]*IFERROR(AVERAGEIFS('Participation Adjustment'!$C:$C,'Participation Adjustment'!$A:$A,$H346,'Participation Adjustment'!$B:$B,$I346),1)</f>
        <v>555392.01359535148</v>
      </c>
      <c r="AA346" s="79">
        <f>tbl_Data_old[[#This Row],[2030 ]]*IFERROR(AVERAGEIFS('Participation Adjustment'!$C:$C,'Participation Adjustment'!$A:$A,$H346,'Participation Adjustment'!$B:$B,$I346),1)</f>
        <v>571415.07778806007</v>
      </c>
      <c r="AB346" s="79">
        <f>tbl_Data_old[[#This Row],[2031 ]]*IFERROR(AVERAGEIFS('Participation Adjustment'!$C:$C,'Participation Adjustment'!$A:$A,$H346,'Participation Adjustment'!$B:$B,$I346),1)</f>
        <v>583247.12155454548</v>
      </c>
      <c r="AC346" s="79">
        <f>tbl_Data_old[[#This Row],[2032 ]]*IFERROR(AVERAGEIFS('Participation Adjustment'!$C:$C,'Participation Adjustment'!$A:$A,$H346,'Participation Adjustment'!$B:$B,$I346),1)</f>
        <v>592654.56563915848</v>
      </c>
      <c r="AD346" s="79">
        <f>tbl_Data_old[[#This Row],[2033 ]]*IFERROR(AVERAGEIFS('Participation Adjustment'!$C:$C,'Participation Adjustment'!$A:$A,$H346,'Participation Adjustment'!$B:$B,$I346),1)</f>
        <v>600510.24722506793</v>
      </c>
      <c r="AE346" s="79">
        <f>tbl_Data_old[[#This Row],[2034 ]]*IFERROR(AVERAGEIFS('Participation Adjustment'!$C:$C,'Participation Adjustment'!$A:$A,$H346,'Participation Adjustment'!$B:$B,$I346),1)</f>
        <v>606184.68020259601</v>
      </c>
      <c r="AF346" s="77" t="str">
        <f t="shared" si="154"/>
        <v>NonResidential</v>
      </c>
      <c r="AG346" s="77" t="str">
        <f>tbl_Data[[#This Row],[All_Meas_Name_Append]]</f>
        <v>LED High Bay_LF Baseline</v>
      </c>
      <c r="AH346" s="77">
        <f>AVERAGEIFS('3. Incentive Adjustment'!G:G,'3. Incentive Adjustment'!A:A,tbl_Data[[#This Row],[Trimmed Sector]],'3. Incentive Adjustment'!B:B,tbl_Data[[#This Row],[Trimmed Measure Name]])</f>
        <v>0.93017466414143679</v>
      </c>
      <c r="AI346" s="77">
        <f>$AH346*tbl_Data[[#This Row],[2025 ]]</f>
        <v>408418.68216890894</v>
      </c>
      <c r="AJ346" s="77">
        <f>$AH346*tbl_Data[[#This Row],[2026 ]]</f>
        <v>444544.72722427233</v>
      </c>
      <c r="AK346" s="77">
        <f>$AH346*tbl_Data[[#This Row],[2027 ]]</f>
        <v>473207.92424698797</v>
      </c>
      <c r="AL346" s="77">
        <f>$AH346*tbl_Data[[#This Row],[2028 ]]</f>
        <v>497223.05111602048</v>
      </c>
      <c r="AM346" s="77">
        <f>$AH346*tbl_Data[[#This Row],[2029 ]]</f>
        <v>516611.57971289236</v>
      </c>
      <c r="AN346" s="77">
        <f>$AH346*tbl_Data[[#This Row],[2030 ]]</f>
        <v>531515.82806686172</v>
      </c>
      <c r="AO346" s="77">
        <f>$AH346*tbl_Data[[#This Row],[2031 ]]</f>
        <v>542521.69540345913</v>
      </c>
      <c r="AP346" s="77">
        <f>$AH346*tbl_Data[[#This Row],[2032 ]]</f>
        <v>551272.26154529338</v>
      </c>
      <c r="AQ346" s="77">
        <f>$AH346*tbl_Data[[#This Row],[2033 ]]</f>
        <v>558579.41752606875</v>
      </c>
      <c r="AR346" s="77">
        <f>$AH346*tbl_Data[[#This Row],[2034 ]]</f>
        <v>563857.631315134</v>
      </c>
      <c r="AS346" s="77">
        <f>SUM(tbl_Data[[#This Row],[Adjusted 2025]:[Adjusted 2034]])</f>
        <v>5087752.7983259</v>
      </c>
      <c r="AT346" s="80">
        <f>AVERAGEIFS('3. Incentive Adjustment'!F:F,'3. Incentive Adjustment'!A:A,tbl_Data[[#This Row],[Trimmed Sector]],'3. Incentive Adjustment'!B:B,tbl_Data[[#This Row],[Trimmed Measure Name]])</f>
        <v>23.858858929800434</v>
      </c>
      <c r="AU346" s="80">
        <f>IFERROR(VLOOKUP(tbl_Data[[#This Row],[All_Meas_Name_Append]],'IRA Tax Credits'!$A$3:$D$46,4,0),0)</f>
        <v>0</v>
      </c>
      <c r="AV346" s="81">
        <f>tbl_Data[[#This Row],[Adj. per unit Incentive ($)]]/tbl_Data[[#This Row],[kWh Savings]]*tbl_Data[[#This Row],[Sum of Annuals]]</f>
        <v>191914.28138953677</v>
      </c>
      <c r="AW346" s="81">
        <f>IFERROR(VLOOKUP(tbl_Data[[#This Row],[Column1]],'1. Set Program Names'!$B$2:$D$15,3,0)*tbl_Data[[#This Row],[Sum of Annuals]],"")</f>
        <v>185334.25374195463</v>
      </c>
      <c r="AX346" s="81">
        <f>tbl_Data[[#This Row],[per unit IRA tax ($)]]/tbl_Data[[#This Row],[kWh Savings]]*tbl_Data[[#This Row],[Sum of Annuals]]</f>
        <v>0</v>
      </c>
      <c r="AY346" s="81">
        <f>tbl_Data[[#This Row],[Avoided Costs ($/unit)]]/tbl_Data[[#This Row],[kWh Savings]]*tbl_Data[[#This Row],[Sum of Annuals]]</f>
        <v>2002211.5261901563</v>
      </c>
      <c r="AZ346" s="81">
        <f>tbl_Data[[#This Row],[Lost Revenue ($/unit)]]/tbl_Data[[#This Row],[kWh Savings]]*tbl_Data[[#This Row],[Sum of Annuals]]</f>
        <v>5525910.4254001919</v>
      </c>
      <c r="BA346" s="81">
        <f>tbl_Data[[#This Row],[Incremental Cost ($/unit)]]/tbl_Data[[#This Row],[kWh Savings]]*tbl_Data[[#This Row],[Sum of Annuals]]</f>
        <v>1439828.1355282916</v>
      </c>
      <c r="BB346" s="77">
        <f>ROUNDUP(tbl_Data[[#This Row],[Adjusted 2025]]/$L346,0)</f>
        <v>646</v>
      </c>
      <c r="BC346" s="77">
        <f>ROUNDUP(tbl_Data[[#This Row],[Adjusted 2026]]/$L346,0)</f>
        <v>703</v>
      </c>
      <c r="BD346" s="77">
        <f>ROUNDUP(tbl_Data[[#This Row],[Adjusted 2027]]/$L346,0)</f>
        <v>749</v>
      </c>
      <c r="BE346" s="77">
        <f>ROUNDUP(tbl_Data[[#This Row],[Adjusted 2028]]/$L346,0)</f>
        <v>787</v>
      </c>
      <c r="BF346" s="77">
        <f>ROUNDUP(tbl_Data[[#This Row],[Adjusted 2029]]/$L346,0)</f>
        <v>817</v>
      </c>
      <c r="BG346" s="77">
        <f>ROUNDUP(tbl_Data[[#This Row],[Adjusted 2030]]/$L346,0)</f>
        <v>841</v>
      </c>
      <c r="BH346" s="77">
        <f>ROUNDUP(tbl_Data[[#This Row],[Adjusted 2031]]/$L346,0)</f>
        <v>858</v>
      </c>
      <c r="BI346" s="77">
        <f>ROUNDUP(tbl_Data[[#This Row],[Adjusted 2032]]/$L346,0)</f>
        <v>872</v>
      </c>
      <c r="BJ346" s="77">
        <f>ROUNDUP(tbl_Data[[#This Row],[Adjusted 2033]]/$L346,0)</f>
        <v>884</v>
      </c>
      <c r="BK346" s="77">
        <f>ROUNDUP(tbl_Data[[#This Row],[Adjusted 2034]]/$L346,0)</f>
        <v>892</v>
      </c>
      <c r="BL346" s="80">
        <f t="shared" si="155"/>
        <v>16562.366316017269</v>
      </c>
      <c r="BM346" s="80">
        <f t="shared" si="156"/>
        <v>18027.364901729423</v>
      </c>
      <c r="BN346" s="80">
        <f t="shared" si="157"/>
        <v>19189.726932666239</v>
      </c>
      <c r="BO346" s="80">
        <f t="shared" si="158"/>
        <v>20163.598466207033</v>
      </c>
      <c r="BP346" s="80">
        <f t="shared" si="159"/>
        <v>20949.850239129515</v>
      </c>
      <c r="BQ346" s="80">
        <f t="shared" si="160"/>
        <v>21554.253592062447</v>
      </c>
      <c r="BR346" s="80">
        <f t="shared" si="161"/>
        <v>22000.568157023579</v>
      </c>
      <c r="BS346" s="80">
        <f t="shared" si="162"/>
        <v>22355.424798605069</v>
      </c>
      <c r="BT346" s="80">
        <f t="shared" si="163"/>
        <v>22651.747663757025</v>
      </c>
      <c r="BU346" s="80">
        <f t="shared" si="164"/>
        <v>22865.792011103014</v>
      </c>
      <c r="BV346" s="80">
        <f>IFERROR(VLOOKUP($H346,'1. Set Program Names'!$B$2:$D$15,3,0)*V346,"NA")</f>
        <v>15994.504312836933</v>
      </c>
      <c r="BW346" s="80">
        <f>IFERROR(VLOOKUP($H346,'1. Set Program Names'!$B$2:$D$15,3,0)*W346,"NA")</f>
        <v>17409.27354027591</v>
      </c>
      <c r="BX346" s="80">
        <f>IFERROR(VLOOKUP($H346,'1. Set Program Names'!$B$2:$D$15,3,0)*X346,"NA")</f>
        <v>18531.782495950756</v>
      </c>
      <c r="BY346" s="80">
        <f>IFERROR(VLOOKUP($H346,'1. Set Program Names'!$B$2:$D$15,3,0)*Y346,"NA")</f>
        <v>19472.263593045162</v>
      </c>
      <c r="BZ346" s="80">
        <f>IFERROR(VLOOKUP($H346,'1. Set Program Names'!$B$2:$D$15,3,0)*Z346,"NA")</f>
        <v>20231.557714007969</v>
      </c>
      <c r="CA346" s="80">
        <f>IFERROR(VLOOKUP($H346,'1. Set Program Names'!$B$2:$D$15,3,0)*AA346,"NA")</f>
        <v>20815.238321641307</v>
      </c>
      <c r="CB346" s="80">
        <f>IFERROR(VLOOKUP($H346,'1. Set Program Names'!$B$2:$D$15,3,0)*AB346,"NA")</f>
        <v>21246.250418460411</v>
      </c>
      <c r="CC346" s="80">
        <f>IFERROR(VLOOKUP($H346,'1. Set Program Names'!$B$2:$D$15,3,0)*AC346,"NA")</f>
        <v>21588.940344278864</v>
      </c>
      <c r="CD346" s="80">
        <f>IFERROR(VLOOKUP($H346,'1. Set Program Names'!$B$2:$D$15,3,0)*AD346,"NA")</f>
        <v>21875.10339937816</v>
      </c>
      <c r="CE346" s="80">
        <f>IFERROR(VLOOKUP($H346,'1. Set Program Names'!$B$2:$D$15,3,0)*AE346,"NA")</f>
        <v>22081.808961339611</v>
      </c>
    </row>
    <row r="347" spans="1:83" x14ac:dyDescent="0.25">
      <c r="A347" s="79" t="s">
        <v>87</v>
      </c>
      <c r="B347" s="79" t="s">
        <v>88</v>
      </c>
      <c r="C347" s="79" t="s">
        <v>122</v>
      </c>
      <c r="D347" s="79" t="s">
        <v>90</v>
      </c>
      <c r="E347" s="79" t="s">
        <v>91</v>
      </c>
      <c r="F347" s="79" t="s">
        <v>90</v>
      </c>
      <c r="G347" s="79" t="s">
        <v>92</v>
      </c>
      <c r="H347" s="79" t="s">
        <v>16</v>
      </c>
      <c r="I347" s="79" t="s">
        <v>163</v>
      </c>
      <c r="J347" s="79" t="s">
        <v>161</v>
      </c>
      <c r="K347" s="79" t="s">
        <v>159</v>
      </c>
      <c r="L347" s="79">
        <v>217.06142857142831</v>
      </c>
      <c r="M347" s="79">
        <v>3.4743730880075478E-2</v>
      </c>
      <c r="N347" s="79">
        <v>3.4497784431073229E-2</v>
      </c>
      <c r="O347" s="79">
        <v>109.07999999999996</v>
      </c>
      <c r="P347" s="79">
        <v>64.428955263702662</v>
      </c>
      <c r="Q347" s="79"/>
      <c r="R347" s="79">
        <v>85.561030664747506</v>
      </c>
      <c r="S347" s="79">
        <v>235.75477399173039</v>
      </c>
      <c r="T347" s="79">
        <v>15</v>
      </c>
      <c r="U347" s="79">
        <v>0.59999999999999898</v>
      </c>
      <c r="V347" s="79">
        <f>tbl_Data_old[[#This Row],[2025 ]]*IFERROR(AVERAGEIFS('Participation Adjustment'!$C:$C,'Participation Adjustment'!$A:$A,$H347,'Participation Adjustment'!$B:$B,$I347),1)</f>
        <v>1144251.542474373</v>
      </c>
      <c r="W347" s="79">
        <f>tbl_Data_old[[#This Row],[2026 ]]*IFERROR(AVERAGEIFS('Participation Adjustment'!$C:$C,'Participation Adjustment'!$A:$A,$H347,'Participation Adjustment'!$B:$B,$I347),1)</f>
        <v>1202947.0911399</v>
      </c>
      <c r="X347" s="79">
        <f>tbl_Data_old[[#This Row],[2027 ]]*IFERROR(AVERAGEIFS('Participation Adjustment'!$C:$C,'Participation Adjustment'!$A:$A,$H347,'Participation Adjustment'!$B:$B,$I347),1)</f>
        <v>1234557.368247855</v>
      </c>
      <c r="Y347" s="79">
        <f>tbl_Data_old[[#This Row],[2028 ]]*IFERROR(AVERAGEIFS('Participation Adjustment'!$C:$C,'Participation Adjustment'!$A:$A,$H347,'Participation Adjustment'!$B:$B,$I347),1)</f>
        <v>1253918.5555793222</v>
      </c>
      <c r="Z347" s="79">
        <f>tbl_Data_old[[#This Row],[2029 ]]*IFERROR(AVERAGEIFS('Participation Adjustment'!$C:$C,'Participation Adjustment'!$A:$A,$H347,'Participation Adjustment'!$B:$B,$I347),1)</f>
        <v>1264805.0078471401</v>
      </c>
      <c r="AA347" s="79">
        <f>tbl_Data_old[[#This Row],[2030 ]]*IFERROR(AVERAGEIFS('Participation Adjustment'!$C:$C,'Participation Adjustment'!$A:$A,$H347,'Participation Adjustment'!$B:$B,$I347),1)</f>
        <v>1266202.8764785111</v>
      </c>
      <c r="AB347" s="79">
        <f>tbl_Data_old[[#This Row],[2031 ]]*IFERROR(AVERAGEIFS('Participation Adjustment'!$C:$C,'Participation Adjustment'!$A:$A,$H347,'Participation Adjustment'!$B:$B,$I347),1)</f>
        <v>1262493.525706308</v>
      </c>
      <c r="AC347" s="79">
        <f>tbl_Data_old[[#This Row],[2032 ]]*IFERROR(AVERAGEIFS('Participation Adjustment'!$C:$C,'Participation Adjustment'!$A:$A,$H347,'Participation Adjustment'!$B:$B,$I347),1)</f>
        <v>1257282.3923199119</v>
      </c>
      <c r="AD347" s="79">
        <f>tbl_Data_old[[#This Row],[2033 ]]*IFERROR(AVERAGEIFS('Participation Adjustment'!$C:$C,'Participation Adjustment'!$A:$A,$H347,'Participation Adjustment'!$B:$B,$I347),1)</f>
        <v>1249602.0800450852</v>
      </c>
      <c r="AE347" s="79">
        <f>tbl_Data_old[[#This Row],[2034 ]]*IFERROR(AVERAGEIFS('Participation Adjustment'!$C:$C,'Participation Adjustment'!$A:$A,$H347,'Participation Adjustment'!$B:$B,$I347),1)</f>
        <v>1241006.4919047721</v>
      </c>
      <c r="AF347" s="77" t="str">
        <f t="shared" si="154"/>
        <v>NonResidential</v>
      </c>
      <c r="AG347" s="77" t="str">
        <f>tbl_Data[[#This Row],[All_Meas_Name_Append]]</f>
        <v>LED Linear - Fixture Replacement</v>
      </c>
      <c r="AH347" s="77">
        <f>AVERAGEIFS('3. Incentive Adjustment'!G:G,'3. Incentive Adjustment'!A:A,tbl_Data[[#This Row],[Trimmed Sector]],'3. Incentive Adjustment'!B:B,tbl_Data[[#This Row],[Trimmed Measure Name]])</f>
        <v>0.56055357916158088</v>
      </c>
      <c r="AI347" s="77">
        <f>$AH347*tbl_Data[[#This Row],[2025 ]]</f>
        <v>641414.29759516951</v>
      </c>
      <c r="AJ347" s="77">
        <f>$AH347*tbl_Data[[#This Row],[2026 ]]</f>
        <v>674316.29748048342</v>
      </c>
      <c r="AK347" s="77">
        <f>$AH347*tbl_Data[[#This Row],[2027 ]]</f>
        <v>692035.55145163694</v>
      </c>
      <c r="AL347" s="77">
        <f>$AH347*tbl_Data[[#This Row],[2028 ]]</f>
        <v>702888.53430710873</v>
      </c>
      <c r="AM347" s="77">
        <f>$AH347*tbl_Data[[#This Row],[2029 ]]</f>
        <v>708990.97409020574</v>
      </c>
      <c r="AN347" s="77">
        <f>$AH347*tbl_Data[[#This Row],[2030 ]]</f>
        <v>709774.55435471854</v>
      </c>
      <c r="AO347" s="77">
        <f>$AH347*tbl_Data[[#This Row],[2031 ]]</f>
        <v>707695.26450299425</v>
      </c>
      <c r="AP347" s="77">
        <f>$AH347*tbl_Data[[#This Row],[2032 ]]</f>
        <v>704774.14503176149</v>
      </c>
      <c r="AQ347" s="77">
        <f>$AH347*tbl_Data[[#This Row],[2033 ]]</f>
        <v>700468.91849702876</v>
      </c>
      <c r="AR347" s="77">
        <f>$AH347*tbl_Data[[#This Row],[2034 ]]</f>
        <v>695650.63079997746</v>
      </c>
      <c r="AS347" s="77">
        <f>SUM(tbl_Data[[#This Row],[Adjusted 2025]:[Adjusted 2034]])</f>
        <v>6938009.168111084</v>
      </c>
      <c r="AT347" s="80">
        <f>AVERAGEIFS('3. Incentive Adjustment'!F:F,'3. Incentive Adjustment'!A:A,tbl_Data[[#This Row],[Trimmed Sector]],'3. Incentive Adjustment'!B:B,tbl_Data[[#This Row],[Trimmed Measure Name]])</f>
        <v>16.810726621008875</v>
      </c>
      <c r="AU347" s="80">
        <f>IFERROR(VLOOKUP(tbl_Data[[#This Row],[All_Meas_Name_Append]],'IRA Tax Credits'!$A$3:$D$46,4,0),0)</f>
        <v>0</v>
      </c>
      <c r="AV347" s="81">
        <f>tbl_Data[[#This Row],[Adj. per unit Incentive ($)]]/tbl_Data[[#This Row],[kWh Savings]]*tbl_Data[[#This Row],[Sum of Annuals]]</f>
        <v>537327.04233441583</v>
      </c>
      <c r="AW347" s="81">
        <f>IFERROR(VLOOKUP(tbl_Data[[#This Row],[Column1]],'1. Set Program Names'!$B$2:$D$15,3,0)*tbl_Data[[#This Row],[Sum of Annuals]],"")</f>
        <v>252734.51808621874</v>
      </c>
      <c r="AX347" s="81">
        <f>tbl_Data[[#This Row],[per unit IRA tax ($)]]/tbl_Data[[#This Row],[kWh Savings]]*tbl_Data[[#This Row],[Sum of Annuals]]</f>
        <v>0</v>
      </c>
      <c r="AY347" s="81">
        <f>tbl_Data[[#This Row],[Avoided Costs ($/unit)]]/tbl_Data[[#This Row],[kWh Savings]]*tbl_Data[[#This Row],[Sum of Annuals]]</f>
        <v>2734816.6788172983</v>
      </c>
      <c r="AZ347" s="81">
        <f>tbl_Data[[#This Row],[Lost Revenue ($/unit)]]/tbl_Data[[#This Row],[kWh Savings]]*tbl_Data[[#This Row],[Sum of Annuals]]</f>
        <v>7535511.003247329</v>
      </c>
      <c r="BA347" s="81">
        <f>tbl_Data[[#This Row],[Incremental Cost ($/unit)]]/tbl_Data[[#This Row],[kWh Savings]]*tbl_Data[[#This Row],[Sum of Annuals]]</f>
        <v>3486561.5924411807</v>
      </c>
      <c r="BB347" s="77">
        <f>ROUNDUP(tbl_Data[[#This Row],[Adjusted 2025]]/$L347,0)</f>
        <v>2955</v>
      </c>
      <c r="BC347" s="77">
        <f>ROUNDUP(tbl_Data[[#This Row],[Adjusted 2026]]/$L347,0)</f>
        <v>3107</v>
      </c>
      <c r="BD347" s="77">
        <f>ROUNDUP(tbl_Data[[#This Row],[Adjusted 2027]]/$L347,0)</f>
        <v>3189</v>
      </c>
      <c r="BE347" s="77">
        <f>ROUNDUP(tbl_Data[[#This Row],[Adjusted 2028]]/$L347,0)</f>
        <v>3239</v>
      </c>
      <c r="BF347" s="77">
        <f>ROUNDUP(tbl_Data[[#This Row],[Adjusted 2029]]/$L347,0)</f>
        <v>3267</v>
      </c>
      <c r="BG347" s="77">
        <f>ROUNDUP(tbl_Data[[#This Row],[Adjusted 2030]]/$L347,0)</f>
        <v>3270</v>
      </c>
      <c r="BH347" s="77">
        <f>ROUNDUP(tbl_Data[[#This Row],[Adjusted 2031]]/$L347,0)</f>
        <v>3261</v>
      </c>
      <c r="BI347" s="77">
        <f>ROUNDUP(tbl_Data[[#This Row],[Adjusted 2032]]/$L347,0)</f>
        <v>3247</v>
      </c>
      <c r="BJ347" s="77">
        <f>ROUNDUP(tbl_Data[[#This Row],[Adjusted 2033]]/$L347,0)</f>
        <v>3228</v>
      </c>
      <c r="BK347" s="77">
        <f>ROUNDUP(tbl_Data[[#This Row],[Adjusted 2034]]/$L347,0)</f>
        <v>3205</v>
      </c>
      <c r="BL347" s="80">
        <f t="shared" si="155"/>
        <v>88618.691919621851</v>
      </c>
      <c r="BM347" s="80">
        <f t="shared" si="156"/>
        <v>93164.478008750069</v>
      </c>
      <c r="BN347" s="80">
        <f t="shared" si="157"/>
        <v>95612.594794737684</v>
      </c>
      <c r="BO347" s="80">
        <f t="shared" si="158"/>
        <v>97112.058008582375</v>
      </c>
      <c r="BP347" s="80">
        <f t="shared" si="159"/>
        <v>97955.179580901371</v>
      </c>
      <c r="BQ347" s="80">
        <f t="shared" si="160"/>
        <v>98063.440120642219</v>
      </c>
      <c r="BR347" s="80">
        <f t="shared" si="161"/>
        <v>97776.16254127986</v>
      </c>
      <c r="BS347" s="80">
        <f t="shared" si="162"/>
        <v>97372.576610233198</v>
      </c>
      <c r="BT347" s="80">
        <f t="shared" si="163"/>
        <v>96777.760521230986</v>
      </c>
      <c r="BU347" s="80">
        <f t="shared" si="164"/>
        <v>96112.059188089537</v>
      </c>
      <c r="BV347" s="80">
        <f>IFERROR(VLOOKUP($H347,'1. Set Program Names'!$B$2:$D$15,3,0)*V347,"NA")</f>
        <v>41682.254253262596</v>
      </c>
      <c r="BW347" s="80">
        <f>IFERROR(VLOOKUP($H347,'1. Set Program Names'!$B$2:$D$15,3,0)*W347,"NA")</f>
        <v>43820.387952187491</v>
      </c>
      <c r="BX347" s="80">
        <f>IFERROR(VLOOKUP($H347,'1. Set Program Names'!$B$2:$D$15,3,0)*X347,"NA")</f>
        <v>44971.872183164065</v>
      </c>
      <c r="BY347" s="80">
        <f>IFERROR(VLOOKUP($H347,'1. Set Program Names'!$B$2:$D$15,3,0)*Y347,"NA")</f>
        <v>45677.152362424422</v>
      </c>
      <c r="BZ347" s="80">
        <f>IFERROR(VLOOKUP($H347,'1. Set Program Names'!$B$2:$D$15,3,0)*Z347,"NA")</f>
        <v>46073.71889915107</v>
      </c>
      <c r="CA347" s="80">
        <f>IFERROR(VLOOKUP($H347,'1. Set Program Names'!$B$2:$D$15,3,0)*AA347,"NA")</f>
        <v>46124.639796823161</v>
      </c>
      <c r="CB347" s="80">
        <f>IFERROR(VLOOKUP($H347,'1. Set Program Names'!$B$2:$D$15,3,0)*AB347,"NA")</f>
        <v>45989.51732046</v>
      </c>
      <c r="CC347" s="80">
        <f>IFERROR(VLOOKUP($H347,'1. Set Program Names'!$B$2:$D$15,3,0)*AC347,"NA")</f>
        <v>45799.688616983032</v>
      </c>
      <c r="CD347" s="80">
        <f>IFERROR(VLOOKUP($H347,'1. Set Program Names'!$B$2:$D$15,3,0)*AD347,"NA")</f>
        <v>45519.913832243386</v>
      </c>
      <c r="CE347" s="80">
        <f>IFERROR(VLOOKUP($H347,'1. Set Program Names'!$B$2:$D$15,3,0)*AE347,"NA")</f>
        <v>45206.797810965327</v>
      </c>
    </row>
    <row r="348" spans="1:83" x14ac:dyDescent="0.25">
      <c r="A348" s="79" t="s">
        <v>87</v>
      </c>
      <c r="B348" s="79" t="s">
        <v>88</v>
      </c>
      <c r="C348" s="79" t="s">
        <v>122</v>
      </c>
      <c r="D348" s="79" t="s">
        <v>90</v>
      </c>
      <c r="E348" s="79" t="s">
        <v>91</v>
      </c>
      <c r="F348" s="79" t="s">
        <v>90</v>
      </c>
      <c r="G348" s="79" t="s">
        <v>92</v>
      </c>
      <c r="H348" s="79" t="s">
        <v>16</v>
      </c>
      <c r="I348" s="79" t="s">
        <v>164</v>
      </c>
      <c r="J348" s="79" t="s">
        <v>158</v>
      </c>
      <c r="K348" s="79" t="s">
        <v>159</v>
      </c>
      <c r="L348" s="79">
        <v>612.05999999999972</v>
      </c>
      <c r="M348" s="79">
        <v>0</v>
      </c>
      <c r="N348" s="79">
        <v>3.0244631686656035E-2</v>
      </c>
      <c r="O348" s="79">
        <v>255</v>
      </c>
      <c r="P348" s="79">
        <v>129.09500333079711</v>
      </c>
      <c r="Q348" s="79"/>
      <c r="R348" s="79">
        <v>299.62522934905462</v>
      </c>
      <c r="S348" s="79">
        <v>664.77065003695441</v>
      </c>
      <c r="T348" s="79">
        <v>15</v>
      </c>
      <c r="U348" s="79">
        <v>0.59999999999999898</v>
      </c>
      <c r="V348" s="79">
        <f>tbl_Data_old[[#This Row],[2025 ]]*IFERROR(AVERAGEIFS('Participation Adjustment'!$C:$C,'Participation Adjustment'!$A:$A,$H348,'Participation Adjustment'!$B:$B,$I348),1)</f>
        <v>317538.044025212</v>
      </c>
      <c r="W348" s="79">
        <f>tbl_Data_old[[#This Row],[2026 ]]*IFERROR(AVERAGEIFS('Participation Adjustment'!$C:$C,'Participation Adjustment'!$A:$A,$H348,'Participation Adjustment'!$B:$B,$I348),1)</f>
        <v>345004.18800165399</v>
      </c>
      <c r="X348" s="79">
        <f>tbl_Data_old[[#This Row],[2027 ]]*IFERROR(AVERAGEIFS('Participation Adjustment'!$C:$C,'Participation Adjustment'!$A:$A,$H348,'Participation Adjustment'!$B:$B,$I348),1)</f>
        <v>367071.46952153801</v>
      </c>
      <c r="Y348" s="79">
        <f>tbl_Data_old[[#This Row],[2028 ]]*IFERROR(AVERAGEIFS('Participation Adjustment'!$C:$C,'Participation Adjustment'!$A:$A,$H348,'Participation Adjustment'!$B:$B,$I348),1)</f>
        <v>385589.62945402402</v>
      </c>
      <c r="Z348" s="79">
        <f>tbl_Data_old[[#This Row],[2029 ]]*IFERROR(AVERAGEIFS('Participation Adjustment'!$C:$C,'Participation Adjustment'!$A:$A,$H348,'Participation Adjustment'!$B:$B,$I348),1)</f>
        <v>400400.34894881397</v>
      </c>
      <c r="AA348" s="79">
        <f>tbl_Data_old[[#This Row],[2030 ]]*IFERROR(AVERAGEIFS('Participation Adjustment'!$C:$C,'Participation Adjustment'!$A:$A,$H348,'Participation Adjustment'!$B:$B,$I348),1)</f>
        <v>411801.58248034999</v>
      </c>
      <c r="AB348" s="79">
        <f>tbl_Data_old[[#This Row],[2031 ]]*IFERROR(AVERAGEIFS('Participation Adjustment'!$C:$C,'Participation Adjustment'!$A:$A,$H348,'Participation Adjustment'!$B:$B,$I348),1)</f>
        <v>420063.17089353403</v>
      </c>
      <c r="AC348" s="79">
        <f>tbl_Data_old[[#This Row],[2032 ]]*IFERROR(AVERAGEIFS('Participation Adjustment'!$C:$C,'Participation Adjustment'!$A:$A,$H348,'Participation Adjustment'!$B:$B,$I348),1)</f>
        <v>426498.09227165201</v>
      </c>
      <c r="AD348" s="79">
        <f>tbl_Data_old[[#This Row],[2033 ]]*IFERROR(AVERAGEIFS('Participation Adjustment'!$C:$C,'Participation Adjustment'!$A:$A,$H348,'Participation Adjustment'!$B:$B,$I348),1)</f>
        <v>431979.97037327802</v>
      </c>
      <c r="AE348" s="79">
        <f>tbl_Data_old[[#This Row],[2034 ]]*IFERROR(AVERAGEIFS('Participation Adjustment'!$C:$C,'Participation Adjustment'!$A:$A,$H348,'Participation Adjustment'!$B:$B,$I348),1)</f>
        <v>435804.01903981803</v>
      </c>
      <c r="AF348" s="77" t="str">
        <f t="shared" si="154"/>
        <v>NonResidential</v>
      </c>
      <c r="AG348" s="77" t="str">
        <f>tbl_Data[[#This Row],[All_Meas_Name_Append]]</f>
        <v>LED Parking Lighting</v>
      </c>
      <c r="AH348" s="77">
        <f>AVERAGEIFS('3. Incentive Adjustment'!G:G,'3. Incentive Adjustment'!A:A,tbl_Data[[#This Row],[Trimmed Sector]],'3. Incentive Adjustment'!B:B,tbl_Data[[#This Row],[Trimmed Measure Name]])</f>
        <v>0.59704067730377497</v>
      </c>
      <c r="AI348" s="77">
        <f>$AH348*tbl_Data[[#This Row],[2025 ]]</f>
        <v>189583.12887452848</v>
      </c>
      <c r="AJ348" s="77">
        <f>$AH348*tbl_Data[[#This Row],[2026 ]]</f>
        <v>205981.53407714641</v>
      </c>
      <c r="AK348" s="77">
        <f>$AH348*tbl_Data[[#This Row],[2027 ]]</f>
        <v>219156.59878203104</v>
      </c>
      <c r="AL348" s="77">
        <f>$AH348*tbl_Data[[#This Row],[2028 ]]</f>
        <v>230212.69353054211</v>
      </c>
      <c r="AM348" s="77">
        <f>$AH348*tbl_Data[[#This Row],[2029 ]]</f>
        <v>239055.29552906775</v>
      </c>
      <c r="AN348" s="77">
        <f>$AH348*tbl_Data[[#This Row],[2030 ]]</f>
        <v>245862.2957188345</v>
      </c>
      <c r="AO348" s="77">
        <f>$AH348*tbl_Data[[#This Row],[2031 ]]</f>
        <v>250794.80006064693</v>
      </c>
      <c r="AP348" s="77">
        <f>$AH348*tbl_Data[[#This Row],[2032 ]]</f>
        <v>254636.70987863504</v>
      </c>
      <c r="AQ348" s="77">
        <f>$AH348*tbl_Data[[#This Row],[2033 ]]</f>
        <v>257909.61409332656</v>
      </c>
      <c r="AR348" s="77">
        <f>$AH348*tbl_Data[[#This Row],[2034 ]]</f>
        <v>260192.72669924019</v>
      </c>
      <c r="AS348" s="77">
        <f>SUM(tbl_Data[[#This Row],[Adjusted 2025]:[Adjusted 2034]])</f>
        <v>2353385.3972439989</v>
      </c>
      <c r="AT348" s="80">
        <f>AVERAGEIFS('3. Incentive Adjustment'!F:F,'3. Incentive Adjustment'!A:A,tbl_Data[[#This Row],[Trimmed Sector]],'3. Incentive Adjustment'!B:B,tbl_Data[[#This Row],[Trimmed Measure Name]])</f>
        <v>9.4514474020799994</v>
      </c>
      <c r="AU348" s="80">
        <f>IFERROR(VLOOKUP(tbl_Data[[#This Row],[All_Meas_Name_Append]],'IRA Tax Credits'!$A$3:$D$46,4,0),0)</f>
        <v>0</v>
      </c>
      <c r="AV348" s="81">
        <f>tbl_Data[[#This Row],[Adj. per unit Incentive ($)]]/tbl_Data[[#This Row],[kWh Savings]]*tbl_Data[[#This Row],[Sum of Annuals]]</f>
        <v>36341.04221624483</v>
      </c>
      <c r="AW348" s="81">
        <f>IFERROR(VLOOKUP(tbl_Data[[#This Row],[Column1]],'1. Set Program Names'!$B$2:$D$15,3,0)*tbl_Data[[#This Row],[Sum of Annuals]],"")</f>
        <v>85728.010706209476</v>
      </c>
      <c r="AX348" s="81">
        <f>tbl_Data[[#This Row],[per unit IRA tax ($)]]/tbl_Data[[#This Row],[kWh Savings]]*tbl_Data[[#This Row],[Sum of Annuals]]</f>
        <v>0</v>
      </c>
      <c r="AY348" s="81">
        <f>tbl_Data[[#This Row],[Avoided Costs ($/unit)]]/tbl_Data[[#This Row],[kWh Savings]]*tbl_Data[[#This Row],[Sum of Annuals]]</f>
        <v>1152066.2016729561</v>
      </c>
      <c r="AZ348" s="81">
        <f>tbl_Data[[#This Row],[Lost Revenue ($/unit)]]/tbl_Data[[#This Row],[kWh Savings]]*tbl_Data[[#This Row],[Sum of Annuals]]</f>
        <v>2556059.1123637715</v>
      </c>
      <c r="BA348" s="81">
        <f>tbl_Data[[#This Row],[Incremental Cost ($/unit)]]/tbl_Data[[#This Row],[kWh Savings]]*tbl_Data[[#This Row],[Sum of Annuals]]</f>
        <v>980481.1232513478</v>
      </c>
      <c r="BB348" s="77">
        <f>ROUNDUP(tbl_Data[[#This Row],[Adjusted 2025]]/$L348,0)</f>
        <v>310</v>
      </c>
      <c r="BC348" s="77">
        <f>ROUNDUP(tbl_Data[[#This Row],[Adjusted 2026]]/$L348,0)</f>
        <v>337</v>
      </c>
      <c r="BD348" s="77">
        <f>ROUNDUP(tbl_Data[[#This Row],[Adjusted 2027]]/$L348,0)</f>
        <v>359</v>
      </c>
      <c r="BE348" s="77">
        <f>ROUNDUP(tbl_Data[[#This Row],[Adjusted 2028]]/$L348,0)</f>
        <v>377</v>
      </c>
      <c r="BF348" s="77">
        <f>ROUNDUP(tbl_Data[[#This Row],[Adjusted 2029]]/$L348,0)</f>
        <v>391</v>
      </c>
      <c r="BG348" s="77">
        <f>ROUNDUP(tbl_Data[[#This Row],[Adjusted 2030]]/$L348,0)</f>
        <v>402</v>
      </c>
      <c r="BH348" s="77">
        <f>ROUNDUP(tbl_Data[[#This Row],[Adjusted 2031]]/$L348,0)</f>
        <v>410</v>
      </c>
      <c r="BI348" s="77">
        <f>ROUNDUP(tbl_Data[[#This Row],[Adjusted 2032]]/$L348,0)</f>
        <v>417</v>
      </c>
      <c r="BJ348" s="77">
        <f>ROUNDUP(tbl_Data[[#This Row],[Adjusted 2033]]/$L348,0)</f>
        <v>422</v>
      </c>
      <c r="BK348" s="77">
        <f>ROUNDUP(tbl_Data[[#This Row],[Adjusted 2034]]/$L348,0)</f>
        <v>426</v>
      </c>
      <c r="BL348" s="80">
        <f t="shared" si="155"/>
        <v>4903.4312342967287</v>
      </c>
      <c r="BM348" s="80">
        <f t="shared" si="156"/>
        <v>5327.5641871629477</v>
      </c>
      <c r="BN348" s="80">
        <f t="shared" si="157"/>
        <v>5668.3277570614473</v>
      </c>
      <c r="BO348" s="80">
        <f t="shared" si="158"/>
        <v>5954.285693514078</v>
      </c>
      <c r="BP348" s="80">
        <f t="shared" si="159"/>
        <v>6182.9932324677229</v>
      </c>
      <c r="BQ348" s="80">
        <f t="shared" si="160"/>
        <v>6359.0513951350167</v>
      </c>
      <c r="BR348" s="80">
        <f t="shared" si="161"/>
        <v>6486.6270712857904</v>
      </c>
      <c r="BS348" s="80">
        <f t="shared" si="162"/>
        <v>6585.9953046972241</v>
      </c>
      <c r="BT348" s="80">
        <f t="shared" si="163"/>
        <v>6670.6466175458545</v>
      </c>
      <c r="BU348" s="80">
        <f t="shared" si="164"/>
        <v>6729.6976825309812</v>
      </c>
      <c r="BV348" s="80">
        <f>IFERROR(VLOOKUP($H348,'1. Set Program Names'!$B$2:$D$15,3,0)*V348,"NA")</f>
        <v>11567.125754116263</v>
      </c>
      <c r="BW348" s="80">
        <f>IFERROR(VLOOKUP($H348,'1. Set Program Names'!$B$2:$D$15,3,0)*W348,"NA")</f>
        <v>12567.649462484707</v>
      </c>
      <c r="BX348" s="80">
        <f>IFERROR(VLOOKUP($H348,'1. Set Program Names'!$B$2:$D$15,3,0)*X348,"NA")</f>
        <v>13371.505961555784</v>
      </c>
      <c r="BY348" s="80">
        <f>IFERROR(VLOOKUP($H348,'1. Set Program Names'!$B$2:$D$15,3,0)*Y348,"NA")</f>
        <v>14046.076737260679</v>
      </c>
      <c r="BZ348" s="80">
        <f>IFERROR(VLOOKUP($H348,'1. Set Program Names'!$B$2:$D$15,3,0)*Z348,"NA")</f>
        <v>14585.59462536474</v>
      </c>
      <c r="CA348" s="80">
        <f>IFERROR(VLOOKUP($H348,'1. Set Program Names'!$B$2:$D$15,3,0)*AA348,"NA")</f>
        <v>15000.913370607288</v>
      </c>
      <c r="CB348" s="80">
        <f>IFERROR(VLOOKUP($H348,'1. Set Program Names'!$B$2:$D$15,3,0)*AB348,"NA")</f>
        <v>15301.862607721258</v>
      </c>
      <c r="CC348" s="80">
        <f>IFERROR(VLOOKUP($H348,'1. Set Program Names'!$B$2:$D$15,3,0)*AC348,"NA")</f>
        <v>15536.270881624438</v>
      </c>
      <c r="CD348" s="80">
        <f>IFERROR(VLOOKUP($H348,'1. Set Program Names'!$B$2:$D$15,3,0)*AD348,"NA")</f>
        <v>15735.962145595346</v>
      </c>
      <c r="CE348" s="80">
        <f>IFERROR(VLOOKUP($H348,'1. Set Program Names'!$B$2:$D$15,3,0)*AE348,"NA")</f>
        <v>15875.262782630878</v>
      </c>
    </row>
    <row r="349" spans="1:83" x14ac:dyDescent="0.25">
      <c r="A349" s="79" t="s">
        <v>87</v>
      </c>
      <c r="B349" s="79" t="s">
        <v>88</v>
      </c>
      <c r="C349" s="79" t="s">
        <v>122</v>
      </c>
      <c r="D349" s="79" t="s">
        <v>90</v>
      </c>
      <c r="E349" s="79" t="s">
        <v>91</v>
      </c>
      <c r="F349" s="79" t="s">
        <v>90</v>
      </c>
      <c r="G349" s="79" t="s">
        <v>92</v>
      </c>
      <c r="H349" s="79" t="s">
        <v>16</v>
      </c>
      <c r="I349" s="79" t="s">
        <v>165</v>
      </c>
      <c r="J349" s="79" t="s">
        <v>161</v>
      </c>
      <c r="K349" s="79" t="s">
        <v>166</v>
      </c>
      <c r="L349" s="79">
        <v>510.6</v>
      </c>
      <c r="M349" s="79">
        <v>6.2552429943266097E-2</v>
      </c>
      <c r="N349" s="79">
        <v>6.4361142955417797E-2</v>
      </c>
      <c r="O349" s="79">
        <v>129</v>
      </c>
      <c r="P349" s="79">
        <v>26.468747947944401</v>
      </c>
      <c r="Q349" s="79">
        <v>18.5998954178316</v>
      </c>
      <c r="R349" s="79">
        <v>174.74401692254699</v>
      </c>
      <c r="S349" s="79">
        <v>419.99719394182398</v>
      </c>
      <c r="T349" s="79">
        <v>10</v>
      </c>
      <c r="U349" s="79">
        <v>0.59999999999999898</v>
      </c>
      <c r="V349" s="79">
        <f>tbl_Data_old[[#This Row],[2025 ]]*IFERROR(AVERAGEIFS('Participation Adjustment'!$C:$C,'Participation Adjustment'!$A:$A,$H349,'Participation Adjustment'!$B:$B,$I349),1)</f>
        <v>19927.519621685398</v>
      </c>
      <c r="W349" s="79">
        <f>tbl_Data_old[[#This Row],[2026 ]]*IFERROR(AVERAGEIFS('Participation Adjustment'!$C:$C,'Participation Adjustment'!$A:$A,$H349,'Participation Adjustment'!$B:$B,$I349),1)</f>
        <v>27329.474263349599</v>
      </c>
      <c r="X349" s="79">
        <f>tbl_Data_old[[#This Row],[2027 ]]*IFERROR(AVERAGEIFS('Participation Adjustment'!$C:$C,'Participation Adjustment'!$A:$A,$H349,'Participation Adjustment'!$B:$B,$I349),1)</f>
        <v>36354.120239008596</v>
      </c>
      <c r="Y349" s="79">
        <f>tbl_Data_old[[#This Row],[2028 ]]*IFERROR(AVERAGEIFS('Participation Adjustment'!$C:$C,'Participation Adjustment'!$A:$A,$H349,'Participation Adjustment'!$B:$B,$I349),1)</f>
        <v>46890.297202517097</v>
      </c>
      <c r="Z349" s="79">
        <f>tbl_Data_old[[#This Row],[2029 ]]*IFERROR(AVERAGEIFS('Participation Adjustment'!$C:$C,'Participation Adjustment'!$A:$A,$H349,'Participation Adjustment'!$B:$B,$I349),1)</f>
        <v>58080.164462417197</v>
      </c>
      <c r="AA349" s="79">
        <f>tbl_Data_old[[#This Row],[2030 ]]*IFERROR(AVERAGEIFS('Participation Adjustment'!$C:$C,'Participation Adjustment'!$A:$A,$H349,'Participation Adjustment'!$B:$B,$I349),1)</f>
        <v>68188.676259443193</v>
      </c>
      <c r="AB349" s="79">
        <f>tbl_Data_old[[#This Row],[2031 ]]*IFERROR(AVERAGEIFS('Participation Adjustment'!$C:$C,'Participation Adjustment'!$A:$A,$H349,'Participation Adjustment'!$B:$B,$I349),1)</f>
        <v>74955.507584703999</v>
      </c>
      <c r="AC349" s="79">
        <f>tbl_Data_old[[#This Row],[2032 ]]*IFERROR(AVERAGEIFS('Participation Adjustment'!$C:$C,'Participation Adjustment'!$A:$A,$H349,'Participation Adjustment'!$B:$B,$I349),1)</f>
        <v>76252.667373604199</v>
      </c>
      <c r="AD349" s="79">
        <f>tbl_Data_old[[#This Row],[2033 ]]*IFERROR(AVERAGEIFS('Participation Adjustment'!$C:$C,'Participation Adjustment'!$A:$A,$H349,'Participation Adjustment'!$B:$B,$I349),1)</f>
        <v>70988.890025122499</v>
      </c>
      <c r="AE349" s="79">
        <f>tbl_Data_old[[#This Row],[2034 ]]*IFERROR(AVERAGEIFS('Participation Adjustment'!$C:$C,'Participation Adjustment'!$A:$A,$H349,'Participation Adjustment'!$B:$B,$I349),1)</f>
        <v>60215.847225174599</v>
      </c>
      <c r="AF349" s="77" t="str">
        <f t="shared" si="154"/>
        <v>NonResidential</v>
      </c>
      <c r="AG349" s="77" t="str">
        <f>tbl_Data[[#This Row],[All_Meas_Name_Append]]</f>
        <v>Occupancy Sensors_ Ceiling Mounted</v>
      </c>
      <c r="AH349" s="77">
        <f>AVERAGEIFS('3. Incentive Adjustment'!G:G,'3. Incentive Adjustment'!A:A,tbl_Data[[#This Row],[Trimmed Sector]],'3. Incentive Adjustment'!B:B,tbl_Data[[#This Row],[Trimmed Measure Name]])</f>
        <v>0.99348124042467356</v>
      </c>
      <c r="AI349" s="77">
        <f>$AH349*tbl_Data[[#This Row],[2025 ]]</f>
        <v>19797.616912339032</v>
      </c>
      <c r="AJ349" s="77">
        <f>$AH349*tbl_Data[[#This Row],[2026 ]]</f>
        <v>27151.319991306751</v>
      </c>
      <c r="AK349" s="77">
        <f>$AH349*tbl_Data[[#This Row],[2027 ]]</f>
        <v>36117.136469597994</v>
      </c>
      <c r="AL349" s="77">
        <f>$AH349*tbl_Data[[#This Row],[2028 ]]</f>
        <v>46584.630628638282</v>
      </c>
      <c r="AM349" s="77">
        <f>$AH349*tbl_Data[[#This Row],[2029 ]]</f>
        <v>57701.553834191283</v>
      </c>
      <c r="AN349" s="77">
        <f>$AH349*tbl_Data[[#This Row],[2030 ]]</f>
        <v>67744.17067314811</v>
      </c>
      <c r="AO349" s="77">
        <f>$AH349*tbl_Data[[#This Row],[2031 ]]</f>
        <v>74466.890651912763</v>
      </c>
      <c r="AP349" s="77">
        <f>$AH349*tbl_Data[[#This Row],[2032 ]]</f>
        <v>75755.594568018336</v>
      </c>
      <c r="AQ349" s="77">
        <f>$AH349*tbl_Data[[#This Row],[2033 ]]</f>
        <v>70526.130518529433</v>
      </c>
      <c r="AR349" s="77">
        <f>$AH349*tbl_Data[[#This Row],[2034 ]]</f>
        <v>59823.3145944891</v>
      </c>
      <c r="AS349" s="77">
        <f>SUM(tbl_Data[[#This Row],[Adjusted 2025]:[Adjusted 2034]])</f>
        <v>535668.35884217115</v>
      </c>
      <c r="AT349" s="80">
        <f>AVERAGEIFS('3. Incentive Adjustment'!F:F,'3. Incentive Adjustment'!A:A,tbl_Data[[#This Row],[Trimmed Sector]],'3. Incentive Adjustment'!B:B,tbl_Data[[#This Row],[Trimmed Measure Name]])</f>
        <v>19.547634357270656</v>
      </c>
      <c r="AU349" s="80">
        <f>IFERROR(VLOOKUP(tbl_Data[[#This Row],[All_Meas_Name_Append]],'IRA Tax Credits'!$A$3:$D$46,4,0),0)</f>
        <v>0</v>
      </c>
      <c r="AV349" s="81">
        <f>tbl_Data[[#This Row],[Adj. per unit Incentive ($)]]/tbl_Data[[#This Row],[kWh Savings]]*tbl_Data[[#This Row],[Sum of Annuals]]</f>
        <v>20507.342764210756</v>
      </c>
      <c r="AW349" s="81">
        <f>IFERROR(VLOOKUP(tbl_Data[[#This Row],[Column1]],'1. Set Program Names'!$B$2:$D$15,3,0)*tbl_Data[[#This Row],[Sum of Annuals]],"")</f>
        <v>19513.073742863093</v>
      </c>
      <c r="AX349" s="81">
        <f>tbl_Data[[#This Row],[per unit IRA tax ($)]]/tbl_Data[[#This Row],[kWh Savings]]*tbl_Data[[#This Row],[Sum of Annuals]]</f>
        <v>0</v>
      </c>
      <c r="AY349" s="81">
        <f>tbl_Data[[#This Row],[Avoided Costs ($/unit)]]/tbl_Data[[#This Row],[kWh Savings]]*tbl_Data[[#This Row],[Sum of Annuals]]</f>
        <v>183323.22906852592</v>
      </c>
      <c r="AZ349" s="81">
        <f>tbl_Data[[#This Row],[Lost Revenue ($/unit)]]/tbl_Data[[#This Row],[kWh Savings]]*tbl_Data[[#This Row],[Sum of Annuals]]</f>
        <v>440617.32784397551</v>
      </c>
      <c r="BA349" s="81">
        <f>tbl_Data[[#This Row],[Incremental Cost ($/unit)]]/tbl_Data[[#This Row],[kWh Savings]]*tbl_Data[[#This Row],[Sum of Annuals]]</f>
        <v>135333.36915519013</v>
      </c>
      <c r="BB349" s="77">
        <f>ROUNDUP(tbl_Data[[#This Row],[Adjusted 2025]]/$L349,0)</f>
        <v>39</v>
      </c>
      <c r="BC349" s="77">
        <f>ROUNDUP(tbl_Data[[#This Row],[Adjusted 2026]]/$L349,0)</f>
        <v>54</v>
      </c>
      <c r="BD349" s="77">
        <f>ROUNDUP(tbl_Data[[#This Row],[Adjusted 2027]]/$L349,0)</f>
        <v>71</v>
      </c>
      <c r="BE349" s="77">
        <f>ROUNDUP(tbl_Data[[#This Row],[Adjusted 2028]]/$L349,0)</f>
        <v>92</v>
      </c>
      <c r="BF349" s="77">
        <f>ROUNDUP(tbl_Data[[#This Row],[Adjusted 2029]]/$L349,0)</f>
        <v>114</v>
      </c>
      <c r="BG349" s="77">
        <f>ROUNDUP(tbl_Data[[#This Row],[Adjusted 2030]]/$L349,0)</f>
        <v>133</v>
      </c>
      <c r="BH349" s="77">
        <f>ROUNDUP(tbl_Data[[#This Row],[Adjusted 2031]]/$L349,0)</f>
        <v>146</v>
      </c>
      <c r="BI349" s="77">
        <f>ROUNDUP(tbl_Data[[#This Row],[Adjusted 2032]]/$L349,0)</f>
        <v>149</v>
      </c>
      <c r="BJ349" s="77">
        <f>ROUNDUP(tbl_Data[[#This Row],[Adjusted 2033]]/$L349,0)</f>
        <v>139</v>
      </c>
      <c r="BK349" s="77">
        <f>ROUNDUP(tbl_Data[[#This Row],[Adjusted 2034]]/$L349,0)</f>
        <v>118</v>
      </c>
      <c r="BL349" s="80">
        <f t="shared" si="155"/>
        <v>762.89829066204982</v>
      </c>
      <c r="BM349" s="80">
        <f t="shared" si="156"/>
        <v>1046.2721701457046</v>
      </c>
      <c r="BN349" s="80">
        <f t="shared" si="157"/>
        <v>1391.7686051946591</v>
      </c>
      <c r="BO349" s="80">
        <f t="shared" si="158"/>
        <v>1795.1319714425292</v>
      </c>
      <c r="BP349" s="80">
        <f t="shared" si="159"/>
        <v>2223.5209916205968</v>
      </c>
      <c r="BQ349" s="80">
        <f t="shared" si="160"/>
        <v>2610.5117720836229</v>
      </c>
      <c r="BR349" s="80">
        <f t="shared" si="161"/>
        <v>2869.5708094974957</v>
      </c>
      <c r="BS349" s="80">
        <f t="shared" si="162"/>
        <v>2919.2308276259237</v>
      </c>
      <c r="BT349" s="80">
        <f t="shared" si="163"/>
        <v>2717.714190441819</v>
      </c>
      <c r="BU349" s="80">
        <f t="shared" si="164"/>
        <v>2305.2827341774068</v>
      </c>
      <c r="BV349" s="80">
        <f>IFERROR(VLOOKUP($H349,'1. Set Program Names'!$B$2:$D$15,3,0)*V349,"NA")</f>
        <v>725.91026419924879</v>
      </c>
      <c r="BW349" s="80">
        <f>IFERROR(VLOOKUP($H349,'1. Set Program Names'!$B$2:$D$15,3,0)*W349,"NA")</f>
        <v>995.54516866945562</v>
      </c>
      <c r="BX349" s="80">
        <f>IFERROR(VLOOKUP($H349,'1. Set Program Names'!$B$2:$D$15,3,0)*X349,"NA")</f>
        <v>1324.2907059397505</v>
      </c>
      <c r="BY349" s="80">
        <f>IFERROR(VLOOKUP($H349,'1. Set Program Names'!$B$2:$D$15,3,0)*Y349,"NA")</f>
        <v>1708.0975794709395</v>
      </c>
      <c r="BZ349" s="80">
        <f>IFERROR(VLOOKUP($H349,'1. Set Program Names'!$B$2:$D$15,3,0)*Z349,"NA")</f>
        <v>2115.7167740920913</v>
      </c>
      <c r="CA349" s="80">
        <f>IFERROR(VLOOKUP($H349,'1. Set Program Names'!$B$2:$D$15,3,0)*AA349,"NA")</f>
        <v>2483.9448631140285</v>
      </c>
      <c r="CB349" s="80">
        <f>IFERROR(VLOOKUP($H349,'1. Set Program Names'!$B$2:$D$15,3,0)*AB349,"NA")</f>
        <v>2730.4437956638876</v>
      </c>
      <c r="CC349" s="80">
        <f>IFERROR(VLOOKUP($H349,'1. Set Program Names'!$B$2:$D$15,3,0)*AC349,"NA")</f>
        <v>2777.696119231769</v>
      </c>
      <c r="CD349" s="80">
        <f>IFERROR(VLOOKUP($H349,'1. Set Program Names'!$B$2:$D$15,3,0)*AD349,"NA")</f>
        <v>2585.9497263909725</v>
      </c>
      <c r="CE349" s="80">
        <f>IFERROR(VLOOKUP($H349,'1. Set Program Names'!$B$2:$D$15,3,0)*AE349,"NA")</f>
        <v>2193.5144161464459</v>
      </c>
    </row>
    <row r="350" spans="1:83" x14ac:dyDescent="0.25">
      <c r="A350" s="79" t="s">
        <v>87</v>
      </c>
      <c r="B350" s="79" t="s">
        <v>88</v>
      </c>
      <c r="C350" s="79" t="s">
        <v>122</v>
      </c>
      <c r="D350" s="79" t="s">
        <v>90</v>
      </c>
      <c r="E350" s="79" t="s">
        <v>91</v>
      </c>
      <c r="F350" s="79" t="s">
        <v>90</v>
      </c>
      <c r="G350" s="79" t="s">
        <v>92</v>
      </c>
      <c r="H350" s="79" t="s">
        <v>16</v>
      </c>
      <c r="I350" s="79" t="s">
        <v>167</v>
      </c>
      <c r="J350" s="79" t="s">
        <v>124</v>
      </c>
      <c r="K350" s="79" t="s">
        <v>98</v>
      </c>
      <c r="L350" s="79">
        <v>151.65999999999994</v>
      </c>
      <c r="M350" s="79">
        <v>2.2013191527321094E-2</v>
      </c>
      <c r="N350" s="79">
        <v>1.952960139549019E-2</v>
      </c>
      <c r="O350" s="79">
        <v>56.59999999999998</v>
      </c>
      <c r="P350" s="79">
        <v>25.402483751835906</v>
      </c>
      <c r="Q350" s="79"/>
      <c r="R350" s="79">
        <v>70.56447857633529</v>
      </c>
      <c r="S350" s="79">
        <v>171.41744415542868</v>
      </c>
      <c r="T350" s="79">
        <v>16</v>
      </c>
      <c r="U350" s="79">
        <v>0.6</v>
      </c>
      <c r="V350" s="79">
        <f>tbl_Data_old[[#This Row],[2025 ]]*IFERROR(AVERAGEIFS('Participation Adjustment'!$C:$C,'Participation Adjustment'!$A:$A,$H350,'Participation Adjustment'!$B:$B,$I350),1)</f>
        <v>2896.54552335176</v>
      </c>
      <c r="W350" s="79">
        <f>tbl_Data_old[[#This Row],[2026 ]]*IFERROR(AVERAGEIFS('Participation Adjustment'!$C:$C,'Participation Adjustment'!$A:$A,$H350,'Participation Adjustment'!$B:$B,$I350),1)</f>
        <v>3939.4033259757898</v>
      </c>
      <c r="X350" s="79">
        <f>tbl_Data_old[[#This Row],[2027 ]]*IFERROR(AVERAGEIFS('Participation Adjustment'!$C:$C,'Participation Adjustment'!$A:$A,$H350,'Participation Adjustment'!$B:$B,$I350),1)</f>
        <v>5089.28649105973</v>
      </c>
      <c r="Y350" s="79">
        <f>tbl_Data_old[[#This Row],[2028 ]]*IFERROR(AVERAGEIFS('Participation Adjustment'!$C:$C,'Participation Adjustment'!$A:$A,$H350,'Participation Adjustment'!$B:$B,$I350),1)</f>
        <v>6283.4550842795297</v>
      </c>
      <c r="Z350" s="79">
        <f>tbl_Data_old[[#This Row],[2029 ]]*IFERROR(AVERAGEIFS('Participation Adjustment'!$C:$C,'Participation Adjustment'!$A:$A,$H350,'Participation Adjustment'!$B:$B,$I350),1)</f>
        <v>7417.8880930865798</v>
      </c>
      <c r="AA350" s="79">
        <f>tbl_Data_old[[#This Row],[2030 ]]*IFERROR(AVERAGEIFS('Participation Adjustment'!$C:$C,'Participation Adjustment'!$A:$A,$H350,'Participation Adjustment'!$B:$B,$I350),1)</f>
        <v>8411.1994509163305</v>
      </c>
      <c r="AB350" s="79">
        <f>tbl_Data_old[[#This Row],[2031 ]]*IFERROR(AVERAGEIFS('Participation Adjustment'!$C:$C,'Participation Adjustment'!$A:$A,$H350,'Participation Adjustment'!$B:$B,$I350),1)</f>
        <v>9206.1807887388495</v>
      </c>
      <c r="AC350" s="79">
        <f>tbl_Data_old[[#This Row],[2032 ]]*IFERROR(AVERAGEIFS('Participation Adjustment'!$C:$C,'Participation Adjustment'!$A:$A,$H350,'Participation Adjustment'!$B:$B,$I350),1)</f>
        <v>9819.35251532451</v>
      </c>
      <c r="AD350" s="79">
        <f>tbl_Data_old[[#This Row],[2033 ]]*IFERROR(AVERAGEIFS('Participation Adjustment'!$C:$C,'Participation Adjustment'!$A:$A,$H350,'Participation Adjustment'!$B:$B,$I350),1)</f>
        <v>10300.830215578</v>
      </c>
      <c r="AE350" s="79">
        <f>tbl_Data_old[[#This Row],[2034 ]]*IFERROR(AVERAGEIFS('Participation Adjustment'!$C:$C,'Participation Adjustment'!$A:$A,$H350,'Participation Adjustment'!$B:$B,$I350),1)</f>
        <v>10659.9887009699</v>
      </c>
      <c r="AF350" s="77" t="str">
        <f t="shared" si="154"/>
        <v>NonResidential</v>
      </c>
      <c r="AG350" s="77" t="str">
        <f>tbl_Data[[#This Row],[All_Meas_Name_Append]]</f>
        <v>Refrigerated Display Case LED Lighting</v>
      </c>
      <c r="AH350" s="77">
        <f>AVERAGEIFS('3. Incentive Adjustment'!G:G,'3. Incentive Adjustment'!A:A,tbl_Data[[#This Row],[Trimmed Sector]],'3. Incentive Adjustment'!B:B,tbl_Data[[#This Row],[Trimmed Measure Name]])</f>
        <v>0.72450810749703154</v>
      </c>
      <c r="AI350" s="77">
        <f>$AH350*tbl_Data[[#This Row],[2025 ]]</f>
        <v>2098.5707154025827</v>
      </c>
      <c r="AJ350" s="77">
        <f>$AH350*tbl_Data[[#This Row],[2026 ]]</f>
        <v>2854.1296483702313</v>
      </c>
      <c r="AK350" s="77">
        <f>$AH350*tbl_Data[[#This Row],[2027 ]]</f>
        <v>3687.2293241478933</v>
      </c>
      <c r="AL350" s="77">
        <f>$AH350*tbl_Data[[#This Row],[2028 ]]</f>
        <v>4552.414151653963</v>
      </c>
      <c r="AM350" s="77">
        <f>$AH350*tbl_Data[[#This Row],[2029 ]]</f>
        <v>5374.3200639469223</v>
      </c>
      <c r="AN350" s="77">
        <f>$AH350*tbl_Data[[#This Row],[2030 ]]</f>
        <v>6093.9821959634619</v>
      </c>
      <c r="AO350" s="77">
        <f>$AH350*tbl_Data[[#This Row],[2031 ]]</f>
        <v>6669.952620524713</v>
      </c>
      <c r="AP350" s="77">
        <f>$AH350*tbl_Data[[#This Row],[2032 ]]</f>
        <v>7114.2005077239774</v>
      </c>
      <c r="AQ350" s="77">
        <f>$AH350*tbl_Data[[#This Row],[2033 ]]</f>
        <v>7463.0350051366568</v>
      </c>
      <c r="AR350" s="77">
        <f>$AH350*tbl_Data[[#This Row],[2034 ]]</f>
        <v>7723.2482396794412</v>
      </c>
      <c r="AS350" s="77">
        <f>SUM(tbl_Data[[#This Row],[Adjusted 2025]:[Adjusted 2034]])</f>
        <v>53631.082472549846</v>
      </c>
      <c r="AT350" s="80">
        <f>AVERAGEIFS('3. Incentive Adjustment'!F:F,'3. Incentive Adjustment'!A:A,tbl_Data[[#This Row],[Trimmed Sector]],'3. Incentive Adjustment'!B:B,tbl_Data[[#This Row],[Trimmed Measure Name]])</f>
        <v>6.879122352287844</v>
      </c>
      <c r="AU350" s="80">
        <f>IFERROR(VLOOKUP(tbl_Data[[#This Row],[All_Meas_Name_Append]],'IRA Tax Credits'!$A$3:$D$46,4,0),0)</f>
        <v>0</v>
      </c>
      <c r="AV350" s="81">
        <f>tbl_Data[[#This Row],[Adj. per unit Incentive ($)]]/tbl_Data[[#This Row],[kWh Savings]]*tbl_Data[[#This Row],[Sum of Annuals]]</f>
        <v>2432.6439286186906</v>
      </c>
      <c r="AW350" s="81">
        <f>IFERROR(VLOOKUP(tbl_Data[[#This Row],[Column1]],'1. Set Program Names'!$B$2:$D$15,3,0)*tbl_Data[[#This Row],[Sum of Annuals]],"")</f>
        <v>1953.6477186340205</v>
      </c>
      <c r="AX350" s="81">
        <f>tbl_Data[[#This Row],[per unit IRA tax ($)]]/tbl_Data[[#This Row],[kWh Savings]]*tbl_Data[[#This Row],[Sum of Annuals]]</f>
        <v>0</v>
      </c>
      <c r="AY350" s="81">
        <f>tbl_Data[[#This Row],[Avoided Costs ($/unit)]]/tbl_Data[[#This Row],[kWh Savings]]*tbl_Data[[#This Row],[Sum of Annuals]]</f>
        <v>24953.510287220863</v>
      </c>
      <c r="AZ350" s="81">
        <f>tbl_Data[[#This Row],[Lost Revenue ($/unit)]]/tbl_Data[[#This Row],[kWh Savings]]*tbl_Data[[#This Row],[Sum of Annuals]]</f>
        <v>60617.849694932782</v>
      </c>
      <c r="BA350" s="81">
        <f>tbl_Data[[#This Row],[Incremental Cost ($/unit)]]/tbl_Data[[#This Row],[kWh Savings]]*tbl_Data[[#This Row],[Sum of Annuals]]</f>
        <v>20015.292548769099</v>
      </c>
      <c r="BB350" s="77">
        <f>ROUNDUP(tbl_Data[[#This Row],[Adjusted 2025]]/$L350,0)</f>
        <v>14</v>
      </c>
      <c r="BC350" s="77">
        <f>ROUNDUP(tbl_Data[[#This Row],[Adjusted 2026]]/$L350,0)</f>
        <v>19</v>
      </c>
      <c r="BD350" s="77">
        <f>ROUNDUP(tbl_Data[[#This Row],[Adjusted 2027]]/$L350,0)</f>
        <v>25</v>
      </c>
      <c r="BE350" s="77">
        <f>ROUNDUP(tbl_Data[[#This Row],[Adjusted 2028]]/$L350,0)</f>
        <v>31</v>
      </c>
      <c r="BF350" s="77">
        <f>ROUNDUP(tbl_Data[[#This Row],[Adjusted 2029]]/$L350,0)</f>
        <v>36</v>
      </c>
      <c r="BG350" s="77">
        <f>ROUNDUP(tbl_Data[[#This Row],[Adjusted 2030]]/$L350,0)</f>
        <v>41</v>
      </c>
      <c r="BH350" s="77">
        <f>ROUNDUP(tbl_Data[[#This Row],[Adjusted 2031]]/$L350,0)</f>
        <v>44</v>
      </c>
      <c r="BI350" s="77">
        <f>ROUNDUP(tbl_Data[[#This Row],[Adjusted 2032]]/$L350,0)</f>
        <v>47</v>
      </c>
      <c r="BJ350" s="77">
        <f>ROUNDUP(tbl_Data[[#This Row],[Adjusted 2033]]/$L350,0)</f>
        <v>50</v>
      </c>
      <c r="BK350" s="77">
        <f>ROUNDUP(tbl_Data[[#This Row],[Adjusted 2034]]/$L350,0)</f>
        <v>51</v>
      </c>
      <c r="BL350" s="80">
        <f t="shared" si="155"/>
        <v>131.38395789336931</v>
      </c>
      <c r="BM350" s="80">
        <f t="shared" si="156"/>
        <v>178.68678276669618</v>
      </c>
      <c r="BN350" s="80">
        <f t="shared" si="157"/>
        <v>230.84415441016463</v>
      </c>
      <c r="BO350" s="80">
        <f t="shared" si="158"/>
        <v>285.01026190072548</v>
      </c>
      <c r="BP350" s="80">
        <f t="shared" si="159"/>
        <v>336.46683230859662</v>
      </c>
      <c r="BQ350" s="80">
        <f t="shared" si="160"/>
        <v>381.52228769846886</v>
      </c>
      <c r="BR350" s="80">
        <f t="shared" si="161"/>
        <v>417.58172255714345</v>
      </c>
      <c r="BS350" s="80">
        <f t="shared" si="162"/>
        <v>445.394483536613</v>
      </c>
      <c r="BT350" s="80">
        <f t="shared" si="163"/>
        <v>467.23375565808163</v>
      </c>
      <c r="BU350" s="80">
        <f t="shared" si="164"/>
        <v>483.52476953697692</v>
      </c>
      <c r="BV350" s="80">
        <f>IFERROR(VLOOKUP($H350,'1. Set Program Names'!$B$2:$D$15,3,0)*V350,"NA")</f>
        <v>105.51399100534893</v>
      </c>
      <c r="BW350" s="80">
        <f>IFERROR(VLOOKUP($H350,'1. Set Program Names'!$B$2:$D$15,3,0)*W350,"NA")</f>
        <v>143.50272203644306</v>
      </c>
      <c r="BX350" s="80">
        <f>IFERROR(VLOOKUP($H350,'1. Set Program Names'!$B$2:$D$15,3,0)*X350,"NA")</f>
        <v>185.39012237582131</v>
      </c>
      <c r="BY350" s="80">
        <f>IFERROR(VLOOKUP($H350,'1. Set Program Names'!$B$2:$D$15,3,0)*Y350,"NA")</f>
        <v>228.89073135574182</v>
      </c>
      <c r="BZ350" s="80">
        <f>IFERROR(VLOOKUP($H350,'1. Set Program Names'!$B$2:$D$15,3,0)*Z350,"NA")</f>
        <v>270.2153207062064</v>
      </c>
      <c r="CA350" s="80">
        <f>IFERROR(VLOOKUP($H350,'1. Set Program Names'!$B$2:$D$15,3,0)*AA350,"NA")</f>
        <v>306.39919726902997</v>
      </c>
      <c r="CB350" s="80">
        <f>IFERROR(VLOOKUP($H350,'1. Set Program Names'!$B$2:$D$15,3,0)*AB350,"NA")</f>
        <v>335.35840162200049</v>
      </c>
      <c r="CC350" s="80">
        <f>IFERROR(VLOOKUP($H350,'1. Set Program Names'!$B$2:$D$15,3,0)*AC350,"NA")</f>
        <v>357.69473140591066</v>
      </c>
      <c r="CD350" s="80">
        <f>IFERROR(VLOOKUP($H350,'1. Set Program Names'!$B$2:$D$15,3,0)*AD350,"NA")</f>
        <v>375.23377345591655</v>
      </c>
      <c r="CE350" s="80">
        <f>IFERROR(VLOOKUP($H350,'1. Set Program Names'!$B$2:$D$15,3,0)*AE350,"NA")</f>
        <v>388.31702897239938</v>
      </c>
    </row>
    <row r="351" spans="1:83" x14ac:dyDescent="0.25">
      <c r="A351" s="79" t="s">
        <v>113</v>
      </c>
      <c r="B351" s="79" t="s">
        <v>88</v>
      </c>
      <c r="C351" s="79" t="s">
        <v>122</v>
      </c>
      <c r="D351" s="79" t="s">
        <v>90</v>
      </c>
      <c r="E351" s="79" t="s">
        <v>91</v>
      </c>
      <c r="F351" s="79" t="s">
        <v>90</v>
      </c>
      <c r="G351" s="79" t="s">
        <v>92</v>
      </c>
      <c r="H351" s="79" t="s">
        <v>16</v>
      </c>
      <c r="I351" s="79" t="s">
        <v>157</v>
      </c>
      <c r="J351" s="79" t="s">
        <v>158</v>
      </c>
      <c r="K351" s="79" t="s">
        <v>159</v>
      </c>
      <c r="L351" s="79">
        <v>562.52000000000032</v>
      </c>
      <c r="M351" s="79">
        <v>0</v>
      </c>
      <c r="N351" s="79">
        <v>2.7796637938074218E-2</v>
      </c>
      <c r="O351" s="79">
        <v>169</v>
      </c>
      <c r="P351" s="79">
        <v>53.285725702774094</v>
      </c>
      <c r="Q351" s="79"/>
      <c r="R351" s="79">
        <v>275.37363005821356</v>
      </c>
      <c r="S351" s="79">
        <v>610.96426176974103</v>
      </c>
      <c r="T351" s="79">
        <v>15</v>
      </c>
      <c r="U351" s="79">
        <v>0.59999999999999898</v>
      </c>
      <c r="V351" s="79">
        <f>tbl_Data_old[[#This Row],[2025 ]]*IFERROR(AVERAGEIFS('Participation Adjustment'!$C:$C,'Participation Adjustment'!$A:$A,$H351,'Participation Adjustment'!$B:$B,$I351),1)</f>
        <v>2258.1648277305198</v>
      </c>
      <c r="W351" s="79">
        <f>tbl_Data_old[[#This Row],[2026 ]]*IFERROR(AVERAGEIFS('Participation Adjustment'!$C:$C,'Participation Adjustment'!$A:$A,$H351,'Participation Adjustment'!$B:$B,$I351),1)</f>
        <v>4717.7797228397203</v>
      </c>
      <c r="X351" s="79">
        <f>tbl_Data_old[[#This Row],[2027 ]]*IFERROR(AVERAGEIFS('Participation Adjustment'!$C:$C,'Participation Adjustment'!$A:$A,$H351,'Participation Adjustment'!$B:$B,$I351),1)</f>
        <v>7336.4734752802806</v>
      </c>
      <c r="Y351" s="79">
        <f>tbl_Data_old[[#This Row],[2028 ]]*IFERROR(AVERAGEIFS('Participation Adjustment'!$C:$C,'Participation Adjustment'!$A:$A,$H351,'Participation Adjustment'!$B:$B,$I351),1)</f>
        <v>10088.368938119</v>
      </c>
      <c r="Z351" s="79">
        <f>tbl_Data_old[[#This Row],[2029 ]]*IFERROR(AVERAGEIFS('Participation Adjustment'!$C:$C,'Participation Adjustment'!$A:$A,$H351,'Participation Adjustment'!$B:$B,$I351),1)</f>
        <v>12948.188769706701</v>
      </c>
      <c r="AA351" s="79">
        <f>tbl_Data_old[[#This Row],[2030 ]]*IFERROR(AVERAGEIFS('Participation Adjustment'!$C:$C,'Participation Adjustment'!$A:$A,$H351,'Participation Adjustment'!$B:$B,$I351),1)</f>
        <v>15890.9276357828</v>
      </c>
      <c r="AB351" s="79">
        <f>tbl_Data_old[[#This Row],[2031 ]]*IFERROR(AVERAGEIFS('Participation Adjustment'!$C:$C,'Participation Adjustment'!$A:$A,$H351,'Participation Adjustment'!$B:$B,$I351),1)</f>
        <v>18895.3300874245</v>
      </c>
      <c r="AC351" s="79">
        <f>tbl_Data_old[[#This Row],[2032 ]]*IFERROR(AVERAGEIFS('Participation Adjustment'!$C:$C,'Participation Adjustment'!$A:$A,$H351,'Participation Adjustment'!$B:$B,$I351),1)</f>
        <v>21949.127714129798</v>
      </c>
      <c r="AD351" s="79">
        <f>tbl_Data_old[[#This Row],[2033 ]]*IFERROR(AVERAGEIFS('Participation Adjustment'!$C:$C,'Participation Adjustment'!$A:$A,$H351,'Participation Adjustment'!$B:$B,$I351),1)</f>
        <v>25043.8747804913</v>
      </c>
      <c r="AE351" s="79">
        <f>tbl_Data_old[[#This Row],[2034 ]]*IFERROR(AVERAGEIFS('Participation Adjustment'!$C:$C,'Participation Adjustment'!$A:$A,$H351,'Participation Adjustment'!$B:$B,$I351),1)</f>
        <v>28168.574085781904</v>
      </c>
      <c r="AF351" s="77" t="str">
        <f t="shared" si="154"/>
        <v>NonResidential</v>
      </c>
      <c r="AG351" s="77" t="str">
        <f>tbl_Data[[#This Row],[All_Meas_Name_Append]]</f>
        <v>LED Exterior Wall Packs</v>
      </c>
      <c r="AH351" s="77">
        <f>AVERAGEIFS('3. Incentive Adjustment'!G:G,'3. Incentive Adjustment'!A:A,tbl_Data[[#This Row],[Trimmed Sector]],'3. Incentive Adjustment'!B:B,tbl_Data[[#This Row],[Trimmed Measure Name]])</f>
        <v>0.80637708305213962</v>
      </c>
      <c r="AI351" s="77">
        <f>$AH351*tbl_Data[[#This Row],[2025 ]]</f>
        <v>1820.932366836274</v>
      </c>
      <c r="AJ351" s="77">
        <f>$AH351*tbl_Data[[#This Row],[2026 ]]</f>
        <v>3804.3094513860256</v>
      </c>
      <c r="AK351" s="77">
        <f>$AH351*tbl_Data[[#This Row],[2027 ]]</f>
        <v>5915.9640808859058</v>
      </c>
      <c r="AL351" s="77">
        <f>$AH351*tbl_Data[[#This Row],[2028 ]]</f>
        <v>8135.0295170742102</v>
      </c>
      <c r="AM351" s="77">
        <f>$AH351*tbl_Data[[#This Row],[2029 ]]</f>
        <v>10441.122690924562</v>
      </c>
      <c r="AN351" s="77">
        <f>$AH351*tbl_Data[[#This Row],[2030 ]]</f>
        <v>12814.079873935169</v>
      </c>
      <c r="AO351" s="77">
        <f>$AH351*tbl_Data[[#This Row],[2031 ]]</f>
        <v>15236.761159204698</v>
      </c>
      <c r="AP351" s="77">
        <f>$AH351*tbl_Data[[#This Row],[2032 ]]</f>
        <v>17699.273581658865</v>
      </c>
      <c r="AQ351" s="77">
        <f>$AH351*tbl_Data[[#This Row],[2033 ]]</f>
        <v>20194.806693815619</v>
      </c>
      <c r="AR351" s="77">
        <f>$AH351*tbl_Data[[#This Row],[2034 ]]</f>
        <v>22714.4926050309</v>
      </c>
      <c r="AS351" s="77">
        <f>SUM(tbl_Data[[#This Row],[Adjusted 2025]:[Adjusted 2034]])</f>
        <v>118776.77202075224</v>
      </c>
      <c r="AT351" s="80">
        <f>AVERAGEIFS('3. Incentive Adjustment'!F:F,'3. Incentive Adjustment'!A:A,tbl_Data[[#This Row],[Trimmed Sector]],'3. Incentive Adjustment'!B:B,tbl_Data[[#This Row],[Trimmed Measure Name]])</f>
        <v>8.6864493556481861</v>
      </c>
      <c r="AU351" s="80">
        <f>IFERROR(VLOOKUP(tbl_Data[[#This Row],[All_Meas_Name_Append]],'IRA Tax Credits'!$A$3:$D$46,4,0),0)</f>
        <v>0</v>
      </c>
      <c r="AV351" s="81">
        <f>tbl_Data[[#This Row],[Adj. per unit Incentive ($)]]/tbl_Data[[#This Row],[kWh Savings]]*tbl_Data[[#This Row],[Sum of Annuals]]</f>
        <v>1834.1541896921606</v>
      </c>
      <c r="AW351" s="81">
        <f>IFERROR(VLOOKUP(tbl_Data[[#This Row],[Column1]],'1. Set Program Names'!$B$2:$D$15,3,0)*tbl_Data[[#This Row],[Sum of Annuals]],"")</f>
        <v>4326.7441003792073</v>
      </c>
      <c r="AX351" s="81">
        <f>tbl_Data[[#This Row],[per unit IRA tax ($)]]/tbl_Data[[#This Row],[kWh Savings]]*tbl_Data[[#This Row],[Sum of Annuals]]</f>
        <v>0</v>
      </c>
      <c r="AY351" s="81">
        <f>tbl_Data[[#This Row],[Avoided Costs ($/unit)]]/tbl_Data[[#This Row],[kWh Savings]]*tbl_Data[[#This Row],[Sum of Annuals]]</f>
        <v>58145.471944022225</v>
      </c>
      <c r="AZ351" s="81">
        <f>tbl_Data[[#This Row],[Lost Revenue ($/unit)]]/tbl_Data[[#This Row],[kWh Savings]]*tbl_Data[[#This Row],[Sum of Annuals]]</f>
        <v>129005.83594014734</v>
      </c>
      <c r="BA351" s="81">
        <f>tbl_Data[[#This Row],[Incremental Cost ($/unit)]]/tbl_Data[[#This Row],[kWh Savings]]*tbl_Data[[#This Row],[Sum of Annuals]]</f>
        <v>35684.552498590478</v>
      </c>
      <c r="BB351" s="77">
        <f>ROUNDUP(tbl_Data[[#This Row],[Adjusted 2025]]/$L351,0)</f>
        <v>4</v>
      </c>
      <c r="BC351" s="77">
        <f>ROUNDUP(tbl_Data[[#This Row],[Adjusted 2026]]/$L351,0)</f>
        <v>7</v>
      </c>
      <c r="BD351" s="77">
        <f>ROUNDUP(tbl_Data[[#This Row],[Adjusted 2027]]/$L351,0)</f>
        <v>11</v>
      </c>
      <c r="BE351" s="77">
        <f>ROUNDUP(tbl_Data[[#This Row],[Adjusted 2028]]/$L351,0)</f>
        <v>15</v>
      </c>
      <c r="BF351" s="77">
        <f>ROUNDUP(tbl_Data[[#This Row],[Adjusted 2029]]/$L351,0)</f>
        <v>19</v>
      </c>
      <c r="BG351" s="77">
        <f>ROUNDUP(tbl_Data[[#This Row],[Adjusted 2030]]/$L351,0)</f>
        <v>23</v>
      </c>
      <c r="BH351" s="77">
        <f>ROUNDUP(tbl_Data[[#This Row],[Adjusted 2031]]/$L351,0)</f>
        <v>28</v>
      </c>
      <c r="BI351" s="77">
        <f>ROUNDUP(tbl_Data[[#This Row],[Adjusted 2032]]/$L351,0)</f>
        <v>32</v>
      </c>
      <c r="BJ351" s="77">
        <f>ROUNDUP(tbl_Data[[#This Row],[Adjusted 2033]]/$L351,0)</f>
        <v>36</v>
      </c>
      <c r="BK351" s="77">
        <f>ROUNDUP(tbl_Data[[#This Row],[Adjusted 2034]]/$L351,0)</f>
        <v>41</v>
      </c>
      <c r="BL351" s="80">
        <f t="shared" si="155"/>
        <v>34.870643555406318</v>
      </c>
      <c r="BM351" s="80">
        <f t="shared" si="156"/>
        <v>72.852084607749305</v>
      </c>
      <c r="BN351" s="80">
        <f t="shared" si="157"/>
        <v>113.29002576277887</v>
      </c>
      <c r="BO351" s="80">
        <f t="shared" si="158"/>
        <v>155.7848714037988</v>
      </c>
      <c r="BP351" s="80">
        <f t="shared" si="159"/>
        <v>199.94628812385301</v>
      </c>
      <c r="BQ351" s="80">
        <f t="shared" si="160"/>
        <v>245.38814286158248</v>
      </c>
      <c r="BR351" s="80">
        <f t="shared" si="161"/>
        <v>291.78220838844527</v>
      </c>
      <c r="BS351" s="80">
        <f t="shared" si="162"/>
        <v>338.93903557107734</v>
      </c>
      <c r="BT351" s="80">
        <f t="shared" si="163"/>
        <v>386.72820513036407</v>
      </c>
      <c r="BU351" s="80">
        <f t="shared" si="164"/>
        <v>434.97989798934839</v>
      </c>
      <c r="BV351" s="80">
        <f>IFERROR(VLOOKUP($H351,'1. Set Program Names'!$B$2:$D$15,3,0)*V351,"NA")</f>
        <v>82.259360814754174</v>
      </c>
      <c r="BW351" s="80">
        <f>IFERROR(VLOOKUP($H351,'1. Set Program Names'!$B$2:$D$15,3,0)*W351,"NA")</f>
        <v>171.85704945003047</v>
      </c>
      <c r="BX351" s="80">
        <f>IFERROR(VLOOKUP($H351,'1. Set Program Names'!$B$2:$D$15,3,0)*X351,"NA")</f>
        <v>267.24958749688426</v>
      </c>
      <c r="BY351" s="80">
        <f>IFERROR(VLOOKUP($H351,'1. Set Program Names'!$B$2:$D$15,3,0)*Y351,"NA")</f>
        <v>367.49433448005226</v>
      </c>
      <c r="BZ351" s="80">
        <f>IFERROR(VLOOKUP($H351,'1. Set Program Names'!$B$2:$D$15,3,0)*Z351,"NA")</f>
        <v>471.67049934760445</v>
      </c>
      <c r="CA351" s="80">
        <f>IFERROR(VLOOKUP($H351,'1. Set Program Names'!$B$2:$D$15,3,0)*AA351,"NA")</f>
        <v>578.86719960417304</v>
      </c>
      <c r="CB351" s="80">
        <f>IFERROR(VLOOKUP($H351,'1. Set Program Names'!$B$2:$D$15,3,0)*AB351,"NA")</f>
        <v>688.31015180474606</v>
      </c>
      <c r="CC351" s="80">
        <f>IFERROR(VLOOKUP($H351,'1. Set Program Names'!$B$2:$D$15,3,0)*AC351,"NA")</f>
        <v>799.55244809135206</v>
      </c>
      <c r="CD351" s="80">
        <f>IFERROR(VLOOKUP($H351,'1. Set Program Names'!$B$2:$D$15,3,0)*AD351,"NA")</f>
        <v>912.28643120722597</v>
      </c>
      <c r="CE351" s="80">
        <f>IFERROR(VLOOKUP($H351,'1. Set Program Names'!$B$2:$D$15,3,0)*AE351,"NA")</f>
        <v>1026.1115003231218</v>
      </c>
    </row>
    <row r="352" spans="1:83" x14ac:dyDescent="0.25">
      <c r="A352" s="79" t="s">
        <v>113</v>
      </c>
      <c r="B352" s="79" t="s">
        <v>88</v>
      </c>
      <c r="C352" s="79" t="s">
        <v>122</v>
      </c>
      <c r="D352" s="79" t="s">
        <v>90</v>
      </c>
      <c r="E352" s="79" t="s">
        <v>91</v>
      </c>
      <c r="F352" s="79" t="s">
        <v>90</v>
      </c>
      <c r="G352" s="79" t="s">
        <v>92</v>
      </c>
      <c r="H352" s="79" t="s">
        <v>16</v>
      </c>
      <c r="I352" s="79" t="s">
        <v>160</v>
      </c>
      <c r="J352" s="79" t="s">
        <v>161</v>
      </c>
      <c r="K352" s="79" t="s">
        <v>159</v>
      </c>
      <c r="L352" s="79">
        <v>1059.6621428571407</v>
      </c>
      <c r="M352" s="79">
        <v>0.13879011985330975</v>
      </c>
      <c r="N352" s="79">
        <v>0.14661252282673942</v>
      </c>
      <c r="O352" s="79">
        <v>179</v>
      </c>
      <c r="P352" s="79">
        <v>5.0437849584490522</v>
      </c>
      <c r="Q352" s="79"/>
      <c r="R352" s="79">
        <v>417.01467834907817</v>
      </c>
      <c r="S352" s="79">
        <v>1150.9203207638036</v>
      </c>
      <c r="T352" s="79">
        <v>15</v>
      </c>
      <c r="U352" s="79">
        <v>0.59999999999999898</v>
      </c>
      <c r="V352" s="79">
        <f>tbl_Data_old[[#This Row],[2025 ]]*IFERROR(AVERAGEIFS('Participation Adjustment'!$C:$C,'Participation Adjustment'!$A:$A,$H352,'Participation Adjustment'!$B:$B,$I352),1)</f>
        <v>150297.99707065048</v>
      </c>
      <c r="W352" s="79">
        <f>tbl_Data_old[[#This Row],[2026 ]]*IFERROR(AVERAGEIFS('Participation Adjustment'!$C:$C,'Participation Adjustment'!$A:$A,$H352,'Participation Adjustment'!$B:$B,$I352),1)</f>
        <v>313890.37182518101</v>
      </c>
      <c r="X352" s="79">
        <f>tbl_Data_old[[#This Row],[2027 ]]*IFERROR(AVERAGEIFS('Participation Adjustment'!$C:$C,'Participation Adjustment'!$A:$A,$H352,'Participation Adjustment'!$B:$B,$I352),1)</f>
        <v>488030.79761223897</v>
      </c>
      <c r="Y352" s="79">
        <f>tbl_Data_old[[#This Row],[2028 ]]*IFERROR(AVERAGEIFS('Participation Adjustment'!$C:$C,'Participation Adjustment'!$A:$A,$H352,'Participation Adjustment'!$B:$B,$I352),1)</f>
        <v>671008.78550259152</v>
      </c>
      <c r="Z352" s="79">
        <f>tbl_Data_old[[#This Row],[2029 ]]*IFERROR(AVERAGEIFS('Participation Adjustment'!$C:$C,'Participation Adjustment'!$A:$A,$H352,'Participation Adjustment'!$B:$B,$I352),1)</f>
        <v>861121.74821530352</v>
      </c>
      <c r="AA352" s="79">
        <f>tbl_Data_old[[#This Row],[2030 ]]*IFERROR(AVERAGEIFS('Participation Adjustment'!$C:$C,'Participation Adjustment'!$A:$A,$H352,'Participation Adjustment'!$B:$B,$I352),1)</f>
        <v>1056719.4714770431</v>
      </c>
      <c r="AB352" s="79">
        <f>tbl_Data_old[[#This Row],[2031 ]]*IFERROR(AVERAGEIFS('Participation Adjustment'!$C:$C,'Participation Adjustment'!$A:$A,$H352,'Participation Adjustment'!$B:$B,$I352),1)</f>
        <v>1256367.3518176186</v>
      </c>
      <c r="AC352" s="79">
        <f>tbl_Data_old[[#This Row],[2032 ]]*IFERROR(AVERAGEIFS('Participation Adjustment'!$C:$C,'Participation Adjustment'!$A:$A,$H352,'Participation Adjustment'!$B:$B,$I352),1)</f>
        <v>1459235.4388278977</v>
      </c>
      <c r="AD352" s="79">
        <f>tbl_Data_old[[#This Row],[2033 ]]*IFERROR(AVERAGEIFS('Participation Adjustment'!$C:$C,'Participation Adjustment'!$A:$A,$H352,'Participation Adjustment'!$B:$B,$I352),1)</f>
        <v>1664792.5578441599</v>
      </c>
      <c r="AE352" s="79">
        <f>tbl_Data_old[[#This Row],[2034 ]]*IFERROR(AVERAGEIFS('Participation Adjustment'!$C:$C,'Participation Adjustment'!$A:$A,$H352,'Participation Adjustment'!$B:$B,$I352),1)</f>
        <v>1872292.05852717</v>
      </c>
      <c r="AF352" s="77" t="str">
        <f t="shared" si="154"/>
        <v>NonResidential</v>
      </c>
      <c r="AG352" s="77" t="str">
        <f>tbl_Data[[#This Row],[All_Meas_Name_Append]]</f>
        <v>LED High Bay_HID Baseline</v>
      </c>
      <c r="AH352" s="77">
        <f>AVERAGEIFS('3. Incentive Adjustment'!G:G,'3. Incentive Adjustment'!A:A,tbl_Data[[#This Row],[Trimmed Sector]],'3. Incentive Adjustment'!B:B,tbl_Data[[#This Row],[Trimmed Measure Name]])</f>
        <v>1.0603846876879557</v>
      </c>
      <c r="AI352" s="77">
        <f>$AH352*tbl_Data[[#This Row],[2025 ]]</f>
        <v>159373.69468388698</v>
      </c>
      <c r="AJ352" s="77">
        <f>$AH352*tbl_Data[[#This Row],[2026 ]]</f>
        <v>332844.54389610083</v>
      </c>
      <c r="AK352" s="77">
        <f>$AH352*tbl_Data[[#This Row],[2027 ]]</f>
        <v>517500.38490815792</v>
      </c>
      <c r="AL352" s="77">
        <f>$AH352*tbl_Data[[#This Row],[2028 ]]</f>
        <v>711527.44145103998</v>
      </c>
      <c r="AM352" s="77">
        <f>$AH352*tbl_Data[[#This Row],[2029 ]]</f>
        <v>913120.316042591</v>
      </c>
      <c r="AN352" s="77">
        <f>$AH352*tbl_Data[[#This Row],[2030 ]]</f>
        <v>1120529.146735966</v>
      </c>
      <c r="AO352" s="77">
        <f>$AH352*tbl_Data[[#This Row],[2031 ]]</f>
        <v>1332232.7019784695</v>
      </c>
      <c r="AP352" s="77">
        <f>$AH352*tbl_Data[[#This Row],[2032 ]]</f>
        <v>1547350.9150647172</v>
      </c>
      <c r="AQ352" s="77">
        <f>$AH352*tbl_Data[[#This Row],[2033 ]]</f>
        <v>1765320.5365148124</v>
      </c>
      <c r="AR352" s="77">
        <f>$AH352*tbl_Data[[#This Row],[2034 ]]</f>
        <v>1985349.8297419727</v>
      </c>
      <c r="AS352" s="77">
        <f>SUM(tbl_Data[[#This Row],[Adjusted 2025]:[Adjusted 2034]])</f>
        <v>10385149.511017716</v>
      </c>
      <c r="AT352" s="80">
        <f>AVERAGEIFS('3. Incentive Adjustment'!F:F,'3. Incentive Adjustment'!A:A,tbl_Data[[#This Row],[Trimmed Sector]],'3. Incentive Adjustment'!B:B,tbl_Data[[#This Row],[Trimmed Measure Name]])</f>
        <v>28.590998621954778</v>
      </c>
      <c r="AU352" s="80">
        <f>IFERROR(VLOOKUP(tbl_Data[[#This Row],[All_Meas_Name_Append]],'IRA Tax Credits'!$A$3:$D$46,4,0),0)</f>
        <v>0</v>
      </c>
      <c r="AV352" s="81">
        <f>tbl_Data[[#This Row],[Adj. per unit Incentive ($)]]/tbl_Data[[#This Row],[kWh Savings]]*tbl_Data[[#This Row],[Sum of Annuals]]</f>
        <v>280204.21165346063</v>
      </c>
      <c r="AW352" s="81">
        <f>IFERROR(VLOOKUP(tbl_Data[[#This Row],[Column1]],'1. Set Program Names'!$B$2:$D$15,3,0)*tbl_Data[[#This Row],[Sum of Annuals]],"")</f>
        <v>378305.31688890513</v>
      </c>
      <c r="AX352" s="81">
        <f>tbl_Data[[#This Row],[per unit IRA tax ($)]]/tbl_Data[[#This Row],[kWh Savings]]*tbl_Data[[#This Row],[Sum of Annuals]]</f>
        <v>0</v>
      </c>
      <c r="AY352" s="81">
        <f>tbl_Data[[#This Row],[Avoided Costs ($/unit)]]/tbl_Data[[#This Row],[kWh Savings]]*tbl_Data[[#This Row],[Sum of Annuals]]</f>
        <v>4086925.0752576846</v>
      </c>
      <c r="AZ352" s="81">
        <f>tbl_Data[[#This Row],[Lost Revenue ($/unit)]]/tbl_Data[[#This Row],[kWh Savings]]*tbl_Data[[#This Row],[Sum of Annuals]]</f>
        <v>11279519.313744089</v>
      </c>
      <c r="BA352" s="81">
        <f>tbl_Data[[#This Row],[Incremental Cost ($/unit)]]/tbl_Data[[#This Row],[kWh Savings]]*tbl_Data[[#This Row],[Sum of Annuals]]</f>
        <v>1754277.7903341462</v>
      </c>
      <c r="BB352" s="77">
        <f>ROUNDUP(tbl_Data[[#This Row],[Adjusted 2025]]/$L352,0)</f>
        <v>151</v>
      </c>
      <c r="BC352" s="77">
        <f>ROUNDUP(tbl_Data[[#This Row],[Adjusted 2026]]/$L352,0)</f>
        <v>315</v>
      </c>
      <c r="BD352" s="77">
        <f>ROUNDUP(tbl_Data[[#This Row],[Adjusted 2027]]/$L352,0)</f>
        <v>489</v>
      </c>
      <c r="BE352" s="77">
        <f>ROUNDUP(tbl_Data[[#This Row],[Adjusted 2028]]/$L352,0)</f>
        <v>672</v>
      </c>
      <c r="BF352" s="77">
        <f>ROUNDUP(tbl_Data[[#This Row],[Adjusted 2029]]/$L352,0)</f>
        <v>862</v>
      </c>
      <c r="BG352" s="77">
        <f>ROUNDUP(tbl_Data[[#This Row],[Adjusted 2030]]/$L352,0)</f>
        <v>1058</v>
      </c>
      <c r="BH352" s="77">
        <f>ROUNDUP(tbl_Data[[#This Row],[Adjusted 2031]]/$L352,0)</f>
        <v>1258</v>
      </c>
      <c r="BI352" s="77">
        <f>ROUNDUP(tbl_Data[[#This Row],[Adjusted 2032]]/$L352,0)</f>
        <v>1461</v>
      </c>
      <c r="BJ352" s="77">
        <f>ROUNDUP(tbl_Data[[#This Row],[Adjusted 2033]]/$L352,0)</f>
        <v>1666</v>
      </c>
      <c r="BK352" s="77">
        <f>ROUNDUP(tbl_Data[[#This Row],[Adjusted 2034]]/$L352,0)</f>
        <v>1874</v>
      </c>
      <c r="BL352" s="80">
        <f t="shared" si="155"/>
        <v>4055.2263342570486</v>
      </c>
      <c r="BM352" s="80">
        <f t="shared" si="156"/>
        <v>8469.1514637873788</v>
      </c>
      <c r="BN352" s="80">
        <f t="shared" si="157"/>
        <v>13167.67609002348</v>
      </c>
      <c r="BO352" s="80">
        <f t="shared" si="158"/>
        <v>18104.64910060542</v>
      </c>
      <c r="BP352" s="80">
        <f t="shared" si="159"/>
        <v>23234.132579442583</v>
      </c>
      <c r="BQ352" s="80">
        <f t="shared" si="160"/>
        <v>28511.601699133334</v>
      </c>
      <c r="BR352" s="80">
        <f t="shared" si="161"/>
        <v>33898.349079107567</v>
      </c>
      <c r="BS352" s="80">
        <f t="shared" si="162"/>
        <v>39371.981628167552</v>
      </c>
      <c r="BT352" s="80">
        <f t="shared" si="163"/>
        <v>44918.167595216175</v>
      </c>
      <c r="BU352" s="80">
        <f t="shared" si="164"/>
        <v>50516.761428235703</v>
      </c>
      <c r="BV352" s="80">
        <f>IFERROR(VLOOKUP($H352,'1. Set Program Names'!$B$2:$D$15,3,0)*V352,"NA")</f>
        <v>5474.9843850835605</v>
      </c>
      <c r="BW352" s="80">
        <f>IFERROR(VLOOKUP($H352,'1. Set Program Names'!$B$2:$D$15,3,0)*W352,"NA")</f>
        <v>11434.250075622122</v>
      </c>
      <c r="BX352" s="80">
        <f>IFERROR(VLOOKUP($H352,'1. Set Program Names'!$B$2:$D$15,3,0)*X352,"NA")</f>
        <v>17777.755182664721</v>
      </c>
      <c r="BY352" s="80">
        <f>IFERROR(VLOOKUP($H352,'1. Set Program Names'!$B$2:$D$15,3,0)*Y352,"NA")</f>
        <v>24443.190824117566</v>
      </c>
      <c r="BZ352" s="80">
        <f>IFERROR(VLOOKUP($H352,'1. Set Program Names'!$B$2:$D$15,3,0)*Z352,"NA")</f>
        <v>31368.535955395611</v>
      </c>
      <c r="CA352" s="80">
        <f>IFERROR(VLOOKUP($H352,'1. Set Program Names'!$B$2:$D$15,3,0)*AA352,"NA")</f>
        <v>38493.677351075858</v>
      </c>
      <c r="CB352" s="80">
        <f>IFERROR(VLOOKUP($H352,'1. Set Program Names'!$B$2:$D$15,3,0)*AB352,"NA")</f>
        <v>45766.355954143757</v>
      </c>
      <c r="CC352" s="80">
        <f>IFERROR(VLOOKUP($H352,'1. Set Program Names'!$B$2:$D$15,3,0)*AC352,"NA")</f>
        <v>53156.338723448025</v>
      </c>
      <c r="CD352" s="80">
        <f>IFERROR(VLOOKUP($H352,'1. Set Program Names'!$B$2:$D$15,3,0)*AD352,"NA")</f>
        <v>60644.276279447338</v>
      </c>
      <c r="CE352" s="80">
        <f>IFERROR(VLOOKUP($H352,'1. Set Program Names'!$B$2:$D$15,3,0)*AE352,"NA")</f>
        <v>68202.969996557164</v>
      </c>
    </row>
    <row r="353" spans="1:83" x14ac:dyDescent="0.25">
      <c r="A353" s="79" t="s">
        <v>113</v>
      </c>
      <c r="B353" s="79" t="s">
        <v>88</v>
      </c>
      <c r="C353" s="79" t="s">
        <v>122</v>
      </c>
      <c r="D353" s="79" t="s">
        <v>90</v>
      </c>
      <c r="E353" s="79" t="s">
        <v>91</v>
      </c>
      <c r="F353" s="79" t="s">
        <v>90</v>
      </c>
      <c r="G353" s="79" t="s">
        <v>92</v>
      </c>
      <c r="H353" s="79" t="s">
        <v>16</v>
      </c>
      <c r="I353" s="79" t="s">
        <v>162</v>
      </c>
      <c r="J353" s="79" t="s">
        <v>161</v>
      </c>
      <c r="K353" s="79" t="s">
        <v>159</v>
      </c>
      <c r="L353" s="79">
        <v>632.51142857142861</v>
      </c>
      <c r="M353" s="79">
        <v>7.5636667797052567E-2</v>
      </c>
      <c r="N353" s="79">
        <v>7.2066360150851286E-2</v>
      </c>
      <c r="O353" s="79">
        <v>179</v>
      </c>
      <c r="P353" s="79">
        <v>51.895440493260928</v>
      </c>
      <c r="Q353" s="79"/>
      <c r="R353" s="79">
        <v>248.91572427603518</v>
      </c>
      <c r="S353" s="79">
        <v>686.98335706831222</v>
      </c>
      <c r="T353" s="79">
        <v>15</v>
      </c>
      <c r="U353" s="79">
        <v>0.59999999999999898</v>
      </c>
      <c r="V353" s="79">
        <f>tbl_Data_old[[#This Row],[2025 ]]*IFERROR(AVERAGEIFS('Participation Adjustment'!$C:$C,'Participation Adjustment'!$A:$A,$H353,'Participation Adjustment'!$B:$B,$I353),1)</f>
        <v>439077.40977430798</v>
      </c>
      <c r="W353" s="79">
        <f>tbl_Data_old[[#This Row],[2026 ]]*IFERROR(AVERAGEIFS('Participation Adjustment'!$C:$C,'Participation Adjustment'!$A:$A,$H353,'Participation Adjustment'!$B:$B,$I353),1)</f>
        <v>916992.73510150646</v>
      </c>
      <c r="X353" s="79">
        <f>tbl_Data_old[[#This Row],[2027 ]]*IFERROR(AVERAGEIFS('Participation Adjustment'!$C:$C,'Participation Adjustment'!$A:$A,$H353,'Participation Adjustment'!$B:$B,$I353),1)</f>
        <v>1425722.915022894</v>
      </c>
      <c r="Y353" s="79">
        <f>tbl_Data_old[[#This Row],[2028 ]]*IFERROR(AVERAGEIFS('Participation Adjustment'!$C:$C,'Participation Adjustment'!$A:$A,$H353,'Participation Adjustment'!$B:$B,$I353),1)</f>
        <v>1960270.9631305649</v>
      </c>
      <c r="Z353" s="79">
        <f>tbl_Data_old[[#This Row],[2029 ]]*IFERROR(AVERAGEIFS('Participation Adjustment'!$C:$C,'Participation Adjustment'!$A:$A,$H353,'Participation Adjustment'!$B:$B,$I353),1)</f>
        <v>2515662.976725915</v>
      </c>
      <c r="AA353" s="79">
        <f>tbl_Data_old[[#This Row],[2030 ]]*IFERROR(AVERAGEIFS('Participation Adjustment'!$C:$C,'Participation Adjustment'!$A:$A,$H353,'Participation Adjustment'!$B:$B,$I353),1)</f>
        <v>3087078.054513975</v>
      </c>
      <c r="AB353" s="79">
        <f>tbl_Data_old[[#This Row],[2031 ]]*IFERROR(AVERAGEIFS('Participation Adjustment'!$C:$C,'Participation Adjustment'!$A:$A,$H353,'Participation Adjustment'!$B:$B,$I353),1)</f>
        <v>3670325.1760685248</v>
      </c>
      <c r="AC353" s="79">
        <f>tbl_Data_old[[#This Row],[2032 ]]*IFERROR(AVERAGEIFS('Participation Adjustment'!$C:$C,'Participation Adjustment'!$A:$A,$H353,'Participation Adjustment'!$B:$B,$I353),1)</f>
        <v>4262979.7417076845</v>
      </c>
      <c r="AD353" s="79">
        <f>tbl_Data_old[[#This Row],[2033 ]]*IFERROR(AVERAGEIFS('Participation Adjustment'!$C:$C,'Participation Adjustment'!$A:$A,$H353,'Participation Adjustment'!$B:$B,$I353),1)</f>
        <v>4863489.9889327502</v>
      </c>
      <c r="AE353" s="79">
        <f>tbl_Data_old[[#This Row],[2034 ]]*IFERROR(AVERAGEIFS('Participation Adjustment'!$C:$C,'Participation Adjustment'!$A:$A,$H353,'Participation Adjustment'!$B:$B,$I353),1)</f>
        <v>5469674.6691353554</v>
      </c>
      <c r="AF353" s="77" t="str">
        <f t="shared" si="154"/>
        <v>NonResidential</v>
      </c>
      <c r="AG353" s="77" t="str">
        <f>tbl_Data[[#This Row],[All_Meas_Name_Append]]</f>
        <v>LED High Bay_LF Baseline</v>
      </c>
      <c r="AH353" s="77">
        <f>AVERAGEIFS('3. Incentive Adjustment'!G:G,'3. Incentive Adjustment'!A:A,tbl_Data[[#This Row],[Trimmed Sector]],'3. Incentive Adjustment'!B:B,tbl_Data[[#This Row],[Trimmed Measure Name]])</f>
        <v>0.93017466414143679</v>
      </c>
      <c r="AI353" s="77">
        <f>$AH353*tbl_Data[[#This Row],[2025 ]]</f>
        <v>408418.68216890894</v>
      </c>
      <c r="AJ353" s="77">
        <f>$AH353*tbl_Data[[#This Row],[2026 ]]</f>
        <v>852963.40939318133</v>
      </c>
      <c r="AK353" s="77">
        <f>$AH353*tbl_Data[[#This Row],[2027 ]]</f>
        <v>1326171.3336401707</v>
      </c>
      <c r="AL353" s="77">
        <f>$AH353*tbl_Data[[#This Row],[2028 ]]</f>
        <v>1823394.384756184</v>
      </c>
      <c r="AM353" s="77">
        <f>$AH353*tbl_Data[[#This Row],[2029 ]]</f>
        <v>2340005.9644690752</v>
      </c>
      <c r="AN353" s="77">
        <f>$AH353*tbl_Data[[#This Row],[2030 ]]</f>
        <v>2871521.7925359369</v>
      </c>
      <c r="AO353" s="77">
        <f>$AH353*tbl_Data[[#This Row],[2031 ]]</f>
        <v>3414043.4879394001</v>
      </c>
      <c r="AP353" s="77">
        <f>$AH353*tbl_Data[[#This Row],[2032 ]]</f>
        <v>3965315.7494846946</v>
      </c>
      <c r="AQ353" s="77">
        <f>$AH353*tbl_Data[[#This Row],[2033 ]]</f>
        <v>4523895.1670107609</v>
      </c>
      <c r="AR353" s="77">
        <f>$AH353*tbl_Data[[#This Row],[2034 ]]</f>
        <v>5087752.7983259037</v>
      </c>
      <c r="AS353" s="77">
        <f>SUM(tbl_Data[[#This Row],[Adjusted 2025]:[Adjusted 2034]])</f>
        <v>26613482.769724216</v>
      </c>
      <c r="AT353" s="80">
        <f>AVERAGEIFS('3. Incentive Adjustment'!F:F,'3. Incentive Adjustment'!A:A,tbl_Data[[#This Row],[Trimmed Sector]],'3. Incentive Adjustment'!B:B,tbl_Data[[#This Row],[Trimmed Measure Name]])</f>
        <v>23.858858929800434</v>
      </c>
      <c r="AU353" s="80">
        <f>IFERROR(VLOOKUP(tbl_Data[[#This Row],[All_Meas_Name_Append]],'IRA Tax Credits'!$A$3:$D$46,4,0),0)</f>
        <v>0</v>
      </c>
      <c r="AV353" s="81">
        <f>tbl_Data[[#This Row],[Adj. per unit Incentive ($)]]/tbl_Data[[#This Row],[kWh Savings]]*tbl_Data[[#This Row],[Sum of Annuals]]</f>
        <v>1003882.7795849361</v>
      </c>
      <c r="AW353" s="81">
        <f>IFERROR(VLOOKUP(tbl_Data[[#This Row],[Column1]],'1. Set Program Names'!$B$2:$D$15,3,0)*tbl_Data[[#This Row],[Sum of Annuals]],"")</f>
        <v>969463.36901906552</v>
      </c>
      <c r="AX353" s="81">
        <f>tbl_Data[[#This Row],[per unit IRA tax ($)]]/tbl_Data[[#This Row],[kWh Savings]]*tbl_Data[[#This Row],[Sum of Annuals]]</f>
        <v>0</v>
      </c>
      <c r="AY353" s="81">
        <f>tbl_Data[[#This Row],[Avoided Costs ($/unit)]]/tbl_Data[[#This Row],[kWh Savings]]*tbl_Data[[#This Row],[Sum of Annuals]]</f>
        <v>10473351.215322094</v>
      </c>
      <c r="AZ353" s="81">
        <f>tbl_Data[[#This Row],[Lost Revenue ($/unit)]]/tbl_Data[[#This Row],[kWh Savings]]*tbl_Data[[#This Row],[Sum of Annuals]]</f>
        <v>28905437.768481601</v>
      </c>
      <c r="BA353" s="81">
        <f>tbl_Data[[#This Row],[Incremental Cost ($/unit)]]/tbl_Data[[#This Row],[kWh Savings]]*tbl_Data[[#This Row],[Sum of Annuals]]</f>
        <v>7531584.7281052954</v>
      </c>
      <c r="BB353" s="77">
        <f>ROUNDUP(tbl_Data[[#This Row],[Adjusted 2025]]/$L353,0)</f>
        <v>646</v>
      </c>
      <c r="BC353" s="77">
        <f>ROUNDUP(tbl_Data[[#This Row],[Adjusted 2026]]/$L353,0)</f>
        <v>1349</v>
      </c>
      <c r="BD353" s="77">
        <f>ROUNDUP(tbl_Data[[#This Row],[Adjusted 2027]]/$L353,0)</f>
        <v>2097</v>
      </c>
      <c r="BE353" s="77">
        <f>ROUNDUP(tbl_Data[[#This Row],[Adjusted 2028]]/$L353,0)</f>
        <v>2883</v>
      </c>
      <c r="BF353" s="77">
        <f>ROUNDUP(tbl_Data[[#This Row],[Adjusted 2029]]/$L353,0)</f>
        <v>3700</v>
      </c>
      <c r="BG353" s="77">
        <f>ROUNDUP(tbl_Data[[#This Row],[Adjusted 2030]]/$L353,0)</f>
        <v>4540</v>
      </c>
      <c r="BH353" s="77">
        <f>ROUNDUP(tbl_Data[[#This Row],[Adjusted 2031]]/$L353,0)</f>
        <v>5398</v>
      </c>
      <c r="BI353" s="77">
        <f>ROUNDUP(tbl_Data[[#This Row],[Adjusted 2032]]/$L353,0)</f>
        <v>6270</v>
      </c>
      <c r="BJ353" s="77">
        <f>ROUNDUP(tbl_Data[[#This Row],[Adjusted 2033]]/$L353,0)</f>
        <v>7153</v>
      </c>
      <c r="BK353" s="77">
        <f>ROUNDUP(tbl_Data[[#This Row],[Adjusted 2034]]/$L353,0)</f>
        <v>8044</v>
      </c>
      <c r="BL353" s="80">
        <f t="shared" si="155"/>
        <v>16562.366316017269</v>
      </c>
      <c r="BM353" s="80">
        <f t="shared" si="156"/>
        <v>34589.731217746688</v>
      </c>
      <c r="BN353" s="80">
        <f t="shared" si="157"/>
        <v>53779.458150412989</v>
      </c>
      <c r="BO353" s="80">
        <f t="shared" si="158"/>
        <v>73943.056616619724</v>
      </c>
      <c r="BP353" s="80">
        <f t="shared" si="159"/>
        <v>94892.906855749199</v>
      </c>
      <c r="BQ353" s="80">
        <f t="shared" si="160"/>
        <v>116447.16044781164</v>
      </c>
      <c r="BR353" s="80">
        <f t="shared" si="161"/>
        <v>138447.72860483537</v>
      </c>
      <c r="BS353" s="80">
        <f t="shared" si="162"/>
        <v>160803.15340344049</v>
      </c>
      <c r="BT353" s="80">
        <f t="shared" si="163"/>
        <v>183454.90106719744</v>
      </c>
      <c r="BU353" s="80">
        <f t="shared" si="164"/>
        <v>206320.6930783008</v>
      </c>
      <c r="BV353" s="80">
        <f>IFERROR(VLOOKUP($H353,'1. Set Program Names'!$B$2:$D$15,3,0)*V353,"NA")</f>
        <v>15994.504312836933</v>
      </c>
      <c r="BW353" s="80">
        <f>IFERROR(VLOOKUP($H353,'1. Set Program Names'!$B$2:$D$15,3,0)*W353,"NA")</f>
        <v>33403.777853112842</v>
      </c>
      <c r="BX353" s="80">
        <f>IFERROR(VLOOKUP($H353,'1. Set Program Names'!$B$2:$D$15,3,0)*X353,"NA")</f>
        <v>51935.560349063657</v>
      </c>
      <c r="BY353" s="80">
        <f>IFERROR(VLOOKUP($H353,'1. Set Program Names'!$B$2:$D$15,3,0)*Y353,"NA")</f>
        <v>71407.823942108531</v>
      </c>
      <c r="BZ353" s="80">
        <f>IFERROR(VLOOKUP($H353,'1. Set Program Names'!$B$2:$D$15,3,0)*Z353,"NA")</f>
        <v>91639.381656116457</v>
      </c>
      <c r="CA353" s="80">
        <f>IFERROR(VLOOKUP($H353,'1. Set Program Names'!$B$2:$D$15,3,0)*AA353,"NA")</f>
        <v>112454.61997775776</v>
      </c>
      <c r="CB353" s="80">
        <f>IFERROR(VLOOKUP($H353,'1. Set Program Names'!$B$2:$D$15,3,0)*AB353,"NA")</f>
        <v>133700.87039621832</v>
      </c>
      <c r="CC353" s="80">
        <f>IFERROR(VLOOKUP($H353,'1. Set Program Names'!$B$2:$D$15,3,0)*AC353,"NA")</f>
        <v>155289.81074049723</v>
      </c>
      <c r="CD353" s="80">
        <f>IFERROR(VLOOKUP($H353,'1. Set Program Names'!$B$2:$D$15,3,0)*AD353,"NA")</f>
        <v>177164.91413987533</v>
      </c>
      <c r="CE353" s="80">
        <f>IFERROR(VLOOKUP($H353,'1. Set Program Names'!$B$2:$D$15,3,0)*AE353,"NA")</f>
        <v>199246.72310121526</v>
      </c>
    </row>
    <row r="354" spans="1:83" x14ac:dyDescent="0.25">
      <c r="A354" s="79" t="s">
        <v>113</v>
      </c>
      <c r="B354" s="79" t="s">
        <v>88</v>
      </c>
      <c r="C354" s="79" t="s">
        <v>122</v>
      </c>
      <c r="D354" s="79" t="s">
        <v>90</v>
      </c>
      <c r="E354" s="79" t="s">
        <v>91</v>
      </c>
      <c r="F354" s="79" t="s">
        <v>90</v>
      </c>
      <c r="G354" s="79" t="s">
        <v>92</v>
      </c>
      <c r="H354" s="79" t="s">
        <v>16</v>
      </c>
      <c r="I354" s="79" t="s">
        <v>163</v>
      </c>
      <c r="J354" s="79" t="s">
        <v>161</v>
      </c>
      <c r="K354" s="79" t="s">
        <v>159</v>
      </c>
      <c r="L354" s="79">
        <v>217.06142857142831</v>
      </c>
      <c r="M354" s="79">
        <v>3.4743730880075478E-2</v>
      </c>
      <c r="N354" s="79">
        <v>3.4497784431073229E-2</v>
      </c>
      <c r="O354" s="79">
        <v>109.07999999999996</v>
      </c>
      <c r="P354" s="79">
        <v>64.428955263702662</v>
      </c>
      <c r="Q354" s="79"/>
      <c r="R354" s="79">
        <v>85.561030664747506</v>
      </c>
      <c r="S354" s="79">
        <v>235.75477399173039</v>
      </c>
      <c r="T354" s="79">
        <v>15</v>
      </c>
      <c r="U354" s="79">
        <v>0.59999999999999898</v>
      </c>
      <c r="V354" s="79">
        <f>tbl_Data_old[[#This Row],[2025 ]]*IFERROR(AVERAGEIFS('Participation Adjustment'!$C:$C,'Participation Adjustment'!$A:$A,$H354,'Participation Adjustment'!$B:$B,$I354),1)</f>
        <v>1144251.542474373</v>
      </c>
      <c r="W354" s="79">
        <f>tbl_Data_old[[#This Row],[2026 ]]*IFERROR(AVERAGEIFS('Participation Adjustment'!$C:$C,'Participation Adjustment'!$A:$A,$H354,'Participation Adjustment'!$B:$B,$I354),1)</f>
        <v>2347198.6336142728</v>
      </c>
      <c r="X354" s="79">
        <f>tbl_Data_old[[#This Row],[2027 ]]*IFERROR(AVERAGEIFS('Participation Adjustment'!$C:$C,'Participation Adjustment'!$A:$A,$H354,'Participation Adjustment'!$B:$B,$I354),1)</f>
        <v>3581756.0018621101</v>
      </c>
      <c r="Y354" s="79">
        <f>tbl_Data_old[[#This Row],[2028 ]]*IFERROR(AVERAGEIFS('Participation Adjustment'!$C:$C,'Participation Adjustment'!$A:$A,$H354,'Participation Adjustment'!$B:$B,$I354),1)</f>
        <v>4835674.5574414507</v>
      </c>
      <c r="Z354" s="79">
        <f>tbl_Data_old[[#This Row],[2029 ]]*IFERROR(AVERAGEIFS('Participation Adjustment'!$C:$C,'Participation Adjustment'!$A:$A,$H354,'Participation Adjustment'!$B:$B,$I354),1)</f>
        <v>6100479.5652885903</v>
      </c>
      <c r="AA354" s="79">
        <f>tbl_Data_old[[#This Row],[2030 ]]*IFERROR(AVERAGEIFS('Participation Adjustment'!$C:$C,'Participation Adjustment'!$A:$A,$H354,'Participation Adjustment'!$B:$B,$I354),1)</f>
        <v>7366682.4417670798</v>
      </c>
      <c r="AB354" s="79">
        <f>tbl_Data_old[[#This Row],[2031 ]]*IFERROR(AVERAGEIFS('Participation Adjustment'!$C:$C,'Participation Adjustment'!$A:$A,$H354,'Participation Adjustment'!$B:$B,$I354),1)</f>
        <v>8629175.9674734008</v>
      </c>
      <c r="AC354" s="79">
        <f>tbl_Data_old[[#This Row],[2032 ]]*IFERROR(AVERAGEIFS('Participation Adjustment'!$C:$C,'Participation Adjustment'!$A:$A,$H354,'Participation Adjustment'!$B:$B,$I354),1)</f>
        <v>9886458.3597933296</v>
      </c>
      <c r="AD354" s="79">
        <f>tbl_Data_old[[#This Row],[2033 ]]*IFERROR(AVERAGEIFS('Participation Adjustment'!$C:$C,'Participation Adjustment'!$A:$A,$H354,'Participation Adjustment'!$B:$B,$I354),1)</f>
        <v>11136060.439838398</v>
      </c>
      <c r="AE354" s="79">
        <f>tbl_Data_old[[#This Row],[2034 ]]*IFERROR(AVERAGEIFS('Participation Adjustment'!$C:$C,'Participation Adjustment'!$A:$A,$H354,'Participation Adjustment'!$B:$B,$I354),1)</f>
        <v>12377066.93174319</v>
      </c>
      <c r="AF354" s="77" t="str">
        <f t="shared" si="154"/>
        <v>NonResidential</v>
      </c>
      <c r="AG354" s="77" t="str">
        <f>tbl_Data[[#This Row],[All_Meas_Name_Append]]</f>
        <v>LED Linear - Fixture Replacement</v>
      </c>
      <c r="AH354" s="77">
        <f>AVERAGEIFS('3. Incentive Adjustment'!G:G,'3. Incentive Adjustment'!A:A,tbl_Data[[#This Row],[Trimmed Sector]],'3. Incentive Adjustment'!B:B,tbl_Data[[#This Row],[Trimmed Measure Name]])</f>
        <v>0.56055357916158088</v>
      </c>
      <c r="AI354" s="77">
        <f>$AH354*tbl_Data[[#This Row],[2025 ]]</f>
        <v>641414.29759516951</v>
      </c>
      <c r="AJ354" s="77">
        <f>$AH354*tbl_Data[[#This Row],[2026 ]]</f>
        <v>1315730.5950756527</v>
      </c>
      <c r="AK354" s="77">
        <f>$AH354*tbl_Data[[#This Row],[2027 ]]</f>
        <v>2007766.1465272799</v>
      </c>
      <c r="AL354" s="77">
        <f>$AH354*tbl_Data[[#This Row],[2028 ]]</f>
        <v>2710654.6808343986</v>
      </c>
      <c r="AM354" s="77">
        <f>$AH354*tbl_Data[[#This Row],[2029 ]]</f>
        <v>3419645.6549246041</v>
      </c>
      <c r="AN354" s="77">
        <f>$AH354*tbl_Data[[#This Row],[2030 ]]</f>
        <v>4129420.2092793109</v>
      </c>
      <c r="AO354" s="77">
        <f>$AH354*tbl_Data[[#This Row],[2031 ]]</f>
        <v>4837115.4737823121</v>
      </c>
      <c r="AP354" s="77">
        <f>$AH354*tbl_Data[[#This Row],[2032 ]]</f>
        <v>5541889.6188140837</v>
      </c>
      <c r="AQ354" s="77">
        <f>$AH354*tbl_Data[[#This Row],[2033 ]]</f>
        <v>6242358.5373111032</v>
      </c>
      <c r="AR354" s="77">
        <f>$AH354*tbl_Data[[#This Row],[2034 ]]</f>
        <v>6938009.1681110915</v>
      </c>
      <c r="AS354" s="77">
        <f>SUM(tbl_Data[[#This Row],[Adjusted 2025]:[Adjusted 2034]])</f>
        <v>37784004.38225501</v>
      </c>
      <c r="AT354" s="80">
        <f>AVERAGEIFS('3. Incentive Adjustment'!F:F,'3. Incentive Adjustment'!A:A,tbl_Data[[#This Row],[Trimmed Sector]],'3. Incentive Adjustment'!B:B,tbl_Data[[#This Row],[Trimmed Measure Name]])</f>
        <v>16.810726621008875</v>
      </c>
      <c r="AU354" s="80">
        <f>IFERROR(VLOOKUP(tbl_Data[[#This Row],[All_Meas_Name_Append]],'IRA Tax Credits'!$A$3:$D$46,4,0),0)</f>
        <v>0</v>
      </c>
      <c r="AV354" s="81">
        <f>tbl_Data[[#This Row],[Adj. per unit Incentive ($)]]/tbl_Data[[#This Row],[kWh Savings]]*tbl_Data[[#This Row],[Sum of Annuals]]</f>
        <v>2926252.5935512902</v>
      </c>
      <c r="AW354" s="81">
        <f>IFERROR(VLOOKUP(tbl_Data[[#This Row],[Column1]],'1. Set Program Names'!$B$2:$D$15,3,0)*tbl_Data[[#This Row],[Sum of Annuals]],"")</f>
        <v>1376377.8495433524</v>
      </c>
      <c r="AX354" s="81">
        <f>tbl_Data[[#This Row],[per unit IRA tax ($)]]/tbl_Data[[#This Row],[kWh Savings]]*tbl_Data[[#This Row],[Sum of Annuals]]</f>
        <v>0</v>
      </c>
      <c r="AY354" s="81">
        <f>tbl_Data[[#This Row],[Avoided Costs ($/unit)]]/tbl_Data[[#This Row],[kWh Savings]]*tbl_Data[[#This Row],[Sum of Annuals]]</f>
        <v>14893656.50481401</v>
      </c>
      <c r="AZ354" s="81">
        <f>tbl_Data[[#This Row],[Lost Revenue ($/unit)]]/tbl_Data[[#This Row],[kWh Savings]]*tbl_Data[[#This Row],[Sum of Annuals]]</f>
        <v>41037965.484087877</v>
      </c>
      <c r="BA354" s="81">
        <f>tbl_Data[[#This Row],[Incremental Cost ($/unit)]]/tbl_Data[[#This Row],[kWh Savings]]*tbl_Data[[#This Row],[Sum of Annuals]]</f>
        <v>18987616.66290297</v>
      </c>
      <c r="BB354" s="77">
        <f>ROUNDUP(tbl_Data[[#This Row],[Adjusted 2025]]/$L354,0)</f>
        <v>2955</v>
      </c>
      <c r="BC354" s="77">
        <f>ROUNDUP(tbl_Data[[#This Row],[Adjusted 2026]]/$L354,0)</f>
        <v>6062</v>
      </c>
      <c r="BD354" s="77">
        <f>ROUNDUP(tbl_Data[[#This Row],[Adjusted 2027]]/$L354,0)</f>
        <v>9250</v>
      </c>
      <c r="BE354" s="77">
        <f>ROUNDUP(tbl_Data[[#This Row],[Adjusted 2028]]/$L354,0)</f>
        <v>12488</v>
      </c>
      <c r="BF354" s="77">
        <f>ROUNDUP(tbl_Data[[#This Row],[Adjusted 2029]]/$L354,0)</f>
        <v>15755</v>
      </c>
      <c r="BG354" s="77">
        <f>ROUNDUP(tbl_Data[[#This Row],[Adjusted 2030]]/$L354,0)</f>
        <v>19025</v>
      </c>
      <c r="BH354" s="77">
        <f>ROUNDUP(tbl_Data[[#This Row],[Adjusted 2031]]/$L354,0)</f>
        <v>22285</v>
      </c>
      <c r="BI354" s="77">
        <f>ROUNDUP(tbl_Data[[#This Row],[Adjusted 2032]]/$L354,0)</f>
        <v>25532</v>
      </c>
      <c r="BJ354" s="77">
        <f>ROUNDUP(tbl_Data[[#This Row],[Adjusted 2033]]/$L354,0)</f>
        <v>28759</v>
      </c>
      <c r="BK354" s="77">
        <f>ROUNDUP(tbl_Data[[#This Row],[Adjusted 2034]]/$L354,0)</f>
        <v>31964</v>
      </c>
      <c r="BL354" s="80">
        <f t="shared" si="155"/>
        <v>88618.691919621851</v>
      </c>
      <c r="BM354" s="80">
        <f t="shared" si="156"/>
        <v>181783.16992837191</v>
      </c>
      <c r="BN354" s="80">
        <f t="shared" si="157"/>
        <v>277395.76472310821</v>
      </c>
      <c r="BO354" s="80">
        <f t="shared" si="158"/>
        <v>374507.82273169199</v>
      </c>
      <c r="BP354" s="80">
        <f t="shared" si="159"/>
        <v>472463.00231259334</v>
      </c>
      <c r="BQ354" s="80">
        <f t="shared" si="160"/>
        <v>570526.44243323384</v>
      </c>
      <c r="BR354" s="80">
        <f t="shared" si="161"/>
        <v>668302.6049745148</v>
      </c>
      <c r="BS354" s="80">
        <f t="shared" si="162"/>
        <v>765675.18158474925</v>
      </c>
      <c r="BT354" s="80">
        <f t="shared" si="163"/>
        <v>862452.94210597896</v>
      </c>
      <c r="BU354" s="80">
        <f t="shared" si="164"/>
        <v>958565.00129407004</v>
      </c>
      <c r="BV354" s="80">
        <f>IFERROR(VLOOKUP($H354,'1. Set Program Names'!$B$2:$D$15,3,0)*V354,"NA")</f>
        <v>41682.254253262596</v>
      </c>
      <c r="BW354" s="80">
        <f>IFERROR(VLOOKUP($H354,'1. Set Program Names'!$B$2:$D$15,3,0)*W354,"NA")</f>
        <v>85502.642205450073</v>
      </c>
      <c r="BX354" s="80">
        <f>IFERROR(VLOOKUP($H354,'1. Set Program Names'!$B$2:$D$15,3,0)*X354,"NA")</f>
        <v>130474.5143886135</v>
      </c>
      <c r="BY354" s="80">
        <f>IFERROR(VLOOKUP($H354,'1. Set Program Names'!$B$2:$D$15,3,0)*Y354,"NA")</f>
        <v>176151.66675103857</v>
      </c>
      <c r="BZ354" s="80">
        <f>IFERROR(VLOOKUP($H354,'1. Set Program Names'!$B$2:$D$15,3,0)*Z354,"NA")</f>
        <v>222225.38565018965</v>
      </c>
      <c r="CA354" s="80">
        <f>IFERROR(VLOOKUP($H354,'1. Set Program Names'!$B$2:$D$15,3,0)*AA354,"NA")</f>
        <v>268350.02544701204</v>
      </c>
      <c r="CB354" s="80">
        <f>IFERROR(VLOOKUP($H354,'1. Set Program Names'!$B$2:$D$15,3,0)*AB354,"NA")</f>
        <v>314339.54276747251</v>
      </c>
      <c r="CC354" s="80">
        <f>IFERROR(VLOOKUP($H354,'1. Set Program Names'!$B$2:$D$15,3,0)*AC354,"NA")</f>
        <v>360139.23138445616</v>
      </c>
      <c r="CD354" s="80">
        <f>IFERROR(VLOOKUP($H354,'1. Set Program Names'!$B$2:$D$15,3,0)*AD354,"NA")</f>
        <v>405659.14521669893</v>
      </c>
      <c r="CE354" s="80">
        <f>IFERROR(VLOOKUP($H354,'1. Set Program Names'!$B$2:$D$15,3,0)*AE354,"NA")</f>
        <v>450865.94302766497</v>
      </c>
    </row>
    <row r="355" spans="1:83" x14ac:dyDescent="0.25">
      <c r="A355" s="79" t="s">
        <v>113</v>
      </c>
      <c r="B355" s="79" t="s">
        <v>88</v>
      </c>
      <c r="C355" s="79" t="s">
        <v>122</v>
      </c>
      <c r="D355" s="79" t="s">
        <v>90</v>
      </c>
      <c r="E355" s="79" t="s">
        <v>91</v>
      </c>
      <c r="F355" s="79" t="s">
        <v>90</v>
      </c>
      <c r="G355" s="79" t="s">
        <v>92</v>
      </c>
      <c r="H355" s="79" t="s">
        <v>16</v>
      </c>
      <c r="I355" s="79" t="s">
        <v>164</v>
      </c>
      <c r="J355" s="79" t="s">
        <v>158</v>
      </c>
      <c r="K355" s="79" t="s">
        <v>159</v>
      </c>
      <c r="L355" s="79">
        <v>612.05999999999972</v>
      </c>
      <c r="M355" s="79">
        <v>0</v>
      </c>
      <c r="N355" s="79">
        <v>3.0244631686656035E-2</v>
      </c>
      <c r="O355" s="79">
        <v>255</v>
      </c>
      <c r="P355" s="79">
        <v>129.09500333079711</v>
      </c>
      <c r="Q355" s="79"/>
      <c r="R355" s="79">
        <v>299.62522934905462</v>
      </c>
      <c r="S355" s="79">
        <v>664.77065003695441</v>
      </c>
      <c r="T355" s="79">
        <v>15</v>
      </c>
      <c r="U355" s="79">
        <v>0.59999999999999898</v>
      </c>
      <c r="V355" s="79">
        <f>tbl_Data_old[[#This Row],[2025 ]]*IFERROR(AVERAGEIFS('Participation Adjustment'!$C:$C,'Participation Adjustment'!$A:$A,$H355,'Participation Adjustment'!$B:$B,$I355),1)</f>
        <v>317538.044025212</v>
      </c>
      <c r="W355" s="79">
        <f>tbl_Data_old[[#This Row],[2026 ]]*IFERROR(AVERAGEIFS('Participation Adjustment'!$C:$C,'Participation Adjustment'!$A:$A,$H355,'Participation Adjustment'!$B:$B,$I355),1)</f>
        <v>662542.23202686606</v>
      </c>
      <c r="X355" s="79">
        <f>tbl_Data_old[[#This Row],[2027 ]]*IFERROR(AVERAGEIFS('Participation Adjustment'!$C:$C,'Participation Adjustment'!$A:$A,$H355,'Participation Adjustment'!$B:$B,$I355),1)</f>
        <v>1029613.701548406</v>
      </c>
      <c r="Y355" s="79">
        <f>tbl_Data_old[[#This Row],[2028 ]]*IFERROR(AVERAGEIFS('Participation Adjustment'!$C:$C,'Participation Adjustment'!$A:$A,$H355,'Participation Adjustment'!$B:$B,$I355),1)</f>
        <v>1415203.3310024301</v>
      </c>
      <c r="Z355" s="79">
        <f>tbl_Data_old[[#This Row],[2029 ]]*IFERROR(AVERAGEIFS('Participation Adjustment'!$C:$C,'Participation Adjustment'!$A:$A,$H355,'Participation Adjustment'!$B:$B,$I355),1)</f>
        <v>1815603.679951244</v>
      </c>
      <c r="AA355" s="79">
        <f>tbl_Data_old[[#This Row],[2030 ]]*IFERROR(AVERAGEIFS('Participation Adjustment'!$C:$C,'Participation Adjustment'!$A:$A,$H355,'Participation Adjustment'!$B:$B,$I355),1)</f>
        <v>2227405.2624315801</v>
      </c>
      <c r="AB355" s="79">
        <f>tbl_Data_old[[#This Row],[2031 ]]*IFERROR(AVERAGEIFS('Participation Adjustment'!$C:$C,'Participation Adjustment'!$A:$A,$H355,'Participation Adjustment'!$B:$B,$I355),1)</f>
        <v>2647468.4333251198</v>
      </c>
      <c r="AC355" s="79">
        <f>tbl_Data_old[[#This Row],[2032 ]]*IFERROR(AVERAGEIFS('Participation Adjustment'!$C:$C,'Participation Adjustment'!$A:$A,$H355,'Participation Adjustment'!$B:$B,$I355),1)</f>
        <v>3073966.5255967798</v>
      </c>
      <c r="AD355" s="79">
        <f>tbl_Data_old[[#This Row],[2033 ]]*IFERROR(AVERAGEIFS('Participation Adjustment'!$C:$C,'Participation Adjustment'!$A:$A,$H355,'Participation Adjustment'!$B:$B,$I355),1)</f>
        <v>3505946.4959700601</v>
      </c>
      <c r="AE355" s="79">
        <f>tbl_Data_old[[#This Row],[2034 ]]*IFERROR(AVERAGEIFS('Participation Adjustment'!$C:$C,'Participation Adjustment'!$A:$A,$H355,'Participation Adjustment'!$B:$B,$I355),1)</f>
        <v>3941750.5150098801</v>
      </c>
      <c r="AF355" s="77" t="str">
        <f t="shared" si="154"/>
        <v>NonResidential</v>
      </c>
      <c r="AG355" s="77" t="str">
        <f>tbl_Data[[#This Row],[All_Meas_Name_Append]]</f>
        <v>LED Parking Lighting</v>
      </c>
      <c r="AH355" s="77">
        <f>AVERAGEIFS('3. Incentive Adjustment'!G:G,'3. Incentive Adjustment'!A:A,tbl_Data[[#This Row],[Trimmed Sector]],'3. Incentive Adjustment'!B:B,tbl_Data[[#This Row],[Trimmed Measure Name]])</f>
        <v>0.59704067730377497</v>
      </c>
      <c r="AI355" s="77">
        <f>$AH355*tbl_Data[[#This Row],[2025 ]]</f>
        <v>189583.12887452848</v>
      </c>
      <c r="AJ355" s="77">
        <f>$AH355*tbl_Data[[#This Row],[2026 ]]</f>
        <v>395564.66295167495</v>
      </c>
      <c r="AK355" s="77">
        <f>$AH355*tbl_Data[[#This Row],[2027 ]]</f>
        <v>614721.26173370716</v>
      </c>
      <c r="AL355" s="77">
        <f>$AH355*tbl_Data[[#This Row],[2028 ]]</f>
        <v>844933.95526424923</v>
      </c>
      <c r="AM355" s="77">
        <f>$AH355*tbl_Data[[#This Row],[2029 ]]</f>
        <v>1083989.2507933171</v>
      </c>
      <c r="AN355" s="77">
        <f>$AH355*tbl_Data[[#This Row],[2030 ]]</f>
        <v>1329851.5465121432</v>
      </c>
      <c r="AO355" s="77">
        <f>$AH355*tbl_Data[[#This Row],[2031 ]]</f>
        <v>1580646.3465727936</v>
      </c>
      <c r="AP355" s="77">
        <f>$AH355*tbl_Data[[#This Row],[2032 ]]</f>
        <v>1835283.0564514333</v>
      </c>
      <c r="AQ355" s="77">
        <f>$AH355*tbl_Data[[#This Row],[2033 ]]</f>
        <v>2093192.6705447612</v>
      </c>
      <c r="AR355" s="77">
        <f>$AH355*tbl_Data[[#This Row],[2034 ]]</f>
        <v>2353385.3972440027</v>
      </c>
      <c r="AS355" s="77">
        <f>SUM(tbl_Data[[#This Row],[Adjusted 2025]:[Adjusted 2034]])</f>
        <v>12321151.276942611</v>
      </c>
      <c r="AT355" s="80">
        <f>AVERAGEIFS('3. Incentive Adjustment'!F:F,'3. Incentive Adjustment'!A:A,tbl_Data[[#This Row],[Trimmed Sector]],'3. Incentive Adjustment'!B:B,tbl_Data[[#This Row],[Trimmed Measure Name]])</f>
        <v>9.4514474020799994</v>
      </c>
      <c r="AU355" s="80">
        <f>IFERROR(VLOOKUP(tbl_Data[[#This Row],[All_Meas_Name_Append]],'IRA Tax Credits'!$A$3:$D$46,4,0),0)</f>
        <v>0</v>
      </c>
      <c r="AV355" s="81">
        <f>tbl_Data[[#This Row],[Adj. per unit Incentive ($)]]/tbl_Data[[#This Row],[kWh Savings]]*tbl_Data[[#This Row],[Sum of Annuals]]</f>
        <v>190263.55786539547</v>
      </c>
      <c r="AW355" s="81">
        <f>IFERROR(VLOOKUP(tbl_Data[[#This Row],[Column1]],'1. Set Program Names'!$B$2:$D$15,3,0)*tbl_Data[[#This Row],[Sum of Annuals]],"")</f>
        <v>448829.07398827921</v>
      </c>
      <c r="AX355" s="81">
        <f>tbl_Data[[#This Row],[per unit IRA tax ($)]]/tbl_Data[[#This Row],[kWh Savings]]*tbl_Data[[#This Row],[Sum of Annuals]]</f>
        <v>0</v>
      </c>
      <c r="AY355" s="81">
        <f>tbl_Data[[#This Row],[Avoided Costs ($/unit)]]/tbl_Data[[#This Row],[kWh Savings]]*tbl_Data[[#This Row],[Sum of Annuals]]</f>
        <v>6031643.592455525</v>
      </c>
      <c r="AZ355" s="81">
        <f>tbl_Data[[#This Row],[Lost Revenue ($/unit)]]/tbl_Data[[#This Row],[kWh Savings]]*tbl_Data[[#This Row],[Sum of Annuals]]</f>
        <v>13382249.687247645</v>
      </c>
      <c r="BA355" s="81">
        <f>tbl_Data[[#This Row],[Incremental Cost ($/unit)]]/tbl_Data[[#This Row],[kWh Savings]]*tbl_Data[[#This Row],[Sum of Annuals]]</f>
        <v>5133309.7663960513</v>
      </c>
      <c r="BB355" s="77">
        <f>ROUNDUP(tbl_Data[[#This Row],[Adjusted 2025]]/$L355,0)</f>
        <v>310</v>
      </c>
      <c r="BC355" s="77">
        <f>ROUNDUP(tbl_Data[[#This Row],[Adjusted 2026]]/$L355,0)</f>
        <v>647</v>
      </c>
      <c r="BD355" s="77">
        <f>ROUNDUP(tbl_Data[[#This Row],[Adjusted 2027]]/$L355,0)</f>
        <v>1005</v>
      </c>
      <c r="BE355" s="77">
        <f>ROUNDUP(tbl_Data[[#This Row],[Adjusted 2028]]/$L355,0)</f>
        <v>1381</v>
      </c>
      <c r="BF355" s="77">
        <f>ROUNDUP(tbl_Data[[#This Row],[Adjusted 2029]]/$L355,0)</f>
        <v>1772</v>
      </c>
      <c r="BG355" s="77">
        <f>ROUNDUP(tbl_Data[[#This Row],[Adjusted 2030]]/$L355,0)</f>
        <v>2173</v>
      </c>
      <c r="BH355" s="77">
        <f>ROUNDUP(tbl_Data[[#This Row],[Adjusted 2031]]/$L355,0)</f>
        <v>2583</v>
      </c>
      <c r="BI355" s="77">
        <f>ROUNDUP(tbl_Data[[#This Row],[Adjusted 2032]]/$L355,0)</f>
        <v>2999</v>
      </c>
      <c r="BJ355" s="77">
        <f>ROUNDUP(tbl_Data[[#This Row],[Adjusted 2033]]/$L355,0)</f>
        <v>3420</v>
      </c>
      <c r="BK355" s="77">
        <f>ROUNDUP(tbl_Data[[#This Row],[Adjusted 2034]]/$L355,0)</f>
        <v>3846</v>
      </c>
      <c r="BL355" s="80">
        <f t="shared" si="155"/>
        <v>4903.4312342967287</v>
      </c>
      <c r="BM355" s="80">
        <f t="shared" si="156"/>
        <v>10230.995421459678</v>
      </c>
      <c r="BN355" s="80">
        <f t="shared" si="157"/>
        <v>15899.323178521156</v>
      </c>
      <c r="BO355" s="80">
        <f t="shared" si="158"/>
        <v>21853.608872035235</v>
      </c>
      <c r="BP355" s="80">
        <f t="shared" si="159"/>
        <v>28036.602104502956</v>
      </c>
      <c r="BQ355" s="80">
        <f t="shared" si="160"/>
        <v>34395.65349963776</v>
      </c>
      <c r="BR355" s="80">
        <f t="shared" si="161"/>
        <v>40882.280570923635</v>
      </c>
      <c r="BS355" s="80">
        <f t="shared" si="162"/>
        <v>47468.275875620981</v>
      </c>
      <c r="BT355" s="80">
        <f t="shared" si="163"/>
        <v>54138.922493166872</v>
      </c>
      <c r="BU355" s="80">
        <f t="shared" si="164"/>
        <v>60868.620175697884</v>
      </c>
      <c r="BV355" s="80">
        <f>IFERROR(VLOOKUP($H355,'1. Set Program Names'!$B$2:$D$15,3,0)*V355,"NA")</f>
        <v>11567.125754116263</v>
      </c>
      <c r="BW355" s="80">
        <f>IFERROR(VLOOKUP($H355,'1. Set Program Names'!$B$2:$D$15,3,0)*W355,"NA")</f>
        <v>24134.77521660097</v>
      </c>
      <c r="BX355" s="80">
        <f>IFERROR(VLOOKUP($H355,'1. Set Program Names'!$B$2:$D$15,3,0)*X355,"NA")</f>
        <v>37506.281178156823</v>
      </c>
      <c r="BY355" s="80">
        <f>IFERROR(VLOOKUP($H355,'1. Set Program Names'!$B$2:$D$15,3,0)*Y355,"NA")</f>
        <v>51552.35791541751</v>
      </c>
      <c r="BZ355" s="80">
        <f>IFERROR(VLOOKUP($H355,'1. Set Program Names'!$B$2:$D$15,3,0)*Z355,"NA")</f>
        <v>66137.952540782251</v>
      </c>
      <c r="CA355" s="80">
        <f>IFERROR(VLOOKUP($H355,'1. Set Program Names'!$B$2:$D$15,3,0)*AA355,"NA")</f>
        <v>81138.865911389032</v>
      </c>
      <c r="CB355" s="80">
        <f>IFERROR(VLOOKUP($H355,'1. Set Program Names'!$B$2:$D$15,3,0)*AB355,"NA")</f>
        <v>96440.728519110489</v>
      </c>
      <c r="CC355" s="80">
        <f>IFERROR(VLOOKUP($H355,'1. Set Program Names'!$B$2:$D$15,3,0)*AC355,"NA")</f>
        <v>111976.99940073522</v>
      </c>
      <c r="CD355" s="80">
        <f>IFERROR(VLOOKUP($H355,'1. Set Program Names'!$B$2:$D$15,3,0)*AD355,"NA")</f>
        <v>127712.96154633065</v>
      </c>
      <c r="CE355" s="80">
        <f>IFERROR(VLOOKUP($H355,'1. Set Program Names'!$B$2:$D$15,3,0)*AE355,"NA")</f>
        <v>143588.2243289616</v>
      </c>
    </row>
    <row r="356" spans="1:83" x14ac:dyDescent="0.25">
      <c r="A356" s="79" t="s">
        <v>113</v>
      </c>
      <c r="B356" s="79" t="s">
        <v>88</v>
      </c>
      <c r="C356" s="79" t="s">
        <v>122</v>
      </c>
      <c r="D356" s="79" t="s">
        <v>90</v>
      </c>
      <c r="E356" s="79" t="s">
        <v>91</v>
      </c>
      <c r="F356" s="79" t="s">
        <v>90</v>
      </c>
      <c r="G356" s="79" t="s">
        <v>92</v>
      </c>
      <c r="H356" s="79" t="s">
        <v>16</v>
      </c>
      <c r="I356" s="79" t="s">
        <v>165</v>
      </c>
      <c r="J356" s="79" t="s">
        <v>161</v>
      </c>
      <c r="K356" s="79" t="s">
        <v>166</v>
      </c>
      <c r="L356" s="79">
        <v>510.6</v>
      </c>
      <c r="M356" s="79">
        <v>6.2552429943266097E-2</v>
      </c>
      <c r="N356" s="79">
        <v>6.4361142955417797E-2</v>
      </c>
      <c r="O356" s="79">
        <v>129</v>
      </c>
      <c r="P356" s="79">
        <v>26.468747947944401</v>
      </c>
      <c r="Q356" s="79">
        <v>18.5998954178316</v>
      </c>
      <c r="R356" s="79">
        <v>174.74401692254699</v>
      </c>
      <c r="S356" s="79">
        <v>419.99719394182398</v>
      </c>
      <c r="T356" s="79">
        <v>10</v>
      </c>
      <c r="U356" s="79">
        <v>0.59999999999999898</v>
      </c>
      <c r="V356" s="79">
        <f>tbl_Data_old[[#This Row],[2025 ]]*IFERROR(AVERAGEIFS('Participation Adjustment'!$C:$C,'Participation Adjustment'!$A:$A,$H356,'Participation Adjustment'!$B:$B,$I356),1)</f>
        <v>19927.519621685398</v>
      </c>
      <c r="W356" s="79">
        <f>tbl_Data_old[[#This Row],[2026 ]]*IFERROR(AVERAGEIFS('Participation Adjustment'!$C:$C,'Participation Adjustment'!$A:$A,$H356,'Participation Adjustment'!$B:$B,$I356),1)</f>
        <v>47256.993885035103</v>
      </c>
      <c r="X356" s="79">
        <f>tbl_Data_old[[#This Row],[2027 ]]*IFERROR(AVERAGEIFS('Participation Adjustment'!$C:$C,'Participation Adjustment'!$A:$A,$H356,'Participation Adjustment'!$B:$B,$I356),1)</f>
        <v>83611.114124043801</v>
      </c>
      <c r="Y356" s="79">
        <f>tbl_Data_old[[#This Row],[2028 ]]*IFERROR(AVERAGEIFS('Participation Adjustment'!$C:$C,'Participation Adjustment'!$A:$A,$H356,'Participation Adjustment'!$B:$B,$I356),1)</f>
        <v>130501.41132656</v>
      </c>
      <c r="Z356" s="79">
        <f>tbl_Data_old[[#This Row],[2029 ]]*IFERROR(AVERAGEIFS('Participation Adjustment'!$C:$C,'Participation Adjustment'!$A:$A,$H356,'Participation Adjustment'!$B:$B,$I356),1)</f>
        <v>188581.57578897799</v>
      </c>
      <c r="AA356" s="79">
        <f>tbl_Data_old[[#This Row],[2030 ]]*IFERROR(AVERAGEIFS('Participation Adjustment'!$C:$C,'Participation Adjustment'!$A:$A,$H356,'Participation Adjustment'!$B:$B,$I356),1)</f>
        <v>256770.25204842101</v>
      </c>
      <c r="AB356" s="79">
        <f>tbl_Data_old[[#This Row],[2031 ]]*IFERROR(AVERAGEIFS('Participation Adjustment'!$C:$C,'Participation Adjustment'!$A:$A,$H356,'Participation Adjustment'!$B:$B,$I356),1)</f>
        <v>331725.75963312498</v>
      </c>
      <c r="AC356" s="79">
        <f>tbl_Data_old[[#This Row],[2032 ]]*IFERROR(AVERAGEIFS('Participation Adjustment'!$C:$C,'Participation Adjustment'!$A:$A,$H356,'Participation Adjustment'!$B:$B,$I356),1)</f>
        <v>407978.42700672901</v>
      </c>
      <c r="AD356" s="79">
        <f>tbl_Data_old[[#This Row],[2033 ]]*IFERROR(AVERAGEIFS('Participation Adjustment'!$C:$C,'Participation Adjustment'!$A:$A,$H356,'Participation Adjustment'!$B:$B,$I356),1)</f>
        <v>478967.31703185203</v>
      </c>
      <c r="AE356" s="79">
        <f>tbl_Data_old[[#This Row],[2034 ]]*IFERROR(AVERAGEIFS('Participation Adjustment'!$C:$C,'Participation Adjustment'!$A:$A,$H356,'Participation Adjustment'!$B:$B,$I356),1)</f>
        <v>539183.16425702698</v>
      </c>
      <c r="AF356" s="77" t="str">
        <f t="shared" si="154"/>
        <v>NonResidential</v>
      </c>
      <c r="AG356" s="77" t="str">
        <f>tbl_Data[[#This Row],[All_Meas_Name_Append]]</f>
        <v>Occupancy Sensors_ Ceiling Mounted</v>
      </c>
      <c r="AH356" s="77">
        <f>AVERAGEIFS('3. Incentive Adjustment'!G:G,'3. Incentive Adjustment'!A:A,tbl_Data[[#This Row],[Trimmed Sector]],'3. Incentive Adjustment'!B:B,tbl_Data[[#This Row],[Trimmed Measure Name]])</f>
        <v>0.99348124042467356</v>
      </c>
      <c r="AI356" s="77">
        <f>$AH356*tbl_Data[[#This Row],[2025 ]]</f>
        <v>19797.616912339032</v>
      </c>
      <c r="AJ356" s="77">
        <f>$AH356*tbl_Data[[#This Row],[2026 ]]</f>
        <v>46948.936903645888</v>
      </c>
      <c r="AK356" s="77">
        <f>$AH356*tbl_Data[[#This Row],[2027 ]]</f>
        <v>83066.073373243984</v>
      </c>
      <c r="AL356" s="77">
        <f>$AH356*tbl_Data[[#This Row],[2028 ]]</f>
        <v>129650.70400188137</v>
      </c>
      <c r="AM356" s="77">
        <f>$AH356*tbl_Data[[#This Row],[2029 ]]</f>
        <v>187352.25783607343</v>
      </c>
      <c r="AN356" s="77">
        <f>$AH356*tbl_Data[[#This Row],[2030 ]]</f>
        <v>255096.42850922138</v>
      </c>
      <c r="AO356" s="77">
        <f>$AH356*tbl_Data[[#This Row],[2031 ]]</f>
        <v>329563.31916113413</v>
      </c>
      <c r="AP356" s="77">
        <f>$AH356*tbl_Data[[#This Row],[2032 ]]</f>
        <v>405318.91372915229</v>
      </c>
      <c r="AQ356" s="77">
        <f>$AH356*tbl_Data[[#This Row],[2033 ]]</f>
        <v>475845.04424768221</v>
      </c>
      <c r="AR356" s="77">
        <f>$AH356*tbl_Data[[#This Row],[2034 ]]</f>
        <v>535668.35884217173</v>
      </c>
      <c r="AS356" s="77">
        <f>SUM(tbl_Data[[#This Row],[Adjusted 2025]:[Adjusted 2034]])</f>
        <v>2468307.6535165454</v>
      </c>
      <c r="AT356" s="80">
        <f>AVERAGEIFS('3. Incentive Adjustment'!F:F,'3. Incentive Adjustment'!A:A,tbl_Data[[#This Row],[Trimmed Sector]],'3. Incentive Adjustment'!B:B,tbl_Data[[#This Row],[Trimmed Measure Name]])</f>
        <v>19.547634357270656</v>
      </c>
      <c r="AU356" s="80">
        <f>IFERROR(VLOOKUP(tbl_Data[[#This Row],[All_Meas_Name_Append]],'IRA Tax Credits'!$A$3:$D$46,4,0),0)</f>
        <v>0</v>
      </c>
      <c r="AV356" s="81">
        <f>tbl_Data[[#This Row],[Adj. per unit Incentive ($)]]/tbl_Data[[#This Row],[kWh Savings]]*tbl_Data[[#This Row],[Sum of Annuals]]</f>
        <v>94495.839193486361</v>
      </c>
      <c r="AW356" s="81">
        <f>IFERROR(VLOOKUP(tbl_Data[[#This Row],[Column1]],'1. Set Program Names'!$B$2:$D$15,3,0)*tbl_Data[[#This Row],[Sum of Annuals]],"")</f>
        <v>89914.344329105312</v>
      </c>
      <c r="AX356" s="81">
        <f>tbl_Data[[#This Row],[per unit IRA tax ($)]]/tbl_Data[[#This Row],[kWh Savings]]*tbl_Data[[#This Row],[Sum of Annuals]]</f>
        <v>0</v>
      </c>
      <c r="AY356" s="81">
        <f>tbl_Data[[#This Row],[Avoided Costs ($/unit)]]/tbl_Data[[#This Row],[kWh Savings]]*tbl_Data[[#This Row],[Sum of Annuals]]</f>
        <v>844735.59415618388</v>
      </c>
      <c r="AZ356" s="81">
        <f>tbl_Data[[#This Row],[Lost Revenue ($/unit)]]/tbl_Data[[#This Row],[kWh Savings]]*tbl_Data[[#This Row],[Sum of Annuals]]</f>
        <v>2030321.7553115489</v>
      </c>
      <c r="BA356" s="81">
        <f>tbl_Data[[#This Row],[Incremental Cost ($/unit)]]/tbl_Data[[#This Row],[kWh Savings]]*tbl_Data[[#This Row],[Sum of Annuals]]</f>
        <v>623602.99119395681</v>
      </c>
      <c r="BB356" s="77">
        <f>ROUNDUP(tbl_Data[[#This Row],[Adjusted 2025]]/$L356,0)</f>
        <v>39</v>
      </c>
      <c r="BC356" s="77">
        <f>ROUNDUP(tbl_Data[[#This Row],[Adjusted 2026]]/$L356,0)</f>
        <v>92</v>
      </c>
      <c r="BD356" s="77">
        <f>ROUNDUP(tbl_Data[[#This Row],[Adjusted 2027]]/$L356,0)</f>
        <v>163</v>
      </c>
      <c r="BE356" s="77">
        <f>ROUNDUP(tbl_Data[[#This Row],[Adjusted 2028]]/$L356,0)</f>
        <v>254</v>
      </c>
      <c r="BF356" s="77">
        <f>ROUNDUP(tbl_Data[[#This Row],[Adjusted 2029]]/$L356,0)</f>
        <v>367</v>
      </c>
      <c r="BG356" s="77">
        <f>ROUNDUP(tbl_Data[[#This Row],[Adjusted 2030]]/$L356,0)</f>
        <v>500</v>
      </c>
      <c r="BH356" s="77">
        <f>ROUNDUP(tbl_Data[[#This Row],[Adjusted 2031]]/$L356,0)</f>
        <v>646</v>
      </c>
      <c r="BI356" s="77">
        <f>ROUNDUP(tbl_Data[[#This Row],[Adjusted 2032]]/$L356,0)</f>
        <v>794</v>
      </c>
      <c r="BJ356" s="77">
        <f>ROUNDUP(tbl_Data[[#This Row],[Adjusted 2033]]/$L356,0)</f>
        <v>932</v>
      </c>
      <c r="BK356" s="77">
        <f>ROUNDUP(tbl_Data[[#This Row],[Adjusted 2034]]/$L356,0)</f>
        <v>1050</v>
      </c>
      <c r="BL356" s="80">
        <f t="shared" si="155"/>
        <v>762.89829066204982</v>
      </c>
      <c r="BM356" s="80">
        <f t="shared" si="156"/>
        <v>1809.1704608077584</v>
      </c>
      <c r="BN356" s="80">
        <f t="shared" si="157"/>
        <v>3200.9390660024214</v>
      </c>
      <c r="BO356" s="80">
        <f t="shared" si="158"/>
        <v>4996.0710374449163</v>
      </c>
      <c r="BP356" s="80">
        <f t="shared" si="159"/>
        <v>7219.5920290655431</v>
      </c>
      <c r="BQ356" s="80">
        <f t="shared" si="160"/>
        <v>9830.1038011491601</v>
      </c>
      <c r="BR356" s="80">
        <f t="shared" si="161"/>
        <v>12699.674610646654</v>
      </c>
      <c r="BS356" s="80">
        <f t="shared" si="162"/>
        <v>15618.905438272572</v>
      </c>
      <c r="BT356" s="80">
        <f t="shared" si="163"/>
        <v>18336.619628714408</v>
      </c>
      <c r="BU356" s="80">
        <f t="shared" si="164"/>
        <v>20641.902362891829</v>
      </c>
      <c r="BV356" s="80">
        <f>IFERROR(VLOOKUP($H356,'1. Set Program Names'!$B$2:$D$15,3,0)*V356,"NA")</f>
        <v>725.91026419924879</v>
      </c>
      <c r="BW356" s="80">
        <f>IFERROR(VLOOKUP($H356,'1. Set Program Names'!$B$2:$D$15,3,0)*W356,"NA")</f>
        <v>1721.4554328687084</v>
      </c>
      <c r="BX356" s="80">
        <f>IFERROR(VLOOKUP($H356,'1. Set Program Names'!$B$2:$D$15,3,0)*X356,"NA")</f>
        <v>3045.7461388084625</v>
      </c>
      <c r="BY356" s="80">
        <f>IFERROR(VLOOKUP($H356,'1. Set Program Names'!$B$2:$D$15,3,0)*Y356,"NA")</f>
        <v>4753.8437182793696</v>
      </c>
      <c r="BZ356" s="80">
        <f>IFERROR(VLOOKUP($H356,'1. Set Program Names'!$B$2:$D$15,3,0)*Z356,"NA")</f>
        <v>6869.56049237149</v>
      </c>
      <c r="CA356" s="80">
        <f>IFERROR(VLOOKUP($H356,'1. Set Program Names'!$B$2:$D$15,3,0)*AA356,"NA")</f>
        <v>9353.5053554855112</v>
      </c>
      <c r="CB356" s="80">
        <f>IFERROR(VLOOKUP($H356,'1. Set Program Names'!$B$2:$D$15,3,0)*AB356,"NA")</f>
        <v>12083.949151149398</v>
      </c>
      <c r="CC356" s="80">
        <f>IFERROR(VLOOKUP($H356,'1. Set Program Names'!$B$2:$D$15,3,0)*AC356,"NA")</f>
        <v>14861.645270381161</v>
      </c>
      <c r="CD356" s="80">
        <f>IFERROR(VLOOKUP($H356,'1. Set Program Names'!$B$2:$D$15,3,0)*AD356,"NA")</f>
        <v>17447.594996772154</v>
      </c>
      <c r="CE356" s="80">
        <f>IFERROR(VLOOKUP($H356,'1. Set Program Names'!$B$2:$D$15,3,0)*AE356,"NA")</f>
        <v>19641.109412918609</v>
      </c>
    </row>
    <row r="357" spans="1:83" x14ac:dyDescent="0.25">
      <c r="A357" s="79" t="s">
        <v>113</v>
      </c>
      <c r="B357" s="79" t="s">
        <v>88</v>
      </c>
      <c r="C357" s="79" t="s">
        <v>122</v>
      </c>
      <c r="D357" s="79" t="s">
        <v>90</v>
      </c>
      <c r="E357" s="79" t="s">
        <v>91</v>
      </c>
      <c r="F357" s="79" t="s">
        <v>90</v>
      </c>
      <c r="G357" s="79" t="s">
        <v>92</v>
      </c>
      <c r="H357" s="79" t="s">
        <v>16</v>
      </c>
      <c r="I357" s="79" t="s">
        <v>167</v>
      </c>
      <c r="J357" s="79" t="s">
        <v>124</v>
      </c>
      <c r="K357" s="79" t="s">
        <v>98</v>
      </c>
      <c r="L357" s="79">
        <v>151.65999999999994</v>
      </c>
      <c r="M357" s="79">
        <v>2.2013191527321094E-2</v>
      </c>
      <c r="N357" s="79">
        <v>1.952960139549019E-2</v>
      </c>
      <c r="O357" s="79">
        <v>56.59999999999998</v>
      </c>
      <c r="P357" s="79">
        <v>25.402483751835906</v>
      </c>
      <c r="Q357" s="79"/>
      <c r="R357" s="79">
        <v>70.56447857633529</v>
      </c>
      <c r="S357" s="79">
        <v>171.41744415542868</v>
      </c>
      <c r="T357" s="79">
        <v>16</v>
      </c>
      <c r="U357" s="79">
        <v>0.6</v>
      </c>
      <c r="V357" s="79">
        <f>tbl_Data_old[[#This Row],[2025 ]]*IFERROR(AVERAGEIFS('Participation Adjustment'!$C:$C,'Participation Adjustment'!$A:$A,$H357,'Participation Adjustment'!$B:$B,$I357),1)</f>
        <v>2896.54552335176</v>
      </c>
      <c r="W357" s="79">
        <f>tbl_Data_old[[#This Row],[2026 ]]*IFERROR(AVERAGEIFS('Participation Adjustment'!$C:$C,'Participation Adjustment'!$A:$A,$H357,'Participation Adjustment'!$B:$B,$I357),1)</f>
        <v>6835.9488493275503</v>
      </c>
      <c r="X357" s="79">
        <f>tbl_Data_old[[#This Row],[2027 ]]*IFERROR(AVERAGEIFS('Participation Adjustment'!$C:$C,'Participation Adjustment'!$A:$A,$H357,'Participation Adjustment'!$B:$B,$I357),1)</f>
        <v>11925.2353403872</v>
      </c>
      <c r="Y357" s="79">
        <f>tbl_Data_old[[#This Row],[2028 ]]*IFERROR(AVERAGEIFS('Participation Adjustment'!$C:$C,'Participation Adjustment'!$A:$A,$H357,'Participation Adjustment'!$B:$B,$I357),1)</f>
        <v>18208.690424666798</v>
      </c>
      <c r="Z357" s="79">
        <f>tbl_Data_old[[#This Row],[2029 ]]*IFERROR(AVERAGEIFS('Participation Adjustment'!$C:$C,'Participation Adjustment'!$A:$A,$H357,'Participation Adjustment'!$B:$B,$I357),1)</f>
        <v>25626.5785177533</v>
      </c>
      <c r="AA357" s="79">
        <f>tbl_Data_old[[#This Row],[2030 ]]*IFERROR(AVERAGEIFS('Participation Adjustment'!$C:$C,'Participation Adjustment'!$A:$A,$H357,'Participation Adjustment'!$B:$B,$I357),1)</f>
        <v>34037.777968669703</v>
      </c>
      <c r="AB357" s="79">
        <f>tbl_Data_old[[#This Row],[2031 ]]*IFERROR(AVERAGEIFS('Participation Adjustment'!$C:$C,'Participation Adjustment'!$A:$A,$H357,'Participation Adjustment'!$B:$B,$I357),1)</f>
        <v>43243.958757408502</v>
      </c>
      <c r="AC357" s="79">
        <f>tbl_Data_old[[#This Row],[2032 ]]*IFERROR(AVERAGEIFS('Participation Adjustment'!$C:$C,'Participation Adjustment'!$A:$A,$H357,'Participation Adjustment'!$B:$B,$I357),1)</f>
        <v>53063.311272733103</v>
      </c>
      <c r="AD357" s="79">
        <f>tbl_Data_old[[#This Row],[2033 ]]*IFERROR(AVERAGEIFS('Participation Adjustment'!$C:$C,'Participation Adjustment'!$A:$A,$H357,'Participation Adjustment'!$B:$B,$I357),1)</f>
        <v>63364.141488311099</v>
      </c>
      <c r="AE357" s="79">
        <f>tbl_Data_old[[#This Row],[2034 ]]*IFERROR(AVERAGEIFS('Participation Adjustment'!$C:$C,'Participation Adjustment'!$A:$A,$H357,'Participation Adjustment'!$B:$B,$I357),1)</f>
        <v>74024.130189281001</v>
      </c>
      <c r="AF357" s="77" t="str">
        <f t="shared" si="154"/>
        <v>NonResidential</v>
      </c>
      <c r="AG357" s="77" t="str">
        <f>tbl_Data[[#This Row],[All_Meas_Name_Append]]</f>
        <v>Refrigerated Display Case LED Lighting</v>
      </c>
      <c r="AH357" s="77">
        <f>AVERAGEIFS('3. Incentive Adjustment'!G:G,'3. Incentive Adjustment'!A:A,tbl_Data[[#This Row],[Trimmed Sector]],'3. Incentive Adjustment'!B:B,tbl_Data[[#This Row],[Trimmed Measure Name]])</f>
        <v>0.72450810749703154</v>
      </c>
      <c r="AI357" s="77">
        <f>$AH357*tbl_Data[[#This Row],[2025 ]]</f>
        <v>2098.5707154025827</v>
      </c>
      <c r="AJ357" s="77">
        <f>$AH357*tbl_Data[[#This Row],[2026 ]]</f>
        <v>4952.7003637728139</v>
      </c>
      <c r="AK357" s="77">
        <f>$AH357*tbl_Data[[#This Row],[2027 ]]</f>
        <v>8639.9296879206486</v>
      </c>
      <c r="AL357" s="77">
        <f>$AH357*tbl_Data[[#This Row],[2028 ]]</f>
        <v>13192.343839574662</v>
      </c>
      <c r="AM357" s="77">
        <f>$AH357*tbl_Data[[#This Row],[2029 ]]</f>
        <v>18566.663903521527</v>
      </c>
      <c r="AN357" s="77">
        <f>$AH357*tbl_Data[[#This Row],[2030 ]]</f>
        <v>24660.646099485042</v>
      </c>
      <c r="AO357" s="77">
        <f>$AH357*tbl_Data[[#This Row],[2031 ]]</f>
        <v>31330.598720009719</v>
      </c>
      <c r="AP357" s="77">
        <f>$AH357*tbl_Data[[#This Row],[2032 ]]</f>
        <v>38444.799227733762</v>
      </c>
      <c r="AQ357" s="77">
        <f>$AH357*tbl_Data[[#This Row],[2033 ]]</f>
        <v>45907.834232870417</v>
      </c>
      <c r="AR357" s="77">
        <f>$AH357*tbl_Data[[#This Row],[2034 ]]</f>
        <v>53631.082472549853</v>
      </c>
      <c r="AS357" s="77">
        <f>SUM(tbl_Data[[#This Row],[Adjusted 2025]:[Adjusted 2034]])</f>
        <v>241425.16926284105</v>
      </c>
      <c r="AT357" s="80">
        <f>AVERAGEIFS('3. Incentive Adjustment'!F:F,'3. Incentive Adjustment'!A:A,tbl_Data[[#This Row],[Trimmed Sector]],'3. Incentive Adjustment'!B:B,tbl_Data[[#This Row],[Trimmed Measure Name]])</f>
        <v>6.879122352287844</v>
      </c>
      <c r="AU357" s="80">
        <f>IFERROR(VLOOKUP(tbl_Data[[#This Row],[All_Meas_Name_Append]],'IRA Tax Credits'!$A$3:$D$46,4,0),0)</f>
        <v>0</v>
      </c>
      <c r="AV357" s="81">
        <f>tbl_Data[[#This Row],[Adj. per unit Incentive ($)]]/tbl_Data[[#This Row],[kWh Savings]]*tbl_Data[[#This Row],[Sum of Annuals]]</f>
        <v>10950.766703685129</v>
      </c>
      <c r="AW357" s="81">
        <f>IFERROR(VLOOKUP(tbl_Data[[#This Row],[Column1]],'1. Set Program Names'!$B$2:$D$15,3,0)*tbl_Data[[#This Row],[Sum of Annuals]],"")</f>
        <v>8794.5219340406311</v>
      </c>
      <c r="AX357" s="81">
        <f>tbl_Data[[#This Row],[per unit IRA tax ($)]]/tbl_Data[[#This Row],[kWh Savings]]*tbl_Data[[#This Row],[Sum of Annuals]]</f>
        <v>0</v>
      </c>
      <c r="AY357" s="81">
        <f>tbl_Data[[#This Row],[Avoided Costs ($/unit)]]/tbl_Data[[#This Row],[kWh Savings]]*tbl_Data[[#This Row],[Sum of Annuals]]</f>
        <v>112330.48387337383</v>
      </c>
      <c r="AZ357" s="81">
        <f>tbl_Data[[#This Row],[Lost Revenue ($/unit)]]/tbl_Data[[#This Row],[kWh Savings]]*tbl_Data[[#This Row],[Sum of Annuals]]</f>
        <v>272876.73394321499</v>
      </c>
      <c r="BA357" s="81">
        <f>tbl_Data[[#This Row],[Incremental Cost ($/unit)]]/tbl_Data[[#This Row],[kWh Savings]]*tbl_Data[[#This Row],[Sum of Annuals]]</f>
        <v>90100.650008418859</v>
      </c>
      <c r="BB357" s="77">
        <f>ROUNDUP(tbl_Data[[#This Row],[Adjusted 2025]]/$L357,0)</f>
        <v>14</v>
      </c>
      <c r="BC357" s="77">
        <f>ROUNDUP(tbl_Data[[#This Row],[Adjusted 2026]]/$L357,0)</f>
        <v>33</v>
      </c>
      <c r="BD357" s="77">
        <f>ROUNDUP(tbl_Data[[#This Row],[Adjusted 2027]]/$L357,0)</f>
        <v>57</v>
      </c>
      <c r="BE357" s="77">
        <f>ROUNDUP(tbl_Data[[#This Row],[Adjusted 2028]]/$L357,0)</f>
        <v>87</v>
      </c>
      <c r="BF357" s="77">
        <f>ROUNDUP(tbl_Data[[#This Row],[Adjusted 2029]]/$L357,0)</f>
        <v>123</v>
      </c>
      <c r="BG357" s="77">
        <f>ROUNDUP(tbl_Data[[#This Row],[Adjusted 2030]]/$L357,0)</f>
        <v>163</v>
      </c>
      <c r="BH357" s="77">
        <f>ROUNDUP(tbl_Data[[#This Row],[Adjusted 2031]]/$L357,0)</f>
        <v>207</v>
      </c>
      <c r="BI357" s="77">
        <f>ROUNDUP(tbl_Data[[#This Row],[Adjusted 2032]]/$L357,0)</f>
        <v>254</v>
      </c>
      <c r="BJ357" s="77">
        <f>ROUNDUP(tbl_Data[[#This Row],[Adjusted 2033]]/$L357,0)</f>
        <v>303</v>
      </c>
      <c r="BK357" s="77">
        <f>ROUNDUP(tbl_Data[[#This Row],[Adjusted 2034]]/$L357,0)</f>
        <v>354</v>
      </c>
      <c r="BL357" s="80">
        <f t="shared" si="155"/>
        <v>131.38395789336931</v>
      </c>
      <c r="BM357" s="80">
        <f t="shared" si="156"/>
        <v>310.0707406600655</v>
      </c>
      <c r="BN357" s="80">
        <f t="shared" si="157"/>
        <v>540.91489507022652</v>
      </c>
      <c r="BO357" s="80">
        <f t="shared" si="158"/>
        <v>825.92515697095507</v>
      </c>
      <c r="BP357" s="80">
        <f t="shared" si="159"/>
        <v>1162.3919892795482</v>
      </c>
      <c r="BQ357" s="80">
        <f t="shared" si="160"/>
        <v>1543.9142769780203</v>
      </c>
      <c r="BR357" s="80">
        <f t="shared" si="161"/>
        <v>1961.4959995351614</v>
      </c>
      <c r="BS357" s="80">
        <f t="shared" si="162"/>
        <v>2406.8904830717784</v>
      </c>
      <c r="BT357" s="80">
        <f t="shared" si="163"/>
        <v>2874.1242387298598</v>
      </c>
      <c r="BU357" s="80">
        <f t="shared" si="164"/>
        <v>3357.649008266837</v>
      </c>
      <c r="BV357" s="80">
        <f>IFERROR(VLOOKUP($H357,'1. Set Program Names'!$B$2:$D$15,3,0)*V357,"NA")</f>
        <v>105.51399100534893</v>
      </c>
      <c r="BW357" s="80">
        <f>IFERROR(VLOOKUP($H357,'1. Set Program Names'!$B$2:$D$15,3,0)*W357,"NA")</f>
        <v>249.01671304179203</v>
      </c>
      <c r="BX357" s="80">
        <f>IFERROR(VLOOKUP($H357,'1. Set Program Names'!$B$2:$D$15,3,0)*X357,"NA")</f>
        <v>434.40683541761041</v>
      </c>
      <c r="BY357" s="80">
        <f>IFERROR(VLOOKUP($H357,'1. Set Program Names'!$B$2:$D$15,3,0)*Y357,"NA")</f>
        <v>663.29756677335467</v>
      </c>
      <c r="BZ357" s="80">
        <f>IFERROR(VLOOKUP($H357,'1. Set Program Names'!$B$2:$D$15,3,0)*Z357,"NA")</f>
        <v>933.51288747955823</v>
      </c>
      <c r="CA357" s="80">
        <f>IFERROR(VLOOKUP($H357,'1. Set Program Names'!$B$2:$D$15,3,0)*AA357,"NA")</f>
        <v>1239.9120847485908</v>
      </c>
      <c r="CB357" s="80">
        <f>IFERROR(VLOOKUP($H357,'1. Set Program Names'!$B$2:$D$15,3,0)*AB357,"NA")</f>
        <v>1575.2704863705894</v>
      </c>
      <c r="CC357" s="80">
        <f>IFERROR(VLOOKUP($H357,'1. Set Program Names'!$B$2:$D$15,3,0)*AC357,"NA")</f>
        <v>1932.9652177765036</v>
      </c>
      <c r="CD357" s="80">
        <f>IFERROR(VLOOKUP($H357,'1. Set Program Names'!$B$2:$D$15,3,0)*AD357,"NA")</f>
        <v>2308.1989912324198</v>
      </c>
      <c r="CE357" s="80">
        <f>IFERROR(VLOOKUP($H357,'1. Set Program Names'!$B$2:$D$15,3,0)*AE357,"NA")</f>
        <v>2696.5160202048196</v>
      </c>
    </row>
    <row r="358" spans="1:83" x14ac:dyDescent="0.25">
      <c r="A358" s="79" t="s">
        <v>114</v>
      </c>
      <c r="B358" s="79" t="s">
        <v>88</v>
      </c>
      <c r="C358" s="79" t="s">
        <v>122</v>
      </c>
      <c r="D358" s="79" t="s">
        <v>90</v>
      </c>
      <c r="E358" s="79" t="s">
        <v>91</v>
      </c>
      <c r="F358" s="79" t="s">
        <v>90</v>
      </c>
      <c r="G358" s="79" t="s">
        <v>92</v>
      </c>
      <c r="H358" s="79" t="s">
        <v>16</v>
      </c>
      <c r="I358" s="79" t="s">
        <v>157</v>
      </c>
      <c r="J358" s="79" t="s">
        <v>158</v>
      </c>
      <c r="K358" s="79" t="s">
        <v>159</v>
      </c>
      <c r="L358" s="79">
        <v>562.52000000000032</v>
      </c>
      <c r="M358" s="79">
        <v>0</v>
      </c>
      <c r="N358" s="79">
        <v>2.7796637938074218E-2</v>
      </c>
      <c r="O358" s="79">
        <v>169</v>
      </c>
      <c r="P358" s="79">
        <v>53.285725702774094</v>
      </c>
      <c r="Q358" s="79"/>
      <c r="R358" s="79">
        <v>275.37363005821356</v>
      </c>
      <c r="S358" s="79">
        <v>610.96426176974103</v>
      </c>
      <c r="T358" s="79">
        <v>15</v>
      </c>
      <c r="U358" s="79">
        <v>0.59999999999999898</v>
      </c>
      <c r="V358" s="79">
        <f>tbl_Data_old[[#This Row],[2025 ]]*IFERROR(AVERAGEIFS('Participation Adjustment'!$C:$C,'Participation Adjustment'!$A:$A,$H358,'Participation Adjustment'!$B:$B,$I358),1)</f>
        <v>0</v>
      </c>
      <c r="W358" s="79">
        <f>tbl_Data_old[[#This Row],[2026 ]]*IFERROR(AVERAGEIFS('Participation Adjustment'!$C:$C,'Participation Adjustment'!$A:$A,$H358,'Participation Adjustment'!$B:$B,$I358),1)</f>
        <v>0</v>
      </c>
      <c r="X358" s="79">
        <f>tbl_Data_old[[#This Row],[2027 ]]*IFERROR(AVERAGEIFS('Participation Adjustment'!$C:$C,'Participation Adjustment'!$A:$A,$H358,'Participation Adjustment'!$B:$B,$I358),1)</f>
        <v>0</v>
      </c>
      <c r="Y358" s="79">
        <f>tbl_Data_old[[#This Row],[2028 ]]*IFERROR(AVERAGEIFS('Participation Adjustment'!$C:$C,'Participation Adjustment'!$A:$A,$H358,'Participation Adjustment'!$B:$B,$I358),1)</f>
        <v>0</v>
      </c>
      <c r="Z358" s="79">
        <f>tbl_Data_old[[#This Row],[2029 ]]*IFERROR(AVERAGEIFS('Participation Adjustment'!$C:$C,'Participation Adjustment'!$A:$A,$H358,'Participation Adjustment'!$B:$B,$I358),1)</f>
        <v>0</v>
      </c>
      <c r="AA358" s="79">
        <f>tbl_Data_old[[#This Row],[2030 ]]*IFERROR(AVERAGEIFS('Participation Adjustment'!$C:$C,'Participation Adjustment'!$A:$A,$H358,'Participation Adjustment'!$B:$B,$I358),1)</f>
        <v>0</v>
      </c>
      <c r="AB358" s="79">
        <f>tbl_Data_old[[#This Row],[2031 ]]*IFERROR(AVERAGEIFS('Participation Adjustment'!$C:$C,'Participation Adjustment'!$A:$A,$H358,'Participation Adjustment'!$B:$B,$I358),1)</f>
        <v>0</v>
      </c>
      <c r="AC358" s="79">
        <f>tbl_Data_old[[#This Row],[2032 ]]*IFERROR(AVERAGEIFS('Participation Adjustment'!$C:$C,'Participation Adjustment'!$A:$A,$H358,'Participation Adjustment'!$B:$B,$I358),1)</f>
        <v>0</v>
      </c>
      <c r="AD358" s="79">
        <f>tbl_Data_old[[#This Row],[2033 ]]*IFERROR(AVERAGEIFS('Participation Adjustment'!$C:$C,'Participation Adjustment'!$A:$A,$H358,'Participation Adjustment'!$B:$B,$I358),1)</f>
        <v>0</v>
      </c>
      <c r="AE358" s="79">
        <f>tbl_Data_old[[#This Row],[2034 ]]*IFERROR(AVERAGEIFS('Participation Adjustment'!$C:$C,'Participation Adjustment'!$A:$A,$H358,'Participation Adjustment'!$B:$B,$I358),1)</f>
        <v>0</v>
      </c>
      <c r="AF358" s="77" t="str">
        <f t="shared" si="154"/>
        <v>NonResidential</v>
      </c>
      <c r="AG358" s="77" t="str">
        <f>tbl_Data[[#This Row],[All_Meas_Name_Append]]</f>
        <v>LED Exterior Wall Packs</v>
      </c>
      <c r="AH358" s="77">
        <f>AVERAGEIFS('3. Incentive Adjustment'!G:G,'3. Incentive Adjustment'!A:A,tbl_Data[[#This Row],[Trimmed Sector]],'3. Incentive Adjustment'!B:B,tbl_Data[[#This Row],[Trimmed Measure Name]])</f>
        <v>0.80637708305213962</v>
      </c>
      <c r="AI358" s="77">
        <f>$AH358*tbl_Data[[#This Row],[2025 ]]</f>
        <v>0</v>
      </c>
      <c r="AJ358" s="77">
        <f>$AH358*tbl_Data[[#This Row],[2026 ]]</f>
        <v>0</v>
      </c>
      <c r="AK358" s="77">
        <f>$AH358*tbl_Data[[#This Row],[2027 ]]</f>
        <v>0</v>
      </c>
      <c r="AL358" s="77">
        <f>$AH358*tbl_Data[[#This Row],[2028 ]]</f>
        <v>0</v>
      </c>
      <c r="AM358" s="77">
        <f>$AH358*tbl_Data[[#This Row],[2029 ]]</f>
        <v>0</v>
      </c>
      <c r="AN358" s="77">
        <f>$AH358*tbl_Data[[#This Row],[2030 ]]</f>
        <v>0</v>
      </c>
      <c r="AO358" s="77">
        <f>$AH358*tbl_Data[[#This Row],[2031 ]]</f>
        <v>0</v>
      </c>
      <c r="AP358" s="77">
        <f>$AH358*tbl_Data[[#This Row],[2032 ]]</f>
        <v>0</v>
      </c>
      <c r="AQ358" s="77">
        <f>$AH358*tbl_Data[[#This Row],[2033 ]]</f>
        <v>0</v>
      </c>
      <c r="AR358" s="77">
        <f>$AH358*tbl_Data[[#This Row],[2034 ]]</f>
        <v>0</v>
      </c>
      <c r="AS358" s="77">
        <f>SUM(tbl_Data[[#This Row],[Adjusted 2025]:[Adjusted 2034]])</f>
        <v>0</v>
      </c>
      <c r="AT358" s="80">
        <f>AVERAGEIFS('3. Incentive Adjustment'!F:F,'3. Incentive Adjustment'!A:A,tbl_Data[[#This Row],[Trimmed Sector]],'3. Incentive Adjustment'!B:B,tbl_Data[[#This Row],[Trimmed Measure Name]])</f>
        <v>8.6864493556481861</v>
      </c>
      <c r="AU358" s="80">
        <f>IFERROR(VLOOKUP(tbl_Data[[#This Row],[All_Meas_Name_Append]],'IRA Tax Credits'!$A$3:$D$46,4,0),0)</f>
        <v>0</v>
      </c>
      <c r="AV358" s="81">
        <f>tbl_Data[[#This Row],[Adj. per unit Incentive ($)]]/tbl_Data[[#This Row],[kWh Savings]]*tbl_Data[[#This Row],[Sum of Annuals]]</f>
        <v>0</v>
      </c>
      <c r="AW358" s="81">
        <f>IFERROR(VLOOKUP(tbl_Data[[#This Row],[Column1]],'1. Set Program Names'!$B$2:$D$15,3,0)*tbl_Data[[#This Row],[Sum of Annuals]],"")</f>
        <v>0</v>
      </c>
      <c r="AX358" s="81">
        <f>tbl_Data[[#This Row],[per unit IRA tax ($)]]/tbl_Data[[#This Row],[kWh Savings]]*tbl_Data[[#This Row],[Sum of Annuals]]</f>
        <v>0</v>
      </c>
      <c r="AY358" s="81">
        <f>tbl_Data[[#This Row],[Avoided Costs ($/unit)]]/tbl_Data[[#This Row],[kWh Savings]]*tbl_Data[[#This Row],[Sum of Annuals]]</f>
        <v>0</v>
      </c>
      <c r="AZ358" s="81">
        <f>tbl_Data[[#This Row],[Lost Revenue ($/unit)]]/tbl_Data[[#This Row],[kWh Savings]]*tbl_Data[[#This Row],[Sum of Annuals]]</f>
        <v>0</v>
      </c>
      <c r="BA358" s="81">
        <f>tbl_Data[[#This Row],[Incremental Cost ($/unit)]]/tbl_Data[[#This Row],[kWh Savings]]*tbl_Data[[#This Row],[Sum of Annuals]]</f>
        <v>0</v>
      </c>
      <c r="BB358" s="77">
        <f>ROUNDUP(tbl_Data[[#This Row],[Adjusted 2025]]/$L358,0)</f>
        <v>0</v>
      </c>
      <c r="BC358" s="77">
        <f>ROUNDUP(tbl_Data[[#This Row],[Adjusted 2026]]/$L358,0)</f>
        <v>0</v>
      </c>
      <c r="BD358" s="77">
        <f>ROUNDUP(tbl_Data[[#This Row],[Adjusted 2027]]/$L358,0)</f>
        <v>0</v>
      </c>
      <c r="BE358" s="77">
        <f>ROUNDUP(tbl_Data[[#This Row],[Adjusted 2028]]/$L358,0)</f>
        <v>0</v>
      </c>
      <c r="BF358" s="77">
        <f>ROUNDUP(tbl_Data[[#This Row],[Adjusted 2029]]/$L358,0)</f>
        <v>0</v>
      </c>
      <c r="BG358" s="77">
        <f>ROUNDUP(tbl_Data[[#This Row],[Adjusted 2030]]/$L358,0)</f>
        <v>0</v>
      </c>
      <c r="BH358" s="77">
        <f>ROUNDUP(tbl_Data[[#This Row],[Adjusted 2031]]/$L358,0)</f>
        <v>0</v>
      </c>
      <c r="BI358" s="77">
        <f>ROUNDUP(tbl_Data[[#This Row],[Adjusted 2032]]/$L358,0)</f>
        <v>0</v>
      </c>
      <c r="BJ358" s="77">
        <f>ROUNDUP(tbl_Data[[#This Row],[Adjusted 2033]]/$L358,0)</f>
        <v>0</v>
      </c>
      <c r="BK358" s="77">
        <f>ROUNDUP(tbl_Data[[#This Row],[Adjusted 2034]]/$L358,0)</f>
        <v>0</v>
      </c>
      <c r="BL358" s="80">
        <f t="shared" si="155"/>
        <v>0</v>
      </c>
      <c r="BM358" s="80">
        <f t="shared" si="156"/>
        <v>0</v>
      </c>
      <c r="BN358" s="80">
        <f t="shared" si="157"/>
        <v>0</v>
      </c>
      <c r="BO358" s="80">
        <f t="shared" si="158"/>
        <v>0</v>
      </c>
      <c r="BP358" s="80">
        <f t="shared" si="159"/>
        <v>0</v>
      </c>
      <c r="BQ358" s="80">
        <f t="shared" si="160"/>
        <v>0</v>
      </c>
      <c r="BR358" s="80">
        <f t="shared" si="161"/>
        <v>0</v>
      </c>
      <c r="BS358" s="80">
        <f t="shared" si="162"/>
        <v>0</v>
      </c>
      <c r="BT358" s="80">
        <f t="shared" si="163"/>
        <v>0</v>
      </c>
      <c r="BU358" s="80">
        <f t="shared" si="164"/>
        <v>0</v>
      </c>
      <c r="BV358" s="80">
        <f>IFERROR(VLOOKUP($H358,'1. Set Program Names'!$B$2:$D$15,3,0)*V358,"NA")</f>
        <v>0</v>
      </c>
      <c r="BW358" s="80">
        <f>IFERROR(VLOOKUP($H358,'1. Set Program Names'!$B$2:$D$15,3,0)*W358,"NA")</f>
        <v>0</v>
      </c>
      <c r="BX358" s="80">
        <f>IFERROR(VLOOKUP($H358,'1. Set Program Names'!$B$2:$D$15,3,0)*X358,"NA")</f>
        <v>0</v>
      </c>
      <c r="BY358" s="80">
        <f>IFERROR(VLOOKUP($H358,'1. Set Program Names'!$B$2:$D$15,3,0)*Y358,"NA")</f>
        <v>0</v>
      </c>
      <c r="BZ358" s="80">
        <f>IFERROR(VLOOKUP($H358,'1. Set Program Names'!$B$2:$D$15,3,0)*Z358,"NA")</f>
        <v>0</v>
      </c>
      <c r="CA358" s="80">
        <f>IFERROR(VLOOKUP($H358,'1. Set Program Names'!$B$2:$D$15,3,0)*AA358,"NA")</f>
        <v>0</v>
      </c>
      <c r="CB358" s="80">
        <f>IFERROR(VLOOKUP($H358,'1. Set Program Names'!$B$2:$D$15,3,0)*AB358,"NA")</f>
        <v>0</v>
      </c>
      <c r="CC358" s="80">
        <f>IFERROR(VLOOKUP($H358,'1. Set Program Names'!$B$2:$D$15,3,0)*AC358,"NA")</f>
        <v>0</v>
      </c>
      <c r="CD358" s="80">
        <f>IFERROR(VLOOKUP($H358,'1. Set Program Names'!$B$2:$D$15,3,0)*AD358,"NA")</f>
        <v>0</v>
      </c>
      <c r="CE358" s="80">
        <f>IFERROR(VLOOKUP($H358,'1. Set Program Names'!$B$2:$D$15,3,0)*AE358,"NA")</f>
        <v>0</v>
      </c>
    </row>
    <row r="359" spans="1:83" x14ac:dyDescent="0.25">
      <c r="A359" s="79" t="s">
        <v>114</v>
      </c>
      <c r="B359" s="79" t="s">
        <v>88</v>
      </c>
      <c r="C359" s="79" t="s">
        <v>122</v>
      </c>
      <c r="D359" s="79" t="s">
        <v>90</v>
      </c>
      <c r="E359" s="79" t="s">
        <v>91</v>
      </c>
      <c r="F359" s="79" t="s">
        <v>90</v>
      </c>
      <c r="G359" s="79" t="s">
        <v>92</v>
      </c>
      <c r="H359" s="79" t="s">
        <v>16</v>
      </c>
      <c r="I359" s="79" t="s">
        <v>160</v>
      </c>
      <c r="J359" s="79" t="s">
        <v>161</v>
      </c>
      <c r="K359" s="79" t="s">
        <v>159</v>
      </c>
      <c r="L359" s="79">
        <v>1059.6621428571407</v>
      </c>
      <c r="M359" s="79">
        <v>0.13879011985330975</v>
      </c>
      <c r="N359" s="79">
        <v>0.14661252282673942</v>
      </c>
      <c r="O359" s="79">
        <v>179</v>
      </c>
      <c r="P359" s="79">
        <v>5.0437849584490522</v>
      </c>
      <c r="Q359" s="79"/>
      <c r="R359" s="79">
        <v>417.01467834907817</v>
      </c>
      <c r="S359" s="79">
        <v>1150.9203207638036</v>
      </c>
      <c r="T359" s="79">
        <v>15</v>
      </c>
      <c r="U359" s="79">
        <v>0.59999999999999898</v>
      </c>
      <c r="V359" s="79">
        <f>tbl_Data_old[[#This Row],[2025 ]]*IFERROR(AVERAGEIFS('Participation Adjustment'!$C:$C,'Participation Adjustment'!$A:$A,$H359,'Participation Adjustment'!$B:$B,$I359),1)</f>
        <v>19.290960707175898</v>
      </c>
      <c r="W359" s="79">
        <f>tbl_Data_old[[#This Row],[2026 ]]*IFERROR(AVERAGEIFS('Participation Adjustment'!$C:$C,'Participation Adjustment'!$A:$A,$H359,'Participation Adjustment'!$B:$B,$I359),1)</f>
        <v>20.997312904308</v>
      </c>
      <c r="X359" s="79">
        <f>tbl_Data_old[[#This Row],[2027 ]]*IFERROR(AVERAGEIFS('Participation Adjustment'!$C:$C,'Participation Adjustment'!$A:$A,$H359,'Participation Adjustment'!$B:$B,$I359),1)</f>
        <v>22.351170187649849</v>
      </c>
      <c r="Y359" s="79">
        <f>tbl_Data_old[[#This Row],[2028 ]]*IFERROR(AVERAGEIFS('Participation Adjustment'!$C:$C,'Participation Adjustment'!$A:$A,$H359,'Participation Adjustment'!$B:$B,$I359),1)</f>
        <v>23.485483795313698</v>
      </c>
      <c r="Z359" s="79">
        <f>tbl_Data_old[[#This Row],[2029 ]]*IFERROR(AVERAGEIFS('Participation Adjustment'!$C:$C,'Participation Adjustment'!$A:$A,$H359,'Participation Adjustment'!$B:$B,$I359),1)</f>
        <v>24.40126791504585</v>
      </c>
      <c r="AA359" s="79">
        <f>tbl_Data_old[[#This Row],[2030 ]]*IFERROR(AVERAGEIFS('Participation Adjustment'!$C:$C,'Participation Adjustment'!$A:$A,$H359,'Participation Adjustment'!$B:$B,$I359),1)</f>
        <v>25.105244696518049</v>
      </c>
      <c r="AB359" s="79">
        <f>tbl_Data_old[[#This Row],[2031 ]]*IFERROR(AVERAGEIFS('Participation Adjustment'!$C:$C,'Participation Adjustment'!$A:$A,$H359,'Participation Adjustment'!$B:$B,$I359),1)</f>
        <v>25.625088091563597</v>
      </c>
      <c r="AC359" s="79">
        <f>tbl_Data_old[[#This Row],[2032 ]]*IFERROR(AVERAGEIFS('Participation Adjustment'!$C:$C,'Participation Adjustment'!$A:$A,$H359,'Participation Adjustment'!$B:$B,$I359),1)</f>
        <v>26.038406176601249</v>
      </c>
      <c r="AD359" s="79">
        <f>tbl_Data_old[[#This Row],[2033 ]]*IFERROR(AVERAGEIFS('Participation Adjustment'!$C:$C,'Participation Adjustment'!$A:$A,$H359,'Participation Adjustment'!$B:$B,$I359),1)</f>
        <v>26.3835472415442</v>
      </c>
      <c r="AE359" s="79">
        <f>tbl_Data_old[[#This Row],[2034 ]]*IFERROR(AVERAGEIFS('Participation Adjustment'!$C:$C,'Participation Adjustment'!$A:$A,$H359,'Participation Adjustment'!$B:$B,$I359),1)</f>
        <v>26.632854678383701</v>
      </c>
      <c r="AF359" s="77" t="str">
        <f t="shared" si="154"/>
        <v>NonResidential</v>
      </c>
      <c r="AG359" s="77" t="str">
        <f>tbl_Data[[#This Row],[All_Meas_Name_Append]]</f>
        <v>LED High Bay_HID Baseline</v>
      </c>
      <c r="AH359" s="77">
        <f>AVERAGEIFS('3. Incentive Adjustment'!G:G,'3. Incentive Adjustment'!A:A,tbl_Data[[#This Row],[Trimmed Sector]],'3. Incentive Adjustment'!B:B,tbl_Data[[#This Row],[Trimmed Measure Name]])</f>
        <v>1.0603846876879557</v>
      </c>
      <c r="AI359" s="77">
        <f>$AH359*tbl_Data[[#This Row],[2025 ]]</f>
        <v>20.45583934467934</v>
      </c>
      <c r="AJ359" s="77">
        <f>$AH359*tbl_Data[[#This Row],[2026 ]]</f>
        <v>22.265229086320922</v>
      </c>
      <c r="AK359" s="77">
        <f>$AH359*tbl_Data[[#This Row],[2027 ]]</f>
        <v>23.700838618891432</v>
      </c>
      <c r="AL359" s="77">
        <f>$AH359*tbl_Data[[#This Row],[2028 ]]</f>
        <v>24.903647399494261</v>
      </c>
      <c r="AM359" s="77">
        <f>$AH359*tbl_Data[[#This Row],[2029 ]]</f>
        <v>25.874730857286028</v>
      </c>
      <c r="AN359" s="77">
        <f>$AH359*tbl_Data[[#This Row],[2030 ]]</f>
        <v>26.621217056846998</v>
      </c>
      <c r="AO359" s="77">
        <f>$AH359*tbl_Data[[#This Row],[2031 ]]</f>
        <v>27.172451032949017</v>
      </c>
      <c r="AP359" s="77">
        <f>$AH359*tbl_Data[[#This Row],[2032 ]]</f>
        <v>27.610727201467451</v>
      </c>
      <c r="AQ359" s="77">
        <f>$AH359*tbl_Data[[#This Row],[2033 ]]</f>
        <v>27.976709501825272</v>
      </c>
      <c r="AR359" s="77">
        <f>$AH359*tbl_Data[[#This Row],[2034 ]]</f>
        <v>28.24107129037661</v>
      </c>
      <c r="AS359" s="77">
        <f>SUM(tbl_Data[[#This Row],[Adjusted 2025]:[Adjusted 2034]])</f>
        <v>254.82246139013733</v>
      </c>
      <c r="AT359" s="80">
        <f>AVERAGEIFS('3. Incentive Adjustment'!F:F,'3. Incentive Adjustment'!A:A,tbl_Data[[#This Row],[Trimmed Sector]],'3. Incentive Adjustment'!B:B,tbl_Data[[#This Row],[Trimmed Measure Name]])</f>
        <v>28.590998621954778</v>
      </c>
      <c r="AU359" s="80">
        <f>IFERROR(VLOOKUP(tbl_Data[[#This Row],[All_Meas_Name_Append]],'IRA Tax Credits'!$A$3:$D$46,4,0),0)</f>
        <v>0</v>
      </c>
      <c r="AV359" s="81">
        <f>tbl_Data[[#This Row],[Adj. per unit Incentive ($)]]/tbl_Data[[#This Row],[kWh Savings]]*tbl_Data[[#This Row],[Sum of Annuals]]</f>
        <v>6.8754259945575509</v>
      </c>
      <c r="AW359" s="81">
        <f>IFERROR(VLOOKUP(tbl_Data[[#This Row],[Column1]],'1. Set Program Names'!$B$2:$D$15,3,0)*tbl_Data[[#This Row],[Sum of Annuals]],"")</f>
        <v>9.2825521581883983</v>
      </c>
      <c r="AX359" s="81">
        <f>tbl_Data[[#This Row],[per unit IRA tax ($)]]/tbl_Data[[#This Row],[kWh Savings]]*tbl_Data[[#This Row],[Sum of Annuals]]</f>
        <v>0</v>
      </c>
      <c r="AY359" s="81">
        <f>tbl_Data[[#This Row],[Avoided Costs ($/unit)]]/tbl_Data[[#This Row],[kWh Savings]]*tbl_Data[[#This Row],[Sum of Annuals]]</f>
        <v>100.28168646867918</v>
      </c>
      <c r="AZ359" s="81">
        <f>tbl_Data[[#This Row],[Lost Revenue ($/unit)]]/tbl_Data[[#This Row],[kWh Savings]]*tbl_Data[[#This Row],[Sum of Annuals]]</f>
        <v>276.76778959961172</v>
      </c>
      <c r="BA359" s="81">
        <f>tbl_Data[[#This Row],[Incremental Cost ($/unit)]]/tbl_Data[[#This Row],[kWh Savings]]*tbl_Data[[#This Row],[Sum of Annuals]]</f>
        <v>43.045060065889295</v>
      </c>
      <c r="BB359" s="77">
        <f>ROUNDUP(tbl_Data[[#This Row],[Adjusted 2025]]/$L359,0)</f>
        <v>1</v>
      </c>
      <c r="BC359" s="77">
        <f>ROUNDUP(tbl_Data[[#This Row],[Adjusted 2026]]/$L359,0)</f>
        <v>1</v>
      </c>
      <c r="BD359" s="77">
        <f>ROUNDUP(tbl_Data[[#This Row],[Adjusted 2027]]/$L359,0)</f>
        <v>1</v>
      </c>
      <c r="BE359" s="77">
        <f>ROUNDUP(tbl_Data[[#This Row],[Adjusted 2028]]/$L359,0)</f>
        <v>1</v>
      </c>
      <c r="BF359" s="77">
        <f>ROUNDUP(tbl_Data[[#This Row],[Adjusted 2029]]/$L359,0)</f>
        <v>1</v>
      </c>
      <c r="BG359" s="77">
        <f>ROUNDUP(tbl_Data[[#This Row],[Adjusted 2030]]/$L359,0)</f>
        <v>1</v>
      </c>
      <c r="BH359" s="77">
        <f>ROUNDUP(tbl_Data[[#This Row],[Adjusted 2031]]/$L359,0)</f>
        <v>1</v>
      </c>
      <c r="BI359" s="77">
        <f>ROUNDUP(tbl_Data[[#This Row],[Adjusted 2032]]/$L359,0)</f>
        <v>1</v>
      </c>
      <c r="BJ359" s="77">
        <f>ROUNDUP(tbl_Data[[#This Row],[Adjusted 2033]]/$L359,0)</f>
        <v>1</v>
      </c>
      <c r="BK359" s="77">
        <f>ROUNDUP(tbl_Data[[#This Row],[Adjusted 2034]]/$L359,0)</f>
        <v>1</v>
      </c>
      <c r="BL359" s="80">
        <f t="shared" si="155"/>
        <v>0.52049404115534903</v>
      </c>
      <c r="BM359" s="80">
        <f t="shared" si="156"/>
        <v>0.56653353935355033</v>
      </c>
      <c r="BN359" s="80">
        <f t="shared" si="157"/>
        <v>0.60306228767514503</v>
      </c>
      <c r="BO359" s="80">
        <f t="shared" si="158"/>
        <v>0.63366747538727597</v>
      </c>
      <c r="BP359" s="80">
        <f t="shared" si="159"/>
        <v>0.65837646653295656</v>
      </c>
      <c r="BQ359" s="80">
        <f t="shared" si="160"/>
        <v>0.6773706330459649</v>
      </c>
      <c r="BR359" s="80">
        <f t="shared" si="161"/>
        <v>0.69139665246315885</v>
      </c>
      <c r="BS359" s="80">
        <f t="shared" si="162"/>
        <v>0.70254848692228</v>
      </c>
      <c r="BT359" s="80">
        <f t="shared" si="163"/>
        <v>0.71186082083802915</v>
      </c>
      <c r="BU359" s="80">
        <f t="shared" si="164"/>
        <v>0.71858744463144153</v>
      </c>
      <c r="BV359" s="80">
        <f>IFERROR(VLOOKUP($H359,'1. Set Program Names'!$B$2:$D$15,3,0)*V359,"NA")</f>
        <v>0.70272199698975968</v>
      </c>
      <c r="BW359" s="80">
        <f>IFERROR(VLOOKUP($H359,'1. Set Program Names'!$B$2:$D$15,3,0)*W359,"NA")</f>
        <v>0.76488018816219272</v>
      </c>
      <c r="BX359" s="80">
        <f>IFERROR(VLOOKUP($H359,'1. Set Program Names'!$B$2:$D$15,3,0)*X359,"NA")</f>
        <v>0.81419786125429627</v>
      </c>
      <c r="BY359" s="80">
        <f>IFERROR(VLOOKUP($H359,'1. Set Program Names'!$B$2:$D$15,3,0)*Y359,"NA")</f>
        <v>0.85551810111636228</v>
      </c>
      <c r="BZ359" s="80">
        <f>IFERROR(VLOOKUP($H359,'1. Set Program Names'!$B$2:$D$15,3,0)*Z359,"NA")</f>
        <v>0.88887785210016379</v>
      </c>
      <c r="CA359" s="80">
        <f>IFERROR(VLOOKUP($H359,'1. Set Program Names'!$B$2:$D$15,3,0)*AA359,"NA")</f>
        <v>0.9145219854960992</v>
      </c>
      <c r="CB359" s="80">
        <f>IFERROR(VLOOKUP($H359,'1. Set Program Names'!$B$2:$D$15,3,0)*AB359,"NA")</f>
        <v>0.93345859493890715</v>
      </c>
      <c r="CC359" s="80">
        <f>IFERROR(VLOOKUP($H359,'1. Set Program Names'!$B$2:$D$15,3,0)*AC359,"NA")</f>
        <v>0.94851475074775704</v>
      </c>
      <c r="CD359" s="80">
        <f>IFERROR(VLOOKUP($H359,'1. Set Program Names'!$B$2:$D$15,3,0)*AD359,"NA")</f>
        <v>0.96108738629875179</v>
      </c>
      <c r="CE359" s="80">
        <f>IFERROR(VLOOKUP($H359,'1. Set Program Names'!$B$2:$D$15,3,0)*AE359,"NA")</f>
        <v>0.97016903974979452</v>
      </c>
    </row>
    <row r="360" spans="1:83" x14ac:dyDescent="0.25">
      <c r="A360" s="79" t="s">
        <v>114</v>
      </c>
      <c r="B360" s="79" t="s">
        <v>88</v>
      </c>
      <c r="C360" s="79" t="s">
        <v>122</v>
      </c>
      <c r="D360" s="79" t="s">
        <v>90</v>
      </c>
      <c r="E360" s="79" t="s">
        <v>91</v>
      </c>
      <c r="F360" s="79" t="s">
        <v>90</v>
      </c>
      <c r="G360" s="79" t="s">
        <v>92</v>
      </c>
      <c r="H360" s="79" t="s">
        <v>16</v>
      </c>
      <c r="I360" s="79" t="s">
        <v>162</v>
      </c>
      <c r="J360" s="79" t="s">
        <v>161</v>
      </c>
      <c r="K360" s="79" t="s">
        <v>159</v>
      </c>
      <c r="L360" s="79">
        <v>632.51142857142861</v>
      </c>
      <c r="M360" s="79">
        <v>7.5636667797052567E-2</v>
      </c>
      <c r="N360" s="79">
        <v>7.2066360150851286E-2</v>
      </c>
      <c r="O360" s="79">
        <v>179</v>
      </c>
      <c r="P360" s="79">
        <v>51.895440493260928</v>
      </c>
      <c r="Q360" s="79"/>
      <c r="R360" s="79">
        <v>248.91572427603518</v>
      </c>
      <c r="S360" s="79">
        <v>686.98335706831222</v>
      </c>
      <c r="T360" s="79">
        <v>15</v>
      </c>
      <c r="U360" s="79">
        <v>0.59999999999999898</v>
      </c>
      <c r="V360" s="79">
        <f>tbl_Data_old[[#This Row],[2025 ]]*IFERROR(AVERAGEIFS('Participation Adjustment'!$C:$C,'Participation Adjustment'!$A:$A,$H360,'Participation Adjustment'!$B:$B,$I360),1)</f>
        <v>56.7934305314607</v>
      </c>
      <c r="W360" s="79">
        <f>tbl_Data_old[[#This Row],[2026 ]]*IFERROR(AVERAGEIFS('Participation Adjustment'!$C:$C,'Participation Adjustment'!$A:$A,$H360,'Participation Adjustment'!$B:$B,$I360),1)</f>
        <v>61.817005896163806</v>
      </c>
      <c r="X360" s="79">
        <f>tbl_Data_old[[#This Row],[2027 ]]*IFERROR(AVERAGEIFS('Participation Adjustment'!$C:$C,'Participation Adjustment'!$A:$A,$H360,'Participation Adjustment'!$B:$B,$I360),1)</f>
        <v>65.802820845358355</v>
      </c>
      <c r="Y360" s="79">
        <f>tbl_Data_old[[#This Row],[2028 ]]*IFERROR(AVERAGEIFS('Participation Adjustment'!$C:$C,'Participation Adjustment'!$A:$A,$H360,'Participation Adjustment'!$B:$B,$I360),1)</f>
        <v>69.142289628465008</v>
      </c>
      <c r="Z360" s="79">
        <f>tbl_Data_old[[#This Row],[2029 ]]*IFERROR(AVERAGEIFS('Participation Adjustment'!$C:$C,'Participation Adjustment'!$A:$A,$H360,'Participation Adjustment'!$B:$B,$I360),1)</f>
        <v>71.838398058486007</v>
      </c>
      <c r="AA360" s="79">
        <f>tbl_Data_old[[#This Row],[2030 ]]*IFERROR(AVERAGEIFS('Participation Adjustment'!$C:$C,'Participation Adjustment'!$A:$A,$H360,'Participation Adjustment'!$B:$B,$I360),1)</f>
        <v>73.910936437532854</v>
      </c>
      <c r="AB360" s="79">
        <f>tbl_Data_old[[#This Row],[2031 ]]*IFERROR(AVERAGEIFS('Participation Adjustment'!$C:$C,'Participation Adjustment'!$A:$A,$H360,'Participation Adjustment'!$B:$B,$I360),1)</f>
        <v>75.44137808799826</v>
      </c>
      <c r="AC360" s="79">
        <f>tbl_Data_old[[#This Row],[2032 ]]*IFERROR(AVERAGEIFS('Participation Adjustment'!$C:$C,'Participation Adjustment'!$A:$A,$H360,'Participation Adjustment'!$B:$B,$I360),1)</f>
        <v>76.658204575092441</v>
      </c>
      <c r="AD360" s="79">
        <f>tbl_Data_old[[#This Row],[2033 ]]*IFERROR(AVERAGEIFS('Participation Adjustment'!$C:$C,'Participation Adjustment'!$A:$A,$H360,'Participation Adjustment'!$B:$B,$I360),1)</f>
        <v>77.674314938538302</v>
      </c>
      <c r="AE360" s="79">
        <f>tbl_Data_old[[#This Row],[2034 ]]*IFERROR(AVERAGEIFS('Participation Adjustment'!$C:$C,'Participation Adjustment'!$A:$A,$H360,'Participation Adjustment'!$B:$B,$I360),1)</f>
        <v>78.408286916919749</v>
      </c>
      <c r="AF360" s="77" t="str">
        <f t="shared" si="154"/>
        <v>NonResidential</v>
      </c>
      <c r="AG360" s="77" t="str">
        <f>tbl_Data[[#This Row],[All_Meas_Name_Append]]</f>
        <v>LED High Bay_LF Baseline</v>
      </c>
      <c r="AH360" s="77">
        <f>AVERAGEIFS('3. Incentive Adjustment'!G:G,'3. Incentive Adjustment'!A:A,tbl_Data[[#This Row],[Trimmed Sector]],'3. Incentive Adjustment'!B:B,tbl_Data[[#This Row],[Trimmed Measure Name]])</f>
        <v>0.93017466414143679</v>
      </c>
      <c r="AI360" s="77">
        <f>$AH360*tbl_Data[[#This Row],[2025 ]]</f>
        <v>52.827810170041481</v>
      </c>
      <c r="AJ360" s="77">
        <f>$AH360*tbl_Data[[#This Row],[2026 ]]</f>
        <v>57.500612697693384</v>
      </c>
      <c r="AK360" s="77">
        <f>$AH360*tbl_Data[[#This Row],[2027 ]]</f>
        <v>61.208116779390345</v>
      </c>
      <c r="AL360" s="77">
        <f>$AH360*tbl_Data[[#This Row],[2028 ]]</f>
        <v>64.314406033127383</v>
      </c>
      <c r="AM360" s="77">
        <f>$AH360*tbl_Data[[#This Row],[2029 ]]</f>
        <v>66.822257786511059</v>
      </c>
      <c r="AN360" s="77">
        <f>$AH360*tbl_Data[[#This Row],[2030 ]]</f>
        <v>68.750080477161205</v>
      </c>
      <c r="AO360" s="77">
        <f>$AH360*tbl_Data[[#This Row],[2031 ]]</f>
        <v>70.173658525370925</v>
      </c>
      <c r="AP360" s="77">
        <f>$AH360*tbl_Data[[#This Row],[2032 ]]</f>
        <v>71.305519694322157</v>
      </c>
      <c r="AQ360" s="77">
        <f>$AH360*tbl_Data[[#This Row],[2033 ]]</f>
        <v>72.250679810371054</v>
      </c>
      <c r="AR360" s="77">
        <f>$AH360*tbl_Data[[#This Row],[2034 ]]</f>
        <v>72.933401948851241</v>
      </c>
      <c r="AS360" s="77">
        <f>SUM(tbl_Data[[#This Row],[Adjusted 2025]:[Adjusted 2034]])</f>
        <v>658.08654392284018</v>
      </c>
      <c r="AT360" s="80">
        <f>AVERAGEIFS('3. Incentive Adjustment'!F:F,'3. Incentive Adjustment'!A:A,tbl_Data[[#This Row],[Trimmed Sector]],'3. Incentive Adjustment'!B:B,tbl_Data[[#This Row],[Trimmed Measure Name]])</f>
        <v>23.858858929800434</v>
      </c>
      <c r="AU360" s="80">
        <f>IFERROR(VLOOKUP(tbl_Data[[#This Row],[All_Meas_Name_Append]],'IRA Tax Credits'!$A$3:$D$46,4,0),0)</f>
        <v>0</v>
      </c>
      <c r="AV360" s="81">
        <f>tbl_Data[[#This Row],[Adj. per unit Incentive ($)]]/tbl_Data[[#This Row],[kWh Savings]]*tbl_Data[[#This Row],[Sum of Annuals]]</f>
        <v>24.823573623827173</v>
      </c>
      <c r="AW360" s="81">
        <f>IFERROR(VLOOKUP(tbl_Data[[#This Row],[Column1]],'1. Set Program Names'!$B$2:$D$15,3,0)*tbl_Data[[#This Row],[Sum of Annuals]],"")</f>
        <v>23.972465516739323</v>
      </c>
      <c r="AX360" s="81">
        <f>tbl_Data[[#This Row],[per unit IRA tax ($)]]/tbl_Data[[#This Row],[kWh Savings]]*tbl_Data[[#This Row],[Sum of Annuals]]</f>
        <v>0</v>
      </c>
      <c r="AY360" s="81">
        <f>tbl_Data[[#This Row],[Avoided Costs ($/unit)]]/tbl_Data[[#This Row],[kWh Savings]]*tbl_Data[[#This Row],[Sum of Annuals]]</f>
        <v>258.98044101248678</v>
      </c>
      <c r="AZ360" s="81">
        <f>tbl_Data[[#This Row],[Lost Revenue ($/unit)]]/tbl_Data[[#This Row],[kWh Savings]]*tbl_Data[[#This Row],[Sum of Annuals]]</f>
        <v>714.76100314374264</v>
      </c>
      <c r="BA360" s="81">
        <f>tbl_Data[[#This Row],[Incremental Cost ($/unit)]]/tbl_Data[[#This Row],[kWh Savings]]*tbl_Data[[#This Row],[Sum of Annuals]]</f>
        <v>186.2377279541688</v>
      </c>
      <c r="BB360" s="77">
        <f>ROUNDUP(tbl_Data[[#This Row],[Adjusted 2025]]/$L360,0)</f>
        <v>1</v>
      </c>
      <c r="BC360" s="77">
        <f>ROUNDUP(tbl_Data[[#This Row],[Adjusted 2026]]/$L360,0)</f>
        <v>1</v>
      </c>
      <c r="BD360" s="77">
        <f>ROUNDUP(tbl_Data[[#This Row],[Adjusted 2027]]/$L360,0)</f>
        <v>1</v>
      </c>
      <c r="BE360" s="77">
        <f>ROUNDUP(tbl_Data[[#This Row],[Adjusted 2028]]/$L360,0)</f>
        <v>1</v>
      </c>
      <c r="BF360" s="77">
        <f>ROUNDUP(tbl_Data[[#This Row],[Adjusted 2029]]/$L360,0)</f>
        <v>1</v>
      </c>
      <c r="BG360" s="77">
        <f>ROUNDUP(tbl_Data[[#This Row],[Adjusted 2030]]/$L360,0)</f>
        <v>1</v>
      </c>
      <c r="BH360" s="77">
        <f>ROUNDUP(tbl_Data[[#This Row],[Adjusted 2031]]/$L360,0)</f>
        <v>1</v>
      </c>
      <c r="BI360" s="77">
        <f>ROUNDUP(tbl_Data[[#This Row],[Adjusted 2032]]/$L360,0)</f>
        <v>1</v>
      </c>
      <c r="BJ360" s="77">
        <f>ROUNDUP(tbl_Data[[#This Row],[Adjusted 2033]]/$L360,0)</f>
        <v>1</v>
      </c>
      <c r="BK360" s="77">
        <f>ROUNDUP(tbl_Data[[#This Row],[Adjusted 2034]]/$L360,0)</f>
        <v>1</v>
      </c>
      <c r="BL360" s="80">
        <f t="shared" si="155"/>
        <v>2.1422955949585982</v>
      </c>
      <c r="BM360" s="80">
        <f t="shared" si="156"/>
        <v>2.3317890499944656</v>
      </c>
      <c r="BN360" s="80">
        <f t="shared" si="157"/>
        <v>2.4821373161244638</v>
      </c>
      <c r="BO360" s="80">
        <f t="shared" si="158"/>
        <v>2.6081048654801608</v>
      </c>
      <c r="BP360" s="80">
        <f t="shared" si="159"/>
        <v>2.7098043254197255</v>
      </c>
      <c r="BQ360" s="80">
        <f t="shared" si="160"/>
        <v>2.7879822026542262</v>
      </c>
      <c r="BR360" s="80">
        <f t="shared" si="161"/>
        <v>2.8457117388955173</v>
      </c>
      <c r="BS360" s="80">
        <f t="shared" si="162"/>
        <v>2.8916114494559979</v>
      </c>
      <c r="BT360" s="80">
        <f t="shared" si="163"/>
        <v>2.9299399803306385</v>
      </c>
      <c r="BU360" s="80">
        <f t="shared" si="164"/>
        <v>2.9576260158702352</v>
      </c>
      <c r="BV360" s="80">
        <f>IFERROR(VLOOKUP($H360,'1. Set Program Names'!$B$2:$D$15,3,0)*V360,"NA")</f>
        <v>2.0688442387486403</v>
      </c>
      <c r="BW360" s="80">
        <f>IFERROR(VLOOKUP($H360,'1. Set Program Names'!$B$2:$D$15,3,0)*W360,"NA")</f>
        <v>2.2518406672779649</v>
      </c>
      <c r="BX360" s="80">
        <f>IFERROR(VLOOKUP($H360,'1. Set Program Names'!$B$2:$D$15,3,0)*X360,"NA")</f>
        <v>2.3970340499842879</v>
      </c>
      <c r="BY360" s="80">
        <f>IFERROR(VLOOKUP($H360,'1. Set Program Names'!$B$2:$D$15,3,0)*Y360,"NA")</f>
        <v>2.5186826401074711</v>
      </c>
      <c r="BZ360" s="80">
        <f>IFERROR(VLOOKUP($H360,'1. Set Program Names'!$B$2:$D$15,3,0)*Z360,"NA")</f>
        <v>2.6168952034320401</v>
      </c>
      <c r="CA360" s="80">
        <f>IFERROR(VLOOKUP($H360,'1. Set Program Names'!$B$2:$D$15,3,0)*AA360,"NA")</f>
        <v>2.6923926517276016</v>
      </c>
      <c r="CB360" s="80">
        <f>IFERROR(VLOOKUP($H360,'1. Set Program Names'!$B$2:$D$15,3,0)*AB360,"NA")</f>
        <v>2.7481428566663992</v>
      </c>
      <c r="CC360" s="80">
        <f>IFERROR(VLOOKUP($H360,'1. Set Program Names'!$B$2:$D$15,3,0)*AC360,"NA")</f>
        <v>2.792468836693033</v>
      </c>
      <c r="CD360" s="80">
        <f>IFERROR(VLOOKUP($H360,'1. Set Program Names'!$B$2:$D$15,3,0)*AD360,"NA")</f>
        <v>2.8294832246543882</v>
      </c>
      <c r="CE360" s="80">
        <f>IFERROR(VLOOKUP($H360,'1. Set Program Names'!$B$2:$D$15,3,0)*AE360,"NA")</f>
        <v>2.856220008903338</v>
      </c>
    </row>
    <row r="361" spans="1:83" x14ac:dyDescent="0.25">
      <c r="A361" s="79" t="s">
        <v>114</v>
      </c>
      <c r="B361" s="79" t="s">
        <v>88</v>
      </c>
      <c r="C361" s="79" t="s">
        <v>122</v>
      </c>
      <c r="D361" s="79" t="s">
        <v>90</v>
      </c>
      <c r="E361" s="79" t="s">
        <v>91</v>
      </c>
      <c r="F361" s="79" t="s">
        <v>90</v>
      </c>
      <c r="G361" s="79" t="s">
        <v>92</v>
      </c>
      <c r="H361" s="79" t="s">
        <v>16</v>
      </c>
      <c r="I361" s="79" t="s">
        <v>163</v>
      </c>
      <c r="J361" s="79" t="s">
        <v>161</v>
      </c>
      <c r="K361" s="79" t="s">
        <v>159</v>
      </c>
      <c r="L361" s="79">
        <v>217.06142857142831</v>
      </c>
      <c r="M361" s="79">
        <v>3.4743730880075478E-2</v>
      </c>
      <c r="N361" s="79">
        <v>3.4497784431073229E-2</v>
      </c>
      <c r="O361" s="79">
        <v>109.07999999999996</v>
      </c>
      <c r="P361" s="79">
        <v>64.428955263702662</v>
      </c>
      <c r="Q361" s="79"/>
      <c r="R361" s="79">
        <v>85.561030664747506</v>
      </c>
      <c r="S361" s="79">
        <v>235.75477399173039</v>
      </c>
      <c r="T361" s="79">
        <v>15</v>
      </c>
      <c r="U361" s="79">
        <v>0.59999999999999898</v>
      </c>
      <c r="V361" s="79">
        <f>tbl_Data_old[[#This Row],[2025 ]]*IFERROR(AVERAGEIFS('Participation Adjustment'!$C:$C,'Participation Adjustment'!$A:$A,$H361,'Participation Adjustment'!$B:$B,$I361),1)</f>
        <v>179.6068190487654</v>
      </c>
      <c r="W361" s="79">
        <f>tbl_Data_old[[#This Row],[2026 ]]*IFERROR(AVERAGEIFS('Participation Adjustment'!$C:$C,'Participation Adjustment'!$A:$A,$H361,'Participation Adjustment'!$B:$B,$I361),1)</f>
        <v>188.8199338201386</v>
      </c>
      <c r="X361" s="79">
        <f>tbl_Data_old[[#This Row],[2027 ]]*IFERROR(AVERAGEIFS('Participation Adjustment'!$C:$C,'Participation Adjustment'!$A:$A,$H361,'Participation Adjustment'!$B:$B,$I361),1)</f>
        <v>193.78162371948781</v>
      </c>
      <c r="Y361" s="79">
        <f>tbl_Data_old[[#This Row],[2028 ]]*IFERROR(AVERAGEIFS('Participation Adjustment'!$C:$C,'Participation Adjustment'!$A:$A,$H361,'Participation Adjustment'!$B:$B,$I361),1)</f>
        <v>196.82064192530339</v>
      </c>
      <c r="Z361" s="79">
        <f>tbl_Data_old[[#This Row],[2029 ]]*IFERROR(AVERAGEIFS('Participation Adjustment'!$C:$C,'Participation Adjustment'!$A:$A,$H361,'Participation Adjustment'!$B:$B,$I361),1)</f>
        <v>198.52942796575829</v>
      </c>
      <c r="AA361" s="79">
        <f>tbl_Data_old[[#This Row],[2030 ]]*IFERROR(AVERAGEIFS('Participation Adjustment'!$C:$C,'Participation Adjustment'!$A:$A,$H361,'Participation Adjustment'!$B:$B,$I361),1)</f>
        <v>198.74884365278939</v>
      </c>
      <c r="AB361" s="79">
        <f>tbl_Data_old[[#This Row],[2031 ]]*IFERROR(AVERAGEIFS('Participation Adjustment'!$C:$C,'Participation Adjustment'!$A:$A,$H361,'Participation Adjustment'!$B:$B,$I361),1)</f>
        <v>198.16660743269131</v>
      </c>
      <c r="AC361" s="79">
        <f>tbl_Data_old[[#This Row],[2032 ]]*IFERROR(AVERAGEIFS('Participation Adjustment'!$C:$C,'Participation Adjustment'!$A:$A,$H361,'Participation Adjustment'!$B:$B,$I361),1)</f>
        <v>197.3486447239452</v>
      </c>
      <c r="AD361" s="79">
        <f>tbl_Data_old[[#This Row],[2033 ]]*IFERROR(AVERAGEIFS('Participation Adjustment'!$C:$C,'Participation Adjustment'!$A:$A,$H361,'Participation Adjustment'!$B:$B,$I361),1)</f>
        <v>196.14310869818669</v>
      </c>
      <c r="AE361" s="79">
        <f>tbl_Data_old[[#This Row],[2034 ]]*IFERROR(AVERAGEIFS('Participation Adjustment'!$C:$C,'Participation Adjustment'!$A:$A,$H361,'Participation Adjustment'!$B:$B,$I361),1)</f>
        <v>194.7939068955861</v>
      </c>
      <c r="AF361" s="77" t="str">
        <f t="shared" si="154"/>
        <v>NonResidential</v>
      </c>
      <c r="AG361" s="77" t="str">
        <f>tbl_Data[[#This Row],[All_Meas_Name_Append]]</f>
        <v>LED Linear - Fixture Replacement</v>
      </c>
      <c r="AH361" s="77">
        <f>AVERAGEIFS('3. Incentive Adjustment'!G:G,'3. Incentive Adjustment'!A:A,tbl_Data[[#This Row],[Trimmed Sector]],'3. Incentive Adjustment'!B:B,tbl_Data[[#This Row],[Trimmed Measure Name]])</f>
        <v>0.56055357916158088</v>
      </c>
      <c r="AI361" s="77">
        <f>$AH361*tbl_Data[[#This Row],[2025 ]]</f>
        <v>100.67924525961185</v>
      </c>
      <c r="AJ361" s="77">
        <f>$AH361*tbl_Data[[#This Row],[2026 ]]</f>
        <v>105.84368971993153</v>
      </c>
      <c r="AK361" s="77">
        <f>$AH361*tbl_Data[[#This Row],[2027 ]]</f>
        <v>108.62498275170159</v>
      </c>
      <c r="AL361" s="77">
        <f>$AH361*tbl_Data[[#This Row],[2028 ]]</f>
        <v>110.32851528410872</v>
      </c>
      <c r="AM361" s="77">
        <f>$AH361*tbl_Data[[#This Row],[2029 ]]</f>
        <v>111.28638141510706</v>
      </c>
      <c r="AN361" s="77">
        <f>$AH361*tbl_Data[[#This Row],[2030 ]]</f>
        <v>111.40937566379654</v>
      </c>
      <c r="AO361" s="77">
        <f>$AH361*tbl_Data[[#This Row],[2031 ]]</f>
        <v>111.08300106670305</v>
      </c>
      <c r="AP361" s="77">
        <f>$AH361*tbl_Data[[#This Row],[2032 ]]</f>
        <v>110.62448914269471</v>
      </c>
      <c r="AQ361" s="77">
        <f>$AH361*tbl_Data[[#This Row],[2033 ]]</f>
        <v>109.94872160864756</v>
      </c>
      <c r="AR361" s="77">
        <f>$AH361*tbl_Data[[#This Row],[2034 ]]</f>
        <v>109.19242170918854</v>
      </c>
      <c r="AS361" s="77">
        <f>SUM(tbl_Data[[#This Row],[Adjusted 2025]:[Adjusted 2034]])</f>
        <v>1089.0208236214912</v>
      </c>
      <c r="AT361" s="80">
        <f>AVERAGEIFS('3. Incentive Adjustment'!F:F,'3. Incentive Adjustment'!A:A,tbl_Data[[#This Row],[Trimmed Sector]],'3. Incentive Adjustment'!B:B,tbl_Data[[#This Row],[Trimmed Measure Name]])</f>
        <v>16.810726621008875</v>
      </c>
      <c r="AU361" s="80">
        <f>IFERROR(VLOOKUP(tbl_Data[[#This Row],[All_Meas_Name_Append]],'IRA Tax Credits'!$A$3:$D$46,4,0),0)</f>
        <v>0</v>
      </c>
      <c r="AV361" s="81">
        <f>tbl_Data[[#This Row],[Adj. per unit Incentive ($)]]/tbl_Data[[#This Row],[kWh Savings]]*tbl_Data[[#This Row],[Sum of Annuals]]</f>
        <v>84.3412460287133</v>
      </c>
      <c r="AW361" s="81">
        <f>IFERROR(VLOOKUP(tbl_Data[[#This Row],[Column1]],'1. Set Program Names'!$B$2:$D$15,3,0)*tbl_Data[[#This Row],[Sum of Annuals]],"")</f>
        <v>39.670335736781468</v>
      </c>
      <c r="AX361" s="81">
        <f>tbl_Data[[#This Row],[per unit IRA tax ($)]]/tbl_Data[[#This Row],[kWh Savings]]*tbl_Data[[#This Row],[Sum of Annuals]]</f>
        <v>0</v>
      </c>
      <c r="AY361" s="81">
        <f>tbl_Data[[#This Row],[Avoided Costs ($/unit)]]/tbl_Data[[#This Row],[kWh Savings]]*tbl_Data[[#This Row],[Sum of Annuals]]</f>
        <v>429.26900784569852</v>
      </c>
      <c r="AZ361" s="81">
        <f>tbl_Data[[#This Row],[Lost Revenue ($/unit)]]/tbl_Data[[#This Row],[kWh Savings]]*tbl_Data[[#This Row],[Sum of Annuals]]</f>
        <v>1182.8073731703412</v>
      </c>
      <c r="BA361" s="81">
        <f>tbl_Data[[#This Row],[Incremental Cost ($/unit)]]/tbl_Data[[#This Row],[kWh Savings]]*tbl_Data[[#This Row],[Sum of Annuals]]</f>
        <v>547.26623805270822</v>
      </c>
      <c r="BB361" s="77">
        <f>ROUNDUP(tbl_Data[[#This Row],[Adjusted 2025]]/$L361,0)</f>
        <v>1</v>
      </c>
      <c r="BC361" s="77">
        <f>ROUNDUP(tbl_Data[[#This Row],[Adjusted 2026]]/$L361,0)</f>
        <v>1</v>
      </c>
      <c r="BD361" s="77">
        <f>ROUNDUP(tbl_Data[[#This Row],[Adjusted 2027]]/$L361,0)</f>
        <v>1</v>
      </c>
      <c r="BE361" s="77">
        <f>ROUNDUP(tbl_Data[[#This Row],[Adjusted 2028]]/$L361,0)</f>
        <v>1</v>
      </c>
      <c r="BF361" s="77">
        <f>ROUNDUP(tbl_Data[[#This Row],[Adjusted 2029]]/$L361,0)</f>
        <v>1</v>
      </c>
      <c r="BG361" s="77">
        <f>ROUNDUP(tbl_Data[[#This Row],[Adjusted 2030]]/$L361,0)</f>
        <v>1</v>
      </c>
      <c r="BH361" s="77">
        <f>ROUNDUP(tbl_Data[[#This Row],[Adjusted 2031]]/$L361,0)</f>
        <v>1</v>
      </c>
      <c r="BI361" s="77">
        <f>ROUNDUP(tbl_Data[[#This Row],[Adjusted 2032]]/$L361,0)</f>
        <v>1</v>
      </c>
      <c r="BJ361" s="77">
        <f>ROUNDUP(tbl_Data[[#This Row],[Adjusted 2033]]/$L361,0)</f>
        <v>1</v>
      </c>
      <c r="BK361" s="77">
        <f>ROUNDUP(tbl_Data[[#This Row],[Adjusted 2034]]/$L361,0)</f>
        <v>1</v>
      </c>
      <c r="BL361" s="80">
        <f t="shared" si="155"/>
        <v>13.909984625869344</v>
      </c>
      <c r="BM361" s="80">
        <f t="shared" si="156"/>
        <v>14.623511459120454</v>
      </c>
      <c r="BN361" s="80">
        <f t="shared" si="157"/>
        <v>15.007778774714634</v>
      </c>
      <c r="BO361" s="80">
        <f t="shared" si="158"/>
        <v>15.243141199952811</v>
      </c>
      <c r="BP361" s="80">
        <f t="shared" si="159"/>
        <v>15.375481317535842</v>
      </c>
      <c r="BQ361" s="80">
        <f t="shared" si="160"/>
        <v>15.392474374088158</v>
      </c>
      <c r="BR361" s="80">
        <f t="shared" si="161"/>
        <v>15.347382005585214</v>
      </c>
      <c r="BS361" s="80">
        <f t="shared" si="162"/>
        <v>15.284033360119231</v>
      </c>
      <c r="BT361" s="80">
        <f t="shared" si="163"/>
        <v>15.190668377246954</v>
      </c>
      <c r="BU361" s="80">
        <f t="shared" si="164"/>
        <v>15.086176930704081</v>
      </c>
      <c r="BV361" s="80">
        <f>IFERROR(VLOOKUP($H361,'1. Set Program Names'!$B$2:$D$15,3,0)*V361,"NA")</f>
        <v>6.5426322965852899</v>
      </c>
      <c r="BW361" s="80">
        <f>IFERROR(VLOOKUP($H361,'1. Set Program Names'!$B$2:$D$15,3,0)*W361,"NA")</f>
        <v>6.8782432860487077</v>
      </c>
      <c r="BX361" s="80">
        <f>IFERROR(VLOOKUP($H361,'1. Set Program Names'!$B$2:$D$15,3,0)*X361,"NA")</f>
        <v>7.0589853801019924</v>
      </c>
      <c r="BY361" s="80">
        <f>IFERROR(VLOOKUP($H361,'1. Set Program Names'!$B$2:$D$15,3,0)*Y361,"NA")</f>
        <v>7.1696892986312832</v>
      </c>
      <c r="BZ361" s="80">
        <f>IFERROR(VLOOKUP($H361,'1. Set Program Names'!$B$2:$D$15,3,0)*Z361,"NA")</f>
        <v>7.2319361486976987</v>
      </c>
      <c r="CA361" s="80">
        <f>IFERROR(VLOOKUP($H361,'1. Set Program Names'!$B$2:$D$15,3,0)*AA361,"NA")</f>
        <v>7.2399289196178129</v>
      </c>
      <c r="CB361" s="80">
        <f>IFERROR(VLOOKUP($H361,'1. Set Program Names'!$B$2:$D$15,3,0)*AB361,"NA")</f>
        <v>7.2187194938397123</v>
      </c>
      <c r="CC361" s="80">
        <f>IFERROR(VLOOKUP($H361,'1. Set Program Names'!$B$2:$D$15,3,0)*AC361,"NA")</f>
        <v>7.1889231349710014</v>
      </c>
      <c r="CD361" s="80">
        <f>IFERROR(VLOOKUP($H361,'1. Set Program Names'!$B$2:$D$15,3,0)*AD361,"NA")</f>
        <v>7.1450084385324262</v>
      </c>
      <c r="CE361" s="80">
        <f>IFERROR(VLOOKUP($H361,'1. Set Program Names'!$B$2:$D$15,3,0)*AE361,"NA")</f>
        <v>7.0958603530919229</v>
      </c>
    </row>
    <row r="362" spans="1:83" x14ac:dyDescent="0.25">
      <c r="A362" s="79" t="s">
        <v>114</v>
      </c>
      <c r="B362" s="79" t="s">
        <v>88</v>
      </c>
      <c r="C362" s="79" t="s">
        <v>122</v>
      </c>
      <c r="D362" s="79" t="s">
        <v>90</v>
      </c>
      <c r="E362" s="79" t="s">
        <v>91</v>
      </c>
      <c r="F362" s="79" t="s">
        <v>90</v>
      </c>
      <c r="G362" s="79" t="s">
        <v>92</v>
      </c>
      <c r="H362" s="79" t="s">
        <v>16</v>
      </c>
      <c r="I362" s="79" t="s">
        <v>164</v>
      </c>
      <c r="J362" s="79" t="s">
        <v>158</v>
      </c>
      <c r="K362" s="79" t="s">
        <v>159</v>
      </c>
      <c r="L362" s="79">
        <v>612.05999999999972</v>
      </c>
      <c r="M362" s="79">
        <v>0</v>
      </c>
      <c r="N362" s="79">
        <v>3.0244631686656035E-2</v>
      </c>
      <c r="O362" s="79">
        <v>255</v>
      </c>
      <c r="P362" s="79">
        <v>129.09500333079711</v>
      </c>
      <c r="Q362" s="79"/>
      <c r="R362" s="79">
        <v>299.62522934905462</v>
      </c>
      <c r="S362" s="79">
        <v>664.77065003695441</v>
      </c>
      <c r="T362" s="79">
        <v>15</v>
      </c>
      <c r="U362" s="79">
        <v>0.59999999999999898</v>
      </c>
      <c r="V362" s="79">
        <f>tbl_Data_old[[#This Row],[2025 ]]*IFERROR(AVERAGEIFS('Participation Adjustment'!$C:$C,'Participation Adjustment'!$A:$A,$H362,'Participation Adjustment'!$B:$B,$I362),1)</f>
        <v>0</v>
      </c>
      <c r="W362" s="79">
        <f>tbl_Data_old[[#This Row],[2026 ]]*IFERROR(AVERAGEIFS('Participation Adjustment'!$C:$C,'Participation Adjustment'!$A:$A,$H362,'Participation Adjustment'!$B:$B,$I362),1)</f>
        <v>0</v>
      </c>
      <c r="X362" s="79">
        <f>tbl_Data_old[[#This Row],[2027 ]]*IFERROR(AVERAGEIFS('Participation Adjustment'!$C:$C,'Participation Adjustment'!$A:$A,$H362,'Participation Adjustment'!$B:$B,$I362),1)</f>
        <v>0</v>
      </c>
      <c r="Y362" s="79">
        <f>tbl_Data_old[[#This Row],[2028 ]]*IFERROR(AVERAGEIFS('Participation Adjustment'!$C:$C,'Participation Adjustment'!$A:$A,$H362,'Participation Adjustment'!$B:$B,$I362),1)</f>
        <v>0</v>
      </c>
      <c r="Z362" s="79">
        <f>tbl_Data_old[[#This Row],[2029 ]]*IFERROR(AVERAGEIFS('Participation Adjustment'!$C:$C,'Participation Adjustment'!$A:$A,$H362,'Participation Adjustment'!$B:$B,$I362),1)</f>
        <v>0</v>
      </c>
      <c r="AA362" s="79">
        <f>tbl_Data_old[[#This Row],[2030 ]]*IFERROR(AVERAGEIFS('Participation Adjustment'!$C:$C,'Participation Adjustment'!$A:$A,$H362,'Participation Adjustment'!$B:$B,$I362),1)</f>
        <v>0</v>
      </c>
      <c r="AB362" s="79">
        <f>tbl_Data_old[[#This Row],[2031 ]]*IFERROR(AVERAGEIFS('Participation Adjustment'!$C:$C,'Participation Adjustment'!$A:$A,$H362,'Participation Adjustment'!$B:$B,$I362),1)</f>
        <v>0</v>
      </c>
      <c r="AC362" s="79">
        <f>tbl_Data_old[[#This Row],[2032 ]]*IFERROR(AVERAGEIFS('Participation Adjustment'!$C:$C,'Participation Adjustment'!$A:$A,$H362,'Participation Adjustment'!$B:$B,$I362),1)</f>
        <v>0</v>
      </c>
      <c r="AD362" s="79">
        <f>tbl_Data_old[[#This Row],[2033 ]]*IFERROR(AVERAGEIFS('Participation Adjustment'!$C:$C,'Participation Adjustment'!$A:$A,$H362,'Participation Adjustment'!$B:$B,$I362),1)</f>
        <v>0</v>
      </c>
      <c r="AE362" s="79">
        <f>tbl_Data_old[[#This Row],[2034 ]]*IFERROR(AVERAGEIFS('Participation Adjustment'!$C:$C,'Participation Adjustment'!$A:$A,$H362,'Participation Adjustment'!$B:$B,$I362),1)</f>
        <v>0</v>
      </c>
      <c r="AF362" s="77" t="str">
        <f t="shared" si="154"/>
        <v>NonResidential</v>
      </c>
      <c r="AG362" s="77" t="str">
        <f>tbl_Data[[#This Row],[All_Meas_Name_Append]]</f>
        <v>LED Parking Lighting</v>
      </c>
      <c r="AH362" s="77">
        <f>AVERAGEIFS('3. Incentive Adjustment'!G:G,'3. Incentive Adjustment'!A:A,tbl_Data[[#This Row],[Trimmed Sector]],'3. Incentive Adjustment'!B:B,tbl_Data[[#This Row],[Trimmed Measure Name]])</f>
        <v>0.59704067730377497</v>
      </c>
      <c r="AI362" s="77">
        <f>$AH362*tbl_Data[[#This Row],[2025 ]]</f>
        <v>0</v>
      </c>
      <c r="AJ362" s="77">
        <f>$AH362*tbl_Data[[#This Row],[2026 ]]</f>
        <v>0</v>
      </c>
      <c r="AK362" s="77">
        <f>$AH362*tbl_Data[[#This Row],[2027 ]]</f>
        <v>0</v>
      </c>
      <c r="AL362" s="77">
        <f>$AH362*tbl_Data[[#This Row],[2028 ]]</f>
        <v>0</v>
      </c>
      <c r="AM362" s="77">
        <f>$AH362*tbl_Data[[#This Row],[2029 ]]</f>
        <v>0</v>
      </c>
      <c r="AN362" s="77">
        <f>$AH362*tbl_Data[[#This Row],[2030 ]]</f>
        <v>0</v>
      </c>
      <c r="AO362" s="77">
        <f>$AH362*tbl_Data[[#This Row],[2031 ]]</f>
        <v>0</v>
      </c>
      <c r="AP362" s="77">
        <f>$AH362*tbl_Data[[#This Row],[2032 ]]</f>
        <v>0</v>
      </c>
      <c r="AQ362" s="77">
        <f>$AH362*tbl_Data[[#This Row],[2033 ]]</f>
        <v>0</v>
      </c>
      <c r="AR362" s="77">
        <f>$AH362*tbl_Data[[#This Row],[2034 ]]</f>
        <v>0</v>
      </c>
      <c r="AS362" s="77">
        <f>SUM(tbl_Data[[#This Row],[Adjusted 2025]:[Adjusted 2034]])</f>
        <v>0</v>
      </c>
      <c r="AT362" s="80">
        <f>AVERAGEIFS('3. Incentive Adjustment'!F:F,'3. Incentive Adjustment'!A:A,tbl_Data[[#This Row],[Trimmed Sector]],'3. Incentive Adjustment'!B:B,tbl_Data[[#This Row],[Trimmed Measure Name]])</f>
        <v>9.4514474020799994</v>
      </c>
      <c r="AU362" s="80">
        <f>IFERROR(VLOOKUP(tbl_Data[[#This Row],[All_Meas_Name_Append]],'IRA Tax Credits'!$A$3:$D$46,4,0),0)</f>
        <v>0</v>
      </c>
      <c r="AV362" s="81">
        <f>tbl_Data[[#This Row],[Adj. per unit Incentive ($)]]/tbl_Data[[#This Row],[kWh Savings]]*tbl_Data[[#This Row],[Sum of Annuals]]</f>
        <v>0</v>
      </c>
      <c r="AW362" s="81">
        <f>IFERROR(VLOOKUP(tbl_Data[[#This Row],[Column1]],'1. Set Program Names'!$B$2:$D$15,3,0)*tbl_Data[[#This Row],[Sum of Annuals]],"")</f>
        <v>0</v>
      </c>
      <c r="AX362" s="81">
        <f>tbl_Data[[#This Row],[per unit IRA tax ($)]]/tbl_Data[[#This Row],[kWh Savings]]*tbl_Data[[#This Row],[Sum of Annuals]]</f>
        <v>0</v>
      </c>
      <c r="AY362" s="81">
        <f>tbl_Data[[#This Row],[Avoided Costs ($/unit)]]/tbl_Data[[#This Row],[kWh Savings]]*tbl_Data[[#This Row],[Sum of Annuals]]</f>
        <v>0</v>
      </c>
      <c r="AZ362" s="81">
        <f>tbl_Data[[#This Row],[Lost Revenue ($/unit)]]/tbl_Data[[#This Row],[kWh Savings]]*tbl_Data[[#This Row],[Sum of Annuals]]</f>
        <v>0</v>
      </c>
      <c r="BA362" s="81">
        <f>tbl_Data[[#This Row],[Incremental Cost ($/unit)]]/tbl_Data[[#This Row],[kWh Savings]]*tbl_Data[[#This Row],[Sum of Annuals]]</f>
        <v>0</v>
      </c>
      <c r="BB362" s="77">
        <f>ROUNDUP(tbl_Data[[#This Row],[Adjusted 2025]]/$L362,0)</f>
        <v>0</v>
      </c>
      <c r="BC362" s="77">
        <f>ROUNDUP(tbl_Data[[#This Row],[Adjusted 2026]]/$L362,0)</f>
        <v>0</v>
      </c>
      <c r="BD362" s="77">
        <f>ROUNDUP(tbl_Data[[#This Row],[Adjusted 2027]]/$L362,0)</f>
        <v>0</v>
      </c>
      <c r="BE362" s="77">
        <f>ROUNDUP(tbl_Data[[#This Row],[Adjusted 2028]]/$L362,0)</f>
        <v>0</v>
      </c>
      <c r="BF362" s="77">
        <f>ROUNDUP(tbl_Data[[#This Row],[Adjusted 2029]]/$L362,0)</f>
        <v>0</v>
      </c>
      <c r="BG362" s="77">
        <f>ROUNDUP(tbl_Data[[#This Row],[Adjusted 2030]]/$L362,0)</f>
        <v>0</v>
      </c>
      <c r="BH362" s="77">
        <f>ROUNDUP(tbl_Data[[#This Row],[Adjusted 2031]]/$L362,0)</f>
        <v>0</v>
      </c>
      <c r="BI362" s="77">
        <f>ROUNDUP(tbl_Data[[#This Row],[Adjusted 2032]]/$L362,0)</f>
        <v>0</v>
      </c>
      <c r="BJ362" s="77">
        <f>ROUNDUP(tbl_Data[[#This Row],[Adjusted 2033]]/$L362,0)</f>
        <v>0</v>
      </c>
      <c r="BK362" s="77">
        <f>ROUNDUP(tbl_Data[[#This Row],[Adjusted 2034]]/$L362,0)</f>
        <v>0</v>
      </c>
      <c r="BL362" s="80">
        <f t="shared" si="155"/>
        <v>0</v>
      </c>
      <c r="BM362" s="80">
        <f t="shared" si="156"/>
        <v>0</v>
      </c>
      <c r="BN362" s="80">
        <f t="shared" si="157"/>
        <v>0</v>
      </c>
      <c r="BO362" s="80">
        <f t="shared" si="158"/>
        <v>0</v>
      </c>
      <c r="BP362" s="80">
        <f t="shared" si="159"/>
        <v>0</v>
      </c>
      <c r="BQ362" s="80">
        <f t="shared" si="160"/>
        <v>0</v>
      </c>
      <c r="BR362" s="80">
        <f t="shared" si="161"/>
        <v>0</v>
      </c>
      <c r="BS362" s="80">
        <f t="shared" si="162"/>
        <v>0</v>
      </c>
      <c r="BT362" s="80">
        <f t="shared" si="163"/>
        <v>0</v>
      </c>
      <c r="BU362" s="80">
        <f t="shared" si="164"/>
        <v>0</v>
      </c>
      <c r="BV362" s="80">
        <f>IFERROR(VLOOKUP($H362,'1. Set Program Names'!$B$2:$D$15,3,0)*V362,"NA")</f>
        <v>0</v>
      </c>
      <c r="BW362" s="80">
        <f>IFERROR(VLOOKUP($H362,'1. Set Program Names'!$B$2:$D$15,3,0)*W362,"NA")</f>
        <v>0</v>
      </c>
      <c r="BX362" s="80">
        <f>IFERROR(VLOOKUP($H362,'1. Set Program Names'!$B$2:$D$15,3,0)*X362,"NA")</f>
        <v>0</v>
      </c>
      <c r="BY362" s="80">
        <f>IFERROR(VLOOKUP($H362,'1. Set Program Names'!$B$2:$D$15,3,0)*Y362,"NA")</f>
        <v>0</v>
      </c>
      <c r="BZ362" s="80">
        <f>IFERROR(VLOOKUP($H362,'1. Set Program Names'!$B$2:$D$15,3,0)*Z362,"NA")</f>
        <v>0</v>
      </c>
      <c r="CA362" s="80">
        <f>IFERROR(VLOOKUP($H362,'1. Set Program Names'!$B$2:$D$15,3,0)*AA362,"NA")</f>
        <v>0</v>
      </c>
      <c r="CB362" s="80">
        <f>IFERROR(VLOOKUP($H362,'1. Set Program Names'!$B$2:$D$15,3,0)*AB362,"NA")</f>
        <v>0</v>
      </c>
      <c r="CC362" s="80">
        <f>IFERROR(VLOOKUP($H362,'1. Set Program Names'!$B$2:$D$15,3,0)*AC362,"NA")</f>
        <v>0</v>
      </c>
      <c r="CD362" s="80">
        <f>IFERROR(VLOOKUP($H362,'1. Set Program Names'!$B$2:$D$15,3,0)*AD362,"NA")</f>
        <v>0</v>
      </c>
      <c r="CE362" s="80">
        <f>IFERROR(VLOOKUP($H362,'1. Set Program Names'!$B$2:$D$15,3,0)*AE362,"NA")</f>
        <v>0</v>
      </c>
    </row>
    <row r="363" spans="1:83" x14ac:dyDescent="0.25">
      <c r="A363" s="79" t="s">
        <v>114</v>
      </c>
      <c r="B363" s="79" t="s">
        <v>88</v>
      </c>
      <c r="C363" s="79" t="s">
        <v>122</v>
      </c>
      <c r="D363" s="79" t="s">
        <v>90</v>
      </c>
      <c r="E363" s="79" t="s">
        <v>91</v>
      </c>
      <c r="F363" s="79" t="s">
        <v>90</v>
      </c>
      <c r="G363" s="79" t="s">
        <v>92</v>
      </c>
      <c r="H363" s="79" t="s">
        <v>16</v>
      </c>
      <c r="I363" s="79" t="s">
        <v>165</v>
      </c>
      <c r="J363" s="79" t="s">
        <v>161</v>
      </c>
      <c r="K363" s="79" t="s">
        <v>166</v>
      </c>
      <c r="L363" s="79">
        <v>510.6</v>
      </c>
      <c r="M363" s="79">
        <v>6.2552429943266097E-2</v>
      </c>
      <c r="N363" s="79">
        <v>6.4361142955417797E-2</v>
      </c>
      <c r="O363" s="79">
        <v>129</v>
      </c>
      <c r="P363" s="79">
        <v>26.468747947944401</v>
      </c>
      <c r="Q363" s="79">
        <v>18.5998954178316</v>
      </c>
      <c r="R363" s="79">
        <v>174.74401692254699</v>
      </c>
      <c r="S363" s="79">
        <v>419.99719394182398</v>
      </c>
      <c r="T363" s="79">
        <v>10</v>
      </c>
      <c r="U363" s="79">
        <v>0.59999999999999898</v>
      </c>
      <c r="V363" s="79">
        <f>tbl_Data_old[[#This Row],[2025 ]]*IFERROR(AVERAGEIFS('Participation Adjustment'!$C:$C,'Participation Adjustment'!$A:$A,$H363,'Participation Adjustment'!$B:$B,$I363),1)</f>
        <v>3.0293053560174399</v>
      </c>
      <c r="W363" s="79">
        <f>tbl_Data_old[[#This Row],[2026 ]]*IFERROR(AVERAGEIFS('Participation Adjustment'!$C:$C,'Participation Adjustment'!$A:$A,$H363,'Participation Adjustment'!$B:$B,$I363),1)</f>
        <v>4.1545222052128201</v>
      </c>
      <c r="X363" s="79">
        <f>tbl_Data_old[[#This Row],[2027 ]]*IFERROR(AVERAGEIFS('Participation Adjustment'!$C:$C,'Participation Adjustment'!$A:$A,$H363,'Participation Adjustment'!$B:$B,$I363),1)</f>
        <v>5.5264143879446701</v>
      </c>
      <c r="Y363" s="79">
        <f>tbl_Data_old[[#This Row],[2028 ]]*IFERROR(AVERAGEIFS('Participation Adjustment'!$C:$C,'Participation Adjustment'!$A:$A,$H363,'Participation Adjustment'!$B:$B,$I363),1)</f>
        <v>7.1280837333242797</v>
      </c>
      <c r="Z363" s="79">
        <f>tbl_Data_old[[#This Row],[2029 ]]*IFERROR(AVERAGEIFS('Participation Adjustment'!$C:$C,'Participation Adjustment'!$A:$A,$H363,'Participation Adjustment'!$B:$B,$I363),1)</f>
        <v>8.8291245787013306</v>
      </c>
      <c r="AA363" s="79">
        <f>tbl_Data_old[[#This Row],[2030 ]]*IFERROR(AVERAGEIFS('Participation Adjustment'!$C:$C,'Participation Adjustment'!$A:$A,$H363,'Participation Adjustment'!$B:$B,$I363),1)</f>
        <v>10.365781900306599</v>
      </c>
      <c r="AB363" s="79">
        <f>tbl_Data_old[[#This Row],[2031 ]]*IFERROR(AVERAGEIFS('Participation Adjustment'!$C:$C,'Participation Adjustment'!$A:$A,$H363,'Participation Adjustment'!$B:$B,$I363),1)</f>
        <v>11.3944497308264</v>
      </c>
      <c r="AC363" s="79">
        <f>tbl_Data_old[[#This Row],[2032 ]]*IFERROR(AVERAGEIFS('Participation Adjustment'!$C:$C,'Participation Adjustment'!$A:$A,$H363,'Participation Adjustment'!$B:$B,$I363),1)</f>
        <v>11.591639003286099</v>
      </c>
      <c r="AD363" s="79">
        <f>tbl_Data_old[[#This Row],[2033 ]]*IFERROR(AVERAGEIFS('Participation Adjustment'!$C:$C,'Participation Adjustment'!$A:$A,$H363,'Participation Adjustment'!$B:$B,$I363),1)</f>
        <v>10.791459692596201</v>
      </c>
      <c r="AE363" s="79">
        <f>tbl_Data_old[[#This Row],[2034 ]]*IFERROR(AVERAGEIFS('Participation Adjustment'!$C:$C,'Participation Adjustment'!$A:$A,$H363,'Participation Adjustment'!$B:$B,$I363),1)</f>
        <v>9.1537829082274609</v>
      </c>
      <c r="AF363" s="77" t="str">
        <f t="shared" si="154"/>
        <v>NonResidential</v>
      </c>
      <c r="AG363" s="77" t="str">
        <f>tbl_Data[[#This Row],[All_Meas_Name_Append]]</f>
        <v>Occupancy Sensors_ Ceiling Mounted</v>
      </c>
      <c r="AH363" s="77">
        <f>AVERAGEIFS('3. Incentive Adjustment'!G:G,'3. Incentive Adjustment'!A:A,tbl_Data[[#This Row],[Trimmed Sector]],'3. Incentive Adjustment'!B:B,tbl_Data[[#This Row],[Trimmed Measure Name]])</f>
        <v>0.99348124042467356</v>
      </c>
      <c r="AI363" s="77">
        <f>$AH363*tbl_Data[[#This Row],[2025 ]]</f>
        <v>3.0095580427213133</v>
      </c>
      <c r="AJ363" s="77">
        <f>$AH363*tbl_Data[[#This Row],[2026 ]]</f>
        <v>4.1274398738066829</v>
      </c>
      <c r="AK363" s="77">
        <f>$AH363*tbl_Data[[#This Row],[2027 ]]</f>
        <v>5.4903890212360338</v>
      </c>
      <c r="AL363" s="77">
        <f>$AH363*tbl_Data[[#This Row],[2028 ]]</f>
        <v>7.0816174692339438</v>
      </c>
      <c r="AM363" s="77">
        <f>$AH363*tbl_Data[[#This Row],[2029 ]]</f>
        <v>8.7715696383121706</v>
      </c>
      <c r="AN363" s="77">
        <f>$AH363*tbl_Data[[#This Row],[2030 ]]</f>
        <v>10.29820986028823</v>
      </c>
      <c r="AO363" s="77">
        <f>$AH363*tbl_Data[[#This Row],[2031 ]]</f>
        <v>11.320172052538</v>
      </c>
      <c r="AP363" s="77">
        <f>$AH363*tbl_Data[[#This Row],[2032 ]]</f>
        <v>11.5160758955397</v>
      </c>
      <c r="AQ363" s="77">
        <f>$AH363*tbl_Data[[#This Row],[2033 ]]</f>
        <v>10.721112761393339</v>
      </c>
      <c r="AR363" s="77">
        <f>$AH363*tbl_Data[[#This Row],[2034 ]]</f>
        <v>9.0941115982439928</v>
      </c>
      <c r="AS363" s="77">
        <f>SUM(tbl_Data[[#This Row],[Adjusted 2025]:[Adjusted 2034]])</f>
        <v>81.430256213313413</v>
      </c>
      <c r="AT363" s="80">
        <f>AVERAGEIFS('3. Incentive Adjustment'!F:F,'3. Incentive Adjustment'!A:A,tbl_Data[[#This Row],[Trimmed Sector]],'3. Incentive Adjustment'!B:B,tbl_Data[[#This Row],[Trimmed Measure Name]])</f>
        <v>19.547634357270656</v>
      </c>
      <c r="AU363" s="80">
        <f>IFERROR(VLOOKUP(tbl_Data[[#This Row],[All_Meas_Name_Append]],'IRA Tax Credits'!$A$3:$D$46,4,0),0)</f>
        <v>0</v>
      </c>
      <c r="AV363" s="81">
        <f>tbl_Data[[#This Row],[Adj. per unit Incentive ($)]]/tbl_Data[[#This Row],[kWh Savings]]*tbl_Data[[#This Row],[Sum of Annuals]]</f>
        <v>3.1174478536559298</v>
      </c>
      <c r="AW363" s="81">
        <f>IFERROR(VLOOKUP(tbl_Data[[#This Row],[Column1]],'1. Set Program Names'!$B$2:$D$15,3,0)*tbl_Data[[#This Row],[Sum of Annuals]],"")</f>
        <v>2.9663028778199472</v>
      </c>
      <c r="AX363" s="81">
        <f>tbl_Data[[#This Row],[per unit IRA tax ($)]]/tbl_Data[[#This Row],[kWh Savings]]*tbl_Data[[#This Row],[Sum of Annuals]]</f>
        <v>0</v>
      </c>
      <c r="AY363" s="81">
        <f>tbl_Data[[#This Row],[Avoided Costs ($/unit)]]/tbl_Data[[#This Row],[kWh Savings]]*tbl_Data[[#This Row],[Sum of Annuals]]</f>
        <v>27.868096493824083</v>
      </c>
      <c r="AZ363" s="81">
        <f>tbl_Data[[#This Row],[Lost Revenue ($/unit)]]/tbl_Data[[#This Row],[kWh Savings]]*tbl_Data[[#This Row],[Sum of Annuals]]</f>
        <v>66.980961832266757</v>
      </c>
      <c r="BA363" s="81">
        <f>tbl_Data[[#This Row],[Incremental Cost ($/unit)]]/tbl_Data[[#This Row],[kWh Savings]]*tbl_Data[[#This Row],[Sum of Annuals]]</f>
        <v>20.572861440496336</v>
      </c>
      <c r="BB363" s="77">
        <f>ROUNDUP(tbl_Data[[#This Row],[Adjusted 2025]]/$L363,0)</f>
        <v>1</v>
      </c>
      <c r="BC363" s="77">
        <f>ROUNDUP(tbl_Data[[#This Row],[Adjusted 2026]]/$L363,0)</f>
        <v>1</v>
      </c>
      <c r="BD363" s="77">
        <f>ROUNDUP(tbl_Data[[#This Row],[Adjusted 2027]]/$L363,0)</f>
        <v>1</v>
      </c>
      <c r="BE363" s="77">
        <f>ROUNDUP(tbl_Data[[#This Row],[Adjusted 2028]]/$L363,0)</f>
        <v>1</v>
      </c>
      <c r="BF363" s="77">
        <f>ROUNDUP(tbl_Data[[#This Row],[Adjusted 2029]]/$L363,0)</f>
        <v>1</v>
      </c>
      <c r="BG363" s="77">
        <f>ROUNDUP(tbl_Data[[#This Row],[Adjusted 2030]]/$L363,0)</f>
        <v>1</v>
      </c>
      <c r="BH363" s="77">
        <f>ROUNDUP(tbl_Data[[#This Row],[Adjusted 2031]]/$L363,0)</f>
        <v>1</v>
      </c>
      <c r="BI363" s="77">
        <f>ROUNDUP(tbl_Data[[#This Row],[Adjusted 2032]]/$L363,0)</f>
        <v>1</v>
      </c>
      <c r="BJ363" s="77">
        <f>ROUNDUP(tbl_Data[[#This Row],[Adjusted 2033]]/$L363,0)</f>
        <v>1</v>
      </c>
      <c r="BK363" s="77">
        <f>ROUNDUP(tbl_Data[[#This Row],[Adjusted 2034]]/$L363,0)</f>
        <v>1</v>
      </c>
      <c r="BL363" s="80">
        <f t="shared" si="155"/>
        <v>0.11597288181737275</v>
      </c>
      <c r="BM363" s="80">
        <f t="shared" si="156"/>
        <v>0.15905029572397567</v>
      </c>
      <c r="BN363" s="80">
        <f t="shared" si="157"/>
        <v>0.21157134305190389</v>
      </c>
      <c r="BO363" s="80">
        <f t="shared" si="158"/>
        <v>0.2728891000529412</v>
      </c>
      <c r="BP363" s="80">
        <f t="shared" si="159"/>
        <v>0.33801116129895209</v>
      </c>
      <c r="BQ363" s="80">
        <f t="shared" si="160"/>
        <v>0.39684002039641125</v>
      </c>
      <c r="BR363" s="80">
        <f t="shared" si="161"/>
        <v>0.43622118495984241</v>
      </c>
      <c r="BS363" s="80">
        <f t="shared" si="162"/>
        <v>0.44377031108052084</v>
      </c>
      <c r="BT363" s="80">
        <f t="shared" si="163"/>
        <v>0.41313652223285335</v>
      </c>
      <c r="BU363" s="80">
        <f t="shared" si="164"/>
        <v>0.35044026885206431</v>
      </c>
      <c r="BV363" s="80">
        <f>IFERROR(VLOOKUP($H363,'1. Set Program Names'!$B$2:$D$15,3,0)*V363,"NA")</f>
        <v>0.11035010342851868</v>
      </c>
      <c r="BW363" s="80">
        <f>IFERROR(VLOOKUP($H363,'1. Set Program Names'!$B$2:$D$15,3,0)*W363,"NA")</f>
        <v>0.15133897087351694</v>
      </c>
      <c r="BX363" s="80">
        <f>IFERROR(VLOOKUP($H363,'1. Set Program Names'!$B$2:$D$15,3,0)*X363,"NA")</f>
        <v>0.20131361075474136</v>
      </c>
      <c r="BY363" s="80">
        <f>IFERROR(VLOOKUP($H363,'1. Set Program Names'!$B$2:$D$15,3,0)*Y363,"NA")</f>
        <v>0.25965846449153651</v>
      </c>
      <c r="BZ363" s="80">
        <f>IFERROR(VLOOKUP($H363,'1. Set Program Names'!$B$2:$D$15,3,0)*Z363,"NA")</f>
        <v>0.32162317625313674</v>
      </c>
      <c r="CA363" s="80">
        <f>IFERROR(VLOOKUP($H363,'1. Set Program Names'!$B$2:$D$15,3,0)*AA363,"NA")</f>
        <v>0.37759980272180749</v>
      </c>
      <c r="CB363" s="80">
        <f>IFERROR(VLOOKUP($H363,'1. Set Program Names'!$B$2:$D$15,3,0)*AB363,"NA")</f>
        <v>0.41507162815728743</v>
      </c>
      <c r="CC363" s="80">
        <f>IFERROR(VLOOKUP($H363,'1. Set Program Names'!$B$2:$D$15,3,0)*AC363,"NA")</f>
        <v>0.42225474575475846</v>
      </c>
      <c r="CD363" s="80">
        <f>IFERROR(VLOOKUP($H363,'1. Set Program Names'!$B$2:$D$15,3,0)*AD363,"NA")</f>
        <v>0.39310619210347619</v>
      </c>
      <c r="CE363" s="80">
        <f>IFERROR(VLOOKUP($H363,'1. Set Program Names'!$B$2:$D$15,3,0)*AE363,"NA")</f>
        <v>0.33344967640142104</v>
      </c>
    </row>
    <row r="364" spans="1:83" x14ac:dyDescent="0.25">
      <c r="A364" s="79" t="s">
        <v>114</v>
      </c>
      <c r="B364" s="79" t="s">
        <v>88</v>
      </c>
      <c r="C364" s="79" t="s">
        <v>122</v>
      </c>
      <c r="D364" s="79" t="s">
        <v>90</v>
      </c>
      <c r="E364" s="79" t="s">
        <v>91</v>
      </c>
      <c r="F364" s="79" t="s">
        <v>90</v>
      </c>
      <c r="G364" s="79" t="s">
        <v>92</v>
      </c>
      <c r="H364" s="79" t="s">
        <v>16</v>
      </c>
      <c r="I364" s="79" t="s">
        <v>167</v>
      </c>
      <c r="J364" s="79" t="s">
        <v>124</v>
      </c>
      <c r="K364" s="79" t="s">
        <v>98</v>
      </c>
      <c r="L364" s="79">
        <v>151.65999999999994</v>
      </c>
      <c r="M364" s="79">
        <v>2.2013191527321094E-2</v>
      </c>
      <c r="N364" s="79">
        <v>1.952960139549019E-2</v>
      </c>
      <c r="O364" s="79">
        <v>56.59999999999998</v>
      </c>
      <c r="P364" s="79">
        <v>25.402483751835906</v>
      </c>
      <c r="Q364" s="79"/>
      <c r="R364" s="79">
        <v>70.56447857633529</v>
      </c>
      <c r="S364" s="79">
        <v>171.41744415542868</v>
      </c>
      <c r="T364" s="79">
        <v>16</v>
      </c>
      <c r="U364" s="79">
        <v>0.6</v>
      </c>
      <c r="V364" s="79">
        <f>tbl_Data_old[[#This Row],[2025 ]]*IFERROR(AVERAGEIFS('Participation Adjustment'!$C:$C,'Participation Adjustment'!$A:$A,$H364,'Participation Adjustment'!$B:$B,$I364),1)</f>
        <v>0.43093788328899002</v>
      </c>
      <c r="W364" s="79">
        <f>tbl_Data_old[[#This Row],[2026 ]]*IFERROR(AVERAGEIFS('Participation Adjustment'!$C:$C,'Participation Adjustment'!$A:$A,$H364,'Participation Adjustment'!$B:$B,$I364),1)</f>
        <v>0.58609060932457901</v>
      </c>
      <c r="X364" s="79">
        <f>tbl_Data_old[[#This Row],[2027 ]]*IFERROR(AVERAGEIFS('Participation Adjustment'!$C:$C,'Participation Adjustment'!$A:$A,$H364,'Participation Adjustment'!$B:$B,$I364),1)</f>
        <v>0.75716619339394797</v>
      </c>
      <c r="Y364" s="79">
        <f>tbl_Data_old[[#This Row],[2028 ]]*IFERROR(AVERAGEIFS('Participation Adjustment'!$C:$C,'Participation Adjustment'!$A:$A,$H364,'Participation Adjustment'!$B:$B,$I364),1)</f>
        <v>0.93483040812959095</v>
      </c>
      <c r="Z364" s="79">
        <f>tbl_Data_old[[#This Row],[2029 ]]*IFERROR(AVERAGEIFS('Participation Adjustment'!$C:$C,'Participation Adjustment'!$A:$A,$H364,'Participation Adjustment'!$B:$B,$I364),1)</f>
        <v>1.1036073721397299</v>
      </c>
      <c r="AA364" s="79">
        <f>tbl_Data_old[[#This Row],[2030 ]]*IFERROR(AVERAGEIFS('Participation Adjustment'!$C:$C,'Participation Adjustment'!$A:$A,$H364,'Participation Adjustment'!$B:$B,$I364),1)</f>
        <v>1.2513887519036899</v>
      </c>
      <c r="AB364" s="79">
        <f>tbl_Data_old[[#This Row],[2031 ]]*IFERROR(AVERAGEIFS('Participation Adjustment'!$C:$C,'Participation Adjustment'!$A:$A,$H364,'Participation Adjustment'!$B:$B,$I364),1)</f>
        <v>1.3696632869363901</v>
      </c>
      <c r="AC364" s="79">
        <f>tbl_Data_old[[#This Row],[2032 ]]*IFERROR(AVERAGEIFS('Participation Adjustment'!$C:$C,'Participation Adjustment'!$A:$A,$H364,'Participation Adjustment'!$B:$B,$I364),1)</f>
        <v>1.4608888257091199</v>
      </c>
      <c r="AD364" s="79">
        <f>tbl_Data_old[[#This Row],[2033 ]]*IFERROR(AVERAGEIFS('Participation Adjustment'!$C:$C,'Participation Adjustment'!$A:$A,$H364,'Participation Adjustment'!$B:$B,$I364),1)</f>
        <v>1.53252138916284</v>
      </c>
      <c r="AE364" s="79">
        <f>tbl_Data_old[[#This Row],[2034 ]]*IFERROR(AVERAGEIFS('Participation Adjustment'!$C:$C,'Participation Adjustment'!$A:$A,$H364,'Participation Adjustment'!$B:$B,$I364),1)</f>
        <v>1.5859557288658701</v>
      </c>
      <c r="AF364" s="77" t="str">
        <f t="shared" si="154"/>
        <v>NonResidential</v>
      </c>
      <c r="AG364" s="77" t="str">
        <f>tbl_Data[[#This Row],[All_Meas_Name_Append]]</f>
        <v>Refrigerated Display Case LED Lighting</v>
      </c>
      <c r="AH364" s="77">
        <f>AVERAGEIFS('3. Incentive Adjustment'!G:G,'3. Incentive Adjustment'!A:A,tbl_Data[[#This Row],[Trimmed Sector]],'3. Incentive Adjustment'!B:B,tbl_Data[[#This Row],[Trimmed Measure Name]])</f>
        <v>0.72450810749703154</v>
      </c>
      <c r="AI364" s="77">
        <f>$AH364*tbl_Data[[#This Row],[2025 ]]</f>
        <v>0.3122179902704828</v>
      </c>
      <c r="AJ364" s="77">
        <f>$AH364*tbl_Data[[#This Row],[2026 ]]</f>
        <v>0.42462739818353279</v>
      </c>
      <c r="AK364" s="77">
        <f>$AH364*tbl_Data[[#This Row],[2027 ]]</f>
        <v>0.54857304583658062</v>
      </c>
      <c r="AL364" s="77">
        <f>$AH364*tbl_Data[[#This Row],[2028 ]]</f>
        <v>0.67729220982464755</v>
      </c>
      <c r="AM364" s="77">
        <f>$AH364*tbl_Data[[#This Row],[2029 ]]</f>
        <v>0.79957248860872798</v>
      </c>
      <c r="AN364" s="77">
        <f>$AH364*tbl_Data[[#This Row],[2030 ]]</f>
        <v>0.90664129638481472</v>
      </c>
      <c r="AO364" s="77">
        <f>$AH364*tbl_Data[[#This Row],[2031 ]]</f>
        <v>0.99233215592644763</v>
      </c>
      <c r="AP364" s="77">
        <f>$AH364*tbl_Data[[#This Row],[2032 ]]</f>
        <v>1.0584257983780752</v>
      </c>
      <c r="AQ364" s="77">
        <f>$AH364*tbl_Data[[#This Row],[2033 ]]</f>
        <v>1.110324171361091</v>
      </c>
      <c r="AR364" s="77">
        <f>$AH364*tbl_Data[[#This Row],[2034 ]]</f>
        <v>1.1490377836946868</v>
      </c>
      <c r="AS364" s="77">
        <f>SUM(tbl_Data[[#This Row],[Adjusted 2025]:[Adjusted 2034]])</f>
        <v>7.9790443384690874</v>
      </c>
      <c r="AT364" s="80">
        <f>AVERAGEIFS('3. Incentive Adjustment'!F:F,'3. Incentive Adjustment'!A:A,tbl_Data[[#This Row],[Trimmed Sector]],'3. Incentive Adjustment'!B:B,tbl_Data[[#This Row],[Trimmed Measure Name]])</f>
        <v>6.879122352287844</v>
      </c>
      <c r="AU364" s="80">
        <f>IFERROR(VLOOKUP(tbl_Data[[#This Row],[All_Meas_Name_Append]],'IRA Tax Credits'!$A$3:$D$46,4,0),0)</f>
        <v>0</v>
      </c>
      <c r="AV364" s="81">
        <f>tbl_Data[[#This Row],[Adj. per unit Incentive ($)]]/tbl_Data[[#This Row],[kWh Savings]]*tbl_Data[[#This Row],[Sum of Annuals]]</f>
        <v>0.36192023116615119</v>
      </c>
      <c r="AW364" s="81">
        <f>IFERROR(VLOOKUP(tbl_Data[[#This Row],[Column1]],'1. Set Program Names'!$B$2:$D$15,3,0)*tbl_Data[[#This Row],[Sum of Annuals]],"")</f>
        <v>0.29065685513076128</v>
      </c>
      <c r="AX364" s="81">
        <f>tbl_Data[[#This Row],[per unit IRA tax ($)]]/tbl_Data[[#This Row],[kWh Savings]]*tbl_Data[[#This Row],[Sum of Annuals]]</f>
        <v>0</v>
      </c>
      <c r="AY364" s="81">
        <f>tbl_Data[[#This Row],[Avoided Costs ($/unit)]]/tbl_Data[[#This Row],[kWh Savings]]*tbl_Data[[#This Row],[Sum of Annuals]]</f>
        <v>3.7124957357347457</v>
      </c>
      <c r="AZ364" s="81">
        <f>tbl_Data[[#This Row],[Lost Revenue ($/unit)]]/tbl_Data[[#This Row],[kWh Savings]]*tbl_Data[[#This Row],[Sum of Annuals]]</f>
        <v>9.0185110596282119</v>
      </c>
      <c r="BA364" s="81">
        <f>tbl_Data[[#This Row],[Incremental Cost ($/unit)]]/tbl_Data[[#This Row],[kWh Savings]]*tbl_Data[[#This Row],[Sum of Annuals]]</f>
        <v>2.9778050214779794</v>
      </c>
      <c r="BB364" s="77">
        <f>ROUNDUP(tbl_Data[[#This Row],[Adjusted 2025]]/$L364,0)</f>
        <v>1</v>
      </c>
      <c r="BC364" s="77">
        <f>ROUNDUP(tbl_Data[[#This Row],[Adjusted 2026]]/$L364,0)</f>
        <v>1</v>
      </c>
      <c r="BD364" s="77">
        <f>ROUNDUP(tbl_Data[[#This Row],[Adjusted 2027]]/$L364,0)</f>
        <v>1</v>
      </c>
      <c r="BE364" s="77">
        <f>ROUNDUP(tbl_Data[[#This Row],[Adjusted 2028]]/$L364,0)</f>
        <v>1</v>
      </c>
      <c r="BF364" s="77">
        <f>ROUNDUP(tbl_Data[[#This Row],[Adjusted 2029]]/$L364,0)</f>
        <v>1</v>
      </c>
      <c r="BG364" s="77">
        <f>ROUNDUP(tbl_Data[[#This Row],[Adjusted 2030]]/$L364,0)</f>
        <v>1</v>
      </c>
      <c r="BH364" s="77">
        <f>ROUNDUP(tbl_Data[[#This Row],[Adjusted 2031]]/$L364,0)</f>
        <v>1</v>
      </c>
      <c r="BI364" s="77">
        <f>ROUNDUP(tbl_Data[[#This Row],[Adjusted 2032]]/$L364,0)</f>
        <v>1</v>
      </c>
      <c r="BJ364" s="77">
        <f>ROUNDUP(tbl_Data[[#This Row],[Adjusted 2033]]/$L364,0)</f>
        <v>1</v>
      </c>
      <c r="BK364" s="77">
        <f>ROUNDUP(tbl_Data[[#This Row],[Adjusted 2034]]/$L364,0)</f>
        <v>1</v>
      </c>
      <c r="BL364" s="80">
        <f t="shared" si="155"/>
        <v>1.954684442424438E-2</v>
      </c>
      <c r="BM364" s="80">
        <f t="shared" si="156"/>
        <v>2.658439279355608E-2</v>
      </c>
      <c r="BN364" s="80">
        <f t="shared" si="157"/>
        <v>3.4344183603936498E-2</v>
      </c>
      <c r="BO364" s="80">
        <f t="shared" si="158"/>
        <v>4.240282708797731E-2</v>
      </c>
      <c r="BP364" s="80">
        <f t="shared" si="159"/>
        <v>5.0058355148595989E-2</v>
      </c>
      <c r="BQ364" s="80">
        <f t="shared" si="160"/>
        <v>5.6761547768839932E-2</v>
      </c>
      <c r="BR364" s="80">
        <f t="shared" si="161"/>
        <v>6.2126344008124508E-2</v>
      </c>
      <c r="BS364" s="80">
        <f t="shared" si="162"/>
        <v>6.6264229032989258E-2</v>
      </c>
      <c r="BT364" s="80">
        <f t="shared" si="163"/>
        <v>6.9513399337658668E-2</v>
      </c>
      <c r="BU364" s="80">
        <f t="shared" si="164"/>
        <v>7.1937119241594155E-2</v>
      </c>
      <c r="BV364" s="80">
        <f>IFERROR(VLOOKUP($H364,'1. Set Program Names'!$B$2:$D$15,3,0)*V364,"NA")</f>
        <v>1.5698001489927445E-2</v>
      </c>
      <c r="BW364" s="80">
        <f>IFERROR(VLOOKUP($H364,'1. Set Program Names'!$B$2:$D$15,3,0)*W364,"NA")</f>
        <v>2.1349831646710525E-2</v>
      </c>
      <c r="BX364" s="80">
        <f>IFERROR(VLOOKUP($H364,'1. Set Program Names'!$B$2:$D$15,3,0)*X364,"NA")</f>
        <v>2.758169214854117E-2</v>
      </c>
      <c r="BY364" s="80">
        <f>IFERROR(VLOOKUP($H364,'1. Set Program Names'!$B$2:$D$15,3,0)*Y364,"NA")</f>
        <v>3.405356017355908E-2</v>
      </c>
      <c r="BZ364" s="80">
        <f>IFERROR(VLOOKUP($H364,'1. Set Program Names'!$B$2:$D$15,3,0)*Z364,"NA")</f>
        <v>4.0201687630526804E-2</v>
      </c>
      <c r="CA364" s="80">
        <f>IFERROR(VLOOKUP($H364,'1. Set Program Names'!$B$2:$D$15,3,0)*AA364,"NA")</f>
        <v>4.5584997870073446E-2</v>
      </c>
      <c r="CB364" s="80">
        <f>IFERROR(VLOOKUP($H364,'1. Set Program Names'!$B$2:$D$15,3,0)*AB364,"NA")</f>
        <v>4.9893446718880512E-2</v>
      </c>
      <c r="CC364" s="80">
        <f>IFERROR(VLOOKUP($H364,'1. Set Program Names'!$B$2:$D$15,3,0)*AC364,"NA")</f>
        <v>5.3216567519131439E-2</v>
      </c>
      <c r="CD364" s="80">
        <f>IFERROR(VLOOKUP($H364,'1. Set Program Names'!$B$2:$D$15,3,0)*AD364,"NA")</f>
        <v>5.5825964676887767E-2</v>
      </c>
      <c r="CE364" s="80">
        <f>IFERROR(VLOOKUP($H364,'1. Set Program Names'!$B$2:$D$15,3,0)*AE364,"NA")</f>
        <v>5.7772445542922331E-2</v>
      </c>
    </row>
    <row r="365" spans="1:83" x14ac:dyDescent="0.25">
      <c r="A365" s="79" t="s">
        <v>115</v>
      </c>
      <c r="B365" s="79" t="s">
        <v>88</v>
      </c>
      <c r="C365" s="79" t="s">
        <v>122</v>
      </c>
      <c r="D365" s="79" t="s">
        <v>90</v>
      </c>
      <c r="E365" s="79" t="s">
        <v>91</v>
      </c>
      <c r="F365" s="79" t="s">
        <v>90</v>
      </c>
      <c r="G365" s="79" t="s">
        <v>92</v>
      </c>
      <c r="H365" s="79" t="s">
        <v>16</v>
      </c>
      <c r="I365" s="79" t="s">
        <v>157</v>
      </c>
      <c r="J365" s="79" t="s">
        <v>158</v>
      </c>
      <c r="K365" s="79" t="s">
        <v>159</v>
      </c>
      <c r="L365" s="79">
        <v>562.52000000000032</v>
      </c>
      <c r="M365" s="79">
        <v>0</v>
      </c>
      <c r="N365" s="79">
        <v>2.7796637938074218E-2</v>
      </c>
      <c r="O365" s="79">
        <v>169</v>
      </c>
      <c r="P365" s="79">
        <v>53.285725702774094</v>
      </c>
      <c r="Q365" s="79"/>
      <c r="R365" s="79">
        <v>275.37363005821356</v>
      </c>
      <c r="S365" s="79">
        <v>610.96426176974103</v>
      </c>
      <c r="T365" s="79">
        <v>15</v>
      </c>
      <c r="U365" s="79">
        <v>0.59999999999999898</v>
      </c>
      <c r="V365" s="79">
        <f>tbl_Data_old[[#This Row],[2025 ]]*IFERROR(AVERAGEIFS('Participation Adjustment'!$C:$C,'Participation Adjustment'!$A:$A,$H365,'Participation Adjustment'!$B:$B,$I365),1)</f>
        <v>0</v>
      </c>
      <c r="W365" s="79">
        <f>tbl_Data_old[[#This Row],[2026 ]]*IFERROR(AVERAGEIFS('Participation Adjustment'!$C:$C,'Participation Adjustment'!$A:$A,$H365,'Participation Adjustment'!$B:$B,$I365),1)</f>
        <v>0</v>
      </c>
      <c r="X365" s="79">
        <f>tbl_Data_old[[#This Row],[2027 ]]*IFERROR(AVERAGEIFS('Participation Adjustment'!$C:$C,'Participation Adjustment'!$A:$A,$H365,'Participation Adjustment'!$B:$B,$I365),1)</f>
        <v>0</v>
      </c>
      <c r="Y365" s="79">
        <f>tbl_Data_old[[#This Row],[2028 ]]*IFERROR(AVERAGEIFS('Participation Adjustment'!$C:$C,'Participation Adjustment'!$A:$A,$H365,'Participation Adjustment'!$B:$B,$I365),1)</f>
        <v>0</v>
      </c>
      <c r="Z365" s="79">
        <f>tbl_Data_old[[#This Row],[2029 ]]*IFERROR(AVERAGEIFS('Participation Adjustment'!$C:$C,'Participation Adjustment'!$A:$A,$H365,'Participation Adjustment'!$B:$B,$I365),1)</f>
        <v>0</v>
      </c>
      <c r="AA365" s="79">
        <f>tbl_Data_old[[#This Row],[2030 ]]*IFERROR(AVERAGEIFS('Participation Adjustment'!$C:$C,'Participation Adjustment'!$A:$A,$H365,'Participation Adjustment'!$B:$B,$I365),1)</f>
        <v>0</v>
      </c>
      <c r="AB365" s="79">
        <f>tbl_Data_old[[#This Row],[2031 ]]*IFERROR(AVERAGEIFS('Participation Adjustment'!$C:$C,'Participation Adjustment'!$A:$A,$H365,'Participation Adjustment'!$B:$B,$I365),1)</f>
        <v>0</v>
      </c>
      <c r="AC365" s="79">
        <f>tbl_Data_old[[#This Row],[2032 ]]*IFERROR(AVERAGEIFS('Participation Adjustment'!$C:$C,'Participation Adjustment'!$A:$A,$H365,'Participation Adjustment'!$B:$B,$I365),1)</f>
        <v>0</v>
      </c>
      <c r="AD365" s="79">
        <f>tbl_Data_old[[#This Row],[2033 ]]*IFERROR(AVERAGEIFS('Participation Adjustment'!$C:$C,'Participation Adjustment'!$A:$A,$H365,'Participation Adjustment'!$B:$B,$I365),1)</f>
        <v>0</v>
      </c>
      <c r="AE365" s="79">
        <f>tbl_Data_old[[#This Row],[2034 ]]*IFERROR(AVERAGEIFS('Participation Adjustment'!$C:$C,'Participation Adjustment'!$A:$A,$H365,'Participation Adjustment'!$B:$B,$I365),1)</f>
        <v>0</v>
      </c>
      <c r="AF365" s="77" t="str">
        <f t="shared" si="154"/>
        <v>NonResidential</v>
      </c>
      <c r="AG365" s="77" t="str">
        <f>tbl_Data[[#This Row],[All_Meas_Name_Append]]</f>
        <v>LED Exterior Wall Packs</v>
      </c>
      <c r="AH365" s="77">
        <f>AVERAGEIFS('3. Incentive Adjustment'!G:G,'3. Incentive Adjustment'!A:A,tbl_Data[[#This Row],[Trimmed Sector]],'3. Incentive Adjustment'!B:B,tbl_Data[[#This Row],[Trimmed Measure Name]])</f>
        <v>0.80637708305213962</v>
      </c>
      <c r="AI365" s="77">
        <f>$AH365*tbl_Data[[#This Row],[2025 ]]</f>
        <v>0</v>
      </c>
      <c r="AJ365" s="77">
        <f>$AH365*tbl_Data[[#This Row],[2026 ]]</f>
        <v>0</v>
      </c>
      <c r="AK365" s="77">
        <f>$AH365*tbl_Data[[#This Row],[2027 ]]</f>
        <v>0</v>
      </c>
      <c r="AL365" s="77">
        <f>$AH365*tbl_Data[[#This Row],[2028 ]]</f>
        <v>0</v>
      </c>
      <c r="AM365" s="77">
        <f>$AH365*tbl_Data[[#This Row],[2029 ]]</f>
        <v>0</v>
      </c>
      <c r="AN365" s="77">
        <f>$AH365*tbl_Data[[#This Row],[2030 ]]</f>
        <v>0</v>
      </c>
      <c r="AO365" s="77">
        <f>$AH365*tbl_Data[[#This Row],[2031 ]]</f>
        <v>0</v>
      </c>
      <c r="AP365" s="77">
        <f>$AH365*tbl_Data[[#This Row],[2032 ]]</f>
        <v>0</v>
      </c>
      <c r="AQ365" s="77">
        <f>$AH365*tbl_Data[[#This Row],[2033 ]]</f>
        <v>0</v>
      </c>
      <c r="AR365" s="77">
        <f>$AH365*tbl_Data[[#This Row],[2034 ]]</f>
        <v>0</v>
      </c>
      <c r="AS365" s="77">
        <f>SUM(tbl_Data[[#This Row],[Adjusted 2025]:[Adjusted 2034]])</f>
        <v>0</v>
      </c>
      <c r="AT365" s="80">
        <f>AVERAGEIFS('3. Incentive Adjustment'!F:F,'3. Incentive Adjustment'!A:A,tbl_Data[[#This Row],[Trimmed Sector]],'3. Incentive Adjustment'!B:B,tbl_Data[[#This Row],[Trimmed Measure Name]])</f>
        <v>8.6864493556481861</v>
      </c>
      <c r="AU365" s="80">
        <f>IFERROR(VLOOKUP(tbl_Data[[#This Row],[All_Meas_Name_Append]],'IRA Tax Credits'!$A$3:$D$46,4,0),0)</f>
        <v>0</v>
      </c>
      <c r="AV365" s="81">
        <f>tbl_Data[[#This Row],[Adj. per unit Incentive ($)]]/tbl_Data[[#This Row],[kWh Savings]]*tbl_Data[[#This Row],[Sum of Annuals]]</f>
        <v>0</v>
      </c>
      <c r="AW365" s="81">
        <f>IFERROR(VLOOKUP(tbl_Data[[#This Row],[Column1]],'1. Set Program Names'!$B$2:$D$15,3,0)*tbl_Data[[#This Row],[Sum of Annuals]],"")</f>
        <v>0</v>
      </c>
      <c r="AX365" s="81">
        <f>tbl_Data[[#This Row],[per unit IRA tax ($)]]/tbl_Data[[#This Row],[kWh Savings]]*tbl_Data[[#This Row],[Sum of Annuals]]</f>
        <v>0</v>
      </c>
      <c r="AY365" s="81">
        <f>tbl_Data[[#This Row],[Avoided Costs ($/unit)]]/tbl_Data[[#This Row],[kWh Savings]]*tbl_Data[[#This Row],[Sum of Annuals]]</f>
        <v>0</v>
      </c>
      <c r="AZ365" s="81">
        <f>tbl_Data[[#This Row],[Lost Revenue ($/unit)]]/tbl_Data[[#This Row],[kWh Savings]]*tbl_Data[[#This Row],[Sum of Annuals]]</f>
        <v>0</v>
      </c>
      <c r="BA365" s="81">
        <f>tbl_Data[[#This Row],[Incremental Cost ($/unit)]]/tbl_Data[[#This Row],[kWh Savings]]*tbl_Data[[#This Row],[Sum of Annuals]]</f>
        <v>0</v>
      </c>
      <c r="BB365" s="77">
        <f>ROUNDUP(tbl_Data[[#This Row],[Adjusted 2025]]/$L365,0)</f>
        <v>0</v>
      </c>
      <c r="BC365" s="77">
        <f>ROUNDUP(tbl_Data[[#This Row],[Adjusted 2026]]/$L365,0)</f>
        <v>0</v>
      </c>
      <c r="BD365" s="77">
        <f>ROUNDUP(tbl_Data[[#This Row],[Adjusted 2027]]/$L365,0)</f>
        <v>0</v>
      </c>
      <c r="BE365" s="77">
        <f>ROUNDUP(tbl_Data[[#This Row],[Adjusted 2028]]/$L365,0)</f>
        <v>0</v>
      </c>
      <c r="BF365" s="77">
        <f>ROUNDUP(tbl_Data[[#This Row],[Adjusted 2029]]/$L365,0)</f>
        <v>0</v>
      </c>
      <c r="BG365" s="77">
        <f>ROUNDUP(tbl_Data[[#This Row],[Adjusted 2030]]/$L365,0)</f>
        <v>0</v>
      </c>
      <c r="BH365" s="77">
        <f>ROUNDUP(tbl_Data[[#This Row],[Adjusted 2031]]/$L365,0)</f>
        <v>0</v>
      </c>
      <c r="BI365" s="77">
        <f>ROUNDUP(tbl_Data[[#This Row],[Adjusted 2032]]/$L365,0)</f>
        <v>0</v>
      </c>
      <c r="BJ365" s="77">
        <f>ROUNDUP(tbl_Data[[#This Row],[Adjusted 2033]]/$L365,0)</f>
        <v>0</v>
      </c>
      <c r="BK365" s="77">
        <f>ROUNDUP(tbl_Data[[#This Row],[Adjusted 2034]]/$L365,0)</f>
        <v>0</v>
      </c>
      <c r="BL365" s="80">
        <f t="shared" si="155"/>
        <v>0</v>
      </c>
      <c r="BM365" s="80">
        <f t="shared" si="156"/>
        <v>0</v>
      </c>
      <c r="BN365" s="80">
        <f t="shared" si="157"/>
        <v>0</v>
      </c>
      <c r="BO365" s="80">
        <f t="shared" si="158"/>
        <v>0</v>
      </c>
      <c r="BP365" s="80">
        <f t="shared" si="159"/>
        <v>0</v>
      </c>
      <c r="BQ365" s="80">
        <f t="shared" si="160"/>
        <v>0</v>
      </c>
      <c r="BR365" s="80">
        <f t="shared" si="161"/>
        <v>0</v>
      </c>
      <c r="BS365" s="80">
        <f t="shared" si="162"/>
        <v>0</v>
      </c>
      <c r="BT365" s="80">
        <f t="shared" si="163"/>
        <v>0</v>
      </c>
      <c r="BU365" s="80">
        <f t="shared" si="164"/>
        <v>0</v>
      </c>
      <c r="BV365" s="80">
        <f>IFERROR(VLOOKUP($H365,'1. Set Program Names'!$B$2:$D$15,3,0)*V365,"NA")</f>
        <v>0</v>
      </c>
      <c r="BW365" s="80">
        <f>IFERROR(VLOOKUP($H365,'1. Set Program Names'!$B$2:$D$15,3,0)*W365,"NA")</f>
        <v>0</v>
      </c>
      <c r="BX365" s="80">
        <f>IFERROR(VLOOKUP($H365,'1. Set Program Names'!$B$2:$D$15,3,0)*X365,"NA")</f>
        <v>0</v>
      </c>
      <c r="BY365" s="80">
        <f>IFERROR(VLOOKUP($H365,'1. Set Program Names'!$B$2:$D$15,3,0)*Y365,"NA")</f>
        <v>0</v>
      </c>
      <c r="BZ365" s="80">
        <f>IFERROR(VLOOKUP($H365,'1. Set Program Names'!$B$2:$D$15,3,0)*Z365,"NA")</f>
        <v>0</v>
      </c>
      <c r="CA365" s="80">
        <f>IFERROR(VLOOKUP($H365,'1. Set Program Names'!$B$2:$D$15,3,0)*AA365,"NA")</f>
        <v>0</v>
      </c>
      <c r="CB365" s="80">
        <f>IFERROR(VLOOKUP($H365,'1. Set Program Names'!$B$2:$D$15,3,0)*AB365,"NA")</f>
        <v>0</v>
      </c>
      <c r="CC365" s="80">
        <f>IFERROR(VLOOKUP($H365,'1. Set Program Names'!$B$2:$D$15,3,0)*AC365,"NA")</f>
        <v>0</v>
      </c>
      <c r="CD365" s="80">
        <f>IFERROR(VLOOKUP($H365,'1. Set Program Names'!$B$2:$D$15,3,0)*AD365,"NA")</f>
        <v>0</v>
      </c>
      <c r="CE365" s="80">
        <f>IFERROR(VLOOKUP($H365,'1. Set Program Names'!$B$2:$D$15,3,0)*AE365,"NA")</f>
        <v>0</v>
      </c>
    </row>
    <row r="366" spans="1:83" x14ac:dyDescent="0.25">
      <c r="A366" s="79" t="s">
        <v>115</v>
      </c>
      <c r="B366" s="79" t="s">
        <v>88</v>
      </c>
      <c r="C366" s="79" t="s">
        <v>122</v>
      </c>
      <c r="D366" s="79" t="s">
        <v>90</v>
      </c>
      <c r="E366" s="79" t="s">
        <v>91</v>
      </c>
      <c r="F366" s="79" t="s">
        <v>90</v>
      </c>
      <c r="G366" s="79" t="s">
        <v>92</v>
      </c>
      <c r="H366" s="79" t="s">
        <v>16</v>
      </c>
      <c r="I366" s="79" t="s">
        <v>160</v>
      </c>
      <c r="J366" s="79" t="s">
        <v>161</v>
      </c>
      <c r="K366" s="79" t="s">
        <v>159</v>
      </c>
      <c r="L366" s="79">
        <v>1059.6621428571407</v>
      </c>
      <c r="M366" s="79">
        <v>0.13879011985330975</v>
      </c>
      <c r="N366" s="79">
        <v>0.14661252282673942</v>
      </c>
      <c r="O366" s="79">
        <v>179</v>
      </c>
      <c r="P366" s="79">
        <v>5.0437849584490522</v>
      </c>
      <c r="Q366" s="79"/>
      <c r="R366" s="79">
        <v>417.01467834907817</v>
      </c>
      <c r="S366" s="79">
        <v>1150.9203207638036</v>
      </c>
      <c r="T366" s="79">
        <v>15</v>
      </c>
      <c r="U366" s="79">
        <v>0.59999999999999898</v>
      </c>
      <c r="V366" s="79">
        <f>tbl_Data_old[[#This Row],[2025 ]]*IFERROR(AVERAGEIFS('Participation Adjustment'!$C:$C,'Participation Adjustment'!$A:$A,$H366,'Participation Adjustment'!$B:$B,$I366),1)</f>
        <v>19.290960707175898</v>
      </c>
      <c r="W366" s="79">
        <f>tbl_Data_old[[#This Row],[2026 ]]*IFERROR(AVERAGEIFS('Participation Adjustment'!$C:$C,'Participation Adjustment'!$A:$A,$H366,'Participation Adjustment'!$B:$B,$I366),1)</f>
        <v>40.288273611483902</v>
      </c>
      <c r="X366" s="79">
        <f>tbl_Data_old[[#This Row],[2027 ]]*IFERROR(AVERAGEIFS('Participation Adjustment'!$C:$C,'Participation Adjustment'!$A:$A,$H366,'Participation Adjustment'!$B:$B,$I366),1)</f>
        <v>62.639443799133907</v>
      </c>
      <c r="Y366" s="79">
        <f>tbl_Data_old[[#This Row],[2028 ]]*IFERROR(AVERAGEIFS('Participation Adjustment'!$C:$C,'Participation Adjustment'!$A:$A,$H366,'Participation Adjustment'!$B:$B,$I366),1)</f>
        <v>86.124927594447598</v>
      </c>
      <c r="Z366" s="79">
        <f>tbl_Data_old[[#This Row],[2029 ]]*IFERROR(AVERAGEIFS('Participation Adjustment'!$C:$C,'Participation Adjustment'!$A:$A,$H366,'Participation Adjustment'!$B:$B,$I366),1)</f>
        <v>110.5261955094936</v>
      </c>
      <c r="AA366" s="79">
        <f>tbl_Data_old[[#This Row],[2030 ]]*IFERROR(AVERAGEIFS('Participation Adjustment'!$C:$C,'Participation Adjustment'!$A:$A,$H366,'Participation Adjustment'!$B:$B,$I366),1)</f>
        <v>135.6314402060118</v>
      </c>
      <c r="AB366" s="79">
        <f>tbl_Data_old[[#This Row],[2031 ]]*IFERROR(AVERAGEIFS('Participation Adjustment'!$C:$C,'Participation Adjustment'!$A:$A,$H366,'Participation Adjustment'!$B:$B,$I366),1)</f>
        <v>161.2565282975745</v>
      </c>
      <c r="AC366" s="79">
        <f>tbl_Data_old[[#This Row],[2032 ]]*IFERROR(AVERAGEIFS('Participation Adjustment'!$C:$C,'Participation Adjustment'!$A:$A,$H366,'Participation Adjustment'!$B:$B,$I366),1)</f>
        <v>187.2949344741765</v>
      </c>
      <c r="AD366" s="79">
        <f>tbl_Data_old[[#This Row],[2033 ]]*IFERROR(AVERAGEIFS('Participation Adjustment'!$C:$C,'Participation Adjustment'!$A:$A,$H366,'Participation Adjustment'!$B:$B,$I366),1)</f>
        <v>213.67848171572101</v>
      </c>
      <c r="AE366" s="79">
        <f>tbl_Data_old[[#This Row],[2034 ]]*IFERROR(AVERAGEIFS('Participation Adjustment'!$C:$C,'Participation Adjustment'!$A:$A,$H366,'Participation Adjustment'!$B:$B,$I366),1)</f>
        <v>240.31133639410498</v>
      </c>
      <c r="AF366" s="77" t="str">
        <f t="shared" si="154"/>
        <v>NonResidential</v>
      </c>
      <c r="AG366" s="77" t="str">
        <f>tbl_Data[[#This Row],[All_Meas_Name_Append]]</f>
        <v>LED High Bay_HID Baseline</v>
      </c>
      <c r="AH366" s="77">
        <f>AVERAGEIFS('3. Incentive Adjustment'!G:G,'3. Incentive Adjustment'!A:A,tbl_Data[[#This Row],[Trimmed Sector]],'3. Incentive Adjustment'!B:B,tbl_Data[[#This Row],[Trimmed Measure Name]])</f>
        <v>1.0603846876879557</v>
      </c>
      <c r="AI366" s="77">
        <f>$AH366*tbl_Data[[#This Row],[2025 ]]</f>
        <v>20.45583934467934</v>
      </c>
      <c r="AJ366" s="77">
        <f>$AH366*tbl_Data[[#This Row],[2026 ]]</f>
        <v>42.721068431000262</v>
      </c>
      <c r="AK366" s="77">
        <f>$AH366*tbl_Data[[#This Row],[2027 ]]</f>
        <v>66.421907049891857</v>
      </c>
      <c r="AL366" s="77">
        <f>$AH366*tbl_Data[[#This Row],[2028 ]]</f>
        <v>91.325554449386118</v>
      </c>
      <c r="AM366" s="77">
        <f>$AH366*tbl_Data[[#This Row],[2029 ]]</f>
        <v>117.2002853066723</v>
      </c>
      <c r="AN366" s="77">
        <f>$AH366*tbl_Data[[#This Row],[2030 ]]</f>
        <v>143.82150236351947</v>
      </c>
      <c r="AO366" s="77">
        <f>$AH366*tbl_Data[[#This Row],[2031 ]]</f>
        <v>170.99395339646753</v>
      </c>
      <c r="AP366" s="77">
        <f>$AH366*tbl_Data[[#This Row],[2032 ]]</f>
        <v>198.60468059793578</v>
      </c>
      <c r="AQ366" s="77">
        <f>$AH366*tbl_Data[[#This Row],[2033 ]]</f>
        <v>226.58139009976136</v>
      </c>
      <c r="AR366" s="77">
        <f>$AH366*tbl_Data[[#This Row],[2034 ]]</f>
        <v>254.82246139013827</v>
      </c>
      <c r="AS366" s="77">
        <f>SUM(tbl_Data[[#This Row],[Adjusted 2025]:[Adjusted 2034]])</f>
        <v>1332.9486424294523</v>
      </c>
      <c r="AT366" s="80">
        <f>AVERAGEIFS('3. Incentive Adjustment'!F:F,'3. Incentive Adjustment'!A:A,tbl_Data[[#This Row],[Trimmed Sector]],'3. Incentive Adjustment'!B:B,tbl_Data[[#This Row],[Trimmed Measure Name]])</f>
        <v>28.590998621954778</v>
      </c>
      <c r="AU366" s="80">
        <f>IFERROR(VLOOKUP(tbl_Data[[#This Row],[All_Meas_Name_Append]],'IRA Tax Credits'!$A$3:$D$46,4,0),0)</f>
        <v>0</v>
      </c>
      <c r="AV366" s="81">
        <f>tbl_Data[[#This Row],[Adj. per unit Incentive ($)]]/tbl_Data[[#This Row],[kWh Savings]]*tbl_Data[[#This Row],[Sum of Annuals]]</f>
        <v>35.964607262538436</v>
      </c>
      <c r="AW366" s="81">
        <f>IFERROR(VLOOKUP(tbl_Data[[#This Row],[Column1]],'1. Set Program Names'!$B$2:$D$15,3,0)*tbl_Data[[#This Row],[Sum of Annuals]],"")</f>
        <v>48.556023005343675</v>
      </c>
      <c r="AX366" s="81">
        <f>tbl_Data[[#This Row],[per unit IRA tax ($)]]/tbl_Data[[#This Row],[kWh Savings]]*tbl_Data[[#This Row],[Sum of Annuals]]</f>
        <v>0</v>
      </c>
      <c r="AY366" s="81">
        <f>tbl_Data[[#This Row],[Avoided Costs ($/unit)]]/tbl_Data[[#This Row],[kWh Savings]]*tbl_Data[[#This Row],[Sum of Annuals]]</f>
        <v>524.56261944001255</v>
      </c>
      <c r="AZ366" s="81">
        <f>tbl_Data[[#This Row],[Lost Revenue ($/unit)]]/tbl_Data[[#This Row],[kWh Savings]]*tbl_Data[[#This Row],[Sum of Annuals]]</f>
        <v>1447.7422728061024</v>
      </c>
      <c r="BA366" s="81">
        <f>tbl_Data[[#This Row],[Incremental Cost ($/unit)]]/tbl_Data[[#This Row],[kWh Savings]]*tbl_Data[[#This Row],[Sum of Annuals]]</f>
        <v>225.16403799379549</v>
      </c>
      <c r="BB366" s="77">
        <f>ROUNDUP(tbl_Data[[#This Row],[Adjusted 2025]]/$L366,0)</f>
        <v>1</v>
      </c>
      <c r="BC366" s="77">
        <f>ROUNDUP(tbl_Data[[#This Row],[Adjusted 2026]]/$L366,0)</f>
        <v>1</v>
      </c>
      <c r="BD366" s="77">
        <f>ROUNDUP(tbl_Data[[#This Row],[Adjusted 2027]]/$L366,0)</f>
        <v>1</v>
      </c>
      <c r="BE366" s="77">
        <f>ROUNDUP(tbl_Data[[#This Row],[Adjusted 2028]]/$L366,0)</f>
        <v>1</v>
      </c>
      <c r="BF366" s="77">
        <f>ROUNDUP(tbl_Data[[#This Row],[Adjusted 2029]]/$L366,0)</f>
        <v>1</v>
      </c>
      <c r="BG366" s="77">
        <f>ROUNDUP(tbl_Data[[#This Row],[Adjusted 2030]]/$L366,0)</f>
        <v>1</v>
      </c>
      <c r="BH366" s="77">
        <f>ROUNDUP(tbl_Data[[#This Row],[Adjusted 2031]]/$L366,0)</f>
        <v>1</v>
      </c>
      <c r="BI366" s="77">
        <f>ROUNDUP(tbl_Data[[#This Row],[Adjusted 2032]]/$L366,0)</f>
        <v>1</v>
      </c>
      <c r="BJ366" s="77">
        <f>ROUNDUP(tbl_Data[[#This Row],[Adjusted 2033]]/$L366,0)</f>
        <v>1</v>
      </c>
      <c r="BK366" s="77">
        <f>ROUNDUP(tbl_Data[[#This Row],[Adjusted 2034]]/$L366,0)</f>
        <v>1</v>
      </c>
      <c r="BL366" s="80">
        <f t="shared" si="155"/>
        <v>0.52049404115534903</v>
      </c>
      <c r="BM366" s="80">
        <f t="shared" si="156"/>
        <v>1.0870275805088994</v>
      </c>
      <c r="BN366" s="80">
        <f t="shared" si="157"/>
        <v>1.6900898681840486</v>
      </c>
      <c r="BO366" s="80">
        <f t="shared" si="158"/>
        <v>2.3237573435713244</v>
      </c>
      <c r="BP366" s="80">
        <f t="shared" si="159"/>
        <v>2.9821338101042851</v>
      </c>
      <c r="BQ366" s="80">
        <f t="shared" si="160"/>
        <v>3.6595044431502539</v>
      </c>
      <c r="BR366" s="80">
        <f t="shared" si="161"/>
        <v>4.3509010956133887</v>
      </c>
      <c r="BS366" s="80">
        <f t="shared" si="162"/>
        <v>5.0534495825356887</v>
      </c>
      <c r="BT366" s="80">
        <f t="shared" si="163"/>
        <v>5.7653104033737259</v>
      </c>
      <c r="BU366" s="80">
        <f t="shared" si="164"/>
        <v>6.4838978480051752</v>
      </c>
      <c r="BV366" s="80">
        <f>IFERROR(VLOOKUP($H366,'1. Set Program Names'!$B$2:$D$15,3,0)*V366,"NA")</f>
        <v>0.70272199698975968</v>
      </c>
      <c r="BW366" s="80">
        <f>IFERROR(VLOOKUP($H366,'1. Set Program Names'!$B$2:$D$15,3,0)*W366,"NA")</f>
        <v>1.4676021851519525</v>
      </c>
      <c r="BX366" s="80">
        <f>IFERROR(VLOOKUP($H366,'1. Set Program Names'!$B$2:$D$15,3,0)*X366,"NA")</f>
        <v>2.2818000464062544</v>
      </c>
      <c r="BY366" s="80">
        <f>IFERROR(VLOOKUP($H366,'1. Set Program Names'!$B$2:$D$15,3,0)*Y366,"NA")</f>
        <v>3.1373181475226164</v>
      </c>
      <c r="BZ366" s="80">
        <f>IFERROR(VLOOKUP($H366,'1. Set Program Names'!$B$2:$D$15,3,0)*Z366,"NA")</f>
        <v>4.0261959996227858</v>
      </c>
      <c r="CA366" s="80">
        <f>IFERROR(VLOOKUP($H366,'1. Set Program Names'!$B$2:$D$15,3,0)*AA366,"NA")</f>
        <v>4.9407179851188907</v>
      </c>
      <c r="CB366" s="80">
        <f>IFERROR(VLOOKUP($H366,'1. Set Program Names'!$B$2:$D$15,3,0)*AB366,"NA")</f>
        <v>5.8741765800577657</v>
      </c>
      <c r="CC366" s="80">
        <f>IFERROR(VLOOKUP($H366,'1. Set Program Names'!$B$2:$D$15,3,0)*AC366,"NA")</f>
        <v>6.8226913308055499</v>
      </c>
      <c r="CD366" s="80">
        <f>IFERROR(VLOOKUP($H366,'1. Set Program Names'!$B$2:$D$15,3,0)*AD366,"NA")</f>
        <v>7.7837787171043127</v>
      </c>
      <c r="CE366" s="80">
        <f>IFERROR(VLOOKUP($H366,'1. Set Program Names'!$B$2:$D$15,3,0)*AE366,"NA")</f>
        <v>8.7539477568541173</v>
      </c>
    </row>
    <row r="367" spans="1:83" x14ac:dyDescent="0.25">
      <c r="A367" s="79" t="s">
        <v>115</v>
      </c>
      <c r="B367" s="79" t="s">
        <v>88</v>
      </c>
      <c r="C367" s="79" t="s">
        <v>122</v>
      </c>
      <c r="D367" s="79" t="s">
        <v>90</v>
      </c>
      <c r="E367" s="79" t="s">
        <v>91</v>
      </c>
      <c r="F367" s="79" t="s">
        <v>90</v>
      </c>
      <c r="G367" s="79" t="s">
        <v>92</v>
      </c>
      <c r="H367" s="79" t="s">
        <v>16</v>
      </c>
      <c r="I367" s="79" t="s">
        <v>162</v>
      </c>
      <c r="J367" s="79" t="s">
        <v>161</v>
      </c>
      <c r="K367" s="79" t="s">
        <v>159</v>
      </c>
      <c r="L367" s="79">
        <v>632.51142857142861</v>
      </c>
      <c r="M367" s="79">
        <v>7.5636667797052567E-2</v>
      </c>
      <c r="N367" s="79">
        <v>7.2066360150851286E-2</v>
      </c>
      <c r="O367" s="79">
        <v>179</v>
      </c>
      <c r="P367" s="79">
        <v>51.895440493260928</v>
      </c>
      <c r="Q367" s="79"/>
      <c r="R367" s="79">
        <v>248.91572427603518</v>
      </c>
      <c r="S367" s="79">
        <v>686.98335706831222</v>
      </c>
      <c r="T367" s="79">
        <v>15</v>
      </c>
      <c r="U367" s="79">
        <v>0.59999999999999898</v>
      </c>
      <c r="V367" s="79">
        <f>tbl_Data_old[[#This Row],[2025 ]]*IFERROR(AVERAGEIFS('Participation Adjustment'!$C:$C,'Participation Adjustment'!$A:$A,$H367,'Participation Adjustment'!$B:$B,$I367),1)</f>
        <v>56.7934305314607</v>
      </c>
      <c r="W367" s="79">
        <f>tbl_Data_old[[#This Row],[2026 ]]*IFERROR(AVERAGEIFS('Participation Adjustment'!$C:$C,'Participation Adjustment'!$A:$A,$H367,'Participation Adjustment'!$B:$B,$I367),1)</f>
        <v>118.61043642762451</v>
      </c>
      <c r="X367" s="79">
        <f>tbl_Data_old[[#This Row],[2027 ]]*IFERROR(AVERAGEIFS('Participation Adjustment'!$C:$C,'Participation Adjustment'!$A:$A,$H367,'Participation Adjustment'!$B:$B,$I367),1)</f>
        <v>184.413257272983</v>
      </c>
      <c r="Y367" s="79">
        <f>tbl_Data_old[[#This Row],[2028 ]]*IFERROR(AVERAGEIFS('Participation Adjustment'!$C:$C,'Participation Adjustment'!$A:$A,$H367,'Participation Adjustment'!$B:$B,$I367),1)</f>
        <v>253.55554690144803</v>
      </c>
      <c r="Z367" s="79">
        <f>tbl_Data_old[[#This Row],[2029 ]]*IFERROR(AVERAGEIFS('Participation Adjustment'!$C:$C,'Participation Adjustment'!$A:$A,$H367,'Participation Adjustment'!$B:$B,$I367),1)</f>
        <v>325.393944959934</v>
      </c>
      <c r="AA367" s="79">
        <f>tbl_Data_old[[#This Row],[2030 ]]*IFERROR(AVERAGEIFS('Participation Adjustment'!$C:$C,'Participation Adjustment'!$A:$A,$H367,'Participation Adjustment'!$B:$B,$I367),1)</f>
        <v>399.304881397467</v>
      </c>
      <c r="AB367" s="79">
        <f>tbl_Data_old[[#This Row],[2031 ]]*IFERROR(AVERAGEIFS('Participation Adjustment'!$C:$C,'Participation Adjustment'!$A:$A,$H367,'Participation Adjustment'!$B:$B,$I367),1)</f>
        <v>474.74625948546446</v>
      </c>
      <c r="AC367" s="79">
        <f>tbl_Data_old[[#This Row],[2032 ]]*IFERROR(AVERAGEIFS('Participation Adjustment'!$C:$C,'Participation Adjustment'!$A:$A,$H367,'Participation Adjustment'!$B:$B,$I367),1)</f>
        <v>551.40446406055798</v>
      </c>
      <c r="AD367" s="79">
        <f>tbl_Data_old[[#This Row],[2033 ]]*IFERROR(AVERAGEIFS('Participation Adjustment'!$C:$C,'Participation Adjustment'!$A:$A,$H367,'Participation Adjustment'!$B:$B,$I367),1)</f>
        <v>629.07877899909602</v>
      </c>
      <c r="AE367" s="79">
        <f>tbl_Data_old[[#This Row],[2034 ]]*IFERROR(AVERAGEIFS('Participation Adjustment'!$C:$C,'Participation Adjustment'!$A:$A,$H367,'Participation Adjustment'!$B:$B,$I367),1)</f>
        <v>707.48706591601501</v>
      </c>
      <c r="AF367" s="77" t="str">
        <f t="shared" si="154"/>
        <v>NonResidential</v>
      </c>
      <c r="AG367" s="77" t="str">
        <f>tbl_Data[[#This Row],[All_Meas_Name_Append]]</f>
        <v>LED High Bay_LF Baseline</v>
      </c>
      <c r="AH367" s="77">
        <f>AVERAGEIFS('3. Incentive Adjustment'!G:G,'3. Incentive Adjustment'!A:A,tbl_Data[[#This Row],[Trimmed Sector]],'3. Incentive Adjustment'!B:B,tbl_Data[[#This Row],[Trimmed Measure Name]])</f>
        <v>0.93017466414143679</v>
      </c>
      <c r="AI367" s="77">
        <f>$AH367*tbl_Data[[#This Row],[2025 ]]</f>
        <v>52.827810170041481</v>
      </c>
      <c r="AJ367" s="77">
        <f>$AH367*tbl_Data[[#This Row],[2026 ]]</f>
        <v>110.32842286773487</v>
      </c>
      <c r="AK367" s="77">
        <f>$AH367*tbl_Data[[#This Row],[2027 ]]</f>
        <v>171.53653964712535</v>
      </c>
      <c r="AL367" s="77">
        <f>$AH367*tbl_Data[[#This Row],[2028 ]]</f>
        <v>235.85094568025275</v>
      </c>
      <c r="AM367" s="77">
        <f>$AH367*tbl_Data[[#This Row],[2029 ]]</f>
        <v>302.67320346676377</v>
      </c>
      <c r="AN367" s="77">
        <f>$AH367*tbl_Data[[#This Row],[2030 ]]</f>
        <v>371.42328394392513</v>
      </c>
      <c r="AO367" s="77">
        <f>$AH367*tbl_Data[[#This Row],[2031 ]]</f>
        <v>441.5969424692953</v>
      </c>
      <c r="AP367" s="77">
        <f>$AH367*tbl_Data[[#This Row],[2032 ]]</f>
        <v>512.90246216361845</v>
      </c>
      <c r="AQ367" s="77">
        <f>$AH367*tbl_Data[[#This Row],[2033 ]]</f>
        <v>585.15314197398925</v>
      </c>
      <c r="AR367" s="77">
        <f>$AH367*tbl_Data[[#This Row],[2034 ]]</f>
        <v>658.08654392283984</v>
      </c>
      <c r="AS367" s="77">
        <f>SUM(tbl_Data[[#This Row],[Adjusted 2025]:[Adjusted 2034]])</f>
        <v>3442.3792963055866</v>
      </c>
      <c r="AT367" s="80">
        <f>AVERAGEIFS('3. Incentive Adjustment'!F:F,'3. Incentive Adjustment'!A:A,tbl_Data[[#This Row],[Trimmed Sector]],'3. Incentive Adjustment'!B:B,tbl_Data[[#This Row],[Trimmed Measure Name]])</f>
        <v>23.858858929800434</v>
      </c>
      <c r="AU367" s="80">
        <f>IFERROR(VLOOKUP(tbl_Data[[#This Row],[All_Meas_Name_Append]],'IRA Tax Credits'!$A$3:$D$46,4,0),0)</f>
        <v>0</v>
      </c>
      <c r="AV367" s="81">
        <f>tbl_Data[[#This Row],[Adj. per unit Incentive ($)]]/tbl_Data[[#This Row],[kWh Savings]]*tbl_Data[[#This Row],[Sum of Annuals]]</f>
        <v>129.84941979454797</v>
      </c>
      <c r="AW367" s="81">
        <f>IFERROR(VLOOKUP(tbl_Data[[#This Row],[Column1]],'1. Set Program Names'!$B$2:$D$15,3,0)*tbl_Data[[#This Row],[Sum of Annuals]],"")</f>
        <v>125.39736564785116</v>
      </c>
      <c r="AX367" s="81">
        <f>tbl_Data[[#This Row],[per unit IRA tax ($)]]/tbl_Data[[#This Row],[kWh Savings]]*tbl_Data[[#This Row],[Sum of Annuals]]</f>
        <v>0</v>
      </c>
      <c r="AY367" s="81">
        <f>tbl_Data[[#This Row],[Avoided Costs ($/unit)]]/tbl_Data[[#This Row],[kWh Savings]]*tbl_Data[[#This Row],[Sum of Annuals]]</f>
        <v>1354.6985826137829</v>
      </c>
      <c r="AZ367" s="81">
        <f>tbl_Data[[#This Row],[Lost Revenue ($/unit)]]/tbl_Data[[#This Row],[kWh Savings]]*tbl_Data[[#This Row],[Sum of Annuals]]</f>
        <v>3738.8372422292227</v>
      </c>
      <c r="BA367" s="81">
        <f>tbl_Data[[#This Row],[Incremental Cost ($/unit)]]/tbl_Data[[#This Row],[kWh Savings]]*tbl_Data[[#This Row],[Sum of Annuals]]</f>
        <v>974.18934457895739</v>
      </c>
      <c r="BB367" s="77">
        <f>ROUNDUP(tbl_Data[[#This Row],[Adjusted 2025]]/$L367,0)</f>
        <v>1</v>
      </c>
      <c r="BC367" s="77">
        <f>ROUNDUP(tbl_Data[[#This Row],[Adjusted 2026]]/$L367,0)</f>
        <v>1</v>
      </c>
      <c r="BD367" s="77">
        <f>ROUNDUP(tbl_Data[[#This Row],[Adjusted 2027]]/$L367,0)</f>
        <v>1</v>
      </c>
      <c r="BE367" s="77">
        <f>ROUNDUP(tbl_Data[[#This Row],[Adjusted 2028]]/$L367,0)</f>
        <v>1</v>
      </c>
      <c r="BF367" s="77">
        <f>ROUNDUP(tbl_Data[[#This Row],[Adjusted 2029]]/$L367,0)</f>
        <v>1</v>
      </c>
      <c r="BG367" s="77">
        <f>ROUNDUP(tbl_Data[[#This Row],[Adjusted 2030]]/$L367,0)</f>
        <v>1</v>
      </c>
      <c r="BH367" s="77">
        <f>ROUNDUP(tbl_Data[[#This Row],[Adjusted 2031]]/$L367,0)</f>
        <v>1</v>
      </c>
      <c r="BI367" s="77">
        <f>ROUNDUP(tbl_Data[[#This Row],[Adjusted 2032]]/$L367,0)</f>
        <v>1</v>
      </c>
      <c r="BJ367" s="77">
        <f>ROUNDUP(tbl_Data[[#This Row],[Adjusted 2033]]/$L367,0)</f>
        <v>1</v>
      </c>
      <c r="BK367" s="77">
        <f>ROUNDUP(tbl_Data[[#This Row],[Adjusted 2034]]/$L367,0)</f>
        <v>2</v>
      </c>
      <c r="BL367" s="80">
        <f t="shared" si="155"/>
        <v>2.1422955949585982</v>
      </c>
      <c r="BM367" s="80">
        <f t="shared" si="156"/>
        <v>4.4740846449530638</v>
      </c>
      <c r="BN367" s="80">
        <f t="shared" si="157"/>
        <v>6.9562219610775333</v>
      </c>
      <c r="BO367" s="80">
        <f t="shared" si="158"/>
        <v>9.5643268265576946</v>
      </c>
      <c r="BP367" s="80">
        <f t="shared" si="159"/>
        <v>12.274131151977418</v>
      </c>
      <c r="BQ367" s="80">
        <f t="shared" si="160"/>
        <v>15.06211335463165</v>
      </c>
      <c r="BR367" s="80">
        <f t="shared" si="161"/>
        <v>17.907825093527137</v>
      </c>
      <c r="BS367" s="80">
        <f t="shared" si="162"/>
        <v>20.799436542983177</v>
      </c>
      <c r="BT367" s="80">
        <f t="shared" si="163"/>
        <v>23.729376523313803</v>
      </c>
      <c r="BU367" s="80">
        <f t="shared" si="164"/>
        <v>26.687002539184011</v>
      </c>
      <c r="BV367" s="80">
        <f>IFERROR(VLOOKUP($H367,'1. Set Program Names'!$B$2:$D$15,3,0)*V367,"NA")</f>
        <v>2.0688442387486403</v>
      </c>
      <c r="BW367" s="80">
        <f>IFERROR(VLOOKUP($H367,'1. Set Program Names'!$B$2:$D$15,3,0)*W367,"NA")</f>
        <v>4.3206849060266048</v>
      </c>
      <c r="BX367" s="80">
        <f>IFERROR(VLOOKUP($H367,'1. Set Program Names'!$B$2:$D$15,3,0)*X367,"NA")</f>
        <v>6.7177189560108985</v>
      </c>
      <c r="BY367" s="80">
        <f>IFERROR(VLOOKUP($H367,'1. Set Program Names'!$B$2:$D$15,3,0)*Y367,"NA")</f>
        <v>9.2364015961183696</v>
      </c>
      <c r="BZ367" s="80">
        <f>IFERROR(VLOOKUP($H367,'1. Set Program Names'!$B$2:$D$15,3,0)*Z367,"NA")</f>
        <v>11.853296799550408</v>
      </c>
      <c r="CA367" s="80">
        <f>IFERROR(VLOOKUP($H367,'1. Set Program Names'!$B$2:$D$15,3,0)*AA367,"NA")</f>
        <v>14.545689451278015</v>
      </c>
      <c r="CB367" s="80">
        <f>IFERROR(VLOOKUP($H367,'1. Set Program Names'!$B$2:$D$15,3,0)*AB367,"NA")</f>
        <v>17.293832307944385</v>
      </c>
      <c r="CC367" s="80">
        <f>IFERROR(VLOOKUP($H367,'1. Set Program Names'!$B$2:$D$15,3,0)*AC367,"NA")</f>
        <v>20.086301144637456</v>
      </c>
      <c r="CD367" s="80">
        <f>IFERROR(VLOOKUP($H367,'1. Set Program Names'!$B$2:$D$15,3,0)*AD367,"NA")</f>
        <v>22.915784369291835</v>
      </c>
      <c r="CE367" s="80">
        <f>IFERROR(VLOOKUP($H367,'1. Set Program Names'!$B$2:$D$15,3,0)*AE367,"NA")</f>
        <v>25.772004378195149</v>
      </c>
    </row>
    <row r="368" spans="1:83" x14ac:dyDescent="0.25">
      <c r="A368" s="79" t="s">
        <v>115</v>
      </c>
      <c r="B368" s="79" t="s">
        <v>88</v>
      </c>
      <c r="C368" s="79" t="s">
        <v>122</v>
      </c>
      <c r="D368" s="79" t="s">
        <v>90</v>
      </c>
      <c r="E368" s="79" t="s">
        <v>91</v>
      </c>
      <c r="F368" s="79" t="s">
        <v>90</v>
      </c>
      <c r="G368" s="79" t="s">
        <v>92</v>
      </c>
      <c r="H368" s="79" t="s">
        <v>16</v>
      </c>
      <c r="I368" s="79" t="s">
        <v>163</v>
      </c>
      <c r="J368" s="79" t="s">
        <v>161</v>
      </c>
      <c r="K368" s="79" t="s">
        <v>159</v>
      </c>
      <c r="L368" s="79">
        <v>217.06142857142831</v>
      </c>
      <c r="M368" s="79">
        <v>3.4743730880075478E-2</v>
      </c>
      <c r="N368" s="79">
        <v>3.4497784431073229E-2</v>
      </c>
      <c r="O368" s="79">
        <v>109.07999999999996</v>
      </c>
      <c r="P368" s="79">
        <v>64.428955263702662</v>
      </c>
      <c r="Q368" s="79"/>
      <c r="R368" s="79">
        <v>85.561030664747506</v>
      </c>
      <c r="S368" s="79">
        <v>235.75477399173039</v>
      </c>
      <c r="T368" s="79">
        <v>15</v>
      </c>
      <c r="U368" s="79">
        <v>0.59999999999999898</v>
      </c>
      <c r="V368" s="79">
        <f>tbl_Data_old[[#This Row],[2025 ]]*IFERROR(AVERAGEIFS('Participation Adjustment'!$C:$C,'Participation Adjustment'!$A:$A,$H368,'Participation Adjustment'!$B:$B,$I368),1)</f>
        <v>179.6068190487654</v>
      </c>
      <c r="W368" s="79">
        <f>tbl_Data_old[[#This Row],[2026 ]]*IFERROR(AVERAGEIFS('Participation Adjustment'!$C:$C,'Participation Adjustment'!$A:$A,$H368,'Participation Adjustment'!$B:$B,$I368),1)</f>
        <v>368.42675286890403</v>
      </c>
      <c r="X368" s="79">
        <f>tbl_Data_old[[#This Row],[2027 ]]*IFERROR(AVERAGEIFS('Participation Adjustment'!$C:$C,'Participation Adjustment'!$A:$A,$H368,'Participation Adjustment'!$B:$B,$I368),1)</f>
        <v>562.20837658839002</v>
      </c>
      <c r="Y368" s="79">
        <f>tbl_Data_old[[#This Row],[2028 ]]*IFERROR(AVERAGEIFS('Participation Adjustment'!$C:$C,'Participation Adjustment'!$A:$A,$H368,'Participation Adjustment'!$B:$B,$I368),1)</f>
        <v>759.02901851369393</v>
      </c>
      <c r="Z368" s="79">
        <f>tbl_Data_old[[#This Row],[2029 ]]*IFERROR(AVERAGEIFS('Participation Adjustment'!$C:$C,'Participation Adjustment'!$A:$A,$H368,'Participation Adjustment'!$B:$B,$I368),1)</f>
        <v>957.55844647945196</v>
      </c>
      <c r="AA368" s="79">
        <f>tbl_Data_old[[#This Row],[2030 ]]*IFERROR(AVERAGEIFS('Participation Adjustment'!$C:$C,'Participation Adjustment'!$A:$A,$H368,'Participation Adjustment'!$B:$B,$I368),1)</f>
        <v>1156.3072901322421</v>
      </c>
      <c r="AB368" s="79">
        <f>tbl_Data_old[[#This Row],[2031 ]]*IFERROR(AVERAGEIFS('Participation Adjustment'!$C:$C,'Participation Adjustment'!$A:$A,$H368,'Participation Adjustment'!$B:$B,$I368),1)</f>
        <v>1354.4738975649329</v>
      </c>
      <c r="AC368" s="79">
        <f>tbl_Data_old[[#This Row],[2032 ]]*IFERROR(AVERAGEIFS('Participation Adjustment'!$C:$C,'Participation Adjustment'!$A:$A,$H368,'Participation Adjustment'!$B:$B,$I368),1)</f>
        <v>1551.82254228888</v>
      </c>
      <c r="AD368" s="79">
        <f>tbl_Data_old[[#This Row],[2033 ]]*IFERROR(AVERAGEIFS('Participation Adjustment'!$C:$C,'Participation Adjustment'!$A:$A,$H368,'Participation Adjustment'!$B:$B,$I368),1)</f>
        <v>1747.965650987064</v>
      </c>
      <c r="AE368" s="79">
        <f>tbl_Data_old[[#This Row],[2034 ]]*IFERROR(AVERAGEIFS('Participation Adjustment'!$C:$C,'Participation Adjustment'!$A:$A,$H368,'Participation Adjustment'!$B:$B,$I368),1)</f>
        <v>1942.7595578826511</v>
      </c>
      <c r="AF368" s="77" t="str">
        <f t="shared" si="154"/>
        <v>NonResidential</v>
      </c>
      <c r="AG368" s="77" t="str">
        <f>tbl_Data[[#This Row],[All_Meas_Name_Append]]</f>
        <v>LED Linear - Fixture Replacement</v>
      </c>
      <c r="AH368" s="77">
        <f>AVERAGEIFS('3. Incentive Adjustment'!G:G,'3. Incentive Adjustment'!A:A,tbl_Data[[#This Row],[Trimmed Sector]],'3. Incentive Adjustment'!B:B,tbl_Data[[#This Row],[Trimmed Measure Name]])</f>
        <v>0.56055357916158088</v>
      </c>
      <c r="AI368" s="77">
        <f>$AH368*tbl_Data[[#This Row],[2025 ]]</f>
        <v>100.67924525961185</v>
      </c>
      <c r="AJ368" s="77">
        <f>$AH368*tbl_Data[[#This Row],[2026 ]]</f>
        <v>206.52293497954338</v>
      </c>
      <c r="AK368" s="77">
        <f>$AH368*tbl_Data[[#This Row],[2027 ]]</f>
        <v>315.14791773124398</v>
      </c>
      <c r="AL368" s="77">
        <f>$AH368*tbl_Data[[#This Row],[2028 ]]</f>
        <v>425.476433015353</v>
      </c>
      <c r="AM368" s="77">
        <f>$AH368*tbl_Data[[#This Row],[2029 ]]</f>
        <v>536.76281443045991</v>
      </c>
      <c r="AN368" s="77">
        <f>$AH368*tbl_Data[[#This Row],[2030 ]]</f>
        <v>648.17219009425685</v>
      </c>
      <c r="AO368" s="77">
        <f>$AH368*tbl_Data[[#This Row],[2031 ]]</f>
        <v>759.25519116095961</v>
      </c>
      <c r="AP368" s="77">
        <f>$AH368*tbl_Data[[#This Row],[2032 ]]</f>
        <v>869.87968030365539</v>
      </c>
      <c r="AQ368" s="77">
        <f>$AH368*tbl_Data[[#This Row],[2033 ]]</f>
        <v>979.8284019123015</v>
      </c>
      <c r="AR368" s="77">
        <f>$AH368*tbl_Data[[#This Row],[2034 ]]</f>
        <v>1089.0208236214905</v>
      </c>
      <c r="AS368" s="77">
        <f>SUM(tbl_Data[[#This Row],[Adjusted 2025]:[Adjusted 2034]])</f>
        <v>5930.745632508876</v>
      </c>
      <c r="AT368" s="80">
        <f>AVERAGEIFS('3. Incentive Adjustment'!F:F,'3. Incentive Adjustment'!A:A,tbl_Data[[#This Row],[Trimmed Sector]],'3. Incentive Adjustment'!B:B,tbl_Data[[#This Row],[Trimmed Measure Name]])</f>
        <v>16.810726621008875</v>
      </c>
      <c r="AU368" s="80">
        <f>IFERROR(VLOOKUP(tbl_Data[[#This Row],[All_Meas_Name_Append]],'IRA Tax Credits'!$A$3:$D$46,4,0),0)</f>
        <v>0</v>
      </c>
      <c r="AV368" s="81">
        <f>tbl_Data[[#This Row],[Adj. per unit Incentive ($)]]/tbl_Data[[#This Row],[kWh Savings]]*tbl_Data[[#This Row],[Sum of Annuals]]</f>
        <v>459.31764175246269</v>
      </c>
      <c r="AW368" s="81">
        <f>IFERROR(VLOOKUP(tbl_Data[[#This Row],[Column1]],'1. Set Program Names'!$B$2:$D$15,3,0)*tbl_Data[[#This Row],[Sum of Annuals]],"")</f>
        <v>216.04239818728337</v>
      </c>
      <c r="AX368" s="81">
        <f>tbl_Data[[#This Row],[per unit IRA tax ($)]]/tbl_Data[[#This Row],[kWh Savings]]*tbl_Data[[#This Row],[Sum of Annuals]]</f>
        <v>0</v>
      </c>
      <c r="AY368" s="81">
        <f>tbl_Data[[#This Row],[Avoided Costs ($/unit)]]/tbl_Data[[#This Row],[kWh Savings]]*tbl_Data[[#This Row],[Sum of Annuals]]</f>
        <v>2337.7746671418686</v>
      </c>
      <c r="AZ368" s="81">
        <f>tbl_Data[[#This Row],[Lost Revenue ($/unit)]]/tbl_Data[[#This Row],[kWh Savings]]*tbl_Data[[#This Row],[Sum of Annuals]]</f>
        <v>6441.5018614625342</v>
      </c>
      <c r="BA368" s="81">
        <f>tbl_Data[[#This Row],[Incremental Cost ($/unit)]]/tbl_Data[[#This Row],[kWh Savings]]*tbl_Data[[#This Row],[Sum of Annuals]]</f>
        <v>2980.3808896484079</v>
      </c>
      <c r="BB368" s="77">
        <f>ROUNDUP(tbl_Data[[#This Row],[Adjusted 2025]]/$L368,0)</f>
        <v>1</v>
      </c>
      <c r="BC368" s="77">
        <f>ROUNDUP(tbl_Data[[#This Row],[Adjusted 2026]]/$L368,0)</f>
        <v>1</v>
      </c>
      <c r="BD368" s="77">
        <f>ROUNDUP(tbl_Data[[#This Row],[Adjusted 2027]]/$L368,0)</f>
        <v>2</v>
      </c>
      <c r="BE368" s="77">
        <f>ROUNDUP(tbl_Data[[#This Row],[Adjusted 2028]]/$L368,0)</f>
        <v>2</v>
      </c>
      <c r="BF368" s="77">
        <f>ROUNDUP(tbl_Data[[#This Row],[Adjusted 2029]]/$L368,0)</f>
        <v>3</v>
      </c>
      <c r="BG368" s="77">
        <f>ROUNDUP(tbl_Data[[#This Row],[Adjusted 2030]]/$L368,0)</f>
        <v>3</v>
      </c>
      <c r="BH368" s="77">
        <f>ROUNDUP(tbl_Data[[#This Row],[Adjusted 2031]]/$L368,0)</f>
        <v>4</v>
      </c>
      <c r="BI368" s="77">
        <f>ROUNDUP(tbl_Data[[#This Row],[Adjusted 2032]]/$L368,0)</f>
        <v>5</v>
      </c>
      <c r="BJ368" s="77">
        <f>ROUNDUP(tbl_Data[[#This Row],[Adjusted 2033]]/$L368,0)</f>
        <v>5</v>
      </c>
      <c r="BK368" s="77">
        <f>ROUNDUP(tbl_Data[[#This Row],[Adjusted 2034]]/$L368,0)</f>
        <v>6</v>
      </c>
      <c r="BL368" s="80">
        <f t="shared" si="155"/>
        <v>13.909984625869344</v>
      </c>
      <c r="BM368" s="80">
        <f t="shared" si="156"/>
        <v>28.5334960849898</v>
      </c>
      <c r="BN368" s="80">
        <f t="shared" si="157"/>
        <v>43.541274859704295</v>
      </c>
      <c r="BO368" s="80">
        <f t="shared" si="158"/>
        <v>58.78441605965714</v>
      </c>
      <c r="BP368" s="80">
        <f t="shared" si="159"/>
        <v>74.159897377192962</v>
      </c>
      <c r="BQ368" s="80">
        <f t="shared" si="160"/>
        <v>89.552371751281186</v>
      </c>
      <c r="BR368" s="80">
        <f t="shared" si="161"/>
        <v>104.89975375686636</v>
      </c>
      <c r="BS368" s="80">
        <f t="shared" si="162"/>
        <v>120.18378711698573</v>
      </c>
      <c r="BT368" s="80">
        <f t="shared" si="163"/>
        <v>135.37445549423248</v>
      </c>
      <c r="BU368" s="80">
        <f t="shared" si="164"/>
        <v>150.46063242493662</v>
      </c>
      <c r="BV368" s="80">
        <f>IFERROR(VLOOKUP($H368,'1. Set Program Names'!$B$2:$D$15,3,0)*V368,"NA")</f>
        <v>6.5426322965852899</v>
      </c>
      <c r="BW368" s="80">
        <f>IFERROR(VLOOKUP($H368,'1. Set Program Names'!$B$2:$D$15,3,0)*W368,"NA")</f>
        <v>13.420875582633998</v>
      </c>
      <c r="BX368" s="80">
        <f>IFERROR(VLOOKUP($H368,'1. Set Program Names'!$B$2:$D$15,3,0)*X368,"NA")</f>
        <v>20.479860962735923</v>
      </c>
      <c r="BY368" s="80">
        <f>IFERROR(VLOOKUP($H368,'1. Set Program Names'!$B$2:$D$15,3,0)*Y368,"NA")</f>
        <v>27.649550261367228</v>
      </c>
      <c r="BZ368" s="80">
        <f>IFERROR(VLOOKUP($H368,'1. Set Program Names'!$B$2:$D$15,3,0)*Z368,"NA")</f>
        <v>34.881486410064916</v>
      </c>
      <c r="CA368" s="80">
        <f>IFERROR(VLOOKUP($H368,'1. Set Program Names'!$B$2:$D$15,3,0)*AA368,"NA")</f>
        <v>42.121415329682755</v>
      </c>
      <c r="CB368" s="80">
        <f>IFERROR(VLOOKUP($H368,'1. Set Program Names'!$B$2:$D$15,3,0)*AB368,"NA")</f>
        <v>49.340134823522455</v>
      </c>
      <c r="CC368" s="80">
        <f>IFERROR(VLOOKUP($H368,'1. Set Program Names'!$B$2:$D$15,3,0)*AC368,"NA")</f>
        <v>56.529057958493517</v>
      </c>
      <c r="CD368" s="80">
        <f>IFERROR(VLOOKUP($H368,'1. Set Program Names'!$B$2:$D$15,3,0)*AD368,"NA")</f>
        <v>63.674066397025847</v>
      </c>
      <c r="CE368" s="80">
        <f>IFERROR(VLOOKUP($H368,'1. Set Program Names'!$B$2:$D$15,3,0)*AE368,"NA")</f>
        <v>70.769926750117804</v>
      </c>
    </row>
    <row r="369" spans="1:83" x14ac:dyDescent="0.25">
      <c r="A369" s="79" t="s">
        <v>115</v>
      </c>
      <c r="B369" s="79" t="s">
        <v>88</v>
      </c>
      <c r="C369" s="79" t="s">
        <v>122</v>
      </c>
      <c r="D369" s="79" t="s">
        <v>90</v>
      </c>
      <c r="E369" s="79" t="s">
        <v>91</v>
      </c>
      <c r="F369" s="79" t="s">
        <v>90</v>
      </c>
      <c r="G369" s="79" t="s">
        <v>92</v>
      </c>
      <c r="H369" s="79" t="s">
        <v>16</v>
      </c>
      <c r="I369" s="79" t="s">
        <v>164</v>
      </c>
      <c r="J369" s="79" t="s">
        <v>158</v>
      </c>
      <c r="K369" s="79" t="s">
        <v>159</v>
      </c>
      <c r="L369" s="79">
        <v>612.05999999999972</v>
      </c>
      <c r="M369" s="79">
        <v>0</v>
      </c>
      <c r="N369" s="79">
        <v>3.0244631686656035E-2</v>
      </c>
      <c r="O369" s="79">
        <v>255</v>
      </c>
      <c r="P369" s="79">
        <v>129.09500333079711</v>
      </c>
      <c r="Q369" s="79"/>
      <c r="R369" s="79">
        <v>299.62522934905462</v>
      </c>
      <c r="S369" s="79">
        <v>664.77065003695441</v>
      </c>
      <c r="T369" s="79">
        <v>15</v>
      </c>
      <c r="U369" s="79">
        <v>0.59999999999999898</v>
      </c>
      <c r="V369" s="79">
        <f>tbl_Data_old[[#This Row],[2025 ]]*IFERROR(AVERAGEIFS('Participation Adjustment'!$C:$C,'Participation Adjustment'!$A:$A,$H369,'Participation Adjustment'!$B:$B,$I369),1)</f>
        <v>0</v>
      </c>
      <c r="W369" s="79">
        <f>tbl_Data_old[[#This Row],[2026 ]]*IFERROR(AVERAGEIFS('Participation Adjustment'!$C:$C,'Participation Adjustment'!$A:$A,$H369,'Participation Adjustment'!$B:$B,$I369),1)</f>
        <v>0</v>
      </c>
      <c r="X369" s="79">
        <f>tbl_Data_old[[#This Row],[2027 ]]*IFERROR(AVERAGEIFS('Participation Adjustment'!$C:$C,'Participation Adjustment'!$A:$A,$H369,'Participation Adjustment'!$B:$B,$I369),1)</f>
        <v>0</v>
      </c>
      <c r="Y369" s="79">
        <f>tbl_Data_old[[#This Row],[2028 ]]*IFERROR(AVERAGEIFS('Participation Adjustment'!$C:$C,'Participation Adjustment'!$A:$A,$H369,'Participation Adjustment'!$B:$B,$I369),1)</f>
        <v>0</v>
      </c>
      <c r="Z369" s="79">
        <f>tbl_Data_old[[#This Row],[2029 ]]*IFERROR(AVERAGEIFS('Participation Adjustment'!$C:$C,'Participation Adjustment'!$A:$A,$H369,'Participation Adjustment'!$B:$B,$I369),1)</f>
        <v>0</v>
      </c>
      <c r="AA369" s="79">
        <f>tbl_Data_old[[#This Row],[2030 ]]*IFERROR(AVERAGEIFS('Participation Adjustment'!$C:$C,'Participation Adjustment'!$A:$A,$H369,'Participation Adjustment'!$B:$B,$I369),1)</f>
        <v>0</v>
      </c>
      <c r="AB369" s="79">
        <f>tbl_Data_old[[#This Row],[2031 ]]*IFERROR(AVERAGEIFS('Participation Adjustment'!$C:$C,'Participation Adjustment'!$A:$A,$H369,'Participation Adjustment'!$B:$B,$I369),1)</f>
        <v>0</v>
      </c>
      <c r="AC369" s="79">
        <f>tbl_Data_old[[#This Row],[2032 ]]*IFERROR(AVERAGEIFS('Participation Adjustment'!$C:$C,'Participation Adjustment'!$A:$A,$H369,'Participation Adjustment'!$B:$B,$I369),1)</f>
        <v>0</v>
      </c>
      <c r="AD369" s="79">
        <f>tbl_Data_old[[#This Row],[2033 ]]*IFERROR(AVERAGEIFS('Participation Adjustment'!$C:$C,'Participation Adjustment'!$A:$A,$H369,'Participation Adjustment'!$B:$B,$I369),1)</f>
        <v>0</v>
      </c>
      <c r="AE369" s="79">
        <f>tbl_Data_old[[#This Row],[2034 ]]*IFERROR(AVERAGEIFS('Participation Adjustment'!$C:$C,'Participation Adjustment'!$A:$A,$H369,'Participation Adjustment'!$B:$B,$I369),1)</f>
        <v>0</v>
      </c>
      <c r="AF369" s="77" t="str">
        <f t="shared" si="154"/>
        <v>NonResidential</v>
      </c>
      <c r="AG369" s="77" t="str">
        <f>tbl_Data[[#This Row],[All_Meas_Name_Append]]</f>
        <v>LED Parking Lighting</v>
      </c>
      <c r="AH369" s="77">
        <f>AVERAGEIFS('3. Incentive Adjustment'!G:G,'3. Incentive Adjustment'!A:A,tbl_Data[[#This Row],[Trimmed Sector]],'3. Incentive Adjustment'!B:B,tbl_Data[[#This Row],[Trimmed Measure Name]])</f>
        <v>0.59704067730377497</v>
      </c>
      <c r="AI369" s="77">
        <f>$AH369*tbl_Data[[#This Row],[2025 ]]</f>
        <v>0</v>
      </c>
      <c r="AJ369" s="77">
        <f>$AH369*tbl_Data[[#This Row],[2026 ]]</f>
        <v>0</v>
      </c>
      <c r="AK369" s="77">
        <f>$AH369*tbl_Data[[#This Row],[2027 ]]</f>
        <v>0</v>
      </c>
      <c r="AL369" s="77">
        <f>$AH369*tbl_Data[[#This Row],[2028 ]]</f>
        <v>0</v>
      </c>
      <c r="AM369" s="77">
        <f>$AH369*tbl_Data[[#This Row],[2029 ]]</f>
        <v>0</v>
      </c>
      <c r="AN369" s="77">
        <f>$AH369*tbl_Data[[#This Row],[2030 ]]</f>
        <v>0</v>
      </c>
      <c r="AO369" s="77">
        <f>$AH369*tbl_Data[[#This Row],[2031 ]]</f>
        <v>0</v>
      </c>
      <c r="AP369" s="77">
        <f>$AH369*tbl_Data[[#This Row],[2032 ]]</f>
        <v>0</v>
      </c>
      <c r="AQ369" s="77">
        <f>$AH369*tbl_Data[[#This Row],[2033 ]]</f>
        <v>0</v>
      </c>
      <c r="AR369" s="77">
        <f>$AH369*tbl_Data[[#This Row],[2034 ]]</f>
        <v>0</v>
      </c>
      <c r="AS369" s="77">
        <f>SUM(tbl_Data[[#This Row],[Adjusted 2025]:[Adjusted 2034]])</f>
        <v>0</v>
      </c>
      <c r="AT369" s="80">
        <f>AVERAGEIFS('3. Incentive Adjustment'!F:F,'3. Incentive Adjustment'!A:A,tbl_Data[[#This Row],[Trimmed Sector]],'3. Incentive Adjustment'!B:B,tbl_Data[[#This Row],[Trimmed Measure Name]])</f>
        <v>9.4514474020799994</v>
      </c>
      <c r="AU369" s="80">
        <f>IFERROR(VLOOKUP(tbl_Data[[#This Row],[All_Meas_Name_Append]],'IRA Tax Credits'!$A$3:$D$46,4,0),0)</f>
        <v>0</v>
      </c>
      <c r="AV369" s="81">
        <f>tbl_Data[[#This Row],[Adj. per unit Incentive ($)]]/tbl_Data[[#This Row],[kWh Savings]]*tbl_Data[[#This Row],[Sum of Annuals]]</f>
        <v>0</v>
      </c>
      <c r="AW369" s="81">
        <f>IFERROR(VLOOKUP(tbl_Data[[#This Row],[Column1]],'1. Set Program Names'!$B$2:$D$15,3,0)*tbl_Data[[#This Row],[Sum of Annuals]],"")</f>
        <v>0</v>
      </c>
      <c r="AX369" s="81">
        <f>tbl_Data[[#This Row],[per unit IRA tax ($)]]/tbl_Data[[#This Row],[kWh Savings]]*tbl_Data[[#This Row],[Sum of Annuals]]</f>
        <v>0</v>
      </c>
      <c r="AY369" s="81">
        <f>tbl_Data[[#This Row],[Avoided Costs ($/unit)]]/tbl_Data[[#This Row],[kWh Savings]]*tbl_Data[[#This Row],[Sum of Annuals]]</f>
        <v>0</v>
      </c>
      <c r="AZ369" s="81">
        <f>tbl_Data[[#This Row],[Lost Revenue ($/unit)]]/tbl_Data[[#This Row],[kWh Savings]]*tbl_Data[[#This Row],[Sum of Annuals]]</f>
        <v>0</v>
      </c>
      <c r="BA369" s="81">
        <f>tbl_Data[[#This Row],[Incremental Cost ($/unit)]]/tbl_Data[[#This Row],[kWh Savings]]*tbl_Data[[#This Row],[Sum of Annuals]]</f>
        <v>0</v>
      </c>
      <c r="BB369" s="77">
        <f>ROUNDUP(tbl_Data[[#This Row],[Adjusted 2025]]/$L369,0)</f>
        <v>0</v>
      </c>
      <c r="BC369" s="77">
        <f>ROUNDUP(tbl_Data[[#This Row],[Adjusted 2026]]/$L369,0)</f>
        <v>0</v>
      </c>
      <c r="BD369" s="77">
        <f>ROUNDUP(tbl_Data[[#This Row],[Adjusted 2027]]/$L369,0)</f>
        <v>0</v>
      </c>
      <c r="BE369" s="77">
        <f>ROUNDUP(tbl_Data[[#This Row],[Adjusted 2028]]/$L369,0)</f>
        <v>0</v>
      </c>
      <c r="BF369" s="77">
        <f>ROUNDUP(tbl_Data[[#This Row],[Adjusted 2029]]/$L369,0)</f>
        <v>0</v>
      </c>
      <c r="BG369" s="77">
        <f>ROUNDUP(tbl_Data[[#This Row],[Adjusted 2030]]/$L369,0)</f>
        <v>0</v>
      </c>
      <c r="BH369" s="77">
        <f>ROUNDUP(tbl_Data[[#This Row],[Adjusted 2031]]/$L369,0)</f>
        <v>0</v>
      </c>
      <c r="BI369" s="77">
        <f>ROUNDUP(tbl_Data[[#This Row],[Adjusted 2032]]/$L369,0)</f>
        <v>0</v>
      </c>
      <c r="BJ369" s="77">
        <f>ROUNDUP(tbl_Data[[#This Row],[Adjusted 2033]]/$L369,0)</f>
        <v>0</v>
      </c>
      <c r="BK369" s="77">
        <f>ROUNDUP(tbl_Data[[#This Row],[Adjusted 2034]]/$L369,0)</f>
        <v>0</v>
      </c>
      <c r="BL369" s="80">
        <f t="shared" si="155"/>
        <v>0</v>
      </c>
      <c r="BM369" s="80">
        <f t="shared" si="156"/>
        <v>0</v>
      </c>
      <c r="BN369" s="80">
        <f t="shared" si="157"/>
        <v>0</v>
      </c>
      <c r="BO369" s="80">
        <f t="shared" si="158"/>
        <v>0</v>
      </c>
      <c r="BP369" s="80">
        <f t="shared" si="159"/>
        <v>0</v>
      </c>
      <c r="BQ369" s="80">
        <f t="shared" si="160"/>
        <v>0</v>
      </c>
      <c r="BR369" s="80">
        <f t="shared" si="161"/>
        <v>0</v>
      </c>
      <c r="BS369" s="80">
        <f t="shared" si="162"/>
        <v>0</v>
      </c>
      <c r="BT369" s="80">
        <f t="shared" si="163"/>
        <v>0</v>
      </c>
      <c r="BU369" s="80">
        <f t="shared" si="164"/>
        <v>0</v>
      </c>
      <c r="BV369" s="80">
        <f>IFERROR(VLOOKUP($H369,'1. Set Program Names'!$B$2:$D$15,3,0)*V369,"NA")</f>
        <v>0</v>
      </c>
      <c r="BW369" s="80">
        <f>IFERROR(VLOOKUP($H369,'1. Set Program Names'!$B$2:$D$15,3,0)*W369,"NA")</f>
        <v>0</v>
      </c>
      <c r="BX369" s="80">
        <f>IFERROR(VLOOKUP($H369,'1. Set Program Names'!$B$2:$D$15,3,0)*X369,"NA")</f>
        <v>0</v>
      </c>
      <c r="BY369" s="80">
        <f>IFERROR(VLOOKUP($H369,'1. Set Program Names'!$B$2:$D$15,3,0)*Y369,"NA")</f>
        <v>0</v>
      </c>
      <c r="BZ369" s="80">
        <f>IFERROR(VLOOKUP($H369,'1. Set Program Names'!$B$2:$D$15,3,0)*Z369,"NA")</f>
        <v>0</v>
      </c>
      <c r="CA369" s="80">
        <f>IFERROR(VLOOKUP($H369,'1. Set Program Names'!$B$2:$D$15,3,0)*AA369,"NA")</f>
        <v>0</v>
      </c>
      <c r="CB369" s="80">
        <f>IFERROR(VLOOKUP($H369,'1. Set Program Names'!$B$2:$D$15,3,0)*AB369,"NA")</f>
        <v>0</v>
      </c>
      <c r="CC369" s="80">
        <f>IFERROR(VLOOKUP($H369,'1. Set Program Names'!$B$2:$D$15,3,0)*AC369,"NA")</f>
        <v>0</v>
      </c>
      <c r="CD369" s="80">
        <f>IFERROR(VLOOKUP($H369,'1. Set Program Names'!$B$2:$D$15,3,0)*AD369,"NA")</f>
        <v>0</v>
      </c>
      <c r="CE369" s="80">
        <f>IFERROR(VLOOKUP($H369,'1. Set Program Names'!$B$2:$D$15,3,0)*AE369,"NA")</f>
        <v>0</v>
      </c>
    </row>
    <row r="370" spans="1:83" x14ac:dyDescent="0.25">
      <c r="A370" s="79" t="s">
        <v>115</v>
      </c>
      <c r="B370" s="79" t="s">
        <v>88</v>
      </c>
      <c r="C370" s="79" t="s">
        <v>122</v>
      </c>
      <c r="D370" s="79" t="s">
        <v>90</v>
      </c>
      <c r="E370" s="79" t="s">
        <v>91</v>
      </c>
      <c r="F370" s="79" t="s">
        <v>90</v>
      </c>
      <c r="G370" s="79" t="s">
        <v>92</v>
      </c>
      <c r="H370" s="79" t="s">
        <v>16</v>
      </c>
      <c r="I370" s="79" t="s">
        <v>165</v>
      </c>
      <c r="J370" s="79" t="s">
        <v>161</v>
      </c>
      <c r="K370" s="79" t="s">
        <v>166</v>
      </c>
      <c r="L370" s="79">
        <v>510.6</v>
      </c>
      <c r="M370" s="79">
        <v>6.2552429943266097E-2</v>
      </c>
      <c r="N370" s="79">
        <v>6.4361142955417797E-2</v>
      </c>
      <c r="O370" s="79">
        <v>129</v>
      </c>
      <c r="P370" s="79">
        <v>26.468747947944401</v>
      </c>
      <c r="Q370" s="79">
        <v>18.5998954178316</v>
      </c>
      <c r="R370" s="79">
        <v>174.74401692254699</v>
      </c>
      <c r="S370" s="79">
        <v>419.99719394182398</v>
      </c>
      <c r="T370" s="79">
        <v>10</v>
      </c>
      <c r="U370" s="79">
        <v>0.59999999999999898</v>
      </c>
      <c r="V370" s="79">
        <f>tbl_Data_old[[#This Row],[2025 ]]*IFERROR(AVERAGEIFS('Participation Adjustment'!$C:$C,'Participation Adjustment'!$A:$A,$H370,'Participation Adjustment'!$B:$B,$I370),1)</f>
        <v>3.0293053560174399</v>
      </c>
      <c r="W370" s="79">
        <f>tbl_Data_old[[#This Row],[2026 ]]*IFERROR(AVERAGEIFS('Participation Adjustment'!$C:$C,'Participation Adjustment'!$A:$A,$H370,'Participation Adjustment'!$B:$B,$I370),1)</f>
        <v>7.1838275612302596</v>
      </c>
      <c r="X370" s="79">
        <f>tbl_Data_old[[#This Row],[2027 ]]*IFERROR(AVERAGEIFS('Participation Adjustment'!$C:$C,'Participation Adjustment'!$A:$A,$H370,'Participation Adjustment'!$B:$B,$I370),1)</f>
        <v>12.7102419491749</v>
      </c>
      <c r="Y370" s="79">
        <f>tbl_Data_old[[#This Row],[2028 ]]*IFERROR(AVERAGEIFS('Participation Adjustment'!$C:$C,'Participation Adjustment'!$A:$A,$H370,'Participation Adjustment'!$B:$B,$I370),1)</f>
        <v>19.8383256824992</v>
      </c>
      <c r="Z370" s="79">
        <f>tbl_Data_old[[#This Row],[2029 ]]*IFERROR(AVERAGEIFS('Participation Adjustment'!$C:$C,'Participation Adjustment'!$A:$A,$H370,'Participation Adjustment'!$B:$B,$I370),1)</f>
        <v>28.6674502612005</v>
      </c>
      <c r="AA370" s="79">
        <f>tbl_Data_old[[#This Row],[2030 ]]*IFERROR(AVERAGEIFS('Participation Adjustment'!$C:$C,'Participation Adjustment'!$A:$A,$H370,'Participation Adjustment'!$B:$B,$I370),1)</f>
        <v>39.0332321615072</v>
      </c>
      <c r="AB370" s="79">
        <f>tbl_Data_old[[#This Row],[2031 ]]*IFERROR(AVERAGEIFS('Participation Adjustment'!$C:$C,'Participation Adjustment'!$A:$A,$H370,'Participation Adjustment'!$B:$B,$I370),1)</f>
        <v>50.427681892333602</v>
      </c>
      <c r="AC370" s="79">
        <f>tbl_Data_old[[#This Row],[2032 ]]*IFERROR(AVERAGEIFS('Participation Adjustment'!$C:$C,'Participation Adjustment'!$A:$A,$H370,'Participation Adjustment'!$B:$B,$I370),1)</f>
        <v>62.0193208956197</v>
      </c>
      <c r="AD370" s="79">
        <f>tbl_Data_old[[#This Row],[2033 ]]*IFERROR(AVERAGEIFS('Participation Adjustment'!$C:$C,'Participation Adjustment'!$A:$A,$H370,'Participation Adjustment'!$B:$B,$I370),1)</f>
        <v>72.810780588216005</v>
      </c>
      <c r="AE370" s="79">
        <f>tbl_Data_old[[#This Row],[2034 ]]*IFERROR(AVERAGEIFS('Participation Adjustment'!$C:$C,'Participation Adjustment'!$A:$A,$H370,'Participation Adjustment'!$B:$B,$I370),1)</f>
        <v>81.964563496443503</v>
      </c>
      <c r="AF370" s="77" t="str">
        <f t="shared" si="154"/>
        <v>NonResidential</v>
      </c>
      <c r="AG370" s="77" t="str">
        <f>tbl_Data[[#This Row],[All_Meas_Name_Append]]</f>
        <v>Occupancy Sensors_ Ceiling Mounted</v>
      </c>
      <c r="AH370" s="77">
        <f>AVERAGEIFS('3. Incentive Adjustment'!G:G,'3. Incentive Adjustment'!A:A,tbl_Data[[#This Row],[Trimmed Sector]],'3. Incentive Adjustment'!B:B,tbl_Data[[#This Row],[Trimmed Measure Name]])</f>
        <v>0.99348124042467356</v>
      </c>
      <c r="AI370" s="77">
        <f>$AH370*tbl_Data[[#This Row],[2025 ]]</f>
        <v>3.0095580427213133</v>
      </c>
      <c r="AJ370" s="77">
        <f>$AH370*tbl_Data[[#This Row],[2026 ]]</f>
        <v>7.1369979165279958</v>
      </c>
      <c r="AK370" s="77">
        <f>$AH370*tbl_Data[[#This Row],[2027 ]]</f>
        <v>12.627386937764001</v>
      </c>
      <c r="AL370" s="77">
        <f>$AH370*tbl_Data[[#This Row],[2028 ]]</f>
        <v>19.709004406997963</v>
      </c>
      <c r="AM370" s="77">
        <f>$AH370*tbl_Data[[#This Row],[2029 ]]</f>
        <v>28.480574045310103</v>
      </c>
      <c r="AN370" s="77">
        <f>$AH370*tbl_Data[[#This Row],[2030 ]]</f>
        <v>38.778783905598438</v>
      </c>
      <c r="AO370" s="77">
        <f>$AH370*tbl_Data[[#This Row],[2031 ]]</f>
        <v>50.098955958136436</v>
      </c>
      <c r="AP370" s="77">
        <f>$AH370*tbl_Data[[#This Row],[2032 ]]</f>
        <v>61.615031853676136</v>
      </c>
      <c r="AQ370" s="77">
        <f>$AH370*tbl_Data[[#This Row],[2033 ]]</f>
        <v>72.336144615069585</v>
      </c>
      <c r="AR370" s="77">
        <f>$AH370*tbl_Data[[#This Row],[2034 ]]</f>
        <v>81.430256213313612</v>
      </c>
      <c r="AS370" s="77">
        <f>SUM(tbl_Data[[#This Row],[Adjusted 2025]:[Adjusted 2034]])</f>
        <v>375.22269389511558</v>
      </c>
      <c r="AT370" s="80">
        <f>AVERAGEIFS('3. Incentive Adjustment'!F:F,'3. Incentive Adjustment'!A:A,tbl_Data[[#This Row],[Trimmed Sector]],'3. Incentive Adjustment'!B:B,tbl_Data[[#This Row],[Trimmed Measure Name]])</f>
        <v>19.547634357270656</v>
      </c>
      <c r="AU370" s="80">
        <f>IFERROR(VLOOKUP(tbl_Data[[#This Row],[All_Meas_Name_Append]],'IRA Tax Credits'!$A$3:$D$46,4,0),0)</f>
        <v>0</v>
      </c>
      <c r="AV370" s="81">
        <f>tbl_Data[[#This Row],[Adj. per unit Incentive ($)]]/tbl_Data[[#This Row],[kWh Savings]]*tbl_Data[[#This Row],[Sum of Annuals]]</f>
        <v>14.364896245224857</v>
      </c>
      <c r="AW370" s="81">
        <f>IFERROR(VLOOKUP(tbl_Data[[#This Row],[Column1]],'1. Set Program Names'!$B$2:$D$15,3,0)*tbl_Data[[#This Row],[Sum of Annuals]],"")</f>
        <v>13.668434909608708</v>
      </c>
      <c r="AX370" s="81">
        <f>tbl_Data[[#This Row],[per unit IRA tax ($)]]/tbl_Data[[#This Row],[kWh Savings]]*tbl_Data[[#This Row],[Sum of Annuals]]</f>
        <v>0</v>
      </c>
      <c r="AY370" s="81">
        <f>tbl_Data[[#This Row],[Avoided Costs ($/unit)]]/tbl_Data[[#This Row],[kWh Savings]]*tbl_Data[[#This Row],[Sum of Annuals]]</f>
        <v>128.41347585533049</v>
      </c>
      <c r="AZ370" s="81">
        <f>tbl_Data[[#This Row],[Lost Revenue ($/unit)]]/tbl_Data[[#This Row],[kWh Savings]]*tbl_Data[[#This Row],[Sum of Annuals]]</f>
        <v>308.64175193740795</v>
      </c>
      <c r="BA370" s="81">
        <f>tbl_Data[[#This Row],[Incremental Cost ($/unit)]]/tbl_Data[[#This Row],[kWh Savings]]*tbl_Data[[#This Row],[Sum of Annuals]]</f>
        <v>94.797742875969263</v>
      </c>
      <c r="BB370" s="77">
        <f>ROUNDUP(tbl_Data[[#This Row],[Adjusted 2025]]/$L370,0)</f>
        <v>1</v>
      </c>
      <c r="BC370" s="77">
        <f>ROUNDUP(tbl_Data[[#This Row],[Adjusted 2026]]/$L370,0)</f>
        <v>1</v>
      </c>
      <c r="BD370" s="77">
        <f>ROUNDUP(tbl_Data[[#This Row],[Adjusted 2027]]/$L370,0)</f>
        <v>1</v>
      </c>
      <c r="BE370" s="77">
        <f>ROUNDUP(tbl_Data[[#This Row],[Adjusted 2028]]/$L370,0)</f>
        <v>1</v>
      </c>
      <c r="BF370" s="77">
        <f>ROUNDUP(tbl_Data[[#This Row],[Adjusted 2029]]/$L370,0)</f>
        <v>1</v>
      </c>
      <c r="BG370" s="77">
        <f>ROUNDUP(tbl_Data[[#This Row],[Adjusted 2030]]/$L370,0)</f>
        <v>1</v>
      </c>
      <c r="BH370" s="77">
        <f>ROUNDUP(tbl_Data[[#This Row],[Adjusted 2031]]/$L370,0)</f>
        <v>1</v>
      </c>
      <c r="BI370" s="77">
        <f>ROUNDUP(tbl_Data[[#This Row],[Adjusted 2032]]/$L370,0)</f>
        <v>1</v>
      </c>
      <c r="BJ370" s="77">
        <f>ROUNDUP(tbl_Data[[#This Row],[Adjusted 2033]]/$L370,0)</f>
        <v>1</v>
      </c>
      <c r="BK370" s="77">
        <f>ROUNDUP(tbl_Data[[#This Row],[Adjusted 2034]]/$L370,0)</f>
        <v>1</v>
      </c>
      <c r="BL370" s="80">
        <f t="shared" si="155"/>
        <v>0.11597288181737275</v>
      </c>
      <c r="BM370" s="80">
        <f t="shared" si="156"/>
        <v>0.27502317754134842</v>
      </c>
      <c r="BN370" s="80">
        <f t="shared" si="157"/>
        <v>0.48659452059325115</v>
      </c>
      <c r="BO370" s="80">
        <f t="shared" si="158"/>
        <v>0.75948362064619312</v>
      </c>
      <c r="BP370" s="80">
        <f t="shared" si="159"/>
        <v>1.0974947819451442</v>
      </c>
      <c r="BQ370" s="80">
        <f t="shared" si="160"/>
        <v>1.4943348023415592</v>
      </c>
      <c r="BR370" s="80">
        <f t="shared" si="161"/>
        <v>1.9305559873014018</v>
      </c>
      <c r="BS370" s="80">
        <f t="shared" si="162"/>
        <v>2.3743262983819227</v>
      </c>
      <c r="BT370" s="80">
        <f t="shared" si="163"/>
        <v>2.7874628206147798</v>
      </c>
      <c r="BU370" s="80">
        <f t="shared" si="164"/>
        <v>3.1379030894668456</v>
      </c>
      <c r="BV370" s="80">
        <f>IFERROR(VLOOKUP($H370,'1. Set Program Names'!$B$2:$D$15,3,0)*V370,"NA")</f>
        <v>0.11035010342851868</v>
      </c>
      <c r="BW370" s="80">
        <f>IFERROR(VLOOKUP($H370,'1. Set Program Names'!$B$2:$D$15,3,0)*W370,"NA")</f>
        <v>0.26168907430203558</v>
      </c>
      <c r="BX370" s="80">
        <f>IFERROR(VLOOKUP($H370,'1. Set Program Names'!$B$2:$D$15,3,0)*X370,"NA")</f>
        <v>0.46300268505677589</v>
      </c>
      <c r="BY370" s="80">
        <f>IFERROR(VLOOKUP($H370,'1. Set Program Names'!$B$2:$D$15,3,0)*Y370,"NA")</f>
        <v>0.72266114954831318</v>
      </c>
      <c r="BZ370" s="80">
        <f>IFERROR(VLOOKUP($H370,'1. Set Program Names'!$B$2:$D$15,3,0)*Z370,"NA")</f>
        <v>1.0442843258014487</v>
      </c>
      <c r="CA370" s="80">
        <f>IFERROR(VLOOKUP($H370,'1. Set Program Names'!$B$2:$D$15,3,0)*AA370,"NA")</f>
        <v>1.42188412852326</v>
      </c>
      <c r="CB370" s="80">
        <f>IFERROR(VLOOKUP($H370,'1. Set Program Names'!$B$2:$D$15,3,0)*AB370,"NA")</f>
        <v>1.8369557566805474</v>
      </c>
      <c r="CC370" s="80">
        <f>IFERROR(VLOOKUP($H370,'1. Set Program Names'!$B$2:$D$15,3,0)*AC370,"NA")</f>
        <v>2.2592105024353057</v>
      </c>
      <c r="CD370" s="80">
        <f>IFERROR(VLOOKUP($H370,'1. Set Program Names'!$B$2:$D$15,3,0)*AD370,"NA")</f>
        <v>2.6523166945387859</v>
      </c>
      <c r="CE370" s="80">
        <f>IFERROR(VLOOKUP($H370,'1. Set Program Names'!$B$2:$D$15,3,0)*AE370,"NA")</f>
        <v>2.9857663709402082</v>
      </c>
    </row>
    <row r="371" spans="1:83" x14ac:dyDescent="0.25">
      <c r="A371" s="79" t="s">
        <v>115</v>
      </c>
      <c r="B371" s="79" t="s">
        <v>88</v>
      </c>
      <c r="C371" s="79" t="s">
        <v>122</v>
      </c>
      <c r="D371" s="79" t="s">
        <v>90</v>
      </c>
      <c r="E371" s="79" t="s">
        <v>91</v>
      </c>
      <c r="F371" s="79" t="s">
        <v>90</v>
      </c>
      <c r="G371" s="79" t="s">
        <v>92</v>
      </c>
      <c r="H371" s="79" t="s">
        <v>16</v>
      </c>
      <c r="I371" s="79" t="s">
        <v>167</v>
      </c>
      <c r="J371" s="79" t="s">
        <v>124</v>
      </c>
      <c r="K371" s="79" t="s">
        <v>98</v>
      </c>
      <c r="L371" s="79">
        <v>151.65999999999994</v>
      </c>
      <c r="M371" s="79">
        <v>2.2013191527321094E-2</v>
      </c>
      <c r="N371" s="79">
        <v>1.952960139549019E-2</v>
      </c>
      <c r="O371" s="79">
        <v>56.59999999999998</v>
      </c>
      <c r="P371" s="79">
        <v>25.402483751835906</v>
      </c>
      <c r="Q371" s="79"/>
      <c r="R371" s="79">
        <v>70.56447857633529</v>
      </c>
      <c r="S371" s="79">
        <v>171.41744415542868</v>
      </c>
      <c r="T371" s="79">
        <v>16</v>
      </c>
      <c r="U371" s="79">
        <v>0.6</v>
      </c>
      <c r="V371" s="79">
        <f>tbl_Data_old[[#This Row],[2025 ]]*IFERROR(AVERAGEIFS('Participation Adjustment'!$C:$C,'Participation Adjustment'!$A:$A,$H371,'Participation Adjustment'!$B:$B,$I371),1)</f>
        <v>0.43093788328899002</v>
      </c>
      <c r="W371" s="79">
        <f>tbl_Data_old[[#This Row],[2026 ]]*IFERROR(AVERAGEIFS('Participation Adjustment'!$C:$C,'Participation Adjustment'!$A:$A,$H371,'Participation Adjustment'!$B:$B,$I371),1)</f>
        <v>1.01702849261357</v>
      </c>
      <c r="X371" s="79">
        <f>tbl_Data_old[[#This Row],[2027 ]]*IFERROR(AVERAGEIFS('Participation Adjustment'!$C:$C,'Participation Adjustment'!$A:$A,$H371,'Participation Adjustment'!$B:$B,$I371),1)</f>
        <v>1.77419468600751</v>
      </c>
      <c r="Y371" s="79">
        <f>tbl_Data_old[[#This Row],[2028 ]]*IFERROR(AVERAGEIFS('Participation Adjustment'!$C:$C,'Participation Adjustment'!$A:$A,$H371,'Participation Adjustment'!$B:$B,$I371),1)</f>
        <v>2.7090250941370999</v>
      </c>
      <c r="Z371" s="79">
        <f>tbl_Data_old[[#This Row],[2029 ]]*IFERROR(AVERAGEIFS('Participation Adjustment'!$C:$C,'Participation Adjustment'!$A:$A,$H371,'Participation Adjustment'!$B:$B,$I371),1)</f>
        <v>3.81263246627684</v>
      </c>
      <c r="AA371" s="79">
        <f>tbl_Data_old[[#This Row],[2030 ]]*IFERROR(AVERAGEIFS('Participation Adjustment'!$C:$C,'Participation Adjustment'!$A:$A,$H371,'Participation Adjustment'!$B:$B,$I371),1)</f>
        <v>5.06402121818053</v>
      </c>
      <c r="AB371" s="79">
        <f>tbl_Data_old[[#This Row],[2031 ]]*IFERROR(AVERAGEIFS('Participation Adjustment'!$C:$C,'Participation Adjustment'!$A:$A,$H371,'Participation Adjustment'!$B:$B,$I371),1)</f>
        <v>6.43368450511693</v>
      </c>
      <c r="AC371" s="79">
        <f>tbl_Data_old[[#This Row],[2032 ]]*IFERROR(AVERAGEIFS('Participation Adjustment'!$C:$C,'Participation Adjustment'!$A:$A,$H371,'Participation Adjustment'!$B:$B,$I371),1)</f>
        <v>7.8945733308260602</v>
      </c>
      <c r="AD371" s="79">
        <f>tbl_Data_old[[#This Row],[2033 ]]*IFERROR(AVERAGEIFS('Participation Adjustment'!$C:$C,'Participation Adjustment'!$A:$A,$H371,'Participation Adjustment'!$B:$B,$I371),1)</f>
        <v>9.4270947199889097</v>
      </c>
      <c r="AE371" s="79">
        <f>tbl_Data_old[[#This Row],[2034 ]]*IFERROR(AVERAGEIFS('Participation Adjustment'!$C:$C,'Participation Adjustment'!$A:$A,$H371,'Participation Adjustment'!$B:$B,$I371),1)</f>
        <v>11.013050448854701</v>
      </c>
      <c r="AF371" s="77" t="str">
        <f t="shared" si="154"/>
        <v>NonResidential</v>
      </c>
      <c r="AG371" s="77" t="str">
        <f>tbl_Data[[#This Row],[All_Meas_Name_Append]]</f>
        <v>Refrigerated Display Case LED Lighting</v>
      </c>
      <c r="AH371" s="77">
        <f>AVERAGEIFS('3. Incentive Adjustment'!G:G,'3. Incentive Adjustment'!A:A,tbl_Data[[#This Row],[Trimmed Sector]],'3. Incentive Adjustment'!B:B,tbl_Data[[#This Row],[Trimmed Measure Name]])</f>
        <v>0.72450810749703154</v>
      </c>
      <c r="AI371" s="77">
        <f>$AH371*tbl_Data[[#This Row],[2025 ]]</f>
        <v>0.3122179902704828</v>
      </c>
      <c r="AJ371" s="77">
        <f>$AH371*tbl_Data[[#This Row],[2026 ]]</f>
        <v>0.73684538845401626</v>
      </c>
      <c r="AK371" s="77">
        <f>$AH371*tbl_Data[[#This Row],[2027 ]]</f>
        <v>1.2854184342905912</v>
      </c>
      <c r="AL371" s="77">
        <f>$AH371*tbl_Data[[#This Row],[2028 ]]</f>
        <v>1.962710644115238</v>
      </c>
      <c r="AM371" s="77">
        <f>$AH371*tbl_Data[[#This Row],[2029 ]]</f>
        <v>2.7622831327239732</v>
      </c>
      <c r="AN371" s="77">
        <f>$AH371*tbl_Data[[#This Row],[2030 ]]</f>
        <v>3.6689244291087881</v>
      </c>
      <c r="AO371" s="77">
        <f>$AH371*tbl_Data[[#This Row],[2031 ]]</f>
        <v>4.6612565850352432</v>
      </c>
      <c r="AP371" s="77">
        <f>$AH371*tbl_Data[[#This Row],[2032 ]]</f>
        <v>5.7196823834133257</v>
      </c>
      <c r="AQ371" s="77">
        <f>$AH371*tbl_Data[[#This Row],[2033 ]]</f>
        <v>6.8300065547744238</v>
      </c>
      <c r="AR371" s="77">
        <f>$AH371*tbl_Data[[#This Row],[2034 ]]</f>
        <v>7.9790443384690528</v>
      </c>
      <c r="AS371" s="77">
        <f>SUM(tbl_Data[[#This Row],[Adjusted 2025]:[Adjusted 2034]])</f>
        <v>35.918389880655134</v>
      </c>
      <c r="AT371" s="80">
        <f>AVERAGEIFS('3. Incentive Adjustment'!F:F,'3. Incentive Adjustment'!A:A,tbl_Data[[#This Row],[Trimmed Sector]],'3. Incentive Adjustment'!B:B,tbl_Data[[#This Row],[Trimmed Measure Name]])</f>
        <v>6.879122352287844</v>
      </c>
      <c r="AU371" s="80">
        <f>IFERROR(VLOOKUP(tbl_Data[[#This Row],[All_Meas_Name_Append]],'IRA Tax Credits'!$A$3:$D$46,4,0),0)</f>
        <v>0</v>
      </c>
      <c r="AV371" s="81">
        <f>tbl_Data[[#This Row],[Adj. per unit Incentive ($)]]/tbl_Data[[#This Row],[kWh Savings]]*tbl_Data[[#This Row],[Sum of Annuals]]</f>
        <v>1.6292166602017957</v>
      </c>
      <c r="AW371" s="81">
        <f>IFERROR(VLOOKUP(tbl_Data[[#This Row],[Column1]],'1. Set Program Names'!$B$2:$D$15,3,0)*tbl_Data[[#This Row],[Sum of Annuals]],"")</f>
        <v>1.3084181264337797</v>
      </c>
      <c r="AX371" s="81">
        <f>tbl_Data[[#This Row],[per unit IRA tax ($)]]/tbl_Data[[#This Row],[kWh Savings]]*tbl_Data[[#This Row],[Sum of Annuals]]</f>
        <v>0</v>
      </c>
      <c r="AY371" s="81">
        <f>tbl_Data[[#This Row],[Avoided Costs ($/unit)]]/tbl_Data[[#This Row],[kWh Savings]]*tbl_Data[[#This Row],[Sum of Annuals]]</f>
        <v>16.712135389884931</v>
      </c>
      <c r="AZ371" s="81">
        <f>tbl_Data[[#This Row],[Lost Revenue ($/unit)]]/tbl_Data[[#This Row],[kWh Savings]]*tbl_Data[[#This Row],[Sum of Annuals]]</f>
        <v>40.597643356983504</v>
      </c>
      <c r="BA371" s="81">
        <f>tbl_Data[[#This Row],[Incremental Cost ($/unit)]]/tbl_Data[[#This Row],[kWh Savings]]*tbl_Data[[#This Row],[Sum of Annuals]]</f>
        <v>13.404858678920485</v>
      </c>
      <c r="BB371" s="77">
        <f>ROUNDUP(tbl_Data[[#This Row],[Adjusted 2025]]/$L371,0)</f>
        <v>1</v>
      </c>
      <c r="BC371" s="77">
        <f>ROUNDUP(tbl_Data[[#This Row],[Adjusted 2026]]/$L371,0)</f>
        <v>1</v>
      </c>
      <c r="BD371" s="77">
        <f>ROUNDUP(tbl_Data[[#This Row],[Adjusted 2027]]/$L371,0)</f>
        <v>1</v>
      </c>
      <c r="BE371" s="77">
        <f>ROUNDUP(tbl_Data[[#This Row],[Adjusted 2028]]/$L371,0)</f>
        <v>1</v>
      </c>
      <c r="BF371" s="77">
        <f>ROUNDUP(tbl_Data[[#This Row],[Adjusted 2029]]/$L371,0)</f>
        <v>1</v>
      </c>
      <c r="BG371" s="77">
        <f>ROUNDUP(tbl_Data[[#This Row],[Adjusted 2030]]/$L371,0)</f>
        <v>1</v>
      </c>
      <c r="BH371" s="77">
        <f>ROUNDUP(tbl_Data[[#This Row],[Adjusted 2031]]/$L371,0)</f>
        <v>1</v>
      </c>
      <c r="BI371" s="77">
        <f>ROUNDUP(tbl_Data[[#This Row],[Adjusted 2032]]/$L371,0)</f>
        <v>1</v>
      </c>
      <c r="BJ371" s="77">
        <f>ROUNDUP(tbl_Data[[#This Row],[Adjusted 2033]]/$L371,0)</f>
        <v>1</v>
      </c>
      <c r="BK371" s="77">
        <f>ROUNDUP(tbl_Data[[#This Row],[Adjusted 2034]]/$L371,0)</f>
        <v>1</v>
      </c>
      <c r="BL371" s="80">
        <f t="shared" si="155"/>
        <v>1.954684442424438E-2</v>
      </c>
      <c r="BM371" s="80">
        <f t="shared" si="156"/>
        <v>4.6131237217800505E-2</v>
      </c>
      <c r="BN371" s="80">
        <f t="shared" si="157"/>
        <v>8.0475420821736643E-2</v>
      </c>
      <c r="BO371" s="80">
        <f t="shared" si="158"/>
        <v>0.12287824790971391</v>
      </c>
      <c r="BP371" s="80">
        <f t="shared" si="159"/>
        <v>0.17293660305831035</v>
      </c>
      <c r="BQ371" s="80">
        <f t="shared" si="160"/>
        <v>0.22969815082715028</v>
      </c>
      <c r="BR371" s="80">
        <f t="shared" si="161"/>
        <v>0.29182449483527523</v>
      </c>
      <c r="BS371" s="80">
        <f t="shared" si="162"/>
        <v>0.35808872386826496</v>
      </c>
      <c r="BT371" s="80">
        <f t="shared" si="163"/>
        <v>0.42760212320592406</v>
      </c>
      <c r="BU371" s="80">
        <f t="shared" si="164"/>
        <v>0.49953924244751463</v>
      </c>
      <c r="BV371" s="80">
        <f>IFERROR(VLOOKUP($H371,'1. Set Program Names'!$B$2:$D$15,3,0)*V371,"NA")</f>
        <v>1.5698001489927445E-2</v>
      </c>
      <c r="BW371" s="80">
        <f>IFERROR(VLOOKUP($H371,'1. Set Program Names'!$B$2:$D$15,3,0)*W371,"NA")</f>
        <v>3.7047833136638002E-2</v>
      </c>
      <c r="BX371" s="80">
        <f>IFERROR(VLOOKUP($H371,'1. Set Program Names'!$B$2:$D$15,3,0)*X371,"NA")</f>
        <v>6.4629525285178888E-2</v>
      </c>
      <c r="BY371" s="80">
        <f>IFERROR(VLOOKUP($H371,'1. Set Program Names'!$B$2:$D$15,3,0)*Y371,"NA")</f>
        <v>9.8683085458737926E-2</v>
      </c>
      <c r="BZ371" s="80">
        <f>IFERROR(VLOOKUP($H371,'1. Set Program Names'!$B$2:$D$15,3,0)*Z371,"NA")</f>
        <v>0.13888477308926508</v>
      </c>
      <c r="CA371" s="80">
        <f>IFERROR(VLOOKUP($H371,'1. Set Program Names'!$B$2:$D$15,3,0)*AA371,"NA")</f>
        <v>0.18446977095933856</v>
      </c>
      <c r="CB371" s="80">
        <f>IFERROR(VLOOKUP($H371,'1. Set Program Names'!$B$2:$D$15,3,0)*AB371,"NA")</f>
        <v>0.23436321767821941</v>
      </c>
      <c r="CC371" s="80">
        <f>IFERROR(VLOOKUP($H371,'1. Set Program Names'!$B$2:$D$15,3,0)*AC371,"NA")</f>
        <v>0.28757978519735122</v>
      </c>
      <c r="CD371" s="80">
        <f>IFERROR(VLOOKUP($H371,'1. Set Program Names'!$B$2:$D$15,3,0)*AD371,"NA")</f>
        <v>0.34340574987423933</v>
      </c>
      <c r="CE371" s="80">
        <f>IFERROR(VLOOKUP($H371,'1. Set Program Names'!$B$2:$D$15,3,0)*AE371,"NA")</f>
        <v>0.40117819541715882</v>
      </c>
    </row>
    <row r="372" spans="1:83" x14ac:dyDescent="0.25">
      <c r="A372" s="79" t="s">
        <v>116</v>
      </c>
      <c r="B372" s="79" t="s">
        <v>88</v>
      </c>
      <c r="C372" s="79" t="s">
        <v>122</v>
      </c>
      <c r="D372" s="79" t="s">
        <v>90</v>
      </c>
      <c r="E372" s="79" t="s">
        <v>91</v>
      </c>
      <c r="F372" s="79" t="s">
        <v>90</v>
      </c>
      <c r="G372" s="79" t="s">
        <v>92</v>
      </c>
      <c r="H372" s="79" t="s">
        <v>16</v>
      </c>
      <c r="I372" s="79" t="s">
        <v>157</v>
      </c>
      <c r="J372" s="79" t="s">
        <v>158</v>
      </c>
      <c r="K372" s="79" t="s">
        <v>159</v>
      </c>
      <c r="L372" s="79">
        <v>562.52000000000032</v>
      </c>
      <c r="M372" s="79">
        <v>0</v>
      </c>
      <c r="N372" s="79">
        <v>2.7796637938074218E-2</v>
      </c>
      <c r="O372" s="79">
        <v>169</v>
      </c>
      <c r="P372" s="79">
        <v>53.285725702774094</v>
      </c>
      <c r="Q372" s="79"/>
      <c r="R372" s="79">
        <v>275.37363005821356</v>
      </c>
      <c r="S372" s="79">
        <v>610.96426176974103</v>
      </c>
      <c r="T372" s="79">
        <v>15</v>
      </c>
      <c r="U372" s="79">
        <v>0.59999999999999898</v>
      </c>
      <c r="V372" s="79">
        <f>tbl_Data_old[[#This Row],[2025 ]]*IFERROR(AVERAGEIFS('Participation Adjustment'!$C:$C,'Participation Adjustment'!$A:$A,$H372,'Participation Adjustment'!$B:$B,$I372),1)</f>
        <v>0.113247254854205</v>
      </c>
      <c r="W372" s="79">
        <f>tbl_Data_old[[#This Row],[2026 ]]*IFERROR(AVERAGEIFS('Participation Adjustment'!$C:$C,'Participation Adjustment'!$A:$A,$H372,'Participation Adjustment'!$B:$B,$I372),1)</f>
        <v>0.12334996189775199</v>
      </c>
      <c r="X372" s="79">
        <f>tbl_Data_old[[#This Row],[2027 ]]*IFERROR(AVERAGEIFS('Participation Adjustment'!$C:$C,'Participation Adjustment'!$A:$A,$H372,'Participation Adjustment'!$B:$B,$I372),1)</f>
        <v>0.131327773049595</v>
      </c>
      <c r="Y372" s="79">
        <f>tbl_Data_old[[#This Row],[2028 ]]*IFERROR(AVERAGEIFS('Participation Adjustment'!$C:$C,'Participation Adjustment'!$A:$A,$H372,'Participation Adjustment'!$B:$B,$I372),1)</f>
        <v>0.13800784609577099</v>
      </c>
      <c r="Z372" s="79">
        <f>tbl_Data_old[[#This Row],[2029 ]]*IFERROR(AVERAGEIFS('Participation Adjustment'!$C:$C,'Participation Adjustment'!$A:$A,$H372,'Participation Adjustment'!$B:$B,$I372),1)</f>
        <v>0.14342025019285398</v>
      </c>
      <c r="AA372" s="79">
        <f>tbl_Data_old[[#This Row],[2030 ]]*IFERROR(AVERAGEIFS('Participation Adjustment'!$C:$C,'Participation Adjustment'!$A:$A,$H372,'Participation Adjustment'!$B:$B,$I372),1)</f>
        <v>0.14757863848474301</v>
      </c>
      <c r="AB372" s="79">
        <f>tbl_Data_old[[#This Row],[2031 ]]*IFERROR(AVERAGEIFS('Participation Adjustment'!$C:$C,'Participation Adjustment'!$A:$A,$H372,'Participation Adjustment'!$B:$B,$I372),1)</f>
        <v>0.15067105636528599</v>
      </c>
      <c r="AC372" s="79">
        <f>tbl_Data_old[[#This Row],[2032 ]]*IFERROR(AVERAGEIFS('Participation Adjustment'!$C:$C,'Participation Adjustment'!$A:$A,$H372,'Participation Adjustment'!$B:$B,$I372),1)</f>
        <v>0.15314820722400099</v>
      </c>
      <c r="AD372" s="79">
        <f>tbl_Data_old[[#This Row],[2033 ]]*IFERROR(AVERAGEIFS('Participation Adjustment'!$C:$C,'Participation Adjustment'!$A:$A,$H372,'Participation Adjustment'!$B:$B,$I372),1)</f>
        <v>0.15520181415555401</v>
      </c>
      <c r="AE372" s="79">
        <f>tbl_Data_old[[#This Row],[2034 ]]*IFERROR(AVERAGEIFS('Participation Adjustment'!$C:$C,'Participation Adjustment'!$A:$A,$H372,'Participation Adjustment'!$B:$B,$I372),1)</f>
        <v>0.156703904942158</v>
      </c>
      <c r="AF372" s="77" t="str">
        <f t="shared" si="154"/>
        <v>NonResidential</v>
      </c>
      <c r="AG372" s="77" t="str">
        <f>tbl_Data[[#This Row],[All_Meas_Name_Append]]</f>
        <v>LED Exterior Wall Packs</v>
      </c>
      <c r="AH372" s="77">
        <f>AVERAGEIFS('3. Incentive Adjustment'!G:G,'3. Incentive Adjustment'!A:A,tbl_Data[[#This Row],[Trimmed Sector]],'3. Incentive Adjustment'!B:B,tbl_Data[[#This Row],[Trimmed Measure Name]])</f>
        <v>0.80637708305213962</v>
      </c>
      <c r="AI372" s="77">
        <f>$AH372*tbl_Data[[#This Row],[2025 ]]</f>
        <v>9.1319991032996095E-2</v>
      </c>
      <c r="AJ372" s="77">
        <f>$AH372*tbl_Data[[#This Row],[2026 ]]</f>
        <v>9.9466582469701817E-2</v>
      </c>
      <c r="AK372" s="77">
        <f>$AH372*tbl_Data[[#This Row],[2027 ]]</f>
        <v>0.10589970655546581</v>
      </c>
      <c r="AL372" s="77">
        <f>$AH372*tbl_Data[[#This Row],[2028 ]]</f>
        <v>0.11128636437301642</v>
      </c>
      <c r="AM372" s="77">
        <f>$AH372*tbl_Data[[#This Row],[2029 ]]</f>
        <v>0.11565080300112165</v>
      </c>
      <c r="AN372" s="77">
        <f>$AH372*tbl_Data[[#This Row],[2030 ]]</f>
        <v>0.1190040320221333</v>
      </c>
      <c r="AO372" s="77">
        <f>$AH372*tbl_Data[[#This Row],[2031 ]]</f>
        <v>0.12149768693222383</v>
      </c>
      <c r="AP372" s="77">
        <f>$AH372*tbl_Data[[#This Row],[2032 ]]</f>
        <v>0.12349520461595453</v>
      </c>
      <c r="AQ372" s="77">
        <f>$AH372*tbl_Data[[#This Row],[2033 ]]</f>
        <v>0.1251511861831559</v>
      </c>
      <c r="AR372" s="77">
        <f>$AH372*tbl_Data[[#This Row],[2034 ]]</f>
        <v>0.12636243777013714</v>
      </c>
      <c r="AS372" s="77">
        <f>SUM(tbl_Data[[#This Row],[Adjusted 2025]:[Adjusted 2034]])</f>
        <v>1.1391339949559065</v>
      </c>
      <c r="AT372" s="80">
        <f>AVERAGEIFS('3. Incentive Adjustment'!F:F,'3. Incentive Adjustment'!A:A,tbl_Data[[#This Row],[Trimmed Sector]],'3. Incentive Adjustment'!B:B,tbl_Data[[#This Row],[Trimmed Measure Name]])</f>
        <v>8.6864493556481861</v>
      </c>
      <c r="AU372" s="80">
        <f>IFERROR(VLOOKUP(tbl_Data[[#This Row],[All_Meas_Name_Append]],'IRA Tax Credits'!$A$3:$D$46,4,0),0)</f>
        <v>0</v>
      </c>
      <c r="AV372" s="81">
        <f>tbl_Data[[#This Row],[Adj. per unit Incentive ($)]]/tbl_Data[[#This Row],[kWh Savings]]*tbl_Data[[#This Row],[Sum of Annuals]]</f>
        <v>1.7590538570151588E-2</v>
      </c>
      <c r="AW372" s="81">
        <f>IFERROR(VLOOKUP(tbl_Data[[#This Row],[Column1]],'1. Set Program Names'!$B$2:$D$15,3,0)*tbl_Data[[#This Row],[Sum of Annuals]],"")</f>
        <v>4.1495834651540581E-2</v>
      </c>
      <c r="AX372" s="81">
        <f>tbl_Data[[#This Row],[per unit IRA tax ($)]]/tbl_Data[[#This Row],[kWh Savings]]*tbl_Data[[#This Row],[Sum of Annuals]]</f>
        <v>0</v>
      </c>
      <c r="AY372" s="81">
        <f>tbl_Data[[#This Row],[Avoided Costs ($/unit)]]/tbl_Data[[#This Row],[kWh Savings]]*tbl_Data[[#This Row],[Sum of Annuals]]</f>
        <v>0.55764677400576435</v>
      </c>
      <c r="AZ372" s="81">
        <f>tbl_Data[[#This Row],[Lost Revenue ($/unit)]]/tbl_Data[[#This Row],[kWh Savings]]*tbl_Data[[#This Row],[Sum of Annuals]]</f>
        <v>1.2372362943274033</v>
      </c>
      <c r="BA372" s="81">
        <f>tbl_Data[[#This Row],[Incremental Cost ($/unit)]]/tbl_Data[[#This Row],[kWh Savings]]*tbl_Data[[#This Row],[Sum of Annuals]]</f>
        <v>0.34223431193121684</v>
      </c>
      <c r="BB372" s="77">
        <f>ROUNDUP(tbl_Data[[#This Row],[Adjusted 2025]]/$L372,0)</f>
        <v>1</v>
      </c>
      <c r="BC372" s="77">
        <f>ROUNDUP(tbl_Data[[#This Row],[Adjusted 2026]]/$L372,0)</f>
        <v>1</v>
      </c>
      <c r="BD372" s="77">
        <f>ROUNDUP(tbl_Data[[#This Row],[Adjusted 2027]]/$L372,0)</f>
        <v>1</v>
      </c>
      <c r="BE372" s="77">
        <f>ROUNDUP(tbl_Data[[#This Row],[Adjusted 2028]]/$L372,0)</f>
        <v>1</v>
      </c>
      <c r="BF372" s="77">
        <f>ROUNDUP(tbl_Data[[#This Row],[Adjusted 2029]]/$L372,0)</f>
        <v>1</v>
      </c>
      <c r="BG372" s="77">
        <f>ROUNDUP(tbl_Data[[#This Row],[Adjusted 2030]]/$L372,0)</f>
        <v>1</v>
      </c>
      <c r="BH372" s="77">
        <f>ROUNDUP(tbl_Data[[#This Row],[Adjusted 2031]]/$L372,0)</f>
        <v>1</v>
      </c>
      <c r="BI372" s="77">
        <f>ROUNDUP(tbl_Data[[#This Row],[Adjusted 2032]]/$L372,0)</f>
        <v>1</v>
      </c>
      <c r="BJ372" s="77">
        <f>ROUNDUP(tbl_Data[[#This Row],[Adjusted 2033]]/$L372,0)</f>
        <v>1</v>
      </c>
      <c r="BK372" s="77">
        <f>ROUNDUP(tbl_Data[[#This Row],[Adjusted 2034]]/$L372,0)</f>
        <v>1</v>
      </c>
      <c r="BL372" s="80">
        <f t="shared" si="155"/>
        <v>1.748767233089018E-3</v>
      </c>
      <c r="BM372" s="80">
        <f t="shared" si="156"/>
        <v>1.9047735139123151E-3</v>
      </c>
      <c r="BN372" s="80">
        <f t="shared" si="157"/>
        <v>2.0279670937662039E-3</v>
      </c>
      <c r="BO372" s="80">
        <f t="shared" si="158"/>
        <v>2.1311209659976593E-3</v>
      </c>
      <c r="BP372" s="80">
        <f t="shared" si="159"/>
        <v>2.2146994593518761E-3</v>
      </c>
      <c r="BQ372" s="80">
        <f t="shared" si="160"/>
        <v>2.2789134060535302E-3</v>
      </c>
      <c r="BR372" s="80">
        <f t="shared" si="161"/>
        <v>2.3266666082611626E-3</v>
      </c>
      <c r="BS372" s="80">
        <f t="shared" si="162"/>
        <v>2.3649188401471902E-3</v>
      </c>
      <c r="BT372" s="80">
        <f t="shared" si="163"/>
        <v>2.3966306950276273E-3</v>
      </c>
      <c r="BU372" s="80">
        <f t="shared" si="164"/>
        <v>2.4198260223856258E-3</v>
      </c>
      <c r="BV372" s="80">
        <f>IFERROR(VLOOKUP($H372,'1. Set Program Names'!$B$2:$D$15,3,0)*V372,"NA")</f>
        <v>4.1253174630723468E-3</v>
      </c>
      <c r="BW372" s="80">
        <f>IFERROR(VLOOKUP($H372,'1. Set Program Names'!$B$2:$D$15,3,0)*W372,"NA")</f>
        <v>4.4933340992787023E-3</v>
      </c>
      <c r="BX372" s="80">
        <f>IFERROR(VLOOKUP($H372,'1. Set Program Names'!$B$2:$D$15,3,0)*X372,"NA")</f>
        <v>4.7839460324700283E-3</v>
      </c>
      <c r="BY372" s="80">
        <f>IFERROR(VLOOKUP($H372,'1. Set Program Names'!$B$2:$D$15,3,0)*Y372,"NA")</f>
        <v>5.0272845754436848E-3</v>
      </c>
      <c r="BZ372" s="80">
        <f>IFERROR(VLOOKUP($H372,'1. Set Program Names'!$B$2:$D$15,3,0)*Z372,"NA")</f>
        <v>5.2244450732203936E-3</v>
      </c>
      <c r="CA372" s="80">
        <f>IFERROR(VLOOKUP($H372,'1. Set Program Names'!$B$2:$D$15,3,0)*AA372,"NA")</f>
        <v>5.375924876071689E-3</v>
      </c>
      <c r="CB372" s="80">
        <f>IFERROR(VLOOKUP($H372,'1. Set Program Names'!$B$2:$D$15,3,0)*AB372,"NA")</f>
        <v>5.4885740127076704E-3</v>
      </c>
      <c r="CC372" s="80">
        <f>IFERROR(VLOOKUP($H372,'1. Set Program Names'!$B$2:$D$15,3,0)*AC372,"NA")</f>
        <v>5.5788104931351881E-3</v>
      </c>
      <c r="CD372" s="80">
        <f>IFERROR(VLOOKUP($H372,'1. Set Program Names'!$B$2:$D$15,3,0)*AD372,"NA")</f>
        <v>5.6536183156111388E-3</v>
      </c>
      <c r="CE372" s="80">
        <f>IFERROR(VLOOKUP($H372,'1. Set Program Names'!$B$2:$D$15,3,0)*AE372,"NA")</f>
        <v>5.7083357686838424E-3</v>
      </c>
    </row>
    <row r="373" spans="1:83" x14ac:dyDescent="0.25">
      <c r="A373" s="79" t="s">
        <v>116</v>
      </c>
      <c r="B373" s="79" t="s">
        <v>88</v>
      </c>
      <c r="C373" s="79" t="s">
        <v>122</v>
      </c>
      <c r="D373" s="79" t="s">
        <v>90</v>
      </c>
      <c r="E373" s="79" t="s">
        <v>91</v>
      </c>
      <c r="F373" s="79" t="s">
        <v>90</v>
      </c>
      <c r="G373" s="79" t="s">
        <v>92</v>
      </c>
      <c r="H373" s="79" t="s">
        <v>16</v>
      </c>
      <c r="I373" s="79" t="s">
        <v>160</v>
      </c>
      <c r="J373" s="79" t="s">
        <v>161</v>
      </c>
      <c r="K373" s="79" t="s">
        <v>159</v>
      </c>
      <c r="L373" s="79">
        <v>1059.6621428571407</v>
      </c>
      <c r="M373" s="79">
        <v>0.13879011985330975</v>
      </c>
      <c r="N373" s="79">
        <v>0.14661252282673942</v>
      </c>
      <c r="O373" s="79">
        <v>179</v>
      </c>
      <c r="P373" s="79">
        <v>5.0437849584490522</v>
      </c>
      <c r="Q373" s="79"/>
      <c r="R373" s="79">
        <v>417.01467834907817</v>
      </c>
      <c r="S373" s="79">
        <v>1150.9203207638036</v>
      </c>
      <c r="T373" s="79">
        <v>15</v>
      </c>
      <c r="U373" s="79">
        <v>0.59999999999999898</v>
      </c>
      <c r="V373" s="79">
        <f>tbl_Data_old[[#This Row],[2025 ]]*IFERROR(AVERAGEIFS('Participation Adjustment'!$C:$C,'Participation Adjustment'!$A:$A,$H373,'Participation Adjustment'!$B:$B,$I373),1)</f>
        <v>20.4934730343114</v>
      </c>
      <c r="W373" s="79">
        <f>tbl_Data_old[[#This Row],[2026 ]]*IFERROR(AVERAGEIFS('Participation Adjustment'!$C:$C,'Participation Adjustment'!$A:$A,$H373,'Participation Adjustment'!$B:$B,$I373),1)</f>
        <v>22.306191605966401</v>
      </c>
      <c r="X373" s="79">
        <f>tbl_Data_old[[#This Row],[2027 ]]*IFERROR(AVERAGEIFS('Participation Adjustment'!$C:$C,'Participation Adjustment'!$A:$A,$H373,'Participation Adjustment'!$B:$B,$I373),1)</f>
        <v>23.744442305329049</v>
      </c>
      <c r="Y373" s="79">
        <f>tbl_Data_old[[#This Row],[2028 ]]*IFERROR(AVERAGEIFS('Participation Adjustment'!$C:$C,'Participation Adjustment'!$A:$A,$H373,'Participation Adjustment'!$B:$B,$I373),1)</f>
        <v>24.9494639568669</v>
      </c>
      <c r="Z373" s="79">
        <f>tbl_Data_old[[#This Row],[2029 ]]*IFERROR(AVERAGEIFS('Participation Adjustment'!$C:$C,'Participation Adjustment'!$A:$A,$H373,'Participation Adjustment'!$B:$B,$I373),1)</f>
        <v>25.9223339682603</v>
      </c>
      <c r="AA373" s="79">
        <f>tbl_Data_old[[#This Row],[2030 ]]*IFERROR(AVERAGEIFS('Participation Adjustment'!$C:$C,'Participation Adjustment'!$A:$A,$H373,'Participation Adjustment'!$B:$B,$I373),1)</f>
        <v>26.670193517967302</v>
      </c>
      <c r="AB373" s="79">
        <f>tbl_Data_old[[#This Row],[2031 ]]*IFERROR(AVERAGEIFS('Participation Adjustment'!$C:$C,'Participation Adjustment'!$A:$A,$H373,'Participation Adjustment'!$B:$B,$I373),1)</f>
        <v>27.222441628372053</v>
      </c>
      <c r="AC373" s="79">
        <f>tbl_Data_old[[#This Row],[2032 ]]*IFERROR(AVERAGEIFS('Participation Adjustment'!$C:$C,'Participation Adjustment'!$A:$A,$H373,'Participation Adjustment'!$B:$B,$I373),1)</f>
        <v>27.661524116739898</v>
      </c>
      <c r="AD373" s="79">
        <f>tbl_Data_old[[#This Row],[2033 ]]*IFERROR(AVERAGEIFS('Participation Adjustment'!$C:$C,'Participation Adjustment'!$A:$A,$H373,'Participation Adjustment'!$B:$B,$I373),1)</f>
        <v>28.0281797340939</v>
      </c>
      <c r="AE373" s="79">
        <f>tbl_Data_old[[#This Row],[2034 ]]*IFERROR(AVERAGEIFS('Participation Adjustment'!$C:$C,'Participation Adjustment'!$A:$A,$H373,'Participation Adjustment'!$B:$B,$I373),1)</f>
        <v>28.293027883010847</v>
      </c>
      <c r="AF373" s="77" t="str">
        <f t="shared" si="154"/>
        <v>NonResidential</v>
      </c>
      <c r="AG373" s="77" t="str">
        <f>tbl_Data[[#This Row],[All_Meas_Name_Append]]</f>
        <v>LED High Bay_HID Baseline</v>
      </c>
      <c r="AH373" s="77">
        <f>AVERAGEIFS('3. Incentive Adjustment'!G:G,'3. Incentive Adjustment'!A:A,tbl_Data[[#This Row],[Trimmed Sector]],'3. Incentive Adjustment'!B:B,tbl_Data[[#This Row],[Trimmed Measure Name]])</f>
        <v>1.0603846876879557</v>
      </c>
      <c r="AI373" s="77">
        <f>$AH373*tbl_Data[[#This Row],[2025 ]]</f>
        <v>21.730965003129835</v>
      </c>
      <c r="AJ373" s="77">
        <f>$AH373*tbl_Data[[#This Row],[2026 ]]</f>
        <v>23.653144019600379</v>
      </c>
      <c r="AK373" s="77">
        <f>$AH373*tbl_Data[[#This Row],[2027 ]]</f>
        <v>25.178243038261026</v>
      </c>
      <c r="AL373" s="77">
        <f>$AH373*tbl_Data[[#This Row],[2028 ]]</f>
        <v>26.456029545884213</v>
      </c>
      <c r="AM373" s="77">
        <f>$AH373*tbl_Data[[#This Row],[2029 ]]</f>
        <v>27.487646009076585</v>
      </c>
      <c r="AN373" s="77">
        <f>$AH373*tbl_Data[[#This Row],[2030 ]]</f>
        <v>28.280664824127097</v>
      </c>
      <c r="AO373" s="77">
        <f>$AH373*tbl_Data[[#This Row],[2031 ]]</f>
        <v>28.866260264204904</v>
      </c>
      <c r="AP373" s="77">
        <f>$AH373*tbl_Data[[#This Row],[2032 ]]</f>
        <v>29.33185661150209</v>
      </c>
      <c r="AQ373" s="77">
        <f>$AH373*tbl_Data[[#This Row],[2033 ]]</f>
        <v>29.72065261379905</v>
      </c>
      <c r="AR373" s="77">
        <f>$AH373*tbl_Data[[#This Row],[2034 ]]</f>
        <v>30.001493535473077</v>
      </c>
      <c r="AS373" s="77">
        <f>SUM(tbl_Data[[#This Row],[Adjusted 2025]:[Adjusted 2034]])</f>
        <v>270.70695546505829</v>
      </c>
      <c r="AT373" s="80">
        <f>AVERAGEIFS('3. Incentive Adjustment'!F:F,'3. Incentive Adjustment'!A:A,tbl_Data[[#This Row],[Trimmed Sector]],'3. Incentive Adjustment'!B:B,tbl_Data[[#This Row],[Trimmed Measure Name]])</f>
        <v>28.590998621954778</v>
      </c>
      <c r="AU373" s="80">
        <f>IFERROR(VLOOKUP(tbl_Data[[#This Row],[All_Meas_Name_Append]],'IRA Tax Credits'!$A$3:$D$46,4,0),0)</f>
        <v>0</v>
      </c>
      <c r="AV373" s="81">
        <f>tbl_Data[[#This Row],[Adj. per unit Incentive ($)]]/tbl_Data[[#This Row],[kWh Savings]]*tbl_Data[[#This Row],[Sum of Annuals]]</f>
        <v>7.3040093418704881</v>
      </c>
      <c r="AW373" s="81">
        <f>IFERROR(VLOOKUP(tbl_Data[[#This Row],[Column1]],'1. Set Program Names'!$B$2:$D$15,3,0)*tbl_Data[[#This Row],[Sum of Annuals]],"")</f>
        <v>9.8611849990789118</v>
      </c>
      <c r="AX373" s="81">
        <f>tbl_Data[[#This Row],[per unit IRA tax ($)]]/tbl_Data[[#This Row],[kWh Savings]]*tbl_Data[[#This Row],[Sum of Annuals]]</f>
        <v>0</v>
      </c>
      <c r="AY373" s="81">
        <f>tbl_Data[[#This Row],[Avoided Costs ($/unit)]]/tbl_Data[[#This Row],[kWh Savings]]*tbl_Data[[#This Row],[Sum of Annuals]]</f>
        <v>106.53279889356084</v>
      </c>
      <c r="AZ373" s="81">
        <f>tbl_Data[[#This Row],[Lost Revenue ($/unit)]]/tbl_Data[[#This Row],[kWh Savings]]*tbl_Data[[#This Row],[Sum of Annuals]]</f>
        <v>294.02025741599141</v>
      </c>
      <c r="BA373" s="81">
        <f>tbl_Data[[#This Row],[Incremental Cost ($/unit)]]/tbl_Data[[#This Row],[kWh Savings]]*tbl_Data[[#This Row],[Sum of Annuals]]</f>
        <v>45.728296849025156</v>
      </c>
      <c r="BB373" s="77">
        <f>ROUNDUP(tbl_Data[[#This Row],[Adjusted 2025]]/$L373,0)</f>
        <v>1</v>
      </c>
      <c r="BC373" s="77">
        <f>ROUNDUP(tbl_Data[[#This Row],[Adjusted 2026]]/$L373,0)</f>
        <v>1</v>
      </c>
      <c r="BD373" s="77">
        <f>ROUNDUP(tbl_Data[[#This Row],[Adjusted 2027]]/$L373,0)</f>
        <v>1</v>
      </c>
      <c r="BE373" s="77">
        <f>ROUNDUP(tbl_Data[[#This Row],[Adjusted 2028]]/$L373,0)</f>
        <v>1</v>
      </c>
      <c r="BF373" s="77">
        <f>ROUNDUP(tbl_Data[[#This Row],[Adjusted 2029]]/$L373,0)</f>
        <v>1</v>
      </c>
      <c r="BG373" s="77">
        <f>ROUNDUP(tbl_Data[[#This Row],[Adjusted 2030]]/$L373,0)</f>
        <v>1</v>
      </c>
      <c r="BH373" s="77">
        <f>ROUNDUP(tbl_Data[[#This Row],[Adjusted 2031]]/$L373,0)</f>
        <v>1</v>
      </c>
      <c r="BI373" s="77">
        <f>ROUNDUP(tbl_Data[[#This Row],[Adjusted 2032]]/$L373,0)</f>
        <v>1</v>
      </c>
      <c r="BJ373" s="77">
        <f>ROUNDUP(tbl_Data[[#This Row],[Adjusted 2033]]/$L373,0)</f>
        <v>1</v>
      </c>
      <c r="BK373" s="77">
        <f>ROUNDUP(tbl_Data[[#This Row],[Adjusted 2034]]/$L373,0)</f>
        <v>1</v>
      </c>
      <c r="BL373" s="80">
        <f t="shared" si="155"/>
        <v>0.55293931488694992</v>
      </c>
      <c r="BM373" s="80">
        <f t="shared" si="156"/>
        <v>0.60184870976675475</v>
      </c>
      <c r="BN373" s="80">
        <f t="shared" si="157"/>
        <v>0.64065449710254585</v>
      </c>
      <c r="BO373" s="80">
        <f t="shared" si="158"/>
        <v>0.67316747551814748</v>
      </c>
      <c r="BP373" s="80">
        <f t="shared" si="159"/>
        <v>0.69941671480878786</v>
      </c>
      <c r="BQ373" s="80">
        <f t="shared" si="160"/>
        <v>0.71959489282450595</v>
      </c>
      <c r="BR373" s="80">
        <f t="shared" si="161"/>
        <v>0.73449523164475194</v>
      </c>
      <c r="BS373" s="80">
        <f t="shared" si="162"/>
        <v>0.74634222165422892</v>
      </c>
      <c r="BT373" s="80">
        <f t="shared" si="163"/>
        <v>0.7562350448726135</v>
      </c>
      <c r="BU373" s="80">
        <f t="shared" si="164"/>
        <v>0.76338097634874869</v>
      </c>
      <c r="BV373" s="80">
        <f>IFERROR(VLOOKUP($H373,'1. Set Program Names'!$B$2:$D$15,3,0)*V373,"NA")</f>
        <v>0.74652654756432624</v>
      </c>
      <c r="BW373" s="80">
        <f>IFERROR(VLOOKUP($H373,'1. Set Program Names'!$B$2:$D$15,3,0)*W373,"NA")</f>
        <v>0.8125594027440054</v>
      </c>
      <c r="BX373" s="80">
        <f>IFERROR(VLOOKUP($H373,'1. Set Program Names'!$B$2:$D$15,3,0)*X373,"NA")</f>
        <v>0.86495131929858526</v>
      </c>
      <c r="BY373" s="80">
        <f>IFERROR(VLOOKUP($H373,'1. Set Program Names'!$B$2:$D$15,3,0)*Y373,"NA")</f>
        <v>0.90884727835621704</v>
      </c>
      <c r="BZ373" s="80">
        <f>IFERROR(VLOOKUP($H373,'1. Set Program Names'!$B$2:$D$15,3,0)*Z373,"NA")</f>
        <v>0.94428652721454431</v>
      </c>
      <c r="CA373" s="80">
        <f>IFERROR(VLOOKUP($H373,'1. Set Program Names'!$B$2:$D$15,3,0)*AA373,"NA")</f>
        <v>0.97152920134650067</v>
      </c>
      <c r="CB373" s="80">
        <f>IFERROR(VLOOKUP($H373,'1. Set Program Names'!$B$2:$D$15,3,0)*AB373,"NA")</f>
        <v>0.99164623444133715</v>
      </c>
      <c r="CC373" s="80">
        <f>IFERROR(VLOOKUP($H373,'1. Set Program Names'!$B$2:$D$15,3,0)*AC373,"NA")</f>
        <v>1.0076409237547785</v>
      </c>
      <c r="CD373" s="80">
        <f>IFERROR(VLOOKUP($H373,'1. Set Program Names'!$B$2:$D$15,3,0)*AD373,"NA")</f>
        <v>1.0209972812501662</v>
      </c>
      <c r="CE373" s="80">
        <f>IFERROR(VLOOKUP($H373,'1. Set Program Names'!$B$2:$D$15,3,0)*AE373,"NA")</f>
        <v>1.0306450444140156</v>
      </c>
    </row>
    <row r="374" spans="1:83" x14ac:dyDescent="0.25">
      <c r="A374" s="79" t="s">
        <v>116</v>
      </c>
      <c r="B374" s="79" t="s">
        <v>88</v>
      </c>
      <c r="C374" s="79" t="s">
        <v>122</v>
      </c>
      <c r="D374" s="79" t="s">
        <v>90</v>
      </c>
      <c r="E374" s="79" t="s">
        <v>91</v>
      </c>
      <c r="F374" s="79" t="s">
        <v>90</v>
      </c>
      <c r="G374" s="79" t="s">
        <v>92</v>
      </c>
      <c r="H374" s="79" t="s">
        <v>16</v>
      </c>
      <c r="I374" s="79" t="s">
        <v>162</v>
      </c>
      <c r="J374" s="79" t="s">
        <v>161</v>
      </c>
      <c r="K374" s="79" t="s">
        <v>159</v>
      </c>
      <c r="L374" s="79">
        <v>632.51142857142861</v>
      </c>
      <c r="M374" s="79">
        <v>7.5636667797052567E-2</v>
      </c>
      <c r="N374" s="79">
        <v>7.2066360150851286E-2</v>
      </c>
      <c r="O374" s="79">
        <v>179</v>
      </c>
      <c r="P374" s="79">
        <v>51.895440493260928</v>
      </c>
      <c r="Q374" s="79"/>
      <c r="R374" s="79">
        <v>248.91572427603518</v>
      </c>
      <c r="S374" s="79">
        <v>686.98335706831222</v>
      </c>
      <c r="T374" s="79">
        <v>15</v>
      </c>
      <c r="U374" s="79">
        <v>0.59999999999999898</v>
      </c>
      <c r="V374" s="79">
        <f>tbl_Data_old[[#This Row],[2025 ]]*IFERROR(AVERAGEIFS('Participation Adjustment'!$C:$C,'Participation Adjustment'!$A:$A,$H374,'Participation Adjustment'!$B:$B,$I374),1)</f>
        <v>52.729987346078552</v>
      </c>
      <c r="W374" s="79">
        <f>tbl_Data_old[[#This Row],[2026 ]]*IFERROR(AVERAGEIFS('Participation Adjustment'!$C:$C,'Participation Adjustment'!$A:$A,$H374,'Participation Adjustment'!$B:$B,$I374),1)</f>
        <v>57.394137106606351</v>
      </c>
      <c r="X374" s="79">
        <f>tbl_Data_old[[#This Row],[2027 ]]*IFERROR(AVERAGEIFS('Participation Adjustment'!$C:$C,'Participation Adjustment'!$A:$A,$H374,'Participation Adjustment'!$B:$B,$I374),1)</f>
        <v>61.094775892960655</v>
      </c>
      <c r="Y374" s="79">
        <f>tbl_Data_old[[#This Row],[2028 ]]*IFERROR(AVERAGEIFS('Participation Adjustment'!$C:$C,'Participation Adjustment'!$A:$A,$H374,'Participation Adjustment'!$B:$B,$I374),1)</f>
        <v>64.19531313869534</v>
      </c>
      <c r="Z374" s="79">
        <f>tbl_Data_old[[#This Row],[2029 ]]*IFERROR(AVERAGEIFS('Participation Adjustment'!$C:$C,'Participation Adjustment'!$A:$A,$H374,'Participation Adjustment'!$B:$B,$I374),1)</f>
        <v>66.698521028557053</v>
      </c>
      <c r="AA374" s="79">
        <f>tbl_Data_old[[#This Row],[2030 ]]*IFERROR(AVERAGEIFS('Participation Adjustment'!$C:$C,'Participation Adjustment'!$A:$A,$H374,'Participation Adjustment'!$B:$B,$I374),1)</f>
        <v>68.622773912715303</v>
      </c>
      <c r="AB374" s="79">
        <f>tbl_Data_old[[#This Row],[2031 ]]*IFERROR(AVERAGEIFS('Participation Adjustment'!$C:$C,'Participation Adjustment'!$A:$A,$H374,'Participation Adjustment'!$B:$B,$I374),1)</f>
        <v>70.043715879202807</v>
      </c>
      <c r="AC374" s="79">
        <f>tbl_Data_old[[#This Row],[2032 ]]*IFERROR(AVERAGEIFS('Participation Adjustment'!$C:$C,'Participation Adjustment'!$A:$A,$H374,'Participation Adjustment'!$B:$B,$I374),1)</f>
        <v>71.173481147235151</v>
      </c>
      <c r="AD374" s="79">
        <f>tbl_Data_old[[#This Row],[2033 ]]*IFERROR(AVERAGEIFS('Participation Adjustment'!$C:$C,'Participation Adjustment'!$A:$A,$H374,'Participation Adjustment'!$B:$B,$I374),1)</f>
        <v>72.116891082245857</v>
      </c>
      <c r="AE374" s="79">
        <f>tbl_Data_old[[#This Row],[2034 ]]*IFERROR(AVERAGEIFS('Participation Adjustment'!$C:$C,'Participation Adjustment'!$A:$A,$H374,'Participation Adjustment'!$B:$B,$I374),1)</f>
        <v>72.798349003879792</v>
      </c>
      <c r="AF374" s="77" t="str">
        <f t="shared" si="154"/>
        <v>NonResidential</v>
      </c>
      <c r="AG374" s="77" t="str">
        <f>tbl_Data[[#This Row],[All_Meas_Name_Append]]</f>
        <v>LED High Bay_LF Baseline</v>
      </c>
      <c r="AH374" s="77">
        <f>AVERAGEIFS('3. Incentive Adjustment'!G:G,'3. Incentive Adjustment'!A:A,tbl_Data[[#This Row],[Trimmed Sector]],'3. Incentive Adjustment'!B:B,tbl_Data[[#This Row],[Trimmed Measure Name]])</f>
        <v>0.93017466414143679</v>
      </c>
      <c r="AI374" s="77">
        <f>$AH374*tbl_Data[[#This Row],[2025 ]]</f>
        <v>49.048098269820827</v>
      </c>
      <c r="AJ374" s="77">
        <f>$AH374*tbl_Data[[#This Row],[2026 ]]</f>
        <v>53.386572206825136</v>
      </c>
      <c r="AK374" s="77">
        <f>$AH374*tbl_Data[[#This Row],[2027 ]]</f>
        <v>56.828812647031029</v>
      </c>
      <c r="AL374" s="77">
        <f>$AH374*tbl_Data[[#This Row],[2028 ]]</f>
        <v>59.712853838240299</v>
      </c>
      <c r="AM374" s="77">
        <f>$AH374*tbl_Data[[#This Row],[2029 ]]</f>
        <v>62.041274396468616</v>
      </c>
      <c r="AN374" s="77">
        <f>$AH374*tbl_Data[[#This Row],[2030 ]]</f>
        <v>63.831165676713709</v>
      </c>
      <c r="AO374" s="77">
        <f>$AH374*tbl_Data[[#This Row],[2031 ]]</f>
        <v>65.152889893155688</v>
      </c>
      <c r="AP374" s="77">
        <f>$AH374*tbl_Data[[#This Row],[2032 ]]</f>
        <v>66.203768921906345</v>
      </c>
      <c r="AQ374" s="77">
        <f>$AH374*tbl_Data[[#This Row],[2033 ]]</f>
        <v>67.081304941352613</v>
      </c>
      <c r="AR374" s="77">
        <f>$AH374*tbl_Data[[#This Row],[2034 ]]</f>
        <v>67.715179834734982</v>
      </c>
      <c r="AS374" s="77">
        <f>SUM(tbl_Data[[#This Row],[Adjusted 2025]:[Adjusted 2034]])</f>
        <v>611.00192062624922</v>
      </c>
      <c r="AT374" s="80">
        <f>AVERAGEIFS('3. Incentive Adjustment'!F:F,'3. Incentive Adjustment'!A:A,tbl_Data[[#This Row],[Trimmed Sector]],'3. Incentive Adjustment'!B:B,tbl_Data[[#This Row],[Trimmed Measure Name]])</f>
        <v>23.858858929800434</v>
      </c>
      <c r="AU374" s="80">
        <f>IFERROR(VLOOKUP(tbl_Data[[#This Row],[All_Meas_Name_Append]],'IRA Tax Credits'!$A$3:$D$46,4,0),0)</f>
        <v>0</v>
      </c>
      <c r="AV374" s="81">
        <f>tbl_Data[[#This Row],[Adj. per unit Incentive ($)]]/tbl_Data[[#This Row],[kWh Savings]]*tbl_Data[[#This Row],[Sum of Annuals]]</f>
        <v>23.047502339971633</v>
      </c>
      <c r="AW374" s="81">
        <f>IFERROR(VLOOKUP(tbl_Data[[#This Row],[Column1]],'1. Set Program Names'!$B$2:$D$15,3,0)*tbl_Data[[#This Row],[Sum of Annuals]],"")</f>
        <v>22.257289118179607</v>
      </c>
      <c r="AX374" s="81">
        <f>tbl_Data[[#This Row],[per unit IRA tax ($)]]/tbl_Data[[#This Row],[kWh Savings]]*tbl_Data[[#This Row],[Sum of Annuals]]</f>
        <v>0</v>
      </c>
      <c r="AY374" s="81">
        <f>tbl_Data[[#This Row],[Avoided Costs ($/unit)]]/tbl_Data[[#This Row],[kWh Savings]]*tbl_Data[[#This Row],[Sum of Annuals]]</f>
        <v>240.45096853069163</v>
      </c>
      <c r="AZ374" s="81">
        <f>tbl_Data[[#This Row],[Lost Revenue ($/unit)]]/tbl_Data[[#This Row],[kWh Savings]]*tbl_Data[[#This Row],[Sum of Annuals]]</f>
        <v>663.62144879348295</v>
      </c>
      <c r="BA374" s="81">
        <f>tbl_Data[[#This Row],[Incremental Cost ($/unit)]]/tbl_Data[[#This Row],[kWh Savings]]*tbl_Data[[#This Row],[Sum of Annuals]]</f>
        <v>172.91283422201073</v>
      </c>
      <c r="BB374" s="77">
        <f>ROUNDUP(tbl_Data[[#This Row],[Adjusted 2025]]/$L374,0)</f>
        <v>1</v>
      </c>
      <c r="BC374" s="77">
        <f>ROUNDUP(tbl_Data[[#This Row],[Adjusted 2026]]/$L374,0)</f>
        <v>1</v>
      </c>
      <c r="BD374" s="77">
        <f>ROUNDUP(tbl_Data[[#This Row],[Adjusted 2027]]/$L374,0)</f>
        <v>1</v>
      </c>
      <c r="BE374" s="77">
        <f>ROUNDUP(tbl_Data[[#This Row],[Adjusted 2028]]/$L374,0)</f>
        <v>1</v>
      </c>
      <c r="BF374" s="77">
        <f>ROUNDUP(tbl_Data[[#This Row],[Adjusted 2029]]/$L374,0)</f>
        <v>1</v>
      </c>
      <c r="BG374" s="77">
        <f>ROUNDUP(tbl_Data[[#This Row],[Adjusted 2030]]/$L374,0)</f>
        <v>1</v>
      </c>
      <c r="BH374" s="77">
        <f>ROUNDUP(tbl_Data[[#This Row],[Adjusted 2031]]/$L374,0)</f>
        <v>1</v>
      </c>
      <c r="BI374" s="77">
        <f>ROUNDUP(tbl_Data[[#This Row],[Adjusted 2032]]/$L374,0)</f>
        <v>1</v>
      </c>
      <c r="BJ374" s="77">
        <f>ROUNDUP(tbl_Data[[#This Row],[Adjusted 2033]]/$L374,0)</f>
        <v>1</v>
      </c>
      <c r="BK374" s="77">
        <f>ROUNDUP(tbl_Data[[#This Row],[Adjusted 2034]]/$L374,0)</f>
        <v>1</v>
      </c>
      <c r="BL374" s="80">
        <f t="shared" si="155"/>
        <v>1.9890191269772086</v>
      </c>
      <c r="BM374" s="80">
        <f t="shared" si="156"/>
        <v>2.1649547482753597</v>
      </c>
      <c r="BN374" s="80">
        <f t="shared" si="157"/>
        <v>2.3045459315575196</v>
      </c>
      <c r="BO374" s="80">
        <f t="shared" si="158"/>
        <v>2.4215007839301546</v>
      </c>
      <c r="BP374" s="80">
        <f t="shared" si="159"/>
        <v>2.5159238745153543</v>
      </c>
      <c r="BQ374" s="80">
        <f t="shared" si="160"/>
        <v>2.5885082991352939</v>
      </c>
      <c r="BR374" s="80">
        <f t="shared" si="161"/>
        <v>2.6421074159171498</v>
      </c>
      <c r="BS374" s="80">
        <f t="shared" si="162"/>
        <v>2.6847231046402005</v>
      </c>
      <c r="BT374" s="80">
        <f t="shared" si="163"/>
        <v>2.7203093146842305</v>
      </c>
      <c r="BU374" s="80">
        <f t="shared" si="164"/>
        <v>2.7460144761792264</v>
      </c>
      <c r="BV374" s="80">
        <f>IFERROR(VLOOKUP($H374,'1. Set Program Names'!$B$2:$D$15,3,0)*V374,"NA")</f>
        <v>1.9208230513526185</v>
      </c>
      <c r="BW374" s="80">
        <f>IFERROR(VLOOKUP($H374,'1. Set Program Names'!$B$2:$D$15,3,0)*W374,"NA")</f>
        <v>2.0907264938886967</v>
      </c>
      <c r="BX374" s="80">
        <f>IFERROR(VLOOKUP($H374,'1. Set Program Names'!$B$2:$D$15,3,0)*X374,"NA")</f>
        <v>2.2255316141498827</v>
      </c>
      <c r="BY374" s="80">
        <f>IFERROR(VLOOKUP($H374,'1. Set Program Names'!$B$2:$D$15,3,0)*Y374,"NA")</f>
        <v>2.3384765191827008</v>
      </c>
      <c r="BZ374" s="80">
        <f>IFERROR(VLOOKUP($H374,'1. Set Program Names'!$B$2:$D$15,3,0)*Z374,"NA")</f>
        <v>2.4296621928225735</v>
      </c>
      <c r="CA374" s="80">
        <f>IFERROR(VLOOKUP($H374,'1. Set Program Names'!$B$2:$D$15,3,0)*AA374,"NA")</f>
        <v>2.4997579672111443</v>
      </c>
      <c r="CB374" s="80">
        <f>IFERROR(VLOOKUP($H374,'1. Set Program Names'!$B$2:$D$15,3,0)*AB374,"NA")</f>
        <v>2.5515193694271168</v>
      </c>
      <c r="CC374" s="80">
        <f>IFERROR(VLOOKUP($H374,'1. Set Program Names'!$B$2:$D$15,3,0)*AC374,"NA")</f>
        <v>2.5926739245232784</v>
      </c>
      <c r="CD374" s="80">
        <f>IFERROR(VLOOKUP($H374,'1. Set Program Names'!$B$2:$D$15,3,0)*AD374,"NA")</f>
        <v>2.6270400156461586</v>
      </c>
      <c r="CE374" s="80">
        <f>IFERROR(VLOOKUP($H374,'1. Set Program Names'!$B$2:$D$15,3,0)*AE374,"NA")</f>
        <v>2.6518638426615211</v>
      </c>
    </row>
    <row r="375" spans="1:83" x14ac:dyDescent="0.25">
      <c r="A375" s="79" t="s">
        <v>116</v>
      </c>
      <c r="B375" s="79" t="s">
        <v>88</v>
      </c>
      <c r="C375" s="79" t="s">
        <v>122</v>
      </c>
      <c r="D375" s="79" t="s">
        <v>90</v>
      </c>
      <c r="E375" s="79" t="s">
        <v>91</v>
      </c>
      <c r="F375" s="79" t="s">
        <v>90</v>
      </c>
      <c r="G375" s="79" t="s">
        <v>92</v>
      </c>
      <c r="H375" s="79" t="s">
        <v>16</v>
      </c>
      <c r="I375" s="79" t="s">
        <v>163</v>
      </c>
      <c r="J375" s="79" t="s">
        <v>161</v>
      </c>
      <c r="K375" s="79" t="s">
        <v>159</v>
      </c>
      <c r="L375" s="79">
        <v>217.06142857142831</v>
      </c>
      <c r="M375" s="79">
        <v>3.4743730880075478E-2</v>
      </c>
      <c r="N375" s="79">
        <v>3.4497784431073229E-2</v>
      </c>
      <c r="O375" s="79">
        <v>109.07999999999996</v>
      </c>
      <c r="P375" s="79">
        <v>64.428955263702662</v>
      </c>
      <c r="Q375" s="79"/>
      <c r="R375" s="79">
        <v>85.561030664747506</v>
      </c>
      <c r="S375" s="79">
        <v>235.75477399173039</v>
      </c>
      <c r="T375" s="79">
        <v>15</v>
      </c>
      <c r="U375" s="79">
        <v>0.59999999999999898</v>
      </c>
      <c r="V375" s="79">
        <f>tbl_Data_old[[#This Row],[2025 ]]*IFERROR(AVERAGEIFS('Participation Adjustment'!$C:$C,'Participation Adjustment'!$A:$A,$H375,'Participation Adjustment'!$B:$B,$I375),1)</f>
        <v>178.9157316442047</v>
      </c>
      <c r="W375" s="79">
        <f>tbl_Data_old[[#This Row],[2026 ]]*IFERROR(AVERAGEIFS('Participation Adjustment'!$C:$C,'Participation Adjustment'!$A:$A,$H375,'Participation Adjustment'!$B:$B,$I375),1)</f>
        <v>188.0933963830623</v>
      </c>
      <c r="X375" s="79">
        <f>tbl_Data_old[[#This Row],[2027 ]]*IFERROR(AVERAGEIFS('Participation Adjustment'!$C:$C,'Participation Adjustment'!$A:$A,$H375,'Participation Adjustment'!$B:$B,$I375),1)</f>
        <v>193.0359947946111</v>
      </c>
      <c r="Y375" s="79">
        <f>tbl_Data_old[[#This Row],[2028 ]]*IFERROR(AVERAGEIFS('Participation Adjustment'!$C:$C,'Participation Adjustment'!$A:$A,$H375,'Participation Adjustment'!$B:$B,$I375),1)</f>
        <v>196.06331952901292</v>
      </c>
      <c r="Z375" s="79">
        <f>tbl_Data_old[[#This Row],[2029 ]]*IFERROR(AVERAGEIFS('Participation Adjustment'!$C:$C,'Participation Adjustment'!$A:$A,$H375,'Participation Adjustment'!$B:$B,$I375),1)</f>
        <v>197.7655305378741</v>
      </c>
      <c r="AA375" s="79">
        <f>tbl_Data_old[[#This Row],[2030 ]]*IFERROR(AVERAGEIFS('Participation Adjustment'!$C:$C,'Participation Adjustment'!$A:$A,$H375,'Participation Adjustment'!$B:$B,$I375),1)</f>
        <v>197.98410196176181</v>
      </c>
      <c r="AB375" s="79">
        <f>tbl_Data_old[[#This Row],[2031 ]]*IFERROR(AVERAGEIFS('Participation Adjustment'!$C:$C,'Participation Adjustment'!$A:$A,$H375,'Participation Adjustment'!$B:$B,$I375),1)</f>
        <v>197.40410605815211</v>
      </c>
      <c r="AC375" s="79">
        <f>tbl_Data_old[[#This Row],[2032 ]]*IFERROR(AVERAGEIFS('Participation Adjustment'!$C:$C,'Participation Adjustment'!$A:$A,$H375,'Participation Adjustment'!$B:$B,$I375),1)</f>
        <v>196.58929068940378</v>
      </c>
      <c r="AD375" s="79">
        <f>tbl_Data_old[[#This Row],[2033 ]]*IFERROR(AVERAGEIFS('Participation Adjustment'!$C:$C,'Participation Adjustment'!$A:$A,$H375,'Participation Adjustment'!$B:$B,$I375),1)</f>
        <v>195.38839330023779</v>
      </c>
      <c r="AE375" s="79">
        <f>tbl_Data_old[[#This Row],[2034 ]]*IFERROR(AVERAGEIFS('Participation Adjustment'!$C:$C,'Participation Adjustment'!$A:$A,$H375,'Participation Adjustment'!$B:$B,$I375),1)</f>
        <v>194.04438292843531</v>
      </c>
      <c r="AF375" s="77" t="str">
        <f t="shared" si="154"/>
        <v>NonResidential</v>
      </c>
      <c r="AG375" s="77" t="str">
        <f>tbl_Data[[#This Row],[All_Meas_Name_Append]]</f>
        <v>LED Linear - Fixture Replacement</v>
      </c>
      <c r="AH375" s="77">
        <f>AVERAGEIFS('3. Incentive Adjustment'!G:G,'3. Incentive Adjustment'!A:A,tbl_Data[[#This Row],[Trimmed Sector]],'3. Incentive Adjustment'!B:B,tbl_Data[[#This Row],[Trimmed Measure Name]])</f>
        <v>0.56055357916158088</v>
      </c>
      <c r="AI375" s="77">
        <f>$AH375*tbl_Data[[#This Row],[2025 ]]</f>
        <v>100.29185374147185</v>
      </c>
      <c r="AJ375" s="77">
        <f>$AH375*tbl_Data[[#This Row],[2026 ]]</f>
        <v>105.43642655918353</v>
      </c>
      <c r="AK375" s="77">
        <f>$AH375*tbl_Data[[#This Row],[2027 ]]</f>
        <v>108.20701778913555</v>
      </c>
      <c r="AL375" s="77">
        <f>$AH375*tbl_Data[[#This Row],[2028 ]]</f>
        <v>109.90399550428887</v>
      </c>
      <c r="AM375" s="77">
        <f>$AH375*tbl_Data[[#This Row],[2029 ]]</f>
        <v>110.85817597779425</v>
      </c>
      <c r="AN375" s="77">
        <f>$AH375*tbl_Data[[#This Row],[2030 ]]</f>
        <v>110.98069697175696</v>
      </c>
      <c r="AO375" s="77">
        <f>$AH375*tbl_Data[[#This Row],[2031 ]]</f>
        <v>110.65557819208948</v>
      </c>
      <c r="AP375" s="77">
        <f>$AH375*tbl_Data[[#This Row],[2032 ]]</f>
        <v>110.19883052078174</v>
      </c>
      <c r="AQ375" s="77">
        <f>$AH375*tbl_Data[[#This Row],[2033 ]]</f>
        <v>109.52566319107895</v>
      </c>
      <c r="AR375" s="77">
        <f>$AH375*tbl_Data[[#This Row],[2034 ]]</f>
        <v>108.77227336673478</v>
      </c>
      <c r="AS375" s="77">
        <f>SUM(tbl_Data[[#This Row],[Adjusted 2025]:[Adjusted 2034]])</f>
        <v>1084.830511814316</v>
      </c>
      <c r="AT375" s="80">
        <f>AVERAGEIFS('3. Incentive Adjustment'!F:F,'3. Incentive Adjustment'!A:A,tbl_Data[[#This Row],[Trimmed Sector]],'3. Incentive Adjustment'!B:B,tbl_Data[[#This Row],[Trimmed Measure Name]])</f>
        <v>16.810726621008875</v>
      </c>
      <c r="AU375" s="80">
        <f>IFERROR(VLOOKUP(tbl_Data[[#This Row],[All_Meas_Name_Append]],'IRA Tax Credits'!$A$3:$D$46,4,0),0)</f>
        <v>0</v>
      </c>
      <c r="AV375" s="81">
        <f>tbl_Data[[#This Row],[Adj. per unit Incentive ($)]]/tbl_Data[[#This Row],[kWh Savings]]*tbl_Data[[#This Row],[Sum of Annuals]]</f>
        <v>84.016719526189021</v>
      </c>
      <c r="AW375" s="81">
        <f>IFERROR(VLOOKUP(tbl_Data[[#This Row],[Column1]],'1. Set Program Names'!$B$2:$D$15,3,0)*tbl_Data[[#This Row],[Sum of Annuals]],"")</f>
        <v>39.517693039206918</v>
      </c>
      <c r="AX375" s="81">
        <f>tbl_Data[[#This Row],[per unit IRA tax ($)]]/tbl_Data[[#This Row],[kWh Savings]]*tbl_Data[[#This Row],[Sum of Annuals]]</f>
        <v>0</v>
      </c>
      <c r="AY375" s="81">
        <f>tbl_Data[[#This Row],[Avoided Costs ($/unit)]]/tbl_Data[[#This Row],[kWh Savings]]*tbl_Data[[#This Row],[Sum of Annuals]]</f>
        <v>427.61727543341232</v>
      </c>
      <c r="AZ375" s="81">
        <f>tbl_Data[[#This Row],[Lost Revenue ($/unit)]]/tbl_Data[[#This Row],[kWh Savings]]*tbl_Data[[#This Row],[Sum of Annuals]]</f>
        <v>1178.2561914170599</v>
      </c>
      <c r="BA375" s="81">
        <f>tbl_Data[[#This Row],[Incremental Cost ($/unit)]]/tbl_Data[[#This Row],[kWh Savings]]*tbl_Data[[#This Row],[Sum of Annuals]]</f>
        <v>545.16047833788969</v>
      </c>
      <c r="BB375" s="77">
        <f>ROUNDUP(tbl_Data[[#This Row],[Adjusted 2025]]/$L375,0)</f>
        <v>1</v>
      </c>
      <c r="BC375" s="77">
        <f>ROUNDUP(tbl_Data[[#This Row],[Adjusted 2026]]/$L375,0)</f>
        <v>1</v>
      </c>
      <c r="BD375" s="77">
        <f>ROUNDUP(tbl_Data[[#This Row],[Adjusted 2027]]/$L375,0)</f>
        <v>1</v>
      </c>
      <c r="BE375" s="77">
        <f>ROUNDUP(tbl_Data[[#This Row],[Adjusted 2028]]/$L375,0)</f>
        <v>1</v>
      </c>
      <c r="BF375" s="77">
        <f>ROUNDUP(tbl_Data[[#This Row],[Adjusted 2029]]/$L375,0)</f>
        <v>1</v>
      </c>
      <c r="BG375" s="77">
        <f>ROUNDUP(tbl_Data[[#This Row],[Adjusted 2030]]/$L375,0)</f>
        <v>1</v>
      </c>
      <c r="BH375" s="77">
        <f>ROUNDUP(tbl_Data[[#This Row],[Adjusted 2031]]/$L375,0)</f>
        <v>1</v>
      </c>
      <c r="BI375" s="77">
        <f>ROUNDUP(tbl_Data[[#This Row],[Adjusted 2032]]/$L375,0)</f>
        <v>1</v>
      </c>
      <c r="BJ375" s="77">
        <f>ROUNDUP(tbl_Data[[#This Row],[Adjusted 2033]]/$L375,0)</f>
        <v>1</v>
      </c>
      <c r="BK375" s="77">
        <f>ROUNDUP(tbl_Data[[#This Row],[Adjusted 2034]]/$L375,0)</f>
        <v>1</v>
      </c>
      <c r="BL375" s="80">
        <f t="shared" si="155"/>
        <v>13.856462074646155</v>
      </c>
      <c r="BM375" s="80">
        <f t="shared" si="156"/>
        <v>14.567243414102041</v>
      </c>
      <c r="BN375" s="80">
        <f t="shared" si="157"/>
        <v>14.950032153864885</v>
      </c>
      <c r="BO375" s="80">
        <f t="shared" si="158"/>
        <v>15.184488956429881</v>
      </c>
      <c r="BP375" s="80">
        <f t="shared" si="159"/>
        <v>15.316319858444887</v>
      </c>
      <c r="BQ375" s="80">
        <f t="shared" si="160"/>
        <v>15.33324752946559</v>
      </c>
      <c r="BR375" s="80">
        <f t="shared" si="161"/>
        <v>15.288328666445762</v>
      </c>
      <c r="BS375" s="80">
        <f t="shared" si="162"/>
        <v>15.225223772587952</v>
      </c>
      <c r="BT375" s="80">
        <f t="shared" si="163"/>
        <v>15.132218037566222</v>
      </c>
      <c r="BU375" s="80">
        <f t="shared" si="164"/>
        <v>15.02812865105075</v>
      </c>
      <c r="BV375" s="80">
        <f>IFERROR(VLOOKUP($H375,'1. Set Program Names'!$B$2:$D$15,3,0)*V375,"NA")</f>
        <v>6.5174576913181337</v>
      </c>
      <c r="BW375" s="80">
        <f>IFERROR(VLOOKUP($H375,'1. Set Program Names'!$B$2:$D$15,3,0)*W375,"NA")</f>
        <v>6.8517773237558002</v>
      </c>
      <c r="BX375" s="80">
        <f>IFERROR(VLOOKUP($H375,'1. Set Program Names'!$B$2:$D$15,3,0)*X375,"NA")</f>
        <v>7.0318239621168432</v>
      </c>
      <c r="BY375" s="80">
        <f>IFERROR(VLOOKUP($H375,'1. Set Program Names'!$B$2:$D$15,3,0)*Y375,"NA")</f>
        <v>7.1421019163974711</v>
      </c>
      <c r="BZ375" s="80">
        <f>IFERROR(VLOOKUP($H375,'1. Set Program Names'!$B$2:$D$15,3,0)*Z375,"NA")</f>
        <v>7.2041092543212857</v>
      </c>
      <c r="CA375" s="80">
        <f>IFERROR(VLOOKUP($H375,'1. Set Program Names'!$B$2:$D$15,3,0)*AA375,"NA")</f>
        <v>7.2120712708227313</v>
      </c>
      <c r="CB375" s="80">
        <f>IFERROR(VLOOKUP($H375,'1. Set Program Names'!$B$2:$D$15,3,0)*AB375,"NA")</f>
        <v>7.1909434542345778</v>
      </c>
      <c r="CC375" s="80">
        <f>IFERROR(VLOOKUP($H375,'1. Set Program Names'!$B$2:$D$15,3,0)*AC375,"NA")</f>
        <v>7.1612617451794254</v>
      </c>
      <c r="CD375" s="80">
        <f>IFERROR(VLOOKUP($H375,'1. Set Program Names'!$B$2:$D$15,3,0)*AD375,"NA")</f>
        <v>7.1175160228017624</v>
      </c>
      <c r="CE375" s="80">
        <f>IFERROR(VLOOKUP($H375,'1. Set Program Names'!$B$2:$D$15,3,0)*AE375,"NA")</f>
        <v>7.0685570483481648</v>
      </c>
    </row>
    <row r="376" spans="1:83" x14ac:dyDescent="0.25">
      <c r="A376" s="79" t="s">
        <v>116</v>
      </c>
      <c r="B376" s="79" t="s">
        <v>88</v>
      </c>
      <c r="C376" s="79" t="s">
        <v>122</v>
      </c>
      <c r="D376" s="79" t="s">
        <v>90</v>
      </c>
      <c r="E376" s="79" t="s">
        <v>91</v>
      </c>
      <c r="F376" s="79" t="s">
        <v>90</v>
      </c>
      <c r="G376" s="79" t="s">
        <v>92</v>
      </c>
      <c r="H376" s="79" t="s">
        <v>16</v>
      </c>
      <c r="I376" s="79" t="s">
        <v>164</v>
      </c>
      <c r="J376" s="79" t="s">
        <v>158</v>
      </c>
      <c r="K376" s="79" t="s">
        <v>159</v>
      </c>
      <c r="L376" s="79">
        <v>612.05999999999972</v>
      </c>
      <c r="M376" s="79">
        <v>0</v>
      </c>
      <c r="N376" s="79">
        <v>3.0244631686656035E-2</v>
      </c>
      <c r="O376" s="79">
        <v>255</v>
      </c>
      <c r="P376" s="79">
        <v>129.09500333079711</v>
      </c>
      <c r="Q376" s="79"/>
      <c r="R376" s="79">
        <v>299.62522934905462</v>
      </c>
      <c r="S376" s="79">
        <v>664.77065003695441</v>
      </c>
      <c r="T376" s="79">
        <v>15</v>
      </c>
      <c r="U376" s="79">
        <v>0.59999999999999898</v>
      </c>
      <c r="V376" s="79">
        <f>tbl_Data_old[[#This Row],[2025 ]]*IFERROR(AVERAGEIFS('Participation Adjustment'!$C:$C,'Participation Adjustment'!$A:$A,$H376,'Participation Adjustment'!$B:$B,$I376),1)</f>
        <v>15.92535180707878</v>
      </c>
      <c r="W376" s="79">
        <f>tbl_Data_old[[#This Row],[2026 ]]*IFERROR(AVERAGEIFS('Participation Adjustment'!$C:$C,'Participation Adjustment'!$A:$A,$H376,'Participation Adjustment'!$B:$B,$I376),1)</f>
        <v>17.302849759966641</v>
      </c>
      <c r="X376" s="79">
        <f>tbl_Data_old[[#This Row],[2027 ]]*IFERROR(AVERAGEIFS('Participation Adjustment'!$C:$C,'Participation Adjustment'!$A:$A,$H376,'Participation Adjustment'!$B:$B,$I376),1)</f>
        <v>18.40958083752562</v>
      </c>
      <c r="Y376" s="79">
        <f>tbl_Data_old[[#This Row],[2028 ]]*IFERROR(AVERAGEIFS('Participation Adjustment'!$C:$C,'Participation Adjustment'!$A:$A,$H376,'Participation Adjustment'!$B:$B,$I376),1)</f>
        <v>19.338314314642961</v>
      </c>
      <c r="Z376" s="79">
        <f>tbl_Data_old[[#This Row],[2029 ]]*IFERROR(AVERAGEIFS('Participation Adjustment'!$C:$C,'Participation Adjustment'!$A:$A,$H376,'Participation Adjustment'!$B:$B,$I376),1)</f>
        <v>20.081110092687599</v>
      </c>
      <c r="AA376" s="79">
        <f>tbl_Data_old[[#This Row],[2030 ]]*IFERROR(AVERAGEIFS('Participation Adjustment'!$C:$C,'Participation Adjustment'!$A:$A,$H376,'Participation Adjustment'!$B:$B,$I376),1)</f>
        <v>20.652911356948</v>
      </c>
      <c r="AB376" s="79">
        <f>tbl_Data_old[[#This Row],[2031 ]]*IFERROR(AVERAGEIFS('Participation Adjustment'!$C:$C,'Participation Adjustment'!$A:$A,$H376,'Participation Adjustment'!$B:$B,$I376),1)</f>
        <v>21.067251321688602</v>
      </c>
      <c r="AC376" s="79">
        <f>tbl_Data_old[[#This Row],[2032 ]]*IFERROR(AVERAGEIFS('Participation Adjustment'!$C:$C,'Participation Adjustment'!$A:$A,$H376,'Participation Adjustment'!$B:$B,$I376),1)</f>
        <v>21.389979223827201</v>
      </c>
      <c r="AD376" s="79">
        <f>tbl_Data_old[[#This Row],[2033 ]]*IFERROR(AVERAGEIFS('Participation Adjustment'!$C:$C,'Participation Adjustment'!$A:$A,$H376,'Participation Adjustment'!$B:$B,$I376),1)</f>
        <v>21.664909547845198</v>
      </c>
      <c r="AE376" s="79">
        <f>tbl_Data_old[[#This Row],[2034 ]]*IFERROR(AVERAGEIFS('Participation Adjustment'!$C:$C,'Participation Adjustment'!$A:$A,$H376,'Participation Adjustment'!$B:$B,$I376),1)</f>
        <v>21.856695450315598</v>
      </c>
      <c r="AF376" s="77" t="str">
        <f t="shared" si="154"/>
        <v>NonResidential</v>
      </c>
      <c r="AG376" s="77" t="str">
        <f>tbl_Data[[#This Row],[All_Meas_Name_Append]]</f>
        <v>LED Parking Lighting</v>
      </c>
      <c r="AH376" s="77">
        <f>AVERAGEIFS('3. Incentive Adjustment'!G:G,'3. Incentive Adjustment'!A:A,tbl_Data[[#This Row],[Trimmed Sector]],'3. Incentive Adjustment'!B:B,tbl_Data[[#This Row],[Trimmed Measure Name]])</f>
        <v>0.59704067730377497</v>
      </c>
      <c r="AI376" s="77">
        <f>$AH376*tbl_Data[[#This Row],[2025 ]]</f>
        <v>9.5080828291992106</v>
      </c>
      <c r="AJ376" s="77">
        <f>$AH376*tbl_Data[[#This Row],[2026 ]]</f>
        <v>10.330505139975944</v>
      </c>
      <c r="AK376" s="77">
        <f>$AH376*tbl_Data[[#This Row],[2027 ]]</f>
        <v>10.991268612114894</v>
      </c>
      <c r="AL376" s="77">
        <f>$AH376*tbl_Data[[#This Row],[2028 ]]</f>
        <v>11.545760276327721</v>
      </c>
      <c r="AM376" s="77">
        <f>$AH376*tbl_Data[[#This Row],[2029 ]]</f>
        <v>11.989239570749875</v>
      </c>
      <c r="AN376" s="77">
        <f>$AH376*tbl_Data[[#This Row],[2030 ]]</f>
        <v>12.330628184847059</v>
      </c>
      <c r="AO376" s="77">
        <f>$AH376*tbl_Data[[#This Row],[2031 ]]</f>
        <v>12.578005998029811</v>
      </c>
      <c r="AP376" s="77">
        <f>$AH376*tbl_Data[[#This Row],[2032 ]]</f>
        <v>12.770687683307466</v>
      </c>
      <c r="AQ376" s="77">
        <f>$AH376*tbl_Data[[#This Row],[2033 ]]</f>
        <v>12.934832270170519</v>
      </c>
      <c r="AR376" s="77">
        <f>$AH376*tbl_Data[[#This Row],[2034 ]]</f>
        <v>13.049336255278762</v>
      </c>
      <c r="AS376" s="77">
        <f>SUM(tbl_Data[[#This Row],[Adjusted 2025]:[Adjusted 2034]])</f>
        <v>118.02834682000126</v>
      </c>
      <c r="AT376" s="80">
        <f>AVERAGEIFS('3. Incentive Adjustment'!F:F,'3. Incentive Adjustment'!A:A,tbl_Data[[#This Row],[Trimmed Sector]],'3. Incentive Adjustment'!B:B,tbl_Data[[#This Row],[Trimmed Measure Name]])</f>
        <v>9.4514474020799994</v>
      </c>
      <c r="AU376" s="80">
        <f>IFERROR(VLOOKUP(tbl_Data[[#This Row],[All_Meas_Name_Append]],'IRA Tax Credits'!$A$3:$D$46,4,0),0)</f>
        <v>0</v>
      </c>
      <c r="AV376" s="81">
        <f>tbl_Data[[#This Row],[Adj. per unit Incentive ($)]]/tbl_Data[[#This Row],[kWh Savings]]*tbl_Data[[#This Row],[Sum of Annuals]]</f>
        <v>1.8225969870988115</v>
      </c>
      <c r="AW376" s="81">
        <f>IFERROR(VLOOKUP(tbl_Data[[#This Row],[Column1]],'1. Set Program Names'!$B$2:$D$15,3,0)*tbl_Data[[#This Row],[Sum of Annuals]],"")</f>
        <v>4.2994808209784283</v>
      </c>
      <c r="AX376" s="81">
        <f>tbl_Data[[#This Row],[per unit IRA tax ($)]]/tbl_Data[[#This Row],[kWh Savings]]*tbl_Data[[#This Row],[Sum of Annuals]]</f>
        <v>0</v>
      </c>
      <c r="AY376" s="81">
        <f>tbl_Data[[#This Row],[Avoided Costs ($/unit)]]/tbl_Data[[#This Row],[kWh Savings]]*tbl_Data[[#This Row],[Sum of Annuals]]</f>
        <v>57.779091078705768</v>
      </c>
      <c r="AZ376" s="81">
        <f>tbl_Data[[#This Row],[Lost Revenue ($/unit)]]/tbl_Data[[#This Row],[kWh Savings]]*tbl_Data[[#This Row],[Sum of Annuals]]</f>
        <v>128.19295630872688</v>
      </c>
      <c r="BA376" s="81">
        <f>tbl_Data[[#This Row],[Incremental Cost ($/unit)]]/tbl_Data[[#This Row],[kWh Savings]]*tbl_Data[[#This Row],[Sum of Annuals]]</f>
        <v>49.17365689491281</v>
      </c>
      <c r="BB376" s="77">
        <f>ROUNDUP(tbl_Data[[#This Row],[Adjusted 2025]]/$L376,0)</f>
        <v>1</v>
      </c>
      <c r="BC376" s="77">
        <f>ROUNDUP(tbl_Data[[#This Row],[Adjusted 2026]]/$L376,0)</f>
        <v>1</v>
      </c>
      <c r="BD376" s="77">
        <f>ROUNDUP(tbl_Data[[#This Row],[Adjusted 2027]]/$L376,0)</f>
        <v>1</v>
      </c>
      <c r="BE376" s="77">
        <f>ROUNDUP(tbl_Data[[#This Row],[Adjusted 2028]]/$L376,0)</f>
        <v>1</v>
      </c>
      <c r="BF376" s="77">
        <f>ROUNDUP(tbl_Data[[#This Row],[Adjusted 2029]]/$L376,0)</f>
        <v>1</v>
      </c>
      <c r="BG376" s="77">
        <f>ROUNDUP(tbl_Data[[#This Row],[Adjusted 2030]]/$L376,0)</f>
        <v>1</v>
      </c>
      <c r="BH376" s="77">
        <f>ROUNDUP(tbl_Data[[#This Row],[Adjusted 2031]]/$L376,0)</f>
        <v>1</v>
      </c>
      <c r="BI376" s="77">
        <f>ROUNDUP(tbl_Data[[#This Row],[Adjusted 2032]]/$L376,0)</f>
        <v>1</v>
      </c>
      <c r="BJ376" s="77">
        <f>ROUNDUP(tbl_Data[[#This Row],[Adjusted 2033]]/$L376,0)</f>
        <v>1</v>
      </c>
      <c r="BK376" s="77">
        <f>ROUNDUP(tbl_Data[[#This Row],[Adjusted 2034]]/$L376,0)</f>
        <v>1</v>
      </c>
      <c r="BL376" s="80">
        <f t="shared" si="155"/>
        <v>0.24591972186423688</v>
      </c>
      <c r="BM376" s="80">
        <f t="shared" si="156"/>
        <v>0.26719108324742236</v>
      </c>
      <c r="BN376" s="80">
        <f t="shared" si="157"/>
        <v>0.28428125507338065</v>
      </c>
      <c r="BO376" s="80">
        <f t="shared" si="158"/>
        <v>0.2986227830437192</v>
      </c>
      <c r="BP376" s="80">
        <f t="shared" si="159"/>
        <v>0.31009305593637021</v>
      </c>
      <c r="BQ376" s="80">
        <f t="shared" si="160"/>
        <v>0.31892282683072704</v>
      </c>
      <c r="BR376" s="80">
        <f t="shared" si="161"/>
        <v>0.32532107599473947</v>
      </c>
      <c r="BS376" s="80">
        <f t="shared" si="162"/>
        <v>0.33030464916117186</v>
      </c>
      <c r="BT376" s="80">
        <f t="shared" si="163"/>
        <v>0.33455013080789425</v>
      </c>
      <c r="BU376" s="80">
        <f t="shared" si="164"/>
        <v>0.33751169400375647</v>
      </c>
      <c r="BV376" s="80">
        <f>IFERROR(VLOOKUP($H376,'1. Set Program Names'!$B$2:$D$15,3,0)*V376,"NA")</f>
        <v>0.58012118704238447</v>
      </c>
      <c r="BW376" s="80">
        <f>IFERROR(VLOOKUP($H376,'1. Set Program Names'!$B$2:$D$15,3,0)*W376,"NA")</f>
        <v>0.63030003126876788</v>
      </c>
      <c r="BX376" s="80">
        <f>IFERROR(VLOOKUP($H376,'1. Set Program Names'!$B$2:$D$15,3,0)*X376,"NA")</f>
        <v>0.67061550776359979</v>
      </c>
      <c r="BY376" s="80">
        <f>IFERROR(VLOOKUP($H376,'1. Set Program Names'!$B$2:$D$15,3,0)*Y376,"NA")</f>
        <v>0.70444697181652116</v>
      </c>
      <c r="BZ376" s="80">
        <f>IFERROR(VLOOKUP($H376,'1. Set Program Names'!$B$2:$D$15,3,0)*Z376,"NA")</f>
        <v>0.7315051852682195</v>
      </c>
      <c r="CA376" s="80">
        <f>IFERROR(VLOOKUP($H376,'1. Set Program Names'!$B$2:$D$15,3,0)*AA376,"NA")</f>
        <v>0.7523344914081086</v>
      </c>
      <c r="CB376" s="80">
        <f>IFERROR(VLOOKUP($H376,'1. Set Program Names'!$B$2:$D$15,3,0)*AB376,"NA")</f>
        <v>0.76742787176769189</v>
      </c>
      <c r="CC376" s="80">
        <f>IFERROR(VLOOKUP($H376,'1. Set Program Names'!$B$2:$D$15,3,0)*AC376,"NA")</f>
        <v>0.77918405121969769</v>
      </c>
      <c r="CD376" s="80">
        <f>IFERROR(VLOOKUP($H376,'1. Set Program Names'!$B$2:$D$15,3,0)*AD376,"NA")</f>
        <v>0.78919908309185849</v>
      </c>
      <c r="CE376" s="80">
        <f>IFERROR(VLOOKUP($H376,'1. Set Program Names'!$B$2:$D$15,3,0)*AE376,"NA")</f>
        <v>0.79618536928176042</v>
      </c>
    </row>
    <row r="377" spans="1:83" x14ac:dyDescent="0.25">
      <c r="A377" s="79" t="s">
        <v>116</v>
      </c>
      <c r="B377" s="79" t="s">
        <v>88</v>
      </c>
      <c r="C377" s="79" t="s">
        <v>122</v>
      </c>
      <c r="D377" s="79" t="s">
        <v>90</v>
      </c>
      <c r="E377" s="79" t="s">
        <v>91</v>
      </c>
      <c r="F377" s="79" t="s">
        <v>90</v>
      </c>
      <c r="G377" s="79" t="s">
        <v>92</v>
      </c>
      <c r="H377" s="79" t="s">
        <v>16</v>
      </c>
      <c r="I377" s="79" t="s">
        <v>165</v>
      </c>
      <c r="J377" s="79" t="s">
        <v>161</v>
      </c>
      <c r="K377" s="79" t="s">
        <v>166</v>
      </c>
      <c r="L377" s="79">
        <v>510.6</v>
      </c>
      <c r="M377" s="79">
        <v>6.2552429943266097E-2</v>
      </c>
      <c r="N377" s="79">
        <v>6.4361142955417797E-2</v>
      </c>
      <c r="O377" s="79">
        <v>129</v>
      </c>
      <c r="P377" s="79">
        <v>26.468747947944401</v>
      </c>
      <c r="Q377" s="79">
        <v>18.5998954178316</v>
      </c>
      <c r="R377" s="79">
        <v>174.74401692254699</v>
      </c>
      <c r="S377" s="79">
        <v>419.99719394182398</v>
      </c>
      <c r="T377" s="79">
        <v>10</v>
      </c>
      <c r="U377" s="79">
        <v>0.59999999999999898</v>
      </c>
      <c r="V377" s="79">
        <f>tbl_Data_old[[#This Row],[2025 ]]*IFERROR(AVERAGEIFS('Participation Adjustment'!$C:$C,'Participation Adjustment'!$A:$A,$H377,'Participation Adjustment'!$B:$B,$I377),1)</f>
        <v>3.0309367607522701</v>
      </c>
      <c r="W377" s="79">
        <f>tbl_Data_old[[#This Row],[2026 ]]*IFERROR(AVERAGEIFS('Participation Adjustment'!$C:$C,'Participation Adjustment'!$A:$A,$H377,'Participation Adjustment'!$B:$B,$I377),1)</f>
        <v>4.1567595852059096</v>
      </c>
      <c r="X377" s="79">
        <f>tbl_Data_old[[#This Row],[2027 ]]*IFERROR(AVERAGEIFS('Participation Adjustment'!$C:$C,'Participation Adjustment'!$A:$A,$H377,'Participation Adjustment'!$B:$B,$I377),1)</f>
        <v>5.5293905879441798</v>
      </c>
      <c r="Y377" s="79">
        <f>tbl_Data_old[[#This Row],[2028 ]]*IFERROR(AVERAGEIFS('Participation Adjustment'!$C:$C,'Participation Adjustment'!$A:$A,$H377,'Participation Adjustment'!$B:$B,$I377),1)</f>
        <v>7.1319224977227398</v>
      </c>
      <c r="Z377" s="79">
        <f>tbl_Data_old[[#This Row],[2029 ]]*IFERROR(AVERAGEIFS('Participation Adjustment'!$C:$C,'Participation Adjustment'!$A:$A,$H377,'Participation Adjustment'!$B:$B,$I377),1)</f>
        <v>8.8338794231125792</v>
      </c>
      <c r="AA377" s="79">
        <f>tbl_Data_old[[#This Row],[2030 ]]*IFERROR(AVERAGEIFS('Participation Adjustment'!$C:$C,'Participation Adjustment'!$A:$A,$H377,'Participation Adjustment'!$B:$B,$I377),1)</f>
        <v>10.371364297485099</v>
      </c>
      <c r="AB377" s="79">
        <f>tbl_Data_old[[#This Row],[2031 ]]*IFERROR(AVERAGEIFS('Participation Adjustment'!$C:$C,'Participation Adjustment'!$A:$A,$H377,'Participation Adjustment'!$B:$B,$I377),1)</f>
        <v>11.4005861076709</v>
      </c>
      <c r="AC377" s="79">
        <f>tbl_Data_old[[#This Row],[2032 ]]*IFERROR(AVERAGEIFS('Participation Adjustment'!$C:$C,'Participation Adjustment'!$A:$A,$H377,'Participation Adjustment'!$B:$B,$I377),1)</f>
        <v>11.597881574612501</v>
      </c>
      <c r="AD377" s="79">
        <f>tbl_Data_old[[#This Row],[2033 ]]*IFERROR(AVERAGEIFS('Participation Adjustment'!$C:$C,'Participation Adjustment'!$A:$A,$H377,'Participation Adjustment'!$B:$B,$I377),1)</f>
        <v>10.7972713346623</v>
      </c>
      <c r="AE377" s="79">
        <f>tbl_Data_old[[#This Row],[2034 ]]*IFERROR(AVERAGEIFS('Participation Adjustment'!$C:$C,'Participation Adjustment'!$A:$A,$H377,'Participation Adjustment'!$B:$B,$I377),1)</f>
        <v>9.1587125944171799</v>
      </c>
      <c r="AF377" s="77" t="str">
        <f t="shared" si="154"/>
        <v>NonResidential</v>
      </c>
      <c r="AG377" s="77" t="str">
        <f>tbl_Data[[#This Row],[All_Meas_Name_Append]]</f>
        <v>Occupancy Sensors_ Ceiling Mounted</v>
      </c>
      <c r="AH377" s="77">
        <f>AVERAGEIFS('3. Incentive Adjustment'!G:G,'3. Incentive Adjustment'!A:A,tbl_Data[[#This Row],[Trimmed Sector]],'3. Incentive Adjustment'!B:B,tbl_Data[[#This Row],[Trimmed Measure Name]])</f>
        <v>0.99348124042467356</v>
      </c>
      <c r="AI377" s="77">
        <f>$AH377*tbl_Data[[#This Row],[2025 ]]</f>
        <v>3.0111788127209076</v>
      </c>
      <c r="AJ377" s="77">
        <f>$AH377*tbl_Data[[#This Row],[2026 ]]</f>
        <v>4.1296626688575184</v>
      </c>
      <c r="AK377" s="77">
        <f>$AH377*tbl_Data[[#This Row],[2027 ]]</f>
        <v>5.4933458201032987</v>
      </c>
      <c r="AL377" s="77">
        <f>$AH377*tbl_Data[[#This Row],[2028 ]]</f>
        <v>7.0854312096502232</v>
      </c>
      <c r="AM377" s="77">
        <f>$AH377*tbl_Data[[#This Row],[2029 ]]</f>
        <v>8.7762934870358844</v>
      </c>
      <c r="AN377" s="77">
        <f>$AH377*tbl_Data[[#This Row],[2030 ]]</f>
        <v>10.303755867161669</v>
      </c>
      <c r="AO377" s="77">
        <f>$AH377*tbl_Data[[#This Row],[2031 ]]</f>
        <v>11.326268427817187</v>
      </c>
      <c r="AP377" s="77">
        <f>$AH377*tbl_Data[[#This Row],[2032 ]]</f>
        <v>11.522277773044493</v>
      </c>
      <c r="AQ377" s="77">
        <f>$AH377*tbl_Data[[#This Row],[2033 ]]</f>
        <v>10.726886518762072</v>
      </c>
      <c r="AR377" s="77">
        <f>$AH377*tbl_Data[[#This Row],[2034 ]]</f>
        <v>9.0990091489946607</v>
      </c>
      <c r="AS377" s="77">
        <f>SUM(tbl_Data[[#This Row],[Adjusted 2025]:[Adjusted 2034]])</f>
        <v>81.474109734147902</v>
      </c>
      <c r="AT377" s="80">
        <f>AVERAGEIFS('3. Incentive Adjustment'!F:F,'3. Incentive Adjustment'!A:A,tbl_Data[[#This Row],[Trimmed Sector]],'3. Incentive Adjustment'!B:B,tbl_Data[[#This Row],[Trimmed Measure Name]])</f>
        <v>19.547634357270656</v>
      </c>
      <c r="AU377" s="80">
        <f>IFERROR(VLOOKUP(tbl_Data[[#This Row],[All_Meas_Name_Append]],'IRA Tax Credits'!$A$3:$D$46,4,0),0)</f>
        <v>0</v>
      </c>
      <c r="AV377" s="81">
        <f>tbl_Data[[#This Row],[Adj. per unit Incentive ($)]]/tbl_Data[[#This Row],[kWh Savings]]*tbl_Data[[#This Row],[Sum of Annuals]]</f>
        <v>3.1191267267279068</v>
      </c>
      <c r="AW377" s="81">
        <f>IFERROR(VLOOKUP(tbl_Data[[#This Row],[Column1]],'1. Set Program Names'!$B$2:$D$15,3,0)*tbl_Data[[#This Row],[Sum of Annuals]],"")</f>
        <v>2.9679003531454957</v>
      </c>
      <c r="AX377" s="81">
        <f>tbl_Data[[#This Row],[per unit IRA tax ($)]]/tbl_Data[[#This Row],[kWh Savings]]*tbl_Data[[#This Row],[Sum of Annuals]]</f>
        <v>0</v>
      </c>
      <c r="AY377" s="81">
        <f>tbl_Data[[#This Row],[Avoided Costs ($/unit)]]/tbl_Data[[#This Row],[kWh Savings]]*tbl_Data[[#This Row],[Sum of Annuals]]</f>
        <v>27.883104602689759</v>
      </c>
      <c r="AZ377" s="81">
        <f>tbl_Data[[#This Row],[Lost Revenue ($/unit)]]/tbl_Data[[#This Row],[kWh Savings]]*tbl_Data[[#This Row],[Sum of Annuals]]</f>
        <v>67.017033817568276</v>
      </c>
      <c r="BA377" s="81">
        <f>tbl_Data[[#This Row],[Incremental Cost ($/unit)]]/tbl_Data[[#This Row],[kWh Savings]]*tbl_Data[[#This Row],[Sum of Annuals]]</f>
        <v>20.583940767146647</v>
      </c>
      <c r="BB377" s="77">
        <f>ROUNDUP(tbl_Data[[#This Row],[Adjusted 2025]]/$L377,0)</f>
        <v>1</v>
      </c>
      <c r="BC377" s="77">
        <f>ROUNDUP(tbl_Data[[#This Row],[Adjusted 2026]]/$L377,0)</f>
        <v>1</v>
      </c>
      <c r="BD377" s="77">
        <f>ROUNDUP(tbl_Data[[#This Row],[Adjusted 2027]]/$L377,0)</f>
        <v>1</v>
      </c>
      <c r="BE377" s="77">
        <f>ROUNDUP(tbl_Data[[#This Row],[Adjusted 2028]]/$L377,0)</f>
        <v>1</v>
      </c>
      <c r="BF377" s="77">
        <f>ROUNDUP(tbl_Data[[#This Row],[Adjusted 2029]]/$L377,0)</f>
        <v>1</v>
      </c>
      <c r="BG377" s="77">
        <f>ROUNDUP(tbl_Data[[#This Row],[Adjusted 2030]]/$L377,0)</f>
        <v>1</v>
      </c>
      <c r="BH377" s="77">
        <f>ROUNDUP(tbl_Data[[#This Row],[Adjusted 2031]]/$L377,0)</f>
        <v>1</v>
      </c>
      <c r="BI377" s="77">
        <f>ROUNDUP(tbl_Data[[#This Row],[Adjusted 2032]]/$L377,0)</f>
        <v>1</v>
      </c>
      <c r="BJ377" s="77">
        <f>ROUNDUP(tbl_Data[[#This Row],[Adjusted 2033]]/$L377,0)</f>
        <v>1</v>
      </c>
      <c r="BK377" s="77">
        <f>ROUNDUP(tbl_Data[[#This Row],[Adjusted 2034]]/$L377,0)</f>
        <v>1</v>
      </c>
      <c r="BL377" s="80">
        <f t="shared" si="155"/>
        <v>0.11603533795377147</v>
      </c>
      <c r="BM377" s="80">
        <f t="shared" si="156"/>
        <v>0.15913595080823573</v>
      </c>
      <c r="BN377" s="80">
        <f t="shared" si="157"/>
        <v>0.21168528286656219</v>
      </c>
      <c r="BO377" s="80">
        <f t="shared" si="158"/>
        <v>0.27303606198565722</v>
      </c>
      <c r="BP377" s="80">
        <f t="shared" si="159"/>
        <v>0.33819319412303517</v>
      </c>
      <c r="BQ377" s="80">
        <f t="shared" si="160"/>
        <v>0.39705373496531526</v>
      </c>
      <c r="BR377" s="80">
        <f t="shared" si="161"/>
        <v>0.43645610789528055</v>
      </c>
      <c r="BS377" s="80">
        <f t="shared" si="162"/>
        <v>0.44400929952889079</v>
      </c>
      <c r="BT377" s="80">
        <f t="shared" si="163"/>
        <v>0.41335901313399603</v>
      </c>
      <c r="BU377" s="80">
        <f t="shared" si="164"/>
        <v>0.35062899525851299</v>
      </c>
      <c r="BV377" s="80">
        <f>IFERROR(VLOOKUP($H377,'1. Set Program Names'!$B$2:$D$15,3,0)*V377,"NA")</f>
        <v>0.11040953146896521</v>
      </c>
      <c r="BW377" s="80">
        <f>IFERROR(VLOOKUP($H377,'1. Set Program Names'!$B$2:$D$15,3,0)*W377,"NA")</f>
        <v>0.15142047309420126</v>
      </c>
      <c r="BX377" s="80">
        <f>IFERROR(VLOOKUP($H377,'1. Set Program Names'!$B$2:$D$15,3,0)*X377,"NA")</f>
        <v>0.20142202636134815</v>
      </c>
      <c r="BY377" s="80">
        <f>IFERROR(VLOOKUP($H377,'1. Set Program Names'!$B$2:$D$15,3,0)*Y377,"NA")</f>
        <v>0.25979830118629771</v>
      </c>
      <c r="BZ377" s="80">
        <f>IFERROR(VLOOKUP($H377,'1. Set Program Names'!$B$2:$D$15,3,0)*Z377,"NA")</f>
        <v>0.32179638347753409</v>
      </c>
      <c r="CA377" s="80">
        <f>IFERROR(VLOOKUP($H377,'1. Set Program Names'!$B$2:$D$15,3,0)*AA377,"NA")</f>
        <v>0.37780315564719119</v>
      </c>
      <c r="CB377" s="80">
        <f>IFERROR(VLOOKUP($H377,'1. Set Program Names'!$B$2:$D$15,3,0)*AB377,"NA")</f>
        <v>0.41529516119205462</v>
      </c>
      <c r="CC377" s="80">
        <f>IFERROR(VLOOKUP($H377,'1. Set Program Names'!$B$2:$D$15,3,0)*AC377,"NA")</f>
        <v>0.42248214719190974</v>
      </c>
      <c r="CD377" s="80">
        <f>IFERROR(VLOOKUP($H377,'1. Set Program Names'!$B$2:$D$15,3,0)*AD377,"NA")</f>
        <v>0.39331789585325161</v>
      </c>
      <c r="CE377" s="80">
        <f>IFERROR(VLOOKUP($H377,'1. Set Program Names'!$B$2:$D$15,3,0)*AE377,"NA")</f>
        <v>0.33362925267946941</v>
      </c>
    </row>
    <row r="378" spans="1:83" x14ac:dyDescent="0.25">
      <c r="A378" s="79" t="s">
        <v>116</v>
      </c>
      <c r="B378" s="79" t="s">
        <v>88</v>
      </c>
      <c r="C378" s="79" t="s">
        <v>122</v>
      </c>
      <c r="D378" s="79" t="s">
        <v>90</v>
      </c>
      <c r="E378" s="79" t="s">
        <v>91</v>
      </c>
      <c r="F378" s="79" t="s">
        <v>90</v>
      </c>
      <c r="G378" s="79" t="s">
        <v>92</v>
      </c>
      <c r="H378" s="79" t="s">
        <v>16</v>
      </c>
      <c r="I378" s="79" t="s">
        <v>167</v>
      </c>
      <c r="J378" s="79" t="s">
        <v>124</v>
      </c>
      <c r="K378" s="79" t="s">
        <v>98</v>
      </c>
      <c r="L378" s="79">
        <v>151.65999999999994</v>
      </c>
      <c r="M378" s="79">
        <v>2.2013191527321094E-2</v>
      </c>
      <c r="N378" s="79">
        <v>1.952960139549019E-2</v>
      </c>
      <c r="O378" s="79">
        <v>56.59999999999998</v>
      </c>
      <c r="P378" s="79">
        <v>25.402483751835906</v>
      </c>
      <c r="Q378" s="79"/>
      <c r="R378" s="79">
        <v>70.56447857633529</v>
      </c>
      <c r="S378" s="79">
        <v>171.41744415542868</v>
      </c>
      <c r="T378" s="79">
        <v>16</v>
      </c>
      <c r="U378" s="79">
        <v>0.6</v>
      </c>
      <c r="V378" s="79">
        <f>tbl_Data_old[[#This Row],[2025 ]]*IFERROR(AVERAGEIFS('Participation Adjustment'!$C:$C,'Participation Adjustment'!$A:$A,$H378,'Participation Adjustment'!$B:$B,$I378),1)</f>
        <v>0.38506045411207002</v>
      </c>
      <c r="W378" s="79">
        <f>tbl_Data_old[[#This Row],[2026 ]]*IFERROR(AVERAGEIFS('Participation Adjustment'!$C:$C,'Participation Adjustment'!$A:$A,$H378,'Participation Adjustment'!$B:$B,$I378),1)</f>
        <v>0.52369569937762706</v>
      </c>
      <c r="X378" s="79">
        <f>tbl_Data_old[[#This Row],[2027 ]]*IFERROR(AVERAGEIFS('Participation Adjustment'!$C:$C,'Participation Adjustment'!$A:$A,$H378,'Participation Adjustment'!$B:$B,$I378),1)</f>
        <v>0.67655866326113101</v>
      </c>
      <c r="Y378" s="79">
        <f>tbl_Data_old[[#This Row],[2028 ]]*IFERROR(AVERAGEIFS('Participation Adjustment'!$C:$C,'Participation Adjustment'!$A:$A,$H378,'Participation Adjustment'!$B:$B,$I378),1)</f>
        <v>0.83530883552132595</v>
      </c>
      <c r="Z378" s="79">
        <f>tbl_Data_old[[#This Row],[2029 ]]*IFERROR(AVERAGEIFS('Participation Adjustment'!$C:$C,'Participation Adjustment'!$A:$A,$H378,'Participation Adjustment'!$B:$B,$I378),1)</f>
        <v>0.98611788927494604</v>
      </c>
      <c r="AA378" s="79">
        <f>tbl_Data_old[[#This Row],[2030 ]]*IFERROR(AVERAGEIFS('Participation Adjustment'!$C:$C,'Participation Adjustment'!$A:$A,$H378,'Participation Adjustment'!$B:$B,$I378),1)</f>
        <v>1.1181665380660699</v>
      </c>
      <c r="AB378" s="79">
        <f>tbl_Data_old[[#This Row],[2031 ]]*IFERROR(AVERAGEIFS('Participation Adjustment'!$C:$C,'Participation Adjustment'!$A:$A,$H378,'Participation Adjustment'!$B:$B,$I378),1)</f>
        <v>1.2238496258976499</v>
      </c>
      <c r="AC378" s="79">
        <f>tbl_Data_old[[#This Row],[2032 ]]*IFERROR(AVERAGEIFS('Participation Adjustment'!$C:$C,'Participation Adjustment'!$A:$A,$H378,'Participation Adjustment'!$B:$B,$I378),1)</f>
        <v>1.3053633399353799</v>
      </c>
      <c r="AD378" s="79">
        <f>tbl_Data_old[[#This Row],[2033 ]]*IFERROR(AVERAGEIFS('Participation Adjustment'!$C:$C,'Participation Adjustment'!$A:$A,$H378,'Participation Adjustment'!$B:$B,$I378),1)</f>
        <v>1.3693699369005601</v>
      </c>
      <c r="AE378" s="79">
        <f>tbl_Data_old[[#This Row],[2034 ]]*IFERROR(AVERAGEIFS('Participation Adjustment'!$C:$C,'Participation Adjustment'!$A:$A,$H378,'Participation Adjustment'!$B:$B,$I378),1)</f>
        <v>1.4171156838146901</v>
      </c>
      <c r="AF378" s="77" t="str">
        <f t="shared" si="154"/>
        <v>NonResidential</v>
      </c>
      <c r="AG378" s="77" t="str">
        <f>tbl_Data[[#This Row],[All_Meas_Name_Append]]</f>
        <v>Refrigerated Display Case LED Lighting</v>
      </c>
      <c r="AH378" s="77">
        <f>AVERAGEIFS('3. Incentive Adjustment'!G:G,'3. Incentive Adjustment'!A:A,tbl_Data[[#This Row],[Trimmed Sector]],'3. Incentive Adjustment'!B:B,tbl_Data[[#This Row],[Trimmed Measure Name]])</f>
        <v>0.72450810749703154</v>
      </c>
      <c r="AI378" s="77">
        <f>$AH378*tbl_Data[[#This Row],[2025 ]]</f>
        <v>0.27897942088068339</v>
      </c>
      <c r="AJ378" s="77">
        <f>$AH378*tbl_Data[[#This Row],[2026 ]]</f>
        <v>0.37942178006041893</v>
      </c>
      <c r="AK378" s="77">
        <f>$AH378*tbl_Data[[#This Row],[2027 ]]</f>
        <v>0.49017223673004345</v>
      </c>
      <c r="AL378" s="77">
        <f>$AH378*tbl_Data[[#This Row],[2028 ]]</f>
        <v>0.60518802359910506</v>
      </c>
      <c r="AM378" s="77">
        <f>$AH378*tbl_Data[[#This Row],[2029 ]]</f>
        <v>0.71445040572755847</v>
      </c>
      <c r="AN378" s="77">
        <f>$AH378*tbl_Data[[#This Row],[2030 ]]</f>
        <v>0.81012072236075583</v>
      </c>
      <c r="AO378" s="77">
        <f>$AH378*tbl_Data[[#This Row],[2031 ]]</f>
        <v>0.88668897632005639</v>
      </c>
      <c r="AP378" s="77">
        <f>$AH378*tbl_Data[[#This Row],[2032 ]]</f>
        <v>0.94574632301258632</v>
      </c>
      <c r="AQ378" s="77">
        <f>$AH378*tbl_Data[[#This Row],[2033 ]]</f>
        <v>0.99211962144715427</v>
      </c>
      <c r="AR378" s="77">
        <f>$AH378*tbl_Data[[#This Row],[2034 ]]</f>
        <v>1.0267118021849428</v>
      </c>
      <c r="AS378" s="77">
        <f>SUM(tbl_Data[[#This Row],[Adjusted 2025]:[Adjusted 2034]])</f>
        <v>7.1295993123233048</v>
      </c>
      <c r="AT378" s="80">
        <f>AVERAGEIFS('3. Incentive Adjustment'!F:F,'3. Incentive Adjustment'!A:A,tbl_Data[[#This Row],[Trimmed Sector]],'3. Incentive Adjustment'!B:B,tbl_Data[[#This Row],[Trimmed Measure Name]])</f>
        <v>6.879122352287844</v>
      </c>
      <c r="AU378" s="80">
        <f>IFERROR(VLOOKUP(tbl_Data[[#This Row],[All_Meas_Name_Append]],'IRA Tax Credits'!$A$3:$D$46,4,0),0)</f>
        <v>0</v>
      </c>
      <c r="AV378" s="81">
        <f>tbl_Data[[#This Row],[Adj. per unit Incentive ($)]]/tbl_Data[[#This Row],[kWh Savings]]*tbl_Data[[#This Row],[Sum of Annuals]]</f>
        <v>0.32339038633957079</v>
      </c>
      <c r="AW378" s="81">
        <f>IFERROR(VLOOKUP(tbl_Data[[#This Row],[Column1]],'1. Set Program Names'!$B$2:$D$15,3,0)*tbl_Data[[#This Row],[Sum of Annuals]],"")</f>
        <v>0.25971367328683487</v>
      </c>
      <c r="AX378" s="81">
        <f>tbl_Data[[#This Row],[per unit IRA tax ($)]]/tbl_Data[[#This Row],[kWh Savings]]*tbl_Data[[#This Row],[Sum of Annuals]]</f>
        <v>0</v>
      </c>
      <c r="AY378" s="81">
        <f>tbl_Data[[#This Row],[Avoided Costs ($/unit)]]/tbl_Data[[#This Row],[kWh Savings]]*tbl_Data[[#This Row],[Sum of Annuals]]</f>
        <v>3.3172653167103578</v>
      </c>
      <c r="AZ378" s="81">
        <f>tbl_Data[[#This Row],[Lost Revenue ($/unit)]]/tbl_Data[[#This Row],[kWh Savings]]*tbl_Data[[#This Row],[Sum of Annuals]]</f>
        <v>8.0584049318921487</v>
      </c>
      <c r="BA378" s="81">
        <f>tbl_Data[[#This Row],[Incremental Cost ($/unit)]]/tbl_Data[[#This Row],[kWh Savings]]*tbl_Data[[#This Row],[Sum of Annuals]]</f>
        <v>2.6607894044408482</v>
      </c>
      <c r="BB378" s="77">
        <f>ROUNDUP(tbl_Data[[#This Row],[Adjusted 2025]]/$L378,0)</f>
        <v>1</v>
      </c>
      <c r="BC378" s="77">
        <f>ROUNDUP(tbl_Data[[#This Row],[Adjusted 2026]]/$L378,0)</f>
        <v>1</v>
      </c>
      <c r="BD378" s="77">
        <f>ROUNDUP(tbl_Data[[#This Row],[Adjusted 2027]]/$L378,0)</f>
        <v>1</v>
      </c>
      <c r="BE378" s="77">
        <f>ROUNDUP(tbl_Data[[#This Row],[Adjusted 2028]]/$L378,0)</f>
        <v>1</v>
      </c>
      <c r="BF378" s="77">
        <f>ROUNDUP(tbl_Data[[#This Row],[Adjusted 2029]]/$L378,0)</f>
        <v>1</v>
      </c>
      <c r="BG378" s="77">
        <f>ROUNDUP(tbl_Data[[#This Row],[Adjusted 2030]]/$L378,0)</f>
        <v>1</v>
      </c>
      <c r="BH378" s="77">
        <f>ROUNDUP(tbl_Data[[#This Row],[Adjusted 2031]]/$L378,0)</f>
        <v>1</v>
      </c>
      <c r="BI378" s="77">
        <f>ROUNDUP(tbl_Data[[#This Row],[Adjusted 2032]]/$L378,0)</f>
        <v>1</v>
      </c>
      <c r="BJ378" s="77">
        <f>ROUNDUP(tbl_Data[[#This Row],[Adjusted 2033]]/$L378,0)</f>
        <v>1</v>
      </c>
      <c r="BK378" s="77">
        <f>ROUNDUP(tbl_Data[[#This Row],[Adjusted 2034]]/$L378,0)</f>
        <v>1</v>
      </c>
      <c r="BL378" s="80">
        <f t="shared" si="155"/>
        <v>1.7465897249534811E-2</v>
      </c>
      <c r="BM378" s="80">
        <f t="shared" si="156"/>
        <v>2.3754231777565943E-2</v>
      </c>
      <c r="BN378" s="80">
        <f t="shared" si="157"/>
        <v>3.0687919181548413E-2</v>
      </c>
      <c r="BO378" s="80">
        <f t="shared" si="158"/>
        <v>3.7888643554650436E-2</v>
      </c>
      <c r="BP378" s="80">
        <f t="shared" si="159"/>
        <v>4.4729167968496589E-2</v>
      </c>
      <c r="BQ378" s="80">
        <f t="shared" si="160"/>
        <v>5.0718742091458664E-2</v>
      </c>
      <c r="BR378" s="80">
        <f t="shared" si="161"/>
        <v>5.5512404835498103E-2</v>
      </c>
      <c r="BS378" s="80">
        <f t="shared" si="162"/>
        <v>5.9209772712690165E-2</v>
      </c>
      <c r="BT378" s="80">
        <f t="shared" si="163"/>
        <v>6.2113037989474089E-2</v>
      </c>
      <c r="BU378" s="80">
        <f t="shared" si="164"/>
        <v>6.4278729897845915E-2</v>
      </c>
      <c r="BV378" s="80">
        <f>IFERROR(VLOOKUP($H378,'1. Set Program Names'!$B$2:$D$15,3,0)*V378,"NA")</f>
        <v>1.4026800188067496E-2</v>
      </c>
      <c r="BW378" s="80">
        <f>IFERROR(VLOOKUP($H378,'1. Set Program Names'!$B$2:$D$15,3,0)*W378,"NA")</f>
        <v>1.9076939363870081E-2</v>
      </c>
      <c r="BX378" s="80">
        <f>IFERROR(VLOOKUP($H378,'1. Set Program Names'!$B$2:$D$15,3,0)*X378,"NA")</f>
        <v>2.4645359147444208E-2</v>
      </c>
      <c r="BY378" s="80">
        <f>IFERROR(VLOOKUP($H378,'1. Set Program Names'!$B$2:$D$15,3,0)*Y378,"NA")</f>
        <v>3.0428235374632583E-2</v>
      </c>
      <c r="BZ378" s="80">
        <f>IFERROR(VLOOKUP($H378,'1. Set Program Names'!$B$2:$D$15,3,0)*Z378,"NA")</f>
        <v>3.5921836290965299E-2</v>
      </c>
      <c r="CA378" s="80">
        <f>IFERROR(VLOOKUP($H378,'1. Set Program Names'!$B$2:$D$15,3,0)*AA378,"NA")</f>
        <v>4.0732042044159353E-2</v>
      </c>
      <c r="CB378" s="80">
        <f>IFERROR(VLOOKUP($H378,'1. Set Program Names'!$B$2:$D$15,3,0)*AB378,"NA")</f>
        <v>4.4581815606832491E-2</v>
      </c>
      <c r="CC378" s="80">
        <f>IFERROR(VLOOKUP($H378,'1. Set Program Names'!$B$2:$D$15,3,0)*AC378,"NA")</f>
        <v>4.7551158646826248E-2</v>
      </c>
      <c r="CD378" s="80">
        <f>IFERROR(VLOOKUP($H378,'1. Set Program Names'!$B$2:$D$15,3,0)*AD378,"NA")</f>
        <v>4.9882760702454239E-2</v>
      </c>
      <c r="CE378" s="80">
        <f>IFERROR(VLOOKUP($H378,'1. Set Program Names'!$B$2:$D$15,3,0)*AE378,"NA")</f>
        <v>5.1622020199612637E-2</v>
      </c>
    </row>
    <row r="379" spans="1:83" x14ac:dyDescent="0.25">
      <c r="A379" s="79" t="s">
        <v>117</v>
      </c>
      <c r="B379" s="79" t="s">
        <v>88</v>
      </c>
      <c r="C379" s="79" t="s">
        <v>122</v>
      </c>
      <c r="D379" s="79" t="s">
        <v>90</v>
      </c>
      <c r="E379" s="79" t="s">
        <v>91</v>
      </c>
      <c r="F379" s="79" t="s">
        <v>90</v>
      </c>
      <c r="G379" s="79" t="s">
        <v>92</v>
      </c>
      <c r="H379" s="79" t="s">
        <v>16</v>
      </c>
      <c r="I379" s="79" t="s">
        <v>157</v>
      </c>
      <c r="J379" s="79" t="s">
        <v>158</v>
      </c>
      <c r="K379" s="79" t="s">
        <v>159</v>
      </c>
      <c r="L379" s="79">
        <v>562.52000000000032</v>
      </c>
      <c r="M379" s="79">
        <v>0</v>
      </c>
      <c r="N379" s="79">
        <v>2.7796637938074218E-2</v>
      </c>
      <c r="O379" s="79">
        <v>169</v>
      </c>
      <c r="P379" s="79">
        <v>53.285725702774094</v>
      </c>
      <c r="Q379" s="79"/>
      <c r="R379" s="79">
        <v>275.37363005821356</v>
      </c>
      <c r="S379" s="79">
        <v>610.96426176974103</v>
      </c>
      <c r="T379" s="79">
        <v>15</v>
      </c>
      <c r="U379" s="79">
        <v>0.59999999999999898</v>
      </c>
      <c r="V379" s="79">
        <f>tbl_Data_old[[#This Row],[2025 ]]*IFERROR(AVERAGEIFS('Participation Adjustment'!$C:$C,'Participation Adjustment'!$A:$A,$H379,'Participation Adjustment'!$B:$B,$I379),1)</f>
        <v>0.113247254854205</v>
      </c>
      <c r="W379" s="79">
        <f>tbl_Data_old[[#This Row],[2026 ]]*IFERROR(AVERAGEIFS('Participation Adjustment'!$C:$C,'Participation Adjustment'!$A:$A,$H379,'Participation Adjustment'!$B:$B,$I379),1)</f>
        <v>0.23659721675195799</v>
      </c>
      <c r="X379" s="79">
        <f>tbl_Data_old[[#This Row],[2027 ]]*IFERROR(AVERAGEIFS('Participation Adjustment'!$C:$C,'Participation Adjustment'!$A:$A,$H379,'Participation Adjustment'!$B:$B,$I379),1)</f>
        <v>0.36792498980155297</v>
      </c>
      <c r="Y379" s="79">
        <f>tbl_Data_old[[#This Row],[2028 ]]*IFERROR(AVERAGEIFS('Participation Adjustment'!$C:$C,'Participation Adjustment'!$A:$A,$H379,'Participation Adjustment'!$B:$B,$I379),1)</f>
        <v>0.50593283589732496</v>
      </c>
      <c r="Z379" s="79">
        <f>tbl_Data_old[[#This Row],[2029 ]]*IFERROR(AVERAGEIFS('Participation Adjustment'!$C:$C,'Participation Adjustment'!$A:$A,$H379,'Participation Adjustment'!$B:$B,$I379),1)</f>
        <v>0.64935308609017905</v>
      </c>
      <c r="AA379" s="79">
        <f>tbl_Data_old[[#This Row],[2030 ]]*IFERROR(AVERAGEIFS('Participation Adjustment'!$C:$C,'Participation Adjustment'!$A:$A,$H379,'Participation Adjustment'!$B:$B,$I379),1)</f>
        <v>0.79693172457492201</v>
      </c>
      <c r="AB379" s="79">
        <f>tbl_Data_old[[#This Row],[2031 ]]*IFERROR(AVERAGEIFS('Participation Adjustment'!$C:$C,'Participation Adjustment'!$A:$A,$H379,'Participation Adjustment'!$B:$B,$I379),1)</f>
        <v>0.947602780940209</v>
      </c>
      <c r="AC379" s="79">
        <f>tbl_Data_old[[#This Row],[2032 ]]*IFERROR(AVERAGEIFS('Participation Adjustment'!$C:$C,'Participation Adjustment'!$A:$A,$H379,'Participation Adjustment'!$B:$B,$I379),1)</f>
        <v>1.1007509881642099</v>
      </c>
      <c r="AD379" s="79">
        <f>tbl_Data_old[[#This Row],[2033 ]]*IFERROR(AVERAGEIFS('Participation Adjustment'!$C:$C,'Participation Adjustment'!$A:$A,$H379,'Participation Adjustment'!$B:$B,$I379),1)</f>
        <v>1.2559528023197599</v>
      </c>
      <c r="AE379" s="79">
        <f>tbl_Data_old[[#This Row],[2034 ]]*IFERROR(AVERAGEIFS('Participation Adjustment'!$C:$C,'Participation Adjustment'!$A:$A,$H379,'Participation Adjustment'!$B:$B,$I379),1)</f>
        <v>1.4126567072619201</v>
      </c>
      <c r="AF379" s="77" t="str">
        <f t="shared" si="154"/>
        <v>NonResidential</v>
      </c>
      <c r="AG379" s="77" t="str">
        <f>tbl_Data[[#This Row],[All_Meas_Name_Append]]</f>
        <v>LED Exterior Wall Packs</v>
      </c>
      <c r="AH379" s="77">
        <f>AVERAGEIFS('3. Incentive Adjustment'!G:G,'3. Incentive Adjustment'!A:A,tbl_Data[[#This Row],[Trimmed Sector]],'3. Incentive Adjustment'!B:B,tbl_Data[[#This Row],[Trimmed Measure Name]])</f>
        <v>0.80637708305213962</v>
      </c>
      <c r="AI379" s="77">
        <f>$AH379*tbl_Data[[#This Row],[2025 ]]</f>
        <v>9.1319991032996095E-2</v>
      </c>
      <c r="AJ379" s="77">
        <f>$AH379*tbl_Data[[#This Row],[2026 ]]</f>
        <v>0.1907865735026987</v>
      </c>
      <c r="AK379" s="77">
        <f>$AH379*tbl_Data[[#This Row],[2027 ]]</f>
        <v>0.2966862800581645</v>
      </c>
      <c r="AL379" s="77">
        <f>$AH379*tbl_Data[[#This Row],[2028 ]]</f>
        <v>0.40797264443118175</v>
      </c>
      <c r="AM379" s="77">
        <f>$AH379*tbl_Data[[#This Row],[2029 ]]</f>
        <v>0.52362344743230349</v>
      </c>
      <c r="AN379" s="77">
        <f>$AH379*tbl_Data[[#This Row],[2030 ]]</f>
        <v>0.64262747945443677</v>
      </c>
      <c r="AO379" s="77">
        <f>$AH379*tbl_Data[[#This Row],[2031 ]]</f>
        <v>0.76412516638666139</v>
      </c>
      <c r="AP379" s="77">
        <f>$AH379*tbl_Data[[#This Row],[2032 ]]</f>
        <v>0.88762037100261582</v>
      </c>
      <c r="AQ379" s="77">
        <f>$AH379*tbl_Data[[#This Row],[2033 ]]</f>
        <v>1.0127715571857685</v>
      </c>
      <c r="AR379" s="77">
        <f>$AH379*tbl_Data[[#This Row],[2034 ]]</f>
        <v>1.1391339949559074</v>
      </c>
      <c r="AS379" s="77">
        <f>SUM(tbl_Data[[#This Row],[Adjusted 2025]:[Adjusted 2034]])</f>
        <v>5.9566675054427343</v>
      </c>
      <c r="AT379" s="80">
        <f>AVERAGEIFS('3. Incentive Adjustment'!F:F,'3. Incentive Adjustment'!A:A,tbl_Data[[#This Row],[Trimmed Sector]],'3. Incentive Adjustment'!B:B,tbl_Data[[#This Row],[Trimmed Measure Name]])</f>
        <v>8.6864493556481861</v>
      </c>
      <c r="AU379" s="80">
        <f>IFERROR(VLOOKUP(tbl_Data[[#This Row],[All_Meas_Name_Append]],'IRA Tax Credits'!$A$3:$D$46,4,0),0)</f>
        <v>0</v>
      </c>
      <c r="AV379" s="81">
        <f>tbl_Data[[#This Row],[Adj. per unit Incentive ($)]]/tbl_Data[[#This Row],[kWh Savings]]*tbl_Data[[#This Row],[Sum of Annuals]]</f>
        <v>9.1983023918195794E-2</v>
      </c>
      <c r="AW379" s="81">
        <f>IFERROR(VLOOKUP(tbl_Data[[#This Row],[Column1]],'1. Set Program Names'!$B$2:$D$15,3,0)*tbl_Data[[#This Row],[Sum of Annuals]],"")</f>
        <v>0.21698666792015464</v>
      </c>
      <c r="AX379" s="81">
        <f>tbl_Data[[#This Row],[per unit IRA tax ($)]]/tbl_Data[[#This Row],[kWh Savings]]*tbl_Data[[#This Row],[Sum of Annuals]]</f>
        <v>0</v>
      </c>
      <c r="AY379" s="81">
        <f>tbl_Data[[#This Row],[Avoided Costs ($/unit)]]/tbl_Data[[#This Row],[kWh Savings]]*tbl_Data[[#This Row],[Sum of Annuals]]</f>
        <v>2.9160014826558496</v>
      </c>
      <c r="AZ379" s="81">
        <f>tbl_Data[[#This Row],[Lost Revenue ($/unit)]]/tbl_Data[[#This Row],[kWh Savings]]*tbl_Data[[#This Row],[Sum of Annuals]]</f>
        <v>6.4696561279076708</v>
      </c>
      <c r="BA379" s="81">
        <f>tbl_Data[[#This Row],[Incremental Cost ($/unit)]]/tbl_Data[[#This Row],[kWh Savings]]*tbl_Data[[#This Row],[Sum of Annuals]]</f>
        <v>1.7895840297586247</v>
      </c>
      <c r="BB379" s="77">
        <f>ROUNDUP(tbl_Data[[#This Row],[Adjusted 2025]]/$L379,0)</f>
        <v>1</v>
      </c>
      <c r="BC379" s="77">
        <f>ROUNDUP(tbl_Data[[#This Row],[Adjusted 2026]]/$L379,0)</f>
        <v>1</v>
      </c>
      <c r="BD379" s="77">
        <f>ROUNDUP(tbl_Data[[#This Row],[Adjusted 2027]]/$L379,0)</f>
        <v>1</v>
      </c>
      <c r="BE379" s="77">
        <f>ROUNDUP(tbl_Data[[#This Row],[Adjusted 2028]]/$L379,0)</f>
        <v>1</v>
      </c>
      <c r="BF379" s="77">
        <f>ROUNDUP(tbl_Data[[#This Row],[Adjusted 2029]]/$L379,0)</f>
        <v>1</v>
      </c>
      <c r="BG379" s="77">
        <f>ROUNDUP(tbl_Data[[#This Row],[Adjusted 2030]]/$L379,0)</f>
        <v>1</v>
      </c>
      <c r="BH379" s="77">
        <f>ROUNDUP(tbl_Data[[#This Row],[Adjusted 2031]]/$L379,0)</f>
        <v>1</v>
      </c>
      <c r="BI379" s="77">
        <f>ROUNDUP(tbl_Data[[#This Row],[Adjusted 2032]]/$L379,0)</f>
        <v>1</v>
      </c>
      <c r="BJ379" s="77">
        <f>ROUNDUP(tbl_Data[[#This Row],[Adjusted 2033]]/$L379,0)</f>
        <v>1</v>
      </c>
      <c r="BK379" s="77">
        <f>ROUNDUP(tbl_Data[[#This Row],[Adjusted 2034]]/$L379,0)</f>
        <v>1</v>
      </c>
      <c r="BL379" s="80">
        <f t="shared" si="155"/>
        <v>1.748767233089018E-3</v>
      </c>
      <c r="BM379" s="80">
        <f t="shared" si="156"/>
        <v>3.6535407470013486E-3</v>
      </c>
      <c r="BN379" s="80">
        <f t="shared" si="157"/>
        <v>5.6815078407675525E-3</v>
      </c>
      <c r="BO379" s="80">
        <f t="shared" si="158"/>
        <v>7.8126288067652261E-3</v>
      </c>
      <c r="BP379" s="80">
        <f t="shared" si="159"/>
        <v>1.0027328266117104E-2</v>
      </c>
      <c r="BQ379" s="80">
        <f t="shared" si="160"/>
        <v>1.2306241672170634E-2</v>
      </c>
      <c r="BR379" s="80">
        <f t="shared" si="161"/>
        <v>1.4632908280431811E-2</v>
      </c>
      <c r="BS379" s="80">
        <f t="shared" si="162"/>
        <v>1.6997827120579002E-2</v>
      </c>
      <c r="BT379" s="80">
        <f t="shared" si="163"/>
        <v>1.9394457815606565E-2</v>
      </c>
      <c r="BU379" s="80">
        <f t="shared" si="164"/>
        <v>2.1814283837992225E-2</v>
      </c>
      <c r="BV379" s="80">
        <f>IFERROR(VLOOKUP($H379,'1. Set Program Names'!$B$2:$D$15,3,0)*V379,"NA")</f>
        <v>4.1253174630723468E-3</v>
      </c>
      <c r="BW379" s="80">
        <f>IFERROR(VLOOKUP($H379,'1. Set Program Names'!$B$2:$D$15,3,0)*W379,"NA")</f>
        <v>8.6186515623510856E-3</v>
      </c>
      <c r="BX379" s="80">
        <f>IFERROR(VLOOKUP($H379,'1. Set Program Names'!$B$2:$D$15,3,0)*X379,"NA")</f>
        <v>1.3402597594821111E-2</v>
      </c>
      <c r="BY379" s="80">
        <f>IFERROR(VLOOKUP($H379,'1. Set Program Names'!$B$2:$D$15,3,0)*Y379,"NA")</f>
        <v>1.8429882170264832E-2</v>
      </c>
      <c r="BZ379" s="80">
        <f>IFERROR(VLOOKUP($H379,'1. Set Program Names'!$B$2:$D$15,3,0)*Z379,"NA")</f>
        <v>2.3654327243485231E-2</v>
      </c>
      <c r="CA379" s="80">
        <f>IFERROR(VLOOKUP($H379,'1. Set Program Names'!$B$2:$D$15,3,0)*AA379,"NA")</f>
        <v>2.9030252119556916E-2</v>
      </c>
      <c r="CB379" s="80">
        <f>IFERROR(VLOOKUP($H379,'1. Set Program Names'!$B$2:$D$15,3,0)*AB379,"NA")</f>
        <v>3.4518826132264625E-2</v>
      </c>
      <c r="CC379" s="80">
        <f>IFERROR(VLOOKUP($H379,'1. Set Program Names'!$B$2:$D$15,3,0)*AC379,"NA")</f>
        <v>4.0097636625399807E-2</v>
      </c>
      <c r="CD379" s="80">
        <f>IFERROR(VLOOKUP($H379,'1. Set Program Names'!$B$2:$D$15,3,0)*AD379,"NA")</f>
        <v>4.5751254941010802E-2</v>
      </c>
      <c r="CE379" s="80">
        <f>IFERROR(VLOOKUP($H379,'1. Set Program Names'!$B$2:$D$15,3,0)*AE379,"NA")</f>
        <v>5.1459590709694719E-2</v>
      </c>
    </row>
    <row r="380" spans="1:83" x14ac:dyDescent="0.25">
      <c r="A380" s="79" t="s">
        <v>117</v>
      </c>
      <c r="B380" s="79" t="s">
        <v>88</v>
      </c>
      <c r="C380" s="79" t="s">
        <v>122</v>
      </c>
      <c r="D380" s="79" t="s">
        <v>90</v>
      </c>
      <c r="E380" s="79" t="s">
        <v>91</v>
      </c>
      <c r="F380" s="79" t="s">
        <v>90</v>
      </c>
      <c r="G380" s="79" t="s">
        <v>92</v>
      </c>
      <c r="H380" s="79" t="s">
        <v>16</v>
      </c>
      <c r="I380" s="79" t="s">
        <v>160</v>
      </c>
      <c r="J380" s="79" t="s">
        <v>161</v>
      </c>
      <c r="K380" s="79" t="s">
        <v>159</v>
      </c>
      <c r="L380" s="79">
        <v>1059.6621428571407</v>
      </c>
      <c r="M380" s="79">
        <v>0.13879011985330975</v>
      </c>
      <c r="N380" s="79">
        <v>0.14661252282673942</v>
      </c>
      <c r="O380" s="79">
        <v>179</v>
      </c>
      <c r="P380" s="79">
        <v>5.0437849584490522</v>
      </c>
      <c r="Q380" s="79"/>
      <c r="R380" s="79">
        <v>417.01467834907817</v>
      </c>
      <c r="S380" s="79">
        <v>1150.9203207638036</v>
      </c>
      <c r="T380" s="79">
        <v>15</v>
      </c>
      <c r="U380" s="79">
        <v>0.59999999999999898</v>
      </c>
      <c r="V380" s="79">
        <f>tbl_Data_old[[#This Row],[2025 ]]*IFERROR(AVERAGEIFS('Participation Adjustment'!$C:$C,'Participation Adjustment'!$A:$A,$H380,'Participation Adjustment'!$B:$B,$I380),1)</f>
        <v>20.4934730343114</v>
      </c>
      <c r="W380" s="79">
        <f>tbl_Data_old[[#This Row],[2026 ]]*IFERROR(AVERAGEIFS('Participation Adjustment'!$C:$C,'Participation Adjustment'!$A:$A,$H380,'Participation Adjustment'!$B:$B,$I380),1)</f>
        <v>42.799664640277953</v>
      </c>
      <c r="X380" s="79">
        <f>tbl_Data_old[[#This Row],[2027 ]]*IFERROR(AVERAGEIFS('Participation Adjustment'!$C:$C,'Participation Adjustment'!$A:$A,$H380,'Participation Adjustment'!$B:$B,$I380),1)</f>
        <v>66.544106945607155</v>
      </c>
      <c r="Y380" s="79">
        <f>tbl_Data_old[[#This Row],[2028 ]]*IFERROR(AVERAGEIFS('Participation Adjustment'!$C:$C,'Participation Adjustment'!$A:$A,$H380,'Participation Adjustment'!$B:$B,$I380),1)</f>
        <v>91.493570902474048</v>
      </c>
      <c r="Z380" s="79">
        <f>tbl_Data_old[[#This Row],[2029 ]]*IFERROR(AVERAGEIFS('Participation Adjustment'!$C:$C,'Participation Adjustment'!$A:$A,$H380,'Participation Adjustment'!$B:$B,$I380),1)</f>
        <v>117.41590487073449</v>
      </c>
      <c r="AA380" s="79">
        <f>tbl_Data_old[[#This Row],[2030 ]]*IFERROR(AVERAGEIFS('Participation Adjustment'!$C:$C,'Participation Adjustment'!$A:$A,$H380,'Participation Adjustment'!$B:$B,$I380),1)</f>
        <v>144.08609838870197</v>
      </c>
      <c r="AB380" s="79">
        <f>tbl_Data_old[[#This Row],[2031 ]]*IFERROR(AVERAGEIFS('Participation Adjustment'!$C:$C,'Participation Adjustment'!$A:$A,$H380,'Participation Adjustment'!$B:$B,$I380),1)</f>
        <v>171.30854001707399</v>
      </c>
      <c r="AC380" s="79">
        <f>tbl_Data_old[[#This Row],[2032 ]]*IFERROR(AVERAGEIFS('Participation Adjustment'!$C:$C,'Participation Adjustment'!$A:$A,$H380,'Participation Adjustment'!$B:$B,$I380),1)</f>
        <v>198.970064133813</v>
      </c>
      <c r="AD380" s="79">
        <f>tbl_Data_old[[#This Row],[2033 ]]*IFERROR(AVERAGEIFS('Participation Adjustment'!$C:$C,'Participation Adjustment'!$A:$A,$H380,'Participation Adjustment'!$B:$B,$I380),1)</f>
        <v>226.99824386790749</v>
      </c>
      <c r="AE380" s="79">
        <f>tbl_Data_old[[#This Row],[2034 ]]*IFERROR(AVERAGEIFS('Participation Adjustment'!$C:$C,'Participation Adjustment'!$A:$A,$H380,'Participation Adjustment'!$B:$B,$I380),1)</f>
        <v>255.29127175091847</v>
      </c>
      <c r="AF380" s="77" t="str">
        <f t="shared" si="154"/>
        <v>NonResidential</v>
      </c>
      <c r="AG380" s="77" t="str">
        <f>tbl_Data[[#This Row],[All_Meas_Name_Append]]</f>
        <v>LED High Bay_HID Baseline</v>
      </c>
      <c r="AH380" s="77">
        <f>AVERAGEIFS('3. Incentive Adjustment'!G:G,'3. Incentive Adjustment'!A:A,tbl_Data[[#This Row],[Trimmed Sector]],'3. Incentive Adjustment'!B:B,tbl_Data[[#This Row],[Trimmed Measure Name]])</f>
        <v>1.0603846876879557</v>
      </c>
      <c r="AI380" s="77">
        <f>$AH380*tbl_Data[[#This Row],[2025 ]]</f>
        <v>21.730965003129835</v>
      </c>
      <c r="AJ380" s="77">
        <f>$AH380*tbl_Data[[#This Row],[2026 ]]</f>
        <v>45.384109022730378</v>
      </c>
      <c r="AK380" s="77">
        <f>$AH380*tbl_Data[[#This Row],[2027 ]]</f>
        <v>70.562352060991572</v>
      </c>
      <c r="AL380" s="77">
        <f>$AH380*tbl_Data[[#This Row],[2028 ]]</f>
        <v>97.018381606875778</v>
      </c>
      <c r="AM380" s="77">
        <f>$AH380*tbl_Data[[#This Row],[2029 ]]</f>
        <v>124.5060276159525</v>
      </c>
      <c r="AN380" s="77">
        <f>$AH380*tbl_Data[[#This Row],[2030 ]]</f>
        <v>152.7866924400798</v>
      </c>
      <c r="AO380" s="77">
        <f>$AH380*tbl_Data[[#This Row],[2031 ]]</f>
        <v>181.65295270428467</v>
      </c>
      <c r="AP380" s="77">
        <f>$AH380*tbl_Data[[#This Row],[2032 ]]</f>
        <v>210.98480931578581</v>
      </c>
      <c r="AQ380" s="77">
        <f>$AH380*tbl_Data[[#This Row],[2033 ]]</f>
        <v>240.70546192958548</v>
      </c>
      <c r="AR380" s="77">
        <f>$AH380*tbl_Data[[#This Row],[2034 ]]</f>
        <v>270.70695546505868</v>
      </c>
      <c r="AS380" s="77">
        <f>SUM(tbl_Data[[#This Row],[Adjusted 2025]:[Adjusted 2034]])</f>
        <v>1416.0387071644745</v>
      </c>
      <c r="AT380" s="80">
        <f>AVERAGEIFS('3. Incentive Adjustment'!F:F,'3. Incentive Adjustment'!A:A,tbl_Data[[#This Row],[Trimmed Sector]],'3. Incentive Adjustment'!B:B,tbl_Data[[#This Row],[Trimmed Measure Name]])</f>
        <v>28.590998621954778</v>
      </c>
      <c r="AU380" s="80">
        <f>IFERROR(VLOOKUP(tbl_Data[[#This Row],[All_Meas_Name_Append]],'IRA Tax Credits'!$A$3:$D$46,4,0),0)</f>
        <v>0</v>
      </c>
      <c r="AV380" s="81">
        <f>tbl_Data[[#This Row],[Adj. per unit Incentive ($)]]/tbl_Data[[#This Row],[kWh Savings]]*tbl_Data[[#This Row],[Sum of Annuals]]</f>
        <v>38.206480242856301</v>
      </c>
      <c r="AW380" s="81">
        <f>IFERROR(VLOOKUP(tbl_Data[[#This Row],[Column1]],'1. Set Program Names'!$B$2:$D$15,3,0)*tbl_Data[[#This Row],[Sum of Annuals]],"")</f>
        <v>51.582788603330897</v>
      </c>
      <c r="AX380" s="81">
        <f>tbl_Data[[#This Row],[per unit IRA tax ($)]]/tbl_Data[[#This Row],[kWh Savings]]*tbl_Data[[#This Row],[Sum of Annuals]]</f>
        <v>0</v>
      </c>
      <c r="AY380" s="81">
        <f>tbl_Data[[#This Row],[Avoided Costs ($/unit)]]/tbl_Data[[#This Row],[kWh Savings]]*tbl_Data[[#This Row],[Sum of Annuals]]</f>
        <v>557.26151016951803</v>
      </c>
      <c r="AZ380" s="81">
        <f>tbl_Data[[#This Row],[Lost Revenue ($/unit)]]/tbl_Data[[#This Row],[kWh Savings]]*tbl_Data[[#This Row],[Sum of Annuals]]</f>
        <v>1537.9880597314257</v>
      </c>
      <c r="BA380" s="81">
        <f>tbl_Data[[#This Row],[Incremental Cost ($/unit)]]/tbl_Data[[#This Row],[kWh Savings]]*tbl_Data[[#This Row],[Sum of Annuals]]</f>
        <v>239.19975842395726</v>
      </c>
      <c r="BB380" s="77">
        <f>ROUNDUP(tbl_Data[[#This Row],[Adjusted 2025]]/$L380,0)</f>
        <v>1</v>
      </c>
      <c r="BC380" s="77">
        <f>ROUNDUP(tbl_Data[[#This Row],[Adjusted 2026]]/$L380,0)</f>
        <v>1</v>
      </c>
      <c r="BD380" s="77">
        <f>ROUNDUP(tbl_Data[[#This Row],[Adjusted 2027]]/$L380,0)</f>
        <v>1</v>
      </c>
      <c r="BE380" s="77">
        <f>ROUNDUP(tbl_Data[[#This Row],[Adjusted 2028]]/$L380,0)</f>
        <v>1</v>
      </c>
      <c r="BF380" s="77">
        <f>ROUNDUP(tbl_Data[[#This Row],[Adjusted 2029]]/$L380,0)</f>
        <v>1</v>
      </c>
      <c r="BG380" s="77">
        <f>ROUNDUP(tbl_Data[[#This Row],[Adjusted 2030]]/$L380,0)</f>
        <v>1</v>
      </c>
      <c r="BH380" s="77">
        <f>ROUNDUP(tbl_Data[[#This Row],[Adjusted 2031]]/$L380,0)</f>
        <v>1</v>
      </c>
      <c r="BI380" s="77">
        <f>ROUNDUP(tbl_Data[[#This Row],[Adjusted 2032]]/$L380,0)</f>
        <v>1</v>
      </c>
      <c r="BJ380" s="77">
        <f>ROUNDUP(tbl_Data[[#This Row],[Adjusted 2033]]/$L380,0)</f>
        <v>1</v>
      </c>
      <c r="BK380" s="77">
        <f>ROUNDUP(tbl_Data[[#This Row],[Adjusted 2034]]/$L380,0)</f>
        <v>1</v>
      </c>
      <c r="BL380" s="80">
        <f t="shared" si="155"/>
        <v>0.55293931488694992</v>
      </c>
      <c r="BM380" s="80">
        <f t="shared" si="156"/>
        <v>1.1547880246537088</v>
      </c>
      <c r="BN380" s="80">
        <f t="shared" si="157"/>
        <v>1.7954425217562588</v>
      </c>
      <c r="BO380" s="80">
        <f t="shared" si="158"/>
        <v>2.468609997274406</v>
      </c>
      <c r="BP380" s="80">
        <f t="shared" si="159"/>
        <v>3.168026712083198</v>
      </c>
      <c r="BQ380" s="80">
        <f t="shared" si="160"/>
        <v>3.8876216049077086</v>
      </c>
      <c r="BR380" s="80">
        <f t="shared" si="161"/>
        <v>4.6221168365524594</v>
      </c>
      <c r="BS380" s="80">
        <f t="shared" si="162"/>
        <v>5.3684590582066649</v>
      </c>
      <c r="BT380" s="80">
        <f t="shared" si="163"/>
        <v>6.1246941030792943</v>
      </c>
      <c r="BU380" s="80">
        <f t="shared" si="164"/>
        <v>6.8880750794280461</v>
      </c>
      <c r="BV380" s="80">
        <f>IFERROR(VLOOKUP($H380,'1. Set Program Names'!$B$2:$D$15,3,0)*V380,"NA")</f>
        <v>0.74652654756432624</v>
      </c>
      <c r="BW380" s="80">
        <f>IFERROR(VLOOKUP($H380,'1. Set Program Names'!$B$2:$D$15,3,0)*W380,"NA")</f>
        <v>1.5590859503083372</v>
      </c>
      <c r="BX380" s="80">
        <f>IFERROR(VLOOKUP($H380,'1. Set Program Names'!$B$2:$D$15,3,0)*X380,"NA")</f>
        <v>2.4240372696069281</v>
      </c>
      <c r="BY380" s="80">
        <f>IFERROR(VLOOKUP($H380,'1. Set Program Names'!$B$2:$D$15,3,0)*Y380,"NA")</f>
        <v>3.3328845479631446</v>
      </c>
      <c r="BZ380" s="80">
        <f>IFERROR(VLOOKUP($H380,'1. Set Program Names'!$B$2:$D$15,3,0)*Z380,"NA")</f>
        <v>4.2771710751776943</v>
      </c>
      <c r="CA380" s="80">
        <f>IFERROR(VLOOKUP($H380,'1. Set Program Names'!$B$2:$D$15,3,0)*AA380,"NA")</f>
        <v>5.2487002765242012</v>
      </c>
      <c r="CB380" s="80">
        <f>IFERROR(VLOOKUP($H380,'1. Set Program Names'!$B$2:$D$15,3,0)*AB380,"NA")</f>
        <v>6.2403465109655372</v>
      </c>
      <c r="CC380" s="80">
        <f>IFERROR(VLOOKUP($H380,'1. Set Program Names'!$B$2:$D$15,3,0)*AC380,"NA")</f>
        <v>7.247987434720284</v>
      </c>
      <c r="CD380" s="80">
        <f>IFERROR(VLOOKUP($H380,'1. Set Program Names'!$B$2:$D$15,3,0)*AD380,"NA")</f>
        <v>8.2689847159704719</v>
      </c>
      <c r="CE380" s="80">
        <f>IFERROR(VLOOKUP($H380,'1. Set Program Names'!$B$2:$D$15,3,0)*AE380,"NA")</f>
        <v>9.2996297603844926</v>
      </c>
    </row>
    <row r="381" spans="1:83" x14ac:dyDescent="0.25">
      <c r="A381" s="79" t="s">
        <v>117</v>
      </c>
      <c r="B381" s="79" t="s">
        <v>88</v>
      </c>
      <c r="C381" s="79" t="s">
        <v>122</v>
      </c>
      <c r="D381" s="79" t="s">
        <v>90</v>
      </c>
      <c r="E381" s="79" t="s">
        <v>91</v>
      </c>
      <c r="F381" s="79" t="s">
        <v>90</v>
      </c>
      <c r="G381" s="79" t="s">
        <v>92</v>
      </c>
      <c r="H381" s="79" t="s">
        <v>16</v>
      </c>
      <c r="I381" s="79" t="s">
        <v>162</v>
      </c>
      <c r="J381" s="79" t="s">
        <v>161</v>
      </c>
      <c r="K381" s="79" t="s">
        <v>159</v>
      </c>
      <c r="L381" s="79">
        <v>632.51142857142861</v>
      </c>
      <c r="M381" s="79">
        <v>7.5636667797052567E-2</v>
      </c>
      <c r="N381" s="79">
        <v>7.2066360150851286E-2</v>
      </c>
      <c r="O381" s="79">
        <v>179</v>
      </c>
      <c r="P381" s="79">
        <v>51.895440493260928</v>
      </c>
      <c r="Q381" s="79"/>
      <c r="R381" s="79">
        <v>248.91572427603518</v>
      </c>
      <c r="S381" s="79">
        <v>686.98335706831222</v>
      </c>
      <c r="T381" s="79">
        <v>15</v>
      </c>
      <c r="U381" s="79">
        <v>0.59999999999999898</v>
      </c>
      <c r="V381" s="79">
        <f>tbl_Data_old[[#This Row],[2025 ]]*IFERROR(AVERAGEIFS('Participation Adjustment'!$C:$C,'Participation Adjustment'!$A:$A,$H381,'Participation Adjustment'!$B:$B,$I381),1)</f>
        <v>52.729987346078552</v>
      </c>
      <c r="W381" s="79">
        <f>tbl_Data_old[[#This Row],[2026 ]]*IFERROR(AVERAGEIFS('Participation Adjustment'!$C:$C,'Participation Adjustment'!$A:$A,$H381,'Participation Adjustment'!$B:$B,$I381),1)</f>
        <v>110.12412445268505</v>
      </c>
      <c r="X381" s="79">
        <f>tbl_Data_old[[#This Row],[2027 ]]*IFERROR(AVERAGEIFS('Participation Adjustment'!$C:$C,'Participation Adjustment'!$A:$A,$H381,'Participation Adjustment'!$B:$B,$I381),1)</f>
        <v>171.2189003456445</v>
      </c>
      <c r="Y381" s="79">
        <f>tbl_Data_old[[#This Row],[2028 ]]*IFERROR(AVERAGEIFS('Participation Adjustment'!$C:$C,'Participation Adjustment'!$A:$A,$H381,'Participation Adjustment'!$B:$B,$I381),1)</f>
        <v>235.41421348434</v>
      </c>
      <c r="Z381" s="79">
        <f>tbl_Data_old[[#This Row],[2029 ]]*IFERROR(AVERAGEIFS('Participation Adjustment'!$C:$C,'Participation Adjustment'!$A:$A,$H381,'Participation Adjustment'!$B:$B,$I381),1)</f>
        <v>302.11273451289753</v>
      </c>
      <c r="AA381" s="79">
        <f>tbl_Data_old[[#This Row],[2030 ]]*IFERROR(AVERAGEIFS('Participation Adjustment'!$C:$C,'Participation Adjustment'!$A:$A,$H381,'Participation Adjustment'!$B:$B,$I381),1)</f>
        <v>370.73550842561252</v>
      </c>
      <c r="AB381" s="79">
        <f>tbl_Data_old[[#This Row],[2031 ]]*IFERROR(AVERAGEIFS('Participation Adjustment'!$C:$C,'Participation Adjustment'!$A:$A,$H381,'Participation Adjustment'!$B:$B,$I381),1)</f>
        <v>440.77922430481647</v>
      </c>
      <c r="AC381" s="79">
        <f>tbl_Data_old[[#This Row],[2032 ]]*IFERROR(AVERAGEIFS('Participation Adjustment'!$C:$C,'Participation Adjustment'!$A:$A,$H381,'Participation Adjustment'!$B:$B,$I381),1)</f>
        <v>511.95270545205153</v>
      </c>
      <c r="AD381" s="79">
        <f>tbl_Data_old[[#This Row],[2033 ]]*IFERROR(AVERAGEIFS('Participation Adjustment'!$C:$C,'Participation Adjustment'!$A:$A,$H381,'Participation Adjustment'!$B:$B,$I381),1)</f>
        <v>584.06959653429749</v>
      </c>
      <c r="AE381" s="79">
        <f>tbl_Data_old[[#This Row],[2034 ]]*IFERROR(AVERAGEIFS('Participation Adjustment'!$C:$C,'Participation Adjustment'!$A:$A,$H381,'Participation Adjustment'!$B:$B,$I381),1)</f>
        <v>656.86794553817697</v>
      </c>
      <c r="AF381" s="77" t="str">
        <f t="shared" si="154"/>
        <v>NonResidential</v>
      </c>
      <c r="AG381" s="77" t="str">
        <f>tbl_Data[[#This Row],[All_Meas_Name_Append]]</f>
        <v>LED High Bay_LF Baseline</v>
      </c>
      <c r="AH381" s="77">
        <f>AVERAGEIFS('3. Incentive Adjustment'!G:G,'3. Incentive Adjustment'!A:A,tbl_Data[[#This Row],[Trimmed Sector]],'3. Incentive Adjustment'!B:B,tbl_Data[[#This Row],[Trimmed Measure Name]])</f>
        <v>0.93017466414143679</v>
      </c>
      <c r="AI381" s="77">
        <f>$AH381*tbl_Data[[#This Row],[2025 ]]</f>
        <v>49.048098269820827</v>
      </c>
      <c r="AJ381" s="77">
        <f>$AH381*tbl_Data[[#This Row],[2026 ]]</f>
        <v>102.4346704766461</v>
      </c>
      <c r="AK381" s="77">
        <f>$AH381*tbl_Data[[#This Row],[2027 ]]</f>
        <v>159.263483123676</v>
      </c>
      <c r="AL381" s="77">
        <f>$AH381*tbl_Data[[#This Row],[2028 ]]</f>
        <v>218.97633696191645</v>
      </c>
      <c r="AM381" s="77">
        <f>$AH381*tbl_Data[[#This Row],[2029 ]]</f>
        <v>281.01761135838552</v>
      </c>
      <c r="AN381" s="77">
        <f>$AH381*tbl_Data[[#This Row],[2030 ]]</f>
        <v>344.84877703509892</v>
      </c>
      <c r="AO381" s="77">
        <f>$AH381*tbl_Data[[#This Row],[2031 ]]</f>
        <v>410.0016669282557</v>
      </c>
      <c r="AP381" s="77">
        <f>$AH381*tbl_Data[[#This Row],[2032 ]]</f>
        <v>476.20543585016196</v>
      </c>
      <c r="AQ381" s="77">
        <f>$AH381*tbl_Data[[#This Row],[2033 ]]</f>
        <v>543.28674079151472</v>
      </c>
      <c r="AR381" s="77">
        <f>$AH381*tbl_Data[[#This Row],[2034 ]]</f>
        <v>611.00192062624933</v>
      </c>
      <c r="AS381" s="77">
        <f>SUM(tbl_Data[[#This Row],[Adjusted 2025]:[Adjusted 2034]])</f>
        <v>3196.0847414217251</v>
      </c>
      <c r="AT381" s="80">
        <f>AVERAGEIFS('3. Incentive Adjustment'!F:F,'3. Incentive Adjustment'!A:A,tbl_Data[[#This Row],[Trimmed Sector]],'3. Incentive Adjustment'!B:B,tbl_Data[[#This Row],[Trimmed Measure Name]])</f>
        <v>23.858858929800434</v>
      </c>
      <c r="AU381" s="80">
        <f>IFERROR(VLOOKUP(tbl_Data[[#This Row],[All_Meas_Name_Append]],'IRA Tax Credits'!$A$3:$D$46,4,0),0)</f>
        <v>0</v>
      </c>
      <c r="AV381" s="81">
        <f>tbl_Data[[#This Row],[Adj. per unit Incentive ($)]]/tbl_Data[[#This Row],[kWh Savings]]*tbl_Data[[#This Row],[Sum of Annuals]]</f>
        <v>120.55898364634415</v>
      </c>
      <c r="AW381" s="81">
        <f>IFERROR(VLOOKUP(tbl_Data[[#This Row],[Column1]],'1. Set Program Names'!$B$2:$D$15,3,0)*tbl_Data[[#This Row],[Sum of Annuals]],"")</f>
        <v>116.42546403637208</v>
      </c>
      <c r="AX381" s="81">
        <f>tbl_Data[[#This Row],[per unit IRA tax ($)]]/tbl_Data[[#This Row],[kWh Savings]]*tbl_Data[[#This Row],[Sum of Annuals]]</f>
        <v>0</v>
      </c>
      <c r="AY381" s="81">
        <f>tbl_Data[[#This Row],[Avoided Costs ($/unit)]]/tbl_Data[[#This Row],[kWh Savings]]*tbl_Data[[#This Row],[Sum of Annuals]]</f>
        <v>1257.7729228630567</v>
      </c>
      <c r="AZ381" s="81">
        <f>tbl_Data[[#This Row],[Lost Revenue ($/unit)]]/tbl_Data[[#This Row],[kWh Savings]]*tbl_Data[[#This Row],[Sum of Annuals]]</f>
        <v>3471.3317830410597</v>
      </c>
      <c r="BA381" s="81">
        <f>tbl_Data[[#This Row],[Incremental Cost ($/unit)]]/tbl_Data[[#This Row],[kWh Savings]]*tbl_Data[[#This Row],[Sum of Annuals]]</f>
        <v>904.4882714714181</v>
      </c>
      <c r="BB381" s="77">
        <f>ROUNDUP(tbl_Data[[#This Row],[Adjusted 2025]]/$L381,0)</f>
        <v>1</v>
      </c>
      <c r="BC381" s="77">
        <f>ROUNDUP(tbl_Data[[#This Row],[Adjusted 2026]]/$L381,0)</f>
        <v>1</v>
      </c>
      <c r="BD381" s="77">
        <f>ROUNDUP(tbl_Data[[#This Row],[Adjusted 2027]]/$L381,0)</f>
        <v>1</v>
      </c>
      <c r="BE381" s="77">
        <f>ROUNDUP(tbl_Data[[#This Row],[Adjusted 2028]]/$L381,0)</f>
        <v>1</v>
      </c>
      <c r="BF381" s="77">
        <f>ROUNDUP(tbl_Data[[#This Row],[Adjusted 2029]]/$L381,0)</f>
        <v>1</v>
      </c>
      <c r="BG381" s="77">
        <f>ROUNDUP(tbl_Data[[#This Row],[Adjusted 2030]]/$L381,0)</f>
        <v>1</v>
      </c>
      <c r="BH381" s="77">
        <f>ROUNDUP(tbl_Data[[#This Row],[Adjusted 2031]]/$L381,0)</f>
        <v>1</v>
      </c>
      <c r="BI381" s="77">
        <f>ROUNDUP(tbl_Data[[#This Row],[Adjusted 2032]]/$L381,0)</f>
        <v>1</v>
      </c>
      <c r="BJ381" s="77">
        <f>ROUNDUP(tbl_Data[[#This Row],[Adjusted 2033]]/$L381,0)</f>
        <v>1</v>
      </c>
      <c r="BK381" s="77">
        <f>ROUNDUP(tbl_Data[[#This Row],[Adjusted 2034]]/$L381,0)</f>
        <v>1</v>
      </c>
      <c r="BL381" s="80">
        <f t="shared" si="155"/>
        <v>1.9890191269772086</v>
      </c>
      <c r="BM381" s="80">
        <f t="shared" si="156"/>
        <v>4.1539738752525741</v>
      </c>
      <c r="BN381" s="80">
        <f t="shared" si="157"/>
        <v>6.458519806810048</v>
      </c>
      <c r="BO381" s="80">
        <f t="shared" si="158"/>
        <v>8.8800205907402088</v>
      </c>
      <c r="BP381" s="80">
        <f t="shared" si="159"/>
        <v>11.39594446525558</v>
      </c>
      <c r="BQ381" s="80">
        <f t="shared" si="160"/>
        <v>13.984452764390863</v>
      </c>
      <c r="BR381" s="80">
        <f t="shared" si="161"/>
        <v>16.626560180308054</v>
      </c>
      <c r="BS381" s="80">
        <f t="shared" si="162"/>
        <v>19.311283284948253</v>
      </c>
      <c r="BT381" s="80">
        <f t="shared" si="163"/>
        <v>22.031592599632486</v>
      </c>
      <c r="BU381" s="80">
        <f t="shared" si="164"/>
        <v>24.777607075811702</v>
      </c>
      <c r="BV381" s="80">
        <f>IFERROR(VLOOKUP($H381,'1. Set Program Names'!$B$2:$D$15,3,0)*V381,"NA")</f>
        <v>1.9208230513526185</v>
      </c>
      <c r="BW381" s="80">
        <f>IFERROR(VLOOKUP($H381,'1. Set Program Names'!$B$2:$D$15,3,0)*W381,"NA")</f>
        <v>4.011549545241321</v>
      </c>
      <c r="BX381" s="80">
        <f>IFERROR(VLOOKUP($H381,'1. Set Program Names'!$B$2:$D$15,3,0)*X381,"NA")</f>
        <v>6.2370811593911597</v>
      </c>
      <c r="BY381" s="80">
        <f>IFERROR(VLOOKUP($H381,'1. Set Program Names'!$B$2:$D$15,3,0)*Y381,"NA")</f>
        <v>8.5755576785738654</v>
      </c>
      <c r="BZ381" s="80">
        <f>IFERROR(VLOOKUP($H381,'1. Set Program Names'!$B$2:$D$15,3,0)*Z381,"NA")</f>
        <v>11.005219871396458</v>
      </c>
      <c r="CA381" s="80">
        <f>IFERROR(VLOOKUP($H381,'1. Set Program Names'!$B$2:$D$15,3,0)*AA381,"NA")</f>
        <v>13.504977838607589</v>
      </c>
      <c r="CB381" s="80">
        <f>IFERROR(VLOOKUP($H381,'1. Set Program Names'!$B$2:$D$15,3,0)*AB381,"NA")</f>
        <v>16.056497208034749</v>
      </c>
      <c r="CC381" s="80">
        <f>IFERROR(VLOOKUP($H381,'1. Set Program Names'!$B$2:$D$15,3,0)*AC381,"NA")</f>
        <v>18.649171132558024</v>
      </c>
      <c r="CD381" s="80">
        <f>IFERROR(VLOOKUP($H381,'1. Set Program Names'!$B$2:$D$15,3,0)*AD381,"NA")</f>
        <v>21.276211148204187</v>
      </c>
      <c r="CE381" s="80">
        <f>IFERROR(VLOOKUP($H381,'1. Set Program Names'!$B$2:$D$15,3,0)*AE381,"NA")</f>
        <v>23.928074990865696</v>
      </c>
    </row>
    <row r="382" spans="1:83" x14ac:dyDescent="0.25">
      <c r="A382" s="79" t="s">
        <v>117</v>
      </c>
      <c r="B382" s="79" t="s">
        <v>88</v>
      </c>
      <c r="C382" s="79" t="s">
        <v>122</v>
      </c>
      <c r="D382" s="79" t="s">
        <v>90</v>
      </c>
      <c r="E382" s="79" t="s">
        <v>91</v>
      </c>
      <c r="F382" s="79" t="s">
        <v>90</v>
      </c>
      <c r="G382" s="79" t="s">
        <v>92</v>
      </c>
      <c r="H382" s="79" t="s">
        <v>16</v>
      </c>
      <c r="I382" s="79" t="s">
        <v>163</v>
      </c>
      <c r="J382" s="79" t="s">
        <v>161</v>
      </c>
      <c r="K382" s="79" t="s">
        <v>159</v>
      </c>
      <c r="L382" s="79">
        <v>217.06142857142831</v>
      </c>
      <c r="M382" s="79">
        <v>3.4743730880075478E-2</v>
      </c>
      <c r="N382" s="79">
        <v>3.4497784431073229E-2</v>
      </c>
      <c r="O382" s="79">
        <v>109.07999999999996</v>
      </c>
      <c r="P382" s="79">
        <v>64.428955263702662</v>
      </c>
      <c r="Q382" s="79"/>
      <c r="R382" s="79">
        <v>85.561030664747506</v>
      </c>
      <c r="S382" s="79">
        <v>235.75477399173039</v>
      </c>
      <c r="T382" s="79">
        <v>15</v>
      </c>
      <c r="U382" s="79">
        <v>0.59999999999999898</v>
      </c>
      <c r="V382" s="79">
        <f>tbl_Data_old[[#This Row],[2025 ]]*IFERROR(AVERAGEIFS('Participation Adjustment'!$C:$C,'Participation Adjustment'!$A:$A,$H382,'Participation Adjustment'!$B:$B,$I382),1)</f>
        <v>178.9157316442047</v>
      </c>
      <c r="W382" s="79">
        <f>tbl_Data_old[[#This Row],[2026 ]]*IFERROR(AVERAGEIFS('Participation Adjustment'!$C:$C,'Participation Adjustment'!$A:$A,$H382,'Participation Adjustment'!$B:$B,$I382),1)</f>
        <v>367.00912802726697</v>
      </c>
      <c r="X382" s="79">
        <f>tbl_Data_old[[#This Row],[2027 ]]*IFERROR(AVERAGEIFS('Participation Adjustment'!$C:$C,'Participation Adjustment'!$A:$A,$H382,'Participation Adjustment'!$B:$B,$I382),1)</f>
        <v>560.04512282187602</v>
      </c>
      <c r="Y382" s="79">
        <f>tbl_Data_old[[#This Row],[2028 ]]*IFERROR(AVERAGEIFS('Participation Adjustment'!$C:$C,'Participation Adjustment'!$A:$A,$H382,'Participation Adjustment'!$B:$B,$I382),1)</f>
        <v>756.10844235089098</v>
      </c>
      <c r="Z382" s="79">
        <f>tbl_Data_old[[#This Row],[2029 ]]*IFERROR(AVERAGEIFS('Participation Adjustment'!$C:$C,'Participation Adjustment'!$A:$A,$H382,'Participation Adjustment'!$B:$B,$I382),1)</f>
        <v>953.87397288876298</v>
      </c>
      <c r="AA382" s="79">
        <f>tbl_Data_old[[#This Row],[2030 ]]*IFERROR(AVERAGEIFS('Participation Adjustment'!$C:$C,'Participation Adjustment'!$A:$A,$H382,'Participation Adjustment'!$B:$B,$I382),1)</f>
        <v>1151.858074850526</v>
      </c>
      <c r="AB382" s="79">
        <f>tbl_Data_old[[#This Row],[2031 ]]*IFERROR(AVERAGEIFS('Participation Adjustment'!$C:$C,'Participation Adjustment'!$A:$A,$H382,'Participation Adjustment'!$B:$B,$I382),1)</f>
        <v>1349.2621809086791</v>
      </c>
      <c r="AC382" s="79">
        <f>tbl_Data_old[[#This Row],[2032 ]]*IFERROR(AVERAGEIFS('Participation Adjustment'!$C:$C,'Participation Adjustment'!$A:$A,$H382,'Participation Adjustment'!$B:$B,$I382),1)</f>
        <v>1545.8514715980809</v>
      </c>
      <c r="AD382" s="79">
        <f>tbl_Data_old[[#This Row],[2033 ]]*IFERROR(AVERAGEIFS('Participation Adjustment'!$C:$C,'Participation Adjustment'!$A:$A,$H382,'Participation Adjustment'!$B:$B,$I382),1)</f>
        <v>1741.2398648983201</v>
      </c>
      <c r="AE382" s="79">
        <f>tbl_Data_old[[#This Row],[2034 ]]*IFERROR(AVERAGEIFS('Participation Adjustment'!$C:$C,'Participation Adjustment'!$A:$A,$H382,'Participation Adjustment'!$B:$B,$I382),1)</f>
        <v>1935.2842478267551</v>
      </c>
      <c r="AF382" s="77" t="str">
        <f t="shared" si="154"/>
        <v>NonResidential</v>
      </c>
      <c r="AG382" s="77" t="str">
        <f>tbl_Data[[#This Row],[All_Meas_Name_Append]]</f>
        <v>LED Linear - Fixture Replacement</v>
      </c>
      <c r="AH382" s="77">
        <f>AVERAGEIFS('3. Incentive Adjustment'!G:G,'3. Incentive Adjustment'!A:A,tbl_Data[[#This Row],[Trimmed Sector]],'3. Incentive Adjustment'!B:B,tbl_Data[[#This Row],[Trimmed Measure Name]])</f>
        <v>0.56055357916158088</v>
      </c>
      <c r="AI382" s="77">
        <f>$AH382*tbl_Data[[#This Row],[2025 ]]</f>
        <v>100.29185374147185</v>
      </c>
      <c r="AJ382" s="77">
        <f>$AH382*tbl_Data[[#This Row],[2026 ]]</f>
        <v>205.72828030065537</v>
      </c>
      <c r="AK382" s="77">
        <f>$AH382*tbl_Data[[#This Row],[2027 ]]</f>
        <v>313.9352980897898</v>
      </c>
      <c r="AL382" s="77">
        <f>$AH382*tbl_Data[[#This Row],[2028 ]]</f>
        <v>423.83929359407978</v>
      </c>
      <c r="AM382" s="77">
        <f>$AH382*tbl_Data[[#This Row],[2029 ]]</f>
        <v>534.69746957187283</v>
      </c>
      <c r="AN382" s="77">
        <f>$AH382*tbl_Data[[#This Row],[2030 ]]</f>
        <v>645.67816654363048</v>
      </c>
      <c r="AO382" s="77">
        <f>$AH382*tbl_Data[[#This Row],[2031 ]]</f>
        <v>756.33374473572053</v>
      </c>
      <c r="AP382" s="77">
        <f>$AH382*tbl_Data[[#This Row],[2032 ]]</f>
        <v>866.53257525650122</v>
      </c>
      <c r="AQ382" s="77">
        <f>$AH382*tbl_Data[[#This Row],[2033 ]]</f>
        <v>976.05823844758083</v>
      </c>
      <c r="AR382" s="77">
        <f>$AH382*tbl_Data[[#This Row],[2034 ]]</f>
        <v>1084.8305118143155</v>
      </c>
      <c r="AS382" s="77">
        <f>SUM(tbl_Data[[#This Row],[Adjusted 2025]:[Adjusted 2034]])</f>
        <v>5907.9254320956179</v>
      </c>
      <c r="AT382" s="80">
        <f>AVERAGEIFS('3. Incentive Adjustment'!F:F,'3. Incentive Adjustment'!A:A,tbl_Data[[#This Row],[Trimmed Sector]],'3. Incentive Adjustment'!B:B,tbl_Data[[#This Row],[Trimmed Measure Name]])</f>
        <v>16.810726621008875</v>
      </c>
      <c r="AU382" s="80">
        <f>IFERROR(VLOOKUP(tbl_Data[[#This Row],[All_Meas_Name_Append]],'IRA Tax Credits'!$A$3:$D$46,4,0),0)</f>
        <v>0</v>
      </c>
      <c r="AV382" s="81">
        <f>tbl_Data[[#This Row],[Adj. per unit Incentive ($)]]/tbl_Data[[#This Row],[kWh Savings]]*tbl_Data[[#This Row],[Sum of Annuals]]</f>
        <v>457.55028882795324</v>
      </c>
      <c r="AW382" s="81">
        <f>IFERROR(VLOOKUP(tbl_Data[[#This Row],[Column1]],'1. Set Program Names'!$B$2:$D$15,3,0)*tbl_Data[[#This Row],[Sum of Annuals]],"")</f>
        <v>215.21111471470098</v>
      </c>
      <c r="AX382" s="81">
        <f>tbl_Data[[#This Row],[per unit IRA tax ($)]]/tbl_Data[[#This Row],[kWh Savings]]*tbl_Data[[#This Row],[Sum of Annuals]]</f>
        <v>0</v>
      </c>
      <c r="AY382" s="81">
        <f>tbl_Data[[#This Row],[Avoided Costs ($/unit)]]/tbl_Data[[#This Row],[kWh Savings]]*tbl_Data[[#This Row],[Sum of Annuals]]</f>
        <v>2328.7794261163908</v>
      </c>
      <c r="AZ382" s="81">
        <f>tbl_Data[[#This Row],[Lost Revenue ($/unit)]]/tbl_Data[[#This Row],[kWh Savings]]*tbl_Data[[#This Row],[Sum of Annuals]]</f>
        <v>6416.7163837925418</v>
      </c>
      <c r="BA382" s="81">
        <f>tbl_Data[[#This Row],[Incremental Cost ($/unit)]]/tbl_Data[[#This Row],[kWh Savings]]*tbl_Data[[#This Row],[Sum of Annuals]]</f>
        <v>2968.9130416872995</v>
      </c>
      <c r="BB382" s="77">
        <f>ROUNDUP(tbl_Data[[#This Row],[Adjusted 2025]]/$L382,0)</f>
        <v>1</v>
      </c>
      <c r="BC382" s="77">
        <f>ROUNDUP(tbl_Data[[#This Row],[Adjusted 2026]]/$L382,0)</f>
        <v>1</v>
      </c>
      <c r="BD382" s="77">
        <f>ROUNDUP(tbl_Data[[#This Row],[Adjusted 2027]]/$L382,0)</f>
        <v>2</v>
      </c>
      <c r="BE382" s="77">
        <f>ROUNDUP(tbl_Data[[#This Row],[Adjusted 2028]]/$L382,0)</f>
        <v>2</v>
      </c>
      <c r="BF382" s="77">
        <f>ROUNDUP(tbl_Data[[#This Row],[Adjusted 2029]]/$L382,0)</f>
        <v>3</v>
      </c>
      <c r="BG382" s="77">
        <f>ROUNDUP(tbl_Data[[#This Row],[Adjusted 2030]]/$L382,0)</f>
        <v>3</v>
      </c>
      <c r="BH382" s="77">
        <f>ROUNDUP(tbl_Data[[#This Row],[Adjusted 2031]]/$L382,0)</f>
        <v>4</v>
      </c>
      <c r="BI382" s="77">
        <f>ROUNDUP(tbl_Data[[#This Row],[Adjusted 2032]]/$L382,0)</f>
        <v>4</v>
      </c>
      <c r="BJ382" s="77">
        <f>ROUNDUP(tbl_Data[[#This Row],[Adjusted 2033]]/$L382,0)</f>
        <v>5</v>
      </c>
      <c r="BK382" s="77">
        <f>ROUNDUP(tbl_Data[[#This Row],[Adjusted 2034]]/$L382,0)</f>
        <v>5</v>
      </c>
      <c r="BL382" s="80">
        <f t="shared" si="155"/>
        <v>13.856462074646155</v>
      </c>
      <c r="BM382" s="80">
        <f t="shared" si="156"/>
        <v>28.423705488748194</v>
      </c>
      <c r="BN382" s="80">
        <f t="shared" si="157"/>
        <v>43.373737642612923</v>
      </c>
      <c r="BO382" s="80">
        <f t="shared" si="158"/>
        <v>58.55822659904296</v>
      </c>
      <c r="BP382" s="80">
        <f t="shared" si="159"/>
        <v>73.874546457487682</v>
      </c>
      <c r="BQ382" s="80">
        <f t="shared" si="160"/>
        <v>89.207793986953362</v>
      </c>
      <c r="BR382" s="80">
        <f t="shared" si="161"/>
        <v>104.4961226533992</v>
      </c>
      <c r="BS382" s="80">
        <f t="shared" si="162"/>
        <v>119.72134642598701</v>
      </c>
      <c r="BT382" s="80">
        <f t="shared" si="163"/>
        <v>134.85356446355334</v>
      </c>
      <c r="BU382" s="80">
        <f t="shared" si="164"/>
        <v>149.88169311460405</v>
      </c>
      <c r="BV382" s="80">
        <f>IFERROR(VLOOKUP($H382,'1. Set Program Names'!$B$2:$D$15,3,0)*V382,"NA")</f>
        <v>6.5174576913181337</v>
      </c>
      <c r="BW382" s="80">
        <f>IFERROR(VLOOKUP($H382,'1. Set Program Names'!$B$2:$D$15,3,0)*W382,"NA")</f>
        <v>13.369235015073933</v>
      </c>
      <c r="BX382" s="80">
        <f>IFERROR(VLOOKUP($H382,'1. Set Program Names'!$B$2:$D$15,3,0)*X382,"NA")</f>
        <v>20.401058977190701</v>
      </c>
      <c r="BY382" s="80">
        <f>IFERROR(VLOOKUP($H382,'1. Set Program Names'!$B$2:$D$15,3,0)*Y382,"NA")</f>
        <v>27.543160893588247</v>
      </c>
      <c r="BZ382" s="80">
        <f>IFERROR(VLOOKUP($H382,'1. Set Program Names'!$B$2:$D$15,3,0)*Z382,"NA")</f>
        <v>34.747270147909454</v>
      </c>
      <c r="CA382" s="80">
        <f>IFERROR(VLOOKUP($H382,'1. Set Program Names'!$B$2:$D$15,3,0)*AA382,"NA")</f>
        <v>41.95934141873223</v>
      </c>
      <c r="CB382" s="80">
        <f>IFERROR(VLOOKUP($H382,'1. Set Program Names'!$B$2:$D$15,3,0)*AB382,"NA")</f>
        <v>49.150284872966843</v>
      </c>
      <c r="CC382" s="80">
        <f>IFERROR(VLOOKUP($H382,'1. Set Program Names'!$B$2:$D$15,3,0)*AC382,"NA")</f>
        <v>56.311546618146203</v>
      </c>
      <c r="CD382" s="80">
        <f>IFERROR(VLOOKUP($H382,'1. Set Program Names'!$B$2:$D$15,3,0)*AD382,"NA")</f>
        <v>63.429062640948011</v>
      </c>
      <c r="CE382" s="80">
        <f>IFERROR(VLOOKUP($H382,'1. Set Program Names'!$B$2:$D$15,3,0)*AE382,"NA")</f>
        <v>70.497619689296158</v>
      </c>
    </row>
    <row r="383" spans="1:83" x14ac:dyDescent="0.25">
      <c r="A383" s="79" t="s">
        <v>117</v>
      </c>
      <c r="B383" s="79" t="s">
        <v>88</v>
      </c>
      <c r="C383" s="79" t="s">
        <v>122</v>
      </c>
      <c r="D383" s="79" t="s">
        <v>90</v>
      </c>
      <c r="E383" s="79" t="s">
        <v>91</v>
      </c>
      <c r="F383" s="79" t="s">
        <v>90</v>
      </c>
      <c r="G383" s="79" t="s">
        <v>92</v>
      </c>
      <c r="H383" s="79" t="s">
        <v>16</v>
      </c>
      <c r="I383" s="79" t="s">
        <v>164</v>
      </c>
      <c r="J383" s="79" t="s">
        <v>158</v>
      </c>
      <c r="K383" s="79" t="s">
        <v>159</v>
      </c>
      <c r="L383" s="79">
        <v>612.05999999999972</v>
      </c>
      <c r="M383" s="79">
        <v>0</v>
      </c>
      <c r="N383" s="79">
        <v>3.0244631686656035E-2</v>
      </c>
      <c r="O383" s="79">
        <v>255</v>
      </c>
      <c r="P383" s="79">
        <v>129.09500333079711</v>
      </c>
      <c r="Q383" s="79"/>
      <c r="R383" s="79">
        <v>299.62522934905462</v>
      </c>
      <c r="S383" s="79">
        <v>664.77065003695441</v>
      </c>
      <c r="T383" s="79">
        <v>15</v>
      </c>
      <c r="U383" s="79">
        <v>0.59999999999999898</v>
      </c>
      <c r="V383" s="79">
        <f>tbl_Data_old[[#This Row],[2025 ]]*IFERROR(AVERAGEIFS('Participation Adjustment'!$C:$C,'Participation Adjustment'!$A:$A,$H383,'Participation Adjustment'!$B:$B,$I383),1)</f>
        <v>15.92535180707878</v>
      </c>
      <c r="W383" s="79">
        <f>tbl_Data_old[[#This Row],[2026 ]]*IFERROR(AVERAGEIFS('Participation Adjustment'!$C:$C,'Participation Adjustment'!$A:$A,$H383,'Participation Adjustment'!$B:$B,$I383),1)</f>
        <v>33.228201567045403</v>
      </c>
      <c r="X383" s="79">
        <f>tbl_Data_old[[#This Row],[2027 ]]*IFERROR(AVERAGEIFS('Participation Adjustment'!$C:$C,'Participation Adjustment'!$A:$A,$H383,'Participation Adjustment'!$B:$B,$I383),1)</f>
        <v>51.637782404570999</v>
      </c>
      <c r="Y383" s="79">
        <f>tbl_Data_old[[#This Row],[2028 ]]*IFERROR(AVERAGEIFS('Participation Adjustment'!$C:$C,'Participation Adjustment'!$A:$A,$H383,'Participation Adjustment'!$B:$B,$I383),1)</f>
        <v>70.976096719213999</v>
      </c>
      <c r="Z383" s="79">
        <f>tbl_Data_old[[#This Row],[2029 ]]*IFERROR(AVERAGEIFS('Participation Adjustment'!$C:$C,'Participation Adjustment'!$A:$A,$H383,'Participation Adjustment'!$B:$B,$I383),1)</f>
        <v>91.057206811901594</v>
      </c>
      <c r="AA383" s="79">
        <f>tbl_Data_old[[#This Row],[2030 ]]*IFERROR(AVERAGEIFS('Participation Adjustment'!$C:$C,'Participation Adjustment'!$A:$A,$H383,'Participation Adjustment'!$B:$B,$I383),1)</f>
        <v>111.7101181688496</v>
      </c>
      <c r="AB383" s="79">
        <f>tbl_Data_old[[#This Row],[2031 ]]*IFERROR(AVERAGEIFS('Participation Adjustment'!$C:$C,'Participation Adjustment'!$A:$A,$H383,'Participation Adjustment'!$B:$B,$I383),1)</f>
        <v>132.7773694905384</v>
      </c>
      <c r="AC383" s="79">
        <f>tbl_Data_old[[#This Row],[2032 ]]*IFERROR(AVERAGEIFS('Participation Adjustment'!$C:$C,'Participation Adjustment'!$A:$A,$H383,'Participation Adjustment'!$B:$B,$I383),1)</f>
        <v>154.1673487143658</v>
      </c>
      <c r="AD383" s="79">
        <f>tbl_Data_old[[#This Row],[2033 ]]*IFERROR(AVERAGEIFS('Participation Adjustment'!$C:$C,'Participation Adjustment'!$A:$A,$H383,'Participation Adjustment'!$B:$B,$I383),1)</f>
        <v>175.83225826221101</v>
      </c>
      <c r="AE383" s="79">
        <f>tbl_Data_old[[#This Row],[2034 ]]*IFERROR(AVERAGEIFS('Participation Adjustment'!$C:$C,'Participation Adjustment'!$A:$A,$H383,'Participation Adjustment'!$B:$B,$I383),1)</f>
        <v>197.6889537125266</v>
      </c>
      <c r="AF383" s="77" t="str">
        <f t="shared" si="154"/>
        <v>NonResidential</v>
      </c>
      <c r="AG383" s="77" t="str">
        <f>tbl_Data[[#This Row],[All_Meas_Name_Append]]</f>
        <v>LED Parking Lighting</v>
      </c>
      <c r="AH383" s="77">
        <f>AVERAGEIFS('3. Incentive Adjustment'!G:G,'3. Incentive Adjustment'!A:A,tbl_Data[[#This Row],[Trimmed Sector]],'3. Incentive Adjustment'!B:B,tbl_Data[[#This Row],[Trimmed Measure Name]])</f>
        <v>0.59704067730377497</v>
      </c>
      <c r="AI383" s="77">
        <f>$AH383*tbl_Data[[#This Row],[2025 ]]</f>
        <v>9.5080828291992106</v>
      </c>
      <c r="AJ383" s="77">
        <f>$AH383*tbl_Data[[#This Row],[2026 ]]</f>
        <v>19.838587969175144</v>
      </c>
      <c r="AK383" s="77">
        <f>$AH383*tbl_Data[[#This Row],[2027 ]]</f>
        <v>30.829856581290024</v>
      </c>
      <c r="AL383" s="77">
        <f>$AH383*tbl_Data[[#This Row],[2028 ]]</f>
        <v>42.375616857617764</v>
      </c>
      <c r="AM383" s="77">
        <f>$AH383*tbl_Data[[#This Row],[2029 ]]</f>
        <v>54.364856428367638</v>
      </c>
      <c r="AN383" s="77">
        <f>$AH383*tbl_Data[[#This Row],[2030 ]]</f>
        <v>66.695484613214703</v>
      </c>
      <c r="AO383" s="77">
        <f>$AH383*tbl_Data[[#This Row],[2031 ]]</f>
        <v>79.27349061124464</v>
      </c>
      <c r="AP383" s="77">
        <f>$AH383*tbl_Data[[#This Row],[2032 ]]</f>
        <v>92.044178294552225</v>
      </c>
      <c r="AQ383" s="77">
        <f>$AH383*tbl_Data[[#This Row],[2033 ]]</f>
        <v>104.97901056472274</v>
      </c>
      <c r="AR383" s="77">
        <f>$AH383*tbl_Data[[#This Row],[2034 ]]</f>
        <v>118.0283468200015</v>
      </c>
      <c r="AS383" s="77">
        <f>SUM(tbl_Data[[#This Row],[Adjusted 2025]:[Adjusted 2034]])</f>
        <v>617.93751156938561</v>
      </c>
      <c r="AT383" s="80">
        <f>AVERAGEIFS('3. Incentive Adjustment'!F:F,'3. Incentive Adjustment'!A:A,tbl_Data[[#This Row],[Trimmed Sector]],'3. Incentive Adjustment'!B:B,tbl_Data[[#This Row],[Trimmed Measure Name]])</f>
        <v>9.4514474020799994</v>
      </c>
      <c r="AU383" s="80">
        <f>IFERROR(VLOOKUP(tbl_Data[[#This Row],[All_Meas_Name_Append]],'IRA Tax Credits'!$A$3:$D$46,4,0),0)</f>
        <v>0</v>
      </c>
      <c r="AV383" s="81">
        <f>tbl_Data[[#This Row],[Adj. per unit Incentive ($)]]/tbl_Data[[#This Row],[kWh Savings]]*tbl_Data[[#This Row],[Sum of Annuals]]</f>
        <v>9.5422080978502954</v>
      </c>
      <c r="AW383" s="81">
        <f>IFERROR(VLOOKUP(tbl_Data[[#This Row],[Column1]],'1. Set Program Names'!$B$2:$D$15,3,0)*tbl_Data[[#This Row],[Sum of Annuals]],"")</f>
        <v>22.509935546309645</v>
      </c>
      <c r="AX383" s="81">
        <f>tbl_Data[[#This Row],[per unit IRA tax ($)]]/tbl_Data[[#This Row],[kWh Savings]]*tbl_Data[[#This Row],[Sum of Annuals]]</f>
        <v>0</v>
      </c>
      <c r="AY383" s="81">
        <f>tbl_Data[[#This Row],[Avoided Costs ($/unit)]]/tbl_Data[[#This Row],[kWh Savings]]*tbl_Data[[#This Row],[Sum of Annuals]]</f>
        <v>302.50248117400474</v>
      </c>
      <c r="AZ383" s="81">
        <f>tbl_Data[[#This Row],[Lost Revenue ($/unit)]]/tbl_Data[[#This Row],[kWh Savings]]*tbl_Data[[#This Row],[Sum of Annuals]]</f>
        <v>671.154333314052</v>
      </c>
      <c r="BA383" s="81">
        <f>tbl_Data[[#This Row],[Incremental Cost ($/unit)]]/tbl_Data[[#This Row],[kWh Savings]]*tbl_Data[[#This Row],[Sum of Annuals]]</f>
        <v>257.4487230830203</v>
      </c>
      <c r="BB383" s="77">
        <f>ROUNDUP(tbl_Data[[#This Row],[Adjusted 2025]]/$L383,0)</f>
        <v>1</v>
      </c>
      <c r="BC383" s="77">
        <f>ROUNDUP(tbl_Data[[#This Row],[Adjusted 2026]]/$L383,0)</f>
        <v>1</v>
      </c>
      <c r="BD383" s="77">
        <f>ROUNDUP(tbl_Data[[#This Row],[Adjusted 2027]]/$L383,0)</f>
        <v>1</v>
      </c>
      <c r="BE383" s="77">
        <f>ROUNDUP(tbl_Data[[#This Row],[Adjusted 2028]]/$L383,0)</f>
        <v>1</v>
      </c>
      <c r="BF383" s="77">
        <f>ROUNDUP(tbl_Data[[#This Row],[Adjusted 2029]]/$L383,0)</f>
        <v>1</v>
      </c>
      <c r="BG383" s="77">
        <f>ROUNDUP(tbl_Data[[#This Row],[Adjusted 2030]]/$L383,0)</f>
        <v>1</v>
      </c>
      <c r="BH383" s="77">
        <f>ROUNDUP(tbl_Data[[#This Row],[Adjusted 2031]]/$L383,0)</f>
        <v>1</v>
      </c>
      <c r="BI383" s="77">
        <f>ROUNDUP(tbl_Data[[#This Row],[Adjusted 2032]]/$L383,0)</f>
        <v>1</v>
      </c>
      <c r="BJ383" s="77">
        <f>ROUNDUP(tbl_Data[[#This Row],[Adjusted 2033]]/$L383,0)</f>
        <v>1</v>
      </c>
      <c r="BK383" s="77">
        <f>ROUNDUP(tbl_Data[[#This Row],[Adjusted 2034]]/$L383,0)</f>
        <v>1</v>
      </c>
      <c r="BL383" s="80">
        <f t="shared" si="155"/>
        <v>0.24591972186423688</v>
      </c>
      <c r="BM383" s="80">
        <f t="shared" si="156"/>
        <v>0.51311080511165896</v>
      </c>
      <c r="BN383" s="80">
        <f t="shared" si="157"/>
        <v>0.79739206018503916</v>
      </c>
      <c r="BO383" s="80">
        <f t="shared" si="158"/>
        <v>1.0960148432287589</v>
      </c>
      <c r="BP383" s="80">
        <f t="shared" si="159"/>
        <v>1.406107899165129</v>
      </c>
      <c r="BQ383" s="80">
        <f t="shared" si="160"/>
        <v>1.7250307259958564</v>
      </c>
      <c r="BR383" s="80">
        <f t="shared" si="161"/>
        <v>2.0503518019905989</v>
      </c>
      <c r="BS383" s="80">
        <f t="shared" si="162"/>
        <v>2.3806564511517738</v>
      </c>
      <c r="BT383" s="80">
        <f t="shared" si="163"/>
        <v>2.7152065819596682</v>
      </c>
      <c r="BU383" s="80">
        <f t="shared" si="164"/>
        <v>3.0527182759634246</v>
      </c>
      <c r="BV383" s="80">
        <f>IFERROR(VLOOKUP($H383,'1. Set Program Names'!$B$2:$D$15,3,0)*V383,"NA")</f>
        <v>0.58012118704238447</v>
      </c>
      <c r="BW383" s="80">
        <f>IFERROR(VLOOKUP($H383,'1. Set Program Names'!$B$2:$D$15,3,0)*W383,"NA")</f>
        <v>1.2104212183111518</v>
      </c>
      <c r="BX383" s="80">
        <f>IFERROR(VLOOKUP($H383,'1. Set Program Names'!$B$2:$D$15,3,0)*X383,"NA")</f>
        <v>1.8810367260747505</v>
      </c>
      <c r="BY383" s="80">
        <f>IFERROR(VLOOKUP($H383,'1. Set Program Names'!$B$2:$D$15,3,0)*Y383,"NA")</f>
        <v>2.5854836978912732</v>
      </c>
      <c r="BZ383" s="80">
        <f>IFERROR(VLOOKUP($H383,'1. Set Program Names'!$B$2:$D$15,3,0)*Z383,"NA")</f>
        <v>3.3169888831594925</v>
      </c>
      <c r="CA383" s="80">
        <f>IFERROR(VLOOKUP($H383,'1. Set Program Names'!$B$2:$D$15,3,0)*AA383,"NA")</f>
        <v>4.0693233745676016</v>
      </c>
      <c r="CB383" s="80">
        <f>IFERROR(VLOOKUP($H383,'1. Set Program Names'!$B$2:$D$15,3,0)*AB383,"NA")</f>
        <v>4.8367512463353002</v>
      </c>
      <c r="CC383" s="80">
        <f>IFERROR(VLOOKUP($H383,'1. Set Program Names'!$B$2:$D$15,3,0)*AC383,"NA")</f>
        <v>5.615935297555005</v>
      </c>
      <c r="CD383" s="80">
        <f>IFERROR(VLOOKUP($H383,'1. Set Program Names'!$B$2:$D$15,3,0)*AD383,"NA")</f>
        <v>6.4051343806468646</v>
      </c>
      <c r="CE383" s="80">
        <f>IFERROR(VLOOKUP($H383,'1. Set Program Names'!$B$2:$D$15,3,0)*AE383,"NA")</f>
        <v>7.2013197499286239</v>
      </c>
    </row>
    <row r="384" spans="1:83" x14ac:dyDescent="0.25">
      <c r="A384" s="79" t="s">
        <v>117</v>
      </c>
      <c r="B384" s="79" t="s">
        <v>88</v>
      </c>
      <c r="C384" s="79" t="s">
        <v>122</v>
      </c>
      <c r="D384" s="79" t="s">
        <v>90</v>
      </c>
      <c r="E384" s="79" t="s">
        <v>91</v>
      </c>
      <c r="F384" s="79" t="s">
        <v>90</v>
      </c>
      <c r="G384" s="79" t="s">
        <v>92</v>
      </c>
      <c r="H384" s="79" t="s">
        <v>16</v>
      </c>
      <c r="I384" s="79" t="s">
        <v>165</v>
      </c>
      <c r="J384" s="79" t="s">
        <v>161</v>
      </c>
      <c r="K384" s="79" t="s">
        <v>166</v>
      </c>
      <c r="L384" s="79">
        <v>510.6</v>
      </c>
      <c r="M384" s="79">
        <v>6.2552429943266097E-2</v>
      </c>
      <c r="N384" s="79">
        <v>6.4361142955417797E-2</v>
      </c>
      <c r="O384" s="79">
        <v>129</v>
      </c>
      <c r="P384" s="79">
        <v>26.468747947944401</v>
      </c>
      <c r="Q384" s="79">
        <v>18.5998954178316</v>
      </c>
      <c r="R384" s="79">
        <v>174.74401692254699</v>
      </c>
      <c r="S384" s="79">
        <v>419.99719394182398</v>
      </c>
      <c r="T384" s="79">
        <v>10</v>
      </c>
      <c r="U384" s="79">
        <v>0.59999999999999898</v>
      </c>
      <c r="V384" s="79">
        <f>tbl_Data_old[[#This Row],[2025 ]]*IFERROR(AVERAGEIFS('Participation Adjustment'!$C:$C,'Participation Adjustment'!$A:$A,$H384,'Participation Adjustment'!$B:$B,$I384),1)</f>
        <v>3.0309367607522701</v>
      </c>
      <c r="W384" s="79">
        <f>tbl_Data_old[[#This Row],[2026 ]]*IFERROR(AVERAGEIFS('Participation Adjustment'!$C:$C,'Participation Adjustment'!$A:$A,$H384,'Participation Adjustment'!$B:$B,$I384),1)</f>
        <v>7.1876963459581802</v>
      </c>
      <c r="X384" s="79">
        <f>tbl_Data_old[[#This Row],[2027 ]]*IFERROR(AVERAGEIFS('Participation Adjustment'!$C:$C,'Participation Adjustment'!$A:$A,$H384,'Participation Adjustment'!$B:$B,$I384),1)</f>
        <v>12.7170869339023</v>
      </c>
      <c r="Y384" s="79">
        <f>tbl_Data_old[[#This Row],[2028 ]]*IFERROR(AVERAGEIFS('Participation Adjustment'!$C:$C,'Participation Adjustment'!$A:$A,$H384,'Participation Adjustment'!$B:$B,$I384),1)</f>
        <v>19.849009431625099</v>
      </c>
      <c r="Z384" s="79">
        <f>tbl_Data_old[[#This Row],[2029 ]]*IFERROR(AVERAGEIFS('Participation Adjustment'!$C:$C,'Participation Adjustment'!$A:$A,$H384,'Participation Adjustment'!$B:$B,$I384),1)</f>
        <v>28.682888854737701</v>
      </c>
      <c r="AA384" s="79">
        <f>tbl_Data_old[[#This Row],[2030 ]]*IFERROR(AVERAGEIFS('Participation Adjustment'!$C:$C,'Participation Adjustment'!$A:$A,$H384,'Participation Adjustment'!$B:$B,$I384),1)</f>
        <v>39.054253152222799</v>
      </c>
      <c r="AB384" s="79">
        <f>tbl_Data_old[[#This Row],[2031 ]]*IFERROR(AVERAGEIFS('Participation Adjustment'!$C:$C,'Participation Adjustment'!$A:$A,$H384,'Participation Adjustment'!$B:$B,$I384),1)</f>
        <v>50.454839259893802</v>
      </c>
      <c r="AC384" s="79">
        <f>tbl_Data_old[[#This Row],[2032 ]]*IFERROR(AVERAGEIFS('Participation Adjustment'!$C:$C,'Participation Adjustment'!$A:$A,$H384,'Participation Adjustment'!$B:$B,$I384),1)</f>
        <v>62.052720834506303</v>
      </c>
      <c r="AD384" s="79">
        <f>tbl_Data_old[[#This Row],[2033 ]]*IFERROR(AVERAGEIFS('Participation Adjustment'!$C:$C,'Participation Adjustment'!$A:$A,$H384,'Participation Adjustment'!$B:$B,$I384),1)</f>
        <v>72.849992169168601</v>
      </c>
      <c r="AE384" s="79">
        <f>tbl_Data_old[[#This Row],[2034 ]]*IFERROR(AVERAGEIFS('Participation Adjustment'!$C:$C,'Participation Adjustment'!$A:$A,$H384,'Participation Adjustment'!$B:$B,$I384),1)</f>
        <v>82.008704763585897</v>
      </c>
      <c r="AF384" s="77" t="str">
        <f t="shared" si="154"/>
        <v>NonResidential</v>
      </c>
      <c r="AG384" s="77" t="str">
        <f>tbl_Data[[#This Row],[All_Meas_Name_Append]]</f>
        <v>Occupancy Sensors_ Ceiling Mounted</v>
      </c>
      <c r="AH384" s="77">
        <f>AVERAGEIFS('3. Incentive Adjustment'!G:G,'3. Incentive Adjustment'!A:A,tbl_Data[[#This Row],[Trimmed Sector]],'3. Incentive Adjustment'!B:B,tbl_Data[[#This Row],[Trimmed Measure Name]])</f>
        <v>0.99348124042467356</v>
      </c>
      <c r="AI384" s="77">
        <f>$AH384*tbl_Data[[#This Row],[2025 ]]</f>
        <v>3.0111788127209076</v>
      </c>
      <c r="AJ384" s="77">
        <f>$AH384*tbl_Data[[#This Row],[2026 ]]</f>
        <v>7.140841481578426</v>
      </c>
      <c r="AK384" s="77">
        <f>$AH384*tbl_Data[[#This Row],[2027 ]]</f>
        <v>12.634187301681665</v>
      </c>
      <c r="AL384" s="77">
        <f>$AH384*tbl_Data[[#This Row],[2028 ]]</f>
        <v>19.719618511331948</v>
      </c>
      <c r="AM384" s="77">
        <f>$AH384*tbl_Data[[#This Row],[2029 ]]</f>
        <v>28.495911998367855</v>
      </c>
      <c r="AN384" s="77">
        <f>$AH384*tbl_Data[[#This Row],[2030 ]]</f>
        <v>38.799667865529521</v>
      </c>
      <c r="AO384" s="77">
        <f>$AH384*tbl_Data[[#This Row],[2031 ]]</f>
        <v>50.125936293346811</v>
      </c>
      <c r="AP384" s="77">
        <f>$AH384*tbl_Data[[#This Row],[2032 ]]</f>
        <v>61.648214066391304</v>
      </c>
      <c r="AQ384" s="77">
        <f>$AH384*tbl_Data[[#This Row],[2033 ]]</f>
        <v>72.375100585153376</v>
      </c>
      <c r="AR384" s="77">
        <f>$AH384*tbl_Data[[#This Row],[2034 ]]</f>
        <v>81.474109734148158</v>
      </c>
      <c r="AS384" s="77">
        <f>SUM(tbl_Data[[#This Row],[Adjusted 2025]:[Adjusted 2034]])</f>
        <v>375.42476665024998</v>
      </c>
      <c r="AT384" s="80">
        <f>AVERAGEIFS('3. Incentive Adjustment'!F:F,'3. Incentive Adjustment'!A:A,tbl_Data[[#This Row],[Trimmed Sector]],'3. Incentive Adjustment'!B:B,tbl_Data[[#This Row],[Trimmed Measure Name]])</f>
        <v>19.547634357270656</v>
      </c>
      <c r="AU384" s="80">
        <f>IFERROR(VLOOKUP(tbl_Data[[#This Row],[All_Meas_Name_Append]],'IRA Tax Credits'!$A$3:$D$46,4,0),0)</f>
        <v>0</v>
      </c>
      <c r="AV384" s="81">
        <f>tbl_Data[[#This Row],[Adj. per unit Incentive ($)]]/tbl_Data[[#This Row],[kWh Savings]]*tbl_Data[[#This Row],[Sum of Annuals]]</f>
        <v>14.372632328912545</v>
      </c>
      <c r="AW384" s="81">
        <f>IFERROR(VLOOKUP(tbl_Data[[#This Row],[Column1]],'1. Set Program Names'!$B$2:$D$15,3,0)*tbl_Data[[#This Row],[Sum of Annuals]],"")</f>
        <v>13.675795920404424</v>
      </c>
      <c r="AX384" s="81">
        <f>tbl_Data[[#This Row],[per unit IRA tax ($)]]/tbl_Data[[#This Row],[kWh Savings]]*tbl_Data[[#This Row],[Sum of Annuals]]</f>
        <v>0</v>
      </c>
      <c r="AY384" s="81">
        <f>tbl_Data[[#This Row],[Avoided Costs ($/unit)]]/tbl_Data[[#This Row],[kWh Savings]]*tbl_Data[[#This Row],[Sum of Annuals]]</f>
        <v>128.4826317600363</v>
      </c>
      <c r="AZ384" s="81">
        <f>tbl_Data[[#This Row],[Lost Revenue ($/unit)]]/tbl_Data[[#This Row],[kWh Savings]]*tbl_Data[[#This Row],[Sum of Annuals]]</f>
        <v>308.80796813429112</v>
      </c>
      <c r="BA384" s="81">
        <f>tbl_Data[[#This Row],[Incremental Cost ($/unit)]]/tbl_Data[[#This Row],[kWh Savings]]*tbl_Data[[#This Row],[Sum of Annuals]]</f>
        <v>94.848795334669489</v>
      </c>
      <c r="BB384" s="77">
        <f>ROUNDUP(tbl_Data[[#This Row],[Adjusted 2025]]/$L384,0)</f>
        <v>1</v>
      </c>
      <c r="BC384" s="77">
        <f>ROUNDUP(tbl_Data[[#This Row],[Adjusted 2026]]/$L384,0)</f>
        <v>1</v>
      </c>
      <c r="BD384" s="77">
        <f>ROUNDUP(tbl_Data[[#This Row],[Adjusted 2027]]/$L384,0)</f>
        <v>1</v>
      </c>
      <c r="BE384" s="77">
        <f>ROUNDUP(tbl_Data[[#This Row],[Adjusted 2028]]/$L384,0)</f>
        <v>1</v>
      </c>
      <c r="BF384" s="77">
        <f>ROUNDUP(tbl_Data[[#This Row],[Adjusted 2029]]/$L384,0)</f>
        <v>1</v>
      </c>
      <c r="BG384" s="77">
        <f>ROUNDUP(tbl_Data[[#This Row],[Adjusted 2030]]/$L384,0)</f>
        <v>1</v>
      </c>
      <c r="BH384" s="77">
        <f>ROUNDUP(tbl_Data[[#This Row],[Adjusted 2031]]/$L384,0)</f>
        <v>1</v>
      </c>
      <c r="BI384" s="77">
        <f>ROUNDUP(tbl_Data[[#This Row],[Adjusted 2032]]/$L384,0)</f>
        <v>1</v>
      </c>
      <c r="BJ384" s="77">
        <f>ROUNDUP(tbl_Data[[#This Row],[Adjusted 2033]]/$L384,0)</f>
        <v>1</v>
      </c>
      <c r="BK384" s="77">
        <f>ROUNDUP(tbl_Data[[#This Row],[Adjusted 2034]]/$L384,0)</f>
        <v>1</v>
      </c>
      <c r="BL384" s="80">
        <f t="shared" si="155"/>
        <v>0.11603533795377147</v>
      </c>
      <c r="BM384" s="80">
        <f t="shared" si="156"/>
        <v>0.27517128876200719</v>
      </c>
      <c r="BN384" s="80">
        <f t="shared" si="157"/>
        <v>0.48685657162856705</v>
      </c>
      <c r="BO384" s="80">
        <f t="shared" si="158"/>
        <v>0.75989263361422654</v>
      </c>
      <c r="BP384" s="80">
        <f t="shared" si="159"/>
        <v>1.0980858277372627</v>
      </c>
      <c r="BQ384" s="80">
        <f t="shared" si="160"/>
        <v>1.4951395627025779</v>
      </c>
      <c r="BR384" s="80">
        <f t="shared" si="161"/>
        <v>1.9315956705978623</v>
      </c>
      <c r="BS384" s="80">
        <f t="shared" si="162"/>
        <v>2.3756049701267532</v>
      </c>
      <c r="BT384" s="80">
        <f t="shared" si="163"/>
        <v>2.7889639832607491</v>
      </c>
      <c r="BU384" s="80">
        <f t="shared" si="164"/>
        <v>3.1395929785192664</v>
      </c>
      <c r="BV384" s="80">
        <f>IFERROR(VLOOKUP($H384,'1. Set Program Names'!$B$2:$D$15,3,0)*V384,"NA")</f>
        <v>0.11040953146896521</v>
      </c>
      <c r="BW384" s="80">
        <f>IFERROR(VLOOKUP($H384,'1. Set Program Names'!$B$2:$D$15,3,0)*W384,"NA")</f>
        <v>0.26183000456316646</v>
      </c>
      <c r="BX384" s="80">
        <f>IFERROR(VLOOKUP($H384,'1. Set Program Names'!$B$2:$D$15,3,0)*X384,"NA")</f>
        <v>0.46325203092451245</v>
      </c>
      <c r="BY384" s="80">
        <f>IFERROR(VLOOKUP($H384,'1. Set Program Names'!$B$2:$D$15,3,0)*Y384,"NA")</f>
        <v>0.72305033211081227</v>
      </c>
      <c r="BZ384" s="80">
        <f>IFERROR(VLOOKUP($H384,'1. Set Program Names'!$B$2:$D$15,3,0)*Z384,"NA")</f>
        <v>1.0448467155883472</v>
      </c>
      <c r="CA384" s="80">
        <f>IFERROR(VLOOKUP($H384,'1. Set Program Names'!$B$2:$D$15,3,0)*AA384,"NA")</f>
        <v>1.4226498712355384</v>
      </c>
      <c r="CB384" s="80">
        <f>IFERROR(VLOOKUP($H384,'1. Set Program Names'!$B$2:$D$15,3,0)*AB384,"NA")</f>
        <v>1.8379450324275968</v>
      </c>
      <c r="CC384" s="80">
        <f>IFERROR(VLOOKUP($H384,'1. Set Program Names'!$B$2:$D$15,3,0)*AC384,"NA")</f>
        <v>2.2604271796195063</v>
      </c>
      <c r="CD384" s="80">
        <f>IFERROR(VLOOKUP($H384,'1. Set Program Names'!$B$2:$D$15,3,0)*AD384,"NA")</f>
        <v>2.6537450754727581</v>
      </c>
      <c r="CE384" s="80">
        <f>IFERROR(VLOOKUP($H384,'1. Set Program Names'!$B$2:$D$15,3,0)*AE384,"NA")</f>
        <v>2.9873743281522316</v>
      </c>
    </row>
    <row r="385" spans="1:83" x14ac:dyDescent="0.25">
      <c r="A385" s="79" t="s">
        <v>117</v>
      </c>
      <c r="B385" s="79" t="s">
        <v>88</v>
      </c>
      <c r="C385" s="79" t="s">
        <v>122</v>
      </c>
      <c r="D385" s="79" t="s">
        <v>90</v>
      </c>
      <c r="E385" s="79" t="s">
        <v>91</v>
      </c>
      <c r="F385" s="79" t="s">
        <v>90</v>
      </c>
      <c r="G385" s="79" t="s">
        <v>92</v>
      </c>
      <c r="H385" s="79" t="s">
        <v>16</v>
      </c>
      <c r="I385" s="79" t="s">
        <v>167</v>
      </c>
      <c r="J385" s="79" t="s">
        <v>124</v>
      </c>
      <c r="K385" s="79" t="s">
        <v>98</v>
      </c>
      <c r="L385" s="79">
        <v>151.65999999999994</v>
      </c>
      <c r="M385" s="79">
        <v>2.2013191527321094E-2</v>
      </c>
      <c r="N385" s="79">
        <v>1.952960139549019E-2</v>
      </c>
      <c r="O385" s="79">
        <v>56.59999999999998</v>
      </c>
      <c r="P385" s="79">
        <v>25.402483751835906</v>
      </c>
      <c r="Q385" s="79"/>
      <c r="R385" s="79">
        <v>70.56447857633529</v>
      </c>
      <c r="S385" s="79">
        <v>171.41744415542868</v>
      </c>
      <c r="T385" s="79">
        <v>16</v>
      </c>
      <c r="U385" s="79">
        <v>0.6</v>
      </c>
      <c r="V385" s="79">
        <f>tbl_Data_old[[#This Row],[2025 ]]*IFERROR(AVERAGEIFS('Participation Adjustment'!$C:$C,'Participation Adjustment'!$A:$A,$H385,'Participation Adjustment'!$B:$B,$I385),1)</f>
        <v>0.38506045411207002</v>
      </c>
      <c r="W385" s="79">
        <f>tbl_Data_old[[#This Row],[2026 ]]*IFERROR(AVERAGEIFS('Participation Adjustment'!$C:$C,'Participation Adjustment'!$A:$A,$H385,'Participation Adjustment'!$B:$B,$I385),1)</f>
        <v>0.90875615348969696</v>
      </c>
      <c r="X385" s="79">
        <f>tbl_Data_old[[#This Row],[2027 ]]*IFERROR(AVERAGEIFS('Participation Adjustment'!$C:$C,'Participation Adjustment'!$A:$A,$H385,'Participation Adjustment'!$B:$B,$I385),1)</f>
        <v>1.58531481675082</v>
      </c>
      <c r="Y385" s="79">
        <f>tbl_Data_old[[#This Row],[2028 ]]*IFERROR(AVERAGEIFS('Participation Adjustment'!$C:$C,'Participation Adjustment'!$A:$A,$H385,'Participation Adjustment'!$B:$B,$I385),1)</f>
        <v>2.42062365227215</v>
      </c>
      <c r="Z385" s="79">
        <f>tbl_Data_old[[#This Row],[2029 ]]*IFERROR(AVERAGEIFS('Participation Adjustment'!$C:$C,'Participation Adjustment'!$A:$A,$H385,'Participation Adjustment'!$B:$B,$I385),1)</f>
        <v>3.4067415415470998</v>
      </c>
      <c r="AA385" s="79">
        <f>tbl_Data_old[[#This Row],[2030 ]]*IFERROR(AVERAGEIFS('Participation Adjustment'!$C:$C,'Participation Adjustment'!$A:$A,$H385,'Participation Adjustment'!$B:$B,$I385),1)</f>
        <v>4.52490807961318</v>
      </c>
      <c r="AB385" s="79">
        <f>tbl_Data_old[[#This Row],[2031 ]]*IFERROR(AVERAGEIFS('Participation Adjustment'!$C:$C,'Participation Adjustment'!$A:$A,$H385,'Participation Adjustment'!$B:$B,$I385),1)</f>
        <v>5.7487577055108403</v>
      </c>
      <c r="AC385" s="79">
        <f>tbl_Data_old[[#This Row],[2032 ]]*IFERROR(AVERAGEIFS('Participation Adjustment'!$C:$C,'Participation Adjustment'!$A:$A,$H385,'Participation Adjustment'!$B:$B,$I385),1)</f>
        <v>7.0541210454462302</v>
      </c>
      <c r="AD385" s="79">
        <f>tbl_Data_old[[#This Row],[2033 ]]*IFERROR(AVERAGEIFS('Participation Adjustment'!$C:$C,'Participation Adjustment'!$A:$A,$H385,'Participation Adjustment'!$B:$B,$I385),1)</f>
        <v>8.4234909823467898</v>
      </c>
      <c r="AE385" s="79">
        <f>tbl_Data_old[[#This Row],[2034 ]]*IFERROR(AVERAGEIFS('Participation Adjustment'!$C:$C,'Participation Adjustment'!$A:$A,$H385,'Participation Adjustment'!$B:$B,$I385),1)</f>
        <v>9.8406066661614808</v>
      </c>
      <c r="AF385" s="77" t="str">
        <f t="shared" si="154"/>
        <v>NonResidential</v>
      </c>
      <c r="AG385" s="77" t="str">
        <f>tbl_Data[[#This Row],[All_Meas_Name_Append]]</f>
        <v>Refrigerated Display Case LED Lighting</v>
      </c>
      <c r="AH385" s="77">
        <f>AVERAGEIFS('3. Incentive Adjustment'!G:G,'3. Incentive Adjustment'!A:A,tbl_Data[[#This Row],[Trimmed Sector]],'3. Incentive Adjustment'!B:B,tbl_Data[[#This Row],[Trimmed Measure Name]])</f>
        <v>0.72450810749703154</v>
      </c>
      <c r="AI385" s="77">
        <f>$AH385*tbl_Data[[#This Row],[2025 ]]</f>
        <v>0.27897942088068339</v>
      </c>
      <c r="AJ385" s="77">
        <f>$AH385*tbl_Data[[#This Row],[2026 ]]</f>
        <v>0.65840120094110222</v>
      </c>
      <c r="AK385" s="77">
        <f>$AH385*tbl_Data[[#This Row],[2027 ]]</f>
        <v>1.1485734376711398</v>
      </c>
      <c r="AL385" s="77">
        <f>$AH385*tbl_Data[[#This Row],[2028 ]]</f>
        <v>1.7537614612702479</v>
      </c>
      <c r="AM385" s="77">
        <f>$AH385*tbl_Data[[#This Row],[2029 ]]</f>
        <v>2.4682118669978093</v>
      </c>
      <c r="AN385" s="77">
        <f>$AH385*tbl_Data[[#This Row],[2030 ]]</f>
        <v>3.2783325893585724</v>
      </c>
      <c r="AO385" s="77">
        <f>$AH385*tbl_Data[[#This Row],[2031 ]]</f>
        <v>4.1650215656786367</v>
      </c>
      <c r="AP385" s="77">
        <f>$AH385*tbl_Data[[#This Row],[2032 ]]</f>
        <v>5.11076788869123</v>
      </c>
      <c r="AQ385" s="77">
        <f>$AH385*tbl_Data[[#This Row],[2033 ]]</f>
        <v>6.1028875101383839</v>
      </c>
      <c r="AR385" s="77">
        <f>$AH385*tbl_Data[[#This Row],[2034 ]]</f>
        <v>7.129599312323327</v>
      </c>
      <c r="AS385" s="77">
        <f>SUM(tbl_Data[[#This Row],[Adjusted 2025]:[Adjusted 2034]])</f>
        <v>32.094536253951127</v>
      </c>
      <c r="AT385" s="80">
        <f>AVERAGEIFS('3. Incentive Adjustment'!F:F,'3. Incentive Adjustment'!A:A,tbl_Data[[#This Row],[Trimmed Sector]],'3. Incentive Adjustment'!B:B,tbl_Data[[#This Row],[Trimmed Measure Name]])</f>
        <v>6.879122352287844</v>
      </c>
      <c r="AU385" s="80">
        <f>IFERROR(VLOOKUP(tbl_Data[[#This Row],[All_Meas_Name_Append]],'IRA Tax Credits'!$A$3:$D$46,4,0),0)</f>
        <v>0</v>
      </c>
      <c r="AV385" s="81">
        <f>tbl_Data[[#This Row],[Adj. per unit Incentive ($)]]/tbl_Data[[#This Row],[kWh Savings]]*tbl_Data[[#This Row],[Sum of Annuals]]</f>
        <v>1.4557710782728988</v>
      </c>
      <c r="AW385" s="81">
        <f>IFERROR(VLOOKUP(tbl_Data[[#This Row],[Column1]],'1. Set Program Names'!$B$2:$D$15,3,0)*tbl_Data[[#This Row],[Sum of Annuals]],"")</f>
        <v>1.1691245942171899</v>
      </c>
      <c r="AX385" s="81">
        <f>tbl_Data[[#This Row],[per unit IRA tax ($)]]/tbl_Data[[#This Row],[kWh Savings]]*tbl_Data[[#This Row],[Sum of Annuals]]</f>
        <v>0</v>
      </c>
      <c r="AY385" s="81">
        <f>tbl_Data[[#This Row],[Avoided Costs ($/unit)]]/tbl_Data[[#This Row],[kWh Savings]]*tbl_Data[[#This Row],[Sum of Annuals]]</f>
        <v>14.932969905771802</v>
      </c>
      <c r="AZ385" s="81">
        <f>tbl_Data[[#This Row],[Lost Revenue ($/unit)]]/tbl_Data[[#This Row],[kWh Savings]]*tbl_Data[[#This Row],[Sum of Annuals]]</f>
        <v>36.275638770974879</v>
      </c>
      <c r="BA385" s="81">
        <f>tbl_Data[[#This Row],[Incremental Cost ($/unit)]]/tbl_Data[[#This Row],[kWh Savings]]*tbl_Data[[#This Row],[Sum of Annuals]]</f>
        <v>11.977784201329513</v>
      </c>
      <c r="BB385" s="77">
        <f>ROUNDUP(tbl_Data[[#This Row],[Adjusted 2025]]/$L385,0)</f>
        <v>1</v>
      </c>
      <c r="BC385" s="77">
        <f>ROUNDUP(tbl_Data[[#This Row],[Adjusted 2026]]/$L385,0)</f>
        <v>1</v>
      </c>
      <c r="BD385" s="77">
        <f>ROUNDUP(tbl_Data[[#This Row],[Adjusted 2027]]/$L385,0)</f>
        <v>1</v>
      </c>
      <c r="BE385" s="77">
        <f>ROUNDUP(tbl_Data[[#This Row],[Adjusted 2028]]/$L385,0)</f>
        <v>1</v>
      </c>
      <c r="BF385" s="77">
        <f>ROUNDUP(tbl_Data[[#This Row],[Adjusted 2029]]/$L385,0)</f>
        <v>1</v>
      </c>
      <c r="BG385" s="77">
        <f>ROUNDUP(tbl_Data[[#This Row],[Adjusted 2030]]/$L385,0)</f>
        <v>1</v>
      </c>
      <c r="BH385" s="77">
        <f>ROUNDUP(tbl_Data[[#This Row],[Adjusted 2031]]/$L385,0)</f>
        <v>1</v>
      </c>
      <c r="BI385" s="77">
        <f>ROUNDUP(tbl_Data[[#This Row],[Adjusted 2032]]/$L385,0)</f>
        <v>1</v>
      </c>
      <c r="BJ385" s="77">
        <f>ROUNDUP(tbl_Data[[#This Row],[Adjusted 2033]]/$L385,0)</f>
        <v>1</v>
      </c>
      <c r="BK385" s="77">
        <f>ROUNDUP(tbl_Data[[#This Row],[Adjusted 2034]]/$L385,0)</f>
        <v>1</v>
      </c>
      <c r="BL385" s="80">
        <f t="shared" si="155"/>
        <v>1.7465897249534811E-2</v>
      </c>
      <c r="BM385" s="80">
        <f t="shared" si="156"/>
        <v>4.1220129027100746E-2</v>
      </c>
      <c r="BN385" s="80">
        <f t="shared" si="157"/>
        <v>7.1908048208648795E-2</v>
      </c>
      <c r="BO385" s="80">
        <f t="shared" si="158"/>
        <v>0.10979669176329943</v>
      </c>
      <c r="BP385" s="80">
        <f t="shared" si="159"/>
        <v>0.15452585973179619</v>
      </c>
      <c r="BQ385" s="80">
        <f t="shared" si="160"/>
        <v>0.20524460182325532</v>
      </c>
      <c r="BR385" s="80">
        <f t="shared" si="161"/>
        <v>0.2607570066587539</v>
      </c>
      <c r="BS385" s="80">
        <f t="shared" si="162"/>
        <v>0.31996677937144452</v>
      </c>
      <c r="BT385" s="80">
        <f t="shared" si="163"/>
        <v>0.38207981736091856</v>
      </c>
      <c r="BU385" s="80">
        <f t="shared" si="164"/>
        <v>0.4463585472587645</v>
      </c>
      <c r="BV385" s="80">
        <f>IFERROR(VLOOKUP($H385,'1. Set Program Names'!$B$2:$D$15,3,0)*V385,"NA")</f>
        <v>1.4026800188067496E-2</v>
      </c>
      <c r="BW385" s="80">
        <f>IFERROR(VLOOKUP($H385,'1. Set Program Names'!$B$2:$D$15,3,0)*W385,"NA")</f>
        <v>3.3103739551937572E-2</v>
      </c>
      <c r="BX385" s="80">
        <f>IFERROR(VLOOKUP($H385,'1. Set Program Names'!$B$2:$D$15,3,0)*X385,"NA")</f>
        <v>5.7749098699381489E-2</v>
      </c>
      <c r="BY385" s="80">
        <f>IFERROR(VLOOKUP($H385,'1. Set Program Names'!$B$2:$D$15,3,0)*Y385,"NA")</f>
        <v>8.8177334074014221E-2</v>
      </c>
      <c r="BZ385" s="80">
        <f>IFERROR(VLOOKUP($H385,'1. Set Program Names'!$B$2:$D$15,3,0)*Z385,"NA")</f>
        <v>0.12409917036497967</v>
      </c>
      <c r="CA385" s="80">
        <f>IFERROR(VLOOKUP($H385,'1. Set Program Names'!$B$2:$D$15,3,0)*AA385,"NA")</f>
        <v>0.16483121240913939</v>
      </c>
      <c r="CB385" s="80">
        <f>IFERROR(VLOOKUP($H385,'1. Set Program Names'!$B$2:$D$15,3,0)*AB385,"NA")</f>
        <v>0.20941302801597225</v>
      </c>
      <c r="CC385" s="80">
        <f>IFERROR(VLOOKUP($H385,'1. Set Program Names'!$B$2:$D$15,3,0)*AC385,"NA")</f>
        <v>0.25696418666279885</v>
      </c>
      <c r="CD385" s="80">
        <f>IFERROR(VLOOKUP($H385,'1. Set Program Names'!$B$2:$D$15,3,0)*AD385,"NA")</f>
        <v>0.30684694736525309</v>
      </c>
      <c r="CE385" s="80">
        <f>IFERROR(VLOOKUP($H385,'1. Set Program Names'!$B$2:$D$15,3,0)*AE385,"NA")</f>
        <v>0.35846896756486579</v>
      </c>
    </row>
    <row r="386" spans="1:83" x14ac:dyDescent="0.25">
      <c r="A386" s="79" t="s">
        <v>87</v>
      </c>
      <c r="B386" s="79" t="s">
        <v>88</v>
      </c>
      <c r="C386" s="79" t="s">
        <v>122</v>
      </c>
      <c r="D386" s="79" t="s">
        <v>90</v>
      </c>
      <c r="E386" s="79" t="s">
        <v>91</v>
      </c>
      <c r="F386" s="79" t="s">
        <v>90</v>
      </c>
      <c r="G386" s="79" t="s">
        <v>92</v>
      </c>
      <c r="H386" s="79" t="s">
        <v>18</v>
      </c>
      <c r="I386" s="79" t="s">
        <v>168</v>
      </c>
      <c r="J386" s="79" t="s">
        <v>129</v>
      </c>
      <c r="K386" s="79" t="s">
        <v>102</v>
      </c>
      <c r="L386" s="79">
        <v>3050.4666666666599</v>
      </c>
      <c r="M386" s="79">
        <v>1.01361966409546</v>
      </c>
      <c r="N386" s="79">
        <v>0</v>
      </c>
      <c r="O386" s="79">
        <v>742</v>
      </c>
      <c r="P386" s="79">
        <v>130.44720079847701</v>
      </c>
      <c r="Q386" s="79">
        <v>96.541767463653102</v>
      </c>
      <c r="R386" s="79">
        <v>1331.93833936435</v>
      </c>
      <c r="S386" s="79">
        <v>2509.1802589366698</v>
      </c>
      <c r="T386" s="79">
        <v>10</v>
      </c>
      <c r="U386" s="79">
        <v>1</v>
      </c>
      <c r="V386" s="79">
        <f>tbl_Data_old[[#This Row],[2025 ]]*IFERROR(AVERAGEIFS('Participation Adjustment'!$C:$C,'Participation Adjustment'!$A:$A,$H386,'Participation Adjustment'!$B:$B,$I386),1)</f>
        <v>21243.524858074899</v>
      </c>
      <c r="W386" s="79">
        <f>tbl_Data_old[[#This Row],[2026 ]]*IFERROR(AVERAGEIFS('Participation Adjustment'!$C:$C,'Participation Adjustment'!$A:$A,$H386,'Participation Adjustment'!$B:$B,$I386),1)</f>
        <v>29291.245780466099</v>
      </c>
      <c r="X386" s="79">
        <f>tbl_Data_old[[#This Row],[2027 ]]*IFERROR(AVERAGEIFS('Participation Adjustment'!$C:$C,'Participation Adjustment'!$A:$A,$H386,'Participation Adjustment'!$B:$B,$I386),1)</f>
        <v>39257.249220828598</v>
      </c>
      <c r="Y386" s="79">
        <f>tbl_Data_old[[#This Row],[2028 ]]*IFERROR(AVERAGEIFS('Participation Adjustment'!$C:$C,'Participation Adjustment'!$A:$A,$H386,'Participation Adjustment'!$B:$B,$I386),1)</f>
        <v>51117.688154932301</v>
      </c>
      <c r="Z386" s="79">
        <f>tbl_Data_old[[#This Row],[2029 ]]*IFERROR(AVERAGEIFS('Participation Adjustment'!$C:$C,'Participation Adjustment'!$A:$A,$H386,'Participation Adjustment'!$B:$B,$I386),1)</f>
        <v>64042.244942414902</v>
      </c>
      <c r="AA386" s="79">
        <f>tbl_Data_old[[#This Row],[2030 ]]*IFERROR(AVERAGEIFS('Participation Adjustment'!$C:$C,'Participation Adjustment'!$A:$A,$H386,'Participation Adjustment'!$B:$B,$I386),1)</f>
        <v>76213.767799135196</v>
      </c>
      <c r="AB386" s="79">
        <f>tbl_Data_old[[#This Row],[2031 ]]*IFERROR(AVERAGEIFS('Participation Adjustment'!$C:$C,'Participation Adjustment'!$A:$A,$H386,'Participation Adjustment'!$B:$B,$I386),1)</f>
        <v>85118.766241082005</v>
      </c>
      <c r="AC386" s="79">
        <f>tbl_Data_old[[#This Row],[2032 ]]*IFERROR(AVERAGEIFS('Participation Adjustment'!$C:$C,'Participation Adjustment'!$A:$A,$H386,'Participation Adjustment'!$B:$B,$I386),1)</f>
        <v>88223.351916194195</v>
      </c>
      <c r="AD386" s="79">
        <f>tbl_Data_old[[#This Row],[2033 ]]*IFERROR(AVERAGEIFS('Participation Adjustment'!$C:$C,'Participation Adjustment'!$A:$A,$H386,'Participation Adjustment'!$B:$B,$I386),1)</f>
        <v>83976.871877104597</v>
      </c>
      <c r="AE386" s="79">
        <f>tbl_Data_old[[#This Row],[2034 ]]*IFERROR(AVERAGEIFS('Participation Adjustment'!$C:$C,'Participation Adjustment'!$A:$A,$H386,'Participation Adjustment'!$B:$B,$I386),1)</f>
        <v>73132.671453852701</v>
      </c>
      <c r="AF386" s="77" t="str">
        <f t="shared" ref="AF386:AF417" si="165">IF(C386="Residential","Residential","NonResidential")</f>
        <v>NonResidential</v>
      </c>
      <c r="AG386" s="77" t="str">
        <f>tbl_Data[[#This Row],[All_Meas_Name_Append]]</f>
        <v>Chilled Water Reset</v>
      </c>
      <c r="AH386" s="77">
        <f>AVERAGEIFS('3. Incentive Adjustment'!G:G,'3. Incentive Adjustment'!A:A,tbl_Data[[#This Row],[Trimmed Sector]],'3. Incentive Adjustment'!B:B,tbl_Data[[#This Row],[Trimmed Measure Name]])</f>
        <v>1.6724428329362533</v>
      </c>
      <c r="AI386" s="77">
        <f>$AH386*tbl_Data[[#This Row],[2025 ]]</f>
        <v>35528.580895190506</v>
      </c>
      <c r="AJ386" s="77">
        <f>$AH386*tbl_Data[[#This Row],[2026 ]]</f>
        <v>48987.934073314798</v>
      </c>
      <c r="AK386" s="77">
        <f>$AH386*tbl_Data[[#This Row],[2027 ]]</f>
        <v>65655.505100167109</v>
      </c>
      <c r="AL386" s="77">
        <f>$AH386*tbl_Data[[#This Row],[2028 ]]</f>
        <v>85491.411190986939</v>
      </c>
      <c r="AM386" s="77">
        <f>$AH386*tbl_Data[[#This Row],[2029 ]]</f>
        <v>107106.99355908982</v>
      </c>
      <c r="AN386" s="77">
        <f>$AH386*tbl_Data[[#This Row],[2030 ]]</f>
        <v>127463.16972673146</v>
      </c>
      <c r="AO386" s="77">
        <f>$AH386*tbl_Data[[#This Row],[2031 ]]</f>
        <v>142356.2705482739</v>
      </c>
      <c r="AP386" s="77">
        <f>$AH386*tbl_Data[[#This Row],[2032 ]]</f>
        <v>147548.51260985184</v>
      </c>
      <c r="AQ386" s="77">
        <f>$AH386*tbl_Data[[#This Row],[2033 ]]</f>
        <v>140446.5175032696</v>
      </c>
      <c r="AR386" s="77">
        <f>$AH386*tbl_Data[[#This Row],[2034 ]]</f>
        <v>122310.21222647767</v>
      </c>
      <c r="AS386" s="77">
        <f>SUM(tbl_Data[[#This Row],[Adjusted 2025]:[Adjusted 2034]])</f>
        <v>1022895.1074333537</v>
      </c>
      <c r="AT386" s="80">
        <f>AVERAGEIFS('3. Incentive Adjustment'!F:F,'3. Incentive Adjustment'!A:A,tbl_Data[[#This Row],[Trimmed Sector]],'3. Incentive Adjustment'!B:B,tbl_Data[[#This Row],[Trimmed Measure Name]])</f>
        <v>725.0262900596623</v>
      </c>
      <c r="AU386" s="80">
        <f>IFERROR(VLOOKUP(tbl_Data[[#This Row],[All_Meas_Name_Append]],'IRA Tax Credits'!$A$3:$D$46,4,0),0)</f>
        <v>0</v>
      </c>
      <c r="AV386" s="81">
        <f>tbl_Data[[#This Row],[Adj. per unit Incentive ($)]]/tbl_Data[[#This Row],[kWh Savings]]*tbl_Data[[#This Row],[Sum of Annuals]]</f>
        <v>243118.81620164754</v>
      </c>
      <c r="AW386" s="81">
        <f>IFERROR(VLOOKUP(tbl_Data[[#This Row],[Column1]],'1. Set Program Names'!$B$2:$D$15,3,0)*tbl_Data[[#This Row],[Sum of Annuals]],"")</f>
        <v>32372.785017004888</v>
      </c>
      <c r="AX386" s="81">
        <f>tbl_Data[[#This Row],[per unit IRA tax ($)]]/tbl_Data[[#This Row],[kWh Savings]]*tbl_Data[[#This Row],[Sum of Annuals]]</f>
        <v>0</v>
      </c>
      <c r="AY386" s="81">
        <f>tbl_Data[[#This Row],[Avoided Costs ($/unit)]]/tbl_Data[[#This Row],[kWh Savings]]*tbl_Data[[#This Row],[Sum of Annuals]]</f>
        <v>446631.07636166131</v>
      </c>
      <c r="AZ386" s="81">
        <f>tbl_Data[[#This Row],[Lost Revenue ($/unit)]]/tbl_Data[[#This Row],[kWh Savings]]*tbl_Data[[#This Row],[Sum of Annuals]]</f>
        <v>841388.70900671394</v>
      </c>
      <c r="BA386" s="81">
        <f>tbl_Data[[#This Row],[Incremental Cost ($/unit)]]/tbl_Data[[#This Row],[kWh Savings]]*tbl_Data[[#This Row],[Sum of Annuals]]</f>
        <v>248810.51086682369</v>
      </c>
      <c r="BB386" s="77">
        <f>ROUNDUP(tbl_Data[[#This Row],[Adjusted 2025]]/$L386,0)</f>
        <v>12</v>
      </c>
      <c r="BC386" s="77">
        <f>ROUNDUP(tbl_Data[[#This Row],[Adjusted 2026]]/$L386,0)</f>
        <v>17</v>
      </c>
      <c r="BD386" s="77">
        <f>ROUNDUP(tbl_Data[[#This Row],[Adjusted 2027]]/$L386,0)</f>
        <v>22</v>
      </c>
      <c r="BE386" s="77">
        <f>ROUNDUP(tbl_Data[[#This Row],[Adjusted 2028]]/$L386,0)</f>
        <v>29</v>
      </c>
      <c r="BF386" s="77">
        <f>ROUNDUP(tbl_Data[[#This Row],[Adjusted 2029]]/$L386,0)</f>
        <v>36</v>
      </c>
      <c r="BG386" s="77">
        <f>ROUNDUP(tbl_Data[[#This Row],[Adjusted 2030]]/$L386,0)</f>
        <v>42</v>
      </c>
      <c r="BH386" s="77">
        <f>ROUNDUP(tbl_Data[[#This Row],[Adjusted 2031]]/$L386,0)</f>
        <v>47</v>
      </c>
      <c r="BI386" s="77">
        <f>ROUNDUP(tbl_Data[[#This Row],[Adjusted 2032]]/$L386,0)</f>
        <v>49</v>
      </c>
      <c r="BJ386" s="77">
        <f>ROUNDUP(tbl_Data[[#This Row],[Adjusted 2033]]/$L386,0)</f>
        <v>47</v>
      </c>
      <c r="BK386" s="77">
        <f>ROUNDUP(tbl_Data[[#This Row],[Adjusted 2034]]/$L386,0)</f>
        <v>41</v>
      </c>
      <c r="BL386" s="80">
        <f t="shared" ref="BL386:BL417" si="166">$AT386/$L386*V386</f>
        <v>5049.1009077213184</v>
      </c>
      <c r="BM386" s="80">
        <f t="shared" ref="BM386:BM417" si="167">$AT386/$L386*W386</f>
        <v>6961.8604561391003</v>
      </c>
      <c r="BN386" s="80">
        <f t="shared" ref="BN386:BN417" si="168">$AT386/$L386*X386</f>
        <v>9330.5519681769965</v>
      </c>
      <c r="BO386" s="80">
        <f t="shared" ref="BO386:BO417" si="169">$AT386/$L386*Y386</f>
        <v>12149.507550559714</v>
      </c>
      <c r="BP386" s="80">
        <f t="shared" ref="BP386:BP417" si="170">$AT386/$L386*Z386</f>
        <v>15221.379654815006</v>
      </c>
      <c r="BQ386" s="80">
        <f t="shared" ref="BQ386:BQ417" si="171">$AT386/$L386*AA386</f>
        <v>18114.272784123412</v>
      </c>
      <c r="BR386" s="80">
        <f t="shared" ref="BR386:BR417" si="172">$AT386/$L386*AB386</f>
        <v>20230.787628852671</v>
      </c>
      <c r="BS386" s="80">
        <f t="shared" ref="BS386:BS417" si="173">$AT386/$L386*AC386</f>
        <v>20968.676771781284</v>
      </c>
      <c r="BT386" s="80">
        <f t="shared" ref="BT386:BT417" si="174">$AT386/$L386*AD386</f>
        <v>19959.385405907142</v>
      </c>
      <c r="BU386" s="80">
        <f t="shared" ref="BU386:BU417" si="175">$AT386/$L386*AE386</f>
        <v>17381.966518676632</v>
      </c>
      <c r="BV386" s="80">
        <f>IFERROR(VLOOKUP($H386,'1. Set Program Names'!$B$2:$D$15,3,0)*V386,"NA")</f>
        <v>672.3192419596802</v>
      </c>
      <c r="BW386" s="80">
        <f>IFERROR(VLOOKUP($H386,'1. Set Program Names'!$B$2:$D$15,3,0)*W386,"NA")</f>
        <v>927.01509239847712</v>
      </c>
      <c r="BX386" s="80">
        <f>IFERROR(VLOOKUP($H386,'1. Set Program Names'!$B$2:$D$15,3,0)*X386,"NA")</f>
        <v>1242.4211242672989</v>
      </c>
      <c r="BY386" s="80">
        <f>IFERROR(VLOOKUP($H386,'1. Set Program Names'!$B$2:$D$15,3,0)*Y386,"NA")</f>
        <v>1617.782622265343</v>
      </c>
      <c r="BZ386" s="80">
        <f>IFERROR(VLOOKUP($H386,'1. Set Program Names'!$B$2:$D$15,3,0)*Z386,"NA")</f>
        <v>2026.821530830566</v>
      </c>
      <c r="CA386" s="80">
        <f>IFERROR(VLOOKUP($H386,'1. Set Program Names'!$B$2:$D$15,3,0)*AA386,"NA")</f>
        <v>2412.0282738355809</v>
      </c>
      <c r="CB386" s="80">
        <f>IFERROR(VLOOKUP($H386,'1. Set Program Names'!$B$2:$D$15,3,0)*AB386,"NA")</f>
        <v>2693.8554113817349</v>
      </c>
      <c r="CC386" s="80">
        <f>IFERROR(VLOOKUP($H386,'1. Set Program Names'!$B$2:$D$15,3,0)*AC386,"NA")</f>
        <v>2792.1099478409665</v>
      </c>
      <c r="CD386" s="80">
        <f>IFERROR(VLOOKUP($H386,'1. Set Program Names'!$B$2:$D$15,3,0)*AD386,"NA")</f>
        <v>2657.7165145500489</v>
      </c>
      <c r="CE386" s="80">
        <f>IFERROR(VLOOKUP($H386,'1. Set Program Names'!$B$2:$D$15,3,0)*AE386,"NA")</f>
        <v>2314.5171322946012</v>
      </c>
    </row>
    <row r="387" spans="1:83" x14ac:dyDescent="0.25">
      <c r="A387" s="79" t="s">
        <v>87</v>
      </c>
      <c r="B387" s="79" t="s">
        <v>88</v>
      </c>
      <c r="C387" s="79" t="s">
        <v>122</v>
      </c>
      <c r="D387" s="79" t="s">
        <v>90</v>
      </c>
      <c r="E387" s="79" t="s">
        <v>91</v>
      </c>
      <c r="F387" s="79" t="s">
        <v>90</v>
      </c>
      <c r="G387" s="79" t="s">
        <v>92</v>
      </c>
      <c r="H387" s="79" t="s">
        <v>18</v>
      </c>
      <c r="I387" s="79" t="s">
        <v>169</v>
      </c>
      <c r="J387" s="79" t="s">
        <v>129</v>
      </c>
      <c r="K387" s="79" t="s">
        <v>102</v>
      </c>
      <c r="L387" s="79">
        <v>12279.148571428501</v>
      </c>
      <c r="M387" s="79">
        <v>2.3939185148112898</v>
      </c>
      <c r="N387" s="79">
        <v>0.409805025192993</v>
      </c>
      <c r="O387" s="79">
        <v>4666.07785714284</v>
      </c>
      <c r="P387" s="79">
        <v>2140.17810945783</v>
      </c>
      <c r="Q387" s="79">
        <v>388.61290273657698</v>
      </c>
      <c r="R387" s="79">
        <v>6035.2668545830202</v>
      </c>
      <c r="S387" s="79">
        <v>13336.629705795</v>
      </c>
      <c r="T387" s="79">
        <v>15</v>
      </c>
      <c r="U387" s="79">
        <v>1</v>
      </c>
      <c r="V387" s="79">
        <f>tbl_Data_old[[#This Row],[2025 ]]*IFERROR(AVERAGEIFS('Participation Adjustment'!$C:$C,'Participation Adjustment'!$A:$A,$H387,'Participation Adjustment'!$B:$B,$I387),1)</f>
        <v>79275.1337541947</v>
      </c>
      <c r="W387" s="79">
        <f>tbl_Data_old[[#This Row],[2026 ]]*IFERROR(AVERAGEIFS('Participation Adjustment'!$C:$C,'Participation Adjustment'!$A:$A,$H387,'Participation Adjustment'!$B:$B,$I387),1)</f>
        <v>88467.5331907496</v>
      </c>
      <c r="X387" s="79">
        <f>tbl_Data_old[[#This Row],[2027 ]]*IFERROR(AVERAGEIFS('Participation Adjustment'!$C:$C,'Participation Adjustment'!$A:$A,$H387,'Participation Adjustment'!$B:$B,$I387),1)</f>
        <v>96565.981944576299</v>
      </c>
      <c r="Y387" s="79">
        <f>tbl_Data_old[[#This Row],[2028 ]]*IFERROR(AVERAGEIFS('Participation Adjustment'!$C:$C,'Participation Adjustment'!$A:$A,$H387,'Participation Adjustment'!$B:$B,$I387),1)</f>
        <v>104071.58909631699</v>
      </c>
      <c r="Z387" s="79">
        <f>tbl_Data_old[[#This Row],[2029 ]]*IFERROR(AVERAGEIFS('Participation Adjustment'!$C:$C,'Participation Adjustment'!$A:$A,$H387,'Participation Adjustment'!$B:$B,$I387),1)</f>
        <v>110935.959037949</v>
      </c>
      <c r="AA387" s="79">
        <f>tbl_Data_old[[#This Row],[2030 ]]*IFERROR(AVERAGEIFS('Participation Adjustment'!$C:$C,'Participation Adjustment'!$A:$A,$H387,'Participation Adjustment'!$B:$B,$I387),1)</f>
        <v>117123.687958455</v>
      </c>
      <c r="AB387" s="79">
        <f>tbl_Data_old[[#This Row],[2031 ]]*IFERROR(AVERAGEIFS('Participation Adjustment'!$C:$C,'Participation Adjustment'!$A:$A,$H387,'Participation Adjustment'!$B:$B,$I387),1)</f>
        <v>122707.84562364699</v>
      </c>
      <c r="AC387" s="79">
        <f>tbl_Data_old[[#This Row],[2032 ]]*IFERROR(AVERAGEIFS('Participation Adjustment'!$C:$C,'Participation Adjustment'!$A:$A,$H387,'Participation Adjustment'!$B:$B,$I387),1)</f>
        <v>128010.177921001</v>
      </c>
      <c r="AD387" s="79">
        <f>tbl_Data_old[[#This Row],[2033 ]]*IFERROR(AVERAGEIFS('Participation Adjustment'!$C:$C,'Participation Adjustment'!$A:$A,$H387,'Participation Adjustment'!$B:$B,$I387),1)</f>
        <v>133184.31191850299</v>
      </c>
      <c r="AE387" s="79">
        <f>tbl_Data_old[[#This Row],[2034 ]]*IFERROR(AVERAGEIFS('Participation Adjustment'!$C:$C,'Participation Adjustment'!$A:$A,$H387,'Participation Adjustment'!$B:$B,$I387),1)</f>
        <v>138074.654682411</v>
      </c>
      <c r="AF387" s="77" t="str">
        <f t="shared" si="165"/>
        <v>NonResidential</v>
      </c>
      <c r="AG387" s="77" t="str">
        <f>tbl_Data[[#This Row],[All_Meas_Name_Append]]</f>
        <v>Custom measure - Non-lighting_69</v>
      </c>
      <c r="AH387" s="77">
        <f>AVERAGEIFS('3. Incentive Adjustment'!G:G,'3. Incentive Adjustment'!A:A,tbl_Data[[#This Row],[Trimmed Sector]],'3. Incentive Adjustment'!B:B,tbl_Data[[#This Row],[Trimmed Measure Name]])</f>
        <v>0.94249803878007732</v>
      </c>
      <c r="AI387" s="77">
        <f>$AH387*tbl_Data[[#This Row],[2025 ]]</f>
        <v>74716.658087356816</v>
      </c>
      <c r="AJ387" s="77">
        <f>$AH387*tbl_Data[[#This Row],[2026 ]]</f>
        <v>83380.476527992898</v>
      </c>
      <c r="AK387" s="77">
        <f>$AH387*tbl_Data[[#This Row],[2027 ]]</f>
        <v>91013.248595635523</v>
      </c>
      <c r="AL387" s="77">
        <f>$AH387*tbl_Data[[#This Row],[2028 ]]</f>
        <v>98087.268616004847</v>
      </c>
      <c r="AM387" s="77">
        <f>$AH387*tbl_Data[[#This Row],[2029 ]]</f>
        <v>104556.92382345392</v>
      </c>
      <c r="AN387" s="77">
        <f>$AH387*tbl_Data[[#This Row],[2030 ]]</f>
        <v>110388.8461955336</v>
      </c>
      <c r="AO387" s="77">
        <f>$AH387*tbl_Data[[#This Row],[2031 ]]</f>
        <v>115651.90384321578</v>
      </c>
      <c r="AP387" s="77">
        <f>$AH387*tbl_Data[[#This Row],[2032 ]]</f>
        <v>120649.3416344322</v>
      </c>
      <c r="AQ387" s="77">
        <f>$AH387*tbl_Data[[#This Row],[2033 ]]</f>
        <v>125525.95277946314</v>
      </c>
      <c r="AR387" s="77">
        <f>$AH387*tbl_Data[[#This Row],[2034 ]]</f>
        <v>130135.09124340878</v>
      </c>
      <c r="AS387" s="77">
        <f>SUM(tbl_Data[[#This Row],[Adjusted 2025]:[Adjusted 2034]])</f>
        <v>1054105.7113464975</v>
      </c>
      <c r="AT387" s="80">
        <f>AVERAGEIFS('3. Incentive Adjustment'!F:F,'3. Incentive Adjustment'!A:A,tbl_Data[[#This Row],[Trimmed Sector]],'3. Incentive Adjustment'!B:B,tbl_Data[[#This Row],[Trimmed Measure Name]])</f>
        <v>1864.5735288999113</v>
      </c>
      <c r="AU387" s="80">
        <f>IFERROR(VLOOKUP(tbl_Data[[#This Row],[All_Meas_Name_Append]],'IRA Tax Credits'!$A$3:$D$46,4,0),0)</f>
        <v>0</v>
      </c>
      <c r="AV387" s="81">
        <f>tbl_Data[[#This Row],[Adj. per unit Incentive ($)]]/tbl_Data[[#This Row],[kWh Savings]]*tbl_Data[[#This Row],[Sum of Annuals]]</f>
        <v>160064.64899465235</v>
      </c>
      <c r="AW387" s="81">
        <f>IFERROR(VLOOKUP(tbl_Data[[#This Row],[Column1]],'1. Set Program Names'!$B$2:$D$15,3,0)*tbl_Data[[#This Row],[Sum of Annuals]],"")</f>
        <v>33360.544332098616</v>
      </c>
      <c r="AX387" s="81">
        <f>tbl_Data[[#This Row],[per unit IRA tax ($)]]/tbl_Data[[#This Row],[kWh Savings]]*tbl_Data[[#This Row],[Sum of Annuals]]</f>
        <v>0</v>
      </c>
      <c r="AY387" s="81">
        <f>tbl_Data[[#This Row],[Avoided Costs ($/unit)]]/tbl_Data[[#This Row],[kWh Savings]]*tbl_Data[[#This Row],[Sum of Annuals]]</f>
        <v>518098.56554053153</v>
      </c>
      <c r="AZ387" s="81">
        <f>tbl_Data[[#This Row],[Lost Revenue ($/unit)]]/tbl_Data[[#This Row],[kWh Savings]]*tbl_Data[[#This Row],[Sum of Annuals]]</f>
        <v>1144885.3689825824</v>
      </c>
      <c r="BA387" s="81">
        <f>tbl_Data[[#This Row],[Incremental Cost ($/unit)]]/tbl_Data[[#This Row],[kWh Savings]]*tbl_Data[[#This Row],[Sum of Annuals]]</f>
        <v>400560.29049492098</v>
      </c>
      <c r="BB387" s="77">
        <f>ROUNDUP(tbl_Data[[#This Row],[Adjusted 2025]]/$L387,0)</f>
        <v>7</v>
      </c>
      <c r="BC387" s="77">
        <f>ROUNDUP(tbl_Data[[#This Row],[Adjusted 2026]]/$L387,0)</f>
        <v>7</v>
      </c>
      <c r="BD387" s="77">
        <f>ROUNDUP(tbl_Data[[#This Row],[Adjusted 2027]]/$L387,0)</f>
        <v>8</v>
      </c>
      <c r="BE387" s="77">
        <f>ROUNDUP(tbl_Data[[#This Row],[Adjusted 2028]]/$L387,0)</f>
        <v>8</v>
      </c>
      <c r="BF387" s="77">
        <f>ROUNDUP(tbl_Data[[#This Row],[Adjusted 2029]]/$L387,0)</f>
        <v>9</v>
      </c>
      <c r="BG387" s="77">
        <f>ROUNDUP(tbl_Data[[#This Row],[Adjusted 2030]]/$L387,0)</f>
        <v>9</v>
      </c>
      <c r="BH387" s="77">
        <f>ROUNDUP(tbl_Data[[#This Row],[Adjusted 2031]]/$L387,0)</f>
        <v>10</v>
      </c>
      <c r="BI387" s="77">
        <f>ROUNDUP(tbl_Data[[#This Row],[Adjusted 2032]]/$L387,0)</f>
        <v>10</v>
      </c>
      <c r="BJ387" s="77">
        <f>ROUNDUP(tbl_Data[[#This Row],[Adjusted 2033]]/$L387,0)</f>
        <v>11</v>
      </c>
      <c r="BK387" s="77">
        <f>ROUNDUP(tbl_Data[[#This Row],[Adjusted 2034]]/$L387,0)</f>
        <v>11</v>
      </c>
      <c r="BL387" s="80">
        <f t="shared" si="166"/>
        <v>12037.831046527945</v>
      </c>
      <c r="BM387" s="80">
        <f t="shared" si="167"/>
        <v>13433.685535686613</v>
      </c>
      <c r="BN387" s="80">
        <f t="shared" si="168"/>
        <v>14663.424966209772</v>
      </c>
      <c r="BO387" s="80">
        <f t="shared" si="169"/>
        <v>15803.142132432598</v>
      </c>
      <c r="BP387" s="80">
        <f t="shared" si="170"/>
        <v>16845.488221112122</v>
      </c>
      <c r="BQ387" s="80">
        <f t="shared" si="171"/>
        <v>17785.087207317865</v>
      </c>
      <c r="BR387" s="80">
        <f t="shared" si="172"/>
        <v>18633.034644646512</v>
      </c>
      <c r="BS387" s="80">
        <f t="shared" si="173"/>
        <v>19438.1872483117</v>
      </c>
      <c r="BT387" s="80">
        <f t="shared" si="174"/>
        <v>20223.873098645941</v>
      </c>
      <c r="BU387" s="80">
        <f t="shared" si="175"/>
        <v>20966.465601032229</v>
      </c>
      <c r="BV387" s="80">
        <f>IFERROR(VLOOKUP($H387,'1. Set Program Names'!$B$2:$D$15,3,0)*V387,"NA")</f>
        <v>2508.9149841163576</v>
      </c>
      <c r="BW387" s="80">
        <f>IFERROR(VLOOKUP($H387,'1. Set Program Names'!$B$2:$D$15,3,0)*W387,"NA")</f>
        <v>2799.8378447180912</v>
      </c>
      <c r="BX387" s="80">
        <f>IFERROR(VLOOKUP($H387,'1. Set Program Names'!$B$2:$D$15,3,0)*X387,"NA")</f>
        <v>3056.13913951722</v>
      </c>
      <c r="BY387" s="80">
        <f>IFERROR(VLOOKUP($H387,'1. Set Program Names'!$B$2:$D$15,3,0)*Y387,"NA")</f>
        <v>3293.6780669983323</v>
      </c>
      <c r="BZ387" s="80">
        <f>IFERROR(VLOOKUP($H387,'1. Set Program Names'!$B$2:$D$15,3,0)*Z387,"NA")</f>
        <v>3510.9229934651662</v>
      </c>
      <c r="CA387" s="80">
        <f>IFERROR(VLOOKUP($H387,'1. Set Program Names'!$B$2:$D$15,3,0)*AA387,"NA")</f>
        <v>3706.7534521616326</v>
      </c>
      <c r="CB387" s="80">
        <f>IFERROR(VLOOKUP($H387,'1. Set Program Names'!$B$2:$D$15,3,0)*AB387,"NA")</f>
        <v>3883.4819693699314</v>
      </c>
      <c r="CC387" s="80">
        <f>IFERROR(VLOOKUP($H387,'1. Set Program Names'!$B$2:$D$15,3,0)*AC387,"NA")</f>
        <v>4051.2912220524181</v>
      </c>
      <c r="CD387" s="80">
        <f>IFERROR(VLOOKUP($H387,'1. Set Program Names'!$B$2:$D$15,3,0)*AD387,"NA")</f>
        <v>4215.0432297930765</v>
      </c>
      <c r="CE387" s="80">
        <f>IFERROR(VLOOKUP($H387,'1. Set Program Names'!$B$2:$D$15,3,0)*AE387,"NA")</f>
        <v>4369.8137569028413</v>
      </c>
    </row>
    <row r="388" spans="1:83" x14ac:dyDescent="0.25">
      <c r="A388" s="79" t="s">
        <v>87</v>
      </c>
      <c r="B388" s="79" t="s">
        <v>88</v>
      </c>
      <c r="C388" s="79" t="s">
        <v>122</v>
      </c>
      <c r="D388" s="79" t="s">
        <v>90</v>
      </c>
      <c r="E388" s="79" t="s">
        <v>91</v>
      </c>
      <c r="F388" s="79" t="s">
        <v>90</v>
      </c>
      <c r="G388" s="79" t="s">
        <v>92</v>
      </c>
      <c r="H388" s="79" t="s">
        <v>18</v>
      </c>
      <c r="I388" s="79" t="s">
        <v>170</v>
      </c>
      <c r="J388" s="79" t="s">
        <v>144</v>
      </c>
      <c r="K388" s="79" t="s">
        <v>171</v>
      </c>
      <c r="L388" s="79">
        <v>5592.79</v>
      </c>
      <c r="M388" s="79">
        <v>0.87755365852981304</v>
      </c>
      <c r="N388" s="79">
        <v>1.3078150987013399</v>
      </c>
      <c r="O388" s="79">
        <v>2274</v>
      </c>
      <c r="P388" s="79">
        <v>1123.5242193223601</v>
      </c>
      <c r="Q388" s="79">
        <v>177.00171503367099</v>
      </c>
      <c r="R388" s="79">
        <v>3205.1805113222799</v>
      </c>
      <c r="S388" s="79">
        <v>7177.7771935445198</v>
      </c>
      <c r="T388" s="79">
        <v>20</v>
      </c>
      <c r="U388" s="79">
        <v>1</v>
      </c>
      <c r="V388" s="79">
        <f>tbl_Data_old[[#This Row],[2025 ]]*IFERROR(AVERAGEIFS('Participation Adjustment'!$C:$C,'Participation Adjustment'!$A:$A,$H388,'Participation Adjustment'!$B:$B,$I388),1)</f>
        <v>1601.16012615676</v>
      </c>
      <c r="W388" s="79">
        <f>tbl_Data_old[[#This Row],[2026 ]]*IFERROR(AVERAGEIFS('Participation Adjustment'!$C:$C,'Participation Adjustment'!$A:$A,$H388,'Participation Adjustment'!$B:$B,$I388),1)</f>
        <v>2060.4241629355201</v>
      </c>
      <c r="X388" s="79">
        <f>tbl_Data_old[[#This Row],[2027 ]]*IFERROR(AVERAGEIFS('Participation Adjustment'!$C:$C,'Participation Adjustment'!$A:$A,$H388,'Participation Adjustment'!$B:$B,$I388),1)</f>
        <v>2588.30153383687</v>
      </c>
      <c r="Y388" s="79">
        <f>tbl_Data_old[[#This Row],[2028 ]]*IFERROR(AVERAGEIFS('Participation Adjustment'!$C:$C,'Participation Adjustment'!$A:$A,$H388,'Participation Adjustment'!$B:$B,$I388),1)</f>
        <v>3182.01068164043</v>
      </c>
      <c r="Z388" s="79">
        <f>tbl_Data_old[[#This Row],[2029 ]]*IFERROR(AVERAGEIFS('Participation Adjustment'!$C:$C,'Participation Adjustment'!$A:$A,$H388,'Participation Adjustment'!$B:$B,$I388),1)</f>
        <v>3809.57266246577</v>
      </c>
      <c r="AA388" s="79">
        <f>tbl_Data_old[[#This Row],[2030 ]]*IFERROR(AVERAGEIFS('Participation Adjustment'!$C:$C,'Participation Adjustment'!$A:$A,$H388,'Participation Adjustment'!$B:$B,$I388),1)</f>
        <v>4417.1874785280597</v>
      </c>
      <c r="AB388" s="79">
        <f>tbl_Data_old[[#This Row],[2031 ]]*IFERROR(AVERAGEIFS('Participation Adjustment'!$C:$C,'Participation Adjustment'!$A:$A,$H388,'Participation Adjustment'!$B:$B,$I388),1)</f>
        <v>4940.5232068426503</v>
      </c>
      <c r="AC388" s="79">
        <f>tbl_Data_old[[#This Row],[2032 ]]*IFERROR(AVERAGEIFS('Participation Adjustment'!$C:$C,'Participation Adjustment'!$A:$A,$H388,'Participation Adjustment'!$B:$B,$I388),1)</f>
        <v>5316.3029563522005</v>
      </c>
      <c r="AD388" s="79">
        <f>tbl_Data_old[[#This Row],[2033 ]]*IFERROR(AVERAGEIFS('Participation Adjustment'!$C:$C,'Participation Adjustment'!$A:$A,$H388,'Participation Adjustment'!$B:$B,$I388),1)</f>
        <v>5478.7283947257201</v>
      </c>
      <c r="AE388" s="79">
        <f>tbl_Data_old[[#This Row],[2034 ]]*IFERROR(AVERAGEIFS('Participation Adjustment'!$C:$C,'Participation Adjustment'!$A:$A,$H388,'Participation Adjustment'!$B:$B,$I388),1)</f>
        <v>5380.9170799649701</v>
      </c>
      <c r="AF388" s="77" t="str">
        <f t="shared" si="165"/>
        <v>NonResidential</v>
      </c>
      <c r="AG388" s="77" t="str">
        <f>tbl_Data[[#This Row],[All_Meas_Name_Append]]</f>
        <v>Demand Controlled Circulating Systems</v>
      </c>
      <c r="AH388" s="77">
        <f>AVERAGEIFS('3. Incentive Adjustment'!G:G,'3. Incentive Adjustment'!A:A,tbl_Data[[#This Row],[Trimmed Sector]],'3. Incentive Adjustment'!B:B,tbl_Data[[#This Row],[Trimmed Measure Name]])</f>
        <v>0.82519266246945677</v>
      </c>
      <c r="AI388" s="77">
        <f>$AH388*tbl_Data[[#This Row],[2025 ]]</f>
        <v>1321.2655875432281</v>
      </c>
      <c r="AJ388" s="77">
        <f>$AH388*tbl_Data[[#This Row],[2026 ]]</f>
        <v>1700.2469008291637</v>
      </c>
      <c r="AK388" s="77">
        <f>$AH388*tbl_Data[[#This Row],[2027 ]]</f>
        <v>2135.8474339806257</v>
      </c>
      <c r="AL388" s="77">
        <f>$AH388*tbl_Data[[#This Row],[2028 ]]</f>
        <v>2625.7718663891173</v>
      </c>
      <c r="AM388" s="77">
        <f>$AH388*tbl_Data[[#This Row],[2029 ]]</f>
        <v>3143.6314082109861</v>
      </c>
      <c r="AN388" s="77">
        <f>$AH388*tbl_Data[[#This Row],[2030 ]]</f>
        <v>3645.030696033316</v>
      </c>
      <c r="AO388" s="77">
        <f>$AH388*tbl_Data[[#This Row],[2031 ]]</f>
        <v>4076.8834990466253</v>
      </c>
      <c r="AP388" s="77">
        <f>$AH388*tbl_Data[[#This Row],[2032 ]]</f>
        <v>4386.9741910465164</v>
      </c>
      <c r="AQ388" s="77">
        <f>$AH388*tbl_Data[[#This Row],[2033 ]]</f>
        <v>4521.0064709907301</v>
      </c>
      <c r="AR388" s="77">
        <f>$AH388*tbl_Data[[#This Row],[2034 ]]</f>
        <v>4440.2932917436683</v>
      </c>
      <c r="AS388" s="77">
        <f>SUM(tbl_Data[[#This Row],[Adjusted 2025]:[Adjusted 2034]])</f>
        <v>31996.951345813977</v>
      </c>
      <c r="AT388" s="80">
        <f>AVERAGEIFS('3. Incentive Adjustment'!F:F,'3. Incentive Adjustment'!A:A,tbl_Data[[#This Row],[Trimmed Sector]],'3. Incentive Adjustment'!B:B,tbl_Data[[#This Row],[Trimmed Measure Name]])</f>
        <v>716.2547365811331</v>
      </c>
      <c r="AU388" s="80">
        <f>IFERROR(VLOOKUP(tbl_Data[[#This Row],[All_Meas_Name_Append]],'IRA Tax Credits'!$A$3:$D$46,4,0),0)</f>
        <v>0</v>
      </c>
      <c r="AV388" s="81">
        <f>tbl_Data[[#This Row],[Adj. per unit Incentive ($)]]/tbl_Data[[#This Row],[kWh Savings]]*tbl_Data[[#This Row],[Sum of Annuals]]</f>
        <v>4097.7701572194419</v>
      </c>
      <c r="AW388" s="81">
        <f>IFERROR(VLOOKUP(tbl_Data[[#This Row],[Column1]],'1. Set Program Names'!$B$2:$D$15,3,0)*tbl_Data[[#This Row],[Sum of Annuals]],"")</f>
        <v>1012.6457928972841</v>
      </c>
      <c r="AX388" s="81">
        <f>tbl_Data[[#This Row],[per unit IRA tax ($)]]/tbl_Data[[#This Row],[kWh Savings]]*tbl_Data[[#This Row],[Sum of Annuals]]</f>
        <v>0</v>
      </c>
      <c r="AY388" s="81">
        <f>tbl_Data[[#This Row],[Avoided Costs ($/unit)]]/tbl_Data[[#This Row],[kWh Savings]]*tbl_Data[[#This Row],[Sum of Annuals]]</f>
        <v>18337.181420244666</v>
      </c>
      <c r="AZ388" s="81">
        <f>tbl_Data[[#This Row],[Lost Revenue ($/unit)]]/tbl_Data[[#This Row],[kWh Savings]]*tbl_Data[[#This Row],[Sum of Annuals]]</f>
        <v>41064.833049861911</v>
      </c>
      <c r="BA388" s="81">
        <f>tbl_Data[[#This Row],[Incremental Cost ($/unit)]]/tbl_Data[[#This Row],[kWh Savings]]*tbl_Data[[#This Row],[Sum of Annuals]]</f>
        <v>13009.797857666921</v>
      </c>
      <c r="BB388" s="77">
        <f>ROUNDUP(tbl_Data[[#This Row],[Adjusted 2025]]/$L388,0)</f>
        <v>1</v>
      </c>
      <c r="BC388" s="77">
        <f>ROUNDUP(tbl_Data[[#This Row],[Adjusted 2026]]/$L388,0)</f>
        <v>1</v>
      </c>
      <c r="BD388" s="77">
        <f>ROUNDUP(tbl_Data[[#This Row],[Adjusted 2027]]/$L388,0)</f>
        <v>1</v>
      </c>
      <c r="BE388" s="77">
        <f>ROUNDUP(tbl_Data[[#This Row],[Adjusted 2028]]/$L388,0)</f>
        <v>1</v>
      </c>
      <c r="BF388" s="77">
        <f>ROUNDUP(tbl_Data[[#This Row],[Adjusted 2029]]/$L388,0)</f>
        <v>1</v>
      </c>
      <c r="BG388" s="77">
        <f>ROUNDUP(tbl_Data[[#This Row],[Adjusted 2030]]/$L388,0)</f>
        <v>1</v>
      </c>
      <c r="BH388" s="77">
        <f>ROUNDUP(tbl_Data[[#This Row],[Adjusted 2031]]/$L388,0)</f>
        <v>1</v>
      </c>
      <c r="BI388" s="77">
        <f>ROUNDUP(tbl_Data[[#This Row],[Adjusted 2032]]/$L388,0)</f>
        <v>1</v>
      </c>
      <c r="BJ388" s="77">
        <f>ROUNDUP(tbl_Data[[#This Row],[Adjusted 2033]]/$L388,0)</f>
        <v>1</v>
      </c>
      <c r="BK388" s="77">
        <f>ROUNDUP(tbl_Data[[#This Row],[Adjusted 2034]]/$L388,0)</f>
        <v>1</v>
      </c>
      <c r="BL388" s="80">
        <f t="shared" si="166"/>
        <v>205.05660401778434</v>
      </c>
      <c r="BM388" s="80">
        <f t="shared" si="167"/>
        <v>263.87340952704869</v>
      </c>
      <c r="BN388" s="80">
        <f t="shared" si="168"/>
        <v>331.47735447082226</v>
      </c>
      <c r="BO388" s="80">
        <f t="shared" si="169"/>
        <v>407.51221171842997</v>
      </c>
      <c r="BP388" s="80">
        <f t="shared" si="170"/>
        <v>487.88251728405788</v>
      </c>
      <c r="BQ388" s="80">
        <f t="shared" si="171"/>
        <v>565.69823895812203</v>
      </c>
      <c r="BR388" s="80">
        <f t="shared" si="172"/>
        <v>632.72054700606634</v>
      </c>
      <c r="BS388" s="80">
        <f t="shared" si="173"/>
        <v>680.84572701416369</v>
      </c>
      <c r="BT388" s="80">
        <f t="shared" si="174"/>
        <v>701.64714984182228</v>
      </c>
      <c r="BU388" s="80">
        <f t="shared" si="175"/>
        <v>689.12069748287161</v>
      </c>
      <c r="BV388" s="80">
        <f>IFERROR(VLOOKUP($H388,'1. Set Program Names'!$B$2:$D$15,3,0)*V388,"NA")</f>
        <v>50.673829765336365</v>
      </c>
      <c r="BW388" s="80">
        <f>IFERROR(VLOOKUP($H388,'1. Set Program Names'!$B$2:$D$15,3,0)*W388,"NA")</f>
        <v>65.2087080931705</v>
      </c>
      <c r="BX388" s="80">
        <f>IFERROR(VLOOKUP($H388,'1. Set Program Names'!$B$2:$D$15,3,0)*X388,"NA")</f>
        <v>81.915074678900382</v>
      </c>
      <c r="BY388" s="80">
        <f>IFERROR(VLOOKUP($H388,'1. Set Program Names'!$B$2:$D$15,3,0)*Y388,"NA")</f>
        <v>100.70489825396925</v>
      </c>
      <c r="BZ388" s="80">
        <f>IFERROR(VLOOKUP($H388,'1. Set Program Names'!$B$2:$D$15,3,0)*Z388,"NA")</f>
        <v>120.56610292927672</v>
      </c>
      <c r="CA388" s="80">
        <f>IFERROR(VLOOKUP($H388,'1. Set Program Names'!$B$2:$D$15,3,0)*AA388,"NA")</f>
        <v>139.79601582121327</v>
      </c>
      <c r="CB388" s="80">
        <f>IFERROR(VLOOKUP($H388,'1. Set Program Names'!$B$2:$D$15,3,0)*AB388,"NA")</f>
        <v>156.35864761144282</v>
      </c>
      <c r="CC388" s="80">
        <f>IFERROR(VLOOKUP($H388,'1. Set Program Names'!$B$2:$D$15,3,0)*AC388,"NA")</f>
        <v>168.25139883902577</v>
      </c>
      <c r="CD388" s="80">
        <f>IFERROR(VLOOKUP($H388,'1. Set Program Names'!$B$2:$D$15,3,0)*AD388,"NA")</f>
        <v>173.39187097497381</v>
      </c>
      <c r="CE388" s="80">
        <f>IFERROR(VLOOKUP($H388,'1. Set Program Names'!$B$2:$D$15,3,0)*AE388,"NA")</f>
        <v>170.29631929819871</v>
      </c>
    </row>
    <row r="389" spans="1:83" x14ac:dyDescent="0.25">
      <c r="A389" s="79" t="s">
        <v>87</v>
      </c>
      <c r="B389" s="79" t="s">
        <v>88</v>
      </c>
      <c r="C389" s="79" t="s">
        <v>122</v>
      </c>
      <c r="D389" s="79" t="s">
        <v>90</v>
      </c>
      <c r="E389" s="79" t="s">
        <v>91</v>
      </c>
      <c r="F389" s="79" t="s">
        <v>90</v>
      </c>
      <c r="G389" s="79" t="s">
        <v>92</v>
      </c>
      <c r="H389" s="79" t="s">
        <v>18</v>
      </c>
      <c r="I389" s="79" t="s">
        <v>172</v>
      </c>
      <c r="J389" s="79" t="s">
        <v>144</v>
      </c>
      <c r="K389" s="79" t="s">
        <v>102</v>
      </c>
      <c r="L389" s="79">
        <v>18085.229999999901</v>
      </c>
      <c r="M389" s="79">
        <v>0.84213537152598805</v>
      </c>
      <c r="N389" s="79">
        <v>1.2419142635526399</v>
      </c>
      <c r="O389" s="79">
        <v>5343.87</v>
      </c>
      <c r="P389" s="79">
        <v>2505.3610009054501</v>
      </c>
      <c r="Q389" s="79">
        <v>572.36490674214201</v>
      </c>
      <c r="R389" s="79">
        <v>7297.3054636159204</v>
      </c>
      <c r="S389" s="79">
        <v>27879.9715993795</v>
      </c>
      <c r="T389" s="79">
        <v>30</v>
      </c>
      <c r="U389" s="79">
        <v>1</v>
      </c>
      <c r="V389" s="79">
        <f>tbl_Data_old[[#This Row],[2025 ]]*IFERROR(AVERAGEIFS('Participation Adjustment'!$C:$C,'Participation Adjustment'!$A:$A,$H389,'Participation Adjustment'!$B:$B,$I389),1)</f>
        <v>33528.579471105601</v>
      </c>
      <c r="W389" s="79">
        <f>tbl_Data_old[[#This Row],[2026 ]]*IFERROR(AVERAGEIFS('Participation Adjustment'!$C:$C,'Participation Adjustment'!$A:$A,$H389,'Participation Adjustment'!$B:$B,$I389),1)</f>
        <v>46170.287003845799</v>
      </c>
      <c r="X389" s="79">
        <f>tbl_Data_old[[#This Row],[2027 ]]*IFERROR(AVERAGEIFS('Participation Adjustment'!$C:$C,'Participation Adjustment'!$A:$A,$H389,'Participation Adjustment'!$B:$B,$I389),1)</f>
        <v>61635.351942693502</v>
      </c>
      <c r="Y389" s="79">
        <f>tbl_Data_old[[#This Row],[2028 ]]*IFERROR(AVERAGEIFS('Participation Adjustment'!$C:$C,'Participation Adjustment'!$A:$A,$H389,'Participation Adjustment'!$B:$B,$I389),1)</f>
        <v>79804.021537628403</v>
      </c>
      <c r="Z389" s="79">
        <f>tbl_Data_old[[#This Row],[2029 ]]*IFERROR(AVERAGEIFS('Participation Adjustment'!$C:$C,'Participation Adjustment'!$A:$A,$H389,'Participation Adjustment'!$B:$B,$I389),1)</f>
        <v>99240.601910004101</v>
      </c>
      <c r="AA389" s="79">
        <f>tbl_Data_old[[#This Row],[2030 ]]*IFERROR(AVERAGEIFS('Participation Adjustment'!$C:$C,'Participation Adjustment'!$A:$A,$H389,'Participation Adjustment'!$B:$B,$I389),1)</f>
        <v>116838.79013199</v>
      </c>
      <c r="AB389" s="79">
        <f>tbl_Data_old[[#This Row],[2031 ]]*IFERROR(AVERAGEIFS('Participation Adjustment'!$C:$C,'Participation Adjustment'!$A:$A,$H389,'Participation Adjustment'!$B:$B,$I389),1)</f>
        <v>128616.539471011</v>
      </c>
      <c r="AC389" s="79">
        <f>tbl_Data_old[[#This Row],[2032 ]]*IFERROR(AVERAGEIFS('Participation Adjustment'!$C:$C,'Participation Adjustment'!$A:$A,$H389,'Participation Adjustment'!$B:$B,$I389),1)</f>
        <v>130732.75490289299</v>
      </c>
      <c r="AD389" s="79">
        <f>tbl_Data_old[[#This Row],[2033 ]]*IFERROR(AVERAGEIFS('Participation Adjustment'!$C:$C,'Participation Adjustment'!$A:$A,$H389,'Participation Adjustment'!$B:$B,$I389),1)</f>
        <v>121140.455966037</v>
      </c>
      <c r="AE389" s="79">
        <f>tbl_Data_old[[#This Row],[2034 ]]*IFERROR(AVERAGEIFS('Participation Adjustment'!$C:$C,'Participation Adjustment'!$A:$A,$H389,'Participation Adjustment'!$B:$B,$I389),1)</f>
        <v>101804.95459312299</v>
      </c>
      <c r="AF389" s="77" t="str">
        <f t="shared" si="165"/>
        <v>NonResidential</v>
      </c>
      <c r="AG389" s="77" t="str">
        <f>tbl_Data[[#This Row],[All_Meas_Name_Append]]</f>
        <v>Drain water heat recovery</v>
      </c>
      <c r="AH389" s="77">
        <f>AVERAGEIFS('3. Incentive Adjustment'!G:G,'3. Incentive Adjustment'!A:A,tbl_Data[[#This Row],[Trimmed Sector]],'3. Incentive Adjustment'!B:B,tbl_Data[[#This Row],[Trimmed Measure Name]])</f>
        <v>0.69383814414313949</v>
      </c>
      <c r="AI389" s="77">
        <f>$AH389*tbl_Data[[#This Row],[2025 ]]</f>
        <v>23263.407355987674</v>
      </c>
      <c r="AJ389" s="77">
        <f>$AH389*tbl_Data[[#This Row],[2026 ]]</f>
        <v>32034.70624930448</v>
      </c>
      <c r="AK389" s="77">
        <f>$AH389*tbl_Data[[#This Row],[2027 ]]</f>
        <v>42764.958205527706</v>
      </c>
      <c r="AL389" s="77">
        <f>$AH389*tbl_Data[[#This Row],[2028 ]]</f>
        <v>55371.074198827228</v>
      </c>
      <c r="AM389" s="77">
        <f>$AH389*tbl_Data[[#This Row],[2029 ]]</f>
        <v>68856.91505288535</v>
      </c>
      <c r="AN389" s="77">
        <f>$AH389*tbl_Data[[#This Row],[2030 ]]</f>
        <v>81067.209309109705</v>
      </c>
      <c r="AO389" s="77">
        <f>$AH389*tbl_Data[[#This Row],[2031 ]]</f>
        <v>89239.061052679113</v>
      </c>
      <c r="AP389" s="77">
        <f>$AH389*tbl_Data[[#This Row],[2032 ]]</f>
        <v>90707.372040543196</v>
      </c>
      <c r="AQ389" s="77">
        <f>$AH389*tbl_Data[[#This Row],[2033 ]]</f>
        <v>84051.869148128826</v>
      </c>
      <c r="AR389" s="77">
        <f>$AH389*tbl_Data[[#This Row],[2034 ]]</f>
        <v>70636.160759469043</v>
      </c>
      <c r="AS389" s="77">
        <f>SUM(tbl_Data[[#This Row],[Adjusted 2025]:[Adjusted 2034]])</f>
        <v>637992.73337246233</v>
      </c>
      <c r="AT389" s="80">
        <f>AVERAGEIFS('3. Incentive Adjustment'!F:F,'3. Incentive Adjustment'!A:A,tbl_Data[[#This Row],[Trimmed Sector]],'3. Incentive Adjustment'!B:B,tbl_Data[[#This Row],[Trimmed Measure Name]])</f>
        <v>0</v>
      </c>
      <c r="AU389" s="80">
        <f>IFERROR(VLOOKUP(tbl_Data[[#This Row],[All_Meas_Name_Append]],'IRA Tax Credits'!$A$3:$D$46,4,0),0)</f>
        <v>0</v>
      </c>
      <c r="AV389" s="81">
        <f>tbl_Data[[#This Row],[Adj. per unit Incentive ($)]]/tbl_Data[[#This Row],[kWh Savings]]*tbl_Data[[#This Row],[Sum of Annuals]]</f>
        <v>0</v>
      </c>
      <c r="AW389" s="81">
        <f>IFERROR(VLOOKUP(tbl_Data[[#This Row],[Column1]],'1. Set Program Names'!$B$2:$D$15,3,0)*tbl_Data[[#This Row],[Sum of Annuals]],"")</f>
        <v>20191.319178074882</v>
      </c>
      <c r="AX389" s="81">
        <f>tbl_Data[[#This Row],[per unit IRA tax ($)]]/tbl_Data[[#This Row],[kWh Savings]]*tbl_Data[[#This Row],[Sum of Annuals]]</f>
        <v>0</v>
      </c>
      <c r="AY389" s="81">
        <f>tbl_Data[[#This Row],[Avoided Costs ($/unit)]]/tbl_Data[[#This Row],[kWh Savings]]*tbl_Data[[#This Row],[Sum of Annuals]]</f>
        <v>257427.07496593351</v>
      </c>
      <c r="AZ389" s="81">
        <f>tbl_Data[[#This Row],[Lost Revenue ($/unit)]]/tbl_Data[[#This Row],[kWh Savings]]*tbl_Data[[#This Row],[Sum of Annuals]]</f>
        <v>983521.8732100639</v>
      </c>
      <c r="BA389" s="81">
        <f>tbl_Data[[#This Row],[Incremental Cost ($/unit)]]/tbl_Data[[#This Row],[kWh Savings]]*tbl_Data[[#This Row],[Sum of Annuals]]</f>
        <v>188515.72405145629</v>
      </c>
      <c r="BB389" s="77">
        <f>ROUNDUP(tbl_Data[[#This Row],[Adjusted 2025]]/$L389,0)</f>
        <v>2</v>
      </c>
      <c r="BC389" s="77">
        <f>ROUNDUP(tbl_Data[[#This Row],[Adjusted 2026]]/$L389,0)</f>
        <v>2</v>
      </c>
      <c r="BD389" s="77">
        <f>ROUNDUP(tbl_Data[[#This Row],[Adjusted 2027]]/$L389,0)</f>
        <v>3</v>
      </c>
      <c r="BE389" s="77">
        <f>ROUNDUP(tbl_Data[[#This Row],[Adjusted 2028]]/$L389,0)</f>
        <v>4</v>
      </c>
      <c r="BF389" s="77">
        <f>ROUNDUP(tbl_Data[[#This Row],[Adjusted 2029]]/$L389,0)</f>
        <v>4</v>
      </c>
      <c r="BG389" s="77">
        <f>ROUNDUP(tbl_Data[[#This Row],[Adjusted 2030]]/$L389,0)</f>
        <v>5</v>
      </c>
      <c r="BH389" s="77">
        <f>ROUNDUP(tbl_Data[[#This Row],[Adjusted 2031]]/$L389,0)</f>
        <v>5</v>
      </c>
      <c r="BI389" s="77">
        <f>ROUNDUP(tbl_Data[[#This Row],[Adjusted 2032]]/$L389,0)</f>
        <v>6</v>
      </c>
      <c r="BJ389" s="77">
        <f>ROUNDUP(tbl_Data[[#This Row],[Adjusted 2033]]/$L389,0)</f>
        <v>5</v>
      </c>
      <c r="BK389" s="77">
        <f>ROUNDUP(tbl_Data[[#This Row],[Adjusted 2034]]/$L389,0)</f>
        <v>4</v>
      </c>
      <c r="BL389" s="80">
        <f t="shared" si="166"/>
        <v>0</v>
      </c>
      <c r="BM389" s="80">
        <f t="shared" si="167"/>
        <v>0</v>
      </c>
      <c r="BN389" s="80">
        <f t="shared" si="168"/>
        <v>0</v>
      </c>
      <c r="BO389" s="80">
        <f t="shared" si="169"/>
        <v>0</v>
      </c>
      <c r="BP389" s="80">
        <f t="shared" si="170"/>
        <v>0</v>
      </c>
      <c r="BQ389" s="80">
        <f t="shared" si="171"/>
        <v>0</v>
      </c>
      <c r="BR389" s="80">
        <f t="shared" si="172"/>
        <v>0</v>
      </c>
      <c r="BS389" s="80">
        <f t="shared" si="173"/>
        <v>0</v>
      </c>
      <c r="BT389" s="80">
        <f t="shared" si="174"/>
        <v>0</v>
      </c>
      <c r="BU389" s="80">
        <f t="shared" si="175"/>
        <v>0</v>
      </c>
      <c r="BV389" s="80">
        <f>IFERROR(VLOOKUP($H389,'1. Set Program Names'!$B$2:$D$15,3,0)*V389,"NA")</f>
        <v>1061.1190602594456</v>
      </c>
      <c r="BW389" s="80">
        <f>IFERROR(VLOOKUP($H389,'1. Set Program Names'!$B$2:$D$15,3,0)*W389,"NA")</f>
        <v>1461.2063001252538</v>
      </c>
      <c r="BX389" s="80">
        <f>IFERROR(VLOOKUP($H389,'1. Set Program Names'!$B$2:$D$15,3,0)*X389,"NA")</f>
        <v>1950.6477090254875</v>
      </c>
      <c r="BY389" s="80">
        <f>IFERROR(VLOOKUP($H389,'1. Set Program Names'!$B$2:$D$15,3,0)*Y389,"NA")</f>
        <v>2525.6533284361199</v>
      </c>
      <c r="BZ389" s="80">
        <f>IFERROR(VLOOKUP($H389,'1. Set Program Names'!$B$2:$D$15,3,0)*Z389,"NA")</f>
        <v>3140.7860368518277</v>
      </c>
      <c r="CA389" s="80">
        <f>IFERROR(VLOOKUP($H389,'1. Set Program Names'!$B$2:$D$15,3,0)*AA389,"NA")</f>
        <v>3697.7369498624812</v>
      </c>
      <c r="CB389" s="80">
        <f>IFERROR(VLOOKUP($H389,'1. Set Program Names'!$B$2:$D$15,3,0)*AB389,"NA")</f>
        <v>4070.481471334484</v>
      </c>
      <c r="CC389" s="80">
        <f>IFERROR(VLOOKUP($H389,'1. Set Program Names'!$B$2:$D$15,3,0)*AC389,"NA")</f>
        <v>4137.4558724516064</v>
      </c>
      <c r="CD389" s="80">
        <f>IFERROR(VLOOKUP($H389,'1. Set Program Names'!$B$2:$D$15,3,0)*AD389,"NA")</f>
        <v>3833.8769140177715</v>
      </c>
      <c r="CE389" s="80">
        <f>IFERROR(VLOOKUP($H389,'1. Set Program Names'!$B$2:$D$15,3,0)*AE389,"NA")</f>
        <v>3221.943173605262</v>
      </c>
    </row>
    <row r="390" spans="1:83" x14ac:dyDescent="0.25">
      <c r="A390" s="79" t="s">
        <v>87</v>
      </c>
      <c r="B390" s="79" t="s">
        <v>88</v>
      </c>
      <c r="C390" s="79" t="s">
        <v>122</v>
      </c>
      <c r="D390" s="79" t="s">
        <v>90</v>
      </c>
      <c r="E390" s="79" t="s">
        <v>91</v>
      </c>
      <c r="F390" s="79" t="s">
        <v>90</v>
      </c>
      <c r="G390" s="79" t="s">
        <v>92</v>
      </c>
      <c r="H390" s="79" t="s">
        <v>18</v>
      </c>
      <c r="I390" s="79" t="s">
        <v>133</v>
      </c>
      <c r="J390" s="79" t="s">
        <v>134</v>
      </c>
      <c r="K390" s="79" t="s">
        <v>98</v>
      </c>
      <c r="L390" s="79">
        <v>4486</v>
      </c>
      <c r="M390" s="79">
        <v>0.89185722946849999</v>
      </c>
      <c r="N390" s="79">
        <v>0.84310494165890204</v>
      </c>
      <c r="O390" s="79">
        <v>2050</v>
      </c>
      <c r="P390" s="79">
        <v>1127.1986160539</v>
      </c>
      <c r="Q390" s="79">
        <v>141.97380799941499</v>
      </c>
      <c r="R390" s="79">
        <v>2297.8137992477</v>
      </c>
      <c r="S390" s="79">
        <v>5757.3247860621796</v>
      </c>
      <c r="T390" s="79">
        <v>20</v>
      </c>
      <c r="U390" s="79">
        <v>1</v>
      </c>
      <c r="V390" s="79">
        <f>tbl_Data_old[[#This Row],[2025 ]]*IFERROR(AVERAGEIFS('Participation Adjustment'!$C:$C,'Participation Adjustment'!$A:$A,$H390,'Participation Adjustment'!$B:$B,$I390),1)</f>
        <v>50633.576019914697</v>
      </c>
      <c r="W390" s="79">
        <f>tbl_Data_old[[#This Row],[2026 ]]*IFERROR(AVERAGEIFS('Participation Adjustment'!$C:$C,'Participation Adjustment'!$A:$A,$H390,'Participation Adjustment'!$B:$B,$I390),1)</f>
        <v>65479.076181668999</v>
      </c>
      <c r="X390" s="79">
        <f>tbl_Data_old[[#This Row],[2027 ]]*IFERROR(AVERAGEIFS('Participation Adjustment'!$C:$C,'Participation Adjustment'!$A:$A,$H390,'Participation Adjustment'!$B:$B,$I390),1)</f>
        <v>82830.211332240404</v>
      </c>
      <c r="Y390" s="79">
        <f>tbl_Data_old[[#This Row],[2028 ]]*IFERROR(AVERAGEIFS('Participation Adjustment'!$C:$C,'Participation Adjustment'!$A:$A,$H390,'Participation Adjustment'!$B:$B,$I390),1)</f>
        <v>102747.517184193</v>
      </c>
      <c r="Z390" s="79">
        <f>tbl_Data_old[[#This Row],[2029 ]]*IFERROR(AVERAGEIFS('Participation Adjustment'!$C:$C,'Participation Adjustment'!$A:$A,$H390,'Participation Adjustment'!$B:$B,$I390),1)</f>
        <v>124360.999863793</v>
      </c>
      <c r="AA390" s="79">
        <f>tbl_Data_old[[#This Row],[2030 ]]*IFERROR(AVERAGEIFS('Participation Adjustment'!$C:$C,'Participation Adjustment'!$A:$A,$H390,'Participation Adjustment'!$B:$B,$I390),1)</f>
        <v>146061.41095404499</v>
      </c>
      <c r="AB390" s="79">
        <f>tbl_Data_old[[#This Row],[2031 ]]*IFERROR(AVERAGEIFS('Participation Adjustment'!$C:$C,'Participation Adjustment'!$A:$A,$H390,'Participation Adjustment'!$B:$B,$I390),1)</f>
        <v>165773.93234276099</v>
      </c>
      <c r="AC390" s="79">
        <f>tbl_Data_old[[#This Row],[2032 ]]*IFERROR(AVERAGEIFS('Participation Adjustment'!$C:$C,'Participation Adjustment'!$A:$A,$H390,'Participation Adjustment'!$B:$B,$I390),1)</f>
        <v>181292.57552994799</v>
      </c>
      <c r="AD390" s="79">
        <f>tbl_Data_old[[#This Row],[2033 ]]*IFERROR(AVERAGEIFS('Participation Adjustment'!$C:$C,'Participation Adjustment'!$A:$A,$H390,'Participation Adjustment'!$B:$B,$I390),1)</f>
        <v>190123.01222254001</v>
      </c>
      <c r="AE390" s="79">
        <f>tbl_Data_old[[#This Row],[2034 ]]*IFERROR(AVERAGEIFS('Participation Adjustment'!$C:$C,'Participation Adjustment'!$A:$A,$H390,'Participation Adjustment'!$B:$B,$I390),1)</f>
        <v>190199.333883841</v>
      </c>
      <c r="AF390" s="77" t="str">
        <f t="shared" si="165"/>
        <v>NonResidential</v>
      </c>
      <c r="AG390" s="77" t="str">
        <f>tbl_Data[[#This Row],[All_Meas_Name_Append]]</f>
        <v>Efficient Exhaust Hood</v>
      </c>
      <c r="AH390" s="77">
        <f>AVERAGEIFS('3. Incentive Adjustment'!G:G,'3. Incentive Adjustment'!A:A,tbl_Data[[#This Row],[Trimmed Sector]],'3. Incentive Adjustment'!B:B,tbl_Data[[#This Row],[Trimmed Measure Name]])</f>
        <v>0.51531219842413434</v>
      </c>
      <c r="AI390" s="77">
        <f>$AH390*tbl_Data[[#This Row],[2025 ]]</f>
        <v>26092.099372897774</v>
      </c>
      <c r="AJ390" s="77">
        <f>$AH390*tbl_Data[[#This Row],[2026 ]]</f>
        <v>33742.166697957226</v>
      </c>
      <c r="AK390" s="77">
        <f>$AH390*tbl_Data[[#This Row],[2027 ]]</f>
        <v>42683.418297552445</v>
      </c>
      <c r="AL390" s="77">
        <f>$AH390*tbl_Data[[#This Row],[2028 ]]</f>
        <v>52947.048962808018</v>
      </c>
      <c r="AM390" s="77">
        <f>$AH390*tbl_Data[[#This Row],[2029 ]]</f>
        <v>64084.740238034639</v>
      </c>
      <c r="AN390" s="77">
        <f>$AH390*tbl_Data[[#This Row],[2030 ]]</f>
        <v>75267.226783659862</v>
      </c>
      <c r="AO390" s="77">
        <f>$AH390*tbl_Data[[#This Row],[2031 ]]</f>
        <v>85425.32951696188</v>
      </c>
      <c r="AP390" s="77">
        <f>$AH390*tbl_Data[[#This Row],[2032 ]]</f>
        <v>93422.275654310928</v>
      </c>
      <c r="AQ390" s="77">
        <f>$AH390*tbl_Data[[#This Row],[2033 ]]</f>
        <v>97972.707399415653</v>
      </c>
      <c r="AR390" s="77">
        <f>$AH390*tbl_Data[[#This Row],[2034 ]]</f>
        <v>98012.036882488057</v>
      </c>
      <c r="AS390" s="77">
        <f>SUM(tbl_Data[[#This Row],[Adjusted 2025]:[Adjusted 2034]])</f>
        <v>669649.04980608646</v>
      </c>
      <c r="AT390" s="80">
        <f>AVERAGEIFS('3. Incentive Adjustment'!F:F,'3. Incentive Adjustment'!A:A,tbl_Data[[#This Row],[Trimmed Sector]],'3. Incentive Adjustment'!B:B,tbl_Data[[#This Row],[Trimmed Measure Name]])</f>
        <v>0</v>
      </c>
      <c r="AU390" s="80">
        <f>IFERROR(VLOOKUP(tbl_Data[[#This Row],[All_Meas_Name_Append]],'IRA Tax Credits'!$A$3:$D$46,4,0),0)</f>
        <v>0</v>
      </c>
      <c r="AV390" s="81">
        <f>tbl_Data[[#This Row],[Adj. per unit Incentive ($)]]/tbl_Data[[#This Row],[kWh Savings]]*tbl_Data[[#This Row],[Sum of Annuals]]</f>
        <v>0</v>
      </c>
      <c r="AW390" s="81">
        <f>IFERROR(VLOOKUP(tbl_Data[[#This Row],[Column1]],'1. Set Program Names'!$B$2:$D$15,3,0)*tbl_Data[[#This Row],[Sum of Annuals]],"")</f>
        <v>21193.18449045029</v>
      </c>
      <c r="AX390" s="81">
        <f>tbl_Data[[#This Row],[per unit IRA tax ($)]]/tbl_Data[[#This Row],[kWh Savings]]*tbl_Data[[#This Row],[Sum of Annuals]]</f>
        <v>0</v>
      </c>
      <c r="AY390" s="81">
        <f>tbl_Data[[#This Row],[Avoided Costs ($/unit)]]/tbl_Data[[#This Row],[kWh Savings]]*tbl_Data[[#This Row],[Sum of Annuals]]</f>
        <v>343006.8718897762</v>
      </c>
      <c r="AZ390" s="81">
        <f>tbl_Data[[#This Row],[Lost Revenue ($/unit)]]/tbl_Data[[#This Row],[kWh Savings]]*tbl_Data[[#This Row],[Sum of Annuals]]</f>
        <v>859426.45394818741</v>
      </c>
      <c r="BA390" s="81">
        <f>tbl_Data[[#This Row],[Incremental Cost ($/unit)]]/tbl_Data[[#This Row],[kWh Savings]]*tbl_Data[[#This Row],[Sum of Annuals]]</f>
        <v>306014.38967955357</v>
      </c>
      <c r="BB390" s="77">
        <f>ROUNDUP(tbl_Data[[#This Row],[Adjusted 2025]]/$L390,0)</f>
        <v>6</v>
      </c>
      <c r="BC390" s="77">
        <f>ROUNDUP(tbl_Data[[#This Row],[Adjusted 2026]]/$L390,0)</f>
        <v>8</v>
      </c>
      <c r="BD390" s="77">
        <f>ROUNDUP(tbl_Data[[#This Row],[Adjusted 2027]]/$L390,0)</f>
        <v>10</v>
      </c>
      <c r="BE390" s="77">
        <f>ROUNDUP(tbl_Data[[#This Row],[Adjusted 2028]]/$L390,0)</f>
        <v>12</v>
      </c>
      <c r="BF390" s="77">
        <f>ROUNDUP(tbl_Data[[#This Row],[Adjusted 2029]]/$L390,0)</f>
        <v>15</v>
      </c>
      <c r="BG390" s="77">
        <f>ROUNDUP(tbl_Data[[#This Row],[Adjusted 2030]]/$L390,0)</f>
        <v>17</v>
      </c>
      <c r="BH390" s="77">
        <f>ROUNDUP(tbl_Data[[#This Row],[Adjusted 2031]]/$L390,0)</f>
        <v>20</v>
      </c>
      <c r="BI390" s="77">
        <f>ROUNDUP(tbl_Data[[#This Row],[Adjusted 2032]]/$L390,0)</f>
        <v>21</v>
      </c>
      <c r="BJ390" s="77">
        <f>ROUNDUP(tbl_Data[[#This Row],[Adjusted 2033]]/$L390,0)</f>
        <v>22</v>
      </c>
      <c r="BK390" s="77">
        <f>ROUNDUP(tbl_Data[[#This Row],[Adjusted 2034]]/$L390,0)</f>
        <v>22</v>
      </c>
      <c r="BL390" s="80">
        <f t="shared" si="166"/>
        <v>0</v>
      </c>
      <c r="BM390" s="80">
        <f t="shared" si="167"/>
        <v>0</v>
      </c>
      <c r="BN390" s="80">
        <f t="shared" si="168"/>
        <v>0</v>
      </c>
      <c r="BO390" s="80">
        <f t="shared" si="169"/>
        <v>0</v>
      </c>
      <c r="BP390" s="80">
        <f t="shared" si="170"/>
        <v>0</v>
      </c>
      <c r="BQ390" s="80">
        <f t="shared" si="171"/>
        <v>0</v>
      </c>
      <c r="BR390" s="80">
        <f t="shared" si="172"/>
        <v>0</v>
      </c>
      <c r="BS390" s="80">
        <f t="shared" si="173"/>
        <v>0</v>
      </c>
      <c r="BT390" s="80">
        <f t="shared" si="174"/>
        <v>0</v>
      </c>
      <c r="BU390" s="80">
        <f t="shared" si="175"/>
        <v>0</v>
      </c>
      <c r="BV390" s="80">
        <f>IFERROR(VLOOKUP($H390,'1. Set Program Names'!$B$2:$D$15,3,0)*V390,"NA")</f>
        <v>1602.4613464501008</v>
      </c>
      <c r="BW390" s="80">
        <f>IFERROR(VLOOKUP($H390,'1. Set Program Names'!$B$2:$D$15,3,0)*W390,"NA")</f>
        <v>2072.2946477475125</v>
      </c>
      <c r="BX390" s="80">
        <f>IFERROR(VLOOKUP($H390,'1. Set Program Names'!$B$2:$D$15,3,0)*X390,"NA")</f>
        <v>2621.4267766906969</v>
      </c>
      <c r="BY390" s="80">
        <f>IFERROR(VLOOKUP($H390,'1. Set Program Names'!$B$2:$D$15,3,0)*Y390,"NA")</f>
        <v>3251.7735793859138</v>
      </c>
      <c r="BZ390" s="80">
        <f>IFERROR(VLOOKUP($H390,'1. Set Program Names'!$B$2:$D$15,3,0)*Z390,"NA")</f>
        <v>3935.8013190542624</v>
      </c>
      <c r="CA390" s="80">
        <f>IFERROR(VLOOKUP($H390,'1. Set Program Names'!$B$2:$D$15,3,0)*AA390,"NA")</f>
        <v>4622.5801861152995</v>
      </c>
      <c r="CB390" s="80">
        <f>IFERROR(VLOOKUP($H390,'1. Set Program Names'!$B$2:$D$15,3,0)*AB390,"NA")</f>
        <v>5246.4459299463133</v>
      </c>
      <c r="CC390" s="80">
        <f>IFERROR(VLOOKUP($H390,'1. Set Program Names'!$B$2:$D$15,3,0)*AC390,"NA")</f>
        <v>5737.5829937602039</v>
      </c>
      <c r="CD390" s="80">
        <f>IFERROR(VLOOKUP($H390,'1. Set Program Names'!$B$2:$D$15,3,0)*AD390,"NA")</f>
        <v>6017.0503864363181</v>
      </c>
      <c r="CE390" s="80">
        <f>IFERROR(VLOOKUP($H390,'1. Set Program Names'!$B$2:$D$15,3,0)*AE390,"NA")</f>
        <v>6019.4658293448656</v>
      </c>
    </row>
    <row r="391" spans="1:83" x14ac:dyDescent="0.25">
      <c r="A391" s="79" t="s">
        <v>87</v>
      </c>
      <c r="B391" s="79" t="s">
        <v>88</v>
      </c>
      <c r="C391" s="79" t="s">
        <v>122</v>
      </c>
      <c r="D391" s="79" t="s">
        <v>90</v>
      </c>
      <c r="E391" s="79" t="s">
        <v>91</v>
      </c>
      <c r="F391" s="79" t="s">
        <v>90</v>
      </c>
      <c r="G391" s="79" t="s">
        <v>92</v>
      </c>
      <c r="H391" s="79" t="s">
        <v>18</v>
      </c>
      <c r="I391" s="79" t="s">
        <v>173</v>
      </c>
      <c r="J391" s="79" t="s">
        <v>129</v>
      </c>
      <c r="K391" s="79" t="s">
        <v>130</v>
      </c>
      <c r="L391" s="79">
        <v>142641.03499999901</v>
      </c>
      <c r="M391" s="79">
        <v>27.8398087391258</v>
      </c>
      <c r="N391" s="79">
        <v>0</v>
      </c>
      <c r="O391" s="79">
        <v>59303.302436563899</v>
      </c>
      <c r="P391" s="79">
        <v>29333.7078862829</v>
      </c>
      <c r="Q391" s="79">
        <v>4514.3314569611503</v>
      </c>
      <c r="R391" s="79">
        <v>66617.989682832806</v>
      </c>
      <c r="S391" s="79">
        <v>154925.29091738301</v>
      </c>
      <c r="T391" s="79">
        <v>15</v>
      </c>
      <c r="U391" s="79">
        <v>1</v>
      </c>
      <c r="V391" s="79">
        <f>tbl_Data_old[[#This Row],[2025 ]]*IFERROR(AVERAGEIFS('Participation Adjustment'!$C:$C,'Participation Adjustment'!$A:$A,$H391,'Participation Adjustment'!$B:$B,$I391),1)</f>
        <v>52.448398681454201</v>
      </c>
      <c r="W391" s="79">
        <f>tbl_Data_old[[#This Row],[2026 ]]*IFERROR(AVERAGEIFS('Participation Adjustment'!$C:$C,'Participation Adjustment'!$A:$A,$H391,'Participation Adjustment'!$B:$B,$I391),1)</f>
        <v>71.002321660013195</v>
      </c>
      <c r="X391" s="79">
        <f>tbl_Data_old[[#This Row],[2027 ]]*IFERROR(AVERAGEIFS('Participation Adjustment'!$C:$C,'Participation Adjustment'!$A:$A,$H391,'Participation Adjustment'!$B:$B,$I391),1)</f>
        <v>93.555715733442995</v>
      </c>
      <c r="Y391" s="79">
        <f>tbl_Data_old[[#This Row],[2028 ]]*IFERROR(AVERAGEIFS('Participation Adjustment'!$C:$C,'Participation Adjustment'!$A:$A,$H391,'Participation Adjustment'!$B:$B,$I391),1)</f>
        <v>119.26564909843501</v>
      </c>
      <c r="Z391" s="79">
        <f>tbl_Data_old[[#This Row],[2029 ]]*IFERROR(AVERAGEIFS('Participation Adjustment'!$C:$C,'Participation Adjustment'!$A:$A,$H391,'Participation Adjustment'!$B:$B,$I391),1)</f>
        <v>145.75406035276799</v>
      </c>
      <c r="AA391" s="79">
        <f>tbl_Data_old[[#This Row],[2030 ]]*IFERROR(AVERAGEIFS('Participation Adjustment'!$C:$C,'Participation Adjustment'!$A:$A,$H391,'Participation Adjustment'!$B:$B,$I391),1)</f>
        <v>170.216328898813</v>
      </c>
      <c r="AB391" s="79">
        <f>tbl_Data_old[[#This Row],[2031 ]]*IFERROR(AVERAGEIFS('Participation Adjustment'!$C:$C,'Participation Adjustment'!$A:$A,$H391,'Participation Adjustment'!$B:$B,$I391),1)</f>
        <v>188.111695445452</v>
      </c>
      <c r="AC391" s="79">
        <f>tbl_Data_old[[#This Row],[2032 ]]*IFERROR(AVERAGEIFS('Participation Adjustment'!$C:$C,'Participation Adjustment'!$A:$A,$H391,'Participation Adjustment'!$B:$B,$I391),1)</f>
        <v>196.07268742863701</v>
      </c>
      <c r="AD391" s="79">
        <f>tbl_Data_old[[#This Row],[2033 ]]*IFERROR(AVERAGEIFS('Participation Adjustment'!$C:$C,'Participation Adjustment'!$A:$A,$H391,'Participation Adjustment'!$B:$B,$I391),1)</f>
        <v>193.19031972681299</v>
      </c>
      <c r="AE391" s="79">
        <f>tbl_Data_old[[#This Row],[2034 ]]*IFERROR(AVERAGEIFS('Participation Adjustment'!$C:$C,'Participation Adjustment'!$A:$A,$H391,'Participation Adjustment'!$B:$B,$I391),1)</f>
        <v>179.83648234294401</v>
      </c>
      <c r="AF391" s="77" t="str">
        <f t="shared" si="165"/>
        <v>NonResidential</v>
      </c>
      <c r="AG391" s="77" t="str">
        <f>tbl_Data[[#This Row],[All_Meas_Name_Append]]</f>
        <v>Facility Energy Management System_SC</v>
      </c>
      <c r="AH391" s="77">
        <f>AVERAGEIFS('3. Incentive Adjustment'!G:G,'3. Incentive Adjustment'!A:A,tbl_Data[[#This Row],[Trimmed Sector]],'3. Incentive Adjustment'!B:B,tbl_Data[[#This Row],[Trimmed Measure Name]])</f>
        <v>0.86797534995247072</v>
      </c>
      <c r="AI391" s="77">
        <f>$AH391*tbl_Data[[#This Row],[2025 ]]</f>
        <v>45.523917199981916</v>
      </c>
      <c r="AJ391" s="77">
        <f>$AH391*tbl_Data[[#This Row],[2026 ]]</f>
        <v>61.628264990287846</v>
      </c>
      <c r="AK391" s="77">
        <f>$AH391*tbl_Data[[#This Row],[2027 ]]</f>
        <v>81.204055103789059</v>
      </c>
      <c r="AL391" s="77">
        <f>$AH391*tbl_Data[[#This Row],[2028 ]]</f>
        <v>103.51964351352269</v>
      </c>
      <c r="AM391" s="77">
        <f>$AH391*tbl_Data[[#This Row],[2029 ]]</f>
        <v>126.51093154168734</v>
      </c>
      <c r="AN391" s="77">
        <f>$AH391*tbl_Data[[#This Row],[2030 ]]</f>
        <v>147.74357764357208</v>
      </c>
      <c r="AO391" s="77">
        <f>$AH391*tbl_Data[[#This Row],[2031 ]]</f>
        <v>163.27631468441879</v>
      </c>
      <c r="AP391" s="77">
        <f>$AH391*tbl_Data[[#This Row],[2032 ]]</f>
        <v>170.18625948699261</v>
      </c>
      <c r="AQ391" s="77">
        <f>$AH391*tbl_Data[[#This Row],[2033 ]]</f>
        <v>167.68443537231022</v>
      </c>
      <c r="AR391" s="77">
        <f>$AH391*tbl_Data[[#This Row],[2034 ]]</f>
        <v>156.09363369583815</v>
      </c>
      <c r="AS391" s="77">
        <f>SUM(tbl_Data[[#This Row],[Adjusted 2025]:[Adjusted 2034]])</f>
        <v>1223.3710332324008</v>
      </c>
      <c r="AT391" s="80">
        <f>AVERAGEIFS('3. Incentive Adjustment'!F:F,'3. Incentive Adjustment'!A:A,tbl_Data[[#This Row],[Trimmed Sector]],'3. Incentive Adjustment'!B:B,tbl_Data[[#This Row],[Trimmed Measure Name]])</f>
        <v>21679.111511953593</v>
      </c>
      <c r="AU391" s="80">
        <f>IFERROR(VLOOKUP(tbl_Data[[#This Row],[All_Meas_Name_Append]],'IRA Tax Credits'!$A$3:$D$46,4,0),0)</f>
        <v>0</v>
      </c>
      <c r="AV391" s="81">
        <f>tbl_Data[[#This Row],[Adj. per unit Incentive ($)]]/tbl_Data[[#This Row],[kWh Savings]]*tbl_Data[[#This Row],[Sum of Annuals]]</f>
        <v>185.93244959235807</v>
      </c>
      <c r="AW391" s="81">
        <f>IFERROR(VLOOKUP(tbl_Data[[#This Row],[Column1]],'1. Set Program Names'!$B$2:$D$15,3,0)*tbl_Data[[#This Row],[Sum of Annuals]],"")</f>
        <v>38.717486443197238</v>
      </c>
      <c r="AX391" s="81">
        <f>tbl_Data[[#This Row],[per unit IRA tax ($)]]/tbl_Data[[#This Row],[kWh Savings]]*tbl_Data[[#This Row],[Sum of Annuals]]</f>
        <v>0</v>
      </c>
      <c r="AY391" s="81">
        <f>tbl_Data[[#This Row],[Avoided Costs ($/unit)]]/tbl_Data[[#This Row],[kWh Savings]]*tbl_Data[[#This Row],[Sum of Annuals]]</f>
        <v>571.35395063666738</v>
      </c>
      <c r="AZ391" s="81">
        <f>tbl_Data[[#This Row],[Lost Revenue ($/unit)]]/tbl_Data[[#This Row],[kWh Savings]]*tbl_Data[[#This Row],[Sum of Annuals]]</f>
        <v>1328.727832235867</v>
      </c>
      <c r="BA391" s="81">
        <f>tbl_Data[[#This Row],[Incremental Cost ($/unit)]]/tbl_Data[[#This Row],[kWh Savings]]*tbl_Data[[#This Row],[Sum of Annuals]]</f>
        <v>508.61901258577683</v>
      </c>
      <c r="BB391" s="77">
        <f>ROUNDUP(tbl_Data[[#This Row],[Adjusted 2025]]/$L391,0)</f>
        <v>1</v>
      </c>
      <c r="BC391" s="77">
        <f>ROUNDUP(tbl_Data[[#This Row],[Adjusted 2026]]/$L391,0)</f>
        <v>1</v>
      </c>
      <c r="BD391" s="77">
        <f>ROUNDUP(tbl_Data[[#This Row],[Adjusted 2027]]/$L391,0)</f>
        <v>1</v>
      </c>
      <c r="BE391" s="77">
        <f>ROUNDUP(tbl_Data[[#This Row],[Adjusted 2028]]/$L391,0)</f>
        <v>1</v>
      </c>
      <c r="BF391" s="77">
        <f>ROUNDUP(tbl_Data[[#This Row],[Adjusted 2029]]/$L391,0)</f>
        <v>1</v>
      </c>
      <c r="BG391" s="77">
        <f>ROUNDUP(tbl_Data[[#This Row],[Adjusted 2030]]/$L391,0)</f>
        <v>1</v>
      </c>
      <c r="BH391" s="77">
        <f>ROUNDUP(tbl_Data[[#This Row],[Adjusted 2031]]/$L391,0)</f>
        <v>1</v>
      </c>
      <c r="BI391" s="77">
        <f>ROUNDUP(tbl_Data[[#This Row],[Adjusted 2032]]/$L391,0)</f>
        <v>1</v>
      </c>
      <c r="BJ391" s="77">
        <f>ROUNDUP(tbl_Data[[#This Row],[Adjusted 2033]]/$L391,0)</f>
        <v>1</v>
      </c>
      <c r="BK391" s="77">
        <f>ROUNDUP(tbl_Data[[#This Row],[Adjusted 2034]]/$L391,0)</f>
        <v>1</v>
      </c>
      <c r="BL391" s="80">
        <f t="shared" si="166"/>
        <v>7.9713014115373824</v>
      </c>
      <c r="BM391" s="80">
        <f t="shared" si="167"/>
        <v>10.791195176584596</v>
      </c>
      <c r="BN391" s="80">
        <f t="shared" si="168"/>
        <v>14.218943335387014</v>
      </c>
      <c r="BO391" s="80">
        <f t="shared" si="169"/>
        <v>18.126433998116443</v>
      </c>
      <c r="BP391" s="80">
        <f t="shared" si="170"/>
        <v>22.152240606692828</v>
      </c>
      <c r="BQ391" s="80">
        <f t="shared" si="171"/>
        <v>25.870106560519289</v>
      </c>
      <c r="BR391" s="80">
        <f t="shared" si="172"/>
        <v>28.589910485889526</v>
      </c>
      <c r="BS391" s="80">
        <f t="shared" si="173"/>
        <v>29.799851460793679</v>
      </c>
      <c r="BT391" s="80">
        <f t="shared" si="174"/>
        <v>29.361778568050738</v>
      </c>
      <c r="BU391" s="80">
        <f t="shared" si="175"/>
        <v>27.332213024324897</v>
      </c>
      <c r="BV391" s="80">
        <f>IFERROR(VLOOKUP($H391,'1. Set Program Names'!$B$2:$D$15,3,0)*V391,"NA")</f>
        <v>1.659897210048495</v>
      </c>
      <c r="BW391" s="80">
        <f>IFERROR(VLOOKUP($H391,'1. Set Program Names'!$B$2:$D$15,3,0)*W391,"NA")</f>
        <v>2.2470954041175695</v>
      </c>
      <c r="BX391" s="80">
        <f>IFERROR(VLOOKUP($H391,'1. Set Program Names'!$B$2:$D$15,3,0)*X391,"NA")</f>
        <v>2.9608696439562379</v>
      </c>
      <c r="BY391" s="80">
        <f>IFERROR(VLOOKUP($H391,'1. Set Program Names'!$B$2:$D$15,3,0)*Y391,"NA")</f>
        <v>3.7745426584990667</v>
      </c>
      <c r="BZ391" s="80">
        <f>IFERROR(VLOOKUP($H391,'1. Set Program Names'!$B$2:$D$15,3,0)*Z391,"NA")</f>
        <v>4.612853093994433</v>
      </c>
      <c r="CA391" s="80">
        <f>IFERROR(VLOOKUP($H391,'1. Set Program Names'!$B$2:$D$15,3,0)*AA391,"NA")</f>
        <v>5.3870397675981607</v>
      </c>
      <c r="CB391" s="80">
        <f>IFERROR(VLOOKUP($H391,'1. Set Program Names'!$B$2:$D$15,3,0)*AB391,"NA")</f>
        <v>5.9533958385236359</v>
      </c>
      <c r="CC391" s="80">
        <f>IFERROR(VLOOKUP($H391,'1. Set Program Names'!$B$2:$D$15,3,0)*AC391,"NA")</f>
        <v>6.2053468744811902</v>
      </c>
      <c r="CD391" s="80">
        <f>IFERROR(VLOOKUP($H391,'1. Set Program Names'!$B$2:$D$15,3,0)*AD391,"NA")</f>
        <v>6.1141251360321309</v>
      </c>
      <c r="CE391" s="80">
        <f>IFERROR(VLOOKUP($H391,'1. Set Program Names'!$B$2:$D$15,3,0)*AE391,"NA")</f>
        <v>5.6915002709423357</v>
      </c>
    </row>
    <row r="392" spans="1:83" x14ac:dyDescent="0.25">
      <c r="A392" s="79" t="s">
        <v>87</v>
      </c>
      <c r="B392" s="79" t="s">
        <v>88</v>
      </c>
      <c r="C392" s="79" t="s">
        <v>122</v>
      </c>
      <c r="D392" s="79" t="s">
        <v>90</v>
      </c>
      <c r="E392" s="79" t="s">
        <v>91</v>
      </c>
      <c r="F392" s="79" t="s">
        <v>90</v>
      </c>
      <c r="G392" s="79" t="s">
        <v>92</v>
      </c>
      <c r="H392" s="79" t="s">
        <v>18</v>
      </c>
      <c r="I392" s="79" t="s">
        <v>174</v>
      </c>
      <c r="J392" s="79" t="s">
        <v>132</v>
      </c>
      <c r="K392" s="79" t="s">
        <v>130</v>
      </c>
      <c r="L392" s="79">
        <v>2657.18</v>
      </c>
      <c r="M392" s="79">
        <v>0</v>
      </c>
      <c r="N392" s="79">
        <v>0.57468805905447795</v>
      </c>
      <c r="O392" s="79">
        <v>1080.72711480357</v>
      </c>
      <c r="P392" s="79">
        <v>534.12671770284101</v>
      </c>
      <c r="Q392" s="79">
        <v>84.094953887624897</v>
      </c>
      <c r="R392" s="79">
        <v>1466.48739383472</v>
      </c>
      <c r="S392" s="79">
        <v>2886.0165275711402</v>
      </c>
      <c r="T392" s="79">
        <v>15</v>
      </c>
      <c r="U392" s="79">
        <v>1</v>
      </c>
      <c r="V392" s="79">
        <f>tbl_Data_old[[#This Row],[2025 ]]*IFERROR(AVERAGEIFS('Participation Adjustment'!$C:$C,'Participation Adjustment'!$A:$A,$H392,'Participation Adjustment'!$B:$B,$I392),1)</f>
        <v>65.223669153549295</v>
      </c>
      <c r="W392" s="79">
        <f>tbl_Data_old[[#This Row],[2026 ]]*IFERROR(AVERAGEIFS('Participation Adjustment'!$C:$C,'Participation Adjustment'!$A:$A,$H392,'Participation Adjustment'!$B:$B,$I392),1)</f>
        <v>87.617079313666494</v>
      </c>
      <c r="X392" s="79">
        <f>tbl_Data_old[[#This Row],[2027 ]]*IFERROR(AVERAGEIFS('Participation Adjustment'!$C:$C,'Participation Adjustment'!$A:$A,$H392,'Participation Adjustment'!$B:$B,$I392),1)</f>
        <v>114.476467110147</v>
      </c>
      <c r="Y392" s="79">
        <f>tbl_Data_old[[#This Row],[2028 ]]*IFERROR(AVERAGEIFS('Participation Adjustment'!$C:$C,'Participation Adjustment'!$A:$A,$H392,'Participation Adjustment'!$B:$B,$I392),1)</f>
        <v>144.59371653522601</v>
      </c>
      <c r="Z392" s="79">
        <f>tbl_Data_old[[#This Row],[2029 ]]*IFERROR(AVERAGEIFS('Participation Adjustment'!$C:$C,'Participation Adjustment'!$A:$A,$H392,'Participation Adjustment'!$B:$B,$I392),1)</f>
        <v>174.961766921048</v>
      </c>
      <c r="AA392" s="79">
        <f>tbl_Data_old[[#This Row],[2030 ]]*IFERROR(AVERAGEIFS('Participation Adjustment'!$C:$C,'Participation Adjustment'!$A:$A,$H392,'Participation Adjustment'!$B:$B,$I392),1)</f>
        <v>202.17666127736899</v>
      </c>
      <c r="AB392" s="79">
        <f>tbl_Data_old[[#This Row],[2031 ]]*IFERROR(AVERAGEIFS('Participation Adjustment'!$C:$C,'Participation Adjustment'!$A:$A,$H392,'Participation Adjustment'!$B:$B,$I392),1)</f>
        <v>220.90868708212699</v>
      </c>
      <c r="AC392" s="79">
        <f>tbl_Data_old[[#This Row],[2032 ]]*IFERROR(AVERAGEIFS('Participation Adjustment'!$C:$C,'Participation Adjustment'!$A:$A,$H392,'Participation Adjustment'!$B:$B,$I392),1)</f>
        <v>227.42400290457101</v>
      </c>
      <c r="AD392" s="79">
        <f>tbl_Data_old[[#This Row],[2033 ]]*IFERROR(AVERAGEIFS('Participation Adjustment'!$C:$C,'Participation Adjustment'!$A:$A,$H392,'Participation Adjustment'!$B:$B,$I392),1)</f>
        <v>221.003073934258</v>
      </c>
      <c r="AE392" s="79">
        <f>tbl_Data_old[[#This Row],[2034 ]]*IFERROR(AVERAGEIFS('Participation Adjustment'!$C:$C,'Participation Adjustment'!$A:$A,$H392,'Participation Adjustment'!$B:$B,$I392),1)</f>
        <v>202.55120573241101</v>
      </c>
      <c r="AF392" s="77" t="str">
        <f t="shared" si="165"/>
        <v>NonResidential</v>
      </c>
      <c r="AG392" s="77" t="str">
        <f>tbl_Data[[#This Row],[All_Meas_Name_Append]]</f>
        <v>Facility Energy Management System_SH</v>
      </c>
      <c r="AH392" s="77">
        <f>AVERAGEIFS('3. Incentive Adjustment'!G:G,'3. Incentive Adjustment'!A:A,tbl_Data[[#This Row],[Trimmed Sector]],'3. Incentive Adjustment'!B:B,tbl_Data[[#This Row],[Trimmed Measure Name]])</f>
        <v>0.63685031373688805</v>
      </c>
      <c r="AI392" s="77">
        <f>$AH392*tbl_Data[[#This Row],[2025 ]]</f>
        <v>41.537714163508859</v>
      </c>
      <c r="AJ392" s="77">
        <f>$AH392*tbl_Data[[#This Row],[2026 ]]</f>
        <v>55.79896444961831</v>
      </c>
      <c r="AK392" s="77">
        <f>$AH392*tbl_Data[[#This Row],[2027 ]]</f>
        <v>72.904373994587658</v>
      </c>
      <c r="AL392" s="77">
        <f>$AH392*tbl_Data[[#This Row],[2028 ]]</f>
        <v>92.08455373984134</v>
      </c>
      <c r="AM392" s="77">
        <f>$AH392*tbl_Data[[#This Row],[2029 ]]</f>
        <v>111.4244561556297</v>
      </c>
      <c r="AN392" s="77">
        <f>$AH392*tbl_Data[[#This Row],[2030 ]]</f>
        <v>128.75627016476898</v>
      </c>
      <c r="AO392" s="77">
        <f>$AH392*tbl_Data[[#This Row],[2031 ]]</f>
        <v>140.68576667545659</v>
      </c>
      <c r="AP392" s="77">
        <f>$AH392*tbl_Data[[#This Row],[2032 ]]</f>
        <v>144.83504760107499</v>
      </c>
      <c r="AQ392" s="77">
        <f>$AH392*tbl_Data[[#This Row],[2033 ]]</f>
        <v>140.74587697184887</v>
      </c>
      <c r="AR392" s="77">
        <f>$AH392*tbl_Data[[#This Row],[2034 ]]</f>
        <v>128.99479891847091</v>
      </c>
      <c r="AS392" s="77">
        <f>SUM(tbl_Data[[#This Row],[Adjusted 2025]:[Adjusted 2034]])</f>
        <v>1057.7678228348061</v>
      </c>
      <c r="AT392" s="80">
        <f>AVERAGEIFS('3. Incentive Adjustment'!F:F,'3. Incentive Adjustment'!A:A,tbl_Data[[#This Row],[Trimmed Sector]],'3. Incentive Adjustment'!B:B,tbl_Data[[#This Row],[Trimmed Measure Name]])</f>
        <v>79.715399999999988</v>
      </c>
      <c r="AU392" s="80">
        <f>IFERROR(VLOOKUP(tbl_Data[[#This Row],[All_Meas_Name_Append]],'IRA Tax Credits'!$A$3:$D$46,4,0),0)</f>
        <v>0</v>
      </c>
      <c r="AV392" s="81">
        <f>tbl_Data[[#This Row],[Adj. per unit Incentive ($)]]/tbl_Data[[#This Row],[kWh Savings]]*tbl_Data[[#This Row],[Sum of Annuals]]</f>
        <v>31.733034685044181</v>
      </c>
      <c r="AW392" s="81">
        <f>IFERROR(VLOOKUP(tbl_Data[[#This Row],[Column1]],'1. Set Program Names'!$B$2:$D$15,3,0)*tbl_Data[[#This Row],[Sum of Annuals]],"")</f>
        <v>33.476443554861341</v>
      </c>
      <c r="AX392" s="81">
        <f>tbl_Data[[#This Row],[per unit IRA tax ($)]]/tbl_Data[[#This Row],[kWh Savings]]*tbl_Data[[#This Row],[Sum of Annuals]]</f>
        <v>0</v>
      </c>
      <c r="AY392" s="81">
        <f>tbl_Data[[#This Row],[Avoided Costs ($/unit)]]/tbl_Data[[#This Row],[kWh Savings]]*tbl_Data[[#This Row],[Sum of Annuals]]</f>
        <v>583.77798184211861</v>
      </c>
      <c r="AZ392" s="81">
        <f>tbl_Data[[#This Row],[Lost Revenue ($/unit)]]/tbl_Data[[#This Row],[kWh Savings]]*tbl_Data[[#This Row],[Sum of Annuals]]</f>
        <v>1148.8628617685638</v>
      </c>
      <c r="BA392" s="81">
        <f>tbl_Data[[#This Row],[Incremental Cost ($/unit)]]/tbl_Data[[#This Row],[kWh Savings]]*tbl_Data[[#This Row],[Sum of Annuals]]</f>
        <v>430.21487716463088</v>
      </c>
      <c r="BB392" s="77">
        <f>ROUNDUP(tbl_Data[[#This Row],[Adjusted 2025]]/$L392,0)</f>
        <v>1</v>
      </c>
      <c r="BC392" s="77">
        <f>ROUNDUP(tbl_Data[[#This Row],[Adjusted 2026]]/$L392,0)</f>
        <v>1</v>
      </c>
      <c r="BD392" s="77">
        <f>ROUNDUP(tbl_Data[[#This Row],[Adjusted 2027]]/$L392,0)</f>
        <v>1</v>
      </c>
      <c r="BE392" s="77">
        <f>ROUNDUP(tbl_Data[[#This Row],[Adjusted 2028]]/$L392,0)</f>
        <v>1</v>
      </c>
      <c r="BF392" s="77">
        <f>ROUNDUP(tbl_Data[[#This Row],[Adjusted 2029]]/$L392,0)</f>
        <v>1</v>
      </c>
      <c r="BG392" s="77">
        <f>ROUNDUP(tbl_Data[[#This Row],[Adjusted 2030]]/$L392,0)</f>
        <v>1</v>
      </c>
      <c r="BH392" s="77">
        <f>ROUNDUP(tbl_Data[[#This Row],[Adjusted 2031]]/$L392,0)</f>
        <v>1</v>
      </c>
      <c r="BI392" s="77">
        <f>ROUNDUP(tbl_Data[[#This Row],[Adjusted 2032]]/$L392,0)</f>
        <v>1</v>
      </c>
      <c r="BJ392" s="77">
        <f>ROUNDUP(tbl_Data[[#This Row],[Adjusted 2033]]/$L392,0)</f>
        <v>1</v>
      </c>
      <c r="BK392" s="77">
        <f>ROUNDUP(tbl_Data[[#This Row],[Adjusted 2034]]/$L392,0)</f>
        <v>1</v>
      </c>
      <c r="BL392" s="80">
        <f t="shared" si="166"/>
        <v>1.9567100746064787</v>
      </c>
      <c r="BM392" s="80">
        <f t="shared" si="167"/>
        <v>2.6285123794099947</v>
      </c>
      <c r="BN392" s="80">
        <f t="shared" si="168"/>
        <v>3.43429401330441</v>
      </c>
      <c r="BO392" s="80">
        <f t="shared" si="169"/>
        <v>4.33781149605678</v>
      </c>
      <c r="BP392" s="80">
        <f t="shared" si="170"/>
        <v>5.2488530076314399</v>
      </c>
      <c r="BQ392" s="80">
        <f t="shared" si="171"/>
        <v>6.0652998383210699</v>
      </c>
      <c r="BR392" s="80">
        <f t="shared" si="172"/>
        <v>6.6272606124638092</v>
      </c>
      <c r="BS392" s="80">
        <f t="shared" si="173"/>
        <v>6.8227200871371299</v>
      </c>
      <c r="BT392" s="80">
        <f t="shared" si="174"/>
        <v>6.6300922180277393</v>
      </c>
      <c r="BU392" s="80">
        <f t="shared" si="175"/>
        <v>6.0765361719723296</v>
      </c>
      <c r="BV392" s="80">
        <f>IFERROR(VLOOKUP($H392,'1. Set Program Names'!$B$2:$D$15,3,0)*V392,"NA")</f>
        <v>2.064211476019477</v>
      </c>
      <c r="BW392" s="80">
        <f>IFERROR(VLOOKUP($H392,'1. Set Program Names'!$B$2:$D$15,3,0)*W392,"NA")</f>
        <v>2.7729225135862685</v>
      </c>
      <c r="BX392" s="80">
        <f>IFERROR(VLOOKUP($H392,'1. Set Program Names'!$B$2:$D$15,3,0)*X392,"NA")</f>
        <v>3.6229736874604002</v>
      </c>
      <c r="BY392" s="80">
        <f>IFERROR(VLOOKUP($H392,'1. Set Program Names'!$B$2:$D$15,3,0)*Y392,"NA")</f>
        <v>4.5761303052371849</v>
      </c>
      <c r="BZ392" s="80">
        <f>IFERROR(VLOOKUP($H392,'1. Set Program Names'!$B$2:$D$15,3,0)*Z392,"NA")</f>
        <v>5.5372243210181153</v>
      </c>
      <c r="CA392" s="80">
        <f>IFERROR(VLOOKUP($H392,'1. Set Program Names'!$B$2:$D$15,3,0)*AA392,"NA")</f>
        <v>6.3985266362362783</v>
      </c>
      <c r="CB392" s="80">
        <f>IFERROR(VLOOKUP($H392,'1. Set Program Names'!$B$2:$D$15,3,0)*AB392,"NA")</f>
        <v>6.9913614634865677</v>
      </c>
      <c r="CC392" s="80">
        <f>IFERROR(VLOOKUP($H392,'1. Set Program Names'!$B$2:$D$15,3,0)*AC392,"NA")</f>
        <v>7.1975594567168883</v>
      </c>
      <c r="CD392" s="80">
        <f>IFERROR(VLOOKUP($H392,'1. Set Program Names'!$B$2:$D$15,3,0)*AD392,"NA")</f>
        <v>6.994348637098275</v>
      </c>
      <c r="CE392" s="80">
        <f>IFERROR(VLOOKUP($H392,'1. Set Program Names'!$B$2:$D$15,3,0)*AE392,"NA")</f>
        <v>6.4103802926222304</v>
      </c>
    </row>
    <row r="393" spans="1:83" x14ac:dyDescent="0.25">
      <c r="A393" s="79" t="s">
        <v>87</v>
      </c>
      <c r="B393" s="79" t="s">
        <v>88</v>
      </c>
      <c r="C393" s="79" t="s">
        <v>122</v>
      </c>
      <c r="D393" s="79" t="s">
        <v>90</v>
      </c>
      <c r="E393" s="79" t="s">
        <v>91</v>
      </c>
      <c r="F393" s="79" t="s">
        <v>90</v>
      </c>
      <c r="G393" s="79" t="s">
        <v>92</v>
      </c>
      <c r="H393" s="79" t="s">
        <v>18</v>
      </c>
      <c r="I393" s="79" t="s">
        <v>145</v>
      </c>
      <c r="J393" s="79" t="s">
        <v>129</v>
      </c>
      <c r="K393" s="79" t="s">
        <v>98</v>
      </c>
      <c r="L393" s="79">
        <v>1452.1399999999801</v>
      </c>
      <c r="M393" s="79">
        <v>0.33467704377742202</v>
      </c>
      <c r="N393" s="79">
        <v>4.3977319526113799E-2</v>
      </c>
      <c r="O393" s="79">
        <v>654.99999999999898</v>
      </c>
      <c r="P393" s="79">
        <v>358.56061649158102</v>
      </c>
      <c r="Q393" s="79">
        <v>45.957611580086699</v>
      </c>
      <c r="R393" s="79">
        <v>761.15206993055403</v>
      </c>
      <c r="S393" s="79">
        <v>1577.19839843259</v>
      </c>
      <c r="T393" s="79">
        <v>15</v>
      </c>
      <c r="U393" s="79">
        <v>0.94999999999999896</v>
      </c>
      <c r="V393" s="79">
        <f>tbl_Data_old[[#This Row],[2025 ]]*IFERROR(AVERAGEIFS('Participation Adjustment'!$C:$C,'Participation Adjustment'!$A:$A,$H393,'Participation Adjustment'!$B:$B,$I393),1)</f>
        <v>9915.04051639934</v>
      </c>
      <c r="W393" s="79">
        <f>tbl_Data_old[[#This Row],[2026 ]]*IFERROR(AVERAGEIFS('Participation Adjustment'!$C:$C,'Participation Adjustment'!$A:$A,$H393,'Participation Adjustment'!$B:$B,$I393),1)</f>
        <v>11097.433288505599</v>
      </c>
      <c r="X393" s="79">
        <f>tbl_Data_old[[#This Row],[2027 ]]*IFERROR(AVERAGEIFS('Participation Adjustment'!$C:$C,'Participation Adjustment'!$A:$A,$H393,'Participation Adjustment'!$B:$B,$I393),1)</f>
        <v>12149.6572713267</v>
      </c>
      <c r="Y393" s="79">
        <f>tbl_Data_old[[#This Row],[2028 ]]*IFERROR(AVERAGEIFS('Participation Adjustment'!$C:$C,'Participation Adjustment'!$A:$A,$H393,'Participation Adjustment'!$B:$B,$I393),1)</f>
        <v>13134.6384202148</v>
      </c>
      <c r="Z393" s="79">
        <f>tbl_Data_old[[#This Row],[2029 ]]*IFERROR(AVERAGEIFS('Participation Adjustment'!$C:$C,'Participation Adjustment'!$A:$A,$H393,'Participation Adjustment'!$B:$B,$I393),1)</f>
        <v>14046.2230333057</v>
      </c>
      <c r="AA393" s="79">
        <f>tbl_Data_old[[#This Row],[2030 ]]*IFERROR(AVERAGEIFS('Participation Adjustment'!$C:$C,'Participation Adjustment'!$A:$A,$H393,'Participation Adjustment'!$B:$B,$I393),1)</f>
        <v>14878.7930106929</v>
      </c>
      <c r="AB393" s="79">
        <f>tbl_Data_old[[#This Row],[2031 ]]*IFERROR(AVERAGEIFS('Participation Adjustment'!$C:$C,'Participation Adjustment'!$A:$A,$H393,'Participation Adjustment'!$B:$B,$I393),1)</f>
        <v>15641.4447918847</v>
      </c>
      <c r="AC393" s="79">
        <f>tbl_Data_old[[#This Row],[2032 ]]*IFERROR(AVERAGEIFS('Participation Adjustment'!$C:$C,'Participation Adjustment'!$A:$A,$H393,'Participation Adjustment'!$B:$B,$I393),1)</f>
        <v>16374.505261709301</v>
      </c>
      <c r="AD393" s="79">
        <f>tbl_Data_old[[#This Row],[2033 ]]*IFERROR(AVERAGEIFS('Participation Adjustment'!$C:$C,'Participation Adjustment'!$A:$A,$H393,'Participation Adjustment'!$B:$B,$I393),1)</f>
        <v>17096.442613652998</v>
      </c>
      <c r="AE393" s="79">
        <f>tbl_Data_old[[#This Row],[2034 ]]*IFERROR(AVERAGEIFS('Participation Adjustment'!$C:$C,'Participation Adjustment'!$A:$A,$H393,'Participation Adjustment'!$B:$B,$I393),1)</f>
        <v>17787.847580176101</v>
      </c>
      <c r="AF393" s="77" t="str">
        <f t="shared" si="165"/>
        <v>NonResidential</v>
      </c>
      <c r="AG393" s="77" t="str">
        <f>tbl_Data[[#This Row],[All_Meas_Name_Append]]</f>
        <v>HE DX Less than 5.4 Tons Elect Heat</v>
      </c>
      <c r="AH393" s="77">
        <f>AVERAGEIFS('3. Incentive Adjustment'!G:G,'3. Incentive Adjustment'!A:A,tbl_Data[[#This Row],[Trimmed Sector]],'3. Incentive Adjustment'!B:B,tbl_Data[[#This Row],[Trimmed Measure Name]])</f>
        <v>0.74493198517309978</v>
      </c>
      <c r="AI393" s="77">
        <f>$AH393*tbl_Data[[#This Row],[2025 ]]</f>
        <v>7386.0308149530765</v>
      </c>
      <c r="AJ393" s="77">
        <f>$AH393*tbl_Data[[#This Row],[2026 ]]</f>
        <v>8266.8330099325176</v>
      </c>
      <c r="AK393" s="77">
        <f>$AH393*tbl_Data[[#This Row],[2027 ]]</f>
        <v>9050.6683103021842</v>
      </c>
      <c r="AL393" s="77">
        <f>$AH393*tbl_Data[[#This Row],[2028 ]]</f>
        <v>9784.412272901478</v>
      </c>
      <c r="AM393" s="77">
        <f>$AH393*tbl_Data[[#This Row],[2029 ]]</f>
        <v>10463.480808384535</v>
      </c>
      <c r="AN393" s="77">
        <f>$AH393*tbl_Data[[#This Row],[2030 ]]</f>
        <v>11083.688814435103</v>
      </c>
      <c r="AO393" s="77">
        <f>$AH393*tbl_Data[[#This Row],[2031 ]]</f>
        <v>11651.812519794112</v>
      </c>
      <c r="AP393" s="77">
        <f>$AH393*tbl_Data[[#This Row],[2032 ]]</f>
        <v>12197.892710832477</v>
      </c>
      <c r="AQ393" s="77">
        <f>$AH393*tbl_Data[[#This Row],[2033 ]]</f>
        <v>12735.686935586506</v>
      </c>
      <c r="AR393" s="77">
        <f>$AH393*tbl_Data[[#This Row],[2034 ]]</f>
        <v>13250.736609857102</v>
      </c>
      <c r="AS393" s="77">
        <f>SUM(tbl_Data[[#This Row],[Adjusted 2025]:[Adjusted 2034]])</f>
        <v>105871.24280697909</v>
      </c>
      <c r="AT393" s="80">
        <f>AVERAGEIFS('3. Incentive Adjustment'!F:F,'3. Incentive Adjustment'!A:A,tbl_Data[[#This Row],[Trimmed Sector]],'3. Incentive Adjustment'!B:B,tbl_Data[[#This Row],[Trimmed Measure Name]])</f>
        <v>196.49999999999969</v>
      </c>
      <c r="AU393" s="80">
        <f>IFERROR(VLOOKUP(tbl_Data[[#This Row],[All_Meas_Name_Append]],'IRA Tax Credits'!$A$3:$D$46,4,0),0)</f>
        <v>0</v>
      </c>
      <c r="AV393" s="81">
        <f>tbl_Data[[#This Row],[Adj. per unit Incentive ($)]]/tbl_Data[[#This Row],[kWh Savings]]*tbl_Data[[#This Row],[Sum of Annuals]]</f>
        <v>14326.235219449669</v>
      </c>
      <c r="AW393" s="81">
        <f>IFERROR(VLOOKUP(tbl_Data[[#This Row],[Column1]],'1. Set Program Names'!$B$2:$D$15,3,0)*tbl_Data[[#This Row],[Sum of Annuals]],"")</f>
        <v>3350.6338606637305</v>
      </c>
      <c r="AX393" s="81">
        <f>tbl_Data[[#This Row],[per unit IRA tax ($)]]/tbl_Data[[#This Row],[kWh Savings]]*tbl_Data[[#This Row],[Sum of Annuals]]</f>
        <v>0</v>
      </c>
      <c r="AY393" s="81">
        <f>tbl_Data[[#This Row],[Avoided Costs ($/unit)]]/tbl_Data[[#This Row],[kWh Savings]]*tbl_Data[[#This Row],[Sum of Annuals]]</f>
        <v>55493.35161117628</v>
      </c>
      <c r="AZ393" s="81">
        <f>tbl_Data[[#This Row],[Lost Revenue ($/unit)]]/tbl_Data[[#This Row],[kWh Savings]]*tbl_Data[[#This Row],[Sum of Annuals]]</f>
        <v>114988.88164724997</v>
      </c>
      <c r="BA393" s="81">
        <f>tbl_Data[[#This Row],[Incremental Cost ($/unit)]]/tbl_Data[[#This Row],[kWh Savings]]*tbl_Data[[#This Row],[Sum of Annuals]]</f>
        <v>47754.117398165567</v>
      </c>
      <c r="BB393" s="77">
        <f>ROUNDUP(tbl_Data[[#This Row],[Adjusted 2025]]/$L393,0)</f>
        <v>6</v>
      </c>
      <c r="BC393" s="77">
        <f>ROUNDUP(tbl_Data[[#This Row],[Adjusted 2026]]/$L393,0)</f>
        <v>6</v>
      </c>
      <c r="BD393" s="77">
        <f>ROUNDUP(tbl_Data[[#This Row],[Adjusted 2027]]/$L393,0)</f>
        <v>7</v>
      </c>
      <c r="BE393" s="77">
        <f>ROUNDUP(tbl_Data[[#This Row],[Adjusted 2028]]/$L393,0)</f>
        <v>7</v>
      </c>
      <c r="BF393" s="77">
        <f>ROUNDUP(tbl_Data[[#This Row],[Adjusted 2029]]/$L393,0)</f>
        <v>8</v>
      </c>
      <c r="BG393" s="77">
        <f>ROUNDUP(tbl_Data[[#This Row],[Adjusted 2030]]/$L393,0)</f>
        <v>8</v>
      </c>
      <c r="BH393" s="77">
        <f>ROUNDUP(tbl_Data[[#This Row],[Adjusted 2031]]/$L393,0)</f>
        <v>9</v>
      </c>
      <c r="BI393" s="77">
        <f>ROUNDUP(tbl_Data[[#This Row],[Adjusted 2032]]/$L393,0)</f>
        <v>9</v>
      </c>
      <c r="BJ393" s="77">
        <f>ROUNDUP(tbl_Data[[#This Row],[Adjusted 2033]]/$L393,0)</f>
        <v>9</v>
      </c>
      <c r="BK393" s="77">
        <f>ROUNDUP(tbl_Data[[#This Row],[Adjusted 2034]]/$L393,0)</f>
        <v>10</v>
      </c>
      <c r="BL393" s="80">
        <f t="shared" si="166"/>
        <v>1341.6788060879073</v>
      </c>
      <c r="BM393" s="80">
        <f t="shared" si="167"/>
        <v>1501.677277116102</v>
      </c>
      <c r="BN393" s="80">
        <f t="shared" si="168"/>
        <v>1644.0616289171328</v>
      </c>
      <c r="BO393" s="80">
        <f t="shared" si="169"/>
        <v>1777.3468464281952</v>
      </c>
      <c r="BP393" s="80">
        <f t="shared" si="170"/>
        <v>1900.7002259042538</v>
      </c>
      <c r="BQ393" s="80">
        <f t="shared" si="171"/>
        <v>2013.3615399349856</v>
      </c>
      <c r="BR393" s="80">
        <f t="shared" si="172"/>
        <v>2116.5616962588874</v>
      </c>
      <c r="BS393" s="80">
        <f t="shared" si="173"/>
        <v>2215.7576293786524</v>
      </c>
      <c r="BT393" s="80">
        <f t="shared" si="174"/>
        <v>2313.448409645664</v>
      </c>
      <c r="BU393" s="80">
        <f t="shared" si="175"/>
        <v>2407.0076228907997</v>
      </c>
      <c r="BV393" s="80">
        <f>IFERROR(VLOOKUP($H393,'1. Set Program Names'!$B$2:$D$15,3,0)*V393,"NA")</f>
        <v>313.79314725405715</v>
      </c>
      <c r="BW393" s="80">
        <f>IFERROR(VLOOKUP($H393,'1. Set Program Names'!$B$2:$D$15,3,0)*W393,"NA")</f>
        <v>351.21374565060421</v>
      </c>
      <c r="BX393" s="80">
        <f>IFERROR(VLOOKUP($H393,'1. Set Program Names'!$B$2:$D$15,3,0)*X393,"NA")</f>
        <v>384.51473666920043</v>
      </c>
      <c r="BY393" s="80">
        <f>IFERROR(VLOOKUP($H393,'1. Set Program Names'!$B$2:$D$15,3,0)*Y393,"NA")</f>
        <v>415.68761328874621</v>
      </c>
      <c r="BZ393" s="80">
        <f>IFERROR(VLOOKUP($H393,'1. Set Program Names'!$B$2:$D$15,3,0)*Z393,"NA")</f>
        <v>444.53762194549796</v>
      </c>
      <c r="CA393" s="80">
        <f>IFERROR(VLOOKUP($H393,'1. Set Program Names'!$B$2:$D$15,3,0)*AA393,"NA")</f>
        <v>470.88695991153622</v>
      </c>
      <c r="CB393" s="80">
        <f>IFERROR(VLOOKUP($H393,'1. Set Program Names'!$B$2:$D$15,3,0)*AB393,"NA")</f>
        <v>495.02351308882925</v>
      </c>
      <c r="CC393" s="80">
        <f>IFERROR(VLOOKUP($H393,'1. Set Program Names'!$B$2:$D$15,3,0)*AC393,"NA")</f>
        <v>518.22355463917222</v>
      </c>
      <c r="CD393" s="80">
        <f>IFERROR(VLOOKUP($H393,'1. Set Program Names'!$B$2:$D$15,3,0)*AD393,"NA")</f>
        <v>541.07156957284599</v>
      </c>
      <c r="CE393" s="80">
        <f>IFERROR(VLOOKUP($H393,'1. Set Program Names'!$B$2:$D$15,3,0)*AE393,"NA")</f>
        <v>562.95328958332152</v>
      </c>
    </row>
    <row r="394" spans="1:83" x14ac:dyDescent="0.25">
      <c r="A394" s="79" t="s">
        <v>87</v>
      </c>
      <c r="B394" s="79" t="s">
        <v>88</v>
      </c>
      <c r="C394" s="79" t="s">
        <v>122</v>
      </c>
      <c r="D394" s="79" t="s">
        <v>90</v>
      </c>
      <c r="E394" s="79" t="s">
        <v>91</v>
      </c>
      <c r="F394" s="79" t="s">
        <v>90</v>
      </c>
      <c r="G394" s="79" t="s">
        <v>92</v>
      </c>
      <c r="H394" s="79" t="s">
        <v>18</v>
      </c>
      <c r="I394" s="79" t="s">
        <v>146</v>
      </c>
      <c r="J394" s="79" t="s">
        <v>129</v>
      </c>
      <c r="K394" s="79" t="s">
        <v>98</v>
      </c>
      <c r="L394" s="79">
        <v>23719.439999999999</v>
      </c>
      <c r="M394" s="79">
        <v>5.4597690026648404</v>
      </c>
      <c r="N394" s="79">
        <v>0</v>
      </c>
      <c r="O394" s="79">
        <v>11386</v>
      </c>
      <c r="P394" s="79">
        <v>6681.8656442185202</v>
      </c>
      <c r="Q394" s="79">
        <v>750.67749006099905</v>
      </c>
      <c r="R394" s="79">
        <v>13758.6347393458</v>
      </c>
      <c r="S394" s="79">
        <v>32663.358650317699</v>
      </c>
      <c r="T394" s="79">
        <v>23</v>
      </c>
      <c r="U394" s="79">
        <v>1</v>
      </c>
      <c r="V394" s="79">
        <f>tbl_Data_old[[#This Row],[2025 ]]*IFERROR(AVERAGEIFS('Participation Adjustment'!$C:$C,'Participation Adjustment'!$A:$A,$H394,'Participation Adjustment'!$B:$B,$I394),1)</f>
        <v>25948.150219894</v>
      </c>
      <c r="W394" s="79">
        <f>tbl_Data_old[[#This Row],[2026 ]]*IFERROR(AVERAGEIFS('Participation Adjustment'!$C:$C,'Participation Adjustment'!$A:$A,$H394,'Participation Adjustment'!$B:$B,$I394),1)</f>
        <v>29046.8528229113</v>
      </c>
      <c r="X394" s="79">
        <f>tbl_Data_old[[#This Row],[2027 ]]*IFERROR(AVERAGEIFS('Participation Adjustment'!$C:$C,'Participation Adjustment'!$A:$A,$H394,'Participation Adjustment'!$B:$B,$I394),1)</f>
        <v>31864.965864645001</v>
      </c>
      <c r="Y394" s="79">
        <f>tbl_Data_old[[#This Row],[2028 ]]*IFERROR(AVERAGEIFS('Participation Adjustment'!$C:$C,'Participation Adjustment'!$A:$A,$H394,'Participation Adjustment'!$B:$B,$I394),1)</f>
        <v>34521.1708826381</v>
      </c>
      <c r="Z394" s="79">
        <f>tbl_Data_old[[#This Row],[2029 ]]*IFERROR(AVERAGEIFS('Participation Adjustment'!$C:$C,'Participation Adjustment'!$A:$A,$H394,'Participation Adjustment'!$B:$B,$I394),1)</f>
        <v>36971.484507759596</v>
      </c>
      <c r="AA394" s="79">
        <f>tbl_Data_old[[#This Row],[2030 ]]*IFERROR(AVERAGEIFS('Participation Adjustment'!$C:$C,'Participation Adjustment'!$A:$A,$H394,'Participation Adjustment'!$B:$B,$I394),1)</f>
        <v>39225.695726390302</v>
      </c>
      <c r="AB394" s="79">
        <f>tbl_Data_old[[#This Row],[2031 ]]*IFERROR(AVERAGEIFS('Participation Adjustment'!$C:$C,'Participation Adjustment'!$A:$A,$H394,'Participation Adjustment'!$B:$B,$I394),1)</f>
        <v>41277.439277772501</v>
      </c>
      <c r="AC394" s="79">
        <f>tbl_Data_old[[#This Row],[2032 ]]*IFERROR(AVERAGEIFS('Participation Adjustment'!$C:$C,'Participation Adjustment'!$A:$A,$H394,'Participation Adjustment'!$B:$B,$I394),1)</f>
        <v>43236.404037040098</v>
      </c>
      <c r="AD394" s="79">
        <f>tbl_Data_old[[#This Row],[2033 ]]*IFERROR(AVERAGEIFS('Participation Adjustment'!$C:$C,'Participation Adjustment'!$A:$A,$H394,'Participation Adjustment'!$B:$B,$I394),1)</f>
        <v>45190.938236825197</v>
      </c>
      <c r="AE394" s="79">
        <f>tbl_Data_old[[#This Row],[2034 ]]*IFERROR(AVERAGEIFS('Participation Adjustment'!$C:$C,'Participation Adjustment'!$A:$A,$H394,'Participation Adjustment'!$B:$B,$I394),1)</f>
        <v>47047.663049200397</v>
      </c>
      <c r="AF394" s="77" t="str">
        <f t="shared" si="165"/>
        <v>NonResidential</v>
      </c>
      <c r="AG394" s="77" t="str">
        <f>tbl_Data[[#This Row],[All_Meas_Name_Append]]</f>
        <v>HE Water Cooled Chiller - Centrifugal Compressor - 200 Tons</v>
      </c>
      <c r="AH394" s="77">
        <f>AVERAGEIFS('3. Incentive Adjustment'!G:G,'3. Incentive Adjustment'!A:A,tbl_Data[[#This Row],[Trimmed Sector]],'3. Incentive Adjustment'!B:B,tbl_Data[[#This Row],[Trimmed Measure Name]])</f>
        <v>0.69536855707903378</v>
      </c>
      <c r="AI394" s="77">
        <f>$AH394*tbl_Data[[#This Row],[2025 ]]</f>
        <v>18043.527777277704</v>
      </c>
      <c r="AJ394" s="77">
        <f>$AH394*tbl_Data[[#This Row],[2026 ]]</f>
        <v>20198.268135154889</v>
      </c>
      <c r="AK394" s="77">
        <f>$AH394*tbl_Data[[#This Row],[2027 ]]</f>
        <v>22157.895334670859</v>
      </c>
      <c r="AL394" s="77">
        <f>$AH394*tbl_Data[[#This Row],[2028 ]]</f>
        <v>24004.93678533881</v>
      </c>
      <c r="AM394" s="77">
        <f>$AH394*tbl_Data[[#This Row],[2029 ]]</f>
        <v>25708.80783523064</v>
      </c>
      <c r="AN394" s="77">
        <f>$AH394*tbl_Data[[#This Row],[2030 ]]</f>
        <v>27276.315437681245</v>
      </c>
      <c r="AO394" s="77">
        <f>$AH394*tbl_Data[[#This Row],[2031 ]]</f>
        <v>28703.033390502096</v>
      </c>
      <c r="AP394" s="77">
        <f>$AH394*tbl_Data[[#This Row],[2032 ]]</f>
        <v>30065.235888522682</v>
      </c>
      <c r="AQ394" s="77">
        <f>$AH394*tbl_Data[[#This Row],[2033 ]]</f>
        <v>31424.357514788873</v>
      </c>
      <c r="AR394" s="77">
        <f>$AH394*tbl_Data[[#This Row],[2034 ]]</f>
        <v>32715.465568463056</v>
      </c>
      <c r="AS394" s="77">
        <f>SUM(tbl_Data[[#This Row],[Adjusted 2025]:[Adjusted 2034]])</f>
        <v>260297.84366763083</v>
      </c>
      <c r="AT394" s="80">
        <f>AVERAGEIFS('3. Incentive Adjustment'!F:F,'3. Incentive Adjustment'!A:A,tbl_Data[[#This Row],[Trimmed Sector]],'3. Incentive Adjustment'!B:B,tbl_Data[[#This Row],[Trimmed Measure Name]])</f>
        <v>3415.7999999999997</v>
      </c>
      <c r="AU394" s="80">
        <f>IFERROR(VLOOKUP(tbl_Data[[#This Row],[All_Meas_Name_Append]],'IRA Tax Credits'!$A$3:$D$46,4,0),0)</f>
        <v>0</v>
      </c>
      <c r="AV394" s="81">
        <f>tbl_Data[[#This Row],[Adj. per unit Incentive ($)]]/tbl_Data[[#This Row],[kWh Savings]]*tbl_Data[[#This Row],[Sum of Annuals]]</f>
        <v>37485.091317497099</v>
      </c>
      <c r="AW394" s="81">
        <f>IFERROR(VLOOKUP(tbl_Data[[#This Row],[Column1]],'1. Set Program Names'!$B$2:$D$15,3,0)*tbl_Data[[#This Row],[Sum of Annuals]],"")</f>
        <v>8237.9572179068127</v>
      </c>
      <c r="AX394" s="81">
        <f>tbl_Data[[#This Row],[per unit IRA tax ($)]]/tbl_Data[[#This Row],[kWh Savings]]*tbl_Data[[#This Row],[Sum of Annuals]]</f>
        <v>0</v>
      </c>
      <c r="AY394" s="81">
        <f>tbl_Data[[#This Row],[Avoided Costs ($/unit)]]/tbl_Data[[#This Row],[kWh Savings]]*tbl_Data[[#This Row],[Sum of Annuals]]</f>
        <v>150987.668952651</v>
      </c>
      <c r="AZ394" s="81">
        <f>tbl_Data[[#This Row],[Lost Revenue ($/unit)]]/tbl_Data[[#This Row],[kWh Savings]]*tbl_Data[[#This Row],[Sum of Annuals]]</f>
        <v>358448.67432031088</v>
      </c>
      <c r="BA394" s="81">
        <f>tbl_Data[[#This Row],[Incremental Cost ($/unit)]]/tbl_Data[[#This Row],[kWh Savings]]*tbl_Data[[#This Row],[Sum of Annuals]]</f>
        <v>124950.304391657</v>
      </c>
      <c r="BB394" s="77">
        <f>ROUNDUP(tbl_Data[[#This Row],[Adjusted 2025]]/$L394,0)</f>
        <v>1</v>
      </c>
      <c r="BC394" s="77">
        <f>ROUNDUP(tbl_Data[[#This Row],[Adjusted 2026]]/$L394,0)</f>
        <v>1</v>
      </c>
      <c r="BD394" s="77">
        <f>ROUNDUP(tbl_Data[[#This Row],[Adjusted 2027]]/$L394,0)</f>
        <v>1</v>
      </c>
      <c r="BE394" s="77">
        <f>ROUNDUP(tbl_Data[[#This Row],[Adjusted 2028]]/$L394,0)</f>
        <v>2</v>
      </c>
      <c r="BF394" s="77">
        <f>ROUNDUP(tbl_Data[[#This Row],[Adjusted 2029]]/$L394,0)</f>
        <v>2</v>
      </c>
      <c r="BG394" s="77">
        <f>ROUNDUP(tbl_Data[[#This Row],[Adjusted 2030]]/$L394,0)</f>
        <v>2</v>
      </c>
      <c r="BH394" s="77">
        <f>ROUNDUP(tbl_Data[[#This Row],[Adjusted 2031]]/$L394,0)</f>
        <v>2</v>
      </c>
      <c r="BI394" s="77">
        <f>ROUNDUP(tbl_Data[[#This Row],[Adjusted 2032]]/$L394,0)</f>
        <v>2</v>
      </c>
      <c r="BJ394" s="77">
        <f>ROUNDUP(tbl_Data[[#This Row],[Adjusted 2033]]/$L394,0)</f>
        <v>2</v>
      </c>
      <c r="BK394" s="77">
        <f>ROUNDUP(tbl_Data[[#This Row],[Adjusted 2034]]/$L394,0)</f>
        <v>2</v>
      </c>
      <c r="BL394" s="80">
        <f t="shared" si="166"/>
        <v>3736.753124066754</v>
      </c>
      <c r="BM394" s="80">
        <f t="shared" si="167"/>
        <v>4182.9925104682243</v>
      </c>
      <c r="BN394" s="80">
        <f t="shared" si="168"/>
        <v>4588.8246265702055</v>
      </c>
      <c r="BO394" s="80">
        <f t="shared" si="169"/>
        <v>4971.3406176922908</v>
      </c>
      <c r="BP394" s="80">
        <f t="shared" si="170"/>
        <v>5324.2065066293817</v>
      </c>
      <c r="BQ394" s="80">
        <f t="shared" si="171"/>
        <v>5648.831990224221</v>
      </c>
      <c r="BR394" s="80">
        <f t="shared" si="172"/>
        <v>5944.3004170846916</v>
      </c>
      <c r="BS394" s="80">
        <f t="shared" si="173"/>
        <v>6226.4079130755854</v>
      </c>
      <c r="BT394" s="80">
        <f t="shared" si="174"/>
        <v>6507.87737102341</v>
      </c>
      <c r="BU394" s="80">
        <f t="shared" si="175"/>
        <v>6775.2614498259118</v>
      </c>
      <c r="BV394" s="80">
        <f>IFERROR(VLOOKUP($H394,'1. Set Program Names'!$B$2:$D$15,3,0)*V394,"NA")</f>
        <v>821.21214829674727</v>
      </c>
      <c r="BW394" s="80">
        <f>IFERROR(VLOOKUP($H394,'1. Set Program Names'!$B$2:$D$15,3,0)*W394,"NA")</f>
        <v>919.28049613626263</v>
      </c>
      <c r="BX394" s="80">
        <f>IFERROR(VLOOKUP($H394,'1. Set Program Names'!$B$2:$D$15,3,0)*X394,"NA")</f>
        <v>1008.4686904982216</v>
      </c>
      <c r="BY394" s="80">
        <f>IFERROR(VLOOKUP($H394,'1. Set Program Names'!$B$2:$D$15,3,0)*Y394,"NA")</f>
        <v>1092.532787964034</v>
      </c>
      <c r="BZ394" s="80">
        <f>IFERROR(VLOOKUP($H394,'1. Set Program Names'!$B$2:$D$15,3,0)*Z394,"NA")</f>
        <v>1170.0807942394131</v>
      </c>
      <c r="CA394" s="80">
        <f>IFERROR(VLOOKUP($H394,'1. Set Program Names'!$B$2:$D$15,3,0)*AA394,"NA")</f>
        <v>1241.4225130856018</v>
      </c>
      <c r="CB394" s="80">
        <f>IFERROR(VLOOKUP($H394,'1. Set Program Names'!$B$2:$D$15,3,0)*AB394,"NA")</f>
        <v>1306.3564954814944</v>
      </c>
      <c r="CC394" s="80">
        <f>IFERROR(VLOOKUP($H394,'1. Set Program Names'!$B$2:$D$15,3,0)*AC394,"NA")</f>
        <v>1368.3541964645256</v>
      </c>
      <c r="CD394" s="80">
        <f>IFERROR(VLOOKUP($H394,'1. Set Program Names'!$B$2:$D$15,3,0)*AD394,"NA")</f>
        <v>1430.2116782319308</v>
      </c>
      <c r="CE394" s="80">
        <f>IFERROR(VLOOKUP($H394,'1. Set Program Names'!$B$2:$D$15,3,0)*AE394,"NA")</f>
        <v>1488.9736693197387</v>
      </c>
    </row>
    <row r="395" spans="1:83" x14ac:dyDescent="0.25">
      <c r="A395" s="79" t="s">
        <v>87</v>
      </c>
      <c r="B395" s="79" t="s">
        <v>88</v>
      </c>
      <c r="C395" s="79" t="s">
        <v>122</v>
      </c>
      <c r="D395" s="79" t="s">
        <v>90</v>
      </c>
      <c r="E395" s="79" t="s">
        <v>91</v>
      </c>
      <c r="F395" s="79" t="s">
        <v>90</v>
      </c>
      <c r="G395" s="79" t="s">
        <v>92</v>
      </c>
      <c r="H395" s="79" t="s">
        <v>18</v>
      </c>
      <c r="I395" s="79" t="s">
        <v>147</v>
      </c>
      <c r="J395" s="79" t="s">
        <v>129</v>
      </c>
      <c r="K395" s="79" t="s">
        <v>98</v>
      </c>
      <c r="L395" s="79">
        <v>51564</v>
      </c>
      <c r="M395" s="79">
        <v>11.869063049271301</v>
      </c>
      <c r="N395" s="79">
        <v>0</v>
      </c>
      <c r="O395" s="79">
        <v>19806</v>
      </c>
      <c r="P395" s="79">
        <v>9503.5476574024997</v>
      </c>
      <c r="Q395" s="79">
        <v>1631.9075870891199</v>
      </c>
      <c r="R395" s="79">
        <v>29910.075520317099</v>
      </c>
      <c r="S395" s="79">
        <v>71007.301413734196</v>
      </c>
      <c r="T395" s="79">
        <v>23</v>
      </c>
      <c r="U395" s="79">
        <v>1</v>
      </c>
      <c r="V395" s="79">
        <f>tbl_Data_old[[#This Row],[2025 ]]*IFERROR(AVERAGEIFS('Participation Adjustment'!$C:$C,'Participation Adjustment'!$A:$A,$H395,'Participation Adjustment'!$B:$B,$I395),1)</f>
        <v>25289.064611936301</v>
      </c>
      <c r="W395" s="79">
        <f>tbl_Data_old[[#This Row],[2026 ]]*IFERROR(AVERAGEIFS('Participation Adjustment'!$C:$C,'Participation Adjustment'!$A:$A,$H395,'Participation Adjustment'!$B:$B,$I395),1)</f>
        <v>28359.548032642499</v>
      </c>
      <c r="X395" s="79">
        <f>tbl_Data_old[[#This Row],[2027 ]]*IFERROR(AVERAGEIFS('Participation Adjustment'!$C:$C,'Participation Adjustment'!$A:$A,$H395,'Participation Adjustment'!$B:$B,$I395),1)</f>
        <v>31160.900090069601</v>
      </c>
      <c r="Y395" s="79">
        <f>tbl_Data_old[[#This Row],[2028 ]]*IFERROR(AVERAGEIFS('Participation Adjustment'!$C:$C,'Participation Adjustment'!$A:$A,$H395,'Participation Adjustment'!$B:$B,$I395),1)</f>
        <v>33806.966604956797</v>
      </c>
      <c r="Z395" s="79">
        <f>tbl_Data_old[[#This Row],[2029 ]]*IFERROR(AVERAGEIFS('Participation Adjustment'!$C:$C,'Participation Adjustment'!$A:$A,$H395,'Participation Adjustment'!$B:$B,$I395),1)</f>
        <v>36253.097288284604</v>
      </c>
      <c r="AA395" s="79">
        <f>tbl_Data_old[[#This Row],[2030 ]]*IFERROR(AVERAGEIFS('Participation Adjustment'!$C:$C,'Participation Adjustment'!$A:$A,$H395,'Participation Adjustment'!$B:$B,$I395),1)</f>
        <v>38507.505281835904</v>
      </c>
      <c r="AB395" s="79">
        <f>tbl_Data_old[[#This Row],[2031 ]]*IFERROR(AVERAGEIFS('Participation Adjustment'!$C:$C,'Participation Adjustment'!$A:$A,$H395,'Participation Adjustment'!$B:$B,$I395),1)</f>
        <v>40562.844130104299</v>
      </c>
      <c r="AC395" s="79">
        <f>tbl_Data_old[[#This Row],[2032 ]]*IFERROR(AVERAGEIFS('Participation Adjustment'!$C:$C,'Participation Adjustment'!$A:$A,$H395,'Participation Adjustment'!$B:$B,$I395),1)</f>
        <v>42526.125863045301</v>
      </c>
      <c r="AD395" s="79">
        <f>tbl_Data_old[[#This Row],[2033 ]]*IFERROR(AVERAGEIFS('Participation Adjustment'!$C:$C,'Participation Adjustment'!$A:$A,$H395,'Participation Adjustment'!$B:$B,$I395),1)</f>
        <v>44483.902326568699</v>
      </c>
      <c r="AE395" s="79">
        <f>tbl_Data_old[[#This Row],[2034 ]]*IFERROR(AVERAGEIFS('Participation Adjustment'!$C:$C,'Participation Adjustment'!$A:$A,$H395,'Participation Adjustment'!$B:$B,$I395),1)</f>
        <v>46344.070633476797</v>
      </c>
      <c r="AF395" s="77" t="str">
        <f t="shared" si="165"/>
        <v>NonResidential</v>
      </c>
      <c r="AG395" s="77" t="str">
        <f>tbl_Data[[#This Row],[All_Meas_Name_Append]]</f>
        <v>HE Water Cooled Chiller - Centrifugal Compressor - 500 Tons</v>
      </c>
      <c r="AH395" s="77">
        <f>AVERAGEIFS('3. Incentive Adjustment'!G:G,'3. Incentive Adjustment'!A:A,tbl_Data[[#This Row],[Trimmed Sector]],'3. Incentive Adjustment'!B:B,tbl_Data[[#This Row],[Trimmed Measure Name]])</f>
        <v>0.83338953851620801</v>
      </c>
      <c r="AI395" s="77">
        <f>$AH395*tbl_Data[[#This Row],[2025 ]]</f>
        <v>21075.64188644816</v>
      </c>
      <c r="AJ395" s="77">
        <f>$AH395*tbl_Data[[#This Row],[2026 ]]</f>
        <v>23634.550647452168</v>
      </c>
      <c r="AK395" s="77">
        <f>$AH395*tbl_Data[[#This Row],[2027 ]]</f>
        <v>25969.168145812768</v>
      </c>
      <c r="AL395" s="77">
        <f>$AH395*tbl_Data[[#This Row],[2028 ]]</f>
        <v>28174.3722975378</v>
      </c>
      <c r="AM395" s="77">
        <f>$AH395*tbl_Data[[#This Row],[2029 ]]</f>
        <v>30212.952018866697</v>
      </c>
      <c r="AN395" s="77">
        <f>$AH395*tbl_Data[[#This Row],[2030 ]]</f>
        <v>32091.752056239668</v>
      </c>
      <c r="AO395" s="77">
        <f>$AH395*tbl_Data[[#This Row],[2031 ]]</f>
        <v>33804.649950492501</v>
      </c>
      <c r="AP395" s="77">
        <f>$AH395*tbl_Data[[#This Row],[2032 ]]</f>
        <v>35440.828407885499</v>
      </c>
      <c r="AQ395" s="77">
        <f>$AH395*tbl_Data[[#This Row],[2033 ]]</f>
        <v>37072.418831339157</v>
      </c>
      <c r="AR395" s="77">
        <f>$AH395*tbl_Data[[#This Row],[2034 ]]</f>
        <v>38622.663638195772</v>
      </c>
      <c r="AS395" s="77">
        <f>SUM(tbl_Data[[#This Row],[Adjusted 2025]:[Adjusted 2034]])</f>
        <v>306098.99788027018</v>
      </c>
      <c r="AT395" s="80">
        <f>AVERAGEIFS('3. Incentive Adjustment'!F:F,'3. Incentive Adjustment'!A:A,tbl_Data[[#This Row],[Trimmed Sector]],'3. Incentive Adjustment'!B:B,tbl_Data[[#This Row],[Trimmed Measure Name]])</f>
        <v>5941.8</v>
      </c>
      <c r="AU395" s="80">
        <f>IFERROR(VLOOKUP(tbl_Data[[#This Row],[All_Meas_Name_Append]],'IRA Tax Credits'!$A$3:$D$46,4,0),0)</f>
        <v>0</v>
      </c>
      <c r="AV395" s="81">
        <f>tbl_Data[[#This Row],[Adj. per unit Incentive ($)]]/tbl_Data[[#This Row],[kWh Savings]]*tbl_Data[[#This Row],[Sum of Annuals]]</f>
        <v>35272.264091323195</v>
      </c>
      <c r="AW395" s="81">
        <f>IFERROR(VLOOKUP(tbl_Data[[#This Row],[Column1]],'1. Set Program Names'!$B$2:$D$15,3,0)*tbl_Data[[#This Row],[Sum of Annuals]],"")</f>
        <v>9687.481131044764</v>
      </c>
      <c r="AX395" s="81">
        <f>tbl_Data[[#This Row],[per unit IRA tax ($)]]/tbl_Data[[#This Row],[kWh Savings]]*tbl_Data[[#This Row],[Sum of Annuals]]</f>
        <v>0</v>
      </c>
      <c r="AY395" s="81">
        <f>tbl_Data[[#This Row],[Avoided Costs ($/unit)]]/tbl_Data[[#This Row],[kWh Savings]]*tbl_Data[[#This Row],[Sum of Annuals]]</f>
        <v>177554.9636043027</v>
      </c>
      <c r="AZ395" s="81">
        <f>tbl_Data[[#This Row],[Lost Revenue ($/unit)]]/tbl_Data[[#This Row],[kWh Savings]]*tbl_Data[[#This Row],[Sum of Annuals]]</f>
        <v>421520.12654034462</v>
      </c>
      <c r="BA395" s="81">
        <f>tbl_Data[[#This Row],[Incremental Cost ($/unit)]]/tbl_Data[[#This Row],[kWh Savings]]*tbl_Data[[#This Row],[Sum of Annuals]]</f>
        <v>117574.21363774399</v>
      </c>
      <c r="BB395" s="77">
        <f>ROUNDUP(tbl_Data[[#This Row],[Adjusted 2025]]/$L395,0)</f>
        <v>1</v>
      </c>
      <c r="BC395" s="77">
        <f>ROUNDUP(tbl_Data[[#This Row],[Adjusted 2026]]/$L395,0)</f>
        <v>1</v>
      </c>
      <c r="BD395" s="77">
        <f>ROUNDUP(tbl_Data[[#This Row],[Adjusted 2027]]/$L395,0)</f>
        <v>1</v>
      </c>
      <c r="BE395" s="77">
        <f>ROUNDUP(tbl_Data[[#This Row],[Adjusted 2028]]/$L395,0)</f>
        <v>1</v>
      </c>
      <c r="BF395" s="77">
        <f>ROUNDUP(tbl_Data[[#This Row],[Adjusted 2029]]/$L395,0)</f>
        <v>1</v>
      </c>
      <c r="BG395" s="77">
        <f>ROUNDUP(tbl_Data[[#This Row],[Adjusted 2030]]/$L395,0)</f>
        <v>1</v>
      </c>
      <c r="BH395" s="77">
        <f>ROUNDUP(tbl_Data[[#This Row],[Adjusted 2031]]/$L395,0)</f>
        <v>1</v>
      </c>
      <c r="BI395" s="77">
        <f>ROUNDUP(tbl_Data[[#This Row],[Adjusted 2032]]/$L395,0)</f>
        <v>1</v>
      </c>
      <c r="BJ395" s="77">
        <f>ROUNDUP(tbl_Data[[#This Row],[Adjusted 2033]]/$L395,0)</f>
        <v>1</v>
      </c>
      <c r="BK395" s="77">
        <f>ROUNDUP(tbl_Data[[#This Row],[Adjusted 2034]]/$L395,0)</f>
        <v>1</v>
      </c>
      <c r="BL395" s="80">
        <f t="shared" si="166"/>
        <v>2914.0982877822339</v>
      </c>
      <c r="BM395" s="80">
        <f t="shared" si="167"/>
        <v>3267.9148727863471</v>
      </c>
      <c r="BN395" s="80">
        <f t="shared" si="168"/>
        <v>3590.7190317891464</v>
      </c>
      <c r="BO395" s="80">
        <f t="shared" si="169"/>
        <v>3895.6293959609861</v>
      </c>
      <c r="BP395" s="80">
        <f t="shared" si="170"/>
        <v>4177.5008429821091</v>
      </c>
      <c r="BQ395" s="80">
        <f t="shared" si="171"/>
        <v>4437.2797859671973</v>
      </c>
      <c r="BR395" s="80">
        <f t="shared" si="172"/>
        <v>4674.1196814105524</v>
      </c>
      <c r="BS395" s="80">
        <f t="shared" si="173"/>
        <v>4900.3516921309938</v>
      </c>
      <c r="BT395" s="80">
        <f t="shared" si="174"/>
        <v>5125.9493220852901</v>
      </c>
      <c r="BU395" s="80">
        <f t="shared" si="175"/>
        <v>5340.2994121866504</v>
      </c>
      <c r="BV395" s="80">
        <f>IFERROR(VLOOKUP($H395,'1. Set Program Names'!$B$2:$D$15,3,0)*V395,"NA")</f>
        <v>800.3532776861</v>
      </c>
      <c r="BW395" s="80">
        <f>IFERROR(VLOOKUP($H395,'1. Set Program Names'!$B$2:$D$15,3,0)*W395,"NA")</f>
        <v>897.52853930819731</v>
      </c>
      <c r="BX395" s="80">
        <f>IFERROR(VLOOKUP($H395,'1. Set Program Names'!$B$2:$D$15,3,0)*X395,"NA")</f>
        <v>986.18627875089044</v>
      </c>
      <c r="BY395" s="80">
        <f>IFERROR(VLOOKUP($H395,'1. Set Program Names'!$B$2:$D$15,3,0)*Y395,"NA")</f>
        <v>1069.9295108815807</v>
      </c>
      <c r="BZ395" s="80">
        <f>IFERROR(VLOOKUP($H395,'1. Set Program Names'!$B$2:$D$15,3,0)*Z395,"NA")</f>
        <v>1147.345134594523</v>
      </c>
      <c r="CA395" s="80">
        <f>IFERROR(VLOOKUP($H395,'1. Set Program Names'!$B$2:$D$15,3,0)*AA395,"NA")</f>
        <v>1218.6930810119993</v>
      </c>
      <c r="CB395" s="80">
        <f>IFERROR(VLOOKUP($H395,'1. Set Program Names'!$B$2:$D$15,3,0)*AB395,"NA")</f>
        <v>1283.7408480690203</v>
      </c>
      <c r="CC395" s="80">
        <f>IFERROR(VLOOKUP($H395,'1. Set Program Names'!$B$2:$D$15,3,0)*AC395,"NA")</f>
        <v>1345.8751734817097</v>
      </c>
      <c r="CD395" s="80">
        <f>IFERROR(VLOOKUP($H395,'1. Set Program Names'!$B$2:$D$15,3,0)*AD395,"NA")</f>
        <v>1407.8352670479255</v>
      </c>
      <c r="CE395" s="80">
        <f>IFERROR(VLOOKUP($H395,'1. Set Program Names'!$B$2:$D$15,3,0)*AE395,"NA")</f>
        <v>1466.7062385262063</v>
      </c>
    </row>
    <row r="396" spans="1:83" x14ac:dyDescent="0.25">
      <c r="A396" s="79" t="s">
        <v>87</v>
      </c>
      <c r="B396" s="79" t="s">
        <v>88</v>
      </c>
      <c r="C396" s="79" t="s">
        <v>122</v>
      </c>
      <c r="D396" s="79" t="s">
        <v>90</v>
      </c>
      <c r="E396" s="79" t="s">
        <v>91</v>
      </c>
      <c r="F396" s="79" t="s">
        <v>90</v>
      </c>
      <c r="G396" s="79" t="s">
        <v>92</v>
      </c>
      <c r="H396" s="79" t="s">
        <v>18</v>
      </c>
      <c r="I396" s="79" t="s">
        <v>148</v>
      </c>
      <c r="J396" s="79" t="s">
        <v>129</v>
      </c>
      <c r="K396" s="79" t="s">
        <v>98</v>
      </c>
      <c r="L396" s="79">
        <v>552.51399999999899</v>
      </c>
      <c r="M396" s="79">
        <v>0.19160575593909501</v>
      </c>
      <c r="N396" s="79">
        <v>0</v>
      </c>
      <c r="O396" s="79">
        <v>129</v>
      </c>
      <c r="P396" s="79">
        <v>16.0943430226503</v>
      </c>
      <c r="Q396" s="79">
        <v>17.486071456306</v>
      </c>
      <c r="R396" s="79">
        <v>212.35909497904299</v>
      </c>
      <c r="S396" s="79">
        <v>383.33946557666002</v>
      </c>
      <c r="T396" s="79">
        <v>8</v>
      </c>
      <c r="U396" s="79">
        <v>1</v>
      </c>
      <c r="V396" s="79">
        <f>tbl_Data_old[[#This Row],[2025 ]]*IFERROR(AVERAGEIFS('Participation Adjustment'!$C:$C,'Participation Adjustment'!$A:$A,$H396,'Participation Adjustment'!$B:$B,$I396),1)</f>
        <v>130525.06061797659</v>
      </c>
      <c r="W396" s="79">
        <f>tbl_Data_old[[#This Row],[2026 ]]*IFERROR(AVERAGEIFS('Participation Adjustment'!$C:$C,'Participation Adjustment'!$A:$A,$H396,'Participation Adjustment'!$B:$B,$I396),1)</f>
        <v>146386.11653738059</v>
      </c>
      <c r="X396" s="79">
        <f>tbl_Data_old[[#This Row],[2027 ]]*IFERROR(AVERAGEIFS('Participation Adjustment'!$C:$C,'Participation Adjustment'!$A:$A,$H396,'Participation Adjustment'!$B:$B,$I396),1)</f>
        <v>160655.26832938343</v>
      </c>
      <c r="Y396" s="79">
        <f>tbl_Data_old[[#This Row],[2028 ]]*IFERROR(AVERAGEIFS('Participation Adjustment'!$C:$C,'Participation Adjustment'!$A:$A,$H396,'Participation Adjustment'!$B:$B,$I396),1)</f>
        <v>174083.39946987503</v>
      </c>
      <c r="Z396" s="79">
        <f>tbl_Data_old[[#This Row],[2029 ]]*IFERROR(AVERAGEIFS('Participation Adjustment'!$C:$C,'Participation Adjustment'!$A:$A,$H396,'Participation Adjustment'!$B:$B,$I396),1)</f>
        <v>186538.2447115226</v>
      </c>
      <c r="AA396" s="79">
        <f>tbl_Data_old[[#This Row],[2030 ]]*IFERROR(AVERAGEIFS('Participation Adjustment'!$C:$C,'Participation Adjustment'!$A:$A,$H396,'Participation Adjustment'!$B:$B,$I396),1)</f>
        <v>197974.87956010021</v>
      </c>
      <c r="AB396" s="79">
        <f>tbl_Data_old[[#This Row],[2031 ]]*IFERROR(AVERAGEIFS('Participation Adjustment'!$C:$C,'Participation Adjustment'!$A:$A,$H396,'Participation Adjustment'!$B:$B,$I396),1)</f>
        <v>208461.02783260203</v>
      </c>
      <c r="AC396" s="79">
        <f>tbl_Data_old[[#This Row],[2032 ]]*IFERROR(AVERAGEIFS('Participation Adjustment'!$C:$C,'Participation Adjustment'!$A:$A,$H396,'Participation Adjustment'!$B:$B,$I396),1)</f>
        <v>218534.25742595602</v>
      </c>
      <c r="AD396" s="79">
        <f>tbl_Data_old[[#This Row],[2033 ]]*IFERROR(AVERAGEIFS('Participation Adjustment'!$C:$C,'Participation Adjustment'!$A:$A,$H396,'Participation Adjustment'!$B:$B,$I396),1)</f>
        <v>228500.57869918403</v>
      </c>
      <c r="AE396" s="79">
        <f>tbl_Data_old[[#This Row],[2034 ]]*IFERROR(AVERAGEIFS('Participation Adjustment'!$C:$C,'Participation Adjustment'!$A:$A,$H396,'Participation Adjustment'!$B:$B,$I396),1)</f>
        <v>238033.61305486003</v>
      </c>
      <c r="AF396" s="77" t="str">
        <f t="shared" si="165"/>
        <v>NonResidential</v>
      </c>
      <c r="AG396" s="77" t="str">
        <f>tbl_Data[[#This Row],[All_Meas_Name_Append]]</f>
        <v>High Efficiency PTAC</v>
      </c>
      <c r="AH396" s="77">
        <f>AVERAGEIFS('3. Incentive Adjustment'!G:G,'3. Incentive Adjustment'!A:A,tbl_Data[[#This Row],[Trimmed Sector]],'3. Incentive Adjustment'!B:B,tbl_Data[[#This Row],[Trimmed Measure Name]])</f>
        <v>1.1757614296438725</v>
      </c>
      <c r="AI396" s="77">
        <f>$AH396*tbl_Data[[#This Row],[2025 ]]</f>
        <v>153466.33187654527</v>
      </c>
      <c r="AJ396" s="77">
        <f>$AH396*tbl_Data[[#This Row],[2026 ]]</f>
        <v>172115.14966000512</v>
      </c>
      <c r="AK396" s="77">
        <f>$AH396*tbl_Data[[#This Row],[2027 ]]</f>
        <v>188892.26797077581</v>
      </c>
      <c r="AL396" s="77">
        <f>$AH396*tbl_Data[[#This Row],[2028 ]]</f>
        <v>204680.54663796563</v>
      </c>
      <c r="AM396" s="77">
        <f>$AH396*tbl_Data[[#This Row],[2029 ]]</f>
        <v>219324.47328527836</v>
      </c>
      <c r="AN396" s="77">
        <f>$AH396*tbl_Data[[#This Row],[2030 ]]</f>
        <v>232771.22742515689</v>
      </c>
      <c r="AO396" s="77">
        <f>$AH396*tbl_Data[[#This Row],[2031 ]]</f>
        <v>245100.43610949127</v>
      </c>
      <c r="AP396" s="77">
        <f>$AH396*tbl_Data[[#This Row],[2032 ]]</f>
        <v>256944.1509373041</v>
      </c>
      <c r="AQ396" s="77">
        <f>$AH396*tbl_Data[[#This Row],[2033 ]]</f>
        <v>268662.1670858048</v>
      </c>
      <c r="AR396" s="77">
        <f>$AH396*tbl_Data[[#This Row],[2034 ]]</f>
        <v>279870.7411886786</v>
      </c>
      <c r="AS396" s="77">
        <f>SUM(tbl_Data[[#This Row],[Adjusted 2025]:[Adjusted 2034]])</f>
        <v>2221827.4921770054</v>
      </c>
      <c r="AT396" s="80">
        <f>AVERAGEIFS('3. Incentive Adjustment'!F:F,'3. Incentive Adjustment'!A:A,tbl_Data[[#This Row],[Trimmed Sector]],'3. Incentive Adjustment'!B:B,tbl_Data[[#This Row],[Trimmed Measure Name]])</f>
        <v>50</v>
      </c>
      <c r="AU396" s="80">
        <f>IFERROR(VLOOKUP(tbl_Data[[#This Row],[All_Meas_Name_Append]],'IRA Tax Credits'!$A$3:$D$46,4,0),0)</f>
        <v>0</v>
      </c>
      <c r="AV396" s="81">
        <f>tbl_Data[[#This Row],[Adj. per unit Incentive ($)]]/tbl_Data[[#This Row],[kWh Savings]]*tbl_Data[[#This Row],[Sum of Annuals]]</f>
        <v>201065.26641650795</v>
      </c>
      <c r="AW396" s="81">
        <f>IFERROR(VLOOKUP(tbl_Data[[#This Row],[Column1]],'1. Set Program Names'!$B$2:$D$15,3,0)*tbl_Data[[#This Row],[Sum of Annuals]],"")</f>
        <v>70316.832318805144</v>
      </c>
      <c r="AX396" s="81">
        <f>tbl_Data[[#This Row],[per unit IRA tax ($)]]/tbl_Data[[#This Row],[kWh Savings]]*tbl_Data[[#This Row],[Sum of Annuals]]</f>
        <v>0</v>
      </c>
      <c r="AY396" s="81">
        <f>tbl_Data[[#This Row],[Avoided Costs ($/unit)]]/tbl_Data[[#This Row],[kWh Savings]]*tbl_Data[[#This Row],[Sum of Annuals]]</f>
        <v>853960.76015859598</v>
      </c>
      <c r="AZ396" s="81">
        <f>tbl_Data[[#This Row],[Lost Revenue ($/unit)]]/tbl_Data[[#This Row],[kWh Savings]]*tbl_Data[[#This Row],[Sum of Annuals]]</f>
        <v>1541525.0354826585</v>
      </c>
      <c r="BA396" s="81">
        <f>tbl_Data[[#This Row],[Incremental Cost ($/unit)]]/tbl_Data[[#This Row],[kWh Savings]]*tbl_Data[[#This Row],[Sum of Annuals]]</f>
        <v>518748.38735459046</v>
      </c>
      <c r="BB396" s="77">
        <f>ROUNDUP(tbl_Data[[#This Row],[Adjusted 2025]]/$L396,0)</f>
        <v>278</v>
      </c>
      <c r="BC396" s="77">
        <f>ROUNDUP(tbl_Data[[#This Row],[Adjusted 2026]]/$L396,0)</f>
        <v>312</v>
      </c>
      <c r="BD396" s="77">
        <f>ROUNDUP(tbl_Data[[#This Row],[Adjusted 2027]]/$L396,0)</f>
        <v>342</v>
      </c>
      <c r="BE396" s="77">
        <f>ROUNDUP(tbl_Data[[#This Row],[Adjusted 2028]]/$L396,0)</f>
        <v>371</v>
      </c>
      <c r="BF396" s="77">
        <f>ROUNDUP(tbl_Data[[#This Row],[Adjusted 2029]]/$L396,0)</f>
        <v>397</v>
      </c>
      <c r="BG396" s="77">
        <f>ROUNDUP(tbl_Data[[#This Row],[Adjusted 2030]]/$L396,0)</f>
        <v>422</v>
      </c>
      <c r="BH396" s="77">
        <f>ROUNDUP(tbl_Data[[#This Row],[Adjusted 2031]]/$L396,0)</f>
        <v>444</v>
      </c>
      <c r="BI396" s="77">
        <f>ROUNDUP(tbl_Data[[#This Row],[Adjusted 2032]]/$L396,0)</f>
        <v>466</v>
      </c>
      <c r="BJ396" s="77">
        <f>ROUNDUP(tbl_Data[[#This Row],[Adjusted 2033]]/$L396,0)</f>
        <v>487</v>
      </c>
      <c r="BK396" s="77">
        <f>ROUNDUP(tbl_Data[[#This Row],[Adjusted 2034]]/$L396,0)</f>
        <v>507</v>
      </c>
      <c r="BL396" s="80">
        <f t="shared" si="166"/>
        <v>11811.92337370427</v>
      </c>
      <c r="BM396" s="80">
        <f t="shared" si="167"/>
        <v>13247.27667872496</v>
      </c>
      <c r="BN396" s="80">
        <f t="shared" si="168"/>
        <v>14538.569912199848</v>
      </c>
      <c r="BO396" s="80">
        <f t="shared" si="169"/>
        <v>15753.754608016752</v>
      </c>
      <c r="BP396" s="80">
        <f t="shared" si="170"/>
        <v>16880.861363831769</v>
      </c>
      <c r="BQ396" s="80">
        <f t="shared" si="171"/>
        <v>17915.824717572817</v>
      </c>
      <c r="BR396" s="80">
        <f t="shared" si="172"/>
        <v>18864.773366159268</v>
      </c>
      <c r="BS396" s="80">
        <f t="shared" si="173"/>
        <v>19776.354755350672</v>
      </c>
      <c r="BT396" s="80">
        <f t="shared" si="174"/>
        <v>20678.261428595877</v>
      </c>
      <c r="BU396" s="80">
        <f t="shared" si="175"/>
        <v>21540.957609658803</v>
      </c>
      <c r="BV396" s="80">
        <f>IFERROR(VLOOKUP($H396,'1. Set Program Names'!$B$2:$D$15,3,0)*V396,"NA")</f>
        <v>4130.8827229800736</v>
      </c>
      <c r="BW396" s="80">
        <f>IFERROR(VLOOKUP($H396,'1. Set Program Names'!$B$2:$D$15,3,0)*W396,"NA")</f>
        <v>4632.8565321128081</v>
      </c>
      <c r="BX396" s="80">
        <f>IFERROR(VLOOKUP($H396,'1. Set Program Names'!$B$2:$D$15,3,0)*X396,"NA")</f>
        <v>5084.4494471445332</v>
      </c>
      <c r="BY396" s="80">
        <f>IFERROR(VLOOKUP($H396,'1. Set Program Names'!$B$2:$D$15,3,0)*Y396,"NA")</f>
        <v>5509.4255756178109</v>
      </c>
      <c r="BZ396" s="80">
        <f>IFERROR(VLOOKUP($H396,'1. Set Program Names'!$B$2:$D$15,3,0)*Z396,"NA")</f>
        <v>5903.5989610391434</v>
      </c>
      <c r="CA396" s="80">
        <f>IFERROR(VLOOKUP($H396,'1. Set Program Names'!$B$2:$D$15,3,0)*AA396,"NA")</f>
        <v>6265.5478242026247</v>
      </c>
      <c r="CB396" s="80">
        <f>IFERROR(VLOOKUP($H396,'1. Set Program Names'!$B$2:$D$15,3,0)*AB396,"NA")</f>
        <v>6597.4155017535768</v>
      </c>
      <c r="CC396" s="80">
        <f>IFERROR(VLOOKUP($H396,'1. Set Program Names'!$B$2:$D$15,3,0)*AC396,"NA")</f>
        <v>6916.215047946368</v>
      </c>
      <c r="CD396" s="80">
        <f>IFERROR(VLOOKUP($H396,'1. Set Program Names'!$B$2:$D$15,3,0)*AD396,"NA")</f>
        <v>7231.6311386520656</v>
      </c>
      <c r="CE396" s="80">
        <f>IFERROR(VLOOKUP($H396,'1. Set Program Names'!$B$2:$D$15,3,0)*AE396,"NA")</f>
        <v>7533.3344799950373</v>
      </c>
    </row>
    <row r="397" spans="1:83" x14ac:dyDescent="0.25">
      <c r="A397" s="79" t="s">
        <v>87</v>
      </c>
      <c r="B397" s="79" t="s">
        <v>88</v>
      </c>
      <c r="C397" s="79" t="s">
        <v>122</v>
      </c>
      <c r="D397" s="79" t="s">
        <v>90</v>
      </c>
      <c r="E397" s="79" t="s">
        <v>91</v>
      </c>
      <c r="F397" s="79" t="s">
        <v>90</v>
      </c>
      <c r="G397" s="79" t="s">
        <v>92</v>
      </c>
      <c r="H397" s="79" t="s">
        <v>18</v>
      </c>
      <c r="I397" s="79" t="s">
        <v>149</v>
      </c>
      <c r="J397" s="79" t="s">
        <v>129</v>
      </c>
      <c r="K397" s="79" t="s">
        <v>98</v>
      </c>
      <c r="L397" s="79">
        <v>540.79749999999899</v>
      </c>
      <c r="M397" s="79">
        <v>0.159555976068885</v>
      </c>
      <c r="N397" s="79">
        <v>1.50169234953632E-2</v>
      </c>
      <c r="O397" s="79">
        <v>128.99999999999901</v>
      </c>
      <c r="P397" s="79">
        <v>23.4690947103329</v>
      </c>
      <c r="Q397" s="79">
        <v>17.115265365930298</v>
      </c>
      <c r="R397" s="79">
        <v>204.24936172330499</v>
      </c>
      <c r="S397" s="79">
        <v>375.21044649582399</v>
      </c>
      <c r="T397" s="79">
        <v>8</v>
      </c>
      <c r="U397" s="79">
        <v>1</v>
      </c>
      <c r="V397" s="79">
        <f>tbl_Data_old[[#This Row],[2025 ]]*IFERROR(AVERAGEIFS('Participation Adjustment'!$C:$C,'Participation Adjustment'!$A:$A,$H397,'Participation Adjustment'!$B:$B,$I397),1)</f>
        <v>78456.849759071003</v>
      </c>
      <c r="W397" s="79">
        <f>tbl_Data_old[[#This Row],[2026 ]]*IFERROR(AVERAGEIFS('Participation Adjustment'!$C:$C,'Participation Adjustment'!$A:$A,$H397,'Participation Adjustment'!$B:$B,$I397),1)</f>
        <v>88079.953099285602</v>
      </c>
      <c r="X397" s="79">
        <f>tbl_Data_old[[#This Row],[2027 ]]*IFERROR(AVERAGEIFS('Participation Adjustment'!$C:$C,'Participation Adjustment'!$A:$A,$H397,'Participation Adjustment'!$B:$B,$I397),1)</f>
        <v>96746.373985582613</v>
      </c>
      <c r="Y397" s="79">
        <f>tbl_Data_old[[#This Row],[2028 ]]*IFERROR(AVERAGEIFS('Participation Adjustment'!$C:$C,'Participation Adjustment'!$A:$A,$H397,'Participation Adjustment'!$B:$B,$I397),1)</f>
        <v>104903.24874091761</v>
      </c>
      <c r="Z397" s="79">
        <f>tbl_Data_old[[#This Row],[2029 ]]*IFERROR(AVERAGEIFS('Participation Adjustment'!$C:$C,'Participation Adjustment'!$A:$A,$H397,'Participation Adjustment'!$B:$B,$I397),1)</f>
        <v>112467.5188128054</v>
      </c>
      <c r="AA397" s="79">
        <f>tbl_Data_old[[#This Row],[2030 ]]*IFERROR(AVERAGEIFS('Participation Adjustment'!$C:$C,'Participation Adjustment'!$A:$A,$H397,'Participation Adjustment'!$B:$B,$I397),1)</f>
        <v>119409.23815838742</v>
      </c>
      <c r="AB397" s="79">
        <f>tbl_Data_old[[#This Row],[2031 ]]*IFERROR(AVERAGEIFS('Participation Adjustment'!$C:$C,'Participation Adjustment'!$A:$A,$H397,'Participation Adjustment'!$B:$B,$I397),1)</f>
        <v>125767.5806783608</v>
      </c>
      <c r="AC397" s="79">
        <f>tbl_Data_old[[#This Row],[2032 ]]*IFERROR(AVERAGEIFS('Participation Adjustment'!$C:$C,'Participation Adjustment'!$A:$A,$H397,'Participation Adjustment'!$B:$B,$I397),1)</f>
        <v>131865.78139088961</v>
      </c>
      <c r="AD397" s="79">
        <f>tbl_Data_old[[#This Row],[2033 ]]*IFERROR(AVERAGEIFS('Participation Adjustment'!$C:$C,'Participation Adjustment'!$A:$A,$H397,'Participation Adjustment'!$B:$B,$I397),1)</f>
        <v>137887.7726805704</v>
      </c>
      <c r="AE397" s="79">
        <f>tbl_Data_old[[#This Row],[2034 ]]*IFERROR(AVERAGEIFS('Participation Adjustment'!$C:$C,'Participation Adjustment'!$A:$A,$H397,'Participation Adjustment'!$B:$B,$I397),1)</f>
        <v>143636.738245324</v>
      </c>
      <c r="AF397" s="77" t="str">
        <f t="shared" si="165"/>
        <v>NonResidential</v>
      </c>
      <c r="AG397" s="77" t="str">
        <f>tbl_Data[[#This Row],[All_Meas_Name_Append]]</f>
        <v>High Efficiency PTHP</v>
      </c>
      <c r="AH397" s="77">
        <f>AVERAGEIFS('3. Incentive Adjustment'!G:G,'3. Incentive Adjustment'!A:A,tbl_Data[[#This Row],[Trimmed Sector]],'3. Incentive Adjustment'!B:B,tbl_Data[[#This Row],[Trimmed Measure Name]])</f>
        <v>1.138194101705527</v>
      </c>
      <c r="AI397" s="77">
        <f>$AH397*tbl_Data[[#This Row],[2025 ]]</f>
        <v>89299.123634171323</v>
      </c>
      <c r="AJ397" s="77">
        <f>$AH397*tbl_Data[[#This Row],[2026 ]]</f>
        <v>100252.08309610633</v>
      </c>
      <c r="AK397" s="77">
        <f>$AH397*tbl_Data[[#This Row],[2027 ]]</f>
        <v>110116.15223178717</v>
      </c>
      <c r="AL397" s="77">
        <f>$AH397*tbl_Data[[#This Row],[2028 ]]</f>
        <v>119400.25896666019</v>
      </c>
      <c r="AM397" s="77">
        <f>$AH397*tbl_Data[[#This Row],[2029 ]]</f>
        <v>128009.8665461905</v>
      </c>
      <c r="AN397" s="77">
        <f>$AH397*tbl_Data[[#This Row],[2030 ]]</f>
        <v>135910.8905610271</v>
      </c>
      <c r="AO397" s="77">
        <f>$AH397*tbl_Data[[#This Row],[2031 ]]</f>
        <v>143147.91851388427</v>
      </c>
      <c r="AP397" s="77">
        <f>$AH397*tbl_Data[[#This Row],[2032 ]]</f>
        <v>150088.85459590101</v>
      </c>
      <c r="AQ397" s="77">
        <f>$AH397*tbl_Data[[#This Row],[2033 ]]</f>
        <v>156943.04956233775</v>
      </c>
      <c r="AR397" s="77">
        <f>$AH397*tbl_Data[[#This Row],[2034 ]]</f>
        <v>163486.48825904846</v>
      </c>
      <c r="AS397" s="77">
        <f>SUM(tbl_Data[[#This Row],[Adjusted 2025]:[Adjusted 2034]])</f>
        <v>1296654.6859671141</v>
      </c>
      <c r="AT397" s="80">
        <f>AVERAGEIFS('3. Incentive Adjustment'!F:F,'3. Incentive Adjustment'!A:A,tbl_Data[[#This Row],[Trimmed Sector]],'3. Incentive Adjustment'!B:B,tbl_Data[[#This Row],[Trimmed Measure Name]])</f>
        <v>50</v>
      </c>
      <c r="AU397" s="80">
        <f>IFERROR(VLOOKUP(tbl_Data[[#This Row],[All_Meas_Name_Append]],'IRA Tax Credits'!$A$3:$D$46,4,0),0)</f>
        <v>0</v>
      </c>
      <c r="AV397" s="81">
        <f>tbl_Data[[#This Row],[Adj. per unit Incentive ($)]]/tbl_Data[[#This Row],[kWh Savings]]*tbl_Data[[#This Row],[Sum of Annuals]]</f>
        <v>119883.56880043977</v>
      </c>
      <c r="AW397" s="81">
        <f>IFERROR(VLOOKUP(tbl_Data[[#This Row],[Column1]],'1. Set Program Names'!$B$2:$D$15,3,0)*tbl_Data[[#This Row],[Sum of Annuals]],"")</f>
        <v>41036.781860685864</v>
      </c>
      <c r="AX397" s="81">
        <f>tbl_Data[[#This Row],[per unit IRA tax ($)]]/tbl_Data[[#This Row],[kWh Savings]]*tbl_Data[[#This Row],[Sum of Annuals]]</f>
        <v>0</v>
      </c>
      <c r="AY397" s="81">
        <f>tbl_Data[[#This Row],[Avoided Costs ($/unit)]]/tbl_Data[[#This Row],[kWh Savings]]*tbl_Data[[#This Row],[Sum of Annuals]]</f>
        <v>489722.84817203478</v>
      </c>
      <c r="AZ397" s="81">
        <f>tbl_Data[[#This Row],[Lost Revenue ($/unit)]]/tbl_Data[[#This Row],[kWh Savings]]*tbl_Data[[#This Row],[Sum of Annuals]]</f>
        <v>899631.34754251677</v>
      </c>
      <c r="BA397" s="81">
        <f>tbl_Data[[#This Row],[Incremental Cost ($/unit)]]/tbl_Data[[#This Row],[kWh Savings]]*tbl_Data[[#This Row],[Sum of Annuals]]</f>
        <v>309299.60750513221</v>
      </c>
      <c r="BB397" s="77">
        <f>ROUNDUP(tbl_Data[[#This Row],[Adjusted 2025]]/$L397,0)</f>
        <v>166</v>
      </c>
      <c r="BC397" s="77">
        <f>ROUNDUP(tbl_Data[[#This Row],[Adjusted 2026]]/$L397,0)</f>
        <v>186</v>
      </c>
      <c r="BD397" s="77">
        <f>ROUNDUP(tbl_Data[[#This Row],[Adjusted 2027]]/$L397,0)</f>
        <v>204</v>
      </c>
      <c r="BE397" s="77">
        <f>ROUNDUP(tbl_Data[[#This Row],[Adjusted 2028]]/$L397,0)</f>
        <v>221</v>
      </c>
      <c r="BF397" s="77">
        <f>ROUNDUP(tbl_Data[[#This Row],[Adjusted 2029]]/$L397,0)</f>
        <v>237</v>
      </c>
      <c r="BG397" s="77">
        <f>ROUNDUP(tbl_Data[[#This Row],[Adjusted 2030]]/$L397,0)</f>
        <v>252</v>
      </c>
      <c r="BH397" s="77">
        <f>ROUNDUP(tbl_Data[[#This Row],[Adjusted 2031]]/$L397,0)</f>
        <v>265</v>
      </c>
      <c r="BI397" s="77">
        <f>ROUNDUP(tbl_Data[[#This Row],[Adjusted 2032]]/$L397,0)</f>
        <v>278</v>
      </c>
      <c r="BJ397" s="77">
        <f>ROUNDUP(tbl_Data[[#This Row],[Adjusted 2033]]/$L397,0)</f>
        <v>291</v>
      </c>
      <c r="BK397" s="77">
        <f>ROUNDUP(tbl_Data[[#This Row],[Adjusted 2034]]/$L397,0)</f>
        <v>303</v>
      </c>
      <c r="BL397" s="80">
        <f t="shared" si="166"/>
        <v>7253.8103226319599</v>
      </c>
      <c r="BM397" s="80">
        <f t="shared" si="167"/>
        <v>8143.5244337562362</v>
      </c>
      <c r="BN397" s="80">
        <f t="shared" si="168"/>
        <v>8944.7874653250801</v>
      </c>
      <c r="BO397" s="80">
        <f t="shared" si="169"/>
        <v>9698.9398749918219</v>
      </c>
      <c r="BP397" s="80">
        <f t="shared" si="170"/>
        <v>10398.302397182459</v>
      </c>
      <c r="BQ397" s="80">
        <f t="shared" si="171"/>
        <v>11040.106339099908</v>
      </c>
      <c r="BR397" s="80">
        <f t="shared" si="172"/>
        <v>11627.973564815022</v>
      </c>
      <c r="BS397" s="80">
        <f t="shared" si="173"/>
        <v>12191.789106910614</v>
      </c>
      <c r="BT397" s="80">
        <f t="shared" si="174"/>
        <v>12748.558626895525</v>
      </c>
      <c r="BU397" s="80">
        <f t="shared" si="175"/>
        <v>13280.08526715862</v>
      </c>
      <c r="BV397" s="80">
        <f>IFERROR(VLOOKUP($H397,'1. Set Program Names'!$B$2:$D$15,3,0)*V397,"NA")</f>
        <v>2483.0177717194147</v>
      </c>
      <c r="BW397" s="80">
        <f>IFERROR(VLOOKUP($H397,'1. Set Program Names'!$B$2:$D$15,3,0)*W397,"NA")</f>
        <v>2787.5716339535111</v>
      </c>
      <c r="BX397" s="80">
        <f>IFERROR(VLOOKUP($H397,'1. Set Program Names'!$B$2:$D$15,3,0)*X397,"NA")</f>
        <v>3061.8482222177227</v>
      </c>
      <c r="BY397" s="80">
        <f>IFERROR(VLOOKUP($H397,'1. Set Program Names'!$B$2:$D$15,3,0)*Y397,"NA")</f>
        <v>3319.9985945737649</v>
      </c>
      <c r="BZ397" s="80">
        <f>IFERROR(VLOOKUP($H397,'1. Set Program Names'!$B$2:$D$15,3,0)*Z397,"NA")</f>
        <v>3559.3940976593462</v>
      </c>
      <c r="CA397" s="80">
        <f>IFERROR(VLOOKUP($H397,'1. Set Program Names'!$B$2:$D$15,3,0)*AA397,"NA")</f>
        <v>3779.0869932356918</v>
      </c>
      <c r="CB397" s="80">
        <f>IFERROR(VLOOKUP($H397,'1. Set Program Names'!$B$2:$D$15,3,0)*AB397,"NA")</f>
        <v>3980.3170645966406</v>
      </c>
      <c r="CC397" s="80">
        <f>IFERROR(VLOOKUP($H397,'1. Set Program Names'!$B$2:$D$15,3,0)*AC397,"NA")</f>
        <v>4173.3141170046792</v>
      </c>
      <c r="CD397" s="80">
        <f>IFERROR(VLOOKUP($H397,'1. Set Program Names'!$B$2:$D$15,3,0)*AD397,"NA")</f>
        <v>4363.8992786487479</v>
      </c>
      <c r="CE397" s="80">
        <f>IFERROR(VLOOKUP($H397,'1. Set Program Names'!$B$2:$D$15,3,0)*AE397,"NA")</f>
        <v>4545.8436685920324</v>
      </c>
    </row>
    <row r="398" spans="1:83" x14ac:dyDescent="0.25">
      <c r="A398" s="79" t="s">
        <v>87</v>
      </c>
      <c r="B398" s="79" t="s">
        <v>88</v>
      </c>
      <c r="C398" s="79" t="s">
        <v>122</v>
      </c>
      <c r="D398" s="79" t="s">
        <v>90</v>
      </c>
      <c r="E398" s="79" t="s">
        <v>91</v>
      </c>
      <c r="F398" s="79" t="s">
        <v>90</v>
      </c>
      <c r="G398" s="79" t="s">
        <v>92</v>
      </c>
      <c r="H398" s="79" t="s">
        <v>18</v>
      </c>
      <c r="I398" s="79" t="s">
        <v>157</v>
      </c>
      <c r="J398" s="79" t="s">
        <v>158</v>
      </c>
      <c r="K398" s="79" t="s">
        <v>159</v>
      </c>
      <c r="L398" s="79">
        <v>562.52000000000032</v>
      </c>
      <c r="M398" s="79">
        <v>0</v>
      </c>
      <c r="N398" s="79">
        <v>2.7796637938074218E-2</v>
      </c>
      <c r="O398" s="79">
        <v>169</v>
      </c>
      <c r="P398" s="79">
        <v>53.285725702774094</v>
      </c>
      <c r="Q398" s="79"/>
      <c r="R398" s="79">
        <v>275.37363005821356</v>
      </c>
      <c r="S398" s="79">
        <v>610.96426176974103</v>
      </c>
      <c r="T398" s="79">
        <v>15</v>
      </c>
      <c r="U398" s="79">
        <v>0.2</v>
      </c>
      <c r="V398" s="79">
        <f>tbl_Data_old[[#This Row],[2025 ]]*IFERROR(AVERAGEIFS('Participation Adjustment'!$C:$C,'Participation Adjustment'!$A:$A,$H398,'Participation Adjustment'!$B:$B,$I398),1)</f>
        <v>376.36080462175352</v>
      </c>
      <c r="W398" s="79">
        <f>tbl_Data_old[[#This Row],[2026 ]]*IFERROR(AVERAGEIFS('Participation Adjustment'!$C:$C,'Participation Adjustment'!$A:$A,$H398,'Participation Adjustment'!$B:$B,$I398),1)</f>
        <v>409.93581585153402</v>
      </c>
      <c r="X398" s="79">
        <f>tbl_Data_old[[#This Row],[2027 ]]*IFERROR(AVERAGEIFS('Participation Adjustment'!$C:$C,'Participation Adjustment'!$A:$A,$H398,'Participation Adjustment'!$B:$B,$I398),1)</f>
        <v>436.44895874009353</v>
      </c>
      <c r="Y398" s="79">
        <f>tbl_Data_old[[#This Row],[2028 ]]*IFERROR(AVERAGEIFS('Participation Adjustment'!$C:$C,'Participation Adjustment'!$A:$A,$H398,'Participation Adjustment'!$B:$B,$I398),1)</f>
        <v>458.649243806458</v>
      </c>
      <c r="Z398" s="79">
        <f>tbl_Data_old[[#This Row],[2029 ]]*IFERROR(AVERAGEIFS('Participation Adjustment'!$C:$C,'Participation Adjustment'!$A:$A,$H398,'Participation Adjustment'!$B:$B,$I398),1)</f>
        <v>476.63663859796003</v>
      </c>
      <c r="AA398" s="79">
        <f>tbl_Data_old[[#This Row],[2030 ]]*IFERROR(AVERAGEIFS('Participation Adjustment'!$C:$C,'Participation Adjustment'!$A:$A,$H398,'Participation Adjustment'!$B:$B,$I398),1)</f>
        <v>490.45647767933406</v>
      </c>
      <c r="AB398" s="79">
        <f>tbl_Data_old[[#This Row],[2031 ]]*IFERROR(AVERAGEIFS('Participation Adjustment'!$C:$C,'Participation Adjustment'!$A:$A,$H398,'Participation Adjustment'!$B:$B,$I398),1)</f>
        <v>500.73374194028503</v>
      </c>
      <c r="AC398" s="79">
        <f>tbl_Data_old[[#This Row],[2032 ]]*IFERROR(AVERAGEIFS('Participation Adjustment'!$C:$C,'Participation Adjustment'!$A:$A,$H398,'Participation Adjustment'!$B:$B,$I398),1)</f>
        <v>508.96627111754498</v>
      </c>
      <c r="AD398" s="79">
        <f>tbl_Data_old[[#This Row],[2033 ]]*IFERROR(AVERAGEIFS('Participation Adjustment'!$C:$C,'Participation Adjustment'!$A:$A,$H398,'Participation Adjustment'!$B:$B,$I398),1)</f>
        <v>515.79117772691495</v>
      </c>
      <c r="AE398" s="79">
        <f>tbl_Data_old[[#This Row],[2034 ]]*IFERROR(AVERAGEIFS('Participation Adjustment'!$C:$C,'Participation Adjustment'!$A:$A,$H398,'Participation Adjustment'!$B:$B,$I398),1)</f>
        <v>520.78321754843</v>
      </c>
      <c r="AF398" s="77" t="str">
        <f t="shared" si="165"/>
        <v>NonResidential</v>
      </c>
      <c r="AG398" s="77" t="str">
        <f>tbl_Data[[#This Row],[All_Meas_Name_Append]]</f>
        <v>LED Exterior Wall Packs</v>
      </c>
      <c r="AH398" s="77">
        <f>AVERAGEIFS('3. Incentive Adjustment'!G:G,'3. Incentive Adjustment'!A:A,tbl_Data[[#This Row],[Trimmed Sector]],'3. Incentive Adjustment'!B:B,tbl_Data[[#This Row],[Trimmed Measure Name]])</f>
        <v>0.80637708305213962</v>
      </c>
      <c r="AI398" s="77">
        <f>$AH398*tbl_Data[[#This Row],[2025 ]]</f>
        <v>303.4887278060458</v>
      </c>
      <c r="AJ398" s="77">
        <f>$AH398*tbl_Data[[#This Row],[2026 ]]</f>
        <v>330.56284742495905</v>
      </c>
      <c r="AK398" s="77">
        <f>$AH398*tbl_Data[[#This Row],[2027 ]]</f>
        <v>351.94243824998028</v>
      </c>
      <c r="AL398" s="77">
        <f>$AH398*tbl_Data[[#This Row],[2028 ]]</f>
        <v>369.8442393647212</v>
      </c>
      <c r="AM398" s="77">
        <f>$AH398*tbl_Data[[#This Row],[2029 ]]</f>
        <v>384.34886230839987</v>
      </c>
      <c r="AN398" s="77">
        <f>$AH398*tbl_Data[[#This Row],[2030 ]]</f>
        <v>395.4928638350882</v>
      </c>
      <c r="AO398" s="77">
        <f>$AH398*tbl_Data[[#This Row],[2031 ]]</f>
        <v>403.78021421158985</v>
      </c>
      <c r="AP398" s="77">
        <f>$AH398*tbl_Data[[#This Row],[2032 ]]</f>
        <v>410.41873707569039</v>
      </c>
      <c r="AQ398" s="77">
        <f>$AH398*tbl_Data[[#This Row],[2033 ]]</f>
        <v>415.92218535945739</v>
      </c>
      <c r="AR398" s="77">
        <f>$AH398*tbl_Data[[#This Row],[2034 ]]</f>
        <v>419.94765186921086</v>
      </c>
      <c r="AS398" s="77">
        <f>SUM(tbl_Data[[#This Row],[Adjusted 2025]:[Adjusted 2034]])</f>
        <v>3785.748767505143</v>
      </c>
      <c r="AT398" s="80">
        <f>AVERAGEIFS('3. Incentive Adjustment'!F:F,'3. Incentive Adjustment'!A:A,tbl_Data[[#This Row],[Trimmed Sector]],'3. Incentive Adjustment'!B:B,tbl_Data[[#This Row],[Trimmed Measure Name]])</f>
        <v>8.6864493556481861</v>
      </c>
      <c r="AU398" s="80">
        <f>IFERROR(VLOOKUP(tbl_Data[[#This Row],[All_Meas_Name_Append]],'IRA Tax Credits'!$A$3:$D$46,4,0),0)</f>
        <v>0</v>
      </c>
      <c r="AV398" s="81">
        <f>tbl_Data[[#This Row],[Adj. per unit Incentive ($)]]/tbl_Data[[#This Row],[kWh Savings]]*tbl_Data[[#This Row],[Sum of Annuals]]</f>
        <v>58.459636887827891</v>
      </c>
      <c r="AW398" s="81">
        <f>IFERROR(VLOOKUP(tbl_Data[[#This Row],[Column1]],'1. Set Program Names'!$B$2:$D$15,3,0)*tbl_Data[[#This Row],[Sum of Annuals]],"")</f>
        <v>119.81211962813131</v>
      </c>
      <c r="AX398" s="81">
        <f>tbl_Data[[#This Row],[per unit IRA tax ($)]]/tbl_Data[[#This Row],[kWh Savings]]*tbl_Data[[#This Row],[Sum of Annuals]]</f>
        <v>0</v>
      </c>
      <c r="AY398" s="81">
        <f>tbl_Data[[#This Row],[Avoided Costs ($/unit)]]/tbl_Data[[#This Row],[kWh Savings]]*tbl_Data[[#This Row],[Sum of Annuals]]</f>
        <v>1853.2592273986679</v>
      </c>
      <c r="AZ398" s="81">
        <f>tbl_Data[[#This Row],[Lost Revenue ($/unit)]]/tbl_Data[[#This Row],[kWh Savings]]*tbl_Data[[#This Row],[Sum of Annuals]]</f>
        <v>4111.7777163202827</v>
      </c>
      <c r="BA398" s="81">
        <f>tbl_Data[[#This Row],[Incremental Cost ($/unit)]]/tbl_Data[[#This Row],[kWh Savings]]*tbl_Data[[#This Row],[Sum of Annuals]]</f>
        <v>1137.3667455528139</v>
      </c>
      <c r="BB398" s="77">
        <f>ROUNDUP(tbl_Data[[#This Row],[Adjusted 2025]]/$L398,0)</f>
        <v>1</v>
      </c>
      <c r="BC398" s="77">
        <f>ROUNDUP(tbl_Data[[#This Row],[Adjusted 2026]]/$L398,0)</f>
        <v>1</v>
      </c>
      <c r="BD398" s="77">
        <f>ROUNDUP(tbl_Data[[#This Row],[Adjusted 2027]]/$L398,0)</f>
        <v>1</v>
      </c>
      <c r="BE398" s="77">
        <f>ROUNDUP(tbl_Data[[#This Row],[Adjusted 2028]]/$L398,0)</f>
        <v>1</v>
      </c>
      <c r="BF398" s="77">
        <f>ROUNDUP(tbl_Data[[#This Row],[Adjusted 2029]]/$L398,0)</f>
        <v>1</v>
      </c>
      <c r="BG398" s="77">
        <f>ROUNDUP(tbl_Data[[#This Row],[Adjusted 2030]]/$L398,0)</f>
        <v>1</v>
      </c>
      <c r="BH398" s="77">
        <f>ROUNDUP(tbl_Data[[#This Row],[Adjusted 2031]]/$L398,0)</f>
        <v>1</v>
      </c>
      <c r="BI398" s="77">
        <f>ROUNDUP(tbl_Data[[#This Row],[Adjusted 2032]]/$L398,0)</f>
        <v>1</v>
      </c>
      <c r="BJ398" s="77">
        <f>ROUNDUP(tbl_Data[[#This Row],[Adjusted 2033]]/$L398,0)</f>
        <v>1</v>
      </c>
      <c r="BK398" s="77">
        <f>ROUNDUP(tbl_Data[[#This Row],[Adjusted 2034]]/$L398,0)</f>
        <v>1</v>
      </c>
      <c r="BL398" s="80">
        <f t="shared" si="166"/>
        <v>5.8117739259010559</v>
      </c>
      <c r="BM398" s="80">
        <f t="shared" si="167"/>
        <v>6.3302401753905091</v>
      </c>
      <c r="BN398" s="80">
        <f t="shared" si="168"/>
        <v>6.7396568591715935</v>
      </c>
      <c r="BO398" s="80">
        <f t="shared" si="169"/>
        <v>7.0824742735033999</v>
      </c>
      <c r="BP398" s="80">
        <f t="shared" si="170"/>
        <v>7.3602361200091817</v>
      </c>
      <c r="BQ398" s="80">
        <f t="shared" si="171"/>
        <v>7.5736424562880034</v>
      </c>
      <c r="BR398" s="80">
        <f t="shared" si="172"/>
        <v>7.7323442544771588</v>
      </c>
      <c r="BS398" s="80">
        <f t="shared" si="173"/>
        <v>7.8594711971052691</v>
      </c>
      <c r="BT398" s="80">
        <f t="shared" si="174"/>
        <v>7.9648615932144224</v>
      </c>
      <c r="BU398" s="80">
        <f t="shared" si="175"/>
        <v>8.0419488098306662</v>
      </c>
      <c r="BV398" s="80">
        <f>IFERROR(VLOOKUP($H398,'1. Set Program Names'!$B$2:$D$15,3,0)*V398,"NA")</f>
        <v>11.911140573757059</v>
      </c>
      <c r="BW398" s="80">
        <f>IFERROR(VLOOKUP($H398,'1. Set Program Names'!$B$2:$D$15,3,0)*W398,"NA")</f>
        <v>12.973729115423367</v>
      </c>
      <c r="BX398" s="80">
        <f>IFERROR(VLOOKUP($H398,'1. Set Program Names'!$B$2:$D$15,3,0)*X398,"NA")</f>
        <v>13.812822262530235</v>
      </c>
      <c r="BY398" s="80">
        <f>IFERROR(VLOOKUP($H398,'1. Set Program Names'!$B$2:$D$15,3,0)*Y398,"NA")</f>
        <v>14.515421239245418</v>
      </c>
      <c r="BZ398" s="80">
        <f>IFERROR(VLOOKUP($H398,'1. Set Program Names'!$B$2:$D$15,3,0)*Z398,"NA")</f>
        <v>15.084689838117104</v>
      </c>
      <c r="CA398" s="80">
        <f>IFERROR(VLOOKUP($H398,'1. Set Program Names'!$B$2:$D$15,3,0)*AA398,"NA")</f>
        <v>15.522062816343098</v>
      </c>
      <c r="CB398" s="80">
        <f>IFERROR(VLOOKUP($H398,'1. Set Program Names'!$B$2:$D$15,3,0)*AB398,"NA")</f>
        <v>15.847319691720607</v>
      </c>
      <c r="CC398" s="80">
        <f>IFERROR(VLOOKUP($H398,'1. Set Program Names'!$B$2:$D$15,3,0)*AC398,"NA")</f>
        <v>16.107864390062534</v>
      </c>
      <c r="CD398" s="80">
        <f>IFERROR(VLOOKUP($H398,'1. Set Program Names'!$B$2:$D$15,3,0)*AD398,"NA")</f>
        <v>16.323860373248586</v>
      </c>
      <c r="CE398" s="80">
        <f>IFERROR(VLOOKUP($H398,'1. Set Program Names'!$B$2:$D$15,3,0)*AE398,"NA")</f>
        <v>16.481849428786976</v>
      </c>
    </row>
    <row r="399" spans="1:83" x14ac:dyDescent="0.25">
      <c r="A399" s="79" t="s">
        <v>87</v>
      </c>
      <c r="B399" s="79" t="s">
        <v>88</v>
      </c>
      <c r="C399" s="79" t="s">
        <v>122</v>
      </c>
      <c r="D399" s="79" t="s">
        <v>90</v>
      </c>
      <c r="E399" s="79" t="s">
        <v>91</v>
      </c>
      <c r="F399" s="79" t="s">
        <v>90</v>
      </c>
      <c r="G399" s="79" t="s">
        <v>92</v>
      </c>
      <c r="H399" s="79" t="s">
        <v>18</v>
      </c>
      <c r="I399" s="79" t="s">
        <v>160</v>
      </c>
      <c r="J399" s="79" t="s">
        <v>161</v>
      </c>
      <c r="K399" s="79" t="s">
        <v>159</v>
      </c>
      <c r="L399" s="79">
        <v>1059.6621428571407</v>
      </c>
      <c r="M399" s="79">
        <v>0.13879011985330975</v>
      </c>
      <c r="N399" s="79">
        <v>0.14661252282673942</v>
      </c>
      <c r="O399" s="79">
        <v>179</v>
      </c>
      <c r="P399" s="79">
        <v>5.0437849584490522</v>
      </c>
      <c r="Q399" s="79"/>
      <c r="R399" s="79">
        <v>417.01467834907817</v>
      </c>
      <c r="S399" s="79">
        <v>1150.9203207638036</v>
      </c>
      <c r="T399" s="79">
        <v>15</v>
      </c>
      <c r="U399" s="79">
        <v>0.2</v>
      </c>
      <c r="V399" s="79">
        <f>tbl_Data_old[[#This Row],[2025 ]]*IFERROR(AVERAGEIFS('Participation Adjustment'!$C:$C,'Participation Adjustment'!$A:$A,$H399,'Participation Adjustment'!$B:$B,$I399),1)</f>
        <v>33399.554904589197</v>
      </c>
      <c r="W399" s="79">
        <f>tbl_Data_old[[#This Row],[2026 ]]*IFERROR(AVERAGEIFS('Participation Adjustment'!$C:$C,'Participation Adjustment'!$A:$A,$H399,'Participation Adjustment'!$B:$B,$I399),1)</f>
        <v>36353.861056562098</v>
      </c>
      <c r="X399" s="79">
        <f>tbl_Data_old[[#This Row],[2027 ]]*IFERROR(AVERAGEIFS('Participation Adjustment'!$C:$C,'Participation Adjustment'!$A:$A,$H399,'Participation Adjustment'!$B:$B,$I399),1)</f>
        <v>38697.872397124003</v>
      </c>
      <c r="Y399" s="79">
        <f>tbl_Data_old[[#This Row],[2028 ]]*IFERROR(AVERAGEIFS('Participation Adjustment'!$C:$C,'Participation Adjustment'!$A:$A,$H399,'Participation Adjustment'!$B:$B,$I399),1)</f>
        <v>40661.775086744899</v>
      </c>
      <c r="Z399" s="79">
        <f>tbl_Data_old[[#This Row],[2029 ]]*IFERROR(AVERAGEIFS('Participation Adjustment'!$C:$C,'Participation Adjustment'!$A:$A,$H399,'Participation Adjustment'!$B:$B,$I399),1)</f>
        <v>42247.325047269493</v>
      </c>
      <c r="AA399" s="79">
        <f>tbl_Data_old[[#This Row],[2030 ]]*IFERROR(AVERAGEIFS('Participation Adjustment'!$C:$C,'Participation Adjustment'!$A:$A,$H399,'Participation Adjustment'!$B:$B,$I399),1)</f>
        <v>43466.160724830697</v>
      </c>
      <c r="AB399" s="79">
        <f>tbl_Data_old[[#This Row],[2031 ]]*IFERROR(AVERAGEIFS('Participation Adjustment'!$C:$C,'Participation Adjustment'!$A:$A,$H399,'Participation Adjustment'!$B:$B,$I399),1)</f>
        <v>44366.195631238996</v>
      </c>
      <c r="AC399" s="79">
        <f>tbl_Data_old[[#This Row],[2032 ]]*IFERROR(AVERAGEIFS('Participation Adjustment'!$C:$C,'Participation Adjustment'!$A:$A,$H399,'Participation Adjustment'!$B:$B,$I399),1)</f>
        <v>45081.7971133955</v>
      </c>
      <c r="AD399" s="79">
        <f>tbl_Data_old[[#This Row],[2033 ]]*IFERROR(AVERAGEIFS('Participation Adjustment'!$C:$C,'Participation Adjustment'!$A:$A,$H399,'Participation Adjustment'!$B:$B,$I399),1)</f>
        <v>45679.359781391606</v>
      </c>
      <c r="AE399" s="79">
        <f>tbl_Data_old[[#This Row],[2034 ]]*IFERROR(AVERAGEIFS('Participation Adjustment'!$C:$C,'Participation Adjustment'!$A:$A,$H399,'Participation Adjustment'!$B:$B,$I399),1)</f>
        <v>46111.000151782704</v>
      </c>
      <c r="AF399" s="77" t="str">
        <f t="shared" si="165"/>
        <v>NonResidential</v>
      </c>
      <c r="AG399" s="77" t="str">
        <f>tbl_Data[[#This Row],[All_Meas_Name_Append]]</f>
        <v>LED High Bay_HID Baseline</v>
      </c>
      <c r="AH399" s="77">
        <f>AVERAGEIFS('3. Incentive Adjustment'!G:G,'3. Incentive Adjustment'!A:A,tbl_Data[[#This Row],[Trimmed Sector]],'3. Incentive Adjustment'!B:B,tbl_Data[[#This Row],[Trimmed Measure Name]])</f>
        <v>1.0603846876879557</v>
      </c>
      <c r="AI399" s="77">
        <f>$AH399*tbl_Data[[#This Row],[2025 ]]</f>
        <v>35416.376596419541</v>
      </c>
      <c r="AJ399" s="77">
        <f>$AH399*tbl_Data[[#This Row],[2026 ]]</f>
        <v>38549.077602713936</v>
      </c>
      <c r="AK399" s="77">
        <f>$AH399*tbl_Data[[#This Row],[2027 ]]</f>
        <v>41034.631336012695</v>
      </c>
      <c r="AL399" s="77">
        <f>$AH399*tbl_Data[[#This Row],[2028 ]]</f>
        <v>43117.123676195886</v>
      </c>
      <c r="AM399" s="77">
        <f>$AH399*tbl_Data[[#This Row],[2029 ]]</f>
        <v>44798.41657590041</v>
      </c>
      <c r="AN399" s="77">
        <f>$AH399*tbl_Data[[#This Row],[2030 ]]</f>
        <v>46090.851265194084</v>
      </c>
      <c r="AO399" s="77">
        <f>$AH399*tbl_Data[[#This Row],[2031 ]]</f>
        <v>47045.23449833411</v>
      </c>
      <c r="AP399" s="77">
        <f>$AH399*tbl_Data[[#This Row],[2032 ]]</f>
        <v>47804.047352499671</v>
      </c>
      <c r="AQ399" s="77">
        <f>$AH399*tbl_Data[[#This Row],[2033 ]]</f>
        <v>48437.693655576702</v>
      </c>
      <c r="AR399" s="77">
        <f>$AH399*tbl_Data[[#This Row],[2034 ]]</f>
        <v>48895.39849492738</v>
      </c>
      <c r="AS399" s="77">
        <f>SUM(tbl_Data[[#This Row],[Adjusted 2025]:[Adjusted 2034]])</f>
        <v>441188.85105377442</v>
      </c>
      <c r="AT399" s="80">
        <f>AVERAGEIFS('3. Incentive Adjustment'!F:F,'3. Incentive Adjustment'!A:A,tbl_Data[[#This Row],[Trimmed Sector]],'3. Incentive Adjustment'!B:B,tbl_Data[[#This Row],[Trimmed Measure Name]])</f>
        <v>28.590998621954778</v>
      </c>
      <c r="AU399" s="80">
        <f>IFERROR(VLOOKUP(tbl_Data[[#This Row],[All_Meas_Name_Append]],'IRA Tax Credits'!$A$3:$D$46,4,0),0)</f>
        <v>0</v>
      </c>
      <c r="AV399" s="81">
        <f>tbl_Data[[#This Row],[Adj. per unit Incentive ($)]]/tbl_Data[[#This Row],[kWh Savings]]*tbl_Data[[#This Row],[Sum of Annuals]]</f>
        <v>11903.822286686001</v>
      </c>
      <c r="AW399" s="81">
        <f>IFERROR(VLOOKUP(tbl_Data[[#This Row],[Column1]],'1. Set Program Names'!$B$2:$D$15,3,0)*tbl_Data[[#This Row],[Sum of Annuals]],"")</f>
        <v>13962.83130427799</v>
      </c>
      <c r="AX399" s="81">
        <f>tbl_Data[[#This Row],[per unit IRA tax ($)]]/tbl_Data[[#This Row],[kWh Savings]]*tbl_Data[[#This Row],[Sum of Annuals]]</f>
        <v>0</v>
      </c>
      <c r="AY399" s="81">
        <f>tbl_Data[[#This Row],[Avoided Costs ($/unit)]]/tbl_Data[[#This Row],[kWh Savings]]*tbl_Data[[#This Row],[Sum of Annuals]]</f>
        <v>173623.47806190603</v>
      </c>
      <c r="AZ399" s="81">
        <f>tbl_Data[[#This Row],[Lost Revenue ($/unit)]]/tbl_Data[[#This Row],[kWh Savings]]*tbl_Data[[#This Row],[Sum of Annuals]]</f>
        <v>479184.06578452233</v>
      </c>
      <c r="BA399" s="81">
        <f>tbl_Data[[#This Row],[Incremental Cost ($/unit)]]/tbl_Data[[#This Row],[kWh Savings]]*tbl_Data[[#This Row],[Sum of Annuals]]</f>
        <v>74526.399636862756</v>
      </c>
      <c r="BB399" s="77">
        <f>ROUNDUP(tbl_Data[[#This Row],[Adjusted 2025]]/$L399,0)</f>
        <v>34</v>
      </c>
      <c r="BC399" s="77">
        <f>ROUNDUP(tbl_Data[[#This Row],[Adjusted 2026]]/$L399,0)</f>
        <v>37</v>
      </c>
      <c r="BD399" s="77">
        <f>ROUNDUP(tbl_Data[[#This Row],[Adjusted 2027]]/$L399,0)</f>
        <v>39</v>
      </c>
      <c r="BE399" s="77">
        <f>ROUNDUP(tbl_Data[[#This Row],[Adjusted 2028]]/$L399,0)</f>
        <v>41</v>
      </c>
      <c r="BF399" s="77">
        <f>ROUNDUP(tbl_Data[[#This Row],[Adjusted 2029]]/$L399,0)</f>
        <v>43</v>
      </c>
      <c r="BG399" s="77">
        <f>ROUNDUP(tbl_Data[[#This Row],[Adjusted 2030]]/$L399,0)</f>
        <v>44</v>
      </c>
      <c r="BH399" s="77">
        <f>ROUNDUP(tbl_Data[[#This Row],[Adjusted 2031]]/$L399,0)</f>
        <v>45</v>
      </c>
      <c r="BI399" s="77">
        <f>ROUNDUP(tbl_Data[[#This Row],[Adjusted 2032]]/$L399,0)</f>
        <v>46</v>
      </c>
      <c r="BJ399" s="77">
        <f>ROUNDUP(tbl_Data[[#This Row],[Adjusted 2033]]/$L399,0)</f>
        <v>46</v>
      </c>
      <c r="BK399" s="77">
        <f>ROUNDUP(tbl_Data[[#This Row],[Adjusted 2034]]/$L399,0)</f>
        <v>47</v>
      </c>
      <c r="BL399" s="80">
        <f t="shared" si="166"/>
        <v>901.16140761268286</v>
      </c>
      <c r="BM399" s="80">
        <f t="shared" si="167"/>
        <v>980.87225100673356</v>
      </c>
      <c r="BN399" s="80">
        <f t="shared" si="168"/>
        <v>1044.1165836080227</v>
      </c>
      <c r="BO399" s="80">
        <f t="shared" si="169"/>
        <v>1097.1051134626505</v>
      </c>
      <c r="BP399" s="80">
        <f t="shared" si="170"/>
        <v>1139.885217519374</v>
      </c>
      <c r="BQ399" s="80">
        <f t="shared" si="171"/>
        <v>1172.7709154868248</v>
      </c>
      <c r="BR399" s="80">
        <f t="shared" si="172"/>
        <v>1197.0549733276077</v>
      </c>
      <c r="BS399" s="80">
        <f t="shared" si="173"/>
        <v>1216.3627886799995</v>
      </c>
      <c r="BT399" s="80">
        <f t="shared" si="174"/>
        <v>1232.4857704552498</v>
      </c>
      <c r="BU399" s="80">
        <f t="shared" si="175"/>
        <v>1244.1319628933009</v>
      </c>
      <c r="BV399" s="80">
        <f>IFERROR(VLOOKUP($H399,'1. Set Program Names'!$B$2:$D$15,3,0)*V399,"NA")</f>
        <v>1057.0356654681377</v>
      </c>
      <c r="BW399" s="80">
        <f>IFERROR(VLOOKUP($H399,'1. Set Program Names'!$B$2:$D$15,3,0)*W399,"NA")</f>
        <v>1150.5341260993662</v>
      </c>
      <c r="BX399" s="80">
        <f>IFERROR(VLOOKUP($H399,'1. Set Program Names'!$B$2:$D$15,3,0)*X399,"NA")</f>
        <v>1224.7178568201391</v>
      </c>
      <c r="BY399" s="80">
        <f>IFERROR(VLOOKUP($H399,'1. Set Program Names'!$B$2:$D$15,3,0)*Y399,"NA")</f>
        <v>1286.8718343916441</v>
      </c>
      <c r="BZ399" s="80">
        <f>IFERROR(VLOOKUP($H399,'1. Set Program Names'!$B$2:$D$15,3,0)*Z399,"NA")</f>
        <v>1337.0516305728745</v>
      </c>
      <c r="CA399" s="80">
        <f>IFERROR(VLOOKUP($H399,'1. Set Program Names'!$B$2:$D$15,3,0)*AA399,"NA")</f>
        <v>1375.6255811901083</v>
      </c>
      <c r="CB399" s="80">
        <f>IFERROR(VLOOKUP($H399,'1. Set Program Names'!$B$2:$D$15,3,0)*AB399,"NA")</f>
        <v>1404.1100624641126</v>
      </c>
      <c r="CC399" s="80">
        <f>IFERROR(VLOOKUP($H399,'1. Set Program Names'!$B$2:$D$15,3,0)*AC399,"NA")</f>
        <v>1426.7575585478808</v>
      </c>
      <c r="CD399" s="80">
        <f>IFERROR(VLOOKUP($H399,'1. Set Program Names'!$B$2:$D$15,3,0)*AD399,"NA")</f>
        <v>1445.6693390859321</v>
      </c>
      <c r="CE399" s="80">
        <f>IFERROR(VLOOKUP($H399,'1. Set Program Names'!$B$2:$D$15,3,0)*AE399,"NA")</f>
        <v>1459.3299782011129</v>
      </c>
    </row>
    <row r="400" spans="1:83" x14ac:dyDescent="0.25">
      <c r="A400" s="79" t="s">
        <v>87</v>
      </c>
      <c r="B400" s="79" t="s">
        <v>88</v>
      </c>
      <c r="C400" s="79" t="s">
        <v>122</v>
      </c>
      <c r="D400" s="79" t="s">
        <v>90</v>
      </c>
      <c r="E400" s="79" t="s">
        <v>91</v>
      </c>
      <c r="F400" s="79" t="s">
        <v>90</v>
      </c>
      <c r="G400" s="79" t="s">
        <v>92</v>
      </c>
      <c r="H400" s="79" t="s">
        <v>18</v>
      </c>
      <c r="I400" s="79" t="s">
        <v>162</v>
      </c>
      <c r="J400" s="79" t="s">
        <v>161</v>
      </c>
      <c r="K400" s="79" t="s">
        <v>159</v>
      </c>
      <c r="L400" s="79">
        <v>632.51142857142861</v>
      </c>
      <c r="M400" s="79">
        <v>7.5636667797052567E-2</v>
      </c>
      <c r="N400" s="79">
        <v>7.2066360150851286E-2</v>
      </c>
      <c r="O400" s="79">
        <v>179</v>
      </c>
      <c r="P400" s="79">
        <v>51.895440493260928</v>
      </c>
      <c r="Q400" s="79"/>
      <c r="R400" s="79">
        <v>248.91572427603518</v>
      </c>
      <c r="S400" s="79">
        <v>686.98335706831222</v>
      </c>
      <c r="T400" s="79">
        <v>15</v>
      </c>
      <c r="U400" s="79">
        <v>0.2</v>
      </c>
      <c r="V400" s="79">
        <f>tbl_Data_old[[#This Row],[2025 ]]*IFERROR(AVERAGEIFS('Participation Adjustment'!$C:$C,'Participation Adjustment'!$A:$A,$H400,'Participation Adjustment'!$B:$B,$I400),1)</f>
        <v>97572.75772762399</v>
      </c>
      <c r="W400" s="79">
        <f>tbl_Data_old[[#This Row],[2026 ]]*IFERROR(AVERAGEIFS('Participation Adjustment'!$C:$C,'Participation Adjustment'!$A:$A,$H400,'Participation Adjustment'!$B:$B,$I400),1)</f>
        <v>106203.40562826599</v>
      </c>
      <c r="X400" s="79">
        <f>tbl_Data_old[[#This Row],[2027 ]]*IFERROR(AVERAGEIFS('Participation Adjustment'!$C:$C,'Participation Adjustment'!$A:$A,$H400,'Participation Adjustment'!$B:$B,$I400),1)</f>
        <v>113051.151093641</v>
      </c>
      <c r="Y400" s="79">
        <f>tbl_Data_old[[#This Row],[2028 ]]*IFERROR(AVERAGEIFS('Participation Adjustment'!$C:$C,'Participation Adjustment'!$A:$A,$H400,'Participation Adjustment'!$B:$B,$I400),1)</f>
        <v>118788.455135039</v>
      </c>
      <c r="Z400" s="79">
        <f>tbl_Data_old[[#This Row],[2029 ]]*IFERROR(AVERAGEIFS('Participation Adjustment'!$C:$C,'Participation Adjustment'!$A:$A,$H400,'Participation Adjustment'!$B:$B,$I400),1)</f>
        <v>123420.44746563301</v>
      </c>
      <c r="AA400" s="79">
        <f>tbl_Data_old[[#This Row],[2030 ]]*IFERROR(AVERAGEIFS('Participation Adjustment'!$C:$C,'Participation Adjustment'!$A:$A,$H400,'Participation Adjustment'!$B:$B,$I400),1)</f>
        <v>126981.12839734601</v>
      </c>
      <c r="AB400" s="79">
        <f>tbl_Data_old[[#This Row],[2031 ]]*IFERROR(AVERAGEIFS('Participation Adjustment'!$C:$C,'Participation Adjustment'!$A:$A,$H400,'Participation Adjustment'!$B:$B,$I400),1)</f>
        <v>129610.47145656499</v>
      </c>
      <c r="AC400" s="79">
        <f>tbl_Data_old[[#This Row],[2032 ]]*IFERROR(AVERAGEIFS('Participation Adjustment'!$C:$C,'Participation Adjustment'!$A:$A,$H400,'Participation Adjustment'!$B:$B,$I400),1)</f>
        <v>131701.014586479</v>
      </c>
      <c r="AD400" s="79">
        <f>tbl_Data_old[[#This Row],[2033 ]]*IFERROR(AVERAGEIFS('Participation Adjustment'!$C:$C,'Participation Adjustment'!$A:$A,$H400,'Participation Adjustment'!$B:$B,$I400),1)</f>
        <v>133446.72160557</v>
      </c>
      <c r="AE400" s="79">
        <f>tbl_Data_old[[#This Row],[2034 ]]*IFERROR(AVERAGEIFS('Participation Adjustment'!$C:$C,'Participation Adjustment'!$A:$A,$H400,'Participation Adjustment'!$B:$B,$I400),1)</f>
        <v>134707.70671168802</v>
      </c>
      <c r="AF400" s="77" t="str">
        <f t="shared" si="165"/>
        <v>NonResidential</v>
      </c>
      <c r="AG400" s="77" t="str">
        <f>tbl_Data[[#This Row],[All_Meas_Name_Append]]</f>
        <v>LED High Bay_LF Baseline</v>
      </c>
      <c r="AH400" s="77">
        <f>AVERAGEIFS('3. Incentive Adjustment'!G:G,'3. Incentive Adjustment'!A:A,tbl_Data[[#This Row],[Trimmed Sector]],'3. Incentive Adjustment'!B:B,tbl_Data[[#This Row],[Trimmed Measure Name]])</f>
        <v>0.93017466414143679</v>
      </c>
      <c r="AI400" s="77">
        <f>$AH400*tbl_Data[[#This Row],[2025 ]]</f>
        <v>90759.707148646427</v>
      </c>
      <c r="AJ400" s="77">
        <f>$AH400*tbl_Data[[#This Row],[2026 ]]</f>
        <v>98787.717160949091</v>
      </c>
      <c r="AK400" s="77">
        <f>$AH400*tbl_Data[[#This Row],[2027 ]]</f>
        <v>105157.31649933035</v>
      </c>
      <c r="AL400" s="77">
        <f>$AH400*tbl_Data[[#This Row],[2028 ]]</f>
        <v>110494.01135911503</v>
      </c>
      <c r="AM400" s="77">
        <f>$AH400*tbl_Data[[#This Row],[2029 ]]</f>
        <v>114802.57326953103</v>
      </c>
      <c r="AN400" s="77">
        <f>$AH400*tbl_Data[[#This Row],[2030 ]]</f>
        <v>118114.62845930198</v>
      </c>
      <c r="AO400" s="77">
        <f>$AH400*tbl_Data[[#This Row],[2031 ]]</f>
        <v>120560.37675632362</v>
      </c>
      <c r="AP400" s="77">
        <f>$AH400*tbl_Data[[#This Row],[2032 ]]</f>
        <v>122504.94701006457</v>
      </c>
      <c r="AQ400" s="77">
        <f>$AH400*tbl_Data[[#This Row],[2033 ]]</f>
        <v>124128.75945023689</v>
      </c>
      <c r="AR400" s="77">
        <f>$AH400*tbl_Data[[#This Row],[2034 ]]</f>
        <v>125301.69584780757</v>
      </c>
      <c r="AS400" s="77">
        <f>SUM(tbl_Data[[#This Row],[Adjusted 2025]:[Adjusted 2034]])</f>
        <v>1130611.7329613066</v>
      </c>
      <c r="AT400" s="80">
        <f>AVERAGEIFS('3. Incentive Adjustment'!F:F,'3. Incentive Adjustment'!A:A,tbl_Data[[#This Row],[Trimmed Sector]],'3. Incentive Adjustment'!B:B,tbl_Data[[#This Row],[Trimmed Measure Name]])</f>
        <v>23.858858929800434</v>
      </c>
      <c r="AU400" s="80">
        <f>IFERROR(VLOOKUP(tbl_Data[[#This Row],[All_Meas_Name_Append]],'IRA Tax Credits'!$A$3:$D$46,4,0),0)</f>
        <v>0</v>
      </c>
      <c r="AV400" s="81">
        <f>tbl_Data[[#This Row],[Adj. per unit Incentive ($)]]/tbl_Data[[#This Row],[kWh Savings]]*tbl_Data[[#This Row],[Sum of Annuals]]</f>
        <v>42647.618086563554</v>
      </c>
      <c r="AW400" s="81">
        <f>IFERROR(VLOOKUP(tbl_Data[[#This Row],[Column1]],'1. Set Program Names'!$B$2:$D$15,3,0)*tbl_Data[[#This Row],[Sum of Annuals]],"")</f>
        <v>35781.821912022824</v>
      </c>
      <c r="AX400" s="81">
        <f>tbl_Data[[#This Row],[per unit IRA tax ($)]]/tbl_Data[[#This Row],[kWh Savings]]*tbl_Data[[#This Row],[Sum of Annuals]]</f>
        <v>0</v>
      </c>
      <c r="AY400" s="81">
        <f>tbl_Data[[#This Row],[Avoided Costs ($/unit)]]/tbl_Data[[#This Row],[kWh Savings]]*tbl_Data[[#This Row],[Sum of Annuals]]</f>
        <v>444935.89470892184</v>
      </c>
      <c r="AZ400" s="81">
        <f>tbl_Data[[#This Row],[Lost Revenue ($/unit)]]/tbl_Data[[#This Row],[kWh Savings]]*tbl_Data[[#This Row],[Sum of Annuals]]</f>
        <v>1227980.094533371</v>
      </c>
      <c r="BA400" s="81">
        <f>tbl_Data[[#This Row],[Incremental Cost ($/unit)]]/tbl_Data[[#This Row],[kWh Savings]]*tbl_Data[[#This Row],[Sum of Annuals]]</f>
        <v>319961.8078951746</v>
      </c>
      <c r="BB400" s="77">
        <f>ROUNDUP(tbl_Data[[#This Row],[Adjusted 2025]]/$L400,0)</f>
        <v>144</v>
      </c>
      <c r="BC400" s="77">
        <f>ROUNDUP(tbl_Data[[#This Row],[Adjusted 2026]]/$L400,0)</f>
        <v>157</v>
      </c>
      <c r="BD400" s="77">
        <f>ROUNDUP(tbl_Data[[#This Row],[Adjusted 2027]]/$L400,0)</f>
        <v>167</v>
      </c>
      <c r="BE400" s="77">
        <f>ROUNDUP(tbl_Data[[#This Row],[Adjusted 2028]]/$L400,0)</f>
        <v>175</v>
      </c>
      <c r="BF400" s="77">
        <f>ROUNDUP(tbl_Data[[#This Row],[Adjusted 2029]]/$L400,0)</f>
        <v>182</v>
      </c>
      <c r="BG400" s="77">
        <f>ROUNDUP(tbl_Data[[#This Row],[Adjusted 2030]]/$L400,0)</f>
        <v>187</v>
      </c>
      <c r="BH400" s="77">
        <f>ROUNDUP(tbl_Data[[#This Row],[Adjusted 2031]]/$L400,0)</f>
        <v>191</v>
      </c>
      <c r="BI400" s="77">
        <f>ROUNDUP(tbl_Data[[#This Row],[Adjusted 2032]]/$L400,0)</f>
        <v>194</v>
      </c>
      <c r="BJ400" s="77">
        <f>ROUNDUP(tbl_Data[[#This Row],[Adjusted 2033]]/$L400,0)</f>
        <v>197</v>
      </c>
      <c r="BK400" s="77">
        <f>ROUNDUP(tbl_Data[[#This Row],[Adjusted 2034]]/$L400,0)</f>
        <v>199</v>
      </c>
      <c r="BL400" s="80">
        <f t="shared" si="166"/>
        <v>3680.5258480038369</v>
      </c>
      <c r="BM400" s="80">
        <f t="shared" si="167"/>
        <v>4006.081089273192</v>
      </c>
      <c r="BN400" s="80">
        <f t="shared" si="168"/>
        <v>4264.3837628147076</v>
      </c>
      <c r="BO400" s="80">
        <f t="shared" si="169"/>
        <v>4480.7996591570927</v>
      </c>
      <c r="BP400" s="80">
        <f t="shared" si="170"/>
        <v>4655.5222753620901</v>
      </c>
      <c r="BQ400" s="80">
        <f t="shared" si="171"/>
        <v>4789.8341315694079</v>
      </c>
      <c r="BR400" s="80">
        <f t="shared" si="172"/>
        <v>4889.0151460052139</v>
      </c>
      <c r="BS400" s="80">
        <f t="shared" si="173"/>
        <v>4967.8721774677679</v>
      </c>
      <c r="BT400" s="80">
        <f t="shared" si="174"/>
        <v>5033.7217030570919</v>
      </c>
      <c r="BU400" s="80">
        <f t="shared" si="175"/>
        <v>5081.287113578448</v>
      </c>
      <c r="BV400" s="80">
        <f>IFERROR(VLOOKUP($H400,'1. Set Program Names'!$B$2:$D$15,3,0)*V400,"NA")</f>
        <v>3088.0017769940087</v>
      </c>
      <c r="BW400" s="80">
        <f>IFERROR(VLOOKUP($H400,'1. Set Program Names'!$B$2:$D$15,3,0)*W400,"NA")</f>
        <v>3361.1462147907769</v>
      </c>
      <c r="BX400" s="80">
        <f>IFERROR(VLOOKUP($H400,'1. Set Program Names'!$B$2:$D$15,3,0)*X400,"NA")</f>
        <v>3577.8650065718775</v>
      </c>
      <c r="BY400" s="80">
        <f>IFERROR(VLOOKUP($H400,'1. Set Program Names'!$B$2:$D$15,3,0)*Y400,"NA")</f>
        <v>3759.4403303364129</v>
      </c>
      <c r="BZ400" s="80">
        <f>IFERROR(VLOOKUP($H400,'1. Set Program Names'!$B$2:$D$15,3,0)*Z400,"NA")</f>
        <v>3906.0345322531575</v>
      </c>
      <c r="CA400" s="80">
        <f>IFERROR(VLOOKUP($H400,'1. Set Program Names'!$B$2:$D$15,3,0)*AA400,"NA")</f>
        <v>4018.7236608635453</v>
      </c>
      <c r="CB400" s="80">
        <f>IFERROR(VLOOKUP($H400,'1. Set Program Names'!$B$2:$D$15,3,0)*AB400,"NA")</f>
        <v>4101.9376257886788</v>
      </c>
      <c r="CC400" s="80">
        <f>IFERROR(VLOOKUP($H400,'1. Set Program Names'!$B$2:$D$15,3,0)*AC400,"NA")</f>
        <v>4168.0995448570939</v>
      </c>
      <c r="CD400" s="80">
        <f>IFERROR(VLOOKUP($H400,'1. Set Program Names'!$B$2:$D$15,3,0)*AD400,"NA")</f>
        <v>4223.3480230451578</v>
      </c>
      <c r="CE400" s="80">
        <f>IFERROR(VLOOKUP($H400,'1. Set Program Names'!$B$2:$D$15,3,0)*AE400,"NA")</f>
        <v>4263.2559270456313</v>
      </c>
    </row>
    <row r="401" spans="1:83" x14ac:dyDescent="0.25">
      <c r="A401" s="79" t="s">
        <v>87</v>
      </c>
      <c r="B401" s="79" t="s">
        <v>88</v>
      </c>
      <c r="C401" s="79" t="s">
        <v>122</v>
      </c>
      <c r="D401" s="79" t="s">
        <v>90</v>
      </c>
      <c r="E401" s="79" t="s">
        <v>91</v>
      </c>
      <c r="F401" s="79" t="s">
        <v>90</v>
      </c>
      <c r="G401" s="79" t="s">
        <v>92</v>
      </c>
      <c r="H401" s="79" t="s">
        <v>18</v>
      </c>
      <c r="I401" s="79" t="s">
        <v>163</v>
      </c>
      <c r="J401" s="79" t="s">
        <v>161</v>
      </c>
      <c r="K401" s="79" t="s">
        <v>159</v>
      </c>
      <c r="L401" s="79">
        <v>217.06142857142831</v>
      </c>
      <c r="M401" s="79">
        <v>3.4743730880075478E-2</v>
      </c>
      <c r="N401" s="79">
        <v>3.4497784431073229E-2</v>
      </c>
      <c r="O401" s="79">
        <v>109.07999999999996</v>
      </c>
      <c r="P401" s="79">
        <v>64.428955263702662</v>
      </c>
      <c r="Q401" s="79"/>
      <c r="R401" s="79">
        <v>85.561030664747506</v>
      </c>
      <c r="S401" s="79">
        <v>235.75477399173039</v>
      </c>
      <c r="T401" s="79">
        <v>15</v>
      </c>
      <c r="U401" s="79">
        <v>0.2</v>
      </c>
      <c r="V401" s="79">
        <f>tbl_Data_old[[#This Row],[2025 ]]*IFERROR(AVERAGEIFS('Participation Adjustment'!$C:$C,'Participation Adjustment'!$A:$A,$H401,'Participation Adjustment'!$B:$B,$I401),1)</f>
        <v>381417.18082478998</v>
      </c>
      <c r="W401" s="79">
        <f>tbl_Data_old[[#This Row],[2026 ]]*IFERROR(AVERAGEIFS('Participation Adjustment'!$C:$C,'Participation Adjustment'!$A:$A,$H401,'Participation Adjustment'!$B:$B,$I401),1)</f>
        <v>400982.36371329898</v>
      </c>
      <c r="X401" s="79">
        <f>tbl_Data_old[[#This Row],[2027 ]]*IFERROR(AVERAGEIFS('Participation Adjustment'!$C:$C,'Participation Adjustment'!$A:$A,$H401,'Participation Adjustment'!$B:$B,$I401),1)</f>
        <v>411519.12274928403</v>
      </c>
      <c r="Y401" s="79">
        <f>tbl_Data_old[[#This Row],[2028 ]]*IFERROR(AVERAGEIFS('Participation Adjustment'!$C:$C,'Participation Adjustment'!$A:$A,$H401,'Participation Adjustment'!$B:$B,$I401),1)</f>
        <v>417972.85185977397</v>
      </c>
      <c r="Z401" s="79">
        <f>tbl_Data_old[[#This Row],[2029 ]]*IFERROR(AVERAGEIFS('Participation Adjustment'!$C:$C,'Participation Adjustment'!$A:$A,$H401,'Participation Adjustment'!$B:$B,$I401),1)</f>
        <v>421601.66928237904</v>
      </c>
      <c r="AA401" s="79">
        <f>tbl_Data_old[[#This Row],[2030 ]]*IFERROR(AVERAGEIFS('Participation Adjustment'!$C:$C,'Participation Adjustment'!$A:$A,$H401,'Participation Adjustment'!$B:$B,$I401),1)</f>
        <v>422067.625492836</v>
      </c>
      <c r="AB401" s="79">
        <f>tbl_Data_old[[#This Row],[2031 ]]*IFERROR(AVERAGEIFS('Participation Adjustment'!$C:$C,'Participation Adjustment'!$A:$A,$H401,'Participation Adjustment'!$B:$B,$I401),1)</f>
        <v>420831.17523543601</v>
      </c>
      <c r="AC401" s="79">
        <f>tbl_Data_old[[#This Row],[2032 ]]*IFERROR(AVERAGEIFS('Participation Adjustment'!$C:$C,'Participation Adjustment'!$A:$A,$H401,'Participation Adjustment'!$B:$B,$I401),1)</f>
        <v>419094.13077330298</v>
      </c>
      <c r="AD401" s="79">
        <f>tbl_Data_old[[#This Row],[2033 ]]*IFERROR(AVERAGEIFS('Participation Adjustment'!$C:$C,'Participation Adjustment'!$A:$A,$H401,'Participation Adjustment'!$B:$B,$I401),1)</f>
        <v>416534.02668169496</v>
      </c>
      <c r="AE401" s="79">
        <f>tbl_Data_old[[#This Row],[2034 ]]*IFERROR(AVERAGEIFS('Participation Adjustment'!$C:$C,'Participation Adjustment'!$A:$A,$H401,'Participation Adjustment'!$B:$B,$I401),1)</f>
        <v>413668.83063492295</v>
      </c>
      <c r="AF401" s="77" t="str">
        <f t="shared" si="165"/>
        <v>NonResidential</v>
      </c>
      <c r="AG401" s="77" t="str">
        <f>tbl_Data[[#This Row],[All_Meas_Name_Append]]</f>
        <v>LED Linear - Fixture Replacement</v>
      </c>
      <c r="AH401" s="77">
        <f>AVERAGEIFS('3. Incentive Adjustment'!G:G,'3. Incentive Adjustment'!A:A,tbl_Data[[#This Row],[Trimmed Sector]],'3. Incentive Adjustment'!B:B,tbl_Data[[#This Row],[Trimmed Measure Name]])</f>
        <v>0.56055357916158088</v>
      </c>
      <c r="AI401" s="77">
        <f>$AH401*tbl_Data[[#This Row],[2025 ]]</f>
        <v>213804.76586505593</v>
      </c>
      <c r="AJ401" s="77">
        <f>$AH401*tbl_Data[[#This Row],[2026 ]]</f>
        <v>224772.09916016055</v>
      </c>
      <c r="AK401" s="77">
        <f>$AH401*tbl_Data[[#This Row],[2027 ]]</f>
        <v>230678.51715054511</v>
      </c>
      <c r="AL401" s="77">
        <f>$AH401*tbl_Data[[#This Row],[2028 ]]</f>
        <v>234296.17810236954</v>
      </c>
      <c r="AM401" s="77">
        <f>$AH401*tbl_Data[[#This Row],[2029 ]]</f>
        <v>236330.32469673469</v>
      </c>
      <c r="AN401" s="77">
        <f>$AH401*tbl_Data[[#This Row],[2030 ]]</f>
        <v>236591.51811823892</v>
      </c>
      <c r="AO401" s="77">
        <f>$AH401*tbl_Data[[#This Row],[2031 ]]</f>
        <v>235898.42150099808</v>
      </c>
      <c r="AP401" s="77">
        <f>$AH401*tbl_Data[[#This Row],[2032 ]]</f>
        <v>234924.71501058663</v>
      </c>
      <c r="AQ401" s="77">
        <f>$AH401*tbl_Data[[#This Row],[2033 ]]</f>
        <v>233489.63949900953</v>
      </c>
      <c r="AR401" s="77">
        <f>$AH401*tbl_Data[[#This Row],[2034 ]]</f>
        <v>231883.54359999188</v>
      </c>
      <c r="AS401" s="77">
        <f>SUM(tbl_Data[[#This Row],[Adjusted 2025]:[Adjusted 2034]])</f>
        <v>2312669.7227036911</v>
      </c>
      <c r="AT401" s="80">
        <f>AVERAGEIFS('3. Incentive Adjustment'!F:F,'3. Incentive Adjustment'!A:A,tbl_Data[[#This Row],[Trimmed Sector]],'3. Incentive Adjustment'!B:B,tbl_Data[[#This Row],[Trimmed Measure Name]])</f>
        <v>16.810726621008875</v>
      </c>
      <c r="AU401" s="80">
        <f>IFERROR(VLOOKUP(tbl_Data[[#This Row],[All_Meas_Name_Append]],'IRA Tax Credits'!$A$3:$D$46,4,0),0)</f>
        <v>0</v>
      </c>
      <c r="AV401" s="81">
        <f>tbl_Data[[#This Row],[Adj. per unit Incentive ($)]]/tbl_Data[[#This Row],[kWh Savings]]*tbl_Data[[#This Row],[Sum of Annuals]]</f>
        <v>179109.01411147165</v>
      </c>
      <c r="AW401" s="81">
        <f>IFERROR(VLOOKUP(tbl_Data[[#This Row],[Column1]],'1. Set Program Names'!$B$2:$D$15,3,0)*tbl_Data[[#This Row],[Sum of Annuals]],"")</f>
        <v>73191.825050645144</v>
      </c>
      <c r="AX401" s="81">
        <f>tbl_Data[[#This Row],[per unit IRA tax ($)]]/tbl_Data[[#This Row],[kWh Savings]]*tbl_Data[[#This Row],[Sum of Annuals]]</f>
        <v>0</v>
      </c>
      <c r="AY401" s="81">
        <f>tbl_Data[[#This Row],[Avoided Costs ($/unit)]]/tbl_Data[[#This Row],[kWh Savings]]*tbl_Data[[#This Row],[Sum of Annuals]]</f>
        <v>911605.55960576469</v>
      </c>
      <c r="AZ401" s="81">
        <f>tbl_Data[[#This Row],[Lost Revenue ($/unit)]]/tbl_Data[[#This Row],[kWh Savings]]*tbl_Data[[#This Row],[Sum of Annuals]]</f>
        <v>2511837.001082439</v>
      </c>
      <c r="BA401" s="81">
        <f>tbl_Data[[#This Row],[Incremental Cost ($/unit)]]/tbl_Data[[#This Row],[kWh Savings]]*tbl_Data[[#This Row],[Sum of Annuals]]</f>
        <v>1162187.1974803917</v>
      </c>
      <c r="BB401" s="77">
        <f>ROUNDUP(tbl_Data[[#This Row],[Adjusted 2025]]/$L401,0)</f>
        <v>985</v>
      </c>
      <c r="BC401" s="77">
        <f>ROUNDUP(tbl_Data[[#This Row],[Adjusted 2026]]/$L401,0)</f>
        <v>1036</v>
      </c>
      <c r="BD401" s="77">
        <f>ROUNDUP(tbl_Data[[#This Row],[Adjusted 2027]]/$L401,0)</f>
        <v>1063</v>
      </c>
      <c r="BE401" s="77">
        <f>ROUNDUP(tbl_Data[[#This Row],[Adjusted 2028]]/$L401,0)</f>
        <v>1080</v>
      </c>
      <c r="BF401" s="77">
        <f>ROUNDUP(tbl_Data[[#This Row],[Adjusted 2029]]/$L401,0)</f>
        <v>1089</v>
      </c>
      <c r="BG401" s="77">
        <f>ROUNDUP(tbl_Data[[#This Row],[Adjusted 2030]]/$L401,0)</f>
        <v>1090</v>
      </c>
      <c r="BH401" s="77">
        <f>ROUNDUP(tbl_Data[[#This Row],[Adjusted 2031]]/$L401,0)</f>
        <v>1087</v>
      </c>
      <c r="BI401" s="77">
        <f>ROUNDUP(tbl_Data[[#This Row],[Adjusted 2032]]/$L401,0)</f>
        <v>1083</v>
      </c>
      <c r="BJ401" s="77">
        <f>ROUNDUP(tbl_Data[[#This Row],[Adjusted 2033]]/$L401,0)</f>
        <v>1076</v>
      </c>
      <c r="BK401" s="77">
        <f>ROUNDUP(tbl_Data[[#This Row],[Adjusted 2034]]/$L401,0)</f>
        <v>1069</v>
      </c>
      <c r="BL401" s="80">
        <f t="shared" si="166"/>
        <v>29539.563973207205</v>
      </c>
      <c r="BM401" s="80">
        <f t="shared" si="167"/>
        <v>31054.826002916609</v>
      </c>
      <c r="BN401" s="80">
        <f t="shared" si="168"/>
        <v>31870.864931579152</v>
      </c>
      <c r="BO401" s="80">
        <f t="shared" si="169"/>
        <v>32370.686002860788</v>
      </c>
      <c r="BP401" s="80">
        <f t="shared" si="170"/>
        <v>32651.726526967046</v>
      </c>
      <c r="BQ401" s="80">
        <f t="shared" si="171"/>
        <v>32687.813373547328</v>
      </c>
      <c r="BR401" s="80">
        <f t="shared" si="172"/>
        <v>32592.054180426621</v>
      </c>
      <c r="BS401" s="80">
        <f t="shared" si="173"/>
        <v>32457.525536744328</v>
      </c>
      <c r="BT401" s="80">
        <f t="shared" si="174"/>
        <v>32259.253507076988</v>
      </c>
      <c r="BU401" s="80">
        <f t="shared" si="175"/>
        <v>32037.353062696428</v>
      </c>
      <c r="BV401" s="80">
        <f>IFERROR(VLOOKUP($H401,'1. Set Program Names'!$B$2:$D$15,3,0)*V401,"NA")</f>
        <v>12071.165759718431</v>
      </c>
      <c r="BW401" s="80">
        <f>IFERROR(VLOOKUP($H401,'1. Set Program Names'!$B$2:$D$15,3,0)*W401,"NA")</f>
        <v>12690.36850579213</v>
      </c>
      <c r="BX401" s="80">
        <f>IFERROR(VLOOKUP($H401,'1. Set Program Names'!$B$2:$D$15,3,0)*X401,"NA")</f>
        <v>13023.837922713896</v>
      </c>
      <c r="BY401" s="80">
        <f>IFERROR(VLOOKUP($H401,'1. Set Program Names'!$B$2:$D$15,3,0)*Y401,"NA")</f>
        <v>13228.086807603093</v>
      </c>
      <c r="BZ401" s="80">
        <f>IFERROR(VLOOKUP($H401,'1. Set Program Names'!$B$2:$D$15,3,0)*Z401,"NA")</f>
        <v>13342.932333243276</v>
      </c>
      <c r="CA401" s="80">
        <f>IFERROR(VLOOKUP($H401,'1. Set Program Names'!$B$2:$D$15,3,0)*AA401,"NA")</f>
        <v>13357.679006796454</v>
      </c>
      <c r="CB401" s="80">
        <f>IFERROR(VLOOKUP($H401,'1. Set Program Names'!$B$2:$D$15,3,0)*AB401,"NA")</f>
        <v>13318.547586501105</v>
      </c>
      <c r="CC401" s="80">
        <f>IFERROR(VLOOKUP($H401,'1. Set Program Names'!$B$2:$D$15,3,0)*AC401,"NA")</f>
        <v>13263.573262614942</v>
      </c>
      <c r="CD401" s="80">
        <f>IFERROR(VLOOKUP($H401,'1. Set Program Names'!$B$2:$D$15,3,0)*AD401,"NA")</f>
        <v>13182.550586119072</v>
      </c>
      <c r="CE401" s="80">
        <f>IFERROR(VLOOKUP($H401,'1. Set Program Names'!$B$2:$D$15,3,0)*AE401,"NA")</f>
        <v>13091.87229957759</v>
      </c>
    </row>
    <row r="402" spans="1:83" x14ac:dyDescent="0.25">
      <c r="A402" s="79" t="s">
        <v>87</v>
      </c>
      <c r="B402" s="79" t="s">
        <v>88</v>
      </c>
      <c r="C402" s="79" t="s">
        <v>122</v>
      </c>
      <c r="D402" s="79" t="s">
        <v>90</v>
      </c>
      <c r="E402" s="79" t="s">
        <v>91</v>
      </c>
      <c r="F402" s="79" t="s">
        <v>90</v>
      </c>
      <c r="G402" s="79" t="s">
        <v>92</v>
      </c>
      <c r="H402" s="79" t="s">
        <v>18</v>
      </c>
      <c r="I402" s="79" t="s">
        <v>164</v>
      </c>
      <c r="J402" s="79" t="s">
        <v>158</v>
      </c>
      <c r="K402" s="79" t="s">
        <v>159</v>
      </c>
      <c r="L402" s="79">
        <v>612.05999999999972</v>
      </c>
      <c r="M402" s="79">
        <v>0</v>
      </c>
      <c r="N402" s="79">
        <v>3.0244631686656035E-2</v>
      </c>
      <c r="O402" s="79">
        <v>255</v>
      </c>
      <c r="P402" s="79">
        <v>129.09500333079711</v>
      </c>
      <c r="Q402" s="79"/>
      <c r="R402" s="79">
        <v>299.62522934905462</v>
      </c>
      <c r="S402" s="79">
        <v>664.77065003695441</v>
      </c>
      <c r="T402" s="79">
        <v>15</v>
      </c>
      <c r="U402" s="79">
        <v>0.2</v>
      </c>
      <c r="V402" s="79">
        <f>tbl_Data_old[[#This Row],[2025 ]]*IFERROR(AVERAGEIFS('Participation Adjustment'!$C:$C,'Participation Adjustment'!$A:$A,$H402,'Participation Adjustment'!$B:$B,$I402),1)</f>
        <v>105846.0146750706</v>
      </c>
      <c r="W402" s="79">
        <f>tbl_Data_old[[#This Row],[2026 ]]*IFERROR(AVERAGEIFS('Participation Adjustment'!$C:$C,'Participation Adjustment'!$A:$A,$H402,'Participation Adjustment'!$B:$B,$I402),1)</f>
        <v>115001.3960005518</v>
      </c>
      <c r="X402" s="79">
        <f>tbl_Data_old[[#This Row],[2027 ]]*IFERROR(AVERAGEIFS('Participation Adjustment'!$C:$C,'Participation Adjustment'!$A:$A,$H402,'Participation Adjustment'!$B:$B,$I402),1)</f>
        <v>122357.15650717961</v>
      </c>
      <c r="Y402" s="79">
        <f>tbl_Data_old[[#This Row],[2028 ]]*IFERROR(AVERAGEIFS('Participation Adjustment'!$C:$C,'Participation Adjustment'!$A:$A,$H402,'Participation Adjustment'!$B:$B,$I402),1)</f>
        <v>128529.87648467461</v>
      </c>
      <c r="Z402" s="79">
        <f>tbl_Data_old[[#This Row],[2029 ]]*IFERROR(AVERAGEIFS('Participation Adjustment'!$C:$C,'Participation Adjustment'!$A:$A,$H402,'Participation Adjustment'!$B:$B,$I402),1)</f>
        <v>133466.7829829382</v>
      </c>
      <c r="AA402" s="79">
        <f>tbl_Data_old[[#This Row],[2030 ]]*IFERROR(AVERAGEIFS('Participation Adjustment'!$C:$C,'Participation Adjustment'!$A:$A,$H402,'Participation Adjustment'!$B:$B,$I402),1)</f>
        <v>137267.19416011719</v>
      </c>
      <c r="AB402" s="79">
        <f>tbl_Data_old[[#This Row],[2031 ]]*IFERROR(AVERAGEIFS('Participation Adjustment'!$C:$C,'Participation Adjustment'!$A:$A,$H402,'Participation Adjustment'!$B:$B,$I402),1)</f>
        <v>140021.0569645112</v>
      </c>
      <c r="AC402" s="79">
        <f>tbl_Data_old[[#This Row],[2032 ]]*IFERROR(AVERAGEIFS('Participation Adjustment'!$C:$C,'Participation Adjustment'!$A:$A,$H402,'Participation Adjustment'!$B:$B,$I402),1)</f>
        <v>142166.03075721799</v>
      </c>
      <c r="AD402" s="79">
        <f>tbl_Data_old[[#This Row],[2033 ]]*IFERROR(AVERAGEIFS('Participation Adjustment'!$C:$C,'Participation Adjustment'!$A:$A,$H402,'Participation Adjustment'!$B:$B,$I402),1)</f>
        <v>143993.32345775981</v>
      </c>
      <c r="AE402" s="79">
        <f>tbl_Data_old[[#This Row],[2034 ]]*IFERROR(AVERAGEIFS('Participation Adjustment'!$C:$C,'Participation Adjustment'!$A:$A,$H402,'Participation Adjustment'!$B:$B,$I402),1)</f>
        <v>145268.00634660601</v>
      </c>
      <c r="AF402" s="77" t="str">
        <f t="shared" si="165"/>
        <v>NonResidential</v>
      </c>
      <c r="AG402" s="77" t="str">
        <f>tbl_Data[[#This Row],[All_Meas_Name_Append]]</f>
        <v>LED Parking Lighting</v>
      </c>
      <c r="AH402" s="77">
        <f>AVERAGEIFS('3. Incentive Adjustment'!G:G,'3. Incentive Adjustment'!A:A,tbl_Data[[#This Row],[Trimmed Sector]],'3. Incentive Adjustment'!B:B,tbl_Data[[#This Row],[Trimmed Measure Name]])</f>
        <v>0.59704067730377497</v>
      </c>
      <c r="AI402" s="77">
        <f>$AH402*tbl_Data[[#This Row],[2025 ]]</f>
        <v>63194.376291509456</v>
      </c>
      <c r="AJ402" s="77">
        <f>$AH402*tbl_Data[[#This Row],[2026 ]]</f>
        <v>68660.51135904908</v>
      </c>
      <c r="AK402" s="77">
        <f>$AH402*tbl_Data[[#This Row],[2027 ]]</f>
        <v>73052.199594010512</v>
      </c>
      <c r="AL402" s="77">
        <f>$AH402*tbl_Data[[#This Row],[2028 ]]</f>
        <v>76737.564510180659</v>
      </c>
      <c r="AM402" s="77">
        <f>$AH402*tbl_Data[[#This Row],[2029 ]]</f>
        <v>79685.098509689371</v>
      </c>
      <c r="AN402" s="77">
        <f>$AH402*tbl_Data[[#This Row],[2030 ]]</f>
        <v>81954.098572945149</v>
      </c>
      <c r="AO402" s="77">
        <f>$AH402*tbl_Data[[#This Row],[2031 ]]</f>
        <v>83598.266686882227</v>
      </c>
      <c r="AP402" s="77">
        <f>$AH402*tbl_Data[[#This Row],[2032 ]]</f>
        <v>84878.903292878735</v>
      </c>
      <c r="AQ402" s="77">
        <f>$AH402*tbl_Data[[#This Row],[2033 ]]</f>
        <v>85969.871364442457</v>
      </c>
      <c r="AR402" s="77">
        <f>$AH402*tbl_Data[[#This Row],[2034 ]]</f>
        <v>86730.908899746733</v>
      </c>
      <c r="AS402" s="77">
        <f>SUM(tbl_Data[[#This Row],[Adjusted 2025]:[Adjusted 2034]])</f>
        <v>784461.79908133449</v>
      </c>
      <c r="AT402" s="80">
        <f>AVERAGEIFS('3. Incentive Adjustment'!F:F,'3. Incentive Adjustment'!A:A,tbl_Data[[#This Row],[Trimmed Sector]],'3. Incentive Adjustment'!B:B,tbl_Data[[#This Row],[Trimmed Measure Name]])</f>
        <v>9.4514474020799994</v>
      </c>
      <c r="AU402" s="80">
        <f>IFERROR(VLOOKUP(tbl_Data[[#This Row],[All_Meas_Name_Append]],'IRA Tax Credits'!$A$3:$D$46,4,0),0)</f>
        <v>0</v>
      </c>
      <c r="AV402" s="81">
        <f>tbl_Data[[#This Row],[Adj. per unit Incentive ($)]]/tbl_Data[[#This Row],[kWh Savings]]*tbl_Data[[#This Row],[Sum of Annuals]]</f>
        <v>12113.6807387483</v>
      </c>
      <c r="AW402" s="81">
        <f>IFERROR(VLOOKUP(tbl_Data[[#This Row],[Column1]],'1. Set Program Names'!$B$2:$D$15,3,0)*tbl_Data[[#This Row],[Sum of Annuals]],"")</f>
        <v>24826.80090183884</v>
      </c>
      <c r="AX402" s="81">
        <f>tbl_Data[[#This Row],[per unit IRA tax ($)]]/tbl_Data[[#This Row],[kWh Savings]]*tbl_Data[[#This Row],[Sum of Annuals]]</f>
        <v>0</v>
      </c>
      <c r="AY402" s="81">
        <f>tbl_Data[[#This Row],[Avoided Costs ($/unit)]]/tbl_Data[[#This Row],[kWh Savings]]*tbl_Data[[#This Row],[Sum of Annuals]]</f>
        <v>384022.06722431944</v>
      </c>
      <c r="AZ402" s="81">
        <f>tbl_Data[[#This Row],[Lost Revenue ($/unit)]]/tbl_Data[[#This Row],[kWh Savings]]*tbl_Data[[#This Row],[Sum of Annuals]]</f>
        <v>852019.70412125881</v>
      </c>
      <c r="BA402" s="81">
        <f>tbl_Data[[#This Row],[Incremental Cost ($/unit)]]/tbl_Data[[#This Row],[kWh Savings]]*tbl_Data[[#This Row],[Sum of Annuals]]</f>
        <v>326827.04108378326</v>
      </c>
      <c r="BB402" s="77">
        <f>ROUNDUP(tbl_Data[[#This Row],[Adjusted 2025]]/$L402,0)</f>
        <v>104</v>
      </c>
      <c r="BC402" s="77">
        <f>ROUNDUP(tbl_Data[[#This Row],[Adjusted 2026]]/$L402,0)</f>
        <v>113</v>
      </c>
      <c r="BD402" s="77">
        <f>ROUNDUP(tbl_Data[[#This Row],[Adjusted 2027]]/$L402,0)</f>
        <v>120</v>
      </c>
      <c r="BE402" s="77">
        <f>ROUNDUP(tbl_Data[[#This Row],[Adjusted 2028]]/$L402,0)</f>
        <v>126</v>
      </c>
      <c r="BF402" s="77">
        <f>ROUNDUP(tbl_Data[[#This Row],[Adjusted 2029]]/$L402,0)</f>
        <v>131</v>
      </c>
      <c r="BG402" s="77">
        <f>ROUNDUP(tbl_Data[[#This Row],[Adjusted 2030]]/$L402,0)</f>
        <v>134</v>
      </c>
      <c r="BH402" s="77">
        <f>ROUNDUP(tbl_Data[[#This Row],[Adjusted 2031]]/$L402,0)</f>
        <v>137</v>
      </c>
      <c r="BI402" s="77">
        <f>ROUNDUP(tbl_Data[[#This Row],[Adjusted 2032]]/$L402,0)</f>
        <v>139</v>
      </c>
      <c r="BJ402" s="77">
        <f>ROUNDUP(tbl_Data[[#This Row],[Adjusted 2033]]/$L402,0)</f>
        <v>141</v>
      </c>
      <c r="BK402" s="77">
        <f>ROUNDUP(tbl_Data[[#This Row],[Adjusted 2034]]/$L402,0)</f>
        <v>142</v>
      </c>
      <c r="BL402" s="80">
        <f t="shared" si="166"/>
        <v>1634.4770780989086</v>
      </c>
      <c r="BM402" s="80">
        <f t="shared" si="167"/>
        <v>1775.8547290543231</v>
      </c>
      <c r="BN402" s="80">
        <f t="shared" si="168"/>
        <v>1889.4425856871535</v>
      </c>
      <c r="BO402" s="80">
        <f t="shared" si="169"/>
        <v>1984.7618978380249</v>
      </c>
      <c r="BP402" s="80">
        <f t="shared" si="170"/>
        <v>2060.9977441559108</v>
      </c>
      <c r="BQ402" s="80">
        <f t="shared" si="171"/>
        <v>2119.6837983783471</v>
      </c>
      <c r="BR402" s="80">
        <f t="shared" si="172"/>
        <v>2162.2090237619277</v>
      </c>
      <c r="BS402" s="80">
        <f t="shared" si="173"/>
        <v>2195.3317682324182</v>
      </c>
      <c r="BT402" s="80">
        <f t="shared" si="174"/>
        <v>2223.5488725152918</v>
      </c>
      <c r="BU402" s="80">
        <f t="shared" si="175"/>
        <v>2243.2325608436604</v>
      </c>
      <c r="BV402" s="80">
        <f>IFERROR(VLOOKUP($H402,'1. Set Program Names'!$B$2:$D$15,3,0)*V402,"NA")</f>
        <v>3349.8354357961962</v>
      </c>
      <c r="BW402" s="80">
        <f>IFERROR(VLOOKUP($H402,'1. Set Program Names'!$B$2:$D$15,3,0)*W402,"NA")</f>
        <v>3639.5867399569843</v>
      </c>
      <c r="BX402" s="80">
        <f>IFERROR(VLOOKUP($H402,'1. Set Program Names'!$B$2:$D$15,3,0)*X402,"NA")</f>
        <v>3872.3832914187892</v>
      </c>
      <c r="BY402" s="80">
        <f>IFERROR(VLOOKUP($H402,'1. Set Program Names'!$B$2:$D$15,3,0)*Y402,"NA")</f>
        <v>4067.7387441426026</v>
      </c>
      <c r="BZ402" s="80">
        <f>IFERROR(VLOOKUP($H402,'1. Set Program Names'!$B$2:$D$15,3,0)*Z402,"NA")</f>
        <v>4223.9829294514611</v>
      </c>
      <c r="CA402" s="80">
        <f>IFERROR(VLOOKUP($H402,'1. Set Program Names'!$B$2:$D$15,3,0)*AA402,"NA")</f>
        <v>4344.2590878972123</v>
      </c>
      <c r="CB402" s="80">
        <f>IFERROR(VLOOKUP($H402,'1. Set Program Names'!$B$2:$D$15,3,0)*AB402,"NA")</f>
        <v>4431.4138781441507</v>
      </c>
      <c r="CC402" s="80">
        <f>IFERROR(VLOOKUP($H402,'1. Set Program Names'!$B$2:$D$15,3,0)*AC402,"NA")</f>
        <v>4499.2984295060614</v>
      </c>
      <c r="CD402" s="80">
        <f>IFERROR(VLOOKUP($H402,'1. Set Program Names'!$B$2:$D$15,3,0)*AD402,"NA")</f>
        <v>4557.1289473449951</v>
      </c>
      <c r="CE402" s="80">
        <f>IFERROR(VLOOKUP($H402,'1. Set Program Names'!$B$2:$D$15,3,0)*AE402,"NA")</f>
        <v>4597.4703614602849</v>
      </c>
    </row>
    <row r="403" spans="1:83" x14ac:dyDescent="0.25">
      <c r="A403" s="79" t="s">
        <v>87</v>
      </c>
      <c r="B403" s="79" t="s">
        <v>88</v>
      </c>
      <c r="C403" s="79" t="s">
        <v>122</v>
      </c>
      <c r="D403" s="79" t="s">
        <v>90</v>
      </c>
      <c r="E403" s="79" t="s">
        <v>91</v>
      </c>
      <c r="F403" s="79" t="s">
        <v>90</v>
      </c>
      <c r="G403" s="79" t="s">
        <v>92</v>
      </c>
      <c r="H403" s="79" t="s">
        <v>18</v>
      </c>
      <c r="I403" s="79" t="s">
        <v>165</v>
      </c>
      <c r="J403" s="79" t="s">
        <v>161</v>
      </c>
      <c r="K403" s="79" t="s">
        <v>166</v>
      </c>
      <c r="L403" s="79">
        <v>510.6</v>
      </c>
      <c r="M403" s="79">
        <v>6.2552429943266097E-2</v>
      </c>
      <c r="N403" s="79">
        <v>6.4361142955417797E-2</v>
      </c>
      <c r="O403" s="79">
        <v>129</v>
      </c>
      <c r="P403" s="79">
        <v>26.468747947944401</v>
      </c>
      <c r="Q403" s="79">
        <v>16.159568962215999</v>
      </c>
      <c r="R403" s="79">
        <v>174.74401692254699</v>
      </c>
      <c r="S403" s="79">
        <v>419.99719394182398</v>
      </c>
      <c r="T403" s="79">
        <v>10</v>
      </c>
      <c r="U403" s="79">
        <v>0.2</v>
      </c>
      <c r="V403" s="79">
        <f>tbl_Data_old[[#This Row],[2025 ]]*IFERROR(AVERAGEIFS('Participation Adjustment'!$C:$C,'Participation Adjustment'!$A:$A,$H403,'Participation Adjustment'!$B:$B,$I403),1)</f>
        <v>6642.5065405618298</v>
      </c>
      <c r="W403" s="79">
        <f>tbl_Data_old[[#This Row],[2026 ]]*IFERROR(AVERAGEIFS('Participation Adjustment'!$C:$C,'Participation Adjustment'!$A:$A,$H403,'Participation Adjustment'!$B:$B,$I403),1)</f>
        <v>9109.8247544498809</v>
      </c>
      <c r="X403" s="79">
        <f>tbl_Data_old[[#This Row],[2027 ]]*IFERROR(AVERAGEIFS('Participation Adjustment'!$C:$C,'Participation Adjustment'!$A:$A,$H403,'Participation Adjustment'!$B:$B,$I403),1)</f>
        <v>12118.040079669499</v>
      </c>
      <c r="Y403" s="79">
        <f>tbl_Data_old[[#This Row],[2028 ]]*IFERROR(AVERAGEIFS('Participation Adjustment'!$C:$C,'Participation Adjustment'!$A:$A,$H403,'Participation Adjustment'!$B:$B,$I403),1)</f>
        <v>15630.0990675057</v>
      </c>
      <c r="Z403" s="79">
        <f>tbl_Data_old[[#This Row],[2029 ]]*IFERROR(AVERAGEIFS('Participation Adjustment'!$C:$C,'Participation Adjustment'!$A:$A,$H403,'Participation Adjustment'!$B:$B,$I403),1)</f>
        <v>19360.054820805701</v>
      </c>
      <c r="AA403" s="79">
        <f>tbl_Data_old[[#This Row],[2030 ]]*IFERROR(AVERAGEIFS('Participation Adjustment'!$C:$C,'Participation Adjustment'!$A:$A,$H403,'Participation Adjustment'!$B:$B,$I403),1)</f>
        <v>22729.558753147699</v>
      </c>
      <c r="AB403" s="79">
        <f>tbl_Data_old[[#This Row],[2031 ]]*IFERROR(AVERAGEIFS('Participation Adjustment'!$C:$C,'Participation Adjustment'!$A:$A,$H403,'Participation Adjustment'!$B:$B,$I403),1)</f>
        <v>24985.1691949013</v>
      </c>
      <c r="AC403" s="79">
        <f>tbl_Data_old[[#This Row],[2032 ]]*IFERROR(AVERAGEIFS('Participation Adjustment'!$C:$C,'Participation Adjustment'!$A:$A,$H403,'Participation Adjustment'!$B:$B,$I403),1)</f>
        <v>25417.555791201401</v>
      </c>
      <c r="AD403" s="79">
        <f>tbl_Data_old[[#This Row],[2033 ]]*IFERROR(AVERAGEIFS('Participation Adjustment'!$C:$C,'Participation Adjustment'!$A:$A,$H403,'Participation Adjustment'!$B:$B,$I403),1)</f>
        <v>23662.963341707498</v>
      </c>
      <c r="AE403" s="79">
        <f>tbl_Data_old[[#This Row],[2034 ]]*IFERROR(AVERAGEIFS('Participation Adjustment'!$C:$C,'Participation Adjustment'!$A:$A,$H403,'Participation Adjustment'!$B:$B,$I403),1)</f>
        <v>20071.949075058201</v>
      </c>
      <c r="AF403" s="77" t="str">
        <f t="shared" si="165"/>
        <v>NonResidential</v>
      </c>
      <c r="AG403" s="77" t="str">
        <f>tbl_Data[[#This Row],[All_Meas_Name_Append]]</f>
        <v>Occupancy Sensors_ Ceiling Mounted</v>
      </c>
      <c r="AH403" s="77">
        <f>AVERAGEIFS('3. Incentive Adjustment'!G:G,'3. Incentive Adjustment'!A:A,tbl_Data[[#This Row],[Trimmed Sector]],'3. Incentive Adjustment'!B:B,tbl_Data[[#This Row],[Trimmed Measure Name]])</f>
        <v>0.99348124042467356</v>
      </c>
      <c r="AI403" s="77">
        <f>$AH403*tbl_Data[[#This Row],[2025 ]]</f>
        <v>6599.2056374463737</v>
      </c>
      <c r="AJ403" s="77">
        <f>$AH403*tbl_Data[[#This Row],[2026 ]]</f>
        <v>9050.4399971022649</v>
      </c>
      <c r="AK403" s="77">
        <f>$AH403*tbl_Data[[#This Row],[2027 ]]</f>
        <v>12039.045489865965</v>
      </c>
      <c r="AL403" s="77">
        <f>$AH403*tbl_Data[[#This Row],[2028 ]]</f>
        <v>15528.210209546096</v>
      </c>
      <c r="AM403" s="77">
        <f>$AH403*tbl_Data[[#This Row],[2029 ]]</f>
        <v>19233.851278063728</v>
      </c>
      <c r="AN403" s="77">
        <f>$AH403*tbl_Data[[#This Row],[2030 ]]</f>
        <v>22581.390224382674</v>
      </c>
      <c r="AO403" s="77">
        <f>$AH403*tbl_Data[[#This Row],[2031 ]]</f>
        <v>24822.296883970885</v>
      </c>
      <c r="AP403" s="77">
        <f>$AH403*tbl_Data[[#This Row],[2032 ]]</f>
        <v>25251.864856006112</v>
      </c>
      <c r="AQ403" s="77">
        <f>$AH403*tbl_Data[[#This Row],[2033 ]]</f>
        <v>23508.710172843144</v>
      </c>
      <c r="AR403" s="77">
        <f>$AH403*tbl_Data[[#This Row],[2034 ]]</f>
        <v>19941.1048648297</v>
      </c>
      <c r="AS403" s="77">
        <f>SUM(tbl_Data[[#This Row],[Adjusted 2025]:[Adjusted 2034]])</f>
        <v>178556.11961405695</v>
      </c>
      <c r="AT403" s="80">
        <f>AVERAGEIFS('3. Incentive Adjustment'!F:F,'3. Incentive Adjustment'!A:A,tbl_Data[[#This Row],[Trimmed Sector]],'3. Incentive Adjustment'!B:B,tbl_Data[[#This Row],[Trimmed Measure Name]])</f>
        <v>19.547634357270656</v>
      </c>
      <c r="AU403" s="80">
        <f>IFERROR(VLOOKUP(tbl_Data[[#This Row],[All_Meas_Name_Append]],'IRA Tax Credits'!$A$3:$D$46,4,0),0)</f>
        <v>0</v>
      </c>
      <c r="AV403" s="81">
        <f>tbl_Data[[#This Row],[Adj. per unit Incentive ($)]]/tbl_Data[[#This Row],[kWh Savings]]*tbl_Data[[#This Row],[Sum of Annuals]]</f>
        <v>6835.7809214035815</v>
      </c>
      <c r="AW403" s="81">
        <f>IFERROR(VLOOKUP(tbl_Data[[#This Row],[Column1]],'1. Set Program Names'!$B$2:$D$15,3,0)*tbl_Data[[#This Row],[Sum of Annuals]],"")</f>
        <v>5650.9791001352423</v>
      </c>
      <c r="AX403" s="81">
        <f>tbl_Data[[#This Row],[per unit IRA tax ($)]]/tbl_Data[[#This Row],[kWh Savings]]*tbl_Data[[#This Row],[Sum of Annuals]]</f>
        <v>0</v>
      </c>
      <c r="AY403" s="81">
        <f>tbl_Data[[#This Row],[Avoided Costs ($/unit)]]/tbl_Data[[#This Row],[kWh Savings]]*tbl_Data[[#This Row],[Sum of Annuals]]</f>
        <v>61107.74302284194</v>
      </c>
      <c r="AZ403" s="81">
        <f>tbl_Data[[#This Row],[Lost Revenue ($/unit)]]/tbl_Data[[#This Row],[kWh Savings]]*tbl_Data[[#This Row],[Sum of Annuals]]</f>
        <v>146872.44261465842</v>
      </c>
      <c r="BA403" s="81">
        <f>tbl_Data[[#This Row],[Incremental Cost ($/unit)]]/tbl_Data[[#This Row],[kWh Savings]]*tbl_Data[[#This Row],[Sum of Annuals]]</f>
        <v>45111.123051730014</v>
      </c>
      <c r="BB403" s="77">
        <f>ROUNDUP(tbl_Data[[#This Row],[Adjusted 2025]]/$L403,0)</f>
        <v>13</v>
      </c>
      <c r="BC403" s="77">
        <f>ROUNDUP(tbl_Data[[#This Row],[Adjusted 2026]]/$L403,0)</f>
        <v>18</v>
      </c>
      <c r="BD403" s="77">
        <f>ROUNDUP(tbl_Data[[#This Row],[Adjusted 2027]]/$L403,0)</f>
        <v>24</v>
      </c>
      <c r="BE403" s="77">
        <f>ROUNDUP(tbl_Data[[#This Row],[Adjusted 2028]]/$L403,0)</f>
        <v>31</v>
      </c>
      <c r="BF403" s="77">
        <f>ROUNDUP(tbl_Data[[#This Row],[Adjusted 2029]]/$L403,0)</f>
        <v>38</v>
      </c>
      <c r="BG403" s="77">
        <f>ROUNDUP(tbl_Data[[#This Row],[Adjusted 2030]]/$L403,0)</f>
        <v>45</v>
      </c>
      <c r="BH403" s="77">
        <f>ROUNDUP(tbl_Data[[#This Row],[Adjusted 2031]]/$L403,0)</f>
        <v>49</v>
      </c>
      <c r="BI403" s="77">
        <f>ROUNDUP(tbl_Data[[#This Row],[Adjusted 2032]]/$L403,0)</f>
        <v>50</v>
      </c>
      <c r="BJ403" s="77">
        <f>ROUNDUP(tbl_Data[[#This Row],[Adjusted 2033]]/$L403,0)</f>
        <v>47</v>
      </c>
      <c r="BK403" s="77">
        <f>ROUNDUP(tbl_Data[[#This Row],[Adjusted 2034]]/$L403,0)</f>
        <v>40</v>
      </c>
      <c r="BL403" s="80">
        <f t="shared" si="166"/>
        <v>254.29943022068446</v>
      </c>
      <c r="BM403" s="80">
        <f t="shared" si="167"/>
        <v>348.75739004856877</v>
      </c>
      <c r="BN403" s="80">
        <f t="shared" si="168"/>
        <v>463.9228683982185</v>
      </c>
      <c r="BO403" s="80">
        <f t="shared" si="169"/>
        <v>598.37732381417641</v>
      </c>
      <c r="BP403" s="80">
        <f t="shared" si="170"/>
        <v>741.17366387353104</v>
      </c>
      <c r="BQ403" s="80">
        <f t="shared" si="171"/>
        <v>870.17059069453967</v>
      </c>
      <c r="BR403" s="80">
        <f t="shared" si="172"/>
        <v>956.52360316583054</v>
      </c>
      <c r="BS403" s="80">
        <f t="shared" si="173"/>
        <v>973.07694254197463</v>
      </c>
      <c r="BT403" s="80">
        <f t="shared" si="174"/>
        <v>905.90473014727297</v>
      </c>
      <c r="BU403" s="80">
        <f t="shared" si="175"/>
        <v>768.42757805913561</v>
      </c>
      <c r="BV403" s="80">
        <f>IFERROR(VLOOKUP($H403,'1. Set Program Names'!$B$2:$D$15,3,0)*V403,"NA")</f>
        <v>210.22335002777163</v>
      </c>
      <c r="BW403" s="80">
        <f>IFERROR(VLOOKUP($H403,'1. Set Program Names'!$B$2:$D$15,3,0)*W403,"NA")</f>
        <v>288.30952086415186</v>
      </c>
      <c r="BX403" s="80">
        <f>IFERROR(VLOOKUP($H403,'1. Set Program Names'!$B$2:$D$15,3,0)*X403,"NA")</f>
        <v>383.51410958542419</v>
      </c>
      <c r="BY403" s="80">
        <f>IFERROR(VLOOKUP($H403,'1. Set Program Names'!$B$2:$D$15,3,0)*Y403,"NA")</f>
        <v>494.66444137804046</v>
      </c>
      <c r="BZ403" s="80">
        <f>IFERROR(VLOOKUP($H403,'1. Set Program Names'!$B$2:$D$15,3,0)*Z403,"NA")</f>
        <v>612.71081274793073</v>
      </c>
      <c r="CA403" s="80">
        <f>IFERROR(VLOOKUP($H403,'1. Set Program Names'!$B$2:$D$15,3,0)*AA403,"NA")</f>
        <v>719.3495341798515</v>
      </c>
      <c r="CB403" s="80">
        <f>IFERROR(VLOOKUP($H403,'1. Set Program Names'!$B$2:$D$15,3,0)*AB403,"NA")</f>
        <v>790.73553591391328</v>
      </c>
      <c r="CC403" s="80">
        <f>IFERROR(VLOOKUP($H403,'1. Set Program Names'!$B$2:$D$15,3,0)*AC403,"NA")</f>
        <v>804.4197917330464</v>
      </c>
      <c r="CD403" s="80">
        <f>IFERROR(VLOOKUP($H403,'1. Set Program Names'!$B$2:$D$15,3,0)*AD403,"NA")</f>
        <v>748.89010570057417</v>
      </c>
      <c r="CE403" s="80">
        <f>IFERROR(VLOOKUP($H403,'1. Set Program Names'!$B$2:$D$15,3,0)*AE403,"NA")</f>
        <v>635.24098175576194</v>
      </c>
    </row>
    <row r="404" spans="1:83" x14ac:dyDescent="0.25">
      <c r="A404" s="79" t="s">
        <v>87</v>
      </c>
      <c r="B404" s="79" t="s">
        <v>88</v>
      </c>
      <c r="C404" s="79" t="s">
        <v>122</v>
      </c>
      <c r="D404" s="79" t="s">
        <v>90</v>
      </c>
      <c r="E404" s="79" t="s">
        <v>91</v>
      </c>
      <c r="F404" s="79" t="s">
        <v>90</v>
      </c>
      <c r="G404" s="79" t="s">
        <v>92</v>
      </c>
      <c r="H404" s="79" t="s">
        <v>18</v>
      </c>
      <c r="I404" s="79" t="s">
        <v>167</v>
      </c>
      <c r="J404" s="79" t="s">
        <v>124</v>
      </c>
      <c r="K404" s="79" t="s">
        <v>98</v>
      </c>
      <c r="L404" s="79">
        <v>151.65999999999994</v>
      </c>
      <c r="M404" s="79">
        <v>2.2013191527321094E-2</v>
      </c>
      <c r="N404" s="79">
        <v>1.952960139549019E-2</v>
      </c>
      <c r="O404" s="79">
        <v>56.59999999999998</v>
      </c>
      <c r="P404" s="79">
        <v>25.402483751835906</v>
      </c>
      <c r="Q404" s="79"/>
      <c r="R404" s="79">
        <v>70.56447857633529</v>
      </c>
      <c r="S404" s="79">
        <v>171.41744415542868</v>
      </c>
      <c r="T404" s="79">
        <v>16</v>
      </c>
      <c r="U404" s="79">
        <v>0.2</v>
      </c>
      <c r="V404" s="79">
        <f>tbl_Data_old[[#This Row],[2025 ]]*IFERROR(AVERAGEIFS('Participation Adjustment'!$C:$C,'Participation Adjustment'!$A:$A,$H404,'Participation Adjustment'!$B:$B,$I404),1)</f>
        <v>965.51517445058698</v>
      </c>
      <c r="W404" s="79">
        <f>tbl_Data_old[[#This Row],[2026 ]]*IFERROR(AVERAGEIFS('Participation Adjustment'!$C:$C,'Participation Adjustment'!$A:$A,$H404,'Participation Adjustment'!$B:$B,$I404),1)</f>
        <v>1313.1344419919301</v>
      </c>
      <c r="X404" s="79">
        <f>tbl_Data_old[[#This Row],[2027 ]]*IFERROR(AVERAGEIFS('Participation Adjustment'!$C:$C,'Participation Adjustment'!$A:$A,$H404,'Participation Adjustment'!$B:$B,$I404),1)</f>
        <v>1696.4288303532401</v>
      </c>
      <c r="Y404" s="79">
        <f>tbl_Data_old[[#This Row],[2028 ]]*IFERROR(AVERAGEIFS('Participation Adjustment'!$C:$C,'Participation Adjustment'!$A:$A,$H404,'Participation Adjustment'!$B:$B,$I404),1)</f>
        <v>2094.4850280931701</v>
      </c>
      <c r="Z404" s="79">
        <f>tbl_Data_old[[#This Row],[2029 ]]*IFERROR(AVERAGEIFS('Participation Adjustment'!$C:$C,'Participation Adjustment'!$A:$A,$H404,'Participation Adjustment'!$B:$B,$I404),1)</f>
        <v>2472.6293643621898</v>
      </c>
      <c r="AA404" s="79">
        <f>tbl_Data_old[[#This Row],[2030 ]]*IFERROR(AVERAGEIFS('Participation Adjustment'!$C:$C,'Participation Adjustment'!$A:$A,$H404,'Participation Adjustment'!$B:$B,$I404),1)</f>
        <v>2803.7331503054402</v>
      </c>
      <c r="AB404" s="79">
        <f>tbl_Data_old[[#This Row],[2031 ]]*IFERROR(AVERAGEIFS('Participation Adjustment'!$C:$C,'Participation Adjustment'!$A:$A,$H404,'Participation Adjustment'!$B:$B,$I404),1)</f>
        <v>3068.72692957961</v>
      </c>
      <c r="AC404" s="79">
        <f>tbl_Data_old[[#This Row],[2032 ]]*IFERROR(AVERAGEIFS('Participation Adjustment'!$C:$C,'Participation Adjustment'!$A:$A,$H404,'Participation Adjustment'!$B:$B,$I404),1)</f>
        <v>3273.11750510817</v>
      </c>
      <c r="AD404" s="79">
        <f>tbl_Data_old[[#This Row],[2033 ]]*IFERROR(AVERAGEIFS('Participation Adjustment'!$C:$C,'Participation Adjustment'!$A:$A,$H404,'Participation Adjustment'!$B:$B,$I404),1)</f>
        <v>3433.6100718593402</v>
      </c>
      <c r="AE404" s="79">
        <f>tbl_Data_old[[#This Row],[2034 ]]*IFERROR(AVERAGEIFS('Participation Adjustment'!$C:$C,'Participation Adjustment'!$A:$A,$H404,'Participation Adjustment'!$B:$B,$I404),1)</f>
        <v>3553.3295669899799</v>
      </c>
      <c r="AF404" s="77" t="str">
        <f t="shared" si="165"/>
        <v>NonResidential</v>
      </c>
      <c r="AG404" s="77" t="str">
        <f>tbl_Data[[#This Row],[All_Meas_Name_Append]]</f>
        <v>Refrigerated Display Case LED Lighting</v>
      </c>
      <c r="AH404" s="77">
        <f>AVERAGEIFS('3. Incentive Adjustment'!G:G,'3. Incentive Adjustment'!A:A,tbl_Data[[#This Row],[Trimmed Sector]],'3. Incentive Adjustment'!B:B,tbl_Data[[#This Row],[Trimmed Measure Name]])</f>
        <v>0.72450810749703154</v>
      </c>
      <c r="AI404" s="77">
        <f>$AH404*tbl_Data[[#This Row],[2025 ]]</f>
        <v>699.52357180086108</v>
      </c>
      <c r="AJ404" s="77">
        <f>$AH404*tbl_Data[[#This Row],[2026 ]]</f>
        <v>951.37654945674376</v>
      </c>
      <c r="AK404" s="77">
        <f>$AH404*tbl_Data[[#This Row],[2027 ]]</f>
        <v>1229.0764413826287</v>
      </c>
      <c r="AL404" s="77">
        <f>$AH404*tbl_Data[[#This Row],[2028 ]]</f>
        <v>1517.4713838846496</v>
      </c>
      <c r="AM404" s="77">
        <f>$AH404*tbl_Data[[#This Row],[2029 ]]</f>
        <v>1791.4400213156382</v>
      </c>
      <c r="AN404" s="77">
        <f>$AH404*tbl_Data[[#This Row],[2030 ]]</f>
        <v>2031.3273986544848</v>
      </c>
      <c r="AO404" s="77">
        <f>$AH404*tbl_Data[[#This Row],[2031 ]]</f>
        <v>2223.3175401748995</v>
      </c>
      <c r="AP404" s="77">
        <f>$AH404*tbl_Data[[#This Row],[2032 ]]</f>
        <v>2371.4001692413258</v>
      </c>
      <c r="AQ404" s="77">
        <f>$AH404*tbl_Data[[#This Row],[2033 ]]</f>
        <v>2487.6783350455571</v>
      </c>
      <c r="AR404" s="77">
        <f>$AH404*tbl_Data[[#This Row],[2034 ]]</f>
        <v>2574.4160798931571</v>
      </c>
      <c r="AS404" s="77">
        <f>SUM(tbl_Data[[#This Row],[Adjusted 2025]:[Adjusted 2034]])</f>
        <v>17877.027490849945</v>
      </c>
      <c r="AT404" s="80">
        <f>AVERAGEIFS('3. Incentive Adjustment'!F:F,'3. Incentive Adjustment'!A:A,tbl_Data[[#This Row],[Trimmed Sector]],'3. Incentive Adjustment'!B:B,tbl_Data[[#This Row],[Trimmed Measure Name]])</f>
        <v>6.879122352287844</v>
      </c>
      <c r="AU404" s="80">
        <f>IFERROR(VLOOKUP(tbl_Data[[#This Row],[All_Meas_Name_Append]],'IRA Tax Credits'!$A$3:$D$46,4,0),0)</f>
        <v>0</v>
      </c>
      <c r="AV404" s="81">
        <f>tbl_Data[[#This Row],[Adj. per unit Incentive ($)]]/tbl_Data[[#This Row],[kWh Savings]]*tbl_Data[[#This Row],[Sum of Annuals]]</f>
        <v>810.88130953956329</v>
      </c>
      <c r="AW404" s="81">
        <f>IFERROR(VLOOKUP(tbl_Data[[#This Row],[Column1]],'1. Set Program Names'!$B$2:$D$15,3,0)*tbl_Data[[#This Row],[Sum of Annuals]],"")</f>
        <v>565.77567289036858</v>
      </c>
      <c r="AX404" s="81">
        <f>tbl_Data[[#This Row],[per unit IRA tax ($)]]/tbl_Data[[#This Row],[kWh Savings]]*tbl_Data[[#This Row],[Sum of Annuals]]</f>
        <v>0</v>
      </c>
      <c r="AY404" s="81">
        <f>tbl_Data[[#This Row],[Avoided Costs ($/unit)]]/tbl_Data[[#This Row],[kWh Savings]]*tbl_Data[[#This Row],[Sum of Annuals]]</f>
        <v>8317.8367624069524</v>
      </c>
      <c r="AZ404" s="81">
        <f>tbl_Data[[#This Row],[Lost Revenue ($/unit)]]/tbl_Data[[#This Row],[kWh Savings]]*tbl_Data[[#This Row],[Sum of Annuals]]</f>
        <v>20205.949898310922</v>
      </c>
      <c r="BA404" s="81">
        <f>tbl_Data[[#This Row],[Incremental Cost ($/unit)]]/tbl_Data[[#This Row],[kWh Savings]]*tbl_Data[[#This Row],[Sum of Annuals]]</f>
        <v>6671.7641829230315</v>
      </c>
      <c r="BB404" s="77">
        <f>ROUNDUP(tbl_Data[[#This Row],[Adjusted 2025]]/$L404,0)</f>
        <v>5</v>
      </c>
      <c r="BC404" s="77">
        <f>ROUNDUP(tbl_Data[[#This Row],[Adjusted 2026]]/$L404,0)</f>
        <v>7</v>
      </c>
      <c r="BD404" s="77">
        <f>ROUNDUP(tbl_Data[[#This Row],[Adjusted 2027]]/$L404,0)</f>
        <v>9</v>
      </c>
      <c r="BE404" s="77">
        <f>ROUNDUP(tbl_Data[[#This Row],[Adjusted 2028]]/$L404,0)</f>
        <v>11</v>
      </c>
      <c r="BF404" s="77">
        <f>ROUNDUP(tbl_Data[[#This Row],[Adjusted 2029]]/$L404,0)</f>
        <v>12</v>
      </c>
      <c r="BG404" s="77">
        <f>ROUNDUP(tbl_Data[[#This Row],[Adjusted 2030]]/$L404,0)</f>
        <v>14</v>
      </c>
      <c r="BH404" s="77">
        <f>ROUNDUP(tbl_Data[[#This Row],[Adjusted 2031]]/$L404,0)</f>
        <v>15</v>
      </c>
      <c r="BI404" s="77">
        <f>ROUNDUP(tbl_Data[[#This Row],[Adjusted 2032]]/$L404,0)</f>
        <v>16</v>
      </c>
      <c r="BJ404" s="77">
        <f>ROUNDUP(tbl_Data[[#This Row],[Adjusted 2033]]/$L404,0)</f>
        <v>17</v>
      </c>
      <c r="BK404" s="77">
        <f>ROUNDUP(tbl_Data[[#This Row],[Adjusted 2034]]/$L404,0)</f>
        <v>17</v>
      </c>
      <c r="BL404" s="80">
        <f t="shared" si="166"/>
        <v>43.794652631123121</v>
      </c>
      <c r="BM404" s="80">
        <f t="shared" si="167"/>
        <v>59.562260922232063</v>
      </c>
      <c r="BN404" s="80">
        <f t="shared" si="168"/>
        <v>76.948051470054736</v>
      </c>
      <c r="BO404" s="80">
        <f t="shared" si="169"/>
        <v>95.003420633574862</v>
      </c>
      <c r="BP404" s="80">
        <f t="shared" si="170"/>
        <v>112.15561076953205</v>
      </c>
      <c r="BQ404" s="80">
        <f t="shared" si="171"/>
        <v>127.17409589948947</v>
      </c>
      <c r="BR404" s="80">
        <f t="shared" si="172"/>
        <v>139.19390751904751</v>
      </c>
      <c r="BS404" s="80">
        <f t="shared" si="173"/>
        <v>148.46482784553766</v>
      </c>
      <c r="BT404" s="80">
        <f t="shared" si="174"/>
        <v>155.74458521936086</v>
      </c>
      <c r="BU404" s="80">
        <f t="shared" si="175"/>
        <v>161.17492317899291</v>
      </c>
      <c r="BV404" s="80">
        <f>IFERROR(VLOOKUP($H404,'1. Set Program Names'!$B$2:$D$15,3,0)*V404,"NA")</f>
        <v>30.556813641990484</v>
      </c>
      <c r="BW404" s="80">
        <f>IFERROR(VLOOKUP($H404,'1. Set Program Names'!$B$2:$D$15,3,0)*W404,"NA")</f>
        <v>41.558336412122429</v>
      </c>
      <c r="BX404" s="80">
        <f>IFERROR(VLOOKUP($H404,'1. Set Program Names'!$B$2:$D$15,3,0)*X404,"NA")</f>
        <v>53.688912404200408</v>
      </c>
      <c r="BY404" s="80">
        <f>IFERROR(VLOOKUP($H404,'1. Set Program Names'!$B$2:$D$15,3,0)*Y404,"NA")</f>
        <v>66.286673035253912</v>
      </c>
      <c r="BZ404" s="80">
        <f>IFERROR(VLOOKUP($H404,'1. Set Program Names'!$B$2:$D$15,3,0)*Z404,"NA")</f>
        <v>78.254259168451412</v>
      </c>
      <c r="CA404" s="80">
        <f>IFERROR(VLOOKUP($H404,'1. Set Program Names'!$B$2:$D$15,3,0)*AA404,"NA")</f>
        <v>88.733096737195609</v>
      </c>
      <c r="CB404" s="80">
        <f>IFERROR(VLOOKUP($H404,'1. Set Program Names'!$B$2:$D$15,3,0)*AB404,"NA")</f>
        <v>97.119671846359751</v>
      </c>
      <c r="CC404" s="80">
        <f>IFERROR(VLOOKUP($H404,'1. Set Program Names'!$B$2:$D$15,3,0)*AC404,"NA")</f>
        <v>103.5882648751118</v>
      </c>
      <c r="CD404" s="80">
        <f>IFERROR(VLOOKUP($H404,'1. Set Program Names'!$B$2:$D$15,3,0)*AD404,"NA")</f>
        <v>108.66756511079257</v>
      </c>
      <c r="CE404" s="80">
        <f>IFERROR(VLOOKUP($H404,'1. Set Program Names'!$B$2:$D$15,3,0)*AE404,"NA")</f>
        <v>112.45647117754788</v>
      </c>
    </row>
    <row r="405" spans="1:83" x14ac:dyDescent="0.25">
      <c r="A405" s="79" t="s">
        <v>113</v>
      </c>
      <c r="B405" s="79" t="s">
        <v>88</v>
      </c>
      <c r="C405" s="79" t="s">
        <v>122</v>
      </c>
      <c r="D405" s="79" t="s">
        <v>90</v>
      </c>
      <c r="E405" s="79" t="s">
        <v>91</v>
      </c>
      <c r="F405" s="79" t="s">
        <v>90</v>
      </c>
      <c r="G405" s="79" t="s">
        <v>92</v>
      </c>
      <c r="H405" s="79" t="s">
        <v>18</v>
      </c>
      <c r="I405" s="79" t="s">
        <v>168</v>
      </c>
      <c r="J405" s="79" t="s">
        <v>129</v>
      </c>
      <c r="K405" s="79" t="s">
        <v>102</v>
      </c>
      <c r="L405" s="79">
        <v>3050.4666666666599</v>
      </c>
      <c r="M405" s="79">
        <v>1.01361966409546</v>
      </c>
      <c r="N405" s="79">
        <v>0</v>
      </c>
      <c r="O405" s="79">
        <v>742</v>
      </c>
      <c r="P405" s="79">
        <v>130.44720079847701</v>
      </c>
      <c r="Q405" s="79">
        <v>96.541767463653102</v>
      </c>
      <c r="R405" s="79">
        <v>1331.93833936435</v>
      </c>
      <c r="S405" s="79">
        <v>2509.1802589366698</v>
      </c>
      <c r="T405" s="79">
        <v>10</v>
      </c>
      <c r="U405" s="79">
        <v>1</v>
      </c>
      <c r="V405" s="79">
        <f>tbl_Data_old[[#This Row],[2025 ]]*IFERROR(AVERAGEIFS('Participation Adjustment'!$C:$C,'Participation Adjustment'!$A:$A,$H405,'Participation Adjustment'!$B:$B,$I405),1)</f>
        <v>21243.524858074899</v>
      </c>
      <c r="W405" s="79">
        <f>tbl_Data_old[[#This Row],[2026 ]]*IFERROR(AVERAGEIFS('Participation Adjustment'!$C:$C,'Participation Adjustment'!$A:$A,$H405,'Participation Adjustment'!$B:$B,$I405),1)</f>
        <v>50534.7706385411</v>
      </c>
      <c r="X405" s="79">
        <f>tbl_Data_old[[#This Row],[2027 ]]*IFERROR(AVERAGEIFS('Participation Adjustment'!$C:$C,'Participation Adjustment'!$A:$A,$H405,'Participation Adjustment'!$B:$B,$I405),1)</f>
        <v>89792.019859369801</v>
      </c>
      <c r="Y405" s="79">
        <f>tbl_Data_old[[#This Row],[2028 ]]*IFERROR(AVERAGEIFS('Participation Adjustment'!$C:$C,'Participation Adjustment'!$A:$A,$H405,'Participation Adjustment'!$B:$B,$I405),1)</f>
        <v>140909.70801430201</v>
      </c>
      <c r="Z405" s="79">
        <f>tbl_Data_old[[#This Row],[2029 ]]*IFERROR(AVERAGEIFS('Participation Adjustment'!$C:$C,'Participation Adjustment'!$A:$A,$H405,'Participation Adjustment'!$B:$B,$I405),1)</f>
        <v>204951.952956717</v>
      </c>
      <c r="AA405" s="79">
        <f>tbl_Data_old[[#This Row],[2030 ]]*IFERROR(AVERAGEIFS('Participation Adjustment'!$C:$C,'Participation Adjustment'!$A:$A,$H405,'Participation Adjustment'!$B:$B,$I405),1)</f>
        <v>281165.720755852</v>
      </c>
      <c r="AB405" s="79">
        <f>tbl_Data_old[[#This Row],[2031 ]]*IFERROR(AVERAGEIFS('Participation Adjustment'!$C:$C,'Participation Adjustment'!$A:$A,$H405,'Participation Adjustment'!$B:$B,$I405),1)</f>
        <v>366284.48699693399</v>
      </c>
      <c r="AC405" s="79">
        <f>tbl_Data_old[[#This Row],[2032 ]]*IFERROR(AVERAGEIFS('Participation Adjustment'!$C:$C,'Participation Adjustment'!$A:$A,$H405,'Participation Adjustment'!$B:$B,$I405),1)</f>
        <v>454507.83891312801</v>
      </c>
      <c r="AD405" s="79">
        <f>tbl_Data_old[[#This Row],[2033 ]]*IFERROR(AVERAGEIFS('Participation Adjustment'!$C:$C,'Participation Adjustment'!$A:$A,$H405,'Participation Adjustment'!$B:$B,$I405),1)</f>
        <v>538484.71079023299</v>
      </c>
      <c r="AE405" s="79">
        <f>tbl_Data_old[[#This Row],[2034 ]]*IFERROR(AVERAGEIFS('Participation Adjustment'!$C:$C,'Participation Adjustment'!$A:$A,$H405,'Participation Adjustment'!$B:$B,$I405),1)</f>
        <v>611617.38224408601</v>
      </c>
      <c r="AF405" s="77" t="str">
        <f t="shared" si="165"/>
        <v>NonResidential</v>
      </c>
      <c r="AG405" s="77" t="str">
        <f>tbl_Data[[#This Row],[All_Meas_Name_Append]]</f>
        <v>Chilled Water Reset</v>
      </c>
      <c r="AH405" s="77">
        <f>AVERAGEIFS('3. Incentive Adjustment'!G:G,'3. Incentive Adjustment'!A:A,tbl_Data[[#This Row],[Trimmed Sector]],'3. Incentive Adjustment'!B:B,tbl_Data[[#This Row],[Trimmed Measure Name]])</f>
        <v>1.6724428329362533</v>
      </c>
      <c r="AI405" s="77">
        <f>$AH405*tbl_Data[[#This Row],[2025 ]]</f>
        <v>35528.580895190506</v>
      </c>
      <c r="AJ405" s="77">
        <f>$AH405*tbl_Data[[#This Row],[2026 ]]</f>
        <v>84516.514968505464</v>
      </c>
      <c r="AK405" s="77">
        <f>$AH405*tbl_Data[[#This Row],[2027 ]]</f>
        <v>150172.02006867275</v>
      </c>
      <c r="AL405" s="77">
        <f>$AH405*tbl_Data[[#This Row],[2028 ]]</f>
        <v>235663.43125965953</v>
      </c>
      <c r="AM405" s="77">
        <f>$AH405*tbl_Data[[#This Row],[2029 ]]</f>
        <v>342770.42481874948</v>
      </c>
      <c r="AN405" s="77">
        <f>$AH405*tbl_Data[[#This Row],[2030 ]]</f>
        <v>470233.59454548062</v>
      </c>
      <c r="AO405" s="77">
        <f>$AH405*tbl_Data[[#This Row],[2031 ]]</f>
        <v>612589.86509375449</v>
      </c>
      <c r="AP405" s="77">
        <f>$AH405*tbl_Data[[#This Row],[2032 ]]</f>
        <v>760138.37770360603</v>
      </c>
      <c r="AQ405" s="77">
        <f>$AH405*tbl_Data[[#This Row],[2033 ]]</f>
        <v>900584.89520687633</v>
      </c>
      <c r="AR405" s="77">
        <f>$AH405*tbl_Data[[#This Row],[2034 ]]</f>
        <v>1022895.1074333545</v>
      </c>
      <c r="AS405" s="77">
        <f>SUM(tbl_Data[[#This Row],[Adjusted 2025]:[Adjusted 2034]])</f>
        <v>4615092.8119938495</v>
      </c>
      <c r="AT405" s="80">
        <f>AVERAGEIFS('3. Incentive Adjustment'!F:F,'3. Incentive Adjustment'!A:A,tbl_Data[[#This Row],[Trimmed Sector]],'3. Incentive Adjustment'!B:B,tbl_Data[[#This Row],[Trimmed Measure Name]])</f>
        <v>725.0262900596623</v>
      </c>
      <c r="AU405" s="80">
        <f>IFERROR(VLOOKUP(tbl_Data[[#This Row],[All_Meas_Name_Append]],'IRA Tax Credits'!$A$3:$D$46,4,0),0)</f>
        <v>0</v>
      </c>
      <c r="AV405" s="81">
        <f>tbl_Data[[#This Row],[Adj. per unit Incentive ($)]]/tbl_Data[[#This Row],[kWh Savings]]*tbl_Data[[#This Row],[Sum of Annuals]]</f>
        <v>1096902.2072341682</v>
      </c>
      <c r="AW405" s="81">
        <f>IFERROR(VLOOKUP(tbl_Data[[#This Row],[Column1]],'1. Set Program Names'!$B$2:$D$15,3,0)*tbl_Data[[#This Row],[Sum of Annuals]],"")</f>
        <v>146059.3626369806</v>
      </c>
      <c r="AX405" s="81">
        <f>tbl_Data[[#This Row],[per unit IRA tax ($)]]/tbl_Data[[#This Row],[kWh Savings]]*tbl_Data[[#This Row],[Sum of Annuals]]</f>
        <v>0</v>
      </c>
      <c r="AY405" s="81">
        <f>tbl_Data[[#This Row],[Avoided Costs ($/unit)]]/tbl_Data[[#This Row],[kWh Savings]]*tbl_Data[[#This Row],[Sum of Annuals]]</f>
        <v>2015107.7614417847</v>
      </c>
      <c r="AZ405" s="81">
        <f>tbl_Data[[#This Row],[Lost Revenue ($/unit)]]/tbl_Data[[#This Row],[kWh Savings]]*tbl_Data[[#This Row],[Sum of Annuals]]</f>
        <v>3796173.1900088019</v>
      </c>
      <c r="BA405" s="81">
        <f>tbl_Data[[#This Row],[Incremental Cost ($/unit)]]/tbl_Data[[#This Row],[kWh Savings]]*tbl_Data[[#This Row],[Sum of Annuals]]</f>
        <v>1122581.9655460729</v>
      </c>
      <c r="BB405" s="77">
        <f>ROUNDUP(tbl_Data[[#This Row],[Adjusted 2025]]/$L405,0)</f>
        <v>12</v>
      </c>
      <c r="BC405" s="77">
        <f>ROUNDUP(tbl_Data[[#This Row],[Adjusted 2026]]/$L405,0)</f>
        <v>28</v>
      </c>
      <c r="BD405" s="77">
        <f>ROUNDUP(tbl_Data[[#This Row],[Adjusted 2027]]/$L405,0)</f>
        <v>50</v>
      </c>
      <c r="BE405" s="77">
        <f>ROUNDUP(tbl_Data[[#This Row],[Adjusted 2028]]/$L405,0)</f>
        <v>78</v>
      </c>
      <c r="BF405" s="77">
        <f>ROUNDUP(tbl_Data[[#This Row],[Adjusted 2029]]/$L405,0)</f>
        <v>113</v>
      </c>
      <c r="BG405" s="77">
        <f>ROUNDUP(tbl_Data[[#This Row],[Adjusted 2030]]/$L405,0)</f>
        <v>155</v>
      </c>
      <c r="BH405" s="77">
        <f>ROUNDUP(tbl_Data[[#This Row],[Adjusted 2031]]/$L405,0)</f>
        <v>201</v>
      </c>
      <c r="BI405" s="77">
        <f>ROUNDUP(tbl_Data[[#This Row],[Adjusted 2032]]/$L405,0)</f>
        <v>250</v>
      </c>
      <c r="BJ405" s="77">
        <f>ROUNDUP(tbl_Data[[#This Row],[Adjusted 2033]]/$L405,0)</f>
        <v>296</v>
      </c>
      <c r="BK405" s="77">
        <f>ROUNDUP(tbl_Data[[#This Row],[Adjusted 2034]]/$L405,0)</f>
        <v>336</v>
      </c>
      <c r="BL405" s="80">
        <f t="shared" si="166"/>
        <v>5049.1009077213184</v>
      </c>
      <c r="BM405" s="80">
        <f t="shared" si="167"/>
        <v>12010.961363860442</v>
      </c>
      <c r="BN405" s="80">
        <f t="shared" si="168"/>
        <v>21341.513332037463</v>
      </c>
      <c r="BO405" s="80">
        <f t="shared" si="169"/>
        <v>33491.020882597157</v>
      </c>
      <c r="BP405" s="80">
        <f t="shared" si="170"/>
        <v>48712.400537412184</v>
      </c>
      <c r="BQ405" s="80">
        <f t="shared" si="171"/>
        <v>66826.673321535549</v>
      </c>
      <c r="BR405" s="80">
        <f t="shared" si="172"/>
        <v>87057.460950388224</v>
      </c>
      <c r="BS405" s="80">
        <f t="shared" si="173"/>
        <v>108026.13772216946</v>
      </c>
      <c r="BT405" s="80">
        <f t="shared" si="174"/>
        <v>127985.52312807669</v>
      </c>
      <c r="BU405" s="80">
        <f t="shared" si="175"/>
        <v>145367.48964675341</v>
      </c>
      <c r="BV405" s="80">
        <f>IFERROR(VLOOKUP($H405,'1. Set Program Names'!$B$2:$D$15,3,0)*V405,"NA")</f>
        <v>672.3192419596802</v>
      </c>
      <c r="BW405" s="80">
        <f>IFERROR(VLOOKUP($H405,'1. Set Program Names'!$B$2:$D$15,3,0)*W405,"NA")</f>
        <v>1599.3343343581605</v>
      </c>
      <c r="BX405" s="80">
        <f>IFERROR(VLOOKUP($H405,'1. Set Program Names'!$B$2:$D$15,3,0)*X405,"NA")</f>
        <v>2841.7554586254628</v>
      </c>
      <c r="BY405" s="80">
        <f>IFERROR(VLOOKUP($H405,'1. Set Program Names'!$B$2:$D$15,3,0)*Y405,"NA")</f>
        <v>4459.538080890803</v>
      </c>
      <c r="BZ405" s="80">
        <f>IFERROR(VLOOKUP($H405,'1. Set Program Names'!$B$2:$D$15,3,0)*Z405,"NA")</f>
        <v>6486.359611721371</v>
      </c>
      <c r="CA405" s="80">
        <f>IFERROR(VLOOKUP($H405,'1. Set Program Names'!$B$2:$D$15,3,0)*AA405,"NA")</f>
        <v>8898.3878855569455</v>
      </c>
      <c r="CB405" s="80">
        <f>IFERROR(VLOOKUP($H405,'1. Set Program Names'!$B$2:$D$15,3,0)*AB405,"NA")</f>
        <v>11592.243296938681</v>
      </c>
      <c r="CC405" s="80">
        <f>IFERROR(VLOOKUP($H405,'1. Set Program Names'!$B$2:$D$15,3,0)*AC405,"NA")</f>
        <v>14384.353244779642</v>
      </c>
      <c r="CD405" s="80">
        <f>IFERROR(VLOOKUP($H405,'1. Set Program Names'!$B$2:$D$15,3,0)*AD405,"NA")</f>
        <v>17042.069759329701</v>
      </c>
      <c r="CE405" s="80">
        <f>IFERROR(VLOOKUP($H405,'1. Set Program Names'!$B$2:$D$15,3,0)*AE405,"NA")</f>
        <v>19356.586891624313</v>
      </c>
    </row>
    <row r="406" spans="1:83" x14ac:dyDescent="0.25">
      <c r="A406" s="79" t="s">
        <v>113</v>
      </c>
      <c r="B406" s="79" t="s">
        <v>88</v>
      </c>
      <c r="C406" s="79" t="s">
        <v>122</v>
      </c>
      <c r="D406" s="79" t="s">
        <v>90</v>
      </c>
      <c r="E406" s="79" t="s">
        <v>91</v>
      </c>
      <c r="F406" s="79" t="s">
        <v>90</v>
      </c>
      <c r="G406" s="79" t="s">
        <v>92</v>
      </c>
      <c r="H406" s="79" t="s">
        <v>18</v>
      </c>
      <c r="I406" s="79" t="s">
        <v>169</v>
      </c>
      <c r="J406" s="79" t="s">
        <v>129</v>
      </c>
      <c r="K406" s="79" t="s">
        <v>102</v>
      </c>
      <c r="L406" s="79">
        <v>12279.148571428501</v>
      </c>
      <c r="M406" s="79">
        <v>2.3939185148112898</v>
      </c>
      <c r="N406" s="79">
        <v>0.409805025192993</v>
      </c>
      <c r="O406" s="79">
        <v>4666.07785714284</v>
      </c>
      <c r="P406" s="79">
        <v>2140.17810945783</v>
      </c>
      <c r="Q406" s="79">
        <v>388.61290273657698</v>
      </c>
      <c r="R406" s="79">
        <v>6035.2668545830202</v>
      </c>
      <c r="S406" s="79">
        <v>13336.629705795</v>
      </c>
      <c r="T406" s="79">
        <v>15</v>
      </c>
      <c r="U406" s="79">
        <v>1</v>
      </c>
      <c r="V406" s="79">
        <f>tbl_Data_old[[#This Row],[2025 ]]*IFERROR(AVERAGEIFS('Participation Adjustment'!$C:$C,'Participation Adjustment'!$A:$A,$H406,'Participation Adjustment'!$B:$B,$I406),1)</f>
        <v>79275.1337541947</v>
      </c>
      <c r="W406" s="79">
        <f>tbl_Data_old[[#This Row],[2026 ]]*IFERROR(AVERAGEIFS('Participation Adjustment'!$C:$C,'Participation Adjustment'!$A:$A,$H406,'Participation Adjustment'!$B:$B,$I406),1)</f>
        <v>167742.66694494401</v>
      </c>
      <c r="X406" s="79">
        <f>tbl_Data_old[[#This Row],[2027 ]]*IFERROR(AVERAGEIFS('Participation Adjustment'!$C:$C,'Participation Adjustment'!$A:$A,$H406,'Participation Adjustment'!$B:$B,$I406),1)</f>
        <v>264308.64888951997</v>
      </c>
      <c r="Y406" s="79">
        <f>tbl_Data_old[[#This Row],[2028 ]]*IFERROR(AVERAGEIFS('Participation Adjustment'!$C:$C,'Participation Adjustment'!$A:$A,$H406,'Participation Adjustment'!$B:$B,$I406),1)</f>
        <v>368380.23798583797</v>
      </c>
      <c r="Z406" s="79">
        <f>tbl_Data_old[[#This Row],[2029 ]]*IFERROR(AVERAGEIFS('Participation Adjustment'!$C:$C,'Participation Adjustment'!$A:$A,$H406,'Participation Adjustment'!$B:$B,$I406),1)</f>
        <v>479316.197023788</v>
      </c>
      <c r="AA406" s="79">
        <f>tbl_Data_old[[#This Row],[2030 ]]*IFERROR(AVERAGEIFS('Participation Adjustment'!$C:$C,'Participation Adjustment'!$A:$A,$H406,'Participation Adjustment'!$B:$B,$I406),1)</f>
        <v>596439.88498224295</v>
      </c>
      <c r="AB406" s="79">
        <f>tbl_Data_old[[#This Row],[2031 ]]*IFERROR(AVERAGEIFS('Participation Adjustment'!$C:$C,'Participation Adjustment'!$A:$A,$H406,'Participation Adjustment'!$B:$B,$I406),1)</f>
        <v>719147.73060589004</v>
      </c>
      <c r="AC406" s="79">
        <f>tbl_Data_old[[#This Row],[2032 ]]*IFERROR(AVERAGEIFS('Participation Adjustment'!$C:$C,'Participation Adjustment'!$A:$A,$H406,'Participation Adjustment'!$B:$B,$I406),1)</f>
        <v>847157.90852689196</v>
      </c>
      <c r="AD406" s="79">
        <f>tbl_Data_old[[#This Row],[2033 ]]*IFERROR(AVERAGEIFS('Participation Adjustment'!$C:$C,'Participation Adjustment'!$A:$A,$H406,'Participation Adjustment'!$B:$B,$I406),1)</f>
        <v>980342.22044539498</v>
      </c>
      <c r="AE406" s="79">
        <f>tbl_Data_old[[#This Row],[2034 ]]*IFERROR(AVERAGEIFS('Participation Adjustment'!$C:$C,'Participation Adjustment'!$A:$A,$H406,'Participation Adjustment'!$B:$B,$I406),1)</f>
        <v>1118416.8751278</v>
      </c>
      <c r="AF406" s="77" t="str">
        <f t="shared" si="165"/>
        <v>NonResidential</v>
      </c>
      <c r="AG406" s="77" t="str">
        <f>tbl_Data[[#This Row],[All_Meas_Name_Append]]</f>
        <v>Custom measure - Non-lighting_69</v>
      </c>
      <c r="AH406" s="77">
        <f>AVERAGEIFS('3. Incentive Adjustment'!G:G,'3. Incentive Adjustment'!A:A,tbl_Data[[#This Row],[Trimmed Sector]],'3. Incentive Adjustment'!B:B,tbl_Data[[#This Row],[Trimmed Measure Name]])</f>
        <v>0.94249803878007732</v>
      </c>
      <c r="AI406" s="77">
        <f>$AH406*tbl_Data[[#This Row],[2025 ]]</f>
        <v>74716.658087356816</v>
      </c>
      <c r="AJ406" s="77">
        <f>$AH406*tbl_Data[[#This Row],[2026 ]]</f>
        <v>158097.13461534944</v>
      </c>
      <c r="AK406" s="77">
        <f>$AH406*tbl_Data[[#This Row],[2027 ]]</f>
        <v>249110.38321098464</v>
      </c>
      <c r="AL406" s="77">
        <f>$AH406*tbl_Data[[#This Row],[2028 ]]</f>
        <v>347197.65182699042</v>
      </c>
      <c r="AM406" s="77">
        <f>$AH406*tbl_Data[[#This Row],[2029 ]]</f>
        <v>451754.5756504453</v>
      </c>
      <c r="AN406" s="77">
        <f>$AH406*tbl_Data[[#This Row],[2030 ]]</f>
        <v>562143.42184597882</v>
      </c>
      <c r="AO406" s="77">
        <f>$AH406*tbl_Data[[#This Row],[2031 ]]</f>
        <v>677795.32568919472</v>
      </c>
      <c r="AP406" s="77">
        <f>$AH406*tbl_Data[[#This Row],[2032 ]]</f>
        <v>798444.66732362786</v>
      </c>
      <c r="AQ406" s="77">
        <f>$AH406*tbl_Data[[#This Row],[2033 ]]</f>
        <v>923970.620103091</v>
      </c>
      <c r="AR406" s="77">
        <f>$AH406*tbl_Data[[#This Row],[2034 ]]</f>
        <v>1054105.7113464943</v>
      </c>
      <c r="AS406" s="77">
        <f>SUM(tbl_Data[[#This Row],[Adjusted 2025]:[Adjusted 2034]])</f>
        <v>5297336.1496995129</v>
      </c>
      <c r="AT406" s="80">
        <f>AVERAGEIFS('3. Incentive Adjustment'!F:F,'3. Incentive Adjustment'!A:A,tbl_Data[[#This Row],[Trimmed Sector]],'3. Incentive Adjustment'!B:B,tbl_Data[[#This Row],[Trimmed Measure Name]])</f>
        <v>1864.5735288999113</v>
      </c>
      <c r="AU406" s="80">
        <f>IFERROR(VLOOKUP(tbl_Data[[#This Row],[All_Meas_Name_Append]],'IRA Tax Credits'!$A$3:$D$46,4,0),0)</f>
        <v>0</v>
      </c>
      <c r="AV406" s="81">
        <f>tbl_Data[[#This Row],[Adj. per unit Incentive ($)]]/tbl_Data[[#This Row],[kWh Savings]]*tbl_Data[[#This Row],[Sum of Annuals]]</f>
        <v>804393.94482098124</v>
      </c>
      <c r="AW406" s="81">
        <f>IFERROR(VLOOKUP(tbl_Data[[#This Row],[Column1]],'1. Set Program Names'!$B$2:$D$15,3,0)*tbl_Data[[#This Row],[Sum of Annuals]],"")</f>
        <v>167651.13362144426</v>
      </c>
      <c r="AX406" s="81">
        <f>tbl_Data[[#This Row],[per unit IRA tax ($)]]/tbl_Data[[#This Row],[kWh Savings]]*tbl_Data[[#This Row],[Sum of Annuals]]</f>
        <v>0</v>
      </c>
      <c r="AY406" s="81">
        <f>tbl_Data[[#This Row],[Avoided Costs ($/unit)]]/tbl_Data[[#This Row],[kWh Savings]]*tbl_Data[[#This Row],[Sum of Annuals]]</f>
        <v>2603668.9022768755</v>
      </c>
      <c r="AZ406" s="81">
        <f>tbl_Data[[#This Row],[Lost Revenue ($/unit)]]/tbl_Data[[#This Row],[kWh Savings]]*tbl_Data[[#This Row],[Sum of Annuals]]</f>
        <v>5753543.1096624713</v>
      </c>
      <c r="BA406" s="81">
        <f>tbl_Data[[#This Row],[Incremental Cost ($/unit)]]/tbl_Data[[#This Row],[kWh Savings]]*tbl_Data[[#This Row],[Sum of Annuals]]</f>
        <v>2012988.3408585265</v>
      </c>
      <c r="BB406" s="77">
        <f>ROUNDUP(tbl_Data[[#This Row],[Adjusted 2025]]/$L406,0)</f>
        <v>7</v>
      </c>
      <c r="BC406" s="77">
        <f>ROUNDUP(tbl_Data[[#This Row],[Adjusted 2026]]/$L406,0)</f>
        <v>13</v>
      </c>
      <c r="BD406" s="77">
        <f>ROUNDUP(tbl_Data[[#This Row],[Adjusted 2027]]/$L406,0)</f>
        <v>21</v>
      </c>
      <c r="BE406" s="77">
        <f>ROUNDUP(tbl_Data[[#This Row],[Adjusted 2028]]/$L406,0)</f>
        <v>29</v>
      </c>
      <c r="BF406" s="77">
        <f>ROUNDUP(tbl_Data[[#This Row],[Adjusted 2029]]/$L406,0)</f>
        <v>37</v>
      </c>
      <c r="BG406" s="77">
        <f>ROUNDUP(tbl_Data[[#This Row],[Adjusted 2030]]/$L406,0)</f>
        <v>46</v>
      </c>
      <c r="BH406" s="77">
        <f>ROUNDUP(tbl_Data[[#This Row],[Adjusted 2031]]/$L406,0)</f>
        <v>56</v>
      </c>
      <c r="BI406" s="77">
        <f>ROUNDUP(tbl_Data[[#This Row],[Adjusted 2032]]/$L406,0)</f>
        <v>66</v>
      </c>
      <c r="BJ406" s="77">
        <f>ROUNDUP(tbl_Data[[#This Row],[Adjusted 2033]]/$L406,0)</f>
        <v>76</v>
      </c>
      <c r="BK406" s="77">
        <f>ROUNDUP(tbl_Data[[#This Row],[Adjusted 2034]]/$L406,0)</f>
        <v>86</v>
      </c>
      <c r="BL406" s="80">
        <f t="shared" si="166"/>
        <v>12037.831046527945</v>
      </c>
      <c r="BM406" s="80">
        <f t="shared" si="167"/>
        <v>25471.516582214514</v>
      </c>
      <c r="BN406" s="80">
        <f t="shared" si="168"/>
        <v>40134.941548424234</v>
      </c>
      <c r="BO406" s="80">
        <f t="shared" si="169"/>
        <v>55938.083680856987</v>
      </c>
      <c r="BP406" s="80">
        <f t="shared" si="170"/>
        <v>72783.571901969262</v>
      </c>
      <c r="BQ406" s="80">
        <f t="shared" si="171"/>
        <v>90568.659109287124</v>
      </c>
      <c r="BR406" s="80">
        <f t="shared" si="172"/>
        <v>109201.69375393365</v>
      </c>
      <c r="BS406" s="80">
        <f t="shared" si="173"/>
        <v>128639.88100224549</v>
      </c>
      <c r="BT406" s="80">
        <f t="shared" si="174"/>
        <v>148863.75410089144</v>
      </c>
      <c r="BU406" s="80">
        <f t="shared" si="175"/>
        <v>169830.21970192276</v>
      </c>
      <c r="BV406" s="80">
        <f>IFERROR(VLOOKUP($H406,'1. Set Program Names'!$B$2:$D$15,3,0)*V406,"NA")</f>
        <v>2508.9149841163576</v>
      </c>
      <c r="BW406" s="80">
        <f>IFERROR(VLOOKUP($H406,'1. Set Program Names'!$B$2:$D$15,3,0)*W406,"NA")</f>
        <v>5308.7528288344392</v>
      </c>
      <c r="BX406" s="80">
        <f>IFERROR(VLOOKUP($H406,'1. Set Program Names'!$B$2:$D$15,3,0)*X406,"NA")</f>
        <v>8364.8919683516488</v>
      </c>
      <c r="BY406" s="80">
        <f>IFERROR(VLOOKUP($H406,'1. Set Program Names'!$B$2:$D$15,3,0)*Y406,"NA")</f>
        <v>11658.570035350014</v>
      </c>
      <c r="BZ406" s="80">
        <f>IFERROR(VLOOKUP($H406,'1. Set Program Names'!$B$2:$D$15,3,0)*Z406,"NA")</f>
        <v>15169.493028815212</v>
      </c>
      <c r="CA406" s="80">
        <f>IFERROR(VLOOKUP($H406,'1. Set Program Names'!$B$2:$D$15,3,0)*AA406,"NA")</f>
        <v>18876.246480976843</v>
      </c>
      <c r="CB406" s="80">
        <f>IFERROR(VLOOKUP($H406,'1. Set Program Names'!$B$2:$D$15,3,0)*AB406,"NA")</f>
        <v>22759.728450346778</v>
      </c>
      <c r="CC406" s="80">
        <f>IFERROR(VLOOKUP($H406,'1. Set Program Names'!$B$2:$D$15,3,0)*AC406,"NA")</f>
        <v>26811.019672399227</v>
      </c>
      <c r="CD406" s="80">
        <f>IFERROR(VLOOKUP($H406,'1. Set Program Names'!$B$2:$D$15,3,0)*AD406,"NA")</f>
        <v>31026.062902192301</v>
      </c>
      <c r="CE406" s="80">
        <f>IFERROR(VLOOKUP($H406,'1. Set Program Names'!$B$2:$D$15,3,0)*AE406,"NA")</f>
        <v>35395.876659094953</v>
      </c>
    </row>
    <row r="407" spans="1:83" x14ac:dyDescent="0.25">
      <c r="A407" s="79" t="s">
        <v>113</v>
      </c>
      <c r="B407" s="79" t="s">
        <v>88</v>
      </c>
      <c r="C407" s="79" t="s">
        <v>122</v>
      </c>
      <c r="D407" s="79" t="s">
        <v>90</v>
      </c>
      <c r="E407" s="79" t="s">
        <v>91</v>
      </c>
      <c r="F407" s="79" t="s">
        <v>90</v>
      </c>
      <c r="G407" s="79" t="s">
        <v>92</v>
      </c>
      <c r="H407" s="79" t="s">
        <v>18</v>
      </c>
      <c r="I407" s="79" t="s">
        <v>170</v>
      </c>
      <c r="J407" s="79" t="s">
        <v>144</v>
      </c>
      <c r="K407" s="79" t="s">
        <v>171</v>
      </c>
      <c r="L407" s="79">
        <v>5592.79</v>
      </c>
      <c r="M407" s="79">
        <v>0.87755365852981304</v>
      </c>
      <c r="N407" s="79">
        <v>1.3078150987013399</v>
      </c>
      <c r="O407" s="79">
        <v>2274</v>
      </c>
      <c r="P407" s="79">
        <v>1123.5242193223601</v>
      </c>
      <c r="Q407" s="79">
        <v>177.00171503367099</v>
      </c>
      <c r="R407" s="79">
        <v>3205.1805113222799</v>
      </c>
      <c r="S407" s="79">
        <v>7177.7771935445198</v>
      </c>
      <c r="T407" s="79">
        <v>20</v>
      </c>
      <c r="U407" s="79">
        <v>1</v>
      </c>
      <c r="V407" s="79">
        <f>tbl_Data_old[[#This Row],[2025 ]]*IFERROR(AVERAGEIFS('Participation Adjustment'!$C:$C,'Participation Adjustment'!$A:$A,$H407,'Participation Adjustment'!$B:$B,$I407),1)</f>
        <v>1601.16012615676</v>
      </c>
      <c r="W407" s="79">
        <f>tbl_Data_old[[#This Row],[2026 ]]*IFERROR(AVERAGEIFS('Participation Adjustment'!$C:$C,'Participation Adjustment'!$A:$A,$H407,'Participation Adjustment'!$B:$B,$I407),1)</f>
        <v>3661.58428909229</v>
      </c>
      <c r="X407" s="79">
        <f>tbl_Data_old[[#This Row],[2027 ]]*IFERROR(AVERAGEIFS('Participation Adjustment'!$C:$C,'Participation Adjustment'!$A:$A,$H407,'Participation Adjustment'!$B:$B,$I407),1)</f>
        <v>6249.88582292917</v>
      </c>
      <c r="Y407" s="79">
        <f>tbl_Data_old[[#This Row],[2028 ]]*IFERROR(AVERAGEIFS('Participation Adjustment'!$C:$C,'Participation Adjustment'!$A:$A,$H407,'Participation Adjustment'!$B:$B,$I407),1)</f>
        <v>9431.8965045696004</v>
      </c>
      <c r="Z407" s="79">
        <f>tbl_Data_old[[#This Row],[2029 ]]*IFERROR(AVERAGEIFS('Participation Adjustment'!$C:$C,'Participation Adjustment'!$A:$A,$H407,'Participation Adjustment'!$B:$B,$I407),1)</f>
        <v>13241.4691670353</v>
      </c>
      <c r="AA407" s="79">
        <f>tbl_Data_old[[#This Row],[2030 ]]*IFERROR(AVERAGEIFS('Participation Adjustment'!$C:$C,'Participation Adjustment'!$A:$A,$H407,'Participation Adjustment'!$B:$B,$I407),1)</f>
        <v>17658.656645563398</v>
      </c>
      <c r="AB407" s="79">
        <f>tbl_Data_old[[#This Row],[2031 ]]*IFERROR(AVERAGEIFS('Participation Adjustment'!$C:$C,'Participation Adjustment'!$A:$A,$H407,'Participation Adjustment'!$B:$B,$I407),1)</f>
        <v>22599.179852406</v>
      </c>
      <c r="AC407" s="79">
        <f>tbl_Data_old[[#This Row],[2032 ]]*IFERROR(AVERAGEIFS('Participation Adjustment'!$C:$C,'Participation Adjustment'!$A:$A,$H407,'Participation Adjustment'!$B:$B,$I407),1)</f>
        <v>27915.482808758199</v>
      </c>
      <c r="AD407" s="79">
        <f>tbl_Data_old[[#This Row],[2033 ]]*IFERROR(AVERAGEIFS('Participation Adjustment'!$C:$C,'Participation Adjustment'!$A:$A,$H407,'Participation Adjustment'!$B:$B,$I407),1)</f>
        <v>33394.211203484003</v>
      </c>
      <c r="AE407" s="79">
        <f>tbl_Data_old[[#This Row],[2034 ]]*IFERROR(AVERAGEIFS('Participation Adjustment'!$C:$C,'Participation Adjustment'!$A:$A,$H407,'Participation Adjustment'!$B:$B,$I407),1)</f>
        <v>38775.128283448998</v>
      </c>
      <c r="AF407" s="77" t="str">
        <f t="shared" si="165"/>
        <v>NonResidential</v>
      </c>
      <c r="AG407" s="77" t="str">
        <f>tbl_Data[[#This Row],[All_Meas_Name_Append]]</f>
        <v>Demand Controlled Circulating Systems</v>
      </c>
      <c r="AH407" s="77">
        <f>AVERAGEIFS('3. Incentive Adjustment'!G:G,'3. Incentive Adjustment'!A:A,tbl_Data[[#This Row],[Trimmed Sector]],'3. Incentive Adjustment'!B:B,tbl_Data[[#This Row],[Trimmed Measure Name]])</f>
        <v>0.82519266246945677</v>
      </c>
      <c r="AI407" s="77">
        <f>$AH407*tbl_Data[[#This Row],[2025 ]]</f>
        <v>1321.2655875432281</v>
      </c>
      <c r="AJ407" s="77">
        <f>$AH407*tbl_Data[[#This Row],[2026 ]]</f>
        <v>3021.5124883723997</v>
      </c>
      <c r="AK407" s="77">
        <f>$AH407*tbl_Data[[#This Row],[2027 ]]</f>
        <v>5157.3599223530337</v>
      </c>
      <c r="AL407" s="77">
        <f>$AH407*tbl_Data[[#This Row],[2028 ]]</f>
        <v>7783.131788742151</v>
      </c>
      <c r="AM407" s="77">
        <f>$AH407*tbl_Data[[#This Row],[2029 ]]</f>
        <v>10926.763196953079</v>
      </c>
      <c r="AN407" s="77">
        <f>$AH407*tbl_Data[[#This Row],[2030 ]]</f>
        <v>14571.793892986427</v>
      </c>
      <c r="AO407" s="77">
        <f>$AH407*tbl_Data[[#This Row],[2031 ]]</f>
        <v>18648.677392033012</v>
      </c>
      <c r="AP407" s="77">
        <f>$AH407*tbl_Data[[#This Row],[2032 ]]</f>
        <v>23035.651583079529</v>
      </c>
      <c r="AQ407" s="77">
        <f>$AH407*tbl_Data[[#This Row],[2033 ]]</f>
        <v>27556.658054070325</v>
      </c>
      <c r="AR407" s="77">
        <f>$AH407*tbl_Data[[#This Row],[2034 ]]</f>
        <v>31996.951345814014</v>
      </c>
      <c r="AS407" s="77">
        <f>SUM(tbl_Data[[#This Row],[Adjusted 2025]:[Adjusted 2034]])</f>
        <v>144019.76525194722</v>
      </c>
      <c r="AT407" s="80">
        <f>AVERAGEIFS('3. Incentive Adjustment'!F:F,'3. Incentive Adjustment'!A:A,tbl_Data[[#This Row],[Trimmed Sector]],'3. Incentive Adjustment'!B:B,tbl_Data[[#This Row],[Trimmed Measure Name]])</f>
        <v>716.2547365811331</v>
      </c>
      <c r="AU407" s="80">
        <f>IFERROR(VLOOKUP(tbl_Data[[#This Row],[All_Meas_Name_Append]],'IRA Tax Credits'!$A$3:$D$46,4,0),0)</f>
        <v>0</v>
      </c>
      <c r="AV407" s="81">
        <f>tbl_Data[[#This Row],[Adj. per unit Incentive ($)]]/tbl_Data[[#This Row],[kWh Savings]]*tbl_Data[[#This Row],[Sum of Annuals]]</f>
        <v>18444.253945349294</v>
      </c>
      <c r="AW407" s="81">
        <f>IFERROR(VLOOKUP(tbl_Data[[#This Row],[Column1]],'1. Set Program Names'!$B$2:$D$15,3,0)*tbl_Data[[#This Row],[Sum of Annuals]],"")</f>
        <v>4557.9657824344122</v>
      </c>
      <c r="AX407" s="81">
        <f>tbl_Data[[#This Row],[per unit IRA tax ($)]]/tbl_Data[[#This Row],[kWh Savings]]*tbl_Data[[#This Row],[Sum of Annuals]]</f>
        <v>0</v>
      </c>
      <c r="AY407" s="81">
        <f>tbl_Data[[#This Row],[Avoided Costs ($/unit)]]/tbl_Data[[#This Row],[kWh Savings]]*tbl_Data[[#This Row],[Sum of Annuals]]</f>
        <v>82536.505899694239</v>
      </c>
      <c r="AZ407" s="81">
        <f>tbl_Data[[#This Row],[Lost Revenue ($/unit)]]/tbl_Data[[#This Row],[kWh Savings]]*tbl_Data[[#This Row],[Sum of Annuals]]</f>
        <v>184834.72228441658</v>
      </c>
      <c r="BA407" s="81">
        <f>tbl_Data[[#This Row],[Incremental Cost ($/unit)]]/tbl_Data[[#This Row],[kWh Savings]]*tbl_Data[[#This Row],[Sum of Annuals]]</f>
        <v>58557.704863391606</v>
      </c>
      <c r="BB407" s="77">
        <f>ROUNDUP(tbl_Data[[#This Row],[Adjusted 2025]]/$L407,0)</f>
        <v>1</v>
      </c>
      <c r="BC407" s="77">
        <f>ROUNDUP(tbl_Data[[#This Row],[Adjusted 2026]]/$L407,0)</f>
        <v>1</v>
      </c>
      <c r="BD407" s="77">
        <f>ROUNDUP(tbl_Data[[#This Row],[Adjusted 2027]]/$L407,0)</f>
        <v>1</v>
      </c>
      <c r="BE407" s="77">
        <f>ROUNDUP(tbl_Data[[#This Row],[Adjusted 2028]]/$L407,0)</f>
        <v>2</v>
      </c>
      <c r="BF407" s="77">
        <f>ROUNDUP(tbl_Data[[#This Row],[Adjusted 2029]]/$L407,0)</f>
        <v>2</v>
      </c>
      <c r="BG407" s="77">
        <f>ROUNDUP(tbl_Data[[#This Row],[Adjusted 2030]]/$L407,0)</f>
        <v>3</v>
      </c>
      <c r="BH407" s="77">
        <f>ROUNDUP(tbl_Data[[#This Row],[Adjusted 2031]]/$L407,0)</f>
        <v>4</v>
      </c>
      <c r="BI407" s="77">
        <f>ROUNDUP(tbl_Data[[#This Row],[Adjusted 2032]]/$L407,0)</f>
        <v>5</v>
      </c>
      <c r="BJ407" s="77">
        <f>ROUNDUP(tbl_Data[[#This Row],[Adjusted 2033]]/$L407,0)</f>
        <v>5</v>
      </c>
      <c r="BK407" s="77">
        <f>ROUNDUP(tbl_Data[[#This Row],[Adjusted 2034]]/$L407,0)</f>
        <v>6</v>
      </c>
      <c r="BL407" s="80">
        <f t="shared" si="166"/>
        <v>205.05660401778434</v>
      </c>
      <c r="BM407" s="80">
        <f t="shared" si="167"/>
        <v>468.93001354483431</v>
      </c>
      <c r="BN407" s="80">
        <f t="shared" si="168"/>
        <v>800.40736801565788</v>
      </c>
      <c r="BO407" s="80">
        <f t="shared" si="169"/>
        <v>1207.9195797340878</v>
      </c>
      <c r="BP407" s="80">
        <f t="shared" si="170"/>
        <v>1695.8020970181369</v>
      </c>
      <c r="BQ407" s="80">
        <f t="shared" si="171"/>
        <v>2261.5003359762636</v>
      </c>
      <c r="BR407" s="80">
        <f t="shared" si="172"/>
        <v>2894.2208829823239</v>
      </c>
      <c r="BS407" s="80">
        <f t="shared" si="173"/>
        <v>3575.0666099964874</v>
      </c>
      <c r="BT407" s="80">
        <f t="shared" si="174"/>
        <v>4276.7137598383206</v>
      </c>
      <c r="BU407" s="80">
        <f t="shared" si="175"/>
        <v>4965.8344573211953</v>
      </c>
      <c r="BV407" s="80">
        <f>IFERROR(VLOOKUP($H407,'1. Set Program Names'!$B$2:$D$15,3,0)*V407,"NA")</f>
        <v>50.673829765336365</v>
      </c>
      <c r="BW407" s="80">
        <f>IFERROR(VLOOKUP($H407,'1. Set Program Names'!$B$2:$D$15,3,0)*W407,"NA")</f>
        <v>115.88253785850718</v>
      </c>
      <c r="BX407" s="80">
        <f>IFERROR(VLOOKUP($H407,'1. Set Program Names'!$B$2:$D$15,3,0)*X407,"NA")</f>
        <v>197.79761253740787</v>
      </c>
      <c r="BY407" s="80">
        <f>IFERROR(VLOOKUP($H407,'1. Set Program Names'!$B$2:$D$15,3,0)*Y407,"NA")</f>
        <v>298.50251079137712</v>
      </c>
      <c r="BZ407" s="80">
        <f>IFERROR(VLOOKUP($H407,'1. Set Program Names'!$B$2:$D$15,3,0)*Z407,"NA")</f>
        <v>419.06861372065163</v>
      </c>
      <c r="CA407" s="80">
        <f>IFERROR(VLOOKUP($H407,'1. Set Program Names'!$B$2:$D$15,3,0)*AA407,"NA")</f>
        <v>558.86462954186618</v>
      </c>
      <c r="CB407" s="80">
        <f>IFERROR(VLOOKUP($H407,'1. Set Program Names'!$B$2:$D$15,3,0)*AB407,"NA")</f>
        <v>715.22327715330744</v>
      </c>
      <c r="CC407" s="80">
        <f>IFERROR(VLOOKUP($H407,'1. Set Program Names'!$B$2:$D$15,3,0)*AC407,"NA")</f>
        <v>883.47467599233312</v>
      </c>
      <c r="CD407" s="80">
        <f>IFERROR(VLOOKUP($H407,'1. Set Program Names'!$B$2:$D$15,3,0)*AD407,"NA")</f>
        <v>1056.8665469673097</v>
      </c>
      <c r="CE407" s="80">
        <f>IFERROR(VLOOKUP($H407,'1. Set Program Names'!$B$2:$D$15,3,0)*AE407,"NA")</f>
        <v>1227.1628662655091</v>
      </c>
    </row>
    <row r="408" spans="1:83" x14ac:dyDescent="0.25">
      <c r="A408" s="79" t="s">
        <v>113</v>
      </c>
      <c r="B408" s="79" t="s">
        <v>88</v>
      </c>
      <c r="C408" s="79" t="s">
        <v>122</v>
      </c>
      <c r="D408" s="79" t="s">
        <v>90</v>
      </c>
      <c r="E408" s="79" t="s">
        <v>91</v>
      </c>
      <c r="F408" s="79" t="s">
        <v>90</v>
      </c>
      <c r="G408" s="79" t="s">
        <v>92</v>
      </c>
      <c r="H408" s="79" t="s">
        <v>18</v>
      </c>
      <c r="I408" s="79" t="s">
        <v>172</v>
      </c>
      <c r="J408" s="79" t="s">
        <v>144</v>
      </c>
      <c r="K408" s="79" t="s">
        <v>102</v>
      </c>
      <c r="L408" s="79">
        <v>18085.229999999901</v>
      </c>
      <c r="M408" s="79">
        <v>0.84213537152598805</v>
      </c>
      <c r="N408" s="79">
        <v>1.2419142635526399</v>
      </c>
      <c r="O408" s="79">
        <v>5343.87</v>
      </c>
      <c r="P408" s="79">
        <v>2505.3610009054501</v>
      </c>
      <c r="Q408" s="79">
        <v>572.36490674214201</v>
      </c>
      <c r="R408" s="79">
        <v>7297.3054636159204</v>
      </c>
      <c r="S408" s="79">
        <v>27879.9715993795</v>
      </c>
      <c r="T408" s="79">
        <v>30</v>
      </c>
      <c r="U408" s="79">
        <v>1</v>
      </c>
      <c r="V408" s="79">
        <f>tbl_Data_old[[#This Row],[2025 ]]*IFERROR(AVERAGEIFS('Participation Adjustment'!$C:$C,'Participation Adjustment'!$A:$A,$H408,'Participation Adjustment'!$B:$B,$I408),1)</f>
        <v>33528.579471105601</v>
      </c>
      <c r="W408" s="79">
        <f>tbl_Data_old[[#This Row],[2026 ]]*IFERROR(AVERAGEIFS('Participation Adjustment'!$C:$C,'Participation Adjustment'!$A:$A,$H408,'Participation Adjustment'!$B:$B,$I408),1)</f>
        <v>79698.866474951399</v>
      </c>
      <c r="X408" s="79">
        <f>tbl_Data_old[[#This Row],[2027 ]]*IFERROR(AVERAGEIFS('Participation Adjustment'!$C:$C,'Participation Adjustment'!$A:$A,$H408,'Participation Adjustment'!$B:$B,$I408),1)</f>
        <v>141334.218417645</v>
      </c>
      <c r="Y408" s="79">
        <f>tbl_Data_old[[#This Row],[2028 ]]*IFERROR(AVERAGEIFS('Participation Adjustment'!$C:$C,'Participation Adjustment'!$A:$A,$H408,'Participation Adjustment'!$B:$B,$I408),1)</f>
        <v>221138.23995527299</v>
      </c>
      <c r="Z408" s="79">
        <f>tbl_Data_old[[#This Row],[2029 ]]*IFERROR(AVERAGEIFS('Participation Adjustment'!$C:$C,'Participation Adjustment'!$A:$A,$H408,'Participation Adjustment'!$B:$B,$I408),1)</f>
        <v>320378.84186527698</v>
      </c>
      <c r="AA408" s="79">
        <f>tbl_Data_old[[#This Row],[2030 ]]*IFERROR(AVERAGEIFS('Participation Adjustment'!$C:$C,'Participation Adjustment'!$A:$A,$H408,'Participation Adjustment'!$B:$B,$I408),1)</f>
        <v>437217.63199726801</v>
      </c>
      <c r="AB408" s="79">
        <f>tbl_Data_old[[#This Row],[2031 ]]*IFERROR(AVERAGEIFS('Participation Adjustment'!$C:$C,'Participation Adjustment'!$A:$A,$H408,'Participation Adjustment'!$B:$B,$I408),1)</f>
        <v>565834.17146827898</v>
      </c>
      <c r="AC408" s="79">
        <f>tbl_Data_old[[#This Row],[2032 ]]*IFERROR(AVERAGEIFS('Participation Adjustment'!$C:$C,'Participation Adjustment'!$A:$A,$H408,'Participation Adjustment'!$B:$B,$I408),1)</f>
        <v>696566.926371173</v>
      </c>
      <c r="AD408" s="79">
        <f>tbl_Data_old[[#This Row],[2033 ]]*IFERROR(AVERAGEIFS('Participation Adjustment'!$C:$C,'Participation Adjustment'!$A:$A,$H408,'Participation Adjustment'!$B:$B,$I408),1)</f>
        <v>817707.38233721105</v>
      </c>
      <c r="AE408" s="79">
        <f>tbl_Data_old[[#This Row],[2034 ]]*IFERROR(AVERAGEIFS('Participation Adjustment'!$C:$C,'Participation Adjustment'!$A:$A,$H408,'Participation Adjustment'!$B:$B,$I408),1)</f>
        <v>919512.33693033399</v>
      </c>
      <c r="AF408" s="77" t="str">
        <f t="shared" si="165"/>
        <v>NonResidential</v>
      </c>
      <c r="AG408" s="77" t="str">
        <f>tbl_Data[[#This Row],[All_Meas_Name_Append]]</f>
        <v>Drain water heat recovery</v>
      </c>
      <c r="AH408" s="77">
        <f>AVERAGEIFS('3. Incentive Adjustment'!G:G,'3. Incentive Adjustment'!A:A,tbl_Data[[#This Row],[Trimmed Sector]],'3. Incentive Adjustment'!B:B,tbl_Data[[#This Row],[Trimmed Measure Name]])</f>
        <v>0.69383814414313949</v>
      </c>
      <c r="AI408" s="77">
        <f>$AH408*tbl_Data[[#This Row],[2025 ]]</f>
        <v>23263.407355987674</v>
      </c>
      <c r="AJ408" s="77">
        <f>$AH408*tbl_Data[[#This Row],[2026 ]]</f>
        <v>55298.113605292157</v>
      </c>
      <c r="AK408" s="77">
        <f>$AH408*tbl_Data[[#This Row],[2027 ]]</f>
        <v>98063.071810819922</v>
      </c>
      <c r="AL408" s="77">
        <f>$AH408*tbl_Data[[#This Row],[2028 ]]</f>
        <v>153434.14600964688</v>
      </c>
      <c r="AM408" s="77">
        <f>$AH408*tbl_Data[[#This Row],[2029 ]]</f>
        <v>222291.06106253213</v>
      </c>
      <c r="AN408" s="77">
        <f>$AH408*tbl_Data[[#This Row],[2030 ]]</f>
        <v>303358.27037164255</v>
      </c>
      <c r="AO408" s="77">
        <f>$AH408*tbl_Data[[#This Row],[2031 ]]</f>
        <v>392597.33142432163</v>
      </c>
      <c r="AP408" s="77">
        <f>$AH408*tbl_Data[[#This Row],[2032 ]]</f>
        <v>483304.70346486557</v>
      </c>
      <c r="AQ408" s="77">
        <f>$AH408*tbl_Data[[#This Row],[2033 ]]</f>
        <v>567356.57261299517</v>
      </c>
      <c r="AR408" s="77">
        <f>$AH408*tbl_Data[[#This Row],[2034 ]]</f>
        <v>637992.73337246408</v>
      </c>
      <c r="AS408" s="77">
        <f>SUM(tbl_Data[[#This Row],[Adjusted 2025]:[Adjusted 2034]])</f>
        <v>2936959.4110905677</v>
      </c>
      <c r="AT408" s="80">
        <f>AVERAGEIFS('3. Incentive Adjustment'!F:F,'3. Incentive Adjustment'!A:A,tbl_Data[[#This Row],[Trimmed Sector]],'3. Incentive Adjustment'!B:B,tbl_Data[[#This Row],[Trimmed Measure Name]])</f>
        <v>0</v>
      </c>
      <c r="AU408" s="80">
        <f>IFERROR(VLOOKUP(tbl_Data[[#This Row],[All_Meas_Name_Append]],'IRA Tax Credits'!$A$3:$D$46,4,0),0)</f>
        <v>0</v>
      </c>
      <c r="AV408" s="81">
        <f>tbl_Data[[#This Row],[Adj. per unit Incentive ($)]]/tbl_Data[[#This Row],[kWh Savings]]*tbl_Data[[#This Row],[Sum of Annuals]]</f>
        <v>0</v>
      </c>
      <c r="AW408" s="81">
        <f>IFERROR(VLOOKUP(tbl_Data[[#This Row],[Column1]],'1. Set Program Names'!$B$2:$D$15,3,0)*tbl_Data[[#This Row],[Sum of Annuals]],"")</f>
        <v>92949.467572948546</v>
      </c>
      <c r="AX408" s="81">
        <f>tbl_Data[[#This Row],[per unit IRA tax ($)]]/tbl_Data[[#This Row],[kWh Savings]]*tbl_Data[[#This Row],[Sum of Annuals]]</f>
        <v>0</v>
      </c>
      <c r="AY408" s="81">
        <f>tbl_Data[[#This Row],[Avoided Costs ($/unit)]]/tbl_Data[[#This Row],[kWh Savings]]*tbl_Data[[#This Row],[Sum of Annuals]]</f>
        <v>1185049.3445186769</v>
      </c>
      <c r="AZ408" s="81">
        <f>tbl_Data[[#This Row],[Lost Revenue ($/unit)]]/tbl_Data[[#This Row],[kWh Savings]]*tbl_Data[[#This Row],[Sum of Annuals]]</f>
        <v>4527581.0686253821</v>
      </c>
      <c r="BA408" s="81">
        <f>tbl_Data[[#This Row],[Incremental Cost ($/unit)]]/tbl_Data[[#This Row],[kWh Savings]]*tbl_Data[[#This Row],[Sum of Annuals]]</f>
        <v>867820.27589058236</v>
      </c>
      <c r="BB408" s="77">
        <f>ROUNDUP(tbl_Data[[#This Row],[Adjusted 2025]]/$L408,0)</f>
        <v>2</v>
      </c>
      <c r="BC408" s="77">
        <f>ROUNDUP(tbl_Data[[#This Row],[Adjusted 2026]]/$L408,0)</f>
        <v>4</v>
      </c>
      <c r="BD408" s="77">
        <f>ROUNDUP(tbl_Data[[#This Row],[Adjusted 2027]]/$L408,0)</f>
        <v>6</v>
      </c>
      <c r="BE408" s="77">
        <f>ROUNDUP(tbl_Data[[#This Row],[Adjusted 2028]]/$L408,0)</f>
        <v>9</v>
      </c>
      <c r="BF408" s="77">
        <f>ROUNDUP(tbl_Data[[#This Row],[Adjusted 2029]]/$L408,0)</f>
        <v>13</v>
      </c>
      <c r="BG408" s="77">
        <f>ROUNDUP(tbl_Data[[#This Row],[Adjusted 2030]]/$L408,0)</f>
        <v>17</v>
      </c>
      <c r="BH408" s="77">
        <f>ROUNDUP(tbl_Data[[#This Row],[Adjusted 2031]]/$L408,0)</f>
        <v>22</v>
      </c>
      <c r="BI408" s="77">
        <f>ROUNDUP(tbl_Data[[#This Row],[Adjusted 2032]]/$L408,0)</f>
        <v>27</v>
      </c>
      <c r="BJ408" s="77">
        <f>ROUNDUP(tbl_Data[[#This Row],[Adjusted 2033]]/$L408,0)</f>
        <v>32</v>
      </c>
      <c r="BK408" s="77">
        <f>ROUNDUP(tbl_Data[[#This Row],[Adjusted 2034]]/$L408,0)</f>
        <v>36</v>
      </c>
      <c r="BL408" s="80">
        <f t="shared" si="166"/>
        <v>0</v>
      </c>
      <c r="BM408" s="80">
        <f t="shared" si="167"/>
        <v>0</v>
      </c>
      <c r="BN408" s="80">
        <f t="shared" si="168"/>
        <v>0</v>
      </c>
      <c r="BO408" s="80">
        <f t="shared" si="169"/>
        <v>0</v>
      </c>
      <c r="BP408" s="80">
        <f t="shared" si="170"/>
        <v>0</v>
      </c>
      <c r="BQ408" s="80">
        <f t="shared" si="171"/>
        <v>0</v>
      </c>
      <c r="BR408" s="80">
        <f t="shared" si="172"/>
        <v>0</v>
      </c>
      <c r="BS408" s="80">
        <f t="shared" si="173"/>
        <v>0</v>
      </c>
      <c r="BT408" s="80">
        <f t="shared" si="174"/>
        <v>0</v>
      </c>
      <c r="BU408" s="80">
        <f t="shared" si="175"/>
        <v>0</v>
      </c>
      <c r="BV408" s="80">
        <f>IFERROR(VLOOKUP($H408,'1. Set Program Names'!$B$2:$D$15,3,0)*V408,"NA")</f>
        <v>1061.1190602594456</v>
      </c>
      <c r="BW408" s="80">
        <f>IFERROR(VLOOKUP($H408,'1. Set Program Names'!$B$2:$D$15,3,0)*W408,"NA")</f>
        <v>2522.3253603846997</v>
      </c>
      <c r="BX408" s="80">
        <f>IFERROR(VLOOKUP($H408,'1. Set Program Names'!$B$2:$D$15,3,0)*X408,"NA")</f>
        <v>4472.97306941019</v>
      </c>
      <c r="BY408" s="80">
        <f>IFERROR(VLOOKUP($H408,'1. Set Program Names'!$B$2:$D$15,3,0)*Y408,"NA")</f>
        <v>6998.6263978462966</v>
      </c>
      <c r="BZ408" s="80">
        <f>IFERROR(VLOOKUP($H408,'1. Set Program Names'!$B$2:$D$15,3,0)*Z408,"NA")</f>
        <v>10139.412434698121</v>
      </c>
      <c r="CA408" s="80">
        <f>IFERROR(VLOOKUP($H408,'1. Set Program Names'!$B$2:$D$15,3,0)*AA408,"NA")</f>
        <v>13837.149384560635</v>
      </c>
      <c r="CB408" s="80">
        <f>IFERROR(VLOOKUP($H408,'1. Set Program Names'!$B$2:$D$15,3,0)*AB408,"NA")</f>
        <v>17907.630855895117</v>
      </c>
      <c r="CC408" s="80">
        <f>IFERROR(VLOOKUP($H408,'1. Set Program Names'!$B$2:$D$15,3,0)*AC408,"NA")</f>
        <v>22045.086728346756</v>
      </c>
      <c r="CD408" s="80">
        <f>IFERROR(VLOOKUP($H408,'1. Set Program Names'!$B$2:$D$15,3,0)*AD408,"NA")</f>
        <v>25878.963642364561</v>
      </c>
      <c r="CE408" s="80">
        <f>IFERROR(VLOOKUP($H408,'1. Set Program Names'!$B$2:$D$15,3,0)*AE408,"NA")</f>
        <v>29100.906815969822</v>
      </c>
    </row>
    <row r="409" spans="1:83" x14ac:dyDescent="0.25">
      <c r="A409" s="79" t="s">
        <v>113</v>
      </c>
      <c r="B409" s="79" t="s">
        <v>88</v>
      </c>
      <c r="C409" s="79" t="s">
        <v>122</v>
      </c>
      <c r="D409" s="79" t="s">
        <v>90</v>
      </c>
      <c r="E409" s="79" t="s">
        <v>91</v>
      </c>
      <c r="F409" s="79" t="s">
        <v>90</v>
      </c>
      <c r="G409" s="79" t="s">
        <v>92</v>
      </c>
      <c r="H409" s="79" t="s">
        <v>18</v>
      </c>
      <c r="I409" s="79" t="s">
        <v>133</v>
      </c>
      <c r="J409" s="79" t="s">
        <v>134</v>
      </c>
      <c r="K409" s="79" t="s">
        <v>98</v>
      </c>
      <c r="L409" s="79">
        <v>4486</v>
      </c>
      <c r="M409" s="79">
        <v>0.89185722946849999</v>
      </c>
      <c r="N409" s="79">
        <v>0.84310494165890204</v>
      </c>
      <c r="O409" s="79">
        <v>2050</v>
      </c>
      <c r="P409" s="79">
        <v>1127.1986160539</v>
      </c>
      <c r="Q409" s="79">
        <v>141.97380799941499</v>
      </c>
      <c r="R409" s="79">
        <v>2297.8137992477</v>
      </c>
      <c r="S409" s="79">
        <v>5757.3247860621796</v>
      </c>
      <c r="T409" s="79">
        <v>20</v>
      </c>
      <c r="U409" s="79">
        <v>1</v>
      </c>
      <c r="V409" s="79">
        <f>tbl_Data_old[[#This Row],[2025 ]]*IFERROR(AVERAGEIFS('Participation Adjustment'!$C:$C,'Participation Adjustment'!$A:$A,$H409,'Participation Adjustment'!$B:$B,$I409),1)</f>
        <v>50633.576019914697</v>
      </c>
      <c r="W409" s="79">
        <f>tbl_Data_old[[#This Row],[2026 ]]*IFERROR(AVERAGEIFS('Participation Adjustment'!$C:$C,'Participation Adjustment'!$A:$A,$H409,'Participation Adjustment'!$B:$B,$I409),1)</f>
        <v>116112.652201583</v>
      </c>
      <c r="X409" s="79">
        <f>tbl_Data_old[[#This Row],[2027 ]]*IFERROR(AVERAGEIFS('Participation Adjustment'!$C:$C,'Participation Adjustment'!$A:$A,$H409,'Participation Adjustment'!$B:$B,$I409),1)</f>
        <v>198942.86353382401</v>
      </c>
      <c r="Y409" s="79">
        <f>tbl_Data_old[[#This Row],[2028 ]]*IFERROR(AVERAGEIFS('Participation Adjustment'!$C:$C,'Participation Adjustment'!$A:$A,$H409,'Participation Adjustment'!$B:$B,$I409),1)</f>
        <v>301690.380718017</v>
      </c>
      <c r="Z409" s="79">
        <f>tbl_Data_old[[#This Row],[2029 ]]*IFERROR(AVERAGEIFS('Participation Adjustment'!$C:$C,'Participation Adjustment'!$A:$A,$H409,'Participation Adjustment'!$B:$B,$I409),1)</f>
        <v>426051.38058181101</v>
      </c>
      <c r="AA409" s="79">
        <f>tbl_Data_old[[#This Row],[2030 ]]*IFERROR(AVERAGEIFS('Participation Adjustment'!$C:$C,'Participation Adjustment'!$A:$A,$H409,'Participation Adjustment'!$B:$B,$I409),1)</f>
        <v>572112.79153585597</v>
      </c>
      <c r="AB409" s="79">
        <f>tbl_Data_old[[#This Row],[2031 ]]*IFERROR(AVERAGEIFS('Participation Adjustment'!$C:$C,'Participation Adjustment'!$A:$A,$H409,'Participation Adjustment'!$B:$B,$I409),1)</f>
        <v>737886.72387861705</v>
      </c>
      <c r="AC409" s="79">
        <f>tbl_Data_old[[#This Row],[2032 ]]*IFERROR(AVERAGEIFS('Participation Adjustment'!$C:$C,'Participation Adjustment'!$A:$A,$H409,'Participation Adjustment'!$B:$B,$I409),1)</f>
        <v>919179.29940856597</v>
      </c>
      <c r="AD409" s="79">
        <f>tbl_Data_old[[#This Row],[2033 ]]*IFERROR(AVERAGEIFS('Participation Adjustment'!$C:$C,'Participation Adjustment'!$A:$A,$H409,'Participation Adjustment'!$B:$B,$I409),1)</f>
        <v>1109302.3116311</v>
      </c>
      <c r="AE409" s="79">
        <f>tbl_Data_old[[#This Row],[2034 ]]*IFERROR(AVERAGEIFS('Participation Adjustment'!$C:$C,'Participation Adjustment'!$A:$A,$H409,'Participation Adjustment'!$B:$B,$I409),1)</f>
        <v>1299501.6455149399</v>
      </c>
      <c r="AF409" s="77" t="str">
        <f t="shared" si="165"/>
        <v>NonResidential</v>
      </c>
      <c r="AG409" s="77" t="str">
        <f>tbl_Data[[#This Row],[All_Meas_Name_Append]]</f>
        <v>Efficient Exhaust Hood</v>
      </c>
      <c r="AH409" s="77">
        <f>AVERAGEIFS('3. Incentive Adjustment'!G:G,'3. Incentive Adjustment'!A:A,tbl_Data[[#This Row],[Trimmed Sector]],'3. Incentive Adjustment'!B:B,tbl_Data[[#This Row],[Trimmed Measure Name]])</f>
        <v>0.51531219842413434</v>
      </c>
      <c r="AI409" s="77">
        <f>$AH409*tbl_Data[[#This Row],[2025 ]]</f>
        <v>26092.099372897774</v>
      </c>
      <c r="AJ409" s="77">
        <f>$AH409*tbl_Data[[#This Row],[2026 ]]</f>
        <v>59834.266070854639</v>
      </c>
      <c r="AK409" s="77">
        <f>$AH409*tbl_Data[[#This Row],[2027 ]]</f>
        <v>102517.6843684074</v>
      </c>
      <c r="AL409" s="77">
        <f>$AH409*tbl_Data[[#This Row],[2028 ]]</f>
        <v>155464.73333121539</v>
      </c>
      <c r="AM409" s="77">
        <f>$AH409*tbl_Data[[#This Row],[2029 ]]</f>
        <v>219549.47356925058</v>
      </c>
      <c r="AN409" s="77">
        <f>$AH409*tbl_Data[[#This Row],[2030 ]]</f>
        <v>294816.70035291044</v>
      </c>
      <c r="AO409" s="77">
        <f>$AH409*tbl_Data[[#This Row],[2031 ]]</f>
        <v>380242.02986987232</v>
      </c>
      <c r="AP409" s="77">
        <f>$AH409*tbl_Data[[#This Row],[2032 ]]</f>
        <v>473664.30552418373</v>
      </c>
      <c r="AQ409" s="77">
        <f>$AH409*tbl_Data[[#This Row],[2033 ]]</f>
        <v>571637.01292359631</v>
      </c>
      <c r="AR409" s="77">
        <f>$AH409*tbl_Data[[#This Row],[2034 ]]</f>
        <v>669649.04980608379</v>
      </c>
      <c r="AS409" s="77">
        <f>SUM(tbl_Data[[#This Row],[Adjusted 2025]:[Adjusted 2034]])</f>
        <v>2953467.3551892722</v>
      </c>
      <c r="AT409" s="80">
        <f>AVERAGEIFS('3. Incentive Adjustment'!F:F,'3. Incentive Adjustment'!A:A,tbl_Data[[#This Row],[Trimmed Sector]],'3. Incentive Adjustment'!B:B,tbl_Data[[#This Row],[Trimmed Measure Name]])</f>
        <v>0</v>
      </c>
      <c r="AU409" s="80">
        <f>IFERROR(VLOOKUP(tbl_Data[[#This Row],[All_Meas_Name_Append]],'IRA Tax Credits'!$A$3:$D$46,4,0),0)</f>
        <v>0</v>
      </c>
      <c r="AV409" s="81">
        <f>tbl_Data[[#This Row],[Adj. per unit Incentive ($)]]/tbl_Data[[#This Row],[kWh Savings]]*tbl_Data[[#This Row],[Sum of Annuals]]</f>
        <v>0</v>
      </c>
      <c r="AW409" s="81">
        <f>IFERROR(VLOOKUP(tbl_Data[[#This Row],[Column1]],'1. Set Program Names'!$B$2:$D$15,3,0)*tbl_Data[[#This Row],[Sum of Annuals]],"")</f>
        <v>93471.91422607706</v>
      </c>
      <c r="AX409" s="81">
        <f>tbl_Data[[#This Row],[per unit IRA tax ($)]]/tbl_Data[[#This Row],[kWh Savings]]*tbl_Data[[#This Row],[Sum of Annuals]]</f>
        <v>0</v>
      </c>
      <c r="AY409" s="81">
        <f>tbl_Data[[#This Row],[Avoided Costs ($/unit)]]/tbl_Data[[#This Row],[kWh Savings]]*tbl_Data[[#This Row],[Sum of Annuals]]</f>
        <v>1512821.6773030581</v>
      </c>
      <c r="AZ409" s="81">
        <f>tbl_Data[[#This Row],[Lost Revenue ($/unit)]]/tbl_Data[[#This Row],[kWh Savings]]*tbl_Data[[#This Row],[Sum of Annuals]]</f>
        <v>3790474.9908285127</v>
      </c>
      <c r="BA409" s="81">
        <f>tbl_Data[[#This Row],[Incremental Cost ($/unit)]]/tbl_Data[[#This Row],[kWh Savings]]*tbl_Data[[#This Row],[Sum of Annuals]]</f>
        <v>1349667.4271373178</v>
      </c>
      <c r="BB409" s="77">
        <f>ROUNDUP(tbl_Data[[#This Row],[Adjusted 2025]]/$L409,0)</f>
        <v>6</v>
      </c>
      <c r="BC409" s="77">
        <f>ROUNDUP(tbl_Data[[#This Row],[Adjusted 2026]]/$L409,0)</f>
        <v>14</v>
      </c>
      <c r="BD409" s="77">
        <f>ROUNDUP(tbl_Data[[#This Row],[Adjusted 2027]]/$L409,0)</f>
        <v>23</v>
      </c>
      <c r="BE409" s="77">
        <f>ROUNDUP(tbl_Data[[#This Row],[Adjusted 2028]]/$L409,0)</f>
        <v>35</v>
      </c>
      <c r="BF409" s="77">
        <f>ROUNDUP(tbl_Data[[#This Row],[Adjusted 2029]]/$L409,0)</f>
        <v>49</v>
      </c>
      <c r="BG409" s="77">
        <f>ROUNDUP(tbl_Data[[#This Row],[Adjusted 2030]]/$L409,0)</f>
        <v>66</v>
      </c>
      <c r="BH409" s="77">
        <f>ROUNDUP(tbl_Data[[#This Row],[Adjusted 2031]]/$L409,0)</f>
        <v>85</v>
      </c>
      <c r="BI409" s="77">
        <f>ROUNDUP(tbl_Data[[#This Row],[Adjusted 2032]]/$L409,0)</f>
        <v>106</v>
      </c>
      <c r="BJ409" s="77">
        <f>ROUNDUP(tbl_Data[[#This Row],[Adjusted 2033]]/$L409,0)</f>
        <v>128</v>
      </c>
      <c r="BK409" s="77">
        <f>ROUNDUP(tbl_Data[[#This Row],[Adjusted 2034]]/$L409,0)</f>
        <v>150</v>
      </c>
      <c r="BL409" s="80">
        <f t="shared" si="166"/>
        <v>0</v>
      </c>
      <c r="BM409" s="80">
        <f t="shared" si="167"/>
        <v>0</v>
      </c>
      <c r="BN409" s="80">
        <f t="shared" si="168"/>
        <v>0</v>
      </c>
      <c r="BO409" s="80">
        <f t="shared" si="169"/>
        <v>0</v>
      </c>
      <c r="BP409" s="80">
        <f t="shared" si="170"/>
        <v>0</v>
      </c>
      <c r="BQ409" s="80">
        <f t="shared" si="171"/>
        <v>0</v>
      </c>
      <c r="BR409" s="80">
        <f t="shared" si="172"/>
        <v>0</v>
      </c>
      <c r="BS409" s="80">
        <f t="shared" si="173"/>
        <v>0</v>
      </c>
      <c r="BT409" s="80">
        <f t="shared" si="174"/>
        <v>0</v>
      </c>
      <c r="BU409" s="80">
        <f t="shared" si="175"/>
        <v>0</v>
      </c>
      <c r="BV409" s="80">
        <f>IFERROR(VLOOKUP($H409,'1. Set Program Names'!$B$2:$D$15,3,0)*V409,"NA")</f>
        <v>1602.4613464501008</v>
      </c>
      <c r="BW409" s="80">
        <f>IFERROR(VLOOKUP($H409,'1. Set Program Names'!$B$2:$D$15,3,0)*W409,"NA")</f>
        <v>3674.7559941975915</v>
      </c>
      <c r="BX409" s="80">
        <f>IFERROR(VLOOKUP($H409,'1. Set Program Names'!$B$2:$D$15,3,0)*X409,"NA")</f>
        <v>6296.1827708883075</v>
      </c>
      <c r="BY409" s="80">
        <f>IFERROR(VLOOKUP($H409,'1. Set Program Names'!$B$2:$D$15,3,0)*Y409,"NA")</f>
        <v>9547.9563502742203</v>
      </c>
      <c r="BZ409" s="80">
        <f>IFERROR(VLOOKUP($H409,'1. Set Program Names'!$B$2:$D$15,3,0)*Z409,"NA")</f>
        <v>13483.757669328515</v>
      </c>
      <c r="CA409" s="80">
        <f>IFERROR(VLOOKUP($H409,'1. Set Program Names'!$B$2:$D$15,3,0)*AA409,"NA")</f>
        <v>18106.337855443813</v>
      </c>
      <c r="CB409" s="80">
        <f>IFERROR(VLOOKUP($H409,'1. Set Program Names'!$B$2:$D$15,3,0)*AB409,"NA")</f>
        <v>23352.783785390129</v>
      </c>
      <c r="CC409" s="80">
        <f>IFERROR(VLOOKUP($H409,'1. Set Program Names'!$B$2:$D$15,3,0)*AC409,"NA")</f>
        <v>29090.366779150361</v>
      </c>
      <c r="CD409" s="80">
        <f>IFERROR(VLOOKUP($H409,'1. Set Program Names'!$B$2:$D$15,3,0)*AD409,"NA")</f>
        <v>35107.417165586492</v>
      </c>
      <c r="CE409" s="80">
        <f>IFERROR(VLOOKUP($H409,'1. Set Program Names'!$B$2:$D$15,3,0)*AE409,"NA")</f>
        <v>41126.882994931322</v>
      </c>
    </row>
    <row r="410" spans="1:83" x14ac:dyDescent="0.25">
      <c r="A410" s="79" t="s">
        <v>113</v>
      </c>
      <c r="B410" s="79" t="s">
        <v>88</v>
      </c>
      <c r="C410" s="79" t="s">
        <v>122</v>
      </c>
      <c r="D410" s="79" t="s">
        <v>90</v>
      </c>
      <c r="E410" s="79" t="s">
        <v>91</v>
      </c>
      <c r="F410" s="79" t="s">
        <v>90</v>
      </c>
      <c r="G410" s="79" t="s">
        <v>92</v>
      </c>
      <c r="H410" s="79" t="s">
        <v>18</v>
      </c>
      <c r="I410" s="79" t="s">
        <v>173</v>
      </c>
      <c r="J410" s="79" t="s">
        <v>129</v>
      </c>
      <c r="K410" s="79" t="s">
        <v>130</v>
      </c>
      <c r="L410" s="79">
        <v>142641.03499999901</v>
      </c>
      <c r="M410" s="79">
        <v>27.8398087391258</v>
      </c>
      <c r="N410" s="79">
        <v>0</v>
      </c>
      <c r="O410" s="79">
        <v>59303.302436563899</v>
      </c>
      <c r="P410" s="79">
        <v>29333.7078862829</v>
      </c>
      <c r="Q410" s="79">
        <v>4514.3314569611503</v>
      </c>
      <c r="R410" s="79">
        <v>66617.989682832806</v>
      </c>
      <c r="S410" s="79">
        <v>154925.29091738301</v>
      </c>
      <c r="T410" s="79">
        <v>15</v>
      </c>
      <c r="U410" s="79">
        <v>1</v>
      </c>
      <c r="V410" s="79">
        <f>tbl_Data_old[[#This Row],[2025 ]]*IFERROR(AVERAGEIFS('Participation Adjustment'!$C:$C,'Participation Adjustment'!$A:$A,$H410,'Participation Adjustment'!$B:$B,$I410),1)</f>
        <v>52.448398681454201</v>
      </c>
      <c r="W410" s="79">
        <f>tbl_Data_old[[#This Row],[2026 ]]*IFERROR(AVERAGEIFS('Participation Adjustment'!$C:$C,'Participation Adjustment'!$A:$A,$H410,'Participation Adjustment'!$B:$B,$I410),1)</f>
        <v>123.450720341467</v>
      </c>
      <c r="X410" s="79">
        <f>tbl_Data_old[[#This Row],[2027 ]]*IFERROR(AVERAGEIFS('Participation Adjustment'!$C:$C,'Participation Adjustment'!$A:$A,$H410,'Participation Adjustment'!$B:$B,$I410),1)</f>
        <v>217.00643607491</v>
      </c>
      <c r="Y410" s="79">
        <f>tbl_Data_old[[#This Row],[2028 ]]*IFERROR(AVERAGEIFS('Participation Adjustment'!$C:$C,'Participation Adjustment'!$A:$A,$H410,'Participation Adjustment'!$B:$B,$I410),1)</f>
        <v>336.27208517334498</v>
      </c>
      <c r="Z410" s="79">
        <f>tbl_Data_old[[#This Row],[2029 ]]*IFERROR(AVERAGEIFS('Participation Adjustment'!$C:$C,'Participation Adjustment'!$A:$A,$H410,'Participation Adjustment'!$B:$B,$I410),1)</f>
        <v>482.026145526113</v>
      </c>
      <c r="AA410" s="79">
        <f>tbl_Data_old[[#This Row],[2030 ]]*IFERROR(AVERAGEIFS('Participation Adjustment'!$C:$C,'Participation Adjustment'!$A:$A,$H410,'Participation Adjustment'!$B:$B,$I410),1)</f>
        <v>652.24247442492697</v>
      </c>
      <c r="AB410" s="79">
        <f>tbl_Data_old[[#This Row],[2031 ]]*IFERROR(AVERAGEIFS('Participation Adjustment'!$C:$C,'Participation Adjustment'!$A:$A,$H410,'Participation Adjustment'!$B:$B,$I410),1)</f>
        <v>840.354169870379</v>
      </c>
      <c r="AC410" s="79">
        <f>tbl_Data_old[[#This Row],[2032 ]]*IFERROR(AVERAGEIFS('Participation Adjustment'!$C:$C,'Participation Adjustment'!$A:$A,$H410,'Participation Adjustment'!$B:$B,$I410),1)</f>
        <v>1036.42685729901</v>
      </c>
      <c r="AD410" s="79">
        <f>tbl_Data_old[[#This Row],[2033 ]]*IFERROR(AVERAGEIFS('Participation Adjustment'!$C:$C,'Participation Adjustment'!$A:$A,$H410,'Participation Adjustment'!$B:$B,$I410),1)</f>
        <v>1229.61717702583</v>
      </c>
      <c r="AE410" s="79">
        <f>tbl_Data_old[[#This Row],[2034 ]]*IFERROR(AVERAGEIFS('Participation Adjustment'!$C:$C,'Participation Adjustment'!$A:$A,$H410,'Participation Adjustment'!$B:$B,$I410),1)</f>
        <v>1409.4536593687701</v>
      </c>
      <c r="AF410" s="77" t="str">
        <f t="shared" si="165"/>
        <v>NonResidential</v>
      </c>
      <c r="AG410" s="77" t="str">
        <f>tbl_Data[[#This Row],[All_Meas_Name_Append]]</f>
        <v>Facility Energy Management System_SC</v>
      </c>
      <c r="AH410" s="77">
        <f>AVERAGEIFS('3. Incentive Adjustment'!G:G,'3. Incentive Adjustment'!A:A,tbl_Data[[#This Row],[Trimmed Sector]],'3. Incentive Adjustment'!B:B,tbl_Data[[#This Row],[Trimmed Measure Name]])</f>
        <v>0.86797534995247072</v>
      </c>
      <c r="AI410" s="77">
        <f>$AH410*tbl_Data[[#This Row],[2025 ]]</f>
        <v>45.523917199981916</v>
      </c>
      <c r="AJ410" s="77">
        <f>$AH410*tbl_Data[[#This Row],[2026 ]]</f>
        <v>107.15218219026941</v>
      </c>
      <c r="AK410" s="77">
        <f>$AH410*tbl_Data[[#This Row],[2027 ]]</f>
        <v>188.35623729405847</v>
      </c>
      <c r="AL410" s="77">
        <f>$AH410*tbl_Data[[#This Row],[2028 ]]</f>
        <v>291.87588080758115</v>
      </c>
      <c r="AM410" s="77">
        <f>$AH410*tbl_Data[[#This Row],[2029 ]]</f>
        <v>418.3868123492685</v>
      </c>
      <c r="AN410" s="77">
        <f>$AH410*tbl_Data[[#This Row],[2030 ]]</f>
        <v>566.1303899928414</v>
      </c>
      <c r="AO410" s="77">
        <f>$AH410*tbl_Data[[#This Row],[2031 ]]</f>
        <v>729.40670467726022</v>
      </c>
      <c r="AP410" s="77">
        <f>$AH410*tbl_Data[[#This Row],[2032 ]]</f>
        <v>899.59296416424763</v>
      </c>
      <c r="AQ410" s="77">
        <f>$AH410*tbl_Data[[#This Row],[2033 ]]</f>
        <v>1067.277399536564</v>
      </c>
      <c r="AR410" s="77">
        <f>$AH410*tbl_Data[[#This Row],[2034 ]]</f>
        <v>1223.3710332323988</v>
      </c>
      <c r="AS410" s="77">
        <f>SUM(tbl_Data[[#This Row],[Adjusted 2025]:[Adjusted 2034]])</f>
        <v>5537.0735214444721</v>
      </c>
      <c r="AT410" s="80">
        <f>AVERAGEIFS('3. Incentive Adjustment'!F:F,'3. Incentive Adjustment'!A:A,tbl_Data[[#This Row],[Trimmed Sector]],'3. Incentive Adjustment'!B:B,tbl_Data[[#This Row],[Trimmed Measure Name]])</f>
        <v>21679.111511953593</v>
      </c>
      <c r="AU410" s="80">
        <f>IFERROR(VLOOKUP(tbl_Data[[#This Row],[All_Meas_Name_Append]],'IRA Tax Credits'!$A$3:$D$46,4,0),0)</f>
        <v>0</v>
      </c>
      <c r="AV410" s="81">
        <f>tbl_Data[[#This Row],[Adj. per unit Incentive ($)]]/tbl_Data[[#This Row],[kWh Savings]]*tbl_Data[[#This Row],[Sum of Annuals]]</f>
        <v>841.54489149129563</v>
      </c>
      <c r="AW410" s="81">
        <f>IFERROR(VLOOKUP(tbl_Data[[#This Row],[Column1]],'1. Set Program Names'!$B$2:$D$15,3,0)*tbl_Data[[#This Row],[Sum of Annuals]],"")</f>
        <v>175.23838899068258</v>
      </c>
      <c r="AX410" s="81">
        <f>tbl_Data[[#This Row],[per unit IRA tax ($)]]/tbl_Data[[#This Row],[kWh Savings]]*tbl_Data[[#This Row],[Sum of Annuals]]</f>
        <v>0</v>
      </c>
      <c r="AY410" s="81">
        <f>tbl_Data[[#This Row],[Avoided Costs ($/unit)]]/tbl_Data[[#This Row],[kWh Savings]]*tbl_Data[[#This Row],[Sum of Annuals]]</f>
        <v>2585.9929207936348</v>
      </c>
      <c r="AZ410" s="81">
        <f>tbl_Data[[#This Row],[Lost Revenue ($/unit)]]/tbl_Data[[#This Row],[kWh Savings]]*tbl_Data[[#This Row],[Sum of Annuals]]</f>
        <v>6013.9266806408768</v>
      </c>
      <c r="BA410" s="81">
        <f>tbl_Data[[#This Row],[Incremental Cost ($/unit)]]/tbl_Data[[#This Row],[kWh Savings]]*tbl_Data[[#This Row],[Sum of Annuals]]</f>
        <v>2302.049656718445</v>
      </c>
      <c r="BB410" s="77">
        <f>ROUNDUP(tbl_Data[[#This Row],[Adjusted 2025]]/$L410,0)</f>
        <v>1</v>
      </c>
      <c r="BC410" s="77">
        <f>ROUNDUP(tbl_Data[[#This Row],[Adjusted 2026]]/$L410,0)</f>
        <v>1</v>
      </c>
      <c r="BD410" s="77">
        <f>ROUNDUP(tbl_Data[[#This Row],[Adjusted 2027]]/$L410,0)</f>
        <v>1</v>
      </c>
      <c r="BE410" s="77">
        <f>ROUNDUP(tbl_Data[[#This Row],[Adjusted 2028]]/$L410,0)</f>
        <v>1</v>
      </c>
      <c r="BF410" s="77">
        <f>ROUNDUP(tbl_Data[[#This Row],[Adjusted 2029]]/$L410,0)</f>
        <v>1</v>
      </c>
      <c r="BG410" s="77">
        <f>ROUNDUP(tbl_Data[[#This Row],[Adjusted 2030]]/$L410,0)</f>
        <v>1</v>
      </c>
      <c r="BH410" s="77">
        <f>ROUNDUP(tbl_Data[[#This Row],[Adjusted 2031]]/$L410,0)</f>
        <v>1</v>
      </c>
      <c r="BI410" s="77">
        <f>ROUNDUP(tbl_Data[[#This Row],[Adjusted 2032]]/$L410,0)</f>
        <v>1</v>
      </c>
      <c r="BJ410" s="77">
        <f>ROUNDUP(tbl_Data[[#This Row],[Adjusted 2033]]/$L410,0)</f>
        <v>1</v>
      </c>
      <c r="BK410" s="77">
        <f>ROUNDUP(tbl_Data[[#This Row],[Adjusted 2034]]/$L410,0)</f>
        <v>1</v>
      </c>
      <c r="BL410" s="80">
        <f t="shared" si="166"/>
        <v>7.9713014115373824</v>
      </c>
      <c r="BM410" s="80">
        <f t="shared" si="167"/>
        <v>18.76249658812192</v>
      </c>
      <c r="BN410" s="80">
        <f t="shared" si="168"/>
        <v>32.981439923508937</v>
      </c>
      <c r="BO410" s="80">
        <f t="shared" si="169"/>
        <v>51.107873921625377</v>
      </c>
      <c r="BP410" s="80">
        <f t="shared" si="170"/>
        <v>73.260114528318212</v>
      </c>
      <c r="BQ410" s="80">
        <f t="shared" si="171"/>
        <v>99.130221088837644</v>
      </c>
      <c r="BR410" s="80">
        <f t="shared" si="172"/>
        <v>127.72013157472718</v>
      </c>
      <c r="BS410" s="80">
        <f t="shared" si="173"/>
        <v>157.51998303551994</v>
      </c>
      <c r="BT410" s="80">
        <f t="shared" si="174"/>
        <v>186.88176160357173</v>
      </c>
      <c r="BU410" s="80">
        <f t="shared" si="175"/>
        <v>214.21397462789605</v>
      </c>
      <c r="BV410" s="80">
        <f>IFERROR(VLOOKUP($H410,'1. Set Program Names'!$B$2:$D$15,3,0)*V410,"NA")</f>
        <v>1.659897210048495</v>
      </c>
      <c r="BW410" s="80">
        <f>IFERROR(VLOOKUP($H410,'1. Set Program Names'!$B$2:$D$15,3,0)*W410,"NA")</f>
        <v>3.9069926141660525</v>
      </c>
      <c r="BX410" s="80">
        <f>IFERROR(VLOOKUP($H410,'1. Set Program Names'!$B$2:$D$15,3,0)*X410,"NA")</f>
        <v>6.8678622581222903</v>
      </c>
      <c r="BY410" s="80">
        <f>IFERROR(VLOOKUP($H410,'1. Set Program Names'!$B$2:$D$15,3,0)*Y410,"NA")</f>
        <v>10.642404916621356</v>
      </c>
      <c r="BZ410" s="80">
        <f>IFERROR(VLOOKUP($H410,'1. Set Program Names'!$B$2:$D$15,3,0)*Z410,"NA")</f>
        <v>15.25525801061579</v>
      </c>
      <c r="CA410" s="80">
        <f>IFERROR(VLOOKUP($H410,'1. Set Program Names'!$B$2:$D$15,3,0)*AA410,"NA")</f>
        <v>20.642297778213983</v>
      </c>
      <c r="CB410" s="80">
        <f>IFERROR(VLOOKUP($H410,'1. Set Program Names'!$B$2:$D$15,3,0)*AB410,"NA")</f>
        <v>26.595693616737616</v>
      </c>
      <c r="CC410" s="80">
        <f>IFERROR(VLOOKUP($H410,'1. Set Program Names'!$B$2:$D$15,3,0)*AC410,"NA")</f>
        <v>32.801040491218615</v>
      </c>
      <c r="CD410" s="80">
        <f>IFERROR(VLOOKUP($H410,'1. Set Program Names'!$B$2:$D$15,3,0)*AD410,"NA")</f>
        <v>38.915165627250971</v>
      </c>
      <c r="CE410" s="80">
        <f>IFERROR(VLOOKUP($H410,'1. Set Program Names'!$B$2:$D$15,3,0)*AE410,"NA")</f>
        <v>44.606665898193185</v>
      </c>
    </row>
    <row r="411" spans="1:83" x14ac:dyDescent="0.25">
      <c r="A411" s="79" t="s">
        <v>113</v>
      </c>
      <c r="B411" s="79" t="s">
        <v>88</v>
      </c>
      <c r="C411" s="79" t="s">
        <v>122</v>
      </c>
      <c r="D411" s="79" t="s">
        <v>90</v>
      </c>
      <c r="E411" s="79" t="s">
        <v>91</v>
      </c>
      <c r="F411" s="79" t="s">
        <v>90</v>
      </c>
      <c r="G411" s="79" t="s">
        <v>92</v>
      </c>
      <c r="H411" s="79" t="s">
        <v>18</v>
      </c>
      <c r="I411" s="79" t="s">
        <v>174</v>
      </c>
      <c r="J411" s="79" t="s">
        <v>132</v>
      </c>
      <c r="K411" s="79" t="s">
        <v>130</v>
      </c>
      <c r="L411" s="79">
        <v>2657.18</v>
      </c>
      <c r="M411" s="79">
        <v>0</v>
      </c>
      <c r="N411" s="79">
        <v>0.57468805905447795</v>
      </c>
      <c r="O411" s="79">
        <v>1080.72711480357</v>
      </c>
      <c r="P411" s="79">
        <v>534.12671770284101</v>
      </c>
      <c r="Q411" s="79">
        <v>84.094953887624897</v>
      </c>
      <c r="R411" s="79">
        <v>1466.48739383472</v>
      </c>
      <c r="S411" s="79">
        <v>2886.0165275711402</v>
      </c>
      <c r="T411" s="79">
        <v>15</v>
      </c>
      <c r="U411" s="79">
        <v>1</v>
      </c>
      <c r="V411" s="79">
        <f>tbl_Data_old[[#This Row],[2025 ]]*IFERROR(AVERAGEIFS('Participation Adjustment'!$C:$C,'Participation Adjustment'!$A:$A,$H411,'Participation Adjustment'!$B:$B,$I411),1)</f>
        <v>65.223669153549295</v>
      </c>
      <c r="W411" s="79">
        <f>tbl_Data_old[[#This Row],[2026 ]]*IFERROR(AVERAGEIFS('Participation Adjustment'!$C:$C,'Participation Adjustment'!$A:$A,$H411,'Participation Adjustment'!$B:$B,$I411),1)</f>
        <v>152.84074846721501</v>
      </c>
      <c r="X411" s="79">
        <f>tbl_Data_old[[#This Row],[2027 ]]*IFERROR(AVERAGEIFS('Participation Adjustment'!$C:$C,'Participation Adjustment'!$A:$A,$H411,'Participation Adjustment'!$B:$B,$I411),1)</f>
        <v>267.31721557736302</v>
      </c>
      <c r="Y411" s="79">
        <f>tbl_Data_old[[#This Row],[2028 ]]*IFERROR(AVERAGEIFS('Participation Adjustment'!$C:$C,'Participation Adjustment'!$A:$A,$H411,'Participation Adjustment'!$B:$B,$I411),1)</f>
        <v>411.91093211258902</v>
      </c>
      <c r="Z411" s="79">
        <f>tbl_Data_old[[#This Row],[2029 ]]*IFERROR(AVERAGEIFS('Participation Adjustment'!$C:$C,'Participation Adjustment'!$A:$A,$H411,'Participation Adjustment'!$B:$B,$I411),1)</f>
        <v>586.87269903363801</v>
      </c>
      <c r="AA411" s="79">
        <f>tbl_Data_old[[#This Row],[2030 ]]*IFERROR(AVERAGEIFS('Participation Adjustment'!$C:$C,'Participation Adjustment'!$A:$A,$H411,'Participation Adjustment'!$B:$B,$I411),1)</f>
        <v>789.04936031100704</v>
      </c>
      <c r="AB411" s="79">
        <f>tbl_Data_old[[#This Row],[2031 ]]*IFERROR(AVERAGEIFS('Participation Adjustment'!$C:$C,'Participation Adjustment'!$A:$A,$H411,'Participation Adjustment'!$B:$B,$I411),1)</f>
        <v>1009.95804739313</v>
      </c>
      <c r="AC411" s="79">
        <f>tbl_Data_old[[#This Row],[2032 ]]*IFERROR(AVERAGEIFS('Participation Adjustment'!$C:$C,'Participation Adjustment'!$A:$A,$H411,'Participation Adjustment'!$B:$B,$I411),1)</f>
        <v>1237.3820502977001</v>
      </c>
      <c r="AD411" s="79">
        <f>tbl_Data_old[[#This Row],[2033 ]]*IFERROR(AVERAGEIFS('Participation Adjustment'!$C:$C,'Participation Adjustment'!$A:$A,$H411,'Participation Adjustment'!$B:$B,$I411),1)</f>
        <v>1458.3851242319599</v>
      </c>
      <c r="AE411" s="79">
        <f>tbl_Data_old[[#This Row],[2034 ]]*IFERROR(AVERAGEIFS('Participation Adjustment'!$C:$C,'Participation Adjustment'!$A:$A,$H411,'Participation Adjustment'!$B:$B,$I411),1)</f>
        <v>1660.9363299643701</v>
      </c>
      <c r="AF411" s="77" t="str">
        <f t="shared" si="165"/>
        <v>NonResidential</v>
      </c>
      <c r="AG411" s="77" t="str">
        <f>tbl_Data[[#This Row],[All_Meas_Name_Append]]</f>
        <v>Facility Energy Management System_SH</v>
      </c>
      <c r="AH411" s="77">
        <f>AVERAGEIFS('3. Incentive Adjustment'!G:G,'3. Incentive Adjustment'!A:A,tbl_Data[[#This Row],[Trimmed Sector]],'3. Incentive Adjustment'!B:B,tbl_Data[[#This Row],[Trimmed Measure Name]])</f>
        <v>0.63685031373688805</v>
      </c>
      <c r="AI411" s="77">
        <f>$AH411*tbl_Data[[#This Row],[2025 ]]</f>
        <v>41.537714163508859</v>
      </c>
      <c r="AJ411" s="77">
        <f>$AH411*tbl_Data[[#This Row],[2026 ]]</f>
        <v>97.336678613126665</v>
      </c>
      <c r="AK411" s="77">
        <f>$AH411*tbl_Data[[#This Row],[2027 ]]</f>
        <v>170.24105260771498</v>
      </c>
      <c r="AL411" s="77">
        <f>$AH411*tbl_Data[[#This Row],[2028 ]]</f>
        <v>262.32560634755629</v>
      </c>
      <c r="AM411" s="77">
        <f>$AH411*tbl_Data[[#This Row],[2029 ]]</f>
        <v>373.75006250318665</v>
      </c>
      <c r="AN411" s="77">
        <f>$AH411*tbl_Data[[#This Row],[2030 ]]</f>
        <v>502.50633266795563</v>
      </c>
      <c r="AO411" s="77">
        <f>$AH411*tbl_Data[[#This Row],[2031 ]]</f>
        <v>643.19209934340972</v>
      </c>
      <c r="AP411" s="77">
        <f>$AH411*tbl_Data[[#This Row],[2032 ]]</f>
        <v>788.02714694448412</v>
      </c>
      <c r="AQ411" s="77">
        <f>$AH411*tbl_Data[[#This Row],[2033 ]]</f>
        <v>928.77302391633418</v>
      </c>
      <c r="AR411" s="77">
        <f>$AH411*tbl_Data[[#This Row],[2034 ]]</f>
        <v>1057.7678228348045</v>
      </c>
      <c r="AS411" s="77">
        <f>SUM(tbl_Data[[#This Row],[Adjusted 2025]:[Adjusted 2034]])</f>
        <v>4865.4575399420819</v>
      </c>
      <c r="AT411" s="80">
        <f>AVERAGEIFS('3. Incentive Adjustment'!F:F,'3. Incentive Adjustment'!A:A,tbl_Data[[#This Row],[Trimmed Sector]],'3. Incentive Adjustment'!B:B,tbl_Data[[#This Row],[Trimmed Measure Name]])</f>
        <v>79.715399999999988</v>
      </c>
      <c r="AU411" s="80">
        <f>IFERROR(VLOOKUP(tbl_Data[[#This Row],[All_Meas_Name_Append]],'IRA Tax Credits'!$A$3:$D$46,4,0),0)</f>
        <v>0</v>
      </c>
      <c r="AV411" s="81">
        <f>tbl_Data[[#This Row],[Adj. per unit Incentive ($)]]/tbl_Data[[#This Row],[kWh Savings]]*tbl_Data[[#This Row],[Sum of Annuals]]</f>
        <v>145.96372619826246</v>
      </c>
      <c r="AW411" s="81">
        <f>IFERROR(VLOOKUP(tbl_Data[[#This Row],[Column1]],'1. Set Program Names'!$B$2:$D$15,3,0)*tbl_Data[[#This Row],[Sum of Annuals]],"")</f>
        <v>153.98295466006311</v>
      </c>
      <c r="AX411" s="81">
        <f>tbl_Data[[#This Row],[per unit IRA tax ($)]]/tbl_Data[[#This Row],[kWh Savings]]*tbl_Data[[#This Row],[Sum of Annuals]]</f>
        <v>0</v>
      </c>
      <c r="AY411" s="81">
        <f>tbl_Data[[#This Row],[Avoided Costs ($/unit)]]/tbl_Data[[#This Row],[kWh Savings]]*tbl_Data[[#This Row],[Sum of Annuals]]</f>
        <v>2685.2272512826198</v>
      </c>
      <c r="AZ411" s="81">
        <f>tbl_Data[[#This Row],[Lost Revenue ($/unit)]]/tbl_Data[[#This Row],[kWh Savings]]*tbl_Data[[#This Row],[Sum of Annuals]]</f>
        <v>5284.4710838063174</v>
      </c>
      <c r="BA411" s="81">
        <f>tbl_Data[[#This Row],[Incremental Cost ($/unit)]]/tbl_Data[[#This Row],[kWh Savings]]*tbl_Data[[#This Row],[Sum of Annuals]]</f>
        <v>1978.8768127642395</v>
      </c>
      <c r="BB411" s="77">
        <f>ROUNDUP(tbl_Data[[#This Row],[Adjusted 2025]]/$L411,0)</f>
        <v>1</v>
      </c>
      <c r="BC411" s="77">
        <f>ROUNDUP(tbl_Data[[#This Row],[Adjusted 2026]]/$L411,0)</f>
        <v>1</v>
      </c>
      <c r="BD411" s="77">
        <f>ROUNDUP(tbl_Data[[#This Row],[Adjusted 2027]]/$L411,0)</f>
        <v>1</v>
      </c>
      <c r="BE411" s="77">
        <f>ROUNDUP(tbl_Data[[#This Row],[Adjusted 2028]]/$L411,0)</f>
        <v>1</v>
      </c>
      <c r="BF411" s="77">
        <f>ROUNDUP(tbl_Data[[#This Row],[Adjusted 2029]]/$L411,0)</f>
        <v>1</v>
      </c>
      <c r="BG411" s="77">
        <f>ROUNDUP(tbl_Data[[#This Row],[Adjusted 2030]]/$L411,0)</f>
        <v>1</v>
      </c>
      <c r="BH411" s="77">
        <f>ROUNDUP(tbl_Data[[#This Row],[Adjusted 2031]]/$L411,0)</f>
        <v>1</v>
      </c>
      <c r="BI411" s="77">
        <f>ROUNDUP(tbl_Data[[#This Row],[Adjusted 2032]]/$L411,0)</f>
        <v>1</v>
      </c>
      <c r="BJ411" s="77">
        <f>ROUNDUP(tbl_Data[[#This Row],[Adjusted 2033]]/$L411,0)</f>
        <v>1</v>
      </c>
      <c r="BK411" s="77">
        <f>ROUNDUP(tbl_Data[[#This Row],[Adjusted 2034]]/$L411,0)</f>
        <v>1</v>
      </c>
      <c r="BL411" s="80">
        <f t="shared" si="166"/>
        <v>1.9567100746064787</v>
      </c>
      <c r="BM411" s="80">
        <f t="shared" si="167"/>
        <v>4.5852224540164501</v>
      </c>
      <c r="BN411" s="80">
        <f t="shared" si="168"/>
        <v>8.0195164673208907</v>
      </c>
      <c r="BO411" s="80">
        <f t="shared" si="169"/>
        <v>12.357327963377671</v>
      </c>
      <c r="BP411" s="80">
        <f t="shared" si="170"/>
        <v>17.606180971009138</v>
      </c>
      <c r="BQ411" s="80">
        <f t="shared" si="171"/>
        <v>23.671480809330209</v>
      </c>
      <c r="BR411" s="80">
        <f t="shared" si="172"/>
        <v>30.298741421793899</v>
      </c>
      <c r="BS411" s="80">
        <f t="shared" si="173"/>
        <v>37.121461508930999</v>
      </c>
      <c r="BT411" s="80">
        <f t="shared" si="174"/>
        <v>43.751553726958797</v>
      </c>
      <c r="BU411" s="80">
        <f t="shared" si="175"/>
        <v>49.828089898931104</v>
      </c>
      <c r="BV411" s="80">
        <f>IFERROR(VLOOKUP($H411,'1. Set Program Names'!$B$2:$D$15,3,0)*V411,"NA")</f>
        <v>2.064211476019477</v>
      </c>
      <c r="BW411" s="80">
        <f>IFERROR(VLOOKUP($H411,'1. Set Program Names'!$B$2:$D$15,3,0)*W411,"NA")</f>
        <v>4.8371339896057206</v>
      </c>
      <c r="BX411" s="80">
        <f>IFERROR(VLOOKUP($H411,'1. Set Program Names'!$B$2:$D$15,3,0)*X411,"NA")</f>
        <v>8.4601076770661532</v>
      </c>
      <c r="BY411" s="80">
        <f>IFERROR(VLOOKUP($H411,'1. Set Program Names'!$B$2:$D$15,3,0)*Y411,"NA")</f>
        <v>13.036237982303339</v>
      </c>
      <c r="BZ411" s="80">
        <f>IFERROR(VLOOKUP($H411,'1. Set Program Names'!$B$2:$D$15,3,0)*Z411,"NA")</f>
        <v>18.573462303321485</v>
      </c>
      <c r="CA411" s="80">
        <f>IFERROR(VLOOKUP($H411,'1. Set Program Names'!$B$2:$D$15,3,0)*AA411,"NA")</f>
        <v>24.971988939557765</v>
      </c>
      <c r="CB411" s="80">
        <f>IFERROR(VLOOKUP($H411,'1. Set Program Names'!$B$2:$D$15,3,0)*AB411,"NA")</f>
        <v>31.963350403044203</v>
      </c>
      <c r="CC411" s="80">
        <f>IFERROR(VLOOKUP($H411,'1. Set Program Names'!$B$2:$D$15,3,0)*AC411,"NA")</f>
        <v>39.160909859761063</v>
      </c>
      <c r="CD411" s="80">
        <f>IFERROR(VLOOKUP($H411,'1. Set Program Names'!$B$2:$D$15,3,0)*AD411,"NA")</f>
        <v>46.155258496859396</v>
      </c>
      <c r="CE411" s="80">
        <f>IFERROR(VLOOKUP($H411,'1. Set Program Names'!$B$2:$D$15,3,0)*AE411,"NA")</f>
        <v>52.565638789481596</v>
      </c>
    </row>
    <row r="412" spans="1:83" x14ac:dyDescent="0.25">
      <c r="A412" s="79" t="s">
        <v>113</v>
      </c>
      <c r="B412" s="79" t="s">
        <v>88</v>
      </c>
      <c r="C412" s="79" t="s">
        <v>122</v>
      </c>
      <c r="D412" s="79" t="s">
        <v>90</v>
      </c>
      <c r="E412" s="79" t="s">
        <v>91</v>
      </c>
      <c r="F412" s="79" t="s">
        <v>90</v>
      </c>
      <c r="G412" s="79" t="s">
        <v>92</v>
      </c>
      <c r="H412" s="79" t="s">
        <v>18</v>
      </c>
      <c r="I412" s="79" t="s">
        <v>145</v>
      </c>
      <c r="J412" s="79" t="s">
        <v>129</v>
      </c>
      <c r="K412" s="79" t="s">
        <v>98</v>
      </c>
      <c r="L412" s="79">
        <v>1452.1399999999801</v>
      </c>
      <c r="M412" s="79">
        <v>0.33467704377742202</v>
      </c>
      <c r="N412" s="79">
        <v>4.3977319526113799E-2</v>
      </c>
      <c r="O412" s="79">
        <v>654.99999999999898</v>
      </c>
      <c r="P412" s="79">
        <v>358.56061649158102</v>
      </c>
      <c r="Q412" s="79">
        <v>45.957611580086699</v>
      </c>
      <c r="R412" s="79">
        <v>761.15206993055403</v>
      </c>
      <c r="S412" s="79">
        <v>1577.19839843259</v>
      </c>
      <c r="T412" s="79">
        <v>15</v>
      </c>
      <c r="U412" s="79">
        <v>0.94999999999999896</v>
      </c>
      <c r="V412" s="79">
        <f>tbl_Data_old[[#This Row],[2025 ]]*IFERROR(AVERAGEIFS('Participation Adjustment'!$C:$C,'Participation Adjustment'!$A:$A,$H412,'Participation Adjustment'!$B:$B,$I412),1)</f>
        <v>9915.04051639934</v>
      </c>
      <c r="W412" s="79">
        <f>tbl_Data_old[[#This Row],[2026 ]]*IFERROR(AVERAGEIFS('Participation Adjustment'!$C:$C,'Participation Adjustment'!$A:$A,$H412,'Participation Adjustment'!$B:$B,$I412),1)</f>
        <v>21012.473804904901</v>
      </c>
      <c r="X412" s="79">
        <f>tbl_Data_old[[#This Row],[2027 ]]*IFERROR(AVERAGEIFS('Participation Adjustment'!$C:$C,'Participation Adjustment'!$A:$A,$H412,'Participation Adjustment'!$B:$B,$I412),1)</f>
        <v>33162.131076231701</v>
      </c>
      <c r="Y412" s="79">
        <f>tbl_Data_old[[#This Row],[2028 ]]*IFERROR(AVERAGEIFS('Participation Adjustment'!$C:$C,'Participation Adjustment'!$A:$A,$H412,'Participation Adjustment'!$B:$B,$I412),1)</f>
        <v>46296.769496446599</v>
      </c>
      <c r="Z412" s="79">
        <f>tbl_Data_old[[#This Row],[2029 ]]*IFERROR(AVERAGEIFS('Participation Adjustment'!$C:$C,'Participation Adjustment'!$A:$A,$H412,'Participation Adjustment'!$B:$B,$I412),1)</f>
        <v>60342.9925297523</v>
      </c>
      <c r="AA412" s="79">
        <f>tbl_Data_old[[#This Row],[2030 ]]*IFERROR(AVERAGEIFS('Participation Adjustment'!$C:$C,'Participation Adjustment'!$A:$A,$H412,'Participation Adjustment'!$B:$B,$I412),1)</f>
        <v>75221.7855404453</v>
      </c>
      <c r="AB412" s="79">
        <f>tbl_Data_old[[#This Row],[2031 ]]*IFERROR(AVERAGEIFS('Participation Adjustment'!$C:$C,'Participation Adjustment'!$A:$A,$H412,'Participation Adjustment'!$B:$B,$I412),1)</f>
        <v>90863.230332330102</v>
      </c>
      <c r="AC412" s="79">
        <f>tbl_Data_old[[#This Row],[2032 ]]*IFERROR(AVERAGEIFS('Participation Adjustment'!$C:$C,'Participation Adjustment'!$A:$A,$H412,'Participation Adjustment'!$B:$B,$I412),1)</f>
        <v>107237.735594039</v>
      </c>
      <c r="AD412" s="79">
        <f>tbl_Data_old[[#This Row],[2033 ]]*IFERROR(AVERAGEIFS('Participation Adjustment'!$C:$C,'Participation Adjustment'!$A:$A,$H412,'Participation Adjustment'!$B:$B,$I412),1)</f>
        <v>124334.17820769201</v>
      </c>
      <c r="AE412" s="79">
        <f>tbl_Data_old[[#This Row],[2034 ]]*IFERROR(AVERAGEIFS('Participation Adjustment'!$C:$C,'Participation Adjustment'!$A:$A,$H412,'Participation Adjustment'!$B:$B,$I412),1)</f>
        <v>142122.02578786801</v>
      </c>
      <c r="AF412" s="77" t="str">
        <f t="shared" si="165"/>
        <v>NonResidential</v>
      </c>
      <c r="AG412" s="77" t="str">
        <f>tbl_Data[[#This Row],[All_Meas_Name_Append]]</f>
        <v>HE DX Less than 5.4 Tons Elect Heat</v>
      </c>
      <c r="AH412" s="77">
        <f>AVERAGEIFS('3. Incentive Adjustment'!G:G,'3. Incentive Adjustment'!A:A,tbl_Data[[#This Row],[Trimmed Sector]],'3. Incentive Adjustment'!B:B,tbl_Data[[#This Row],[Trimmed Measure Name]])</f>
        <v>0.74493198517309978</v>
      </c>
      <c r="AI412" s="77">
        <f>$AH412*tbl_Data[[#This Row],[2025 ]]</f>
        <v>7386.0308149530765</v>
      </c>
      <c r="AJ412" s="77">
        <f>$AH412*tbl_Data[[#This Row],[2026 ]]</f>
        <v>15652.863824885566</v>
      </c>
      <c r="AK412" s="77">
        <f>$AH412*tbl_Data[[#This Row],[2027 ]]</f>
        <v>24703.532135187823</v>
      </c>
      <c r="AL412" s="77">
        <f>$AH412*tbl_Data[[#This Row],[2028 ]]</f>
        <v>34487.944408089374</v>
      </c>
      <c r="AM412" s="77">
        <f>$AH412*tbl_Data[[#This Row],[2029 ]]</f>
        <v>44951.425216473908</v>
      </c>
      <c r="AN412" s="77">
        <f>$AH412*tbl_Data[[#This Row],[2030 ]]</f>
        <v>56035.114030909092</v>
      </c>
      <c r="AO412" s="77">
        <f>$AH412*tbl_Data[[#This Row],[2031 ]]</f>
        <v>67686.926550703283</v>
      </c>
      <c r="AP412" s="77">
        <f>$AH412*tbl_Data[[#This Row],[2032 ]]</f>
        <v>79884.819261535449</v>
      </c>
      <c r="AQ412" s="77">
        <f>$AH412*tbl_Data[[#This Row],[2033 ]]</f>
        <v>92620.506197121969</v>
      </c>
      <c r="AR412" s="77">
        <f>$AH412*tbl_Data[[#This Row],[2034 ]]</f>
        <v>105871.242806979</v>
      </c>
      <c r="AS412" s="77">
        <f>SUM(tbl_Data[[#This Row],[Adjusted 2025]:[Adjusted 2034]])</f>
        <v>529280.40524683858</v>
      </c>
      <c r="AT412" s="80">
        <f>AVERAGEIFS('3. Incentive Adjustment'!F:F,'3. Incentive Adjustment'!A:A,tbl_Data[[#This Row],[Trimmed Sector]],'3. Incentive Adjustment'!B:B,tbl_Data[[#This Row],[Trimmed Measure Name]])</f>
        <v>196.49999999999969</v>
      </c>
      <c r="AU412" s="80">
        <f>IFERROR(VLOOKUP(tbl_Data[[#This Row],[All_Meas_Name_Append]],'IRA Tax Credits'!$A$3:$D$46,4,0),0)</f>
        <v>0</v>
      </c>
      <c r="AV412" s="81">
        <f>tbl_Data[[#This Row],[Adj. per unit Incentive ($)]]/tbl_Data[[#This Row],[kWh Savings]]*tbl_Data[[#This Row],[Sum of Annuals]]</f>
        <v>71620.917839192523</v>
      </c>
      <c r="AW412" s="81">
        <f>IFERROR(VLOOKUP(tbl_Data[[#This Row],[Column1]],'1. Set Program Names'!$B$2:$D$15,3,0)*tbl_Data[[#This Row],[Sum of Annuals]],"")</f>
        <v>16750.770091923143</v>
      </c>
      <c r="AX412" s="81">
        <f>tbl_Data[[#This Row],[per unit IRA tax ($)]]/tbl_Data[[#This Row],[kWh Savings]]*tbl_Data[[#This Row],[Sum of Annuals]]</f>
        <v>0</v>
      </c>
      <c r="AY412" s="81">
        <f>tbl_Data[[#This Row],[Avoided Costs ($/unit)]]/tbl_Data[[#This Row],[kWh Savings]]*tbl_Data[[#This Row],[Sum of Annuals]]</f>
        <v>277427.02220675634</v>
      </c>
      <c r="AZ412" s="81">
        <f>tbl_Data[[#This Row],[Lost Revenue ($/unit)]]/tbl_Data[[#This Row],[kWh Savings]]*tbl_Data[[#This Row],[Sum of Annuals]]</f>
        <v>574862.07079005986</v>
      </c>
      <c r="BA412" s="81">
        <f>tbl_Data[[#This Row],[Incremental Cost ($/unit)]]/tbl_Data[[#This Row],[kWh Savings]]*tbl_Data[[#This Row],[Sum of Annuals]]</f>
        <v>238736.39279730845</v>
      </c>
      <c r="BB412" s="77">
        <f>ROUNDUP(tbl_Data[[#This Row],[Adjusted 2025]]/$L412,0)</f>
        <v>6</v>
      </c>
      <c r="BC412" s="77">
        <f>ROUNDUP(tbl_Data[[#This Row],[Adjusted 2026]]/$L412,0)</f>
        <v>11</v>
      </c>
      <c r="BD412" s="77">
        <f>ROUNDUP(tbl_Data[[#This Row],[Adjusted 2027]]/$L412,0)</f>
        <v>18</v>
      </c>
      <c r="BE412" s="77">
        <f>ROUNDUP(tbl_Data[[#This Row],[Adjusted 2028]]/$L412,0)</f>
        <v>24</v>
      </c>
      <c r="BF412" s="77">
        <f>ROUNDUP(tbl_Data[[#This Row],[Adjusted 2029]]/$L412,0)</f>
        <v>31</v>
      </c>
      <c r="BG412" s="77">
        <f>ROUNDUP(tbl_Data[[#This Row],[Adjusted 2030]]/$L412,0)</f>
        <v>39</v>
      </c>
      <c r="BH412" s="77">
        <f>ROUNDUP(tbl_Data[[#This Row],[Adjusted 2031]]/$L412,0)</f>
        <v>47</v>
      </c>
      <c r="BI412" s="77">
        <f>ROUNDUP(tbl_Data[[#This Row],[Adjusted 2032]]/$L412,0)</f>
        <v>56</v>
      </c>
      <c r="BJ412" s="77">
        <f>ROUNDUP(tbl_Data[[#This Row],[Adjusted 2033]]/$L412,0)</f>
        <v>64</v>
      </c>
      <c r="BK412" s="77">
        <f>ROUNDUP(tbl_Data[[#This Row],[Adjusted 2034]]/$L412,0)</f>
        <v>73</v>
      </c>
      <c r="BL412" s="80">
        <f t="shared" si="166"/>
        <v>1341.6788060879073</v>
      </c>
      <c r="BM412" s="80">
        <f t="shared" si="167"/>
        <v>2843.3560832040043</v>
      </c>
      <c r="BN412" s="80">
        <f t="shared" si="168"/>
        <v>4487.4177121211505</v>
      </c>
      <c r="BO412" s="80">
        <f t="shared" si="169"/>
        <v>6264.7645585493592</v>
      </c>
      <c r="BP412" s="80">
        <f t="shared" si="170"/>
        <v>8165.464784453613</v>
      </c>
      <c r="BQ412" s="80">
        <f t="shared" si="171"/>
        <v>10178.826324388612</v>
      </c>
      <c r="BR412" s="80">
        <f t="shared" si="172"/>
        <v>12295.388020647513</v>
      </c>
      <c r="BS412" s="80">
        <f t="shared" si="173"/>
        <v>14511.14565002611</v>
      </c>
      <c r="BT412" s="80">
        <f t="shared" si="174"/>
        <v>16824.594059671777</v>
      </c>
      <c r="BU412" s="80">
        <f t="shared" si="175"/>
        <v>19231.601682562563</v>
      </c>
      <c r="BV412" s="80">
        <f>IFERROR(VLOOKUP($H412,'1. Set Program Names'!$B$2:$D$15,3,0)*V412,"NA")</f>
        <v>313.79314725405715</v>
      </c>
      <c r="BW412" s="80">
        <f>IFERROR(VLOOKUP($H412,'1. Set Program Names'!$B$2:$D$15,3,0)*W412,"NA")</f>
        <v>665.00689290466016</v>
      </c>
      <c r="BX412" s="80">
        <f>IFERROR(VLOOKUP($H412,'1. Set Program Names'!$B$2:$D$15,3,0)*X412,"NA")</f>
        <v>1049.5216295738637</v>
      </c>
      <c r="BY412" s="80">
        <f>IFERROR(VLOOKUP($H412,'1. Set Program Names'!$B$2:$D$15,3,0)*Y412,"NA")</f>
        <v>1465.2092428626131</v>
      </c>
      <c r="BZ412" s="80">
        <f>IFERROR(VLOOKUP($H412,'1. Set Program Names'!$B$2:$D$15,3,0)*Z412,"NA")</f>
        <v>1909.746864808111</v>
      </c>
      <c r="CA412" s="80">
        <f>IFERROR(VLOOKUP($H412,'1. Set Program Names'!$B$2:$D$15,3,0)*AA412,"NA")</f>
        <v>2380.6338247196504</v>
      </c>
      <c r="CB412" s="80">
        <f>IFERROR(VLOOKUP($H412,'1. Set Program Names'!$B$2:$D$15,3,0)*AB412,"NA")</f>
        <v>2875.6573378084827</v>
      </c>
      <c r="CC412" s="80">
        <f>IFERROR(VLOOKUP($H412,'1. Set Program Names'!$B$2:$D$15,3,0)*AC412,"NA")</f>
        <v>3393.8808924476421</v>
      </c>
      <c r="CD412" s="80">
        <f>IFERROR(VLOOKUP($H412,'1. Set Program Names'!$B$2:$D$15,3,0)*AD412,"NA")</f>
        <v>3934.9524620204888</v>
      </c>
      <c r="CE412" s="80">
        <f>IFERROR(VLOOKUP($H412,'1. Set Program Names'!$B$2:$D$15,3,0)*AE412,"NA")</f>
        <v>4497.9057516038074</v>
      </c>
    </row>
    <row r="413" spans="1:83" x14ac:dyDescent="0.25">
      <c r="A413" s="79" t="s">
        <v>113</v>
      </c>
      <c r="B413" s="79" t="s">
        <v>88</v>
      </c>
      <c r="C413" s="79" t="s">
        <v>122</v>
      </c>
      <c r="D413" s="79" t="s">
        <v>90</v>
      </c>
      <c r="E413" s="79" t="s">
        <v>91</v>
      </c>
      <c r="F413" s="79" t="s">
        <v>90</v>
      </c>
      <c r="G413" s="79" t="s">
        <v>92</v>
      </c>
      <c r="H413" s="79" t="s">
        <v>18</v>
      </c>
      <c r="I413" s="79" t="s">
        <v>146</v>
      </c>
      <c r="J413" s="79" t="s">
        <v>129</v>
      </c>
      <c r="K413" s="79" t="s">
        <v>98</v>
      </c>
      <c r="L413" s="79">
        <v>23719.439999999999</v>
      </c>
      <c r="M413" s="79">
        <v>5.4597690026648404</v>
      </c>
      <c r="N413" s="79">
        <v>0</v>
      </c>
      <c r="O413" s="79">
        <v>11386</v>
      </c>
      <c r="P413" s="79">
        <v>6681.8656442185202</v>
      </c>
      <c r="Q413" s="79">
        <v>750.67749006099905</v>
      </c>
      <c r="R413" s="79">
        <v>13758.6347393458</v>
      </c>
      <c r="S413" s="79">
        <v>32663.358650317699</v>
      </c>
      <c r="T413" s="79">
        <v>23</v>
      </c>
      <c r="U413" s="79">
        <v>1</v>
      </c>
      <c r="V413" s="79">
        <f>tbl_Data_old[[#This Row],[2025 ]]*IFERROR(AVERAGEIFS('Participation Adjustment'!$C:$C,'Participation Adjustment'!$A:$A,$H413,'Participation Adjustment'!$B:$B,$I413),1)</f>
        <v>25948.150219894</v>
      </c>
      <c r="W413" s="79">
        <f>tbl_Data_old[[#This Row],[2026 ]]*IFERROR(AVERAGEIFS('Participation Adjustment'!$C:$C,'Participation Adjustment'!$A:$A,$H413,'Participation Adjustment'!$B:$B,$I413),1)</f>
        <v>54995.003042805401</v>
      </c>
      <c r="X413" s="79">
        <f>tbl_Data_old[[#This Row],[2027 ]]*IFERROR(AVERAGEIFS('Participation Adjustment'!$C:$C,'Participation Adjustment'!$A:$A,$H413,'Participation Adjustment'!$B:$B,$I413),1)</f>
        <v>86859.968907450399</v>
      </c>
      <c r="Y413" s="79">
        <f>tbl_Data_old[[#This Row],[2028 ]]*IFERROR(AVERAGEIFS('Participation Adjustment'!$C:$C,'Participation Adjustment'!$A:$A,$H413,'Participation Adjustment'!$B:$B,$I413),1)</f>
        <v>121381.139790088</v>
      </c>
      <c r="Z413" s="79">
        <f>tbl_Data_old[[#This Row],[2029 ]]*IFERROR(AVERAGEIFS('Participation Adjustment'!$C:$C,'Participation Adjustment'!$A:$A,$H413,'Participation Adjustment'!$B:$B,$I413),1)</f>
        <v>158352.624297848</v>
      </c>
      <c r="AA413" s="79">
        <f>tbl_Data_old[[#This Row],[2030 ]]*IFERROR(AVERAGEIFS('Participation Adjustment'!$C:$C,'Participation Adjustment'!$A:$A,$H413,'Participation Adjustment'!$B:$B,$I413),1)</f>
        <v>197578.320024238</v>
      </c>
      <c r="AB413" s="79">
        <f>tbl_Data_old[[#This Row],[2031 ]]*IFERROR(AVERAGEIFS('Participation Adjustment'!$C:$C,'Participation Adjustment'!$A:$A,$H413,'Participation Adjustment'!$B:$B,$I413),1)</f>
        <v>238855.75930201099</v>
      </c>
      <c r="AC413" s="79">
        <f>tbl_Data_old[[#This Row],[2032 ]]*IFERROR(AVERAGEIFS('Participation Adjustment'!$C:$C,'Participation Adjustment'!$A:$A,$H413,'Participation Adjustment'!$B:$B,$I413),1)</f>
        <v>282092.16333905101</v>
      </c>
      <c r="AD413" s="79">
        <f>tbl_Data_old[[#This Row],[2033 ]]*IFERROR(AVERAGEIFS('Participation Adjustment'!$C:$C,'Participation Adjustment'!$A:$A,$H413,'Participation Adjustment'!$B:$B,$I413),1)</f>
        <v>327283.101575876</v>
      </c>
      <c r="AE413" s="79">
        <f>tbl_Data_old[[#This Row],[2034 ]]*IFERROR(AVERAGEIFS('Participation Adjustment'!$C:$C,'Participation Adjustment'!$A:$A,$H413,'Participation Adjustment'!$B:$B,$I413),1)</f>
        <v>374330.76462507702</v>
      </c>
      <c r="AF413" s="77" t="str">
        <f t="shared" si="165"/>
        <v>NonResidential</v>
      </c>
      <c r="AG413" s="77" t="str">
        <f>tbl_Data[[#This Row],[All_Meas_Name_Append]]</f>
        <v>HE Water Cooled Chiller - Centrifugal Compressor - 200 Tons</v>
      </c>
      <c r="AH413" s="77">
        <f>AVERAGEIFS('3. Incentive Adjustment'!G:G,'3. Incentive Adjustment'!A:A,tbl_Data[[#This Row],[Trimmed Sector]],'3. Incentive Adjustment'!B:B,tbl_Data[[#This Row],[Trimmed Measure Name]])</f>
        <v>0.69536855707903378</v>
      </c>
      <c r="AI413" s="77">
        <f>$AH413*tbl_Data[[#This Row],[2025 ]]</f>
        <v>18043.527777277704</v>
      </c>
      <c r="AJ413" s="77">
        <f>$AH413*tbl_Data[[#This Row],[2026 ]]</f>
        <v>38241.795912432666</v>
      </c>
      <c r="AK413" s="77">
        <f>$AH413*tbl_Data[[#This Row],[2027 ]]</f>
        <v>60399.691247103525</v>
      </c>
      <c r="AL413" s="77">
        <f>$AH413*tbl_Data[[#This Row],[2028 ]]</f>
        <v>84404.628032441979</v>
      </c>
      <c r="AM413" s="77">
        <f>$AH413*tbl_Data[[#This Row],[2029 ]]</f>
        <v>110113.4358676729</v>
      </c>
      <c r="AN413" s="77">
        <f>$AH413*tbl_Data[[#This Row],[2030 ]]</f>
        <v>137389.75130535394</v>
      </c>
      <c r="AO413" s="77">
        <f>$AH413*tbl_Data[[#This Row],[2031 ]]</f>
        <v>166092.78469585639</v>
      </c>
      <c r="AP413" s="77">
        <f>$AH413*tbl_Data[[#This Row],[2032 ]]</f>
        <v>196158.020584379</v>
      </c>
      <c r="AQ413" s="77">
        <f>$AH413*tbl_Data[[#This Row],[2033 ]]</f>
        <v>227582.37809916775</v>
      </c>
      <c r="AR413" s="77">
        <f>$AH413*tbl_Data[[#This Row],[2034 ]]</f>
        <v>260297.84366763124</v>
      </c>
      <c r="AS413" s="77">
        <f>SUM(tbl_Data[[#This Row],[Adjusted 2025]:[Adjusted 2034]])</f>
        <v>1298723.857189317</v>
      </c>
      <c r="AT413" s="80">
        <f>AVERAGEIFS('3. Incentive Adjustment'!F:F,'3. Incentive Adjustment'!A:A,tbl_Data[[#This Row],[Trimmed Sector]],'3. Incentive Adjustment'!B:B,tbl_Data[[#This Row],[Trimmed Measure Name]])</f>
        <v>3415.7999999999997</v>
      </c>
      <c r="AU413" s="80">
        <f>IFERROR(VLOOKUP(tbl_Data[[#This Row],[All_Meas_Name_Append]],'IRA Tax Credits'!$A$3:$D$46,4,0),0)</f>
        <v>0</v>
      </c>
      <c r="AV413" s="81">
        <f>tbl_Data[[#This Row],[Adj. per unit Incentive ($)]]/tbl_Data[[#This Row],[kWh Savings]]*tbl_Data[[#This Row],[Sum of Annuals]]</f>
        <v>187027.22119018278</v>
      </c>
      <c r="AW413" s="81">
        <f>IFERROR(VLOOKUP(tbl_Data[[#This Row],[Column1]],'1. Set Program Names'!$B$2:$D$15,3,0)*tbl_Data[[#This Row],[Sum of Annuals]],"")</f>
        <v>41102.2673974266</v>
      </c>
      <c r="AX413" s="81">
        <f>tbl_Data[[#This Row],[per unit IRA tax ($)]]/tbl_Data[[#This Row],[kWh Savings]]*tbl_Data[[#This Row],[Sum of Annuals]]</f>
        <v>0</v>
      </c>
      <c r="AY413" s="81">
        <f>tbl_Data[[#This Row],[Avoided Costs ($/unit)]]/tbl_Data[[#This Row],[kWh Savings]]*tbl_Data[[#This Row],[Sum of Annuals]]</f>
        <v>753334.27679330169</v>
      </c>
      <c r="AZ413" s="81">
        <f>tbl_Data[[#This Row],[Lost Revenue ($/unit)]]/tbl_Data[[#This Row],[kWh Savings]]*tbl_Data[[#This Row],[Sum of Annuals]]</f>
        <v>1788435.2722955791</v>
      </c>
      <c r="BA413" s="81">
        <f>tbl_Data[[#This Row],[Incremental Cost ($/unit)]]/tbl_Data[[#This Row],[kWh Savings]]*tbl_Data[[#This Row],[Sum of Annuals]]</f>
        <v>623424.07063394261</v>
      </c>
      <c r="BB413" s="77">
        <f>ROUNDUP(tbl_Data[[#This Row],[Adjusted 2025]]/$L413,0)</f>
        <v>1</v>
      </c>
      <c r="BC413" s="77">
        <f>ROUNDUP(tbl_Data[[#This Row],[Adjusted 2026]]/$L413,0)</f>
        <v>2</v>
      </c>
      <c r="BD413" s="77">
        <f>ROUNDUP(tbl_Data[[#This Row],[Adjusted 2027]]/$L413,0)</f>
        <v>3</v>
      </c>
      <c r="BE413" s="77">
        <f>ROUNDUP(tbl_Data[[#This Row],[Adjusted 2028]]/$L413,0)</f>
        <v>4</v>
      </c>
      <c r="BF413" s="77">
        <f>ROUNDUP(tbl_Data[[#This Row],[Adjusted 2029]]/$L413,0)</f>
        <v>5</v>
      </c>
      <c r="BG413" s="77">
        <f>ROUNDUP(tbl_Data[[#This Row],[Adjusted 2030]]/$L413,0)</f>
        <v>6</v>
      </c>
      <c r="BH413" s="77">
        <f>ROUNDUP(tbl_Data[[#This Row],[Adjusted 2031]]/$L413,0)</f>
        <v>8</v>
      </c>
      <c r="BI413" s="77">
        <f>ROUNDUP(tbl_Data[[#This Row],[Adjusted 2032]]/$L413,0)</f>
        <v>9</v>
      </c>
      <c r="BJ413" s="77">
        <f>ROUNDUP(tbl_Data[[#This Row],[Adjusted 2033]]/$L413,0)</f>
        <v>10</v>
      </c>
      <c r="BK413" s="77">
        <f>ROUNDUP(tbl_Data[[#This Row],[Adjusted 2034]]/$L413,0)</f>
        <v>11</v>
      </c>
      <c r="BL413" s="80">
        <f t="shared" si="166"/>
        <v>3736.753124066754</v>
      </c>
      <c r="BM413" s="80">
        <f t="shared" si="167"/>
        <v>7919.7456345349929</v>
      </c>
      <c r="BN413" s="80">
        <f t="shared" si="168"/>
        <v>12508.570261105198</v>
      </c>
      <c r="BO413" s="80">
        <f t="shared" si="169"/>
        <v>17479.910878797415</v>
      </c>
      <c r="BP413" s="80">
        <f t="shared" si="170"/>
        <v>22804.117385426856</v>
      </c>
      <c r="BQ413" s="80">
        <f t="shared" si="171"/>
        <v>28452.949375651035</v>
      </c>
      <c r="BR413" s="80">
        <f t="shared" si="172"/>
        <v>34397.249792735798</v>
      </c>
      <c r="BS413" s="80">
        <f t="shared" si="173"/>
        <v>40623.657705811369</v>
      </c>
      <c r="BT413" s="80">
        <f t="shared" si="174"/>
        <v>47131.535076834749</v>
      </c>
      <c r="BU413" s="80">
        <f t="shared" si="175"/>
        <v>53906.79652666075</v>
      </c>
      <c r="BV413" s="80">
        <f>IFERROR(VLOOKUP($H413,'1. Set Program Names'!$B$2:$D$15,3,0)*V413,"NA")</f>
        <v>821.21214829674727</v>
      </c>
      <c r="BW413" s="80">
        <f>IFERROR(VLOOKUP($H413,'1. Set Program Names'!$B$2:$D$15,3,0)*W413,"NA")</f>
        <v>1740.4926444330131</v>
      </c>
      <c r="BX413" s="80">
        <f>IFERROR(VLOOKUP($H413,'1. Set Program Names'!$B$2:$D$15,3,0)*X413,"NA")</f>
        <v>2748.9613349312344</v>
      </c>
      <c r="BY413" s="80">
        <f>IFERROR(VLOOKUP($H413,'1. Set Program Names'!$B$2:$D$15,3,0)*Y413,"NA")</f>
        <v>3841.494122895253</v>
      </c>
      <c r="BZ413" s="80">
        <f>IFERROR(VLOOKUP($H413,'1. Set Program Names'!$B$2:$D$15,3,0)*Z413,"NA")</f>
        <v>5011.5749171346788</v>
      </c>
      <c r="CA413" s="80">
        <f>IFERROR(VLOOKUP($H413,'1. Set Program Names'!$B$2:$D$15,3,0)*AA413,"NA")</f>
        <v>6252.9974302202709</v>
      </c>
      <c r="CB413" s="80">
        <f>IFERROR(VLOOKUP($H413,'1. Set Program Names'!$B$2:$D$15,3,0)*AB413,"NA")</f>
        <v>7559.353925701781</v>
      </c>
      <c r="CC413" s="80">
        <f>IFERROR(VLOOKUP($H413,'1. Set Program Names'!$B$2:$D$15,3,0)*AC413,"NA")</f>
        <v>8927.7081221663047</v>
      </c>
      <c r="CD413" s="80">
        <f>IFERROR(VLOOKUP($H413,'1. Set Program Names'!$B$2:$D$15,3,0)*AD413,"NA")</f>
        <v>10357.919800398229</v>
      </c>
      <c r="CE413" s="80">
        <f>IFERROR(VLOOKUP($H413,'1. Set Program Names'!$B$2:$D$15,3,0)*AE413,"NA")</f>
        <v>11846.893469717987</v>
      </c>
    </row>
    <row r="414" spans="1:83" x14ac:dyDescent="0.25">
      <c r="A414" s="79" t="s">
        <v>113</v>
      </c>
      <c r="B414" s="79" t="s">
        <v>88</v>
      </c>
      <c r="C414" s="79" t="s">
        <v>122</v>
      </c>
      <c r="D414" s="79" t="s">
        <v>90</v>
      </c>
      <c r="E414" s="79" t="s">
        <v>91</v>
      </c>
      <c r="F414" s="79" t="s">
        <v>90</v>
      </c>
      <c r="G414" s="79" t="s">
        <v>92</v>
      </c>
      <c r="H414" s="79" t="s">
        <v>18</v>
      </c>
      <c r="I414" s="79" t="s">
        <v>147</v>
      </c>
      <c r="J414" s="79" t="s">
        <v>129</v>
      </c>
      <c r="K414" s="79" t="s">
        <v>98</v>
      </c>
      <c r="L414" s="79">
        <v>51564</v>
      </c>
      <c r="M414" s="79">
        <v>11.869063049271301</v>
      </c>
      <c r="N414" s="79">
        <v>0</v>
      </c>
      <c r="O414" s="79">
        <v>19806</v>
      </c>
      <c r="P414" s="79">
        <v>9503.5476574024997</v>
      </c>
      <c r="Q414" s="79">
        <v>1631.9075870891199</v>
      </c>
      <c r="R414" s="79">
        <v>29910.075520317099</v>
      </c>
      <c r="S414" s="79">
        <v>71007.301413734196</v>
      </c>
      <c r="T414" s="79">
        <v>23</v>
      </c>
      <c r="U414" s="79">
        <v>1</v>
      </c>
      <c r="V414" s="79">
        <f>tbl_Data_old[[#This Row],[2025 ]]*IFERROR(AVERAGEIFS('Participation Adjustment'!$C:$C,'Participation Adjustment'!$A:$A,$H414,'Participation Adjustment'!$B:$B,$I414),1)</f>
        <v>25289.064611936301</v>
      </c>
      <c r="W414" s="79">
        <f>tbl_Data_old[[#This Row],[2026 ]]*IFERROR(AVERAGEIFS('Participation Adjustment'!$C:$C,'Participation Adjustment'!$A:$A,$H414,'Participation Adjustment'!$B:$B,$I414),1)</f>
        <v>53648.612644578898</v>
      </c>
      <c r="X414" s="79">
        <f>tbl_Data_old[[#This Row],[2027 ]]*IFERROR(AVERAGEIFS('Participation Adjustment'!$C:$C,'Participation Adjustment'!$A:$A,$H414,'Participation Adjustment'!$B:$B,$I414),1)</f>
        <v>84809.512734648597</v>
      </c>
      <c r="Y414" s="79">
        <f>tbl_Data_old[[#This Row],[2028 ]]*IFERROR(AVERAGEIFS('Participation Adjustment'!$C:$C,'Participation Adjustment'!$A:$A,$H414,'Participation Adjustment'!$B:$B,$I414),1)</f>
        <v>118616.47933960499</v>
      </c>
      <c r="Z414" s="79">
        <f>tbl_Data_old[[#This Row],[2029 ]]*IFERROR(AVERAGEIFS('Participation Adjustment'!$C:$C,'Participation Adjustment'!$A:$A,$H414,'Participation Adjustment'!$B:$B,$I414),1)</f>
        <v>154869.57662789</v>
      </c>
      <c r="AA414" s="79">
        <f>tbl_Data_old[[#This Row],[2030 ]]*IFERROR(AVERAGEIFS('Participation Adjustment'!$C:$C,'Participation Adjustment'!$A:$A,$H414,'Participation Adjustment'!$B:$B,$I414),1)</f>
        <v>193377.081909726</v>
      </c>
      <c r="AB414" s="79">
        <f>tbl_Data_old[[#This Row],[2031 ]]*IFERROR(AVERAGEIFS('Participation Adjustment'!$C:$C,'Participation Adjustment'!$A:$A,$H414,'Participation Adjustment'!$B:$B,$I414),1)</f>
        <v>233939.92603983</v>
      </c>
      <c r="AC414" s="79">
        <f>tbl_Data_old[[#This Row],[2032 ]]*IFERROR(AVERAGEIFS('Participation Adjustment'!$C:$C,'Participation Adjustment'!$A:$A,$H414,'Participation Adjustment'!$B:$B,$I414),1)</f>
        <v>276466.05190287501</v>
      </c>
      <c r="AD414" s="79">
        <f>tbl_Data_old[[#This Row],[2033 ]]*IFERROR(AVERAGEIFS('Participation Adjustment'!$C:$C,'Participation Adjustment'!$A:$A,$H414,'Participation Adjustment'!$B:$B,$I414),1)</f>
        <v>320949.95422944397</v>
      </c>
      <c r="AE414" s="79">
        <f>tbl_Data_old[[#This Row],[2034 ]]*IFERROR(AVERAGEIFS('Participation Adjustment'!$C:$C,'Participation Adjustment'!$A:$A,$H414,'Participation Adjustment'!$B:$B,$I414),1)</f>
        <v>367294.02486292098</v>
      </c>
      <c r="AF414" s="77" t="str">
        <f t="shared" si="165"/>
        <v>NonResidential</v>
      </c>
      <c r="AG414" s="77" t="str">
        <f>tbl_Data[[#This Row],[All_Meas_Name_Append]]</f>
        <v>HE Water Cooled Chiller - Centrifugal Compressor - 500 Tons</v>
      </c>
      <c r="AH414" s="77">
        <f>AVERAGEIFS('3. Incentive Adjustment'!G:G,'3. Incentive Adjustment'!A:A,tbl_Data[[#This Row],[Trimmed Sector]],'3. Incentive Adjustment'!B:B,tbl_Data[[#This Row],[Trimmed Measure Name]])</f>
        <v>0.83338953851620801</v>
      </c>
      <c r="AI414" s="77">
        <f>$AH414*tbl_Data[[#This Row],[2025 ]]</f>
        <v>21075.64188644816</v>
      </c>
      <c r="AJ414" s="77">
        <f>$AH414*tbl_Data[[#This Row],[2026 ]]</f>
        <v>44710.192533900408</v>
      </c>
      <c r="AK414" s="77">
        <f>$AH414*tbl_Data[[#This Row],[2027 ]]</f>
        <v>70679.360679713267</v>
      </c>
      <c r="AL414" s="77">
        <f>$AH414*tbl_Data[[#This Row],[2028 ]]</f>
        <v>98853.732977250722</v>
      </c>
      <c r="AM414" s="77">
        <f>$AH414*tbl_Data[[#This Row],[2029 ]]</f>
        <v>129066.68499611776</v>
      </c>
      <c r="AN414" s="77">
        <f>$AH414*tbl_Data[[#This Row],[2030 ]]</f>
        <v>161158.43705235751</v>
      </c>
      <c r="AO414" s="77">
        <f>$AH414*tbl_Data[[#This Row],[2031 ]]</f>
        <v>194963.08700284976</v>
      </c>
      <c r="AP414" s="77">
        <f>$AH414*tbl_Data[[#This Row],[2032 ]]</f>
        <v>230403.915410735</v>
      </c>
      <c r="AQ414" s="77">
        <f>$AH414*tbl_Data[[#This Row],[2033 ]]</f>
        <v>267476.3342420744</v>
      </c>
      <c r="AR414" s="77">
        <f>$AH414*tbl_Data[[#This Row],[2034 ]]</f>
        <v>306098.99788027036</v>
      </c>
      <c r="AS414" s="77">
        <f>SUM(tbl_Data[[#This Row],[Adjusted 2025]:[Adjusted 2034]])</f>
        <v>1524486.3846617173</v>
      </c>
      <c r="AT414" s="80">
        <f>AVERAGEIFS('3. Incentive Adjustment'!F:F,'3. Incentive Adjustment'!A:A,tbl_Data[[#This Row],[Trimmed Sector]],'3. Incentive Adjustment'!B:B,tbl_Data[[#This Row],[Trimmed Measure Name]])</f>
        <v>5941.8</v>
      </c>
      <c r="AU414" s="80">
        <f>IFERROR(VLOOKUP(tbl_Data[[#This Row],[All_Meas_Name_Append]],'IRA Tax Credits'!$A$3:$D$46,4,0),0)</f>
        <v>0</v>
      </c>
      <c r="AV414" s="81">
        <f>tbl_Data[[#This Row],[Adj. per unit Incentive ($)]]/tbl_Data[[#This Row],[kWh Savings]]*tbl_Data[[#This Row],[Sum of Annuals]]</f>
        <v>175668.9395776703</v>
      </c>
      <c r="AW414" s="81">
        <f>IFERROR(VLOOKUP(tbl_Data[[#This Row],[Column1]],'1. Set Program Names'!$B$2:$D$15,3,0)*tbl_Data[[#This Row],[Sum of Annuals]],"")</f>
        <v>48247.244153741631</v>
      </c>
      <c r="AX414" s="81">
        <f>tbl_Data[[#This Row],[per unit IRA tax ($)]]/tbl_Data[[#This Row],[kWh Savings]]*tbl_Data[[#This Row],[Sum of Annuals]]</f>
        <v>0</v>
      </c>
      <c r="AY414" s="81">
        <f>tbl_Data[[#This Row],[Avoided Costs ($/unit)]]/tbl_Data[[#This Row],[kWh Savings]]*tbl_Data[[#This Row],[Sum of Annuals]]</f>
        <v>884289.48287423677</v>
      </c>
      <c r="AZ414" s="81">
        <f>tbl_Data[[#This Row],[Lost Revenue ($/unit)]]/tbl_Data[[#This Row],[kWh Savings]]*tbl_Data[[#This Row],[Sum of Annuals]]</f>
        <v>2099326.3559229015</v>
      </c>
      <c r="BA414" s="81">
        <f>tbl_Data[[#This Row],[Incremental Cost ($/unit)]]/tbl_Data[[#This Row],[kWh Savings]]*tbl_Data[[#This Row],[Sum of Annuals]]</f>
        <v>585563.13192556775</v>
      </c>
      <c r="BB414" s="77">
        <f>ROUNDUP(tbl_Data[[#This Row],[Adjusted 2025]]/$L414,0)</f>
        <v>1</v>
      </c>
      <c r="BC414" s="77">
        <f>ROUNDUP(tbl_Data[[#This Row],[Adjusted 2026]]/$L414,0)</f>
        <v>1</v>
      </c>
      <c r="BD414" s="77">
        <f>ROUNDUP(tbl_Data[[#This Row],[Adjusted 2027]]/$L414,0)</f>
        <v>2</v>
      </c>
      <c r="BE414" s="77">
        <f>ROUNDUP(tbl_Data[[#This Row],[Adjusted 2028]]/$L414,0)</f>
        <v>2</v>
      </c>
      <c r="BF414" s="77">
        <f>ROUNDUP(tbl_Data[[#This Row],[Adjusted 2029]]/$L414,0)</f>
        <v>3</v>
      </c>
      <c r="BG414" s="77">
        <f>ROUNDUP(tbl_Data[[#This Row],[Adjusted 2030]]/$L414,0)</f>
        <v>4</v>
      </c>
      <c r="BH414" s="77">
        <f>ROUNDUP(tbl_Data[[#This Row],[Adjusted 2031]]/$L414,0)</f>
        <v>4</v>
      </c>
      <c r="BI414" s="77">
        <f>ROUNDUP(tbl_Data[[#This Row],[Adjusted 2032]]/$L414,0)</f>
        <v>5</v>
      </c>
      <c r="BJ414" s="77">
        <f>ROUNDUP(tbl_Data[[#This Row],[Adjusted 2033]]/$L414,0)</f>
        <v>6</v>
      </c>
      <c r="BK414" s="77">
        <f>ROUNDUP(tbl_Data[[#This Row],[Adjusted 2034]]/$L414,0)</f>
        <v>6</v>
      </c>
      <c r="BL414" s="80">
        <f t="shared" si="166"/>
        <v>2914.0982877822339</v>
      </c>
      <c r="BM414" s="80">
        <f t="shared" si="167"/>
        <v>6182.013160568592</v>
      </c>
      <c r="BN414" s="80">
        <f t="shared" si="168"/>
        <v>9772.7321923577492</v>
      </c>
      <c r="BO414" s="80">
        <f t="shared" si="169"/>
        <v>13668.36158831869</v>
      </c>
      <c r="BP414" s="80">
        <f t="shared" si="170"/>
        <v>17845.862431300844</v>
      </c>
      <c r="BQ414" s="80">
        <f t="shared" si="171"/>
        <v>22283.142217268054</v>
      </c>
      <c r="BR414" s="80">
        <f t="shared" si="172"/>
        <v>26957.261898678571</v>
      </c>
      <c r="BS414" s="80">
        <f t="shared" si="173"/>
        <v>31857.613590809531</v>
      </c>
      <c r="BT414" s="80">
        <f t="shared" si="174"/>
        <v>36983.562912894849</v>
      </c>
      <c r="BU414" s="80">
        <f t="shared" si="175"/>
        <v>42323.862325081529</v>
      </c>
      <c r="BV414" s="80">
        <f>IFERROR(VLOOKUP($H414,'1. Set Program Names'!$B$2:$D$15,3,0)*V414,"NA")</f>
        <v>800.3532776861</v>
      </c>
      <c r="BW414" s="80">
        <f>IFERROR(VLOOKUP($H414,'1. Set Program Names'!$B$2:$D$15,3,0)*W414,"NA")</f>
        <v>1697.8818169943004</v>
      </c>
      <c r="BX414" s="80">
        <f>IFERROR(VLOOKUP($H414,'1. Set Program Names'!$B$2:$D$15,3,0)*X414,"NA")</f>
        <v>2684.0680957451941</v>
      </c>
      <c r="BY414" s="80">
        <f>IFERROR(VLOOKUP($H414,'1. Set Program Names'!$B$2:$D$15,3,0)*Y414,"NA")</f>
        <v>3753.9976066267618</v>
      </c>
      <c r="BZ414" s="80">
        <f>IFERROR(VLOOKUP($H414,'1. Set Program Names'!$B$2:$D$15,3,0)*Z414,"NA")</f>
        <v>4901.3427412212977</v>
      </c>
      <c r="CA414" s="80">
        <f>IFERROR(VLOOKUP($H414,'1. Set Program Names'!$B$2:$D$15,3,0)*AA414,"NA")</f>
        <v>6120.0358222332998</v>
      </c>
      <c r="CB414" s="80">
        <f>IFERROR(VLOOKUP($H414,'1. Set Program Names'!$B$2:$D$15,3,0)*AB414,"NA")</f>
        <v>7403.7766703023108</v>
      </c>
      <c r="CC414" s="80">
        <f>IFERROR(VLOOKUP($H414,'1. Set Program Names'!$B$2:$D$15,3,0)*AC414,"NA")</f>
        <v>8749.6518437840114</v>
      </c>
      <c r="CD414" s="80">
        <f>IFERROR(VLOOKUP($H414,'1. Set Program Names'!$B$2:$D$15,3,0)*AD414,"NA")</f>
        <v>10157.487110831946</v>
      </c>
      <c r="CE414" s="80">
        <f>IFERROR(VLOOKUP($H414,'1. Set Program Names'!$B$2:$D$15,3,0)*AE414,"NA")</f>
        <v>11624.193349358158</v>
      </c>
    </row>
    <row r="415" spans="1:83" x14ac:dyDescent="0.25">
      <c r="A415" s="79" t="s">
        <v>113</v>
      </c>
      <c r="B415" s="79" t="s">
        <v>88</v>
      </c>
      <c r="C415" s="79" t="s">
        <v>122</v>
      </c>
      <c r="D415" s="79" t="s">
        <v>90</v>
      </c>
      <c r="E415" s="79" t="s">
        <v>91</v>
      </c>
      <c r="F415" s="79" t="s">
        <v>90</v>
      </c>
      <c r="G415" s="79" t="s">
        <v>92</v>
      </c>
      <c r="H415" s="79" t="s">
        <v>18</v>
      </c>
      <c r="I415" s="79" t="s">
        <v>148</v>
      </c>
      <c r="J415" s="79" t="s">
        <v>129</v>
      </c>
      <c r="K415" s="79" t="s">
        <v>98</v>
      </c>
      <c r="L415" s="79">
        <v>552.51399999999899</v>
      </c>
      <c r="M415" s="79">
        <v>0.19160575593909501</v>
      </c>
      <c r="N415" s="79">
        <v>0</v>
      </c>
      <c r="O415" s="79">
        <v>129</v>
      </c>
      <c r="P415" s="79">
        <v>16.0943430226503</v>
      </c>
      <c r="Q415" s="79">
        <v>17.486071456306</v>
      </c>
      <c r="R415" s="79">
        <v>212.35909497904299</v>
      </c>
      <c r="S415" s="79">
        <v>383.33946557666002</v>
      </c>
      <c r="T415" s="79">
        <v>8</v>
      </c>
      <c r="U415" s="79">
        <v>1</v>
      </c>
      <c r="V415" s="79">
        <f>tbl_Data_old[[#This Row],[2025 ]]*IFERROR(AVERAGEIFS('Participation Adjustment'!$C:$C,'Participation Adjustment'!$A:$A,$H415,'Participation Adjustment'!$B:$B,$I415),1)</f>
        <v>130525.06061797659</v>
      </c>
      <c r="W415" s="79">
        <f>tbl_Data_old[[#This Row],[2026 ]]*IFERROR(AVERAGEIFS('Participation Adjustment'!$C:$C,'Participation Adjustment'!$A:$A,$H415,'Participation Adjustment'!$B:$B,$I415),1)</f>
        <v>276911.17715535604</v>
      </c>
      <c r="X415" s="79">
        <f>tbl_Data_old[[#This Row],[2027 ]]*IFERROR(AVERAGEIFS('Participation Adjustment'!$C:$C,'Participation Adjustment'!$A:$A,$H415,'Participation Adjustment'!$B:$B,$I415),1)</f>
        <v>437566.44548474002</v>
      </c>
      <c r="Y415" s="79">
        <f>tbl_Data_old[[#This Row],[2028 ]]*IFERROR(AVERAGEIFS('Participation Adjustment'!$C:$C,'Participation Adjustment'!$A:$A,$H415,'Participation Adjustment'!$B:$B,$I415),1)</f>
        <v>611649.84495461395</v>
      </c>
      <c r="Z415" s="79">
        <f>tbl_Data_old[[#This Row],[2029 ]]*IFERROR(AVERAGEIFS('Participation Adjustment'!$C:$C,'Participation Adjustment'!$A:$A,$H415,'Participation Adjustment'!$B:$B,$I415),1)</f>
        <v>798188.08966613805</v>
      </c>
      <c r="AA415" s="79">
        <f>tbl_Data_old[[#This Row],[2030 ]]*IFERROR(AVERAGEIFS('Participation Adjustment'!$C:$C,'Participation Adjustment'!$A:$A,$H415,'Participation Adjustment'!$B:$B,$I415),1)</f>
        <v>996162.96922623797</v>
      </c>
      <c r="AB415" s="79">
        <f>tbl_Data_old[[#This Row],[2031 ]]*IFERROR(AVERAGEIFS('Participation Adjustment'!$C:$C,'Participation Adjustment'!$A:$A,$H415,'Participation Adjustment'!$B:$B,$I415),1)</f>
        <v>1204623.9970588421</v>
      </c>
      <c r="AC415" s="79">
        <f>tbl_Data_old[[#This Row],[2032 ]]*IFERROR(AVERAGEIFS('Participation Adjustment'!$C:$C,'Participation Adjustment'!$A:$A,$H415,'Participation Adjustment'!$B:$B,$I415),1)</f>
        <v>1423158.2544848002</v>
      </c>
      <c r="AD415" s="79">
        <f>tbl_Data_old[[#This Row],[2033 ]]*IFERROR(AVERAGEIFS('Participation Adjustment'!$C:$C,'Participation Adjustment'!$A:$A,$H415,'Participation Adjustment'!$B:$B,$I415),1)</f>
        <v>1521133.7725660081</v>
      </c>
      <c r="AE415" s="79">
        <f>tbl_Data_old[[#This Row],[2034 ]]*IFERROR(AVERAGEIFS('Participation Adjustment'!$C:$C,'Participation Adjustment'!$A:$A,$H415,'Participation Adjustment'!$B:$B,$I415),1)</f>
        <v>1612781.2690834859</v>
      </c>
      <c r="AF415" s="77" t="str">
        <f t="shared" si="165"/>
        <v>NonResidential</v>
      </c>
      <c r="AG415" s="77" t="str">
        <f>tbl_Data[[#This Row],[All_Meas_Name_Append]]</f>
        <v>High Efficiency PTAC</v>
      </c>
      <c r="AH415" s="77">
        <f>AVERAGEIFS('3. Incentive Adjustment'!G:G,'3. Incentive Adjustment'!A:A,tbl_Data[[#This Row],[Trimmed Sector]],'3. Incentive Adjustment'!B:B,tbl_Data[[#This Row],[Trimmed Measure Name]])</f>
        <v>1.1757614296438725</v>
      </c>
      <c r="AI415" s="77">
        <f>$AH415*tbl_Data[[#This Row],[2025 ]]</f>
        <v>153466.33187654527</v>
      </c>
      <c r="AJ415" s="77">
        <f>$AH415*tbl_Data[[#This Row],[2026 ]]</f>
        <v>325581.48153654905</v>
      </c>
      <c r="AK415" s="77">
        <f>$AH415*tbl_Data[[#This Row],[2027 ]]</f>
        <v>514473.74950732553</v>
      </c>
      <c r="AL415" s="77">
        <f>$AH415*tbl_Data[[#This Row],[2028 ]]</f>
        <v>719154.2961452899</v>
      </c>
      <c r="AM415" s="77">
        <f>$AH415*tbl_Data[[#This Row],[2029 ]]</f>
        <v>938478.76943056996</v>
      </c>
      <c r="AN415" s="77">
        <f>$AH415*tbl_Data[[#This Row],[2030 ]]</f>
        <v>1171249.9968557265</v>
      </c>
      <c r="AO415" s="77">
        <f>$AH415*tbl_Data[[#This Row],[2031 ]]</f>
        <v>1416350.4329652202</v>
      </c>
      <c r="AP415" s="77">
        <f>$AH415*tbl_Data[[#This Row],[2032 ]]</f>
        <v>1673294.5839025269</v>
      </c>
      <c r="AQ415" s="77">
        <f>$AH415*tbl_Data[[#This Row],[2033 ]]</f>
        <v>1788490.4191117871</v>
      </c>
      <c r="AR415" s="77">
        <f>$AH415*tbl_Data[[#This Row],[2034 ]]</f>
        <v>1896246.0106404584</v>
      </c>
      <c r="AS415" s="77">
        <f>SUM(tbl_Data[[#This Row],[Adjusted 2025]:[Adjusted 2034]])</f>
        <v>10596786.071971999</v>
      </c>
      <c r="AT415" s="80">
        <f>AVERAGEIFS('3. Incentive Adjustment'!F:F,'3. Incentive Adjustment'!A:A,tbl_Data[[#This Row],[Trimmed Sector]],'3. Incentive Adjustment'!B:B,tbl_Data[[#This Row],[Trimmed Measure Name]])</f>
        <v>50</v>
      </c>
      <c r="AU415" s="80">
        <f>IFERROR(VLOOKUP(tbl_Data[[#This Row],[All_Meas_Name_Append]],'IRA Tax Credits'!$A$3:$D$46,4,0),0)</f>
        <v>0</v>
      </c>
      <c r="AV415" s="81">
        <f>tbl_Data[[#This Row],[Adj. per unit Incentive ($)]]/tbl_Data[[#This Row],[kWh Savings]]*tbl_Data[[#This Row],[Sum of Annuals]]</f>
        <v>958960.86542350228</v>
      </c>
      <c r="AW415" s="81">
        <f>IFERROR(VLOOKUP(tbl_Data[[#This Row],[Column1]],'1. Set Program Names'!$B$2:$D$15,3,0)*tbl_Data[[#This Row],[Sum of Annuals]],"")</f>
        <v>335369.16433192766</v>
      </c>
      <c r="AX415" s="81">
        <f>tbl_Data[[#This Row],[per unit IRA tax ($)]]/tbl_Data[[#This Row],[kWh Savings]]*tbl_Data[[#This Row],[Sum of Annuals]]</f>
        <v>0</v>
      </c>
      <c r="AY415" s="81">
        <f>tbl_Data[[#This Row],[Avoided Costs ($/unit)]]/tbl_Data[[#This Row],[kWh Savings]]*tbl_Data[[#This Row],[Sum of Annuals]]</f>
        <v>4072881.2300330959</v>
      </c>
      <c r="AZ415" s="81">
        <f>tbl_Data[[#This Row],[Lost Revenue ($/unit)]]/tbl_Data[[#This Row],[kWh Savings]]*tbl_Data[[#This Row],[Sum of Annuals]]</f>
        <v>7352150.9132075347</v>
      </c>
      <c r="BA415" s="81">
        <f>tbl_Data[[#This Row],[Incremental Cost ($/unit)]]/tbl_Data[[#This Row],[kWh Savings]]*tbl_Data[[#This Row],[Sum of Annuals]]</f>
        <v>2474119.0327926357</v>
      </c>
      <c r="BB415" s="77">
        <f>ROUNDUP(tbl_Data[[#This Row],[Adjusted 2025]]/$L415,0)</f>
        <v>278</v>
      </c>
      <c r="BC415" s="77">
        <f>ROUNDUP(tbl_Data[[#This Row],[Adjusted 2026]]/$L415,0)</f>
        <v>590</v>
      </c>
      <c r="BD415" s="77">
        <f>ROUNDUP(tbl_Data[[#This Row],[Adjusted 2027]]/$L415,0)</f>
        <v>932</v>
      </c>
      <c r="BE415" s="77">
        <f>ROUNDUP(tbl_Data[[#This Row],[Adjusted 2028]]/$L415,0)</f>
        <v>1302</v>
      </c>
      <c r="BF415" s="77">
        <f>ROUNDUP(tbl_Data[[#This Row],[Adjusted 2029]]/$L415,0)</f>
        <v>1699</v>
      </c>
      <c r="BG415" s="77">
        <f>ROUNDUP(tbl_Data[[#This Row],[Adjusted 2030]]/$L415,0)</f>
        <v>2120</v>
      </c>
      <c r="BH415" s="77">
        <f>ROUNDUP(tbl_Data[[#This Row],[Adjusted 2031]]/$L415,0)</f>
        <v>2564</v>
      </c>
      <c r="BI415" s="77">
        <f>ROUNDUP(tbl_Data[[#This Row],[Adjusted 2032]]/$L415,0)</f>
        <v>3029</v>
      </c>
      <c r="BJ415" s="77">
        <f>ROUNDUP(tbl_Data[[#This Row],[Adjusted 2033]]/$L415,0)</f>
        <v>3238</v>
      </c>
      <c r="BK415" s="77">
        <f>ROUNDUP(tbl_Data[[#This Row],[Adjusted 2034]]/$L415,0)</f>
        <v>3433</v>
      </c>
      <c r="BL415" s="80">
        <f t="shared" si="166"/>
        <v>11811.92337370427</v>
      </c>
      <c r="BM415" s="80">
        <f t="shared" si="167"/>
        <v>25059.200052429129</v>
      </c>
      <c r="BN415" s="80">
        <f t="shared" si="168"/>
        <v>39597.769964629028</v>
      </c>
      <c r="BO415" s="80">
        <f t="shared" si="169"/>
        <v>55351.524572645678</v>
      </c>
      <c r="BP415" s="80">
        <f t="shared" si="170"/>
        <v>72232.385936477585</v>
      </c>
      <c r="BQ415" s="80">
        <f t="shared" si="171"/>
        <v>90148.210654050374</v>
      </c>
      <c r="BR415" s="80">
        <f t="shared" si="172"/>
        <v>109012.98402020983</v>
      </c>
      <c r="BS415" s="80">
        <f t="shared" si="173"/>
        <v>128789.3387755607</v>
      </c>
      <c r="BT415" s="80">
        <f t="shared" si="174"/>
        <v>137655.67683045234</v>
      </c>
      <c r="BU415" s="80">
        <f t="shared" si="175"/>
        <v>145949.35776138605</v>
      </c>
      <c r="BV415" s="80">
        <f>IFERROR(VLOOKUP($H415,'1. Set Program Names'!$B$2:$D$15,3,0)*V415,"NA")</f>
        <v>4130.8827229800736</v>
      </c>
      <c r="BW415" s="80">
        <f>IFERROR(VLOOKUP($H415,'1. Set Program Names'!$B$2:$D$15,3,0)*W415,"NA")</f>
        <v>8763.7392550928453</v>
      </c>
      <c r="BX415" s="80">
        <f>IFERROR(VLOOKUP($H415,'1. Set Program Names'!$B$2:$D$15,3,0)*X415,"NA")</f>
        <v>13848.188702237398</v>
      </c>
      <c r="BY415" s="80">
        <f>IFERROR(VLOOKUP($H415,'1. Set Program Names'!$B$2:$D$15,3,0)*Y415,"NA")</f>
        <v>19357.614277855173</v>
      </c>
      <c r="BZ415" s="80">
        <f>IFERROR(VLOOKUP($H415,'1. Set Program Names'!$B$2:$D$15,3,0)*Z415,"NA")</f>
        <v>25261.213238894365</v>
      </c>
      <c r="CA415" s="80">
        <f>IFERROR(VLOOKUP($H415,'1. Set Program Names'!$B$2:$D$15,3,0)*AA415,"NA")</f>
        <v>31526.761063096979</v>
      </c>
      <c r="CB415" s="80">
        <f>IFERROR(VLOOKUP($H415,'1. Set Program Names'!$B$2:$D$15,3,0)*AB415,"NA")</f>
        <v>38124.176564850619</v>
      </c>
      <c r="CC415" s="80">
        <f>IFERROR(VLOOKUP($H415,'1. Set Program Names'!$B$2:$D$15,3,0)*AC415,"NA")</f>
        <v>45040.391612797059</v>
      </c>
      <c r="CD415" s="80">
        <f>IFERROR(VLOOKUP($H415,'1. Set Program Names'!$B$2:$D$15,3,0)*AD415,"NA")</f>
        <v>48141.140028469068</v>
      </c>
      <c r="CE415" s="80">
        <f>IFERROR(VLOOKUP($H415,'1. Set Program Names'!$B$2:$D$15,3,0)*AE415,"NA")</f>
        <v>51041.617976351241</v>
      </c>
    </row>
    <row r="416" spans="1:83" x14ac:dyDescent="0.25">
      <c r="A416" s="79" t="s">
        <v>113</v>
      </c>
      <c r="B416" s="79" t="s">
        <v>88</v>
      </c>
      <c r="C416" s="79" t="s">
        <v>122</v>
      </c>
      <c r="D416" s="79" t="s">
        <v>90</v>
      </c>
      <c r="E416" s="79" t="s">
        <v>91</v>
      </c>
      <c r="F416" s="79" t="s">
        <v>90</v>
      </c>
      <c r="G416" s="79" t="s">
        <v>92</v>
      </c>
      <c r="H416" s="79" t="s">
        <v>18</v>
      </c>
      <c r="I416" s="79" t="s">
        <v>149</v>
      </c>
      <c r="J416" s="79" t="s">
        <v>129</v>
      </c>
      <c r="K416" s="79" t="s">
        <v>98</v>
      </c>
      <c r="L416" s="79">
        <v>540.79749999999899</v>
      </c>
      <c r="M416" s="79">
        <v>0.159555976068885</v>
      </c>
      <c r="N416" s="79">
        <v>1.50169234953632E-2</v>
      </c>
      <c r="O416" s="79">
        <v>128.99999999999901</v>
      </c>
      <c r="P416" s="79">
        <v>23.4690947103329</v>
      </c>
      <c r="Q416" s="79">
        <v>17.115265365930298</v>
      </c>
      <c r="R416" s="79">
        <v>204.24936172330499</v>
      </c>
      <c r="S416" s="79">
        <v>375.21044649582399</v>
      </c>
      <c r="T416" s="79">
        <v>8</v>
      </c>
      <c r="U416" s="79">
        <v>1</v>
      </c>
      <c r="V416" s="79">
        <f>tbl_Data_old[[#This Row],[2025 ]]*IFERROR(AVERAGEIFS('Participation Adjustment'!$C:$C,'Participation Adjustment'!$A:$A,$H416,'Participation Adjustment'!$B:$B,$I416),1)</f>
        <v>78456.849759071003</v>
      </c>
      <c r="W416" s="79">
        <f>tbl_Data_old[[#This Row],[2026 ]]*IFERROR(AVERAGEIFS('Participation Adjustment'!$C:$C,'Participation Adjustment'!$A:$A,$H416,'Participation Adjustment'!$B:$B,$I416),1)</f>
        <v>166536.80285835662</v>
      </c>
      <c r="X416" s="79">
        <f>tbl_Data_old[[#This Row],[2027 ]]*IFERROR(AVERAGEIFS('Participation Adjustment'!$C:$C,'Participation Adjustment'!$A:$A,$H416,'Participation Adjustment'!$B:$B,$I416),1)</f>
        <v>263283.17684393801</v>
      </c>
      <c r="Y416" s="79">
        <f>tbl_Data_old[[#This Row],[2028 ]]*IFERROR(AVERAGEIFS('Participation Adjustment'!$C:$C,'Participation Adjustment'!$A:$A,$H416,'Participation Adjustment'!$B:$B,$I416),1)</f>
        <v>368186.42558485601</v>
      </c>
      <c r="Z416" s="79">
        <f>tbl_Data_old[[#This Row],[2029 ]]*IFERROR(AVERAGEIFS('Participation Adjustment'!$C:$C,'Participation Adjustment'!$A:$A,$H416,'Participation Adjustment'!$B:$B,$I416),1)</f>
        <v>480653.94439766207</v>
      </c>
      <c r="AA416" s="79">
        <f>tbl_Data_old[[#This Row],[2030 ]]*IFERROR(AVERAGEIFS('Participation Adjustment'!$C:$C,'Participation Adjustment'!$A:$A,$H416,'Participation Adjustment'!$B:$B,$I416),1)</f>
        <v>600063.18255605001</v>
      </c>
      <c r="AB416" s="79">
        <f>tbl_Data_old[[#This Row],[2031 ]]*IFERROR(AVERAGEIFS('Participation Adjustment'!$C:$C,'Participation Adjustment'!$A:$A,$H416,'Participation Adjustment'!$B:$B,$I416),1)</f>
        <v>725830.76323440997</v>
      </c>
      <c r="AC416" s="79">
        <f>tbl_Data_old[[#This Row],[2032 ]]*IFERROR(AVERAGEIFS('Participation Adjustment'!$C:$C,'Participation Adjustment'!$A:$A,$H416,'Participation Adjustment'!$B:$B,$I416),1)</f>
        <v>857696.54462529998</v>
      </c>
      <c r="AD416" s="79">
        <f>tbl_Data_old[[#This Row],[2033 ]]*IFERROR(AVERAGEIFS('Participation Adjustment'!$C:$C,'Participation Adjustment'!$A:$A,$H416,'Participation Adjustment'!$B:$B,$I416),1)</f>
        <v>917127.46754680004</v>
      </c>
      <c r="AE416" s="79">
        <f>tbl_Data_old[[#This Row],[2034 ]]*IFERROR(AVERAGEIFS('Participation Adjustment'!$C:$C,'Participation Adjustment'!$A:$A,$H416,'Participation Adjustment'!$B:$B,$I416),1)</f>
        <v>972684.25269283808</v>
      </c>
      <c r="AF416" s="77" t="str">
        <f t="shared" si="165"/>
        <v>NonResidential</v>
      </c>
      <c r="AG416" s="77" t="str">
        <f>tbl_Data[[#This Row],[All_Meas_Name_Append]]</f>
        <v>High Efficiency PTHP</v>
      </c>
      <c r="AH416" s="77">
        <f>AVERAGEIFS('3. Incentive Adjustment'!G:G,'3. Incentive Adjustment'!A:A,tbl_Data[[#This Row],[Trimmed Sector]],'3. Incentive Adjustment'!B:B,tbl_Data[[#This Row],[Trimmed Measure Name]])</f>
        <v>1.138194101705527</v>
      </c>
      <c r="AI416" s="77">
        <f>$AH416*tbl_Data[[#This Row],[2025 ]]</f>
        <v>89299.123634171323</v>
      </c>
      <c r="AJ416" s="77">
        <f>$AH416*tbl_Data[[#This Row],[2026 ]]</f>
        <v>189551.20673027766</v>
      </c>
      <c r="AK416" s="77">
        <f>$AH416*tbl_Data[[#This Row],[2027 ]]</f>
        <v>299667.35896206344</v>
      </c>
      <c r="AL416" s="77">
        <f>$AH416*tbl_Data[[#This Row],[2028 ]]</f>
        <v>419067.6179287241</v>
      </c>
      <c r="AM416" s="77">
        <f>$AH416*tbl_Data[[#This Row],[2029 ]]</f>
        <v>547077.48447491531</v>
      </c>
      <c r="AN416" s="77">
        <f>$AH416*tbl_Data[[#This Row],[2030 ]]</f>
        <v>682988.375035943</v>
      </c>
      <c r="AO416" s="77">
        <f>$AH416*tbl_Data[[#This Row],[2031 ]]</f>
        <v>826136.29354982637</v>
      </c>
      <c r="AP416" s="77">
        <f>$AH416*tbl_Data[[#This Row],[2032 ]]</f>
        <v>976225.14814572781</v>
      </c>
      <c r="AQ416" s="77">
        <f>$AH416*tbl_Data[[#This Row],[2033 ]]</f>
        <v>1043869.074073895</v>
      </c>
      <c r="AR416" s="77">
        <f>$AH416*tbl_Data[[#This Row],[2034 ]]</f>
        <v>1107103.4792368368</v>
      </c>
      <c r="AS416" s="77">
        <f>SUM(tbl_Data[[#This Row],[Adjusted 2025]:[Adjusted 2034]])</f>
        <v>6180985.1617723806</v>
      </c>
      <c r="AT416" s="80">
        <f>AVERAGEIFS('3. Incentive Adjustment'!F:F,'3. Incentive Adjustment'!A:A,tbl_Data[[#This Row],[Trimmed Sector]],'3. Incentive Adjustment'!B:B,tbl_Data[[#This Row],[Trimmed Measure Name]])</f>
        <v>50</v>
      </c>
      <c r="AU416" s="80">
        <f>IFERROR(VLOOKUP(tbl_Data[[#This Row],[All_Meas_Name_Append]],'IRA Tax Credits'!$A$3:$D$46,4,0),0)</f>
        <v>0</v>
      </c>
      <c r="AV416" s="81">
        <f>tbl_Data[[#This Row],[Adj. per unit Incentive ($)]]/tbl_Data[[#This Row],[kWh Savings]]*tbl_Data[[#This Row],[Sum of Annuals]]</f>
        <v>571469.46516694257</v>
      </c>
      <c r="AW416" s="81">
        <f>IFERROR(VLOOKUP(tbl_Data[[#This Row],[Column1]],'1. Set Program Names'!$B$2:$D$15,3,0)*tbl_Data[[#This Row],[Sum of Annuals]],"")</f>
        <v>195617.03089717007</v>
      </c>
      <c r="AX416" s="81">
        <f>tbl_Data[[#This Row],[per unit IRA tax ($)]]/tbl_Data[[#This Row],[kWh Savings]]*tbl_Data[[#This Row],[Sum of Annuals]]</f>
        <v>0</v>
      </c>
      <c r="AY416" s="81">
        <f>tbl_Data[[#This Row],[Avoided Costs ($/unit)]]/tbl_Data[[#This Row],[kWh Savings]]*tbl_Data[[#This Row],[Sum of Annuals]]</f>
        <v>2334445.4700941294</v>
      </c>
      <c r="AZ416" s="81">
        <f>tbl_Data[[#This Row],[Lost Revenue ($/unit)]]/tbl_Data[[#This Row],[kWh Savings]]*tbl_Data[[#This Row],[Sum of Annuals]]</f>
        <v>4288426.2636803649</v>
      </c>
      <c r="BA416" s="81">
        <f>tbl_Data[[#This Row],[Incremental Cost ($/unit)]]/tbl_Data[[#This Row],[kWh Savings]]*tbl_Data[[#This Row],[Sum of Annuals]]</f>
        <v>1474391.2201307004</v>
      </c>
      <c r="BB416" s="77">
        <f>ROUNDUP(tbl_Data[[#This Row],[Adjusted 2025]]/$L416,0)</f>
        <v>166</v>
      </c>
      <c r="BC416" s="77">
        <f>ROUNDUP(tbl_Data[[#This Row],[Adjusted 2026]]/$L416,0)</f>
        <v>351</v>
      </c>
      <c r="BD416" s="77">
        <f>ROUNDUP(tbl_Data[[#This Row],[Adjusted 2027]]/$L416,0)</f>
        <v>555</v>
      </c>
      <c r="BE416" s="77">
        <f>ROUNDUP(tbl_Data[[#This Row],[Adjusted 2028]]/$L416,0)</f>
        <v>775</v>
      </c>
      <c r="BF416" s="77">
        <f>ROUNDUP(tbl_Data[[#This Row],[Adjusted 2029]]/$L416,0)</f>
        <v>1012</v>
      </c>
      <c r="BG416" s="77">
        <f>ROUNDUP(tbl_Data[[#This Row],[Adjusted 2030]]/$L416,0)</f>
        <v>1263</v>
      </c>
      <c r="BH416" s="77">
        <f>ROUNDUP(tbl_Data[[#This Row],[Adjusted 2031]]/$L416,0)</f>
        <v>1528</v>
      </c>
      <c r="BI416" s="77">
        <f>ROUNDUP(tbl_Data[[#This Row],[Adjusted 2032]]/$L416,0)</f>
        <v>1806</v>
      </c>
      <c r="BJ416" s="77">
        <f>ROUNDUP(tbl_Data[[#This Row],[Adjusted 2033]]/$L416,0)</f>
        <v>1931</v>
      </c>
      <c r="BK416" s="77">
        <f>ROUNDUP(tbl_Data[[#This Row],[Adjusted 2034]]/$L416,0)</f>
        <v>2048</v>
      </c>
      <c r="BL416" s="80">
        <f t="shared" si="166"/>
        <v>7253.8103226319599</v>
      </c>
      <c r="BM416" s="80">
        <f t="shared" si="167"/>
        <v>15397.334756388198</v>
      </c>
      <c r="BN416" s="80">
        <f t="shared" si="168"/>
        <v>24342.122221713165</v>
      </c>
      <c r="BO416" s="80">
        <f t="shared" si="169"/>
        <v>34041.06209670502</v>
      </c>
      <c r="BP416" s="80">
        <f t="shared" si="170"/>
        <v>44439.364493887544</v>
      </c>
      <c r="BQ416" s="80">
        <f t="shared" si="171"/>
        <v>55479.470832987499</v>
      </c>
      <c r="BR416" s="80">
        <f t="shared" si="172"/>
        <v>67107.444397802436</v>
      </c>
      <c r="BS416" s="80">
        <f t="shared" si="173"/>
        <v>79299.233504713091</v>
      </c>
      <c r="BT416" s="80">
        <f t="shared" si="174"/>
        <v>84793.981808976721</v>
      </c>
      <c r="BU416" s="80">
        <f t="shared" si="175"/>
        <v>89930.542642379063</v>
      </c>
      <c r="BV416" s="80">
        <f>IFERROR(VLOOKUP($H416,'1. Set Program Names'!$B$2:$D$15,3,0)*V416,"NA")</f>
        <v>2483.0177717194147</v>
      </c>
      <c r="BW416" s="80">
        <f>IFERROR(VLOOKUP($H416,'1. Set Program Names'!$B$2:$D$15,3,0)*W416,"NA")</f>
        <v>5270.5894056729267</v>
      </c>
      <c r="BX416" s="80">
        <f>IFERROR(VLOOKUP($H416,'1. Set Program Names'!$B$2:$D$15,3,0)*X416,"NA")</f>
        <v>8332.4376278906093</v>
      </c>
      <c r="BY416" s="80">
        <f>IFERROR(VLOOKUP($H416,'1. Set Program Names'!$B$2:$D$15,3,0)*Y416,"NA")</f>
        <v>11652.436222464386</v>
      </c>
      <c r="BZ416" s="80">
        <f>IFERROR(VLOOKUP($H416,'1. Set Program Names'!$B$2:$D$15,3,0)*Z416,"NA")</f>
        <v>15211.830320123754</v>
      </c>
      <c r="CA416" s="80">
        <f>IFERROR(VLOOKUP($H416,'1. Set Program Names'!$B$2:$D$15,3,0)*AA416,"NA")</f>
        <v>18990.917313359463</v>
      </c>
      <c r="CB416" s="80">
        <f>IFERROR(VLOOKUP($H416,'1. Set Program Names'!$B$2:$D$15,3,0)*AB416,"NA")</f>
        <v>22971.234377956076</v>
      </c>
      <c r="CC416" s="80">
        <f>IFERROR(VLOOKUP($H416,'1. Set Program Names'!$B$2:$D$15,3,0)*AC416,"NA")</f>
        <v>27144.548494960767</v>
      </c>
      <c r="CD416" s="80">
        <f>IFERROR(VLOOKUP($H416,'1. Set Program Names'!$B$2:$D$15,3,0)*AD416,"NA")</f>
        <v>29025.430001890123</v>
      </c>
      <c r="CE416" s="80">
        <f>IFERROR(VLOOKUP($H416,'1. Set Program Names'!$B$2:$D$15,3,0)*AE416,"NA")</f>
        <v>30783.702036528633</v>
      </c>
    </row>
    <row r="417" spans="1:83" x14ac:dyDescent="0.25">
      <c r="A417" s="79" t="s">
        <v>113</v>
      </c>
      <c r="B417" s="79" t="s">
        <v>88</v>
      </c>
      <c r="C417" s="79" t="s">
        <v>122</v>
      </c>
      <c r="D417" s="79" t="s">
        <v>90</v>
      </c>
      <c r="E417" s="79" t="s">
        <v>91</v>
      </c>
      <c r="F417" s="79" t="s">
        <v>90</v>
      </c>
      <c r="G417" s="79" t="s">
        <v>92</v>
      </c>
      <c r="H417" s="79" t="s">
        <v>18</v>
      </c>
      <c r="I417" s="79" t="s">
        <v>157</v>
      </c>
      <c r="J417" s="79" t="s">
        <v>158</v>
      </c>
      <c r="K417" s="79" t="s">
        <v>159</v>
      </c>
      <c r="L417" s="79">
        <v>562.52000000000032</v>
      </c>
      <c r="M417" s="79">
        <v>0</v>
      </c>
      <c r="N417" s="79">
        <v>2.7796637938074218E-2</v>
      </c>
      <c r="O417" s="79">
        <v>169</v>
      </c>
      <c r="P417" s="79">
        <v>53.285725702774094</v>
      </c>
      <c r="Q417" s="79"/>
      <c r="R417" s="79">
        <v>275.37363005821356</v>
      </c>
      <c r="S417" s="79">
        <v>610.96426176974103</v>
      </c>
      <c r="T417" s="79">
        <v>15</v>
      </c>
      <c r="U417" s="79">
        <v>0.2</v>
      </c>
      <c r="V417" s="79">
        <f>tbl_Data_old[[#This Row],[2025 ]]*IFERROR(AVERAGEIFS('Participation Adjustment'!$C:$C,'Participation Adjustment'!$A:$A,$H417,'Participation Adjustment'!$B:$B,$I417),1)</f>
        <v>376.36080462175352</v>
      </c>
      <c r="W417" s="79">
        <f>tbl_Data_old[[#This Row],[2026 ]]*IFERROR(AVERAGEIFS('Participation Adjustment'!$C:$C,'Participation Adjustment'!$A:$A,$H417,'Participation Adjustment'!$B:$B,$I417),1)</f>
        <v>786.29662047328497</v>
      </c>
      <c r="X417" s="79">
        <f>tbl_Data_old[[#This Row],[2027 ]]*IFERROR(AVERAGEIFS('Participation Adjustment'!$C:$C,'Participation Adjustment'!$A:$A,$H417,'Participation Adjustment'!$B:$B,$I417),1)</f>
        <v>1222.7455792133801</v>
      </c>
      <c r="Y417" s="79">
        <f>tbl_Data_old[[#This Row],[2028 ]]*IFERROR(AVERAGEIFS('Participation Adjustment'!$C:$C,'Participation Adjustment'!$A:$A,$H417,'Participation Adjustment'!$B:$B,$I417),1)</f>
        <v>1681.3948230198348</v>
      </c>
      <c r="Z417" s="79">
        <f>tbl_Data_old[[#This Row],[2029 ]]*IFERROR(AVERAGEIFS('Participation Adjustment'!$C:$C,'Participation Adjustment'!$A:$A,$H417,'Participation Adjustment'!$B:$B,$I417),1)</f>
        <v>2158.0314616178002</v>
      </c>
      <c r="AA417" s="79">
        <f>tbl_Data_old[[#This Row],[2030 ]]*IFERROR(AVERAGEIFS('Participation Adjustment'!$C:$C,'Participation Adjustment'!$A:$A,$H417,'Participation Adjustment'!$B:$B,$I417),1)</f>
        <v>2648.4879392971297</v>
      </c>
      <c r="AB417" s="79">
        <f>tbl_Data_old[[#This Row],[2031 ]]*IFERROR(AVERAGEIFS('Participation Adjustment'!$C:$C,'Participation Adjustment'!$A:$A,$H417,'Participation Adjustment'!$B:$B,$I417),1)</f>
        <v>3149.2216812374199</v>
      </c>
      <c r="AC417" s="79">
        <f>tbl_Data_old[[#This Row],[2032 ]]*IFERROR(AVERAGEIFS('Participation Adjustment'!$C:$C,'Participation Adjustment'!$A:$A,$H417,'Participation Adjustment'!$B:$B,$I417),1)</f>
        <v>3658.1879523549701</v>
      </c>
      <c r="AD417" s="79">
        <f>tbl_Data_old[[#This Row],[2033 ]]*IFERROR(AVERAGEIFS('Participation Adjustment'!$C:$C,'Participation Adjustment'!$A:$A,$H417,'Participation Adjustment'!$B:$B,$I417),1)</f>
        <v>4173.9791300818897</v>
      </c>
      <c r="AE417" s="79">
        <f>tbl_Data_old[[#This Row],[2034 ]]*IFERROR(AVERAGEIFS('Participation Adjustment'!$C:$C,'Participation Adjustment'!$A:$A,$H417,'Participation Adjustment'!$B:$B,$I417),1)</f>
        <v>4694.7623476303252</v>
      </c>
      <c r="AF417" s="77" t="str">
        <f t="shared" si="165"/>
        <v>NonResidential</v>
      </c>
      <c r="AG417" s="77" t="str">
        <f>tbl_Data[[#This Row],[All_Meas_Name_Append]]</f>
        <v>LED Exterior Wall Packs</v>
      </c>
      <c r="AH417" s="77">
        <f>AVERAGEIFS('3. Incentive Adjustment'!G:G,'3. Incentive Adjustment'!A:A,tbl_Data[[#This Row],[Trimmed Sector]],'3. Incentive Adjustment'!B:B,tbl_Data[[#This Row],[Trimmed Measure Name]])</f>
        <v>0.80637708305213962</v>
      </c>
      <c r="AI417" s="77">
        <f>$AH417*tbl_Data[[#This Row],[2025 ]]</f>
        <v>303.4887278060458</v>
      </c>
      <c r="AJ417" s="77">
        <f>$AH417*tbl_Data[[#This Row],[2026 ]]</f>
        <v>634.05157523100286</v>
      </c>
      <c r="AK417" s="77">
        <f>$AH417*tbl_Data[[#This Row],[2027 ]]</f>
        <v>985.99401348098434</v>
      </c>
      <c r="AL417" s="77">
        <f>$AH417*tbl_Data[[#This Row],[2028 ]]</f>
        <v>1355.838252845703</v>
      </c>
      <c r="AM417" s="77">
        <f>$AH417*tbl_Data[[#This Row],[2029 ]]</f>
        <v>1740.1871151541072</v>
      </c>
      <c r="AN417" s="77">
        <f>$AH417*tbl_Data[[#This Row],[2030 ]]</f>
        <v>2135.6799789891916</v>
      </c>
      <c r="AO417" s="77">
        <f>$AH417*tbl_Data[[#This Row],[2031 ]]</f>
        <v>2539.4601932007859</v>
      </c>
      <c r="AP417" s="77">
        <f>$AH417*tbl_Data[[#This Row],[2032 ]]</f>
        <v>2949.8789302764803</v>
      </c>
      <c r="AQ417" s="77">
        <f>$AH417*tbl_Data[[#This Row],[2033 ]]</f>
        <v>3365.8011156359416</v>
      </c>
      <c r="AR417" s="77">
        <f>$AH417*tbl_Data[[#This Row],[2034 ]]</f>
        <v>3785.7487675051566</v>
      </c>
      <c r="AS417" s="77">
        <f>SUM(tbl_Data[[#This Row],[Adjusted 2025]:[Adjusted 2034]])</f>
        <v>19796.128670125399</v>
      </c>
      <c r="AT417" s="80">
        <f>AVERAGEIFS('3. Incentive Adjustment'!F:F,'3. Incentive Adjustment'!A:A,tbl_Data[[#This Row],[Trimmed Sector]],'3. Incentive Adjustment'!B:B,tbl_Data[[#This Row],[Trimmed Measure Name]])</f>
        <v>8.6864493556481861</v>
      </c>
      <c r="AU417" s="80">
        <f>IFERROR(VLOOKUP(tbl_Data[[#This Row],[All_Meas_Name_Append]],'IRA Tax Credits'!$A$3:$D$46,4,0),0)</f>
        <v>0</v>
      </c>
      <c r="AV417" s="81">
        <f>tbl_Data[[#This Row],[Adj. per unit Incentive ($)]]/tbl_Data[[#This Row],[kWh Savings]]*tbl_Data[[#This Row],[Sum of Annuals]]</f>
        <v>305.69236494869386</v>
      </c>
      <c r="AW417" s="81">
        <f>IFERROR(VLOOKUP(tbl_Data[[#This Row],[Column1]],'1. Set Program Names'!$B$2:$D$15,3,0)*tbl_Data[[#This Row],[Sum of Annuals]],"")</f>
        <v>626.51176347394062</v>
      </c>
      <c r="AX417" s="81">
        <f>tbl_Data[[#This Row],[per unit IRA tax ($)]]/tbl_Data[[#This Row],[kWh Savings]]*tbl_Data[[#This Row],[Sum of Annuals]]</f>
        <v>0</v>
      </c>
      <c r="AY417" s="81">
        <f>tbl_Data[[#This Row],[Avoided Costs ($/unit)]]/tbl_Data[[#This Row],[kWh Savings]]*tbl_Data[[#This Row],[Sum of Annuals]]</f>
        <v>9690.9119906703836</v>
      </c>
      <c r="AZ417" s="81">
        <f>tbl_Data[[#This Row],[Lost Revenue ($/unit)]]/tbl_Data[[#This Row],[kWh Savings]]*tbl_Data[[#This Row],[Sum of Annuals]]</f>
        <v>21500.972656691254</v>
      </c>
      <c r="BA417" s="81">
        <f>tbl_Data[[#This Row],[Incremental Cost ($/unit)]]/tbl_Data[[#This Row],[kWh Savings]]*tbl_Data[[#This Row],[Sum of Annuals]]</f>
        <v>5947.4254164317545</v>
      </c>
      <c r="BB417" s="77">
        <f>ROUNDUP(tbl_Data[[#This Row],[Adjusted 2025]]/$L417,0)</f>
        <v>1</v>
      </c>
      <c r="BC417" s="77">
        <f>ROUNDUP(tbl_Data[[#This Row],[Adjusted 2026]]/$L417,0)</f>
        <v>2</v>
      </c>
      <c r="BD417" s="77">
        <f>ROUNDUP(tbl_Data[[#This Row],[Adjusted 2027]]/$L417,0)</f>
        <v>2</v>
      </c>
      <c r="BE417" s="77">
        <f>ROUNDUP(tbl_Data[[#This Row],[Adjusted 2028]]/$L417,0)</f>
        <v>3</v>
      </c>
      <c r="BF417" s="77">
        <f>ROUNDUP(tbl_Data[[#This Row],[Adjusted 2029]]/$L417,0)</f>
        <v>4</v>
      </c>
      <c r="BG417" s="77">
        <f>ROUNDUP(tbl_Data[[#This Row],[Adjusted 2030]]/$L417,0)</f>
        <v>4</v>
      </c>
      <c r="BH417" s="77">
        <f>ROUNDUP(tbl_Data[[#This Row],[Adjusted 2031]]/$L417,0)</f>
        <v>5</v>
      </c>
      <c r="BI417" s="77">
        <f>ROUNDUP(tbl_Data[[#This Row],[Adjusted 2032]]/$L417,0)</f>
        <v>6</v>
      </c>
      <c r="BJ417" s="77">
        <f>ROUNDUP(tbl_Data[[#This Row],[Adjusted 2033]]/$L417,0)</f>
        <v>6</v>
      </c>
      <c r="BK417" s="77">
        <f>ROUNDUP(tbl_Data[[#This Row],[Adjusted 2034]]/$L417,0)</f>
        <v>7</v>
      </c>
      <c r="BL417" s="80">
        <f t="shared" si="166"/>
        <v>5.8117739259010559</v>
      </c>
      <c r="BM417" s="80">
        <f t="shared" si="167"/>
        <v>12.142014101291524</v>
      </c>
      <c r="BN417" s="80">
        <f t="shared" si="168"/>
        <v>18.881670960463143</v>
      </c>
      <c r="BO417" s="80">
        <f t="shared" si="169"/>
        <v>25.964145233966494</v>
      </c>
      <c r="BP417" s="80">
        <f t="shared" si="170"/>
        <v>33.32438135397576</v>
      </c>
      <c r="BQ417" s="80">
        <f t="shared" si="171"/>
        <v>40.898023810263695</v>
      </c>
      <c r="BR417" s="80">
        <f t="shared" si="172"/>
        <v>48.630368064740928</v>
      </c>
      <c r="BS417" s="80">
        <f t="shared" si="173"/>
        <v>56.489839261846278</v>
      </c>
      <c r="BT417" s="80">
        <f t="shared" si="174"/>
        <v>64.454700855060779</v>
      </c>
      <c r="BU417" s="80">
        <f t="shared" si="175"/>
        <v>72.496649664891521</v>
      </c>
      <c r="BV417" s="80">
        <f>IFERROR(VLOOKUP($H417,'1. Set Program Names'!$B$2:$D$15,3,0)*V417,"NA")</f>
        <v>11.911140573757059</v>
      </c>
      <c r="BW417" s="80">
        <f>IFERROR(VLOOKUP($H417,'1. Set Program Names'!$B$2:$D$15,3,0)*W417,"NA")</f>
        <v>24.884869689180348</v>
      </c>
      <c r="BX417" s="80">
        <f>IFERROR(VLOOKUP($H417,'1. Set Program Names'!$B$2:$D$15,3,0)*X417,"NA")</f>
        <v>38.697691951710631</v>
      </c>
      <c r="BY417" s="80">
        <f>IFERROR(VLOOKUP($H417,'1. Set Program Names'!$B$2:$D$15,3,0)*Y417,"NA")</f>
        <v>53.213113190955944</v>
      </c>
      <c r="BZ417" s="80">
        <f>IFERROR(VLOOKUP($H417,'1. Set Program Names'!$B$2:$D$15,3,0)*Z417,"NA")</f>
        <v>68.297803029073222</v>
      </c>
      <c r="CA417" s="80">
        <f>IFERROR(VLOOKUP($H417,'1. Set Program Names'!$B$2:$D$15,3,0)*AA417,"NA")</f>
        <v>83.819865845416174</v>
      </c>
      <c r="CB417" s="80">
        <f>IFERROR(VLOOKUP($H417,'1. Set Program Names'!$B$2:$D$15,3,0)*AB417,"NA")</f>
        <v>99.667185537136945</v>
      </c>
      <c r="CC417" s="80">
        <f>IFERROR(VLOOKUP($H417,'1. Set Program Names'!$B$2:$D$15,3,0)*AC417,"NA")</f>
        <v>115.77504992719965</v>
      </c>
      <c r="CD417" s="80">
        <f>IFERROR(VLOOKUP($H417,'1. Set Program Names'!$B$2:$D$15,3,0)*AD417,"NA")</f>
        <v>132.09891030044838</v>
      </c>
      <c r="CE417" s="80">
        <f>IFERROR(VLOOKUP($H417,'1. Set Program Names'!$B$2:$D$15,3,0)*AE417,"NA")</f>
        <v>148.58075972923552</v>
      </c>
    </row>
    <row r="418" spans="1:83" x14ac:dyDescent="0.25">
      <c r="A418" s="79" t="s">
        <v>113</v>
      </c>
      <c r="B418" s="79" t="s">
        <v>88</v>
      </c>
      <c r="C418" s="79" t="s">
        <v>122</v>
      </c>
      <c r="D418" s="79" t="s">
        <v>90</v>
      </c>
      <c r="E418" s="79" t="s">
        <v>91</v>
      </c>
      <c r="F418" s="79" t="s">
        <v>90</v>
      </c>
      <c r="G418" s="79" t="s">
        <v>92</v>
      </c>
      <c r="H418" s="79" t="s">
        <v>18</v>
      </c>
      <c r="I418" s="79" t="s">
        <v>160</v>
      </c>
      <c r="J418" s="79" t="s">
        <v>161</v>
      </c>
      <c r="K418" s="79" t="s">
        <v>159</v>
      </c>
      <c r="L418" s="79">
        <v>1059.6621428571407</v>
      </c>
      <c r="M418" s="79">
        <v>0.13879011985330975</v>
      </c>
      <c r="N418" s="79">
        <v>0.14661252282673942</v>
      </c>
      <c r="O418" s="79">
        <v>179</v>
      </c>
      <c r="P418" s="79">
        <v>5.0437849584490522</v>
      </c>
      <c r="Q418" s="79"/>
      <c r="R418" s="79">
        <v>417.01467834907817</v>
      </c>
      <c r="S418" s="79">
        <v>1150.9203207638036</v>
      </c>
      <c r="T418" s="79">
        <v>15</v>
      </c>
      <c r="U418" s="79">
        <v>0.2</v>
      </c>
      <c r="V418" s="79">
        <f>tbl_Data_old[[#This Row],[2025 ]]*IFERROR(AVERAGEIFS('Participation Adjustment'!$C:$C,'Participation Adjustment'!$A:$A,$H418,'Participation Adjustment'!$B:$B,$I418),1)</f>
        <v>33399.554904589197</v>
      </c>
      <c r="W418" s="79">
        <f>tbl_Data_old[[#This Row],[2026 ]]*IFERROR(AVERAGEIFS('Participation Adjustment'!$C:$C,'Participation Adjustment'!$A:$A,$H418,'Participation Adjustment'!$B:$B,$I418),1)</f>
        <v>69753.415961151302</v>
      </c>
      <c r="X418" s="79">
        <f>tbl_Data_old[[#This Row],[2027 ]]*IFERROR(AVERAGEIFS('Participation Adjustment'!$C:$C,'Participation Adjustment'!$A:$A,$H418,'Participation Adjustment'!$B:$B,$I418),1)</f>
        <v>108451.28835827499</v>
      </c>
      <c r="Y418" s="79">
        <f>tbl_Data_old[[#This Row],[2028 ]]*IFERROR(AVERAGEIFS('Participation Adjustment'!$C:$C,'Participation Adjustment'!$A:$A,$H418,'Participation Adjustment'!$B:$B,$I418),1)</f>
        <v>149113.06344502</v>
      </c>
      <c r="Z418" s="79">
        <f>tbl_Data_old[[#This Row],[2029 ]]*IFERROR(AVERAGEIFS('Participation Adjustment'!$C:$C,'Participation Adjustment'!$A:$A,$H418,'Participation Adjustment'!$B:$B,$I418),1)</f>
        <v>191360.388492289</v>
      </c>
      <c r="AA418" s="79">
        <f>tbl_Data_old[[#This Row],[2030 ]]*IFERROR(AVERAGEIFS('Participation Adjustment'!$C:$C,'Participation Adjustment'!$A:$A,$H418,'Participation Adjustment'!$B:$B,$I418),1)</f>
        <v>234826.54921712002</v>
      </c>
      <c r="AB418" s="79">
        <f>tbl_Data_old[[#This Row],[2031 ]]*IFERROR(AVERAGEIFS('Participation Adjustment'!$C:$C,'Participation Adjustment'!$A:$A,$H418,'Participation Adjustment'!$B:$B,$I418),1)</f>
        <v>279192.74484835903</v>
      </c>
      <c r="AC418" s="79">
        <f>tbl_Data_old[[#This Row],[2032 ]]*IFERROR(AVERAGEIFS('Participation Adjustment'!$C:$C,'Participation Adjustment'!$A:$A,$H418,'Participation Adjustment'!$B:$B,$I418),1)</f>
        <v>324274.54196175496</v>
      </c>
      <c r="AD418" s="79">
        <f>tbl_Data_old[[#This Row],[2033 ]]*IFERROR(AVERAGEIFS('Participation Adjustment'!$C:$C,'Participation Adjustment'!$A:$A,$H418,'Participation Adjustment'!$B:$B,$I418),1)</f>
        <v>369953.90174314601</v>
      </c>
      <c r="AE418" s="79">
        <f>tbl_Data_old[[#This Row],[2034 ]]*IFERROR(AVERAGEIFS('Participation Adjustment'!$C:$C,'Participation Adjustment'!$A:$A,$H418,'Participation Adjustment'!$B:$B,$I418),1)</f>
        <v>416064.901894929</v>
      </c>
      <c r="AF418" s="77" t="str">
        <f t="shared" ref="AF418:AF449" si="176">IF(C418="Residential","Residential","NonResidential")</f>
        <v>NonResidential</v>
      </c>
      <c r="AG418" s="77" t="str">
        <f>tbl_Data[[#This Row],[All_Meas_Name_Append]]</f>
        <v>LED High Bay_HID Baseline</v>
      </c>
      <c r="AH418" s="77">
        <f>AVERAGEIFS('3. Incentive Adjustment'!G:G,'3. Incentive Adjustment'!A:A,tbl_Data[[#This Row],[Trimmed Sector]],'3. Incentive Adjustment'!B:B,tbl_Data[[#This Row],[Trimmed Measure Name]])</f>
        <v>1.0603846876879557</v>
      </c>
      <c r="AI418" s="77">
        <f>$AH418*tbl_Data[[#This Row],[2025 ]]</f>
        <v>35416.376596419541</v>
      </c>
      <c r="AJ418" s="77">
        <f>$AH418*tbl_Data[[#This Row],[2026 ]]</f>
        <v>73965.454199133485</v>
      </c>
      <c r="AK418" s="77">
        <f>$AH418*tbl_Data[[#This Row],[2027 ]]</f>
        <v>115000.08553514586</v>
      </c>
      <c r="AL418" s="77">
        <f>$AH418*tbl_Data[[#This Row],[2028 ]]</f>
        <v>158117.20921134186</v>
      </c>
      <c r="AM418" s="77">
        <f>$AH418*tbl_Data[[#This Row],[2029 ]]</f>
        <v>202915.62578724173</v>
      </c>
      <c r="AN418" s="77">
        <f>$AH418*tbl_Data[[#This Row],[2030 ]]</f>
        <v>249006.47705243615</v>
      </c>
      <c r="AO418" s="77">
        <f>$AH418*tbl_Data[[#This Row],[2031 ]]</f>
        <v>296051.71155077027</v>
      </c>
      <c r="AP418" s="77">
        <f>$AH418*tbl_Data[[#This Row],[2032 ]]</f>
        <v>343855.75890327041</v>
      </c>
      <c r="AQ418" s="77">
        <f>$AH418*tbl_Data[[#This Row],[2033 ]]</f>
        <v>392293.4525588465</v>
      </c>
      <c r="AR418" s="77">
        <f>$AH418*tbl_Data[[#This Row],[2034 ]]</f>
        <v>441188.85105377424</v>
      </c>
      <c r="AS418" s="77">
        <f>SUM(tbl_Data[[#This Row],[Adjusted 2025]:[Adjusted 2034]])</f>
        <v>2307811.00244838</v>
      </c>
      <c r="AT418" s="80">
        <f>AVERAGEIFS('3. Incentive Adjustment'!F:F,'3. Incentive Adjustment'!A:A,tbl_Data[[#This Row],[Trimmed Sector]],'3. Incentive Adjustment'!B:B,tbl_Data[[#This Row],[Trimmed Measure Name]])</f>
        <v>28.590998621954778</v>
      </c>
      <c r="AU418" s="80">
        <f>IFERROR(VLOOKUP(tbl_Data[[#This Row],[All_Meas_Name_Append]],'IRA Tax Credits'!$A$3:$D$46,4,0),0)</f>
        <v>0</v>
      </c>
      <c r="AV418" s="81">
        <f>tbl_Data[[#This Row],[Adj. per unit Incentive ($)]]/tbl_Data[[#This Row],[kWh Savings]]*tbl_Data[[#This Row],[Sum of Annuals]]</f>
        <v>62267.602589657879</v>
      </c>
      <c r="AW418" s="81">
        <f>IFERROR(VLOOKUP(tbl_Data[[#This Row],[Column1]],'1. Set Program Names'!$B$2:$D$15,3,0)*tbl_Data[[#This Row],[Sum of Annuals]],"")</f>
        <v>73038.055318890707</v>
      </c>
      <c r="AX418" s="81">
        <f>tbl_Data[[#This Row],[per unit IRA tax ($)]]/tbl_Data[[#This Row],[kWh Savings]]*tbl_Data[[#This Row],[Sum of Annuals]]</f>
        <v>0</v>
      </c>
      <c r="AY418" s="81">
        <f>tbl_Data[[#This Row],[Avoided Costs ($/unit)]]/tbl_Data[[#This Row],[kWh Savings]]*tbl_Data[[#This Row],[Sum of Annuals]]</f>
        <v>908205.57227948494</v>
      </c>
      <c r="AZ418" s="81">
        <f>tbl_Data[[#This Row],[Lost Revenue ($/unit)]]/tbl_Data[[#This Row],[kWh Savings]]*tbl_Data[[#This Row],[Sum of Annuals]]</f>
        <v>2506559.8474986851</v>
      </c>
      <c r="BA418" s="81">
        <f>tbl_Data[[#This Row],[Incremental Cost ($/unit)]]/tbl_Data[[#This Row],[kWh Savings]]*tbl_Data[[#This Row],[Sum of Annuals]]</f>
        <v>389839.50896314339</v>
      </c>
      <c r="BB418" s="77">
        <f>ROUNDUP(tbl_Data[[#This Row],[Adjusted 2025]]/$L418,0)</f>
        <v>34</v>
      </c>
      <c r="BC418" s="77">
        <f>ROUNDUP(tbl_Data[[#This Row],[Adjusted 2026]]/$L418,0)</f>
        <v>70</v>
      </c>
      <c r="BD418" s="77">
        <f>ROUNDUP(tbl_Data[[#This Row],[Adjusted 2027]]/$L418,0)</f>
        <v>109</v>
      </c>
      <c r="BE418" s="77">
        <f>ROUNDUP(tbl_Data[[#This Row],[Adjusted 2028]]/$L418,0)</f>
        <v>150</v>
      </c>
      <c r="BF418" s="77">
        <f>ROUNDUP(tbl_Data[[#This Row],[Adjusted 2029]]/$L418,0)</f>
        <v>192</v>
      </c>
      <c r="BG418" s="77">
        <f>ROUNDUP(tbl_Data[[#This Row],[Adjusted 2030]]/$L418,0)</f>
        <v>235</v>
      </c>
      <c r="BH418" s="77">
        <f>ROUNDUP(tbl_Data[[#This Row],[Adjusted 2031]]/$L418,0)</f>
        <v>280</v>
      </c>
      <c r="BI418" s="77">
        <f>ROUNDUP(tbl_Data[[#This Row],[Adjusted 2032]]/$L418,0)</f>
        <v>325</v>
      </c>
      <c r="BJ418" s="77">
        <f>ROUNDUP(tbl_Data[[#This Row],[Adjusted 2033]]/$L418,0)</f>
        <v>371</v>
      </c>
      <c r="BK418" s="77">
        <f>ROUNDUP(tbl_Data[[#This Row],[Adjusted 2034]]/$L418,0)</f>
        <v>417</v>
      </c>
      <c r="BL418" s="80">
        <f t="shared" ref="BL418:BL449" si="177">$AT418/$L418*V418</f>
        <v>901.16140761268286</v>
      </c>
      <c r="BM418" s="80">
        <f t="shared" ref="BM418:BM449" si="178">$AT418/$L418*W418</f>
        <v>1882.0336586194167</v>
      </c>
      <c r="BN418" s="80">
        <f t="shared" ref="BN418:BN449" si="179">$AT418/$L418*X418</f>
        <v>2926.1502422274311</v>
      </c>
      <c r="BO418" s="80">
        <f t="shared" ref="BO418:BO449" si="180">$AT418/$L418*Y418</f>
        <v>4023.2553556900843</v>
      </c>
      <c r="BP418" s="80">
        <f t="shared" ref="BP418:BP449" si="181">$AT418/$L418*Z418</f>
        <v>5163.1405732094454</v>
      </c>
      <c r="BQ418" s="80">
        <f t="shared" ref="BQ418:BQ449" si="182">$AT418/$L418*AA418</f>
        <v>6335.9114886962789</v>
      </c>
      <c r="BR418" s="80">
        <f t="shared" ref="BR418:BR449" si="183">$AT418/$L418*AB418</f>
        <v>7532.9664620238864</v>
      </c>
      <c r="BS418" s="80">
        <f t="shared" ref="BS418:BS449" si="184">$AT418/$L418*AC418</f>
        <v>8749.3292507038987</v>
      </c>
      <c r="BT418" s="80">
        <f t="shared" ref="BT418:BT449" si="185">$AT418/$L418*AD418</f>
        <v>9981.8150211591328</v>
      </c>
      <c r="BU418" s="80">
        <f t="shared" ref="BU418:BU449" si="186">$AT418/$L418*AE418</f>
        <v>11225.946984052442</v>
      </c>
      <c r="BV418" s="80">
        <f>IFERROR(VLOOKUP($H418,'1. Set Program Names'!$B$2:$D$15,3,0)*V418,"NA")</f>
        <v>1057.0356654681377</v>
      </c>
      <c r="BW418" s="80">
        <f>IFERROR(VLOOKUP($H418,'1. Set Program Names'!$B$2:$D$15,3,0)*W418,"NA")</f>
        <v>2207.5697915675041</v>
      </c>
      <c r="BX418" s="80">
        <f>IFERROR(VLOOKUP($H418,'1. Set Program Names'!$B$2:$D$15,3,0)*X418,"NA")</f>
        <v>3432.2876483876335</v>
      </c>
      <c r="BY418" s="80">
        <f>IFERROR(VLOOKUP($H418,'1. Set Program Names'!$B$2:$D$15,3,0)*Y418,"NA")</f>
        <v>4719.1594827792815</v>
      </c>
      <c r="BZ418" s="80">
        <f>IFERROR(VLOOKUP($H418,'1. Set Program Names'!$B$2:$D$15,3,0)*Z418,"NA")</f>
        <v>6056.2111133521403</v>
      </c>
      <c r="CA418" s="80">
        <f>IFERROR(VLOOKUP($H418,'1. Set Program Names'!$B$2:$D$15,3,0)*AA418,"NA")</f>
        <v>7431.8366945422586</v>
      </c>
      <c r="CB418" s="80">
        <f>IFERROR(VLOOKUP($H418,'1. Set Program Names'!$B$2:$D$15,3,0)*AB418,"NA")</f>
        <v>8835.9467570063716</v>
      </c>
      <c r="CC418" s="80">
        <f>IFERROR(VLOOKUP($H418,'1. Set Program Names'!$B$2:$D$15,3,0)*AC418,"NA")</f>
        <v>10262.704315554267</v>
      </c>
      <c r="CD418" s="80">
        <f>IFERROR(VLOOKUP($H418,'1. Set Program Names'!$B$2:$D$15,3,0)*AD418,"NA")</f>
        <v>11708.37365464018</v>
      </c>
      <c r="CE418" s="80">
        <f>IFERROR(VLOOKUP($H418,'1. Set Program Names'!$B$2:$D$15,3,0)*AE418,"NA")</f>
        <v>13167.703632841303</v>
      </c>
    </row>
    <row r="419" spans="1:83" x14ac:dyDescent="0.25">
      <c r="A419" s="79" t="s">
        <v>113</v>
      </c>
      <c r="B419" s="79" t="s">
        <v>88</v>
      </c>
      <c r="C419" s="79" t="s">
        <v>122</v>
      </c>
      <c r="D419" s="79" t="s">
        <v>90</v>
      </c>
      <c r="E419" s="79" t="s">
        <v>91</v>
      </c>
      <c r="F419" s="79" t="s">
        <v>90</v>
      </c>
      <c r="G419" s="79" t="s">
        <v>92</v>
      </c>
      <c r="H419" s="79" t="s">
        <v>18</v>
      </c>
      <c r="I419" s="79" t="s">
        <v>162</v>
      </c>
      <c r="J419" s="79" t="s">
        <v>161</v>
      </c>
      <c r="K419" s="79" t="s">
        <v>159</v>
      </c>
      <c r="L419" s="79">
        <v>632.51142857142861</v>
      </c>
      <c r="M419" s="79">
        <v>7.5636667797052567E-2</v>
      </c>
      <c r="N419" s="79">
        <v>7.2066360150851286E-2</v>
      </c>
      <c r="O419" s="79">
        <v>179</v>
      </c>
      <c r="P419" s="79">
        <v>51.895440493260928</v>
      </c>
      <c r="Q419" s="79"/>
      <c r="R419" s="79">
        <v>248.91572427603518</v>
      </c>
      <c r="S419" s="79">
        <v>686.98335706831222</v>
      </c>
      <c r="T419" s="79">
        <v>15</v>
      </c>
      <c r="U419" s="79">
        <v>0.2</v>
      </c>
      <c r="V419" s="79">
        <f>tbl_Data_old[[#This Row],[2025 ]]*IFERROR(AVERAGEIFS('Participation Adjustment'!$C:$C,'Participation Adjustment'!$A:$A,$H419,'Participation Adjustment'!$B:$B,$I419),1)</f>
        <v>97572.75772762399</v>
      </c>
      <c r="W419" s="79">
        <f>tbl_Data_old[[#This Row],[2026 ]]*IFERROR(AVERAGEIFS('Participation Adjustment'!$C:$C,'Participation Adjustment'!$A:$A,$H419,'Participation Adjustment'!$B:$B,$I419),1)</f>
        <v>203776.16335588999</v>
      </c>
      <c r="X419" s="79">
        <f>tbl_Data_old[[#This Row],[2027 ]]*IFERROR(AVERAGEIFS('Participation Adjustment'!$C:$C,'Participation Adjustment'!$A:$A,$H419,'Participation Adjustment'!$B:$B,$I419),1)</f>
        <v>316827.31444953196</v>
      </c>
      <c r="Y419" s="79">
        <f>tbl_Data_old[[#This Row],[2028 ]]*IFERROR(AVERAGEIFS('Participation Adjustment'!$C:$C,'Participation Adjustment'!$A:$A,$H419,'Participation Adjustment'!$B:$B,$I419),1)</f>
        <v>435615.76958457194</v>
      </c>
      <c r="Z419" s="79">
        <f>tbl_Data_old[[#This Row],[2029 ]]*IFERROR(AVERAGEIFS('Participation Adjustment'!$C:$C,'Participation Adjustment'!$A:$A,$H419,'Participation Adjustment'!$B:$B,$I419),1)</f>
        <v>559036.21705020603</v>
      </c>
      <c r="AA419" s="79">
        <f>tbl_Data_old[[#This Row],[2030 ]]*IFERROR(AVERAGEIFS('Participation Adjustment'!$C:$C,'Participation Adjustment'!$A:$A,$H419,'Participation Adjustment'!$B:$B,$I419),1)</f>
        <v>686017.34544755297</v>
      </c>
      <c r="AB419" s="79">
        <f>tbl_Data_old[[#This Row],[2031 ]]*IFERROR(AVERAGEIFS('Participation Adjustment'!$C:$C,'Participation Adjustment'!$A:$A,$H419,'Participation Adjustment'!$B:$B,$I419),1)</f>
        <v>815627.81690411794</v>
      </c>
      <c r="AC419" s="79">
        <f>tbl_Data_old[[#This Row],[2032 ]]*IFERROR(AVERAGEIFS('Participation Adjustment'!$C:$C,'Participation Adjustment'!$A:$A,$H419,'Participation Adjustment'!$B:$B,$I419),1)</f>
        <v>947328.83149059792</v>
      </c>
      <c r="AD419" s="79">
        <f>tbl_Data_old[[#This Row],[2033 ]]*IFERROR(AVERAGEIFS('Participation Adjustment'!$C:$C,'Participation Adjustment'!$A:$A,$H419,'Participation Adjustment'!$B:$B,$I419),1)</f>
        <v>1080775.5530961601</v>
      </c>
      <c r="AE419" s="79">
        <f>tbl_Data_old[[#This Row],[2034 ]]*IFERROR(AVERAGEIFS('Participation Adjustment'!$C:$C,'Participation Adjustment'!$A:$A,$H419,'Participation Adjustment'!$B:$B,$I419),1)</f>
        <v>1215483.25980785</v>
      </c>
      <c r="AF419" s="77" t="str">
        <f t="shared" si="176"/>
        <v>NonResidential</v>
      </c>
      <c r="AG419" s="77" t="str">
        <f>tbl_Data[[#This Row],[All_Meas_Name_Append]]</f>
        <v>LED High Bay_LF Baseline</v>
      </c>
      <c r="AH419" s="77">
        <f>AVERAGEIFS('3. Incentive Adjustment'!G:G,'3. Incentive Adjustment'!A:A,tbl_Data[[#This Row],[Trimmed Sector]],'3. Incentive Adjustment'!B:B,tbl_Data[[#This Row],[Trimmed Measure Name]])</f>
        <v>0.93017466414143679</v>
      </c>
      <c r="AI419" s="77">
        <f>$AH419*tbl_Data[[#This Row],[2025 ]]</f>
        <v>90759.707148646427</v>
      </c>
      <c r="AJ419" s="77">
        <f>$AH419*tbl_Data[[#This Row],[2026 ]]</f>
        <v>189547.42430959555</v>
      </c>
      <c r="AK419" s="77">
        <f>$AH419*tbl_Data[[#This Row],[2027 ]]</f>
        <v>294704.74080892676</v>
      </c>
      <c r="AL419" s="77">
        <f>$AH419*tbl_Data[[#This Row],[2028 ]]</f>
        <v>405198.7521680427</v>
      </c>
      <c r="AM419" s="77">
        <f>$AH419*tbl_Data[[#This Row],[2029 ]]</f>
        <v>520001.32543757476</v>
      </c>
      <c r="AN419" s="77">
        <f>$AH419*tbl_Data[[#This Row],[2030 ]]</f>
        <v>638115.95389687759</v>
      </c>
      <c r="AO419" s="77">
        <f>$AH419*tbl_Data[[#This Row],[2031 ]]</f>
        <v>758676.33065320121</v>
      </c>
      <c r="AP419" s="77">
        <f>$AH419*tbl_Data[[#This Row],[2032 ]]</f>
        <v>881181.27766326664</v>
      </c>
      <c r="AQ419" s="77">
        <f>$AH419*tbl_Data[[#This Row],[2033 ]]</f>
        <v>1005310.0371134962</v>
      </c>
      <c r="AR419" s="77">
        <f>$AH419*tbl_Data[[#This Row],[2034 ]]</f>
        <v>1130611.7329613056</v>
      </c>
      <c r="AS419" s="77">
        <f>SUM(tbl_Data[[#This Row],[Adjusted 2025]:[Adjusted 2034]])</f>
        <v>5914107.2821609331</v>
      </c>
      <c r="AT419" s="80">
        <f>AVERAGEIFS('3. Incentive Adjustment'!F:F,'3. Incentive Adjustment'!A:A,tbl_Data[[#This Row],[Trimmed Sector]],'3. Incentive Adjustment'!B:B,tbl_Data[[#This Row],[Trimmed Measure Name]])</f>
        <v>23.858858929800434</v>
      </c>
      <c r="AU419" s="80">
        <f>IFERROR(VLOOKUP(tbl_Data[[#This Row],[All_Meas_Name_Append]],'IRA Tax Credits'!$A$3:$D$46,4,0),0)</f>
        <v>0</v>
      </c>
      <c r="AV419" s="81">
        <f>tbl_Data[[#This Row],[Adj. per unit Incentive ($)]]/tbl_Data[[#This Row],[kWh Savings]]*tbl_Data[[#This Row],[Sum of Annuals]]</f>
        <v>223085.06212998566</v>
      </c>
      <c r="AW419" s="81">
        <f>IFERROR(VLOOKUP(tbl_Data[[#This Row],[Column1]],'1. Set Program Names'!$B$2:$D$15,3,0)*tbl_Data[[#This Row],[Sum of Annuals]],"")</f>
        <v>187170.82741093586</v>
      </c>
      <c r="AX419" s="81">
        <f>tbl_Data[[#This Row],[per unit IRA tax ($)]]/tbl_Data[[#This Row],[kWh Savings]]*tbl_Data[[#This Row],[Sum of Annuals]]</f>
        <v>0</v>
      </c>
      <c r="AY419" s="81">
        <f>tbl_Data[[#This Row],[Avoided Costs ($/unit)]]/tbl_Data[[#This Row],[kWh Savings]]*tbl_Data[[#This Row],[Sum of Annuals]]</f>
        <v>2327411.381182686</v>
      </c>
      <c r="AZ419" s="81">
        <f>tbl_Data[[#This Row],[Lost Revenue ($/unit)]]/tbl_Data[[#This Row],[kWh Savings]]*tbl_Data[[#This Row],[Sum of Annuals]]</f>
        <v>6423430.615218129</v>
      </c>
      <c r="BA419" s="81">
        <f>tbl_Data[[#This Row],[Incremental Cost ($/unit)]]/tbl_Data[[#This Row],[kWh Savings]]*tbl_Data[[#This Row],[Sum of Annuals]]</f>
        <v>1673685.4951345089</v>
      </c>
      <c r="BB419" s="77">
        <f>ROUNDUP(tbl_Data[[#This Row],[Adjusted 2025]]/$L419,0)</f>
        <v>144</v>
      </c>
      <c r="BC419" s="77">
        <f>ROUNDUP(tbl_Data[[#This Row],[Adjusted 2026]]/$L419,0)</f>
        <v>300</v>
      </c>
      <c r="BD419" s="77">
        <f>ROUNDUP(tbl_Data[[#This Row],[Adjusted 2027]]/$L419,0)</f>
        <v>466</v>
      </c>
      <c r="BE419" s="77">
        <f>ROUNDUP(tbl_Data[[#This Row],[Adjusted 2028]]/$L419,0)</f>
        <v>641</v>
      </c>
      <c r="BF419" s="77">
        <f>ROUNDUP(tbl_Data[[#This Row],[Adjusted 2029]]/$L419,0)</f>
        <v>823</v>
      </c>
      <c r="BG419" s="77">
        <f>ROUNDUP(tbl_Data[[#This Row],[Adjusted 2030]]/$L419,0)</f>
        <v>1009</v>
      </c>
      <c r="BH419" s="77">
        <f>ROUNDUP(tbl_Data[[#This Row],[Adjusted 2031]]/$L419,0)</f>
        <v>1200</v>
      </c>
      <c r="BI419" s="77">
        <f>ROUNDUP(tbl_Data[[#This Row],[Adjusted 2032]]/$L419,0)</f>
        <v>1394</v>
      </c>
      <c r="BJ419" s="77">
        <f>ROUNDUP(tbl_Data[[#This Row],[Adjusted 2033]]/$L419,0)</f>
        <v>1590</v>
      </c>
      <c r="BK419" s="77">
        <f>ROUNDUP(tbl_Data[[#This Row],[Adjusted 2034]]/$L419,0)</f>
        <v>1788</v>
      </c>
      <c r="BL419" s="80">
        <f t="shared" si="177"/>
        <v>3680.5258480038369</v>
      </c>
      <c r="BM419" s="80">
        <f t="shared" si="178"/>
        <v>7686.6069372770298</v>
      </c>
      <c r="BN419" s="80">
        <f t="shared" si="179"/>
        <v>11950.990700091774</v>
      </c>
      <c r="BO419" s="80">
        <f t="shared" si="180"/>
        <v>16431.790359248902</v>
      </c>
      <c r="BP419" s="80">
        <f t="shared" si="181"/>
        <v>21087.312634611033</v>
      </c>
      <c r="BQ419" s="80">
        <f t="shared" si="182"/>
        <v>25877.146766180475</v>
      </c>
      <c r="BR419" s="80">
        <f t="shared" si="183"/>
        <v>30766.161912185689</v>
      </c>
      <c r="BS419" s="80">
        <f t="shared" si="184"/>
        <v>35734.034089653491</v>
      </c>
      <c r="BT419" s="80">
        <f t="shared" si="185"/>
        <v>40767.75579271029</v>
      </c>
      <c r="BU419" s="80">
        <f t="shared" si="186"/>
        <v>45849.042906288814</v>
      </c>
      <c r="BV419" s="80">
        <f>IFERROR(VLOOKUP($H419,'1. Set Program Names'!$B$2:$D$15,3,0)*V419,"NA")</f>
        <v>3088.0017769940087</v>
      </c>
      <c r="BW419" s="80">
        <f>IFERROR(VLOOKUP($H419,'1. Set Program Names'!$B$2:$D$15,3,0)*W419,"NA")</f>
        <v>6449.1479917847855</v>
      </c>
      <c r="BX419" s="80">
        <f>IFERROR(VLOOKUP($H419,'1. Set Program Names'!$B$2:$D$15,3,0)*X419,"NA")</f>
        <v>10027.012998356693</v>
      </c>
      <c r="BY419" s="80">
        <f>IFERROR(VLOOKUP($H419,'1. Set Program Names'!$B$2:$D$15,3,0)*Y419,"NA")</f>
        <v>13786.453328693138</v>
      </c>
      <c r="BZ419" s="80">
        <f>IFERROR(VLOOKUP($H419,'1. Set Program Names'!$B$2:$D$15,3,0)*Z419,"NA")</f>
        <v>17692.48786094633</v>
      </c>
      <c r="CA419" s="80">
        <f>IFERROR(VLOOKUP($H419,'1. Set Program Names'!$B$2:$D$15,3,0)*AA419,"NA")</f>
        <v>21711.211521809906</v>
      </c>
      <c r="CB419" s="80">
        <f>IFERROR(VLOOKUP($H419,'1. Set Program Names'!$B$2:$D$15,3,0)*AB419,"NA")</f>
        <v>25813.149147598582</v>
      </c>
      <c r="CC419" s="80">
        <f>IFERROR(VLOOKUP($H419,'1. Set Program Names'!$B$2:$D$15,3,0)*AC419,"NA")</f>
        <v>29981.248692455709</v>
      </c>
      <c r="CD419" s="80">
        <f>IFERROR(VLOOKUP($H419,'1. Set Program Names'!$B$2:$D$15,3,0)*AD419,"NA")</f>
        <v>34204.596715500615</v>
      </c>
      <c r="CE419" s="80">
        <f>IFERROR(VLOOKUP($H419,'1. Set Program Names'!$B$2:$D$15,3,0)*AE419,"NA")</f>
        <v>38467.852642546306</v>
      </c>
    </row>
    <row r="420" spans="1:83" x14ac:dyDescent="0.25">
      <c r="A420" s="79" t="s">
        <v>113</v>
      </c>
      <c r="B420" s="79" t="s">
        <v>88</v>
      </c>
      <c r="C420" s="79" t="s">
        <v>122</v>
      </c>
      <c r="D420" s="79" t="s">
        <v>90</v>
      </c>
      <c r="E420" s="79" t="s">
        <v>91</v>
      </c>
      <c r="F420" s="79" t="s">
        <v>90</v>
      </c>
      <c r="G420" s="79" t="s">
        <v>92</v>
      </c>
      <c r="H420" s="79" t="s">
        <v>18</v>
      </c>
      <c r="I420" s="79" t="s">
        <v>163</v>
      </c>
      <c r="J420" s="79" t="s">
        <v>161</v>
      </c>
      <c r="K420" s="79" t="s">
        <v>159</v>
      </c>
      <c r="L420" s="79">
        <v>217.06142857142831</v>
      </c>
      <c r="M420" s="79">
        <v>3.4743730880075478E-2</v>
      </c>
      <c r="N420" s="79">
        <v>3.4497784431073229E-2</v>
      </c>
      <c r="O420" s="79">
        <v>109.07999999999996</v>
      </c>
      <c r="P420" s="79">
        <v>64.428955263702662</v>
      </c>
      <c r="Q420" s="79"/>
      <c r="R420" s="79">
        <v>85.561030664747506</v>
      </c>
      <c r="S420" s="79">
        <v>235.75477399173039</v>
      </c>
      <c r="T420" s="79">
        <v>15</v>
      </c>
      <c r="U420" s="79">
        <v>0.2</v>
      </c>
      <c r="V420" s="79">
        <f>tbl_Data_old[[#This Row],[2025 ]]*IFERROR(AVERAGEIFS('Participation Adjustment'!$C:$C,'Participation Adjustment'!$A:$A,$H420,'Participation Adjustment'!$B:$B,$I420),1)</f>
        <v>381417.18082478998</v>
      </c>
      <c r="W420" s="79">
        <f>tbl_Data_old[[#This Row],[2026 ]]*IFERROR(AVERAGEIFS('Participation Adjustment'!$C:$C,'Participation Adjustment'!$A:$A,$H420,'Participation Adjustment'!$B:$B,$I420),1)</f>
        <v>782399.54453808896</v>
      </c>
      <c r="X420" s="79">
        <f>tbl_Data_old[[#This Row],[2027 ]]*IFERROR(AVERAGEIFS('Participation Adjustment'!$C:$C,'Participation Adjustment'!$A:$A,$H420,'Participation Adjustment'!$B:$B,$I420),1)</f>
        <v>1193918.667287376</v>
      </c>
      <c r="Y420" s="79">
        <f>tbl_Data_old[[#This Row],[2028 ]]*IFERROR(AVERAGEIFS('Participation Adjustment'!$C:$C,'Participation Adjustment'!$A:$A,$H420,'Participation Adjustment'!$B:$B,$I420),1)</f>
        <v>1611891.5191471502</v>
      </c>
      <c r="Z420" s="79">
        <f>tbl_Data_old[[#This Row],[2029 ]]*IFERROR(AVERAGEIFS('Participation Adjustment'!$C:$C,'Participation Adjustment'!$A:$A,$H420,'Participation Adjustment'!$B:$B,$I420),1)</f>
        <v>2033493.1884295321</v>
      </c>
      <c r="AA420" s="79">
        <f>tbl_Data_old[[#This Row],[2030 ]]*IFERROR(AVERAGEIFS('Participation Adjustment'!$C:$C,'Participation Adjustment'!$A:$A,$H420,'Participation Adjustment'!$B:$B,$I420),1)</f>
        <v>2455560.813922368</v>
      </c>
      <c r="AB420" s="79">
        <f>tbl_Data_old[[#This Row],[2031 ]]*IFERROR(AVERAGEIFS('Participation Adjustment'!$C:$C,'Participation Adjustment'!$A:$A,$H420,'Participation Adjustment'!$B:$B,$I420),1)</f>
        <v>2876391.9891578043</v>
      </c>
      <c r="AC420" s="79">
        <f>tbl_Data_old[[#This Row],[2032 ]]*IFERROR(AVERAGEIFS('Participation Adjustment'!$C:$C,'Participation Adjustment'!$A:$A,$H420,'Participation Adjustment'!$B:$B,$I420),1)</f>
        <v>3295486.1199310799</v>
      </c>
      <c r="AD420" s="79">
        <f>tbl_Data_old[[#This Row],[2033 ]]*IFERROR(AVERAGEIFS('Participation Adjustment'!$C:$C,'Participation Adjustment'!$A:$A,$H420,'Participation Adjustment'!$B:$B,$I420),1)</f>
        <v>3712020.1466127899</v>
      </c>
      <c r="AE420" s="79">
        <f>tbl_Data_old[[#This Row],[2034 ]]*IFERROR(AVERAGEIFS('Participation Adjustment'!$C:$C,'Participation Adjustment'!$A:$A,$H420,'Participation Adjustment'!$B:$B,$I420),1)</f>
        <v>4125688.9772477099</v>
      </c>
      <c r="AF420" s="77" t="str">
        <f t="shared" si="176"/>
        <v>NonResidential</v>
      </c>
      <c r="AG420" s="77" t="str">
        <f>tbl_Data[[#This Row],[All_Meas_Name_Append]]</f>
        <v>LED Linear - Fixture Replacement</v>
      </c>
      <c r="AH420" s="77">
        <f>AVERAGEIFS('3. Incentive Adjustment'!G:G,'3. Incentive Adjustment'!A:A,tbl_Data[[#This Row],[Trimmed Sector]],'3. Incentive Adjustment'!B:B,tbl_Data[[#This Row],[Trimmed Measure Name]])</f>
        <v>0.56055357916158088</v>
      </c>
      <c r="AI420" s="77">
        <f>$AH420*tbl_Data[[#This Row],[2025 ]]</f>
        <v>213804.76586505593</v>
      </c>
      <c r="AJ420" s="77">
        <f>$AH420*tbl_Data[[#This Row],[2026 ]]</f>
        <v>438576.86502521648</v>
      </c>
      <c r="AK420" s="77">
        <f>$AH420*tbl_Data[[#This Row],[2027 ]]</f>
        <v>669255.38217576325</v>
      </c>
      <c r="AL420" s="77">
        <f>$AH420*tbl_Data[[#This Row],[2028 ]]</f>
        <v>903551.56027813291</v>
      </c>
      <c r="AM420" s="77">
        <f>$AH420*tbl_Data[[#This Row],[2029 ]]</f>
        <v>1139881.8849748692</v>
      </c>
      <c r="AN420" s="77">
        <f>$AH420*tbl_Data[[#This Row],[2030 ]]</f>
        <v>1376473.403093108</v>
      </c>
      <c r="AO420" s="77">
        <f>$AH420*tbl_Data[[#This Row],[2031 ]]</f>
        <v>1612371.8245941063</v>
      </c>
      <c r="AP420" s="77">
        <f>$AH420*tbl_Data[[#This Row],[2032 ]]</f>
        <v>1847296.5396046776</v>
      </c>
      <c r="AQ420" s="77">
        <f>$AH420*tbl_Data[[#This Row],[2033 ]]</f>
        <v>2080786.1791036956</v>
      </c>
      <c r="AR420" s="77">
        <f>$AH420*tbl_Data[[#This Row],[2034 ]]</f>
        <v>2312669.722703686</v>
      </c>
      <c r="AS420" s="77">
        <f>SUM(tbl_Data[[#This Row],[Adjusted 2025]:[Adjusted 2034]])</f>
        <v>12594668.127418311</v>
      </c>
      <c r="AT420" s="80">
        <f>AVERAGEIFS('3. Incentive Adjustment'!F:F,'3. Incentive Adjustment'!A:A,tbl_Data[[#This Row],[Trimmed Sector]],'3. Incentive Adjustment'!B:B,tbl_Data[[#This Row],[Trimmed Measure Name]])</f>
        <v>16.810726621008875</v>
      </c>
      <c r="AU420" s="80">
        <f>IFERROR(VLOOKUP(tbl_Data[[#This Row],[All_Meas_Name_Append]],'IRA Tax Credits'!$A$3:$D$46,4,0),0)</f>
        <v>0</v>
      </c>
      <c r="AV420" s="81">
        <f>tbl_Data[[#This Row],[Adj. per unit Incentive ($)]]/tbl_Data[[#This Row],[kWh Savings]]*tbl_Data[[#This Row],[Sum of Annuals]]</f>
        <v>975417.53118376154</v>
      </c>
      <c r="AW420" s="81">
        <f>IFERROR(VLOOKUP(tbl_Data[[#This Row],[Column1]],'1. Set Program Names'!$B$2:$D$15,3,0)*tbl_Data[[#This Row],[Sum of Annuals]],"")</f>
        <v>398598.52753866225</v>
      </c>
      <c r="AX420" s="81">
        <f>tbl_Data[[#This Row],[per unit IRA tax ($)]]/tbl_Data[[#This Row],[kWh Savings]]*tbl_Data[[#This Row],[Sum of Annuals]]</f>
        <v>0</v>
      </c>
      <c r="AY420" s="81">
        <f>tbl_Data[[#This Row],[Avoided Costs ($/unit)]]/tbl_Data[[#This Row],[kWh Savings]]*tbl_Data[[#This Row],[Sum of Annuals]]</f>
        <v>4964552.1682713265</v>
      </c>
      <c r="AZ420" s="81">
        <f>tbl_Data[[#This Row],[Lost Revenue ($/unit)]]/tbl_Data[[#This Row],[kWh Savings]]*tbl_Data[[#This Row],[Sum of Annuals]]</f>
        <v>13679321.828029266</v>
      </c>
      <c r="BA420" s="81">
        <f>tbl_Data[[#This Row],[Incremental Cost ($/unit)]]/tbl_Data[[#This Row],[kWh Savings]]*tbl_Data[[#This Row],[Sum of Annuals]]</f>
        <v>6329205.5543009769</v>
      </c>
      <c r="BB420" s="77">
        <f>ROUNDUP(tbl_Data[[#This Row],[Adjusted 2025]]/$L420,0)</f>
        <v>985</v>
      </c>
      <c r="BC420" s="77">
        <f>ROUNDUP(tbl_Data[[#This Row],[Adjusted 2026]]/$L420,0)</f>
        <v>2021</v>
      </c>
      <c r="BD420" s="77">
        <f>ROUNDUP(tbl_Data[[#This Row],[Adjusted 2027]]/$L420,0)</f>
        <v>3084</v>
      </c>
      <c r="BE420" s="77">
        <f>ROUNDUP(tbl_Data[[#This Row],[Adjusted 2028]]/$L420,0)</f>
        <v>4163</v>
      </c>
      <c r="BF420" s="77">
        <f>ROUNDUP(tbl_Data[[#This Row],[Adjusted 2029]]/$L420,0)</f>
        <v>5252</v>
      </c>
      <c r="BG420" s="77">
        <f>ROUNDUP(tbl_Data[[#This Row],[Adjusted 2030]]/$L420,0)</f>
        <v>6342</v>
      </c>
      <c r="BH420" s="77">
        <f>ROUNDUP(tbl_Data[[#This Row],[Adjusted 2031]]/$L420,0)</f>
        <v>7429</v>
      </c>
      <c r="BI420" s="77">
        <f>ROUNDUP(tbl_Data[[#This Row],[Adjusted 2032]]/$L420,0)</f>
        <v>8511</v>
      </c>
      <c r="BJ420" s="77">
        <f>ROUNDUP(tbl_Data[[#This Row],[Adjusted 2033]]/$L420,0)</f>
        <v>9587</v>
      </c>
      <c r="BK420" s="77">
        <f>ROUNDUP(tbl_Data[[#This Row],[Adjusted 2034]]/$L420,0)</f>
        <v>10655</v>
      </c>
      <c r="BL420" s="80">
        <f t="shared" si="177"/>
        <v>29539.563973207205</v>
      </c>
      <c r="BM420" s="80">
        <f t="shared" si="178"/>
        <v>60594.389976123814</v>
      </c>
      <c r="BN420" s="80">
        <f t="shared" si="179"/>
        <v>92465.254907703202</v>
      </c>
      <c r="BO420" s="80">
        <f t="shared" si="180"/>
        <v>124835.94091056401</v>
      </c>
      <c r="BP420" s="80">
        <f t="shared" si="181"/>
        <v>157487.66743753129</v>
      </c>
      <c r="BQ420" s="80">
        <f t="shared" si="182"/>
        <v>190175.4808110786</v>
      </c>
      <c r="BR420" s="80">
        <f t="shared" si="183"/>
        <v>222767.53499150524</v>
      </c>
      <c r="BS420" s="80">
        <f t="shared" si="184"/>
        <v>255225.06052824744</v>
      </c>
      <c r="BT420" s="80">
        <f t="shared" si="185"/>
        <v>287484.3140353256</v>
      </c>
      <c r="BU420" s="80">
        <f t="shared" si="186"/>
        <v>319521.66709802178</v>
      </c>
      <c r="BV420" s="80">
        <f>IFERROR(VLOOKUP($H420,'1. Set Program Names'!$B$2:$D$15,3,0)*V420,"NA")</f>
        <v>12071.165759718431</v>
      </c>
      <c r="BW420" s="80">
        <f>IFERROR(VLOOKUP($H420,'1. Set Program Names'!$B$2:$D$15,3,0)*W420,"NA")</f>
        <v>24761.53426551056</v>
      </c>
      <c r="BX420" s="80">
        <f>IFERROR(VLOOKUP($H420,'1. Set Program Names'!$B$2:$D$15,3,0)*X420,"NA")</f>
        <v>37785.372188224552</v>
      </c>
      <c r="BY420" s="80">
        <f>IFERROR(VLOOKUP($H420,'1. Set Program Names'!$B$2:$D$15,3,0)*Y420,"NA")</f>
        <v>51013.458995827656</v>
      </c>
      <c r="BZ420" s="80">
        <f>IFERROR(VLOOKUP($H420,'1. Set Program Names'!$B$2:$D$15,3,0)*Z420,"NA")</f>
        <v>64356.391329071019</v>
      </c>
      <c r="CA420" s="80">
        <f>IFERROR(VLOOKUP($H420,'1. Set Program Names'!$B$2:$D$15,3,0)*AA420,"NA")</f>
        <v>77714.070335867465</v>
      </c>
      <c r="CB420" s="80">
        <f>IFERROR(VLOOKUP($H420,'1. Set Program Names'!$B$2:$D$15,3,0)*AB420,"NA")</f>
        <v>91032.617922368576</v>
      </c>
      <c r="CC420" s="80">
        <f>IFERROR(VLOOKUP($H420,'1. Set Program Names'!$B$2:$D$15,3,0)*AC420,"NA")</f>
        <v>104296.19118498266</v>
      </c>
      <c r="CD420" s="80">
        <f>IFERROR(VLOOKUP($H420,'1. Set Program Names'!$B$2:$D$15,3,0)*AD420,"NA")</f>
        <v>117478.74177110221</v>
      </c>
      <c r="CE420" s="80">
        <f>IFERROR(VLOOKUP($H420,'1. Set Program Names'!$B$2:$D$15,3,0)*AE420,"NA")</f>
        <v>130570.6140706797</v>
      </c>
    </row>
    <row r="421" spans="1:83" x14ac:dyDescent="0.25">
      <c r="A421" s="79" t="s">
        <v>113</v>
      </c>
      <c r="B421" s="79" t="s">
        <v>88</v>
      </c>
      <c r="C421" s="79" t="s">
        <v>122</v>
      </c>
      <c r="D421" s="79" t="s">
        <v>90</v>
      </c>
      <c r="E421" s="79" t="s">
        <v>91</v>
      </c>
      <c r="F421" s="79" t="s">
        <v>90</v>
      </c>
      <c r="G421" s="79" t="s">
        <v>92</v>
      </c>
      <c r="H421" s="79" t="s">
        <v>18</v>
      </c>
      <c r="I421" s="79" t="s">
        <v>164</v>
      </c>
      <c r="J421" s="79" t="s">
        <v>158</v>
      </c>
      <c r="K421" s="79" t="s">
        <v>159</v>
      </c>
      <c r="L421" s="79">
        <v>612.05999999999972</v>
      </c>
      <c r="M421" s="79">
        <v>0</v>
      </c>
      <c r="N421" s="79">
        <v>3.0244631686656035E-2</v>
      </c>
      <c r="O421" s="79">
        <v>255</v>
      </c>
      <c r="P421" s="79">
        <v>129.09500333079711</v>
      </c>
      <c r="Q421" s="79"/>
      <c r="R421" s="79">
        <v>299.62522934905462</v>
      </c>
      <c r="S421" s="79">
        <v>664.77065003695441</v>
      </c>
      <c r="T421" s="79">
        <v>15</v>
      </c>
      <c r="U421" s="79">
        <v>0.2</v>
      </c>
      <c r="V421" s="79">
        <f>tbl_Data_old[[#This Row],[2025 ]]*IFERROR(AVERAGEIFS('Participation Adjustment'!$C:$C,'Participation Adjustment'!$A:$A,$H421,'Participation Adjustment'!$B:$B,$I421),1)</f>
        <v>105846.0146750706</v>
      </c>
      <c r="W421" s="79">
        <f>tbl_Data_old[[#This Row],[2026 ]]*IFERROR(AVERAGEIFS('Participation Adjustment'!$C:$C,'Participation Adjustment'!$A:$A,$H421,'Participation Adjustment'!$B:$B,$I421),1)</f>
        <v>220847.410675622</v>
      </c>
      <c r="X421" s="79">
        <f>tbl_Data_old[[#This Row],[2027 ]]*IFERROR(AVERAGEIFS('Participation Adjustment'!$C:$C,'Participation Adjustment'!$A:$A,$H421,'Participation Adjustment'!$B:$B,$I421),1)</f>
        <v>343204.56718280201</v>
      </c>
      <c r="Y421" s="79">
        <f>tbl_Data_old[[#This Row],[2028 ]]*IFERROR(AVERAGEIFS('Participation Adjustment'!$C:$C,'Participation Adjustment'!$A:$A,$H421,'Participation Adjustment'!$B:$B,$I421),1)</f>
        <v>471734.44366747601</v>
      </c>
      <c r="Z421" s="79">
        <f>tbl_Data_old[[#This Row],[2029 ]]*IFERROR(AVERAGEIFS('Participation Adjustment'!$C:$C,'Participation Adjustment'!$A:$A,$H421,'Participation Adjustment'!$B:$B,$I421),1)</f>
        <v>605201.22665041406</v>
      </c>
      <c r="AA421" s="79">
        <f>tbl_Data_old[[#This Row],[2030 ]]*IFERROR(AVERAGEIFS('Participation Adjustment'!$C:$C,'Participation Adjustment'!$A:$A,$H421,'Participation Adjustment'!$B:$B,$I421),1)</f>
        <v>742468.42081053206</v>
      </c>
      <c r="AB421" s="79">
        <f>tbl_Data_old[[#This Row],[2031 ]]*IFERROR(AVERAGEIFS('Participation Adjustment'!$C:$C,'Participation Adjustment'!$A:$A,$H421,'Participation Adjustment'!$B:$B,$I421),1)</f>
        <v>882489.47777504195</v>
      </c>
      <c r="AC421" s="79">
        <f>tbl_Data_old[[#This Row],[2032 ]]*IFERROR(AVERAGEIFS('Participation Adjustment'!$C:$C,'Participation Adjustment'!$A:$A,$H421,'Participation Adjustment'!$B:$B,$I421),1)</f>
        <v>1024655.50853226</v>
      </c>
      <c r="AD421" s="79">
        <f>tbl_Data_old[[#This Row],[2033 ]]*IFERROR(AVERAGEIFS('Participation Adjustment'!$C:$C,'Participation Adjustment'!$A:$A,$H421,'Participation Adjustment'!$B:$B,$I421),1)</f>
        <v>1168648.8319900199</v>
      </c>
      <c r="AE421" s="79">
        <f>tbl_Data_old[[#This Row],[2034 ]]*IFERROR(AVERAGEIFS('Participation Adjustment'!$C:$C,'Participation Adjustment'!$A:$A,$H421,'Participation Adjustment'!$B:$B,$I421),1)</f>
        <v>1313916.8383366261</v>
      </c>
      <c r="AF421" s="77" t="str">
        <f t="shared" si="176"/>
        <v>NonResidential</v>
      </c>
      <c r="AG421" s="77" t="str">
        <f>tbl_Data[[#This Row],[All_Meas_Name_Append]]</f>
        <v>LED Parking Lighting</v>
      </c>
      <c r="AH421" s="77">
        <f>AVERAGEIFS('3. Incentive Adjustment'!G:G,'3. Incentive Adjustment'!A:A,tbl_Data[[#This Row],[Trimmed Sector]],'3. Incentive Adjustment'!B:B,tbl_Data[[#This Row],[Trimmed Measure Name]])</f>
        <v>0.59704067730377497</v>
      </c>
      <c r="AI421" s="77">
        <f>$AH421*tbl_Data[[#This Row],[2025 ]]</f>
        <v>63194.376291509456</v>
      </c>
      <c r="AJ421" s="77">
        <f>$AH421*tbl_Data[[#This Row],[2026 ]]</f>
        <v>131854.88765055829</v>
      </c>
      <c r="AK421" s="77">
        <f>$AH421*tbl_Data[[#This Row],[2027 ]]</f>
        <v>204907.08724456906</v>
      </c>
      <c r="AL421" s="77">
        <f>$AH421*tbl_Data[[#This Row],[2028 ]]</f>
        <v>281644.65175474936</v>
      </c>
      <c r="AM421" s="77">
        <f>$AH421*tbl_Data[[#This Row],[2029 ]]</f>
        <v>361329.75026443863</v>
      </c>
      <c r="AN421" s="77">
        <f>$AH421*tbl_Data[[#This Row],[2030 ]]</f>
        <v>443283.84883738426</v>
      </c>
      <c r="AO421" s="77">
        <f>$AH421*tbl_Data[[#This Row],[2031 ]]</f>
        <v>526882.11552426568</v>
      </c>
      <c r="AP421" s="77">
        <f>$AH421*tbl_Data[[#This Row],[2032 ]]</f>
        <v>611761.01881714445</v>
      </c>
      <c r="AQ421" s="77">
        <f>$AH421*tbl_Data[[#This Row],[2033 ]]</f>
        <v>697730.89018158696</v>
      </c>
      <c r="AR421" s="77">
        <f>$AH421*tbl_Data[[#This Row],[2034 ]]</f>
        <v>784461.7990813338</v>
      </c>
      <c r="AS421" s="77">
        <f>SUM(tbl_Data[[#This Row],[Adjusted 2025]:[Adjusted 2034]])</f>
        <v>4107050.42564754</v>
      </c>
      <c r="AT421" s="80">
        <f>AVERAGEIFS('3. Incentive Adjustment'!F:F,'3. Incentive Adjustment'!A:A,tbl_Data[[#This Row],[Trimmed Sector]],'3. Incentive Adjustment'!B:B,tbl_Data[[#This Row],[Trimmed Measure Name]])</f>
        <v>9.4514474020799994</v>
      </c>
      <c r="AU421" s="80">
        <f>IFERROR(VLOOKUP(tbl_Data[[#This Row],[All_Meas_Name_Append]],'IRA Tax Credits'!$A$3:$D$46,4,0),0)</f>
        <v>0</v>
      </c>
      <c r="AV421" s="81">
        <f>tbl_Data[[#This Row],[Adj. per unit Incentive ($)]]/tbl_Data[[#This Row],[kWh Savings]]*tbl_Data[[#This Row],[Sum of Annuals]]</f>
        <v>63421.185955131878</v>
      </c>
      <c r="AW421" s="81">
        <f>IFERROR(VLOOKUP(tbl_Data[[#This Row],[Column1]],'1. Set Program Names'!$B$2:$D$15,3,0)*tbl_Data[[#This Row],[Sum of Annuals]],"")</f>
        <v>129980.73753339265</v>
      </c>
      <c r="AX421" s="81">
        <f>tbl_Data[[#This Row],[per unit IRA tax ($)]]/tbl_Data[[#This Row],[kWh Savings]]*tbl_Data[[#This Row],[Sum of Annuals]]</f>
        <v>0</v>
      </c>
      <c r="AY421" s="81">
        <f>tbl_Data[[#This Row],[Avoided Costs ($/unit)]]/tbl_Data[[#This Row],[kWh Savings]]*tbl_Data[[#This Row],[Sum of Annuals]]</f>
        <v>2010547.8641518431</v>
      </c>
      <c r="AZ421" s="81">
        <f>tbl_Data[[#This Row],[Lost Revenue ($/unit)]]/tbl_Data[[#This Row],[kWh Savings]]*tbl_Data[[#This Row],[Sum of Annuals]]</f>
        <v>4460749.8957492178</v>
      </c>
      <c r="BA421" s="81">
        <f>tbl_Data[[#This Row],[Incremental Cost ($/unit)]]/tbl_Data[[#This Row],[kWh Savings]]*tbl_Data[[#This Row],[Sum of Annuals]]</f>
        <v>1711103.2554653517</v>
      </c>
      <c r="BB421" s="77">
        <f>ROUNDUP(tbl_Data[[#This Row],[Adjusted 2025]]/$L421,0)</f>
        <v>104</v>
      </c>
      <c r="BC421" s="77">
        <f>ROUNDUP(tbl_Data[[#This Row],[Adjusted 2026]]/$L421,0)</f>
        <v>216</v>
      </c>
      <c r="BD421" s="77">
        <f>ROUNDUP(tbl_Data[[#This Row],[Adjusted 2027]]/$L421,0)</f>
        <v>335</v>
      </c>
      <c r="BE421" s="77">
        <f>ROUNDUP(tbl_Data[[#This Row],[Adjusted 2028]]/$L421,0)</f>
        <v>461</v>
      </c>
      <c r="BF421" s="77">
        <f>ROUNDUP(tbl_Data[[#This Row],[Adjusted 2029]]/$L421,0)</f>
        <v>591</v>
      </c>
      <c r="BG421" s="77">
        <f>ROUNDUP(tbl_Data[[#This Row],[Adjusted 2030]]/$L421,0)</f>
        <v>725</v>
      </c>
      <c r="BH421" s="77">
        <f>ROUNDUP(tbl_Data[[#This Row],[Adjusted 2031]]/$L421,0)</f>
        <v>861</v>
      </c>
      <c r="BI421" s="77">
        <f>ROUNDUP(tbl_Data[[#This Row],[Adjusted 2032]]/$L421,0)</f>
        <v>1000</v>
      </c>
      <c r="BJ421" s="77">
        <f>ROUNDUP(tbl_Data[[#This Row],[Adjusted 2033]]/$L421,0)</f>
        <v>1140</v>
      </c>
      <c r="BK421" s="77">
        <f>ROUNDUP(tbl_Data[[#This Row],[Adjusted 2034]]/$L421,0)</f>
        <v>1282</v>
      </c>
      <c r="BL421" s="80">
        <f t="shared" si="177"/>
        <v>1634.4770780989086</v>
      </c>
      <c r="BM421" s="80">
        <f t="shared" si="178"/>
        <v>3410.3318071532253</v>
      </c>
      <c r="BN421" s="80">
        <f t="shared" si="179"/>
        <v>5299.7743928403852</v>
      </c>
      <c r="BO421" s="80">
        <f t="shared" si="180"/>
        <v>7284.5362906784003</v>
      </c>
      <c r="BP421" s="80">
        <f t="shared" si="181"/>
        <v>9345.5340348343088</v>
      </c>
      <c r="BQ421" s="80">
        <f t="shared" si="182"/>
        <v>11465.21783321267</v>
      </c>
      <c r="BR421" s="80">
        <f t="shared" si="183"/>
        <v>13627.426856974576</v>
      </c>
      <c r="BS421" s="80">
        <f t="shared" si="184"/>
        <v>15822.758625206996</v>
      </c>
      <c r="BT421" s="80">
        <f t="shared" si="185"/>
        <v>18046.30749772229</v>
      </c>
      <c r="BU421" s="80">
        <f t="shared" si="186"/>
        <v>20289.540058565952</v>
      </c>
      <c r="BV421" s="80">
        <f>IFERROR(VLOOKUP($H421,'1. Set Program Names'!$B$2:$D$15,3,0)*V421,"NA")</f>
        <v>3349.8354357961962</v>
      </c>
      <c r="BW421" s="80">
        <f>IFERROR(VLOOKUP($H421,'1. Set Program Names'!$B$2:$D$15,3,0)*W421,"NA")</f>
        <v>6989.4221757531677</v>
      </c>
      <c r="BX421" s="80">
        <f>IFERROR(VLOOKUP($H421,'1. Set Program Names'!$B$2:$D$15,3,0)*X421,"NA")</f>
        <v>10861.805467171969</v>
      </c>
      <c r="BY421" s="80">
        <f>IFERROR(VLOOKUP($H421,'1. Set Program Names'!$B$2:$D$15,3,0)*Y421,"NA")</f>
        <v>14929.544211314553</v>
      </c>
      <c r="BZ421" s="80">
        <f>IFERROR(VLOOKUP($H421,'1. Set Program Names'!$B$2:$D$15,3,0)*Z421,"NA")</f>
        <v>19153.527140766011</v>
      </c>
      <c r="CA421" s="80">
        <f>IFERROR(VLOOKUP($H421,'1. Set Program Names'!$B$2:$D$15,3,0)*AA421,"NA")</f>
        <v>23497.786228663248</v>
      </c>
      <c r="CB421" s="80">
        <f>IFERROR(VLOOKUP($H421,'1. Set Program Names'!$B$2:$D$15,3,0)*AB421,"NA")</f>
        <v>27929.200106807359</v>
      </c>
      <c r="CC421" s="80">
        <f>IFERROR(VLOOKUP($H421,'1. Set Program Names'!$B$2:$D$15,3,0)*AC421,"NA")</f>
        <v>32428.498536313418</v>
      </c>
      <c r="CD421" s="80">
        <f>IFERROR(VLOOKUP($H421,'1. Set Program Names'!$B$2:$D$15,3,0)*AD421,"NA")</f>
        <v>36985.62748365842</v>
      </c>
      <c r="CE421" s="80">
        <f>IFERROR(VLOOKUP($H421,'1. Set Program Names'!$B$2:$D$15,3,0)*AE421,"NA")</f>
        <v>41583.097845118711</v>
      </c>
    </row>
    <row r="422" spans="1:83" x14ac:dyDescent="0.25">
      <c r="A422" s="79" t="s">
        <v>113</v>
      </c>
      <c r="B422" s="79" t="s">
        <v>88</v>
      </c>
      <c r="C422" s="79" t="s">
        <v>122</v>
      </c>
      <c r="D422" s="79" t="s">
        <v>90</v>
      </c>
      <c r="E422" s="79" t="s">
        <v>91</v>
      </c>
      <c r="F422" s="79" t="s">
        <v>90</v>
      </c>
      <c r="G422" s="79" t="s">
        <v>92</v>
      </c>
      <c r="H422" s="79" t="s">
        <v>18</v>
      </c>
      <c r="I422" s="79" t="s">
        <v>165</v>
      </c>
      <c r="J422" s="79" t="s">
        <v>161</v>
      </c>
      <c r="K422" s="79" t="s">
        <v>166</v>
      </c>
      <c r="L422" s="79">
        <v>510.6</v>
      </c>
      <c r="M422" s="79">
        <v>6.2552429943266097E-2</v>
      </c>
      <c r="N422" s="79">
        <v>6.4361142955417797E-2</v>
      </c>
      <c r="O422" s="79">
        <v>129</v>
      </c>
      <c r="P422" s="79">
        <v>26.468747947944401</v>
      </c>
      <c r="Q422" s="79">
        <v>16.159568962215999</v>
      </c>
      <c r="R422" s="79">
        <v>174.74401692254699</v>
      </c>
      <c r="S422" s="79">
        <v>419.99719394182398</v>
      </c>
      <c r="T422" s="79">
        <v>10</v>
      </c>
      <c r="U422" s="79">
        <v>0.2</v>
      </c>
      <c r="V422" s="79">
        <f>tbl_Data_old[[#This Row],[2025 ]]*IFERROR(AVERAGEIFS('Participation Adjustment'!$C:$C,'Participation Adjustment'!$A:$A,$H422,'Participation Adjustment'!$B:$B,$I422),1)</f>
        <v>6642.5065405618298</v>
      </c>
      <c r="W422" s="79">
        <f>tbl_Data_old[[#This Row],[2026 ]]*IFERROR(AVERAGEIFS('Participation Adjustment'!$C:$C,'Participation Adjustment'!$A:$A,$H422,'Participation Adjustment'!$B:$B,$I422),1)</f>
        <v>15752.3312950117</v>
      </c>
      <c r="X422" s="79">
        <f>tbl_Data_old[[#This Row],[2027 ]]*IFERROR(AVERAGEIFS('Participation Adjustment'!$C:$C,'Participation Adjustment'!$A:$A,$H422,'Participation Adjustment'!$B:$B,$I422),1)</f>
        <v>27870.371374681199</v>
      </c>
      <c r="Y422" s="79">
        <f>tbl_Data_old[[#This Row],[2028 ]]*IFERROR(AVERAGEIFS('Participation Adjustment'!$C:$C,'Participation Adjustment'!$A:$A,$H422,'Participation Adjustment'!$B:$B,$I422),1)</f>
        <v>43500.470442186997</v>
      </c>
      <c r="Z422" s="79">
        <f>tbl_Data_old[[#This Row],[2029 ]]*IFERROR(AVERAGEIFS('Participation Adjustment'!$C:$C,'Participation Adjustment'!$A:$A,$H422,'Participation Adjustment'!$B:$B,$I422),1)</f>
        <v>62860.525262992698</v>
      </c>
      <c r="AA422" s="79">
        <f>tbl_Data_old[[#This Row],[2030 ]]*IFERROR(AVERAGEIFS('Participation Adjustment'!$C:$C,'Participation Adjustment'!$A:$A,$H422,'Participation Adjustment'!$B:$B,$I422),1)</f>
        <v>85590.084016140507</v>
      </c>
      <c r="AB422" s="79">
        <f>tbl_Data_old[[#This Row],[2031 ]]*IFERROR(AVERAGEIFS('Participation Adjustment'!$C:$C,'Participation Adjustment'!$A:$A,$H422,'Participation Adjustment'!$B:$B,$I422),1)</f>
        <v>110575.253211041</v>
      </c>
      <c r="AC422" s="79">
        <f>tbl_Data_old[[#This Row],[2032 ]]*IFERROR(AVERAGEIFS('Participation Adjustment'!$C:$C,'Participation Adjustment'!$A:$A,$H422,'Participation Adjustment'!$B:$B,$I422),1)</f>
        <v>135992.80900224301</v>
      </c>
      <c r="AD422" s="79">
        <f>tbl_Data_old[[#This Row],[2033 ]]*IFERROR(AVERAGEIFS('Participation Adjustment'!$C:$C,'Participation Adjustment'!$A:$A,$H422,'Participation Adjustment'!$B:$B,$I422),1)</f>
        <v>159655.77234395</v>
      </c>
      <c r="AE422" s="79">
        <f>tbl_Data_old[[#This Row],[2034 ]]*IFERROR(AVERAGEIFS('Participation Adjustment'!$C:$C,'Participation Adjustment'!$A:$A,$H422,'Participation Adjustment'!$B:$B,$I422),1)</f>
        <v>179727.721419009</v>
      </c>
      <c r="AF422" s="77" t="str">
        <f t="shared" si="176"/>
        <v>NonResidential</v>
      </c>
      <c r="AG422" s="77" t="str">
        <f>tbl_Data[[#This Row],[All_Meas_Name_Append]]</f>
        <v>Occupancy Sensors_ Ceiling Mounted</v>
      </c>
      <c r="AH422" s="77">
        <f>AVERAGEIFS('3. Incentive Adjustment'!G:G,'3. Incentive Adjustment'!A:A,tbl_Data[[#This Row],[Trimmed Sector]],'3. Incentive Adjustment'!B:B,tbl_Data[[#This Row],[Trimmed Measure Name]])</f>
        <v>0.99348124042467356</v>
      </c>
      <c r="AI422" s="77">
        <f>$AH422*tbl_Data[[#This Row],[2025 ]]</f>
        <v>6599.2056374463737</v>
      </c>
      <c r="AJ422" s="77">
        <f>$AH422*tbl_Data[[#This Row],[2026 ]]</f>
        <v>15649.645634548628</v>
      </c>
      <c r="AK422" s="77">
        <f>$AH422*tbl_Data[[#This Row],[2027 ]]</f>
        <v>27688.691124414592</v>
      </c>
      <c r="AL422" s="77">
        <f>$AH422*tbl_Data[[#This Row],[2028 ]]</f>
        <v>43216.901333960785</v>
      </c>
      <c r="AM422" s="77">
        <f>$AH422*tbl_Data[[#This Row],[2029 ]]</f>
        <v>62450.752612024517</v>
      </c>
      <c r="AN422" s="77">
        <f>$AH422*tbl_Data[[#This Row],[2030 ]]</f>
        <v>85032.142836407293</v>
      </c>
      <c r="AO422" s="77">
        <f>$AH422*tbl_Data[[#This Row],[2031 ]]</f>
        <v>109854.43972037737</v>
      </c>
      <c r="AP422" s="77">
        <f>$AH422*tbl_Data[[#This Row],[2032 ]]</f>
        <v>135106.30457638411</v>
      </c>
      <c r="AQ422" s="77">
        <f>$AH422*tbl_Data[[#This Row],[2033 ]]</f>
        <v>158615.01474922674</v>
      </c>
      <c r="AR422" s="77">
        <f>$AH422*tbl_Data[[#This Row],[2034 ]]</f>
        <v>178556.11961405724</v>
      </c>
      <c r="AS422" s="77">
        <f>SUM(tbl_Data[[#This Row],[Adjusted 2025]:[Adjusted 2034]])</f>
        <v>822769.21783884766</v>
      </c>
      <c r="AT422" s="80">
        <f>AVERAGEIFS('3. Incentive Adjustment'!F:F,'3. Incentive Adjustment'!A:A,tbl_Data[[#This Row],[Trimmed Sector]],'3. Incentive Adjustment'!B:B,tbl_Data[[#This Row],[Trimmed Measure Name]])</f>
        <v>19.547634357270656</v>
      </c>
      <c r="AU422" s="80">
        <f>IFERROR(VLOOKUP(tbl_Data[[#This Row],[All_Meas_Name_Append]],'IRA Tax Credits'!$A$3:$D$46,4,0),0)</f>
        <v>0</v>
      </c>
      <c r="AV422" s="81">
        <f>tbl_Data[[#This Row],[Adj. per unit Incentive ($)]]/tbl_Data[[#This Row],[kWh Savings]]*tbl_Data[[#This Row],[Sum of Annuals]]</f>
        <v>31498.613064495425</v>
      </c>
      <c r="AW422" s="81">
        <f>IFERROR(VLOOKUP(tbl_Data[[#This Row],[Column1]],'1. Set Program Names'!$B$2:$D$15,3,0)*tbl_Data[[#This Row],[Sum of Annuals]],"")</f>
        <v>26039.161605278958</v>
      </c>
      <c r="AX422" s="81">
        <f>tbl_Data[[#This Row],[per unit IRA tax ($)]]/tbl_Data[[#This Row],[kWh Savings]]*tbl_Data[[#This Row],[Sum of Annuals]]</f>
        <v>0</v>
      </c>
      <c r="AY422" s="81">
        <f>tbl_Data[[#This Row],[Avoided Costs ($/unit)]]/tbl_Data[[#This Row],[kWh Savings]]*tbl_Data[[#This Row],[Sum of Annuals]]</f>
        <v>281578.53138539434</v>
      </c>
      <c r="AZ422" s="81">
        <f>tbl_Data[[#This Row],[Lost Revenue ($/unit)]]/tbl_Data[[#This Row],[kWh Savings]]*tbl_Data[[#This Row],[Sum of Annuals]]</f>
        <v>676773.91843718232</v>
      </c>
      <c r="BA422" s="81">
        <f>tbl_Data[[#This Row],[Incremental Cost ($/unit)]]/tbl_Data[[#This Row],[kWh Savings]]*tbl_Data[[#This Row],[Sum of Annuals]]</f>
        <v>207867.66373131872</v>
      </c>
      <c r="BB422" s="77">
        <f>ROUNDUP(tbl_Data[[#This Row],[Adjusted 2025]]/$L422,0)</f>
        <v>13</v>
      </c>
      <c r="BC422" s="77">
        <f>ROUNDUP(tbl_Data[[#This Row],[Adjusted 2026]]/$L422,0)</f>
        <v>31</v>
      </c>
      <c r="BD422" s="77">
        <f>ROUNDUP(tbl_Data[[#This Row],[Adjusted 2027]]/$L422,0)</f>
        <v>55</v>
      </c>
      <c r="BE422" s="77">
        <f>ROUNDUP(tbl_Data[[#This Row],[Adjusted 2028]]/$L422,0)</f>
        <v>85</v>
      </c>
      <c r="BF422" s="77">
        <f>ROUNDUP(tbl_Data[[#This Row],[Adjusted 2029]]/$L422,0)</f>
        <v>123</v>
      </c>
      <c r="BG422" s="77">
        <f>ROUNDUP(tbl_Data[[#This Row],[Adjusted 2030]]/$L422,0)</f>
        <v>167</v>
      </c>
      <c r="BH422" s="77">
        <f>ROUNDUP(tbl_Data[[#This Row],[Adjusted 2031]]/$L422,0)</f>
        <v>216</v>
      </c>
      <c r="BI422" s="77">
        <f>ROUNDUP(tbl_Data[[#This Row],[Adjusted 2032]]/$L422,0)</f>
        <v>265</v>
      </c>
      <c r="BJ422" s="77">
        <f>ROUNDUP(tbl_Data[[#This Row],[Adjusted 2033]]/$L422,0)</f>
        <v>311</v>
      </c>
      <c r="BK422" s="77">
        <f>ROUNDUP(tbl_Data[[#This Row],[Adjusted 2034]]/$L422,0)</f>
        <v>350</v>
      </c>
      <c r="BL422" s="80">
        <f t="shared" si="177"/>
        <v>254.29943022068446</v>
      </c>
      <c r="BM422" s="80">
        <f t="shared" si="178"/>
        <v>603.05682026925285</v>
      </c>
      <c r="BN422" s="80">
        <f t="shared" si="179"/>
        <v>1066.9796886674712</v>
      </c>
      <c r="BO422" s="80">
        <f t="shared" si="180"/>
        <v>1665.3570124816515</v>
      </c>
      <c r="BP422" s="80">
        <f t="shared" si="181"/>
        <v>2406.5306763551825</v>
      </c>
      <c r="BQ422" s="80">
        <f t="shared" si="182"/>
        <v>3276.7012670497265</v>
      </c>
      <c r="BR422" s="80">
        <f t="shared" si="183"/>
        <v>4233.2248702155257</v>
      </c>
      <c r="BS422" s="80">
        <f t="shared" si="184"/>
        <v>5206.3018127575242</v>
      </c>
      <c r="BT422" s="80">
        <f t="shared" si="185"/>
        <v>6112.2065429047771</v>
      </c>
      <c r="BU422" s="80">
        <f t="shared" si="186"/>
        <v>6880.634120963944</v>
      </c>
      <c r="BV422" s="80">
        <f>IFERROR(VLOOKUP($H422,'1. Set Program Names'!$B$2:$D$15,3,0)*V422,"NA")</f>
        <v>210.22335002777163</v>
      </c>
      <c r="BW422" s="80">
        <f>IFERROR(VLOOKUP($H422,'1. Set Program Names'!$B$2:$D$15,3,0)*W422,"NA")</f>
        <v>498.5328708919231</v>
      </c>
      <c r="BX422" s="80">
        <f>IFERROR(VLOOKUP($H422,'1. Set Program Names'!$B$2:$D$15,3,0)*X422,"NA")</f>
        <v>882.04698047734735</v>
      </c>
      <c r="BY422" s="80">
        <f>IFERROR(VLOOKUP($H422,'1. Set Program Names'!$B$2:$D$15,3,0)*Y422,"NA")</f>
        <v>1376.7114218553909</v>
      </c>
      <c r="BZ422" s="80">
        <f>IFERROR(VLOOKUP($H422,'1. Set Program Names'!$B$2:$D$15,3,0)*Z422,"NA")</f>
        <v>1989.4222346033216</v>
      </c>
      <c r="CA422" s="80">
        <f>IFERROR(VLOOKUP($H422,'1. Set Program Names'!$B$2:$D$15,3,0)*AA422,"NA")</f>
        <v>2708.7717687831764</v>
      </c>
      <c r="CB422" s="80">
        <f>IFERROR(VLOOKUP($H422,'1. Set Program Names'!$B$2:$D$15,3,0)*AB422,"NA")</f>
        <v>3499.5073046970642</v>
      </c>
      <c r="CC422" s="80">
        <f>IFERROR(VLOOKUP($H422,'1. Set Program Names'!$B$2:$D$15,3,0)*AC422,"NA")</f>
        <v>4303.9270964301304</v>
      </c>
      <c r="CD422" s="80">
        <f>IFERROR(VLOOKUP($H422,'1. Set Program Names'!$B$2:$D$15,3,0)*AD422,"NA")</f>
        <v>5052.8172021306882</v>
      </c>
      <c r="CE422" s="80">
        <f>IFERROR(VLOOKUP($H422,'1. Set Program Names'!$B$2:$D$15,3,0)*AE422,"NA")</f>
        <v>5688.0581838864755</v>
      </c>
    </row>
    <row r="423" spans="1:83" x14ac:dyDescent="0.25">
      <c r="A423" s="79" t="s">
        <v>113</v>
      </c>
      <c r="B423" s="79" t="s">
        <v>88</v>
      </c>
      <c r="C423" s="79" t="s">
        <v>122</v>
      </c>
      <c r="D423" s="79" t="s">
        <v>90</v>
      </c>
      <c r="E423" s="79" t="s">
        <v>91</v>
      </c>
      <c r="F423" s="79" t="s">
        <v>90</v>
      </c>
      <c r="G423" s="79" t="s">
        <v>92</v>
      </c>
      <c r="H423" s="79" t="s">
        <v>18</v>
      </c>
      <c r="I423" s="79" t="s">
        <v>167</v>
      </c>
      <c r="J423" s="79" t="s">
        <v>124</v>
      </c>
      <c r="K423" s="79" t="s">
        <v>98</v>
      </c>
      <c r="L423" s="79">
        <v>151.65999999999994</v>
      </c>
      <c r="M423" s="79">
        <v>2.2013191527321094E-2</v>
      </c>
      <c r="N423" s="79">
        <v>1.952960139549019E-2</v>
      </c>
      <c r="O423" s="79">
        <v>56.59999999999998</v>
      </c>
      <c r="P423" s="79">
        <v>25.402483751835906</v>
      </c>
      <c r="Q423" s="79"/>
      <c r="R423" s="79">
        <v>70.56447857633529</v>
      </c>
      <c r="S423" s="79">
        <v>171.41744415542868</v>
      </c>
      <c r="T423" s="79">
        <v>16</v>
      </c>
      <c r="U423" s="79">
        <v>0.2</v>
      </c>
      <c r="V423" s="79">
        <f>tbl_Data_old[[#This Row],[2025 ]]*IFERROR(AVERAGEIFS('Participation Adjustment'!$C:$C,'Participation Adjustment'!$A:$A,$H423,'Participation Adjustment'!$B:$B,$I423),1)</f>
        <v>965.51517445058698</v>
      </c>
      <c r="W423" s="79">
        <f>tbl_Data_old[[#This Row],[2026 ]]*IFERROR(AVERAGEIFS('Participation Adjustment'!$C:$C,'Participation Adjustment'!$A:$A,$H423,'Participation Adjustment'!$B:$B,$I423),1)</f>
        <v>2278.6496164425098</v>
      </c>
      <c r="X423" s="79">
        <f>tbl_Data_old[[#This Row],[2027 ]]*IFERROR(AVERAGEIFS('Participation Adjustment'!$C:$C,'Participation Adjustment'!$A:$A,$H423,'Participation Adjustment'!$B:$B,$I423),1)</f>
        <v>3975.0784467957601</v>
      </c>
      <c r="Y423" s="79">
        <f>tbl_Data_old[[#This Row],[2028 ]]*IFERROR(AVERAGEIFS('Participation Adjustment'!$C:$C,'Participation Adjustment'!$A:$A,$H423,'Participation Adjustment'!$B:$B,$I423),1)</f>
        <v>6069.5634748889397</v>
      </c>
      <c r="Z423" s="79">
        <f>tbl_Data_old[[#This Row],[2029 ]]*IFERROR(AVERAGEIFS('Participation Adjustment'!$C:$C,'Participation Adjustment'!$A:$A,$H423,'Participation Adjustment'!$B:$B,$I423),1)</f>
        <v>8542.1928392511309</v>
      </c>
      <c r="AA423" s="79">
        <f>tbl_Data_old[[#This Row],[2030 ]]*IFERROR(AVERAGEIFS('Participation Adjustment'!$C:$C,'Participation Adjustment'!$A:$A,$H423,'Participation Adjustment'!$B:$B,$I423),1)</f>
        <v>11345.925989556499</v>
      </c>
      <c r="AB423" s="79">
        <f>tbl_Data_old[[#This Row],[2031 ]]*IFERROR(AVERAGEIFS('Participation Adjustment'!$C:$C,'Participation Adjustment'!$A:$A,$H423,'Participation Adjustment'!$B:$B,$I423),1)</f>
        <v>14414.652919136101</v>
      </c>
      <c r="AC423" s="79">
        <f>tbl_Data_old[[#This Row],[2032 ]]*IFERROR(AVERAGEIFS('Participation Adjustment'!$C:$C,'Participation Adjustment'!$A:$A,$H423,'Participation Adjustment'!$B:$B,$I423),1)</f>
        <v>17687.7704242443</v>
      </c>
      <c r="AD423" s="79">
        <f>tbl_Data_old[[#This Row],[2033 ]]*IFERROR(AVERAGEIFS('Participation Adjustment'!$C:$C,'Participation Adjustment'!$A:$A,$H423,'Participation Adjustment'!$B:$B,$I423),1)</f>
        <v>21121.380496103699</v>
      </c>
      <c r="AE423" s="79">
        <f>tbl_Data_old[[#This Row],[2034 ]]*IFERROR(AVERAGEIFS('Participation Adjustment'!$C:$C,'Participation Adjustment'!$A:$A,$H423,'Participation Adjustment'!$B:$B,$I423),1)</f>
        <v>24674.7100630936</v>
      </c>
      <c r="AF423" s="77" t="str">
        <f t="shared" si="176"/>
        <v>NonResidential</v>
      </c>
      <c r="AG423" s="77" t="str">
        <f>tbl_Data[[#This Row],[All_Meas_Name_Append]]</f>
        <v>Refrigerated Display Case LED Lighting</v>
      </c>
      <c r="AH423" s="77">
        <f>AVERAGEIFS('3. Incentive Adjustment'!G:G,'3. Incentive Adjustment'!A:A,tbl_Data[[#This Row],[Trimmed Sector]],'3. Incentive Adjustment'!B:B,tbl_Data[[#This Row],[Trimmed Measure Name]])</f>
        <v>0.72450810749703154</v>
      </c>
      <c r="AI423" s="77">
        <f>$AH423*tbl_Data[[#This Row],[2025 ]]</f>
        <v>699.52357180086108</v>
      </c>
      <c r="AJ423" s="77">
        <f>$AH423*tbl_Data[[#This Row],[2026 ]]</f>
        <v>1650.9001212575995</v>
      </c>
      <c r="AK423" s="77">
        <f>$AH423*tbl_Data[[#This Row],[2027 ]]</f>
        <v>2879.9765626402359</v>
      </c>
      <c r="AL423" s="77">
        <f>$AH423*tbl_Data[[#This Row],[2028 ]]</f>
        <v>4397.4479465248924</v>
      </c>
      <c r="AM423" s="77">
        <f>$AH423*tbl_Data[[#This Row],[2029 ]]</f>
        <v>6188.887967840531</v>
      </c>
      <c r="AN423" s="77">
        <f>$AH423*tbl_Data[[#This Row],[2030 ]]</f>
        <v>8220.2153664949637</v>
      </c>
      <c r="AO423" s="77">
        <f>$AH423*tbl_Data[[#This Row],[2031 ]]</f>
        <v>10443.532906669858</v>
      </c>
      <c r="AP423" s="77">
        <f>$AH423*tbl_Data[[#This Row],[2032 ]]</f>
        <v>12814.933075911204</v>
      </c>
      <c r="AQ423" s="77">
        <f>$AH423*tbl_Data[[#This Row],[2033 ]]</f>
        <v>15302.611410956804</v>
      </c>
      <c r="AR423" s="77">
        <f>$AH423*tbl_Data[[#This Row],[2034 ]]</f>
        <v>17877.027490849905</v>
      </c>
      <c r="AS423" s="77">
        <f>SUM(tbl_Data[[#This Row],[Adjusted 2025]:[Adjusted 2034]])</f>
        <v>80475.056420946843</v>
      </c>
      <c r="AT423" s="80">
        <f>AVERAGEIFS('3. Incentive Adjustment'!F:F,'3. Incentive Adjustment'!A:A,tbl_Data[[#This Row],[Trimmed Sector]],'3. Incentive Adjustment'!B:B,tbl_Data[[#This Row],[Trimmed Measure Name]])</f>
        <v>6.879122352287844</v>
      </c>
      <c r="AU423" s="80">
        <f>IFERROR(VLOOKUP(tbl_Data[[#This Row],[All_Meas_Name_Append]],'IRA Tax Credits'!$A$3:$D$46,4,0),0)</f>
        <v>0</v>
      </c>
      <c r="AV423" s="81">
        <f>tbl_Data[[#This Row],[Adj. per unit Incentive ($)]]/tbl_Data[[#This Row],[kWh Savings]]*tbl_Data[[#This Row],[Sum of Annuals]]</f>
        <v>3650.2555678950348</v>
      </c>
      <c r="AW423" s="81">
        <f>IFERROR(VLOOKUP(tbl_Data[[#This Row],[Column1]],'1. Set Program Names'!$B$2:$D$15,3,0)*tbl_Data[[#This Row],[Sum of Annuals]],"")</f>
        <v>2546.8903720574222</v>
      </c>
      <c r="AX423" s="81">
        <f>tbl_Data[[#This Row],[per unit IRA tax ($)]]/tbl_Data[[#This Row],[kWh Savings]]*tbl_Data[[#This Row],[Sum of Annuals]]</f>
        <v>0</v>
      </c>
      <c r="AY423" s="81">
        <f>tbl_Data[[#This Row],[Avoided Costs ($/unit)]]/tbl_Data[[#This Row],[kWh Savings]]*tbl_Data[[#This Row],[Sum of Annuals]]</f>
        <v>37443.49462445786</v>
      </c>
      <c r="AZ423" s="81">
        <f>tbl_Data[[#This Row],[Lost Revenue ($/unit)]]/tbl_Data[[#This Row],[kWh Savings]]*tbl_Data[[#This Row],[Sum of Annuals]]</f>
        <v>90958.911314404802</v>
      </c>
      <c r="BA423" s="81">
        <f>tbl_Data[[#This Row],[Incremental Cost ($/unit)]]/tbl_Data[[#This Row],[kWh Savings]]*tbl_Data[[#This Row],[Sum of Annuals]]</f>
        <v>30033.55000280622</v>
      </c>
      <c r="BB423" s="77">
        <f>ROUNDUP(tbl_Data[[#This Row],[Adjusted 2025]]/$L423,0)</f>
        <v>5</v>
      </c>
      <c r="BC423" s="77">
        <f>ROUNDUP(tbl_Data[[#This Row],[Adjusted 2026]]/$L423,0)</f>
        <v>11</v>
      </c>
      <c r="BD423" s="77">
        <f>ROUNDUP(tbl_Data[[#This Row],[Adjusted 2027]]/$L423,0)</f>
        <v>19</v>
      </c>
      <c r="BE423" s="77">
        <f>ROUNDUP(tbl_Data[[#This Row],[Adjusted 2028]]/$L423,0)</f>
        <v>29</v>
      </c>
      <c r="BF423" s="77">
        <f>ROUNDUP(tbl_Data[[#This Row],[Adjusted 2029]]/$L423,0)</f>
        <v>41</v>
      </c>
      <c r="BG423" s="77">
        <f>ROUNDUP(tbl_Data[[#This Row],[Adjusted 2030]]/$L423,0)</f>
        <v>55</v>
      </c>
      <c r="BH423" s="77">
        <f>ROUNDUP(tbl_Data[[#This Row],[Adjusted 2031]]/$L423,0)</f>
        <v>69</v>
      </c>
      <c r="BI423" s="77">
        <f>ROUNDUP(tbl_Data[[#This Row],[Adjusted 2032]]/$L423,0)</f>
        <v>85</v>
      </c>
      <c r="BJ423" s="77">
        <f>ROUNDUP(tbl_Data[[#This Row],[Adjusted 2033]]/$L423,0)</f>
        <v>101</v>
      </c>
      <c r="BK423" s="77">
        <f>ROUNDUP(tbl_Data[[#This Row],[Adjusted 2034]]/$L423,0)</f>
        <v>118</v>
      </c>
      <c r="BL423" s="80">
        <f t="shared" si="177"/>
        <v>43.794652631123121</v>
      </c>
      <c r="BM423" s="80">
        <f t="shared" si="178"/>
        <v>103.35691355335486</v>
      </c>
      <c r="BN423" s="80">
        <f t="shared" si="179"/>
        <v>180.30496502341006</v>
      </c>
      <c r="BO423" s="80">
        <f t="shared" si="180"/>
        <v>275.30838565698537</v>
      </c>
      <c r="BP423" s="80">
        <f t="shared" si="181"/>
        <v>387.46399642651744</v>
      </c>
      <c r="BQ423" s="80">
        <f t="shared" si="182"/>
        <v>514.63809232600363</v>
      </c>
      <c r="BR423" s="80">
        <f t="shared" si="183"/>
        <v>653.83199984505075</v>
      </c>
      <c r="BS423" s="80">
        <f t="shared" si="184"/>
        <v>802.29682769058979</v>
      </c>
      <c r="BT423" s="80">
        <f t="shared" si="185"/>
        <v>958.04141290995324</v>
      </c>
      <c r="BU423" s="80">
        <f t="shared" si="186"/>
        <v>1119.2163360889426</v>
      </c>
      <c r="BV423" s="80">
        <f>IFERROR(VLOOKUP($H423,'1. Set Program Names'!$B$2:$D$15,3,0)*V423,"NA")</f>
        <v>30.556813641990484</v>
      </c>
      <c r="BW423" s="80">
        <f>IFERROR(VLOOKUP($H423,'1. Set Program Names'!$B$2:$D$15,3,0)*W423,"NA")</f>
        <v>72.115150054112675</v>
      </c>
      <c r="BX423" s="80">
        <f>IFERROR(VLOOKUP($H423,'1. Set Program Names'!$B$2:$D$15,3,0)*X423,"NA")</f>
        <v>125.80406245831341</v>
      </c>
      <c r="BY423" s="80">
        <f>IFERROR(VLOOKUP($H423,'1. Set Program Names'!$B$2:$D$15,3,0)*Y423,"NA")</f>
        <v>192.09073549356762</v>
      </c>
      <c r="BZ423" s="80">
        <f>IFERROR(VLOOKUP($H423,'1. Set Program Names'!$B$2:$D$15,3,0)*Z423,"NA")</f>
        <v>270.34499466201908</v>
      </c>
      <c r="CA423" s="80">
        <f>IFERROR(VLOOKUP($H423,'1. Set Program Names'!$B$2:$D$15,3,0)*AA423,"NA")</f>
        <v>359.07809139921244</v>
      </c>
      <c r="CB423" s="80">
        <f>IFERROR(VLOOKUP($H423,'1. Set Program Names'!$B$2:$D$15,3,0)*AB423,"NA")</f>
        <v>456.19776324557188</v>
      </c>
      <c r="CC423" s="80">
        <f>IFERROR(VLOOKUP($H423,'1. Set Program Names'!$B$2:$D$15,3,0)*AC423,"NA")</f>
        <v>559.78602812068459</v>
      </c>
      <c r="CD423" s="80">
        <f>IFERROR(VLOOKUP($H423,'1. Set Program Names'!$B$2:$D$15,3,0)*AD423,"NA")</f>
        <v>668.45359323147909</v>
      </c>
      <c r="CE423" s="80">
        <f>IFERROR(VLOOKUP($H423,'1. Set Program Names'!$B$2:$D$15,3,0)*AE423,"NA")</f>
        <v>780.91006440902447</v>
      </c>
    </row>
    <row r="424" spans="1:83" x14ac:dyDescent="0.25">
      <c r="A424" s="79" t="s">
        <v>114</v>
      </c>
      <c r="B424" s="79" t="s">
        <v>88</v>
      </c>
      <c r="C424" s="79" t="s">
        <v>122</v>
      </c>
      <c r="D424" s="79" t="s">
        <v>90</v>
      </c>
      <c r="E424" s="79" t="s">
        <v>91</v>
      </c>
      <c r="F424" s="79" t="s">
        <v>90</v>
      </c>
      <c r="G424" s="79" t="s">
        <v>92</v>
      </c>
      <c r="H424" s="79" t="s">
        <v>18</v>
      </c>
      <c r="I424" s="79" t="s">
        <v>168</v>
      </c>
      <c r="J424" s="79" t="s">
        <v>129</v>
      </c>
      <c r="K424" s="79" t="s">
        <v>102</v>
      </c>
      <c r="L424" s="79">
        <v>3050.4666666666599</v>
      </c>
      <c r="M424" s="79">
        <v>1.01361966409546</v>
      </c>
      <c r="N424" s="79">
        <v>0</v>
      </c>
      <c r="O424" s="79">
        <v>742</v>
      </c>
      <c r="P424" s="79">
        <v>130.44720079847701</v>
      </c>
      <c r="Q424" s="79">
        <v>96.541767463653102</v>
      </c>
      <c r="R424" s="79">
        <v>1331.93833936435</v>
      </c>
      <c r="S424" s="79">
        <v>2509.1802589366698</v>
      </c>
      <c r="T424" s="79">
        <v>10</v>
      </c>
      <c r="U424" s="79">
        <v>1</v>
      </c>
      <c r="V424" s="79">
        <f>tbl_Data_old[[#This Row],[2025 ]]*IFERROR(AVERAGEIFS('Participation Adjustment'!$C:$C,'Participation Adjustment'!$A:$A,$H424,'Participation Adjustment'!$B:$B,$I424),1)</f>
        <v>8.0566390345883203</v>
      </c>
      <c r="W424" s="79">
        <f>tbl_Data_old[[#This Row],[2026 ]]*IFERROR(AVERAGEIFS('Participation Adjustment'!$C:$C,'Participation Adjustment'!$A:$A,$H424,'Participation Adjustment'!$B:$B,$I424),1)</f>
        <v>11.1087494049708</v>
      </c>
      <c r="X424" s="79">
        <f>tbl_Data_old[[#This Row],[2027 ]]*IFERROR(AVERAGEIFS('Participation Adjustment'!$C:$C,'Participation Adjustment'!$A:$A,$H424,'Participation Adjustment'!$B:$B,$I424),1)</f>
        <v>14.8883713308465</v>
      </c>
      <c r="Y424" s="79">
        <f>tbl_Data_old[[#This Row],[2028 ]]*IFERROR(AVERAGEIFS('Participation Adjustment'!$C:$C,'Participation Adjustment'!$A:$A,$H424,'Participation Adjustment'!$B:$B,$I424),1)</f>
        <v>19.3864607920938</v>
      </c>
      <c r="Z424" s="79">
        <f>tbl_Data_old[[#This Row],[2029 ]]*IFERROR(AVERAGEIFS('Participation Adjustment'!$C:$C,'Participation Adjustment'!$A:$A,$H424,'Participation Adjustment'!$B:$B,$I424),1)</f>
        <v>24.288118563789102</v>
      </c>
      <c r="AA424" s="79">
        <f>tbl_Data_old[[#This Row],[2030 ]]*IFERROR(AVERAGEIFS('Participation Adjustment'!$C:$C,'Participation Adjustment'!$A:$A,$H424,'Participation Adjustment'!$B:$B,$I424),1)</f>
        <v>28.904187074687002</v>
      </c>
      <c r="AB424" s="79">
        <f>tbl_Data_old[[#This Row],[2031 ]]*IFERROR(AVERAGEIFS('Participation Adjustment'!$C:$C,'Participation Adjustment'!$A:$A,$H424,'Participation Adjustment'!$B:$B,$I424),1)</f>
        <v>32.281421245082498</v>
      </c>
      <c r="AC424" s="79">
        <f>tbl_Data_old[[#This Row],[2032 ]]*IFERROR(AVERAGEIFS('Participation Adjustment'!$C:$C,'Participation Adjustment'!$A:$A,$H424,'Participation Adjustment'!$B:$B,$I424),1)</f>
        <v>33.458840072863502</v>
      </c>
      <c r="AD424" s="79">
        <f>tbl_Data_old[[#This Row],[2033 ]]*IFERROR(AVERAGEIFS('Participation Adjustment'!$C:$C,'Participation Adjustment'!$A:$A,$H424,'Participation Adjustment'!$B:$B,$I424),1)</f>
        <v>31.848356074981901</v>
      </c>
      <c r="AE424" s="79">
        <f>tbl_Data_old[[#This Row],[2034 ]]*IFERROR(AVERAGEIFS('Participation Adjustment'!$C:$C,'Participation Adjustment'!$A:$A,$H424,'Participation Adjustment'!$B:$B,$I424),1)</f>
        <v>27.735676610883498</v>
      </c>
      <c r="AF424" s="77" t="str">
        <f t="shared" si="176"/>
        <v>NonResidential</v>
      </c>
      <c r="AG424" s="77" t="str">
        <f>tbl_Data[[#This Row],[All_Meas_Name_Append]]</f>
        <v>Chilled Water Reset</v>
      </c>
      <c r="AH424" s="77">
        <f>AVERAGEIFS('3. Incentive Adjustment'!G:G,'3. Incentive Adjustment'!A:A,tbl_Data[[#This Row],[Trimmed Sector]],'3. Incentive Adjustment'!B:B,tbl_Data[[#This Row],[Trimmed Measure Name]])</f>
        <v>1.6724428329362533</v>
      </c>
      <c r="AI424" s="77">
        <f>$AH424*tbl_Data[[#This Row],[2025 ]]</f>
        <v>13.474268210951692</v>
      </c>
      <c r="AJ424" s="77">
        <f>$AH424*tbl_Data[[#This Row],[2026 ]]</f>
        <v>18.578748325228283</v>
      </c>
      <c r="AK424" s="77">
        <f>$AH424*tbl_Data[[#This Row],[2027 ]]</f>
        <v>24.899949926367814</v>
      </c>
      <c r="AL424" s="77">
        <f>$AH424*tbl_Data[[#This Row],[2028 ]]</f>
        <v>32.422747407736956</v>
      </c>
      <c r="AM424" s="77">
        <f>$AH424*tbl_Data[[#This Row],[2029 ]]</f>
        <v>40.62048981751505</v>
      </c>
      <c r="AN424" s="77">
        <f>$AH424*tbl_Data[[#This Row],[2030 ]]</f>
        <v>48.340600514908964</v>
      </c>
      <c r="AO424" s="77">
        <f>$AH424*tbl_Data[[#This Row],[2031 ]]</f>
        <v>53.988831598334329</v>
      </c>
      <c r="AP424" s="77">
        <f>$AH424*tbl_Data[[#This Row],[2032 ]]</f>
        <v>55.957997278220873</v>
      </c>
      <c r="AQ424" s="77">
        <f>$AH424*tbl_Data[[#This Row],[2033 ]]</f>
        <v>53.264554858405262</v>
      </c>
      <c r="AR424" s="77">
        <f>$AH424*tbl_Data[[#This Row],[2034 ]]</f>
        <v>46.386333564509776</v>
      </c>
      <c r="AS424" s="77">
        <f>SUM(tbl_Data[[#This Row],[Adjusted 2025]:[Adjusted 2034]])</f>
        <v>387.934521502179</v>
      </c>
      <c r="AT424" s="80">
        <f>AVERAGEIFS('3. Incentive Adjustment'!F:F,'3. Incentive Adjustment'!A:A,tbl_Data[[#This Row],[Trimmed Sector]],'3. Incentive Adjustment'!B:B,tbl_Data[[#This Row],[Trimmed Measure Name]])</f>
        <v>725.0262900596623</v>
      </c>
      <c r="AU424" s="80">
        <f>IFERROR(VLOOKUP(tbl_Data[[#This Row],[All_Meas_Name_Append]],'IRA Tax Credits'!$A$3:$D$46,4,0),0)</f>
        <v>0</v>
      </c>
      <c r="AV424" s="81">
        <f>tbl_Data[[#This Row],[Adj. per unit Incentive ($)]]/tbl_Data[[#This Row],[kWh Savings]]*tbl_Data[[#This Row],[Sum of Annuals]]</f>
        <v>92.20317992136583</v>
      </c>
      <c r="AW424" s="81">
        <f>IFERROR(VLOOKUP(tbl_Data[[#This Row],[Column1]],'1. Set Program Names'!$B$2:$D$15,3,0)*tbl_Data[[#This Row],[Sum of Annuals]],"")</f>
        <v>12.277427835955258</v>
      </c>
      <c r="AX424" s="81">
        <f>tbl_Data[[#This Row],[per unit IRA tax ($)]]/tbl_Data[[#This Row],[kWh Savings]]*tbl_Data[[#This Row],[Sum of Annuals]]</f>
        <v>0</v>
      </c>
      <c r="AY424" s="81">
        <f>tbl_Data[[#This Row],[Avoided Costs ($/unit)]]/tbl_Data[[#This Row],[kWh Savings]]*tbl_Data[[#This Row],[Sum of Annuals]]</f>
        <v>169.38551337010199</v>
      </c>
      <c r="AZ424" s="81">
        <f>tbl_Data[[#This Row],[Lost Revenue ($/unit)]]/tbl_Data[[#This Row],[kWh Savings]]*tbl_Data[[#This Row],[Sum of Annuals]]</f>
        <v>319.09794450465921</v>
      </c>
      <c r="BA424" s="81">
        <f>tbl_Data[[#This Row],[Incremental Cost ($/unit)]]/tbl_Data[[#This Row],[kWh Savings]]*tbl_Data[[#This Row],[Sum of Annuals]]</f>
        <v>94.361763758971563</v>
      </c>
      <c r="BB424" s="77">
        <f>ROUNDUP(tbl_Data[[#This Row],[Adjusted 2025]]/$L424,0)</f>
        <v>1</v>
      </c>
      <c r="BC424" s="77">
        <f>ROUNDUP(tbl_Data[[#This Row],[Adjusted 2026]]/$L424,0)</f>
        <v>1</v>
      </c>
      <c r="BD424" s="77">
        <f>ROUNDUP(tbl_Data[[#This Row],[Adjusted 2027]]/$L424,0)</f>
        <v>1</v>
      </c>
      <c r="BE424" s="77">
        <f>ROUNDUP(tbl_Data[[#This Row],[Adjusted 2028]]/$L424,0)</f>
        <v>1</v>
      </c>
      <c r="BF424" s="77">
        <f>ROUNDUP(tbl_Data[[#This Row],[Adjusted 2029]]/$L424,0)</f>
        <v>1</v>
      </c>
      <c r="BG424" s="77">
        <f>ROUNDUP(tbl_Data[[#This Row],[Adjusted 2030]]/$L424,0)</f>
        <v>1</v>
      </c>
      <c r="BH424" s="77">
        <f>ROUNDUP(tbl_Data[[#This Row],[Adjusted 2031]]/$L424,0)</f>
        <v>1</v>
      </c>
      <c r="BI424" s="77">
        <f>ROUNDUP(tbl_Data[[#This Row],[Adjusted 2032]]/$L424,0)</f>
        <v>1</v>
      </c>
      <c r="BJ424" s="77">
        <f>ROUNDUP(tbl_Data[[#This Row],[Adjusted 2033]]/$L424,0)</f>
        <v>1</v>
      </c>
      <c r="BK424" s="77">
        <f>ROUNDUP(tbl_Data[[#This Row],[Adjusted 2034]]/$L424,0)</f>
        <v>1</v>
      </c>
      <c r="BL424" s="80">
        <f t="shared" si="177"/>
        <v>1.914879180102752</v>
      </c>
      <c r="BM424" s="80">
        <f t="shared" si="178"/>
        <v>2.640296141012898</v>
      </c>
      <c r="BN424" s="80">
        <f t="shared" si="179"/>
        <v>3.5386259908978839</v>
      </c>
      <c r="BO424" s="80">
        <f t="shared" si="180"/>
        <v>4.6077191726333346</v>
      </c>
      <c r="BP424" s="80">
        <f t="shared" si="181"/>
        <v>5.7727313290316014</v>
      </c>
      <c r="BQ424" s="80">
        <f t="shared" si="182"/>
        <v>6.8698654376218302</v>
      </c>
      <c r="BR424" s="80">
        <f t="shared" si="183"/>
        <v>7.6725569038099239</v>
      </c>
      <c r="BS424" s="80">
        <f t="shared" si="184"/>
        <v>7.9524024808426601</v>
      </c>
      <c r="BT424" s="80">
        <f t="shared" si="185"/>
        <v>7.569627198967356</v>
      </c>
      <c r="BU424" s="80">
        <f t="shared" si="186"/>
        <v>6.5921371753447957</v>
      </c>
      <c r="BV424" s="80">
        <f>IFERROR(VLOOKUP($H424,'1. Set Program Names'!$B$2:$D$15,3,0)*V424,"NA")</f>
        <v>0.25497809260303927</v>
      </c>
      <c r="BW424" s="80">
        <f>IFERROR(VLOOKUP($H424,'1. Set Program Names'!$B$2:$D$15,3,0)*W424,"NA")</f>
        <v>0.35157188032432896</v>
      </c>
      <c r="BX424" s="80">
        <f>IFERROR(VLOOKUP($H424,'1. Set Program Names'!$B$2:$D$15,3,0)*X424,"NA")</f>
        <v>0.47119009646669541</v>
      </c>
      <c r="BY424" s="80">
        <f>IFERROR(VLOOKUP($H424,'1. Set Program Names'!$B$2:$D$15,3,0)*Y424,"NA")</f>
        <v>0.61354651410720284</v>
      </c>
      <c r="BZ424" s="80">
        <f>IFERROR(VLOOKUP($H424,'1. Set Program Names'!$B$2:$D$15,3,0)*Z424,"NA")</f>
        <v>0.76867514080303634</v>
      </c>
      <c r="CA424" s="80">
        <f>IFERROR(VLOOKUP($H424,'1. Set Program Names'!$B$2:$D$15,3,0)*AA424,"NA")</f>
        <v>0.91476538255033102</v>
      </c>
      <c r="CB424" s="80">
        <f>IFERROR(VLOOKUP($H424,'1. Set Program Names'!$B$2:$D$15,3,0)*AB424,"NA")</f>
        <v>1.0216487520725765</v>
      </c>
      <c r="CC424" s="80">
        <f>IFERROR(VLOOKUP($H424,'1. Set Program Names'!$B$2:$D$15,3,0)*AC424,"NA")</f>
        <v>1.0589119341034006</v>
      </c>
      <c r="CD424" s="80">
        <f>IFERROR(VLOOKUP($H424,'1. Set Program Names'!$B$2:$D$15,3,0)*AD424,"NA")</f>
        <v>1.0079430206166924</v>
      </c>
      <c r="CE424" s="80">
        <f>IFERROR(VLOOKUP($H424,'1. Set Program Names'!$B$2:$D$15,3,0)*AE424,"NA")</f>
        <v>0.87778413417018253</v>
      </c>
    </row>
    <row r="425" spans="1:83" x14ac:dyDescent="0.25">
      <c r="A425" s="79" t="s">
        <v>114</v>
      </c>
      <c r="B425" s="79" t="s">
        <v>88</v>
      </c>
      <c r="C425" s="79" t="s">
        <v>122</v>
      </c>
      <c r="D425" s="79" t="s">
        <v>90</v>
      </c>
      <c r="E425" s="79" t="s">
        <v>91</v>
      </c>
      <c r="F425" s="79" t="s">
        <v>90</v>
      </c>
      <c r="G425" s="79" t="s">
        <v>92</v>
      </c>
      <c r="H425" s="79" t="s">
        <v>18</v>
      </c>
      <c r="I425" s="79" t="s">
        <v>169</v>
      </c>
      <c r="J425" s="79" t="s">
        <v>129</v>
      </c>
      <c r="K425" s="79" t="s">
        <v>102</v>
      </c>
      <c r="L425" s="79">
        <v>12279.148571428501</v>
      </c>
      <c r="M425" s="79">
        <v>2.3939185148112898</v>
      </c>
      <c r="N425" s="79">
        <v>0.409805025192993</v>
      </c>
      <c r="O425" s="79">
        <v>4666.07785714284</v>
      </c>
      <c r="P425" s="79">
        <v>2140.17810945783</v>
      </c>
      <c r="Q425" s="79">
        <v>388.61290273657698</v>
      </c>
      <c r="R425" s="79">
        <v>6035.2668545830202</v>
      </c>
      <c r="S425" s="79">
        <v>13336.629705795</v>
      </c>
      <c r="T425" s="79">
        <v>15</v>
      </c>
      <c r="U425" s="79">
        <v>1</v>
      </c>
      <c r="V425" s="79">
        <f>tbl_Data_old[[#This Row],[2025 ]]*IFERROR(AVERAGEIFS('Participation Adjustment'!$C:$C,'Participation Adjustment'!$A:$A,$H425,'Participation Adjustment'!$B:$B,$I425),1)</f>
        <v>18.3854462461099</v>
      </c>
      <c r="W425" s="79">
        <f>tbl_Data_old[[#This Row],[2026 ]]*IFERROR(AVERAGEIFS('Participation Adjustment'!$C:$C,'Participation Adjustment'!$A:$A,$H425,'Participation Adjustment'!$B:$B,$I425),1)</f>
        <v>20.6056213610144</v>
      </c>
      <c r="X425" s="79">
        <f>tbl_Data_old[[#This Row],[2027 ]]*IFERROR(AVERAGEIFS('Participation Adjustment'!$C:$C,'Participation Adjustment'!$A:$A,$H425,'Participation Adjustment'!$B:$B,$I425),1)</f>
        <v>22.5896542050642</v>
      </c>
      <c r="Y425" s="79">
        <f>tbl_Data_old[[#This Row],[2028 ]]*IFERROR(AVERAGEIFS('Participation Adjustment'!$C:$C,'Participation Adjustment'!$A:$A,$H425,'Participation Adjustment'!$B:$B,$I425),1)</f>
        <v>24.452397940021999</v>
      </c>
      <c r="Z425" s="79">
        <f>tbl_Data_old[[#This Row],[2029 ]]*IFERROR(AVERAGEIFS('Participation Adjustment'!$C:$C,'Participation Adjustment'!$A:$A,$H425,'Participation Adjustment'!$B:$B,$I425),1)</f>
        <v>26.180871541130902</v>
      </c>
      <c r="AA425" s="79">
        <f>tbl_Data_old[[#This Row],[2030 ]]*IFERROR(AVERAGEIFS('Participation Adjustment'!$C:$C,'Participation Adjustment'!$A:$A,$H425,'Participation Adjustment'!$B:$B,$I425),1)</f>
        <v>27.764552259397298</v>
      </c>
      <c r="AB425" s="79">
        <f>tbl_Data_old[[#This Row],[2031 ]]*IFERROR(AVERAGEIFS('Participation Adjustment'!$C:$C,'Participation Adjustment'!$A:$A,$H425,'Participation Adjustment'!$B:$B,$I425),1)</f>
        <v>29.2188367234039</v>
      </c>
      <c r="AC425" s="79">
        <f>tbl_Data_old[[#This Row],[2032 ]]*IFERROR(AVERAGEIFS('Participation Adjustment'!$C:$C,'Participation Adjustment'!$A:$A,$H425,'Participation Adjustment'!$B:$B,$I425),1)</f>
        <v>30.618638266826501</v>
      </c>
      <c r="AD425" s="79">
        <f>tbl_Data_old[[#This Row],[2033 ]]*IFERROR(AVERAGEIFS('Participation Adjustment'!$C:$C,'Participation Adjustment'!$A:$A,$H425,'Participation Adjustment'!$B:$B,$I425),1)</f>
        <v>31.9995689405165</v>
      </c>
      <c r="AE425" s="79">
        <f>tbl_Data_old[[#This Row],[2034 ]]*IFERROR(AVERAGEIFS('Participation Adjustment'!$C:$C,'Participation Adjustment'!$A:$A,$H425,'Participation Adjustment'!$B:$B,$I425),1)</f>
        <v>33.323773791160598</v>
      </c>
      <c r="AF425" s="77" t="str">
        <f t="shared" si="176"/>
        <v>NonResidential</v>
      </c>
      <c r="AG425" s="77" t="str">
        <f>tbl_Data[[#This Row],[All_Meas_Name_Append]]</f>
        <v>Custom measure - Non-lighting_69</v>
      </c>
      <c r="AH425" s="77">
        <f>AVERAGEIFS('3. Incentive Adjustment'!G:G,'3. Incentive Adjustment'!A:A,tbl_Data[[#This Row],[Trimmed Sector]],'3. Incentive Adjustment'!B:B,tbl_Data[[#This Row],[Trimmed Measure Name]])</f>
        <v>0.94249803878007732</v>
      </c>
      <c r="AI425" s="77">
        <f>$AH425*tbl_Data[[#This Row],[2025 ]]</f>
        <v>17.328247029055117</v>
      </c>
      <c r="AJ425" s="77">
        <f>$AH425*tbl_Data[[#This Row],[2026 ]]</f>
        <v>19.420757720600939</v>
      </c>
      <c r="AK425" s="77">
        <f>$AH425*tbl_Data[[#This Row],[2027 ]]</f>
        <v>21.290704784993135</v>
      </c>
      <c r="AL425" s="77">
        <f>$AH425*tbl_Data[[#This Row],[2028 ]]</f>
        <v>23.046337101940736</v>
      </c>
      <c r="AM425" s="77">
        <f>$AH425*tbl_Data[[#This Row],[2029 ]]</f>
        <v>24.675420081069014</v>
      </c>
      <c r="AN425" s="77">
        <f>$AH425*tbl_Data[[#This Row],[2030 ]]</f>
        <v>26.168036052088919</v>
      </c>
      <c r="AO425" s="77">
        <f>$AH425*tbl_Data[[#This Row],[2031 ]]</f>
        <v>27.538696307243477</v>
      </c>
      <c r="AP425" s="77">
        <f>$AH425*tbl_Data[[#This Row],[2032 ]]</f>
        <v>28.858006516600604</v>
      </c>
      <c r="AQ425" s="77">
        <f>$AH425*tbl_Data[[#This Row],[2033 ]]</f>
        <v>30.159530968244677</v>
      </c>
      <c r="AR425" s="77">
        <f>$AH425*tbl_Data[[#This Row],[2034 ]]</f>
        <v>31.407591442919806</v>
      </c>
      <c r="AS425" s="77">
        <f>SUM(tbl_Data[[#This Row],[Adjusted 2025]:[Adjusted 2034]])</f>
        <v>249.8933280047564</v>
      </c>
      <c r="AT425" s="80">
        <f>AVERAGEIFS('3. Incentive Adjustment'!F:F,'3. Incentive Adjustment'!A:A,tbl_Data[[#This Row],[Trimmed Sector]],'3. Incentive Adjustment'!B:B,tbl_Data[[#This Row],[Trimmed Measure Name]])</f>
        <v>1864.5735288999113</v>
      </c>
      <c r="AU425" s="80">
        <f>IFERROR(VLOOKUP(tbl_Data[[#This Row],[All_Meas_Name_Append]],'IRA Tax Credits'!$A$3:$D$46,4,0),0)</f>
        <v>0</v>
      </c>
      <c r="AV425" s="81">
        <f>tbl_Data[[#This Row],[Adj. per unit Incentive ($)]]/tbl_Data[[#This Row],[kWh Savings]]*tbl_Data[[#This Row],[Sum of Annuals]]</f>
        <v>37.945992894861256</v>
      </c>
      <c r="AW425" s="81">
        <f>IFERROR(VLOOKUP(tbl_Data[[#This Row],[Column1]],'1. Set Program Names'!$B$2:$D$15,3,0)*tbl_Data[[#This Row],[Sum of Annuals]],"")</f>
        <v>7.908673065198867</v>
      </c>
      <c r="AX425" s="81">
        <f>tbl_Data[[#This Row],[per unit IRA tax ($)]]/tbl_Data[[#This Row],[kWh Savings]]*tbl_Data[[#This Row],[Sum of Annuals]]</f>
        <v>0</v>
      </c>
      <c r="AY425" s="81">
        <f>tbl_Data[[#This Row],[Avoided Costs ($/unit)]]/tbl_Data[[#This Row],[kWh Savings]]*tbl_Data[[#This Row],[Sum of Annuals]]</f>
        <v>122.82390028228929</v>
      </c>
      <c r="AZ425" s="81">
        <f>tbl_Data[[#This Row],[Lost Revenue ($/unit)]]/tbl_Data[[#This Row],[kWh Savings]]*tbl_Data[[#This Row],[Sum of Annuals]]</f>
        <v>271.41415890210152</v>
      </c>
      <c r="BA425" s="81">
        <f>tbl_Data[[#This Row],[Incremental Cost ($/unit)]]/tbl_Data[[#This Row],[kWh Savings]]*tbl_Data[[#This Row],[Sum of Annuals]]</f>
        <v>94.959493133250433</v>
      </c>
      <c r="BB425" s="77">
        <f>ROUNDUP(tbl_Data[[#This Row],[Adjusted 2025]]/$L425,0)</f>
        <v>1</v>
      </c>
      <c r="BC425" s="77">
        <f>ROUNDUP(tbl_Data[[#This Row],[Adjusted 2026]]/$L425,0)</f>
        <v>1</v>
      </c>
      <c r="BD425" s="77">
        <f>ROUNDUP(tbl_Data[[#This Row],[Adjusted 2027]]/$L425,0)</f>
        <v>1</v>
      </c>
      <c r="BE425" s="77">
        <f>ROUNDUP(tbl_Data[[#This Row],[Adjusted 2028]]/$L425,0)</f>
        <v>1</v>
      </c>
      <c r="BF425" s="77">
        <f>ROUNDUP(tbl_Data[[#This Row],[Adjusted 2029]]/$L425,0)</f>
        <v>1</v>
      </c>
      <c r="BG425" s="77">
        <f>ROUNDUP(tbl_Data[[#This Row],[Adjusted 2030]]/$L425,0)</f>
        <v>1</v>
      </c>
      <c r="BH425" s="77">
        <f>ROUNDUP(tbl_Data[[#This Row],[Adjusted 2031]]/$L425,0)</f>
        <v>1</v>
      </c>
      <c r="BI425" s="77">
        <f>ROUNDUP(tbl_Data[[#This Row],[Adjusted 2032]]/$L425,0)</f>
        <v>1</v>
      </c>
      <c r="BJ425" s="77">
        <f>ROUNDUP(tbl_Data[[#This Row],[Adjusted 2033]]/$L425,0)</f>
        <v>1</v>
      </c>
      <c r="BK425" s="77">
        <f>ROUNDUP(tbl_Data[[#This Row],[Adjusted 2034]]/$L425,0)</f>
        <v>1</v>
      </c>
      <c r="BL425" s="80">
        <f t="shared" si="177"/>
        <v>2.7918072811070043</v>
      </c>
      <c r="BM425" s="80">
        <f t="shared" si="178"/>
        <v>3.128938127329159</v>
      </c>
      <c r="BN425" s="80">
        <f t="shared" si="179"/>
        <v>3.4302110616831807</v>
      </c>
      <c r="BO425" s="80">
        <f t="shared" si="180"/>
        <v>3.713066394780792</v>
      </c>
      <c r="BP425" s="80">
        <f t="shared" si="181"/>
        <v>3.9755329740621135</v>
      </c>
      <c r="BQ425" s="80">
        <f t="shared" si="182"/>
        <v>4.2160129331025633</v>
      </c>
      <c r="BR425" s="80">
        <f t="shared" si="183"/>
        <v>4.4368442309163694</v>
      </c>
      <c r="BS425" s="80">
        <f t="shared" si="184"/>
        <v>4.6494023646009905</v>
      </c>
      <c r="BT425" s="80">
        <f t="shared" si="185"/>
        <v>4.8590949800482477</v>
      </c>
      <c r="BU425" s="80">
        <f t="shared" si="186"/>
        <v>5.060173849400555</v>
      </c>
      <c r="BV425" s="80">
        <f>IFERROR(VLOOKUP($H425,'1. Set Program Names'!$B$2:$D$15,3,0)*V425,"NA")</f>
        <v>0.58186620939116629</v>
      </c>
      <c r="BW425" s="80">
        <f>IFERROR(VLOOKUP($H425,'1. Set Program Names'!$B$2:$D$15,3,0)*W425,"NA")</f>
        <v>0.65213074694991136</v>
      </c>
      <c r="BX425" s="80">
        <f>IFERROR(VLOOKUP($H425,'1. Set Program Names'!$B$2:$D$15,3,0)*X425,"NA")</f>
        <v>0.71492180759762869</v>
      </c>
      <c r="BY425" s="80">
        <f>IFERROR(VLOOKUP($H425,'1. Set Program Names'!$B$2:$D$15,3,0)*Y425,"NA")</f>
        <v>0.77387428672803693</v>
      </c>
      <c r="BZ425" s="80">
        <f>IFERROR(VLOOKUP($H425,'1. Set Program Names'!$B$2:$D$15,3,0)*Z425,"NA")</f>
        <v>0.82857735832319812</v>
      </c>
      <c r="CA425" s="80">
        <f>IFERROR(VLOOKUP($H425,'1. Set Program Names'!$B$2:$D$15,3,0)*AA425,"NA")</f>
        <v>0.87869799635875956</v>
      </c>
      <c r="CB425" s="80">
        <f>IFERROR(VLOOKUP($H425,'1. Set Program Names'!$B$2:$D$15,3,0)*AB425,"NA")</f>
        <v>0.92472347635639796</v>
      </c>
      <c r="CC425" s="80">
        <f>IFERROR(VLOOKUP($H425,'1. Set Program Names'!$B$2:$D$15,3,0)*AC425,"NA")</f>
        <v>0.96902467019571248</v>
      </c>
      <c r="CD425" s="80">
        <f>IFERROR(VLOOKUP($H425,'1. Set Program Names'!$B$2:$D$15,3,0)*AD425,"NA")</f>
        <v>1.0127286350479119</v>
      </c>
      <c r="CE425" s="80">
        <f>IFERROR(VLOOKUP($H425,'1. Set Program Names'!$B$2:$D$15,3,0)*AE425,"NA")</f>
        <v>1.0546373299246927</v>
      </c>
    </row>
    <row r="426" spans="1:83" x14ac:dyDescent="0.25">
      <c r="A426" s="79" t="s">
        <v>114</v>
      </c>
      <c r="B426" s="79" t="s">
        <v>88</v>
      </c>
      <c r="C426" s="79" t="s">
        <v>122</v>
      </c>
      <c r="D426" s="79" t="s">
        <v>90</v>
      </c>
      <c r="E426" s="79" t="s">
        <v>91</v>
      </c>
      <c r="F426" s="79" t="s">
        <v>90</v>
      </c>
      <c r="G426" s="79" t="s">
        <v>92</v>
      </c>
      <c r="H426" s="79" t="s">
        <v>18</v>
      </c>
      <c r="I426" s="79" t="s">
        <v>170</v>
      </c>
      <c r="J426" s="79" t="s">
        <v>144</v>
      </c>
      <c r="K426" s="79" t="s">
        <v>171</v>
      </c>
      <c r="L426" s="79">
        <v>5592.79</v>
      </c>
      <c r="M426" s="79">
        <v>0.87755365852981304</v>
      </c>
      <c r="N426" s="79">
        <v>1.3078150987013399</v>
      </c>
      <c r="O426" s="79">
        <v>2274</v>
      </c>
      <c r="P426" s="79">
        <v>1123.5242193223601</v>
      </c>
      <c r="Q426" s="79">
        <v>177.00171503367099</v>
      </c>
      <c r="R426" s="79">
        <v>3205.1805113222799</v>
      </c>
      <c r="S426" s="79">
        <v>7177.7771935445198</v>
      </c>
      <c r="T426" s="79">
        <v>20</v>
      </c>
      <c r="U426" s="79">
        <v>1</v>
      </c>
      <c r="V426" s="79">
        <f>tbl_Data_old[[#This Row],[2025 ]]*IFERROR(AVERAGEIFS('Participation Adjustment'!$C:$C,'Participation Adjustment'!$A:$A,$H426,'Participation Adjustment'!$B:$B,$I426),1)</f>
        <v>0.25123488037293201</v>
      </c>
      <c r="W426" s="79">
        <f>tbl_Data_old[[#This Row],[2026 ]]*IFERROR(AVERAGEIFS('Participation Adjustment'!$C:$C,'Participation Adjustment'!$A:$A,$H426,'Participation Adjustment'!$B:$B,$I426),1)</f>
        <v>0.323297095422374</v>
      </c>
      <c r="X426" s="79">
        <f>tbl_Data_old[[#This Row],[2027 ]]*IFERROR(AVERAGEIFS('Participation Adjustment'!$C:$C,'Participation Adjustment'!$A:$A,$H426,'Participation Adjustment'!$B:$B,$I426),1)</f>
        <v>0.406125293529146</v>
      </c>
      <c r="Y426" s="79">
        <f>tbl_Data_old[[#This Row],[2028 ]]*IFERROR(AVERAGEIFS('Participation Adjustment'!$C:$C,'Participation Adjustment'!$A:$A,$H426,'Participation Adjustment'!$B:$B,$I426),1)</f>
        <v>0.49928302603074698</v>
      </c>
      <c r="Z426" s="79">
        <f>tbl_Data_old[[#This Row],[2029 ]]*IFERROR(AVERAGEIFS('Participation Adjustment'!$C:$C,'Participation Adjustment'!$A:$A,$H426,'Participation Adjustment'!$B:$B,$I426),1)</f>
        <v>0.59775253985613497</v>
      </c>
      <c r="AA426" s="79">
        <f>tbl_Data_old[[#This Row],[2030 ]]*IFERROR(AVERAGEIFS('Participation Adjustment'!$C:$C,'Participation Adjustment'!$A:$A,$H426,'Participation Adjustment'!$B:$B,$I426),1)</f>
        <v>0.69309218336364897</v>
      </c>
      <c r="AB426" s="79">
        <f>tbl_Data_old[[#This Row],[2031 ]]*IFERROR(AVERAGEIFS('Participation Adjustment'!$C:$C,'Participation Adjustment'!$A:$A,$H426,'Participation Adjustment'!$B:$B,$I426),1)</f>
        <v>0.77520776128125901</v>
      </c>
      <c r="AC426" s="79">
        <f>tbl_Data_old[[#This Row],[2032 ]]*IFERROR(AVERAGEIFS('Participation Adjustment'!$C:$C,'Participation Adjustment'!$A:$A,$H426,'Participation Adjustment'!$B:$B,$I426),1)</f>
        <v>0.83417062131775699</v>
      </c>
      <c r="AD426" s="79">
        <f>tbl_Data_old[[#This Row],[2033 ]]*IFERROR(AVERAGEIFS('Participation Adjustment'!$C:$C,'Participation Adjustment'!$A:$A,$H426,'Participation Adjustment'!$B:$B,$I426),1)</f>
        <v>0.85965647680008195</v>
      </c>
      <c r="AE426" s="79">
        <f>tbl_Data_old[[#This Row],[2034 ]]*IFERROR(AVERAGEIFS('Participation Adjustment'!$C:$C,'Participation Adjustment'!$A:$A,$H426,'Participation Adjustment'!$B:$B,$I426),1)</f>
        <v>0.84430909613427596</v>
      </c>
      <c r="AF426" s="77" t="str">
        <f t="shared" si="176"/>
        <v>NonResidential</v>
      </c>
      <c r="AG426" s="77" t="str">
        <f>tbl_Data[[#This Row],[All_Meas_Name_Append]]</f>
        <v>Demand Controlled Circulating Systems</v>
      </c>
      <c r="AH426" s="77">
        <f>AVERAGEIFS('3. Incentive Adjustment'!G:G,'3. Incentive Adjustment'!A:A,tbl_Data[[#This Row],[Trimmed Sector]],'3. Incentive Adjustment'!B:B,tbl_Data[[#This Row],[Trimmed Measure Name]])</f>
        <v>0.82519266246945677</v>
      </c>
      <c r="AI426" s="77">
        <f>$AH426*tbl_Data[[#This Row],[2025 ]]</f>
        <v>0.20731717984013523</v>
      </c>
      <c r="AJ426" s="77">
        <f>$AH426*tbl_Data[[#This Row],[2026 ]]</f>
        <v>0.26678239094023082</v>
      </c>
      <c r="AK426" s="77">
        <f>$AH426*tbl_Data[[#This Row],[2027 ]]</f>
        <v>0.33513161226350563</v>
      </c>
      <c r="AL426" s="77">
        <f>$AH426*tbl_Data[[#This Row],[2028 ]]</f>
        <v>0.41200468957611919</v>
      </c>
      <c r="AM426" s="77">
        <f>$AH426*tbl_Data[[#This Row],[2029 ]]</f>
        <v>0.49326100986176408</v>
      </c>
      <c r="AN426" s="77">
        <f>$AH426*tbl_Data[[#This Row],[2030 ]]</f>
        <v>0.57193458412661846</v>
      </c>
      <c r="AO426" s="77">
        <f>$AH426*tbl_Data[[#This Row],[2031 ]]</f>
        <v>0.63969575649866917</v>
      </c>
      <c r="AP426" s="77">
        <f>$AH426*tbl_Data[[#This Row],[2032 ]]</f>
        <v>0.68835147595900092</v>
      </c>
      <c r="AQ426" s="77">
        <f>$AH426*tbl_Data[[#This Row],[2033 ]]</f>
        <v>0.70938221689977243</v>
      </c>
      <c r="AR426" s="77">
        <f>$AH426*tbl_Data[[#This Row],[2034 ]]</f>
        <v>0.69671767098622372</v>
      </c>
      <c r="AS426" s="77">
        <f>SUM(tbl_Data[[#This Row],[Adjusted 2025]:[Adjusted 2034]])</f>
        <v>5.0205785869520394</v>
      </c>
      <c r="AT426" s="80">
        <f>AVERAGEIFS('3. Incentive Adjustment'!F:F,'3. Incentive Adjustment'!A:A,tbl_Data[[#This Row],[Trimmed Sector]],'3. Incentive Adjustment'!B:B,tbl_Data[[#This Row],[Trimmed Measure Name]])</f>
        <v>716.2547365811331</v>
      </c>
      <c r="AU426" s="80">
        <f>IFERROR(VLOOKUP(tbl_Data[[#This Row],[All_Meas_Name_Append]],'IRA Tax Credits'!$A$3:$D$46,4,0),0)</f>
        <v>0</v>
      </c>
      <c r="AV426" s="81">
        <f>tbl_Data[[#This Row],[Adj. per unit Incentive ($)]]/tbl_Data[[#This Row],[kWh Savings]]*tbl_Data[[#This Row],[Sum of Annuals]]</f>
        <v>0.64297304087623719</v>
      </c>
      <c r="AW426" s="81">
        <f>IFERROR(VLOOKUP(tbl_Data[[#This Row],[Column1]],'1. Set Program Names'!$B$2:$D$15,3,0)*tbl_Data[[#This Row],[Sum of Annuals]],"")</f>
        <v>0.15889225598526593</v>
      </c>
      <c r="AX426" s="81">
        <f>tbl_Data[[#This Row],[per unit IRA tax ($)]]/tbl_Data[[#This Row],[kWh Savings]]*tbl_Data[[#This Row],[Sum of Annuals]]</f>
        <v>0</v>
      </c>
      <c r="AY426" s="81">
        <f>tbl_Data[[#This Row],[Avoided Costs ($/unit)]]/tbl_Data[[#This Row],[kWh Savings]]*tbl_Data[[#This Row],[Sum of Annuals]]</f>
        <v>2.8772510039641448</v>
      </c>
      <c r="AZ426" s="81">
        <f>tbl_Data[[#This Row],[Lost Revenue ($/unit)]]/tbl_Data[[#This Row],[kWh Savings]]*tbl_Data[[#This Row],[Sum of Annuals]]</f>
        <v>6.4434020372340672</v>
      </c>
      <c r="BA426" s="81">
        <f>tbl_Data[[#This Row],[Incremental Cost ($/unit)]]/tbl_Data[[#This Row],[kWh Savings]]*tbl_Data[[#This Row],[Sum of Annuals]]</f>
        <v>2.0413417465574315</v>
      </c>
      <c r="BB426" s="77">
        <f>ROUNDUP(tbl_Data[[#This Row],[Adjusted 2025]]/$L426,0)</f>
        <v>1</v>
      </c>
      <c r="BC426" s="77">
        <f>ROUNDUP(tbl_Data[[#This Row],[Adjusted 2026]]/$L426,0)</f>
        <v>1</v>
      </c>
      <c r="BD426" s="77">
        <f>ROUNDUP(tbl_Data[[#This Row],[Adjusted 2027]]/$L426,0)</f>
        <v>1</v>
      </c>
      <c r="BE426" s="77">
        <f>ROUNDUP(tbl_Data[[#This Row],[Adjusted 2028]]/$L426,0)</f>
        <v>1</v>
      </c>
      <c r="BF426" s="77">
        <f>ROUNDUP(tbl_Data[[#This Row],[Adjusted 2029]]/$L426,0)</f>
        <v>1</v>
      </c>
      <c r="BG426" s="77">
        <f>ROUNDUP(tbl_Data[[#This Row],[Adjusted 2030]]/$L426,0)</f>
        <v>1</v>
      </c>
      <c r="BH426" s="77">
        <f>ROUNDUP(tbl_Data[[#This Row],[Adjusted 2031]]/$L426,0)</f>
        <v>1</v>
      </c>
      <c r="BI426" s="77">
        <f>ROUNDUP(tbl_Data[[#This Row],[Adjusted 2032]]/$L426,0)</f>
        <v>1</v>
      </c>
      <c r="BJ426" s="77">
        <f>ROUNDUP(tbl_Data[[#This Row],[Adjusted 2033]]/$L426,0)</f>
        <v>1</v>
      </c>
      <c r="BK426" s="77">
        <f>ROUNDUP(tbl_Data[[#This Row],[Adjusted 2034]]/$L426,0)</f>
        <v>1</v>
      </c>
      <c r="BL426" s="80">
        <f t="shared" si="177"/>
        <v>3.2175027680550659E-2</v>
      </c>
      <c r="BM426" s="80">
        <f t="shared" si="178"/>
        <v>4.140385673683402E-2</v>
      </c>
      <c r="BN426" s="80">
        <f t="shared" si="179"/>
        <v>5.201145852707751E-2</v>
      </c>
      <c r="BO426" s="80">
        <f t="shared" si="180"/>
        <v>6.39419381541384E-2</v>
      </c>
      <c r="BP426" s="80">
        <f t="shared" si="181"/>
        <v>7.655268443395144E-2</v>
      </c>
      <c r="BQ426" s="80">
        <f t="shared" si="182"/>
        <v>8.8762595989045331E-2</v>
      </c>
      <c r="BR426" s="80">
        <f t="shared" si="183"/>
        <v>9.9278934280056658E-2</v>
      </c>
      <c r="BS426" s="80">
        <f t="shared" si="184"/>
        <v>0.10683016144637474</v>
      </c>
      <c r="BT426" s="80">
        <f t="shared" si="185"/>
        <v>0.11009407171388658</v>
      </c>
      <c r="BU426" s="80">
        <f t="shared" si="186"/>
        <v>0.10812857075711951</v>
      </c>
      <c r="BV426" s="80">
        <f>IFERROR(VLOOKUP($H426,'1. Set Program Names'!$B$2:$D$15,3,0)*V426,"NA")</f>
        <v>7.9511307777134742E-3</v>
      </c>
      <c r="BW426" s="80">
        <f>IFERROR(VLOOKUP($H426,'1. Set Program Names'!$B$2:$D$15,3,0)*W426,"NA")</f>
        <v>1.0231769895734434E-2</v>
      </c>
      <c r="BX426" s="80">
        <f>IFERROR(VLOOKUP($H426,'1. Set Program Names'!$B$2:$D$15,3,0)*X426,"NA")</f>
        <v>1.2853132957470582E-2</v>
      </c>
      <c r="BY426" s="80">
        <f>IFERROR(VLOOKUP($H426,'1. Set Program Names'!$B$2:$D$15,3,0)*Y426,"NA")</f>
        <v>1.5801407150034818E-2</v>
      </c>
      <c r="BZ426" s="80">
        <f>IFERROR(VLOOKUP($H426,'1. Set Program Names'!$B$2:$D$15,3,0)*Z426,"NA")</f>
        <v>1.8917789639923663E-2</v>
      </c>
      <c r="CA426" s="80">
        <f>IFERROR(VLOOKUP($H426,'1. Set Program Names'!$B$2:$D$15,3,0)*AA426,"NA")</f>
        <v>2.1935117380019176E-2</v>
      </c>
      <c r="CB426" s="80">
        <f>IFERROR(VLOOKUP($H426,'1. Set Program Names'!$B$2:$D$15,3,0)*AB426,"NA")</f>
        <v>2.4533927298217073E-2</v>
      </c>
      <c r="CC426" s="80">
        <f>IFERROR(VLOOKUP($H426,'1. Set Program Names'!$B$2:$D$15,3,0)*AC426,"NA")</f>
        <v>2.6399995459143989E-2</v>
      </c>
      <c r="CD426" s="80">
        <f>IFERROR(VLOOKUP($H426,'1. Set Program Names'!$B$2:$D$15,3,0)*AD426,"NA")</f>
        <v>2.7206576812899771E-2</v>
      </c>
      <c r="CE426" s="80">
        <f>IFERROR(VLOOKUP($H426,'1. Set Program Names'!$B$2:$D$15,3,0)*AE426,"NA")</f>
        <v>2.6720859898958383E-2</v>
      </c>
    </row>
    <row r="427" spans="1:83" x14ac:dyDescent="0.25">
      <c r="A427" s="79" t="s">
        <v>114</v>
      </c>
      <c r="B427" s="79" t="s">
        <v>88</v>
      </c>
      <c r="C427" s="79" t="s">
        <v>122</v>
      </c>
      <c r="D427" s="79" t="s">
        <v>90</v>
      </c>
      <c r="E427" s="79" t="s">
        <v>91</v>
      </c>
      <c r="F427" s="79" t="s">
        <v>90</v>
      </c>
      <c r="G427" s="79" t="s">
        <v>92</v>
      </c>
      <c r="H427" s="79" t="s">
        <v>18</v>
      </c>
      <c r="I427" s="79" t="s">
        <v>172</v>
      </c>
      <c r="J427" s="79" t="s">
        <v>144</v>
      </c>
      <c r="K427" s="79" t="s">
        <v>102</v>
      </c>
      <c r="L427" s="79">
        <v>18085.229999999901</v>
      </c>
      <c r="M427" s="79">
        <v>0.84213537152598805</v>
      </c>
      <c r="N427" s="79">
        <v>1.2419142635526399</v>
      </c>
      <c r="O427" s="79">
        <v>5343.87</v>
      </c>
      <c r="P427" s="79">
        <v>2505.3610009054501</v>
      </c>
      <c r="Q427" s="79">
        <v>572.36490674214201</v>
      </c>
      <c r="R427" s="79">
        <v>7297.3054636159204</v>
      </c>
      <c r="S427" s="79">
        <v>27879.9715993795</v>
      </c>
      <c r="T427" s="79">
        <v>30</v>
      </c>
      <c r="U427" s="79">
        <v>1</v>
      </c>
      <c r="V427" s="79">
        <f>tbl_Data_old[[#This Row],[2025 ]]*IFERROR(AVERAGEIFS('Participation Adjustment'!$C:$C,'Participation Adjustment'!$A:$A,$H427,'Participation Adjustment'!$B:$B,$I427),1)</f>
        <v>4.64269449999132</v>
      </c>
      <c r="W427" s="79">
        <f>tbl_Data_old[[#This Row],[2026 ]]*IFERROR(AVERAGEIFS('Participation Adjustment'!$C:$C,'Participation Adjustment'!$A:$A,$H427,'Participation Adjustment'!$B:$B,$I427),1)</f>
        <v>6.3931887636486904</v>
      </c>
      <c r="X427" s="79">
        <f>tbl_Data_old[[#This Row],[2027 ]]*IFERROR(AVERAGEIFS('Participation Adjustment'!$C:$C,'Participation Adjustment'!$A:$A,$H427,'Participation Adjustment'!$B:$B,$I427),1)</f>
        <v>8.5346326621434692</v>
      </c>
      <c r="Y427" s="79">
        <f>tbl_Data_old[[#This Row],[2028 ]]*IFERROR(AVERAGEIFS('Participation Adjustment'!$C:$C,'Participation Adjustment'!$A:$A,$H427,'Participation Adjustment'!$B:$B,$I427),1)</f>
        <v>11.0504440603942</v>
      </c>
      <c r="Z427" s="79">
        <f>tbl_Data_old[[#This Row],[2029 ]]*IFERROR(AVERAGEIFS('Participation Adjustment'!$C:$C,'Participation Adjustment'!$A:$A,$H427,'Participation Adjustment'!$B:$B,$I427),1)</f>
        <v>13.7418227652759</v>
      </c>
      <c r="AA427" s="79">
        <f>tbl_Data_old[[#This Row],[2030 ]]*IFERROR(AVERAGEIFS('Participation Adjustment'!$C:$C,'Participation Adjustment'!$A:$A,$H427,'Participation Adjustment'!$B:$B,$I427),1)</f>
        <v>16.1786397422206</v>
      </c>
      <c r="AB427" s="79">
        <f>tbl_Data_old[[#This Row],[2031 ]]*IFERROR(AVERAGEIFS('Participation Adjustment'!$C:$C,'Participation Adjustment'!$A:$A,$H427,'Participation Adjustment'!$B:$B,$I427),1)</f>
        <v>17.809501918343202</v>
      </c>
      <c r="AC427" s="79">
        <f>tbl_Data_old[[#This Row],[2032 ]]*IFERROR(AVERAGEIFS('Participation Adjustment'!$C:$C,'Participation Adjustment'!$A:$A,$H427,'Participation Adjustment'!$B:$B,$I427),1)</f>
        <v>18.102533770613</v>
      </c>
      <c r="AD427" s="79">
        <f>tbl_Data_old[[#This Row],[2033 ]]*IFERROR(AVERAGEIFS('Participation Adjustment'!$C:$C,'Participation Adjustment'!$A:$A,$H427,'Participation Adjustment'!$B:$B,$I427),1)</f>
        <v>16.774290396783499</v>
      </c>
      <c r="AE427" s="79">
        <f>tbl_Data_old[[#This Row],[2034 ]]*IFERROR(AVERAGEIFS('Participation Adjustment'!$C:$C,'Participation Adjustment'!$A:$A,$H427,'Participation Adjustment'!$B:$B,$I427),1)</f>
        <v>14.0969080771428</v>
      </c>
      <c r="AF427" s="77" t="str">
        <f t="shared" si="176"/>
        <v>NonResidential</v>
      </c>
      <c r="AG427" s="77" t="str">
        <f>tbl_Data[[#This Row],[All_Meas_Name_Append]]</f>
        <v>Drain water heat recovery</v>
      </c>
      <c r="AH427" s="77">
        <f>AVERAGEIFS('3. Incentive Adjustment'!G:G,'3. Incentive Adjustment'!A:A,tbl_Data[[#This Row],[Trimmed Sector]],'3. Incentive Adjustment'!B:B,tbl_Data[[#This Row],[Trimmed Measure Name]])</f>
        <v>0.69383814414313949</v>
      </c>
      <c r="AI427" s="77">
        <f>$AH427*tbl_Data[[#This Row],[2025 ]]</f>
        <v>3.2212785356975382</v>
      </c>
      <c r="AJ427" s="77">
        <f>$AH427*tbl_Data[[#This Row],[2026 ]]</f>
        <v>4.43583822692678</v>
      </c>
      <c r="AK427" s="77">
        <f>$AH427*tbl_Data[[#This Row],[2027 ]]</f>
        <v>5.9216536872450467</v>
      </c>
      <c r="AL427" s="77">
        <f>$AH427*tbl_Data[[#This Row],[2028 ]]</f>
        <v>7.6672195988214913</v>
      </c>
      <c r="AM427" s="77">
        <f>$AH427*tbl_Data[[#This Row],[2029 ]]</f>
        <v>9.5346008046029755</v>
      </c>
      <c r="AN427" s="77">
        <f>$AH427*tbl_Data[[#This Row],[2030 ]]</f>
        <v>11.225357373502781</v>
      </c>
      <c r="AO427" s="77">
        <f>$AH427*tbl_Data[[#This Row],[2031 ]]</f>
        <v>12.35691175913693</v>
      </c>
      <c r="AP427" s="77">
        <f>$AH427*tbl_Data[[#This Row],[2032 ]]</f>
        <v>12.560228435690634</v>
      </c>
      <c r="AQ427" s="77">
        <f>$AH427*tbl_Data[[#This Row],[2033 ]]</f>
        <v>11.638642518222349</v>
      </c>
      <c r="AR427" s="77">
        <f>$AH427*tbl_Data[[#This Row],[2034 ]]</f>
        <v>9.7809725384011941</v>
      </c>
      <c r="AS427" s="77">
        <f>SUM(tbl_Data[[#This Row],[Adjusted 2025]:[Adjusted 2034]])</f>
        <v>88.342703478247728</v>
      </c>
      <c r="AT427" s="80">
        <f>AVERAGEIFS('3. Incentive Adjustment'!F:F,'3. Incentive Adjustment'!A:A,tbl_Data[[#This Row],[Trimmed Sector]],'3. Incentive Adjustment'!B:B,tbl_Data[[#This Row],[Trimmed Measure Name]])</f>
        <v>0</v>
      </c>
      <c r="AU427" s="80">
        <f>IFERROR(VLOOKUP(tbl_Data[[#This Row],[All_Meas_Name_Append]],'IRA Tax Credits'!$A$3:$D$46,4,0),0)</f>
        <v>0</v>
      </c>
      <c r="AV427" s="81">
        <f>tbl_Data[[#This Row],[Adj. per unit Incentive ($)]]/tbl_Data[[#This Row],[kWh Savings]]*tbl_Data[[#This Row],[Sum of Annuals]]</f>
        <v>0</v>
      </c>
      <c r="AW427" s="81">
        <f>IFERROR(VLOOKUP(tbl_Data[[#This Row],[Column1]],'1. Set Program Names'!$B$2:$D$15,3,0)*tbl_Data[[#This Row],[Sum of Annuals]],"")</f>
        <v>2.7958872094895213</v>
      </c>
      <c r="AX427" s="81">
        <f>tbl_Data[[#This Row],[per unit IRA tax ($)]]/tbl_Data[[#This Row],[kWh Savings]]*tbl_Data[[#This Row],[Sum of Annuals]]</f>
        <v>0</v>
      </c>
      <c r="AY427" s="81">
        <f>tbl_Data[[#This Row],[Avoided Costs ($/unit)]]/tbl_Data[[#This Row],[kWh Savings]]*tbl_Data[[#This Row],[Sum of Annuals]]</f>
        <v>35.645866420411672</v>
      </c>
      <c r="AZ427" s="81">
        <f>tbl_Data[[#This Row],[Lost Revenue ($/unit)]]/tbl_Data[[#This Row],[kWh Savings]]*tbl_Data[[#This Row],[Sum of Annuals]]</f>
        <v>136.18804206448934</v>
      </c>
      <c r="BA427" s="81">
        <f>tbl_Data[[#This Row],[Incremental Cost ($/unit)]]/tbl_Data[[#This Row],[kWh Savings]]*tbl_Data[[#This Row],[Sum of Annuals]]</f>
        <v>26.103727894879206</v>
      </c>
      <c r="BB427" s="77">
        <f>ROUNDUP(tbl_Data[[#This Row],[Adjusted 2025]]/$L427,0)</f>
        <v>1</v>
      </c>
      <c r="BC427" s="77">
        <f>ROUNDUP(tbl_Data[[#This Row],[Adjusted 2026]]/$L427,0)</f>
        <v>1</v>
      </c>
      <c r="BD427" s="77">
        <f>ROUNDUP(tbl_Data[[#This Row],[Adjusted 2027]]/$L427,0)</f>
        <v>1</v>
      </c>
      <c r="BE427" s="77">
        <f>ROUNDUP(tbl_Data[[#This Row],[Adjusted 2028]]/$L427,0)</f>
        <v>1</v>
      </c>
      <c r="BF427" s="77">
        <f>ROUNDUP(tbl_Data[[#This Row],[Adjusted 2029]]/$L427,0)</f>
        <v>1</v>
      </c>
      <c r="BG427" s="77">
        <f>ROUNDUP(tbl_Data[[#This Row],[Adjusted 2030]]/$L427,0)</f>
        <v>1</v>
      </c>
      <c r="BH427" s="77">
        <f>ROUNDUP(tbl_Data[[#This Row],[Adjusted 2031]]/$L427,0)</f>
        <v>1</v>
      </c>
      <c r="BI427" s="77">
        <f>ROUNDUP(tbl_Data[[#This Row],[Adjusted 2032]]/$L427,0)</f>
        <v>1</v>
      </c>
      <c r="BJ427" s="77">
        <f>ROUNDUP(tbl_Data[[#This Row],[Adjusted 2033]]/$L427,0)</f>
        <v>1</v>
      </c>
      <c r="BK427" s="77">
        <f>ROUNDUP(tbl_Data[[#This Row],[Adjusted 2034]]/$L427,0)</f>
        <v>1</v>
      </c>
      <c r="BL427" s="80">
        <f t="shared" si="177"/>
        <v>0</v>
      </c>
      <c r="BM427" s="80">
        <f t="shared" si="178"/>
        <v>0</v>
      </c>
      <c r="BN427" s="80">
        <f t="shared" si="179"/>
        <v>0</v>
      </c>
      <c r="BO427" s="80">
        <f t="shared" si="180"/>
        <v>0</v>
      </c>
      <c r="BP427" s="80">
        <f t="shared" si="181"/>
        <v>0</v>
      </c>
      <c r="BQ427" s="80">
        <f t="shared" si="182"/>
        <v>0</v>
      </c>
      <c r="BR427" s="80">
        <f t="shared" si="183"/>
        <v>0</v>
      </c>
      <c r="BS427" s="80">
        <f t="shared" si="184"/>
        <v>0</v>
      </c>
      <c r="BT427" s="80">
        <f t="shared" si="185"/>
        <v>0</v>
      </c>
      <c r="BU427" s="80">
        <f t="shared" si="186"/>
        <v>0</v>
      </c>
      <c r="BV427" s="80">
        <f>IFERROR(VLOOKUP($H427,'1. Set Program Names'!$B$2:$D$15,3,0)*V427,"NA")</f>
        <v>0.14693290627322952</v>
      </c>
      <c r="BW427" s="80">
        <f>IFERROR(VLOOKUP($H427,'1. Set Program Names'!$B$2:$D$15,3,0)*W427,"NA")</f>
        <v>0.20233289211642363</v>
      </c>
      <c r="BX427" s="80">
        <f>IFERROR(VLOOKUP($H427,'1. Set Program Names'!$B$2:$D$15,3,0)*X427,"NA")</f>
        <v>0.27010572869386823</v>
      </c>
      <c r="BY427" s="80">
        <f>IFERROR(VLOOKUP($H427,'1. Set Program Names'!$B$2:$D$15,3,0)*Y427,"NA")</f>
        <v>0.34972662134165894</v>
      </c>
      <c r="BZ427" s="80">
        <f>IFERROR(VLOOKUP($H427,'1. Set Program Names'!$B$2:$D$15,3,0)*Z427,"NA")</f>
        <v>0.43490390254999345</v>
      </c>
      <c r="CA427" s="80">
        <f>IFERROR(VLOOKUP($H427,'1. Set Program Names'!$B$2:$D$15,3,0)*AA427,"NA")</f>
        <v>0.5120247642562934</v>
      </c>
      <c r="CB427" s="80">
        <f>IFERROR(VLOOKUP($H427,'1. Set Program Names'!$B$2:$D$15,3,0)*AB427,"NA")</f>
        <v>0.56363861032547269</v>
      </c>
      <c r="CC427" s="80">
        <f>IFERROR(VLOOKUP($H427,'1. Set Program Names'!$B$2:$D$15,3,0)*AC427,"NA")</f>
        <v>0.57291253986891122</v>
      </c>
      <c r="CD427" s="80">
        <f>IFERROR(VLOOKUP($H427,'1. Set Program Names'!$B$2:$D$15,3,0)*AD427,"NA")</f>
        <v>0.5308760330181389</v>
      </c>
      <c r="CE427" s="80">
        <f>IFERROR(VLOOKUP($H427,'1. Set Program Names'!$B$2:$D$15,3,0)*AE427,"NA")</f>
        <v>0.44614171215552256</v>
      </c>
    </row>
    <row r="428" spans="1:83" x14ac:dyDescent="0.25">
      <c r="A428" s="79" t="s">
        <v>114</v>
      </c>
      <c r="B428" s="79" t="s">
        <v>88</v>
      </c>
      <c r="C428" s="79" t="s">
        <v>122</v>
      </c>
      <c r="D428" s="79" t="s">
        <v>90</v>
      </c>
      <c r="E428" s="79" t="s">
        <v>91</v>
      </c>
      <c r="F428" s="79" t="s">
        <v>90</v>
      </c>
      <c r="G428" s="79" t="s">
        <v>92</v>
      </c>
      <c r="H428" s="79" t="s">
        <v>18</v>
      </c>
      <c r="I428" s="79" t="s">
        <v>133</v>
      </c>
      <c r="J428" s="79" t="s">
        <v>134</v>
      </c>
      <c r="K428" s="79" t="s">
        <v>98</v>
      </c>
      <c r="L428" s="79">
        <v>4486</v>
      </c>
      <c r="M428" s="79">
        <v>0.89185722946849999</v>
      </c>
      <c r="N428" s="79">
        <v>0.84310494165890204</v>
      </c>
      <c r="O428" s="79">
        <v>2050</v>
      </c>
      <c r="P428" s="79">
        <v>1127.1986160539</v>
      </c>
      <c r="Q428" s="79">
        <v>141.97380799941499</v>
      </c>
      <c r="R428" s="79">
        <v>2297.8137992477</v>
      </c>
      <c r="S428" s="79">
        <v>5757.3247860621796</v>
      </c>
      <c r="T428" s="79">
        <v>20</v>
      </c>
      <c r="U428" s="79">
        <v>1</v>
      </c>
      <c r="V428" s="79">
        <f>tbl_Data_old[[#This Row],[2025 ]]*IFERROR(AVERAGEIFS('Participation Adjustment'!$C:$C,'Participation Adjustment'!$A:$A,$H428,'Participation Adjustment'!$B:$B,$I428),1)</f>
        <v>10.066411241017301</v>
      </c>
      <c r="W428" s="79">
        <f>tbl_Data_old[[#This Row],[2026 ]]*IFERROR(AVERAGEIFS('Participation Adjustment'!$C:$C,'Participation Adjustment'!$A:$A,$H428,'Participation Adjustment'!$B:$B,$I428),1)</f>
        <v>13.0178304662372</v>
      </c>
      <c r="X428" s="79">
        <f>tbl_Data_old[[#This Row],[2027 ]]*IFERROR(AVERAGEIFS('Participation Adjustment'!$C:$C,'Participation Adjustment'!$A:$A,$H428,'Participation Adjustment'!$B:$B,$I428),1)</f>
        <v>16.467392508930502</v>
      </c>
      <c r="Y428" s="79">
        <f>tbl_Data_old[[#This Row],[2028 ]]*IFERROR(AVERAGEIFS('Participation Adjustment'!$C:$C,'Participation Adjustment'!$A:$A,$H428,'Participation Adjustment'!$B:$B,$I428),1)</f>
        <v>20.427132414325001</v>
      </c>
      <c r="Z428" s="79">
        <f>tbl_Data_old[[#This Row],[2029 ]]*IFERROR(AVERAGEIFS('Participation Adjustment'!$C:$C,'Participation Adjustment'!$A:$A,$H428,'Participation Adjustment'!$B:$B,$I428),1)</f>
        <v>24.7240875596199</v>
      </c>
      <c r="AA428" s="79">
        <f>tbl_Data_old[[#This Row],[2030 ]]*IFERROR(AVERAGEIFS('Participation Adjustment'!$C:$C,'Participation Adjustment'!$A:$A,$H428,'Participation Adjustment'!$B:$B,$I428),1)</f>
        <v>29.038324856383099</v>
      </c>
      <c r="AB428" s="79">
        <f>tbl_Data_old[[#This Row],[2031 ]]*IFERROR(AVERAGEIFS('Participation Adjustment'!$C:$C,'Participation Adjustment'!$A:$A,$H428,'Participation Adjustment'!$B:$B,$I428),1)</f>
        <v>32.9573517648939</v>
      </c>
      <c r="AC428" s="79">
        <f>tbl_Data_old[[#This Row],[2032 ]]*IFERROR(AVERAGEIFS('Participation Adjustment'!$C:$C,'Participation Adjustment'!$A:$A,$H428,'Participation Adjustment'!$B:$B,$I428),1)</f>
        <v>36.042597890180303</v>
      </c>
      <c r="AD428" s="79">
        <f>tbl_Data_old[[#This Row],[2033 ]]*IFERROR(AVERAGEIFS('Participation Adjustment'!$C:$C,'Participation Adjustment'!$A:$A,$H428,'Participation Adjustment'!$B:$B,$I428),1)</f>
        <v>37.7981682877843</v>
      </c>
      <c r="AE428" s="79">
        <f>tbl_Data_old[[#This Row],[2034 ]]*IFERROR(AVERAGEIFS('Participation Adjustment'!$C:$C,'Participation Adjustment'!$A:$A,$H428,'Participation Adjustment'!$B:$B,$I428),1)</f>
        <v>37.813341721889699</v>
      </c>
      <c r="AF428" s="77" t="str">
        <f t="shared" si="176"/>
        <v>NonResidential</v>
      </c>
      <c r="AG428" s="77" t="str">
        <f>tbl_Data[[#This Row],[All_Meas_Name_Append]]</f>
        <v>Efficient Exhaust Hood</v>
      </c>
      <c r="AH428" s="77">
        <f>AVERAGEIFS('3. Incentive Adjustment'!G:G,'3. Incentive Adjustment'!A:A,tbl_Data[[#This Row],[Trimmed Sector]],'3. Incentive Adjustment'!B:B,tbl_Data[[#This Row],[Trimmed Measure Name]])</f>
        <v>0.51531219842413434</v>
      </c>
      <c r="AI428" s="77">
        <f>$AH428*tbl_Data[[#This Row],[2025 ]]</f>
        <v>5.1873445068500441</v>
      </c>
      <c r="AJ428" s="77">
        <f>$AH428*tbl_Data[[#This Row],[2026 ]]</f>
        <v>6.7082468362693648</v>
      </c>
      <c r="AK428" s="77">
        <f>$AH428*tbl_Data[[#This Row],[2027 ]]</f>
        <v>8.4858482360900975</v>
      </c>
      <c r="AL428" s="77">
        <f>$AH428*tbl_Data[[#This Row],[2028 ]]</f>
        <v>10.526350511926712</v>
      </c>
      <c r="AM428" s="77">
        <f>$AH428*tbl_Data[[#This Row],[2029 ]]</f>
        <v>12.740623914378521</v>
      </c>
      <c r="AN428" s="77">
        <f>$AH428*tbl_Data[[#This Row],[2030 ]]</f>
        <v>14.963803020296959</v>
      </c>
      <c r="AO428" s="77">
        <f>$AH428*tbl_Data[[#This Row],[2031 ]]</f>
        <v>16.983325392205</v>
      </c>
      <c r="AP428" s="77">
        <f>$AH428*tbl_Data[[#This Row],[2032 ]]</f>
        <v>18.573190355705879</v>
      </c>
      <c r="AQ428" s="77">
        <f>$AH428*tbl_Data[[#This Row],[2033 ]]</f>
        <v>19.477857196783525</v>
      </c>
      <c r="AR428" s="77">
        <f>$AH428*tbl_Data[[#This Row],[2034 ]]</f>
        <v>19.485676252470022</v>
      </c>
      <c r="AS428" s="77">
        <f>SUM(tbl_Data[[#This Row],[Adjusted 2025]:[Adjusted 2034]])</f>
        <v>133.13226622297611</v>
      </c>
      <c r="AT428" s="80">
        <f>AVERAGEIFS('3. Incentive Adjustment'!F:F,'3. Incentive Adjustment'!A:A,tbl_Data[[#This Row],[Trimmed Sector]],'3. Incentive Adjustment'!B:B,tbl_Data[[#This Row],[Trimmed Measure Name]])</f>
        <v>0</v>
      </c>
      <c r="AU428" s="80">
        <f>IFERROR(VLOOKUP(tbl_Data[[#This Row],[All_Meas_Name_Append]],'IRA Tax Credits'!$A$3:$D$46,4,0),0)</f>
        <v>0</v>
      </c>
      <c r="AV428" s="81">
        <f>tbl_Data[[#This Row],[Adj. per unit Incentive ($)]]/tbl_Data[[#This Row],[kWh Savings]]*tbl_Data[[#This Row],[Sum of Annuals]]</f>
        <v>0</v>
      </c>
      <c r="AW428" s="81">
        <f>IFERROR(VLOOKUP(tbl_Data[[#This Row],[Column1]],'1. Set Program Names'!$B$2:$D$15,3,0)*tbl_Data[[#This Row],[Sum of Annuals]],"")</f>
        <v>4.2133960774114607</v>
      </c>
      <c r="AX428" s="81">
        <f>tbl_Data[[#This Row],[per unit IRA tax ($)]]/tbl_Data[[#This Row],[kWh Savings]]*tbl_Data[[#This Row],[Sum of Annuals]]</f>
        <v>0</v>
      </c>
      <c r="AY428" s="81">
        <f>tbl_Data[[#This Row],[Avoided Costs ($/unit)]]/tbl_Data[[#This Row],[kWh Savings]]*tbl_Data[[#This Row],[Sum of Annuals]]</f>
        <v>68.192857434746543</v>
      </c>
      <c r="AZ428" s="81">
        <f>tbl_Data[[#This Row],[Lost Revenue ($/unit)]]/tbl_Data[[#This Row],[kWh Savings]]*tbl_Data[[#This Row],[Sum of Annuals]]</f>
        <v>170.86172450962306</v>
      </c>
      <c r="BA428" s="81">
        <f>tbl_Data[[#This Row],[Incremental Cost ($/unit)]]/tbl_Data[[#This Row],[kWh Savings]]*tbl_Data[[#This Row],[Sum of Annuals]]</f>
        <v>60.83841858160968</v>
      </c>
      <c r="BB428" s="77">
        <f>ROUNDUP(tbl_Data[[#This Row],[Adjusted 2025]]/$L428,0)</f>
        <v>1</v>
      </c>
      <c r="BC428" s="77">
        <f>ROUNDUP(tbl_Data[[#This Row],[Adjusted 2026]]/$L428,0)</f>
        <v>1</v>
      </c>
      <c r="BD428" s="77">
        <f>ROUNDUP(tbl_Data[[#This Row],[Adjusted 2027]]/$L428,0)</f>
        <v>1</v>
      </c>
      <c r="BE428" s="77">
        <f>ROUNDUP(tbl_Data[[#This Row],[Adjusted 2028]]/$L428,0)</f>
        <v>1</v>
      </c>
      <c r="BF428" s="77">
        <f>ROUNDUP(tbl_Data[[#This Row],[Adjusted 2029]]/$L428,0)</f>
        <v>1</v>
      </c>
      <c r="BG428" s="77">
        <f>ROUNDUP(tbl_Data[[#This Row],[Adjusted 2030]]/$L428,0)</f>
        <v>1</v>
      </c>
      <c r="BH428" s="77">
        <f>ROUNDUP(tbl_Data[[#This Row],[Adjusted 2031]]/$L428,0)</f>
        <v>1</v>
      </c>
      <c r="BI428" s="77">
        <f>ROUNDUP(tbl_Data[[#This Row],[Adjusted 2032]]/$L428,0)</f>
        <v>1</v>
      </c>
      <c r="BJ428" s="77">
        <f>ROUNDUP(tbl_Data[[#This Row],[Adjusted 2033]]/$L428,0)</f>
        <v>1</v>
      </c>
      <c r="BK428" s="77">
        <f>ROUNDUP(tbl_Data[[#This Row],[Adjusted 2034]]/$L428,0)</f>
        <v>1</v>
      </c>
      <c r="BL428" s="80">
        <f t="shared" si="177"/>
        <v>0</v>
      </c>
      <c r="BM428" s="80">
        <f t="shared" si="178"/>
        <v>0</v>
      </c>
      <c r="BN428" s="80">
        <f t="shared" si="179"/>
        <v>0</v>
      </c>
      <c r="BO428" s="80">
        <f t="shared" si="180"/>
        <v>0</v>
      </c>
      <c r="BP428" s="80">
        <f t="shared" si="181"/>
        <v>0</v>
      </c>
      <c r="BQ428" s="80">
        <f t="shared" si="182"/>
        <v>0</v>
      </c>
      <c r="BR428" s="80">
        <f t="shared" si="183"/>
        <v>0</v>
      </c>
      <c r="BS428" s="80">
        <f t="shared" si="184"/>
        <v>0</v>
      </c>
      <c r="BT428" s="80">
        <f t="shared" si="185"/>
        <v>0</v>
      </c>
      <c r="BU428" s="80">
        <f t="shared" si="186"/>
        <v>0</v>
      </c>
      <c r="BV428" s="80">
        <f>IFERROR(VLOOKUP($H428,'1. Set Program Names'!$B$2:$D$15,3,0)*V428,"NA")</f>
        <v>0.31858375764051339</v>
      </c>
      <c r="BW428" s="80">
        <f>IFERROR(VLOOKUP($H428,'1. Set Program Names'!$B$2:$D$15,3,0)*W428,"NA")</f>
        <v>0.41199085224754683</v>
      </c>
      <c r="BX428" s="80">
        <f>IFERROR(VLOOKUP($H428,'1. Set Program Names'!$B$2:$D$15,3,0)*X428,"NA")</f>
        <v>0.52116326846052241</v>
      </c>
      <c r="BY428" s="80">
        <f>IFERROR(VLOOKUP($H428,'1. Set Program Names'!$B$2:$D$15,3,0)*Y428,"NA")</f>
        <v>0.64648189375167275</v>
      </c>
      <c r="BZ428" s="80">
        <f>IFERROR(VLOOKUP($H428,'1. Set Program Names'!$B$2:$D$15,3,0)*Z428,"NA")</f>
        <v>0.78247277310526087</v>
      </c>
      <c r="CA428" s="80">
        <f>IFERROR(VLOOKUP($H428,'1. Set Program Names'!$B$2:$D$15,3,0)*AA428,"NA")</f>
        <v>0.9190106013786834</v>
      </c>
      <c r="CB428" s="80">
        <f>IFERROR(VLOOKUP($H428,'1. Set Program Names'!$B$2:$D$15,3,0)*AB428,"NA")</f>
        <v>1.0430407337579641</v>
      </c>
      <c r="CC428" s="80">
        <f>IFERROR(VLOOKUP($H428,'1. Set Program Names'!$B$2:$D$15,3,0)*AC428,"NA")</f>
        <v>1.1406832083505525</v>
      </c>
      <c r="CD428" s="80">
        <f>IFERROR(VLOOKUP($H428,'1. Set Program Names'!$B$2:$D$15,3,0)*AD428,"NA")</f>
        <v>1.1962438446766528</v>
      </c>
      <c r="CE428" s="80">
        <f>IFERROR(VLOOKUP($H428,'1. Set Program Names'!$B$2:$D$15,3,0)*AE428,"NA")</f>
        <v>1.1967240564957282</v>
      </c>
    </row>
    <row r="429" spans="1:83" x14ac:dyDescent="0.25">
      <c r="A429" s="79" t="s">
        <v>114</v>
      </c>
      <c r="B429" s="79" t="s">
        <v>88</v>
      </c>
      <c r="C429" s="79" t="s">
        <v>122</v>
      </c>
      <c r="D429" s="79" t="s">
        <v>90</v>
      </c>
      <c r="E429" s="79" t="s">
        <v>91</v>
      </c>
      <c r="F429" s="79" t="s">
        <v>90</v>
      </c>
      <c r="G429" s="79" t="s">
        <v>92</v>
      </c>
      <c r="H429" s="79" t="s">
        <v>18</v>
      </c>
      <c r="I429" s="79" t="s">
        <v>173</v>
      </c>
      <c r="J429" s="79" t="s">
        <v>129</v>
      </c>
      <c r="K429" s="79" t="s">
        <v>130</v>
      </c>
      <c r="L429" s="79">
        <v>142641.03499999901</v>
      </c>
      <c r="M429" s="79">
        <v>27.8398087391258</v>
      </c>
      <c r="N429" s="79">
        <v>0</v>
      </c>
      <c r="O429" s="79">
        <v>59303.302436563899</v>
      </c>
      <c r="P429" s="79">
        <v>29333.7078862829</v>
      </c>
      <c r="Q429" s="79">
        <v>4514.3314569611503</v>
      </c>
      <c r="R429" s="79">
        <v>66617.989682832806</v>
      </c>
      <c r="S429" s="79">
        <v>154925.29091738301</v>
      </c>
      <c r="T429" s="79">
        <v>15</v>
      </c>
      <c r="U429" s="79">
        <v>1</v>
      </c>
      <c r="V429" s="79">
        <f>tbl_Data_old[[#This Row],[2025 ]]*IFERROR(AVERAGEIFS('Participation Adjustment'!$C:$C,'Participation Adjustment'!$A:$A,$H429,'Participation Adjustment'!$B:$B,$I429),1)</f>
        <v>2.0291717951960199E-2</v>
      </c>
      <c r="W429" s="79">
        <f>tbl_Data_old[[#This Row],[2026 ]]*IFERROR(AVERAGEIFS('Participation Adjustment'!$C:$C,'Participation Adjustment'!$A:$A,$H429,'Participation Adjustment'!$B:$B,$I429),1)</f>
        <v>2.74700299967175E-2</v>
      </c>
      <c r="X429" s="79">
        <f>tbl_Data_old[[#This Row],[2027 ]]*IFERROR(AVERAGEIFS('Participation Adjustment'!$C:$C,'Participation Adjustment'!$A:$A,$H429,'Participation Adjustment'!$B:$B,$I429),1)</f>
        <v>3.6195694133328703E-2</v>
      </c>
      <c r="Y429" s="79">
        <f>tbl_Data_old[[#This Row],[2028 ]]*IFERROR(AVERAGEIFS('Participation Adjustment'!$C:$C,'Participation Adjustment'!$A:$A,$H429,'Participation Adjustment'!$B:$B,$I429),1)</f>
        <v>4.6142589167715901E-2</v>
      </c>
      <c r="Z429" s="79">
        <f>tbl_Data_old[[#This Row],[2029 ]]*IFERROR(AVERAGEIFS('Participation Adjustment'!$C:$C,'Participation Adjustment'!$A:$A,$H429,'Participation Adjustment'!$B:$B,$I429),1)</f>
        <v>5.6390668874265797E-2</v>
      </c>
      <c r="AA429" s="79">
        <f>tbl_Data_old[[#This Row],[2030 ]]*IFERROR(AVERAGEIFS('Participation Adjustment'!$C:$C,'Participation Adjustment'!$A:$A,$H429,'Participation Adjustment'!$B:$B,$I429),1)</f>
        <v>6.5854855890083705E-2</v>
      </c>
      <c r="AB429" s="79">
        <f>tbl_Data_old[[#This Row],[2031 ]]*IFERROR(AVERAGEIFS('Participation Adjustment'!$C:$C,'Participation Adjustment'!$A:$A,$H429,'Participation Adjustment'!$B:$B,$I429),1)</f>
        <v>7.2778379576989793E-2</v>
      </c>
      <c r="AC429" s="79">
        <f>tbl_Data_old[[#This Row],[2032 ]]*IFERROR(AVERAGEIFS('Participation Adjustment'!$C:$C,'Participation Adjustment'!$A:$A,$H429,'Participation Adjustment'!$B:$B,$I429),1)</f>
        <v>7.5858401236406595E-2</v>
      </c>
      <c r="AD429" s="79">
        <f>tbl_Data_old[[#This Row],[2033 ]]*IFERROR(AVERAGEIFS('Participation Adjustment'!$C:$C,'Participation Adjustment'!$A:$A,$H429,'Participation Adjustment'!$B:$B,$I429),1)</f>
        <v>7.4743244360131203E-2</v>
      </c>
      <c r="AE429" s="79">
        <f>tbl_Data_old[[#This Row],[2034 ]]*IFERROR(AVERAGEIFS('Participation Adjustment'!$C:$C,'Participation Adjustment'!$A:$A,$H429,'Participation Adjustment'!$B:$B,$I429),1)</f>
        <v>6.95767891664167E-2</v>
      </c>
      <c r="AF429" s="77" t="str">
        <f t="shared" si="176"/>
        <v>NonResidential</v>
      </c>
      <c r="AG429" s="77" t="str">
        <f>tbl_Data[[#This Row],[All_Meas_Name_Append]]</f>
        <v>Facility Energy Management System_SC</v>
      </c>
      <c r="AH429" s="77">
        <f>AVERAGEIFS('3. Incentive Adjustment'!G:G,'3. Incentive Adjustment'!A:A,tbl_Data[[#This Row],[Trimmed Sector]],'3. Incentive Adjustment'!B:B,tbl_Data[[#This Row],[Trimmed Measure Name]])</f>
        <v>0.86797534995247072</v>
      </c>
      <c r="AI429" s="77">
        <f>$AH429*tbl_Data[[#This Row],[2025 ]]</f>
        <v>1.7612710990489486E-2</v>
      </c>
      <c r="AJ429" s="77">
        <f>$AH429*tbl_Data[[#This Row],[2026 ]]</f>
        <v>2.3843308899605741E-2</v>
      </c>
      <c r="AK429" s="77">
        <f>$AH429*tbl_Data[[#This Row],[2027 ]]</f>
        <v>3.1416970282148571E-2</v>
      </c>
      <c r="AL429" s="77">
        <f>$AH429*tbl_Data[[#This Row],[2028 ]]</f>
        <v>4.0050629980561296E-2</v>
      </c>
      <c r="AM429" s="77">
        <f>$AH429*tbl_Data[[#This Row],[2029 ]]</f>
        <v>4.8945710550194754E-2</v>
      </c>
      <c r="AN429" s="77">
        <f>$AH429*tbl_Data[[#This Row],[2030 ]]</f>
        <v>5.7160391587264929E-2</v>
      </c>
      <c r="AO429" s="77">
        <f>$AH429*tbl_Data[[#This Row],[2031 ]]</f>
        <v>6.316983948231146E-2</v>
      </c>
      <c r="AP429" s="77">
        <f>$AH429*tbl_Data[[#This Row],[2032 ]]</f>
        <v>6.5843222360004949E-2</v>
      </c>
      <c r="AQ429" s="77">
        <f>$AH429*tbl_Data[[#This Row],[2033 ]]</f>
        <v>6.4875293680067919E-2</v>
      </c>
      <c r="AR429" s="77">
        <f>$AH429*tbl_Data[[#This Row],[2034 ]]</f>
        <v>6.0390937925289809E-2</v>
      </c>
      <c r="AS429" s="77">
        <f>SUM(tbl_Data[[#This Row],[Adjusted 2025]:[Adjusted 2034]])</f>
        <v>0.47330901573793893</v>
      </c>
      <c r="AT429" s="80">
        <f>AVERAGEIFS('3. Incentive Adjustment'!F:F,'3. Incentive Adjustment'!A:A,tbl_Data[[#This Row],[Trimmed Sector]],'3. Incentive Adjustment'!B:B,tbl_Data[[#This Row],[Trimmed Measure Name]])</f>
        <v>21679.111511953593</v>
      </c>
      <c r="AU429" s="80">
        <f>IFERROR(VLOOKUP(tbl_Data[[#This Row],[All_Meas_Name_Append]],'IRA Tax Credits'!$A$3:$D$46,4,0),0)</f>
        <v>0</v>
      </c>
      <c r="AV429" s="81">
        <f>tbl_Data[[#This Row],[Adj. per unit Incentive ($)]]/tbl_Data[[#This Row],[kWh Savings]]*tbl_Data[[#This Row],[Sum of Annuals]]</f>
        <v>7.193525293612632E-2</v>
      </c>
      <c r="AW429" s="81">
        <f>IFERROR(VLOOKUP(tbl_Data[[#This Row],[Column1]],'1. Set Program Names'!$B$2:$D$15,3,0)*tbl_Data[[#This Row],[Sum of Annuals]],"")</f>
        <v>1.4979376577077626E-2</v>
      </c>
      <c r="AX429" s="81">
        <f>tbl_Data[[#This Row],[per unit IRA tax ($)]]/tbl_Data[[#This Row],[kWh Savings]]*tbl_Data[[#This Row],[Sum of Annuals]]</f>
        <v>0</v>
      </c>
      <c r="AY429" s="81">
        <f>tbl_Data[[#This Row],[Avoided Costs ($/unit)]]/tbl_Data[[#This Row],[kWh Savings]]*tbl_Data[[#This Row],[Sum of Annuals]]</f>
        <v>0.22105066138381557</v>
      </c>
      <c r="AZ429" s="81">
        <f>tbl_Data[[#This Row],[Lost Revenue ($/unit)]]/tbl_Data[[#This Row],[kWh Savings]]*tbl_Data[[#This Row],[Sum of Annuals]]</f>
        <v>0.51407042129931901</v>
      </c>
      <c r="BA429" s="81">
        <f>tbl_Data[[#This Row],[Incremental Cost ($/unit)]]/tbl_Data[[#This Row],[kWh Savings]]*tbl_Data[[#This Row],[Sum of Annuals]]</f>
        <v>0.19677919265139635</v>
      </c>
      <c r="BB429" s="77">
        <f>ROUNDUP(tbl_Data[[#This Row],[Adjusted 2025]]/$L429,0)</f>
        <v>1</v>
      </c>
      <c r="BC429" s="77">
        <f>ROUNDUP(tbl_Data[[#This Row],[Adjusted 2026]]/$L429,0)</f>
        <v>1</v>
      </c>
      <c r="BD429" s="77">
        <f>ROUNDUP(tbl_Data[[#This Row],[Adjusted 2027]]/$L429,0)</f>
        <v>1</v>
      </c>
      <c r="BE429" s="77">
        <f>ROUNDUP(tbl_Data[[#This Row],[Adjusted 2028]]/$L429,0)</f>
        <v>1</v>
      </c>
      <c r="BF429" s="77">
        <f>ROUNDUP(tbl_Data[[#This Row],[Adjusted 2029]]/$L429,0)</f>
        <v>1</v>
      </c>
      <c r="BG429" s="77">
        <f>ROUNDUP(tbl_Data[[#This Row],[Adjusted 2030]]/$L429,0)</f>
        <v>1</v>
      </c>
      <c r="BH429" s="77">
        <f>ROUNDUP(tbl_Data[[#This Row],[Adjusted 2031]]/$L429,0)</f>
        <v>1</v>
      </c>
      <c r="BI429" s="77">
        <f>ROUNDUP(tbl_Data[[#This Row],[Adjusted 2032]]/$L429,0)</f>
        <v>1</v>
      </c>
      <c r="BJ429" s="77">
        <f>ROUNDUP(tbl_Data[[#This Row],[Adjusted 2033]]/$L429,0)</f>
        <v>1</v>
      </c>
      <c r="BK429" s="77">
        <f>ROUNDUP(tbl_Data[[#This Row],[Adjusted 2034]]/$L429,0)</f>
        <v>1</v>
      </c>
      <c r="BL429" s="80">
        <f t="shared" si="177"/>
        <v>3.0840102656970957E-3</v>
      </c>
      <c r="BM429" s="80">
        <f t="shared" si="178"/>
        <v>4.174996651808878E-3</v>
      </c>
      <c r="BN429" s="80">
        <f t="shared" si="179"/>
        <v>5.5011553258079117E-3</v>
      </c>
      <c r="BO429" s="80">
        <f t="shared" si="180"/>
        <v>7.0129211837055292E-3</v>
      </c>
      <c r="BP429" s="80">
        <f t="shared" si="181"/>
        <v>8.5704622008587299E-3</v>
      </c>
      <c r="BQ429" s="80">
        <f t="shared" si="182"/>
        <v>1.0008864310643626E-2</v>
      </c>
      <c r="BR429" s="80">
        <f t="shared" si="183"/>
        <v>1.1061127020768311E-2</v>
      </c>
      <c r="BS429" s="80">
        <f t="shared" si="184"/>
        <v>1.1529240092253874E-2</v>
      </c>
      <c r="BT429" s="80">
        <f t="shared" si="185"/>
        <v>1.1359754430052278E-2</v>
      </c>
      <c r="BU429" s="80">
        <f t="shared" si="186"/>
        <v>1.0574537481324659E-2</v>
      </c>
      <c r="BV429" s="80">
        <f>IFERROR(VLOOKUP($H429,'1. Set Program Names'!$B$2:$D$15,3,0)*V429,"NA")</f>
        <v>6.4219627028307613E-4</v>
      </c>
      <c r="BW429" s="80">
        <f>IFERROR(VLOOKUP($H429,'1. Set Program Names'!$B$2:$D$15,3,0)*W429,"NA")</f>
        <v>8.6937689801429795E-4</v>
      </c>
      <c r="BX429" s="80">
        <f>IFERROR(VLOOKUP($H429,'1. Set Program Names'!$B$2:$D$15,3,0)*X429,"NA")</f>
        <v>1.1455284282859475E-3</v>
      </c>
      <c r="BY429" s="80">
        <f>IFERROR(VLOOKUP($H429,'1. Set Program Names'!$B$2:$D$15,3,0)*Y429,"NA")</f>
        <v>1.4603297135740488E-3</v>
      </c>
      <c r="BZ429" s="80">
        <f>IFERROR(VLOOKUP($H429,'1. Set Program Names'!$B$2:$D$15,3,0)*Z429,"NA")</f>
        <v>1.7846629504488629E-3</v>
      </c>
      <c r="CA429" s="80">
        <f>IFERROR(VLOOKUP($H429,'1. Set Program Names'!$B$2:$D$15,3,0)*AA429,"NA")</f>
        <v>2.0841873976745178E-3</v>
      </c>
      <c r="CB429" s="80">
        <f>IFERROR(VLOOKUP($H429,'1. Set Program Names'!$B$2:$D$15,3,0)*AB429,"NA")</f>
        <v>2.3033044334757231E-3</v>
      </c>
      <c r="CC429" s="80">
        <f>IFERROR(VLOOKUP($H429,'1. Set Program Names'!$B$2:$D$15,3,0)*AC429,"NA")</f>
        <v>2.4007815631476091E-3</v>
      </c>
      <c r="CD429" s="80">
        <f>IFERROR(VLOOKUP($H429,'1. Set Program Names'!$B$2:$D$15,3,0)*AD429,"NA")</f>
        <v>2.3654888595716953E-3</v>
      </c>
      <c r="CE429" s="80">
        <f>IFERROR(VLOOKUP($H429,'1. Set Program Names'!$B$2:$D$15,3,0)*AE429,"NA")</f>
        <v>2.2019798721196215E-3</v>
      </c>
    </row>
    <row r="430" spans="1:83" x14ac:dyDescent="0.25">
      <c r="A430" s="79" t="s">
        <v>114</v>
      </c>
      <c r="B430" s="79" t="s">
        <v>88</v>
      </c>
      <c r="C430" s="79" t="s">
        <v>122</v>
      </c>
      <c r="D430" s="79" t="s">
        <v>90</v>
      </c>
      <c r="E430" s="79" t="s">
        <v>91</v>
      </c>
      <c r="F430" s="79" t="s">
        <v>90</v>
      </c>
      <c r="G430" s="79" t="s">
        <v>92</v>
      </c>
      <c r="H430" s="79" t="s">
        <v>18</v>
      </c>
      <c r="I430" s="79" t="s">
        <v>174</v>
      </c>
      <c r="J430" s="79" t="s">
        <v>132</v>
      </c>
      <c r="K430" s="79" t="s">
        <v>130</v>
      </c>
      <c r="L430" s="79">
        <v>2657.18</v>
      </c>
      <c r="M430" s="79">
        <v>0</v>
      </c>
      <c r="N430" s="79">
        <v>0.57468805905447795</v>
      </c>
      <c r="O430" s="79">
        <v>1080.72711480357</v>
      </c>
      <c r="P430" s="79">
        <v>534.12671770284101</v>
      </c>
      <c r="Q430" s="79">
        <v>84.094953887624897</v>
      </c>
      <c r="R430" s="79">
        <v>1466.48739383472</v>
      </c>
      <c r="S430" s="79">
        <v>2886.0165275711402</v>
      </c>
      <c r="T430" s="79">
        <v>15</v>
      </c>
      <c r="U430" s="79">
        <v>1</v>
      </c>
      <c r="V430" s="79">
        <f>tbl_Data_old[[#This Row],[2025 ]]*IFERROR(AVERAGEIFS('Participation Adjustment'!$C:$C,'Participation Adjustment'!$A:$A,$H430,'Participation Adjustment'!$B:$B,$I430),1)</f>
        <v>0</v>
      </c>
      <c r="W430" s="79">
        <f>tbl_Data_old[[#This Row],[2026 ]]*IFERROR(AVERAGEIFS('Participation Adjustment'!$C:$C,'Participation Adjustment'!$A:$A,$H430,'Participation Adjustment'!$B:$B,$I430),1)</f>
        <v>0</v>
      </c>
      <c r="X430" s="79">
        <f>tbl_Data_old[[#This Row],[2027 ]]*IFERROR(AVERAGEIFS('Participation Adjustment'!$C:$C,'Participation Adjustment'!$A:$A,$H430,'Participation Adjustment'!$B:$B,$I430),1)</f>
        <v>0</v>
      </c>
      <c r="Y430" s="79">
        <f>tbl_Data_old[[#This Row],[2028 ]]*IFERROR(AVERAGEIFS('Participation Adjustment'!$C:$C,'Participation Adjustment'!$A:$A,$H430,'Participation Adjustment'!$B:$B,$I430),1)</f>
        <v>0</v>
      </c>
      <c r="Z430" s="79">
        <f>tbl_Data_old[[#This Row],[2029 ]]*IFERROR(AVERAGEIFS('Participation Adjustment'!$C:$C,'Participation Adjustment'!$A:$A,$H430,'Participation Adjustment'!$B:$B,$I430),1)</f>
        <v>0</v>
      </c>
      <c r="AA430" s="79">
        <f>tbl_Data_old[[#This Row],[2030 ]]*IFERROR(AVERAGEIFS('Participation Adjustment'!$C:$C,'Participation Adjustment'!$A:$A,$H430,'Participation Adjustment'!$B:$B,$I430),1)</f>
        <v>0</v>
      </c>
      <c r="AB430" s="79">
        <f>tbl_Data_old[[#This Row],[2031 ]]*IFERROR(AVERAGEIFS('Participation Adjustment'!$C:$C,'Participation Adjustment'!$A:$A,$H430,'Participation Adjustment'!$B:$B,$I430),1)</f>
        <v>0</v>
      </c>
      <c r="AC430" s="79">
        <f>tbl_Data_old[[#This Row],[2032 ]]*IFERROR(AVERAGEIFS('Participation Adjustment'!$C:$C,'Participation Adjustment'!$A:$A,$H430,'Participation Adjustment'!$B:$B,$I430),1)</f>
        <v>0</v>
      </c>
      <c r="AD430" s="79">
        <f>tbl_Data_old[[#This Row],[2033 ]]*IFERROR(AVERAGEIFS('Participation Adjustment'!$C:$C,'Participation Adjustment'!$A:$A,$H430,'Participation Adjustment'!$B:$B,$I430),1)</f>
        <v>0</v>
      </c>
      <c r="AE430" s="79">
        <f>tbl_Data_old[[#This Row],[2034 ]]*IFERROR(AVERAGEIFS('Participation Adjustment'!$C:$C,'Participation Adjustment'!$A:$A,$H430,'Participation Adjustment'!$B:$B,$I430),1)</f>
        <v>0</v>
      </c>
      <c r="AF430" s="77" t="str">
        <f t="shared" si="176"/>
        <v>NonResidential</v>
      </c>
      <c r="AG430" s="77" t="str">
        <f>tbl_Data[[#This Row],[All_Meas_Name_Append]]</f>
        <v>Facility Energy Management System_SH</v>
      </c>
      <c r="AH430" s="77">
        <f>AVERAGEIFS('3. Incentive Adjustment'!G:G,'3. Incentive Adjustment'!A:A,tbl_Data[[#This Row],[Trimmed Sector]],'3. Incentive Adjustment'!B:B,tbl_Data[[#This Row],[Trimmed Measure Name]])</f>
        <v>0.63685031373688805</v>
      </c>
      <c r="AI430" s="77">
        <f>$AH430*tbl_Data[[#This Row],[2025 ]]</f>
        <v>0</v>
      </c>
      <c r="AJ430" s="77">
        <f>$AH430*tbl_Data[[#This Row],[2026 ]]</f>
        <v>0</v>
      </c>
      <c r="AK430" s="77">
        <f>$AH430*tbl_Data[[#This Row],[2027 ]]</f>
        <v>0</v>
      </c>
      <c r="AL430" s="77">
        <f>$AH430*tbl_Data[[#This Row],[2028 ]]</f>
        <v>0</v>
      </c>
      <c r="AM430" s="77">
        <f>$AH430*tbl_Data[[#This Row],[2029 ]]</f>
        <v>0</v>
      </c>
      <c r="AN430" s="77">
        <f>$AH430*tbl_Data[[#This Row],[2030 ]]</f>
        <v>0</v>
      </c>
      <c r="AO430" s="77">
        <f>$AH430*tbl_Data[[#This Row],[2031 ]]</f>
        <v>0</v>
      </c>
      <c r="AP430" s="77">
        <f>$AH430*tbl_Data[[#This Row],[2032 ]]</f>
        <v>0</v>
      </c>
      <c r="AQ430" s="77">
        <f>$AH430*tbl_Data[[#This Row],[2033 ]]</f>
        <v>0</v>
      </c>
      <c r="AR430" s="77">
        <f>$AH430*tbl_Data[[#This Row],[2034 ]]</f>
        <v>0</v>
      </c>
      <c r="AS430" s="77">
        <f>SUM(tbl_Data[[#This Row],[Adjusted 2025]:[Adjusted 2034]])</f>
        <v>0</v>
      </c>
      <c r="AT430" s="80">
        <f>AVERAGEIFS('3. Incentive Adjustment'!F:F,'3. Incentive Adjustment'!A:A,tbl_Data[[#This Row],[Trimmed Sector]],'3. Incentive Adjustment'!B:B,tbl_Data[[#This Row],[Trimmed Measure Name]])</f>
        <v>79.715399999999988</v>
      </c>
      <c r="AU430" s="80">
        <f>IFERROR(VLOOKUP(tbl_Data[[#This Row],[All_Meas_Name_Append]],'IRA Tax Credits'!$A$3:$D$46,4,0),0)</f>
        <v>0</v>
      </c>
      <c r="AV430" s="81">
        <f>tbl_Data[[#This Row],[Adj. per unit Incentive ($)]]/tbl_Data[[#This Row],[kWh Savings]]*tbl_Data[[#This Row],[Sum of Annuals]]</f>
        <v>0</v>
      </c>
      <c r="AW430" s="81">
        <f>IFERROR(VLOOKUP(tbl_Data[[#This Row],[Column1]],'1. Set Program Names'!$B$2:$D$15,3,0)*tbl_Data[[#This Row],[Sum of Annuals]],"")</f>
        <v>0</v>
      </c>
      <c r="AX430" s="81">
        <f>tbl_Data[[#This Row],[per unit IRA tax ($)]]/tbl_Data[[#This Row],[kWh Savings]]*tbl_Data[[#This Row],[Sum of Annuals]]</f>
        <v>0</v>
      </c>
      <c r="AY430" s="81">
        <f>tbl_Data[[#This Row],[Avoided Costs ($/unit)]]/tbl_Data[[#This Row],[kWh Savings]]*tbl_Data[[#This Row],[Sum of Annuals]]</f>
        <v>0</v>
      </c>
      <c r="AZ430" s="81">
        <f>tbl_Data[[#This Row],[Lost Revenue ($/unit)]]/tbl_Data[[#This Row],[kWh Savings]]*tbl_Data[[#This Row],[Sum of Annuals]]</f>
        <v>0</v>
      </c>
      <c r="BA430" s="81">
        <f>tbl_Data[[#This Row],[Incremental Cost ($/unit)]]/tbl_Data[[#This Row],[kWh Savings]]*tbl_Data[[#This Row],[Sum of Annuals]]</f>
        <v>0</v>
      </c>
      <c r="BB430" s="77">
        <f>ROUNDUP(tbl_Data[[#This Row],[Adjusted 2025]]/$L430,0)</f>
        <v>0</v>
      </c>
      <c r="BC430" s="77">
        <f>ROUNDUP(tbl_Data[[#This Row],[Adjusted 2026]]/$L430,0)</f>
        <v>0</v>
      </c>
      <c r="BD430" s="77">
        <f>ROUNDUP(tbl_Data[[#This Row],[Adjusted 2027]]/$L430,0)</f>
        <v>0</v>
      </c>
      <c r="BE430" s="77">
        <f>ROUNDUP(tbl_Data[[#This Row],[Adjusted 2028]]/$L430,0)</f>
        <v>0</v>
      </c>
      <c r="BF430" s="77">
        <f>ROUNDUP(tbl_Data[[#This Row],[Adjusted 2029]]/$L430,0)</f>
        <v>0</v>
      </c>
      <c r="BG430" s="77">
        <f>ROUNDUP(tbl_Data[[#This Row],[Adjusted 2030]]/$L430,0)</f>
        <v>0</v>
      </c>
      <c r="BH430" s="77">
        <f>ROUNDUP(tbl_Data[[#This Row],[Adjusted 2031]]/$L430,0)</f>
        <v>0</v>
      </c>
      <c r="BI430" s="77">
        <f>ROUNDUP(tbl_Data[[#This Row],[Adjusted 2032]]/$L430,0)</f>
        <v>0</v>
      </c>
      <c r="BJ430" s="77">
        <f>ROUNDUP(tbl_Data[[#This Row],[Adjusted 2033]]/$L430,0)</f>
        <v>0</v>
      </c>
      <c r="BK430" s="77">
        <f>ROUNDUP(tbl_Data[[#This Row],[Adjusted 2034]]/$L430,0)</f>
        <v>0</v>
      </c>
      <c r="BL430" s="80">
        <f t="shared" si="177"/>
        <v>0</v>
      </c>
      <c r="BM430" s="80">
        <f t="shared" si="178"/>
        <v>0</v>
      </c>
      <c r="BN430" s="80">
        <f t="shared" si="179"/>
        <v>0</v>
      </c>
      <c r="BO430" s="80">
        <f t="shared" si="180"/>
        <v>0</v>
      </c>
      <c r="BP430" s="80">
        <f t="shared" si="181"/>
        <v>0</v>
      </c>
      <c r="BQ430" s="80">
        <f t="shared" si="182"/>
        <v>0</v>
      </c>
      <c r="BR430" s="80">
        <f t="shared" si="183"/>
        <v>0</v>
      </c>
      <c r="BS430" s="80">
        <f t="shared" si="184"/>
        <v>0</v>
      </c>
      <c r="BT430" s="80">
        <f t="shared" si="185"/>
        <v>0</v>
      </c>
      <c r="BU430" s="80">
        <f t="shared" si="186"/>
        <v>0</v>
      </c>
      <c r="BV430" s="80">
        <f>IFERROR(VLOOKUP($H430,'1. Set Program Names'!$B$2:$D$15,3,0)*V430,"NA")</f>
        <v>0</v>
      </c>
      <c r="BW430" s="80">
        <f>IFERROR(VLOOKUP($H430,'1. Set Program Names'!$B$2:$D$15,3,0)*W430,"NA")</f>
        <v>0</v>
      </c>
      <c r="BX430" s="80">
        <f>IFERROR(VLOOKUP($H430,'1. Set Program Names'!$B$2:$D$15,3,0)*X430,"NA")</f>
        <v>0</v>
      </c>
      <c r="BY430" s="80">
        <f>IFERROR(VLOOKUP($H430,'1. Set Program Names'!$B$2:$D$15,3,0)*Y430,"NA")</f>
        <v>0</v>
      </c>
      <c r="BZ430" s="80">
        <f>IFERROR(VLOOKUP($H430,'1. Set Program Names'!$B$2:$D$15,3,0)*Z430,"NA")</f>
        <v>0</v>
      </c>
      <c r="CA430" s="80">
        <f>IFERROR(VLOOKUP($H430,'1. Set Program Names'!$B$2:$D$15,3,0)*AA430,"NA")</f>
        <v>0</v>
      </c>
      <c r="CB430" s="80">
        <f>IFERROR(VLOOKUP($H430,'1. Set Program Names'!$B$2:$D$15,3,0)*AB430,"NA")</f>
        <v>0</v>
      </c>
      <c r="CC430" s="80">
        <f>IFERROR(VLOOKUP($H430,'1. Set Program Names'!$B$2:$D$15,3,0)*AC430,"NA")</f>
        <v>0</v>
      </c>
      <c r="CD430" s="80">
        <f>IFERROR(VLOOKUP($H430,'1. Set Program Names'!$B$2:$D$15,3,0)*AD430,"NA")</f>
        <v>0</v>
      </c>
      <c r="CE430" s="80">
        <f>IFERROR(VLOOKUP($H430,'1. Set Program Names'!$B$2:$D$15,3,0)*AE430,"NA")</f>
        <v>0</v>
      </c>
    </row>
    <row r="431" spans="1:83" x14ac:dyDescent="0.25">
      <c r="A431" s="79" t="s">
        <v>114</v>
      </c>
      <c r="B431" s="79" t="s">
        <v>88</v>
      </c>
      <c r="C431" s="79" t="s">
        <v>122</v>
      </c>
      <c r="D431" s="79" t="s">
        <v>90</v>
      </c>
      <c r="E431" s="79" t="s">
        <v>91</v>
      </c>
      <c r="F431" s="79" t="s">
        <v>90</v>
      </c>
      <c r="G431" s="79" t="s">
        <v>92</v>
      </c>
      <c r="H431" s="79" t="s">
        <v>18</v>
      </c>
      <c r="I431" s="79" t="s">
        <v>145</v>
      </c>
      <c r="J431" s="79" t="s">
        <v>129</v>
      </c>
      <c r="K431" s="79" t="s">
        <v>98</v>
      </c>
      <c r="L431" s="79">
        <v>1452.1399999999801</v>
      </c>
      <c r="M431" s="79">
        <v>0.33467704377742202</v>
      </c>
      <c r="N431" s="79">
        <v>4.3977319526113799E-2</v>
      </c>
      <c r="O431" s="79">
        <v>654.99999999999898</v>
      </c>
      <c r="P431" s="79">
        <v>358.56061649158102</v>
      </c>
      <c r="Q431" s="79">
        <v>45.957611580086699</v>
      </c>
      <c r="R431" s="79">
        <v>761.15206993055403</v>
      </c>
      <c r="S431" s="79">
        <v>1577.19839843259</v>
      </c>
      <c r="T431" s="79">
        <v>15</v>
      </c>
      <c r="U431" s="79">
        <v>0.94999999999999896</v>
      </c>
      <c r="V431" s="79">
        <f>tbl_Data_old[[#This Row],[2025 ]]*IFERROR(AVERAGEIFS('Participation Adjustment'!$C:$C,'Participation Adjustment'!$A:$A,$H431,'Participation Adjustment'!$B:$B,$I431),1)</f>
        <v>2.9094475278799901</v>
      </c>
      <c r="W431" s="79">
        <f>tbl_Data_old[[#This Row],[2026 ]]*IFERROR(AVERAGEIFS('Participation Adjustment'!$C:$C,'Participation Adjustment'!$A:$A,$H431,'Participation Adjustment'!$B:$B,$I431),1)</f>
        <v>3.2560889166271099</v>
      </c>
      <c r="X431" s="79">
        <f>tbl_Data_old[[#This Row],[2027 ]]*IFERROR(AVERAGEIFS('Participation Adjustment'!$C:$C,'Participation Adjustment'!$A:$A,$H431,'Participation Adjustment'!$B:$B,$I431),1)</f>
        <v>3.5646105199245</v>
      </c>
      <c r="Y431" s="79">
        <f>tbl_Data_old[[#This Row],[2028 ]]*IFERROR(AVERAGEIFS('Participation Adjustment'!$C:$C,'Participation Adjustment'!$A:$A,$H431,'Participation Adjustment'!$B:$B,$I431),1)</f>
        <v>3.8536046656528899</v>
      </c>
      <c r="Z431" s="79">
        <f>tbl_Data_old[[#This Row],[2029 ]]*IFERROR(AVERAGEIFS('Participation Adjustment'!$C:$C,'Participation Adjustment'!$A:$A,$H431,'Participation Adjustment'!$B:$B,$I431),1)</f>
        <v>4.1213574058787801</v>
      </c>
      <c r="AA431" s="79">
        <f>tbl_Data_old[[#This Row],[2030 ]]*IFERROR(AVERAGEIFS('Participation Adjustment'!$C:$C,'Participation Adjustment'!$A:$A,$H431,'Participation Adjustment'!$B:$B,$I431),1)</f>
        <v>4.3661853169431</v>
      </c>
      <c r="AB431" s="79">
        <f>tbl_Data_old[[#This Row],[2031 ]]*IFERROR(AVERAGEIFS('Participation Adjustment'!$C:$C,'Participation Adjustment'!$A:$A,$H431,'Participation Adjustment'!$B:$B,$I431),1)</f>
        <v>4.5908334890742903</v>
      </c>
      <c r="AC431" s="79">
        <f>tbl_Data_old[[#This Row],[2032 ]]*IFERROR(AVERAGEIFS('Participation Adjustment'!$C:$C,'Participation Adjustment'!$A:$A,$H431,'Participation Adjustment'!$B:$B,$I431),1)</f>
        <v>4.8071313983391697</v>
      </c>
      <c r="AD431" s="79">
        <f>tbl_Data_old[[#This Row],[2033 ]]*IFERROR(AVERAGEIFS('Participation Adjustment'!$C:$C,'Participation Adjustment'!$A:$A,$H431,'Participation Adjustment'!$B:$B,$I431),1)</f>
        <v>5.0203987958853</v>
      </c>
      <c r="AE431" s="79">
        <f>tbl_Data_old[[#This Row],[2034 ]]*IFERROR(AVERAGEIFS('Participation Adjustment'!$C:$C,'Participation Adjustment'!$A:$A,$H431,'Participation Adjustment'!$B:$B,$I431),1)</f>
        <v>5.2250340411812699</v>
      </c>
      <c r="AF431" s="77" t="str">
        <f t="shared" si="176"/>
        <v>NonResidential</v>
      </c>
      <c r="AG431" s="77" t="str">
        <f>tbl_Data[[#This Row],[All_Meas_Name_Append]]</f>
        <v>HE DX Less than 5.4 Tons Elect Heat</v>
      </c>
      <c r="AH431" s="77">
        <f>AVERAGEIFS('3. Incentive Adjustment'!G:G,'3. Incentive Adjustment'!A:A,tbl_Data[[#This Row],[Trimmed Sector]],'3. Incentive Adjustment'!B:B,tbl_Data[[#This Row],[Trimmed Measure Name]])</f>
        <v>0.74493198517309978</v>
      </c>
      <c r="AI431" s="77">
        <f>$AH431*tbl_Data[[#This Row],[2025 ]]</f>
        <v>2.1673405227006084</v>
      </c>
      <c r="AJ431" s="77">
        <f>$AH431*tbl_Data[[#This Row],[2026 ]]</f>
        <v>2.4255647805631608</v>
      </c>
      <c r="AK431" s="77">
        <f>$AH431*tbl_Data[[#This Row],[2027 ]]</f>
        <v>2.6553923909762731</v>
      </c>
      <c r="AL431" s="77">
        <f>$AH431*tbl_Data[[#This Row],[2028 ]]</f>
        <v>2.8706733736571266</v>
      </c>
      <c r="AM431" s="77">
        <f>$AH431*tbl_Data[[#This Row],[2029 ]]</f>
        <v>3.0701309539691364</v>
      </c>
      <c r="AN431" s="77">
        <f>$AH431*tbl_Data[[#This Row],[2030 ]]</f>
        <v>3.2525110957840635</v>
      </c>
      <c r="AO431" s="77">
        <f>$AH431*tbl_Data[[#This Row],[2031 ]]</f>
        <v>3.4198587046152591</v>
      </c>
      <c r="AP431" s="77">
        <f>$AH431*tbl_Data[[#This Row],[2032 ]]</f>
        <v>3.5809859355527367</v>
      </c>
      <c r="AQ431" s="77">
        <f>$AH431*tbl_Data[[#This Row],[2033 ]]</f>
        <v>3.7398556413794761</v>
      </c>
      <c r="AR431" s="77">
        <f>$AH431*tbl_Data[[#This Row],[2034 ]]</f>
        <v>3.8922949808941874</v>
      </c>
      <c r="AS431" s="77">
        <f>SUM(tbl_Data[[#This Row],[Adjusted 2025]:[Adjusted 2034]])</f>
        <v>31.074608380092027</v>
      </c>
      <c r="AT431" s="80">
        <f>AVERAGEIFS('3. Incentive Adjustment'!F:F,'3. Incentive Adjustment'!A:A,tbl_Data[[#This Row],[Trimmed Sector]],'3. Incentive Adjustment'!B:B,tbl_Data[[#This Row],[Trimmed Measure Name]])</f>
        <v>196.49999999999969</v>
      </c>
      <c r="AU431" s="80">
        <f>IFERROR(VLOOKUP(tbl_Data[[#This Row],[All_Meas_Name_Append]],'IRA Tax Credits'!$A$3:$D$46,4,0),0)</f>
        <v>0</v>
      </c>
      <c r="AV431" s="81">
        <f>tbl_Data[[#This Row],[Adj. per unit Incentive ($)]]/tbl_Data[[#This Row],[kWh Savings]]*tbl_Data[[#This Row],[Sum of Annuals]]</f>
        <v>4.204939294205901</v>
      </c>
      <c r="AW431" s="81">
        <f>IFERROR(VLOOKUP(tbl_Data[[#This Row],[Column1]],'1. Set Program Names'!$B$2:$D$15,3,0)*tbl_Data[[#This Row],[Sum of Annuals]],"")</f>
        <v>0.9834553017860449</v>
      </c>
      <c r="AX431" s="81">
        <f>tbl_Data[[#This Row],[per unit IRA tax ($)]]/tbl_Data[[#This Row],[kWh Savings]]*tbl_Data[[#This Row],[Sum of Annuals]]</f>
        <v>0</v>
      </c>
      <c r="AY431" s="81">
        <f>tbl_Data[[#This Row],[Avoided Costs ($/unit)]]/tbl_Data[[#This Row],[kWh Savings]]*tbl_Data[[#This Row],[Sum of Annuals]]</f>
        <v>16.288031794998219</v>
      </c>
      <c r="AZ431" s="81">
        <f>tbl_Data[[#This Row],[Lost Revenue ($/unit)]]/tbl_Data[[#This Row],[kWh Savings]]*tbl_Data[[#This Row],[Sum of Annuals]]</f>
        <v>33.750755828640322</v>
      </c>
      <c r="BA431" s="81">
        <f>tbl_Data[[#This Row],[Incremental Cost ($/unit)]]/tbl_Data[[#This Row],[kWh Savings]]*tbl_Data[[#This Row],[Sum of Annuals]]</f>
        <v>14.016464314019672</v>
      </c>
      <c r="BB431" s="77">
        <f>ROUNDUP(tbl_Data[[#This Row],[Adjusted 2025]]/$L431,0)</f>
        <v>1</v>
      </c>
      <c r="BC431" s="77">
        <f>ROUNDUP(tbl_Data[[#This Row],[Adjusted 2026]]/$L431,0)</f>
        <v>1</v>
      </c>
      <c r="BD431" s="77">
        <f>ROUNDUP(tbl_Data[[#This Row],[Adjusted 2027]]/$L431,0)</f>
        <v>1</v>
      </c>
      <c r="BE431" s="77">
        <f>ROUNDUP(tbl_Data[[#This Row],[Adjusted 2028]]/$L431,0)</f>
        <v>1</v>
      </c>
      <c r="BF431" s="77">
        <f>ROUNDUP(tbl_Data[[#This Row],[Adjusted 2029]]/$L431,0)</f>
        <v>1</v>
      </c>
      <c r="BG431" s="77">
        <f>ROUNDUP(tbl_Data[[#This Row],[Adjusted 2030]]/$L431,0)</f>
        <v>1</v>
      </c>
      <c r="BH431" s="77">
        <f>ROUNDUP(tbl_Data[[#This Row],[Adjusted 2031]]/$L431,0)</f>
        <v>1</v>
      </c>
      <c r="BI431" s="77">
        <f>ROUNDUP(tbl_Data[[#This Row],[Adjusted 2032]]/$L431,0)</f>
        <v>1</v>
      </c>
      <c r="BJ431" s="77">
        <f>ROUNDUP(tbl_Data[[#This Row],[Adjusted 2033]]/$L431,0)</f>
        <v>1</v>
      </c>
      <c r="BK431" s="77">
        <f>ROUNDUP(tbl_Data[[#This Row],[Adjusted 2034]]/$L431,0)</f>
        <v>1</v>
      </c>
      <c r="BL431" s="80">
        <f t="shared" si="177"/>
        <v>0.39369925711599774</v>
      </c>
      <c r="BM431" s="80">
        <f t="shared" si="178"/>
        <v>0.44060591411106009</v>
      </c>
      <c r="BN431" s="80">
        <f t="shared" si="179"/>
        <v>0.48235429584280626</v>
      </c>
      <c r="BO431" s="80">
        <f t="shared" si="180"/>
        <v>0.52146027022243169</v>
      </c>
      <c r="BP431" s="80">
        <f t="shared" si="181"/>
        <v>0.55769191004668284</v>
      </c>
      <c r="BQ431" s="80">
        <f t="shared" si="182"/>
        <v>0.59082141858176862</v>
      </c>
      <c r="BR431" s="80">
        <f t="shared" si="183"/>
        <v>0.62122025466078268</v>
      </c>
      <c r="BS431" s="80">
        <f t="shared" si="184"/>
        <v>0.65048915378245775</v>
      </c>
      <c r="BT431" s="80">
        <f t="shared" si="185"/>
        <v>0.67934797153957149</v>
      </c>
      <c r="BU431" s="80">
        <f t="shared" si="186"/>
        <v>0.70703870776380506</v>
      </c>
      <c r="BV431" s="80">
        <f>IFERROR(VLOOKUP($H431,'1. Set Program Names'!$B$2:$D$15,3,0)*V431,"NA")</f>
        <v>9.2078766096211837E-2</v>
      </c>
      <c r="BW431" s="80">
        <f>IFERROR(VLOOKUP($H431,'1. Set Program Names'!$B$2:$D$15,3,0)*W431,"NA")</f>
        <v>0.1030493407664379</v>
      </c>
      <c r="BX431" s="80">
        <f>IFERROR(VLOOKUP($H431,'1. Set Program Names'!$B$2:$D$15,3,0)*X431,"NA")</f>
        <v>0.11281349298895582</v>
      </c>
      <c r="BY431" s="80">
        <f>IFERROR(VLOOKUP($H431,'1. Set Program Names'!$B$2:$D$15,3,0)*Y431,"NA")</f>
        <v>0.12195963640371225</v>
      </c>
      <c r="BZ431" s="80">
        <f>IFERROR(VLOOKUP($H431,'1. Set Program Names'!$B$2:$D$15,3,0)*Z431,"NA")</f>
        <v>0.13043352765029001</v>
      </c>
      <c r="CA431" s="80">
        <f>IFERROR(VLOOKUP($H431,'1. Set Program Names'!$B$2:$D$15,3,0)*AA431,"NA")</f>
        <v>0.13818188940649678</v>
      </c>
      <c r="CB431" s="80">
        <f>IFERROR(VLOOKUP($H431,'1. Set Program Names'!$B$2:$D$15,3,0)*AB431,"NA")</f>
        <v>0.14529159882637488</v>
      </c>
      <c r="CC431" s="80">
        <f>IFERROR(VLOOKUP($H431,'1. Set Program Names'!$B$2:$D$15,3,0)*AC431,"NA")</f>
        <v>0.15213703748902466</v>
      </c>
      <c r="CD431" s="80">
        <f>IFERROR(VLOOKUP($H431,'1. Set Program Names'!$B$2:$D$15,3,0)*AD431,"NA")</f>
        <v>0.15888656592231692</v>
      </c>
      <c r="CE431" s="80">
        <f>IFERROR(VLOOKUP($H431,'1. Set Program Names'!$B$2:$D$15,3,0)*AE431,"NA")</f>
        <v>0.1653629023078638</v>
      </c>
    </row>
    <row r="432" spans="1:83" x14ac:dyDescent="0.25">
      <c r="A432" s="79" t="s">
        <v>114</v>
      </c>
      <c r="B432" s="79" t="s">
        <v>88</v>
      </c>
      <c r="C432" s="79" t="s">
        <v>122</v>
      </c>
      <c r="D432" s="79" t="s">
        <v>90</v>
      </c>
      <c r="E432" s="79" t="s">
        <v>91</v>
      </c>
      <c r="F432" s="79" t="s">
        <v>90</v>
      </c>
      <c r="G432" s="79" t="s">
        <v>92</v>
      </c>
      <c r="H432" s="79" t="s">
        <v>18</v>
      </c>
      <c r="I432" s="79" t="s">
        <v>146</v>
      </c>
      <c r="J432" s="79" t="s">
        <v>129</v>
      </c>
      <c r="K432" s="79" t="s">
        <v>98</v>
      </c>
      <c r="L432" s="79">
        <v>23719.439999999999</v>
      </c>
      <c r="M432" s="79">
        <v>5.4597690026648404</v>
      </c>
      <c r="N432" s="79">
        <v>0</v>
      </c>
      <c r="O432" s="79">
        <v>11386</v>
      </c>
      <c r="P432" s="79">
        <v>6681.8656442185202</v>
      </c>
      <c r="Q432" s="79">
        <v>750.67749006099905</v>
      </c>
      <c r="R432" s="79">
        <v>13758.6347393458</v>
      </c>
      <c r="S432" s="79">
        <v>32663.358650317699</v>
      </c>
      <c r="T432" s="79">
        <v>23</v>
      </c>
      <c r="U432" s="79">
        <v>1</v>
      </c>
      <c r="V432" s="79">
        <f>tbl_Data_old[[#This Row],[2025 ]]*IFERROR(AVERAGEIFS('Participation Adjustment'!$C:$C,'Participation Adjustment'!$A:$A,$H432,'Participation Adjustment'!$B:$B,$I432),1)</f>
        <v>5.0440584111094298</v>
      </c>
      <c r="W432" s="79">
        <f>tbl_Data_old[[#This Row],[2026 ]]*IFERROR(AVERAGEIFS('Participation Adjustment'!$C:$C,'Participation Adjustment'!$A:$A,$H432,'Participation Adjustment'!$B:$B,$I432),1)</f>
        <v>5.6464149103520196</v>
      </c>
      <c r="X432" s="79">
        <f>tbl_Data_old[[#This Row],[2027 ]]*IFERROR(AVERAGEIFS('Participation Adjustment'!$C:$C,'Participation Adjustment'!$A:$A,$H432,'Participation Adjustment'!$B:$B,$I432),1)</f>
        <v>6.1942276319199596</v>
      </c>
      <c r="Y432" s="79">
        <f>tbl_Data_old[[#This Row],[2028 ]]*IFERROR(AVERAGEIFS('Participation Adjustment'!$C:$C,'Participation Adjustment'!$A:$A,$H432,'Participation Adjustment'!$B:$B,$I432),1)</f>
        <v>6.7105670684153997</v>
      </c>
      <c r="Z432" s="79">
        <f>tbl_Data_old[[#This Row],[2029 ]]*IFERROR(AVERAGEIFS('Participation Adjustment'!$C:$C,'Participation Adjustment'!$A:$A,$H432,'Participation Adjustment'!$B:$B,$I432),1)</f>
        <v>7.1868832969677703</v>
      </c>
      <c r="AA432" s="79">
        <f>tbl_Data_old[[#This Row],[2030 ]]*IFERROR(AVERAGEIFS('Participation Adjustment'!$C:$C,'Participation Adjustment'!$A:$A,$H432,'Participation Adjustment'!$B:$B,$I432),1)</f>
        <v>7.6250791976926697</v>
      </c>
      <c r="AB432" s="79">
        <f>tbl_Data_old[[#This Row],[2031 ]]*IFERROR(AVERAGEIFS('Participation Adjustment'!$C:$C,'Participation Adjustment'!$A:$A,$H432,'Participation Adjustment'!$B:$B,$I432),1)</f>
        <v>8.0239174281671595</v>
      </c>
      <c r="AC432" s="79">
        <f>tbl_Data_old[[#This Row],[2032 ]]*IFERROR(AVERAGEIFS('Participation Adjustment'!$C:$C,'Participation Adjustment'!$A:$A,$H432,'Participation Adjustment'!$B:$B,$I432),1)</f>
        <v>8.4047203982176093</v>
      </c>
      <c r="AD432" s="79">
        <f>tbl_Data_old[[#This Row],[2033 ]]*IFERROR(AVERAGEIFS('Participation Adjustment'!$C:$C,'Participation Adjustment'!$A:$A,$H432,'Participation Adjustment'!$B:$B,$I432),1)</f>
        <v>8.7846621122388395</v>
      </c>
      <c r="AE432" s="79">
        <f>tbl_Data_old[[#This Row],[2034 ]]*IFERROR(AVERAGEIFS('Participation Adjustment'!$C:$C,'Participation Adjustment'!$A:$A,$H432,'Participation Adjustment'!$B:$B,$I432),1)</f>
        <v>9.1455906689032105</v>
      </c>
      <c r="AF432" s="77" t="str">
        <f t="shared" si="176"/>
        <v>NonResidential</v>
      </c>
      <c r="AG432" s="77" t="str">
        <f>tbl_Data[[#This Row],[All_Meas_Name_Append]]</f>
        <v>HE Water Cooled Chiller - Centrifugal Compressor - 200 Tons</v>
      </c>
      <c r="AH432" s="77">
        <f>AVERAGEIFS('3. Incentive Adjustment'!G:G,'3. Incentive Adjustment'!A:A,tbl_Data[[#This Row],[Trimmed Sector]],'3. Incentive Adjustment'!B:B,tbl_Data[[#This Row],[Trimmed Measure Name]])</f>
        <v>0.69536855707903378</v>
      </c>
      <c r="AI432" s="77">
        <f>$AH432*tbl_Data[[#This Row],[2025 ]]</f>
        <v>3.5074796191555278</v>
      </c>
      <c r="AJ432" s="77">
        <f>$AH432*tbl_Data[[#This Row],[2026 ]]</f>
        <v>3.9263393888810256</v>
      </c>
      <c r="AK432" s="77">
        <f>$AH432*tbl_Data[[#This Row],[2027 ]]</f>
        <v>4.3072711306272629</v>
      </c>
      <c r="AL432" s="77">
        <f>$AH432*tbl_Data[[#This Row],[2028 ]]</f>
        <v>4.6663173395460982</v>
      </c>
      <c r="AM432" s="77">
        <f>$AH432*tbl_Data[[#This Row],[2029 ]]</f>
        <v>4.9975326681078878</v>
      </c>
      <c r="AN432" s="77">
        <f>$AH432*tbl_Data[[#This Row],[2030 ]]</f>
        <v>5.302240319312908</v>
      </c>
      <c r="AO432" s="77">
        <f>$AH432*tbl_Data[[#This Row],[2031 ]]</f>
        <v>5.5795798841459092</v>
      </c>
      <c r="AP432" s="77">
        <f>$AH432*tbl_Data[[#This Row],[2032 ]]</f>
        <v>5.8443782959613015</v>
      </c>
      <c r="AQ432" s="77">
        <f>$AH432*tbl_Data[[#This Row],[2033 ]]</f>
        <v>6.1085778174143792</v>
      </c>
      <c r="AR432" s="77">
        <f>$AH432*tbl_Data[[#This Row],[2034 ]]</f>
        <v>6.3595561870707007</v>
      </c>
      <c r="AS432" s="77">
        <f>SUM(tbl_Data[[#This Row],[Adjusted 2025]:[Adjusted 2034]])</f>
        <v>50.599272650223</v>
      </c>
      <c r="AT432" s="80">
        <f>AVERAGEIFS('3. Incentive Adjustment'!F:F,'3. Incentive Adjustment'!A:A,tbl_Data[[#This Row],[Trimmed Sector]],'3. Incentive Adjustment'!B:B,tbl_Data[[#This Row],[Trimmed Measure Name]])</f>
        <v>3415.7999999999997</v>
      </c>
      <c r="AU432" s="80">
        <f>IFERROR(VLOOKUP(tbl_Data[[#This Row],[All_Meas_Name_Append]],'IRA Tax Credits'!$A$3:$D$46,4,0),0)</f>
        <v>0</v>
      </c>
      <c r="AV432" s="81">
        <f>tbl_Data[[#This Row],[Adj. per unit Incentive ($)]]/tbl_Data[[#This Row],[kWh Savings]]*tbl_Data[[#This Row],[Sum of Annuals]]</f>
        <v>7.2867232750280664</v>
      </c>
      <c r="AW432" s="81">
        <f>IFERROR(VLOOKUP(tbl_Data[[#This Row],[Column1]],'1. Set Program Names'!$B$2:$D$15,3,0)*tbl_Data[[#This Row],[Sum of Annuals]],"")</f>
        <v>1.6013757066769527</v>
      </c>
      <c r="AX432" s="81">
        <f>tbl_Data[[#This Row],[per unit IRA tax ($)]]/tbl_Data[[#This Row],[kWh Savings]]*tbl_Data[[#This Row],[Sum of Annuals]]</f>
        <v>0</v>
      </c>
      <c r="AY432" s="81">
        <f>tbl_Data[[#This Row],[Avoided Costs ($/unit)]]/tbl_Data[[#This Row],[kWh Savings]]*tbl_Data[[#This Row],[Sum of Annuals]]</f>
        <v>29.350478361672454</v>
      </c>
      <c r="AZ432" s="81">
        <f>tbl_Data[[#This Row],[Lost Revenue ($/unit)]]/tbl_Data[[#This Row],[kWh Savings]]*tbl_Data[[#This Row],[Sum of Annuals]]</f>
        <v>69.678803126020071</v>
      </c>
      <c r="BA432" s="81">
        <f>tbl_Data[[#This Row],[Incremental Cost ($/unit)]]/tbl_Data[[#This Row],[kWh Savings]]*tbl_Data[[#This Row],[Sum of Annuals]]</f>
        <v>24.289077583426891</v>
      </c>
      <c r="BB432" s="77">
        <f>ROUNDUP(tbl_Data[[#This Row],[Adjusted 2025]]/$L432,0)</f>
        <v>1</v>
      </c>
      <c r="BC432" s="77">
        <f>ROUNDUP(tbl_Data[[#This Row],[Adjusted 2026]]/$L432,0)</f>
        <v>1</v>
      </c>
      <c r="BD432" s="77">
        <f>ROUNDUP(tbl_Data[[#This Row],[Adjusted 2027]]/$L432,0)</f>
        <v>1</v>
      </c>
      <c r="BE432" s="77">
        <f>ROUNDUP(tbl_Data[[#This Row],[Adjusted 2028]]/$L432,0)</f>
        <v>1</v>
      </c>
      <c r="BF432" s="77">
        <f>ROUNDUP(tbl_Data[[#This Row],[Adjusted 2029]]/$L432,0)</f>
        <v>1</v>
      </c>
      <c r="BG432" s="77">
        <f>ROUNDUP(tbl_Data[[#This Row],[Adjusted 2030]]/$L432,0)</f>
        <v>1</v>
      </c>
      <c r="BH432" s="77">
        <f>ROUNDUP(tbl_Data[[#This Row],[Adjusted 2031]]/$L432,0)</f>
        <v>1</v>
      </c>
      <c r="BI432" s="77">
        <f>ROUNDUP(tbl_Data[[#This Row],[Adjusted 2032]]/$L432,0)</f>
        <v>1</v>
      </c>
      <c r="BJ432" s="77">
        <f>ROUNDUP(tbl_Data[[#This Row],[Adjusted 2033]]/$L432,0)</f>
        <v>1</v>
      </c>
      <c r="BK432" s="77">
        <f>ROUNDUP(tbl_Data[[#This Row],[Adjusted 2034]]/$L432,0)</f>
        <v>1</v>
      </c>
      <c r="BL432" s="80">
        <f t="shared" si="177"/>
        <v>0.72638707830655325</v>
      </c>
      <c r="BM432" s="80">
        <f t="shared" si="178"/>
        <v>0.81313150946145563</v>
      </c>
      <c r="BN432" s="80">
        <f t="shared" si="179"/>
        <v>0.89202117525170066</v>
      </c>
      <c r="BO432" s="80">
        <f t="shared" si="180"/>
        <v>0.96637842176262689</v>
      </c>
      <c r="BP432" s="80">
        <f t="shared" si="181"/>
        <v>1.0349719877780634</v>
      </c>
      <c r="BQ432" s="80">
        <f t="shared" si="182"/>
        <v>1.0980759041308994</v>
      </c>
      <c r="BR432" s="80">
        <f t="shared" si="183"/>
        <v>1.1555119830456952</v>
      </c>
      <c r="BS432" s="80">
        <f t="shared" si="184"/>
        <v>1.2103508319012468</v>
      </c>
      <c r="BT432" s="80">
        <f t="shared" si="185"/>
        <v>1.2650656526033257</v>
      </c>
      <c r="BU432" s="80">
        <f t="shared" si="186"/>
        <v>1.3170424178159175</v>
      </c>
      <c r="BV432" s="80">
        <f>IFERROR(VLOOKUP($H432,'1. Set Program Names'!$B$2:$D$15,3,0)*V432,"NA")</f>
        <v>0.15963535006613563</v>
      </c>
      <c r="BW432" s="80">
        <f>IFERROR(VLOOKUP($H432,'1. Set Program Names'!$B$2:$D$15,3,0)*W432,"NA")</f>
        <v>0.17869884671586081</v>
      </c>
      <c r="BX432" s="80">
        <f>IFERROR(VLOOKUP($H432,'1. Set Program Names'!$B$2:$D$15,3,0)*X432,"NA")</f>
        <v>0.19603613119011934</v>
      </c>
      <c r="BY432" s="80">
        <f>IFERROR(VLOOKUP($H432,'1. Set Program Names'!$B$2:$D$15,3,0)*Y432,"NA")</f>
        <v>0.21237734296442379</v>
      </c>
      <c r="BZ432" s="80">
        <f>IFERROR(VLOOKUP($H432,'1. Set Program Names'!$B$2:$D$15,3,0)*Z432,"NA")</f>
        <v>0.22745189240256461</v>
      </c>
      <c r="CA432" s="80">
        <f>IFERROR(VLOOKUP($H432,'1. Set Program Names'!$B$2:$D$15,3,0)*AA432,"NA")</f>
        <v>0.2413200022277201</v>
      </c>
      <c r="CB432" s="80">
        <f>IFERROR(VLOOKUP($H432,'1. Set Program Names'!$B$2:$D$15,3,0)*AB432,"NA")</f>
        <v>0.25394251278416496</v>
      </c>
      <c r="CC432" s="80">
        <f>IFERROR(VLOOKUP($H432,'1. Set Program Names'!$B$2:$D$15,3,0)*AC432,"NA")</f>
        <v>0.26599423988080995</v>
      </c>
      <c r="CD432" s="80">
        <f>IFERROR(VLOOKUP($H432,'1. Set Program Names'!$B$2:$D$15,3,0)*AD432,"NA")</f>
        <v>0.27801870977769333</v>
      </c>
      <c r="CE432" s="80">
        <f>IFERROR(VLOOKUP($H432,'1. Set Program Names'!$B$2:$D$15,3,0)*AE432,"NA")</f>
        <v>0.28944144754081713</v>
      </c>
    </row>
    <row r="433" spans="1:83" x14ac:dyDescent="0.25">
      <c r="A433" s="79" t="s">
        <v>114</v>
      </c>
      <c r="B433" s="79" t="s">
        <v>88</v>
      </c>
      <c r="C433" s="79" t="s">
        <v>122</v>
      </c>
      <c r="D433" s="79" t="s">
        <v>90</v>
      </c>
      <c r="E433" s="79" t="s">
        <v>91</v>
      </c>
      <c r="F433" s="79" t="s">
        <v>90</v>
      </c>
      <c r="G433" s="79" t="s">
        <v>92</v>
      </c>
      <c r="H433" s="79" t="s">
        <v>18</v>
      </c>
      <c r="I433" s="79" t="s">
        <v>147</v>
      </c>
      <c r="J433" s="79" t="s">
        <v>129</v>
      </c>
      <c r="K433" s="79" t="s">
        <v>98</v>
      </c>
      <c r="L433" s="79">
        <v>51564</v>
      </c>
      <c r="M433" s="79">
        <v>11.869063049271301</v>
      </c>
      <c r="N433" s="79">
        <v>0</v>
      </c>
      <c r="O433" s="79">
        <v>19806</v>
      </c>
      <c r="P433" s="79">
        <v>9503.5476574024997</v>
      </c>
      <c r="Q433" s="79">
        <v>1631.9075870891199</v>
      </c>
      <c r="R433" s="79">
        <v>29910.075520317099</v>
      </c>
      <c r="S433" s="79">
        <v>71007.301413734196</v>
      </c>
      <c r="T433" s="79">
        <v>23</v>
      </c>
      <c r="U433" s="79">
        <v>1</v>
      </c>
      <c r="V433" s="79">
        <f>tbl_Data_old[[#This Row],[2025 ]]*IFERROR(AVERAGEIFS('Participation Adjustment'!$C:$C,'Participation Adjustment'!$A:$A,$H433,'Participation Adjustment'!$B:$B,$I433),1)</f>
        <v>4.9159388235362398</v>
      </c>
      <c r="W433" s="79">
        <f>tbl_Data_old[[#This Row],[2026 ]]*IFERROR(AVERAGEIFS('Participation Adjustment'!$C:$C,'Participation Adjustment'!$A:$A,$H433,'Participation Adjustment'!$B:$B,$I433),1)</f>
        <v>5.5128097986591902</v>
      </c>
      <c r="X433" s="79">
        <f>tbl_Data_old[[#This Row],[2027 ]]*IFERROR(AVERAGEIFS('Participation Adjustment'!$C:$C,'Participation Adjustment'!$A:$A,$H433,'Participation Adjustment'!$B:$B,$I433),1)</f>
        <v>6.0573643541091897</v>
      </c>
      <c r="Y433" s="79">
        <f>tbl_Data_old[[#This Row],[2028 ]]*IFERROR(AVERAGEIFS('Participation Adjustment'!$C:$C,'Participation Adjustment'!$A:$A,$H433,'Participation Adjustment'!$B:$B,$I433),1)</f>
        <v>6.5717329679666303</v>
      </c>
      <c r="Z433" s="79">
        <f>tbl_Data_old[[#This Row],[2029 ]]*IFERROR(AVERAGEIFS('Participation Adjustment'!$C:$C,'Participation Adjustment'!$A:$A,$H433,'Participation Adjustment'!$B:$B,$I433),1)</f>
        <v>7.0472360748683496</v>
      </c>
      <c r="AA433" s="79">
        <f>tbl_Data_old[[#This Row],[2030 ]]*IFERROR(AVERAGEIFS('Participation Adjustment'!$C:$C,'Participation Adjustment'!$A:$A,$H433,'Participation Adjustment'!$B:$B,$I433),1)</f>
        <v>7.4854702266510298</v>
      </c>
      <c r="AB433" s="79">
        <f>tbl_Data_old[[#This Row],[2031 ]]*IFERROR(AVERAGEIFS('Participation Adjustment'!$C:$C,'Participation Adjustment'!$A:$A,$H433,'Participation Adjustment'!$B:$B,$I433),1)</f>
        <v>7.8850073465394397</v>
      </c>
      <c r="AC433" s="79">
        <f>tbl_Data_old[[#This Row],[2032 ]]*IFERROR(AVERAGEIFS('Participation Adjustment'!$C:$C,'Participation Adjustment'!$A:$A,$H433,'Participation Adjustment'!$B:$B,$I433),1)</f>
        <v>8.2666494926846497</v>
      </c>
      <c r="AD433" s="79">
        <f>tbl_Data_old[[#This Row],[2033 ]]*IFERROR(AVERAGEIFS('Participation Adjustment'!$C:$C,'Participation Adjustment'!$A:$A,$H433,'Participation Adjustment'!$B:$B,$I433),1)</f>
        <v>8.6472214700403196</v>
      </c>
      <c r="AE433" s="79">
        <f>tbl_Data_old[[#This Row],[2034 ]]*IFERROR(AVERAGEIFS('Participation Adjustment'!$C:$C,'Participation Adjustment'!$A:$A,$H433,'Participation Adjustment'!$B:$B,$I433),1)</f>
        <v>9.0088194072738297</v>
      </c>
      <c r="AF433" s="77" t="str">
        <f t="shared" si="176"/>
        <v>NonResidential</v>
      </c>
      <c r="AG433" s="77" t="str">
        <f>tbl_Data[[#This Row],[All_Meas_Name_Append]]</f>
        <v>HE Water Cooled Chiller - Centrifugal Compressor - 500 Tons</v>
      </c>
      <c r="AH433" s="77">
        <f>AVERAGEIFS('3. Incentive Adjustment'!G:G,'3. Incentive Adjustment'!A:A,tbl_Data[[#This Row],[Trimmed Sector]],'3. Incentive Adjustment'!B:B,tbl_Data[[#This Row],[Trimmed Measure Name]])</f>
        <v>0.83338953851620801</v>
      </c>
      <c r="AI433" s="77">
        <f>$AH433*tbl_Data[[#This Row],[2025 ]]</f>
        <v>4.0968919875207774</v>
      </c>
      <c r="AJ433" s="77">
        <f>$AH433*tbl_Data[[#This Row],[2026 ]]</f>
        <v>4.5943180140322122</v>
      </c>
      <c r="AK433" s="77">
        <f>$AH433*tbl_Data[[#This Row],[2027 ]]</f>
        <v>5.0481440836955862</v>
      </c>
      <c r="AL433" s="77">
        <f>$AH433*tbl_Data[[#This Row],[2028 ]]</f>
        <v>5.4768135054254596</v>
      </c>
      <c r="AM433" s="77">
        <f>$AH433*tbl_Data[[#This Row],[2029 ]]</f>
        <v>5.8730928202493073</v>
      </c>
      <c r="AN433" s="77">
        <f>$AH433*tbl_Data[[#This Row],[2030 ]]</f>
        <v>6.2383125777655168</v>
      </c>
      <c r="AO433" s="77">
        <f>$AH433*tbl_Data[[#This Row],[2031 ]]</f>
        <v>6.5712826337294139</v>
      </c>
      <c r="AP433" s="77">
        <f>$AH433*tbl_Data[[#This Row],[2032 ]]</f>
        <v>6.8893392057837053</v>
      </c>
      <c r="AQ433" s="77">
        <f>$AH433*tbl_Data[[#This Row],[2033 ]]</f>
        <v>7.206503910364348</v>
      </c>
      <c r="AR433" s="77">
        <f>$AH433*tbl_Data[[#This Row],[2034 ]]</f>
        <v>7.5078558484037954</v>
      </c>
      <c r="AS433" s="77">
        <f>SUM(tbl_Data[[#This Row],[Adjusted 2025]:[Adjusted 2034]])</f>
        <v>59.502554586970113</v>
      </c>
      <c r="AT433" s="80">
        <f>AVERAGEIFS('3. Incentive Adjustment'!F:F,'3. Incentive Adjustment'!A:A,tbl_Data[[#This Row],[Trimmed Sector]],'3. Incentive Adjustment'!B:B,tbl_Data[[#This Row],[Trimmed Measure Name]])</f>
        <v>5941.8</v>
      </c>
      <c r="AU433" s="80">
        <f>IFERROR(VLOOKUP(tbl_Data[[#This Row],[All_Meas_Name_Append]],'IRA Tax Credits'!$A$3:$D$46,4,0),0)</f>
        <v>0</v>
      </c>
      <c r="AV433" s="81">
        <f>tbl_Data[[#This Row],[Adj. per unit Incentive ($)]]/tbl_Data[[#This Row],[kWh Savings]]*tbl_Data[[#This Row],[Sum of Annuals]]</f>
        <v>6.8565720045934953</v>
      </c>
      <c r="AW433" s="81">
        <f>IFERROR(VLOOKUP(tbl_Data[[#This Row],[Column1]],'1. Set Program Names'!$B$2:$D$15,3,0)*tbl_Data[[#This Row],[Sum of Annuals]],"")</f>
        <v>1.883148519929827</v>
      </c>
      <c r="AX433" s="81">
        <f>tbl_Data[[#This Row],[per unit IRA tax ($)]]/tbl_Data[[#This Row],[kWh Savings]]*tbl_Data[[#This Row],[Sum of Annuals]]</f>
        <v>0</v>
      </c>
      <c r="AY433" s="81">
        <f>tbl_Data[[#This Row],[Avoided Costs ($/unit)]]/tbl_Data[[#This Row],[kWh Savings]]*tbl_Data[[#This Row],[Sum of Annuals]]</f>
        <v>34.514892198977321</v>
      </c>
      <c r="AZ433" s="81">
        <f>tbl_Data[[#This Row],[Lost Revenue ($/unit)]]/tbl_Data[[#This Row],[kWh Savings]]*tbl_Data[[#This Row],[Sum of Annuals]]</f>
        <v>81.939256621754694</v>
      </c>
      <c r="BA433" s="81">
        <f>tbl_Data[[#This Row],[Incremental Cost ($/unit)]]/tbl_Data[[#This Row],[kWh Savings]]*tbl_Data[[#This Row],[Sum of Annuals]]</f>
        <v>22.855240015311654</v>
      </c>
      <c r="BB433" s="77">
        <f>ROUNDUP(tbl_Data[[#This Row],[Adjusted 2025]]/$L433,0)</f>
        <v>1</v>
      </c>
      <c r="BC433" s="77">
        <f>ROUNDUP(tbl_Data[[#This Row],[Adjusted 2026]]/$L433,0)</f>
        <v>1</v>
      </c>
      <c r="BD433" s="77">
        <f>ROUNDUP(tbl_Data[[#This Row],[Adjusted 2027]]/$L433,0)</f>
        <v>1</v>
      </c>
      <c r="BE433" s="77">
        <f>ROUNDUP(tbl_Data[[#This Row],[Adjusted 2028]]/$L433,0)</f>
        <v>1</v>
      </c>
      <c r="BF433" s="77">
        <f>ROUNDUP(tbl_Data[[#This Row],[Adjusted 2029]]/$L433,0)</f>
        <v>1</v>
      </c>
      <c r="BG433" s="77">
        <f>ROUNDUP(tbl_Data[[#This Row],[Adjusted 2030]]/$L433,0)</f>
        <v>1</v>
      </c>
      <c r="BH433" s="77">
        <f>ROUNDUP(tbl_Data[[#This Row],[Adjusted 2031]]/$L433,0)</f>
        <v>1</v>
      </c>
      <c r="BI433" s="77">
        <f>ROUNDUP(tbl_Data[[#This Row],[Adjusted 2032]]/$L433,0)</f>
        <v>1</v>
      </c>
      <c r="BJ433" s="77">
        <f>ROUNDUP(tbl_Data[[#This Row],[Adjusted 2033]]/$L433,0)</f>
        <v>1</v>
      </c>
      <c r="BK433" s="77">
        <f>ROUNDUP(tbl_Data[[#This Row],[Adjusted 2034]]/$L433,0)</f>
        <v>1</v>
      </c>
      <c r="BL433" s="80">
        <f t="shared" si="177"/>
        <v>0.56647128426203608</v>
      </c>
      <c r="BM433" s="80">
        <f t="shared" si="178"/>
        <v>0.6352496559939721</v>
      </c>
      <c r="BN433" s="80">
        <f t="shared" si="179"/>
        <v>0.69799952523555164</v>
      </c>
      <c r="BO433" s="80">
        <f t="shared" si="180"/>
        <v>0.75727102143092317</v>
      </c>
      <c r="BP433" s="80">
        <f t="shared" si="181"/>
        <v>0.81206398475007291</v>
      </c>
      <c r="BQ433" s="80">
        <f t="shared" si="182"/>
        <v>0.86256238834681342</v>
      </c>
      <c r="BR433" s="80">
        <f t="shared" si="183"/>
        <v>0.90860167271096193</v>
      </c>
      <c r="BS433" s="80">
        <f t="shared" si="184"/>
        <v>0.95257889138999396</v>
      </c>
      <c r="BT433" s="80">
        <f t="shared" si="185"/>
        <v>0.99643279285326136</v>
      </c>
      <c r="BU433" s="80">
        <f t="shared" si="186"/>
        <v>1.0381002861325661</v>
      </c>
      <c r="BV433" s="80">
        <f>IFERROR(VLOOKUP($H433,'1. Set Program Names'!$B$2:$D$15,3,0)*V433,"NA")</f>
        <v>0.1555805962259483</v>
      </c>
      <c r="BW433" s="80">
        <f>IFERROR(VLOOKUP($H433,'1. Set Program Names'!$B$2:$D$15,3,0)*W433,"NA")</f>
        <v>0.17447048593226336</v>
      </c>
      <c r="BX433" s="80">
        <f>IFERROR(VLOOKUP($H433,'1. Set Program Names'!$B$2:$D$15,3,0)*X433,"NA")</f>
        <v>0.1917046553260808</v>
      </c>
      <c r="BY433" s="80">
        <f>IFERROR(VLOOKUP($H433,'1. Set Program Names'!$B$2:$D$15,3,0)*Y433,"NA")</f>
        <v>0.20798349411893</v>
      </c>
      <c r="BZ433" s="80">
        <f>IFERROR(VLOOKUP($H433,'1. Set Program Names'!$B$2:$D$15,3,0)*Z433,"NA")</f>
        <v>0.22303230972356441</v>
      </c>
      <c r="CA433" s="80">
        <f>IFERROR(VLOOKUP($H433,'1. Set Program Names'!$B$2:$D$15,3,0)*AA433,"NA")</f>
        <v>0.23690163012570012</v>
      </c>
      <c r="CB433" s="80">
        <f>IFERROR(VLOOKUP($H433,'1. Set Program Names'!$B$2:$D$15,3,0)*AB433,"NA")</f>
        <v>0.24954625927141486</v>
      </c>
      <c r="CC433" s="80">
        <f>IFERROR(VLOOKUP($H433,'1. Set Program Names'!$B$2:$D$15,3,0)*AC433,"NA")</f>
        <v>0.2616245447777244</v>
      </c>
      <c r="CD433" s="80">
        <f>IFERROR(VLOOKUP($H433,'1. Set Program Names'!$B$2:$D$15,3,0)*AD433,"NA")</f>
        <v>0.27366896137225222</v>
      </c>
      <c r="CE433" s="80">
        <f>IFERROR(VLOOKUP($H433,'1. Set Program Names'!$B$2:$D$15,3,0)*AE433,"NA")</f>
        <v>0.28511288382293765</v>
      </c>
    </row>
    <row r="434" spans="1:83" x14ac:dyDescent="0.25">
      <c r="A434" s="79" t="s">
        <v>114</v>
      </c>
      <c r="B434" s="79" t="s">
        <v>88</v>
      </c>
      <c r="C434" s="79" t="s">
        <v>122</v>
      </c>
      <c r="D434" s="79" t="s">
        <v>90</v>
      </c>
      <c r="E434" s="79" t="s">
        <v>91</v>
      </c>
      <c r="F434" s="79" t="s">
        <v>90</v>
      </c>
      <c r="G434" s="79" t="s">
        <v>92</v>
      </c>
      <c r="H434" s="79" t="s">
        <v>18</v>
      </c>
      <c r="I434" s="79" t="s">
        <v>148</v>
      </c>
      <c r="J434" s="79" t="s">
        <v>129</v>
      </c>
      <c r="K434" s="79" t="s">
        <v>98</v>
      </c>
      <c r="L434" s="79">
        <v>552.51399999999899</v>
      </c>
      <c r="M434" s="79">
        <v>0.19160575593909501</v>
      </c>
      <c r="N434" s="79">
        <v>0</v>
      </c>
      <c r="O434" s="79">
        <v>129</v>
      </c>
      <c r="P434" s="79">
        <v>16.0943430226503</v>
      </c>
      <c r="Q434" s="79">
        <v>17.486071456306</v>
      </c>
      <c r="R434" s="79">
        <v>212.35909497904299</v>
      </c>
      <c r="S434" s="79">
        <v>383.33946557666002</v>
      </c>
      <c r="T434" s="79">
        <v>8</v>
      </c>
      <c r="U434" s="79">
        <v>1</v>
      </c>
      <c r="V434" s="79">
        <f>tbl_Data_old[[#This Row],[2025 ]]*IFERROR(AVERAGEIFS('Participation Adjustment'!$C:$C,'Participation Adjustment'!$A:$A,$H434,'Participation Adjustment'!$B:$B,$I434),1)</f>
        <v>49.091148070784605</v>
      </c>
      <c r="W434" s="79">
        <f>tbl_Data_old[[#This Row],[2026 ]]*IFERROR(AVERAGEIFS('Participation Adjustment'!$C:$C,'Participation Adjustment'!$A:$A,$H434,'Participation Adjustment'!$B:$B,$I434),1)</f>
        <v>55.058926165681001</v>
      </c>
      <c r="X434" s="79">
        <f>tbl_Data_old[[#This Row],[2027 ]]*IFERROR(AVERAGEIFS('Participation Adjustment'!$C:$C,'Participation Adjustment'!$A:$A,$H434,'Participation Adjustment'!$B:$B,$I434),1)</f>
        <v>60.428185448030199</v>
      </c>
      <c r="Y434" s="79">
        <f>tbl_Data_old[[#This Row],[2028 ]]*IFERROR(AVERAGEIFS('Participation Adjustment'!$C:$C,'Participation Adjustment'!$A:$A,$H434,'Participation Adjustment'!$B:$B,$I434),1)</f>
        <v>65.481250740932794</v>
      </c>
      <c r="Z434" s="79">
        <f>tbl_Data_old[[#This Row],[2029 ]]*IFERROR(AVERAGEIFS('Participation Adjustment'!$C:$C,'Participation Adjustment'!$A:$A,$H434,'Participation Adjustment'!$B:$B,$I434),1)</f>
        <v>70.168296952524997</v>
      </c>
      <c r="AA434" s="79">
        <f>tbl_Data_old[[#This Row],[2030 ]]*IFERROR(AVERAGEIFS('Participation Adjustment'!$C:$C,'Participation Adjustment'!$A:$A,$H434,'Participation Adjustment'!$B:$B,$I434),1)</f>
        <v>74.472361457916207</v>
      </c>
      <c r="AB434" s="79">
        <f>tbl_Data_old[[#This Row],[2031 ]]*IFERROR(AVERAGEIFS('Participation Adjustment'!$C:$C,'Participation Adjustment'!$A:$A,$H434,'Participation Adjustment'!$B:$B,$I434),1)</f>
        <v>78.418868443520807</v>
      </c>
      <c r="AC434" s="79">
        <f>tbl_Data_old[[#This Row],[2032 ]]*IFERROR(AVERAGEIFS('Participation Adjustment'!$C:$C,'Participation Adjustment'!$A:$A,$H434,'Participation Adjustment'!$B:$B,$I434),1)</f>
        <v>82.210005217293201</v>
      </c>
      <c r="AD434" s="79">
        <f>tbl_Data_old[[#This Row],[2033 ]]*IFERROR(AVERAGEIFS('Participation Adjustment'!$C:$C,'Participation Adjustment'!$A:$A,$H434,'Participation Adjustment'!$B:$B,$I434),1)</f>
        <v>85.960872899403796</v>
      </c>
      <c r="AE434" s="79">
        <f>tbl_Data_old[[#This Row],[2034 ]]*IFERROR(AVERAGEIFS('Participation Adjustment'!$C:$C,'Participation Adjustment'!$A:$A,$H434,'Participation Adjustment'!$B:$B,$I434),1)</f>
        <v>89.548679500413598</v>
      </c>
      <c r="AF434" s="77" t="str">
        <f t="shared" si="176"/>
        <v>NonResidential</v>
      </c>
      <c r="AG434" s="77" t="str">
        <f>tbl_Data[[#This Row],[All_Meas_Name_Append]]</f>
        <v>High Efficiency PTAC</v>
      </c>
      <c r="AH434" s="77">
        <f>AVERAGEIFS('3. Incentive Adjustment'!G:G,'3. Incentive Adjustment'!A:A,tbl_Data[[#This Row],[Trimmed Sector]],'3. Incentive Adjustment'!B:B,tbl_Data[[#This Row],[Trimmed Measure Name]])</f>
        <v>1.1757614296438725</v>
      </c>
      <c r="AI434" s="77">
        <f>$AH434*tbl_Data[[#This Row],[2025 ]]</f>
        <v>57.719478438564742</v>
      </c>
      <c r="AJ434" s="77">
        <f>$AH434*tbl_Data[[#This Row],[2026 ]]</f>
        <v>64.736161743217508</v>
      </c>
      <c r="AK434" s="77">
        <f>$AH434*tbl_Data[[#This Row],[2027 ]]</f>
        <v>71.049129713161037</v>
      </c>
      <c r="AL434" s="77">
        <f>$AH434*tbl_Data[[#This Row],[2028 ]]</f>
        <v>76.990328986028032</v>
      </c>
      <c r="AM434" s="77">
        <f>$AH434*tbl_Data[[#This Row],[2029 ]]</f>
        <v>82.501177140576573</v>
      </c>
      <c r="AN434" s="77">
        <f>$AH434*tbl_Data[[#This Row],[2030 ]]</f>
        <v>87.561730176714789</v>
      </c>
      <c r="AO434" s="77">
        <f>$AH434*tbl_Data[[#This Row],[2031 ]]</f>
        <v>92.20188087220879</v>
      </c>
      <c r="AP434" s="77">
        <f>$AH434*tbl_Data[[#This Row],[2032 ]]</f>
        <v>96.659353265314877</v>
      </c>
      <c r="AQ434" s="77">
        <f>$AH434*tbl_Data[[#This Row],[2033 ]]</f>
        <v>101.06947881363823</v>
      </c>
      <c r="AR434" s="77">
        <f>$AH434*tbl_Data[[#This Row],[2034 ]]</f>
        <v>105.28788343212723</v>
      </c>
      <c r="AS434" s="77">
        <f>SUM(tbl_Data[[#This Row],[Adjusted 2025]:[Adjusted 2034]])</f>
        <v>835.77660258155174</v>
      </c>
      <c r="AT434" s="80">
        <f>AVERAGEIFS('3. Incentive Adjustment'!F:F,'3. Incentive Adjustment'!A:A,tbl_Data[[#This Row],[Trimmed Sector]],'3. Incentive Adjustment'!B:B,tbl_Data[[#This Row],[Trimmed Measure Name]])</f>
        <v>50</v>
      </c>
      <c r="AU434" s="80">
        <f>IFERROR(VLOOKUP(tbl_Data[[#This Row],[All_Meas_Name_Append]],'IRA Tax Credits'!$A$3:$D$46,4,0),0)</f>
        <v>0</v>
      </c>
      <c r="AV434" s="81">
        <f>tbl_Data[[#This Row],[Adj. per unit Incentive ($)]]/tbl_Data[[#This Row],[kWh Savings]]*tbl_Data[[#This Row],[Sum of Annuals]]</f>
        <v>75.633975119323068</v>
      </c>
      <c r="AW434" s="81">
        <f>IFERROR(VLOOKUP(tbl_Data[[#This Row],[Column1]],'1. Set Program Names'!$B$2:$D$15,3,0)*tbl_Data[[#This Row],[Sum of Annuals]],"")</f>
        <v>26.450821869219034</v>
      </c>
      <c r="AX434" s="81">
        <f>tbl_Data[[#This Row],[per unit IRA tax ($)]]/tbl_Data[[#This Row],[kWh Savings]]*tbl_Data[[#This Row],[Sum of Annuals]]</f>
        <v>0</v>
      </c>
      <c r="AY434" s="81">
        <f>tbl_Data[[#This Row],[Avoided Costs ($/unit)]]/tbl_Data[[#This Row],[kWh Savings]]*tbl_Data[[#This Row],[Sum of Annuals]]</f>
        <v>321.23125012013804</v>
      </c>
      <c r="AZ434" s="81">
        <f>tbl_Data[[#This Row],[Lost Revenue ($/unit)]]/tbl_Data[[#This Row],[kWh Savings]]*tbl_Data[[#This Row],[Sum of Annuals]]</f>
        <v>579.86975203359407</v>
      </c>
      <c r="BA434" s="81">
        <f>tbl_Data[[#This Row],[Incremental Cost ($/unit)]]/tbl_Data[[#This Row],[kWh Savings]]*tbl_Data[[#This Row],[Sum of Annuals]]</f>
        <v>195.13565580785351</v>
      </c>
      <c r="BB434" s="77">
        <f>ROUNDUP(tbl_Data[[#This Row],[Adjusted 2025]]/$L434,0)</f>
        <v>1</v>
      </c>
      <c r="BC434" s="77">
        <f>ROUNDUP(tbl_Data[[#This Row],[Adjusted 2026]]/$L434,0)</f>
        <v>1</v>
      </c>
      <c r="BD434" s="77">
        <f>ROUNDUP(tbl_Data[[#This Row],[Adjusted 2027]]/$L434,0)</f>
        <v>1</v>
      </c>
      <c r="BE434" s="77">
        <f>ROUNDUP(tbl_Data[[#This Row],[Adjusted 2028]]/$L434,0)</f>
        <v>1</v>
      </c>
      <c r="BF434" s="77">
        <f>ROUNDUP(tbl_Data[[#This Row],[Adjusted 2029]]/$L434,0)</f>
        <v>1</v>
      </c>
      <c r="BG434" s="77">
        <f>ROUNDUP(tbl_Data[[#This Row],[Adjusted 2030]]/$L434,0)</f>
        <v>1</v>
      </c>
      <c r="BH434" s="77">
        <f>ROUNDUP(tbl_Data[[#This Row],[Adjusted 2031]]/$L434,0)</f>
        <v>1</v>
      </c>
      <c r="BI434" s="77">
        <f>ROUNDUP(tbl_Data[[#This Row],[Adjusted 2032]]/$L434,0)</f>
        <v>1</v>
      </c>
      <c r="BJ434" s="77">
        <f>ROUNDUP(tbl_Data[[#This Row],[Adjusted 2033]]/$L434,0)</f>
        <v>1</v>
      </c>
      <c r="BK434" s="77">
        <f>ROUNDUP(tbl_Data[[#This Row],[Adjusted 2034]]/$L434,0)</f>
        <v>1</v>
      </c>
      <c r="BL434" s="80">
        <f t="shared" si="177"/>
        <v>4.4425252636842414</v>
      </c>
      <c r="BM434" s="80">
        <f t="shared" si="178"/>
        <v>4.9825819948165204</v>
      </c>
      <c r="BN434" s="80">
        <f t="shared" si="179"/>
        <v>5.468475499990074</v>
      </c>
      <c r="BO434" s="80">
        <f t="shared" si="180"/>
        <v>5.9257548895532883</v>
      </c>
      <c r="BP434" s="80">
        <f t="shared" si="181"/>
        <v>6.3499112196727259</v>
      </c>
      <c r="BQ434" s="80">
        <f t="shared" si="182"/>
        <v>6.7394094500697124</v>
      </c>
      <c r="BR434" s="80">
        <f t="shared" si="183"/>
        <v>7.0965503537938366</v>
      </c>
      <c r="BS434" s="80">
        <f t="shared" si="184"/>
        <v>7.4396309611424645</v>
      </c>
      <c r="BT434" s="80">
        <f t="shared" si="185"/>
        <v>7.7790673991431847</v>
      </c>
      <c r="BU434" s="80">
        <f t="shared" si="186"/>
        <v>8.1037475521356708</v>
      </c>
      <c r="BV434" s="80">
        <f>IFERROR(VLOOKUP($H434,'1. Set Program Names'!$B$2:$D$15,3,0)*V434,"NA")</f>
        <v>1.5536462841445442</v>
      </c>
      <c r="BW434" s="80">
        <f>IFERROR(VLOOKUP($H434,'1. Set Program Names'!$B$2:$D$15,3,0)*W434,"NA")</f>
        <v>1.7425156959653054</v>
      </c>
      <c r="BX434" s="80">
        <f>IFERROR(VLOOKUP($H434,'1. Set Program Names'!$B$2:$D$15,3,0)*X434,"NA")</f>
        <v>1.9124430669976999</v>
      </c>
      <c r="BY434" s="80">
        <f>IFERROR(VLOOKUP($H434,'1. Set Program Names'!$B$2:$D$15,3,0)*Y434,"NA")</f>
        <v>2.0723634686256673</v>
      </c>
      <c r="BZ434" s="80">
        <f>IFERROR(VLOOKUP($H434,'1. Set Program Names'!$B$2:$D$15,3,0)*Z434,"NA")</f>
        <v>2.2207000265679269</v>
      </c>
      <c r="CA434" s="80">
        <f>IFERROR(VLOOKUP($H434,'1. Set Program Names'!$B$2:$D$15,3,0)*AA434,"NA")</f>
        <v>2.3569159043444556</v>
      </c>
      <c r="CB434" s="80">
        <f>IFERROR(VLOOKUP($H434,'1. Set Program Names'!$B$2:$D$15,3,0)*AB434,"NA")</f>
        <v>2.4818157315942502</v>
      </c>
      <c r="CC434" s="80">
        <f>IFERROR(VLOOKUP($H434,'1. Set Program Names'!$B$2:$D$15,3,0)*AC434,"NA")</f>
        <v>2.6017983719016695</v>
      </c>
      <c r="CD434" s="80">
        <f>IFERROR(VLOOKUP($H434,'1. Set Program Names'!$B$2:$D$15,3,0)*AD434,"NA")</f>
        <v>2.7205065680967611</v>
      </c>
      <c r="CE434" s="80">
        <f>IFERROR(VLOOKUP($H434,'1. Set Program Names'!$B$2:$D$15,3,0)*AE434,"NA")</f>
        <v>2.8340541752101802</v>
      </c>
    </row>
    <row r="435" spans="1:83" x14ac:dyDescent="0.25">
      <c r="A435" s="79" t="s">
        <v>114</v>
      </c>
      <c r="B435" s="79" t="s">
        <v>88</v>
      </c>
      <c r="C435" s="79" t="s">
        <v>122</v>
      </c>
      <c r="D435" s="79" t="s">
        <v>90</v>
      </c>
      <c r="E435" s="79" t="s">
        <v>91</v>
      </c>
      <c r="F435" s="79" t="s">
        <v>90</v>
      </c>
      <c r="G435" s="79" t="s">
        <v>92</v>
      </c>
      <c r="H435" s="79" t="s">
        <v>18</v>
      </c>
      <c r="I435" s="79" t="s">
        <v>149</v>
      </c>
      <c r="J435" s="79" t="s">
        <v>129</v>
      </c>
      <c r="K435" s="79" t="s">
        <v>98</v>
      </c>
      <c r="L435" s="79">
        <v>540.79749999999899</v>
      </c>
      <c r="M435" s="79">
        <v>0.159555976068885</v>
      </c>
      <c r="N435" s="79">
        <v>1.50169234953632E-2</v>
      </c>
      <c r="O435" s="79">
        <v>128.99999999999901</v>
      </c>
      <c r="P435" s="79">
        <v>23.4690947103329</v>
      </c>
      <c r="Q435" s="79">
        <v>17.115265365930298</v>
      </c>
      <c r="R435" s="79">
        <v>204.24936172330499</v>
      </c>
      <c r="S435" s="79">
        <v>375.21044649582399</v>
      </c>
      <c r="T435" s="79">
        <v>8</v>
      </c>
      <c r="U435" s="79">
        <v>1</v>
      </c>
      <c r="V435" s="79">
        <f>tbl_Data_old[[#This Row],[2025 ]]*IFERROR(AVERAGEIFS('Participation Adjustment'!$C:$C,'Participation Adjustment'!$A:$A,$H435,'Participation Adjustment'!$B:$B,$I435),1)</f>
        <v>27.501999312457002</v>
      </c>
      <c r="W435" s="79">
        <f>tbl_Data_old[[#This Row],[2026 ]]*IFERROR(AVERAGEIFS('Participation Adjustment'!$C:$C,'Participation Adjustment'!$A:$A,$H435,'Participation Adjustment'!$B:$B,$I435),1)</f>
        <v>30.903298724115402</v>
      </c>
      <c r="X435" s="79">
        <f>tbl_Data_old[[#This Row],[2027 ]]*IFERROR(AVERAGEIFS('Participation Adjustment'!$C:$C,'Participation Adjustment'!$A:$A,$H435,'Participation Adjustment'!$B:$B,$I435),1)</f>
        <v>33.974336254508806</v>
      </c>
      <c r="Y435" s="79">
        <f>tbl_Data_old[[#This Row],[2028 ]]*IFERROR(AVERAGEIFS('Participation Adjustment'!$C:$C,'Participation Adjustment'!$A:$A,$H435,'Participation Adjustment'!$B:$B,$I435),1)</f>
        <v>36.871148777226004</v>
      </c>
      <c r="Z435" s="79">
        <f>tbl_Data_old[[#This Row],[2029 ]]*IFERROR(AVERAGEIFS('Participation Adjustment'!$C:$C,'Participation Adjustment'!$A:$A,$H435,'Participation Adjustment'!$B:$B,$I435),1)</f>
        <v>39.563864490053803</v>
      </c>
      <c r="AA435" s="79">
        <f>tbl_Data_old[[#This Row],[2030 ]]*IFERROR(AVERAGEIFS('Participation Adjustment'!$C:$C,'Participation Adjustment'!$A:$A,$H435,'Participation Adjustment'!$B:$B,$I435),1)</f>
        <v>42.041346318149806</v>
      </c>
      <c r="AB435" s="79">
        <f>tbl_Data_old[[#This Row],[2031 ]]*IFERROR(AVERAGEIFS('Participation Adjustment'!$C:$C,'Participation Adjustment'!$A:$A,$H435,'Participation Adjustment'!$B:$B,$I435),1)</f>
        <v>44.316676603313404</v>
      </c>
      <c r="AC435" s="79">
        <f>tbl_Data_old[[#This Row],[2032 ]]*IFERROR(AVERAGEIFS('Participation Adjustment'!$C:$C,'Participation Adjustment'!$A:$A,$H435,'Participation Adjustment'!$B:$B,$I435),1)</f>
        <v>46.503254814305805</v>
      </c>
      <c r="AD435" s="79">
        <f>tbl_Data_old[[#This Row],[2033 ]]*IFERROR(AVERAGEIFS('Participation Adjustment'!$C:$C,'Participation Adjustment'!$A:$A,$H435,'Participation Adjustment'!$B:$B,$I435),1)</f>
        <v>48.665786292002601</v>
      </c>
      <c r="AE435" s="79">
        <f>tbl_Data_old[[#This Row],[2034 ]]*IFERROR(AVERAGEIFS('Participation Adjustment'!$C:$C,'Participation Adjustment'!$A:$A,$H435,'Participation Adjustment'!$B:$B,$I435),1)</f>
        <v>50.734510875156801</v>
      </c>
      <c r="AF435" s="77" t="str">
        <f t="shared" si="176"/>
        <v>NonResidential</v>
      </c>
      <c r="AG435" s="77" t="str">
        <f>tbl_Data[[#This Row],[All_Meas_Name_Append]]</f>
        <v>High Efficiency PTHP</v>
      </c>
      <c r="AH435" s="77">
        <f>AVERAGEIFS('3. Incentive Adjustment'!G:G,'3. Incentive Adjustment'!A:A,tbl_Data[[#This Row],[Trimmed Sector]],'3. Incentive Adjustment'!B:B,tbl_Data[[#This Row],[Trimmed Measure Name]])</f>
        <v>1.138194101705527</v>
      </c>
      <c r="AI435" s="77">
        <f>$AH435*tbl_Data[[#This Row],[2025 ]]</f>
        <v>31.302613402548019</v>
      </c>
      <c r="AJ435" s="77">
        <f>$AH435*tbl_Data[[#This Row],[2026 ]]</f>
        <v>35.173952331032091</v>
      </c>
      <c r="AK435" s="77">
        <f>$AH435*tbl_Data[[#This Row],[2027 ]]</f>
        <v>38.669389134242174</v>
      </c>
      <c r="AL435" s="77">
        <f>$AH435*tbl_Data[[#This Row],[2028 ]]</f>
        <v>41.966524061345595</v>
      </c>
      <c r="AM435" s="77">
        <f>$AH435*tbl_Data[[#This Row],[2029 ]]</f>
        <v>45.031357203255986</v>
      </c>
      <c r="AN435" s="77">
        <f>$AH435*tbl_Data[[#This Row],[2030 ]]</f>
        <v>47.851212407077483</v>
      </c>
      <c r="AO435" s="77">
        <f>$AH435*tbl_Data[[#This Row],[2031 ]]</f>
        <v>50.44097991708265</v>
      </c>
      <c r="AP435" s="77">
        <f>$AH435*tbl_Data[[#This Row],[2032 ]]</f>
        <v>52.92973033975202</v>
      </c>
      <c r="AQ435" s="77">
        <f>$AH435*tbl_Data[[#This Row],[2033 ]]</f>
        <v>55.391110912419052</v>
      </c>
      <c r="AR435" s="77">
        <f>$AH435*tbl_Data[[#This Row],[2034 ]]</f>
        <v>57.745721031018384</v>
      </c>
      <c r="AS435" s="77">
        <f>SUM(tbl_Data[[#This Row],[Adjusted 2025]:[Adjusted 2034]])</f>
        <v>456.50259073977344</v>
      </c>
      <c r="AT435" s="80">
        <f>AVERAGEIFS('3. Incentive Adjustment'!F:F,'3. Incentive Adjustment'!A:A,tbl_Data[[#This Row],[Trimmed Sector]],'3. Incentive Adjustment'!B:B,tbl_Data[[#This Row],[Trimmed Measure Name]])</f>
        <v>50</v>
      </c>
      <c r="AU435" s="80">
        <f>IFERROR(VLOOKUP(tbl_Data[[#This Row],[All_Meas_Name_Append]],'IRA Tax Credits'!$A$3:$D$46,4,0),0)</f>
        <v>0</v>
      </c>
      <c r="AV435" s="81">
        <f>tbl_Data[[#This Row],[Adj. per unit Incentive ($)]]/tbl_Data[[#This Row],[kWh Savings]]*tbl_Data[[#This Row],[Sum of Annuals]]</f>
        <v>42.206425763781667</v>
      </c>
      <c r="AW435" s="81">
        <f>IFERROR(VLOOKUP(tbl_Data[[#This Row],[Column1]],'1. Set Program Names'!$B$2:$D$15,3,0)*tbl_Data[[#This Row],[Sum of Annuals]],"")</f>
        <v>14.447483541891241</v>
      </c>
      <c r="AX435" s="81">
        <f>tbl_Data[[#This Row],[per unit IRA tax ($)]]/tbl_Data[[#This Row],[kWh Savings]]*tbl_Data[[#This Row],[Sum of Annuals]]</f>
        <v>0</v>
      </c>
      <c r="AY435" s="81">
        <f>tbl_Data[[#This Row],[Avoided Costs ($/unit)]]/tbl_Data[[#This Row],[kWh Savings]]*tbl_Data[[#This Row],[Sum of Annuals]]</f>
        <v>172.4127104574892</v>
      </c>
      <c r="AZ435" s="81">
        <f>tbl_Data[[#This Row],[Lost Revenue ($/unit)]]/tbl_Data[[#This Row],[kWh Savings]]*tbl_Data[[#This Row],[Sum of Annuals]]</f>
        <v>316.72583711642733</v>
      </c>
      <c r="BA435" s="81">
        <f>tbl_Data[[#This Row],[Incremental Cost ($/unit)]]/tbl_Data[[#This Row],[kWh Savings]]*tbl_Data[[#This Row],[Sum of Annuals]]</f>
        <v>108.89257847055586</v>
      </c>
      <c r="BB435" s="77">
        <f>ROUNDUP(tbl_Data[[#This Row],[Adjusted 2025]]/$L435,0)</f>
        <v>1</v>
      </c>
      <c r="BC435" s="77">
        <f>ROUNDUP(tbl_Data[[#This Row],[Adjusted 2026]]/$L435,0)</f>
        <v>1</v>
      </c>
      <c r="BD435" s="77">
        <f>ROUNDUP(tbl_Data[[#This Row],[Adjusted 2027]]/$L435,0)</f>
        <v>1</v>
      </c>
      <c r="BE435" s="77">
        <f>ROUNDUP(tbl_Data[[#This Row],[Adjusted 2028]]/$L435,0)</f>
        <v>1</v>
      </c>
      <c r="BF435" s="77">
        <f>ROUNDUP(tbl_Data[[#This Row],[Adjusted 2029]]/$L435,0)</f>
        <v>1</v>
      </c>
      <c r="BG435" s="77">
        <f>ROUNDUP(tbl_Data[[#This Row],[Adjusted 2030]]/$L435,0)</f>
        <v>1</v>
      </c>
      <c r="BH435" s="77">
        <f>ROUNDUP(tbl_Data[[#This Row],[Adjusted 2031]]/$L435,0)</f>
        <v>1</v>
      </c>
      <c r="BI435" s="77">
        <f>ROUNDUP(tbl_Data[[#This Row],[Adjusted 2032]]/$L435,0)</f>
        <v>1</v>
      </c>
      <c r="BJ435" s="77">
        <f>ROUNDUP(tbl_Data[[#This Row],[Adjusted 2033]]/$L435,0)</f>
        <v>1</v>
      </c>
      <c r="BK435" s="77">
        <f>ROUNDUP(tbl_Data[[#This Row],[Adjusted 2034]]/$L435,0)</f>
        <v>1</v>
      </c>
      <c r="BL435" s="80">
        <f t="shared" si="177"/>
        <v>2.5427261879406853</v>
      </c>
      <c r="BM435" s="80">
        <f t="shared" si="178"/>
        <v>2.8571968920081416</v>
      </c>
      <c r="BN435" s="80">
        <f t="shared" si="179"/>
        <v>3.1411328874956772</v>
      </c>
      <c r="BO435" s="80">
        <f t="shared" si="180"/>
        <v>3.4089607271877247</v>
      </c>
      <c r="BP435" s="80">
        <f t="shared" si="181"/>
        <v>3.6579185822839304</v>
      </c>
      <c r="BQ435" s="80">
        <f t="shared" si="182"/>
        <v>3.8869767628502245</v>
      </c>
      <c r="BR435" s="80">
        <f t="shared" si="183"/>
        <v>4.0973448105171979</v>
      </c>
      <c r="BS435" s="80">
        <f t="shared" si="184"/>
        <v>4.2995071920918546</v>
      </c>
      <c r="BT435" s="80">
        <f t="shared" si="185"/>
        <v>4.4994463077217155</v>
      </c>
      <c r="BU435" s="80">
        <f t="shared" si="186"/>
        <v>4.6907124085408025</v>
      </c>
      <c r="BV435" s="80">
        <f>IFERROR(VLOOKUP($H435,'1. Set Program Names'!$B$2:$D$15,3,0)*V435,"NA")</f>
        <v>0.87038866919010549</v>
      </c>
      <c r="BW435" s="80">
        <f>IFERROR(VLOOKUP($H435,'1. Set Program Names'!$B$2:$D$15,3,0)*W435,"NA")</f>
        <v>0.97803366018861482</v>
      </c>
      <c r="BX435" s="80">
        <f>IFERROR(VLOOKUP($H435,'1. Set Program Names'!$B$2:$D$15,3,0)*X435,"NA")</f>
        <v>1.0752264583827902</v>
      </c>
      <c r="BY435" s="80">
        <f>IFERROR(VLOOKUP($H435,'1. Set Program Names'!$B$2:$D$15,3,0)*Y435,"NA")</f>
        <v>1.1669053493570551</v>
      </c>
      <c r="BZ435" s="80">
        <f>IFERROR(VLOOKUP($H435,'1. Set Program Names'!$B$2:$D$15,3,0)*Z435,"NA")</f>
        <v>1.252124944455143</v>
      </c>
      <c r="CA435" s="80">
        <f>IFERROR(VLOOKUP($H435,'1. Set Program Names'!$B$2:$D$15,3,0)*AA435,"NA")</f>
        <v>1.3305327753477292</v>
      </c>
      <c r="CB435" s="80">
        <f>IFERROR(VLOOKUP($H435,'1. Set Program Names'!$B$2:$D$15,3,0)*AB435,"NA")</f>
        <v>1.4025428745543878</v>
      </c>
      <c r="CC435" s="80">
        <f>IFERROR(VLOOKUP($H435,'1. Set Program Names'!$B$2:$D$15,3,0)*AC435,"NA")</f>
        <v>1.471744130707562</v>
      </c>
      <c r="CD435" s="80">
        <f>IFERROR(VLOOKUP($H435,'1. Set Program Names'!$B$2:$D$15,3,0)*AD435,"NA")</f>
        <v>1.540184351128252</v>
      </c>
      <c r="CE435" s="80">
        <f>IFERROR(VLOOKUP($H435,'1. Set Program Names'!$B$2:$D$15,3,0)*AE435,"NA")</f>
        <v>1.6056557525487614</v>
      </c>
    </row>
    <row r="436" spans="1:83" x14ac:dyDescent="0.25">
      <c r="A436" s="79" t="s">
        <v>114</v>
      </c>
      <c r="B436" s="79" t="s">
        <v>88</v>
      </c>
      <c r="C436" s="79" t="s">
        <v>122</v>
      </c>
      <c r="D436" s="79" t="s">
        <v>90</v>
      </c>
      <c r="E436" s="79" t="s">
        <v>91</v>
      </c>
      <c r="F436" s="79" t="s">
        <v>90</v>
      </c>
      <c r="G436" s="79" t="s">
        <v>92</v>
      </c>
      <c r="H436" s="79" t="s">
        <v>18</v>
      </c>
      <c r="I436" s="79" t="s">
        <v>157</v>
      </c>
      <c r="J436" s="79" t="s">
        <v>158</v>
      </c>
      <c r="K436" s="79" t="s">
        <v>159</v>
      </c>
      <c r="L436" s="79">
        <v>562.52000000000032</v>
      </c>
      <c r="M436" s="79">
        <v>0</v>
      </c>
      <c r="N436" s="79">
        <v>2.7796637938074218E-2</v>
      </c>
      <c r="O436" s="79">
        <v>169</v>
      </c>
      <c r="P436" s="79">
        <v>53.285725702774094</v>
      </c>
      <c r="Q436" s="79"/>
      <c r="R436" s="79">
        <v>275.37363005821356</v>
      </c>
      <c r="S436" s="79">
        <v>610.96426176974103</v>
      </c>
      <c r="T436" s="79">
        <v>15</v>
      </c>
      <c r="U436" s="79">
        <v>0.2</v>
      </c>
      <c r="V436" s="79">
        <f>tbl_Data_old[[#This Row],[2025 ]]*IFERROR(AVERAGEIFS('Participation Adjustment'!$C:$C,'Participation Adjustment'!$A:$A,$H436,'Participation Adjustment'!$B:$B,$I436),1)</f>
        <v>0</v>
      </c>
      <c r="W436" s="79">
        <f>tbl_Data_old[[#This Row],[2026 ]]*IFERROR(AVERAGEIFS('Participation Adjustment'!$C:$C,'Participation Adjustment'!$A:$A,$H436,'Participation Adjustment'!$B:$B,$I436),1)</f>
        <v>0</v>
      </c>
      <c r="X436" s="79">
        <f>tbl_Data_old[[#This Row],[2027 ]]*IFERROR(AVERAGEIFS('Participation Adjustment'!$C:$C,'Participation Adjustment'!$A:$A,$H436,'Participation Adjustment'!$B:$B,$I436),1)</f>
        <v>0</v>
      </c>
      <c r="Y436" s="79">
        <f>tbl_Data_old[[#This Row],[2028 ]]*IFERROR(AVERAGEIFS('Participation Adjustment'!$C:$C,'Participation Adjustment'!$A:$A,$H436,'Participation Adjustment'!$B:$B,$I436),1)</f>
        <v>0</v>
      </c>
      <c r="Z436" s="79">
        <f>tbl_Data_old[[#This Row],[2029 ]]*IFERROR(AVERAGEIFS('Participation Adjustment'!$C:$C,'Participation Adjustment'!$A:$A,$H436,'Participation Adjustment'!$B:$B,$I436),1)</f>
        <v>0</v>
      </c>
      <c r="AA436" s="79">
        <f>tbl_Data_old[[#This Row],[2030 ]]*IFERROR(AVERAGEIFS('Participation Adjustment'!$C:$C,'Participation Adjustment'!$A:$A,$H436,'Participation Adjustment'!$B:$B,$I436),1)</f>
        <v>0</v>
      </c>
      <c r="AB436" s="79">
        <f>tbl_Data_old[[#This Row],[2031 ]]*IFERROR(AVERAGEIFS('Participation Adjustment'!$C:$C,'Participation Adjustment'!$A:$A,$H436,'Participation Adjustment'!$B:$B,$I436),1)</f>
        <v>0</v>
      </c>
      <c r="AC436" s="79">
        <f>tbl_Data_old[[#This Row],[2032 ]]*IFERROR(AVERAGEIFS('Participation Adjustment'!$C:$C,'Participation Adjustment'!$A:$A,$H436,'Participation Adjustment'!$B:$B,$I436),1)</f>
        <v>0</v>
      </c>
      <c r="AD436" s="79">
        <f>tbl_Data_old[[#This Row],[2033 ]]*IFERROR(AVERAGEIFS('Participation Adjustment'!$C:$C,'Participation Adjustment'!$A:$A,$H436,'Participation Adjustment'!$B:$B,$I436),1)</f>
        <v>0</v>
      </c>
      <c r="AE436" s="79">
        <f>tbl_Data_old[[#This Row],[2034 ]]*IFERROR(AVERAGEIFS('Participation Adjustment'!$C:$C,'Participation Adjustment'!$A:$A,$H436,'Participation Adjustment'!$B:$B,$I436),1)</f>
        <v>0</v>
      </c>
      <c r="AF436" s="77" t="str">
        <f t="shared" si="176"/>
        <v>NonResidential</v>
      </c>
      <c r="AG436" s="77" t="str">
        <f>tbl_Data[[#This Row],[All_Meas_Name_Append]]</f>
        <v>LED Exterior Wall Packs</v>
      </c>
      <c r="AH436" s="77">
        <f>AVERAGEIFS('3. Incentive Adjustment'!G:G,'3. Incentive Adjustment'!A:A,tbl_Data[[#This Row],[Trimmed Sector]],'3. Incentive Adjustment'!B:B,tbl_Data[[#This Row],[Trimmed Measure Name]])</f>
        <v>0.80637708305213962</v>
      </c>
      <c r="AI436" s="77">
        <f>$AH436*tbl_Data[[#This Row],[2025 ]]</f>
        <v>0</v>
      </c>
      <c r="AJ436" s="77">
        <f>$AH436*tbl_Data[[#This Row],[2026 ]]</f>
        <v>0</v>
      </c>
      <c r="AK436" s="77">
        <f>$AH436*tbl_Data[[#This Row],[2027 ]]</f>
        <v>0</v>
      </c>
      <c r="AL436" s="77">
        <f>$AH436*tbl_Data[[#This Row],[2028 ]]</f>
        <v>0</v>
      </c>
      <c r="AM436" s="77">
        <f>$AH436*tbl_Data[[#This Row],[2029 ]]</f>
        <v>0</v>
      </c>
      <c r="AN436" s="77">
        <f>$AH436*tbl_Data[[#This Row],[2030 ]]</f>
        <v>0</v>
      </c>
      <c r="AO436" s="77">
        <f>$AH436*tbl_Data[[#This Row],[2031 ]]</f>
        <v>0</v>
      </c>
      <c r="AP436" s="77">
        <f>$AH436*tbl_Data[[#This Row],[2032 ]]</f>
        <v>0</v>
      </c>
      <c r="AQ436" s="77">
        <f>$AH436*tbl_Data[[#This Row],[2033 ]]</f>
        <v>0</v>
      </c>
      <c r="AR436" s="77">
        <f>$AH436*tbl_Data[[#This Row],[2034 ]]</f>
        <v>0</v>
      </c>
      <c r="AS436" s="77">
        <f>SUM(tbl_Data[[#This Row],[Adjusted 2025]:[Adjusted 2034]])</f>
        <v>0</v>
      </c>
      <c r="AT436" s="80">
        <f>AVERAGEIFS('3. Incentive Adjustment'!F:F,'3. Incentive Adjustment'!A:A,tbl_Data[[#This Row],[Trimmed Sector]],'3. Incentive Adjustment'!B:B,tbl_Data[[#This Row],[Trimmed Measure Name]])</f>
        <v>8.6864493556481861</v>
      </c>
      <c r="AU436" s="80">
        <f>IFERROR(VLOOKUP(tbl_Data[[#This Row],[All_Meas_Name_Append]],'IRA Tax Credits'!$A$3:$D$46,4,0),0)</f>
        <v>0</v>
      </c>
      <c r="AV436" s="81">
        <f>tbl_Data[[#This Row],[Adj. per unit Incentive ($)]]/tbl_Data[[#This Row],[kWh Savings]]*tbl_Data[[#This Row],[Sum of Annuals]]</f>
        <v>0</v>
      </c>
      <c r="AW436" s="81">
        <f>IFERROR(VLOOKUP(tbl_Data[[#This Row],[Column1]],'1. Set Program Names'!$B$2:$D$15,3,0)*tbl_Data[[#This Row],[Sum of Annuals]],"")</f>
        <v>0</v>
      </c>
      <c r="AX436" s="81">
        <f>tbl_Data[[#This Row],[per unit IRA tax ($)]]/tbl_Data[[#This Row],[kWh Savings]]*tbl_Data[[#This Row],[Sum of Annuals]]</f>
        <v>0</v>
      </c>
      <c r="AY436" s="81">
        <f>tbl_Data[[#This Row],[Avoided Costs ($/unit)]]/tbl_Data[[#This Row],[kWh Savings]]*tbl_Data[[#This Row],[Sum of Annuals]]</f>
        <v>0</v>
      </c>
      <c r="AZ436" s="81">
        <f>tbl_Data[[#This Row],[Lost Revenue ($/unit)]]/tbl_Data[[#This Row],[kWh Savings]]*tbl_Data[[#This Row],[Sum of Annuals]]</f>
        <v>0</v>
      </c>
      <c r="BA436" s="81">
        <f>tbl_Data[[#This Row],[Incremental Cost ($/unit)]]/tbl_Data[[#This Row],[kWh Savings]]*tbl_Data[[#This Row],[Sum of Annuals]]</f>
        <v>0</v>
      </c>
      <c r="BB436" s="77">
        <f>ROUNDUP(tbl_Data[[#This Row],[Adjusted 2025]]/$L436,0)</f>
        <v>0</v>
      </c>
      <c r="BC436" s="77">
        <f>ROUNDUP(tbl_Data[[#This Row],[Adjusted 2026]]/$L436,0)</f>
        <v>0</v>
      </c>
      <c r="BD436" s="77">
        <f>ROUNDUP(tbl_Data[[#This Row],[Adjusted 2027]]/$L436,0)</f>
        <v>0</v>
      </c>
      <c r="BE436" s="77">
        <f>ROUNDUP(tbl_Data[[#This Row],[Adjusted 2028]]/$L436,0)</f>
        <v>0</v>
      </c>
      <c r="BF436" s="77">
        <f>ROUNDUP(tbl_Data[[#This Row],[Adjusted 2029]]/$L436,0)</f>
        <v>0</v>
      </c>
      <c r="BG436" s="77">
        <f>ROUNDUP(tbl_Data[[#This Row],[Adjusted 2030]]/$L436,0)</f>
        <v>0</v>
      </c>
      <c r="BH436" s="77">
        <f>ROUNDUP(tbl_Data[[#This Row],[Adjusted 2031]]/$L436,0)</f>
        <v>0</v>
      </c>
      <c r="BI436" s="77">
        <f>ROUNDUP(tbl_Data[[#This Row],[Adjusted 2032]]/$L436,0)</f>
        <v>0</v>
      </c>
      <c r="BJ436" s="77">
        <f>ROUNDUP(tbl_Data[[#This Row],[Adjusted 2033]]/$L436,0)</f>
        <v>0</v>
      </c>
      <c r="BK436" s="77">
        <f>ROUNDUP(tbl_Data[[#This Row],[Adjusted 2034]]/$L436,0)</f>
        <v>0</v>
      </c>
      <c r="BL436" s="80">
        <f t="shared" si="177"/>
        <v>0</v>
      </c>
      <c r="BM436" s="80">
        <f t="shared" si="178"/>
        <v>0</v>
      </c>
      <c r="BN436" s="80">
        <f t="shared" si="179"/>
        <v>0</v>
      </c>
      <c r="BO436" s="80">
        <f t="shared" si="180"/>
        <v>0</v>
      </c>
      <c r="BP436" s="80">
        <f t="shared" si="181"/>
        <v>0</v>
      </c>
      <c r="BQ436" s="80">
        <f t="shared" si="182"/>
        <v>0</v>
      </c>
      <c r="BR436" s="80">
        <f t="shared" si="183"/>
        <v>0</v>
      </c>
      <c r="BS436" s="80">
        <f t="shared" si="184"/>
        <v>0</v>
      </c>
      <c r="BT436" s="80">
        <f t="shared" si="185"/>
        <v>0</v>
      </c>
      <c r="BU436" s="80">
        <f t="shared" si="186"/>
        <v>0</v>
      </c>
      <c r="BV436" s="80">
        <f>IFERROR(VLOOKUP($H436,'1. Set Program Names'!$B$2:$D$15,3,0)*V436,"NA")</f>
        <v>0</v>
      </c>
      <c r="BW436" s="80">
        <f>IFERROR(VLOOKUP($H436,'1. Set Program Names'!$B$2:$D$15,3,0)*W436,"NA")</f>
        <v>0</v>
      </c>
      <c r="BX436" s="80">
        <f>IFERROR(VLOOKUP($H436,'1. Set Program Names'!$B$2:$D$15,3,0)*X436,"NA")</f>
        <v>0</v>
      </c>
      <c r="BY436" s="80">
        <f>IFERROR(VLOOKUP($H436,'1. Set Program Names'!$B$2:$D$15,3,0)*Y436,"NA")</f>
        <v>0</v>
      </c>
      <c r="BZ436" s="80">
        <f>IFERROR(VLOOKUP($H436,'1. Set Program Names'!$B$2:$D$15,3,0)*Z436,"NA")</f>
        <v>0</v>
      </c>
      <c r="CA436" s="80">
        <f>IFERROR(VLOOKUP($H436,'1. Set Program Names'!$B$2:$D$15,3,0)*AA436,"NA")</f>
        <v>0</v>
      </c>
      <c r="CB436" s="80">
        <f>IFERROR(VLOOKUP($H436,'1. Set Program Names'!$B$2:$D$15,3,0)*AB436,"NA")</f>
        <v>0</v>
      </c>
      <c r="CC436" s="80">
        <f>IFERROR(VLOOKUP($H436,'1. Set Program Names'!$B$2:$D$15,3,0)*AC436,"NA")</f>
        <v>0</v>
      </c>
      <c r="CD436" s="80">
        <f>IFERROR(VLOOKUP($H436,'1. Set Program Names'!$B$2:$D$15,3,0)*AD436,"NA")</f>
        <v>0</v>
      </c>
      <c r="CE436" s="80">
        <f>IFERROR(VLOOKUP($H436,'1. Set Program Names'!$B$2:$D$15,3,0)*AE436,"NA")</f>
        <v>0</v>
      </c>
    </row>
    <row r="437" spans="1:83" x14ac:dyDescent="0.25">
      <c r="A437" s="79" t="s">
        <v>114</v>
      </c>
      <c r="B437" s="79" t="s">
        <v>88</v>
      </c>
      <c r="C437" s="79" t="s">
        <v>122</v>
      </c>
      <c r="D437" s="79" t="s">
        <v>90</v>
      </c>
      <c r="E437" s="79" t="s">
        <v>91</v>
      </c>
      <c r="F437" s="79" t="s">
        <v>90</v>
      </c>
      <c r="G437" s="79" t="s">
        <v>92</v>
      </c>
      <c r="H437" s="79" t="s">
        <v>18</v>
      </c>
      <c r="I437" s="79" t="s">
        <v>160</v>
      </c>
      <c r="J437" s="79" t="s">
        <v>161</v>
      </c>
      <c r="K437" s="79" t="s">
        <v>159</v>
      </c>
      <c r="L437" s="79">
        <v>1059.6621428571407</v>
      </c>
      <c r="M437" s="79">
        <v>0.13879011985330975</v>
      </c>
      <c r="N437" s="79">
        <v>0.14661252282673942</v>
      </c>
      <c r="O437" s="79">
        <v>179</v>
      </c>
      <c r="P437" s="79">
        <v>5.0437849584490522</v>
      </c>
      <c r="Q437" s="79"/>
      <c r="R437" s="79">
        <v>417.01467834907817</v>
      </c>
      <c r="S437" s="79">
        <v>1150.9203207638036</v>
      </c>
      <c r="T437" s="79">
        <v>15</v>
      </c>
      <c r="U437" s="79">
        <v>0.2</v>
      </c>
      <c r="V437" s="79">
        <f>tbl_Data_old[[#This Row],[2025 ]]*IFERROR(AVERAGEIFS('Participation Adjustment'!$C:$C,'Participation Adjustment'!$A:$A,$H437,'Participation Adjustment'!$B:$B,$I437),1)</f>
        <v>4.2868801571502102</v>
      </c>
      <c r="W437" s="79">
        <f>tbl_Data_old[[#This Row],[2026 ]]*IFERROR(AVERAGEIFS('Participation Adjustment'!$C:$C,'Participation Adjustment'!$A:$A,$H437,'Participation Adjustment'!$B:$B,$I437),1)</f>
        <v>4.6660695342906697</v>
      </c>
      <c r="X437" s="79">
        <f>tbl_Data_old[[#This Row],[2027 ]]*IFERROR(AVERAGEIFS('Participation Adjustment'!$C:$C,'Participation Adjustment'!$A:$A,$H437,'Participation Adjustment'!$B:$B,$I437),1)</f>
        <v>4.96692670836664</v>
      </c>
      <c r="Y437" s="79">
        <f>tbl_Data_old[[#This Row],[2028 ]]*IFERROR(AVERAGEIFS('Participation Adjustment'!$C:$C,'Participation Adjustment'!$A:$A,$H437,'Participation Adjustment'!$B:$B,$I437),1)</f>
        <v>5.2189963989586197</v>
      </c>
      <c r="Z437" s="79">
        <f>tbl_Data_old[[#This Row],[2029 ]]*IFERROR(AVERAGEIFS('Participation Adjustment'!$C:$C,'Participation Adjustment'!$A:$A,$H437,'Participation Adjustment'!$B:$B,$I437),1)</f>
        <v>5.42250398112132</v>
      </c>
      <c r="AA437" s="79">
        <f>tbl_Data_old[[#This Row],[2030 ]]*IFERROR(AVERAGEIFS('Participation Adjustment'!$C:$C,'Participation Adjustment'!$A:$A,$H437,'Participation Adjustment'!$B:$B,$I437),1)</f>
        <v>5.5789432658929305</v>
      </c>
      <c r="AB437" s="79">
        <f>tbl_Data_old[[#This Row],[2031 ]]*IFERROR(AVERAGEIFS('Participation Adjustment'!$C:$C,'Participation Adjustment'!$A:$A,$H437,'Participation Adjustment'!$B:$B,$I437),1)</f>
        <v>5.6944640203474792</v>
      </c>
      <c r="AC437" s="79">
        <f>tbl_Data_old[[#This Row],[2032 ]]*IFERROR(AVERAGEIFS('Participation Adjustment'!$C:$C,'Participation Adjustment'!$A:$A,$H437,'Participation Adjustment'!$B:$B,$I437),1)</f>
        <v>5.7863124836891897</v>
      </c>
      <c r="AD437" s="79">
        <f>tbl_Data_old[[#This Row],[2033 ]]*IFERROR(AVERAGEIFS('Participation Adjustment'!$C:$C,'Participation Adjustment'!$A:$A,$H437,'Participation Adjustment'!$B:$B,$I437),1)</f>
        <v>5.8630104981209392</v>
      </c>
      <c r="AE437" s="79">
        <f>tbl_Data_old[[#This Row],[2034 ]]*IFERROR(AVERAGEIFS('Participation Adjustment'!$C:$C,'Participation Adjustment'!$A:$A,$H437,'Participation Adjustment'!$B:$B,$I437),1)</f>
        <v>5.9184121507519505</v>
      </c>
      <c r="AF437" s="77" t="str">
        <f t="shared" si="176"/>
        <v>NonResidential</v>
      </c>
      <c r="AG437" s="77" t="str">
        <f>tbl_Data[[#This Row],[All_Meas_Name_Append]]</f>
        <v>LED High Bay_HID Baseline</v>
      </c>
      <c r="AH437" s="77">
        <f>AVERAGEIFS('3. Incentive Adjustment'!G:G,'3. Incentive Adjustment'!A:A,tbl_Data[[#This Row],[Trimmed Sector]],'3. Incentive Adjustment'!B:B,tbl_Data[[#This Row],[Trimmed Measure Name]])</f>
        <v>1.0603846876879557</v>
      </c>
      <c r="AI437" s="77">
        <f>$AH437*tbl_Data[[#This Row],[2025 ]]</f>
        <v>4.5457420765954204</v>
      </c>
      <c r="AJ437" s="77">
        <f>$AH437*tbl_Data[[#This Row],[2026 ]]</f>
        <v>4.947828685849097</v>
      </c>
      <c r="AK437" s="77">
        <f>$AH437*tbl_Data[[#This Row],[2027 ]]</f>
        <v>5.2668530264203248</v>
      </c>
      <c r="AL437" s="77">
        <f>$AH437*tbl_Data[[#This Row],[2028 ]]</f>
        <v>5.5341438665543015</v>
      </c>
      <c r="AM437" s="77">
        <f>$AH437*tbl_Data[[#This Row],[2029 ]]</f>
        <v>5.7499401905080276</v>
      </c>
      <c r="AN437" s="77">
        <f>$AH437*tbl_Data[[#This Row],[2030 ]]</f>
        <v>5.9158260126326985</v>
      </c>
      <c r="AO437" s="77">
        <f>$AH437*tbl_Data[[#This Row],[2031 ]]</f>
        <v>6.0383224517664624</v>
      </c>
      <c r="AP437" s="77">
        <f>$AH437*tbl_Data[[#This Row],[2032 ]]</f>
        <v>6.1357171558816805</v>
      </c>
      <c r="AQ437" s="77">
        <f>$AH437*tbl_Data[[#This Row],[2033 ]]</f>
        <v>6.2170465559611774</v>
      </c>
      <c r="AR437" s="77">
        <f>$AH437*tbl_Data[[#This Row],[2034 ]]</f>
        <v>6.275793620083709</v>
      </c>
      <c r="AS437" s="77">
        <f>SUM(tbl_Data[[#This Row],[Adjusted 2025]:[Adjusted 2034]])</f>
        <v>56.627213642252897</v>
      </c>
      <c r="AT437" s="80">
        <f>AVERAGEIFS('3. Incentive Adjustment'!F:F,'3. Incentive Adjustment'!A:A,tbl_Data[[#This Row],[Trimmed Sector]],'3. Incentive Adjustment'!B:B,tbl_Data[[#This Row],[Trimmed Measure Name]])</f>
        <v>28.590998621954778</v>
      </c>
      <c r="AU437" s="80">
        <f>IFERROR(VLOOKUP(tbl_Data[[#This Row],[All_Meas_Name_Append]],'IRA Tax Credits'!$A$3:$D$46,4,0),0)</f>
        <v>0</v>
      </c>
      <c r="AV437" s="81">
        <f>tbl_Data[[#This Row],[Adj. per unit Incentive ($)]]/tbl_Data[[#This Row],[kWh Savings]]*tbl_Data[[#This Row],[Sum of Annuals]]</f>
        <v>1.5278724432350155</v>
      </c>
      <c r="AW437" s="81">
        <f>IFERROR(VLOOKUP(tbl_Data[[#This Row],[Column1]],'1. Set Program Names'!$B$2:$D$15,3,0)*tbl_Data[[#This Row],[Sum of Annuals]],"")</f>
        <v>1.7921491656680932</v>
      </c>
      <c r="AX437" s="81">
        <f>tbl_Data[[#This Row],[per unit IRA tax ($)]]/tbl_Data[[#This Row],[kWh Savings]]*tbl_Data[[#This Row],[Sum of Annuals]]</f>
        <v>0</v>
      </c>
      <c r="AY437" s="81">
        <f>tbl_Data[[#This Row],[Avoided Costs ($/unit)]]/tbl_Data[[#This Row],[kWh Savings]]*tbl_Data[[#This Row],[Sum of Annuals]]</f>
        <v>22.2848192152621</v>
      </c>
      <c r="AZ437" s="81">
        <f>tbl_Data[[#This Row],[Lost Revenue ($/unit)]]/tbl_Data[[#This Row],[kWh Savings]]*tbl_Data[[#This Row],[Sum of Annuals]]</f>
        <v>61.503953244358328</v>
      </c>
      <c r="BA437" s="81">
        <f>tbl_Data[[#This Row],[Incremental Cost ($/unit)]]/tbl_Data[[#This Row],[kWh Savings]]*tbl_Data[[#This Row],[Sum of Annuals]]</f>
        <v>9.5655689035309805</v>
      </c>
      <c r="BB437" s="77">
        <f>ROUNDUP(tbl_Data[[#This Row],[Adjusted 2025]]/$L437,0)</f>
        <v>1</v>
      </c>
      <c r="BC437" s="77">
        <f>ROUNDUP(tbl_Data[[#This Row],[Adjusted 2026]]/$L437,0)</f>
        <v>1</v>
      </c>
      <c r="BD437" s="77">
        <f>ROUNDUP(tbl_Data[[#This Row],[Adjusted 2027]]/$L437,0)</f>
        <v>1</v>
      </c>
      <c r="BE437" s="77">
        <f>ROUNDUP(tbl_Data[[#This Row],[Adjusted 2028]]/$L437,0)</f>
        <v>1</v>
      </c>
      <c r="BF437" s="77">
        <f>ROUNDUP(tbl_Data[[#This Row],[Adjusted 2029]]/$L437,0)</f>
        <v>1</v>
      </c>
      <c r="BG437" s="77">
        <f>ROUNDUP(tbl_Data[[#This Row],[Adjusted 2030]]/$L437,0)</f>
        <v>1</v>
      </c>
      <c r="BH437" s="77">
        <f>ROUNDUP(tbl_Data[[#This Row],[Adjusted 2031]]/$L437,0)</f>
        <v>1</v>
      </c>
      <c r="BI437" s="77">
        <f>ROUNDUP(tbl_Data[[#This Row],[Adjusted 2032]]/$L437,0)</f>
        <v>1</v>
      </c>
      <c r="BJ437" s="77">
        <f>ROUNDUP(tbl_Data[[#This Row],[Adjusted 2033]]/$L437,0)</f>
        <v>1</v>
      </c>
      <c r="BK437" s="77">
        <f>ROUNDUP(tbl_Data[[#This Row],[Adjusted 2034]]/$L437,0)</f>
        <v>1</v>
      </c>
      <c r="BL437" s="80">
        <f t="shared" si="177"/>
        <v>0.11566534247896673</v>
      </c>
      <c r="BM437" s="80">
        <f t="shared" si="178"/>
        <v>0.12589634207856681</v>
      </c>
      <c r="BN437" s="80">
        <f t="shared" si="179"/>
        <v>0.13401384170558797</v>
      </c>
      <c r="BO437" s="80">
        <f t="shared" si="180"/>
        <v>0.1408149945305063</v>
      </c>
      <c r="BP437" s="80">
        <f t="shared" si="181"/>
        <v>0.14630588145176865</v>
      </c>
      <c r="BQ437" s="80">
        <f t="shared" si="182"/>
        <v>0.15052680734354859</v>
      </c>
      <c r="BR437" s="80">
        <f t="shared" si="183"/>
        <v>0.15364370054736898</v>
      </c>
      <c r="BS437" s="80">
        <f t="shared" si="184"/>
        <v>0.15612188598272952</v>
      </c>
      <c r="BT437" s="80">
        <f t="shared" si="185"/>
        <v>0.15819129351956218</v>
      </c>
      <c r="BU437" s="80">
        <f t="shared" si="186"/>
        <v>0.15968609880698748</v>
      </c>
      <c r="BV437" s="80">
        <f>IFERROR(VLOOKUP($H437,'1. Set Program Names'!$B$2:$D$15,3,0)*V437,"NA")</f>
        <v>0.13567202415241772</v>
      </c>
      <c r="BW437" s="80">
        <f>IFERROR(VLOOKUP($H437,'1. Set Program Names'!$B$2:$D$15,3,0)*W437,"NA")</f>
        <v>0.14767268394411576</v>
      </c>
      <c r="BX437" s="80">
        <f>IFERROR(VLOOKUP($H437,'1. Set Program Names'!$B$2:$D$15,3,0)*X437,"NA")</f>
        <v>0.15719427080713588</v>
      </c>
      <c r="BY437" s="80">
        <f>IFERROR(VLOOKUP($H437,'1. Set Program Names'!$B$2:$D$15,3,0)*Y437,"NA")</f>
        <v>0.16517182182242293</v>
      </c>
      <c r="BZ437" s="80">
        <f>IFERROR(VLOOKUP($H437,'1. Set Program Names'!$B$2:$D$15,3,0)*Z437,"NA")</f>
        <v>0.17161246970391925</v>
      </c>
      <c r="CA437" s="80">
        <f>IFERROR(VLOOKUP($H437,'1. Set Program Names'!$B$2:$D$15,3,0)*AA437,"NA")</f>
        <v>0.17656349087639592</v>
      </c>
      <c r="CB437" s="80">
        <f>IFERROR(VLOOKUP($H437,'1. Set Program Names'!$B$2:$D$15,3,0)*AB437,"NA")</f>
        <v>0.18021951437458533</v>
      </c>
      <c r="CC437" s="80">
        <f>IFERROR(VLOOKUP($H437,'1. Set Program Names'!$B$2:$D$15,3,0)*AC437,"NA")</f>
        <v>0.18312635255994361</v>
      </c>
      <c r="CD437" s="80">
        <f>IFERROR(VLOOKUP($H437,'1. Set Program Names'!$B$2:$D$15,3,0)*AD437,"NA")</f>
        <v>0.18555370636620078</v>
      </c>
      <c r="CE437" s="80">
        <f>IFERROR(VLOOKUP($H437,'1. Set Program Names'!$B$2:$D$15,3,0)*AE437,"NA")</f>
        <v>0.18730706873657202</v>
      </c>
    </row>
    <row r="438" spans="1:83" x14ac:dyDescent="0.25">
      <c r="A438" s="79" t="s">
        <v>114</v>
      </c>
      <c r="B438" s="79" t="s">
        <v>88</v>
      </c>
      <c r="C438" s="79" t="s">
        <v>122</v>
      </c>
      <c r="D438" s="79" t="s">
        <v>90</v>
      </c>
      <c r="E438" s="79" t="s">
        <v>91</v>
      </c>
      <c r="F438" s="79" t="s">
        <v>90</v>
      </c>
      <c r="G438" s="79" t="s">
        <v>92</v>
      </c>
      <c r="H438" s="79" t="s">
        <v>18</v>
      </c>
      <c r="I438" s="79" t="s">
        <v>162</v>
      </c>
      <c r="J438" s="79" t="s">
        <v>161</v>
      </c>
      <c r="K438" s="79" t="s">
        <v>159</v>
      </c>
      <c r="L438" s="79">
        <v>632.51142857142861</v>
      </c>
      <c r="M438" s="79">
        <v>7.5636667797052567E-2</v>
      </c>
      <c r="N438" s="79">
        <v>7.2066360150851286E-2</v>
      </c>
      <c r="O438" s="79">
        <v>179</v>
      </c>
      <c r="P438" s="79">
        <v>51.895440493260928</v>
      </c>
      <c r="Q438" s="79"/>
      <c r="R438" s="79">
        <v>248.91572427603518</v>
      </c>
      <c r="S438" s="79">
        <v>686.98335706831222</v>
      </c>
      <c r="T438" s="79">
        <v>15</v>
      </c>
      <c r="U438" s="79">
        <v>0.2</v>
      </c>
      <c r="V438" s="79">
        <f>tbl_Data_old[[#This Row],[2025 ]]*IFERROR(AVERAGEIFS('Participation Adjustment'!$C:$C,'Participation Adjustment'!$A:$A,$H438,'Participation Adjustment'!$B:$B,$I438),1)</f>
        <v>12.6207623403246</v>
      </c>
      <c r="W438" s="79">
        <f>tbl_Data_old[[#This Row],[2026 ]]*IFERROR(AVERAGEIFS('Participation Adjustment'!$C:$C,'Participation Adjustment'!$A:$A,$H438,'Participation Adjustment'!$B:$B,$I438),1)</f>
        <v>13.7371124213697</v>
      </c>
      <c r="X438" s="79">
        <f>tbl_Data_old[[#This Row],[2027 ]]*IFERROR(AVERAGEIFS('Participation Adjustment'!$C:$C,'Participation Adjustment'!$A:$A,$H438,'Participation Adjustment'!$B:$B,$I438),1)</f>
        <v>14.6228490767463</v>
      </c>
      <c r="Y438" s="79">
        <f>tbl_Data_old[[#This Row],[2028 ]]*IFERROR(AVERAGEIFS('Participation Adjustment'!$C:$C,'Participation Adjustment'!$A:$A,$H438,'Participation Adjustment'!$B:$B,$I438),1)</f>
        <v>15.36495325077</v>
      </c>
      <c r="Z438" s="79">
        <f>tbl_Data_old[[#This Row],[2029 ]]*IFERROR(AVERAGEIFS('Participation Adjustment'!$C:$C,'Participation Adjustment'!$A:$A,$H438,'Participation Adjustment'!$B:$B,$I438),1)</f>
        <v>15.964088457441299</v>
      </c>
      <c r="AA438" s="79">
        <f>tbl_Data_old[[#This Row],[2030 ]]*IFERROR(AVERAGEIFS('Participation Adjustment'!$C:$C,'Participation Adjustment'!$A:$A,$H438,'Participation Adjustment'!$B:$B,$I438),1)</f>
        <v>16.4246525416739</v>
      </c>
      <c r="AB438" s="79">
        <f>tbl_Data_old[[#This Row],[2031 ]]*IFERROR(AVERAGEIFS('Participation Adjustment'!$C:$C,'Participation Adjustment'!$A:$A,$H438,'Participation Adjustment'!$B:$B,$I438),1)</f>
        <v>16.764750686221802</v>
      </c>
      <c r="AC438" s="79">
        <f>tbl_Data_old[[#This Row],[2032 ]]*IFERROR(AVERAGEIFS('Participation Adjustment'!$C:$C,'Participation Adjustment'!$A:$A,$H438,'Participation Adjustment'!$B:$B,$I438),1)</f>
        <v>17.035156572242698</v>
      </c>
      <c r="AD438" s="79">
        <f>tbl_Data_old[[#This Row],[2033 ]]*IFERROR(AVERAGEIFS('Participation Adjustment'!$C:$C,'Participation Adjustment'!$A:$A,$H438,'Participation Adjustment'!$B:$B,$I438),1)</f>
        <v>17.260958875230699</v>
      </c>
      <c r="AE438" s="79">
        <f>tbl_Data_old[[#This Row],[2034 ]]*IFERROR(AVERAGEIFS('Participation Adjustment'!$C:$C,'Participation Adjustment'!$A:$A,$H438,'Participation Adjustment'!$B:$B,$I438),1)</f>
        <v>17.424063759315501</v>
      </c>
      <c r="AF438" s="77" t="str">
        <f t="shared" si="176"/>
        <v>NonResidential</v>
      </c>
      <c r="AG438" s="77" t="str">
        <f>tbl_Data[[#This Row],[All_Meas_Name_Append]]</f>
        <v>LED High Bay_LF Baseline</v>
      </c>
      <c r="AH438" s="77">
        <f>AVERAGEIFS('3. Incentive Adjustment'!G:G,'3. Incentive Adjustment'!A:A,tbl_Data[[#This Row],[Trimmed Sector]],'3. Incentive Adjustment'!B:B,tbl_Data[[#This Row],[Trimmed Measure Name]])</f>
        <v>0.93017466414143679</v>
      </c>
      <c r="AI438" s="77">
        <f>$AH438*tbl_Data[[#This Row],[2025 ]]</f>
        <v>11.739513371120328</v>
      </c>
      <c r="AJ438" s="77">
        <f>$AH438*tbl_Data[[#This Row],[2026 ]]</f>
        <v>12.77791393282072</v>
      </c>
      <c r="AK438" s="77">
        <f>$AH438*tbl_Data[[#This Row],[2027 ]]</f>
        <v>13.60180372875341</v>
      </c>
      <c r="AL438" s="77">
        <f>$AH438*tbl_Data[[#This Row],[2028 ]]</f>
        <v>14.292090229583863</v>
      </c>
      <c r="AM438" s="77">
        <f>$AH438*tbl_Data[[#This Row],[2029 ]]</f>
        <v>14.849390619224648</v>
      </c>
      <c r="AN438" s="77">
        <f>$AH438*tbl_Data[[#This Row],[2030 ]]</f>
        <v>15.277795661591316</v>
      </c>
      <c r="AO438" s="77">
        <f>$AH438*tbl_Data[[#This Row],[2031 ]]</f>
        <v>15.594146338971287</v>
      </c>
      <c r="AP438" s="77">
        <f>$AH438*tbl_Data[[#This Row],[2032 ]]</f>
        <v>15.845671043182641</v>
      </c>
      <c r="AQ438" s="77">
        <f>$AH438*tbl_Data[[#This Row],[2033 ]]</f>
        <v>16.055706624526866</v>
      </c>
      <c r="AR438" s="77">
        <f>$AH438*tbl_Data[[#This Row],[2034 ]]</f>
        <v>16.207422655300277</v>
      </c>
      <c r="AS438" s="77">
        <f>SUM(tbl_Data[[#This Row],[Adjusted 2025]:[Adjusted 2034]])</f>
        <v>146.24145420507534</v>
      </c>
      <c r="AT438" s="80">
        <f>AVERAGEIFS('3. Incentive Adjustment'!F:F,'3. Incentive Adjustment'!A:A,tbl_Data[[#This Row],[Trimmed Sector]],'3. Incentive Adjustment'!B:B,tbl_Data[[#This Row],[Trimmed Measure Name]])</f>
        <v>23.858858929800434</v>
      </c>
      <c r="AU438" s="80">
        <f>IFERROR(VLOOKUP(tbl_Data[[#This Row],[All_Meas_Name_Append]],'IRA Tax Credits'!$A$3:$D$46,4,0),0)</f>
        <v>0</v>
      </c>
      <c r="AV438" s="81">
        <f>tbl_Data[[#This Row],[Adj. per unit Incentive ($)]]/tbl_Data[[#This Row],[kWh Savings]]*tbl_Data[[#This Row],[Sum of Annuals]]</f>
        <v>5.5163496941838064</v>
      </c>
      <c r="AW438" s="81">
        <f>IFERROR(VLOOKUP(tbl_Data[[#This Row],[Column1]],'1. Set Program Names'!$B$2:$D$15,3,0)*tbl_Data[[#This Row],[Sum of Annuals]],"")</f>
        <v>4.6282782302422216</v>
      </c>
      <c r="AX438" s="81">
        <f>tbl_Data[[#This Row],[per unit IRA tax ($)]]/tbl_Data[[#This Row],[kWh Savings]]*tbl_Data[[#This Row],[Sum of Annuals]]</f>
        <v>0</v>
      </c>
      <c r="AY438" s="81">
        <f>tbl_Data[[#This Row],[Avoided Costs ($/unit)]]/tbl_Data[[#This Row],[kWh Savings]]*tbl_Data[[#This Row],[Sum of Annuals]]</f>
        <v>57.551209113885847</v>
      </c>
      <c r="AZ438" s="81">
        <f>tbl_Data[[#This Row],[Lost Revenue ($/unit)]]/tbl_Data[[#This Row],[kWh Savings]]*tbl_Data[[#This Row],[Sum of Annuals]]</f>
        <v>158.83577847638696</v>
      </c>
      <c r="BA438" s="81">
        <f>tbl_Data[[#This Row],[Incremental Cost ($/unit)]]/tbl_Data[[#This Row],[kWh Savings]]*tbl_Data[[#This Row],[Sum of Annuals]]</f>
        <v>41.386161767592995</v>
      </c>
      <c r="BB438" s="77">
        <f>ROUNDUP(tbl_Data[[#This Row],[Adjusted 2025]]/$L438,0)</f>
        <v>1</v>
      </c>
      <c r="BC438" s="77">
        <f>ROUNDUP(tbl_Data[[#This Row],[Adjusted 2026]]/$L438,0)</f>
        <v>1</v>
      </c>
      <c r="BD438" s="77">
        <f>ROUNDUP(tbl_Data[[#This Row],[Adjusted 2027]]/$L438,0)</f>
        <v>1</v>
      </c>
      <c r="BE438" s="77">
        <f>ROUNDUP(tbl_Data[[#This Row],[Adjusted 2028]]/$L438,0)</f>
        <v>1</v>
      </c>
      <c r="BF438" s="77">
        <f>ROUNDUP(tbl_Data[[#This Row],[Adjusted 2029]]/$L438,0)</f>
        <v>1</v>
      </c>
      <c r="BG438" s="77">
        <f>ROUNDUP(tbl_Data[[#This Row],[Adjusted 2030]]/$L438,0)</f>
        <v>1</v>
      </c>
      <c r="BH438" s="77">
        <f>ROUNDUP(tbl_Data[[#This Row],[Adjusted 2031]]/$L438,0)</f>
        <v>1</v>
      </c>
      <c r="BI438" s="77">
        <f>ROUNDUP(tbl_Data[[#This Row],[Adjusted 2032]]/$L438,0)</f>
        <v>1</v>
      </c>
      <c r="BJ438" s="77">
        <f>ROUNDUP(tbl_Data[[#This Row],[Adjusted 2033]]/$L438,0)</f>
        <v>1</v>
      </c>
      <c r="BK438" s="77">
        <f>ROUNDUP(tbl_Data[[#This Row],[Adjusted 2034]]/$L438,0)</f>
        <v>1</v>
      </c>
      <c r="BL438" s="80">
        <f t="shared" si="177"/>
        <v>0.47606568776857738</v>
      </c>
      <c r="BM438" s="80">
        <f t="shared" si="178"/>
        <v>0.51817534444321323</v>
      </c>
      <c r="BN438" s="80">
        <f t="shared" si="179"/>
        <v>0.55158607024988082</v>
      </c>
      <c r="BO438" s="80">
        <f t="shared" si="180"/>
        <v>0.57957885899559125</v>
      </c>
      <c r="BP438" s="80">
        <f t="shared" si="181"/>
        <v>0.6021787389821599</v>
      </c>
      <c r="BQ438" s="80">
        <f t="shared" si="182"/>
        <v>0.6195516005898255</v>
      </c>
      <c r="BR438" s="80">
        <f t="shared" si="183"/>
        <v>0.63238038642122485</v>
      </c>
      <c r="BS438" s="80">
        <f t="shared" si="184"/>
        <v>0.64258032210133043</v>
      </c>
      <c r="BT438" s="80">
        <f t="shared" si="185"/>
        <v>0.6510977734068073</v>
      </c>
      <c r="BU438" s="80">
        <f t="shared" si="186"/>
        <v>0.65725022574894121</v>
      </c>
      <c r="BV438" s="80">
        <f>IFERROR(VLOOKUP($H438,'1. Set Program Names'!$B$2:$D$15,3,0)*V438,"NA")</f>
        <v>0.39942436230751049</v>
      </c>
      <c r="BW438" s="80">
        <f>IFERROR(VLOOKUP($H438,'1. Set Program Names'!$B$2:$D$15,3,0)*W438,"NA")</f>
        <v>0.43475482866204201</v>
      </c>
      <c r="BX438" s="80">
        <f>IFERROR(VLOOKUP($H438,'1. Set Program Names'!$B$2:$D$15,3,0)*X438,"NA")</f>
        <v>0.46278679608256845</v>
      </c>
      <c r="BY438" s="80">
        <f>IFERROR(VLOOKUP($H438,'1. Set Program Names'!$B$2:$D$15,3,0)*Y438,"NA")</f>
        <v>0.48627305455746928</v>
      </c>
      <c r="BZ438" s="80">
        <f>IFERROR(VLOOKUP($H438,'1. Set Program Names'!$B$2:$D$15,3,0)*Z438,"NA")</f>
        <v>0.50523460310799106</v>
      </c>
      <c r="CA438" s="80">
        <f>IFERROR(VLOOKUP($H438,'1. Set Program Names'!$B$2:$D$15,3,0)*AA438,"NA")</f>
        <v>0.51981062559266911</v>
      </c>
      <c r="CB438" s="80">
        <f>IFERROR(VLOOKUP($H438,'1. Set Program Names'!$B$2:$D$15,3,0)*AB438,"NA")</f>
        <v>0.53057411838691815</v>
      </c>
      <c r="CC438" s="80">
        <f>IFERROR(VLOOKUP($H438,'1. Set Program Names'!$B$2:$D$15,3,0)*AC438,"NA")</f>
        <v>0.53913197691207249</v>
      </c>
      <c r="CD438" s="80">
        <f>IFERROR(VLOOKUP($H438,'1. Set Program Names'!$B$2:$D$15,3,0)*AD438,"NA")</f>
        <v>0.54627821249170783</v>
      </c>
      <c r="CE438" s="80">
        <f>IFERROR(VLOOKUP($H438,'1. Set Program Names'!$B$2:$D$15,3,0)*AE438,"NA")</f>
        <v>0.55144018785881055</v>
      </c>
    </row>
    <row r="439" spans="1:83" x14ac:dyDescent="0.25">
      <c r="A439" s="79" t="s">
        <v>114</v>
      </c>
      <c r="B439" s="79" t="s">
        <v>88</v>
      </c>
      <c r="C439" s="79" t="s">
        <v>122</v>
      </c>
      <c r="D439" s="79" t="s">
        <v>90</v>
      </c>
      <c r="E439" s="79" t="s">
        <v>91</v>
      </c>
      <c r="F439" s="79" t="s">
        <v>90</v>
      </c>
      <c r="G439" s="79" t="s">
        <v>92</v>
      </c>
      <c r="H439" s="79" t="s">
        <v>18</v>
      </c>
      <c r="I439" s="79" t="s">
        <v>163</v>
      </c>
      <c r="J439" s="79" t="s">
        <v>161</v>
      </c>
      <c r="K439" s="79" t="s">
        <v>159</v>
      </c>
      <c r="L439" s="79">
        <v>217.06142857142831</v>
      </c>
      <c r="M439" s="79">
        <v>3.4743730880075478E-2</v>
      </c>
      <c r="N439" s="79">
        <v>3.4497784431073229E-2</v>
      </c>
      <c r="O439" s="79">
        <v>109.07999999999996</v>
      </c>
      <c r="P439" s="79">
        <v>64.428955263702662</v>
      </c>
      <c r="Q439" s="79"/>
      <c r="R439" s="79">
        <v>85.561030664747506</v>
      </c>
      <c r="S439" s="79">
        <v>235.75477399173039</v>
      </c>
      <c r="T439" s="79">
        <v>15</v>
      </c>
      <c r="U439" s="79">
        <v>0.2</v>
      </c>
      <c r="V439" s="79">
        <f>tbl_Data_old[[#This Row],[2025 ]]*IFERROR(AVERAGEIFS('Participation Adjustment'!$C:$C,'Participation Adjustment'!$A:$A,$H439,'Participation Adjustment'!$B:$B,$I439),1)</f>
        <v>59.868939682921805</v>
      </c>
      <c r="W439" s="79">
        <f>tbl_Data_old[[#This Row],[2026 ]]*IFERROR(AVERAGEIFS('Participation Adjustment'!$C:$C,'Participation Adjustment'!$A:$A,$H439,'Participation Adjustment'!$B:$B,$I439),1)</f>
        <v>62.939977940045999</v>
      </c>
      <c r="X439" s="79">
        <f>tbl_Data_old[[#This Row],[2027 ]]*IFERROR(AVERAGEIFS('Participation Adjustment'!$C:$C,'Participation Adjustment'!$A:$A,$H439,'Participation Adjustment'!$B:$B,$I439),1)</f>
        <v>64.593874573162495</v>
      </c>
      <c r="Y439" s="79">
        <f>tbl_Data_old[[#This Row],[2028 ]]*IFERROR(AVERAGEIFS('Participation Adjustment'!$C:$C,'Participation Adjustment'!$A:$A,$H439,'Participation Adjustment'!$B:$B,$I439),1)</f>
        <v>65.606880641767802</v>
      </c>
      <c r="Z439" s="79">
        <f>tbl_Data_old[[#This Row],[2029 ]]*IFERROR(AVERAGEIFS('Participation Adjustment'!$C:$C,'Participation Adjustment'!$A:$A,$H439,'Participation Adjustment'!$B:$B,$I439),1)</f>
        <v>66.176475988586105</v>
      </c>
      <c r="AA439" s="79">
        <f>tbl_Data_old[[#This Row],[2030 ]]*IFERROR(AVERAGEIFS('Participation Adjustment'!$C:$C,'Participation Adjustment'!$A:$A,$H439,'Participation Adjustment'!$B:$B,$I439),1)</f>
        <v>66.249614550929707</v>
      </c>
      <c r="AB439" s="79">
        <f>tbl_Data_old[[#This Row],[2031 ]]*IFERROR(AVERAGEIFS('Participation Adjustment'!$C:$C,'Participation Adjustment'!$A:$A,$H439,'Participation Adjustment'!$B:$B,$I439),1)</f>
        <v>66.055535810897098</v>
      </c>
      <c r="AC439" s="79">
        <f>tbl_Data_old[[#This Row],[2032 ]]*IFERROR(AVERAGEIFS('Participation Adjustment'!$C:$C,'Participation Adjustment'!$A:$A,$H439,'Participation Adjustment'!$B:$B,$I439),1)</f>
        <v>65.782881574648201</v>
      </c>
      <c r="AD439" s="79">
        <f>tbl_Data_old[[#This Row],[2033 ]]*IFERROR(AVERAGEIFS('Participation Adjustment'!$C:$C,'Participation Adjustment'!$A:$A,$H439,'Participation Adjustment'!$B:$B,$I439),1)</f>
        <v>65.381036232728704</v>
      </c>
      <c r="AE439" s="79">
        <f>tbl_Data_old[[#This Row],[2034 ]]*IFERROR(AVERAGEIFS('Participation Adjustment'!$C:$C,'Participation Adjustment'!$A:$A,$H439,'Participation Adjustment'!$B:$B,$I439),1)</f>
        <v>64.931302298528692</v>
      </c>
      <c r="AF439" s="77" t="str">
        <f t="shared" si="176"/>
        <v>NonResidential</v>
      </c>
      <c r="AG439" s="77" t="str">
        <f>tbl_Data[[#This Row],[All_Meas_Name_Append]]</f>
        <v>LED Linear - Fixture Replacement</v>
      </c>
      <c r="AH439" s="77">
        <f>AVERAGEIFS('3. Incentive Adjustment'!G:G,'3. Incentive Adjustment'!A:A,tbl_Data[[#This Row],[Trimmed Sector]],'3. Incentive Adjustment'!B:B,tbl_Data[[#This Row],[Trimmed Measure Name]])</f>
        <v>0.56055357916158088</v>
      </c>
      <c r="AI439" s="77">
        <f>$AH439*tbl_Data[[#This Row],[2025 ]]</f>
        <v>33.559748419870623</v>
      </c>
      <c r="AJ439" s="77">
        <f>$AH439*tbl_Data[[#This Row],[2026 ]]</f>
        <v>35.28122990664373</v>
      </c>
      <c r="AK439" s="77">
        <f>$AH439*tbl_Data[[#This Row],[2027 ]]</f>
        <v>36.20832758390047</v>
      </c>
      <c r="AL439" s="77">
        <f>$AH439*tbl_Data[[#This Row],[2028 ]]</f>
        <v>36.776171761369575</v>
      </c>
      <c r="AM439" s="77">
        <f>$AH439*tbl_Data[[#This Row],[2029 ]]</f>
        <v>37.09546047170236</v>
      </c>
      <c r="AN439" s="77">
        <f>$AH439*tbl_Data[[#This Row],[2030 ]]</f>
        <v>37.136458554598796</v>
      </c>
      <c r="AO439" s="77">
        <f>$AH439*tbl_Data[[#This Row],[2031 ]]</f>
        <v>37.027667022234347</v>
      </c>
      <c r="AP439" s="77">
        <f>$AH439*tbl_Data[[#This Row],[2032 ]]</f>
        <v>36.87482971423146</v>
      </c>
      <c r="AQ439" s="77">
        <f>$AH439*tbl_Data[[#This Row],[2033 ]]</f>
        <v>36.64957386954908</v>
      </c>
      <c r="AR439" s="77">
        <f>$AH439*tbl_Data[[#This Row],[2034 ]]</f>
        <v>36.397473903062838</v>
      </c>
      <c r="AS439" s="77">
        <f>SUM(tbl_Data[[#This Row],[Adjusted 2025]:[Adjusted 2034]])</f>
        <v>363.00694120716332</v>
      </c>
      <c r="AT439" s="80">
        <f>AVERAGEIFS('3. Incentive Adjustment'!F:F,'3. Incentive Adjustment'!A:A,tbl_Data[[#This Row],[Trimmed Sector]],'3. Incentive Adjustment'!B:B,tbl_Data[[#This Row],[Trimmed Measure Name]])</f>
        <v>16.810726621008875</v>
      </c>
      <c r="AU439" s="80">
        <f>IFERROR(VLOOKUP(tbl_Data[[#This Row],[All_Meas_Name_Append]],'IRA Tax Credits'!$A$3:$D$46,4,0),0)</f>
        <v>0</v>
      </c>
      <c r="AV439" s="81">
        <f>tbl_Data[[#This Row],[Adj. per unit Incentive ($)]]/tbl_Data[[#This Row],[kWh Savings]]*tbl_Data[[#This Row],[Sum of Annuals]]</f>
        <v>28.113748676237734</v>
      </c>
      <c r="AW439" s="81">
        <f>IFERROR(VLOOKUP(tbl_Data[[#This Row],[Column1]],'1. Set Program Names'!$B$2:$D$15,3,0)*tbl_Data[[#This Row],[Sum of Annuals]],"")</f>
        <v>11.488514884841893</v>
      </c>
      <c r="AX439" s="81">
        <f>tbl_Data[[#This Row],[per unit IRA tax ($)]]/tbl_Data[[#This Row],[kWh Savings]]*tbl_Data[[#This Row],[Sum of Annuals]]</f>
        <v>0</v>
      </c>
      <c r="AY439" s="81">
        <f>tbl_Data[[#This Row],[Avoided Costs ($/unit)]]/tbl_Data[[#This Row],[kWh Savings]]*tbl_Data[[#This Row],[Sum of Annuals]]</f>
        <v>143.08966928189935</v>
      </c>
      <c r="AZ439" s="81">
        <f>tbl_Data[[#This Row],[Lost Revenue ($/unit)]]/tbl_Data[[#This Row],[kWh Savings]]*tbl_Data[[#This Row],[Sum of Annuals]]</f>
        <v>394.26912439011329</v>
      </c>
      <c r="BA439" s="81">
        <f>tbl_Data[[#This Row],[Incremental Cost ($/unit)]]/tbl_Data[[#This Row],[kWh Savings]]*tbl_Data[[#This Row],[Sum of Annuals]]</f>
        <v>182.42207935090252</v>
      </c>
      <c r="BB439" s="77">
        <f>ROUNDUP(tbl_Data[[#This Row],[Adjusted 2025]]/$L439,0)</f>
        <v>1</v>
      </c>
      <c r="BC439" s="77">
        <f>ROUNDUP(tbl_Data[[#This Row],[Adjusted 2026]]/$L439,0)</f>
        <v>1</v>
      </c>
      <c r="BD439" s="77">
        <f>ROUNDUP(tbl_Data[[#This Row],[Adjusted 2027]]/$L439,0)</f>
        <v>1</v>
      </c>
      <c r="BE439" s="77">
        <f>ROUNDUP(tbl_Data[[#This Row],[Adjusted 2028]]/$L439,0)</f>
        <v>1</v>
      </c>
      <c r="BF439" s="77">
        <f>ROUNDUP(tbl_Data[[#This Row],[Adjusted 2029]]/$L439,0)</f>
        <v>1</v>
      </c>
      <c r="BG439" s="77">
        <f>ROUNDUP(tbl_Data[[#This Row],[Adjusted 2030]]/$L439,0)</f>
        <v>1</v>
      </c>
      <c r="BH439" s="77">
        <f>ROUNDUP(tbl_Data[[#This Row],[Adjusted 2031]]/$L439,0)</f>
        <v>1</v>
      </c>
      <c r="BI439" s="77">
        <f>ROUNDUP(tbl_Data[[#This Row],[Adjusted 2032]]/$L439,0)</f>
        <v>1</v>
      </c>
      <c r="BJ439" s="77">
        <f>ROUNDUP(tbl_Data[[#This Row],[Adjusted 2033]]/$L439,0)</f>
        <v>1</v>
      </c>
      <c r="BK439" s="77">
        <f>ROUNDUP(tbl_Data[[#This Row],[Adjusted 2034]]/$L439,0)</f>
        <v>1</v>
      </c>
      <c r="BL439" s="80">
        <f t="shared" si="177"/>
        <v>4.6366615419564479</v>
      </c>
      <c r="BM439" s="80">
        <f t="shared" si="178"/>
        <v>4.8745038197068027</v>
      </c>
      <c r="BN439" s="80">
        <f t="shared" si="179"/>
        <v>5.00259292490487</v>
      </c>
      <c r="BO439" s="80">
        <f t="shared" si="180"/>
        <v>5.0810470666509371</v>
      </c>
      <c r="BP439" s="80">
        <f t="shared" si="181"/>
        <v>5.1251604391786145</v>
      </c>
      <c r="BQ439" s="80">
        <f t="shared" si="182"/>
        <v>5.1308247913627119</v>
      </c>
      <c r="BR439" s="80">
        <f t="shared" si="183"/>
        <v>5.1157940018617376</v>
      </c>
      <c r="BS439" s="80">
        <f t="shared" si="184"/>
        <v>5.094677786706395</v>
      </c>
      <c r="BT439" s="80">
        <f t="shared" si="185"/>
        <v>5.0635561257489696</v>
      </c>
      <c r="BU439" s="80">
        <f t="shared" si="186"/>
        <v>5.0287256435680261</v>
      </c>
      <c r="BV439" s="80">
        <f>IFERROR(VLOOKUP($H439,'1. Set Program Names'!$B$2:$D$15,3,0)*V439,"NA")</f>
        <v>1.894743947318702</v>
      </c>
      <c r="BW439" s="80">
        <f>IFERROR(VLOOKUP($H439,'1. Set Program Names'!$B$2:$D$15,3,0)*W439,"NA")</f>
        <v>1.9919367685125959</v>
      </c>
      <c r="BX439" s="80">
        <f>IFERROR(VLOOKUP($H439,'1. Set Program Names'!$B$2:$D$15,3,0)*X439,"NA")</f>
        <v>2.0442796135952888</v>
      </c>
      <c r="BY439" s="80">
        <f>IFERROR(VLOOKUP($H439,'1. Set Program Names'!$B$2:$D$15,3,0)*Y439,"NA")</f>
        <v>2.0763394283715733</v>
      </c>
      <c r="BZ439" s="80">
        <f>IFERROR(VLOOKUP($H439,'1. Set Program Names'!$B$2:$D$15,3,0)*Z439,"NA")</f>
        <v>2.0943660936427597</v>
      </c>
      <c r="CA439" s="80">
        <f>IFERROR(VLOOKUP($H439,'1. Set Program Names'!$B$2:$D$15,3,0)*AA439,"NA")</f>
        <v>2.0966807972110888</v>
      </c>
      <c r="CB439" s="80">
        <f>IFERROR(VLOOKUP($H439,'1. Set Program Names'!$B$2:$D$15,3,0)*AB439,"NA")</f>
        <v>2.0905385551749411</v>
      </c>
      <c r="CC439" s="80">
        <f>IFERROR(VLOOKUP($H439,'1. Set Program Names'!$B$2:$D$15,3,0)*AC439,"NA")</f>
        <v>2.0819095404207215</v>
      </c>
      <c r="CD439" s="80">
        <f>IFERROR(VLOOKUP($H439,'1. Set Program Names'!$B$2:$D$15,3,0)*AD439,"NA")</f>
        <v>2.0691918602113732</v>
      </c>
      <c r="CE439" s="80">
        <f>IFERROR(VLOOKUP($H439,'1. Set Program Names'!$B$2:$D$15,3,0)*AE439,"NA")</f>
        <v>2.0549585924394305</v>
      </c>
    </row>
    <row r="440" spans="1:83" x14ac:dyDescent="0.25">
      <c r="A440" s="79" t="s">
        <v>114</v>
      </c>
      <c r="B440" s="79" t="s">
        <v>88</v>
      </c>
      <c r="C440" s="79" t="s">
        <v>122</v>
      </c>
      <c r="D440" s="79" t="s">
        <v>90</v>
      </c>
      <c r="E440" s="79" t="s">
        <v>91</v>
      </c>
      <c r="F440" s="79" t="s">
        <v>90</v>
      </c>
      <c r="G440" s="79" t="s">
        <v>92</v>
      </c>
      <c r="H440" s="79" t="s">
        <v>18</v>
      </c>
      <c r="I440" s="79" t="s">
        <v>164</v>
      </c>
      <c r="J440" s="79" t="s">
        <v>158</v>
      </c>
      <c r="K440" s="79" t="s">
        <v>159</v>
      </c>
      <c r="L440" s="79">
        <v>612.05999999999972</v>
      </c>
      <c r="M440" s="79">
        <v>0</v>
      </c>
      <c r="N440" s="79">
        <v>3.0244631686656035E-2</v>
      </c>
      <c r="O440" s="79">
        <v>255</v>
      </c>
      <c r="P440" s="79">
        <v>129.09500333079711</v>
      </c>
      <c r="Q440" s="79"/>
      <c r="R440" s="79">
        <v>299.62522934905462</v>
      </c>
      <c r="S440" s="79">
        <v>664.77065003695441</v>
      </c>
      <c r="T440" s="79">
        <v>15</v>
      </c>
      <c r="U440" s="79">
        <v>0.2</v>
      </c>
      <c r="V440" s="79">
        <f>tbl_Data_old[[#This Row],[2025 ]]*IFERROR(AVERAGEIFS('Participation Adjustment'!$C:$C,'Participation Adjustment'!$A:$A,$H440,'Participation Adjustment'!$B:$B,$I440),1)</f>
        <v>0</v>
      </c>
      <c r="W440" s="79">
        <f>tbl_Data_old[[#This Row],[2026 ]]*IFERROR(AVERAGEIFS('Participation Adjustment'!$C:$C,'Participation Adjustment'!$A:$A,$H440,'Participation Adjustment'!$B:$B,$I440),1)</f>
        <v>0</v>
      </c>
      <c r="X440" s="79">
        <f>tbl_Data_old[[#This Row],[2027 ]]*IFERROR(AVERAGEIFS('Participation Adjustment'!$C:$C,'Participation Adjustment'!$A:$A,$H440,'Participation Adjustment'!$B:$B,$I440),1)</f>
        <v>0</v>
      </c>
      <c r="Y440" s="79">
        <f>tbl_Data_old[[#This Row],[2028 ]]*IFERROR(AVERAGEIFS('Participation Adjustment'!$C:$C,'Participation Adjustment'!$A:$A,$H440,'Participation Adjustment'!$B:$B,$I440),1)</f>
        <v>0</v>
      </c>
      <c r="Z440" s="79">
        <f>tbl_Data_old[[#This Row],[2029 ]]*IFERROR(AVERAGEIFS('Participation Adjustment'!$C:$C,'Participation Adjustment'!$A:$A,$H440,'Participation Adjustment'!$B:$B,$I440),1)</f>
        <v>0</v>
      </c>
      <c r="AA440" s="79">
        <f>tbl_Data_old[[#This Row],[2030 ]]*IFERROR(AVERAGEIFS('Participation Adjustment'!$C:$C,'Participation Adjustment'!$A:$A,$H440,'Participation Adjustment'!$B:$B,$I440),1)</f>
        <v>0</v>
      </c>
      <c r="AB440" s="79">
        <f>tbl_Data_old[[#This Row],[2031 ]]*IFERROR(AVERAGEIFS('Participation Adjustment'!$C:$C,'Participation Adjustment'!$A:$A,$H440,'Participation Adjustment'!$B:$B,$I440),1)</f>
        <v>0</v>
      </c>
      <c r="AC440" s="79">
        <f>tbl_Data_old[[#This Row],[2032 ]]*IFERROR(AVERAGEIFS('Participation Adjustment'!$C:$C,'Participation Adjustment'!$A:$A,$H440,'Participation Adjustment'!$B:$B,$I440),1)</f>
        <v>0</v>
      </c>
      <c r="AD440" s="79">
        <f>tbl_Data_old[[#This Row],[2033 ]]*IFERROR(AVERAGEIFS('Participation Adjustment'!$C:$C,'Participation Adjustment'!$A:$A,$H440,'Participation Adjustment'!$B:$B,$I440),1)</f>
        <v>0</v>
      </c>
      <c r="AE440" s="79">
        <f>tbl_Data_old[[#This Row],[2034 ]]*IFERROR(AVERAGEIFS('Participation Adjustment'!$C:$C,'Participation Adjustment'!$A:$A,$H440,'Participation Adjustment'!$B:$B,$I440),1)</f>
        <v>0</v>
      </c>
      <c r="AF440" s="77" t="str">
        <f t="shared" si="176"/>
        <v>NonResidential</v>
      </c>
      <c r="AG440" s="77" t="str">
        <f>tbl_Data[[#This Row],[All_Meas_Name_Append]]</f>
        <v>LED Parking Lighting</v>
      </c>
      <c r="AH440" s="77">
        <f>AVERAGEIFS('3. Incentive Adjustment'!G:G,'3. Incentive Adjustment'!A:A,tbl_Data[[#This Row],[Trimmed Sector]],'3. Incentive Adjustment'!B:B,tbl_Data[[#This Row],[Trimmed Measure Name]])</f>
        <v>0.59704067730377497</v>
      </c>
      <c r="AI440" s="77">
        <f>$AH440*tbl_Data[[#This Row],[2025 ]]</f>
        <v>0</v>
      </c>
      <c r="AJ440" s="77">
        <f>$AH440*tbl_Data[[#This Row],[2026 ]]</f>
        <v>0</v>
      </c>
      <c r="AK440" s="77">
        <f>$AH440*tbl_Data[[#This Row],[2027 ]]</f>
        <v>0</v>
      </c>
      <c r="AL440" s="77">
        <f>$AH440*tbl_Data[[#This Row],[2028 ]]</f>
        <v>0</v>
      </c>
      <c r="AM440" s="77">
        <f>$AH440*tbl_Data[[#This Row],[2029 ]]</f>
        <v>0</v>
      </c>
      <c r="AN440" s="77">
        <f>$AH440*tbl_Data[[#This Row],[2030 ]]</f>
        <v>0</v>
      </c>
      <c r="AO440" s="77">
        <f>$AH440*tbl_Data[[#This Row],[2031 ]]</f>
        <v>0</v>
      </c>
      <c r="AP440" s="77">
        <f>$AH440*tbl_Data[[#This Row],[2032 ]]</f>
        <v>0</v>
      </c>
      <c r="AQ440" s="77">
        <f>$AH440*tbl_Data[[#This Row],[2033 ]]</f>
        <v>0</v>
      </c>
      <c r="AR440" s="77">
        <f>$AH440*tbl_Data[[#This Row],[2034 ]]</f>
        <v>0</v>
      </c>
      <c r="AS440" s="77">
        <f>SUM(tbl_Data[[#This Row],[Adjusted 2025]:[Adjusted 2034]])</f>
        <v>0</v>
      </c>
      <c r="AT440" s="80">
        <f>AVERAGEIFS('3. Incentive Adjustment'!F:F,'3. Incentive Adjustment'!A:A,tbl_Data[[#This Row],[Trimmed Sector]],'3. Incentive Adjustment'!B:B,tbl_Data[[#This Row],[Trimmed Measure Name]])</f>
        <v>9.4514474020799994</v>
      </c>
      <c r="AU440" s="80">
        <f>IFERROR(VLOOKUP(tbl_Data[[#This Row],[All_Meas_Name_Append]],'IRA Tax Credits'!$A$3:$D$46,4,0),0)</f>
        <v>0</v>
      </c>
      <c r="AV440" s="81">
        <f>tbl_Data[[#This Row],[Adj. per unit Incentive ($)]]/tbl_Data[[#This Row],[kWh Savings]]*tbl_Data[[#This Row],[Sum of Annuals]]</f>
        <v>0</v>
      </c>
      <c r="AW440" s="81">
        <f>IFERROR(VLOOKUP(tbl_Data[[#This Row],[Column1]],'1. Set Program Names'!$B$2:$D$15,3,0)*tbl_Data[[#This Row],[Sum of Annuals]],"")</f>
        <v>0</v>
      </c>
      <c r="AX440" s="81">
        <f>tbl_Data[[#This Row],[per unit IRA tax ($)]]/tbl_Data[[#This Row],[kWh Savings]]*tbl_Data[[#This Row],[Sum of Annuals]]</f>
        <v>0</v>
      </c>
      <c r="AY440" s="81">
        <f>tbl_Data[[#This Row],[Avoided Costs ($/unit)]]/tbl_Data[[#This Row],[kWh Savings]]*tbl_Data[[#This Row],[Sum of Annuals]]</f>
        <v>0</v>
      </c>
      <c r="AZ440" s="81">
        <f>tbl_Data[[#This Row],[Lost Revenue ($/unit)]]/tbl_Data[[#This Row],[kWh Savings]]*tbl_Data[[#This Row],[Sum of Annuals]]</f>
        <v>0</v>
      </c>
      <c r="BA440" s="81">
        <f>tbl_Data[[#This Row],[Incremental Cost ($/unit)]]/tbl_Data[[#This Row],[kWh Savings]]*tbl_Data[[#This Row],[Sum of Annuals]]</f>
        <v>0</v>
      </c>
      <c r="BB440" s="77">
        <f>ROUNDUP(tbl_Data[[#This Row],[Adjusted 2025]]/$L440,0)</f>
        <v>0</v>
      </c>
      <c r="BC440" s="77">
        <f>ROUNDUP(tbl_Data[[#This Row],[Adjusted 2026]]/$L440,0)</f>
        <v>0</v>
      </c>
      <c r="BD440" s="77">
        <f>ROUNDUP(tbl_Data[[#This Row],[Adjusted 2027]]/$L440,0)</f>
        <v>0</v>
      </c>
      <c r="BE440" s="77">
        <f>ROUNDUP(tbl_Data[[#This Row],[Adjusted 2028]]/$L440,0)</f>
        <v>0</v>
      </c>
      <c r="BF440" s="77">
        <f>ROUNDUP(tbl_Data[[#This Row],[Adjusted 2029]]/$L440,0)</f>
        <v>0</v>
      </c>
      <c r="BG440" s="77">
        <f>ROUNDUP(tbl_Data[[#This Row],[Adjusted 2030]]/$L440,0)</f>
        <v>0</v>
      </c>
      <c r="BH440" s="77">
        <f>ROUNDUP(tbl_Data[[#This Row],[Adjusted 2031]]/$L440,0)</f>
        <v>0</v>
      </c>
      <c r="BI440" s="77">
        <f>ROUNDUP(tbl_Data[[#This Row],[Adjusted 2032]]/$L440,0)</f>
        <v>0</v>
      </c>
      <c r="BJ440" s="77">
        <f>ROUNDUP(tbl_Data[[#This Row],[Adjusted 2033]]/$L440,0)</f>
        <v>0</v>
      </c>
      <c r="BK440" s="77">
        <f>ROUNDUP(tbl_Data[[#This Row],[Adjusted 2034]]/$L440,0)</f>
        <v>0</v>
      </c>
      <c r="BL440" s="80">
        <f t="shared" si="177"/>
        <v>0</v>
      </c>
      <c r="BM440" s="80">
        <f t="shared" si="178"/>
        <v>0</v>
      </c>
      <c r="BN440" s="80">
        <f t="shared" si="179"/>
        <v>0</v>
      </c>
      <c r="BO440" s="80">
        <f t="shared" si="180"/>
        <v>0</v>
      </c>
      <c r="BP440" s="80">
        <f t="shared" si="181"/>
        <v>0</v>
      </c>
      <c r="BQ440" s="80">
        <f t="shared" si="182"/>
        <v>0</v>
      </c>
      <c r="BR440" s="80">
        <f t="shared" si="183"/>
        <v>0</v>
      </c>
      <c r="BS440" s="80">
        <f t="shared" si="184"/>
        <v>0</v>
      </c>
      <c r="BT440" s="80">
        <f t="shared" si="185"/>
        <v>0</v>
      </c>
      <c r="BU440" s="80">
        <f t="shared" si="186"/>
        <v>0</v>
      </c>
      <c r="BV440" s="80">
        <f>IFERROR(VLOOKUP($H440,'1. Set Program Names'!$B$2:$D$15,3,0)*V440,"NA")</f>
        <v>0</v>
      </c>
      <c r="BW440" s="80">
        <f>IFERROR(VLOOKUP($H440,'1. Set Program Names'!$B$2:$D$15,3,0)*W440,"NA")</f>
        <v>0</v>
      </c>
      <c r="BX440" s="80">
        <f>IFERROR(VLOOKUP($H440,'1. Set Program Names'!$B$2:$D$15,3,0)*X440,"NA")</f>
        <v>0</v>
      </c>
      <c r="BY440" s="80">
        <f>IFERROR(VLOOKUP($H440,'1. Set Program Names'!$B$2:$D$15,3,0)*Y440,"NA")</f>
        <v>0</v>
      </c>
      <c r="BZ440" s="80">
        <f>IFERROR(VLOOKUP($H440,'1. Set Program Names'!$B$2:$D$15,3,0)*Z440,"NA")</f>
        <v>0</v>
      </c>
      <c r="CA440" s="80">
        <f>IFERROR(VLOOKUP($H440,'1. Set Program Names'!$B$2:$D$15,3,0)*AA440,"NA")</f>
        <v>0</v>
      </c>
      <c r="CB440" s="80">
        <f>IFERROR(VLOOKUP($H440,'1. Set Program Names'!$B$2:$D$15,3,0)*AB440,"NA")</f>
        <v>0</v>
      </c>
      <c r="CC440" s="80">
        <f>IFERROR(VLOOKUP($H440,'1. Set Program Names'!$B$2:$D$15,3,0)*AC440,"NA")</f>
        <v>0</v>
      </c>
      <c r="CD440" s="80">
        <f>IFERROR(VLOOKUP($H440,'1. Set Program Names'!$B$2:$D$15,3,0)*AD440,"NA")</f>
        <v>0</v>
      </c>
      <c r="CE440" s="80">
        <f>IFERROR(VLOOKUP($H440,'1. Set Program Names'!$B$2:$D$15,3,0)*AE440,"NA")</f>
        <v>0</v>
      </c>
    </row>
    <row r="441" spans="1:83" x14ac:dyDescent="0.25">
      <c r="A441" s="79" t="s">
        <v>114</v>
      </c>
      <c r="B441" s="79" t="s">
        <v>88</v>
      </c>
      <c r="C441" s="79" t="s">
        <v>122</v>
      </c>
      <c r="D441" s="79" t="s">
        <v>90</v>
      </c>
      <c r="E441" s="79" t="s">
        <v>91</v>
      </c>
      <c r="F441" s="79" t="s">
        <v>90</v>
      </c>
      <c r="G441" s="79" t="s">
        <v>92</v>
      </c>
      <c r="H441" s="79" t="s">
        <v>18</v>
      </c>
      <c r="I441" s="79" t="s">
        <v>165</v>
      </c>
      <c r="J441" s="79" t="s">
        <v>161</v>
      </c>
      <c r="K441" s="79" t="s">
        <v>166</v>
      </c>
      <c r="L441" s="79">
        <v>510.6</v>
      </c>
      <c r="M441" s="79">
        <v>6.2552429943266097E-2</v>
      </c>
      <c r="N441" s="79">
        <v>6.4361142955417797E-2</v>
      </c>
      <c r="O441" s="79">
        <v>129</v>
      </c>
      <c r="P441" s="79">
        <v>26.468747947944401</v>
      </c>
      <c r="Q441" s="79">
        <v>16.159568962215999</v>
      </c>
      <c r="R441" s="79">
        <v>174.74401692254699</v>
      </c>
      <c r="S441" s="79">
        <v>419.99719394182398</v>
      </c>
      <c r="T441" s="79">
        <v>10</v>
      </c>
      <c r="U441" s="79">
        <v>0.2</v>
      </c>
      <c r="V441" s="79">
        <f>tbl_Data_old[[#This Row],[2025 ]]*IFERROR(AVERAGEIFS('Participation Adjustment'!$C:$C,'Participation Adjustment'!$A:$A,$H441,'Participation Adjustment'!$B:$B,$I441),1)</f>
        <v>1.0097684520058099</v>
      </c>
      <c r="W441" s="79">
        <f>tbl_Data_old[[#This Row],[2026 ]]*IFERROR(AVERAGEIFS('Participation Adjustment'!$C:$C,'Participation Adjustment'!$A:$A,$H441,'Participation Adjustment'!$B:$B,$I441),1)</f>
        <v>1.38484073507094</v>
      </c>
      <c r="X441" s="79">
        <f>tbl_Data_old[[#This Row],[2027 ]]*IFERROR(AVERAGEIFS('Participation Adjustment'!$C:$C,'Participation Adjustment'!$A:$A,$H441,'Participation Adjustment'!$B:$B,$I441),1)</f>
        <v>1.84213812931489</v>
      </c>
      <c r="Y441" s="79">
        <f>tbl_Data_old[[#This Row],[2028 ]]*IFERROR(AVERAGEIFS('Participation Adjustment'!$C:$C,'Participation Adjustment'!$A:$A,$H441,'Participation Adjustment'!$B:$B,$I441),1)</f>
        <v>2.37602791110809</v>
      </c>
      <c r="Z441" s="79">
        <f>tbl_Data_old[[#This Row],[2029 ]]*IFERROR(AVERAGEIFS('Participation Adjustment'!$C:$C,'Participation Adjustment'!$A:$A,$H441,'Participation Adjustment'!$B:$B,$I441),1)</f>
        <v>2.9430415262337699</v>
      </c>
      <c r="AA441" s="79">
        <f>tbl_Data_old[[#This Row],[2030 ]]*IFERROR(AVERAGEIFS('Participation Adjustment'!$C:$C,'Participation Adjustment'!$A:$A,$H441,'Participation Adjustment'!$B:$B,$I441),1)</f>
        <v>3.4552606334355498</v>
      </c>
      <c r="AB441" s="79">
        <f>tbl_Data_old[[#This Row],[2031 ]]*IFERROR(AVERAGEIFS('Participation Adjustment'!$C:$C,'Participation Adjustment'!$A:$A,$H441,'Participation Adjustment'!$B:$B,$I441),1)</f>
        <v>3.7981499102754701</v>
      </c>
      <c r="AC441" s="79">
        <f>tbl_Data_old[[#This Row],[2032 ]]*IFERROR(AVERAGEIFS('Participation Adjustment'!$C:$C,'Participation Adjustment'!$A:$A,$H441,'Participation Adjustment'!$B:$B,$I441),1)</f>
        <v>3.8638796677620402</v>
      </c>
      <c r="AD441" s="79">
        <f>tbl_Data_old[[#This Row],[2033 ]]*IFERROR(AVERAGEIFS('Participation Adjustment'!$C:$C,'Participation Adjustment'!$A:$A,$H441,'Participation Adjustment'!$B:$B,$I441),1)</f>
        <v>3.5971532308654099</v>
      </c>
      <c r="AE441" s="79">
        <f>tbl_Data_old[[#This Row],[2034 ]]*IFERROR(AVERAGEIFS('Participation Adjustment'!$C:$C,'Participation Adjustment'!$A:$A,$H441,'Participation Adjustment'!$B:$B,$I441),1)</f>
        <v>3.0512609694091499</v>
      </c>
      <c r="AF441" s="77" t="str">
        <f t="shared" si="176"/>
        <v>NonResidential</v>
      </c>
      <c r="AG441" s="77" t="str">
        <f>tbl_Data[[#This Row],[All_Meas_Name_Append]]</f>
        <v>Occupancy Sensors_ Ceiling Mounted</v>
      </c>
      <c r="AH441" s="77">
        <f>AVERAGEIFS('3. Incentive Adjustment'!G:G,'3. Incentive Adjustment'!A:A,tbl_Data[[#This Row],[Trimmed Sector]],'3. Incentive Adjustment'!B:B,tbl_Data[[#This Row],[Trimmed Measure Name]])</f>
        <v>0.99348124042467356</v>
      </c>
      <c r="AI441" s="77">
        <f>$AH441*tbl_Data[[#This Row],[2025 ]]</f>
        <v>1.0031860142404345</v>
      </c>
      <c r="AJ441" s="77">
        <f>$AH441*tbl_Data[[#This Row],[2026 ]]</f>
        <v>1.3758132912688941</v>
      </c>
      <c r="AK441" s="77">
        <f>$AH441*tbl_Data[[#This Row],[2027 ]]</f>
        <v>1.8301296737453445</v>
      </c>
      <c r="AL441" s="77">
        <f>$AH441*tbl_Data[[#This Row],[2028 ]]</f>
        <v>2.3605391564113112</v>
      </c>
      <c r="AM441" s="77">
        <f>$AH441*tbl_Data[[#This Row],[2029 ]]</f>
        <v>2.9238565461040502</v>
      </c>
      <c r="AN441" s="77">
        <f>$AH441*tbl_Data[[#This Row],[2030 ]]</f>
        <v>3.4327366200960934</v>
      </c>
      <c r="AO441" s="77">
        <f>$AH441*tbl_Data[[#This Row],[2031 ]]</f>
        <v>3.7733906841793368</v>
      </c>
      <c r="AP441" s="77">
        <f>$AH441*tbl_Data[[#This Row],[2032 ]]</f>
        <v>3.8386919651799074</v>
      </c>
      <c r="AQ441" s="77">
        <f>$AH441*tbl_Data[[#This Row],[2033 ]]</f>
        <v>3.5737042537977897</v>
      </c>
      <c r="AR441" s="77">
        <f>$AH441*tbl_Data[[#This Row],[2034 ]]</f>
        <v>3.0313705327479941</v>
      </c>
      <c r="AS441" s="77">
        <f>SUM(tbl_Data[[#This Row],[Adjusted 2025]:[Adjusted 2034]])</f>
        <v>27.143418737771157</v>
      </c>
      <c r="AT441" s="80">
        <f>AVERAGEIFS('3. Incentive Adjustment'!F:F,'3. Incentive Adjustment'!A:A,tbl_Data[[#This Row],[Trimmed Sector]],'3. Incentive Adjustment'!B:B,tbl_Data[[#This Row],[Trimmed Measure Name]])</f>
        <v>19.547634357270656</v>
      </c>
      <c r="AU441" s="80">
        <f>IFERROR(VLOOKUP(tbl_Data[[#This Row],[All_Meas_Name_Append]],'IRA Tax Credits'!$A$3:$D$46,4,0),0)</f>
        <v>0</v>
      </c>
      <c r="AV441" s="81">
        <f>tbl_Data[[#This Row],[Adj. per unit Incentive ($)]]/tbl_Data[[#This Row],[kWh Savings]]*tbl_Data[[#This Row],[Sum of Annuals]]</f>
        <v>1.0391492845519772</v>
      </c>
      <c r="AW441" s="81">
        <f>IFERROR(VLOOKUP(tbl_Data[[#This Row],[Column1]],'1. Set Program Names'!$B$2:$D$15,3,0)*tbl_Data[[#This Row],[Sum of Annuals]],"")</f>
        <v>0.85904024082123165</v>
      </c>
      <c r="AX441" s="81">
        <f>tbl_Data[[#This Row],[per unit IRA tax ($)]]/tbl_Data[[#This Row],[kWh Savings]]*tbl_Data[[#This Row],[Sum of Annuals]]</f>
        <v>0</v>
      </c>
      <c r="AY441" s="81">
        <f>tbl_Data[[#This Row],[Avoided Costs ($/unit)]]/tbl_Data[[#This Row],[kWh Savings]]*tbl_Data[[#This Row],[Sum of Annuals]]</f>
        <v>9.2893654979413665</v>
      </c>
      <c r="AZ441" s="81">
        <f>tbl_Data[[#This Row],[Lost Revenue ($/unit)]]/tbl_Data[[#This Row],[kWh Savings]]*tbl_Data[[#This Row],[Sum of Annuals]]</f>
        <v>22.326987277422269</v>
      </c>
      <c r="BA441" s="81">
        <f>tbl_Data[[#This Row],[Incremental Cost ($/unit)]]/tbl_Data[[#This Row],[kWh Savings]]*tbl_Data[[#This Row],[Sum of Annuals]]</f>
        <v>6.8576204801654503</v>
      </c>
      <c r="BB441" s="77">
        <f>ROUNDUP(tbl_Data[[#This Row],[Adjusted 2025]]/$L441,0)</f>
        <v>1</v>
      </c>
      <c r="BC441" s="77">
        <f>ROUNDUP(tbl_Data[[#This Row],[Adjusted 2026]]/$L441,0)</f>
        <v>1</v>
      </c>
      <c r="BD441" s="77">
        <f>ROUNDUP(tbl_Data[[#This Row],[Adjusted 2027]]/$L441,0)</f>
        <v>1</v>
      </c>
      <c r="BE441" s="77">
        <f>ROUNDUP(tbl_Data[[#This Row],[Adjusted 2028]]/$L441,0)</f>
        <v>1</v>
      </c>
      <c r="BF441" s="77">
        <f>ROUNDUP(tbl_Data[[#This Row],[Adjusted 2029]]/$L441,0)</f>
        <v>1</v>
      </c>
      <c r="BG441" s="77">
        <f>ROUNDUP(tbl_Data[[#This Row],[Adjusted 2030]]/$L441,0)</f>
        <v>1</v>
      </c>
      <c r="BH441" s="77">
        <f>ROUNDUP(tbl_Data[[#This Row],[Adjusted 2031]]/$L441,0)</f>
        <v>1</v>
      </c>
      <c r="BI441" s="77">
        <f>ROUNDUP(tbl_Data[[#This Row],[Adjusted 2032]]/$L441,0)</f>
        <v>1</v>
      </c>
      <c r="BJ441" s="77">
        <f>ROUNDUP(tbl_Data[[#This Row],[Adjusted 2033]]/$L441,0)</f>
        <v>1</v>
      </c>
      <c r="BK441" s="77">
        <f>ROUNDUP(tbl_Data[[#This Row],[Adjusted 2034]]/$L441,0)</f>
        <v>1</v>
      </c>
      <c r="BL441" s="80">
        <f t="shared" si="177"/>
        <v>3.8657627272457452E-2</v>
      </c>
      <c r="BM441" s="80">
        <f t="shared" si="178"/>
        <v>5.3016765241325217E-2</v>
      </c>
      <c r="BN441" s="80">
        <f t="shared" si="179"/>
        <v>7.0523781017301293E-2</v>
      </c>
      <c r="BO441" s="80">
        <f t="shared" si="180"/>
        <v>9.0963033350980271E-2</v>
      </c>
      <c r="BP441" s="80">
        <f t="shared" si="181"/>
        <v>0.11267038709965044</v>
      </c>
      <c r="BQ441" s="80">
        <f t="shared" si="182"/>
        <v>0.13228000679880439</v>
      </c>
      <c r="BR441" s="80">
        <f t="shared" si="183"/>
        <v>0.14540706165328093</v>
      </c>
      <c r="BS441" s="80">
        <f t="shared" si="184"/>
        <v>0.14792343702684055</v>
      </c>
      <c r="BT441" s="80">
        <f t="shared" si="185"/>
        <v>0.13771217407761815</v>
      </c>
      <c r="BU441" s="80">
        <f t="shared" si="186"/>
        <v>0.11681342295068796</v>
      </c>
      <c r="BV441" s="80">
        <f>IFERROR(VLOOKUP($H441,'1. Set Program Names'!$B$2:$D$15,3,0)*V441,"NA")</f>
        <v>3.1957350051034179E-2</v>
      </c>
      <c r="BW441" s="80">
        <f>IFERROR(VLOOKUP($H441,'1. Set Program Names'!$B$2:$D$15,3,0)*W441,"NA")</f>
        <v>4.3827711241803465E-2</v>
      </c>
      <c r="BX441" s="80">
        <f>IFERROR(VLOOKUP($H441,'1. Set Program Names'!$B$2:$D$15,3,0)*X441,"NA")</f>
        <v>5.8300348880908091E-2</v>
      </c>
      <c r="BY441" s="80">
        <f>IFERROR(VLOOKUP($H441,'1. Set Program Names'!$B$2:$D$15,3,0)*Y441,"NA")</f>
        <v>7.5196997425972148E-2</v>
      </c>
      <c r="BZ441" s="80">
        <f>IFERROR(VLOOKUP($H441,'1. Set Program Names'!$B$2:$D$15,3,0)*Z441,"NA")</f>
        <v>9.3141955546103092E-2</v>
      </c>
      <c r="CA441" s="80">
        <f>IFERROR(VLOOKUP($H441,'1. Set Program Names'!$B$2:$D$15,3,0)*AA441,"NA")</f>
        <v>0.10935276633065442</v>
      </c>
      <c r="CB441" s="80">
        <f>IFERROR(VLOOKUP($H441,'1. Set Program Names'!$B$2:$D$15,3,0)*AB441,"NA")</f>
        <v>0.12020459342720571</v>
      </c>
      <c r="CC441" s="80">
        <f>IFERROR(VLOOKUP($H441,'1. Set Program Names'!$B$2:$D$15,3,0)*AC441,"NA")</f>
        <v>0.12228482168606582</v>
      </c>
      <c r="CD441" s="80">
        <f>IFERROR(VLOOKUP($H441,'1. Set Program Names'!$B$2:$D$15,3,0)*AD441,"NA")</f>
        <v>0.11384341108857803</v>
      </c>
      <c r="CE441" s="80">
        <f>IFERROR(VLOOKUP($H441,'1. Set Program Names'!$B$2:$D$15,3,0)*AE441,"NA")</f>
        <v>9.6566905712662396E-2</v>
      </c>
    </row>
    <row r="442" spans="1:83" x14ac:dyDescent="0.25">
      <c r="A442" s="79" t="s">
        <v>114</v>
      </c>
      <c r="B442" s="79" t="s">
        <v>88</v>
      </c>
      <c r="C442" s="79" t="s">
        <v>122</v>
      </c>
      <c r="D442" s="79" t="s">
        <v>90</v>
      </c>
      <c r="E442" s="79" t="s">
        <v>91</v>
      </c>
      <c r="F442" s="79" t="s">
        <v>90</v>
      </c>
      <c r="G442" s="79" t="s">
        <v>92</v>
      </c>
      <c r="H442" s="79" t="s">
        <v>18</v>
      </c>
      <c r="I442" s="79" t="s">
        <v>167</v>
      </c>
      <c r="J442" s="79" t="s">
        <v>124</v>
      </c>
      <c r="K442" s="79" t="s">
        <v>98</v>
      </c>
      <c r="L442" s="79">
        <v>151.65999999999994</v>
      </c>
      <c r="M442" s="79">
        <v>2.2013191527321094E-2</v>
      </c>
      <c r="N442" s="79">
        <v>1.952960139549019E-2</v>
      </c>
      <c r="O442" s="79">
        <v>56.59999999999998</v>
      </c>
      <c r="P442" s="79">
        <v>25.402483751835906</v>
      </c>
      <c r="Q442" s="79"/>
      <c r="R442" s="79">
        <v>70.56447857633529</v>
      </c>
      <c r="S442" s="79">
        <v>171.41744415542868</v>
      </c>
      <c r="T442" s="79">
        <v>16</v>
      </c>
      <c r="U442" s="79">
        <v>0.2</v>
      </c>
      <c r="V442" s="79">
        <f>tbl_Data_old[[#This Row],[2025 ]]*IFERROR(AVERAGEIFS('Participation Adjustment'!$C:$C,'Participation Adjustment'!$A:$A,$H442,'Participation Adjustment'!$B:$B,$I442),1)</f>
        <v>0.14364596109632999</v>
      </c>
      <c r="W442" s="79">
        <f>tbl_Data_old[[#This Row],[2026 ]]*IFERROR(AVERAGEIFS('Participation Adjustment'!$C:$C,'Participation Adjustment'!$A:$A,$H442,'Participation Adjustment'!$B:$B,$I442),1)</f>
        <v>0.19536353644152599</v>
      </c>
      <c r="X442" s="79">
        <f>tbl_Data_old[[#This Row],[2027 ]]*IFERROR(AVERAGEIFS('Participation Adjustment'!$C:$C,'Participation Adjustment'!$A:$A,$H442,'Participation Adjustment'!$B:$B,$I442),1)</f>
        <v>0.25238873113131599</v>
      </c>
      <c r="Y442" s="79">
        <f>tbl_Data_old[[#This Row],[2028 ]]*IFERROR(AVERAGEIFS('Participation Adjustment'!$C:$C,'Participation Adjustment'!$A:$A,$H442,'Participation Adjustment'!$B:$B,$I442),1)</f>
        <v>0.31161013604319698</v>
      </c>
      <c r="Z442" s="79">
        <f>tbl_Data_old[[#This Row],[2029 ]]*IFERROR(AVERAGEIFS('Participation Adjustment'!$C:$C,'Participation Adjustment'!$A:$A,$H442,'Participation Adjustment'!$B:$B,$I442),1)</f>
        <v>0.36786912404657601</v>
      </c>
      <c r="AA442" s="79">
        <f>tbl_Data_old[[#This Row],[2030 ]]*IFERROR(AVERAGEIFS('Participation Adjustment'!$C:$C,'Participation Adjustment'!$A:$A,$H442,'Participation Adjustment'!$B:$B,$I442),1)</f>
        <v>0.41712958396789901</v>
      </c>
      <c r="AB442" s="79">
        <f>tbl_Data_old[[#This Row],[2031 ]]*IFERROR(AVERAGEIFS('Participation Adjustment'!$C:$C,'Participation Adjustment'!$A:$A,$H442,'Participation Adjustment'!$B:$B,$I442),1)</f>
        <v>0.4565544289788</v>
      </c>
      <c r="AC442" s="79">
        <f>tbl_Data_old[[#This Row],[2032 ]]*IFERROR(AVERAGEIFS('Participation Adjustment'!$C:$C,'Participation Adjustment'!$A:$A,$H442,'Participation Adjustment'!$B:$B,$I442),1)</f>
        <v>0.48696294190304101</v>
      </c>
      <c r="AD442" s="79">
        <f>tbl_Data_old[[#This Row],[2033 ]]*IFERROR(AVERAGEIFS('Participation Adjustment'!$C:$C,'Participation Adjustment'!$A:$A,$H442,'Participation Adjustment'!$B:$B,$I442),1)</f>
        <v>0.51084046305428199</v>
      </c>
      <c r="AE442" s="79">
        <f>tbl_Data_old[[#This Row],[2034 ]]*IFERROR(AVERAGEIFS('Participation Adjustment'!$C:$C,'Participation Adjustment'!$A:$A,$H442,'Participation Adjustment'!$B:$B,$I442),1)</f>
        <v>0.52865190962195896</v>
      </c>
      <c r="AF442" s="77" t="str">
        <f t="shared" si="176"/>
        <v>NonResidential</v>
      </c>
      <c r="AG442" s="77" t="str">
        <f>tbl_Data[[#This Row],[All_Meas_Name_Append]]</f>
        <v>Refrigerated Display Case LED Lighting</v>
      </c>
      <c r="AH442" s="77">
        <f>AVERAGEIFS('3. Incentive Adjustment'!G:G,'3. Incentive Adjustment'!A:A,tbl_Data[[#This Row],[Trimmed Sector]],'3. Incentive Adjustment'!B:B,tbl_Data[[#This Row],[Trimmed Measure Name]])</f>
        <v>0.72450810749703154</v>
      </c>
      <c r="AI442" s="77">
        <f>$AH442*tbl_Data[[#This Row],[2025 ]]</f>
        <v>0.10407266342349426</v>
      </c>
      <c r="AJ442" s="77">
        <f>$AH442*tbl_Data[[#This Row],[2026 ]]</f>
        <v>0.14154246606117735</v>
      </c>
      <c r="AK442" s="77">
        <f>$AH442*tbl_Data[[#This Row],[2027 ]]</f>
        <v>0.18285768194552687</v>
      </c>
      <c r="AL442" s="77">
        <f>$AH442*tbl_Data[[#This Row],[2028 ]]</f>
        <v>0.22576406994154918</v>
      </c>
      <c r="AM442" s="77">
        <f>$AH442*tbl_Data[[#This Row],[2029 ]]</f>
        <v>0.26652416286957553</v>
      </c>
      <c r="AN442" s="77">
        <f>$AH442*tbl_Data[[#This Row],[2030 ]]</f>
        <v>0.30221376546160661</v>
      </c>
      <c r="AO442" s="77">
        <f>$AH442*tbl_Data[[#This Row],[2031 ]]</f>
        <v>0.33077738530881828</v>
      </c>
      <c r="AP442" s="77">
        <f>$AH442*tbl_Data[[#This Row],[2032 ]]</f>
        <v>0.35280859945935916</v>
      </c>
      <c r="AQ442" s="77">
        <f>$AH442*tbl_Data[[#This Row],[2033 ]]</f>
        <v>0.3701080571203651</v>
      </c>
      <c r="AR442" s="77">
        <f>$AH442*tbl_Data[[#This Row],[2034 ]]</f>
        <v>0.38301259456489722</v>
      </c>
      <c r="AS442" s="77">
        <f>SUM(tbl_Data[[#This Row],[Adjusted 2025]:[Adjusted 2034]])</f>
        <v>2.6596814461563696</v>
      </c>
      <c r="AT442" s="80">
        <f>AVERAGEIFS('3. Incentive Adjustment'!F:F,'3. Incentive Adjustment'!A:A,tbl_Data[[#This Row],[Trimmed Sector]],'3. Incentive Adjustment'!B:B,tbl_Data[[#This Row],[Trimmed Measure Name]])</f>
        <v>6.879122352287844</v>
      </c>
      <c r="AU442" s="80">
        <f>IFERROR(VLOOKUP(tbl_Data[[#This Row],[All_Meas_Name_Append]],'IRA Tax Credits'!$A$3:$D$46,4,0),0)</f>
        <v>0</v>
      </c>
      <c r="AV442" s="81">
        <f>tbl_Data[[#This Row],[Adj. per unit Incentive ($)]]/tbl_Data[[#This Row],[kWh Savings]]*tbl_Data[[#This Row],[Sum of Annuals]]</f>
        <v>0.12064007705538406</v>
      </c>
      <c r="AW442" s="81">
        <f>IFERROR(VLOOKUP(tbl_Data[[#This Row],[Column1]],'1. Set Program Names'!$B$2:$D$15,3,0)*tbl_Data[[#This Row],[Sum of Annuals]],"")</f>
        <v>8.4174120146279716E-2</v>
      </c>
      <c r="AX442" s="81">
        <f>tbl_Data[[#This Row],[per unit IRA tax ($)]]/tbl_Data[[#This Row],[kWh Savings]]*tbl_Data[[#This Row],[Sum of Annuals]]</f>
        <v>0</v>
      </c>
      <c r="AY442" s="81">
        <f>tbl_Data[[#This Row],[Avoided Costs ($/unit)]]/tbl_Data[[#This Row],[kWh Savings]]*tbl_Data[[#This Row],[Sum of Annuals]]</f>
        <v>1.237498578578252</v>
      </c>
      <c r="AZ442" s="81">
        <f>tbl_Data[[#This Row],[Lost Revenue ($/unit)]]/tbl_Data[[#This Row],[kWh Savings]]*tbl_Data[[#This Row],[Sum of Annuals]]</f>
        <v>3.0061703532094119</v>
      </c>
      <c r="BA442" s="81">
        <f>tbl_Data[[#This Row],[Incremental Cost ($/unit)]]/tbl_Data[[#This Row],[kWh Savings]]*tbl_Data[[#This Row],[Sum of Annuals]]</f>
        <v>0.99260167382599584</v>
      </c>
      <c r="BB442" s="77">
        <f>ROUNDUP(tbl_Data[[#This Row],[Adjusted 2025]]/$L442,0)</f>
        <v>1</v>
      </c>
      <c r="BC442" s="77">
        <f>ROUNDUP(tbl_Data[[#This Row],[Adjusted 2026]]/$L442,0)</f>
        <v>1</v>
      </c>
      <c r="BD442" s="77">
        <f>ROUNDUP(tbl_Data[[#This Row],[Adjusted 2027]]/$L442,0)</f>
        <v>1</v>
      </c>
      <c r="BE442" s="77">
        <f>ROUNDUP(tbl_Data[[#This Row],[Adjusted 2028]]/$L442,0)</f>
        <v>1</v>
      </c>
      <c r="BF442" s="77">
        <f>ROUNDUP(tbl_Data[[#This Row],[Adjusted 2029]]/$L442,0)</f>
        <v>1</v>
      </c>
      <c r="BG442" s="77">
        <f>ROUNDUP(tbl_Data[[#This Row],[Adjusted 2030]]/$L442,0)</f>
        <v>1</v>
      </c>
      <c r="BH442" s="77">
        <f>ROUNDUP(tbl_Data[[#This Row],[Adjusted 2031]]/$L442,0)</f>
        <v>1</v>
      </c>
      <c r="BI442" s="77">
        <f>ROUNDUP(tbl_Data[[#This Row],[Adjusted 2032]]/$L442,0)</f>
        <v>1</v>
      </c>
      <c r="BJ442" s="77">
        <f>ROUNDUP(tbl_Data[[#This Row],[Adjusted 2033]]/$L442,0)</f>
        <v>1</v>
      </c>
      <c r="BK442" s="77">
        <f>ROUNDUP(tbl_Data[[#This Row],[Adjusted 2034]]/$L442,0)</f>
        <v>1</v>
      </c>
      <c r="BL442" s="80">
        <f t="shared" si="177"/>
        <v>6.5156148080814588E-3</v>
      </c>
      <c r="BM442" s="80">
        <f t="shared" si="178"/>
        <v>8.8614642645186772E-3</v>
      </c>
      <c r="BN442" s="80">
        <f t="shared" si="179"/>
        <v>1.1448061201312167E-2</v>
      </c>
      <c r="BO442" s="80">
        <f t="shared" si="180"/>
        <v>1.4134275695992437E-2</v>
      </c>
      <c r="BP442" s="80">
        <f t="shared" si="181"/>
        <v>1.6686118382865302E-2</v>
      </c>
      <c r="BQ442" s="80">
        <f t="shared" si="182"/>
        <v>1.8920515922946749E-2</v>
      </c>
      <c r="BR442" s="80">
        <f t="shared" si="183"/>
        <v>2.0708781336041652E-2</v>
      </c>
      <c r="BS442" s="80">
        <f t="shared" si="184"/>
        <v>2.2088076344329799E-2</v>
      </c>
      <c r="BT442" s="80">
        <f t="shared" si="185"/>
        <v>2.3171133112552981E-2</v>
      </c>
      <c r="BU442" s="80">
        <f t="shared" si="186"/>
        <v>2.3979039747198155E-2</v>
      </c>
      <c r="BV442" s="80">
        <f>IFERROR(VLOOKUP($H442,'1. Set Program Names'!$B$2:$D$15,3,0)*V442,"NA")</f>
        <v>4.5461355551898773E-3</v>
      </c>
      <c r="BW442" s="80">
        <f>IFERROR(VLOOKUP($H442,'1. Set Program Names'!$B$2:$D$15,3,0)*W442,"NA")</f>
        <v>6.1829035249299875E-3</v>
      </c>
      <c r="BX442" s="80">
        <f>IFERROR(VLOOKUP($H442,'1. Set Program Names'!$B$2:$D$15,3,0)*X442,"NA")</f>
        <v>7.9876480728607729E-3</v>
      </c>
      <c r="BY442" s="80">
        <f>IFERROR(VLOOKUP($H442,'1. Set Program Names'!$B$2:$D$15,3,0)*Y442,"NA")</f>
        <v>9.8618987127214522E-3</v>
      </c>
      <c r="BZ442" s="80">
        <f>IFERROR(VLOOKUP($H442,'1. Set Program Names'!$B$2:$D$15,3,0)*Z442,"NA")</f>
        <v>1.1642394201137218E-2</v>
      </c>
      <c r="CA442" s="80">
        <f>IFERROR(VLOOKUP($H442,'1. Set Program Names'!$B$2:$D$15,3,0)*AA442,"NA")</f>
        <v>1.3201398899940781E-2</v>
      </c>
      <c r="CB442" s="80">
        <f>IFERROR(VLOOKUP($H442,'1. Set Program Names'!$B$2:$D$15,3,0)*AB442,"NA")</f>
        <v>1.4449124128648841E-2</v>
      </c>
      <c r="CC442" s="80">
        <f>IFERROR(VLOOKUP($H442,'1. Set Program Names'!$B$2:$D$15,3,0)*AC442,"NA")</f>
        <v>1.5411498710783018E-2</v>
      </c>
      <c r="CD442" s="80">
        <f>IFERROR(VLOOKUP($H442,'1. Set Program Names'!$B$2:$D$15,3,0)*AD442,"NA")</f>
        <v>1.6167179184128595E-2</v>
      </c>
      <c r="CE442" s="80">
        <f>IFERROR(VLOOKUP($H442,'1. Set Program Names'!$B$2:$D$15,3,0)*AE442,"NA")</f>
        <v>1.6730879339097657E-2</v>
      </c>
    </row>
    <row r="443" spans="1:83" x14ac:dyDescent="0.25">
      <c r="A443" s="79" t="s">
        <v>115</v>
      </c>
      <c r="B443" s="79" t="s">
        <v>88</v>
      </c>
      <c r="C443" s="79" t="s">
        <v>122</v>
      </c>
      <c r="D443" s="79" t="s">
        <v>90</v>
      </c>
      <c r="E443" s="79" t="s">
        <v>91</v>
      </c>
      <c r="F443" s="79" t="s">
        <v>90</v>
      </c>
      <c r="G443" s="79" t="s">
        <v>92</v>
      </c>
      <c r="H443" s="79" t="s">
        <v>18</v>
      </c>
      <c r="I443" s="79" t="s">
        <v>168</v>
      </c>
      <c r="J443" s="79" t="s">
        <v>129</v>
      </c>
      <c r="K443" s="79" t="s">
        <v>102</v>
      </c>
      <c r="L443" s="79">
        <v>3050.4666666666599</v>
      </c>
      <c r="M443" s="79">
        <v>1.01361966409546</v>
      </c>
      <c r="N443" s="79">
        <v>0</v>
      </c>
      <c r="O443" s="79">
        <v>742</v>
      </c>
      <c r="P443" s="79">
        <v>130.44720079847701</v>
      </c>
      <c r="Q443" s="79">
        <v>96.541767463653102</v>
      </c>
      <c r="R443" s="79">
        <v>1331.93833936435</v>
      </c>
      <c r="S443" s="79">
        <v>2509.1802589366698</v>
      </c>
      <c r="T443" s="79">
        <v>10</v>
      </c>
      <c r="U443" s="79">
        <v>1</v>
      </c>
      <c r="V443" s="79">
        <f>tbl_Data_old[[#This Row],[2025 ]]*IFERROR(AVERAGEIFS('Participation Adjustment'!$C:$C,'Participation Adjustment'!$A:$A,$H443,'Participation Adjustment'!$B:$B,$I443),1)</f>
        <v>8.0566390345883203</v>
      </c>
      <c r="W443" s="79">
        <f>tbl_Data_old[[#This Row],[2026 ]]*IFERROR(AVERAGEIFS('Participation Adjustment'!$C:$C,'Participation Adjustment'!$A:$A,$H443,'Participation Adjustment'!$B:$B,$I443),1)</f>
        <v>19.165388439559099</v>
      </c>
      <c r="X443" s="79">
        <f>tbl_Data_old[[#This Row],[2027 ]]*IFERROR(AVERAGEIFS('Participation Adjustment'!$C:$C,'Participation Adjustment'!$A:$A,$H443,'Participation Adjustment'!$B:$B,$I443),1)</f>
        <v>34.053759770405698</v>
      </c>
      <c r="Y443" s="79">
        <f>tbl_Data_old[[#This Row],[2028 ]]*IFERROR(AVERAGEIFS('Participation Adjustment'!$C:$C,'Participation Adjustment'!$A:$A,$H443,'Participation Adjustment'!$B:$B,$I443),1)</f>
        <v>53.440220562499597</v>
      </c>
      <c r="Z443" s="79">
        <f>tbl_Data_old[[#This Row],[2029 ]]*IFERROR(AVERAGEIFS('Participation Adjustment'!$C:$C,'Participation Adjustment'!$A:$A,$H443,'Participation Adjustment'!$B:$B,$I443),1)</f>
        <v>77.728339126288702</v>
      </c>
      <c r="AA443" s="79">
        <f>tbl_Data_old[[#This Row],[2030 ]]*IFERROR(AVERAGEIFS('Participation Adjustment'!$C:$C,'Participation Adjustment'!$A:$A,$H443,'Participation Adjustment'!$B:$B,$I443),1)</f>
        <v>106.63252620097499</v>
      </c>
      <c r="AB443" s="79">
        <f>tbl_Data_old[[#This Row],[2031 ]]*IFERROR(AVERAGEIFS('Participation Adjustment'!$C:$C,'Participation Adjustment'!$A:$A,$H443,'Participation Adjustment'!$B:$B,$I443),1)</f>
        <v>138.91394744605799</v>
      </c>
      <c r="AC443" s="79">
        <f>tbl_Data_old[[#This Row],[2032 ]]*IFERROR(AVERAGEIFS('Participation Adjustment'!$C:$C,'Participation Adjustment'!$A:$A,$H443,'Participation Adjustment'!$B:$B,$I443),1)</f>
        <v>172.372787518921</v>
      </c>
      <c r="AD443" s="79">
        <f>tbl_Data_old[[#This Row],[2033 ]]*IFERROR(AVERAGEIFS('Participation Adjustment'!$C:$C,'Participation Adjustment'!$A:$A,$H443,'Participation Adjustment'!$B:$B,$I443),1)</f>
        <v>204.22114359390301</v>
      </c>
      <c r="AE443" s="79">
        <f>tbl_Data_old[[#This Row],[2034 ]]*IFERROR(AVERAGEIFS('Participation Adjustment'!$C:$C,'Participation Adjustment'!$A:$A,$H443,'Participation Adjustment'!$B:$B,$I443),1)</f>
        <v>231.95682020478699</v>
      </c>
      <c r="AF443" s="77" t="str">
        <f t="shared" si="176"/>
        <v>NonResidential</v>
      </c>
      <c r="AG443" s="77" t="str">
        <f>tbl_Data[[#This Row],[All_Meas_Name_Append]]</f>
        <v>Chilled Water Reset</v>
      </c>
      <c r="AH443" s="77">
        <f>AVERAGEIFS('3. Incentive Adjustment'!G:G,'3. Incentive Adjustment'!A:A,tbl_Data[[#This Row],[Trimmed Sector]],'3. Incentive Adjustment'!B:B,tbl_Data[[#This Row],[Trimmed Measure Name]])</f>
        <v>1.6724428329362533</v>
      </c>
      <c r="AI443" s="77">
        <f>$AH443*tbl_Data[[#This Row],[2025 ]]</f>
        <v>13.474268210951692</v>
      </c>
      <c r="AJ443" s="77">
        <f>$AH443*tbl_Data[[#This Row],[2026 ]]</f>
        <v>32.053016536179939</v>
      </c>
      <c r="AK443" s="77">
        <f>$AH443*tbl_Data[[#This Row],[2027 ]]</f>
        <v>56.95296646254792</v>
      </c>
      <c r="AL443" s="77">
        <f>$AH443*tbl_Data[[#This Row],[2028 ]]</f>
        <v>89.37571387028504</v>
      </c>
      <c r="AM443" s="77">
        <f>$AH443*tbl_Data[[#This Row],[2029 ]]</f>
        <v>129.99620368780009</v>
      </c>
      <c r="AN443" s="77">
        <f>$AH443*tbl_Data[[#This Row],[2030 ]]</f>
        <v>178.33680420270787</v>
      </c>
      <c r="AO443" s="77">
        <f>$AH443*tbl_Data[[#This Row],[2031 ]]</f>
        <v>232.32563580104303</v>
      </c>
      <c r="AP443" s="77">
        <f>$AH443*tbl_Data[[#This Row],[2032 ]]</f>
        <v>288.2836330792631</v>
      </c>
      <c r="AQ443" s="77">
        <f>$AH443*tbl_Data[[#This Row],[2033 ]]</f>
        <v>341.5481879376685</v>
      </c>
      <c r="AR443" s="77">
        <f>$AH443*tbl_Data[[#This Row],[2034 ]]</f>
        <v>387.93452150217911</v>
      </c>
      <c r="AS443" s="77">
        <f>SUM(tbl_Data[[#This Row],[Adjusted 2025]:[Adjusted 2034]])</f>
        <v>1750.280951290626</v>
      </c>
      <c r="AT443" s="80">
        <f>AVERAGEIFS('3. Incentive Adjustment'!F:F,'3. Incentive Adjustment'!A:A,tbl_Data[[#This Row],[Trimmed Sector]],'3. Incentive Adjustment'!B:B,tbl_Data[[#This Row],[Trimmed Measure Name]])</f>
        <v>725.0262900596623</v>
      </c>
      <c r="AU443" s="80">
        <f>IFERROR(VLOOKUP(tbl_Data[[#This Row],[All_Meas_Name_Append]],'IRA Tax Credits'!$A$3:$D$46,4,0),0)</f>
        <v>0</v>
      </c>
      <c r="AV443" s="81">
        <f>tbl_Data[[#This Row],[Adj. per unit Incentive ($)]]/tbl_Data[[#This Row],[kWh Savings]]*tbl_Data[[#This Row],[Sum of Annuals]]</f>
        <v>416.00182639039116</v>
      </c>
      <c r="AW443" s="81">
        <f>IFERROR(VLOOKUP(tbl_Data[[#This Row],[Column1]],'1. Set Program Names'!$B$2:$D$15,3,0)*tbl_Data[[#This Row],[Sum of Annuals]],"")</f>
        <v>55.39323489156682</v>
      </c>
      <c r="AX443" s="81">
        <f>tbl_Data[[#This Row],[per unit IRA tax ($)]]/tbl_Data[[#This Row],[kWh Savings]]*tbl_Data[[#This Row],[Sum of Annuals]]</f>
        <v>0</v>
      </c>
      <c r="AY443" s="81">
        <f>tbl_Data[[#This Row],[Avoided Costs ($/unit)]]/tbl_Data[[#This Row],[kWh Savings]]*tbl_Data[[#This Row],[Sum of Annuals]]</f>
        <v>764.23267598938833</v>
      </c>
      <c r="AZ443" s="81">
        <f>tbl_Data[[#This Row],[Lost Revenue ($/unit)]]/tbl_Data[[#This Row],[kWh Savings]]*tbl_Data[[#This Row],[Sum of Annuals]]</f>
        <v>1439.7044421306064</v>
      </c>
      <c r="BA443" s="81">
        <f>tbl_Data[[#This Row],[Incremental Cost ($/unit)]]/tbl_Data[[#This Row],[kWh Savings]]*tbl_Data[[#This Row],[Sum of Annuals]]</f>
        <v>425.74091369330836</v>
      </c>
      <c r="BB443" s="77">
        <f>ROUNDUP(tbl_Data[[#This Row],[Adjusted 2025]]/$L443,0)</f>
        <v>1</v>
      </c>
      <c r="BC443" s="77">
        <f>ROUNDUP(tbl_Data[[#This Row],[Adjusted 2026]]/$L443,0)</f>
        <v>1</v>
      </c>
      <c r="BD443" s="77">
        <f>ROUNDUP(tbl_Data[[#This Row],[Adjusted 2027]]/$L443,0)</f>
        <v>1</v>
      </c>
      <c r="BE443" s="77">
        <f>ROUNDUP(tbl_Data[[#This Row],[Adjusted 2028]]/$L443,0)</f>
        <v>1</v>
      </c>
      <c r="BF443" s="77">
        <f>ROUNDUP(tbl_Data[[#This Row],[Adjusted 2029]]/$L443,0)</f>
        <v>1</v>
      </c>
      <c r="BG443" s="77">
        <f>ROUNDUP(tbl_Data[[#This Row],[Adjusted 2030]]/$L443,0)</f>
        <v>1</v>
      </c>
      <c r="BH443" s="77">
        <f>ROUNDUP(tbl_Data[[#This Row],[Adjusted 2031]]/$L443,0)</f>
        <v>1</v>
      </c>
      <c r="BI443" s="77">
        <f>ROUNDUP(tbl_Data[[#This Row],[Adjusted 2032]]/$L443,0)</f>
        <v>1</v>
      </c>
      <c r="BJ443" s="77">
        <f>ROUNDUP(tbl_Data[[#This Row],[Adjusted 2033]]/$L443,0)</f>
        <v>1</v>
      </c>
      <c r="BK443" s="77">
        <f>ROUNDUP(tbl_Data[[#This Row],[Adjusted 2034]]/$L443,0)</f>
        <v>1</v>
      </c>
      <c r="BL443" s="80">
        <f t="shared" si="177"/>
        <v>1.914879180102752</v>
      </c>
      <c r="BM443" s="80">
        <f t="shared" si="178"/>
        <v>4.5551753211156445</v>
      </c>
      <c r="BN443" s="80">
        <f t="shared" si="179"/>
        <v>8.0938013120135519</v>
      </c>
      <c r="BO443" s="80">
        <f t="shared" si="180"/>
        <v>12.701520484646911</v>
      </c>
      <c r="BP443" s="80">
        <f t="shared" si="181"/>
        <v>18.474251813678514</v>
      </c>
      <c r="BQ443" s="80">
        <f t="shared" si="182"/>
        <v>25.344117251300176</v>
      </c>
      <c r="BR443" s="80">
        <f t="shared" si="183"/>
        <v>33.016674155110216</v>
      </c>
      <c r="BS443" s="80">
        <f t="shared" si="184"/>
        <v>40.96907663595276</v>
      </c>
      <c r="BT443" s="80">
        <f t="shared" si="185"/>
        <v>48.538703834920142</v>
      </c>
      <c r="BU443" s="80">
        <f t="shared" si="186"/>
        <v>55.130841010265051</v>
      </c>
      <c r="BV443" s="80">
        <f>IFERROR(VLOOKUP($H443,'1. Set Program Names'!$B$2:$D$15,3,0)*V443,"NA")</f>
        <v>0.25497809260303927</v>
      </c>
      <c r="BW443" s="80">
        <f>IFERROR(VLOOKUP($H443,'1. Set Program Names'!$B$2:$D$15,3,0)*W443,"NA")</f>
        <v>0.60654997292736756</v>
      </c>
      <c r="BX443" s="80">
        <f>IFERROR(VLOOKUP($H443,'1. Set Program Names'!$B$2:$D$15,3,0)*X443,"NA")</f>
        <v>1.0777400693940662</v>
      </c>
      <c r="BY443" s="80">
        <f>IFERROR(VLOOKUP($H443,'1. Set Program Names'!$B$2:$D$15,3,0)*Y443,"NA")</f>
        <v>1.691286583501272</v>
      </c>
      <c r="BZ443" s="80">
        <f>IFERROR(VLOOKUP($H443,'1. Set Program Names'!$B$2:$D$15,3,0)*Z443,"NA")</f>
        <v>2.4599617243043084</v>
      </c>
      <c r="CA443" s="80">
        <f>IFERROR(VLOOKUP($H443,'1. Set Program Names'!$B$2:$D$15,3,0)*AA443,"NA")</f>
        <v>3.3747271068546172</v>
      </c>
      <c r="CB443" s="80">
        <f>IFERROR(VLOOKUP($H443,'1. Set Program Names'!$B$2:$D$15,3,0)*AB443,"NA")</f>
        <v>4.3963758589272093</v>
      </c>
      <c r="CC443" s="80">
        <f>IFERROR(VLOOKUP($H443,'1. Set Program Names'!$B$2:$D$15,3,0)*AC443,"NA")</f>
        <v>5.4552877930305943</v>
      </c>
      <c r="CD443" s="80">
        <f>IFERROR(VLOOKUP($H443,'1. Set Program Names'!$B$2:$D$15,3,0)*AD443,"NA")</f>
        <v>6.4632308136472902</v>
      </c>
      <c r="CE443" s="80">
        <f>IFERROR(VLOOKUP($H443,'1. Set Program Names'!$B$2:$D$15,3,0)*AE443,"NA")</f>
        <v>7.341014947817488</v>
      </c>
    </row>
    <row r="444" spans="1:83" x14ac:dyDescent="0.25">
      <c r="A444" s="79" t="s">
        <v>115</v>
      </c>
      <c r="B444" s="79" t="s">
        <v>88</v>
      </c>
      <c r="C444" s="79" t="s">
        <v>122</v>
      </c>
      <c r="D444" s="79" t="s">
        <v>90</v>
      </c>
      <c r="E444" s="79" t="s">
        <v>91</v>
      </c>
      <c r="F444" s="79" t="s">
        <v>90</v>
      </c>
      <c r="G444" s="79" t="s">
        <v>92</v>
      </c>
      <c r="H444" s="79" t="s">
        <v>18</v>
      </c>
      <c r="I444" s="79" t="s">
        <v>169</v>
      </c>
      <c r="J444" s="79" t="s">
        <v>129</v>
      </c>
      <c r="K444" s="79" t="s">
        <v>102</v>
      </c>
      <c r="L444" s="79">
        <v>12279.148571428501</v>
      </c>
      <c r="M444" s="79">
        <v>2.3939185148112898</v>
      </c>
      <c r="N444" s="79">
        <v>0.409805025192993</v>
      </c>
      <c r="O444" s="79">
        <v>4666.07785714284</v>
      </c>
      <c r="P444" s="79">
        <v>2140.17810945783</v>
      </c>
      <c r="Q444" s="79">
        <v>388.61290273657698</v>
      </c>
      <c r="R444" s="79">
        <v>6035.2668545830202</v>
      </c>
      <c r="S444" s="79">
        <v>13336.629705795</v>
      </c>
      <c r="T444" s="79">
        <v>15</v>
      </c>
      <c r="U444" s="79">
        <v>1</v>
      </c>
      <c r="V444" s="79">
        <f>tbl_Data_old[[#This Row],[2025 ]]*IFERROR(AVERAGEIFS('Participation Adjustment'!$C:$C,'Participation Adjustment'!$A:$A,$H444,'Participation Adjustment'!$B:$B,$I444),1)</f>
        <v>18.3854462461099</v>
      </c>
      <c r="W444" s="79">
        <f>tbl_Data_old[[#This Row],[2026 ]]*IFERROR(AVERAGEIFS('Participation Adjustment'!$C:$C,'Participation Adjustment'!$A:$A,$H444,'Participation Adjustment'!$B:$B,$I444),1)</f>
        <v>38.9910676071244</v>
      </c>
      <c r="X444" s="79">
        <f>tbl_Data_old[[#This Row],[2027 ]]*IFERROR(AVERAGEIFS('Participation Adjustment'!$C:$C,'Participation Adjustment'!$A:$A,$H444,'Participation Adjustment'!$B:$B,$I444),1)</f>
        <v>61.580721812188699</v>
      </c>
      <c r="Y444" s="79">
        <f>tbl_Data_old[[#This Row],[2028 ]]*IFERROR(AVERAGEIFS('Participation Adjustment'!$C:$C,'Participation Adjustment'!$A:$A,$H444,'Participation Adjustment'!$B:$B,$I444),1)</f>
        <v>86.033119752210695</v>
      </c>
      <c r="Z444" s="79">
        <f>tbl_Data_old[[#This Row],[2029 ]]*IFERROR(AVERAGEIFS('Participation Adjustment'!$C:$C,'Participation Adjustment'!$A:$A,$H444,'Participation Adjustment'!$B:$B,$I444),1)</f>
        <v>112.213991293341</v>
      </c>
      <c r="AA444" s="79">
        <f>tbl_Data_old[[#This Row],[2030 ]]*IFERROR(AVERAGEIFS('Participation Adjustment'!$C:$C,'Participation Adjustment'!$A:$A,$H444,'Participation Adjustment'!$B:$B,$I444),1)</f>
        <v>139.97854355273799</v>
      </c>
      <c r="AB444" s="79">
        <f>tbl_Data_old[[#This Row],[2031 ]]*IFERROR(AVERAGEIFS('Participation Adjustment'!$C:$C,'Participation Adjustment'!$A:$A,$H444,'Participation Adjustment'!$B:$B,$I444),1)</f>
        <v>169.19738027614201</v>
      </c>
      <c r="AC444" s="79">
        <f>tbl_Data_old[[#This Row],[2032 ]]*IFERROR(AVERAGEIFS('Participation Adjustment'!$C:$C,'Participation Adjustment'!$A:$A,$H444,'Participation Adjustment'!$B:$B,$I444),1)</f>
        <v>199.816018542969</v>
      </c>
      <c r="AD444" s="79">
        <f>tbl_Data_old[[#This Row],[2033 ]]*IFERROR(AVERAGEIFS('Participation Adjustment'!$C:$C,'Participation Adjustment'!$A:$A,$H444,'Participation Adjustment'!$B:$B,$I444),1)</f>
        <v>231.81558748348499</v>
      </c>
      <c r="AE444" s="79">
        <f>tbl_Data_old[[#This Row],[2034 ]]*IFERROR(AVERAGEIFS('Participation Adjustment'!$C:$C,'Participation Adjustment'!$A:$A,$H444,'Participation Adjustment'!$B:$B,$I444),1)</f>
        <v>265.13936127464598</v>
      </c>
      <c r="AF444" s="77" t="str">
        <f t="shared" si="176"/>
        <v>NonResidential</v>
      </c>
      <c r="AG444" s="77" t="str">
        <f>tbl_Data[[#This Row],[All_Meas_Name_Append]]</f>
        <v>Custom measure - Non-lighting_69</v>
      </c>
      <c r="AH444" s="77">
        <f>AVERAGEIFS('3. Incentive Adjustment'!G:G,'3. Incentive Adjustment'!A:A,tbl_Data[[#This Row],[Trimmed Sector]],'3. Incentive Adjustment'!B:B,tbl_Data[[#This Row],[Trimmed Measure Name]])</f>
        <v>0.94249803878007732</v>
      </c>
      <c r="AI444" s="77">
        <f>$AH444*tbl_Data[[#This Row],[2025 ]]</f>
        <v>17.328247029055117</v>
      </c>
      <c r="AJ444" s="77">
        <f>$AH444*tbl_Data[[#This Row],[2026 ]]</f>
        <v>36.749004749656152</v>
      </c>
      <c r="AK444" s="77">
        <f>$AH444*tbl_Data[[#This Row],[2027 ]]</f>
        <v>58.039709534649376</v>
      </c>
      <c r="AL444" s="77">
        <f>$AH444*tbl_Data[[#This Row],[2028 ]]</f>
        <v>81.086046636590112</v>
      </c>
      <c r="AM444" s="77">
        <f>$AH444*tbl_Data[[#This Row],[2029 ]]</f>
        <v>105.76146671765856</v>
      </c>
      <c r="AN444" s="77">
        <f>$AH444*tbl_Data[[#This Row],[2030 ]]</f>
        <v>131.92950276974719</v>
      </c>
      <c r="AO444" s="77">
        <f>$AH444*tbl_Data[[#This Row],[2031 ]]</f>
        <v>159.46819907699077</v>
      </c>
      <c r="AP444" s="77">
        <f>$AH444*tbl_Data[[#This Row],[2032 ]]</f>
        <v>188.32620559359185</v>
      </c>
      <c r="AQ444" s="77">
        <f>$AH444*tbl_Data[[#This Row],[2033 ]]</f>
        <v>218.48573656183603</v>
      </c>
      <c r="AR444" s="77">
        <f>$AH444*tbl_Data[[#This Row],[2034 ]]</f>
        <v>249.89332800475623</v>
      </c>
      <c r="AS444" s="77">
        <f>SUM(tbl_Data[[#This Row],[Adjusted 2025]:[Adjusted 2034]])</f>
        <v>1247.0674466745313</v>
      </c>
      <c r="AT444" s="80">
        <f>AVERAGEIFS('3. Incentive Adjustment'!F:F,'3. Incentive Adjustment'!A:A,tbl_Data[[#This Row],[Trimmed Sector]],'3. Incentive Adjustment'!B:B,tbl_Data[[#This Row],[Trimmed Measure Name]])</f>
        <v>1864.5735288999113</v>
      </c>
      <c r="AU444" s="80">
        <f>IFERROR(VLOOKUP(tbl_Data[[#This Row],[All_Meas_Name_Append]],'IRA Tax Credits'!$A$3:$D$46,4,0),0)</f>
        <v>0</v>
      </c>
      <c r="AV444" s="81">
        <f>tbl_Data[[#This Row],[Adj. per unit Incentive ($)]]/tbl_Data[[#This Row],[kWh Savings]]*tbl_Data[[#This Row],[Sum of Annuals]]</f>
        <v>189.3656499305329</v>
      </c>
      <c r="AW444" s="81">
        <f>IFERROR(VLOOKUP(tbl_Data[[#This Row],[Column1]],'1. Set Program Names'!$B$2:$D$15,3,0)*tbl_Data[[#This Row],[Sum of Annuals]],"")</f>
        <v>39.467435184237765</v>
      </c>
      <c r="AX444" s="81">
        <f>tbl_Data[[#This Row],[per unit IRA tax ($)]]/tbl_Data[[#This Row],[kWh Savings]]*tbl_Data[[#This Row],[Sum of Annuals]]</f>
        <v>0</v>
      </c>
      <c r="AY444" s="81">
        <f>tbl_Data[[#This Row],[Avoided Costs ($/unit)]]/tbl_Data[[#This Row],[kWh Savings]]*tbl_Data[[#This Row],[Sum of Annuals]]</f>
        <v>612.94028511528074</v>
      </c>
      <c r="AZ444" s="81">
        <f>tbl_Data[[#This Row],[Lost Revenue ($/unit)]]/tbl_Data[[#This Row],[kWh Savings]]*tbl_Data[[#This Row],[Sum of Annuals]]</f>
        <v>1354.4649824621042</v>
      </c>
      <c r="BA444" s="81">
        <f>tbl_Data[[#This Row],[Incremental Cost ($/unit)]]/tbl_Data[[#This Row],[kWh Savings]]*tbl_Data[[#This Row],[Sum of Annuals]]</f>
        <v>473.88577191999423</v>
      </c>
      <c r="BB444" s="77">
        <f>ROUNDUP(tbl_Data[[#This Row],[Adjusted 2025]]/$L444,0)</f>
        <v>1</v>
      </c>
      <c r="BC444" s="77">
        <f>ROUNDUP(tbl_Data[[#This Row],[Adjusted 2026]]/$L444,0)</f>
        <v>1</v>
      </c>
      <c r="BD444" s="77">
        <f>ROUNDUP(tbl_Data[[#This Row],[Adjusted 2027]]/$L444,0)</f>
        <v>1</v>
      </c>
      <c r="BE444" s="77">
        <f>ROUNDUP(tbl_Data[[#This Row],[Adjusted 2028]]/$L444,0)</f>
        <v>1</v>
      </c>
      <c r="BF444" s="77">
        <f>ROUNDUP(tbl_Data[[#This Row],[Adjusted 2029]]/$L444,0)</f>
        <v>1</v>
      </c>
      <c r="BG444" s="77">
        <f>ROUNDUP(tbl_Data[[#This Row],[Adjusted 2030]]/$L444,0)</f>
        <v>1</v>
      </c>
      <c r="BH444" s="77">
        <f>ROUNDUP(tbl_Data[[#This Row],[Adjusted 2031]]/$L444,0)</f>
        <v>1</v>
      </c>
      <c r="BI444" s="77">
        <f>ROUNDUP(tbl_Data[[#This Row],[Adjusted 2032]]/$L444,0)</f>
        <v>1</v>
      </c>
      <c r="BJ444" s="77">
        <f>ROUNDUP(tbl_Data[[#This Row],[Adjusted 2033]]/$L444,0)</f>
        <v>1</v>
      </c>
      <c r="BK444" s="77">
        <f>ROUNDUP(tbl_Data[[#This Row],[Adjusted 2034]]/$L444,0)</f>
        <v>1</v>
      </c>
      <c r="BL444" s="80">
        <f t="shared" si="177"/>
        <v>2.7918072811070043</v>
      </c>
      <c r="BM444" s="80">
        <f t="shared" si="178"/>
        <v>5.9207454084361784</v>
      </c>
      <c r="BN444" s="80">
        <f t="shared" si="179"/>
        <v>9.3509564701193746</v>
      </c>
      <c r="BO444" s="80">
        <f t="shared" si="180"/>
        <v>13.064022864900165</v>
      </c>
      <c r="BP444" s="80">
        <f t="shared" si="181"/>
        <v>17.039555838962187</v>
      </c>
      <c r="BQ444" s="80">
        <f t="shared" si="182"/>
        <v>21.255568772064706</v>
      </c>
      <c r="BR444" s="80">
        <f t="shared" si="183"/>
        <v>25.692413002981095</v>
      </c>
      <c r="BS444" s="80">
        <f t="shared" si="184"/>
        <v>30.341815367582157</v>
      </c>
      <c r="BT444" s="80">
        <f t="shared" si="185"/>
        <v>35.200910347630327</v>
      </c>
      <c r="BU444" s="80">
        <f t="shared" si="186"/>
        <v>40.261084197030939</v>
      </c>
      <c r="BV444" s="80">
        <f>IFERROR(VLOOKUP($H444,'1. Set Program Names'!$B$2:$D$15,3,0)*V444,"NA")</f>
        <v>0.58186620939116629</v>
      </c>
      <c r="BW444" s="80">
        <f>IFERROR(VLOOKUP($H444,'1. Set Program Names'!$B$2:$D$15,3,0)*W444,"NA")</f>
        <v>1.2339969563410809</v>
      </c>
      <c r="BX444" s="80">
        <f>IFERROR(VLOOKUP($H444,'1. Set Program Names'!$B$2:$D$15,3,0)*X444,"NA")</f>
        <v>1.9489187639387127</v>
      </c>
      <c r="BY444" s="80">
        <f>IFERROR(VLOOKUP($H444,'1. Set Program Names'!$B$2:$D$15,3,0)*Y444,"NA")</f>
        <v>2.7227930506667497</v>
      </c>
      <c r="BZ444" s="80">
        <f>IFERROR(VLOOKUP($H444,'1. Set Program Names'!$B$2:$D$15,3,0)*Z444,"NA")</f>
        <v>3.5513704089899285</v>
      </c>
      <c r="CA444" s="80">
        <f>IFERROR(VLOOKUP($H444,'1. Set Program Names'!$B$2:$D$15,3,0)*AA444,"NA")</f>
        <v>4.4300684053486785</v>
      </c>
      <c r="CB444" s="80">
        <f>IFERROR(VLOOKUP($H444,'1. Set Program Names'!$B$2:$D$15,3,0)*AB444,"NA")</f>
        <v>5.3547918817050801</v>
      </c>
      <c r="CC444" s="80">
        <f>IFERROR(VLOOKUP($H444,'1. Set Program Names'!$B$2:$D$15,3,0)*AC444,"NA")</f>
        <v>6.3238165519008085</v>
      </c>
      <c r="CD444" s="80">
        <f>IFERROR(VLOOKUP($H444,'1. Set Program Names'!$B$2:$D$15,3,0)*AD444,"NA")</f>
        <v>7.3365451869487037</v>
      </c>
      <c r="CE444" s="80">
        <f>IFERROR(VLOOKUP($H444,'1. Set Program Names'!$B$2:$D$15,3,0)*AE444,"NA")</f>
        <v>8.3911825168734087</v>
      </c>
    </row>
    <row r="445" spans="1:83" x14ac:dyDescent="0.25">
      <c r="A445" s="79" t="s">
        <v>115</v>
      </c>
      <c r="B445" s="79" t="s">
        <v>88</v>
      </c>
      <c r="C445" s="79" t="s">
        <v>122</v>
      </c>
      <c r="D445" s="79" t="s">
        <v>90</v>
      </c>
      <c r="E445" s="79" t="s">
        <v>91</v>
      </c>
      <c r="F445" s="79" t="s">
        <v>90</v>
      </c>
      <c r="G445" s="79" t="s">
        <v>92</v>
      </c>
      <c r="H445" s="79" t="s">
        <v>18</v>
      </c>
      <c r="I445" s="79" t="s">
        <v>170</v>
      </c>
      <c r="J445" s="79" t="s">
        <v>144</v>
      </c>
      <c r="K445" s="79" t="s">
        <v>171</v>
      </c>
      <c r="L445" s="79">
        <v>5592.79</v>
      </c>
      <c r="M445" s="79">
        <v>0.87755365852981304</v>
      </c>
      <c r="N445" s="79">
        <v>1.3078150987013399</v>
      </c>
      <c r="O445" s="79">
        <v>2274</v>
      </c>
      <c r="P445" s="79">
        <v>1123.5242193223601</v>
      </c>
      <c r="Q445" s="79">
        <v>177.00171503367099</v>
      </c>
      <c r="R445" s="79">
        <v>3205.1805113222799</v>
      </c>
      <c r="S445" s="79">
        <v>7177.7771935445198</v>
      </c>
      <c r="T445" s="79">
        <v>20</v>
      </c>
      <c r="U445" s="79">
        <v>1</v>
      </c>
      <c r="V445" s="79">
        <f>tbl_Data_old[[#This Row],[2025 ]]*IFERROR(AVERAGEIFS('Participation Adjustment'!$C:$C,'Participation Adjustment'!$A:$A,$H445,'Participation Adjustment'!$B:$B,$I445),1)</f>
        <v>0.25123488037293201</v>
      </c>
      <c r="W445" s="79">
        <f>tbl_Data_old[[#This Row],[2026 ]]*IFERROR(AVERAGEIFS('Participation Adjustment'!$C:$C,'Participation Adjustment'!$A:$A,$H445,'Participation Adjustment'!$B:$B,$I445),1)</f>
        <v>0.57453197579530602</v>
      </c>
      <c r="X445" s="79">
        <f>tbl_Data_old[[#This Row],[2027 ]]*IFERROR(AVERAGEIFS('Participation Adjustment'!$C:$C,'Participation Adjustment'!$A:$A,$H445,'Participation Adjustment'!$B:$B,$I445),1)</f>
        <v>0.98065726932445296</v>
      </c>
      <c r="Y445" s="79">
        <f>tbl_Data_old[[#This Row],[2028 ]]*IFERROR(AVERAGEIFS('Participation Adjustment'!$C:$C,'Participation Adjustment'!$A:$A,$H445,'Participation Adjustment'!$B:$B,$I445),1)</f>
        <v>1.4799402953552001</v>
      </c>
      <c r="Z445" s="79">
        <f>tbl_Data_old[[#This Row],[2029 ]]*IFERROR(AVERAGEIFS('Participation Adjustment'!$C:$C,'Participation Adjustment'!$A:$A,$H445,'Participation Adjustment'!$B:$B,$I445),1)</f>
        <v>2.0776928352113302</v>
      </c>
      <c r="AA445" s="79">
        <f>tbl_Data_old[[#This Row],[2030 ]]*IFERROR(AVERAGEIFS('Participation Adjustment'!$C:$C,'Participation Adjustment'!$A:$A,$H445,'Participation Adjustment'!$B:$B,$I445),1)</f>
        <v>2.7707850185749798</v>
      </c>
      <c r="AB445" s="79">
        <f>tbl_Data_old[[#This Row],[2031 ]]*IFERROR(AVERAGEIFS('Participation Adjustment'!$C:$C,'Participation Adjustment'!$A:$A,$H445,'Participation Adjustment'!$B:$B,$I445),1)</f>
        <v>3.5459927798562401</v>
      </c>
      <c r="AC445" s="79">
        <f>tbl_Data_old[[#This Row],[2032 ]]*IFERROR(AVERAGEIFS('Participation Adjustment'!$C:$C,'Participation Adjustment'!$A:$A,$H445,'Participation Adjustment'!$B:$B,$I445),1)</f>
        <v>4.3801634011740003</v>
      </c>
      <c r="AD445" s="79">
        <f>tbl_Data_old[[#This Row],[2033 ]]*IFERROR(AVERAGEIFS('Participation Adjustment'!$C:$C,'Participation Adjustment'!$A:$A,$H445,'Participation Adjustment'!$B:$B,$I445),1)</f>
        <v>5.2398198779740799</v>
      </c>
      <c r="AE445" s="79">
        <f>tbl_Data_old[[#This Row],[2034 ]]*IFERROR(AVERAGEIFS('Participation Adjustment'!$C:$C,'Participation Adjustment'!$A:$A,$H445,'Participation Adjustment'!$B:$B,$I445),1)</f>
        <v>6.08412897410836</v>
      </c>
      <c r="AF445" s="77" t="str">
        <f t="shared" si="176"/>
        <v>NonResidential</v>
      </c>
      <c r="AG445" s="77" t="str">
        <f>tbl_Data[[#This Row],[All_Meas_Name_Append]]</f>
        <v>Demand Controlled Circulating Systems</v>
      </c>
      <c r="AH445" s="77">
        <f>AVERAGEIFS('3. Incentive Adjustment'!G:G,'3. Incentive Adjustment'!A:A,tbl_Data[[#This Row],[Trimmed Sector]],'3. Incentive Adjustment'!B:B,tbl_Data[[#This Row],[Trimmed Measure Name]])</f>
        <v>0.82519266246945677</v>
      </c>
      <c r="AI445" s="77">
        <f>$AH445*tbl_Data[[#This Row],[2025 ]]</f>
        <v>0.20731717984013523</v>
      </c>
      <c r="AJ445" s="77">
        <f>$AH445*tbl_Data[[#This Row],[2026 ]]</f>
        <v>0.47409957078036608</v>
      </c>
      <c r="AK445" s="77">
        <f>$AH445*tbl_Data[[#This Row],[2027 ]]</f>
        <v>0.80923118304387243</v>
      </c>
      <c r="AL445" s="77">
        <f>$AH445*tbl_Data[[#This Row],[2028 ]]</f>
        <v>1.2212358726199919</v>
      </c>
      <c r="AM445" s="77">
        <f>$AH445*tbl_Data[[#This Row],[2029 ]]</f>
        <v>1.7144968824817519</v>
      </c>
      <c r="AN445" s="77">
        <f>$AH445*tbl_Data[[#This Row],[2030 ]]</f>
        <v>2.2864314666083709</v>
      </c>
      <c r="AO445" s="77">
        <f>$AH445*tbl_Data[[#This Row],[2031 ]]</f>
        <v>2.926127223107041</v>
      </c>
      <c r="AP445" s="77">
        <f>$AH445*tbl_Data[[#This Row],[2032 ]]</f>
        <v>3.6144786990660447</v>
      </c>
      <c r="AQ445" s="77">
        <f>$AH445*tbl_Data[[#This Row],[2033 ]]</f>
        <v>4.323860915965815</v>
      </c>
      <c r="AR445" s="77">
        <f>$AH445*tbl_Data[[#This Row],[2034 ]]</f>
        <v>5.0205785869520421</v>
      </c>
      <c r="AS445" s="77">
        <f>SUM(tbl_Data[[#This Row],[Adjusted 2025]:[Adjusted 2034]])</f>
        <v>22.59785758046543</v>
      </c>
      <c r="AT445" s="80">
        <f>AVERAGEIFS('3. Incentive Adjustment'!F:F,'3. Incentive Adjustment'!A:A,tbl_Data[[#This Row],[Trimmed Sector]],'3. Incentive Adjustment'!B:B,tbl_Data[[#This Row],[Trimmed Measure Name]])</f>
        <v>716.2547365811331</v>
      </c>
      <c r="AU445" s="80">
        <f>IFERROR(VLOOKUP(tbl_Data[[#This Row],[All_Meas_Name_Append]],'IRA Tax Credits'!$A$3:$D$46,4,0),0)</f>
        <v>0</v>
      </c>
      <c r="AV445" s="81">
        <f>tbl_Data[[#This Row],[Adj. per unit Incentive ($)]]/tbl_Data[[#This Row],[kWh Savings]]*tbl_Data[[#This Row],[Sum of Annuals]]</f>
        <v>2.8940515428961624</v>
      </c>
      <c r="AW445" s="81">
        <f>IFERROR(VLOOKUP(tbl_Data[[#This Row],[Column1]],'1. Set Program Names'!$B$2:$D$15,3,0)*tbl_Data[[#This Row],[Sum of Annuals]],"")</f>
        <v>0.71518142963154785</v>
      </c>
      <c r="AX445" s="81">
        <f>tbl_Data[[#This Row],[per unit IRA tax ($)]]/tbl_Data[[#This Row],[kWh Savings]]*tbl_Data[[#This Row],[Sum of Annuals]]</f>
        <v>0</v>
      </c>
      <c r="AY445" s="81">
        <f>tbl_Data[[#This Row],[Avoided Costs ($/unit)]]/tbl_Data[[#This Row],[kWh Savings]]*tbl_Data[[#This Row],[Sum of Annuals]]</f>
        <v>12.950640505819859</v>
      </c>
      <c r="AZ445" s="81">
        <f>tbl_Data[[#This Row],[Lost Revenue ($/unit)]]/tbl_Data[[#This Row],[kWh Savings]]*tbl_Data[[#This Row],[Sum of Annuals]]</f>
        <v>29.002052064181186</v>
      </c>
      <c r="BA445" s="81">
        <f>tbl_Data[[#This Row],[Incremental Cost ($/unit)]]/tbl_Data[[#This Row],[kWh Savings]]*tbl_Data[[#This Row],[Sum of Annuals]]</f>
        <v>9.1881740844870592</v>
      </c>
      <c r="BB445" s="77">
        <f>ROUNDUP(tbl_Data[[#This Row],[Adjusted 2025]]/$L445,0)</f>
        <v>1</v>
      </c>
      <c r="BC445" s="77">
        <f>ROUNDUP(tbl_Data[[#This Row],[Adjusted 2026]]/$L445,0)</f>
        <v>1</v>
      </c>
      <c r="BD445" s="77">
        <f>ROUNDUP(tbl_Data[[#This Row],[Adjusted 2027]]/$L445,0)</f>
        <v>1</v>
      </c>
      <c r="BE445" s="77">
        <f>ROUNDUP(tbl_Data[[#This Row],[Adjusted 2028]]/$L445,0)</f>
        <v>1</v>
      </c>
      <c r="BF445" s="77">
        <f>ROUNDUP(tbl_Data[[#This Row],[Adjusted 2029]]/$L445,0)</f>
        <v>1</v>
      </c>
      <c r="BG445" s="77">
        <f>ROUNDUP(tbl_Data[[#This Row],[Adjusted 2030]]/$L445,0)</f>
        <v>1</v>
      </c>
      <c r="BH445" s="77">
        <f>ROUNDUP(tbl_Data[[#This Row],[Adjusted 2031]]/$L445,0)</f>
        <v>1</v>
      </c>
      <c r="BI445" s="77">
        <f>ROUNDUP(tbl_Data[[#This Row],[Adjusted 2032]]/$L445,0)</f>
        <v>1</v>
      </c>
      <c r="BJ445" s="77">
        <f>ROUNDUP(tbl_Data[[#This Row],[Adjusted 2033]]/$L445,0)</f>
        <v>1</v>
      </c>
      <c r="BK445" s="77">
        <f>ROUNDUP(tbl_Data[[#This Row],[Adjusted 2034]]/$L445,0)</f>
        <v>1</v>
      </c>
      <c r="BL445" s="80">
        <f t="shared" si="177"/>
        <v>3.2175027680550659E-2</v>
      </c>
      <c r="BM445" s="80">
        <f t="shared" si="178"/>
        <v>7.357888441738468E-2</v>
      </c>
      <c r="BN445" s="80">
        <f t="shared" si="179"/>
        <v>0.12559034294446231</v>
      </c>
      <c r="BO445" s="80">
        <f t="shared" si="180"/>
        <v>0.18953228109860074</v>
      </c>
      <c r="BP445" s="80">
        <f t="shared" si="181"/>
        <v>0.26608496553255157</v>
      </c>
      <c r="BQ445" s="80">
        <f t="shared" si="182"/>
        <v>0.35484756152159697</v>
      </c>
      <c r="BR445" s="80">
        <f t="shared" si="183"/>
        <v>0.45412649580165376</v>
      </c>
      <c r="BS445" s="80">
        <f t="shared" si="184"/>
        <v>0.5609566572480289</v>
      </c>
      <c r="BT445" s="80">
        <f t="shared" si="185"/>
        <v>0.6710507289619152</v>
      </c>
      <c r="BU445" s="80">
        <f t="shared" si="186"/>
        <v>0.77917929971903521</v>
      </c>
      <c r="BV445" s="80">
        <f>IFERROR(VLOOKUP($H445,'1. Set Program Names'!$B$2:$D$15,3,0)*V445,"NA")</f>
        <v>7.9511307777134742E-3</v>
      </c>
      <c r="BW445" s="80">
        <f>IFERROR(VLOOKUP($H445,'1. Set Program Names'!$B$2:$D$15,3,0)*W445,"NA")</f>
        <v>1.8182900673447907E-2</v>
      </c>
      <c r="BX445" s="80">
        <f>IFERROR(VLOOKUP($H445,'1. Set Program Names'!$B$2:$D$15,3,0)*X445,"NA")</f>
        <v>3.103603363091852E-2</v>
      </c>
      <c r="BY445" s="80">
        <f>IFERROR(VLOOKUP($H445,'1. Set Program Names'!$B$2:$D$15,3,0)*Y445,"NA")</f>
        <v>4.6837440780953338E-2</v>
      </c>
      <c r="BZ445" s="80">
        <f>IFERROR(VLOOKUP($H445,'1. Set Program Names'!$B$2:$D$15,3,0)*Z445,"NA")</f>
        <v>6.5755230420876845E-2</v>
      </c>
      <c r="CA445" s="80">
        <f>IFERROR(VLOOKUP($H445,'1. Set Program Names'!$B$2:$D$15,3,0)*AA445,"NA")</f>
        <v>8.7690347800896046E-2</v>
      </c>
      <c r="CB445" s="80">
        <f>IFERROR(VLOOKUP($H445,'1. Set Program Names'!$B$2:$D$15,3,0)*AB445,"NA")</f>
        <v>0.11222427509911316</v>
      </c>
      <c r="CC445" s="80">
        <f>IFERROR(VLOOKUP($H445,'1. Set Program Names'!$B$2:$D$15,3,0)*AC445,"NA")</f>
        <v>0.13862427055825724</v>
      </c>
      <c r="CD445" s="80">
        <f>IFERROR(VLOOKUP($H445,'1. Set Program Names'!$B$2:$D$15,3,0)*AD445,"NA")</f>
        <v>0.16583084737115694</v>
      </c>
      <c r="CE445" s="80">
        <f>IFERROR(VLOOKUP($H445,'1. Set Program Names'!$B$2:$D$15,3,0)*AE445,"NA")</f>
        <v>0.19255170727011547</v>
      </c>
    </row>
    <row r="446" spans="1:83" x14ac:dyDescent="0.25">
      <c r="A446" s="79" t="s">
        <v>115</v>
      </c>
      <c r="B446" s="79" t="s">
        <v>88</v>
      </c>
      <c r="C446" s="79" t="s">
        <v>122</v>
      </c>
      <c r="D446" s="79" t="s">
        <v>90</v>
      </c>
      <c r="E446" s="79" t="s">
        <v>91</v>
      </c>
      <c r="F446" s="79" t="s">
        <v>90</v>
      </c>
      <c r="G446" s="79" t="s">
        <v>92</v>
      </c>
      <c r="H446" s="79" t="s">
        <v>18</v>
      </c>
      <c r="I446" s="79" t="s">
        <v>172</v>
      </c>
      <c r="J446" s="79" t="s">
        <v>144</v>
      </c>
      <c r="K446" s="79" t="s">
        <v>102</v>
      </c>
      <c r="L446" s="79">
        <v>18085.229999999901</v>
      </c>
      <c r="M446" s="79">
        <v>0.84213537152598805</v>
      </c>
      <c r="N446" s="79">
        <v>1.2419142635526399</v>
      </c>
      <c r="O446" s="79">
        <v>5343.87</v>
      </c>
      <c r="P446" s="79">
        <v>2505.3610009054501</v>
      </c>
      <c r="Q446" s="79">
        <v>572.36490674214201</v>
      </c>
      <c r="R446" s="79">
        <v>7297.3054636159204</v>
      </c>
      <c r="S446" s="79">
        <v>27879.9715993795</v>
      </c>
      <c r="T446" s="79">
        <v>30</v>
      </c>
      <c r="U446" s="79">
        <v>1</v>
      </c>
      <c r="V446" s="79">
        <f>tbl_Data_old[[#This Row],[2025 ]]*IFERROR(AVERAGEIFS('Participation Adjustment'!$C:$C,'Participation Adjustment'!$A:$A,$H446,'Participation Adjustment'!$B:$B,$I446),1)</f>
        <v>4.64269449999132</v>
      </c>
      <c r="W446" s="79">
        <f>tbl_Data_old[[#This Row],[2026 ]]*IFERROR(AVERAGEIFS('Participation Adjustment'!$C:$C,'Participation Adjustment'!$A:$A,$H446,'Participation Adjustment'!$B:$B,$I446),1)</f>
        <v>11.035883263640001</v>
      </c>
      <c r="X446" s="79">
        <f>tbl_Data_old[[#This Row],[2027 ]]*IFERROR(AVERAGEIFS('Participation Adjustment'!$C:$C,'Participation Adjustment'!$A:$A,$H446,'Participation Adjustment'!$B:$B,$I446),1)</f>
        <v>19.5705159257835</v>
      </c>
      <c r="Y446" s="79">
        <f>tbl_Data_old[[#This Row],[2028 ]]*IFERROR(AVERAGEIFS('Participation Adjustment'!$C:$C,'Participation Adjustment'!$A:$A,$H446,'Participation Adjustment'!$B:$B,$I446),1)</f>
        <v>30.620959986177699</v>
      </c>
      <c r="Z446" s="79">
        <f>tbl_Data_old[[#This Row],[2029 ]]*IFERROR(AVERAGEIFS('Participation Adjustment'!$C:$C,'Participation Adjustment'!$A:$A,$H446,'Participation Adjustment'!$B:$B,$I446),1)</f>
        <v>44.362782751453601</v>
      </c>
      <c r="AA446" s="79">
        <f>tbl_Data_old[[#This Row],[2030 ]]*IFERROR(AVERAGEIFS('Participation Adjustment'!$C:$C,'Participation Adjustment'!$A:$A,$H446,'Participation Adjustment'!$B:$B,$I446),1)</f>
        <v>60.541422493674197</v>
      </c>
      <c r="AB446" s="79">
        <f>tbl_Data_old[[#This Row],[2031 ]]*IFERROR(AVERAGEIFS('Participation Adjustment'!$C:$C,'Participation Adjustment'!$A:$A,$H446,'Participation Adjustment'!$B:$B,$I446),1)</f>
        <v>78.350924412017406</v>
      </c>
      <c r="AC446" s="79">
        <f>tbl_Data_old[[#This Row],[2032 ]]*IFERROR(AVERAGEIFS('Participation Adjustment'!$C:$C,'Participation Adjustment'!$A:$A,$H446,'Participation Adjustment'!$B:$B,$I446),1)</f>
        <v>96.453458182630499</v>
      </c>
      <c r="AD446" s="79">
        <f>tbl_Data_old[[#This Row],[2033 ]]*IFERROR(AVERAGEIFS('Participation Adjustment'!$C:$C,'Participation Adjustment'!$A:$A,$H446,'Participation Adjustment'!$B:$B,$I446),1)</f>
        <v>113.227748579414</v>
      </c>
      <c r="AE446" s="79">
        <f>tbl_Data_old[[#This Row],[2034 ]]*IFERROR(AVERAGEIFS('Participation Adjustment'!$C:$C,'Participation Adjustment'!$A:$A,$H446,'Participation Adjustment'!$B:$B,$I446),1)</f>
        <v>127.324656656557</v>
      </c>
      <c r="AF446" s="77" t="str">
        <f t="shared" si="176"/>
        <v>NonResidential</v>
      </c>
      <c r="AG446" s="77" t="str">
        <f>tbl_Data[[#This Row],[All_Meas_Name_Append]]</f>
        <v>Drain water heat recovery</v>
      </c>
      <c r="AH446" s="77">
        <f>AVERAGEIFS('3. Incentive Adjustment'!G:G,'3. Incentive Adjustment'!A:A,tbl_Data[[#This Row],[Trimmed Sector]],'3. Incentive Adjustment'!B:B,tbl_Data[[#This Row],[Trimmed Measure Name]])</f>
        <v>0.69383814414313949</v>
      </c>
      <c r="AI446" s="77">
        <f>$AH446*tbl_Data[[#This Row],[2025 ]]</f>
        <v>3.2212785356975382</v>
      </c>
      <c r="AJ446" s="77">
        <f>$AH446*tbl_Data[[#This Row],[2026 ]]</f>
        <v>7.6571167626243115</v>
      </c>
      <c r="AK446" s="77">
        <f>$AH446*tbl_Data[[#This Row],[2027 ]]</f>
        <v>13.57877044986938</v>
      </c>
      <c r="AL446" s="77">
        <f>$AH446*tbl_Data[[#This Row],[2028 ]]</f>
        <v>21.245990048690867</v>
      </c>
      <c r="AM446" s="77">
        <f>$AH446*tbl_Data[[#This Row],[2029 ]]</f>
        <v>30.780590853293845</v>
      </c>
      <c r="AN446" s="77">
        <f>$AH446*tbl_Data[[#This Row],[2030 ]]</f>
        <v>42.005948226796626</v>
      </c>
      <c r="AO446" s="77">
        <f>$AH446*tbl_Data[[#This Row],[2031 ]]</f>
        <v>54.362859985933561</v>
      </c>
      <c r="AP446" s="77">
        <f>$AH446*tbl_Data[[#This Row],[2032 ]]</f>
        <v>66.923088421624257</v>
      </c>
      <c r="AQ446" s="77">
        <f>$AH446*tbl_Data[[#This Row],[2033 ]]</f>
        <v>78.561730939846612</v>
      </c>
      <c r="AR446" s="77">
        <f>$AH446*tbl_Data[[#This Row],[2034 ]]</f>
        <v>88.342703478247941</v>
      </c>
      <c r="AS446" s="77">
        <f>SUM(tbl_Data[[#This Row],[Adjusted 2025]:[Adjusted 2034]])</f>
        <v>406.68007770262494</v>
      </c>
      <c r="AT446" s="80">
        <f>AVERAGEIFS('3. Incentive Adjustment'!F:F,'3. Incentive Adjustment'!A:A,tbl_Data[[#This Row],[Trimmed Sector]],'3. Incentive Adjustment'!B:B,tbl_Data[[#This Row],[Trimmed Measure Name]])</f>
        <v>0</v>
      </c>
      <c r="AU446" s="80">
        <f>IFERROR(VLOOKUP(tbl_Data[[#This Row],[All_Meas_Name_Append]],'IRA Tax Credits'!$A$3:$D$46,4,0),0)</f>
        <v>0</v>
      </c>
      <c r="AV446" s="81">
        <f>tbl_Data[[#This Row],[Adj. per unit Incentive ($)]]/tbl_Data[[#This Row],[kWh Savings]]*tbl_Data[[#This Row],[Sum of Annuals]]</f>
        <v>0</v>
      </c>
      <c r="AW446" s="81">
        <f>IFERROR(VLOOKUP(tbl_Data[[#This Row],[Column1]],'1. Set Program Names'!$B$2:$D$15,3,0)*tbl_Data[[#This Row],[Sum of Annuals]],"")</f>
        <v>12.870690875822479</v>
      </c>
      <c r="AX446" s="81">
        <f>tbl_Data[[#This Row],[per unit IRA tax ($)]]/tbl_Data[[#This Row],[kWh Savings]]*tbl_Data[[#This Row],[Sum of Annuals]]</f>
        <v>0</v>
      </c>
      <c r="AY446" s="81">
        <f>tbl_Data[[#This Row],[Avoided Costs ($/unit)]]/tbl_Data[[#This Row],[kWh Savings]]*tbl_Data[[#This Row],[Sum of Annuals]]</f>
        <v>164.09350353648409</v>
      </c>
      <c r="AZ446" s="81">
        <f>tbl_Data[[#This Row],[Lost Revenue ($/unit)]]/tbl_Data[[#This Row],[kWh Savings]]*tbl_Data[[#This Row],[Sum of Annuals]]</f>
        <v>626.93308386914032</v>
      </c>
      <c r="BA446" s="81">
        <f>tbl_Data[[#This Row],[Incremental Cost ($/unit)]]/tbl_Data[[#This Row],[kWh Savings]]*tbl_Data[[#This Row],[Sum of Annuals]]</f>
        <v>120.16686914309291</v>
      </c>
      <c r="BB446" s="77">
        <f>ROUNDUP(tbl_Data[[#This Row],[Adjusted 2025]]/$L446,0)</f>
        <v>1</v>
      </c>
      <c r="BC446" s="77">
        <f>ROUNDUP(tbl_Data[[#This Row],[Adjusted 2026]]/$L446,0)</f>
        <v>1</v>
      </c>
      <c r="BD446" s="77">
        <f>ROUNDUP(tbl_Data[[#This Row],[Adjusted 2027]]/$L446,0)</f>
        <v>1</v>
      </c>
      <c r="BE446" s="77">
        <f>ROUNDUP(tbl_Data[[#This Row],[Adjusted 2028]]/$L446,0)</f>
        <v>1</v>
      </c>
      <c r="BF446" s="77">
        <f>ROUNDUP(tbl_Data[[#This Row],[Adjusted 2029]]/$L446,0)</f>
        <v>1</v>
      </c>
      <c r="BG446" s="77">
        <f>ROUNDUP(tbl_Data[[#This Row],[Adjusted 2030]]/$L446,0)</f>
        <v>1</v>
      </c>
      <c r="BH446" s="77">
        <f>ROUNDUP(tbl_Data[[#This Row],[Adjusted 2031]]/$L446,0)</f>
        <v>1</v>
      </c>
      <c r="BI446" s="77">
        <f>ROUNDUP(tbl_Data[[#This Row],[Adjusted 2032]]/$L446,0)</f>
        <v>1</v>
      </c>
      <c r="BJ446" s="77">
        <f>ROUNDUP(tbl_Data[[#This Row],[Adjusted 2033]]/$L446,0)</f>
        <v>1</v>
      </c>
      <c r="BK446" s="77">
        <f>ROUNDUP(tbl_Data[[#This Row],[Adjusted 2034]]/$L446,0)</f>
        <v>1</v>
      </c>
      <c r="BL446" s="80">
        <f t="shared" si="177"/>
        <v>0</v>
      </c>
      <c r="BM446" s="80">
        <f t="shared" si="178"/>
        <v>0</v>
      </c>
      <c r="BN446" s="80">
        <f t="shared" si="179"/>
        <v>0</v>
      </c>
      <c r="BO446" s="80">
        <f t="shared" si="180"/>
        <v>0</v>
      </c>
      <c r="BP446" s="80">
        <f t="shared" si="181"/>
        <v>0</v>
      </c>
      <c r="BQ446" s="80">
        <f t="shared" si="182"/>
        <v>0</v>
      </c>
      <c r="BR446" s="80">
        <f t="shared" si="183"/>
        <v>0</v>
      </c>
      <c r="BS446" s="80">
        <f t="shared" si="184"/>
        <v>0</v>
      </c>
      <c r="BT446" s="80">
        <f t="shared" si="185"/>
        <v>0</v>
      </c>
      <c r="BU446" s="80">
        <f t="shared" si="186"/>
        <v>0</v>
      </c>
      <c r="BV446" s="80">
        <f>IFERROR(VLOOKUP($H446,'1. Set Program Names'!$B$2:$D$15,3,0)*V446,"NA")</f>
        <v>0.14693290627322952</v>
      </c>
      <c r="BW446" s="80">
        <f>IFERROR(VLOOKUP($H446,'1. Set Program Names'!$B$2:$D$15,3,0)*W446,"NA")</f>
        <v>0.34926579838965283</v>
      </c>
      <c r="BX446" s="80">
        <f>IFERROR(VLOOKUP($H446,'1. Set Program Names'!$B$2:$D$15,3,0)*X446,"NA")</f>
        <v>0.61937152708352206</v>
      </c>
      <c r="BY446" s="80">
        <f>IFERROR(VLOOKUP($H446,'1. Set Program Names'!$B$2:$D$15,3,0)*Y446,"NA")</f>
        <v>0.96909814842518094</v>
      </c>
      <c r="BZ446" s="80">
        <f>IFERROR(VLOOKUP($H446,'1. Set Program Names'!$B$2:$D$15,3,0)*Z446,"NA")</f>
        <v>1.4040020509751745</v>
      </c>
      <c r="CA446" s="80">
        <f>IFERROR(VLOOKUP($H446,'1. Set Program Names'!$B$2:$D$15,3,0)*AA446,"NA")</f>
        <v>1.9160268152314677</v>
      </c>
      <c r="CB446" s="80">
        <f>IFERROR(VLOOKUP($H446,'1. Set Program Names'!$B$2:$D$15,3,0)*AB446,"NA")</f>
        <v>2.4796654255569406</v>
      </c>
      <c r="CC446" s="80">
        <f>IFERROR(VLOOKUP($H446,'1. Set Program Names'!$B$2:$D$15,3,0)*AC446,"NA")</f>
        <v>3.0525779654258547</v>
      </c>
      <c r="CD446" s="80">
        <f>IFERROR(VLOOKUP($H446,'1. Set Program Names'!$B$2:$D$15,3,0)*AD446,"NA")</f>
        <v>3.5834539984439937</v>
      </c>
      <c r="CE446" s="80">
        <f>IFERROR(VLOOKUP($H446,'1. Set Program Names'!$B$2:$D$15,3,0)*AE446,"NA")</f>
        <v>4.0295957105995228</v>
      </c>
    </row>
    <row r="447" spans="1:83" x14ac:dyDescent="0.25">
      <c r="A447" s="79" t="s">
        <v>115</v>
      </c>
      <c r="B447" s="79" t="s">
        <v>88</v>
      </c>
      <c r="C447" s="79" t="s">
        <v>122</v>
      </c>
      <c r="D447" s="79" t="s">
        <v>90</v>
      </c>
      <c r="E447" s="79" t="s">
        <v>91</v>
      </c>
      <c r="F447" s="79" t="s">
        <v>90</v>
      </c>
      <c r="G447" s="79" t="s">
        <v>92</v>
      </c>
      <c r="H447" s="79" t="s">
        <v>18</v>
      </c>
      <c r="I447" s="79" t="s">
        <v>133</v>
      </c>
      <c r="J447" s="79" t="s">
        <v>134</v>
      </c>
      <c r="K447" s="79" t="s">
        <v>98</v>
      </c>
      <c r="L447" s="79">
        <v>4486</v>
      </c>
      <c r="M447" s="79">
        <v>0.89185722946849999</v>
      </c>
      <c r="N447" s="79">
        <v>0.84310494165890204</v>
      </c>
      <c r="O447" s="79">
        <v>2050</v>
      </c>
      <c r="P447" s="79">
        <v>1127.1986160539</v>
      </c>
      <c r="Q447" s="79">
        <v>141.97380799941499</v>
      </c>
      <c r="R447" s="79">
        <v>2297.8137992477</v>
      </c>
      <c r="S447" s="79">
        <v>5757.3247860621796</v>
      </c>
      <c r="T447" s="79">
        <v>20</v>
      </c>
      <c r="U447" s="79">
        <v>1</v>
      </c>
      <c r="V447" s="79">
        <f>tbl_Data_old[[#This Row],[2025 ]]*IFERROR(AVERAGEIFS('Participation Adjustment'!$C:$C,'Participation Adjustment'!$A:$A,$H447,'Participation Adjustment'!$B:$B,$I447),1)</f>
        <v>10.066411241017301</v>
      </c>
      <c r="W447" s="79">
        <f>tbl_Data_old[[#This Row],[2026 ]]*IFERROR(AVERAGEIFS('Participation Adjustment'!$C:$C,'Participation Adjustment'!$A:$A,$H447,'Participation Adjustment'!$B:$B,$I447),1)</f>
        <v>23.084241707254499</v>
      </c>
      <c r="X447" s="79">
        <f>tbl_Data_old[[#This Row],[2027 ]]*IFERROR(AVERAGEIFS('Participation Adjustment'!$C:$C,'Participation Adjustment'!$A:$A,$H447,'Participation Adjustment'!$B:$B,$I447),1)</f>
        <v>39.5516342161851</v>
      </c>
      <c r="Y447" s="79">
        <f>tbl_Data_old[[#This Row],[2028 ]]*IFERROR(AVERAGEIFS('Participation Adjustment'!$C:$C,'Participation Adjustment'!$A:$A,$H447,'Participation Adjustment'!$B:$B,$I447),1)</f>
        <v>59.978766630510101</v>
      </c>
      <c r="Z447" s="79">
        <f>tbl_Data_old[[#This Row],[2029 ]]*IFERROR(AVERAGEIFS('Participation Adjustment'!$C:$C,'Participation Adjustment'!$A:$A,$H447,'Participation Adjustment'!$B:$B,$I447),1)</f>
        <v>84.702854190130097</v>
      </c>
      <c r="AA447" s="79">
        <f>tbl_Data_old[[#This Row],[2030 ]]*IFERROR(AVERAGEIFS('Participation Adjustment'!$C:$C,'Participation Adjustment'!$A:$A,$H447,'Participation Adjustment'!$B:$B,$I447),1)</f>
        <v>113.741179046513</v>
      </c>
      <c r="AB447" s="79">
        <f>tbl_Data_old[[#This Row],[2031 ]]*IFERROR(AVERAGEIFS('Participation Adjustment'!$C:$C,'Participation Adjustment'!$A:$A,$H447,'Participation Adjustment'!$B:$B,$I447),1)</f>
        <v>146.69853081140701</v>
      </c>
      <c r="AC447" s="79">
        <f>tbl_Data_old[[#This Row],[2032 ]]*IFERROR(AVERAGEIFS('Participation Adjustment'!$C:$C,'Participation Adjustment'!$A:$A,$H447,'Participation Adjustment'!$B:$B,$I447),1)</f>
        <v>182.741128701587</v>
      </c>
      <c r="AD447" s="79">
        <f>tbl_Data_old[[#This Row],[2033 ]]*IFERROR(AVERAGEIFS('Participation Adjustment'!$C:$C,'Participation Adjustment'!$A:$A,$H447,'Participation Adjustment'!$B:$B,$I447),1)</f>
        <v>220.539296989371</v>
      </c>
      <c r="AE447" s="79">
        <f>tbl_Data_old[[#This Row],[2034 ]]*IFERROR(AVERAGEIFS('Participation Adjustment'!$C:$C,'Participation Adjustment'!$A:$A,$H447,'Participation Adjustment'!$B:$B,$I447),1)</f>
        <v>258.35263871126102</v>
      </c>
      <c r="AF447" s="77" t="str">
        <f t="shared" si="176"/>
        <v>NonResidential</v>
      </c>
      <c r="AG447" s="77" t="str">
        <f>tbl_Data[[#This Row],[All_Meas_Name_Append]]</f>
        <v>Efficient Exhaust Hood</v>
      </c>
      <c r="AH447" s="77">
        <f>AVERAGEIFS('3. Incentive Adjustment'!G:G,'3. Incentive Adjustment'!A:A,tbl_Data[[#This Row],[Trimmed Sector]],'3. Incentive Adjustment'!B:B,tbl_Data[[#This Row],[Trimmed Measure Name]])</f>
        <v>0.51531219842413434</v>
      </c>
      <c r="AI447" s="77">
        <f>$AH447*tbl_Data[[#This Row],[2025 ]]</f>
        <v>5.1873445068500441</v>
      </c>
      <c r="AJ447" s="77">
        <f>$AH447*tbl_Data[[#This Row],[2026 ]]</f>
        <v>11.895591343119408</v>
      </c>
      <c r="AK447" s="77">
        <f>$AH447*tbl_Data[[#This Row],[2027 ]]</f>
        <v>20.381439579209559</v>
      </c>
      <c r="AL447" s="77">
        <f>$AH447*tbl_Data[[#This Row],[2028 ]]</f>
        <v>30.907790091136267</v>
      </c>
      <c r="AM447" s="77">
        <f>$AH447*tbl_Data[[#This Row],[2029 ]]</f>
        <v>43.648414005514837</v>
      </c>
      <c r="AN447" s="77">
        <f>$AH447*tbl_Data[[#This Row],[2030 ]]</f>
        <v>58.612217025811695</v>
      </c>
      <c r="AO447" s="77">
        <f>$AH447*tbl_Data[[#This Row],[2031 ]]</f>
        <v>75.595542418016748</v>
      </c>
      <c r="AP447" s="77">
        <f>$AH447*tbl_Data[[#This Row],[2032 ]]</f>
        <v>94.168732773722468</v>
      </c>
      <c r="AQ447" s="77">
        <f>$AH447*tbl_Data[[#This Row],[2033 ]]</f>
        <v>113.64658997050584</v>
      </c>
      <c r="AR447" s="77">
        <f>$AH447*tbl_Data[[#This Row],[2034 ]]</f>
        <v>133.13226622297603</v>
      </c>
      <c r="AS447" s="77">
        <f>SUM(tbl_Data[[#This Row],[Adjusted 2025]:[Adjusted 2034]])</f>
        <v>587.17592793686288</v>
      </c>
      <c r="AT447" s="80">
        <f>AVERAGEIFS('3. Incentive Adjustment'!F:F,'3. Incentive Adjustment'!A:A,tbl_Data[[#This Row],[Trimmed Sector]],'3. Incentive Adjustment'!B:B,tbl_Data[[#This Row],[Trimmed Measure Name]])</f>
        <v>0</v>
      </c>
      <c r="AU447" s="80">
        <f>IFERROR(VLOOKUP(tbl_Data[[#This Row],[All_Meas_Name_Append]],'IRA Tax Credits'!$A$3:$D$46,4,0),0)</f>
        <v>0</v>
      </c>
      <c r="AV447" s="81">
        <f>tbl_Data[[#This Row],[Adj. per unit Incentive ($)]]/tbl_Data[[#This Row],[kWh Savings]]*tbl_Data[[#This Row],[Sum of Annuals]]</f>
        <v>0</v>
      </c>
      <c r="AW447" s="81">
        <f>IFERROR(VLOOKUP(tbl_Data[[#This Row],[Column1]],'1. Set Program Names'!$B$2:$D$15,3,0)*tbl_Data[[#This Row],[Sum of Annuals]],"")</f>
        <v>18.583058951133861</v>
      </c>
      <c r="AX447" s="81">
        <f>tbl_Data[[#This Row],[per unit IRA tax ($)]]/tbl_Data[[#This Row],[kWh Savings]]*tbl_Data[[#This Row],[Sum of Annuals]]</f>
        <v>0</v>
      </c>
      <c r="AY447" s="81">
        <f>tbl_Data[[#This Row],[Avoided Costs ($/unit)]]/tbl_Data[[#This Row],[kWh Savings]]*tbl_Data[[#This Row],[Sum of Annuals]]</f>
        <v>300.76258354868406</v>
      </c>
      <c r="AZ447" s="81">
        <f>tbl_Data[[#This Row],[Lost Revenue ($/unit)]]/tbl_Data[[#This Row],[kWh Savings]]*tbl_Data[[#This Row],[Sum of Annuals]]</f>
        <v>753.58058932009828</v>
      </c>
      <c r="BA447" s="81">
        <f>tbl_Data[[#This Row],[Incremental Cost ($/unit)]]/tbl_Data[[#This Row],[kWh Savings]]*tbl_Data[[#This Row],[Sum of Annuals]]</f>
        <v>268.32604821011347</v>
      </c>
      <c r="BB447" s="77">
        <f>ROUNDUP(tbl_Data[[#This Row],[Adjusted 2025]]/$L447,0)</f>
        <v>1</v>
      </c>
      <c r="BC447" s="77">
        <f>ROUNDUP(tbl_Data[[#This Row],[Adjusted 2026]]/$L447,0)</f>
        <v>1</v>
      </c>
      <c r="BD447" s="77">
        <f>ROUNDUP(tbl_Data[[#This Row],[Adjusted 2027]]/$L447,0)</f>
        <v>1</v>
      </c>
      <c r="BE447" s="77">
        <f>ROUNDUP(tbl_Data[[#This Row],[Adjusted 2028]]/$L447,0)</f>
        <v>1</v>
      </c>
      <c r="BF447" s="77">
        <f>ROUNDUP(tbl_Data[[#This Row],[Adjusted 2029]]/$L447,0)</f>
        <v>1</v>
      </c>
      <c r="BG447" s="77">
        <f>ROUNDUP(tbl_Data[[#This Row],[Adjusted 2030]]/$L447,0)</f>
        <v>1</v>
      </c>
      <c r="BH447" s="77">
        <f>ROUNDUP(tbl_Data[[#This Row],[Adjusted 2031]]/$L447,0)</f>
        <v>1</v>
      </c>
      <c r="BI447" s="77">
        <f>ROUNDUP(tbl_Data[[#This Row],[Adjusted 2032]]/$L447,0)</f>
        <v>1</v>
      </c>
      <c r="BJ447" s="77">
        <f>ROUNDUP(tbl_Data[[#This Row],[Adjusted 2033]]/$L447,0)</f>
        <v>1</v>
      </c>
      <c r="BK447" s="77">
        <f>ROUNDUP(tbl_Data[[#This Row],[Adjusted 2034]]/$L447,0)</f>
        <v>1</v>
      </c>
      <c r="BL447" s="80">
        <f t="shared" si="177"/>
        <v>0</v>
      </c>
      <c r="BM447" s="80">
        <f t="shared" si="178"/>
        <v>0</v>
      </c>
      <c r="BN447" s="80">
        <f t="shared" si="179"/>
        <v>0</v>
      </c>
      <c r="BO447" s="80">
        <f t="shared" si="180"/>
        <v>0</v>
      </c>
      <c r="BP447" s="80">
        <f t="shared" si="181"/>
        <v>0</v>
      </c>
      <c r="BQ447" s="80">
        <f t="shared" si="182"/>
        <v>0</v>
      </c>
      <c r="BR447" s="80">
        <f t="shared" si="183"/>
        <v>0</v>
      </c>
      <c r="BS447" s="80">
        <f t="shared" si="184"/>
        <v>0</v>
      </c>
      <c r="BT447" s="80">
        <f t="shared" si="185"/>
        <v>0</v>
      </c>
      <c r="BU447" s="80">
        <f t="shared" si="186"/>
        <v>0</v>
      </c>
      <c r="BV447" s="80">
        <f>IFERROR(VLOOKUP($H447,'1. Set Program Names'!$B$2:$D$15,3,0)*V447,"NA")</f>
        <v>0.31858375764051339</v>
      </c>
      <c r="BW447" s="80">
        <f>IFERROR(VLOOKUP($H447,'1. Set Program Names'!$B$2:$D$15,3,0)*W447,"NA")</f>
        <v>0.73057460988806011</v>
      </c>
      <c r="BX447" s="80">
        <f>IFERROR(VLOOKUP($H447,'1. Set Program Names'!$B$2:$D$15,3,0)*X447,"NA")</f>
        <v>1.2517378783485857</v>
      </c>
      <c r="BY447" s="80">
        <f>IFERROR(VLOOKUP($H447,'1. Set Program Names'!$B$2:$D$15,3,0)*Y447,"NA")</f>
        <v>1.8982197721002585</v>
      </c>
      <c r="BZ447" s="80">
        <f>IFERROR(VLOOKUP($H447,'1. Set Program Names'!$B$2:$D$15,3,0)*Z447,"NA")</f>
        <v>2.6806925452055226</v>
      </c>
      <c r="CA447" s="80">
        <f>IFERROR(VLOOKUP($H447,'1. Set Program Names'!$B$2:$D$15,3,0)*AA447,"NA")</f>
        <v>3.5997031465841998</v>
      </c>
      <c r="CB447" s="80">
        <f>IFERROR(VLOOKUP($H447,'1. Set Program Names'!$B$2:$D$15,3,0)*AB447,"NA")</f>
        <v>4.6427438803421675</v>
      </c>
      <c r="CC447" s="80">
        <f>IFERROR(VLOOKUP($H447,'1. Set Program Names'!$B$2:$D$15,3,0)*AC447,"NA")</f>
        <v>5.7834270886927097</v>
      </c>
      <c r="CD447" s="80">
        <f>IFERROR(VLOOKUP($H447,'1. Set Program Names'!$B$2:$D$15,3,0)*AD447,"NA")</f>
        <v>6.979670933369353</v>
      </c>
      <c r="CE447" s="80">
        <f>IFERROR(VLOOKUP($H447,'1. Set Program Names'!$B$2:$D$15,3,0)*AE447,"NA")</f>
        <v>8.1763949898650914</v>
      </c>
    </row>
    <row r="448" spans="1:83" x14ac:dyDescent="0.25">
      <c r="A448" s="79" t="s">
        <v>115</v>
      </c>
      <c r="B448" s="79" t="s">
        <v>88</v>
      </c>
      <c r="C448" s="79" t="s">
        <v>122</v>
      </c>
      <c r="D448" s="79" t="s">
        <v>90</v>
      </c>
      <c r="E448" s="79" t="s">
        <v>91</v>
      </c>
      <c r="F448" s="79" t="s">
        <v>90</v>
      </c>
      <c r="G448" s="79" t="s">
        <v>92</v>
      </c>
      <c r="H448" s="79" t="s">
        <v>18</v>
      </c>
      <c r="I448" s="79" t="s">
        <v>173</v>
      </c>
      <c r="J448" s="79" t="s">
        <v>129</v>
      </c>
      <c r="K448" s="79" t="s">
        <v>130</v>
      </c>
      <c r="L448" s="79">
        <v>142641.03499999901</v>
      </c>
      <c r="M448" s="79">
        <v>27.8398087391258</v>
      </c>
      <c r="N448" s="79">
        <v>0</v>
      </c>
      <c r="O448" s="79">
        <v>59303.302436563899</v>
      </c>
      <c r="P448" s="79">
        <v>29333.7078862829</v>
      </c>
      <c r="Q448" s="79">
        <v>4514.3314569611503</v>
      </c>
      <c r="R448" s="79">
        <v>66617.989682832806</v>
      </c>
      <c r="S448" s="79">
        <v>154925.29091738301</v>
      </c>
      <c r="T448" s="79">
        <v>15</v>
      </c>
      <c r="U448" s="79">
        <v>1</v>
      </c>
      <c r="V448" s="79">
        <f>tbl_Data_old[[#This Row],[2025 ]]*IFERROR(AVERAGEIFS('Participation Adjustment'!$C:$C,'Participation Adjustment'!$A:$A,$H448,'Participation Adjustment'!$B:$B,$I448),1)</f>
        <v>2.0291717951960199E-2</v>
      </c>
      <c r="W448" s="79">
        <f>tbl_Data_old[[#This Row],[2026 ]]*IFERROR(AVERAGEIFS('Participation Adjustment'!$C:$C,'Participation Adjustment'!$A:$A,$H448,'Participation Adjustment'!$B:$B,$I448),1)</f>
        <v>4.7761747948677803E-2</v>
      </c>
      <c r="X448" s="79">
        <f>tbl_Data_old[[#This Row],[2027 ]]*IFERROR(AVERAGEIFS('Participation Adjustment'!$C:$C,'Participation Adjustment'!$A:$A,$H448,'Participation Adjustment'!$B:$B,$I448),1)</f>
        <v>8.3957442082006506E-2</v>
      </c>
      <c r="Y448" s="79">
        <f>tbl_Data_old[[#This Row],[2028 ]]*IFERROR(AVERAGEIFS('Participation Adjustment'!$C:$C,'Participation Adjustment'!$A:$A,$H448,'Participation Adjustment'!$B:$B,$I448),1)</f>
        <v>0.130100031249722</v>
      </c>
      <c r="Z448" s="79">
        <f>tbl_Data_old[[#This Row],[2029 ]]*IFERROR(AVERAGEIFS('Participation Adjustment'!$C:$C,'Participation Adjustment'!$A:$A,$H448,'Participation Adjustment'!$B:$B,$I448),1)</f>
        <v>0.186490700123988</v>
      </c>
      <c r="AA448" s="79">
        <f>tbl_Data_old[[#This Row],[2030 ]]*IFERROR(AVERAGEIFS('Participation Adjustment'!$C:$C,'Participation Adjustment'!$A:$A,$H448,'Participation Adjustment'!$B:$B,$I448),1)</f>
        <v>0.25234555601407199</v>
      </c>
      <c r="AB448" s="79">
        <f>tbl_Data_old[[#This Row],[2031 ]]*IFERROR(AVERAGEIFS('Participation Adjustment'!$C:$C,'Participation Adjustment'!$A:$A,$H448,'Participation Adjustment'!$B:$B,$I448),1)</f>
        <v>0.32512393559106201</v>
      </c>
      <c r="AC448" s="79">
        <f>tbl_Data_old[[#This Row],[2032 ]]*IFERROR(AVERAGEIFS('Participation Adjustment'!$C:$C,'Participation Adjustment'!$A:$A,$H448,'Participation Adjustment'!$B:$B,$I448),1)</f>
        <v>0.40098233682746798</v>
      </c>
      <c r="AD448" s="79">
        <f>tbl_Data_old[[#This Row],[2033 ]]*IFERROR(AVERAGEIFS('Participation Adjustment'!$C:$C,'Participation Adjustment'!$A:$A,$H448,'Participation Adjustment'!$B:$B,$I448),1)</f>
        <v>0.475725581187599</v>
      </c>
      <c r="AE448" s="79">
        <f>tbl_Data_old[[#This Row],[2034 ]]*IFERROR(AVERAGEIFS('Participation Adjustment'!$C:$C,'Participation Adjustment'!$A:$A,$H448,'Participation Adjustment'!$B:$B,$I448),1)</f>
        <v>0.54530237035401596</v>
      </c>
      <c r="AF448" s="77" t="str">
        <f t="shared" si="176"/>
        <v>NonResidential</v>
      </c>
      <c r="AG448" s="77" t="str">
        <f>tbl_Data[[#This Row],[All_Meas_Name_Append]]</f>
        <v>Facility Energy Management System_SC</v>
      </c>
      <c r="AH448" s="77">
        <f>AVERAGEIFS('3. Incentive Adjustment'!G:G,'3. Incentive Adjustment'!A:A,tbl_Data[[#This Row],[Trimmed Sector]],'3. Incentive Adjustment'!B:B,tbl_Data[[#This Row],[Trimmed Measure Name]])</f>
        <v>0.86797534995247072</v>
      </c>
      <c r="AI448" s="77">
        <f>$AH448*tbl_Data[[#This Row],[2025 ]]</f>
        <v>1.7612710990489486E-2</v>
      </c>
      <c r="AJ448" s="77">
        <f>$AH448*tbl_Data[[#This Row],[2026 ]]</f>
        <v>4.1456019890095314E-2</v>
      </c>
      <c r="AK448" s="77">
        <f>$AH448*tbl_Data[[#This Row],[2027 ]]</f>
        <v>7.2872990172243884E-2</v>
      </c>
      <c r="AL448" s="77">
        <f>$AH448*tbl_Data[[#This Row],[2028 ]]</f>
        <v>0.11292362015280483</v>
      </c>
      <c r="AM448" s="77">
        <f>$AH448*tbl_Data[[#This Row],[2029 ]]</f>
        <v>0.16186933070299975</v>
      </c>
      <c r="AN448" s="77">
        <f>$AH448*tbl_Data[[#This Row],[2030 ]]</f>
        <v>0.21902972229026493</v>
      </c>
      <c r="AO448" s="77">
        <f>$AH448*tbl_Data[[#This Row],[2031 ]]</f>
        <v>0.2821995617725766</v>
      </c>
      <c r="AP448" s="77">
        <f>$AH448*tbl_Data[[#This Row],[2032 ]]</f>
        <v>0.348042784132581</v>
      </c>
      <c r="AQ448" s="77">
        <f>$AH448*tbl_Data[[#This Row],[2033 ]]</f>
        <v>0.41291807781264878</v>
      </c>
      <c r="AR448" s="77">
        <f>$AH448*tbl_Data[[#This Row],[2034 ]]</f>
        <v>0.47330901573793882</v>
      </c>
      <c r="AS448" s="77">
        <f>SUM(tbl_Data[[#This Row],[Adjusted 2025]:[Adjusted 2034]])</f>
        <v>2.1422338336546436</v>
      </c>
      <c r="AT448" s="80">
        <f>AVERAGEIFS('3. Incentive Adjustment'!F:F,'3. Incentive Adjustment'!A:A,tbl_Data[[#This Row],[Trimmed Sector]],'3. Incentive Adjustment'!B:B,tbl_Data[[#This Row],[Trimmed Measure Name]])</f>
        <v>21679.111511953593</v>
      </c>
      <c r="AU448" s="80">
        <f>IFERROR(VLOOKUP(tbl_Data[[#This Row],[All_Meas_Name_Append]],'IRA Tax Credits'!$A$3:$D$46,4,0),0)</f>
        <v>0</v>
      </c>
      <c r="AV448" s="81">
        <f>tbl_Data[[#This Row],[Adj. per unit Incentive ($)]]/tbl_Data[[#This Row],[kWh Savings]]*tbl_Data[[#This Row],[Sum of Annuals]]</f>
        <v>0.3255846129024455</v>
      </c>
      <c r="AW448" s="81">
        <f>IFERROR(VLOOKUP(tbl_Data[[#This Row],[Column1]],'1. Set Program Names'!$B$2:$D$15,3,0)*tbl_Data[[#This Row],[Sum of Annuals]],"")</f>
        <v>6.7797836600342193E-2</v>
      </c>
      <c r="AX448" s="81">
        <f>tbl_Data[[#This Row],[per unit IRA tax ($)]]/tbl_Data[[#This Row],[kWh Savings]]*tbl_Data[[#This Row],[Sum of Annuals]]</f>
        <v>0</v>
      </c>
      <c r="AY448" s="81">
        <f>tbl_Data[[#This Row],[Avoided Costs ($/unit)]]/tbl_Data[[#This Row],[kWh Savings]]*tbl_Data[[#This Row],[Sum of Annuals]]</f>
        <v>1.0004926803049445</v>
      </c>
      <c r="AZ448" s="81">
        <f>tbl_Data[[#This Row],[Lost Revenue ($/unit)]]/tbl_Data[[#This Row],[kWh Savings]]*tbl_Data[[#This Row],[Sum of Annuals]]</f>
        <v>2.3267231613399932</v>
      </c>
      <c r="BA448" s="81">
        <f>tbl_Data[[#This Row],[Incremental Cost ($/unit)]]/tbl_Data[[#This Row],[kWh Savings]]*tbl_Data[[#This Row],[Sum of Annuals]]</f>
        <v>0.89063810373404773</v>
      </c>
      <c r="BB448" s="77">
        <f>ROUNDUP(tbl_Data[[#This Row],[Adjusted 2025]]/$L448,0)</f>
        <v>1</v>
      </c>
      <c r="BC448" s="77">
        <f>ROUNDUP(tbl_Data[[#This Row],[Adjusted 2026]]/$L448,0)</f>
        <v>1</v>
      </c>
      <c r="BD448" s="77">
        <f>ROUNDUP(tbl_Data[[#This Row],[Adjusted 2027]]/$L448,0)</f>
        <v>1</v>
      </c>
      <c r="BE448" s="77">
        <f>ROUNDUP(tbl_Data[[#This Row],[Adjusted 2028]]/$L448,0)</f>
        <v>1</v>
      </c>
      <c r="BF448" s="77">
        <f>ROUNDUP(tbl_Data[[#This Row],[Adjusted 2029]]/$L448,0)</f>
        <v>1</v>
      </c>
      <c r="BG448" s="77">
        <f>ROUNDUP(tbl_Data[[#This Row],[Adjusted 2030]]/$L448,0)</f>
        <v>1</v>
      </c>
      <c r="BH448" s="77">
        <f>ROUNDUP(tbl_Data[[#This Row],[Adjusted 2031]]/$L448,0)</f>
        <v>1</v>
      </c>
      <c r="BI448" s="77">
        <f>ROUNDUP(tbl_Data[[#This Row],[Adjusted 2032]]/$L448,0)</f>
        <v>1</v>
      </c>
      <c r="BJ448" s="77">
        <f>ROUNDUP(tbl_Data[[#This Row],[Adjusted 2033]]/$L448,0)</f>
        <v>1</v>
      </c>
      <c r="BK448" s="77">
        <f>ROUNDUP(tbl_Data[[#This Row],[Adjusted 2034]]/$L448,0)</f>
        <v>1</v>
      </c>
      <c r="BL448" s="80">
        <f t="shared" si="177"/>
        <v>3.0840102656970957E-3</v>
      </c>
      <c r="BM448" s="80">
        <f t="shared" si="178"/>
        <v>7.2590069175059897E-3</v>
      </c>
      <c r="BN448" s="80">
        <f t="shared" si="179"/>
        <v>1.2760162243313902E-2</v>
      </c>
      <c r="BO448" s="80">
        <f t="shared" si="180"/>
        <v>1.9773083427019368E-2</v>
      </c>
      <c r="BP448" s="80">
        <f t="shared" si="181"/>
        <v>2.8343545627878129E-2</v>
      </c>
      <c r="BQ448" s="80">
        <f t="shared" si="182"/>
        <v>3.8352409938521799E-2</v>
      </c>
      <c r="BR448" s="80">
        <f t="shared" si="183"/>
        <v>4.9413536959290148E-2</v>
      </c>
      <c r="BS448" s="80">
        <f t="shared" si="184"/>
        <v>6.0942777051543925E-2</v>
      </c>
      <c r="BT448" s="80">
        <f t="shared" si="185"/>
        <v>7.2302531481596169E-2</v>
      </c>
      <c r="BU448" s="80">
        <f t="shared" si="186"/>
        <v>8.287706896292088E-2</v>
      </c>
      <c r="BV448" s="80">
        <f>IFERROR(VLOOKUP($H448,'1. Set Program Names'!$B$2:$D$15,3,0)*V448,"NA")</f>
        <v>6.4219627028307613E-4</v>
      </c>
      <c r="BW448" s="80">
        <f>IFERROR(VLOOKUP($H448,'1. Set Program Names'!$B$2:$D$15,3,0)*W448,"NA")</f>
        <v>1.5115731682973773E-3</v>
      </c>
      <c r="BX448" s="80">
        <f>IFERROR(VLOOKUP($H448,'1. Set Program Names'!$B$2:$D$15,3,0)*X448,"NA")</f>
        <v>2.6571015965833251E-3</v>
      </c>
      <c r="BY448" s="80">
        <f>IFERROR(VLOOKUP($H448,'1. Set Program Names'!$B$2:$D$15,3,0)*Y448,"NA")</f>
        <v>4.1174313101573611E-3</v>
      </c>
      <c r="BZ448" s="80">
        <f>IFERROR(VLOOKUP($H448,'1. Set Program Names'!$B$2:$D$15,3,0)*Z448,"NA")</f>
        <v>5.9020942606062303E-3</v>
      </c>
      <c r="CA448" s="80">
        <f>IFERROR(VLOOKUP($H448,'1. Set Program Names'!$B$2:$D$15,3,0)*AA448,"NA")</f>
        <v>7.9862816582807576E-3</v>
      </c>
      <c r="CB448" s="80">
        <f>IFERROR(VLOOKUP($H448,'1. Set Program Names'!$B$2:$D$15,3,0)*AB448,"NA")</f>
        <v>1.0289586091756488E-2</v>
      </c>
      <c r="CC448" s="80">
        <f>IFERROR(VLOOKUP($H448,'1. Set Program Names'!$B$2:$D$15,3,0)*AC448,"NA")</f>
        <v>1.2690367654904076E-2</v>
      </c>
      <c r="CD448" s="80">
        <f>IFERROR(VLOOKUP($H448,'1. Set Program Names'!$B$2:$D$15,3,0)*AD448,"NA")</f>
        <v>1.5055856514475767E-2</v>
      </c>
      <c r="CE448" s="80">
        <f>IFERROR(VLOOKUP($H448,'1. Set Program Names'!$B$2:$D$15,3,0)*AE448,"NA")</f>
        <v>1.7257836386595397E-2</v>
      </c>
    </row>
    <row r="449" spans="1:83" x14ac:dyDescent="0.25">
      <c r="A449" s="79" t="s">
        <v>115</v>
      </c>
      <c r="B449" s="79" t="s">
        <v>88</v>
      </c>
      <c r="C449" s="79" t="s">
        <v>122</v>
      </c>
      <c r="D449" s="79" t="s">
        <v>90</v>
      </c>
      <c r="E449" s="79" t="s">
        <v>91</v>
      </c>
      <c r="F449" s="79" t="s">
        <v>90</v>
      </c>
      <c r="G449" s="79" t="s">
        <v>92</v>
      </c>
      <c r="H449" s="79" t="s">
        <v>18</v>
      </c>
      <c r="I449" s="79" t="s">
        <v>174</v>
      </c>
      <c r="J449" s="79" t="s">
        <v>132</v>
      </c>
      <c r="K449" s="79" t="s">
        <v>130</v>
      </c>
      <c r="L449" s="79">
        <v>2657.18</v>
      </c>
      <c r="M449" s="79">
        <v>0</v>
      </c>
      <c r="N449" s="79">
        <v>0.57468805905447795</v>
      </c>
      <c r="O449" s="79">
        <v>1080.72711480357</v>
      </c>
      <c r="P449" s="79">
        <v>534.12671770284101</v>
      </c>
      <c r="Q449" s="79">
        <v>84.094953887624897</v>
      </c>
      <c r="R449" s="79">
        <v>1466.48739383472</v>
      </c>
      <c r="S449" s="79">
        <v>2886.0165275711402</v>
      </c>
      <c r="T449" s="79">
        <v>15</v>
      </c>
      <c r="U449" s="79">
        <v>1</v>
      </c>
      <c r="V449" s="79">
        <f>tbl_Data_old[[#This Row],[2025 ]]*IFERROR(AVERAGEIFS('Participation Adjustment'!$C:$C,'Participation Adjustment'!$A:$A,$H449,'Participation Adjustment'!$B:$B,$I449),1)</f>
        <v>0</v>
      </c>
      <c r="W449" s="79">
        <f>tbl_Data_old[[#This Row],[2026 ]]*IFERROR(AVERAGEIFS('Participation Adjustment'!$C:$C,'Participation Adjustment'!$A:$A,$H449,'Participation Adjustment'!$B:$B,$I449),1)</f>
        <v>0</v>
      </c>
      <c r="X449" s="79">
        <f>tbl_Data_old[[#This Row],[2027 ]]*IFERROR(AVERAGEIFS('Participation Adjustment'!$C:$C,'Participation Adjustment'!$A:$A,$H449,'Participation Adjustment'!$B:$B,$I449),1)</f>
        <v>0</v>
      </c>
      <c r="Y449" s="79">
        <f>tbl_Data_old[[#This Row],[2028 ]]*IFERROR(AVERAGEIFS('Participation Adjustment'!$C:$C,'Participation Adjustment'!$A:$A,$H449,'Participation Adjustment'!$B:$B,$I449),1)</f>
        <v>0</v>
      </c>
      <c r="Z449" s="79">
        <f>tbl_Data_old[[#This Row],[2029 ]]*IFERROR(AVERAGEIFS('Participation Adjustment'!$C:$C,'Participation Adjustment'!$A:$A,$H449,'Participation Adjustment'!$B:$B,$I449),1)</f>
        <v>0</v>
      </c>
      <c r="AA449" s="79">
        <f>tbl_Data_old[[#This Row],[2030 ]]*IFERROR(AVERAGEIFS('Participation Adjustment'!$C:$C,'Participation Adjustment'!$A:$A,$H449,'Participation Adjustment'!$B:$B,$I449),1)</f>
        <v>0</v>
      </c>
      <c r="AB449" s="79">
        <f>tbl_Data_old[[#This Row],[2031 ]]*IFERROR(AVERAGEIFS('Participation Adjustment'!$C:$C,'Participation Adjustment'!$A:$A,$H449,'Participation Adjustment'!$B:$B,$I449),1)</f>
        <v>0</v>
      </c>
      <c r="AC449" s="79">
        <f>tbl_Data_old[[#This Row],[2032 ]]*IFERROR(AVERAGEIFS('Participation Adjustment'!$C:$C,'Participation Adjustment'!$A:$A,$H449,'Participation Adjustment'!$B:$B,$I449),1)</f>
        <v>0</v>
      </c>
      <c r="AD449" s="79">
        <f>tbl_Data_old[[#This Row],[2033 ]]*IFERROR(AVERAGEIFS('Participation Adjustment'!$C:$C,'Participation Adjustment'!$A:$A,$H449,'Participation Adjustment'!$B:$B,$I449),1)</f>
        <v>0</v>
      </c>
      <c r="AE449" s="79">
        <f>tbl_Data_old[[#This Row],[2034 ]]*IFERROR(AVERAGEIFS('Participation Adjustment'!$C:$C,'Participation Adjustment'!$A:$A,$H449,'Participation Adjustment'!$B:$B,$I449),1)</f>
        <v>0</v>
      </c>
      <c r="AF449" s="77" t="str">
        <f t="shared" si="176"/>
        <v>NonResidential</v>
      </c>
      <c r="AG449" s="77" t="str">
        <f>tbl_Data[[#This Row],[All_Meas_Name_Append]]</f>
        <v>Facility Energy Management System_SH</v>
      </c>
      <c r="AH449" s="77">
        <f>AVERAGEIFS('3. Incentive Adjustment'!G:G,'3. Incentive Adjustment'!A:A,tbl_Data[[#This Row],[Trimmed Sector]],'3. Incentive Adjustment'!B:B,tbl_Data[[#This Row],[Trimmed Measure Name]])</f>
        <v>0.63685031373688805</v>
      </c>
      <c r="AI449" s="77">
        <f>$AH449*tbl_Data[[#This Row],[2025 ]]</f>
        <v>0</v>
      </c>
      <c r="AJ449" s="77">
        <f>$AH449*tbl_Data[[#This Row],[2026 ]]</f>
        <v>0</v>
      </c>
      <c r="AK449" s="77">
        <f>$AH449*tbl_Data[[#This Row],[2027 ]]</f>
        <v>0</v>
      </c>
      <c r="AL449" s="77">
        <f>$AH449*tbl_Data[[#This Row],[2028 ]]</f>
        <v>0</v>
      </c>
      <c r="AM449" s="77">
        <f>$AH449*tbl_Data[[#This Row],[2029 ]]</f>
        <v>0</v>
      </c>
      <c r="AN449" s="77">
        <f>$AH449*tbl_Data[[#This Row],[2030 ]]</f>
        <v>0</v>
      </c>
      <c r="AO449" s="77">
        <f>$AH449*tbl_Data[[#This Row],[2031 ]]</f>
        <v>0</v>
      </c>
      <c r="AP449" s="77">
        <f>$AH449*tbl_Data[[#This Row],[2032 ]]</f>
        <v>0</v>
      </c>
      <c r="AQ449" s="77">
        <f>$AH449*tbl_Data[[#This Row],[2033 ]]</f>
        <v>0</v>
      </c>
      <c r="AR449" s="77">
        <f>$AH449*tbl_Data[[#This Row],[2034 ]]</f>
        <v>0</v>
      </c>
      <c r="AS449" s="77">
        <f>SUM(tbl_Data[[#This Row],[Adjusted 2025]:[Adjusted 2034]])</f>
        <v>0</v>
      </c>
      <c r="AT449" s="80">
        <f>AVERAGEIFS('3. Incentive Adjustment'!F:F,'3. Incentive Adjustment'!A:A,tbl_Data[[#This Row],[Trimmed Sector]],'3. Incentive Adjustment'!B:B,tbl_Data[[#This Row],[Trimmed Measure Name]])</f>
        <v>79.715399999999988</v>
      </c>
      <c r="AU449" s="80">
        <f>IFERROR(VLOOKUP(tbl_Data[[#This Row],[All_Meas_Name_Append]],'IRA Tax Credits'!$A$3:$D$46,4,0),0)</f>
        <v>0</v>
      </c>
      <c r="AV449" s="81">
        <f>tbl_Data[[#This Row],[Adj. per unit Incentive ($)]]/tbl_Data[[#This Row],[kWh Savings]]*tbl_Data[[#This Row],[Sum of Annuals]]</f>
        <v>0</v>
      </c>
      <c r="AW449" s="81">
        <f>IFERROR(VLOOKUP(tbl_Data[[#This Row],[Column1]],'1. Set Program Names'!$B$2:$D$15,3,0)*tbl_Data[[#This Row],[Sum of Annuals]],"")</f>
        <v>0</v>
      </c>
      <c r="AX449" s="81">
        <f>tbl_Data[[#This Row],[per unit IRA tax ($)]]/tbl_Data[[#This Row],[kWh Savings]]*tbl_Data[[#This Row],[Sum of Annuals]]</f>
        <v>0</v>
      </c>
      <c r="AY449" s="81">
        <f>tbl_Data[[#This Row],[Avoided Costs ($/unit)]]/tbl_Data[[#This Row],[kWh Savings]]*tbl_Data[[#This Row],[Sum of Annuals]]</f>
        <v>0</v>
      </c>
      <c r="AZ449" s="81">
        <f>tbl_Data[[#This Row],[Lost Revenue ($/unit)]]/tbl_Data[[#This Row],[kWh Savings]]*tbl_Data[[#This Row],[Sum of Annuals]]</f>
        <v>0</v>
      </c>
      <c r="BA449" s="81">
        <f>tbl_Data[[#This Row],[Incremental Cost ($/unit)]]/tbl_Data[[#This Row],[kWh Savings]]*tbl_Data[[#This Row],[Sum of Annuals]]</f>
        <v>0</v>
      </c>
      <c r="BB449" s="77">
        <f>ROUNDUP(tbl_Data[[#This Row],[Adjusted 2025]]/$L449,0)</f>
        <v>0</v>
      </c>
      <c r="BC449" s="77">
        <f>ROUNDUP(tbl_Data[[#This Row],[Adjusted 2026]]/$L449,0)</f>
        <v>0</v>
      </c>
      <c r="BD449" s="77">
        <f>ROUNDUP(tbl_Data[[#This Row],[Adjusted 2027]]/$L449,0)</f>
        <v>0</v>
      </c>
      <c r="BE449" s="77">
        <f>ROUNDUP(tbl_Data[[#This Row],[Adjusted 2028]]/$L449,0)</f>
        <v>0</v>
      </c>
      <c r="BF449" s="77">
        <f>ROUNDUP(tbl_Data[[#This Row],[Adjusted 2029]]/$L449,0)</f>
        <v>0</v>
      </c>
      <c r="BG449" s="77">
        <f>ROUNDUP(tbl_Data[[#This Row],[Adjusted 2030]]/$L449,0)</f>
        <v>0</v>
      </c>
      <c r="BH449" s="77">
        <f>ROUNDUP(tbl_Data[[#This Row],[Adjusted 2031]]/$L449,0)</f>
        <v>0</v>
      </c>
      <c r="BI449" s="77">
        <f>ROUNDUP(tbl_Data[[#This Row],[Adjusted 2032]]/$L449,0)</f>
        <v>0</v>
      </c>
      <c r="BJ449" s="77">
        <f>ROUNDUP(tbl_Data[[#This Row],[Adjusted 2033]]/$L449,0)</f>
        <v>0</v>
      </c>
      <c r="BK449" s="77">
        <f>ROUNDUP(tbl_Data[[#This Row],[Adjusted 2034]]/$L449,0)</f>
        <v>0</v>
      </c>
      <c r="BL449" s="80">
        <f t="shared" si="177"/>
        <v>0</v>
      </c>
      <c r="BM449" s="80">
        <f t="shared" si="178"/>
        <v>0</v>
      </c>
      <c r="BN449" s="80">
        <f t="shared" si="179"/>
        <v>0</v>
      </c>
      <c r="BO449" s="80">
        <f t="shared" si="180"/>
        <v>0</v>
      </c>
      <c r="BP449" s="80">
        <f t="shared" si="181"/>
        <v>0</v>
      </c>
      <c r="BQ449" s="80">
        <f t="shared" si="182"/>
        <v>0</v>
      </c>
      <c r="BR449" s="80">
        <f t="shared" si="183"/>
        <v>0</v>
      </c>
      <c r="BS449" s="80">
        <f t="shared" si="184"/>
        <v>0</v>
      </c>
      <c r="BT449" s="80">
        <f t="shared" si="185"/>
        <v>0</v>
      </c>
      <c r="BU449" s="80">
        <f t="shared" si="186"/>
        <v>0</v>
      </c>
      <c r="BV449" s="80">
        <f>IFERROR(VLOOKUP($H449,'1. Set Program Names'!$B$2:$D$15,3,0)*V449,"NA")</f>
        <v>0</v>
      </c>
      <c r="BW449" s="80">
        <f>IFERROR(VLOOKUP($H449,'1. Set Program Names'!$B$2:$D$15,3,0)*W449,"NA")</f>
        <v>0</v>
      </c>
      <c r="BX449" s="80">
        <f>IFERROR(VLOOKUP($H449,'1. Set Program Names'!$B$2:$D$15,3,0)*X449,"NA")</f>
        <v>0</v>
      </c>
      <c r="BY449" s="80">
        <f>IFERROR(VLOOKUP($H449,'1. Set Program Names'!$B$2:$D$15,3,0)*Y449,"NA")</f>
        <v>0</v>
      </c>
      <c r="BZ449" s="80">
        <f>IFERROR(VLOOKUP($H449,'1. Set Program Names'!$B$2:$D$15,3,0)*Z449,"NA")</f>
        <v>0</v>
      </c>
      <c r="CA449" s="80">
        <f>IFERROR(VLOOKUP($H449,'1. Set Program Names'!$B$2:$D$15,3,0)*AA449,"NA")</f>
        <v>0</v>
      </c>
      <c r="CB449" s="80">
        <f>IFERROR(VLOOKUP($H449,'1. Set Program Names'!$B$2:$D$15,3,0)*AB449,"NA")</f>
        <v>0</v>
      </c>
      <c r="CC449" s="80">
        <f>IFERROR(VLOOKUP($H449,'1. Set Program Names'!$B$2:$D$15,3,0)*AC449,"NA")</f>
        <v>0</v>
      </c>
      <c r="CD449" s="80">
        <f>IFERROR(VLOOKUP($H449,'1. Set Program Names'!$B$2:$D$15,3,0)*AD449,"NA")</f>
        <v>0</v>
      </c>
      <c r="CE449" s="80">
        <f>IFERROR(VLOOKUP($H449,'1. Set Program Names'!$B$2:$D$15,3,0)*AE449,"NA")</f>
        <v>0</v>
      </c>
    </row>
    <row r="450" spans="1:83" x14ac:dyDescent="0.25">
      <c r="A450" s="79" t="s">
        <v>115</v>
      </c>
      <c r="B450" s="79" t="s">
        <v>88</v>
      </c>
      <c r="C450" s="79" t="s">
        <v>122</v>
      </c>
      <c r="D450" s="79" t="s">
        <v>90</v>
      </c>
      <c r="E450" s="79" t="s">
        <v>91</v>
      </c>
      <c r="F450" s="79" t="s">
        <v>90</v>
      </c>
      <c r="G450" s="79" t="s">
        <v>92</v>
      </c>
      <c r="H450" s="79" t="s">
        <v>18</v>
      </c>
      <c r="I450" s="79" t="s">
        <v>145</v>
      </c>
      <c r="J450" s="79" t="s">
        <v>129</v>
      </c>
      <c r="K450" s="79" t="s">
        <v>98</v>
      </c>
      <c r="L450" s="79">
        <v>1452.1399999999801</v>
      </c>
      <c r="M450" s="79">
        <v>0.33467704377742202</v>
      </c>
      <c r="N450" s="79">
        <v>4.3977319526113799E-2</v>
      </c>
      <c r="O450" s="79">
        <v>654.99999999999898</v>
      </c>
      <c r="P450" s="79">
        <v>358.56061649158102</v>
      </c>
      <c r="Q450" s="79">
        <v>45.957611580086699</v>
      </c>
      <c r="R450" s="79">
        <v>761.15206993055403</v>
      </c>
      <c r="S450" s="79">
        <v>1577.19839843259</v>
      </c>
      <c r="T450" s="79">
        <v>15</v>
      </c>
      <c r="U450" s="79">
        <v>0.94999999999999896</v>
      </c>
      <c r="V450" s="79">
        <f>tbl_Data_old[[#This Row],[2025 ]]*IFERROR(AVERAGEIFS('Participation Adjustment'!$C:$C,'Participation Adjustment'!$A:$A,$H450,'Participation Adjustment'!$B:$B,$I450),1)</f>
        <v>2.9094475278799901</v>
      </c>
      <c r="W450" s="79">
        <f>tbl_Data_old[[#This Row],[2026 ]]*IFERROR(AVERAGEIFS('Participation Adjustment'!$C:$C,'Participation Adjustment'!$A:$A,$H450,'Participation Adjustment'!$B:$B,$I450),1)</f>
        <v>6.1655364445071097</v>
      </c>
      <c r="X450" s="79">
        <f>tbl_Data_old[[#This Row],[2027 ]]*IFERROR(AVERAGEIFS('Participation Adjustment'!$C:$C,'Participation Adjustment'!$A:$A,$H450,'Participation Adjustment'!$B:$B,$I450),1)</f>
        <v>9.7301469644316096</v>
      </c>
      <c r="Y450" s="79">
        <f>tbl_Data_old[[#This Row],[2028 ]]*IFERROR(AVERAGEIFS('Participation Adjustment'!$C:$C,'Participation Adjustment'!$A:$A,$H450,'Participation Adjustment'!$B:$B,$I450),1)</f>
        <v>13.5837516300845</v>
      </c>
      <c r="Z450" s="79">
        <f>tbl_Data_old[[#This Row],[2029 ]]*IFERROR(AVERAGEIFS('Participation Adjustment'!$C:$C,'Participation Adjustment'!$A:$A,$H450,'Participation Adjustment'!$B:$B,$I450),1)</f>
        <v>17.7051090359633</v>
      </c>
      <c r="AA450" s="79">
        <f>tbl_Data_old[[#This Row],[2030 ]]*IFERROR(AVERAGEIFS('Participation Adjustment'!$C:$C,'Participation Adjustment'!$A:$A,$H450,'Participation Adjustment'!$B:$B,$I450),1)</f>
        <v>22.071294352906399</v>
      </c>
      <c r="AB450" s="79">
        <f>tbl_Data_old[[#This Row],[2031 ]]*IFERROR(AVERAGEIFS('Participation Adjustment'!$C:$C,'Participation Adjustment'!$A:$A,$H450,'Participation Adjustment'!$B:$B,$I450),1)</f>
        <v>26.662127841980698</v>
      </c>
      <c r="AC450" s="79">
        <f>tbl_Data_old[[#This Row],[2032 ]]*IFERROR(AVERAGEIFS('Participation Adjustment'!$C:$C,'Participation Adjustment'!$A:$A,$H450,'Participation Adjustment'!$B:$B,$I450),1)</f>
        <v>31.469259240319801</v>
      </c>
      <c r="AD450" s="79">
        <f>tbl_Data_old[[#This Row],[2033 ]]*IFERROR(AVERAGEIFS('Participation Adjustment'!$C:$C,'Participation Adjustment'!$A:$A,$H450,'Participation Adjustment'!$B:$B,$I450),1)</f>
        <v>36.4896580362051</v>
      </c>
      <c r="AE450" s="79">
        <f>tbl_Data_old[[#This Row],[2034 ]]*IFERROR(AVERAGEIFS('Participation Adjustment'!$C:$C,'Participation Adjustment'!$A:$A,$H450,'Participation Adjustment'!$B:$B,$I450),1)</f>
        <v>41.714692077386403</v>
      </c>
      <c r="AF450" s="77" t="str">
        <f t="shared" ref="AF450:AF481" si="187">IF(C450="Residential","Residential","NonResidential")</f>
        <v>NonResidential</v>
      </c>
      <c r="AG450" s="77" t="str">
        <f>tbl_Data[[#This Row],[All_Meas_Name_Append]]</f>
        <v>HE DX Less than 5.4 Tons Elect Heat</v>
      </c>
      <c r="AH450" s="77">
        <f>AVERAGEIFS('3. Incentive Adjustment'!G:G,'3. Incentive Adjustment'!A:A,tbl_Data[[#This Row],[Trimmed Sector]],'3. Incentive Adjustment'!B:B,tbl_Data[[#This Row],[Trimmed Measure Name]])</f>
        <v>0.74493198517309978</v>
      </c>
      <c r="AI450" s="77">
        <f>$AH450*tbl_Data[[#This Row],[2025 ]]</f>
        <v>2.1673405227006084</v>
      </c>
      <c r="AJ450" s="77">
        <f>$AH450*tbl_Data[[#This Row],[2026 ]]</f>
        <v>4.5929053032637768</v>
      </c>
      <c r="AK450" s="77">
        <f>$AH450*tbl_Data[[#This Row],[2027 ]]</f>
        <v>7.2482976942400494</v>
      </c>
      <c r="AL450" s="77">
        <f>$AH450*tbl_Data[[#This Row],[2028 ]]</f>
        <v>10.118971067897176</v>
      </c>
      <c r="AM450" s="77">
        <f>$AH450*tbl_Data[[#This Row],[2029 ]]</f>
        <v>13.189102021866328</v>
      </c>
      <c r="AN450" s="77">
        <f>$AH450*tbl_Data[[#This Row],[2030 ]]</f>
        <v>16.441613117650391</v>
      </c>
      <c r="AO450" s="77">
        <f>$AH450*tbl_Data[[#This Row],[2031 ]]</f>
        <v>19.861471822265656</v>
      </c>
      <c r="AP450" s="77">
        <f>$AH450*tbl_Data[[#This Row],[2032 ]]</f>
        <v>23.442457757818342</v>
      </c>
      <c r="AQ450" s="77">
        <f>$AH450*tbl_Data[[#This Row],[2033 ]]</f>
        <v>27.182313399197817</v>
      </c>
      <c r="AR450" s="77">
        <f>$AH450*tbl_Data[[#This Row],[2034 ]]</f>
        <v>31.07460838009203</v>
      </c>
      <c r="AS450" s="77">
        <f>SUM(tbl_Data[[#This Row],[Adjusted 2025]:[Adjusted 2034]])</f>
        <v>155.31908108699218</v>
      </c>
      <c r="AT450" s="80">
        <f>AVERAGEIFS('3. Incentive Adjustment'!F:F,'3. Incentive Adjustment'!A:A,tbl_Data[[#This Row],[Trimmed Sector]],'3. Incentive Adjustment'!B:B,tbl_Data[[#This Row],[Trimmed Measure Name]])</f>
        <v>196.49999999999969</v>
      </c>
      <c r="AU450" s="80">
        <f>IFERROR(VLOOKUP(tbl_Data[[#This Row],[All_Meas_Name_Append]],'IRA Tax Credits'!$A$3:$D$46,4,0),0)</f>
        <v>0</v>
      </c>
      <c r="AV450" s="81">
        <f>tbl_Data[[#This Row],[Adj. per unit Incentive ($)]]/tbl_Data[[#This Row],[kWh Savings]]*tbl_Data[[#This Row],[Sum of Annuals]]</f>
        <v>21.017394626960439</v>
      </c>
      <c r="AW450" s="81">
        <f>IFERROR(VLOOKUP(tbl_Data[[#This Row],[Column1]],'1. Set Program Names'!$B$2:$D$15,3,0)*tbl_Data[[#This Row],[Sum of Annuals]],"")</f>
        <v>4.9155687465203286</v>
      </c>
      <c r="AX450" s="81">
        <f>tbl_Data[[#This Row],[per unit IRA tax ($)]]/tbl_Data[[#This Row],[kWh Savings]]*tbl_Data[[#This Row],[Sum of Annuals]]</f>
        <v>0</v>
      </c>
      <c r="AY450" s="81">
        <f>tbl_Data[[#This Row],[Avoided Costs ($/unit)]]/tbl_Data[[#This Row],[kWh Savings]]*tbl_Data[[#This Row],[Sum of Annuals]]</f>
        <v>81.411874935665494</v>
      </c>
      <c r="AZ450" s="81">
        <f>tbl_Data[[#This Row],[Lost Revenue ($/unit)]]/tbl_Data[[#This Row],[kWh Savings]]*tbl_Data[[#This Row],[Sum of Annuals]]</f>
        <v>168.69517122070118</v>
      </c>
      <c r="BA450" s="81">
        <f>tbl_Data[[#This Row],[Incremental Cost ($/unit)]]/tbl_Data[[#This Row],[kWh Savings]]*tbl_Data[[#This Row],[Sum of Annuals]]</f>
        <v>70.057982089868133</v>
      </c>
      <c r="BB450" s="77">
        <f>ROUNDUP(tbl_Data[[#This Row],[Adjusted 2025]]/$L450,0)</f>
        <v>1</v>
      </c>
      <c r="BC450" s="77">
        <f>ROUNDUP(tbl_Data[[#This Row],[Adjusted 2026]]/$L450,0)</f>
        <v>1</v>
      </c>
      <c r="BD450" s="77">
        <f>ROUNDUP(tbl_Data[[#This Row],[Adjusted 2027]]/$L450,0)</f>
        <v>1</v>
      </c>
      <c r="BE450" s="77">
        <f>ROUNDUP(tbl_Data[[#This Row],[Adjusted 2028]]/$L450,0)</f>
        <v>1</v>
      </c>
      <c r="BF450" s="77">
        <f>ROUNDUP(tbl_Data[[#This Row],[Adjusted 2029]]/$L450,0)</f>
        <v>1</v>
      </c>
      <c r="BG450" s="77">
        <f>ROUNDUP(tbl_Data[[#This Row],[Adjusted 2030]]/$L450,0)</f>
        <v>1</v>
      </c>
      <c r="BH450" s="77">
        <f>ROUNDUP(tbl_Data[[#This Row],[Adjusted 2031]]/$L450,0)</f>
        <v>1</v>
      </c>
      <c r="BI450" s="77">
        <f>ROUNDUP(tbl_Data[[#This Row],[Adjusted 2032]]/$L450,0)</f>
        <v>1</v>
      </c>
      <c r="BJ450" s="77">
        <f>ROUNDUP(tbl_Data[[#This Row],[Adjusted 2033]]/$L450,0)</f>
        <v>1</v>
      </c>
      <c r="BK450" s="77">
        <f>ROUNDUP(tbl_Data[[#This Row],[Adjusted 2034]]/$L450,0)</f>
        <v>1</v>
      </c>
      <c r="BL450" s="80">
        <f t="shared" ref="BL450:BL481" si="188">$AT450/$L450*V450</f>
        <v>0.39369925711599774</v>
      </c>
      <c r="BM450" s="80">
        <f t="shared" ref="BM450:BM481" si="189">$AT450/$L450*W450</f>
        <v>0.83430517122705916</v>
      </c>
      <c r="BN450" s="80">
        <f t="shared" ref="BN450:BN481" si="190">$AT450/$L450*X450</f>
        <v>1.3166594670698655</v>
      </c>
      <c r="BO450" s="80">
        <f t="shared" ref="BO450:BO481" si="191">$AT450/$L450*Y450</f>
        <v>1.8381197372922971</v>
      </c>
      <c r="BP450" s="80">
        <f t="shared" ref="BP450:BP481" si="192">$AT450/$L450*Z450</f>
        <v>2.3958116473389826</v>
      </c>
      <c r="BQ450" s="80">
        <f t="shared" ref="BQ450:BQ481" si="193">$AT450/$L450*AA450</f>
        <v>2.9866330659207514</v>
      </c>
      <c r="BR450" s="80">
        <f t="shared" ref="BR450:BR481" si="194">$AT450/$L450*AB450</f>
        <v>3.6078533205815351</v>
      </c>
      <c r="BS450" s="80">
        <f t="shared" ref="BS450:BS481" si="195">$AT450/$L450*AC450</f>
        <v>4.2583424743639835</v>
      </c>
      <c r="BT450" s="80">
        <f t="shared" ref="BT450:BT481" si="196">$AT450/$L450*AD450</f>
        <v>4.9376904459035549</v>
      </c>
      <c r="BU450" s="80">
        <f t="shared" ref="BU450:BU481" si="197">$AT450/$L450*AE450</f>
        <v>5.6447291536673649</v>
      </c>
      <c r="BV450" s="80">
        <f>IFERROR(VLOOKUP($H450,'1. Set Program Names'!$B$2:$D$15,3,0)*V450,"NA")</f>
        <v>9.2078766096211837E-2</v>
      </c>
      <c r="BW450" s="80">
        <f>IFERROR(VLOOKUP($H450,'1. Set Program Names'!$B$2:$D$15,3,0)*W450,"NA")</f>
        <v>0.19512810686265006</v>
      </c>
      <c r="BX450" s="80">
        <f>IFERROR(VLOOKUP($H450,'1. Set Program Names'!$B$2:$D$15,3,0)*X450,"NA")</f>
        <v>0.30794159985160585</v>
      </c>
      <c r="BY450" s="80">
        <f>IFERROR(VLOOKUP($H450,'1. Set Program Names'!$B$2:$D$15,3,0)*Y450,"NA")</f>
        <v>0.42990123625531812</v>
      </c>
      <c r="BZ450" s="80">
        <f>IFERROR(VLOOKUP($H450,'1. Set Program Names'!$B$2:$D$15,3,0)*Z450,"NA")</f>
        <v>0.56033476390560877</v>
      </c>
      <c r="CA450" s="80">
        <f>IFERROR(VLOOKUP($H450,'1. Set Program Names'!$B$2:$D$15,3,0)*AA450,"NA")</f>
        <v>0.69851665331210555</v>
      </c>
      <c r="CB450" s="80">
        <f>IFERROR(VLOOKUP($H450,'1. Set Program Names'!$B$2:$D$15,3,0)*AB450,"NA")</f>
        <v>0.84380825213848065</v>
      </c>
      <c r="CC450" s="80">
        <f>IFERROR(VLOOKUP($H450,'1. Set Program Names'!$B$2:$D$15,3,0)*AC450,"NA")</f>
        <v>0.99594528962750317</v>
      </c>
      <c r="CD450" s="80">
        <f>IFERROR(VLOOKUP($H450,'1. Set Program Names'!$B$2:$D$15,3,0)*AD450,"NA")</f>
        <v>1.15483185554982</v>
      </c>
      <c r="CE450" s="80">
        <f>IFERROR(VLOOKUP($H450,'1. Set Program Names'!$B$2:$D$15,3,0)*AE450,"NA")</f>
        <v>1.3201947578576849</v>
      </c>
    </row>
    <row r="451" spans="1:83" x14ac:dyDescent="0.25">
      <c r="A451" s="79" t="s">
        <v>115</v>
      </c>
      <c r="B451" s="79" t="s">
        <v>88</v>
      </c>
      <c r="C451" s="79" t="s">
        <v>122</v>
      </c>
      <c r="D451" s="79" t="s">
        <v>90</v>
      </c>
      <c r="E451" s="79" t="s">
        <v>91</v>
      </c>
      <c r="F451" s="79" t="s">
        <v>90</v>
      </c>
      <c r="G451" s="79" t="s">
        <v>92</v>
      </c>
      <c r="H451" s="79" t="s">
        <v>18</v>
      </c>
      <c r="I451" s="79" t="s">
        <v>146</v>
      </c>
      <c r="J451" s="79" t="s">
        <v>129</v>
      </c>
      <c r="K451" s="79" t="s">
        <v>98</v>
      </c>
      <c r="L451" s="79">
        <v>23719.439999999999</v>
      </c>
      <c r="M451" s="79">
        <v>5.4597690026648404</v>
      </c>
      <c r="N451" s="79">
        <v>0</v>
      </c>
      <c r="O451" s="79">
        <v>11386</v>
      </c>
      <c r="P451" s="79">
        <v>6681.8656442185202</v>
      </c>
      <c r="Q451" s="79">
        <v>750.67749006099905</v>
      </c>
      <c r="R451" s="79">
        <v>13758.6347393458</v>
      </c>
      <c r="S451" s="79">
        <v>32663.358650317699</v>
      </c>
      <c r="T451" s="79">
        <v>23</v>
      </c>
      <c r="U451" s="79">
        <v>1</v>
      </c>
      <c r="V451" s="79">
        <f>tbl_Data_old[[#This Row],[2025 ]]*IFERROR(AVERAGEIFS('Participation Adjustment'!$C:$C,'Participation Adjustment'!$A:$A,$H451,'Participation Adjustment'!$B:$B,$I451),1)</f>
        <v>5.0440584111094298</v>
      </c>
      <c r="W451" s="79">
        <f>tbl_Data_old[[#This Row],[2026 ]]*IFERROR(AVERAGEIFS('Participation Adjustment'!$C:$C,'Participation Adjustment'!$A:$A,$H451,'Participation Adjustment'!$B:$B,$I451),1)</f>
        <v>10.690473321461401</v>
      </c>
      <c r="X451" s="79">
        <f>tbl_Data_old[[#This Row],[2027 ]]*IFERROR(AVERAGEIFS('Participation Adjustment'!$C:$C,'Participation Adjustment'!$A:$A,$H451,'Participation Adjustment'!$B:$B,$I451),1)</f>
        <v>16.884700953381401</v>
      </c>
      <c r="Y451" s="79">
        <f>tbl_Data_old[[#This Row],[2028 ]]*IFERROR(AVERAGEIFS('Participation Adjustment'!$C:$C,'Participation Adjustment'!$A:$A,$H451,'Participation Adjustment'!$B:$B,$I451),1)</f>
        <v>23.595268021796802</v>
      </c>
      <c r="Z451" s="79">
        <f>tbl_Data_old[[#This Row],[2029 ]]*IFERROR(AVERAGEIFS('Participation Adjustment'!$C:$C,'Participation Adjustment'!$A:$A,$H451,'Participation Adjustment'!$B:$B,$I451),1)</f>
        <v>30.782151318764601</v>
      </c>
      <c r="AA451" s="79">
        <f>tbl_Data_old[[#This Row],[2030 ]]*IFERROR(AVERAGEIFS('Participation Adjustment'!$C:$C,'Participation Adjustment'!$A:$A,$H451,'Participation Adjustment'!$B:$B,$I451),1)</f>
        <v>38.407230516457297</v>
      </c>
      <c r="AB451" s="79">
        <f>tbl_Data_old[[#This Row],[2031 ]]*IFERROR(AVERAGEIFS('Participation Adjustment'!$C:$C,'Participation Adjustment'!$A:$A,$H451,'Participation Adjustment'!$B:$B,$I451),1)</f>
        <v>46.431147944624399</v>
      </c>
      <c r="AC451" s="79">
        <f>tbl_Data_old[[#This Row],[2032 ]]*IFERROR(AVERAGEIFS('Participation Adjustment'!$C:$C,'Participation Adjustment'!$A:$A,$H451,'Participation Adjustment'!$B:$B,$I451),1)</f>
        <v>54.835868342841998</v>
      </c>
      <c r="AD451" s="79">
        <f>tbl_Data_old[[#This Row],[2033 ]]*IFERROR(AVERAGEIFS('Participation Adjustment'!$C:$C,'Participation Adjustment'!$A:$A,$H451,'Participation Adjustment'!$B:$B,$I451),1)</f>
        <v>63.620530455080903</v>
      </c>
      <c r="AE451" s="79">
        <f>tbl_Data_old[[#This Row],[2034 ]]*IFERROR(AVERAGEIFS('Participation Adjustment'!$C:$C,'Participation Adjustment'!$A:$A,$H451,'Participation Adjustment'!$B:$B,$I451),1)</f>
        <v>72.766121123984107</v>
      </c>
      <c r="AF451" s="77" t="str">
        <f t="shared" si="187"/>
        <v>NonResidential</v>
      </c>
      <c r="AG451" s="77" t="str">
        <f>tbl_Data[[#This Row],[All_Meas_Name_Append]]</f>
        <v>HE Water Cooled Chiller - Centrifugal Compressor - 200 Tons</v>
      </c>
      <c r="AH451" s="77">
        <f>AVERAGEIFS('3. Incentive Adjustment'!G:G,'3. Incentive Adjustment'!A:A,tbl_Data[[#This Row],[Trimmed Sector]],'3. Incentive Adjustment'!B:B,tbl_Data[[#This Row],[Trimmed Measure Name]])</f>
        <v>0.69536855707903378</v>
      </c>
      <c r="AI451" s="77">
        <f>$AH451*tbl_Data[[#This Row],[2025 ]]</f>
        <v>3.5074796191555278</v>
      </c>
      <c r="AJ451" s="77">
        <f>$AH451*tbl_Data[[#This Row],[2026 ]]</f>
        <v>7.4338190080365196</v>
      </c>
      <c r="AK451" s="77">
        <f>$AH451*tbl_Data[[#This Row],[2027 ]]</f>
        <v>11.741090138663811</v>
      </c>
      <c r="AL451" s="77">
        <f>$AH451*tbl_Data[[#This Row],[2028 ]]</f>
        <v>16.407407478209908</v>
      </c>
      <c r="AM451" s="77">
        <f>$AH451*tbl_Data[[#This Row],[2029 ]]</f>
        <v>21.404940146317816</v>
      </c>
      <c r="AN451" s="77">
        <f>$AH451*tbl_Data[[#This Row],[2030 ]]</f>
        <v>26.707180465630742</v>
      </c>
      <c r="AO451" s="77">
        <f>$AH451*tbl_Data[[#This Row],[2031 ]]</f>
        <v>32.286760349776614</v>
      </c>
      <c r="AP451" s="77">
        <f>$AH451*tbl_Data[[#This Row],[2032 ]]</f>
        <v>38.131138645737906</v>
      </c>
      <c r="AQ451" s="77">
        <f>$AH451*tbl_Data[[#This Row],[2033 ]]</f>
        <v>44.239716463152334</v>
      </c>
      <c r="AR451" s="77">
        <f>$AH451*tbl_Data[[#This Row],[2034 ]]</f>
        <v>50.599272650223028</v>
      </c>
      <c r="AS451" s="77">
        <f>SUM(tbl_Data[[#This Row],[Adjusted 2025]:[Adjusted 2034]])</f>
        <v>252.45880496490423</v>
      </c>
      <c r="AT451" s="80">
        <f>AVERAGEIFS('3. Incentive Adjustment'!F:F,'3. Incentive Adjustment'!A:A,tbl_Data[[#This Row],[Trimmed Sector]],'3. Incentive Adjustment'!B:B,tbl_Data[[#This Row],[Trimmed Measure Name]])</f>
        <v>3415.7999999999997</v>
      </c>
      <c r="AU451" s="80">
        <f>IFERROR(VLOOKUP(tbl_Data[[#This Row],[All_Meas_Name_Append]],'IRA Tax Credits'!$A$3:$D$46,4,0),0)</f>
        <v>0</v>
      </c>
      <c r="AV451" s="81">
        <f>tbl_Data[[#This Row],[Adj. per unit Incentive ($)]]/tbl_Data[[#This Row],[kWh Savings]]*tbl_Data[[#This Row],[Sum of Annuals]]</f>
        <v>36.356203434782607</v>
      </c>
      <c r="AW451" s="81">
        <f>IFERROR(VLOOKUP(tbl_Data[[#This Row],[Column1]],'1. Set Program Names'!$B$2:$D$15,3,0)*tbl_Data[[#This Row],[Sum of Annuals]],"")</f>
        <v>7.9898657832922577</v>
      </c>
      <c r="AX451" s="81">
        <f>tbl_Data[[#This Row],[per unit IRA tax ($)]]/tbl_Data[[#This Row],[kWh Savings]]*tbl_Data[[#This Row],[Sum of Annuals]]</f>
        <v>0</v>
      </c>
      <c r="AY451" s="81">
        <f>tbl_Data[[#This Row],[Avoided Costs ($/unit)]]/tbl_Data[[#This Row],[kWh Savings]]*tbl_Data[[#This Row],[Sum of Annuals]]</f>
        <v>146.44057719085518</v>
      </c>
      <c r="AZ451" s="81">
        <f>tbl_Data[[#This Row],[Lost Revenue ($/unit)]]/tbl_Data[[#This Row],[kWh Savings]]*tbl_Data[[#This Row],[Sum of Annuals]]</f>
        <v>347.65375957439443</v>
      </c>
      <c r="BA451" s="81">
        <f>tbl_Data[[#This Row],[Incremental Cost ($/unit)]]/tbl_Data[[#This Row],[kWh Savings]]*tbl_Data[[#This Row],[Sum of Annuals]]</f>
        <v>121.18734478260869</v>
      </c>
      <c r="BB451" s="77">
        <f>ROUNDUP(tbl_Data[[#This Row],[Adjusted 2025]]/$L451,0)</f>
        <v>1</v>
      </c>
      <c r="BC451" s="77">
        <f>ROUNDUP(tbl_Data[[#This Row],[Adjusted 2026]]/$L451,0)</f>
        <v>1</v>
      </c>
      <c r="BD451" s="77">
        <f>ROUNDUP(tbl_Data[[#This Row],[Adjusted 2027]]/$L451,0)</f>
        <v>1</v>
      </c>
      <c r="BE451" s="77">
        <f>ROUNDUP(tbl_Data[[#This Row],[Adjusted 2028]]/$L451,0)</f>
        <v>1</v>
      </c>
      <c r="BF451" s="77">
        <f>ROUNDUP(tbl_Data[[#This Row],[Adjusted 2029]]/$L451,0)</f>
        <v>1</v>
      </c>
      <c r="BG451" s="77">
        <f>ROUNDUP(tbl_Data[[#This Row],[Adjusted 2030]]/$L451,0)</f>
        <v>1</v>
      </c>
      <c r="BH451" s="77">
        <f>ROUNDUP(tbl_Data[[#This Row],[Adjusted 2031]]/$L451,0)</f>
        <v>1</v>
      </c>
      <c r="BI451" s="77">
        <f>ROUNDUP(tbl_Data[[#This Row],[Adjusted 2032]]/$L451,0)</f>
        <v>1</v>
      </c>
      <c r="BJ451" s="77">
        <f>ROUNDUP(tbl_Data[[#This Row],[Adjusted 2033]]/$L451,0)</f>
        <v>1</v>
      </c>
      <c r="BK451" s="77">
        <f>ROUNDUP(tbl_Data[[#This Row],[Adjusted 2034]]/$L451,0)</f>
        <v>1</v>
      </c>
      <c r="BL451" s="80">
        <f t="shared" si="188"/>
        <v>0.72638707830655325</v>
      </c>
      <c r="BM451" s="80">
        <f t="shared" si="189"/>
        <v>1.5395185877680018</v>
      </c>
      <c r="BN451" s="80">
        <f t="shared" si="190"/>
        <v>2.4315397630197082</v>
      </c>
      <c r="BO451" s="80">
        <f t="shared" si="191"/>
        <v>3.3979181847823354</v>
      </c>
      <c r="BP451" s="80">
        <f t="shared" si="192"/>
        <v>4.4328901725604029</v>
      </c>
      <c r="BQ451" s="80">
        <f t="shared" si="193"/>
        <v>5.530966076691306</v>
      </c>
      <c r="BR451" s="80">
        <f t="shared" si="194"/>
        <v>6.6864780597369933</v>
      </c>
      <c r="BS451" s="80">
        <f t="shared" si="195"/>
        <v>7.8968288916382381</v>
      </c>
      <c r="BT451" s="80">
        <f t="shared" si="196"/>
        <v>9.1618945442415729</v>
      </c>
      <c r="BU451" s="80">
        <f t="shared" si="197"/>
        <v>10.478936962057491</v>
      </c>
      <c r="BV451" s="80">
        <f>IFERROR(VLOOKUP($H451,'1. Set Program Names'!$B$2:$D$15,3,0)*V451,"NA")</f>
        <v>0.15963535006613563</v>
      </c>
      <c r="BW451" s="80">
        <f>IFERROR(VLOOKUP($H451,'1. Set Program Names'!$B$2:$D$15,3,0)*W451,"NA")</f>
        <v>0.33833419678199489</v>
      </c>
      <c r="BX451" s="80">
        <f>IFERROR(VLOOKUP($H451,'1. Set Program Names'!$B$2:$D$15,3,0)*X451,"NA")</f>
        <v>0.53437032797211548</v>
      </c>
      <c r="BY451" s="80">
        <f>IFERROR(VLOOKUP($H451,'1. Set Program Names'!$B$2:$D$15,3,0)*Y451,"NA")</f>
        <v>0.74674767093653927</v>
      </c>
      <c r="BZ451" s="80">
        <f>IFERROR(VLOOKUP($H451,'1. Set Program Names'!$B$2:$D$15,3,0)*Z451,"NA")</f>
        <v>0.97419956333910485</v>
      </c>
      <c r="CA451" s="80">
        <f>IFERROR(VLOOKUP($H451,'1. Set Program Names'!$B$2:$D$15,3,0)*AA451,"NA")</f>
        <v>1.2155195655668258</v>
      </c>
      <c r="CB451" s="80">
        <f>IFERROR(VLOOKUP($H451,'1. Set Program Names'!$B$2:$D$15,3,0)*AB451,"NA")</f>
        <v>1.4694620783509889</v>
      </c>
      <c r="CC451" s="80">
        <f>IFERROR(VLOOKUP($H451,'1. Set Program Names'!$B$2:$D$15,3,0)*AC451,"NA")</f>
        <v>1.7354563182317986</v>
      </c>
      <c r="CD451" s="80">
        <f>IFERROR(VLOOKUP($H451,'1. Set Program Names'!$B$2:$D$15,3,0)*AD451,"NA")</f>
        <v>2.013475028009494</v>
      </c>
      <c r="CE451" s="80">
        <f>IFERROR(VLOOKUP($H451,'1. Set Program Names'!$B$2:$D$15,3,0)*AE451,"NA")</f>
        <v>2.3029164755503109</v>
      </c>
    </row>
    <row r="452" spans="1:83" x14ac:dyDescent="0.25">
      <c r="A452" s="79" t="s">
        <v>115</v>
      </c>
      <c r="B452" s="79" t="s">
        <v>88</v>
      </c>
      <c r="C452" s="79" t="s">
        <v>122</v>
      </c>
      <c r="D452" s="79" t="s">
        <v>90</v>
      </c>
      <c r="E452" s="79" t="s">
        <v>91</v>
      </c>
      <c r="F452" s="79" t="s">
        <v>90</v>
      </c>
      <c r="G452" s="79" t="s">
        <v>92</v>
      </c>
      <c r="H452" s="79" t="s">
        <v>18</v>
      </c>
      <c r="I452" s="79" t="s">
        <v>147</v>
      </c>
      <c r="J452" s="79" t="s">
        <v>129</v>
      </c>
      <c r="K452" s="79" t="s">
        <v>98</v>
      </c>
      <c r="L452" s="79">
        <v>51564</v>
      </c>
      <c r="M452" s="79">
        <v>11.869063049271301</v>
      </c>
      <c r="N452" s="79">
        <v>0</v>
      </c>
      <c r="O452" s="79">
        <v>19806</v>
      </c>
      <c r="P452" s="79">
        <v>9503.5476574024997</v>
      </c>
      <c r="Q452" s="79">
        <v>1631.9075870891199</v>
      </c>
      <c r="R452" s="79">
        <v>29910.075520317099</v>
      </c>
      <c r="S452" s="79">
        <v>71007.301413734196</v>
      </c>
      <c r="T452" s="79">
        <v>23</v>
      </c>
      <c r="U452" s="79">
        <v>1</v>
      </c>
      <c r="V452" s="79">
        <f>tbl_Data_old[[#This Row],[2025 ]]*IFERROR(AVERAGEIFS('Participation Adjustment'!$C:$C,'Participation Adjustment'!$A:$A,$H452,'Participation Adjustment'!$B:$B,$I452),1)</f>
        <v>4.9159388235362398</v>
      </c>
      <c r="W452" s="79">
        <f>tbl_Data_old[[#This Row],[2026 ]]*IFERROR(AVERAGEIFS('Participation Adjustment'!$C:$C,'Participation Adjustment'!$A:$A,$H452,'Participation Adjustment'!$B:$B,$I452),1)</f>
        <v>10.4287486221954</v>
      </c>
      <c r="X452" s="79">
        <f>tbl_Data_old[[#This Row],[2027 ]]*IFERROR(AVERAGEIFS('Participation Adjustment'!$C:$C,'Participation Adjustment'!$A:$A,$H452,'Participation Adjustment'!$B:$B,$I452),1)</f>
        <v>16.4861129763046</v>
      </c>
      <c r="Y452" s="79">
        <f>tbl_Data_old[[#This Row],[2028 ]]*IFERROR(AVERAGEIFS('Participation Adjustment'!$C:$C,'Participation Adjustment'!$A:$A,$H452,'Participation Adjustment'!$B:$B,$I452),1)</f>
        <v>23.0578459442712</v>
      </c>
      <c r="Z452" s="79">
        <f>tbl_Data_old[[#This Row],[2029 ]]*IFERROR(AVERAGEIFS('Participation Adjustment'!$C:$C,'Participation Adjustment'!$A:$A,$H452,'Participation Adjustment'!$B:$B,$I452),1)</f>
        <v>30.105082019139601</v>
      </c>
      <c r="AA452" s="79">
        <f>tbl_Data_old[[#This Row],[2030 ]]*IFERROR(AVERAGEIFS('Participation Adjustment'!$C:$C,'Participation Adjustment'!$A:$A,$H452,'Participation Adjustment'!$B:$B,$I452),1)</f>
        <v>37.590552245790597</v>
      </c>
      <c r="AB452" s="79">
        <f>tbl_Data_old[[#This Row],[2031 ]]*IFERROR(AVERAGEIFS('Participation Adjustment'!$C:$C,'Participation Adjustment'!$A:$A,$H452,'Participation Adjustment'!$B:$B,$I452),1)</f>
        <v>45.4755595923301</v>
      </c>
      <c r="AC452" s="79">
        <f>tbl_Data_old[[#This Row],[2032 ]]*IFERROR(AVERAGEIFS('Participation Adjustment'!$C:$C,'Participation Adjustment'!$A:$A,$H452,'Participation Adjustment'!$B:$B,$I452),1)</f>
        <v>53.7422090850147</v>
      </c>
      <c r="AD452" s="79">
        <f>tbl_Data_old[[#This Row],[2033 ]]*IFERROR(AVERAGEIFS('Participation Adjustment'!$C:$C,'Participation Adjustment'!$A:$A,$H452,'Participation Adjustment'!$B:$B,$I452),1)</f>
        <v>62.389430555055</v>
      </c>
      <c r="AE452" s="79">
        <f>tbl_Data_old[[#This Row],[2034 ]]*IFERROR(AVERAGEIFS('Participation Adjustment'!$C:$C,'Participation Adjustment'!$A:$A,$H452,'Participation Adjustment'!$B:$B,$I452),1)</f>
        <v>71.398249962328904</v>
      </c>
      <c r="AF452" s="77" t="str">
        <f t="shared" si="187"/>
        <v>NonResidential</v>
      </c>
      <c r="AG452" s="77" t="str">
        <f>tbl_Data[[#This Row],[All_Meas_Name_Append]]</f>
        <v>HE Water Cooled Chiller - Centrifugal Compressor - 500 Tons</v>
      </c>
      <c r="AH452" s="77">
        <f>AVERAGEIFS('3. Incentive Adjustment'!G:G,'3. Incentive Adjustment'!A:A,tbl_Data[[#This Row],[Trimmed Sector]],'3. Incentive Adjustment'!B:B,tbl_Data[[#This Row],[Trimmed Measure Name]])</f>
        <v>0.83338953851620801</v>
      </c>
      <c r="AI452" s="77">
        <f>$AH452*tbl_Data[[#This Row],[2025 ]]</f>
        <v>4.0968919875207774</v>
      </c>
      <c r="AJ452" s="77">
        <f>$AH452*tbl_Data[[#This Row],[2026 ]]</f>
        <v>8.6912100015529639</v>
      </c>
      <c r="AK452" s="77">
        <f>$AH452*tbl_Data[[#This Row],[2027 ]]</f>
        <v>13.739354085248559</v>
      </c>
      <c r="AL452" s="77">
        <f>$AH452*tbl_Data[[#This Row],[2028 ]]</f>
        <v>19.216167590673994</v>
      </c>
      <c r="AM452" s="77">
        <f>$AH452*tbl_Data[[#This Row],[2029 ]]</f>
        <v>25.089260410923345</v>
      </c>
      <c r="AN452" s="77">
        <f>$AH452*tbl_Data[[#This Row],[2030 ]]</f>
        <v>31.327572988688832</v>
      </c>
      <c r="AO452" s="77">
        <f>$AH452*tbl_Data[[#This Row],[2031 ]]</f>
        <v>37.898855622418296</v>
      </c>
      <c r="AP452" s="77">
        <f>$AH452*tbl_Data[[#This Row],[2032 ]]</f>
        <v>44.788194828201959</v>
      </c>
      <c r="AQ452" s="77">
        <f>$AH452*tbl_Data[[#This Row],[2033 ]]</f>
        <v>51.994698738566292</v>
      </c>
      <c r="AR452" s="77">
        <f>$AH452*tbl_Data[[#This Row],[2034 ]]</f>
        <v>59.502554586970149</v>
      </c>
      <c r="AS452" s="77">
        <f>SUM(tbl_Data[[#This Row],[Adjusted 2025]:[Adjusted 2034]])</f>
        <v>296.34476084076516</v>
      </c>
      <c r="AT452" s="80">
        <f>AVERAGEIFS('3. Incentive Adjustment'!F:F,'3. Incentive Adjustment'!A:A,tbl_Data[[#This Row],[Trimmed Sector]],'3. Incentive Adjustment'!B:B,tbl_Data[[#This Row],[Trimmed Measure Name]])</f>
        <v>5941.8</v>
      </c>
      <c r="AU452" s="80">
        <f>IFERROR(VLOOKUP(tbl_Data[[#This Row],[All_Meas_Name_Append]],'IRA Tax Credits'!$A$3:$D$46,4,0),0)</f>
        <v>0</v>
      </c>
      <c r="AV452" s="81">
        <f>tbl_Data[[#This Row],[Adj. per unit Incentive ($)]]/tbl_Data[[#This Row],[kWh Savings]]*tbl_Data[[#This Row],[Sum of Annuals]]</f>
        <v>34.148268170887796</v>
      </c>
      <c r="AW452" s="81">
        <f>IFERROR(VLOOKUP(tbl_Data[[#This Row],[Column1]],'1. Set Program Names'!$B$2:$D$15,3,0)*tbl_Data[[#This Row],[Sum of Annuals]],"")</f>
        <v>9.378777123771588</v>
      </c>
      <c r="AX452" s="81">
        <f>tbl_Data[[#This Row],[per unit IRA tax ($)]]/tbl_Data[[#This Row],[kWh Savings]]*tbl_Data[[#This Row],[Sum of Annuals]]</f>
        <v>0</v>
      </c>
      <c r="AY452" s="81">
        <f>tbl_Data[[#This Row],[Avoided Costs ($/unit)]]/tbl_Data[[#This Row],[kWh Savings]]*tbl_Data[[#This Row],[Sum of Annuals]]</f>
        <v>171.89694703276695</v>
      </c>
      <c r="AZ452" s="81">
        <f>tbl_Data[[#This Row],[Lost Revenue ($/unit)]]/tbl_Data[[#This Row],[kWh Savings]]*tbl_Data[[#This Row],[Sum of Annuals]]</f>
        <v>408.08784724616373</v>
      </c>
      <c r="BA452" s="81">
        <f>tbl_Data[[#This Row],[Incremental Cost ($/unit)]]/tbl_Data[[#This Row],[kWh Savings]]*tbl_Data[[#This Row],[Sum of Annuals]]</f>
        <v>113.827560569626</v>
      </c>
      <c r="BB452" s="77">
        <f>ROUNDUP(tbl_Data[[#This Row],[Adjusted 2025]]/$L452,0)</f>
        <v>1</v>
      </c>
      <c r="BC452" s="77">
        <f>ROUNDUP(tbl_Data[[#This Row],[Adjusted 2026]]/$L452,0)</f>
        <v>1</v>
      </c>
      <c r="BD452" s="77">
        <f>ROUNDUP(tbl_Data[[#This Row],[Adjusted 2027]]/$L452,0)</f>
        <v>1</v>
      </c>
      <c r="BE452" s="77">
        <f>ROUNDUP(tbl_Data[[#This Row],[Adjusted 2028]]/$L452,0)</f>
        <v>1</v>
      </c>
      <c r="BF452" s="77">
        <f>ROUNDUP(tbl_Data[[#This Row],[Adjusted 2029]]/$L452,0)</f>
        <v>1</v>
      </c>
      <c r="BG452" s="77">
        <f>ROUNDUP(tbl_Data[[#This Row],[Adjusted 2030]]/$L452,0)</f>
        <v>1</v>
      </c>
      <c r="BH452" s="77">
        <f>ROUNDUP(tbl_Data[[#This Row],[Adjusted 2031]]/$L452,0)</f>
        <v>1</v>
      </c>
      <c r="BI452" s="77">
        <f>ROUNDUP(tbl_Data[[#This Row],[Adjusted 2032]]/$L452,0)</f>
        <v>1</v>
      </c>
      <c r="BJ452" s="77">
        <f>ROUNDUP(tbl_Data[[#This Row],[Adjusted 2033]]/$L452,0)</f>
        <v>1</v>
      </c>
      <c r="BK452" s="77">
        <f>ROUNDUP(tbl_Data[[#This Row],[Adjusted 2034]]/$L452,0)</f>
        <v>1</v>
      </c>
      <c r="BL452" s="80">
        <f t="shared" si="188"/>
        <v>0.56647128426203608</v>
      </c>
      <c r="BM452" s="80">
        <f t="shared" si="189"/>
        <v>1.2017209402560047</v>
      </c>
      <c r="BN452" s="80">
        <f t="shared" si="190"/>
        <v>1.8997204654915576</v>
      </c>
      <c r="BO452" s="80">
        <f t="shared" si="191"/>
        <v>2.6569914869224771</v>
      </c>
      <c r="BP452" s="80">
        <f t="shared" si="192"/>
        <v>3.4690554716725561</v>
      </c>
      <c r="BQ452" s="80">
        <f t="shared" si="193"/>
        <v>4.3316178600193656</v>
      </c>
      <c r="BR452" s="80">
        <f t="shared" si="194"/>
        <v>5.2402195327303351</v>
      </c>
      <c r="BS452" s="80">
        <f t="shared" si="195"/>
        <v>6.1927984241203227</v>
      </c>
      <c r="BT452" s="80">
        <f t="shared" si="196"/>
        <v>7.1892312169735826</v>
      </c>
      <c r="BU452" s="80">
        <f t="shared" si="197"/>
        <v>8.2273315031061571</v>
      </c>
      <c r="BV452" s="80">
        <f>IFERROR(VLOOKUP($H452,'1. Set Program Names'!$B$2:$D$15,3,0)*V452,"NA")</f>
        <v>0.1555805962259483</v>
      </c>
      <c r="BW452" s="80">
        <f>IFERROR(VLOOKUP($H452,'1. Set Program Names'!$B$2:$D$15,3,0)*W452,"NA")</f>
        <v>0.33005108215821072</v>
      </c>
      <c r="BX452" s="80">
        <f>IFERROR(VLOOKUP($H452,'1. Set Program Names'!$B$2:$D$15,3,0)*X452,"NA")</f>
        <v>0.52175573748429183</v>
      </c>
      <c r="BY452" s="80">
        <f>IFERROR(VLOOKUP($H452,'1. Set Program Names'!$B$2:$D$15,3,0)*Y452,"NA")</f>
        <v>0.72973923160322085</v>
      </c>
      <c r="BZ452" s="80">
        <f>IFERROR(VLOOKUP($H452,'1. Set Program Names'!$B$2:$D$15,3,0)*Z452,"NA")</f>
        <v>0.95277154132678699</v>
      </c>
      <c r="CA452" s="80">
        <f>IFERROR(VLOOKUP($H452,'1. Set Program Names'!$B$2:$D$15,3,0)*AA452,"NA")</f>
        <v>1.189673171452486</v>
      </c>
      <c r="CB452" s="80">
        <f>IFERROR(VLOOKUP($H452,'1. Set Program Names'!$B$2:$D$15,3,0)*AB452,"NA")</f>
        <v>1.4392194307239028</v>
      </c>
      <c r="CC452" s="80">
        <f>IFERROR(VLOOKUP($H452,'1. Set Program Names'!$B$2:$D$15,3,0)*AC452,"NA")</f>
        <v>1.7008439755016256</v>
      </c>
      <c r="CD452" s="80">
        <f>IFERROR(VLOOKUP($H452,'1. Set Program Names'!$B$2:$D$15,3,0)*AD452,"NA")</f>
        <v>1.9745129368738772</v>
      </c>
      <c r="CE452" s="80">
        <f>IFERROR(VLOOKUP($H452,'1. Set Program Names'!$B$2:$D$15,3,0)*AE452,"NA")</f>
        <v>2.2596258206968174</v>
      </c>
    </row>
    <row r="453" spans="1:83" x14ac:dyDescent="0.25">
      <c r="A453" s="79" t="s">
        <v>115</v>
      </c>
      <c r="B453" s="79" t="s">
        <v>88</v>
      </c>
      <c r="C453" s="79" t="s">
        <v>122</v>
      </c>
      <c r="D453" s="79" t="s">
        <v>90</v>
      </c>
      <c r="E453" s="79" t="s">
        <v>91</v>
      </c>
      <c r="F453" s="79" t="s">
        <v>90</v>
      </c>
      <c r="G453" s="79" t="s">
        <v>92</v>
      </c>
      <c r="H453" s="79" t="s">
        <v>18</v>
      </c>
      <c r="I453" s="79" t="s">
        <v>148</v>
      </c>
      <c r="J453" s="79" t="s">
        <v>129</v>
      </c>
      <c r="K453" s="79" t="s">
        <v>98</v>
      </c>
      <c r="L453" s="79">
        <v>552.51399999999899</v>
      </c>
      <c r="M453" s="79">
        <v>0.19160575593909501</v>
      </c>
      <c r="N453" s="79">
        <v>0</v>
      </c>
      <c r="O453" s="79">
        <v>129</v>
      </c>
      <c r="P453" s="79">
        <v>16.0943430226503</v>
      </c>
      <c r="Q453" s="79">
        <v>17.486071456306</v>
      </c>
      <c r="R453" s="79">
        <v>212.35909497904299</v>
      </c>
      <c r="S453" s="79">
        <v>383.33946557666002</v>
      </c>
      <c r="T453" s="79">
        <v>8</v>
      </c>
      <c r="U453" s="79">
        <v>1</v>
      </c>
      <c r="V453" s="79">
        <f>tbl_Data_old[[#This Row],[2025 ]]*IFERROR(AVERAGEIFS('Participation Adjustment'!$C:$C,'Participation Adjustment'!$A:$A,$H453,'Participation Adjustment'!$B:$B,$I453),1)</f>
        <v>49.091148070784605</v>
      </c>
      <c r="W453" s="79">
        <f>tbl_Data_old[[#This Row],[2026 ]]*IFERROR(AVERAGEIFS('Participation Adjustment'!$C:$C,'Participation Adjustment'!$A:$A,$H453,'Participation Adjustment'!$B:$B,$I453),1)</f>
        <v>104.1500742364656</v>
      </c>
      <c r="X453" s="79">
        <f>tbl_Data_old[[#This Row],[2027 ]]*IFERROR(AVERAGEIFS('Participation Adjustment'!$C:$C,'Participation Adjustment'!$A:$A,$H453,'Participation Adjustment'!$B:$B,$I453),1)</f>
        <v>164.57825968449583</v>
      </c>
      <c r="Y453" s="79">
        <f>tbl_Data_old[[#This Row],[2028 ]]*IFERROR(AVERAGEIFS('Participation Adjustment'!$C:$C,'Participation Adjustment'!$A:$A,$H453,'Participation Adjustment'!$B:$B,$I453),1)</f>
        <v>230.05951042542802</v>
      </c>
      <c r="Z453" s="79">
        <f>tbl_Data_old[[#This Row],[2029 ]]*IFERROR(AVERAGEIFS('Participation Adjustment'!$C:$C,'Participation Adjustment'!$A:$A,$H453,'Participation Adjustment'!$B:$B,$I453),1)</f>
        <v>300.22780737795205</v>
      </c>
      <c r="AA453" s="79">
        <f>tbl_Data_old[[#This Row],[2030 ]]*IFERROR(AVERAGEIFS('Participation Adjustment'!$C:$C,'Participation Adjustment'!$A:$A,$H453,'Participation Adjustment'!$B:$B,$I453),1)</f>
        <v>374.70016883587004</v>
      </c>
      <c r="AB453" s="79">
        <f>tbl_Data_old[[#This Row],[2031 ]]*IFERROR(AVERAGEIFS('Participation Adjustment'!$C:$C,'Participation Adjustment'!$A:$A,$H453,'Participation Adjustment'!$B:$B,$I453),1)</f>
        <v>453.11903727939</v>
      </c>
      <c r="AC453" s="79">
        <f>tbl_Data_old[[#This Row],[2032 ]]*IFERROR(AVERAGEIFS('Participation Adjustment'!$C:$C,'Participation Adjustment'!$A:$A,$H453,'Participation Adjustment'!$B:$B,$I453),1)</f>
        <v>535.329042496684</v>
      </c>
      <c r="AD453" s="79">
        <f>tbl_Data_old[[#This Row],[2033 ]]*IFERROR(AVERAGEIFS('Participation Adjustment'!$C:$C,'Participation Adjustment'!$A:$A,$H453,'Participation Adjustment'!$B:$B,$I453),1)</f>
        <v>572.19876732530201</v>
      </c>
      <c r="AE453" s="79">
        <f>tbl_Data_old[[#This Row],[2034 ]]*IFERROR(AVERAGEIFS('Participation Adjustment'!$C:$C,'Participation Adjustment'!$A:$A,$H453,'Participation Adjustment'!$B:$B,$I453),1)</f>
        <v>606.68852066003603</v>
      </c>
      <c r="AF453" s="77" t="str">
        <f t="shared" si="187"/>
        <v>NonResidential</v>
      </c>
      <c r="AG453" s="77" t="str">
        <f>tbl_Data[[#This Row],[All_Meas_Name_Append]]</f>
        <v>High Efficiency PTAC</v>
      </c>
      <c r="AH453" s="77">
        <f>AVERAGEIFS('3. Incentive Adjustment'!G:G,'3. Incentive Adjustment'!A:A,tbl_Data[[#This Row],[Trimmed Sector]],'3. Incentive Adjustment'!B:B,tbl_Data[[#This Row],[Trimmed Measure Name]])</f>
        <v>1.1757614296438725</v>
      </c>
      <c r="AI453" s="77">
        <f>$AH453*tbl_Data[[#This Row],[2025 ]]</f>
        <v>57.719478438564742</v>
      </c>
      <c r="AJ453" s="77">
        <f>$AH453*tbl_Data[[#This Row],[2026 ]]</f>
        <v>122.45564018178224</v>
      </c>
      <c r="AK453" s="77">
        <f>$AH453*tbl_Data[[#This Row],[2027 ]]</f>
        <v>193.50476989494334</v>
      </c>
      <c r="AL453" s="77">
        <f>$AH453*tbl_Data[[#This Row],[2028 ]]</f>
        <v>270.49509888097066</v>
      </c>
      <c r="AM453" s="77">
        <f>$AH453*tbl_Data[[#This Row],[2029 ]]</f>
        <v>352.99627602154607</v>
      </c>
      <c r="AN453" s="77">
        <f>$AH453*tbl_Data[[#This Row],[2030 ]]</f>
        <v>440.558006198263</v>
      </c>
      <c r="AO453" s="77">
        <f>$AH453*tbl_Data[[#This Row],[2031 ]]</f>
        <v>532.75988707047077</v>
      </c>
      <c r="AP453" s="77">
        <f>$AH453*tbl_Data[[#This Row],[2032 ]]</f>
        <v>629.41924033578653</v>
      </c>
      <c r="AQ453" s="77">
        <f>$AH453*tbl_Data[[#This Row],[2033 ]]</f>
        <v>672.76924071085864</v>
      </c>
      <c r="AR453" s="77">
        <f>$AH453*tbl_Data[[#This Row],[2034 ]]</f>
        <v>713.32096239977011</v>
      </c>
      <c r="AS453" s="77">
        <f>SUM(tbl_Data[[#This Row],[Adjusted 2025]:[Adjusted 2034]])</f>
        <v>3985.9986001329562</v>
      </c>
      <c r="AT453" s="80">
        <f>AVERAGEIFS('3. Incentive Adjustment'!F:F,'3. Incentive Adjustment'!A:A,tbl_Data[[#This Row],[Trimmed Sector]],'3. Incentive Adjustment'!B:B,tbl_Data[[#This Row],[Trimmed Measure Name]])</f>
        <v>50</v>
      </c>
      <c r="AU453" s="80">
        <f>IFERROR(VLOOKUP(tbl_Data[[#This Row],[All_Meas_Name_Append]],'IRA Tax Credits'!$A$3:$D$46,4,0),0)</f>
        <v>0</v>
      </c>
      <c r="AV453" s="81">
        <f>tbl_Data[[#This Row],[Adj. per unit Incentive ($)]]/tbl_Data[[#This Row],[kWh Savings]]*tbl_Data[[#This Row],[Sum of Annuals]]</f>
        <v>360.71471493328346</v>
      </c>
      <c r="AW453" s="81">
        <f>IFERROR(VLOOKUP(tbl_Data[[#This Row],[Column1]],'1. Set Program Names'!$B$2:$D$15,3,0)*tbl_Data[[#This Row],[Sum of Annuals]],"")</f>
        <v>126.14966561328873</v>
      </c>
      <c r="AX453" s="81">
        <f>tbl_Data[[#This Row],[per unit IRA tax ($)]]/tbl_Data[[#This Row],[kWh Savings]]*tbl_Data[[#This Row],[Sum of Annuals]]</f>
        <v>0</v>
      </c>
      <c r="AY453" s="81">
        <f>tbl_Data[[#This Row],[Avoided Costs ($/unit)]]/tbl_Data[[#This Row],[kWh Savings]]*tbl_Data[[#This Row],[Sum of Annuals]]</f>
        <v>1532.0210081771113</v>
      </c>
      <c r="AZ453" s="81">
        <f>tbl_Data[[#This Row],[Lost Revenue ($/unit)]]/tbl_Data[[#This Row],[kWh Savings]]*tbl_Data[[#This Row],[Sum of Annuals]]</f>
        <v>2765.5237209632428</v>
      </c>
      <c r="BA453" s="81">
        <f>tbl_Data[[#This Row],[Incremental Cost ($/unit)]]/tbl_Data[[#This Row],[kWh Savings]]*tbl_Data[[#This Row],[Sum of Annuals]]</f>
        <v>930.64396452787128</v>
      </c>
      <c r="BB453" s="77">
        <f>ROUNDUP(tbl_Data[[#This Row],[Adjusted 2025]]/$L453,0)</f>
        <v>1</v>
      </c>
      <c r="BC453" s="77">
        <f>ROUNDUP(tbl_Data[[#This Row],[Adjusted 2026]]/$L453,0)</f>
        <v>1</v>
      </c>
      <c r="BD453" s="77">
        <f>ROUNDUP(tbl_Data[[#This Row],[Adjusted 2027]]/$L453,0)</f>
        <v>1</v>
      </c>
      <c r="BE453" s="77">
        <f>ROUNDUP(tbl_Data[[#This Row],[Adjusted 2028]]/$L453,0)</f>
        <v>1</v>
      </c>
      <c r="BF453" s="77">
        <f>ROUNDUP(tbl_Data[[#This Row],[Adjusted 2029]]/$L453,0)</f>
        <v>1</v>
      </c>
      <c r="BG453" s="77">
        <f>ROUNDUP(tbl_Data[[#This Row],[Adjusted 2030]]/$L453,0)</f>
        <v>1</v>
      </c>
      <c r="BH453" s="77">
        <f>ROUNDUP(tbl_Data[[#This Row],[Adjusted 2031]]/$L453,0)</f>
        <v>1</v>
      </c>
      <c r="BI453" s="77">
        <f>ROUNDUP(tbl_Data[[#This Row],[Adjusted 2032]]/$L453,0)</f>
        <v>2</v>
      </c>
      <c r="BJ453" s="77">
        <f>ROUNDUP(tbl_Data[[#This Row],[Adjusted 2033]]/$L453,0)</f>
        <v>2</v>
      </c>
      <c r="BK453" s="77">
        <f>ROUNDUP(tbl_Data[[#This Row],[Adjusted 2034]]/$L453,0)</f>
        <v>2</v>
      </c>
      <c r="BL453" s="80">
        <f t="shared" si="188"/>
        <v>4.4425252636842414</v>
      </c>
      <c r="BM453" s="80">
        <f t="shared" si="189"/>
        <v>9.4251072585007609</v>
      </c>
      <c r="BN453" s="80">
        <f t="shared" si="190"/>
        <v>14.893582758490838</v>
      </c>
      <c r="BO453" s="80">
        <f t="shared" si="191"/>
        <v>20.819337648044073</v>
      </c>
      <c r="BP453" s="80">
        <f t="shared" si="192"/>
        <v>27.169248867716711</v>
      </c>
      <c r="BQ453" s="80">
        <f t="shared" si="193"/>
        <v>33.908658317786582</v>
      </c>
      <c r="BR453" s="80">
        <f t="shared" si="194"/>
        <v>41.005208671580341</v>
      </c>
      <c r="BS453" s="80">
        <f t="shared" si="195"/>
        <v>48.444839632722882</v>
      </c>
      <c r="BT453" s="80">
        <f t="shared" si="196"/>
        <v>51.781381768181717</v>
      </c>
      <c r="BU453" s="80">
        <f t="shared" si="197"/>
        <v>54.902547325500997</v>
      </c>
      <c r="BV453" s="80">
        <f>IFERROR(VLOOKUP($H453,'1. Set Program Names'!$B$2:$D$15,3,0)*V453,"NA")</f>
        <v>1.5536462841445442</v>
      </c>
      <c r="BW453" s="80">
        <f>IFERROR(VLOOKUP($H453,'1. Set Program Names'!$B$2:$D$15,3,0)*W453,"NA")</f>
        <v>3.2961619801098494</v>
      </c>
      <c r="BX453" s="80">
        <f>IFERROR(VLOOKUP($H453,'1. Set Program Names'!$B$2:$D$15,3,0)*X453,"NA")</f>
        <v>5.2086050471075502</v>
      </c>
      <c r="BY453" s="80">
        <f>IFERROR(VLOOKUP($H453,'1. Set Program Names'!$B$2:$D$15,3,0)*Y453,"NA")</f>
        <v>7.280968515733198</v>
      </c>
      <c r="BZ453" s="80">
        <f>IFERROR(VLOOKUP($H453,'1. Set Program Names'!$B$2:$D$15,3,0)*Z453,"NA")</f>
        <v>9.5016685423010951</v>
      </c>
      <c r="CA453" s="80">
        <f>IFERROR(VLOOKUP($H453,'1. Set Program Names'!$B$2:$D$15,3,0)*AA453,"NA")</f>
        <v>11.858584446645606</v>
      </c>
      <c r="CB453" s="80">
        <f>IFERROR(VLOOKUP($H453,'1. Set Program Names'!$B$2:$D$15,3,0)*AB453,"NA")</f>
        <v>14.340400178239831</v>
      </c>
      <c r="CC453" s="80">
        <f>IFERROR(VLOOKUP($H453,'1. Set Program Names'!$B$2:$D$15,3,0)*AC453,"NA")</f>
        <v>16.942198550141526</v>
      </c>
      <c r="CD453" s="80">
        <f>IFERROR(VLOOKUP($H453,'1. Set Program Names'!$B$2:$D$15,3,0)*AD453,"NA")</f>
        <v>18.109058834093705</v>
      </c>
      <c r="CE453" s="80">
        <f>IFERROR(VLOOKUP($H453,'1. Set Program Names'!$B$2:$D$15,3,0)*AE453,"NA")</f>
        <v>19.200597313338623</v>
      </c>
    </row>
    <row r="454" spans="1:83" x14ac:dyDescent="0.25">
      <c r="A454" s="79" t="s">
        <v>115</v>
      </c>
      <c r="B454" s="79" t="s">
        <v>88</v>
      </c>
      <c r="C454" s="79" t="s">
        <v>122</v>
      </c>
      <c r="D454" s="79" t="s">
        <v>90</v>
      </c>
      <c r="E454" s="79" t="s">
        <v>91</v>
      </c>
      <c r="F454" s="79" t="s">
        <v>90</v>
      </c>
      <c r="G454" s="79" t="s">
        <v>92</v>
      </c>
      <c r="H454" s="79" t="s">
        <v>18</v>
      </c>
      <c r="I454" s="79" t="s">
        <v>149</v>
      </c>
      <c r="J454" s="79" t="s">
        <v>129</v>
      </c>
      <c r="K454" s="79" t="s">
        <v>98</v>
      </c>
      <c r="L454" s="79">
        <v>540.79749999999899</v>
      </c>
      <c r="M454" s="79">
        <v>0.159555976068885</v>
      </c>
      <c r="N454" s="79">
        <v>1.50169234953632E-2</v>
      </c>
      <c r="O454" s="79">
        <v>128.99999999999901</v>
      </c>
      <c r="P454" s="79">
        <v>23.4690947103329</v>
      </c>
      <c r="Q454" s="79">
        <v>17.115265365930298</v>
      </c>
      <c r="R454" s="79">
        <v>204.24936172330499</v>
      </c>
      <c r="S454" s="79">
        <v>375.21044649582399</v>
      </c>
      <c r="T454" s="79">
        <v>8</v>
      </c>
      <c r="U454" s="79">
        <v>1</v>
      </c>
      <c r="V454" s="79">
        <f>tbl_Data_old[[#This Row],[2025 ]]*IFERROR(AVERAGEIFS('Participation Adjustment'!$C:$C,'Participation Adjustment'!$A:$A,$H454,'Participation Adjustment'!$B:$B,$I454),1)</f>
        <v>27.501999312457002</v>
      </c>
      <c r="W454" s="79">
        <f>tbl_Data_old[[#This Row],[2026 ]]*IFERROR(AVERAGEIFS('Participation Adjustment'!$C:$C,'Participation Adjustment'!$A:$A,$H454,'Participation Adjustment'!$B:$B,$I454),1)</f>
        <v>58.405298036572596</v>
      </c>
      <c r="X454" s="79">
        <f>tbl_Data_old[[#This Row],[2027 ]]*IFERROR(AVERAGEIFS('Participation Adjustment'!$C:$C,'Participation Adjustment'!$A:$A,$H454,'Participation Adjustment'!$B:$B,$I454),1)</f>
        <v>92.379634291081601</v>
      </c>
      <c r="Y454" s="79">
        <f>tbl_Data_old[[#This Row],[2028 ]]*IFERROR(AVERAGEIFS('Participation Adjustment'!$C:$C,'Participation Adjustment'!$A:$A,$H454,'Participation Adjustment'!$B:$B,$I454),1)</f>
        <v>129.25078306830761</v>
      </c>
      <c r="Z454" s="79">
        <f>tbl_Data_old[[#This Row],[2029 ]]*IFERROR(AVERAGEIFS('Participation Adjustment'!$C:$C,'Participation Adjustment'!$A:$A,$H454,'Participation Adjustment'!$B:$B,$I454),1)</f>
        <v>168.8146475583616</v>
      </c>
      <c r="AA454" s="79">
        <f>tbl_Data_old[[#This Row],[2030 ]]*IFERROR(AVERAGEIFS('Participation Adjustment'!$C:$C,'Participation Adjustment'!$A:$A,$H454,'Participation Adjustment'!$B:$B,$I454),1)</f>
        <v>210.85599387651001</v>
      </c>
      <c r="AB454" s="79">
        <f>tbl_Data_old[[#This Row],[2031 ]]*IFERROR(AVERAGEIFS('Participation Adjustment'!$C:$C,'Participation Adjustment'!$A:$A,$H454,'Participation Adjustment'!$B:$B,$I454),1)</f>
        <v>255.17267047982401</v>
      </c>
      <c r="AC454" s="79">
        <f>tbl_Data_old[[#This Row],[2032 ]]*IFERROR(AVERAGEIFS('Participation Adjustment'!$C:$C,'Participation Adjustment'!$A:$A,$H454,'Participation Adjustment'!$B:$B,$I454),1)</f>
        <v>301.67592529413002</v>
      </c>
      <c r="AD454" s="79">
        <f>tbl_Data_old[[#This Row],[2033 ]]*IFERROR(AVERAGEIFS('Participation Adjustment'!$C:$C,'Participation Adjustment'!$A:$A,$H454,'Participation Adjustment'!$B:$B,$I454),1)</f>
        <v>322.83971227367601</v>
      </c>
      <c r="AE454" s="79">
        <f>tbl_Data_old[[#This Row],[2034 ]]*IFERROR(AVERAGEIFS('Participation Adjustment'!$C:$C,'Participation Adjustment'!$A:$A,$H454,'Participation Adjustment'!$B:$B,$I454),1)</f>
        <v>342.67092442471602</v>
      </c>
      <c r="AF454" s="77" t="str">
        <f t="shared" si="187"/>
        <v>NonResidential</v>
      </c>
      <c r="AG454" s="77" t="str">
        <f>tbl_Data[[#This Row],[All_Meas_Name_Append]]</f>
        <v>High Efficiency PTHP</v>
      </c>
      <c r="AH454" s="77">
        <f>AVERAGEIFS('3. Incentive Adjustment'!G:G,'3. Incentive Adjustment'!A:A,tbl_Data[[#This Row],[Trimmed Sector]],'3. Incentive Adjustment'!B:B,tbl_Data[[#This Row],[Trimmed Measure Name]])</f>
        <v>1.138194101705527</v>
      </c>
      <c r="AI454" s="77">
        <f>$AH454*tbl_Data[[#This Row],[2025 ]]</f>
        <v>31.302613402548019</v>
      </c>
      <c r="AJ454" s="77">
        <f>$AH454*tbl_Data[[#This Row],[2026 ]]</f>
        <v>66.47656573358033</v>
      </c>
      <c r="AK454" s="77">
        <f>$AH454*tbl_Data[[#This Row],[2027 ]]</f>
        <v>105.14595486782272</v>
      </c>
      <c r="AL454" s="77">
        <f>$AH454*tbl_Data[[#This Row],[2028 ]]</f>
        <v>147.11247892916833</v>
      </c>
      <c r="AM454" s="77">
        <f>$AH454*tbl_Data[[#This Row],[2029 ]]</f>
        <v>192.14383613242452</v>
      </c>
      <c r="AN454" s="77">
        <f>$AH454*tbl_Data[[#This Row],[2030 ]]</f>
        <v>239.99504853950043</v>
      </c>
      <c r="AO454" s="77">
        <f>$AH454*tbl_Data[[#This Row],[2031 ]]</f>
        <v>290.43602845658376</v>
      </c>
      <c r="AP454" s="77">
        <f>$AH454*tbl_Data[[#This Row],[2032 ]]</f>
        <v>343.36575879633602</v>
      </c>
      <c r="AQ454" s="77">
        <f>$AH454*tbl_Data[[#This Row],[2033 ]]</f>
        <v>367.45425630620747</v>
      </c>
      <c r="AR454" s="77">
        <f>$AH454*tbl_Data[[#This Row],[2034 ]]</f>
        <v>390.02602500619219</v>
      </c>
      <c r="AS454" s="77">
        <f>SUM(tbl_Data[[#This Row],[Adjusted 2025]:[Adjusted 2034]])</f>
        <v>2173.4585661703641</v>
      </c>
      <c r="AT454" s="80">
        <f>AVERAGEIFS('3. Incentive Adjustment'!F:F,'3. Incentive Adjustment'!A:A,tbl_Data[[#This Row],[Trimmed Sector]],'3. Incentive Adjustment'!B:B,tbl_Data[[#This Row],[Trimmed Measure Name]])</f>
        <v>50</v>
      </c>
      <c r="AU454" s="80">
        <f>IFERROR(VLOOKUP(tbl_Data[[#This Row],[All_Meas_Name_Append]],'IRA Tax Credits'!$A$3:$D$46,4,0),0)</f>
        <v>0</v>
      </c>
      <c r="AV454" s="81">
        <f>tbl_Data[[#This Row],[Adj. per unit Incentive ($)]]/tbl_Data[[#This Row],[kWh Savings]]*tbl_Data[[#This Row],[Sum of Annuals]]</f>
        <v>200.94939105398677</v>
      </c>
      <c r="AW454" s="81">
        <f>IFERROR(VLOOKUP(tbl_Data[[#This Row],[Column1]],'1. Set Program Names'!$B$2:$D$15,3,0)*tbl_Data[[#This Row],[Sum of Annuals]],"")</f>
        <v>68.786043060221814</v>
      </c>
      <c r="AX454" s="81">
        <f>tbl_Data[[#This Row],[per unit IRA tax ($)]]/tbl_Data[[#This Row],[kWh Savings]]*tbl_Data[[#This Row],[Sum of Annuals]]</f>
        <v>0</v>
      </c>
      <c r="AY454" s="81">
        <f>tbl_Data[[#This Row],[Avoided Costs ($/unit)]]/tbl_Data[[#This Row],[kWh Savings]]*tbl_Data[[#This Row],[Sum of Annuals]]</f>
        <v>820.87569722927219</v>
      </c>
      <c r="AZ454" s="81">
        <f>tbl_Data[[#This Row],[Lost Revenue ($/unit)]]/tbl_Data[[#This Row],[kWh Savings]]*tbl_Data[[#This Row],[Sum of Annuals]]</f>
        <v>1507.9662148086061</v>
      </c>
      <c r="BA454" s="81">
        <f>tbl_Data[[#This Row],[Incremental Cost ($/unit)]]/tbl_Data[[#This Row],[kWh Savings]]*tbl_Data[[#This Row],[Sum of Annuals]]</f>
        <v>518.4494289192819</v>
      </c>
      <c r="BB454" s="77">
        <f>ROUNDUP(tbl_Data[[#This Row],[Adjusted 2025]]/$L454,0)</f>
        <v>1</v>
      </c>
      <c r="BC454" s="77">
        <f>ROUNDUP(tbl_Data[[#This Row],[Adjusted 2026]]/$L454,0)</f>
        <v>1</v>
      </c>
      <c r="BD454" s="77">
        <f>ROUNDUP(tbl_Data[[#This Row],[Adjusted 2027]]/$L454,0)</f>
        <v>1</v>
      </c>
      <c r="BE454" s="77">
        <f>ROUNDUP(tbl_Data[[#This Row],[Adjusted 2028]]/$L454,0)</f>
        <v>1</v>
      </c>
      <c r="BF454" s="77">
        <f>ROUNDUP(tbl_Data[[#This Row],[Adjusted 2029]]/$L454,0)</f>
        <v>1</v>
      </c>
      <c r="BG454" s="77">
        <f>ROUNDUP(tbl_Data[[#This Row],[Adjusted 2030]]/$L454,0)</f>
        <v>1</v>
      </c>
      <c r="BH454" s="77">
        <f>ROUNDUP(tbl_Data[[#This Row],[Adjusted 2031]]/$L454,0)</f>
        <v>1</v>
      </c>
      <c r="BI454" s="77">
        <f>ROUNDUP(tbl_Data[[#This Row],[Adjusted 2032]]/$L454,0)</f>
        <v>1</v>
      </c>
      <c r="BJ454" s="77">
        <f>ROUNDUP(tbl_Data[[#This Row],[Adjusted 2033]]/$L454,0)</f>
        <v>1</v>
      </c>
      <c r="BK454" s="77">
        <f>ROUNDUP(tbl_Data[[#This Row],[Adjusted 2034]]/$L454,0)</f>
        <v>1</v>
      </c>
      <c r="BL454" s="80">
        <f t="shared" si="188"/>
        <v>2.5427261879406853</v>
      </c>
      <c r="BM454" s="80">
        <f t="shared" si="189"/>
        <v>5.3999230799488442</v>
      </c>
      <c r="BN454" s="80">
        <f t="shared" si="190"/>
        <v>8.5410559674445405</v>
      </c>
      <c r="BO454" s="80">
        <f t="shared" si="191"/>
        <v>11.950016694632266</v>
      </c>
      <c r="BP454" s="80">
        <f t="shared" si="192"/>
        <v>15.607935276916212</v>
      </c>
      <c r="BQ454" s="80">
        <f t="shared" si="193"/>
        <v>19.494912039766309</v>
      </c>
      <c r="BR454" s="80">
        <f t="shared" si="194"/>
        <v>23.592256850283562</v>
      </c>
      <c r="BS454" s="80">
        <f t="shared" si="195"/>
        <v>27.891764042375435</v>
      </c>
      <c r="BT454" s="80">
        <f t="shared" si="196"/>
        <v>29.848484162156502</v>
      </c>
      <c r="BU454" s="80">
        <f t="shared" si="197"/>
        <v>31.681999678689035</v>
      </c>
      <c r="BV454" s="80">
        <f>IFERROR(VLOOKUP($H454,'1. Set Program Names'!$B$2:$D$15,3,0)*V454,"NA")</f>
        <v>0.87038866919010549</v>
      </c>
      <c r="BW454" s="80">
        <f>IFERROR(VLOOKUP($H454,'1. Set Program Names'!$B$2:$D$15,3,0)*W454,"NA")</f>
        <v>1.8484223293787265</v>
      </c>
      <c r="BX454" s="80">
        <f>IFERROR(VLOOKUP($H454,'1. Set Program Names'!$B$2:$D$15,3,0)*X454,"NA")</f>
        <v>2.9236487877615231</v>
      </c>
      <c r="BY454" s="80">
        <f>IFERROR(VLOOKUP($H454,'1. Set Program Names'!$B$2:$D$15,3,0)*Y454,"NA")</f>
        <v>4.0905541371185787</v>
      </c>
      <c r="BZ454" s="80">
        <f>IFERROR(VLOOKUP($H454,'1. Set Program Names'!$B$2:$D$15,3,0)*Z454,"NA")</f>
        <v>5.3426790815737268</v>
      </c>
      <c r="CA454" s="80">
        <f>IFERROR(VLOOKUP($H454,'1. Set Program Names'!$B$2:$D$15,3,0)*AA454,"NA")</f>
        <v>6.6732118569214123</v>
      </c>
      <c r="CB454" s="80">
        <f>IFERROR(VLOOKUP($H454,'1. Set Program Names'!$B$2:$D$15,3,0)*AB454,"NA")</f>
        <v>8.0757547314758185</v>
      </c>
      <c r="CC454" s="80">
        <f>IFERROR(VLOOKUP($H454,'1. Set Program Names'!$B$2:$D$15,3,0)*AC454,"NA")</f>
        <v>9.5474988621833869</v>
      </c>
      <c r="CD454" s="80">
        <f>IFERROR(VLOOKUP($H454,'1. Set Program Names'!$B$2:$D$15,3,0)*AD454,"NA")</f>
        <v>10.217294544121547</v>
      </c>
      <c r="CE454" s="80">
        <f>IFERROR(VLOOKUP($H454,'1. Set Program Names'!$B$2:$D$15,3,0)*AE454,"NA")</f>
        <v>10.844916636481649</v>
      </c>
    </row>
    <row r="455" spans="1:83" x14ac:dyDescent="0.25">
      <c r="A455" s="79" t="s">
        <v>115</v>
      </c>
      <c r="B455" s="79" t="s">
        <v>88</v>
      </c>
      <c r="C455" s="79" t="s">
        <v>122</v>
      </c>
      <c r="D455" s="79" t="s">
        <v>90</v>
      </c>
      <c r="E455" s="79" t="s">
        <v>91</v>
      </c>
      <c r="F455" s="79" t="s">
        <v>90</v>
      </c>
      <c r="G455" s="79" t="s">
        <v>92</v>
      </c>
      <c r="H455" s="79" t="s">
        <v>18</v>
      </c>
      <c r="I455" s="79" t="s">
        <v>157</v>
      </c>
      <c r="J455" s="79" t="s">
        <v>158</v>
      </c>
      <c r="K455" s="79" t="s">
        <v>159</v>
      </c>
      <c r="L455" s="79">
        <v>562.52000000000032</v>
      </c>
      <c r="M455" s="79">
        <v>0</v>
      </c>
      <c r="N455" s="79">
        <v>2.7796637938074218E-2</v>
      </c>
      <c r="O455" s="79">
        <v>169</v>
      </c>
      <c r="P455" s="79">
        <v>53.285725702774094</v>
      </c>
      <c r="Q455" s="79"/>
      <c r="R455" s="79">
        <v>275.37363005821356</v>
      </c>
      <c r="S455" s="79">
        <v>610.96426176974103</v>
      </c>
      <c r="T455" s="79">
        <v>15</v>
      </c>
      <c r="U455" s="79">
        <v>0.2</v>
      </c>
      <c r="V455" s="79">
        <f>tbl_Data_old[[#This Row],[2025 ]]*IFERROR(AVERAGEIFS('Participation Adjustment'!$C:$C,'Participation Adjustment'!$A:$A,$H455,'Participation Adjustment'!$B:$B,$I455),1)</f>
        <v>0</v>
      </c>
      <c r="W455" s="79">
        <f>tbl_Data_old[[#This Row],[2026 ]]*IFERROR(AVERAGEIFS('Participation Adjustment'!$C:$C,'Participation Adjustment'!$A:$A,$H455,'Participation Adjustment'!$B:$B,$I455),1)</f>
        <v>0</v>
      </c>
      <c r="X455" s="79">
        <f>tbl_Data_old[[#This Row],[2027 ]]*IFERROR(AVERAGEIFS('Participation Adjustment'!$C:$C,'Participation Adjustment'!$A:$A,$H455,'Participation Adjustment'!$B:$B,$I455),1)</f>
        <v>0</v>
      </c>
      <c r="Y455" s="79">
        <f>tbl_Data_old[[#This Row],[2028 ]]*IFERROR(AVERAGEIFS('Participation Adjustment'!$C:$C,'Participation Adjustment'!$A:$A,$H455,'Participation Adjustment'!$B:$B,$I455),1)</f>
        <v>0</v>
      </c>
      <c r="Z455" s="79">
        <f>tbl_Data_old[[#This Row],[2029 ]]*IFERROR(AVERAGEIFS('Participation Adjustment'!$C:$C,'Participation Adjustment'!$A:$A,$H455,'Participation Adjustment'!$B:$B,$I455),1)</f>
        <v>0</v>
      </c>
      <c r="AA455" s="79">
        <f>tbl_Data_old[[#This Row],[2030 ]]*IFERROR(AVERAGEIFS('Participation Adjustment'!$C:$C,'Participation Adjustment'!$A:$A,$H455,'Participation Adjustment'!$B:$B,$I455),1)</f>
        <v>0</v>
      </c>
      <c r="AB455" s="79">
        <f>tbl_Data_old[[#This Row],[2031 ]]*IFERROR(AVERAGEIFS('Participation Adjustment'!$C:$C,'Participation Adjustment'!$A:$A,$H455,'Participation Adjustment'!$B:$B,$I455),1)</f>
        <v>0</v>
      </c>
      <c r="AC455" s="79">
        <f>tbl_Data_old[[#This Row],[2032 ]]*IFERROR(AVERAGEIFS('Participation Adjustment'!$C:$C,'Participation Adjustment'!$A:$A,$H455,'Participation Adjustment'!$B:$B,$I455),1)</f>
        <v>0</v>
      </c>
      <c r="AD455" s="79">
        <f>tbl_Data_old[[#This Row],[2033 ]]*IFERROR(AVERAGEIFS('Participation Adjustment'!$C:$C,'Participation Adjustment'!$A:$A,$H455,'Participation Adjustment'!$B:$B,$I455),1)</f>
        <v>0</v>
      </c>
      <c r="AE455" s="79">
        <f>tbl_Data_old[[#This Row],[2034 ]]*IFERROR(AVERAGEIFS('Participation Adjustment'!$C:$C,'Participation Adjustment'!$A:$A,$H455,'Participation Adjustment'!$B:$B,$I455),1)</f>
        <v>0</v>
      </c>
      <c r="AF455" s="77" t="str">
        <f t="shared" si="187"/>
        <v>NonResidential</v>
      </c>
      <c r="AG455" s="77" t="str">
        <f>tbl_Data[[#This Row],[All_Meas_Name_Append]]</f>
        <v>LED Exterior Wall Packs</v>
      </c>
      <c r="AH455" s="77">
        <f>AVERAGEIFS('3. Incentive Adjustment'!G:G,'3. Incentive Adjustment'!A:A,tbl_Data[[#This Row],[Trimmed Sector]],'3. Incentive Adjustment'!B:B,tbl_Data[[#This Row],[Trimmed Measure Name]])</f>
        <v>0.80637708305213962</v>
      </c>
      <c r="AI455" s="77">
        <f>$AH455*tbl_Data[[#This Row],[2025 ]]</f>
        <v>0</v>
      </c>
      <c r="AJ455" s="77">
        <f>$AH455*tbl_Data[[#This Row],[2026 ]]</f>
        <v>0</v>
      </c>
      <c r="AK455" s="77">
        <f>$AH455*tbl_Data[[#This Row],[2027 ]]</f>
        <v>0</v>
      </c>
      <c r="AL455" s="77">
        <f>$AH455*tbl_Data[[#This Row],[2028 ]]</f>
        <v>0</v>
      </c>
      <c r="AM455" s="77">
        <f>$AH455*tbl_Data[[#This Row],[2029 ]]</f>
        <v>0</v>
      </c>
      <c r="AN455" s="77">
        <f>$AH455*tbl_Data[[#This Row],[2030 ]]</f>
        <v>0</v>
      </c>
      <c r="AO455" s="77">
        <f>$AH455*tbl_Data[[#This Row],[2031 ]]</f>
        <v>0</v>
      </c>
      <c r="AP455" s="77">
        <f>$AH455*tbl_Data[[#This Row],[2032 ]]</f>
        <v>0</v>
      </c>
      <c r="AQ455" s="77">
        <f>$AH455*tbl_Data[[#This Row],[2033 ]]</f>
        <v>0</v>
      </c>
      <c r="AR455" s="77">
        <f>$AH455*tbl_Data[[#This Row],[2034 ]]</f>
        <v>0</v>
      </c>
      <c r="AS455" s="77">
        <f>SUM(tbl_Data[[#This Row],[Adjusted 2025]:[Adjusted 2034]])</f>
        <v>0</v>
      </c>
      <c r="AT455" s="80">
        <f>AVERAGEIFS('3. Incentive Adjustment'!F:F,'3. Incentive Adjustment'!A:A,tbl_Data[[#This Row],[Trimmed Sector]],'3. Incentive Adjustment'!B:B,tbl_Data[[#This Row],[Trimmed Measure Name]])</f>
        <v>8.6864493556481861</v>
      </c>
      <c r="AU455" s="80">
        <f>IFERROR(VLOOKUP(tbl_Data[[#This Row],[All_Meas_Name_Append]],'IRA Tax Credits'!$A$3:$D$46,4,0),0)</f>
        <v>0</v>
      </c>
      <c r="AV455" s="81">
        <f>tbl_Data[[#This Row],[Adj. per unit Incentive ($)]]/tbl_Data[[#This Row],[kWh Savings]]*tbl_Data[[#This Row],[Sum of Annuals]]</f>
        <v>0</v>
      </c>
      <c r="AW455" s="81">
        <f>IFERROR(VLOOKUP(tbl_Data[[#This Row],[Column1]],'1. Set Program Names'!$B$2:$D$15,3,0)*tbl_Data[[#This Row],[Sum of Annuals]],"")</f>
        <v>0</v>
      </c>
      <c r="AX455" s="81">
        <f>tbl_Data[[#This Row],[per unit IRA tax ($)]]/tbl_Data[[#This Row],[kWh Savings]]*tbl_Data[[#This Row],[Sum of Annuals]]</f>
        <v>0</v>
      </c>
      <c r="AY455" s="81">
        <f>tbl_Data[[#This Row],[Avoided Costs ($/unit)]]/tbl_Data[[#This Row],[kWh Savings]]*tbl_Data[[#This Row],[Sum of Annuals]]</f>
        <v>0</v>
      </c>
      <c r="AZ455" s="81">
        <f>tbl_Data[[#This Row],[Lost Revenue ($/unit)]]/tbl_Data[[#This Row],[kWh Savings]]*tbl_Data[[#This Row],[Sum of Annuals]]</f>
        <v>0</v>
      </c>
      <c r="BA455" s="81">
        <f>tbl_Data[[#This Row],[Incremental Cost ($/unit)]]/tbl_Data[[#This Row],[kWh Savings]]*tbl_Data[[#This Row],[Sum of Annuals]]</f>
        <v>0</v>
      </c>
      <c r="BB455" s="77">
        <f>ROUNDUP(tbl_Data[[#This Row],[Adjusted 2025]]/$L455,0)</f>
        <v>0</v>
      </c>
      <c r="BC455" s="77">
        <f>ROUNDUP(tbl_Data[[#This Row],[Adjusted 2026]]/$L455,0)</f>
        <v>0</v>
      </c>
      <c r="BD455" s="77">
        <f>ROUNDUP(tbl_Data[[#This Row],[Adjusted 2027]]/$L455,0)</f>
        <v>0</v>
      </c>
      <c r="BE455" s="77">
        <f>ROUNDUP(tbl_Data[[#This Row],[Adjusted 2028]]/$L455,0)</f>
        <v>0</v>
      </c>
      <c r="BF455" s="77">
        <f>ROUNDUP(tbl_Data[[#This Row],[Adjusted 2029]]/$L455,0)</f>
        <v>0</v>
      </c>
      <c r="BG455" s="77">
        <f>ROUNDUP(tbl_Data[[#This Row],[Adjusted 2030]]/$L455,0)</f>
        <v>0</v>
      </c>
      <c r="BH455" s="77">
        <f>ROUNDUP(tbl_Data[[#This Row],[Adjusted 2031]]/$L455,0)</f>
        <v>0</v>
      </c>
      <c r="BI455" s="77">
        <f>ROUNDUP(tbl_Data[[#This Row],[Adjusted 2032]]/$L455,0)</f>
        <v>0</v>
      </c>
      <c r="BJ455" s="77">
        <f>ROUNDUP(tbl_Data[[#This Row],[Adjusted 2033]]/$L455,0)</f>
        <v>0</v>
      </c>
      <c r="BK455" s="77">
        <f>ROUNDUP(tbl_Data[[#This Row],[Adjusted 2034]]/$L455,0)</f>
        <v>0</v>
      </c>
      <c r="BL455" s="80">
        <f t="shared" si="188"/>
        <v>0</v>
      </c>
      <c r="BM455" s="80">
        <f t="shared" si="189"/>
        <v>0</v>
      </c>
      <c r="BN455" s="80">
        <f t="shared" si="190"/>
        <v>0</v>
      </c>
      <c r="BO455" s="80">
        <f t="shared" si="191"/>
        <v>0</v>
      </c>
      <c r="BP455" s="80">
        <f t="shared" si="192"/>
        <v>0</v>
      </c>
      <c r="BQ455" s="80">
        <f t="shared" si="193"/>
        <v>0</v>
      </c>
      <c r="BR455" s="80">
        <f t="shared" si="194"/>
        <v>0</v>
      </c>
      <c r="BS455" s="80">
        <f t="shared" si="195"/>
        <v>0</v>
      </c>
      <c r="BT455" s="80">
        <f t="shared" si="196"/>
        <v>0</v>
      </c>
      <c r="BU455" s="80">
        <f t="shared" si="197"/>
        <v>0</v>
      </c>
      <c r="BV455" s="80">
        <f>IFERROR(VLOOKUP($H455,'1. Set Program Names'!$B$2:$D$15,3,0)*V455,"NA")</f>
        <v>0</v>
      </c>
      <c r="BW455" s="80">
        <f>IFERROR(VLOOKUP($H455,'1. Set Program Names'!$B$2:$D$15,3,0)*W455,"NA")</f>
        <v>0</v>
      </c>
      <c r="BX455" s="80">
        <f>IFERROR(VLOOKUP($H455,'1. Set Program Names'!$B$2:$D$15,3,0)*X455,"NA")</f>
        <v>0</v>
      </c>
      <c r="BY455" s="80">
        <f>IFERROR(VLOOKUP($H455,'1. Set Program Names'!$B$2:$D$15,3,0)*Y455,"NA")</f>
        <v>0</v>
      </c>
      <c r="BZ455" s="80">
        <f>IFERROR(VLOOKUP($H455,'1. Set Program Names'!$B$2:$D$15,3,0)*Z455,"NA")</f>
        <v>0</v>
      </c>
      <c r="CA455" s="80">
        <f>IFERROR(VLOOKUP($H455,'1. Set Program Names'!$B$2:$D$15,3,0)*AA455,"NA")</f>
        <v>0</v>
      </c>
      <c r="CB455" s="80">
        <f>IFERROR(VLOOKUP($H455,'1. Set Program Names'!$B$2:$D$15,3,0)*AB455,"NA")</f>
        <v>0</v>
      </c>
      <c r="CC455" s="80">
        <f>IFERROR(VLOOKUP($H455,'1. Set Program Names'!$B$2:$D$15,3,0)*AC455,"NA")</f>
        <v>0</v>
      </c>
      <c r="CD455" s="80">
        <f>IFERROR(VLOOKUP($H455,'1. Set Program Names'!$B$2:$D$15,3,0)*AD455,"NA")</f>
        <v>0</v>
      </c>
      <c r="CE455" s="80">
        <f>IFERROR(VLOOKUP($H455,'1. Set Program Names'!$B$2:$D$15,3,0)*AE455,"NA")</f>
        <v>0</v>
      </c>
    </row>
    <row r="456" spans="1:83" x14ac:dyDescent="0.25">
      <c r="A456" s="79" t="s">
        <v>115</v>
      </c>
      <c r="B456" s="79" t="s">
        <v>88</v>
      </c>
      <c r="C456" s="79" t="s">
        <v>122</v>
      </c>
      <c r="D456" s="79" t="s">
        <v>90</v>
      </c>
      <c r="E456" s="79" t="s">
        <v>91</v>
      </c>
      <c r="F456" s="79" t="s">
        <v>90</v>
      </c>
      <c r="G456" s="79" t="s">
        <v>92</v>
      </c>
      <c r="H456" s="79" t="s">
        <v>18</v>
      </c>
      <c r="I456" s="79" t="s">
        <v>160</v>
      </c>
      <c r="J456" s="79" t="s">
        <v>161</v>
      </c>
      <c r="K456" s="79" t="s">
        <v>159</v>
      </c>
      <c r="L456" s="79">
        <v>1059.6621428571407</v>
      </c>
      <c r="M456" s="79">
        <v>0.13879011985330975</v>
      </c>
      <c r="N456" s="79">
        <v>0.14661252282673942</v>
      </c>
      <c r="O456" s="79">
        <v>179</v>
      </c>
      <c r="P456" s="79">
        <v>5.0437849584490522</v>
      </c>
      <c r="Q456" s="79"/>
      <c r="R456" s="79">
        <v>417.01467834907817</v>
      </c>
      <c r="S456" s="79">
        <v>1150.9203207638036</v>
      </c>
      <c r="T456" s="79">
        <v>15</v>
      </c>
      <c r="U456" s="79">
        <v>0.2</v>
      </c>
      <c r="V456" s="79">
        <f>tbl_Data_old[[#This Row],[2025 ]]*IFERROR(AVERAGEIFS('Participation Adjustment'!$C:$C,'Participation Adjustment'!$A:$A,$H456,'Participation Adjustment'!$B:$B,$I456),1)</f>
        <v>4.2868801571502102</v>
      </c>
      <c r="W456" s="79">
        <f>tbl_Data_old[[#This Row],[2026 ]]*IFERROR(AVERAGEIFS('Participation Adjustment'!$C:$C,'Participation Adjustment'!$A:$A,$H456,'Participation Adjustment'!$B:$B,$I456),1)</f>
        <v>8.9529496914408906</v>
      </c>
      <c r="X456" s="79">
        <f>tbl_Data_old[[#This Row],[2027 ]]*IFERROR(AVERAGEIFS('Participation Adjustment'!$C:$C,'Participation Adjustment'!$A:$A,$H456,'Participation Adjustment'!$B:$B,$I456),1)</f>
        <v>13.919876399807499</v>
      </c>
      <c r="Y456" s="79">
        <f>tbl_Data_old[[#This Row],[2028 ]]*IFERROR(AVERAGEIFS('Participation Adjustment'!$C:$C,'Participation Adjustment'!$A:$A,$H456,'Participation Adjustment'!$B:$B,$I456),1)</f>
        <v>19.138872798766101</v>
      </c>
      <c r="Z456" s="79">
        <f>tbl_Data_old[[#This Row],[2029 ]]*IFERROR(AVERAGEIFS('Participation Adjustment'!$C:$C,'Participation Adjustment'!$A:$A,$H456,'Participation Adjustment'!$B:$B,$I456),1)</f>
        <v>24.561376779887397</v>
      </c>
      <c r="AA456" s="79">
        <f>tbl_Data_old[[#This Row],[2030 ]]*IFERROR(AVERAGEIFS('Participation Adjustment'!$C:$C,'Participation Adjustment'!$A:$A,$H456,'Participation Adjustment'!$B:$B,$I456),1)</f>
        <v>30.140320045780399</v>
      </c>
      <c r="AB456" s="79">
        <f>tbl_Data_old[[#This Row],[2031 ]]*IFERROR(AVERAGEIFS('Participation Adjustment'!$C:$C,'Participation Adjustment'!$A:$A,$H456,'Participation Adjustment'!$B:$B,$I456),1)</f>
        <v>35.834784066127902</v>
      </c>
      <c r="AC456" s="79">
        <f>tbl_Data_old[[#This Row],[2032 ]]*IFERROR(AVERAGEIFS('Participation Adjustment'!$C:$C,'Participation Adjustment'!$A:$A,$H456,'Participation Adjustment'!$B:$B,$I456),1)</f>
        <v>41.621096549817096</v>
      </c>
      <c r="AD456" s="79">
        <f>tbl_Data_old[[#This Row],[2033 ]]*IFERROR(AVERAGEIFS('Participation Adjustment'!$C:$C,'Participation Adjustment'!$A:$A,$H456,'Participation Adjustment'!$B:$B,$I456),1)</f>
        <v>47.484107047937997</v>
      </c>
      <c r="AE456" s="79">
        <f>tbl_Data_old[[#This Row],[2034 ]]*IFERROR(AVERAGEIFS('Participation Adjustment'!$C:$C,'Participation Adjustment'!$A:$A,$H456,'Participation Adjustment'!$B:$B,$I456),1)</f>
        <v>53.402519198690001</v>
      </c>
      <c r="AF456" s="77" t="str">
        <f t="shared" si="187"/>
        <v>NonResidential</v>
      </c>
      <c r="AG456" s="77" t="str">
        <f>tbl_Data[[#This Row],[All_Meas_Name_Append]]</f>
        <v>LED High Bay_HID Baseline</v>
      </c>
      <c r="AH456" s="77">
        <f>AVERAGEIFS('3. Incentive Adjustment'!G:G,'3. Incentive Adjustment'!A:A,tbl_Data[[#This Row],[Trimmed Sector]],'3. Incentive Adjustment'!B:B,tbl_Data[[#This Row],[Trimmed Measure Name]])</f>
        <v>1.0603846876879557</v>
      </c>
      <c r="AI456" s="77">
        <f>$AH456*tbl_Data[[#This Row],[2025 ]]</f>
        <v>4.5457420765954204</v>
      </c>
      <c r="AJ456" s="77">
        <f>$AH456*tbl_Data[[#This Row],[2026 ]]</f>
        <v>9.4935707624445271</v>
      </c>
      <c r="AK456" s="77">
        <f>$AH456*tbl_Data[[#This Row],[2027 ]]</f>
        <v>14.76042378886482</v>
      </c>
      <c r="AL456" s="77">
        <f>$AH456*tbl_Data[[#This Row],[2028 ]]</f>
        <v>20.294567655419101</v>
      </c>
      <c r="AM456" s="77">
        <f>$AH456*tbl_Data[[#This Row],[2029 ]]</f>
        <v>26.044507845927104</v>
      </c>
      <c r="AN456" s="77">
        <f>$AH456*tbl_Data[[#This Row],[2030 ]]</f>
        <v>31.960333858559878</v>
      </c>
      <c r="AO456" s="77">
        <f>$AH456*tbl_Data[[#This Row],[2031 ]]</f>
        <v>37.998656310326368</v>
      </c>
      <c r="AP456" s="77">
        <f>$AH456*tbl_Data[[#This Row],[2032 ]]</f>
        <v>44.134373466208054</v>
      </c>
      <c r="AQ456" s="77">
        <f>$AH456*tbl_Data[[#This Row],[2033 ]]</f>
        <v>50.351420022169187</v>
      </c>
      <c r="AR456" s="77">
        <f>$AH456*tbl_Data[[#This Row],[2034 ]]</f>
        <v>56.627213642252954</v>
      </c>
      <c r="AS456" s="77">
        <f>SUM(tbl_Data[[#This Row],[Adjusted 2025]:[Adjusted 2034]])</f>
        <v>296.21080942876739</v>
      </c>
      <c r="AT456" s="80">
        <f>AVERAGEIFS('3. Incentive Adjustment'!F:F,'3. Incentive Adjustment'!A:A,tbl_Data[[#This Row],[Trimmed Sector]],'3. Incentive Adjustment'!B:B,tbl_Data[[#This Row],[Trimmed Measure Name]])</f>
        <v>28.590998621954778</v>
      </c>
      <c r="AU456" s="80">
        <f>IFERROR(VLOOKUP(tbl_Data[[#This Row],[All_Meas_Name_Append]],'IRA Tax Credits'!$A$3:$D$46,4,0),0)</f>
        <v>0</v>
      </c>
      <c r="AV456" s="81">
        <f>tbl_Data[[#This Row],[Adj. per unit Incentive ($)]]/tbl_Data[[#This Row],[kWh Savings]]*tbl_Data[[#This Row],[Sum of Annuals]]</f>
        <v>7.9921349472307694</v>
      </c>
      <c r="AW456" s="81">
        <f>IFERROR(VLOOKUP(tbl_Data[[#This Row],[Column1]],'1. Set Program Names'!$B$2:$D$15,3,0)*tbl_Data[[#This Row],[Sum of Annuals]],"")</f>
        <v>9.3745378032080087</v>
      </c>
      <c r="AX456" s="81">
        <f>tbl_Data[[#This Row],[per unit IRA tax ($)]]/tbl_Data[[#This Row],[kWh Savings]]*tbl_Data[[#This Row],[Sum of Annuals]]</f>
        <v>0</v>
      </c>
      <c r="AY456" s="81">
        <f>tbl_Data[[#This Row],[Avoided Costs ($/unit)]]/tbl_Data[[#This Row],[kWh Savings]]*tbl_Data[[#This Row],[Sum of Annuals]]</f>
        <v>116.56947098666953</v>
      </c>
      <c r="AZ456" s="81">
        <f>tbl_Data[[#This Row],[Lost Revenue ($/unit)]]/tbl_Data[[#This Row],[kWh Savings]]*tbl_Data[[#This Row],[Sum of Annuals]]</f>
        <v>321.72050506802299</v>
      </c>
      <c r="BA456" s="81">
        <f>tbl_Data[[#This Row],[Incremental Cost ($/unit)]]/tbl_Data[[#This Row],[kWh Savings]]*tbl_Data[[#This Row],[Sum of Annuals]]</f>
        <v>50.036452887510144</v>
      </c>
      <c r="BB456" s="77">
        <f>ROUNDUP(tbl_Data[[#This Row],[Adjusted 2025]]/$L456,0)</f>
        <v>1</v>
      </c>
      <c r="BC456" s="77">
        <f>ROUNDUP(tbl_Data[[#This Row],[Adjusted 2026]]/$L456,0)</f>
        <v>1</v>
      </c>
      <c r="BD456" s="77">
        <f>ROUNDUP(tbl_Data[[#This Row],[Adjusted 2027]]/$L456,0)</f>
        <v>1</v>
      </c>
      <c r="BE456" s="77">
        <f>ROUNDUP(tbl_Data[[#This Row],[Adjusted 2028]]/$L456,0)</f>
        <v>1</v>
      </c>
      <c r="BF456" s="77">
        <f>ROUNDUP(tbl_Data[[#This Row],[Adjusted 2029]]/$L456,0)</f>
        <v>1</v>
      </c>
      <c r="BG456" s="77">
        <f>ROUNDUP(tbl_Data[[#This Row],[Adjusted 2030]]/$L456,0)</f>
        <v>1</v>
      </c>
      <c r="BH456" s="77">
        <f>ROUNDUP(tbl_Data[[#This Row],[Adjusted 2031]]/$L456,0)</f>
        <v>1</v>
      </c>
      <c r="BI456" s="77">
        <f>ROUNDUP(tbl_Data[[#This Row],[Adjusted 2032]]/$L456,0)</f>
        <v>1</v>
      </c>
      <c r="BJ456" s="77">
        <f>ROUNDUP(tbl_Data[[#This Row],[Adjusted 2033]]/$L456,0)</f>
        <v>1</v>
      </c>
      <c r="BK456" s="77">
        <f>ROUNDUP(tbl_Data[[#This Row],[Adjusted 2034]]/$L456,0)</f>
        <v>1</v>
      </c>
      <c r="BL456" s="80">
        <f t="shared" si="188"/>
        <v>0.11566534247896673</v>
      </c>
      <c r="BM456" s="80">
        <f t="shared" si="189"/>
        <v>0.24156168455753382</v>
      </c>
      <c r="BN456" s="80">
        <f t="shared" si="190"/>
        <v>0.37557552626312096</v>
      </c>
      <c r="BO456" s="80">
        <f t="shared" si="191"/>
        <v>0.51639052079362679</v>
      </c>
      <c r="BP456" s="80">
        <f t="shared" si="192"/>
        <v>0.66269640224539472</v>
      </c>
      <c r="BQ456" s="80">
        <f t="shared" si="193"/>
        <v>0.81322320958894534</v>
      </c>
      <c r="BR456" s="80">
        <f t="shared" si="194"/>
        <v>0.96686691013631498</v>
      </c>
      <c r="BS456" s="80">
        <f t="shared" si="195"/>
        <v>1.1229887961190446</v>
      </c>
      <c r="BT456" s="80">
        <f t="shared" si="196"/>
        <v>1.2811800896386056</v>
      </c>
      <c r="BU456" s="80">
        <f t="shared" si="197"/>
        <v>1.4408661884455947</v>
      </c>
      <c r="BV456" s="80">
        <f>IFERROR(VLOOKUP($H456,'1. Set Program Names'!$B$2:$D$15,3,0)*V456,"NA")</f>
        <v>0.13567202415241772</v>
      </c>
      <c r="BW456" s="80">
        <f>IFERROR(VLOOKUP($H456,'1. Set Program Names'!$B$2:$D$15,3,0)*W456,"NA")</f>
        <v>0.28334470809653378</v>
      </c>
      <c r="BX456" s="80">
        <f>IFERROR(VLOOKUP($H456,'1. Set Program Names'!$B$2:$D$15,3,0)*X456,"NA")</f>
        <v>0.44053897890366872</v>
      </c>
      <c r="BY456" s="80">
        <f>IFERROR(VLOOKUP($H456,'1. Set Program Names'!$B$2:$D$15,3,0)*Y456,"NA")</f>
        <v>0.60571080072609107</v>
      </c>
      <c r="BZ456" s="80">
        <f>IFERROR(VLOOKUP($H456,'1. Set Program Names'!$B$2:$D$15,3,0)*Z456,"NA")</f>
        <v>0.77732327043000948</v>
      </c>
      <c r="CA456" s="80">
        <f>IFERROR(VLOOKUP($H456,'1. Set Program Names'!$B$2:$D$15,3,0)*AA456,"NA")</f>
        <v>0.9538867613064077</v>
      </c>
      <c r="CB456" s="80">
        <f>IFERROR(VLOOKUP($H456,'1. Set Program Names'!$B$2:$D$15,3,0)*AB456,"NA")</f>
        <v>1.1341062756809939</v>
      </c>
      <c r="CC456" s="80">
        <f>IFERROR(VLOOKUP($H456,'1. Set Program Names'!$B$2:$D$15,3,0)*AC456,"NA")</f>
        <v>1.3172326282409377</v>
      </c>
      <c r="CD456" s="80">
        <f>IFERROR(VLOOKUP($H456,'1. Set Program Names'!$B$2:$D$15,3,0)*AD456,"NA")</f>
        <v>1.5027863346071371</v>
      </c>
      <c r="CE456" s="80">
        <f>IFERROR(VLOOKUP($H456,'1. Set Program Names'!$B$2:$D$15,3,0)*AE456,"NA")</f>
        <v>1.6900934033437109</v>
      </c>
    </row>
    <row r="457" spans="1:83" x14ac:dyDescent="0.25">
      <c r="A457" s="79" t="s">
        <v>115</v>
      </c>
      <c r="B457" s="79" t="s">
        <v>88</v>
      </c>
      <c r="C457" s="79" t="s">
        <v>122</v>
      </c>
      <c r="D457" s="79" t="s">
        <v>90</v>
      </c>
      <c r="E457" s="79" t="s">
        <v>91</v>
      </c>
      <c r="F457" s="79" t="s">
        <v>90</v>
      </c>
      <c r="G457" s="79" t="s">
        <v>92</v>
      </c>
      <c r="H457" s="79" t="s">
        <v>18</v>
      </c>
      <c r="I457" s="79" t="s">
        <v>162</v>
      </c>
      <c r="J457" s="79" t="s">
        <v>161</v>
      </c>
      <c r="K457" s="79" t="s">
        <v>159</v>
      </c>
      <c r="L457" s="79">
        <v>632.51142857142861</v>
      </c>
      <c r="M457" s="79">
        <v>7.5636667797052567E-2</v>
      </c>
      <c r="N457" s="79">
        <v>7.2066360150851286E-2</v>
      </c>
      <c r="O457" s="79">
        <v>179</v>
      </c>
      <c r="P457" s="79">
        <v>51.895440493260928</v>
      </c>
      <c r="Q457" s="79"/>
      <c r="R457" s="79">
        <v>248.91572427603518</v>
      </c>
      <c r="S457" s="79">
        <v>686.98335706831222</v>
      </c>
      <c r="T457" s="79">
        <v>15</v>
      </c>
      <c r="U457" s="79">
        <v>0.2</v>
      </c>
      <c r="V457" s="79">
        <f>tbl_Data_old[[#This Row],[2025 ]]*IFERROR(AVERAGEIFS('Participation Adjustment'!$C:$C,'Participation Adjustment'!$A:$A,$H457,'Participation Adjustment'!$B:$B,$I457),1)</f>
        <v>12.6207623403246</v>
      </c>
      <c r="W457" s="79">
        <f>tbl_Data_old[[#This Row],[2026 ]]*IFERROR(AVERAGEIFS('Participation Adjustment'!$C:$C,'Participation Adjustment'!$A:$A,$H457,'Participation Adjustment'!$B:$B,$I457),1)</f>
        <v>26.357874761694301</v>
      </c>
      <c r="X457" s="79">
        <f>tbl_Data_old[[#This Row],[2027 ]]*IFERROR(AVERAGEIFS('Participation Adjustment'!$C:$C,'Participation Adjustment'!$A:$A,$H457,'Participation Adjustment'!$B:$B,$I457),1)</f>
        <v>40.980723838440696</v>
      </c>
      <c r="Y457" s="79">
        <f>tbl_Data_old[[#This Row],[2028 ]]*IFERROR(AVERAGEIFS('Participation Adjustment'!$C:$C,'Participation Adjustment'!$A:$A,$H457,'Participation Adjustment'!$B:$B,$I457),1)</f>
        <v>56.345677089210696</v>
      </c>
      <c r="Z457" s="79">
        <f>tbl_Data_old[[#This Row],[2029 ]]*IFERROR(AVERAGEIFS('Participation Adjustment'!$C:$C,'Participation Adjustment'!$A:$A,$H457,'Participation Adjustment'!$B:$B,$I457),1)</f>
        <v>72.309765546652002</v>
      </c>
      <c r="AA457" s="79">
        <f>tbl_Data_old[[#This Row],[2030 ]]*IFERROR(AVERAGEIFS('Participation Adjustment'!$C:$C,'Participation Adjustment'!$A:$A,$H457,'Participation Adjustment'!$B:$B,$I457),1)</f>
        <v>88.734418088326009</v>
      </c>
      <c r="AB457" s="79">
        <f>tbl_Data_old[[#This Row],[2031 ]]*IFERROR(AVERAGEIFS('Participation Adjustment'!$C:$C,'Participation Adjustment'!$A:$A,$H457,'Participation Adjustment'!$B:$B,$I457),1)</f>
        <v>105.499168774547</v>
      </c>
      <c r="AC457" s="79">
        <f>tbl_Data_old[[#This Row],[2032 ]]*IFERROR(AVERAGEIFS('Participation Adjustment'!$C:$C,'Participation Adjustment'!$A:$A,$H457,'Participation Adjustment'!$B:$B,$I457),1)</f>
        <v>122.53432534679</v>
      </c>
      <c r="AD457" s="79">
        <f>tbl_Data_old[[#This Row],[2033 ]]*IFERROR(AVERAGEIFS('Participation Adjustment'!$C:$C,'Participation Adjustment'!$A:$A,$H457,'Participation Adjustment'!$B:$B,$I457),1)</f>
        <v>139.795284222021</v>
      </c>
      <c r="AE457" s="79">
        <f>tbl_Data_old[[#This Row],[2034 ]]*IFERROR(AVERAGEIFS('Participation Adjustment'!$C:$C,'Participation Adjustment'!$A:$A,$H457,'Participation Adjustment'!$B:$B,$I457),1)</f>
        <v>157.21934798133699</v>
      </c>
      <c r="AF457" s="77" t="str">
        <f t="shared" si="187"/>
        <v>NonResidential</v>
      </c>
      <c r="AG457" s="77" t="str">
        <f>tbl_Data[[#This Row],[All_Meas_Name_Append]]</f>
        <v>LED High Bay_LF Baseline</v>
      </c>
      <c r="AH457" s="77">
        <f>AVERAGEIFS('3. Incentive Adjustment'!G:G,'3. Incentive Adjustment'!A:A,tbl_Data[[#This Row],[Trimmed Sector]],'3. Incentive Adjustment'!B:B,tbl_Data[[#This Row],[Trimmed Measure Name]])</f>
        <v>0.93017466414143679</v>
      </c>
      <c r="AI457" s="77">
        <f>$AH457*tbl_Data[[#This Row],[2025 ]]</f>
        <v>11.739513371120328</v>
      </c>
      <c r="AJ457" s="77">
        <f>$AH457*tbl_Data[[#This Row],[2026 ]]</f>
        <v>24.517427303941052</v>
      </c>
      <c r="AK457" s="77">
        <f>$AH457*tbl_Data[[#This Row],[2027 ]]</f>
        <v>38.119231032694543</v>
      </c>
      <c r="AL457" s="77">
        <f>$AH457*tbl_Data[[#This Row],[2028 ]]</f>
        <v>52.411321262278406</v>
      </c>
      <c r="AM457" s="77">
        <f>$AH457*tbl_Data[[#This Row],[2029 ]]</f>
        <v>67.26071188150307</v>
      </c>
      <c r="AN457" s="77">
        <f>$AH457*tbl_Data[[#This Row],[2030 ]]</f>
        <v>82.538507543094482</v>
      </c>
      <c r="AO457" s="77">
        <f>$AH457*tbl_Data[[#This Row],[2031 ]]</f>
        <v>98.132653882065014</v>
      </c>
      <c r="AP457" s="77">
        <f>$AH457*tbl_Data[[#This Row],[2032 ]]</f>
        <v>113.97832492524793</v>
      </c>
      <c r="AQ457" s="77">
        <f>$AH457*tbl_Data[[#This Row],[2033 ]]</f>
        <v>130.03403154977508</v>
      </c>
      <c r="AR457" s="77">
        <f>$AH457*tbl_Data[[#This Row],[2034 ]]</f>
        <v>146.24145420507583</v>
      </c>
      <c r="AS457" s="77">
        <f>SUM(tbl_Data[[#This Row],[Adjusted 2025]:[Adjusted 2034]])</f>
        <v>764.97317695679567</v>
      </c>
      <c r="AT457" s="80">
        <f>AVERAGEIFS('3. Incentive Adjustment'!F:F,'3. Incentive Adjustment'!A:A,tbl_Data[[#This Row],[Trimmed Sector]],'3. Incentive Adjustment'!B:B,tbl_Data[[#This Row],[Trimmed Measure Name]])</f>
        <v>23.858858929800434</v>
      </c>
      <c r="AU457" s="80">
        <f>IFERROR(VLOOKUP(tbl_Data[[#This Row],[All_Meas_Name_Append]],'IRA Tax Credits'!$A$3:$D$46,4,0),0)</f>
        <v>0</v>
      </c>
      <c r="AV457" s="81">
        <f>tbl_Data[[#This Row],[Adj. per unit Incentive ($)]]/tbl_Data[[#This Row],[kWh Savings]]*tbl_Data[[#This Row],[Sum of Annuals]]</f>
        <v>28.855426621010608</v>
      </c>
      <c r="AW457" s="81">
        <f>IFERROR(VLOOKUP(tbl_Data[[#This Row],[Column1]],'1. Set Program Names'!$B$2:$D$15,3,0)*tbl_Data[[#This Row],[Sum of Annuals]],"")</f>
        <v>24.210021165841866</v>
      </c>
      <c r="AX457" s="81">
        <f>tbl_Data[[#This Row],[per unit IRA tax ($)]]/tbl_Data[[#This Row],[kWh Savings]]*tbl_Data[[#This Row],[Sum of Annuals]]</f>
        <v>0</v>
      </c>
      <c r="AY457" s="81">
        <f>tbl_Data[[#This Row],[Avoided Costs ($/unit)]]/tbl_Data[[#This Row],[kWh Savings]]*tbl_Data[[#This Row],[Sum of Annuals]]</f>
        <v>301.044129469729</v>
      </c>
      <c r="AZ457" s="81">
        <f>tbl_Data[[#This Row],[Lost Revenue ($/unit)]]/tbl_Data[[#This Row],[kWh Savings]]*tbl_Data[[#This Row],[Sum of Annuals]]</f>
        <v>830.85272049538128</v>
      </c>
      <c r="BA457" s="81">
        <f>tbl_Data[[#This Row],[Incremental Cost ($/unit)]]/tbl_Data[[#This Row],[kWh Savings]]*tbl_Data[[#This Row],[Sum of Annuals]]</f>
        <v>216.4865210175457</v>
      </c>
      <c r="BB457" s="77">
        <f>ROUNDUP(tbl_Data[[#This Row],[Adjusted 2025]]/$L457,0)</f>
        <v>1</v>
      </c>
      <c r="BC457" s="77">
        <f>ROUNDUP(tbl_Data[[#This Row],[Adjusted 2026]]/$L457,0)</f>
        <v>1</v>
      </c>
      <c r="BD457" s="77">
        <f>ROUNDUP(tbl_Data[[#This Row],[Adjusted 2027]]/$L457,0)</f>
        <v>1</v>
      </c>
      <c r="BE457" s="77">
        <f>ROUNDUP(tbl_Data[[#This Row],[Adjusted 2028]]/$L457,0)</f>
        <v>1</v>
      </c>
      <c r="BF457" s="77">
        <f>ROUNDUP(tbl_Data[[#This Row],[Adjusted 2029]]/$L457,0)</f>
        <v>1</v>
      </c>
      <c r="BG457" s="77">
        <f>ROUNDUP(tbl_Data[[#This Row],[Adjusted 2030]]/$L457,0)</f>
        <v>1</v>
      </c>
      <c r="BH457" s="77">
        <f>ROUNDUP(tbl_Data[[#This Row],[Adjusted 2031]]/$L457,0)</f>
        <v>1</v>
      </c>
      <c r="BI457" s="77">
        <f>ROUNDUP(tbl_Data[[#This Row],[Adjusted 2032]]/$L457,0)</f>
        <v>1</v>
      </c>
      <c r="BJ457" s="77">
        <f>ROUNDUP(tbl_Data[[#This Row],[Adjusted 2033]]/$L457,0)</f>
        <v>1</v>
      </c>
      <c r="BK457" s="77">
        <f>ROUNDUP(tbl_Data[[#This Row],[Adjusted 2034]]/$L457,0)</f>
        <v>1</v>
      </c>
      <c r="BL457" s="80">
        <f t="shared" si="188"/>
        <v>0.47606568776857738</v>
      </c>
      <c r="BM457" s="80">
        <f t="shared" si="189"/>
        <v>0.99424103221179072</v>
      </c>
      <c r="BN457" s="80">
        <f t="shared" si="190"/>
        <v>1.545827102461675</v>
      </c>
      <c r="BO457" s="80">
        <f t="shared" si="191"/>
        <v>2.1254059614572665</v>
      </c>
      <c r="BP457" s="80">
        <f t="shared" si="192"/>
        <v>2.7275847004394262</v>
      </c>
      <c r="BQ457" s="80">
        <f t="shared" si="193"/>
        <v>3.3471363010292561</v>
      </c>
      <c r="BR457" s="80">
        <f t="shared" si="194"/>
        <v>3.9795166874504502</v>
      </c>
      <c r="BS457" s="80">
        <f t="shared" si="195"/>
        <v>4.6220970095517915</v>
      </c>
      <c r="BT457" s="80">
        <f t="shared" si="196"/>
        <v>5.2731947829586101</v>
      </c>
      <c r="BU457" s="80">
        <f t="shared" si="197"/>
        <v>5.9304450087075704</v>
      </c>
      <c r="BV457" s="80">
        <f>IFERROR(VLOOKUP($H457,'1. Set Program Names'!$B$2:$D$15,3,0)*V457,"NA")</f>
        <v>0.39942436230751049</v>
      </c>
      <c r="BW457" s="80">
        <f>IFERROR(VLOOKUP($H457,'1. Set Program Names'!$B$2:$D$15,3,0)*W457,"NA")</f>
        <v>0.83417919096955251</v>
      </c>
      <c r="BX457" s="80">
        <f>IFERROR(VLOOKUP($H457,'1. Set Program Names'!$B$2:$D$15,3,0)*X457,"NA")</f>
        <v>1.296965987052124</v>
      </c>
      <c r="BY457" s="80">
        <f>IFERROR(VLOOKUP($H457,'1. Set Program Names'!$B$2:$D$15,3,0)*Y457,"NA")</f>
        <v>1.7832390416095933</v>
      </c>
      <c r="BZ457" s="80">
        <f>IFERROR(VLOOKUP($H457,'1. Set Program Names'!$B$2:$D$15,3,0)*Z457,"NA")</f>
        <v>2.2884736447175844</v>
      </c>
      <c r="CA457" s="80">
        <f>IFERROR(VLOOKUP($H457,'1. Set Program Names'!$B$2:$D$15,3,0)*AA457,"NA")</f>
        <v>2.8082842703102568</v>
      </c>
      <c r="CB457" s="80">
        <f>IFERROR(VLOOKUP($H457,'1. Set Program Names'!$B$2:$D$15,3,0)*AB457,"NA")</f>
        <v>3.3388583886971497</v>
      </c>
      <c r="CC457" s="80">
        <f>IFERROR(VLOOKUP($H457,'1. Set Program Names'!$B$2:$D$15,3,0)*AC457,"NA")</f>
        <v>3.8779903656092314</v>
      </c>
      <c r="CD457" s="80">
        <f>IFERROR(VLOOKUP($H457,'1. Set Program Names'!$B$2:$D$15,3,0)*AD457,"NA")</f>
        <v>4.424268578100949</v>
      </c>
      <c r="CE457" s="80">
        <f>IFERROR(VLOOKUP($H457,'1. Set Program Names'!$B$2:$D$15,3,0)*AE457,"NA")</f>
        <v>4.9757087659597747</v>
      </c>
    </row>
    <row r="458" spans="1:83" x14ac:dyDescent="0.25">
      <c r="A458" s="79" t="s">
        <v>115</v>
      </c>
      <c r="B458" s="79" t="s">
        <v>88</v>
      </c>
      <c r="C458" s="79" t="s">
        <v>122</v>
      </c>
      <c r="D458" s="79" t="s">
        <v>90</v>
      </c>
      <c r="E458" s="79" t="s">
        <v>91</v>
      </c>
      <c r="F458" s="79" t="s">
        <v>90</v>
      </c>
      <c r="G458" s="79" t="s">
        <v>92</v>
      </c>
      <c r="H458" s="79" t="s">
        <v>18</v>
      </c>
      <c r="I458" s="79" t="s">
        <v>163</v>
      </c>
      <c r="J458" s="79" t="s">
        <v>161</v>
      </c>
      <c r="K458" s="79" t="s">
        <v>159</v>
      </c>
      <c r="L458" s="79">
        <v>217.06142857142831</v>
      </c>
      <c r="M458" s="79">
        <v>3.4743730880075478E-2</v>
      </c>
      <c r="N458" s="79">
        <v>3.4497784431073229E-2</v>
      </c>
      <c r="O458" s="79">
        <v>109.07999999999996</v>
      </c>
      <c r="P458" s="79">
        <v>64.428955263702662</v>
      </c>
      <c r="Q458" s="79"/>
      <c r="R458" s="79">
        <v>85.561030664747506</v>
      </c>
      <c r="S458" s="79">
        <v>235.75477399173039</v>
      </c>
      <c r="T458" s="79">
        <v>15</v>
      </c>
      <c r="U458" s="79">
        <v>0.2</v>
      </c>
      <c r="V458" s="79">
        <f>tbl_Data_old[[#This Row],[2025 ]]*IFERROR(AVERAGEIFS('Participation Adjustment'!$C:$C,'Participation Adjustment'!$A:$A,$H458,'Participation Adjustment'!$B:$B,$I458),1)</f>
        <v>59.868939682921805</v>
      </c>
      <c r="W458" s="79">
        <f>tbl_Data_old[[#This Row],[2026 ]]*IFERROR(AVERAGEIFS('Participation Adjustment'!$C:$C,'Participation Adjustment'!$A:$A,$H458,'Participation Adjustment'!$B:$B,$I458),1)</f>
        <v>122.80891762296781</v>
      </c>
      <c r="X458" s="79">
        <f>tbl_Data_old[[#This Row],[2027 ]]*IFERROR(AVERAGEIFS('Participation Adjustment'!$C:$C,'Participation Adjustment'!$A:$A,$H458,'Participation Adjustment'!$B:$B,$I458),1)</f>
        <v>187.4027921961306</v>
      </c>
      <c r="Y458" s="79">
        <f>tbl_Data_old[[#This Row],[2028 ]]*IFERROR(AVERAGEIFS('Participation Adjustment'!$C:$C,'Participation Adjustment'!$A:$A,$H458,'Participation Adjustment'!$B:$B,$I458),1)</f>
        <v>253.00967283789839</v>
      </c>
      <c r="Z458" s="79">
        <f>tbl_Data_old[[#This Row],[2029 ]]*IFERROR(AVERAGEIFS('Participation Adjustment'!$C:$C,'Participation Adjustment'!$A:$A,$H458,'Participation Adjustment'!$B:$B,$I458),1)</f>
        <v>319.18614882648302</v>
      </c>
      <c r="AA458" s="79">
        <f>tbl_Data_old[[#This Row],[2030 ]]*IFERROR(AVERAGEIFS('Participation Adjustment'!$C:$C,'Participation Adjustment'!$A:$A,$H458,'Participation Adjustment'!$B:$B,$I458),1)</f>
        <v>385.43576337741297</v>
      </c>
      <c r="AB458" s="79">
        <f>tbl_Data_old[[#This Row],[2031 ]]*IFERROR(AVERAGEIFS('Participation Adjustment'!$C:$C,'Participation Adjustment'!$A:$A,$H458,'Participation Adjustment'!$B:$B,$I458),1)</f>
        <v>451.49129918831102</v>
      </c>
      <c r="AC458" s="79">
        <f>tbl_Data_old[[#This Row],[2032 ]]*IFERROR(AVERAGEIFS('Participation Adjustment'!$C:$C,'Participation Adjustment'!$A:$A,$H458,'Participation Adjustment'!$B:$B,$I458),1)</f>
        <v>517.27418076295794</v>
      </c>
      <c r="AD458" s="79">
        <f>tbl_Data_old[[#This Row],[2033 ]]*IFERROR(AVERAGEIFS('Participation Adjustment'!$C:$C,'Participation Adjustment'!$A:$A,$H458,'Participation Adjustment'!$B:$B,$I458),1)</f>
        <v>582.65521699568694</v>
      </c>
      <c r="AE458" s="79">
        <f>tbl_Data_old[[#This Row],[2034 ]]*IFERROR(AVERAGEIFS('Participation Adjustment'!$C:$C,'Participation Adjustment'!$A:$A,$H458,'Participation Adjustment'!$B:$B,$I458),1)</f>
        <v>647.58651929421603</v>
      </c>
      <c r="AF458" s="77" t="str">
        <f t="shared" si="187"/>
        <v>NonResidential</v>
      </c>
      <c r="AG458" s="77" t="str">
        <f>tbl_Data[[#This Row],[All_Meas_Name_Append]]</f>
        <v>LED Linear - Fixture Replacement</v>
      </c>
      <c r="AH458" s="77">
        <f>AVERAGEIFS('3. Incentive Adjustment'!G:G,'3. Incentive Adjustment'!A:A,tbl_Data[[#This Row],[Trimmed Sector]],'3. Incentive Adjustment'!B:B,tbl_Data[[#This Row],[Trimmed Measure Name]])</f>
        <v>0.56055357916158088</v>
      </c>
      <c r="AI458" s="77">
        <f>$AH458*tbl_Data[[#This Row],[2025 ]]</f>
        <v>33.559748419870623</v>
      </c>
      <c r="AJ458" s="77">
        <f>$AH458*tbl_Data[[#This Row],[2026 ]]</f>
        <v>68.840978326514346</v>
      </c>
      <c r="AK458" s="77">
        <f>$AH458*tbl_Data[[#This Row],[2027 ]]</f>
        <v>105.04930591041499</v>
      </c>
      <c r="AL458" s="77">
        <f>$AH458*tbl_Data[[#This Row],[2028 ]]</f>
        <v>141.82547767178457</v>
      </c>
      <c r="AM458" s="77">
        <f>$AH458*tbl_Data[[#This Row],[2029 ]]</f>
        <v>178.9209381434861</v>
      </c>
      <c r="AN458" s="77">
        <f>$AH458*tbl_Data[[#This Row],[2030 ]]</f>
        <v>216.05739669808503</v>
      </c>
      <c r="AO458" s="77">
        <f>$AH458*tbl_Data[[#This Row],[2031 ]]</f>
        <v>253.08506372031991</v>
      </c>
      <c r="AP458" s="77">
        <f>$AH458*tbl_Data[[#This Row],[2032 ]]</f>
        <v>289.95989343455062</v>
      </c>
      <c r="AQ458" s="77">
        <f>$AH458*tbl_Data[[#This Row],[2033 ]]</f>
        <v>326.60946730409989</v>
      </c>
      <c r="AR458" s="77">
        <f>$AH458*tbl_Data[[#This Row],[2034 ]]</f>
        <v>363.00694120716298</v>
      </c>
      <c r="AS458" s="77">
        <f>SUM(tbl_Data[[#This Row],[Adjusted 2025]:[Adjusted 2034]])</f>
        <v>1976.9152108362891</v>
      </c>
      <c r="AT458" s="80">
        <f>AVERAGEIFS('3. Incentive Adjustment'!F:F,'3. Incentive Adjustment'!A:A,tbl_Data[[#This Row],[Trimmed Sector]],'3. Incentive Adjustment'!B:B,tbl_Data[[#This Row],[Trimmed Measure Name]])</f>
        <v>16.810726621008875</v>
      </c>
      <c r="AU458" s="80">
        <f>IFERROR(VLOOKUP(tbl_Data[[#This Row],[All_Meas_Name_Append]],'IRA Tax Credits'!$A$3:$D$46,4,0),0)</f>
        <v>0</v>
      </c>
      <c r="AV458" s="81">
        <f>tbl_Data[[#This Row],[Adj. per unit Incentive ($)]]/tbl_Data[[#This Row],[kWh Savings]]*tbl_Data[[#This Row],[Sum of Annuals]]</f>
        <v>153.10588058415399</v>
      </c>
      <c r="AW458" s="81">
        <f>IFERROR(VLOOKUP(tbl_Data[[#This Row],[Column1]],'1. Set Program Names'!$B$2:$D$15,3,0)*tbl_Data[[#This Row],[Sum of Annuals]],"")</f>
        <v>62.565800395540414</v>
      </c>
      <c r="AX458" s="81">
        <f>tbl_Data[[#This Row],[per unit IRA tax ($)]]/tbl_Data[[#This Row],[kWh Savings]]*tbl_Data[[#This Row],[Sum of Annuals]]</f>
        <v>0</v>
      </c>
      <c r="AY458" s="81">
        <f>tbl_Data[[#This Row],[Avoided Costs ($/unit)]]/tbl_Data[[#This Row],[kWh Savings]]*tbl_Data[[#This Row],[Sum of Annuals]]</f>
        <v>779.25822238062165</v>
      </c>
      <c r="AZ458" s="81">
        <f>tbl_Data[[#This Row],[Lost Revenue ($/unit)]]/tbl_Data[[#This Row],[kWh Savings]]*tbl_Data[[#This Row],[Sum of Annuals]]</f>
        <v>2147.167287154175</v>
      </c>
      <c r="BA458" s="81">
        <f>tbl_Data[[#This Row],[Incremental Cost ($/unit)]]/tbl_Data[[#This Row],[kWh Savings]]*tbl_Data[[#This Row],[Sum of Annuals]]</f>
        <v>993.4602965494679</v>
      </c>
      <c r="BB458" s="77">
        <f>ROUNDUP(tbl_Data[[#This Row],[Adjusted 2025]]/$L458,0)</f>
        <v>1</v>
      </c>
      <c r="BC458" s="77">
        <f>ROUNDUP(tbl_Data[[#This Row],[Adjusted 2026]]/$L458,0)</f>
        <v>1</v>
      </c>
      <c r="BD458" s="77">
        <f>ROUNDUP(tbl_Data[[#This Row],[Adjusted 2027]]/$L458,0)</f>
        <v>1</v>
      </c>
      <c r="BE458" s="77">
        <f>ROUNDUP(tbl_Data[[#This Row],[Adjusted 2028]]/$L458,0)</f>
        <v>1</v>
      </c>
      <c r="BF458" s="77">
        <f>ROUNDUP(tbl_Data[[#This Row],[Adjusted 2029]]/$L458,0)</f>
        <v>1</v>
      </c>
      <c r="BG458" s="77">
        <f>ROUNDUP(tbl_Data[[#This Row],[Adjusted 2030]]/$L458,0)</f>
        <v>1</v>
      </c>
      <c r="BH458" s="77">
        <f>ROUNDUP(tbl_Data[[#This Row],[Adjusted 2031]]/$L458,0)</f>
        <v>2</v>
      </c>
      <c r="BI458" s="77">
        <f>ROUNDUP(tbl_Data[[#This Row],[Adjusted 2032]]/$L458,0)</f>
        <v>2</v>
      </c>
      <c r="BJ458" s="77">
        <f>ROUNDUP(tbl_Data[[#This Row],[Adjusted 2033]]/$L458,0)</f>
        <v>2</v>
      </c>
      <c r="BK458" s="77">
        <f>ROUNDUP(tbl_Data[[#This Row],[Adjusted 2034]]/$L458,0)</f>
        <v>2</v>
      </c>
      <c r="BL458" s="80">
        <f t="shared" si="188"/>
        <v>4.6366615419564479</v>
      </c>
      <c r="BM458" s="80">
        <f t="shared" si="189"/>
        <v>9.5111653616632506</v>
      </c>
      <c r="BN458" s="80">
        <f t="shared" si="190"/>
        <v>14.513758286568144</v>
      </c>
      <c r="BO458" s="80">
        <f t="shared" si="191"/>
        <v>19.59480535321908</v>
      </c>
      <c r="BP458" s="80">
        <f t="shared" si="192"/>
        <v>24.719965792397581</v>
      </c>
      <c r="BQ458" s="80">
        <f t="shared" si="193"/>
        <v>29.850790583760311</v>
      </c>
      <c r="BR458" s="80">
        <f t="shared" si="194"/>
        <v>34.966584585622122</v>
      </c>
      <c r="BS458" s="80">
        <f t="shared" si="195"/>
        <v>40.061262372328422</v>
      </c>
      <c r="BT458" s="80">
        <f t="shared" si="196"/>
        <v>45.12481849807741</v>
      </c>
      <c r="BU458" s="80">
        <f t="shared" si="197"/>
        <v>50.153544141645469</v>
      </c>
      <c r="BV458" s="80">
        <f>IFERROR(VLOOKUP($H458,'1. Set Program Names'!$B$2:$D$15,3,0)*V458,"NA")</f>
        <v>1.894743947318702</v>
      </c>
      <c r="BW458" s="80">
        <f>IFERROR(VLOOKUP($H458,'1. Set Program Names'!$B$2:$D$15,3,0)*W458,"NA")</f>
        <v>3.8866807158312984</v>
      </c>
      <c r="BX458" s="80">
        <f>IFERROR(VLOOKUP($H458,'1. Set Program Names'!$B$2:$D$15,3,0)*X458,"NA")</f>
        <v>5.9309603294265969</v>
      </c>
      <c r="BY458" s="80">
        <f>IFERROR(VLOOKUP($H458,'1. Set Program Names'!$B$2:$D$15,3,0)*Y458,"NA")</f>
        <v>8.0072997577981688</v>
      </c>
      <c r="BZ458" s="80">
        <f>IFERROR(VLOOKUP($H458,'1. Set Program Names'!$B$2:$D$15,3,0)*Z458,"NA")</f>
        <v>10.101665851440883</v>
      </c>
      <c r="CA458" s="80">
        <f>IFERROR(VLOOKUP($H458,'1. Set Program Names'!$B$2:$D$15,3,0)*AA458,"NA")</f>
        <v>12.198346648651979</v>
      </c>
      <c r="CB458" s="80">
        <f>IFERROR(VLOOKUP($H458,'1. Set Program Names'!$B$2:$D$15,3,0)*AB458,"NA")</f>
        <v>14.28888520382695</v>
      </c>
      <c r="CC458" s="80">
        <f>IFERROR(VLOOKUP($H458,'1. Set Program Names'!$B$2:$D$15,3,0)*AC458,"NA")</f>
        <v>16.370794744247632</v>
      </c>
      <c r="CD458" s="80">
        <f>IFERROR(VLOOKUP($H458,'1. Set Program Names'!$B$2:$D$15,3,0)*AD458,"NA")</f>
        <v>18.439986604459012</v>
      </c>
      <c r="CE458" s="80">
        <f>IFERROR(VLOOKUP($H458,'1. Set Program Names'!$B$2:$D$15,3,0)*AE458,"NA")</f>
        <v>20.494945196898456</v>
      </c>
    </row>
    <row r="459" spans="1:83" x14ac:dyDescent="0.25">
      <c r="A459" s="79" t="s">
        <v>115</v>
      </c>
      <c r="B459" s="79" t="s">
        <v>88</v>
      </c>
      <c r="C459" s="79" t="s">
        <v>122</v>
      </c>
      <c r="D459" s="79" t="s">
        <v>90</v>
      </c>
      <c r="E459" s="79" t="s">
        <v>91</v>
      </c>
      <c r="F459" s="79" t="s">
        <v>90</v>
      </c>
      <c r="G459" s="79" t="s">
        <v>92</v>
      </c>
      <c r="H459" s="79" t="s">
        <v>18</v>
      </c>
      <c r="I459" s="79" t="s">
        <v>164</v>
      </c>
      <c r="J459" s="79" t="s">
        <v>158</v>
      </c>
      <c r="K459" s="79" t="s">
        <v>159</v>
      </c>
      <c r="L459" s="79">
        <v>612.05999999999972</v>
      </c>
      <c r="M459" s="79">
        <v>0</v>
      </c>
      <c r="N459" s="79">
        <v>3.0244631686656035E-2</v>
      </c>
      <c r="O459" s="79">
        <v>255</v>
      </c>
      <c r="P459" s="79">
        <v>129.09500333079711</v>
      </c>
      <c r="Q459" s="79"/>
      <c r="R459" s="79">
        <v>299.62522934905462</v>
      </c>
      <c r="S459" s="79">
        <v>664.77065003695441</v>
      </c>
      <c r="T459" s="79">
        <v>15</v>
      </c>
      <c r="U459" s="79">
        <v>0.2</v>
      </c>
      <c r="V459" s="79">
        <f>tbl_Data_old[[#This Row],[2025 ]]*IFERROR(AVERAGEIFS('Participation Adjustment'!$C:$C,'Participation Adjustment'!$A:$A,$H459,'Participation Adjustment'!$B:$B,$I459),1)</f>
        <v>0</v>
      </c>
      <c r="W459" s="79">
        <f>tbl_Data_old[[#This Row],[2026 ]]*IFERROR(AVERAGEIFS('Participation Adjustment'!$C:$C,'Participation Adjustment'!$A:$A,$H459,'Participation Adjustment'!$B:$B,$I459),1)</f>
        <v>0</v>
      </c>
      <c r="X459" s="79">
        <f>tbl_Data_old[[#This Row],[2027 ]]*IFERROR(AVERAGEIFS('Participation Adjustment'!$C:$C,'Participation Adjustment'!$A:$A,$H459,'Participation Adjustment'!$B:$B,$I459),1)</f>
        <v>0</v>
      </c>
      <c r="Y459" s="79">
        <f>tbl_Data_old[[#This Row],[2028 ]]*IFERROR(AVERAGEIFS('Participation Adjustment'!$C:$C,'Participation Adjustment'!$A:$A,$H459,'Participation Adjustment'!$B:$B,$I459),1)</f>
        <v>0</v>
      </c>
      <c r="Z459" s="79">
        <f>tbl_Data_old[[#This Row],[2029 ]]*IFERROR(AVERAGEIFS('Participation Adjustment'!$C:$C,'Participation Adjustment'!$A:$A,$H459,'Participation Adjustment'!$B:$B,$I459),1)</f>
        <v>0</v>
      </c>
      <c r="AA459" s="79">
        <f>tbl_Data_old[[#This Row],[2030 ]]*IFERROR(AVERAGEIFS('Participation Adjustment'!$C:$C,'Participation Adjustment'!$A:$A,$H459,'Participation Adjustment'!$B:$B,$I459),1)</f>
        <v>0</v>
      </c>
      <c r="AB459" s="79">
        <f>tbl_Data_old[[#This Row],[2031 ]]*IFERROR(AVERAGEIFS('Participation Adjustment'!$C:$C,'Participation Adjustment'!$A:$A,$H459,'Participation Adjustment'!$B:$B,$I459),1)</f>
        <v>0</v>
      </c>
      <c r="AC459" s="79">
        <f>tbl_Data_old[[#This Row],[2032 ]]*IFERROR(AVERAGEIFS('Participation Adjustment'!$C:$C,'Participation Adjustment'!$A:$A,$H459,'Participation Adjustment'!$B:$B,$I459),1)</f>
        <v>0</v>
      </c>
      <c r="AD459" s="79">
        <f>tbl_Data_old[[#This Row],[2033 ]]*IFERROR(AVERAGEIFS('Participation Adjustment'!$C:$C,'Participation Adjustment'!$A:$A,$H459,'Participation Adjustment'!$B:$B,$I459),1)</f>
        <v>0</v>
      </c>
      <c r="AE459" s="79">
        <f>tbl_Data_old[[#This Row],[2034 ]]*IFERROR(AVERAGEIFS('Participation Adjustment'!$C:$C,'Participation Adjustment'!$A:$A,$H459,'Participation Adjustment'!$B:$B,$I459),1)</f>
        <v>0</v>
      </c>
      <c r="AF459" s="77" t="str">
        <f t="shared" si="187"/>
        <v>NonResidential</v>
      </c>
      <c r="AG459" s="77" t="str">
        <f>tbl_Data[[#This Row],[All_Meas_Name_Append]]</f>
        <v>LED Parking Lighting</v>
      </c>
      <c r="AH459" s="77">
        <f>AVERAGEIFS('3. Incentive Adjustment'!G:G,'3. Incentive Adjustment'!A:A,tbl_Data[[#This Row],[Trimmed Sector]],'3. Incentive Adjustment'!B:B,tbl_Data[[#This Row],[Trimmed Measure Name]])</f>
        <v>0.59704067730377497</v>
      </c>
      <c r="AI459" s="77">
        <f>$AH459*tbl_Data[[#This Row],[2025 ]]</f>
        <v>0</v>
      </c>
      <c r="AJ459" s="77">
        <f>$AH459*tbl_Data[[#This Row],[2026 ]]</f>
        <v>0</v>
      </c>
      <c r="AK459" s="77">
        <f>$AH459*tbl_Data[[#This Row],[2027 ]]</f>
        <v>0</v>
      </c>
      <c r="AL459" s="77">
        <f>$AH459*tbl_Data[[#This Row],[2028 ]]</f>
        <v>0</v>
      </c>
      <c r="AM459" s="77">
        <f>$AH459*tbl_Data[[#This Row],[2029 ]]</f>
        <v>0</v>
      </c>
      <c r="AN459" s="77">
        <f>$AH459*tbl_Data[[#This Row],[2030 ]]</f>
        <v>0</v>
      </c>
      <c r="AO459" s="77">
        <f>$AH459*tbl_Data[[#This Row],[2031 ]]</f>
        <v>0</v>
      </c>
      <c r="AP459" s="77">
        <f>$AH459*tbl_Data[[#This Row],[2032 ]]</f>
        <v>0</v>
      </c>
      <c r="AQ459" s="77">
        <f>$AH459*tbl_Data[[#This Row],[2033 ]]</f>
        <v>0</v>
      </c>
      <c r="AR459" s="77">
        <f>$AH459*tbl_Data[[#This Row],[2034 ]]</f>
        <v>0</v>
      </c>
      <c r="AS459" s="77">
        <f>SUM(tbl_Data[[#This Row],[Adjusted 2025]:[Adjusted 2034]])</f>
        <v>0</v>
      </c>
      <c r="AT459" s="80">
        <f>AVERAGEIFS('3. Incentive Adjustment'!F:F,'3. Incentive Adjustment'!A:A,tbl_Data[[#This Row],[Trimmed Sector]],'3. Incentive Adjustment'!B:B,tbl_Data[[#This Row],[Trimmed Measure Name]])</f>
        <v>9.4514474020799994</v>
      </c>
      <c r="AU459" s="80">
        <f>IFERROR(VLOOKUP(tbl_Data[[#This Row],[All_Meas_Name_Append]],'IRA Tax Credits'!$A$3:$D$46,4,0),0)</f>
        <v>0</v>
      </c>
      <c r="AV459" s="81">
        <f>tbl_Data[[#This Row],[Adj. per unit Incentive ($)]]/tbl_Data[[#This Row],[kWh Savings]]*tbl_Data[[#This Row],[Sum of Annuals]]</f>
        <v>0</v>
      </c>
      <c r="AW459" s="81">
        <f>IFERROR(VLOOKUP(tbl_Data[[#This Row],[Column1]],'1. Set Program Names'!$B$2:$D$15,3,0)*tbl_Data[[#This Row],[Sum of Annuals]],"")</f>
        <v>0</v>
      </c>
      <c r="AX459" s="81">
        <f>tbl_Data[[#This Row],[per unit IRA tax ($)]]/tbl_Data[[#This Row],[kWh Savings]]*tbl_Data[[#This Row],[Sum of Annuals]]</f>
        <v>0</v>
      </c>
      <c r="AY459" s="81">
        <f>tbl_Data[[#This Row],[Avoided Costs ($/unit)]]/tbl_Data[[#This Row],[kWh Savings]]*tbl_Data[[#This Row],[Sum of Annuals]]</f>
        <v>0</v>
      </c>
      <c r="AZ459" s="81">
        <f>tbl_Data[[#This Row],[Lost Revenue ($/unit)]]/tbl_Data[[#This Row],[kWh Savings]]*tbl_Data[[#This Row],[Sum of Annuals]]</f>
        <v>0</v>
      </c>
      <c r="BA459" s="81">
        <f>tbl_Data[[#This Row],[Incremental Cost ($/unit)]]/tbl_Data[[#This Row],[kWh Savings]]*tbl_Data[[#This Row],[Sum of Annuals]]</f>
        <v>0</v>
      </c>
      <c r="BB459" s="77">
        <f>ROUNDUP(tbl_Data[[#This Row],[Adjusted 2025]]/$L459,0)</f>
        <v>0</v>
      </c>
      <c r="BC459" s="77">
        <f>ROUNDUP(tbl_Data[[#This Row],[Adjusted 2026]]/$L459,0)</f>
        <v>0</v>
      </c>
      <c r="BD459" s="77">
        <f>ROUNDUP(tbl_Data[[#This Row],[Adjusted 2027]]/$L459,0)</f>
        <v>0</v>
      </c>
      <c r="BE459" s="77">
        <f>ROUNDUP(tbl_Data[[#This Row],[Adjusted 2028]]/$L459,0)</f>
        <v>0</v>
      </c>
      <c r="BF459" s="77">
        <f>ROUNDUP(tbl_Data[[#This Row],[Adjusted 2029]]/$L459,0)</f>
        <v>0</v>
      </c>
      <c r="BG459" s="77">
        <f>ROUNDUP(tbl_Data[[#This Row],[Adjusted 2030]]/$L459,0)</f>
        <v>0</v>
      </c>
      <c r="BH459" s="77">
        <f>ROUNDUP(tbl_Data[[#This Row],[Adjusted 2031]]/$L459,0)</f>
        <v>0</v>
      </c>
      <c r="BI459" s="77">
        <f>ROUNDUP(tbl_Data[[#This Row],[Adjusted 2032]]/$L459,0)</f>
        <v>0</v>
      </c>
      <c r="BJ459" s="77">
        <f>ROUNDUP(tbl_Data[[#This Row],[Adjusted 2033]]/$L459,0)</f>
        <v>0</v>
      </c>
      <c r="BK459" s="77">
        <f>ROUNDUP(tbl_Data[[#This Row],[Adjusted 2034]]/$L459,0)</f>
        <v>0</v>
      </c>
      <c r="BL459" s="80">
        <f t="shared" si="188"/>
        <v>0</v>
      </c>
      <c r="BM459" s="80">
        <f t="shared" si="189"/>
        <v>0</v>
      </c>
      <c r="BN459" s="80">
        <f t="shared" si="190"/>
        <v>0</v>
      </c>
      <c r="BO459" s="80">
        <f t="shared" si="191"/>
        <v>0</v>
      </c>
      <c r="BP459" s="80">
        <f t="shared" si="192"/>
        <v>0</v>
      </c>
      <c r="BQ459" s="80">
        <f t="shared" si="193"/>
        <v>0</v>
      </c>
      <c r="BR459" s="80">
        <f t="shared" si="194"/>
        <v>0</v>
      </c>
      <c r="BS459" s="80">
        <f t="shared" si="195"/>
        <v>0</v>
      </c>
      <c r="BT459" s="80">
        <f t="shared" si="196"/>
        <v>0</v>
      </c>
      <c r="BU459" s="80">
        <f t="shared" si="197"/>
        <v>0</v>
      </c>
      <c r="BV459" s="80">
        <f>IFERROR(VLOOKUP($H459,'1. Set Program Names'!$B$2:$D$15,3,0)*V459,"NA")</f>
        <v>0</v>
      </c>
      <c r="BW459" s="80">
        <f>IFERROR(VLOOKUP($H459,'1. Set Program Names'!$B$2:$D$15,3,0)*W459,"NA")</f>
        <v>0</v>
      </c>
      <c r="BX459" s="80">
        <f>IFERROR(VLOOKUP($H459,'1. Set Program Names'!$B$2:$D$15,3,0)*X459,"NA")</f>
        <v>0</v>
      </c>
      <c r="BY459" s="80">
        <f>IFERROR(VLOOKUP($H459,'1. Set Program Names'!$B$2:$D$15,3,0)*Y459,"NA")</f>
        <v>0</v>
      </c>
      <c r="BZ459" s="80">
        <f>IFERROR(VLOOKUP($H459,'1. Set Program Names'!$B$2:$D$15,3,0)*Z459,"NA")</f>
        <v>0</v>
      </c>
      <c r="CA459" s="80">
        <f>IFERROR(VLOOKUP($H459,'1. Set Program Names'!$B$2:$D$15,3,0)*AA459,"NA")</f>
        <v>0</v>
      </c>
      <c r="CB459" s="80">
        <f>IFERROR(VLOOKUP($H459,'1. Set Program Names'!$B$2:$D$15,3,0)*AB459,"NA")</f>
        <v>0</v>
      </c>
      <c r="CC459" s="80">
        <f>IFERROR(VLOOKUP($H459,'1. Set Program Names'!$B$2:$D$15,3,0)*AC459,"NA")</f>
        <v>0</v>
      </c>
      <c r="CD459" s="80">
        <f>IFERROR(VLOOKUP($H459,'1. Set Program Names'!$B$2:$D$15,3,0)*AD459,"NA")</f>
        <v>0</v>
      </c>
      <c r="CE459" s="80">
        <f>IFERROR(VLOOKUP($H459,'1. Set Program Names'!$B$2:$D$15,3,0)*AE459,"NA")</f>
        <v>0</v>
      </c>
    </row>
    <row r="460" spans="1:83" x14ac:dyDescent="0.25">
      <c r="A460" s="79" t="s">
        <v>115</v>
      </c>
      <c r="B460" s="79" t="s">
        <v>88</v>
      </c>
      <c r="C460" s="79" t="s">
        <v>122</v>
      </c>
      <c r="D460" s="79" t="s">
        <v>90</v>
      </c>
      <c r="E460" s="79" t="s">
        <v>91</v>
      </c>
      <c r="F460" s="79" t="s">
        <v>90</v>
      </c>
      <c r="G460" s="79" t="s">
        <v>92</v>
      </c>
      <c r="H460" s="79" t="s">
        <v>18</v>
      </c>
      <c r="I460" s="79" t="s">
        <v>165</v>
      </c>
      <c r="J460" s="79" t="s">
        <v>161</v>
      </c>
      <c r="K460" s="79" t="s">
        <v>166</v>
      </c>
      <c r="L460" s="79">
        <v>510.6</v>
      </c>
      <c r="M460" s="79">
        <v>6.2552429943266097E-2</v>
      </c>
      <c r="N460" s="79">
        <v>6.4361142955417797E-2</v>
      </c>
      <c r="O460" s="79">
        <v>129</v>
      </c>
      <c r="P460" s="79">
        <v>26.468747947944401</v>
      </c>
      <c r="Q460" s="79">
        <v>16.159568962215999</v>
      </c>
      <c r="R460" s="79">
        <v>174.74401692254699</v>
      </c>
      <c r="S460" s="79">
        <v>419.99719394182398</v>
      </c>
      <c r="T460" s="79">
        <v>10</v>
      </c>
      <c r="U460" s="79">
        <v>0.2</v>
      </c>
      <c r="V460" s="79">
        <f>tbl_Data_old[[#This Row],[2025 ]]*IFERROR(AVERAGEIFS('Participation Adjustment'!$C:$C,'Participation Adjustment'!$A:$A,$H460,'Participation Adjustment'!$B:$B,$I460),1)</f>
        <v>1.0097684520058099</v>
      </c>
      <c r="W460" s="79">
        <f>tbl_Data_old[[#This Row],[2026 ]]*IFERROR(AVERAGEIFS('Participation Adjustment'!$C:$C,'Participation Adjustment'!$A:$A,$H460,'Participation Adjustment'!$B:$B,$I460),1)</f>
        <v>2.3946091870767501</v>
      </c>
      <c r="X460" s="79">
        <f>tbl_Data_old[[#This Row],[2027 ]]*IFERROR(AVERAGEIFS('Participation Adjustment'!$C:$C,'Participation Adjustment'!$A:$A,$H460,'Participation Adjustment'!$B:$B,$I460),1)</f>
        <v>4.2367473163916403</v>
      </c>
      <c r="Y460" s="79">
        <f>tbl_Data_old[[#This Row],[2028 ]]*IFERROR(AVERAGEIFS('Participation Adjustment'!$C:$C,'Participation Adjustment'!$A:$A,$H460,'Participation Adjustment'!$B:$B,$I460),1)</f>
        <v>6.61277522749974</v>
      </c>
      <c r="Z460" s="79">
        <f>tbl_Data_old[[#This Row],[2029 ]]*IFERROR(AVERAGEIFS('Participation Adjustment'!$C:$C,'Participation Adjustment'!$A:$A,$H460,'Participation Adjustment'!$B:$B,$I460),1)</f>
        <v>9.5558167537335201</v>
      </c>
      <c r="AA460" s="79">
        <f>tbl_Data_old[[#This Row],[2030 ]]*IFERROR(AVERAGEIFS('Participation Adjustment'!$C:$C,'Participation Adjustment'!$A:$A,$H460,'Participation Adjustment'!$B:$B,$I460),1)</f>
        <v>13.011077387168999</v>
      </c>
      <c r="AB460" s="79">
        <f>tbl_Data_old[[#This Row],[2031 ]]*IFERROR(AVERAGEIFS('Participation Adjustment'!$C:$C,'Participation Adjustment'!$A:$A,$H460,'Participation Adjustment'!$B:$B,$I460),1)</f>
        <v>16.809227297444501</v>
      </c>
      <c r="AC460" s="79">
        <f>tbl_Data_old[[#This Row],[2032 ]]*IFERROR(AVERAGEIFS('Participation Adjustment'!$C:$C,'Participation Adjustment'!$A:$A,$H460,'Participation Adjustment'!$B:$B,$I460),1)</f>
        <v>20.6731069652065</v>
      </c>
      <c r="AD460" s="79">
        <f>tbl_Data_old[[#This Row],[2033 ]]*IFERROR(AVERAGEIFS('Participation Adjustment'!$C:$C,'Participation Adjustment'!$A:$A,$H460,'Participation Adjustment'!$B:$B,$I460),1)</f>
        <v>24.270260196072002</v>
      </c>
      <c r="AE460" s="79">
        <f>tbl_Data_old[[#This Row],[2034 ]]*IFERROR(AVERAGEIFS('Participation Adjustment'!$C:$C,'Participation Adjustment'!$A:$A,$H460,'Participation Adjustment'!$B:$B,$I460),1)</f>
        <v>27.321521165481101</v>
      </c>
      <c r="AF460" s="77" t="str">
        <f t="shared" si="187"/>
        <v>NonResidential</v>
      </c>
      <c r="AG460" s="77" t="str">
        <f>tbl_Data[[#This Row],[All_Meas_Name_Append]]</f>
        <v>Occupancy Sensors_ Ceiling Mounted</v>
      </c>
      <c r="AH460" s="77">
        <f>AVERAGEIFS('3. Incentive Adjustment'!G:G,'3. Incentive Adjustment'!A:A,tbl_Data[[#This Row],[Trimmed Sector]],'3. Incentive Adjustment'!B:B,tbl_Data[[#This Row],[Trimmed Measure Name]])</f>
        <v>0.99348124042467356</v>
      </c>
      <c r="AI460" s="77">
        <f>$AH460*tbl_Data[[#This Row],[2025 ]]</f>
        <v>1.0031860142404345</v>
      </c>
      <c r="AJ460" s="77">
        <f>$AH460*tbl_Data[[#This Row],[2026 ]]</f>
        <v>2.3789993055093288</v>
      </c>
      <c r="AK460" s="77">
        <f>$AH460*tbl_Data[[#This Row],[2027 ]]</f>
        <v>4.2091289792546736</v>
      </c>
      <c r="AL460" s="77">
        <f>$AH460*tbl_Data[[#This Row],[2028 ]]</f>
        <v>6.5696681356659949</v>
      </c>
      <c r="AM460" s="77">
        <f>$AH460*tbl_Data[[#This Row],[2029 ]]</f>
        <v>9.4935246817700545</v>
      </c>
      <c r="AN460" s="77">
        <f>$AH460*tbl_Data[[#This Row],[2030 ]]</f>
        <v>12.926261301866077</v>
      </c>
      <c r="AO460" s="77">
        <f>$AH460*tbl_Data[[#This Row],[2031 ]]</f>
        <v>16.699651986045446</v>
      </c>
      <c r="AP460" s="77">
        <f>$AH460*tbl_Data[[#This Row],[2032 ]]</f>
        <v>20.538343951225311</v>
      </c>
      <c r="AQ460" s="77">
        <f>$AH460*tbl_Data[[#This Row],[2033 ]]</f>
        <v>24.112048205023193</v>
      </c>
      <c r="AR460" s="77">
        <f>$AH460*tbl_Data[[#This Row],[2034 ]]</f>
        <v>27.143418737771139</v>
      </c>
      <c r="AS460" s="77">
        <f>SUM(tbl_Data[[#This Row],[Adjusted 2025]:[Adjusted 2034]])</f>
        <v>125.07423129837166</v>
      </c>
      <c r="AT460" s="80">
        <f>AVERAGEIFS('3. Incentive Adjustment'!F:F,'3. Incentive Adjustment'!A:A,tbl_Data[[#This Row],[Trimmed Sector]],'3. Incentive Adjustment'!B:B,tbl_Data[[#This Row],[Trimmed Measure Name]])</f>
        <v>19.547634357270656</v>
      </c>
      <c r="AU460" s="80">
        <f>IFERROR(VLOOKUP(tbl_Data[[#This Row],[All_Meas_Name_Append]],'IRA Tax Credits'!$A$3:$D$46,4,0),0)</f>
        <v>0</v>
      </c>
      <c r="AV460" s="81">
        <f>tbl_Data[[#This Row],[Adj. per unit Incentive ($)]]/tbl_Data[[#This Row],[kWh Savings]]*tbl_Data[[#This Row],[Sum of Annuals]]</f>
        <v>4.7882987484082777</v>
      </c>
      <c r="AW460" s="81">
        <f>IFERROR(VLOOKUP(tbl_Data[[#This Row],[Column1]],'1. Set Program Names'!$B$2:$D$15,3,0)*tbl_Data[[#This Row],[Sum of Annuals]],"")</f>
        <v>3.9583738074073649</v>
      </c>
      <c r="AX460" s="81">
        <f>tbl_Data[[#This Row],[per unit IRA tax ($)]]/tbl_Data[[#This Row],[kWh Savings]]*tbl_Data[[#This Row],[Sum of Annuals]]</f>
        <v>0</v>
      </c>
      <c r="AY460" s="81">
        <f>tbl_Data[[#This Row],[Avoided Costs ($/unit)]]/tbl_Data[[#This Row],[kWh Savings]]*tbl_Data[[#This Row],[Sum of Annuals]]</f>
        <v>42.804491951776761</v>
      </c>
      <c r="AZ460" s="81">
        <f>tbl_Data[[#This Row],[Lost Revenue ($/unit)]]/tbl_Data[[#This Row],[kWh Savings]]*tbl_Data[[#This Row],[Sum of Annuals]]</f>
        <v>102.88058397913582</v>
      </c>
      <c r="BA460" s="81">
        <f>tbl_Data[[#This Row],[Incremental Cost ($/unit)]]/tbl_Data[[#This Row],[kWh Savings]]*tbl_Data[[#This Row],[Sum of Annuals]]</f>
        <v>31.599247625323038</v>
      </c>
      <c r="BB460" s="77">
        <f>ROUNDUP(tbl_Data[[#This Row],[Adjusted 2025]]/$L460,0)</f>
        <v>1</v>
      </c>
      <c r="BC460" s="77">
        <f>ROUNDUP(tbl_Data[[#This Row],[Adjusted 2026]]/$L460,0)</f>
        <v>1</v>
      </c>
      <c r="BD460" s="77">
        <f>ROUNDUP(tbl_Data[[#This Row],[Adjusted 2027]]/$L460,0)</f>
        <v>1</v>
      </c>
      <c r="BE460" s="77">
        <f>ROUNDUP(tbl_Data[[#This Row],[Adjusted 2028]]/$L460,0)</f>
        <v>1</v>
      </c>
      <c r="BF460" s="77">
        <f>ROUNDUP(tbl_Data[[#This Row],[Adjusted 2029]]/$L460,0)</f>
        <v>1</v>
      </c>
      <c r="BG460" s="77">
        <f>ROUNDUP(tbl_Data[[#This Row],[Adjusted 2030]]/$L460,0)</f>
        <v>1</v>
      </c>
      <c r="BH460" s="77">
        <f>ROUNDUP(tbl_Data[[#This Row],[Adjusted 2031]]/$L460,0)</f>
        <v>1</v>
      </c>
      <c r="BI460" s="77">
        <f>ROUNDUP(tbl_Data[[#This Row],[Adjusted 2032]]/$L460,0)</f>
        <v>1</v>
      </c>
      <c r="BJ460" s="77">
        <f>ROUNDUP(tbl_Data[[#This Row],[Adjusted 2033]]/$L460,0)</f>
        <v>1</v>
      </c>
      <c r="BK460" s="77">
        <f>ROUNDUP(tbl_Data[[#This Row],[Adjusted 2034]]/$L460,0)</f>
        <v>1</v>
      </c>
      <c r="BL460" s="80">
        <f t="shared" si="188"/>
        <v>3.8657627272457452E-2</v>
      </c>
      <c r="BM460" s="80">
        <f t="shared" si="189"/>
        <v>9.1674392513782677E-2</v>
      </c>
      <c r="BN460" s="80">
        <f t="shared" si="190"/>
        <v>0.16219817353108398</v>
      </c>
      <c r="BO460" s="80">
        <f t="shared" si="191"/>
        <v>0.25316120688206462</v>
      </c>
      <c r="BP460" s="80">
        <f t="shared" si="192"/>
        <v>0.36583159398171544</v>
      </c>
      <c r="BQ460" s="80">
        <f t="shared" si="193"/>
        <v>0.49811160078051714</v>
      </c>
      <c r="BR460" s="80">
        <f t="shared" si="194"/>
        <v>0.64351866243379929</v>
      </c>
      <c r="BS460" s="80">
        <f t="shared" si="195"/>
        <v>0.79144209946063826</v>
      </c>
      <c r="BT460" s="80">
        <f t="shared" si="196"/>
        <v>0.92915427353825997</v>
      </c>
      <c r="BU460" s="80">
        <f t="shared" si="197"/>
        <v>1.0459676964889459</v>
      </c>
      <c r="BV460" s="80">
        <f>IFERROR(VLOOKUP($H460,'1. Set Program Names'!$B$2:$D$15,3,0)*V460,"NA")</f>
        <v>3.1957350051034179E-2</v>
      </c>
      <c r="BW460" s="80">
        <f>IFERROR(VLOOKUP($H460,'1. Set Program Names'!$B$2:$D$15,3,0)*W460,"NA")</f>
        <v>7.5785061292837658E-2</v>
      </c>
      <c r="BX460" s="80">
        <f>IFERROR(VLOOKUP($H460,'1. Set Program Names'!$B$2:$D$15,3,0)*X460,"NA")</f>
        <v>0.13408541017374576</v>
      </c>
      <c r="BY460" s="80">
        <f>IFERROR(VLOOKUP($H460,'1. Set Program Names'!$B$2:$D$15,3,0)*Y460,"NA")</f>
        <v>0.2092824075997182</v>
      </c>
      <c r="BZ460" s="80">
        <f>IFERROR(VLOOKUP($H460,'1. Set Program Names'!$B$2:$D$15,3,0)*Z460,"NA")</f>
        <v>0.30242436314582161</v>
      </c>
      <c r="CA460" s="80">
        <f>IFERROR(VLOOKUP($H460,'1. Set Program Names'!$B$2:$D$15,3,0)*AA460,"NA")</f>
        <v>0.41177712947647382</v>
      </c>
      <c r="CB460" s="80">
        <f>IFERROR(VLOOKUP($H460,'1. Set Program Names'!$B$2:$D$15,3,0)*AB460,"NA")</f>
        <v>0.53198172290368051</v>
      </c>
      <c r="CC460" s="80">
        <f>IFERROR(VLOOKUP($H460,'1. Set Program Names'!$B$2:$D$15,3,0)*AC460,"NA")</f>
        <v>0.65426654458974509</v>
      </c>
      <c r="CD460" s="80">
        <f>IFERROR(VLOOKUP($H460,'1. Set Program Names'!$B$2:$D$15,3,0)*AD460,"NA")</f>
        <v>0.76810995567832596</v>
      </c>
      <c r="CE460" s="80">
        <f>IFERROR(VLOOKUP($H460,'1. Set Program Names'!$B$2:$D$15,3,0)*AE460,"NA")</f>
        <v>0.86467686139098676</v>
      </c>
    </row>
    <row r="461" spans="1:83" x14ac:dyDescent="0.25">
      <c r="A461" s="79" t="s">
        <v>115</v>
      </c>
      <c r="B461" s="79" t="s">
        <v>88</v>
      </c>
      <c r="C461" s="79" t="s">
        <v>122</v>
      </c>
      <c r="D461" s="79" t="s">
        <v>90</v>
      </c>
      <c r="E461" s="79" t="s">
        <v>91</v>
      </c>
      <c r="F461" s="79" t="s">
        <v>90</v>
      </c>
      <c r="G461" s="79" t="s">
        <v>92</v>
      </c>
      <c r="H461" s="79" t="s">
        <v>18</v>
      </c>
      <c r="I461" s="79" t="s">
        <v>167</v>
      </c>
      <c r="J461" s="79" t="s">
        <v>124</v>
      </c>
      <c r="K461" s="79" t="s">
        <v>98</v>
      </c>
      <c r="L461" s="79">
        <v>151.65999999999994</v>
      </c>
      <c r="M461" s="79">
        <v>2.2013191527321094E-2</v>
      </c>
      <c r="N461" s="79">
        <v>1.952960139549019E-2</v>
      </c>
      <c r="O461" s="79">
        <v>56.59999999999998</v>
      </c>
      <c r="P461" s="79">
        <v>25.402483751835906</v>
      </c>
      <c r="Q461" s="79"/>
      <c r="R461" s="79">
        <v>70.56447857633529</v>
      </c>
      <c r="S461" s="79">
        <v>171.41744415542868</v>
      </c>
      <c r="T461" s="79">
        <v>16</v>
      </c>
      <c r="U461" s="79">
        <v>0.2</v>
      </c>
      <c r="V461" s="79">
        <f>tbl_Data_old[[#This Row],[2025 ]]*IFERROR(AVERAGEIFS('Participation Adjustment'!$C:$C,'Participation Adjustment'!$A:$A,$H461,'Participation Adjustment'!$B:$B,$I461),1)</f>
        <v>0.14364596109632999</v>
      </c>
      <c r="W461" s="79">
        <f>tbl_Data_old[[#This Row],[2026 ]]*IFERROR(AVERAGEIFS('Participation Adjustment'!$C:$C,'Participation Adjustment'!$A:$A,$H461,'Participation Adjustment'!$B:$B,$I461),1)</f>
        <v>0.33900949753785597</v>
      </c>
      <c r="X461" s="79">
        <f>tbl_Data_old[[#This Row],[2027 ]]*IFERROR(AVERAGEIFS('Participation Adjustment'!$C:$C,'Participation Adjustment'!$A:$A,$H461,'Participation Adjustment'!$B:$B,$I461),1)</f>
        <v>0.59139822866917202</v>
      </c>
      <c r="Y461" s="79">
        <f>tbl_Data_old[[#This Row],[2028 ]]*IFERROR(AVERAGEIFS('Participation Adjustment'!$C:$C,'Participation Adjustment'!$A:$A,$H461,'Participation Adjustment'!$B:$B,$I461),1)</f>
        <v>0.903008364712369</v>
      </c>
      <c r="Z461" s="79">
        <f>tbl_Data_old[[#This Row],[2029 ]]*IFERROR(AVERAGEIFS('Participation Adjustment'!$C:$C,'Participation Adjustment'!$A:$A,$H461,'Participation Adjustment'!$B:$B,$I461),1)</f>
        <v>1.27087748875894</v>
      </c>
      <c r="AA461" s="79">
        <f>tbl_Data_old[[#This Row],[2030 ]]*IFERROR(AVERAGEIFS('Participation Adjustment'!$C:$C,'Participation Adjustment'!$A:$A,$H461,'Participation Adjustment'!$B:$B,$I461),1)</f>
        <v>1.6880070727268399</v>
      </c>
      <c r="AB461" s="79">
        <f>tbl_Data_old[[#This Row],[2031 ]]*IFERROR(AVERAGEIFS('Participation Adjustment'!$C:$C,'Participation Adjustment'!$A:$A,$H461,'Participation Adjustment'!$B:$B,$I461),1)</f>
        <v>2.1445615017056401</v>
      </c>
      <c r="AC461" s="79">
        <f>tbl_Data_old[[#This Row],[2032 ]]*IFERROR(AVERAGEIFS('Participation Adjustment'!$C:$C,'Participation Adjustment'!$A:$A,$H461,'Participation Adjustment'!$B:$B,$I461),1)</f>
        <v>2.6315244436086802</v>
      </c>
      <c r="AD461" s="79">
        <f>tbl_Data_old[[#This Row],[2033 ]]*IFERROR(AVERAGEIFS('Participation Adjustment'!$C:$C,'Participation Adjustment'!$A:$A,$H461,'Participation Adjustment'!$B:$B,$I461),1)</f>
        <v>3.1423649066629702</v>
      </c>
      <c r="AE461" s="79">
        <f>tbl_Data_old[[#This Row],[2034 ]]*IFERROR(AVERAGEIFS('Participation Adjustment'!$C:$C,'Participation Adjustment'!$A:$A,$H461,'Participation Adjustment'!$B:$B,$I461),1)</f>
        <v>3.6710168162849302</v>
      </c>
      <c r="AF461" s="77" t="str">
        <f t="shared" si="187"/>
        <v>NonResidential</v>
      </c>
      <c r="AG461" s="77" t="str">
        <f>tbl_Data[[#This Row],[All_Meas_Name_Append]]</f>
        <v>Refrigerated Display Case LED Lighting</v>
      </c>
      <c r="AH461" s="77">
        <f>AVERAGEIFS('3. Incentive Adjustment'!G:G,'3. Incentive Adjustment'!A:A,tbl_Data[[#This Row],[Trimmed Sector]],'3. Incentive Adjustment'!B:B,tbl_Data[[#This Row],[Trimmed Measure Name]])</f>
        <v>0.72450810749703154</v>
      </c>
      <c r="AI461" s="77">
        <f>$AH461*tbl_Data[[#This Row],[2025 ]]</f>
        <v>0.10407266342349426</v>
      </c>
      <c r="AJ461" s="77">
        <f>$AH461*tbl_Data[[#This Row],[2026 ]]</f>
        <v>0.2456151294846716</v>
      </c>
      <c r="AK461" s="77">
        <f>$AH461*tbl_Data[[#This Row],[2027 ]]</f>
        <v>0.4284728114301985</v>
      </c>
      <c r="AL461" s="77">
        <f>$AH461*tbl_Data[[#This Row],[2028 ]]</f>
        <v>0.65423688137174774</v>
      </c>
      <c r="AM461" s="77">
        <f>$AH461*tbl_Data[[#This Row],[2029 ]]</f>
        <v>0.92076104424131966</v>
      </c>
      <c r="AN461" s="77">
        <f>$AH461*tbl_Data[[#This Row],[2030 ]]</f>
        <v>1.2229748097029269</v>
      </c>
      <c r="AO461" s="77">
        <f>$AH461*tbl_Data[[#This Row],[2031 ]]</f>
        <v>1.5537521950117452</v>
      </c>
      <c r="AP461" s="77">
        <f>$AH461*tbl_Data[[#This Row],[2032 ]]</f>
        <v>1.9065607944711038</v>
      </c>
      <c r="AQ461" s="77">
        <f>$AH461*tbl_Data[[#This Row],[2033 ]]</f>
        <v>2.2766688515914746</v>
      </c>
      <c r="AR461" s="77">
        <f>$AH461*tbl_Data[[#This Row],[2034 ]]</f>
        <v>2.6596814461563727</v>
      </c>
      <c r="AS461" s="77">
        <f>SUM(tbl_Data[[#This Row],[Adjusted 2025]:[Adjusted 2034]])</f>
        <v>11.972796626885055</v>
      </c>
      <c r="AT461" s="80">
        <f>AVERAGEIFS('3. Incentive Adjustment'!F:F,'3. Incentive Adjustment'!A:A,tbl_Data[[#This Row],[Trimmed Sector]],'3. Incentive Adjustment'!B:B,tbl_Data[[#This Row],[Trimmed Measure Name]])</f>
        <v>6.879122352287844</v>
      </c>
      <c r="AU461" s="80">
        <f>IFERROR(VLOOKUP(tbl_Data[[#This Row],[All_Meas_Name_Append]],'IRA Tax Credits'!$A$3:$D$46,4,0),0)</f>
        <v>0</v>
      </c>
      <c r="AV461" s="81">
        <f>tbl_Data[[#This Row],[Adj. per unit Incentive ($)]]/tbl_Data[[#This Row],[kWh Savings]]*tbl_Data[[#This Row],[Sum of Annuals]]</f>
        <v>0.54307222006726563</v>
      </c>
      <c r="AW461" s="81">
        <f>IFERROR(VLOOKUP(tbl_Data[[#This Row],[Column1]],'1. Set Program Names'!$B$2:$D$15,3,0)*tbl_Data[[#This Row],[Sum of Annuals]],"")</f>
        <v>0.37891741629991577</v>
      </c>
      <c r="AX461" s="81">
        <f>tbl_Data[[#This Row],[per unit IRA tax ($)]]/tbl_Data[[#This Row],[kWh Savings]]*tbl_Data[[#This Row],[Sum of Annuals]]</f>
        <v>0</v>
      </c>
      <c r="AY461" s="81">
        <f>tbl_Data[[#This Row],[Avoided Costs ($/unit)]]/tbl_Data[[#This Row],[kWh Savings]]*tbl_Data[[#This Row],[Sum of Annuals]]</f>
        <v>5.5707117966283146</v>
      </c>
      <c r="AZ461" s="81">
        <f>tbl_Data[[#This Row],[Lost Revenue ($/unit)]]/tbl_Data[[#This Row],[kWh Savings]]*tbl_Data[[#This Row],[Sum of Annuals]]</f>
        <v>13.53254778566118</v>
      </c>
      <c r="BA461" s="81">
        <f>tbl_Data[[#This Row],[Incremental Cost ($/unit)]]/tbl_Data[[#This Row],[kWh Savings]]*tbl_Data[[#This Row],[Sum of Annuals]]</f>
        <v>4.4682862263068319</v>
      </c>
      <c r="BB461" s="77">
        <f>ROUNDUP(tbl_Data[[#This Row],[Adjusted 2025]]/$L461,0)</f>
        <v>1</v>
      </c>
      <c r="BC461" s="77">
        <f>ROUNDUP(tbl_Data[[#This Row],[Adjusted 2026]]/$L461,0)</f>
        <v>1</v>
      </c>
      <c r="BD461" s="77">
        <f>ROUNDUP(tbl_Data[[#This Row],[Adjusted 2027]]/$L461,0)</f>
        <v>1</v>
      </c>
      <c r="BE461" s="77">
        <f>ROUNDUP(tbl_Data[[#This Row],[Adjusted 2028]]/$L461,0)</f>
        <v>1</v>
      </c>
      <c r="BF461" s="77">
        <f>ROUNDUP(tbl_Data[[#This Row],[Adjusted 2029]]/$L461,0)</f>
        <v>1</v>
      </c>
      <c r="BG461" s="77">
        <f>ROUNDUP(tbl_Data[[#This Row],[Adjusted 2030]]/$L461,0)</f>
        <v>1</v>
      </c>
      <c r="BH461" s="77">
        <f>ROUNDUP(tbl_Data[[#This Row],[Adjusted 2031]]/$L461,0)</f>
        <v>1</v>
      </c>
      <c r="BI461" s="77">
        <f>ROUNDUP(tbl_Data[[#This Row],[Adjusted 2032]]/$L461,0)</f>
        <v>1</v>
      </c>
      <c r="BJ461" s="77">
        <f>ROUNDUP(tbl_Data[[#This Row],[Adjusted 2033]]/$L461,0)</f>
        <v>1</v>
      </c>
      <c r="BK461" s="77">
        <f>ROUNDUP(tbl_Data[[#This Row],[Adjusted 2034]]/$L461,0)</f>
        <v>1</v>
      </c>
      <c r="BL461" s="80">
        <f t="shared" si="188"/>
        <v>6.5156148080814588E-3</v>
      </c>
      <c r="BM461" s="80">
        <f t="shared" si="189"/>
        <v>1.5377079072600136E-2</v>
      </c>
      <c r="BN461" s="80">
        <f t="shared" si="190"/>
        <v>2.6825140273912307E-2</v>
      </c>
      <c r="BO461" s="80">
        <f t="shared" si="191"/>
        <v>4.0959415969904746E-2</v>
      </c>
      <c r="BP461" s="80">
        <f t="shared" si="192"/>
        <v>5.7645534352769819E-2</v>
      </c>
      <c r="BQ461" s="80">
        <f t="shared" si="193"/>
        <v>7.6566050275716613E-2</v>
      </c>
      <c r="BR461" s="80">
        <f t="shared" si="194"/>
        <v>9.7274831611758275E-2</v>
      </c>
      <c r="BS461" s="80">
        <f t="shared" si="195"/>
        <v>0.11936290795608803</v>
      </c>
      <c r="BT461" s="80">
        <f t="shared" si="196"/>
        <v>0.14253404106864137</v>
      </c>
      <c r="BU461" s="80">
        <f t="shared" si="197"/>
        <v>0.16651308081583957</v>
      </c>
      <c r="BV461" s="80">
        <f>IFERROR(VLOOKUP($H461,'1. Set Program Names'!$B$2:$D$15,3,0)*V461,"NA")</f>
        <v>4.5461355551898773E-3</v>
      </c>
      <c r="BW461" s="80">
        <f>IFERROR(VLOOKUP($H461,'1. Set Program Names'!$B$2:$D$15,3,0)*W461,"NA")</f>
        <v>1.0729039080119865E-2</v>
      </c>
      <c r="BX461" s="80">
        <f>IFERROR(VLOOKUP($H461,'1. Set Program Names'!$B$2:$D$15,3,0)*X461,"NA")</f>
        <v>1.8716687152980638E-2</v>
      </c>
      <c r="BY461" s="80">
        <f>IFERROR(VLOOKUP($H461,'1. Set Program Names'!$B$2:$D$15,3,0)*Y461,"NA")</f>
        <v>2.857858586570209E-2</v>
      </c>
      <c r="BZ461" s="80">
        <f>IFERROR(VLOOKUP($H461,'1. Set Program Names'!$B$2:$D$15,3,0)*Z461,"NA")</f>
        <v>4.0220980066839149E-2</v>
      </c>
      <c r="CA461" s="80">
        <f>IFERROR(VLOOKUP($H461,'1. Set Program Names'!$B$2:$D$15,3,0)*AA461,"NA")</f>
        <v>5.3422378966779961E-2</v>
      </c>
      <c r="CB461" s="80">
        <f>IFERROR(VLOOKUP($H461,'1. Set Program Names'!$B$2:$D$15,3,0)*AB461,"NA")</f>
        <v>6.7871503095428803E-2</v>
      </c>
      <c r="CC461" s="80">
        <f>IFERROR(VLOOKUP($H461,'1. Set Program Names'!$B$2:$D$15,3,0)*AC461,"NA")</f>
        <v>8.3283001806211801E-2</v>
      </c>
      <c r="CD461" s="80">
        <f>IFERROR(VLOOKUP($H461,'1. Set Program Names'!$B$2:$D$15,3,0)*AD461,"NA")</f>
        <v>9.9450180990340642E-2</v>
      </c>
      <c r="CE461" s="80">
        <f>IFERROR(VLOOKUP($H461,'1. Set Program Names'!$B$2:$D$15,3,0)*AE461,"NA")</f>
        <v>0.11618106032943833</v>
      </c>
    </row>
    <row r="462" spans="1:83" x14ac:dyDescent="0.25">
      <c r="A462" s="79" t="s">
        <v>116</v>
      </c>
      <c r="B462" s="79" t="s">
        <v>88</v>
      </c>
      <c r="C462" s="79" t="s">
        <v>122</v>
      </c>
      <c r="D462" s="79" t="s">
        <v>90</v>
      </c>
      <c r="E462" s="79" t="s">
        <v>91</v>
      </c>
      <c r="F462" s="79" t="s">
        <v>90</v>
      </c>
      <c r="G462" s="79" t="s">
        <v>92</v>
      </c>
      <c r="H462" s="79" t="s">
        <v>18</v>
      </c>
      <c r="I462" s="79" t="s">
        <v>168</v>
      </c>
      <c r="J462" s="79" t="s">
        <v>129</v>
      </c>
      <c r="K462" s="79" t="s">
        <v>102</v>
      </c>
      <c r="L462" s="79">
        <v>3050.4666666666599</v>
      </c>
      <c r="M462" s="79">
        <v>1.01361966409546</v>
      </c>
      <c r="N462" s="79">
        <v>0</v>
      </c>
      <c r="O462" s="79">
        <v>742</v>
      </c>
      <c r="P462" s="79">
        <v>130.44720079847701</v>
      </c>
      <c r="Q462" s="79">
        <v>96.541767463653102</v>
      </c>
      <c r="R462" s="79">
        <v>1331.93833936435</v>
      </c>
      <c r="S462" s="79">
        <v>2509.1802589366698</v>
      </c>
      <c r="T462" s="79">
        <v>10</v>
      </c>
      <c r="U462" s="79">
        <v>1</v>
      </c>
      <c r="V462" s="79">
        <f>tbl_Data_old[[#This Row],[2025 ]]*IFERROR(AVERAGEIFS('Participation Adjustment'!$C:$C,'Participation Adjustment'!$A:$A,$H462,'Participation Adjustment'!$B:$B,$I462),1)</f>
        <v>0</v>
      </c>
      <c r="W462" s="79">
        <f>tbl_Data_old[[#This Row],[2026 ]]*IFERROR(AVERAGEIFS('Participation Adjustment'!$C:$C,'Participation Adjustment'!$A:$A,$H462,'Participation Adjustment'!$B:$B,$I462),1)</f>
        <v>0</v>
      </c>
      <c r="X462" s="79">
        <f>tbl_Data_old[[#This Row],[2027 ]]*IFERROR(AVERAGEIFS('Participation Adjustment'!$C:$C,'Participation Adjustment'!$A:$A,$H462,'Participation Adjustment'!$B:$B,$I462),1)</f>
        <v>0</v>
      </c>
      <c r="Y462" s="79">
        <f>tbl_Data_old[[#This Row],[2028 ]]*IFERROR(AVERAGEIFS('Participation Adjustment'!$C:$C,'Participation Adjustment'!$A:$A,$H462,'Participation Adjustment'!$B:$B,$I462),1)</f>
        <v>0</v>
      </c>
      <c r="Z462" s="79">
        <f>tbl_Data_old[[#This Row],[2029 ]]*IFERROR(AVERAGEIFS('Participation Adjustment'!$C:$C,'Participation Adjustment'!$A:$A,$H462,'Participation Adjustment'!$B:$B,$I462),1)</f>
        <v>0</v>
      </c>
      <c r="AA462" s="79">
        <f>tbl_Data_old[[#This Row],[2030 ]]*IFERROR(AVERAGEIFS('Participation Adjustment'!$C:$C,'Participation Adjustment'!$A:$A,$H462,'Participation Adjustment'!$B:$B,$I462),1)</f>
        <v>0</v>
      </c>
      <c r="AB462" s="79">
        <f>tbl_Data_old[[#This Row],[2031 ]]*IFERROR(AVERAGEIFS('Participation Adjustment'!$C:$C,'Participation Adjustment'!$A:$A,$H462,'Participation Adjustment'!$B:$B,$I462),1)</f>
        <v>0</v>
      </c>
      <c r="AC462" s="79">
        <f>tbl_Data_old[[#This Row],[2032 ]]*IFERROR(AVERAGEIFS('Participation Adjustment'!$C:$C,'Participation Adjustment'!$A:$A,$H462,'Participation Adjustment'!$B:$B,$I462),1)</f>
        <v>0</v>
      </c>
      <c r="AD462" s="79">
        <f>tbl_Data_old[[#This Row],[2033 ]]*IFERROR(AVERAGEIFS('Participation Adjustment'!$C:$C,'Participation Adjustment'!$A:$A,$H462,'Participation Adjustment'!$B:$B,$I462),1)</f>
        <v>0</v>
      </c>
      <c r="AE462" s="79">
        <f>tbl_Data_old[[#This Row],[2034 ]]*IFERROR(AVERAGEIFS('Participation Adjustment'!$C:$C,'Participation Adjustment'!$A:$A,$H462,'Participation Adjustment'!$B:$B,$I462),1)</f>
        <v>0</v>
      </c>
      <c r="AF462" s="77" t="str">
        <f t="shared" si="187"/>
        <v>NonResidential</v>
      </c>
      <c r="AG462" s="77" t="str">
        <f>tbl_Data[[#This Row],[All_Meas_Name_Append]]</f>
        <v>Chilled Water Reset</v>
      </c>
      <c r="AH462" s="77">
        <f>AVERAGEIFS('3. Incentive Adjustment'!G:G,'3. Incentive Adjustment'!A:A,tbl_Data[[#This Row],[Trimmed Sector]],'3. Incentive Adjustment'!B:B,tbl_Data[[#This Row],[Trimmed Measure Name]])</f>
        <v>1.6724428329362533</v>
      </c>
      <c r="AI462" s="77">
        <f>$AH462*tbl_Data[[#This Row],[2025 ]]</f>
        <v>0</v>
      </c>
      <c r="AJ462" s="77">
        <f>$AH462*tbl_Data[[#This Row],[2026 ]]</f>
        <v>0</v>
      </c>
      <c r="AK462" s="77">
        <f>$AH462*tbl_Data[[#This Row],[2027 ]]</f>
        <v>0</v>
      </c>
      <c r="AL462" s="77">
        <f>$AH462*tbl_Data[[#This Row],[2028 ]]</f>
        <v>0</v>
      </c>
      <c r="AM462" s="77">
        <f>$AH462*tbl_Data[[#This Row],[2029 ]]</f>
        <v>0</v>
      </c>
      <c r="AN462" s="77">
        <f>$AH462*tbl_Data[[#This Row],[2030 ]]</f>
        <v>0</v>
      </c>
      <c r="AO462" s="77">
        <f>$AH462*tbl_Data[[#This Row],[2031 ]]</f>
        <v>0</v>
      </c>
      <c r="AP462" s="77">
        <f>$AH462*tbl_Data[[#This Row],[2032 ]]</f>
        <v>0</v>
      </c>
      <c r="AQ462" s="77">
        <f>$AH462*tbl_Data[[#This Row],[2033 ]]</f>
        <v>0</v>
      </c>
      <c r="AR462" s="77">
        <f>$AH462*tbl_Data[[#This Row],[2034 ]]</f>
        <v>0</v>
      </c>
      <c r="AS462" s="77">
        <f>SUM(tbl_Data[[#This Row],[Adjusted 2025]:[Adjusted 2034]])</f>
        <v>0</v>
      </c>
      <c r="AT462" s="80">
        <f>AVERAGEIFS('3. Incentive Adjustment'!F:F,'3. Incentive Adjustment'!A:A,tbl_Data[[#This Row],[Trimmed Sector]],'3. Incentive Adjustment'!B:B,tbl_Data[[#This Row],[Trimmed Measure Name]])</f>
        <v>725.0262900596623</v>
      </c>
      <c r="AU462" s="80">
        <f>IFERROR(VLOOKUP(tbl_Data[[#This Row],[All_Meas_Name_Append]],'IRA Tax Credits'!$A$3:$D$46,4,0),0)</f>
        <v>0</v>
      </c>
      <c r="AV462" s="81">
        <f>tbl_Data[[#This Row],[Adj. per unit Incentive ($)]]/tbl_Data[[#This Row],[kWh Savings]]*tbl_Data[[#This Row],[Sum of Annuals]]</f>
        <v>0</v>
      </c>
      <c r="AW462" s="81">
        <f>IFERROR(VLOOKUP(tbl_Data[[#This Row],[Column1]],'1. Set Program Names'!$B$2:$D$15,3,0)*tbl_Data[[#This Row],[Sum of Annuals]],"")</f>
        <v>0</v>
      </c>
      <c r="AX462" s="81">
        <f>tbl_Data[[#This Row],[per unit IRA tax ($)]]/tbl_Data[[#This Row],[kWh Savings]]*tbl_Data[[#This Row],[Sum of Annuals]]</f>
        <v>0</v>
      </c>
      <c r="AY462" s="81">
        <f>tbl_Data[[#This Row],[Avoided Costs ($/unit)]]/tbl_Data[[#This Row],[kWh Savings]]*tbl_Data[[#This Row],[Sum of Annuals]]</f>
        <v>0</v>
      </c>
      <c r="AZ462" s="81">
        <f>tbl_Data[[#This Row],[Lost Revenue ($/unit)]]/tbl_Data[[#This Row],[kWh Savings]]*tbl_Data[[#This Row],[Sum of Annuals]]</f>
        <v>0</v>
      </c>
      <c r="BA462" s="81">
        <f>tbl_Data[[#This Row],[Incremental Cost ($/unit)]]/tbl_Data[[#This Row],[kWh Savings]]*tbl_Data[[#This Row],[Sum of Annuals]]</f>
        <v>0</v>
      </c>
      <c r="BB462" s="77">
        <f>ROUNDUP(tbl_Data[[#This Row],[Adjusted 2025]]/$L462,0)</f>
        <v>0</v>
      </c>
      <c r="BC462" s="77">
        <f>ROUNDUP(tbl_Data[[#This Row],[Adjusted 2026]]/$L462,0)</f>
        <v>0</v>
      </c>
      <c r="BD462" s="77">
        <f>ROUNDUP(tbl_Data[[#This Row],[Adjusted 2027]]/$L462,0)</f>
        <v>0</v>
      </c>
      <c r="BE462" s="77">
        <f>ROUNDUP(tbl_Data[[#This Row],[Adjusted 2028]]/$L462,0)</f>
        <v>0</v>
      </c>
      <c r="BF462" s="77">
        <f>ROUNDUP(tbl_Data[[#This Row],[Adjusted 2029]]/$L462,0)</f>
        <v>0</v>
      </c>
      <c r="BG462" s="77">
        <f>ROUNDUP(tbl_Data[[#This Row],[Adjusted 2030]]/$L462,0)</f>
        <v>0</v>
      </c>
      <c r="BH462" s="77">
        <f>ROUNDUP(tbl_Data[[#This Row],[Adjusted 2031]]/$L462,0)</f>
        <v>0</v>
      </c>
      <c r="BI462" s="77">
        <f>ROUNDUP(tbl_Data[[#This Row],[Adjusted 2032]]/$L462,0)</f>
        <v>0</v>
      </c>
      <c r="BJ462" s="77">
        <f>ROUNDUP(tbl_Data[[#This Row],[Adjusted 2033]]/$L462,0)</f>
        <v>0</v>
      </c>
      <c r="BK462" s="77">
        <f>ROUNDUP(tbl_Data[[#This Row],[Adjusted 2034]]/$L462,0)</f>
        <v>0</v>
      </c>
      <c r="BL462" s="80">
        <f t="shared" si="188"/>
        <v>0</v>
      </c>
      <c r="BM462" s="80">
        <f t="shared" si="189"/>
        <v>0</v>
      </c>
      <c r="BN462" s="80">
        <f t="shared" si="190"/>
        <v>0</v>
      </c>
      <c r="BO462" s="80">
        <f t="shared" si="191"/>
        <v>0</v>
      </c>
      <c r="BP462" s="80">
        <f t="shared" si="192"/>
        <v>0</v>
      </c>
      <c r="BQ462" s="80">
        <f t="shared" si="193"/>
        <v>0</v>
      </c>
      <c r="BR462" s="80">
        <f t="shared" si="194"/>
        <v>0</v>
      </c>
      <c r="BS462" s="80">
        <f t="shared" si="195"/>
        <v>0</v>
      </c>
      <c r="BT462" s="80">
        <f t="shared" si="196"/>
        <v>0</v>
      </c>
      <c r="BU462" s="80">
        <f t="shared" si="197"/>
        <v>0</v>
      </c>
      <c r="BV462" s="80">
        <f>IFERROR(VLOOKUP($H462,'1. Set Program Names'!$B$2:$D$15,3,0)*V462,"NA")</f>
        <v>0</v>
      </c>
      <c r="BW462" s="80">
        <f>IFERROR(VLOOKUP($H462,'1. Set Program Names'!$B$2:$D$15,3,0)*W462,"NA")</f>
        <v>0</v>
      </c>
      <c r="BX462" s="80">
        <f>IFERROR(VLOOKUP($H462,'1. Set Program Names'!$B$2:$D$15,3,0)*X462,"NA")</f>
        <v>0</v>
      </c>
      <c r="BY462" s="80">
        <f>IFERROR(VLOOKUP($H462,'1. Set Program Names'!$B$2:$D$15,3,0)*Y462,"NA")</f>
        <v>0</v>
      </c>
      <c r="BZ462" s="80">
        <f>IFERROR(VLOOKUP($H462,'1. Set Program Names'!$B$2:$D$15,3,0)*Z462,"NA")</f>
        <v>0</v>
      </c>
      <c r="CA462" s="80">
        <f>IFERROR(VLOOKUP($H462,'1. Set Program Names'!$B$2:$D$15,3,0)*AA462,"NA")</f>
        <v>0</v>
      </c>
      <c r="CB462" s="80">
        <f>IFERROR(VLOOKUP($H462,'1. Set Program Names'!$B$2:$D$15,3,0)*AB462,"NA")</f>
        <v>0</v>
      </c>
      <c r="CC462" s="80">
        <f>IFERROR(VLOOKUP($H462,'1. Set Program Names'!$B$2:$D$15,3,0)*AC462,"NA")</f>
        <v>0</v>
      </c>
      <c r="CD462" s="80">
        <f>IFERROR(VLOOKUP($H462,'1. Set Program Names'!$B$2:$D$15,3,0)*AD462,"NA")</f>
        <v>0</v>
      </c>
      <c r="CE462" s="80">
        <f>IFERROR(VLOOKUP($H462,'1. Set Program Names'!$B$2:$D$15,3,0)*AE462,"NA")</f>
        <v>0</v>
      </c>
    </row>
    <row r="463" spans="1:83" x14ac:dyDescent="0.25">
      <c r="A463" s="79" t="s">
        <v>116</v>
      </c>
      <c r="B463" s="79" t="s">
        <v>88</v>
      </c>
      <c r="C463" s="79" t="s">
        <v>122</v>
      </c>
      <c r="D463" s="79" t="s">
        <v>90</v>
      </c>
      <c r="E463" s="79" t="s">
        <v>91</v>
      </c>
      <c r="F463" s="79" t="s">
        <v>90</v>
      </c>
      <c r="G463" s="79" t="s">
        <v>92</v>
      </c>
      <c r="H463" s="79" t="s">
        <v>18</v>
      </c>
      <c r="I463" s="79" t="s">
        <v>169</v>
      </c>
      <c r="J463" s="79" t="s">
        <v>129</v>
      </c>
      <c r="K463" s="79" t="s">
        <v>102</v>
      </c>
      <c r="L463" s="79">
        <v>12279.148571428501</v>
      </c>
      <c r="M463" s="79">
        <v>2.3939185148112898</v>
      </c>
      <c r="N463" s="79">
        <v>0.409805025192993</v>
      </c>
      <c r="O463" s="79">
        <v>4666.07785714284</v>
      </c>
      <c r="P463" s="79">
        <v>2140.17810945783</v>
      </c>
      <c r="Q463" s="79">
        <v>388.61290273657698</v>
      </c>
      <c r="R463" s="79">
        <v>6035.2668545830202</v>
      </c>
      <c r="S463" s="79">
        <v>13336.629705795</v>
      </c>
      <c r="T463" s="79">
        <v>15</v>
      </c>
      <c r="U463" s="79">
        <v>1</v>
      </c>
      <c r="V463" s="79">
        <f>tbl_Data_old[[#This Row],[2025 ]]*IFERROR(AVERAGEIFS('Participation Adjustment'!$C:$C,'Participation Adjustment'!$A:$A,$H463,'Participation Adjustment'!$B:$B,$I463),1)</f>
        <v>6.8274033608015898</v>
      </c>
      <c r="W463" s="79">
        <f>tbl_Data_old[[#This Row],[2026 ]]*IFERROR(AVERAGEIFS('Participation Adjustment'!$C:$C,'Participation Adjustment'!$A:$A,$H463,'Participation Adjustment'!$B:$B,$I463),1)</f>
        <v>7.5297851008008996</v>
      </c>
      <c r="X463" s="79">
        <f>tbl_Data_old[[#This Row],[2027 ]]*IFERROR(AVERAGEIFS('Participation Adjustment'!$C:$C,'Participation Adjustment'!$A:$A,$H463,'Participation Adjustment'!$B:$B,$I463),1)</f>
        <v>8.1209631744505195</v>
      </c>
      <c r="Y463" s="79">
        <f>tbl_Data_old[[#This Row],[2028 ]]*IFERROR(AVERAGEIFS('Participation Adjustment'!$C:$C,'Participation Adjustment'!$A:$A,$H463,'Participation Adjustment'!$B:$B,$I463),1)</f>
        <v>8.6457221682981604</v>
      </c>
      <c r="Z463" s="79">
        <f>tbl_Data_old[[#This Row],[2029 ]]*IFERROR(AVERAGEIFS('Participation Adjustment'!$C:$C,'Participation Adjustment'!$A:$A,$H463,'Participation Adjustment'!$B:$B,$I463),1)</f>
        <v>9.1018320302251006</v>
      </c>
      <c r="AA463" s="79">
        <f>tbl_Data_old[[#This Row],[2030 ]]*IFERROR(AVERAGEIFS('Participation Adjustment'!$C:$C,'Participation Adjustment'!$A:$A,$H463,'Participation Adjustment'!$B:$B,$I463),1)</f>
        <v>9.4885465004212399</v>
      </c>
      <c r="AB463" s="79">
        <f>tbl_Data_old[[#This Row],[2031 ]]*IFERROR(AVERAGEIFS('Participation Adjustment'!$C:$C,'Participation Adjustment'!$A:$A,$H463,'Participation Adjustment'!$B:$B,$I463),1)</f>
        <v>9.8138040512375806</v>
      </c>
      <c r="AC463" s="79">
        <f>tbl_Data_old[[#This Row],[2032 ]]*IFERROR(AVERAGEIFS('Participation Adjustment'!$C:$C,'Participation Adjustment'!$A:$A,$H463,'Participation Adjustment'!$B:$B,$I463),1)</f>
        <v>10.105016920809399</v>
      </c>
      <c r="AD463" s="79">
        <f>tbl_Data_old[[#This Row],[2033 ]]*IFERROR(AVERAGEIFS('Participation Adjustment'!$C:$C,'Participation Adjustment'!$A:$A,$H463,'Participation Adjustment'!$B:$B,$I463),1)</f>
        <v>10.3753167988366</v>
      </c>
      <c r="AE463" s="79">
        <f>tbl_Data_old[[#This Row],[2034 ]]*IFERROR(AVERAGEIFS('Participation Adjustment'!$C:$C,'Participation Adjustment'!$A:$A,$H463,'Participation Adjustment'!$B:$B,$I463),1)</f>
        <v>10.613155582403101</v>
      </c>
      <c r="AF463" s="77" t="str">
        <f t="shared" si="187"/>
        <v>NonResidential</v>
      </c>
      <c r="AG463" s="77" t="str">
        <f>tbl_Data[[#This Row],[All_Meas_Name_Append]]</f>
        <v>Custom measure - Non-lighting_69</v>
      </c>
      <c r="AH463" s="77">
        <f>AVERAGEIFS('3. Incentive Adjustment'!G:G,'3. Incentive Adjustment'!A:A,tbl_Data[[#This Row],[Trimmed Sector]],'3. Incentive Adjustment'!B:B,tbl_Data[[#This Row],[Trimmed Measure Name]])</f>
        <v>0.94249803878007732</v>
      </c>
      <c r="AI463" s="77">
        <f>$AH463*tbl_Data[[#This Row],[2025 ]]</f>
        <v>6.4348142775160069</v>
      </c>
      <c r="AJ463" s="77">
        <f>$AH463*tbl_Data[[#This Row],[2026 ]]</f>
        <v>7.0968076899402943</v>
      </c>
      <c r="AK463" s="77">
        <f>$AH463*tbl_Data[[#This Row],[2027 ]]</f>
        <v>7.653991864924846</v>
      </c>
      <c r="AL463" s="77">
        <f>$AH463*tbl_Data[[#This Row],[2028 ]]</f>
        <v>8.1485761874584544</v>
      </c>
      <c r="AM463" s="77">
        <f>$AH463*tbl_Data[[#This Row],[2029 ]]</f>
        <v>8.5784588377928461</v>
      </c>
      <c r="AN463" s="77">
        <f>$AH463*tbl_Data[[#This Row],[2030 ]]</f>
        <v>8.9429364675205854</v>
      </c>
      <c r="AO463" s="77">
        <f>$AH463*tbl_Data[[#This Row],[2031 ]]</f>
        <v>9.2494910712633978</v>
      </c>
      <c r="AP463" s="77">
        <f>$AH463*tbl_Data[[#This Row],[2032 ]]</f>
        <v>9.5239586297023546</v>
      </c>
      <c r="AQ463" s="77">
        <f>$AH463*tbl_Data[[#This Row],[2033 ]]</f>
        <v>9.7787157346254858</v>
      </c>
      <c r="AR463" s="77">
        <f>$AH463*tbl_Data[[#This Row],[2034 ]]</f>
        <v>10.002878321682752</v>
      </c>
      <c r="AS463" s="77">
        <f>SUM(tbl_Data[[#This Row],[Adjusted 2025]:[Adjusted 2034]])</f>
        <v>85.410629082427036</v>
      </c>
      <c r="AT463" s="80">
        <f>AVERAGEIFS('3. Incentive Adjustment'!F:F,'3. Incentive Adjustment'!A:A,tbl_Data[[#This Row],[Trimmed Sector]],'3. Incentive Adjustment'!B:B,tbl_Data[[#This Row],[Trimmed Measure Name]])</f>
        <v>1864.5735288999113</v>
      </c>
      <c r="AU463" s="80">
        <f>IFERROR(VLOOKUP(tbl_Data[[#This Row],[All_Meas_Name_Append]],'IRA Tax Credits'!$A$3:$D$46,4,0),0)</f>
        <v>0</v>
      </c>
      <c r="AV463" s="81">
        <f>tbl_Data[[#This Row],[Adj. per unit Incentive ($)]]/tbl_Data[[#This Row],[kWh Savings]]*tbl_Data[[#This Row],[Sum of Annuals]]</f>
        <v>12.969498426327405</v>
      </c>
      <c r="AW463" s="81">
        <f>IFERROR(VLOOKUP(tbl_Data[[#This Row],[Column1]],'1. Set Program Names'!$B$2:$D$15,3,0)*tbl_Data[[#This Row],[Sum of Annuals]],"")</f>
        <v>2.7030923438381067</v>
      </c>
      <c r="AX463" s="81">
        <f>tbl_Data[[#This Row],[per unit IRA tax ($)]]/tbl_Data[[#This Row],[kWh Savings]]*tbl_Data[[#This Row],[Sum of Annuals]]</f>
        <v>0</v>
      </c>
      <c r="AY463" s="81">
        <f>tbl_Data[[#This Row],[Avoided Costs ($/unit)]]/tbl_Data[[#This Row],[kWh Savings]]*tbl_Data[[#This Row],[Sum of Annuals]]</f>
        <v>41.979778624853651</v>
      </c>
      <c r="AZ463" s="81">
        <f>tbl_Data[[#This Row],[Lost Revenue ($/unit)]]/tbl_Data[[#This Row],[kWh Savings]]*tbl_Data[[#This Row],[Sum of Annuals]]</f>
        <v>92.766198436738861</v>
      </c>
      <c r="BA463" s="81">
        <f>tbl_Data[[#This Row],[Incremental Cost ($/unit)]]/tbl_Data[[#This Row],[kWh Savings]]*tbl_Data[[#This Row],[Sum of Annuals]]</f>
        <v>32.45604878936566</v>
      </c>
      <c r="BB463" s="77">
        <f>ROUNDUP(tbl_Data[[#This Row],[Adjusted 2025]]/$L463,0)</f>
        <v>1</v>
      </c>
      <c r="BC463" s="77">
        <f>ROUNDUP(tbl_Data[[#This Row],[Adjusted 2026]]/$L463,0)</f>
        <v>1</v>
      </c>
      <c r="BD463" s="77">
        <f>ROUNDUP(tbl_Data[[#This Row],[Adjusted 2027]]/$L463,0)</f>
        <v>1</v>
      </c>
      <c r="BE463" s="77">
        <f>ROUNDUP(tbl_Data[[#This Row],[Adjusted 2028]]/$L463,0)</f>
        <v>1</v>
      </c>
      <c r="BF463" s="77">
        <f>ROUNDUP(tbl_Data[[#This Row],[Adjusted 2029]]/$L463,0)</f>
        <v>1</v>
      </c>
      <c r="BG463" s="77">
        <f>ROUNDUP(tbl_Data[[#This Row],[Adjusted 2030]]/$L463,0)</f>
        <v>1</v>
      </c>
      <c r="BH463" s="77">
        <f>ROUNDUP(tbl_Data[[#This Row],[Adjusted 2031]]/$L463,0)</f>
        <v>1</v>
      </c>
      <c r="BI463" s="77">
        <f>ROUNDUP(tbl_Data[[#This Row],[Adjusted 2032]]/$L463,0)</f>
        <v>1</v>
      </c>
      <c r="BJ463" s="77">
        <f>ROUNDUP(tbl_Data[[#This Row],[Adjusted 2033]]/$L463,0)</f>
        <v>1</v>
      </c>
      <c r="BK463" s="77">
        <f>ROUNDUP(tbl_Data[[#This Row],[Adjusted 2034]]/$L463,0)</f>
        <v>1</v>
      </c>
      <c r="BL463" s="80">
        <f t="shared" si="188"/>
        <v>1.0367327590850999</v>
      </c>
      <c r="BM463" s="80">
        <f t="shared" si="189"/>
        <v>1.1433885578945295</v>
      </c>
      <c r="BN463" s="80">
        <f t="shared" si="190"/>
        <v>1.2331582174585467</v>
      </c>
      <c r="BO463" s="80">
        <f t="shared" si="191"/>
        <v>1.312842221873735</v>
      </c>
      <c r="BP463" s="80">
        <f t="shared" si="192"/>
        <v>1.3821019404830546</v>
      </c>
      <c r="BQ463" s="80">
        <f t="shared" si="193"/>
        <v>1.440824054657001</v>
      </c>
      <c r="BR463" s="80">
        <f t="shared" si="194"/>
        <v>1.4902140116071196</v>
      </c>
      <c r="BS463" s="80">
        <f t="shared" si="195"/>
        <v>1.5344343258023594</v>
      </c>
      <c r="BT463" s="80">
        <f t="shared" si="196"/>
        <v>1.5754790280879154</v>
      </c>
      <c r="BU463" s="80">
        <f t="shared" si="197"/>
        <v>1.6115945533138034</v>
      </c>
      <c r="BV463" s="80">
        <f>IFERROR(VLOOKUP($H463,'1. Set Program Names'!$B$2:$D$15,3,0)*V463,"NA")</f>
        <v>0.2160750008651372</v>
      </c>
      <c r="BW463" s="80">
        <f>IFERROR(VLOOKUP($H463,'1. Set Program Names'!$B$2:$D$15,3,0)*W463,"NA")</f>
        <v>0.23830411595585432</v>
      </c>
      <c r="BX463" s="80">
        <f>IFERROR(VLOOKUP($H463,'1. Set Program Names'!$B$2:$D$15,3,0)*X463,"NA")</f>
        <v>0.25701383559958935</v>
      </c>
      <c r="BY463" s="80">
        <f>IFERROR(VLOOKUP($H463,'1. Set Program Names'!$B$2:$D$15,3,0)*Y463,"NA")</f>
        <v>0.27362151117660471</v>
      </c>
      <c r="BZ463" s="80">
        <f>IFERROR(VLOOKUP($H463,'1. Set Program Names'!$B$2:$D$15,3,0)*Z463,"NA")</f>
        <v>0.28805656555998749</v>
      </c>
      <c r="CA463" s="80">
        <f>IFERROR(VLOOKUP($H463,'1. Set Program Names'!$B$2:$D$15,3,0)*AA463,"NA")</f>
        <v>0.300295380972877</v>
      </c>
      <c r="CB463" s="80">
        <f>IFERROR(VLOOKUP($H463,'1. Set Program Names'!$B$2:$D$15,3,0)*AB463,"NA")</f>
        <v>0.31058919574549382</v>
      </c>
      <c r="CC463" s="80">
        <f>IFERROR(VLOOKUP($H463,'1. Set Program Names'!$B$2:$D$15,3,0)*AC463,"NA")</f>
        <v>0.31980555776768466</v>
      </c>
      <c r="CD463" s="80">
        <f>IFERROR(VLOOKUP($H463,'1. Set Program Names'!$B$2:$D$15,3,0)*AD463,"NA")</f>
        <v>0.32836006133105938</v>
      </c>
      <c r="CE463" s="80">
        <f>IFERROR(VLOOKUP($H463,'1. Set Program Names'!$B$2:$D$15,3,0)*AE463,"NA")</f>
        <v>0.33588722980918795</v>
      </c>
    </row>
    <row r="464" spans="1:83" x14ac:dyDescent="0.25">
      <c r="A464" s="79" t="s">
        <v>116</v>
      </c>
      <c r="B464" s="79" t="s">
        <v>88</v>
      </c>
      <c r="C464" s="79" t="s">
        <v>122</v>
      </c>
      <c r="D464" s="79" t="s">
        <v>90</v>
      </c>
      <c r="E464" s="79" t="s">
        <v>91</v>
      </c>
      <c r="F464" s="79" t="s">
        <v>90</v>
      </c>
      <c r="G464" s="79" t="s">
        <v>92</v>
      </c>
      <c r="H464" s="79" t="s">
        <v>18</v>
      </c>
      <c r="I464" s="79" t="s">
        <v>170</v>
      </c>
      <c r="J464" s="79" t="s">
        <v>144</v>
      </c>
      <c r="K464" s="79" t="s">
        <v>171</v>
      </c>
      <c r="L464" s="79">
        <v>5592.79</v>
      </c>
      <c r="M464" s="79">
        <v>0.87755365852981304</v>
      </c>
      <c r="N464" s="79">
        <v>1.3078150987013399</v>
      </c>
      <c r="O464" s="79">
        <v>2274</v>
      </c>
      <c r="P464" s="79">
        <v>1123.5242193223601</v>
      </c>
      <c r="Q464" s="79">
        <v>177.00171503367099</v>
      </c>
      <c r="R464" s="79">
        <v>3205.1805113222799</v>
      </c>
      <c r="S464" s="79">
        <v>7177.7771935445198</v>
      </c>
      <c r="T464" s="79">
        <v>20</v>
      </c>
      <c r="U464" s="79">
        <v>1</v>
      </c>
      <c r="V464" s="79">
        <f>tbl_Data_old[[#This Row],[2025 ]]*IFERROR(AVERAGEIFS('Participation Adjustment'!$C:$C,'Participation Adjustment'!$A:$A,$H464,'Participation Adjustment'!$B:$B,$I464),1)</f>
        <v>0.37441444939401902</v>
      </c>
      <c r="W464" s="79">
        <f>tbl_Data_old[[#This Row],[2026 ]]*IFERROR(AVERAGEIFS('Participation Adjustment'!$C:$C,'Participation Adjustment'!$A:$A,$H464,'Participation Adjustment'!$B:$B,$I464),1)</f>
        <v>0.48180851239116201</v>
      </c>
      <c r="X464" s="79">
        <f>tbl_Data_old[[#This Row],[2027 ]]*IFERROR(AVERAGEIFS('Participation Adjustment'!$C:$C,'Participation Adjustment'!$A:$A,$H464,'Participation Adjustment'!$B:$B,$I464),1)</f>
        <v>0.60524708167903896</v>
      </c>
      <c r="Y464" s="79">
        <f>tbl_Data_old[[#This Row],[2028 ]]*IFERROR(AVERAGEIFS('Participation Adjustment'!$C:$C,'Participation Adjustment'!$A:$A,$H464,'Participation Adjustment'!$B:$B,$I464),1)</f>
        <v>0.74407971936695605</v>
      </c>
      <c r="Z464" s="79">
        <f>tbl_Data_old[[#This Row],[2029 ]]*IFERROR(AVERAGEIFS('Participation Adjustment'!$C:$C,'Participation Adjustment'!$A:$A,$H464,'Participation Adjustment'!$B:$B,$I464),1)</f>
        <v>0.89082848588497299</v>
      </c>
      <c r="AA464" s="79">
        <f>tbl_Data_old[[#This Row],[2030 ]]*IFERROR(AVERAGEIFS('Participation Adjustment'!$C:$C,'Participation Adjustment'!$A:$A,$H464,'Participation Adjustment'!$B:$B,$I464),1)</f>
        <v>1.0329128177910301</v>
      </c>
      <c r="AB464" s="79">
        <f>tbl_Data_old[[#This Row],[2031 ]]*IFERROR(AVERAGEIFS('Participation Adjustment'!$C:$C,'Participation Adjustment'!$A:$A,$H464,'Participation Adjustment'!$B:$B,$I464),1)</f>
        <v>1.15528937174348</v>
      </c>
      <c r="AC464" s="79">
        <f>tbl_Data_old[[#This Row],[2032 ]]*IFERROR(AVERAGEIFS('Participation Adjustment'!$C:$C,'Participation Adjustment'!$A:$A,$H464,'Participation Adjustment'!$B:$B,$I464),1)</f>
        <v>1.24316151251665</v>
      </c>
      <c r="AD464" s="79">
        <f>tbl_Data_old[[#This Row],[2033 ]]*IFERROR(AVERAGEIFS('Participation Adjustment'!$C:$C,'Participation Adjustment'!$A:$A,$H464,'Participation Adjustment'!$B:$B,$I464),1)</f>
        <v>1.28114299237162</v>
      </c>
      <c r="AE464" s="79">
        <f>tbl_Data_old[[#This Row],[2034 ]]*IFERROR(AVERAGEIFS('Participation Adjustment'!$C:$C,'Participation Adjustment'!$A:$A,$H464,'Participation Adjustment'!$B:$B,$I464),1)</f>
        <v>1.25827084550611</v>
      </c>
      <c r="AF464" s="77" t="str">
        <f t="shared" si="187"/>
        <v>NonResidential</v>
      </c>
      <c r="AG464" s="77" t="str">
        <f>tbl_Data[[#This Row],[All_Meas_Name_Append]]</f>
        <v>Demand Controlled Circulating Systems</v>
      </c>
      <c r="AH464" s="77">
        <f>AVERAGEIFS('3. Incentive Adjustment'!G:G,'3. Incentive Adjustment'!A:A,tbl_Data[[#This Row],[Trimmed Sector]],'3. Incentive Adjustment'!B:B,tbl_Data[[#This Row],[Trimmed Measure Name]])</f>
        <v>0.82519266246945677</v>
      </c>
      <c r="AI464" s="77">
        <f>$AH464*tbl_Data[[#This Row],[2025 ]]</f>
        <v>0.30896405636248625</v>
      </c>
      <c r="AJ464" s="77">
        <f>$AH464*tbl_Data[[#This Row],[2026 ]]</f>
        <v>0.39758484914051123</v>
      </c>
      <c r="AK464" s="77">
        <f>$AH464*tbl_Data[[#This Row],[2027 ]]</f>
        <v>0.49944545078259495</v>
      </c>
      <c r="AL464" s="77">
        <f>$AH464*tbl_Data[[#This Row],[2028 ]]</f>
        <v>0.61400912471394464</v>
      </c>
      <c r="AM464" s="77">
        <f>$AH464*tbl_Data[[#This Row],[2029 ]]</f>
        <v>0.73510513007105571</v>
      </c>
      <c r="AN464" s="77">
        <f>$AH464*tbl_Data[[#This Row],[2030 ]]</f>
        <v>0.85235207821180892</v>
      </c>
      <c r="AO464" s="77">
        <f>$AH464*tbl_Data[[#This Row],[2031 ]]</f>
        <v>0.95333631259166829</v>
      </c>
      <c r="AP464" s="77">
        <f>$AH464*tbl_Data[[#This Row],[2032 ]]</f>
        <v>1.0258477583931713</v>
      </c>
      <c r="AQ464" s="77">
        <f>$AH464*tbl_Data[[#This Row],[2033 ]]</f>
        <v>1.0571897968792241</v>
      </c>
      <c r="AR464" s="77">
        <f>$AH464*tbl_Data[[#This Row],[2034 ]]</f>
        <v>1.0383158691108814</v>
      </c>
      <c r="AS464" s="77">
        <f>SUM(tbl_Data[[#This Row],[Adjusted 2025]:[Adjusted 2034]])</f>
        <v>7.4821504262573466</v>
      </c>
      <c r="AT464" s="80">
        <f>AVERAGEIFS('3. Incentive Adjustment'!F:F,'3. Incentive Adjustment'!A:A,tbl_Data[[#This Row],[Trimmed Sector]],'3. Incentive Adjustment'!B:B,tbl_Data[[#This Row],[Trimmed Measure Name]])</f>
        <v>716.2547365811331</v>
      </c>
      <c r="AU464" s="80">
        <f>IFERROR(VLOOKUP(tbl_Data[[#This Row],[All_Meas_Name_Append]],'IRA Tax Credits'!$A$3:$D$46,4,0),0)</f>
        <v>0</v>
      </c>
      <c r="AV464" s="81">
        <f>tbl_Data[[#This Row],[Adj. per unit Incentive ($)]]/tbl_Data[[#This Row],[kWh Savings]]*tbl_Data[[#This Row],[Sum of Annuals]]</f>
        <v>0.95822043785290867</v>
      </c>
      <c r="AW464" s="81">
        <f>IFERROR(VLOOKUP(tbl_Data[[#This Row],[Column1]],'1. Set Program Names'!$B$2:$D$15,3,0)*tbl_Data[[#This Row],[Sum of Annuals]],"")</f>
        <v>0.23679656443160979</v>
      </c>
      <c r="AX464" s="81">
        <f>tbl_Data[[#This Row],[per unit IRA tax ($)]]/tbl_Data[[#This Row],[kWh Savings]]*tbl_Data[[#This Row],[Sum of Annuals]]</f>
        <v>0</v>
      </c>
      <c r="AY464" s="81">
        <f>tbl_Data[[#This Row],[Avoided Costs ($/unit)]]/tbl_Data[[#This Row],[kWh Savings]]*tbl_Data[[#This Row],[Sum of Annuals]]</f>
        <v>4.2879569461792304</v>
      </c>
      <c r="AZ464" s="81">
        <f>tbl_Data[[#This Row],[Lost Revenue ($/unit)]]/tbl_Data[[#This Row],[kWh Savings]]*tbl_Data[[#This Row],[Sum of Annuals]]</f>
        <v>9.6025791578549136</v>
      </c>
      <c r="BA464" s="81">
        <f>tbl_Data[[#This Row],[Incremental Cost ($/unit)]]/tbl_Data[[#This Row],[kWh Savings]]*tbl_Data[[#This Row],[Sum of Annuals]]</f>
        <v>3.042204350477884</v>
      </c>
      <c r="BB464" s="77">
        <f>ROUNDUP(tbl_Data[[#This Row],[Adjusted 2025]]/$L464,0)</f>
        <v>1</v>
      </c>
      <c r="BC464" s="77">
        <f>ROUNDUP(tbl_Data[[#This Row],[Adjusted 2026]]/$L464,0)</f>
        <v>1</v>
      </c>
      <c r="BD464" s="77">
        <f>ROUNDUP(tbl_Data[[#This Row],[Adjusted 2027]]/$L464,0)</f>
        <v>1</v>
      </c>
      <c r="BE464" s="77">
        <f>ROUNDUP(tbl_Data[[#This Row],[Adjusted 2028]]/$L464,0)</f>
        <v>1</v>
      </c>
      <c r="BF464" s="77">
        <f>ROUNDUP(tbl_Data[[#This Row],[Adjusted 2029]]/$L464,0)</f>
        <v>1</v>
      </c>
      <c r="BG464" s="77">
        <f>ROUNDUP(tbl_Data[[#This Row],[Adjusted 2030]]/$L464,0)</f>
        <v>1</v>
      </c>
      <c r="BH464" s="77">
        <f>ROUNDUP(tbl_Data[[#This Row],[Adjusted 2031]]/$L464,0)</f>
        <v>1</v>
      </c>
      <c r="BI464" s="77">
        <f>ROUNDUP(tbl_Data[[#This Row],[Adjusted 2032]]/$L464,0)</f>
        <v>1</v>
      </c>
      <c r="BJ464" s="77">
        <f>ROUNDUP(tbl_Data[[#This Row],[Adjusted 2033]]/$L464,0)</f>
        <v>1</v>
      </c>
      <c r="BK464" s="77">
        <f>ROUNDUP(tbl_Data[[#This Row],[Adjusted 2034]]/$L464,0)</f>
        <v>1</v>
      </c>
      <c r="BL464" s="80">
        <f t="shared" si="188"/>
        <v>4.7950329410344945E-2</v>
      </c>
      <c r="BM464" s="80">
        <f t="shared" si="189"/>
        <v>6.1704020555979996E-2</v>
      </c>
      <c r="BN464" s="80">
        <f t="shared" si="190"/>
        <v>7.7512491807223166E-2</v>
      </c>
      <c r="BO464" s="80">
        <f t="shared" si="191"/>
        <v>9.5292443197499382E-2</v>
      </c>
      <c r="BP464" s="80">
        <f t="shared" si="192"/>
        <v>0.11408619356287487</v>
      </c>
      <c r="BQ464" s="80">
        <f t="shared" si="193"/>
        <v>0.13228258136246671</v>
      </c>
      <c r="BR464" s="80">
        <f t="shared" si="194"/>
        <v>0.14795504294513276</v>
      </c>
      <c r="BS464" s="80">
        <f t="shared" si="195"/>
        <v>0.15920860995592828</v>
      </c>
      <c r="BT464" s="80">
        <f t="shared" si="196"/>
        <v>0.16407280382848263</v>
      </c>
      <c r="BU464" s="80">
        <f t="shared" si="197"/>
        <v>0.16114362473750998</v>
      </c>
      <c r="BV464" s="80">
        <f>IFERROR(VLOOKUP($H464,'1. Set Program Names'!$B$2:$D$15,3,0)*V464,"NA")</f>
        <v>1.1849541941701546E-2</v>
      </c>
      <c r="BW464" s="80">
        <f>IFERROR(VLOOKUP($H464,'1. Set Program Names'!$B$2:$D$15,3,0)*W464,"NA")</f>
        <v>1.5248370314468702E-2</v>
      </c>
      <c r="BX464" s="80">
        <f>IFERROR(VLOOKUP($H464,'1. Set Program Names'!$B$2:$D$15,3,0)*X464,"NA")</f>
        <v>1.9154978369707115E-2</v>
      </c>
      <c r="BY464" s="80">
        <f>IFERROR(VLOOKUP($H464,'1. Set Program Names'!$B$2:$D$15,3,0)*Y464,"NA")</f>
        <v>2.3548780921458495E-2</v>
      </c>
      <c r="BZ464" s="80">
        <f>IFERROR(VLOOKUP($H464,'1. Set Program Names'!$B$2:$D$15,3,0)*Z464,"NA")</f>
        <v>2.8193114671297977E-2</v>
      </c>
      <c r="CA464" s="80">
        <f>IFERROR(VLOOKUP($H464,'1. Set Program Names'!$B$2:$D$15,3,0)*AA464,"NA")</f>
        <v>3.2689827479535985E-2</v>
      </c>
      <c r="CB464" s="80">
        <f>IFERROR(VLOOKUP($H464,'1. Set Program Names'!$B$2:$D$15,3,0)*AB464,"NA")</f>
        <v>3.6562824665107803E-2</v>
      </c>
      <c r="CC464" s="80">
        <f>IFERROR(VLOOKUP($H464,'1. Set Program Names'!$B$2:$D$15,3,0)*AC464,"NA")</f>
        <v>3.9343819413798747E-2</v>
      </c>
      <c r="CD464" s="80">
        <f>IFERROR(VLOOKUP($H464,'1. Set Program Names'!$B$2:$D$15,3,0)*AD464,"NA")</f>
        <v>4.054586473891314E-2</v>
      </c>
      <c r="CE464" s="80">
        <f>IFERROR(VLOOKUP($H464,'1. Set Program Names'!$B$2:$D$15,3,0)*AE464,"NA")</f>
        <v>3.9822002548182349E-2</v>
      </c>
    </row>
    <row r="465" spans="1:83" x14ac:dyDescent="0.25">
      <c r="A465" s="79" t="s">
        <v>116</v>
      </c>
      <c r="B465" s="79" t="s">
        <v>88</v>
      </c>
      <c r="C465" s="79" t="s">
        <v>122</v>
      </c>
      <c r="D465" s="79" t="s">
        <v>90</v>
      </c>
      <c r="E465" s="79" t="s">
        <v>91</v>
      </c>
      <c r="F465" s="79" t="s">
        <v>90</v>
      </c>
      <c r="G465" s="79" t="s">
        <v>92</v>
      </c>
      <c r="H465" s="79" t="s">
        <v>18</v>
      </c>
      <c r="I465" s="79" t="s">
        <v>172</v>
      </c>
      <c r="J465" s="79" t="s">
        <v>144</v>
      </c>
      <c r="K465" s="79" t="s">
        <v>102</v>
      </c>
      <c r="L465" s="79">
        <v>18085.229999999901</v>
      </c>
      <c r="M465" s="79">
        <v>0.84213537152598805</v>
      </c>
      <c r="N465" s="79">
        <v>1.2419142635526399</v>
      </c>
      <c r="O465" s="79">
        <v>5343.87</v>
      </c>
      <c r="P465" s="79">
        <v>2505.3610009054501</v>
      </c>
      <c r="Q465" s="79">
        <v>572.36490674214201</v>
      </c>
      <c r="R465" s="79">
        <v>7297.3054636159204</v>
      </c>
      <c r="S465" s="79">
        <v>27879.9715993795</v>
      </c>
      <c r="T465" s="79">
        <v>30</v>
      </c>
      <c r="U465" s="79">
        <v>1</v>
      </c>
      <c r="V465" s="79">
        <f>tbl_Data_old[[#This Row],[2025 ]]*IFERROR(AVERAGEIFS('Participation Adjustment'!$C:$C,'Participation Adjustment'!$A:$A,$H465,'Participation Adjustment'!$B:$B,$I465),1)</f>
        <v>6.91492758908133</v>
      </c>
      <c r="W465" s="79">
        <f>tbl_Data_old[[#This Row],[2026 ]]*IFERROR(AVERAGEIFS('Participation Adjustment'!$C:$C,'Participation Adjustment'!$A:$A,$H465,'Participation Adjustment'!$B:$B,$I465),1)</f>
        <v>9.5221508466778708</v>
      </c>
      <c r="X465" s="79">
        <f>tbl_Data_old[[#This Row],[2027 ]]*IFERROR(AVERAGEIFS('Participation Adjustment'!$C:$C,'Participation Adjustment'!$A:$A,$H465,'Participation Adjustment'!$B:$B,$I465),1)</f>
        <v>12.7116627764848</v>
      </c>
      <c r="Y465" s="79">
        <f>tbl_Data_old[[#This Row],[2028 ]]*IFERROR(AVERAGEIFS('Participation Adjustment'!$C:$C,'Participation Adjustment'!$A:$A,$H465,'Participation Adjustment'!$B:$B,$I465),1)</f>
        <v>16.4587655950575</v>
      </c>
      <c r="Z465" s="79">
        <f>tbl_Data_old[[#This Row],[2029 ]]*IFERROR(AVERAGEIFS('Participation Adjustment'!$C:$C,'Participation Adjustment'!$A:$A,$H465,'Participation Adjustment'!$B:$B,$I465),1)</f>
        <v>20.467362081233102</v>
      </c>
      <c r="AA465" s="79">
        <f>tbl_Data_old[[#This Row],[2030 ]]*IFERROR(AVERAGEIFS('Participation Adjustment'!$C:$C,'Participation Adjustment'!$A:$A,$H465,'Participation Adjustment'!$B:$B,$I465),1)</f>
        <v>24.096808934444802</v>
      </c>
      <c r="AB465" s="79">
        <f>tbl_Data_old[[#This Row],[2031 ]]*IFERROR(AVERAGEIFS('Participation Adjustment'!$C:$C,'Participation Adjustment'!$A:$A,$H465,'Participation Adjustment'!$B:$B,$I465),1)</f>
        <v>26.525849625293699</v>
      </c>
      <c r="AC465" s="79">
        <f>tbl_Data_old[[#This Row],[2032 ]]*IFERROR(AVERAGEIFS('Participation Adjustment'!$C:$C,'Participation Adjustment'!$A:$A,$H465,'Participation Adjustment'!$B:$B,$I465),1)</f>
        <v>26.9622974768041</v>
      </c>
      <c r="AD465" s="79">
        <f>tbl_Data_old[[#This Row],[2033 ]]*IFERROR(AVERAGEIFS('Participation Adjustment'!$C:$C,'Participation Adjustment'!$A:$A,$H465,'Participation Adjustment'!$B:$B,$I465),1)</f>
        <v>24.9839836440234</v>
      </c>
      <c r="AE465" s="79">
        <f>tbl_Data_old[[#This Row],[2034 ]]*IFERROR(AVERAGEIFS('Participation Adjustment'!$C:$C,'Participation Adjustment'!$A:$A,$H465,'Participation Adjustment'!$B:$B,$I465),1)</f>
        <v>20.9962336706757</v>
      </c>
      <c r="AF465" s="77" t="str">
        <f t="shared" si="187"/>
        <v>NonResidential</v>
      </c>
      <c r="AG465" s="77" t="str">
        <f>tbl_Data[[#This Row],[All_Meas_Name_Append]]</f>
        <v>Drain water heat recovery</v>
      </c>
      <c r="AH465" s="77">
        <f>AVERAGEIFS('3. Incentive Adjustment'!G:G,'3. Incentive Adjustment'!A:A,tbl_Data[[#This Row],[Trimmed Sector]],'3. Incentive Adjustment'!B:B,tbl_Data[[#This Row],[Trimmed Measure Name]])</f>
        <v>0.69383814414313949</v>
      </c>
      <c r="AI465" s="77">
        <f>$AH465*tbl_Data[[#This Row],[2025 ]]</f>
        <v>4.7978405252923837</v>
      </c>
      <c r="AJ465" s="77">
        <f>$AH465*tbl_Data[[#This Row],[2026 ]]</f>
        <v>6.6068314717099978</v>
      </c>
      <c r="AK465" s="77">
        <f>$AH465*tbl_Data[[#This Row],[2027 ]]</f>
        <v>8.8198365098096421</v>
      </c>
      <c r="AL465" s="77">
        <f>$AH465*tbl_Data[[#This Row],[2028 ]]</f>
        <v>11.41971937536165</v>
      </c>
      <c r="AM465" s="77">
        <f>$AH465*tbl_Data[[#This Row],[2029 ]]</f>
        <v>14.20103652194844</v>
      </c>
      <c r="AN465" s="77">
        <f>$AH465*tbl_Data[[#This Row],[2030 ]]</f>
        <v>16.719285190847003</v>
      </c>
      <c r="AO465" s="77">
        <f>$AH465*tbl_Data[[#This Row],[2031 ]]</f>
        <v>18.404646275833773</v>
      </c>
      <c r="AP465" s="77">
        <f>$AH465*tbl_Data[[#This Row],[2032 ]]</f>
        <v>18.707470443141009</v>
      </c>
      <c r="AQ465" s="77">
        <f>$AH465*tbl_Data[[#This Row],[2033 ]]</f>
        <v>17.334840844871746</v>
      </c>
      <c r="AR465" s="77">
        <f>$AH465*tbl_Data[[#This Row],[2034 ]]</f>
        <v>14.567987804057324</v>
      </c>
      <c r="AS465" s="77">
        <f>SUM(tbl_Data[[#This Row],[Adjusted 2025]:[Adjusted 2034]])</f>
        <v>131.57949496287296</v>
      </c>
      <c r="AT465" s="80">
        <f>AVERAGEIFS('3. Incentive Adjustment'!F:F,'3. Incentive Adjustment'!A:A,tbl_Data[[#This Row],[Trimmed Sector]],'3. Incentive Adjustment'!B:B,tbl_Data[[#This Row],[Trimmed Measure Name]])</f>
        <v>0</v>
      </c>
      <c r="AU465" s="80">
        <f>IFERROR(VLOOKUP(tbl_Data[[#This Row],[All_Meas_Name_Append]],'IRA Tax Credits'!$A$3:$D$46,4,0),0)</f>
        <v>0</v>
      </c>
      <c r="AV465" s="81">
        <f>tbl_Data[[#This Row],[Adj. per unit Incentive ($)]]/tbl_Data[[#This Row],[kWh Savings]]*tbl_Data[[#This Row],[Sum of Annuals]]</f>
        <v>0</v>
      </c>
      <c r="AW465" s="81">
        <f>IFERROR(VLOOKUP(tbl_Data[[#This Row],[Column1]],'1. Set Program Names'!$B$2:$D$15,3,0)*tbl_Data[[#This Row],[Sum of Annuals]],"")</f>
        <v>4.1642536679712254</v>
      </c>
      <c r="AX465" s="81">
        <f>tbl_Data[[#This Row],[per unit IRA tax ($)]]/tbl_Data[[#This Row],[kWh Savings]]*tbl_Data[[#This Row],[Sum of Annuals]]</f>
        <v>0</v>
      </c>
      <c r="AY465" s="81">
        <f>tbl_Data[[#This Row],[Avoided Costs ($/unit)]]/tbl_Data[[#This Row],[kWh Savings]]*tbl_Data[[#This Row],[Sum of Annuals]]</f>
        <v>53.091708952133949</v>
      </c>
      <c r="AZ465" s="81">
        <f>tbl_Data[[#This Row],[Lost Revenue ($/unit)]]/tbl_Data[[#This Row],[kWh Savings]]*tbl_Data[[#This Row],[Sum of Annuals]]</f>
        <v>202.84135632367494</v>
      </c>
      <c r="BA465" s="81">
        <f>tbl_Data[[#This Row],[Incremental Cost ($/unit)]]/tbl_Data[[#This Row],[kWh Savings]]*tbl_Data[[#This Row],[Sum of Annuals]]</f>
        <v>38.87944558887289</v>
      </c>
      <c r="BB465" s="77">
        <f>ROUNDUP(tbl_Data[[#This Row],[Adjusted 2025]]/$L465,0)</f>
        <v>1</v>
      </c>
      <c r="BC465" s="77">
        <f>ROUNDUP(tbl_Data[[#This Row],[Adjusted 2026]]/$L465,0)</f>
        <v>1</v>
      </c>
      <c r="BD465" s="77">
        <f>ROUNDUP(tbl_Data[[#This Row],[Adjusted 2027]]/$L465,0)</f>
        <v>1</v>
      </c>
      <c r="BE465" s="77">
        <f>ROUNDUP(tbl_Data[[#This Row],[Adjusted 2028]]/$L465,0)</f>
        <v>1</v>
      </c>
      <c r="BF465" s="77">
        <f>ROUNDUP(tbl_Data[[#This Row],[Adjusted 2029]]/$L465,0)</f>
        <v>1</v>
      </c>
      <c r="BG465" s="77">
        <f>ROUNDUP(tbl_Data[[#This Row],[Adjusted 2030]]/$L465,0)</f>
        <v>1</v>
      </c>
      <c r="BH465" s="77">
        <f>ROUNDUP(tbl_Data[[#This Row],[Adjusted 2031]]/$L465,0)</f>
        <v>1</v>
      </c>
      <c r="BI465" s="77">
        <f>ROUNDUP(tbl_Data[[#This Row],[Adjusted 2032]]/$L465,0)</f>
        <v>1</v>
      </c>
      <c r="BJ465" s="77">
        <f>ROUNDUP(tbl_Data[[#This Row],[Adjusted 2033]]/$L465,0)</f>
        <v>1</v>
      </c>
      <c r="BK465" s="77">
        <f>ROUNDUP(tbl_Data[[#This Row],[Adjusted 2034]]/$L465,0)</f>
        <v>1</v>
      </c>
      <c r="BL465" s="80">
        <f t="shared" si="188"/>
        <v>0</v>
      </c>
      <c r="BM465" s="80">
        <f t="shared" si="189"/>
        <v>0</v>
      </c>
      <c r="BN465" s="80">
        <f t="shared" si="190"/>
        <v>0</v>
      </c>
      <c r="BO465" s="80">
        <f t="shared" si="191"/>
        <v>0</v>
      </c>
      <c r="BP465" s="80">
        <f t="shared" si="192"/>
        <v>0</v>
      </c>
      <c r="BQ465" s="80">
        <f t="shared" si="193"/>
        <v>0</v>
      </c>
      <c r="BR465" s="80">
        <f t="shared" si="194"/>
        <v>0</v>
      </c>
      <c r="BS465" s="80">
        <f t="shared" si="195"/>
        <v>0</v>
      </c>
      <c r="BT465" s="80">
        <f t="shared" si="196"/>
        <v>0</v>
      </c>
      <c r="BU465" s="80">
        <f t="shared" si="197"/>
        <v>0</v>
      </c>
      <c r="BV465" s="80">
        <f>IFERROR(VLOOKUP($H465,'1. Set Program Names'!$B$2:$D$15,3,0)*V465,"NA")</f>
        <v>0.21884498481098758</v>
      </c>
      <c r="BW465" s="80">
        <f>IFERROR(VLOOKUP($H465,'1. Set Program Names'!$B$2:$D$15,3,0)*W465,"NA")</f>
        <v>0.30135889791522757</v>
      </c>
      <c r="BX465" s="80">
        <f>IFERROR(VLOOKUP($H465,'1. Set Program Names'!$B$2:$D$15,3,0)*X465,"NA")</f>
        <v>0.40230119714265794</v>
      </c>
      <c r="BY465" s="80">
        <f>IFERROR(VLOOKUP($H465,'1. Set Program Names'!$B$2:$D$15,3,0)*Y465,"NA")</f>
        <v>0.52089024219796487</v>
      </c>
      <c r="BZ465" s="80">
        <f>IFERROR(VLOOKUP($H465,'1. Set Program Names'!$B$2:$D$15,3,0)*Z465,"NA")</f>
        <v>0.64775509014166188</v>
      </c>
      <c r="CA465" s="80">
        <f>IFERROR(VLOOKUP($H465,'1. Set Program Names'!$B$2:$D$15,3,0)*AA465,"NA")</f>
        <v>0.7626205361251569</v>
      </c>
      <c r="CB465" s="80">
        <f>IFERROR(VLOOKUP($H465,'1. Set Program Names'!$B$2:$D$15,3,0)*AB465,"NA")</f>
        <v>0.83949529240365617</v>
      </c>
      <c r="CC465" s="80">
        <f>IFERROR(VLOOKUP($H465,'1. Set Program Names'!$B$2:$D$15,3,0)*AC465,"NA")</f>
        <v>0.85330807962436384</v>
      </c>
      <c r="CD465" s="80">
        <f>IFERROR(VLOOKUP($H465,'1. Set Program Names'!$B$2:$D$15,3,0)*AD465,"NA")</f>
        <v>0.79069801536716511</v>
      </c>
      <c r="CE465" s="80">
        <f>IFERROR(VLOOKUP($H465,'1. Set Program Names'!$B$2:$D$15,3,0)*AE465,"NA")</f>
        <v>0.66449292195081677</v>
      </c>
    </row>
    <row r="466" spans="1:83" x14ac:dyDescent="0.25">
      <c r="A466" s="79" t="s">
        <v>116</v>
      </c>
      <c r="B466" s="79" t="s">
        <v>88</v>
      </c>
      <c r="C466" s="79" t="s">
        <v>122</v>
      </c>
      <c r="D466" s="79" t="s">
        <v>90</v>
      </c>
      <c r="E466" s="79" t="s">
        <v>91</v>
      </c>
      <c r="F466" s="79" t="s">
        <v>90</v>
      </c>
      <c r="G466" s="79" t="s">
        <v>92</v>
      </c>
      <c r="H466" s="79" t="s">
        <v>18</v>
      </c>
      <c r="I466" s="79" t="s">
        <v>133</v>
      </c>
      <c r="J466" s="79" t="s">
        <v>134</v>
      </c>
      <c r="K466" s="79" t="s">
        <v>98</v>
      </c>
      <c r="L466" s="79">
        <v>4486</v>
      </c>
      <c r="M466" s="79">
        <v>0.89185722946849999</v>
      </c>
      <c r="N466" s="79">
        <v>0.84310494165890204</v>
      </c>
      <c r="O466" s="79">
        <v>2050</v>
      </c>
      <c r="P466" s="79">
        <v>1127.1986160539</v>
      </c>
      <c r="Q466" s="79">
        <v>141.97380799941499</v>
      </c>
      <c r="R466" s="79">
        <v>2297.8137992477</v>
      </c>
      <c r="S466" s="79">
        <v>5757.3247860621796</v>
      </c>
      <c r="T466" s="79">
        <v>20</v>
      </c>
      <c r="U466" s="79">
        <v>1</v>
      </c>
      <c r="V466" s="79">
        <f>tbl_Data_old[[#This Row],[2025 ]]*IFERROR(AVERAGEIFS('Participation Adjustment'!$C:$C,'Participation Adjustment'!$A:$A,$H466,'Participation Adjustment'!$B:$B,$I466),1)</f>
        <v>9.5161431467346898</v>
      </c>
      <c r="W466" s="79">
        <f>tbl_Data_old[[#This Row],[2026 ]]*IFERROR(AVERAGEIFS('Participation Adjustment'!$C:$C,'Participation Adjustment'!$A:$A,$H466,'Participation Adjustment'!$B:$B,$I466),1)</f>
        <v>12.3062266393278</v>
      </c>
      <c r="X466" s="79">
        <f>tbl_Data_old[[#This Row],[2027 ]]*IFERROR(AVERAGEIFS('Participation Adjustment'!$C:$C,'Participation Adjustment'!$A:$A,$H466,'Participation Adjustment'!$B:$B,$I466),1)</f>
        <v>15.567222579773301</v>
      </c>
      <c r="Y466" s="79">
        <f>tbl_Data_old[[#This Row],[2028 ]]*IFERROR(AVERAGEIFS('Participation Adjustment'!$C:$C,'Participation Adjustment'!$A:$A,$H466,'Participation Adjustment'!$B:$B,$I466),1)</f>
        <v>19.310508132228399</v>
      </c>
      <c r="Z466" s="79">
        <f>tbl_Data_old[[#This Row],[2029 ]]*IFERROR(AVERAGEIFS('Participation Adjustment'!$C:$C,'Participation Adjustment'!$A:$A,$H466,'Participation Adjustment'!$B:$B,$I466),1)</f>
        <v>23.372575464736101</v>
      </c>
      <c r="AA466" s="79">
        <f>tbl_Data_old[[#This Row],[2030 ]]*IFERROR(AVERAGEIFS('Participation Adjustment'!$C:$C,'Participation Adjustment'!$A:$A,$H466,'Participation Adjustment'!$B:$B,$I466),1)</f>
        <v>27.450980240977898</v>
      </c>
      <c r="AB466" s="79">
        <f>tbl_Data_old[[#This Row],[2031 ]]*IFERROR(AVERAGEIFS('Participation Adjustment'!$C:$C,'Participation Adjustment'!$A:$A,$H466,'Participation Adjustment'!$B:$B,$I466),1)</f>
        <v>31.155778322873601</v>
      </c>
      <c r="AC466" s="79">
        <f>tbl_Data_old[[#This Row],[2032 ]]*IFERROR(AVERAGEIFS('Participation Adjustment'!$C:$C,'Participation Adjustment'!$A:$A,$H466,'Participation Adjustment'!$B:$B,$I466),1)</f>
        <v>34.072373231245997</v>
      </c>
      <c r="AD466" s="79">
        <f>tbl_Data_old[[#This Row],[2033 ]]*IFERROR(AVERAGEIFS('Participation Adjustment'!$C:$C,'Participation Adjustment'!$A:$A,$H466,'Participation Adjustment'!$B:$B,$I466),1)</f>
        <v>35.731977514021203</v>
      </c>
      <c r="AE466" s="79">
        <f>tbl_Data_old[[#This Row],[2034 ]]*IFERROR(AVERAGEIFS('Participation Adjustment'!$C:$C,'Participation Adjustment'!$A:$A,$H466,'Participation Adjustment'!$B:$B,$I466),1)</f>
        <v>35.746321510855601</v>
      </c>
      <c r="AF466" s="77" t="str">
        <f t="shared" si="187"/>
        <v>NonResidential</v>
      </c>
      <c r="AG466" s="77" t="str">
        <f>tbl_Data[[#This Row],[All_Meas_Name_Append]]</f>
        <v>Efficient Exhaust Hood</v>
      </c>
      <c r="AH466" s="77">
        <f>AVERAGEIFS('3. Incentive Adjustment'!G:G,'3. Incentive Adjustment'!A:A,tbl_Data[[#This Row],[Trimmed Sector]],'3. Incentive Adjustment'!B:B,tbl_Data[[#This Row],[Trimmed Measure Name]])</f>
        <v>0.51531219842413434</v>
      </c>
      <c r="AI466" s="77">
        <f>$AH466*tbl_Data[[#This Row],[2025 ]]</f>
        <v>4.9037846454626122</v>
      </c>
      <c r="AJ466" s="77">
        <f>$AH466*tbl_Data[[#This Row],[2026 ]]</f>
        <v>6.3415487038176552</v>
      </c>
      <c r="AK466" s="77">
        <f>$AH466*tbl_Data[[#This Row],[2027 ]]</f>
        <v>8.0219796909408032</v>
      </c>
      <c r="AL466" s="77">
        <f>$AH466*tbl_Data[[#This Row],[2028 ]]</f>
        <v>9.9509403983057414</v>
      </c>
      <c r="AM466" s="77">
        <f>$AH466*tbl_Data[[#This Row],[2029 ]]</f>
        <v>12.044173245567144</v>
      </c>
      <c r="AN466" s="77">
        <f>$AH466*tbl_Data[[#This Row],[2030 ]]</f>
        <v>14.145824976875794</v>
      </c>
      <c r="AO466" s="77">
        <f>$AH466*tbl_Data[[#This Row],[2031 ]]</f>
        <v>16.054952621174984</v>
      </c>
      <c r="AP466" s="77">
        <f>$AH466*tbl_Data[[#This Row],[2032 ]]</f>
        <v>17.557909555321</v>
      </c>
      <c r="AQ466" s="77">
        <f>$AH466*tbl_Data[[#This Row],[2033 ]]</f>
        <v>18.413123886792</v>
      </c>
      <c r="AR466" s="77">
        <f>$AH466*tbl_Data[[#This Row],[2034 ]]</f>
        <v>18.420515523334924</v>
      </c>
      <c r="AS466" s="77">
        <f>SUM(tbl_Data[[#This Row],[Adjusted 2025]:[Adjusted 2034]])</f>
        <v>125.85475324759267</v>
      </c>
      <c r="AT466" s="80">
        <f>AVERAGEIFS('3. Incentive Adjustment'!F:F,'3. Incentive Adjustment'!A:A,tbl_Data[[#This Row],[Trimmed Sector]],'3. Incentive Adjustment'!B:B,tbl_Data[[#This Row],[Trimmed Measure Name]])</f>
        <v>0</v>
      </c>
      <c r="AU466" s="80">
        <f>IFERROR(VLOOKUP(tbl_Data[[#This Row],[All_Meas_Name_Append]],'IRA Tax Credits'!$A$3:$D$46,4,0),0)</f>
        <v>0</v>
      </c>
      <c r="AV466" s="81">
        <f>tbl_Data[[#This Row],[Adj. per unit Incentive ($)]]/tbl_Data[[#This Row],[kWh Savings]]*tbl_Data[[#This Row],[Sum of Annuals]]</f>
        <v>0</v>
      </c>
      <c r="AW466" s="81">
        <f>IFERROR(VLOOKUP(tbl_Data[[#This Row],[Column1]],'1. Set Program Names'!$B$2:$D$15,3,0)*tbl_Data[[#This Row],[Sum of Annuals]],"")</f>
        <v>3.9830759191679608</v>
      </c>
      <c r="AX466" s="81">
        <f>tbl_Data[[#This Row],[per unit IRA tax ($)]]/tbl_Data[[#This Row],[kWh Savings]]*tbl_Data[[#This Row],[Sum of Annuals]]</f>
        <v>0</v>
      </c>
      <c r="AY466" s="81">
        <f>tbl_Data[[#This Row],[Avoided Costs ($/unit)]]/tbl_Data[[#This Row],[kWh Savings]]*tbl_Data[[#This Row],[Sum of Annuals]]</f>
        <v>64.46517804574961</v>
      </c>
      <c r="AZ466" s="81">
        <f>tbl_Data[[#This Row],[Lost Revenue ($/unit)]]/tbl_Data[[#This Row],[kWh Savings]]*tbl_Data[[#This Row],[Sum of Annuals]]</f>
        <v>161.52177670889543</v>
      </c>
      <c r="BA466" s="81">
        <f>tbl_Data[[#This Row],[Incremental Cost ($/unit)]]/tbl_Data[[#This Row],[kWh Savings]]*tbl_Data[[#This Row],[Sum of Annuals]]</f>
        <v>57.512760623621261</v>
      </c>
      <c r="BB466" s="77">
        <f>ROUNDUP(tbl_Data[[#This Row],[Adjusted 2025]]/$L466,0)</f>
        <v>1</v>
      </c>
      <c r="BC466" s="77">
        <f>ROUNDUP(tbl_Data[[#This Row],[Adjusted 2026]]/$L466,0)</f>
        <v>1</v>
      </c>
      <c r="BD466" s="77">
        <f>ROUNDUP(tbl_Data[[#This Row],[Adjusted 2027]]/$L466,0)</f>
        <v>1</v>
      </c>
      <c r="BE466" s="77">
        <f>ROUNDUP(tbl_Data[[#This Row],[Adjusted 2028]]/$L466,0)</f>
        <v>1</v>
      </c>
      <c r="BF466" s="77">
        <f>ROUNDUP(tbl_Data[[#This Row],[Adjusted 2029]]/$L466,0)</f>
        <v>1</v>
      </c>
      <c r="BG466" s="77">
        <f>ROUNDUP(tbl_Data[[#This Row],[Adjusted 2030]]/$L466,0)</f>
        <v>1</v>
      </c>
      <c r="BH466" s="77">
        <f>ROUNDUP(tbl_Data[[#This Row],[Adjusted 2031]]/$L466,0)</f>
        <v>1</v>
      </c>
      <c r="BI466" s="77">
        <f>ROUNDUP(tbl_Data[[#This Row],[Adjusted 2032]]/$L466,0)</f>
        <v>1</v>
      </c>
      <c r="BJ466" s="77">
        <f>ROUNDUP(tbl_Data[[#This Row],[Adjusted 2033]]/$L466,0)</f>
        <v>1</v>
      </c>
      <c r="BK466" s="77">
        <f>ROUNDUP(tbl_Data[[#This Row],[Adjusted 2034]]/$L466,0)</f>
        <v>1</v>
      </c>
      <c r="BL466" s="80">
        <f t="shared" si="188"/>
        <v>0</v>
      </c>
      <c r="BM466" s="80">
        <f t="shared" si="189"/>
        <v>0</v>
      </c>
      <c r="BN466" s="80">
        <f t="shared" si="190"/>
        <v>0</v>
      </c>
      <c r="BO466" s="80">
        <f t="shared" si="191"/>
        <v>0</v>
      </c>
      <c r="BP466" s="80">
        <f t="shared" si="192"/>
        <v>0</v>
      </c>
      <c r="BQ466" s="80">
        <f t="shared" si="193"/>
        <v>0</v>
      </c>
      <c r="BR466" s="80">
        <f t="shared" si="194"/>
        <v>0</v>
      </c>
      <c r="BS466" s="80">
        <f t="shared" si="195"/>
        <v>0</v>
      </c>
      <c r="BT466" s="80">
        <f t="shared" si="196"/>
        <v>0</v>
      </c>
      <c r="BU466" s="80">
        <f t="shared" si="197"/>
        <v>0</v>
      </c>
      <c r="BV466" s="80">
        <f>IFERROR(VLOOKUP($H466,'1. Set Program Names'!$B$2:$D$15,3,0)*V466,"NA")</f>
        <v>0.30116876504892098</v>
      </c>
      <c r="BW466" s="80">
        <f>IFERROR(VLOOKUP($H466,'1. Set Program Names'!$B$2:$D$15,3,0)*W466,"NA")</f>
        <v>0.38946987474124189</v>
      </c>
      <c r="BX466" s="80">
        <f>IFERROR(VLOOKUP($H466,'1. Set Program Names'!$B$2:$D$15,3,0)*X466,"NA")</f>
        <v>0.49267451396007406</v>
      </c>
      <c r="BY466" s="80">
        <f>IFERROR(VLOOKUP($H466,'1. Set Program Names'!$B$2:$D$15,3,0)*Y466,"NA")</f>
        <v>0.61114274942847446</v>
      </c>
      <c r="BZ466" s="80">
        <f>IFERROR(VLOOKUP($H466,'1. Set Program Names'!$B$2:$D$15,3,0)*Z466,"NA")</f>
        <v>0.73969985320603671</v>
      </c>
      <c r="CA466" s="80">
        <f>IFERROR(VLOOKUP($H466,'1. Set Program Names'!$B$2:$D$15,3,0)*AA466,"NA")</f>
        <v>0.86877400760774204</v>
      </c>
      <c r="CB466" s="80">
        <f>IFERROR(VLOOKUP($H466,'1. Set Program Names'!$B$2:$D$15,3,0)*AB466,"NA")</f>
        <v>0.98602418405795633</v>
      </c>
      <c r="CC466" s="80">
        <f>IFERROR(VLOOKUP($H466,'1. Set Program Names'!$B$2:$D$15,3,0)*AC466,"NA")</f>
        <v>1.078329151854063</v>
      </c>
      <c r="CD466" s="80">
        <f>IFERROR(VLOOKUP($H466,'1. Set Program Names'!$B$2:$D$15,3,0)*AD466,"NA")</f>
        <v>1.1308526337527998</v>
      </c>
      <c r="CE466" s="80">
        <f>IFERROR(VLOOKUP($H466,'1. Set Program Names'!$B$2:$D$15,3,0)*AE466,"NA")</f>
        <v>1.1313065953784154</v>
      </c>
    </row>
    <row r="467" spans="1:83" x14ac:dyDescent="0.25">
      <c r="A467" s="79" t="s">
        <v>116</v>
      </c>
      <c r="B467" s="79" t="s">
        <v>88</v>
      </c>
      <c r="C467" s="79" t="s">
        <v>122</v>
      </c>
      <c r="D467" s="79" t="s">
        <v>90</v>
      </c>
      <c r="E467" s="79" t="s">
        <v>91</v>
      </c>
      <c r="F467" s="79" t="s">
        <v>90</v>
      </c>
      <c r="G467" s="79" t="s">
        <v>92</v>
      </c>
      <c r="H467" s="79" t="s">
        <v>18</v>
      </c>
      <c r="I467" s="79" t="s">
        <v>173</v>
      </c>
      <c r="J467" s="79" t="s">
        <v>129</v>
      </c>
      <c r="K467" s="79" t="s">
        <v>130</v>
      </c>
      <c r="L467" s="79">
        <v>142641.03499999901</v>
      </c>
      <c r="M467" s="79">
        <v>27.8398087391258</v>
      </c>
      <c r="N467" s="79">
        <v>0</v>
      </c>
      <c r="O467" s="79">
        <v>59303.302436563899</v>
      </c>
      <c r="P467" s="79">
        <v>29333.7078862829</v>
      </c>
      <c r="Q467" s="79">
        <v>4514.3314569611503</v>
      </c>
      <c r="R467" s="79">
        <v>66617.989682832806</v>
      </c>
      <c r="S467" s="79">
        <v>154925.29091738301</v>
      </c>
      <c r="T467" s="79">
        <v>15</v>
      </c>
      <c r="U467" s="79">
        <v>1</v>
      </c>
      <c r="V467" s="79">
        <f>tbl_Data_old[[#This Row],[2025 ]]*IFERROR(AVERAGEIFS('Participation Adjustment'!$C:$C,'Participation Adjustment'!$A:$A,$H467,'Participation Adjustment'!$B:$B,$I467),1)</f>
        <v>0</v>
      </c>
      <c r="W467" s="79">
        <f>tbl_Data_old[[#This Row],[2026 ]]*IFERROR(AVERAGEIFS('Participation Adjustment'!$C:$C,'Participation Adjustment'!$A:$A,$H467,'Participation Adjustment'!$B:$B,$I467),1)</f>
        <v>0</v>
      </c>
      <c r="X467" s="79">
        <f>tbl_Data_old[[#This Row],[2027 ]]*IFERROR(AVERAGEIFS('Participation Adjustment'!$C:$C,'Participation Adjustment'!$A:$A,$H467,'Participation Adjustment'!$B:$B,$I467),1)</f>
        <v>0</v>
      </c>
      <c r="Y467" s="79">
        <f>tbl_Data_old[[#This Row],[2028 ]]*IFERROR(AVERAGEIFS('Participation Adjustment'!$C:$C,'Participation Adjustment'!$A:$A,$H467,'Participation Adjustment'!$B:$B,$I467),1)</f>
        <v>0</v>
      </c>
      <c r="Z467" s="79">
        <f>tbl_Data_old[[#This Row],[2029 ]]*IFERROR(AVERAGEIFS('Participation Adjustment'!$C:$C,'Participation Adjustment'!$A:$A,$H467,'Participation Adjustment'!$B:$B,$I467),1)</f>
        <v>0</v>
      </c>
      <c r="AA467" s="79">
        <f>tbl_Data_old[[#This Row],[2030 ]]*IFERROR(AVERAGEIFS('Participation Adjustment'!$C:$C,'Participation Adjustment'!$A:$A,$H467,'Participation Adjustment'!$B:$B,$I467),1)</f>
        <v>0</v>
      </c>
      <c r="AB467" s="79">
        <f>tbl_Data_old[[#This Row],[2031 ]]*IFERROR(AVERAGEIFS('Participation Adjustment'!$C:$C,'Participation Adjustment'!$A:$A,$H467,'Participation Adjustment'!$B:$B,$I467),1)</f>
        <v>0</v>
      </c>
      <c r="AC467" s="79">
        <f>tbl_Data_old[[#This Row],[2032 ]]*IFERROR(AVERAGEIFS('Participation Adjustment'!$C:$C,'Participation Adjustment'!$A:$A,$H467,'Participation Adjustment'!$B:$B,$I467),1)</f>
        <v>0</v>
      </c>
      <c r="AD467" s="79">
        <f>tbl_Data_old[[#This Row],[2033 ]]*IFERROR(AVERAGEIFS('Participation Adjustment'!$C:$C,'Participation Adjustment'!$A:$A,$H467,'Participation Adjustment'!$B:$B,$I467),1)</f>
        <v>0</v>
      </c>
      <c r="AE467" s="79">
        <f>tbl_Data_old[[#This Row],[2034 ]]*IFERROR(AVERAGEIFS('Participation Adjustment'!$C:$C,'Participation Adjustment'!$A:$A,$H467,'Participation Adjustment'!$B:$B,$I467),1)</f>
        <v>0</v>
      </c>
      <c r="AF467" s="77" t="str">
        <f t="shared" si="187"/>
        <v>NonResidential</v>
      </c>
      <c r="AG467" s="77" t="str">
        <f>tbl_Data[[#This Row],[All_Meas_Name_Append]]</f>
        <v>Facility Energy Management System_SC</v>
      </c>
      <c r="AH467" s="77">
        <f>AVERAGEIFS('3. Incentive Adjustment'!G:G,'3. Incentive Adjustment'!A:A,tbl_Data[[#This Row],[Trimmed Sector]],'3. Incentive Adjustment'!B:B,tbl_Data[[#This Row],[Trimmed Measure Name]])</f>
        <v>0.86797534995247072</v>
      </c>
      <c r="AI467" s="77">
        <f>$AH467*tbl_Data[[#This Row],[2025 ]]</f>
        <v>0</v>
      </c>
      <c r="AJ467" s="77">
        <f>$AH467*tbl_Data[[#This Row],[2026 ]]</f>
        <v>0</v>
      </c>
      <c r="AK467" s="77">
        <f>$AH467*tbl_Data[[#This Row],[2027 ]]</f>
        <v>0</v>
      </c>
      <c r="AL467" s="77">
        <f>$AH467*tbl_Data[[#This Row],[2028 ]]</f>
        <v>0</v>
      </c>
      <c r="AM467" s="77">
        <f>$AH467*tbl_Data[[#This Row],[2029 ]]</f>
        <v>0</v>
      </c>
      <c r="AN467" s="77">
        <f>$AH467*tbl_Data[[#This Row],[2030 ]]</f>
        <v>0</v>
      </c>
      <c r="AO467" s="77">
        <f>$AH467*tbl_Data[[#This Row],[2031 ]]</f>
        <v>0</v>
      </c>
      <c r="AP467" s="77">
        <f>$AH467*tbl_Data[[#This Row],[2032 ]]</f>
        <v>0</v>
      </c>
      <c r="AQ467" s="77">
        <f>$AH467*tbl_Data[[#This Row],[2033 ]]</f>
        <v>0</v>
      </c>
      <c r="AR467" s="77">
        <f>$AH467*tbl_Data[[#This Row],[2034 ]]</f>
        <v>0</v>
      </c>
      <c r="AS467" s="77">
        <f>SUM(tbl_Data[[#This Row],[Adjusted 2025]:[Adjusted 2034]])</f>
        <v>0</v>
      </c>
      <c r="AT467" s="80">
        <f>AVERAGEIFS('3. Incentive Adjustment'!F:F,'3. Incentive Adjustment'!A:A,tbl_Data[[#This Row],[Trimmed Sector]],'3. Incentive Adjustment'!B:B,tbl_Data[[#This Row],[Trimmed Measure Name]])</f>
        <v>21679.111511953593</v>
      </c>
      <c r="AU467" s="80">
        <f>IFERROR(VLOOKUP(tbl_Data[[#This Row],[All_Meas_Name_Append]],'IRA Tax Credits'!$A$3:$D$46,4,0),0)</f>
        <v>0</v>
      </c>
      <c r="AV467" s="81">
        <f>tbl_Data[[#This Row],[Adj. per unit Incentive ($)]]/tbl_Data[[#This Row],[kWh Savings]]*tbl_Data[[#This Row],[Sum of Annuals]]</f>
        <v>0</v>
      </c>
      <c r="AW467" s="81">
        <f>IFERROR(VLOOKUP(tbl_Data[[#This Row],[Column1]],'1. Set Program Names'!$B$2:$D$15,3,0)*tbl_Data[[#This Row],[Sum of Annuals]],"")</f>
        <v>0</v>
      </c>
      <c r="AX467" s="81">
        <f>tbl_Data[[#This Row],[per unit IRA tax ($)]]/tbl_Data[[#This Row],[kWh Savings]]*tbl_Data[[#This Row],[Sum of Annuals]]</f>
        <v>0</v>
      </c>
      <c r="AY467" s="81">
        <f>tbl_Data[[#This Row],[Avoided Costs ($/unit)]]/tbl_Data[[#This Row],[kWh Savings]]*tbl_Data[[#This Row],[Sum of Annuals]]</f>
        <v>0</v>
      </c>
      <c r="AZ467" s="81">
        <f>tbl_Data[[#This Row],[Lost Revenue ($/unit)]]/tbl_Data[[#This Row],[kWh Savings]]*tbl_Data[[#This Row],[Sum of Annuals]]</f>
        <v>0</v>
      </c>
      <c r="BA467" s="81">
        <f>tbl_Data[[#This Row],[Incremental Cost ($/unit)]]/tbl_Data[[#This Row],[kWh Savings]]*tbl_Data[[#This Row],[Sum of Annuals]]</f>
        <v>0</v>
      </c>
      <c r="BB467" s="77">
        <f>ROUNDUP(tbl_Data[[#This Row],[Adjusted 2025]]/$L467,0)</f>
        <v>0</v>
      </c>
      <c r="BC467" s="77">
        <f>ROUNDUP(tbl_Data[[#This Row],[Adjusted 2026]]/$L467,0)</f>
        <v>0</v>
      </c>
      <c r="BD467" s="77">
        <f>ROUNDUP(tbl_Data[[#This Row],[Adjusted 2027]]/$L467,0)</f>
        <v>0</v>
      </c>
      <c r="BE467" s="77">
        <f>ROUNDUP(tbl_Data[[#This Row],[Adjusted 2028]]/$L467,0)</f>
        <v>0</v>
      </c>
      <c r="BF467" s="77">
        <f>ROUNDUP(tbl_Data[[#This Row],[Adjusted 2029]]/$L467,0)</f>
        <v>0</v>
      </c>
      <c r="BG467" s="77">
        <f>ROUNDUP(tbl_Data[[#This Row],[Adjusted 2030]]/$L467,0)</f>
        <v>0</v>
      </c>
      <c r="BH467" s="77">
        <f>ROUNDUP(tbl_Data[[#This Row],[Adjusted 2031]]/$L467,0)</f>
        <v>0</v>
      </c>
      <c r="BI467" s="77">
        <f>ROUNDUP(tbl_Data[[#This Row],[Adjusted 2032]]/$L467,0)</f>
        <v>0</v>
      </c>
      <c r="BJ467" s="77">
        <f>ROUNDUP(tbl_Data[[#This Row],[Adjusted 2033]]/$L467,0)</f>
        <v>0</v>
      </c>
      <c r="BK467" s="77">
        <f>ROUNDUP(tbl_Data[[#This Row],[Adjusted 2034]]/$L467,0)</f>
        <v>0</v>
      </c>
      <c r="BL467" s="80">
        <f t="shared" si="188"/>
        <v>0</v>
      </c>
      <c r="BM467" s="80">
        <f t="shared" si="189"/>
        <v>0</v>
      </c>
      <c r="BN467" s="80">
        <f t="shared" si="190"/>
        <v>0</v>
      </c>
      <c r="BO467" s="80">
        <f t="shared" si="191"/>
        <v>0</v>
      </c>
      <c r="BP467" s="80">
        <f t="shared" si="192"/>
        <v>0</v>
      </c>
      <c r="BQ467" s="80">
        <f t="shared" si="193"/>
        <v>0</v>
      </c>
      <c r="BR467" s="80">
        <f t="shared" si="194"/>
        <v>0</v>
      </c>
      <c r="BS467" s="80">
        <f t="shared" si="195"/>
        <v>0</v>
      </c>
      <c r="BT467" s="80">
        <f t="shared" si="196"/>
        <v>0</v>
      </c>
      <c r="BU467" s="80">
        <f t="shared" si="197"/>
        <v>0</v>
      </c>
      <c r="BV467" s="80">
        <f>IFERROR(VLOOKUP($H467,'1. Set Program Names'!$B$2:$D$15,3,0)*V467,"NA")</f>
        <v>0</v>
      </c>
      <c r="BW467" s="80">
        <f>IFERROR(VLOOKUP($H467,'1. Set Program Names'!$B$2:$D$15,3,0)*W467,"NA")</f>
        <v>0</v>
      </c>
      <c r="BX467" s="80">
        <f>IFERROR(VLOOKUP($H467,'1. Set Program Names'!$B$2:$D$15,3,0)*X467,"NA")</f>
        <v>0</v>
      </c>
      <c r="BY467" s="80">
        <f>IFERROR(VLOOKUP($H467,'1. Set Program Names'!$B$2:$D$15,3,0)*Y467,"NA")</f>
        <v>0</v>
      </c>
      <c r="BZ467" s="80">
        <f>IFERROR(VLOOKUP($H467,'1. Set Program Names'!$B$2:$D$15,3,0)*Z467,"NA")</f>
        <v>0</v>
      </c>
      <c r="CA467" s="80">
        <f>IFERROR(VLOOKUP($H467,'1. Set Program Names'!$B$2:$D$15,3,0)*AA467,"NA")</f>
        <v>0</v>
      </c>
      <c r="CB467" s="80">
        <f>IFERROR(VLOOKUP($H467,'1. Set Program Names'!$B$2:$D$15,3,0)*AB467,"NA")</f>
        <v>0</v>
      </c>
      <c r="CC467" s="80">
        <f>IFERROR(VLOOKUP($H467,'1. Set Program Names'!$B$2:$D$15,3,0)*AC467,"NA")</f>
        <v>0</v>
      </c>
      <c r="CD467" s="80">
        <f>IFERROR(VLOOKUP($H467,'1. Set Program Names'!$B$2:$D$15,3,0)*AD467,"NA")</f>
        <v>0</v>
      </c>
      <c r="CE467" s="80">
        <f>IFERROR(VLOOKUP($H467,'1. Set Program Names'!$B$2:$D$15,3,0)*AE467,"NA")</f>
        <v>0</v>
      </c>
    </row>
    <row r="468" spans="1:83" x14ac:dyDescent="0.25">
      <c r="A468" s="79" t="s">
        <v>116</v>
      </c>
      <c r="B468" s="79" t="s">
        <v>88</v>
      </c>
      <c r="C468" s="79" t="s">
        <v>122</v>
      </c>
      <c r="D468" s="79" t="s">
        <v>90</v>
      </c>
      <c r="E468" s="79" t="s">
        <v>91</v>
      </c>
      <c r="F468" s="79" t="s">
        <v>90</v>
      </c>
      <c r="G468" s="79" t="s">
        <v>92</v>
      </c>
      <c r="H468" s="79" t="s">
        <v>18</v>
      </c>
      <c r="I468" s="79" t="s">
        <v>174</v>
      </c>
      <c r="J468" s="79" t="s">
        <v>132</v>
      </c>
      <c r="K468" s="79" t="s">
        <v>130</v>
      </c>
      <c r="L468" s="79">
        <v>2657.18</v>
      </c>
      <c r="M468" s="79">
        <v>0</v>
      </c>
      <c r="N468" s="79">
        <v>0.57468805905447795</v>
      </c>
      <c r="O468" s="79">
        <v>1080.72711480357</v>
      </c>
      <c r="P468" s="79">
        <v>534.12671770284101</v>
      </c>
      <c r="Q468" s="79">
        <v>84.094953887624897</v>
      </c>
      <c r="R468" s="79">
        <v>1466.48739383472</v>
      </c>
      <c r="S468" s="79">
        <v>2886.0165275711402</v>
      </c>
      <c r="T468" s="79">
        <v>15</v>
      </c>
      <c r="U468" s="79">
        <v>1</v>
      </c>
      <c r="V468" s="79">
        <f>tbl_Data_old[[#This Row],[2025 ]]*IFERROR(AVERAGEIFS('Participation Adjustment'!$C:$C,'Participation Adjustment'!$A:$A,$H468,'Participation Adjustment'!$B:$B,$I468),1)</f>
        <v>1.41064074809628E-2</v>
      </c>
      <c r="W468" s="79">
        <f>tbl_Data_old[[#This Row],[2026 ]]*IFERROR(AVERAGEIFS('Participation Adjustment'!$C:$C,'Participation Adjustment'!$A:$A,$H468,'Participation Adjustment'!$B:$B,$I468),1)</f>
        <v>1.8949596659162401E-2</v>
      </c>
      <c r="X468" s="79">
        <f>tbl_Data_old[[#This Row],[2027 ]]*IFERROR(AVERAGEIFS('Participation Adjustment'!$C:$C,'Participation Adjustment'!$A:$A,$H468,'Participation Adjustment'!$B:$B,$I468),1)</f>
        <v>2.4758675998970501E-2</v>
      </c>
      <c r="Y468" s="79">
        <f>tbl_Data_old[[#This Row],[2028 ]]*IFERROR(AVERAGEIFS('Participation Adjustment'!$C:$C,'Participation Adjustment'!$A:$A,$H468,'Participation Adjustment'!$B:$B,$I468),1)</f>
        <v>3.1272357276173397E-2</v>
      </c>
      <c r="Z468" s="79">
        <f>tbl_Data_old[[#This Row],[2029 ]]*IFERROR(AVERAGEIFS('Participation Adjustment'!$C:$C,'Participation Adjustment'!$A:$A,$H468,'Participation Adjustment'!$B:$B,$I468),1)</f>
        <v>3.7840281140381703E-2</v>
      </c>
      <c r="AA468" s="79">
        <f>tbl_Data_old[[#This Row],[2030 ]]*IFERROR(AVERAGEIFS('Participation Adjustment'!$C:$C,'Participation Adjustment'!$A:$A,$H468,'Participation Adjustment'!$B:$B,$I468),1)</f>
        <v>4.3726248524979902E-2</v>
      </c>
      <c r="AB468" s="79">
        <f>tbl_Data_old[[#This Row],[2031 ]]*IFERROR(AVERAGEIFS('Participation Adjustment'!$C:$C,'Participation Adjustment'!$A:$A,$H468,'Participation Adjustment'!$B:$B,$I468),1)</f>
        <v>4.77775629078575E-2</v>
      </c>
      <c r="AC468" s="79">
        <f>tbl_Data_old[[#This Row],[2032 ]]*IFERROR(AVERAGEIFS('Participation Adjustment'!$C:$C,'Participation Adjustment'!$A:$A,$H468,'Participation Adjustment'!$B:$B,$I468),1)</f>
        <v>4.9186678663706698E-2</v>
      </c>
      <c r="AD468" s="79">
        <f>tbl_Data_old[[#This Row],[2033 ]]*IFERROR(AVERAGEIFS('Participation Adjustment'!$C:$C,'Participation Adjustment'!$A:$A,$H468,'Participation Adjustment'!$B:$B,$I468),1)</f>
        <v>4.7797976653577198E-2</v>
      </c>
      <c r="AE468" s="79">
        <f>tbl_Data_old[[#This Row],[2034 ]]*IFERROR(AVERAGEIFS('Participation Adjustment'!$C:$C,'Participation Adjustment'!$A:$A,$H468,'Participation Adjustment'!$B:$B,$I468),1)</f>
        <v>4.3807254036799803E-2</v>
      </c>
      <c r="AF468" s="77" t="str">
        <f t="shared" si="187"/>
        <v>NonResidential</v>
      </c>
      <c r="AG468" s="77" t="str">
        <f>tbl_Data[[#This Row],[All_Meas_Name_Append]]</f>
        <v>Facility Energy Management System_SH</v>
      </c>
      <c r="AH468" s="77">
        <f>AVERAGEIFS('3. Incentive Adjustment'!G:G,'3. Incentive Adjustment'!A:A,tbl_Data[[#This Row],[Trimmed Sector]],'3. Incentive Adjustment'!B:B,tbl_Data[[#This Row],[Trimmed Measure Name]])</f>
        <v>0.63685031373688805</v>
      </c>
      <c r="AI468" s="77">
        <f>$AH468*tbl_Data[[#This Row],[2025 ]]</f>
        <v>8.9836700299515439E-3</v>
      </c>
      <c r="AJ468" s="77">
        <f>$AH468*tbl_Data[[#This Row],[2026 ]]</f>
        <v>1.2068056577575061E-2</v>
      </c>
      <c r="AK468" s="77">
        <f>$AH468*tbl_Data[[#This Row],[2027 ]]</f>
        <v>1.5767570577654325E-2</v>
      </c>
      <c r="AL468" s="77">
        <f>$AH468*tbl_Data[[#This Row],[2028 ]]</f>
        <v>1.9915810542623081E-2</v>
      </c>
      <c r="AM468" s="77">
        <f>$AH468*tbl_Data[[#This Row],[2029 ]]</f>
        <v>2.4098594916144134E-2</v>
      </c>
      <c r="AN468" s="77">
        <f>$AH468*tbl_Data[[#This Row],[2030 ]]</f>
        <v>2.784707509167059E-2</v>
      </c>
      <c r="AO468" s="77">
        <f>$AH468*tbl_Data[[#This Row],[2031 ]]</f>
        <v>3.0427155927452956E-2</v>
      </c>
      <c r="AP468" s="77">
        <f>$AH468*tbl_Data[[#This Row],[2032 ]]</f>
        <v>3.1324551738657107E-2</v>
      </c>
      <c r="AQ468" s="77">
        <f>$AH468*tbl_Data[[#This Row],[2033 ]]</f>
        <v>3.0440156427819089E-2</v>
      </c>
      <c r="AR468" s="77">
        <f>$AH468*tbl_Data[[#This Row],[2034 ]]</f>
        <v>2.7898663477287509E-2</v>
      </c>
      <c r="AS468" s="77">
        <f>SUM(tbl_Data[[#This Row],[Adjusted 2025]:[Adjusted 2034]])</f>
        <v>0.22877130530683537</v>
      </c>
      <c r="AT468" s="80">
        <f>AVERAGEIFS('3. Incentive Adjustment'!F:F,'3. Incentive Adjustment'!A:A,tbl_Data[[#This Row],[Trimmed Sector]],'3. Incentive Adjustment'!B:B,tbl_Data[[#This Row],[Trimmed Measure Name]])</f>
        <v>79.715399999999988</v>
      </c>
      <c r="AU468" s="80">
        <f>IFERROR(VLOOKUP(tbl_Data[[#This Row],[All_Meas_Name_Append]],'IRA Tax Credits'!$A$3:$D$46,4,0),0)</f>
        <v>0</v>
      </c>
      <c r="AV468" s="81">
        <f>tbl_Data[[#This Row],[Adj. per unit Incentive ($)]]/tbl_Data[[#This Row],[kWh Savings]]*tbl_Data[[#This Row],[Sum of Annuals]]</f>
        <v>6.8631391592050605E-3</v>
      </c>
      <c r="AW468" s="81">
        <f>IFERROR(VLOOKUP(tbl_Data[[#This Row],[Column1]],'1. Set Program Names'!$B$2:$D$15,3,0)*tbl_Data[[#This Row],[Sum of Annuals]],"")</f>
        <v>7.2401991474382952E-3</v>
      </c>
      <c r="AX468" s="81">
        <f>tbl_Data[[#This Row],[per unit IRA tax ($)]]/tbl_Data[[#This Row],[kWh Savings]]*tbl_Data[[#This Row],[Sum of Annuals]]</f>
        <v>0</v>
      </c>
      <c r="AY468" s="81">
        <f>tbl_Data[[#This Row],[Avoided Costs ($/unit)]]/tbl_Data[[#This Row],[kWh Savings]]*tbl_Data[[#This Row],[Sum of Annuals]]</f>
        <v>0.12625800107767937</v>
      </c>
      <c r="AZ468" s="81">
        <f>tbl_Data[[#This Row],[Lost Revenue ($/unit)]]/tbl_Data[[#This Row],[kWh Savings]]*tbl_Data[[#This Row],[Sum of Annuals]]</f>
        <v>0.24847310613114287</v>
      </c>
      <c r="BA468" s="81">
        <f>tbl_Data[[#This Row],[Incremental Cost ($/unit)]]/tbl_Data[[#This Row],[kWh Savings]]*tbl_Data[[#This Row],[Sum of Annuals]]</f>
        <v>9.3045767593502457E-2</v>
      </c>
      <c r="BB468" s="77">
        <f>ROUNDUP(tbl_Data[[#This Row],[Adjusted 2025]]/$L468,0)</f>
        <v>1</v>
      </c>
      <c r="BC468" s="77">
        <f>ROUNDUP(tbl_Data[[#This Row],[Adjusted 2026]]/$L468,0)</f>
        <v>1</v>
      </c>
      <c r="BD468" s="77">
        <f>ROUNDUP(tbl_Data[[#This Row],[Adjusted 2027]]/$L468,0)</f>
        <v>1</v>
      </c>
      <c r="BE468" s="77">
        <f>ROUNDUP(tbl_Data[[#This Row],[Adjusted 2028]]/$L468,0)</f>
        <v>1</v>
      </c>
      <c r="BF468" s="77">
        <f>ROUNDUP(tbl_Data[[#This Row],[Adjusted 2029]]/$L468,0)</f>
        <v>1</v>
      </c>
      <c r="BG468" s="77">
        <f>ROUNDUP(tbl_Data[[#This Row],[Adjusted 2030]]/$L468,0)</f>
        <v>1</v>
      </c>
      <c r="BH468" s="77">
        <f>ROUNDUP(tbl_Data[[#This Row],[Adjusted 2031]]/$L468,0)</f>
        <v>1</v>
      </c>
      <c r="BI468" s="77">
        <f>ROUNDUP(tbl_Data[[#This Row],[Adjusted 2032]]/$L468,0)</f>
        <v>1</v>
      </c>
      <c r="BJ468" s="77">
        <f>ROUNDUP(tbl_Data[[#This Row],[Adjusted 2033]]/$L468,0)</f>
        <v>1</v>
      </c>
      <c r="BK468" s="77">
        <f>ROUNDUP(tbl_Data[[#This Row],[Adjusted 2034]]/$L468,0)</f>
        <v>1</v>
      </c>
      <c r="BL468" s="80">
        <f t="shared" si="188"/>
        <v>4.2319222442888397E-4</v>
      </c>
      <c r="BM468" s="80">
        <f t="shared" si="189"/>
        <v>5.6848789977487202E-4</v>
      </c>
      <c r="BN468" s="80">
        <f t="shared" si="190"/>
        <v>7.4276027996911503E-4</v>
      </c>
      <c r="BO468" s="80">
        <f t="shared" si="191"/>
        <v>9.3817071828520193E-4</v>
      </c>
      <c r="BP468" s="80">
        <f t="shared" si="192"/>
        <v>1.135208434211451E-3</v>
      </c>
      <c r="BQ468" s="80">
        <f t="shared" si="193"/>
        <v>1.311787455749397E-3</v>
      </c>
      <c r="BR468" s="80">
        <f t="shared" si="194"/>
        <v>1.433326887235725E-3</v>
      </c>
      <c r="BS468" s="80">
        <f t="shared" si="195"/>
        <v>1.475600359911201E-3</v>
      </c>
      <c r="BT468" s="80">
        <f t="shared" si="196"/>
        <v>1.4339392996073159E-3</v>
      </c>
      <c r="BU468" s="80">
        <f t="shared" si="197"/>
        <v>1.3142176211039941E-3</v>
      </c>
      <c r="BV468" s="80">
        <f>IFERROR(VLOOKUP($H468,'1. Set Program Names'!$B$2:$D$15,3,0)*V468,"NA")</f>
        <v>4.464423511510753E-4</v>
      </c>
      <c r="BW468" s="80">
        <f>IFERROR(VLOOKUP($H468,'1. Set Program Names'!$B$2:$D$15,3,0)*W468,"NA")</f>
        <v>5.9972055233042314E-4</v>
      </c>
      <c r="BX468" s="80">
        <f>IFERROR(VLOOKUP($H468,'1. Set Program Names'!$B$2:$D$15,3,0)*X468,"NA")</f>
        <v>7.8356743481889474E-4</v>
      </c>
      <c r="BY468" s="80">
        <f>IFERROR(VLOOKUP($H468,'1. Set Program Names'!$B$2:$D$15,3,0)*Y468,"NA")</f>
        <v>9.8971369764078252E-4</v>
      </c>
      <c r="BZ468" s="80">
        <f>IFERROR(VLOOKUP($H468,'1. Set Program Names'!$B$2:$D$15,3,0)*Z468,"NA")</f>
        <v>1.1975766404967534E-3</v>
      </c>
      <c r="CA468" s="80">
        <f>IFERROR(VLOOKUP($H468,'1. Set Program Names'!$B$2:$D$15,3,0)*AA468,"NA")</f>
        <v>1.3838568909095407E-3</v>
      </c>
      <c r="CB468" s="80">
        <f>IFERROR(VLOOKUP($H468,'1. Set Program Names'!$B$2:$D$15,3,0)*AB468,"NA")</f>
        <v>1.5120736832278494E-3</v>
      </c>
      <c r="CC468" s="80">
        <f>IFERROR(VLOOKUP($H468,'1. Set Program Names'!$B$2:$D$15,3,0)*AC468,"NA")</f>
        <v>1.5566696550891699E-3</v>
      </c>
      <c r="CD468" s="80">
        <f>IFERROR(VLOOKUP($H468,'1. Set Program Names'!$B$2:$D$15,3,0)*AD468,"NA")</f>
        <v>1.5127197414568634E-3</v>
      </c>
      <c r="CE468" s="80">
        <f>IFERROR(VLOOKUP($H468,'1. Set Program Names'!$B$2:$D$15,3,0)*AE468,"NA")</f>
        <v>1.3864205692381215E-3</v>
      </c>
    </row>
    <row r="469" spans="1:83" x14ac:dyDescent="0.25">
      <c r="A469" s="79" t="s">
        <v>116</v>
      </c>
      <c r="B469" s="79" t="s">
        <v>88</v>
      </c>
      <c r="C469" s="79" t="s">
        <v>122</v>
      </c>
      <c r="D469" s="79" t="s">
        <v>90</v>
      </c>
      <c r="E469" s="79" t="s">
        <v>91</v>
      </c>
      <c r="F469" s="79" t="s">
        <v>90</v>
      </c>
      <c r="G469" s="79" t="s">
        <v>92</v>
      </c>
      <c r="H469" s="79" t="s">
        <v>18</v>
      </c>
      <c r="I469" s="79" t="s">
        <v>145</v>
      </c>
      <c r="J469" s="79" t="s">
        <v>129</v>
      </c>
      <c r="K469" s="79" t="s">
        <v>98</v>
      </c>
      <c r="L469" s="79">
        <v>1452.1399999999801</v>
      </c>
      <c r="M469" s="79">
        <v>0.33467704377742202</v>
      </c>
      <c r="N469" s="79">
        <v>4.3977319526113799E-2</v>
      </c>
      <c r="O469" s="79">
        <v>654.99999999999898</v>
      </c>
      <c r="P469" s="79">
        <v>358.56061649158102</v>
      </c>
      <c r="Q469" s="79">
        <v>45.957611580086699</v>
      </c>
      <c r="R469" s="79">
        <v>761.15206993055403</v>
      </c>
      <c r="S469" s="79">
        <v>1577.19839843259</v>
      </c>
      <c r="T469" s="79">
        <v>15</v>
      </c>
      <c r="U469" s="79">
        <v>0.94999999999999896</v>
      </c>
      <c r="V469" s="79">
        <f>tbl_Data_old[[#This Row],[2025 ]]*IFERROR(AVERAGEIFS('Participation Adjustment'!$C:$C,'Participation Adjustment'!$A:$A,$H469,'Participation Adjustment'!$B:$B,$I469),1)</f>
        <v>4.8572910833813203E-2</v>
      </c>
      <c r="W469" s="79">
        <f>tbl_Data_old[[#This Row],[2026 ]]*IFERROR(AVERAGEIFS('Participation Adjustment'!$C:$C,'Participation Adjustment'!$A:$A,$H469,'Participation Adjustment'!$B:$B,$I469),1)</f>
        <v>5.3586175402021603E-2</v>
      </c>
      <c r="X469" s="79">
        <f>tbl_Data_old[[#This Row],[2027 ]]*IFERROR(AVERAGEIFS('Participation Adjustment'!$C:$C,'Participation Adjustment'!$A:$A,$H469,'Participation Adjustment'!$B:$B,$I469),1)</f>
        <v>5.7809069321652799E-2</v>
      </c>
      <c r="Y469" s="79">
        <f>tbl_Data_old[[#This Row],[2028 ]]*IFERROR(AVERAGEIFS('Participation Adjustment'!$C:$C,'Participation Adjustment'!$A:$A,$H469,'Participation Adjustment'!$B:$B,$I469),1)</f>
        <v>6.1559570212866302E-2</v>
      </c>
      <c r="Z469" s="79">
        <f>tbl_Data_old[[#This Row],[2029 ]]*IFERROR(AVERAGEIFS('Participation Adjustment'!$C:$C,'Participation Adjustment'!$A:$A,$H469,'Participation Adjustment'!$B:$B,$I469),1)</f>
        <v>6.4821276998481794E-2</v>
      </c>
      <c r="AA469" s="79">
        <f>tbl_Data_old[[#This Row],[2030 ]]*IFERROR(AVERAGEIFS('Participation Adjustment'!$C:$C,'Participation Adjustment'!$A:$A,$H469,'Participation Adjustment'!$B:$B,$I469),1)</f>
        <v>6.7588450783066495E-2</v>
      </c>
      <c r="AB469" s="79">
        <f>tbl_Data_old[[#This Row],[2031 ]]*IFERROR(AVERAGEIFS('Participation Adjustment'!$C:$C,'Participation Adjustment'!$A:$A,$H469,'Participation Adjustment'!$B:$B,$I469),1)</f>
        <v>6.9917315639597605E-2</v>
      </c>
      <c r="AC469" s="79">
        <f>tbl_Data_old[[#This Row],[2032 ]]*IFERROR(AVERAGEIFS('Participation Adjustment'!$C:$C,'Participation Adjustment'!$A:$A,$H469,'Participation Adjustment'!$B:$B,$I469),1)</f>
        <v>7.2002969651452794E-2</v>
      </c>
      <c r="AD469" s="79">
        <f>tbl_Data_old[[#This Row],[2033 ]]*IFERROR(AVERAGEIFS('Participation Adjustment'!$C:$C,'Participation Adjustment'!$A:$A,$H469,'Participation Adjustment'!$B:$B,$I469),1)</f>
        <v>7.3938907349191299E-2</v>
      </c>
      <c r="AE469" s="79">
        <f>tbl_Data_old[[#This Row],[2034 ]]*IFERROR(AVERAGEIFS('Participation Adjustment'!$C:$C,'Participation Adjustment'!$A:$A,$H469,'Participation Adjustment'!$B:$B,$I469),1)</f>
        <v>7.5642799417055803E-2</v>
      </c>
      <c r="AF469" s="77" t="str">
        <f t="shared" si="187"/>
        <v>NonResidential</v>
      </c>
      <c r="AG469" s="77" t="str">
        <f>tbl_Data[[#This Row],[All_Meas_Name_Append]]</f>
        <v>HE DX Less than 5.4 Tons Elect Heat</v>
      </c>
      <c r="AH469" s="77">
        <f>AVERAGEIFS('3. Incentive Adjustment'!G:G,'3. Incentive Adjustment'!A:A,tbl_Data[[#This Row],[Trimmed Sector]],'3. Incentive Adjustment'!B:B,tbl_Data[[#This Row],[Trimmed Measure Name]])</f>
        <v>0.74493198517309978</v>
      </c>
      <c r="AI469" s="77">
        <f>$AH469*tbl_Data[[#This Row],[2025 ]]</f>
        <v>3.6183514893068432E-2</v>
      </c>
      <c r="AJ469" s="77">
        <f>$AH469*tbl_Data[[#This Row],[2026 ]]</f>
        <v>3.9918056020061883E-2</v>
      </c>
      <c r="AK469" s="77">
        <f>$AH469*tbl_Data[[#This Row],[2027 ]]</f>
        <v>4.3063824770788163E-2</v>
      </c>
      <c r="AL469" s="77">
        <f>$AH469*tbl_Data[[#This Row],[2028 ]]</f>
        <v>4.5857692845073315E-2</v>
      </c>
      <c r="AM469" s="77">
        <f>$AH469*tbl_Data[[#This Row],[2029 ]]</f>
        <v>4.828744255593443E-2</v>
      </c>
      <c r="AN469" s="77">
        <f>$AH469*tbl_Data[[#This Row],[2030 ]]</f>
        <v>5.0348798816604076E-2</v>
      </c>
      <c r="AO469" s="77">
        <f>$AH469*tbl_Data[[#This Row],[2031 ]]</f>
        <v>5.2083644737379663E-2</v>
      </c>
      <c r="AP469" s="77">
        <f>$AH469*tbl_Data[[#This Row],[2032 ]]</f>
        <v>5.3637315120815189E-2</v>
      </c>
      <c r="AQ469" s="77">
        <f>$AH469*tbl_Data[[#This Row],[2033 ]]</f>
        <v>5.5079457033162971E-2</v>
      </c>
      <c r="AR469" s="77">
        <f>$AH469*tbl_Data[[#This Row],[2034 ]]</f>
        <v>5.6348740733797975E-2</v>
      </c>
      <c r="AS469" s="77">
        <f>SUM(tbl_Data[[#This Row],[Adjusted 2025]:[Adjusted 2034]])</f>
        <v>0.48080848752668609</v>
      </c>
      <c r="AT469" s="80">
        <f>AVERAGEIFS('3. Incentive Adjustment'!F:F,'3. Incentive Adjustment'!A:A,tbl_Data[[#This Row],[Trimmed Sector]],'3. Incentive Adjustment'!B:B,tbl_Data[[#This Row],[Trimmed Measure Name]])</f>
        <v>196.49999999999969</v>
      </c>
      <c r="AU469" s="80">
        <f>IFERROR(VLOOKUP(tbl_Data[[#This Row],[All_Meas_Name_Append]],'IRA Tax Credits'!$A$3:$D$46,4,0),0)</f>
        <v>0</v>
      </c>
      <c r="AV469" s="81">
        <f>tbl_Data[[#This Row],[Adj. per unit Incentive ($)]]/tbl_Data[[#This Row],[kWh Savings]]*tbl_Data[[#This Row],[Sum of Annuals]]</f>
        <v>6.5061817592652879E-2</v>
      </c>
      <c r="AW469" s="81">
        <f>IFERROR(VLOOKUP(tbl_Data[[#This Row],[Column1]],'1. Set Program Names'!$B$2:$D$15,3,0)*tbl_Data[[#This Row],[Sum of Annuals]],"")</f>
        <v>1.521672133138717E-2</v>
      </c>
      <c r="AX469" s="81">
        <f>tbl_Data[[#This Row],[per unit IRA tax ($)]]/tbl_Data[[#This Row],[kWh Savings]]*tbl_Data[[#This Row],[Sum of Annuals]]</f>
        <v>0</v>
      </c>
      <c r="AY469" s="81">
        <f>tbl_Data[[#This Row],[Avoided Costs ($/unit)]]/tbl_Data[[#This Row],[kWh Savings]]*tbl_Data[[#This Row],[Sum of Annuals]]</f>
        <v>0.25202003630581149</v>
      </c>
      <c r="AZ469" s="81">
        <f>tbl_Data[[#This Row],[Lost Revenue ($/unit)]]/tbl_Data[[#This Row],[kWh Savings]]*tbl_Data[[#This Row],[Sum of Annuals]]</f>
        <v>0.52221574812338734</v>
      </c>
      <c r="BA469" s="81">
        <f>tbl_Data[[#This Row],[Incremental Cost ($/unit)]]/tbl_Data[[#This Row],[kWh Savings]]*tbl_Data[[#This Row],[Sum of Annuals]]</f>
        <v>0.21687272530884297</v>
      </c>
      <c r="BB469" s="77">
        <f>ROUNDUP(tbl_Data[[#This Row],[Adjusted 2025]]/$L469,0)</f>
        <v>1</v>
      </c>
      <c r="BC469" s="77">
        <f>ROUNDUP(tbl_Data[[#This Row],[Adjusted 2026]]/$L469,0)</f>
        <v>1</v>
      </c>
      <c r="BD469" s="77">
        <f>ROUNDUP(tbl_Data[[#This Row],[Adjusted 2027]]/$L469,0)</f>
        <v>1</v>
      </c>
      <c r="BE469" s="77">
        <f>ROUNDUP(tbl_Data[[#This Row],[Adjusted 2028]]/$L469,0)</f>
        <v>1</v>
      </c>
      <c r="BF469" s="77">
        <f>ROUNDUP(tbl_Data[[#This Row],[Adjusted 2029]]/$L469,0)</f>
        <v>1</v>
      </c>
      <c r="BG469" s="77">
        <f>ROUNDUP(tbl_Data[[#This Row],[Adjusted 2030]]/$L469,0)</f>
        <v>1</v>
      </c>
      <c r="BH469" s="77">
        <f>ROUNDUP(tbl_Data[[#This Row],[Adjusted 2031]]/$L469,0)</f>
        <v>1</v>
      </c>
      <c r="BI469" s="77">
        <f>ROUNDUP(tbl_Data[[#This Row],[Adjusted 2032]]/$L469,0)</f>
        <v>1</v>
      </c>
      <c r="BJ469" s="77">
        <f>ROUNDUP(tbl_Data[[#This Row],[Adjusted 2033]]/$L469,0)</f>
        <v>1</v>
      </c>
      <c r="BK469" s="77">
        <f>ROUNDUP(tbl_Data[[#This Row],[Adjusted 2034]]/$L469,0)</f>
        <v>1</v>
      </c>
      <c r="BL469" s="80">
        <f t="shared" si="188"/>
        <v>6.5727663853653298E-3</v>
      </c>
      <c r="BM469" s="80">
        <f t="shared" si="189"/>
        <v>7.2511489708274495E-3</v>
      </c>
      <c r="BN469" s="80">
        <f t="shared" si="190"/>
        <v>7.8225805512587704E-3</v>
      </c>
      <c r="BO469" s="80">
        <f t="shared" si="191"/>
        <v>8.3300890732493933E-3</v>
      </c>
      <c r="BP469" s="80">
        <f t="shared" si="192"/>
        <v>8.7714551835235081E-3</v>
      </c>
      <c r="BQ469" s="80">
        <f t="shared" si="193"/>
        <v>9.1459023089183727E-3</v>
      </c>
      <c r="BR469" s="80">
        <f t="shared" si="194"/>
        <v>9.4610385521926906E-3</v>
      </c>
      <c r="BS469" s="80">
        <f t="shared" si="195"/>
        <v>9.7432641043636598E-3</v>
      </c>
      <c r="BT469" s="80">
        <f t="shared" si="196"/>
        <v>1.0005230414502917E-2</v>
      </c>
      <c r="BU469" s="80">
        <f t="shared" si="197"/>
        <v>1.0235796882843007E-2</v>
      </c>
      <c r="BV469" s="80">
        <f>IFERROR(VLOOKUP($H469,'1. Set Program Names'!$B$2:$D$15,3,0)*V469,"NA")</f>
        <v>1.5372450104084931E-3</v>
      </c>
      <c r="BW469" s="80">
        <f>IFERROR(VLOOKUP($H469,'1. Set Program Names'!$B$2:$D$15,3,0)*W469,"NA")</f>
        <v>1.6959057908938005E-3</v>
      </c>
      <c r="BX469" s="80">
        <f>IFERROR(VLOOKUP($H469,'1. Set Program Names'!$B$2:$D$15,3,0)*X469,"NA")</f>
        <v>1.8295527660493103E-3</v>
      </c>
      <c r="BY469" s="80">
        <f>IFERROR(VLOOKUP($H469,'1. Set Program Names'!$B$2:$D$15,3,0)*Y469,"NA")</f>
        <v>1.9482493539741388E-3</v>
      </c>
      <c r="BZ469" s="80">
        <f>IFERROR(VLOOKUP($H469,'1. Set Program Names'!$B$2:$D$15,3,0)*Z469,"NA")</f>
        <v>2.0514764901603541E-3</v>
      </c>
      <c r="CA469" s="80">
        <f>IFERROR(VLOOKUP($H469,'1. Set Program Names'!$B$2:$D$15,3,0)*AA469,"NA")</f>
        <v>2.1390525489195255E-3</v>
      </c>
      <c r="CB469" s="80">
        <f>IFERROR(VLOOKUP($H469,'1. Set Program Names'!$B$2:$D$15,3,0)*AB469,"NA")</f>
        <v>2.2127569207424712E-3</v>
      </c>
      <c r="CC469" s="80">
        <f>IFERROR(VLOOKUP($H469,'1. Set Program Names'!$B$2:$D$15,3,0)*AC469,"NA")</f>
        <v>2.2787641080434825E-3</v>
      </c>
      <c r="CD469" s="80">
        <f>IFERROR(VLOOKUP($H469,'1. Set Program Names'!$B$2:$D$15,3,0)*AD469,"NA")</f>
        <v>2.340033044066121E-3</v>
      </c>
      <c r="CE469" s="80">
        <f>IFERROR(VLOOKUP($H469,'1. Set Program Names'!$B$2:$D$15,3,0)*AE469,"NA")</f>
        <v>2.3939581544751092E-3</v>
      </c>
    </row>
    <row r="470" spans="1:83" x14ac:dyDescent="0.25">
      <c r="A470" s="79" t="s">
        <v>116</v>
      </c>
      <c r="B470" s="79" t="s">
        <v>88</v>
      </c>
      <c r="C470" s="79" t="s">
        <v>122</v>
      </c>
      <c r="D470" s="79" t="s">
        <v>90</v>
      </c>
      <c r="E470" s="79" t="s">
        <v>91</v>
      </c>
      <c r="F470" s="79" t="s">
        <v>90</v>
      </c>
      <c r="G470" s="79" t="s">
        <v>92</v>
      </c>
      <c r="H470" s="79" t="s">
        <v>18</v>
      </c>
      <c r="I470" s="79" t="s">
        <v>146</v>
      </c>
      <c r="J470" s="79" t="s">
        <v>129</v>
      </c>
      <c r="K470" s="79" t="s">
        <v>98</v>
      </c>
      <c r="L470" s="79">
        <v>23719.439999999999</v>
      </c>
      <c r="M470" s="79">
        <v>5.4597690026648404</v>
      </c>
      <c r="N470" s="79">
        <v>0</v>
      </c>
      <c r="O470" s="79">
        <v>11386</v>
      </c>
      <c r="P470" s="79">
        <v>6681.8656442185202</v>
      </c>
      <c r="Q470" s="79">
        <v>750.67749006099905</v>
      </c>
      <c r="R470" s="79">
        <v>13758.6347393458</v>
      </c>
      <c r="S470" s="79">
        <v>32663.358650317699</v>
      </c>
      <c r="T470" s="79">
        <v>23</v>
      </c>
      <c r="U470" s="79">
        <v>1</v>
      </c>
      <c r="V470" s="79">
        <f>tbl_Data_old[[#This Row],[2025 ]]*IFERROR(AVERAGEIFS('Participation Adjustment'!$C:$C,'Participation Adjustment'!$A:$A,$H470,'Participation Adjustment'!$B:$B,$I470),1)</f>
        <v>0</v>
      </c>
      <c r="W470" s="79">
        <f>tbl_Data_old[[#This Row],[2026 ]]*IFERROR(AVERAGEIFS('Participation Adjustment'!$C:$C,'Participation Adjustment'!$A:$A,$H470,'Participation Adjustment'!$B:$B,$I470),1)</f>
        <v>0</v>
      </c>
      <c r="X470" s="79">
        <f>tbl_Data_old[[#This Row],[2027 ]]*IFERROR(AVERAGEIFS('Participation Adjustment'!$C:$C,'Participation Adjustment'!$A:$A,$H470,'Participation Adjustment'!$B:$B,$I470),1)</f>
        <v>0</v>
      </c>
      <c r="Y470" s="79">
        <f>tbl_Data_old[[#This Row],[2028 ]]*IFERROR(AVERAGEIFS('Participation Adjustment'!$C:$C,'Participation Adjustment'!$A:$A,$H470,'Participation Adjustment'!$B:$B,$I470),1)</f>
        <v>0</v>
      </c>
      <c r="Z470" s="79">
        <f>tbl_Data_old[[#This Row],[2029 ]]*IFERROR(AVERAGEIFS('Participation Adjustment'!$C:$C,'Participation Adjustment'!$A:$A,$H470,'Participation Adjustment'!$B:$B,$I470),1)</f>
        <v>0</v>
      </c>
      <c r="AA470" s="79">
        <f>tbl_Data_old[[#This Row],[2030 ]]*IFERROR(AVERAGEIFS('Participation Adjustment'!$C:$C,'Participation Adjustment'!$A:$A,$H470,'Participation Adjustment'!$B:$B,$I470),1)</f>
        <v>0</v>
      </c>
      <c r="AB470" s="79">
        <f>tbl_Data_old[[#This Row],[2031 ]]*IFERROR(AVERAGEIFS('Participation Adjustment'!$C:$C,'Participation Adjustment'!$A:$A,$H470,'Participation Adjustment'!$B:$B,$I470),1)</f>
        <v>0</v>
      </c>
      <c r="AC470" s="79">
        <f>tbl_Data_old[[#This Row],[2032 ]]*IFERROR(AVERAGEIFS('Participation Adjustment'!$C:$C,'Participation Adjustment'!$A:$A,$H470,'Participation Adjustment'!$B:$B,$I470),1)</f>
        <v>0</v>
      </c>
      <c r="AD470" s="79">
        <f>tbl_Data_old[[#This Row],[2033 ]]*IFERROR(AVERAGEIFS('Participation Adjustment'!$C:$C,'Participation Adjustment'!$A:$A,$H470,'Participation Adjustment'!$B:$B,$I470),1)</f>
        <v>0</v>
      </c>
      <c r="AE470" s="79">
        <f>tbl_Data_old[[#This Row],[2034 ]]*IFERROR(AVERAGEIFS('Participation Adjustment'!$C:$C,'Participation Adjustment'!$A:$A,$H470,'Participation Adjustment'!$B:$B,$I470),1)</f>
        <v>0</v>
      </c>
      <c r="AF470" s="77" t="str">
        <f t="shared" si="187"/>
        <v>NonResidential</v>
      </c>
      <c r="AG470" s="77" t="str">
        <f>tbl_Data[[#This Row],[All_Meas_Name_Append]]</f>
        <v>HE Water Cooled Chiller - Centrifugal Compressor - 200 Tons</v>
      </c>
      <c r="AH470" s="77">
        <f>AVERAGEIFS('3. Incentive Adjustment'!G:G,'3. Incentive Adjustment'!A:A,tbl_Data[[#This Row],[Trimmed Sector]],'3. Incentive Adjustment'!B:B,tbl_Data[[#This Row],[Trimmed Measure Name]])</f>
        <v>0.69536855707903378</v>
      </c>
      <c r="AI470" s="77">
        <f>$AH470*tbl_Data[[#This Row],[2025 ]]</f>
        <v>0</v>
      </c>
      <c r="AJ470" s="77">
        <f>$AH470*tbl_Data[[#This Row],[2026 ]]</f>
        <v>0</v>
      </c>
      <c r="AK470" s="77">
        <f>$AH470*tbl_Data[[#This Row],[2027 ]]</f>
        <v>0</v>
      </c>
      <c r="AL470" s="77">
        <f>$AH470*tbl_Data[[#This Row],[2028 ]]</f>
        <v>0</v>
      </c>
      <c r="AM470" s="77">
        <f>$AH470*tbl_Data[[#This Row],[2029 ]]</f>
        <v>0</v>
      </c>
      <c r="AN470" s="77">
        <f>$AH470*tbl_Data[[#This Row],[2030 ]]</f>
        <v>0</v>
      </c>
      <c r="AO470" s="77">
        <f>$AH470*tbl_Data[[#This Row],[2031 ]]</f>
        <v>0</v>
      </c>
      <c r="AP470" s="77">
        <f>$AH470*tbl_Data[[#This Row],[2032 ]]</f>
        <v>0</v>
      </c>
      <c r="AQ470" s="77">
        <f>$AH470*tbl_Data[[#This Row],[2033 ]]</f>
        <v>0</v>
      </c>
      <c r="AR470" s="77">
        <f>$AH470*tbl_Data[[#This Row],[2034 ]]</f>
        <v>0</v>
      </c>
      <c r="AS470" s="77">
        <f>SUM(tbl_Data[[#This Row],[Adjusted 2025]:[Adjusted 2034]])</f>
        <v>0</v>
      </c>
      <c r="AT470" s="80">
        <f>AVERAGEIFS('3. Incentive Adjustment'!F:F,'3. Incentive Adjustment'!A:A,tbl_Data[[#This Row],[Trimmed Sector]],'3. Incentive Adjustment'!B:B,tbl_Data[[#This Row],[Trimmed Measure Name]])</f>
        <v>3415.7999999999997</v>
      </c>
      <c r="AU470" s="80">
        <f>IFERROR(VLOOKUP(tbl_Data[[#This Row],[All_Meas_Name_Append]],'IRA Tax Credits'!$A$3:$D$46,4,0),0)</f>
        <v>0</v>
      </c>
      <c r="AV470" s="81">
        <f>tbl_Data[[#This Row],[Adj. per unit Incentive ($)]]/tbl_Data[[#This Row],[kWh Savings]]*tbl_Data[[#This Row],[Sum of Annuals]]</f>
        <v>0</v>
      </c>
      <c r="AW470" s="81">
        <f>IFERROR(VLOOKUP(tbl_Data[[#This Row],[Column1]],'1. Set Program Names'!$B$2:$D$15,3,0)*tbl_Data[[#This Row],[Sum of Annuals]],"")</f>
        <v>0</v>
      </c>
      <c r="AX470" s="81">
        <f>tbl_Data[[#This Row],[per unit IRA tax ($)]]/tbl_Data[[#This Row],[kWh Savings]]*tbl_Data[[#This Row],[Sum of Annuals]]</f>
        <v>0</v>
      </c>
      <c r="AY470" s="81">
        <f>tbl_Data[[#This Row],[Avoided Costs ($/unit)]]/tbl_Data[[#This Row],[kWh Savings]]*tbl_Data[[#This Row],[Sum of Annuals]]</f>
        <v>0</v>
      </c>
      <c r="AZ470" s="81">
        <f>tbl_Data[[#This Row],[Lost Revenue ($/unit)]]/tbl_Data[[#This Row],[kWh Savings]]*tbl_Data[[#This Row],[Sum of Annuals]]</f>
        <v>0</v>
      </c>
      <c r="BA470" s="81">
        <f>tbl_Data[[#This Row],[Incremental Cost ($/unit)]]/tbl_Data[[#This Row],[kWh Savings]]*tbl_Data[[#This Row],[Sum of Annuals]]</f>
        <v>0</v>
      </c>
      <c r="BB470" s="77">
        <f>ROUNDUP(tbl_Data[[#This Row],[Adjusted 2025]]/$L470,0)</f>
        <v>0</v>
      </c>
      <c r="BC470" s="77">
        <f>ROUNDUP(tbl_Data[[#This Row],[Adjusted 2026]]/$L470,0)</f>
        <v>0</v>
      </c>
      <c r="BD470" s="77">
        <f>ROUNDUP(tbl_Data[[#This Row],[Adjusted 2027]]/$L470,0)</f>
        <v>0</v>
      </c>
      <c r="BE470" s="77">
        <f>ROUNDUP(tbl_Data[[#This Row],[Adjusted 2028]]/$L470,0)</f>
        <v>0</v>
      </c>
      <c r="BF470" s="77">
        <f>ROUNDUP(tbl_Data[[#This Row],[Adjusted 2029]]/$L470,0)</f>
        <v>0</v>
      </c>
      <c r="BG470" s="77">
        <f>ROUNDUP(tbl_Data[[#This Row],[Adjusted 2030]]/$L470,0)</f>
        <v>0</v>
      </c>
      <c r="BH470" s="77">
        <f>ROUNDUP(tbl_Data[[#This Row],[Adjusted 2031]]/$L470,0)</f>
        <v>0</v>
      </c>
      <c r="BI470" s="77">
        <f>ROUNDUP(tbl_Data[[#This Row],[Adjusted 2032]]/$L470,0)</f>
        <v>0</v>
      </c>
      <c r="BJ470" s="77">
        <f>ROUNDUP(tbl_Data[[#This Row],[Adjusted 2033]]/$L470,0)</f>
        <v>0</v>
      </c>
      <c r="BK470" s="77">
        <f>ROUNDUP(tbl_Data[[#This Row],[Adjusted 2034]]/$L470,0)</f>
        <v>0</v>
      </c>
      <c r="BL470" s="80">
        <f t="shared" si="188"/>
        <v>0</v>
      </c>
      <c r="BM470" s="80">
        <f t="shared" si="189"/>
        <v>0</v>
      </c>
      <c r="BN470" s="80">
        <f t="shared" si="190"/>
        <v>0</v>
      </c>
      <c r="BO470" s="80">
        <f t="shared" si="191"/>
        <v>0</v>
      </c>
      <c r="BP470" s="80">
        <f t="shared" si="192"/>
        <v>0</v>
      </c>
      <c r="BQ470" s="80">
        <f t="shared" si="193"/>
        <v>0</v>
      </c>
      <c r="BR470" s="80">
        <f t="shared" si="194"/>
        <v>0</v>
      </c>
      <c r="BS470" s="80">
        <f t="shared" si="195"/>
        <v>0</v>
      </c>
      <c r="BT470" s="80">
        <f t="shared" si="196"/>
        <v>0</v>
      </c>
      <c r="BU470" s="80">
        <f t="shared" si="197"/>
        <v>0</v>
      </c>
      <c r="BV470" s="80">
        <f>IFERROR(VLOOKUP($H470,'1. Set Program Names'!$B$2:$D$15,3,0)*V470,"NA")</f>
        <v>0</v>
      </c>
      <c r="BW470" s="80">
        <f>IFERROR(VLOOKUP($H470,'1. Set Program Names'!$B$2:$D$15,3,0)*W470,"NA")</f>
        <v>0</v>
      </c>
      <c r="BX470" s="80">
        <f>IFERROR(VLOOKUP($H470,'1. Set Program Names'!$B$2:$D$15,3,0)*X470,"NA")</f>
        <v>0</v>
      </c>
      <c r="BY470" s="80">
        <f>IFERROR(VLOOKUP($H470,'1. Set Program Names'!$B$2:$D$15,3,0)*Y470,"NA")</f>
        <v>0</v>
      </c>
      <c r="BZ470" s="80">
        <f>IFERROR(VLOOKUP($H470,'1. Set Program Names'!$B$2:$D$15,3,0)*Z470,"NA")</f>
        <v>0</v>
      </c>
      <c r="CA470" s="80">
        <f>IFERROR(VLOOKUP($H470,'1. Set Program Names'!$B$2:$D$15,3,0)*AA470,"NA")</f>
        <v>0</v>
      </c>
      <c r="CB470" s="80">
        <f>IFERROR(VLOOKUP($H470,'1. Set Program Names'!$B$2:$D$15,3,0)*AB470,"NA")</f>
        <v>0</v>
      </c>
      <c r="CC470" s="80">
        <f>IFERROR(VLOOKUP($H470,'1. Set Program Names'!$B$2:$D$15,3,0)*AC470,"NA")</f>
        <v>0</v>
      </c>
      <c r="CD470" s="80">
        <f>IFERROR(VLOOKUP($H470,'1. Set Program Names'!$B$2:$D$15,3,0)*AD470,"NA")</f>
        <v>0</v>
      </c>
      <c r="CE470" s="80">
        <f>IFERROR(VLOOKUP($H470,'1. Set Program Names'!$B$2:$D$15,3,0)*AE470,"NA")</f>
        <v>0</v>
      </c>
    </row>
    <row r="471" spans="1:83" x14ac:dyDescent="0.25">
      <c r="A471" s="79" t="s">
        <v>116</v>
      </c>
      <c r="B471" s="79" t="s">
        <v>88</v>
      </c>
      <c r="C471" s="79" t="s">
        <v>122</v>
      </c>
      <c r="D471" s="79" t="s">
        <v>90</v>
      </c>
      <c r="E471" s="79" t="s">
        <v>91</v>
      </c>
      <c r="F471" s="79" t="s">
        <v>90</v>
      </c>
      <c r="G471" s="79" t="s">
        <v>92</v>
      </c>
      <c r="H471" s="79" t="s">
        <v>18</v>
      </c>
      <c r="I471" s="79" t="s">
        <v>147</v>
      </c>
      <c r="J471" s="79" t="s">
        <v>129</v>
      </c>
      <c r="K471" s="79" t="s">
        <v>98</v>
      </c>
      <c r="L471" s="79">
        <v>51564</v>
      </c>
      <c r="M471" s="79">
        <v>11.869063049271301</v>
      </c>
      <c r="N471" s="79">
        <v>0</v>
      </c>
      <c r="O471" s="79">
        <v>19806</v>
      </c>
      <c r="P471" s="79">
        <v>9503.5476574024997</v>
      </c>
      <c r="Q471" s="79">
        <v>1631.9075870891199</v>
      </c>
      <c r="R471" s="79">
        <v>29910.075520317099</v>
      </c>
      <c r="S471" s="79">
        <v>71007.301413734196</v>
      </c>
      <c r="T471" s="79">
        <v>23</v>
      </c>
      <c r="U471" s="79">
        <v>1</v>
      </c>
      <c r="V471" s="79">
        <f>tbl_Data_old[[#This Row],[2025 ]]*IFERROR(AVERAGEIFS('Participation Adjustment'!$C:$C,'Participation Adjustment'!$A:$A,$H471,'Participation Adjustment'!$B:$B,$I471),1)</f>
        <v>0</v>
      </c>
      <c r="W471" s="79">
        <f>tbl_Data_old[[#This Row],[2026 ]]*IFERROR(AVERAGEIFS('Participation Adjustment'!$C:$C,'Participation Adjustment'!$A:$A,$H471,'Participation Adjustment'!$B:$B,$I471),1)</f>
        <v>0</v>
      </c>
      <c r="X471" s="79">
        <f>tbl_Data_old[[#This Row],[2027 ]]*IFERROR(AVERAGEIFS('Participation Adjustment'!$C:$C,'Participation Adjustment'!$A:$A,$H471,'Participation Adjustment'!$B:$B,$I471),1)</f>
        <v>0</v>
      </c>
      <c r="Y471" s="79">
        <f>tbl_Data_old[[#This Row],[2028 ]]*IFERROR(AVERAGEIFS('Participation Adjustment'!$C:$C,'Participation Adjustment'!$A:$A,$H471,'Participation Adjustment'!$B:$B,$I471),1)</f>
        <v>0</v>
      </c>
      <c r="Z471" s="79">
        <f>tbl_Data_old[[#This Row],[2029 ]]*IFERROR(AVERAGEIFS('Participation Adjustment'!$C:$C,'Participation Adjustment'!$A:$A,$H471,'Participation Adjustment'!$B:$B,$I471),1)</f>
        <v>0</v>
      </c>
      <c r="AA471" s="79">
        <f>tbl_Data_old[[#This Row],[2030 ]]*IFERROR(AVERAGEIFS('Participation Adjustment'!$C:$C,'Participation Adjustment'!$A:$A,$H471,'Participation Adjustment'!$B:$B,$I471),1)</f>
        <v>0</v>
      </c>
      <c r="AB471" s="79">
        <f>tbl_Data_old[[#This Row],[2031 ]]*IFERROR(AVERAGEIFS('Participation Adjustment'!$C:$C,'Participation Adjustment'!$A:$A,$H471,'Participation Adjustment'!$B:$B,$I471),1)</f>
        <v>0</v>
      </c>
      <c r="AC471" s="79">
        <f>tbl_Data_old[[#This Row],[2032 ]]*IFERROR(AVERAGEIFS('Participation Adjustment'!$C:$C,'Participation Adjustment'!$A:$A,$H471,'Participation Adjustment'!$B:$B,$I471),1)</f>
        <v>0</v>
      </c>
      <c r="AD471" s="79">
        <f>tbl_Data_old[[#This Row],[2033 ]]*IFERROR(AVERAGEIFS('Participation Adjustment'!$C:$C,'Participation Adjustment'!$A:$A,$H471,'Participation Adjustment'!$B:$B,$I471),1)</f>
        <v>0</v>
      </c>
      <c r="AE471" s="79">
        <f>tbl_Data_old[[#This Row],[2034 ]]*IFERROR(AVERAGEIFS('Participation Adjustment'!$C:$C,'Participation Adjustment'!$A:$A,$H471,'Participation Adjustment'!$B:$B,$I471),1)</f>
        <v>0</v>
      </c>
      <c r="AF471" s="77" t="str">
        <f t="shared" si="187"/>
        <v>NonResidential</v>
      </c>
      <c r="AG471" s="77" t="str">
        <f>tbl_Data[[#This Row],[All_Meas_Name_Append]]</f>
        <v>HE Water Cooled Chiller - Centrifugal Compressor - 500 Tons</v>
      </c>
      <c r="AH471" s="77">
        <f>AVERAGEIFS('3. Incentive Adjustment'!G:G,'3. Incentive Adjustment'!A:A,tbl_Data[[#This Row],[Trimmed Sector]],'3. Incentive Adjustment'!B:B,tbl_Data[[#This Row],[Trimmed Measure Name]])</f>
        <v>0.83338953851620801</v>
      </c>
      <c r="AI471" s="77">
        <f>$AH471*tbl_Data[[#This Row],[2025 ]]</f>
        <v>0</v>
      </c>
      <c r="AJ471" s="77">
        <f>$AH471*tbl_Data[[#This Row],[2026 ]]</f>
        <v>0</v>
      </c>
      <c r="AK471" s="77">
        <f>$AH471*tbl_Data[[#This Row],[2027 ]]</f>
        <v>0</v>
      </c>
      <c r="AL471" s="77">
        <f>$AH471*tbl_Data[[#This Row],[2028 ]]</f>
        <v>0</v>
      </c>
      <c r="AM471" s="77">
        <f>$AH471*tbl_Data[[#This Row],[2029 ]]</f>
        <v>0</v>
      </c>
      <c r="AN471" s="77">
        <f>$AH471*tbl_Data[[#This Row],[2030 ]]</f>
        <v>0</v>
      </c>
      <c r="AO471" s="77">
        <f>$AH471*tbl_Data[[#This Row],[2031 ]]</f>
        <v>0</v>
      </c>
      <c r="AP471" s="77">
        <f>$AH471*tbl_Data[[#This Row],[2032 ]]</f>
        <v>0</v>
      </c>
      <c r="AQ471" s="77">
        <f>$AH471*tbl_Data[[#This Row],[2033 ]]</f>
        <v>0</v>
      </c>
      <c r="AR471" s="77">
        <f>$AH471*tbl_Data[[#This Row],[2034 ]]</f>
        <v>0</v>
      </c>
      <c r="AS471" s="77">
        <f>SUM(tbl_Data[[#This Row],[Adjusted 2025]:[Adjusted 2034]])</f>
        <v>0</v>
      </c>
      <c r="AT471" s="80">
        <f>AVERAGEIFS('3. Incentive Adjustment'!F:F,'3. Incentive Adjustment'!A:A,tbl_Data[[#This Row],[Trimmed Sector]],'3. Incentive Adjustment'!B:B,tbl_Data[[#This Row],[Trimmed Measure Name]])</f>
        <v>5941.8</v>
      </c>
      <c r="AU471" s="80">
        <f>IFERROR(VLOOKUP(tbl_Data[[#This Row],[All_Meas_Name_Append]],'IRA Tax Credits'!$A$3:$D$46,4,0),0)</f>
        <v>0</v>
      </c>
      <c r="AV471" s="81">
        <f>tbl_Data[[#This Row],[Adj. per unit Incentive ($)]]/tbl_Data[[#This Row],[kWh Savings]]*tbl_Data[[#This Row],[Sum of Annuals]]</f>
        <v>0</v>
      </c>
      <c r="AW471" s="81">
        <f>IFERROR(VLOOKUP(tbl_Data[[#This Row],[Column1]],'1. Set Program Names'!$B$2:$D$15,3,0)*tbl_Data[[#This Row],[Sum of Annuals]],"")</f>
        <v>0</v>
      </c>
      <c r="AX471" s="81">
        <f>tbl_Data[[#This Row],[per unit IRA tax ($)]]/tbl_Data[[#This Row],[kWh Savings]]*tbl_Data[[#This Row],[Sum of Annuals]]</f>
        <v>0</v>
      </c>
      <c r="AY471" s="81">
        <f>tbl_Data[[#This Row],[Avoided Costs ($/unit)]]/tbl_Data[[#This Row],[kWh Savings]]*tbl_Data[[#This Row],[Sum of Annuals]]</f>
        <v>0</v>
      </c>
      <c r="AZ471" s="81">
        <f>tbl_Data[[#This Row],[Lost Revenue ($/unit)]]/tbl_Data[[#This Row],[kWh Savings]]*tbl_Data[[#This Row],[Sum of Annuals]]</f>
        <v>0</v>
      </c>
      <c r="BA471" s="81">
        <f>tbl_Data[[#This Row],[Incremental Cost ($/unit)]]/tbl_Data[[#This Row],[kWh Savings]]*tbl_Data[[#This Row],[Sum of Annuals]]</f>
        <v>0</v>
      </c>
      <c r="BB471" s="77">
        <f>ROUNDUP(tbl_Data[[#This Row],[Adjusted 2025]]/$L471,0)</f>
        <v>0</v>
      </c>
      <c r="BC471" s="77">
        <f>ROUNDUP(tbl_Data[[#This Row],[Adjusted 2026]]/$L471,0)</f>
        <v>0</v>
      </c>
      <c r="BD471" s="77">
        <f>ROUNDUP(tbl_Data[[#This Row],[Adjusted 2027]]/$L471,0)</f>
        <v>0</v>
      </c>
      <c r="BE471" s="77">
        <f>ROUNDUP(tbl_Data[[#This Row],[Adjusted 2028]]/$L471,0)</f>
        <v>0</v>
      </c>
      <c r="BF471" s="77">
        <f>ROUNDUP(tbl_Data[[#This Row],[Adjusted 2029]]/$L471,0)</f>
        <v>0</v>
      </c>
      <c r="BG471" s="77">
        <f>ROUNDUP(tbl_Data[[#This Row],[Adjusted 2030]]/$L471,0)</f>
        <v>0</v>
      </c>
      <c r="BH471" s="77">
        <f>ROUNDUP(tbl_Data[[#This Row],[Adjusted 2031]]/$L471,0)</f>
        <v>0</v>
      </c>
      <c r="BI471" s="77">
        <f>ROUNDUP(tbl_Data[[#This Row],[Adjusted 2032]]/$L471,0)</f>
        <v>0</v>
      </c>
      <c r="BJ471" s="77">
        <f>ROUNDUP(tbl_Data[[#This Row],[Adjusted 2033]]/$L471,0)</f>
        <v>0</v>
      </c>
      <c r="BK471" s="77">
        <f>ROUNDUP(tbl_Data[[#This Row],[Adjusted 2034]]/$L471,0)</f>
        <v>0</v>
      </c>
      <c r="BL471" s="80">
        <f t="shared" si="188"/>
        <v>0</v>
      </c>
      <c r="BM471" s="80">
        <f t="shared" si="189"/>
        <v>0</v>
      </c>
      <c r="BN471" s="80">
        <f t="shared" si="190"/>
        <v>0</v>
      </c>
      <c r="BO471" s="80">
        <f t="shared" si="191"/>
        <v>0</v>
      </c>
      <c r="BP471" s="80">
        <f t="shared" si="192"/>
        <v>0</v>
      </c>
      <c r="BQ471" s="80">
        <f t="shared" si="193"/>
        <v>0</v>
      </c>
      <c r="BR471" s="80">
        <f t="shared" si="194"/>
        <v>0</v>
      </c>
      <c r="BS471" s="80">
        <f t="shared" si="195"/>
        <v>0</v>
      </c>
      <c r="BT471" s="80">
        <f t="shared" si="196"/>
        <v>0</v>
      </c>
      <c r="BU471" s="80">
        <f t="shared" si="197"/>
        <v>0</v>
      </c>
      <c r="BV471" s="80">
        <f>IFERROR(VLOOKUP($H471,'1. Set Program Names'!$B$2:$D$15,3,0)*V471,"NA")</f>
        <v>0</v>
      </c>
      <c r="BW471" s="80">
        <f>IFERROR(VLOOKUP($H471,'1. Set Program Names'!$B$2:$D$15,3,0)*W471,"NA")</f>
        <v>0</v>
      </c>
      <c r="BX471" s="80">
        <f>IFERROR(VLOOKUP($H471,'1. Set Program Names'!$B$2:$D$15,3,0)*X471,"NA")</f>
        <v>0</v>
      </c>
      <c r="BY471" s="80">
        <f>IFERROR(VLOOKUP($H471,'1. Set Program Names'!$B$2:$D$15,3,0)*Y471,"NA")</f>
        <v>0</v>
      </c>
      <c r="BZ471" s="80">
        <f>IFERROR(VLOOKUP($H471,'1. Set Program Names'!$B$2:$D$15,3,0)*Z471,"NA")</f>
        <v>0</v>
      </c>
      <c r="CA471" s="80">
        <f>IFERROR(VLOOKUP($H471,'1. Set Program Names'!$B$2:$D$15,3,0)*AA471,"NA")</f>
        <v>0</v>
      </c>
      <c r="CB471" s="80">
        <f>IFERROR(VLOOKUP($H471,'1. Set Program Names'!$B$2:$D$15,3,0)*AB471,"NA")</f>
        <v>0</v>
      </c>
      <c r="CC471" s="80">
        <f>IFERROR(VLOOKUP($H471,'1. Set Program Names'!$B$2:$D$15,3,0)*AC471,"NA")</f>
        <v>0</v>
      </c>
      <c r="CD471" s="80">
        <f>IFERROR(VLOOKUP($H471,'1. Set Program Names'!$B$2:$D$15,3,0)*AD471,"NA")</f>
        <v>0</v>
      </c>
      <c r="CE471" s="80">
        <f>IFERROR(VLOOKUP($H471,'1. Set Program Names'!$B$2:$D$15,3,0)*AE471,"NA")</f>
        <v>0</v>
      </c>
    </row>
    <row r="472" spans="1:83" x14ac:dyDescent="0.25">
      <c r="A472" s="79" t="s">
        <v>116</v>
      </c>
      <c r="B472" s="79" t="s">
        <v>88</v>
      </c>
      <c r="C472" s="79" t="s">
        <v>122</v>
      </c>
      <c r="D472" s="79" t="s">
        <v>90</v>
      </c>
      <c r="E472" s="79" t="s">
        <v>91</v>
      </c>
      <c r="F472" s="79" t="s">
        <v>90</v>
      </c>
      <c r="G472" s="79" t="s">
        <v>92</v>
      </c>
      <c r="H472" s="79" t="s">
        <v>18</v>
      </c>
      <c r="I472" s="79" t="s">
        <v>148</v>
      </c>
      <c r="J472" s="79" t="s">
        <v>129</v>
      </c>
      <c r="K472" s="79" t="s">
        <v>98</v>
      </c>
      <c r="L472" s="79">
        <v>552.51399999999899</v>
      </c>
      <c r="M472" s="79">
        <v>0.19160575593909501</v>
      </c>
      <c r="N472" s="79">
        <v>0</v>
      </c>
      <c r="O472" s="79">
        <v>129</v>
      </c>
      <c r="P472" s="79">
        <v>16.0943430226503</v>
      </c>
      <c r="Q472" s="79">
        <v>17.486071456306</v>
      </c>
      <c r="R472" s="79">
        <v>212.35909497904299</v>
      </c>
      <c r="S472" s="79">
        <v>383.33946557666002</v>
      </c>
      <c r="T472" s="79">
        <v>8</v>
      </c>
      <c r="U472" s="79">
        <v>1</v>
      </c>
      <c r="V472" s="79">
        <f>tbl_Data_old[[#This Row],[2025 ]]*IFERROR(AVERAGEIFS('Participation Adjustment'!$C:$C,'Participation Adjustment'!$A:$A,$H472,'Participation Adjustment'!$B:$B,$I472),1)</f>
        <v>0</v>
      </c>
      <c r="W472" s="79">
        <f>tbl_Data_old[[#This Row],[2026 ]]*IFERROR(AVERAGEIFS('Participation Adjustment'!$C:$C,'Participation Adjustment'!$A:$A,$H472,'Participation Adjustment'!$B:$B,$I472),1)</f>
        <v>0</v>
      </c>
      <c r="X472" s="79">
        <f>tbl_Data_old[[#This Row],[2027 ]]*IFERROR(AVERAGEIFS('Participation Adjustment'!$C:$C,'Participation Adjustment'!$A:$A,$H472,'Participation Adjustment'!$B:$B,$I472),1)</f>
        <v>0</v>
      </c>
      <c r="Y472" s="79">
        <f>tbl_Data_old[[#This Row],[2028 ]]*IFERROR(AVERAGEIFS('Participation Adjustment'!$C:$C,'Participation Adjustment'!$A:$A,$H472,'Participation Adjustment'!$B:$B,$I472),1)</f>
        <v>0</v>
      </c>
      <c r="Z472" s="79">
        <f>tbl_Data_old[[#This Row],[2029 ]]*IFERROR(AVERAGEIFS('Participation Adjustment'!$C:$C,'Participation Adjustment'!$A:$A,$H472,'Participation Adjustment'!$B:$B,$I472),1)</f>
        <v>0</v>
      </c>
      <c r="AA472" s="79">
        <f>tbl_Data_old[[#This Row],[2030 ]]*IFERROR(AVERAGEIFS('Participation Adjustment'!$C:$C,'Participation Adjustment'!$A:$A,$H472,'Participation Adjustment'!$B:$B,$I472),1)</f>
        <v>0</v>
      </c>
      <c r="AB472" s="79">
        <f>tbl_Data_old[[#This Row],[2031 ]]*IFERROR(AVERAGEIFS('Participation Adjustment'!$C:$C,'Participation Adjustment'!$A:$A,$H472,'Participation Adjustment'!$B:$B,$I472),1)</f>
        <v>0</v>
      </c>
      <c r="AC472" s="79">
        <f>tbl_Data_old[[#This Row],[2032 ]]*IFERROR(AVERAGEIFS('Participation Adjustment'!$C:$C,'Participation Adjustment'!$A:$A,$H472,'Participation Adjustment'!$B:$B,$I472),1)</f>
        <v>0</v>
      </c>
      <c r="AD472" s="79">
        <f>tbl_Data_old[[#This Row],[2033 ]]*IFERROR(AVERAGEIFS('Participation Adjustment'!$C:$C,'Participation Adjustment'!$A:$A,$H472,'Participation Adjustment'!$B:$B,$I472),1)</f>
        <v>0</v>
      </c>
      <c r="AE472" s="79">
        <f>tbl_Data_old[[#This Row],[2034 ]]*IFERROR(AVERAGEIFS('Participation Adjustment'!$C:$C,'Participation Adjustment'!$A:$A,$H472,'Participation Adjustment'!$B:$B,$I472),1)</f>
        <v>0</v>
      </c>
      <c r="AF472" s="77" t="str">
        <f t="shared" si="187"/>
        <v>NonResidential</v>
      </c>
      <c r="AG472" s="77" t="str">
        <f>tbl_Data[[#This Row],[All_Meas_Name_Append]]</f>
        <v>High Efficiency PTAC</v>
      </c>
      <c r="AH472" s="77">
        <f>AVERAGEIFS('3. Incentive Adjustment'!G:G,'3. Incentive Adjustment'!A:A,tbl_Data[[#This Row],[Trimmed Sector]],'3. Incentive Adjustment'!B:B,tbl_Data[[#This Row],[Trimmed Measure Name]])</f>
        <v>1.1757614296438725</v>
      </c>
      <c r="AI472" s="77">
        <f>$AH472*tbl_Data[[#This Row],[2025 ]]</f>
        <v>0</v>
      </c>
      <c r="AJ472" s="77">
        <f>$AH472*tbl_Data[[#This Row],[2026 ]]</f>
        <v>0</v>
      </c>
      <c r="AK472" s="77">
        <f>$AH472*tbl_Data[[#This Row],[2027 ]]</f>
        <v>0</v>
      </c>
      <c r="AL472" s="77">
        <f>$AH472*tbl_Data[[#This Row],[2028 ]]</f>
        <v>0</v>
      </c>
      <c r="AM472" s="77">
        <f>$AH472*tbl_Data[[#This Row],[2029 ]]</f>
        <v>0</v>
      </c>
      <c r="AN472" s="77">
        <f>$AH472*tbl_Data[[#This Row],[2030 ]]</f>
        <v>0</v>
      </c>
      <c r="AO472" s="77">
        <f>$AH472*tbl_Data[[#This Row],[2031 ]]</f>
        <v>0</v>
      </c>
      <c r="AP472" s="77">
        <f>$AH472*tbl_Data[[#This Row],[2032 ]]</f>
        <v>0</v>
      </c>
      <c r="AQ472" s="77">
        <f>$AH472*tbl_Data[[#This Row],[2033 ]]</f>
        <v>0</v>
      </c>
      <c r="AR472" s="77">
        <f>$AH472*tbl_Data[[#This Row],[2034 ]]</f>
        <v>0</v>
      </c>
      <c r="AS472" s="77">
        <f>SUM(tbl_Data[[#This Row],[Adjusted 2025]:[Adjusted 2034]])</f>
        <v>0</v>
      </c>
      <c r="AT472" s="80">
        <f>AVERAGEIFS('3. Incentive Adjustment'!F:F,'3. Incentive Adjustment'!A:A,tbl_Data[[#This Row],[Trimmed Sector]],'3. Incentive Adjustment'!B:B,tbl_Data[[#This Row],[Trimmed Measure Name]])</f>
        <v>50</v>
      </c>
      <c r="AU472" s="80">
        <f>IFERROR(VLOOKUP(tbl_Data[[#This Row],[All_Meas_Name_Append]],'IRA Tax Credits'!$A$3:$D$46,4,0),0)</f>
        <v>0</v>
      </c>
      <c r="AV472" s="81">
        <f>tbl_Data[[#This Row],[Adj. per unit Incentive ($)]]/tbl_Data[[#This Row],[kWh Savings]]*tbl_Data[[#This Row],[Sum of Annuals]]</f>
        <v>0</v>
      </c>
      <c r="AW472" s="81">
        <f>IFERROR(VLOOKUP(tbl_Data[[#This Row],[Column1]],'1. Set Program Names'!$B$2:$D$15,3,0)*tbl_Data[[#This Row],[Sum of Annuals]],"")</f>
        <v>0</v>
      </c>
      <c r="AX472" s="81">
        <f>tbl_Data[[#This Row],[per unit IRA tax ($)]]/tbl_Data[[#This Row],[kWh Savings]]*tbl_Data[[#This Row],[Sum of Annuals]]</f>
        <v>0</v>
      </c>
      <c r="AY472" s="81">
        <f>tbl_Data[[#This Row],[Avoided Costs ($/unit)]]/tbl_Data[[#This Row],[kWh Savings]]*tbl_Data[[#This Row],[Sum of Annuals]]</f>
        <v>0</v>
      </c>
      <c r="AZ472" s="81">
        <f>tbl_Data[[#This Row],[Lost Revenue ($/unit)]]/tbl_Data[[#This Row],[kWh Savings]]*tbl_Data[[#This Row],[Sum of Annuals]]</f>
        <v>0</v>
      </c>
      <c r="BA472" s="81">
        <f>tbl_Data[[#This Row],[Incremental Cost ($/unit)]]/tbl_Data[[#This Row],[kWh Savings]]*tbl_Data[[#This Row],[Sum of Annuals]]</f>
        <v>0</v>
      </c>
      <c r="BB472" s="77">
        <f>ROUNDUP(tbl_Data[[#This Row],[Adjusted 2025]]/$L472,0)</f>
        <v>0</v>
      </c>
      <c r="BC472" s="77">
        <f>ROUNDUP(tbl_Data[[#This Row],[Adjusted 2026]]/$L472,0)</f>
        <v>0</v>
      </c>
      <c r="BD472" s="77">
        <f>ROUNDUP(tbl_Data[[#This Row],[Adjusted 2027]]/$L472,0)</f>
        <v>0</v>
      </c>
      <c r="BE472" s="77">
        <f>ROUNDUP(tbl_Data[[#This Row],[Adjusted 2028]]/$L472,0)</f>
        <v>0</v>
      </c>
      <c r="BF472" s="77">
        <f>ROUNDUP(tbl_Data[[#This Row],[Adjusted 2029]]/$L472,0)</f>
        <v>0</v>
      </c>
      <c r="BG472" s="77">
        <f>ROUNDUP(tbl_Data[[#This Row],[Adjusted 2030]]/$L472,0)</f>
        <v>0</v>
      </c>
      <c r="BH472" s="77">
        <f>ROUNDUP(tbl_Data[[#This Row],[Adjusted 2031]]/$L472,0)</f>
        <v>0</v>
      </c>
      <c r="BI472" s="77">
        <f>ROUNDUP(tbl_Data[[#This Row],[Adjusted 2032]]/$L472,0)</f>
        <v>0</v>
      </c>
      <c r="BJ472" s="77">
        <f>ROUNDUP(tbl_Data[[#This Row],[Adjusted 2033]]/$L472,0)</f>
        <v>0</v>
      </c>
      <c r="BK472" s="77">
        <f>ROUNDUP(tbl_Data[[#This Row],[Adjusted 2034]]/$L472,0)</f>
        <v>0</v>
      </c>
      <c r="BL472" s="80">
        <f t="shared" si="188"/>
        <v>0</v>
      </c>
      <c r="BM472" s="80">
        <f t="shared" si="189"/>
        <v>0</v>
      </c>
      <c r="BN472" s="80">
        <f t="shared" si="190"/>
        <v>0</v>
      </c>
      <c r="BO472" s="80">
        <f t="shared" si="191"/>
        <v>0</v>
      </c>
      <c r="BP472" s="80">
        <f t="shared" si="192"/>
        <v>0</v>
      </c>
      <c r="BQ472" s="80">
        <f t="shared" si="193"/>
        <v>0</v>
      </c>
      <c r="BR472" s="80">
        <f t="shared" si="194"/>
        <v>0</v>
      </c>
      <c r="BS472" s="80">
        <f t="shared" si="195"/>
        <v>0</v>
      </c>
      <c r="BT472" s="80">
        <f t="shared" si="196"/>
        <v>0</v>
      </c>
      <c r="BU472" s="80">
        <f t="shared" si="197"/>
        <v>0</v>
      </c>
      <c r="BV472" s="80">
        <f>IFERROR(VLOOKUP($H472,'1. Set Program Names'!$B$2:$D$15,3,0)*V472,"NA")</f>
        <v>0</v>
      </c>
      <c r="BW472" s="80">
        <f>IFERROR(VLOOKUP($H472,'1. Set Program Names'!$B$2:$D$15,3,0)*W472,"NA")</f>
        <v>0</v>
      </c>
      <c r="BX472" s="80">
        <f>IFERROR(VLOOKUP($H472,'1. Set Program Names'!$B$2:$D$15,3,0)*X472,"NA")</f>
        <v>0</v>
      </c>
      <c r="BY472" s="80">
        <f>IFERROR(VLOOKUP($H472,'1. Set Program Names'!$B$2:$D$15,3,0)*Y472,"NA")</f>
        <v>0</v>
      </c>
      <c r="BZ472" s="80">
        <f>IFERROR(VLOOKUP($H472,'1. Set Program Names'!$B$2:$D$15,3,0)*Z472,"NA")</f>
        <v>0</v>
      </c>
      <c r="CA472" s="80">
        <f>IFERROR(VLOOKUP($H472,'1. Set Program Names'!$B$2:$D$15,3,0)*AA472,"NA")</f>
        <v>0</v>
      </c>
      <c r="CB472" s="80">
        <f>IFERROR(VLOOKUP($H472,'1. Set Program Names'!$B$2:$D$15,3,0)*AB472,"NA")</f>
        <v>0</v>
      </c>
      <c r="CC472" s="80">
        <f>IFERROR(VLOOKUP($H472,'1. Set Program Names'!$B$2:$D$15,3,0)*AC472,"NA")</f>
        <v>0</v>
      </c>
      <c r="CD472" s="80">
        <f>IFERROR(VLOOKUP($H472,'1. Set Program Names'!$B$2:$D$15,3,0)*AD472,"NA")</f>
        <v>0</v>
      </c>
      <c r="CE472" s="80">
        <f>IFERROR(VLOOKUP($H472,'1. Set Program Names'!$B$2:$D$15,3,0)*AE472,"NA")</f>
        <v>0</v>
      </c>
    </row>
    <row r="473" spans="1:83" x14ac:dyDescent="0.25">
      <c r="A473" s="79" t="s">
        <v>116</v>
      </c>
      <c r="B473" s="79" t="s">
        <v>88</v>
      </c>
      <c r="C473" s="79" t="s">
        <v>122</v>
      </c>
      <c r="D473" s="79" t="s">
        <v>90</v>
      </c>
      <c r="E473" s="79" t="s">
        <v>91</v>
      </c>
      <c r="F473" s="79" t="s">
        <v>90</v>
      </c>
      <c r="G473" s="79" t="s">
        <v>92</v>
      </c>
      <c r="H473" s="79" t="s">
        <v>18</v>
      </c>
      <c r="I473" s="79" t="s">
        <v>149</v>
      </c>
      <c r="J473" s="79" t="s">
        <v>129</v>
      </c>
      <c r="K473" s="79" t="s">
        <v>98</v>
      </c>
      <c r="L473" s="79">
        <v>540.79749999999899</v>
      </c>
      <c r="M473" s="79">
        <v>0.159555976068885</v>
      </c>
      <c r="N473" s="79">
        <v>1.50169234953632E-2</v>
      </c>
      <c r="O473" s="79">
        <v>128.99999999999901</v>
      </c>
      <c r="P473" s="79">
        <v>23.4690947103329</v>
      </c>
      <c r="Q473" s="79">
        <v>17.115265365930298</v>
      </c>
      <c r="R473" s="79">
        <v>204.24936172330499</v>
      </c>
      <c r="S473" s="79">
        <v>375.21044649582399</v>
      </c>
      <c r="T473" s="79">
        <v>8</v>
      </c>
      <c r="U473" s="79">
        <v>1</v>
      </c>
      <c r="V473" s="79">
        <f>tbl_Data_old[[#This Row],[2025 ]]*IFERROR(AVERAGEIFS('Participation Adjustment'!$C:$C,'Participation Adjustment'!$A:$A,$H473,'Participation Adjustment'!$B:$B,$I473),1)</f>
        <v>1.564141550161952</v>
      </c>
      <c r="W473" s="79">
        <f>tbl_Data_old[[#This Row],[2026 ]]*IFERROR(AVERAGEIFS('Participation Adjustment'!$C:$C,'Participation Adjustment'!$A:$A,$H473,'Participation Adjustment'!$B:$B,$I473),1)</f>
        <v>1.7242185293992103</v>
      </c>
      <c r="X473" s="79">
        <f>tbl_Data_old[[#This Row],[2027 ]]*IFERROR(AVERAGEIFS('Participation Adjustment'!$C:$C,'Participation Adjustment'!$A:$A,$H473,'Participation Adjustment'!$B:$B,$I473),1)</f>
        <v>1.8594562511347321</v>
      </c>
      <c r="Y473" s="79">
        <f>tbl_Data_old[[#This Row],[2028 ]]*IFERROR(AVERAGEIFS('Participation Adjustment'!$C:$C,'Participation Adjustment'!$A:$A,$H473,'Participation Adjustment'!$B:$B,$I473),1)</f>
        <v>1.9795630163375759</v>
      </c>
      <c r="Z473" s="79">
        <f>tbl_Data_old[[#This Row],[2029 ]]*IFERROR(AVERAGEIFS('Participation Adjustment'!$C:$C,'Participation Adjustment'!$A:$A,$H473,'Participation Adjustment'!$B:$B,$I473),1)</f>
        <v>2.0837403072998799</v>
      </c>
      <c r="AA473" s="79">
        <f>tbl_Data_old[[#This Row],[2030 ]]*IFERROR(AVERAGEIFS('Participation Adjustment'!$C:$C,'Participation Adjustment'!$A:$A,$H473,'Participation Adjustment'!$B:$B,$I473),1)</f>
        <v>2.172115843032</v>
      </c>
      <c r="AB473" s="79">
        <f>tbl_Data_old[[#This Row],[2031 ]]*IFERROR(AVERAGEIFS('Participation Adjustment'!$C:$C,'Participation Adjustment'!$A:$A,$H473,'Participation Adjustment'!$B:$B,$I473),1)</f>
        <v>2.2462065812174199</v>
      </c>
      <c r="AC473" s="79">
        <f>tbl_Data_old[[#This Row],[2032 ]]*IFERROR(AVERAGEIFS('Participation Adjustment'!$C:$C,'Participation Adjustment'!$A:$A,$H473,'Participation Adjustment'!$B:$B,$I473),1)</f>
        <v>2.3123504551285201</v>
      </c>
      <c r="AD473" s="79">
        <f>tbl_Data_old[[#This Row],[2033 ]]*IFERROR(AVERAGEIFS('Participation Adjustment'!$C:$C,'Participation Adjustment'!$A:$A,$H473,'Participation Adjustment'!$B:$B,$I473),1)</f>
        <v>2.3739532966826999</v>
      </c>
      <c r="AE473" s="79">
        <f>tbl_Data_old[[#This Row],[2034 ]]*IFERROR(AVERAGEIFS('Participation Adjustment'!$C:$C,'Participation Adjustment'!$A:$A,$H473,'Participation Adjustment'!$B:$B,$I473),1)</f>
        <v>2.4279624972924201</v>
      </c>
      <c r="AF473" s="77" t="str">
        <f t="shared" si="187"/>
        <v>NonResidential</v>
      </c>
      <c r="AG473" s="77" t="str">
        <f>tbl_Data[[#This Row],[All_Meas_Name_Append]]</f>
        <v>High Efficiency PTHP</v>
      </c>
      <c r="AH473" s="77">
        <f>AVERAGEIFS('3. Incentive Adjustment'!G:G,'3. Incentive Adjustment'!A:A,tbl_Data[[#This Row],[Trimmed Sector]],'3. Incentive Adjustment'!B:B,tbl_Data[[#This Row],[Trimmed Measure Name]])</f>
        <v>1.138194101705527</v>
      </c>
      <c r="AI473" s="77">
        <f>$AH473*tbl_Data[[#This Row],[2025 ]]</f>
        <v>1.7802966866268735</v>
      </c>
      <c r="AJ473" s="77">
        <f>$AH473*tbl_Data[[#This Row],[2026 ]]</f>
        <v>1.9624953602135591</v>
      </c>
      <c r="AK473" s="77">
        <f>$AH473*tbl_Data[[#This Row],[2027 ]]</f>
        <v>2.1164221374210235</v>
      </c>
      <c r="AL473" s="77">
        <f>$AH473*tbl_Data[[#This Row],[2028 ]]</f>
        <v>2.2531269491498307</v>
      </c>
      <c r="AM473" s="77">
        <f>$AH473*tbl_Data[[#This Row],[2029 ]]</f>
        <v>2.3717009272547855</v>
      </c>
      <c r="AN473" s="77">
        <f>$AH473*tbl_Data[[#This Row],[2030 ]]</f>
        <v>2.472289440760151</v>
      </c>
      <c r="AO473" s="77">
        <f>$AH473*tbl_Data[[#This Row],[2031 ]]</f>
        <v>2.5566190819538042</v>
      </c>
      <c r="AP473" s="77">
        <f>$AH473*tbl_Data[[#This Row],[2032 ]]</f>
        <v>2.6319036491033727</v>
      </c>
      <c r="AQ473" s="77">
        <f>$AH473*tbl_Data[[#This Row],[2033 ]]</f>
        <v>2.7020196400086403</v>
      </c>
      <c r="AR473" s="77">
        <f>$AH473*tbl_Data[[#This Row],[2034 ]]</f>
        <v>2.7634925935804544</v>
      </c>
      <c r="AS473" s="77">
        <f>SUM(tbl_Data[[#This Row],[Adjusted 2025]:[Adjusted 2034]])</f>
        <v>23.610366466072495</v>
      </c>
      <c r="AT473" s="80">
        <f>AVERAGEIFS('3. Incentive Adjustment'!F:F,'3. Incentive Adjustment'!A:A,tbl_Data[[#This Row],[Trimmed Sector]],'3. Incentive Adjustment'!B:B,tbl_Data[[#This Row],[Trimmed Measure Name]])</f>
        <v>50</v>
      </c>
      <c r="AU473" s="80">
        <f>IFERROR(VLOOKUP(tbl_Data[[#This Row],[All_Meas_Name_Append]],'IRA Tax Credits'!$A$3:$D$46,4,0),0)</f>
        <v>0</v>
      </c>
      <c r="AV473" s="81">
        <f>tbl_Data[[#This Row],[Adj. per unit Incentive ($)]]/tbl_Data[[#This Row],[kWh Savings]]*tbl_Data[[#This Row],[Sum of Annuals]]</f>
        <v>2.1829211919500864</v>
      </c>
      <c r="AW473" s="81">
        <f>IFERROR(VLOOKUP(tbl_Data[[#This Row],[Column1]],'1. Set Program Names'!$B$2:$D$15,3,0)*tbl_Data[[#This Row],[Sum of Annuals]],"")</f>
        <v>0.74722550946277366</v>
      </c>
      <c r="AX473" s="81">
        <f>tbl_Data[[#This Row],[per unit IRA tax ($)]]/tbl_Data[[#This Row],[kWh Savings]]*tbl_Data[[#This Row],[Sum of Annuals]]</f>
        <v>0</v>
      </c>
      <c r="AY473" s="81">
        <f>tbl_Data[[#This Row],[Avoided Costs ($/unit)]]/tbl_Data[[#This Row],[kWh Savings]]*tbl_Data[[#This Row],[Sum of Annuals]]</f>
        <v>8.9172052029616253</v>
      </c>
      <c r="AZ473" s="81">
        <f>tbl_Data[[#This Row],[Lost Revenue ($/unit)]]/tbl_Data[[#This Row],[kWh Savings]]*tbl_Data[[#This Row],[Sum of Annuals]]</f>
        <v>16.381096701935764</v>
      </c>
      <c r="BA473" s="81">
        <f>tbl_Data[[#This Row],[Incremental Cost ($/unit)]]/tbl_Data[[#This Row],[kWh Savings]]*tbl_Data[[#This Row],[Sum of Annuals]]</f>
        <v>5.6319366752311799</v>
      </c>
      <c r="BB473" s="77">
        <f>ROUNDUP(tbl_Data[[#This Row],[Adjusted 2025]]/$L473,0)</f>
        <v>1</v>
      </c>
      <c r="BC473" s="77">
        <f>ROUNDUP(tbl_Data[[#This Row],[Adjusted 2026]]/$L473,0)</f>
        <v>1</v>
      </c>
      <c r="BD473" s="77">
        <f>ROUNDUP(tbl_Data[[#This Row],[Adjusted 2027]]/$L473,0)</f>
        <v>1</v>
      </c>
      <c r="BE473" s="77">
        <f>ROUNDUP(tbl_Data[[#This Row],[Adjusted 2028]]/$L473,0)</f>
        <v>1</v>
      </c>
      <c r="BF473" s="77">
        <f>ROUNDUP(tbl_Data[[#This Row],[Adjusted 2029]]/$L473,0)</f>
        <v>1</v>
      </c>
      <c r="BG473" s="77">
        <f>ROUNDUP(tbl_Data[[#This Row],[Adjusted 2030]]/$L473,0)</f>
        <v>1</v>
      </c>
      <c r="BH473" s="77">
        <f>ROUNDUP(tbl_Data[[#This Row],[Adjusted 2031]]/$L473,0)</f>
        <v>1</v>
      </c>
      <c r="BI473" s="77">
        <f>ROUNDUP(tbl_Data[[#This Row],[Adjusted 2032]]/$L473,0)</f>
        <v>1</v>
      </c>
      <c r="BJ473" s="77">
        <f>ROUNDUP(tbl_Data[[#This Row],[Adjusted 2033]]/$L473,0)</f>
        <v>1</v>
      </c>
      <c r="BK473" s="77">
        <f>ROUNDUP(tbl_Data[[#This Row],[Adjusted 2034]]/$L473,0)</f>
        <v>1</v>
      </c>
      <c r="BL473" s="80">
        <f t="shared" si="188"/>
        <v>0.14461434734461187</v>
      </c>
      <c r="BM473" s="80">
        <f t="shared" si="189"/>
        <v>0.15941443233365662</v>
      </c>
      <c r="BN473" s="80">
        <f t="shared" si="190"/>
        <v>0.17191797772130377</v>
      </c>
      <c r="BO473" s="80">
        <f t="shared" si="191"/>
        <v>0.1830225746547996</v>
      </c>
      <c r="BP473" s="80">
        <f t="shared" si="192"/>
        <v>0.19265439534205353</v>
      </c>
      <c r="BQ473" s="80">
        <f t="shared" si="193"/>
        <v>0.20082524817810771</v>
      </c>
      <c r="BR473" s="80">
        <f t="shared" si="194"/>
        <v>0.20767538507643102</v>
      </c>
      <c r="BS473" s="80">
        <f t="shared" si="195"/>
        <v>0.21379078630434908</v>
      </c>
      <c r="BT473" s="80">
        <f t="shared" si="196"/>
        <v>0.21948634162350089</v>
      </c>
      <c r="BU473" s="80">
        <f t="shared" si="197"/>
        <v>0.22447981890563701</v>
      </c>
      <c r="BV473" s="80">
        <f>IFERROR(VLOOKUP($H473,'1. Set Program Names'!$B$2:$D$15,3,0)*V473,"NA")</f>
        <v>4.9502258610477107E-2</v>
      </c>
      <c r="BW473" s="80">
        <f>IFERROR(VLOOKUP($H473,'1. Set Program Names'!$B$2:$D$15,3,0)*W473,"NA")</f>
        <v>5.4568406250993566E-2</v>
      </c>
      <c r="BX473" s="80">
        <f>IFERROR(VLOOKUP($H473,'1. Set Program Names'!$B$2:$D$15,3,0)*X473,"NA")</f>
        <v>5.8848436197484269E-2</v>
      </c>
      <c r="BY473" s="80">
        <f>IFERROR(VLOOKUP($H473,'1. Set Program Names'!$B$2:$D$15,3,0)*Y473,"NA")</f>
        <v>6.2649598663453807E-2</v>
      </c>
      <c r="BZ473" s="80">
        <f>IFERROR(VLOOKUP($H473,'1. Set Program Names'!$B$2:$D$15,3,0)*Z473,"NA")</f>
        <v>6.5946622003841979E-2</v>
      </c>
      <c r="CA473" s="80">
        <f>IFERROR(VLOOKUP($H473,'1. Set Program Names'!$B$2:$D$15,3,0)*AA473,"NA")</f>
        <v>6.8743548294942614E-2</v>
      </c>
      <c r="CB473" s="80">
        <f>IFERROR(VLOOKUP($H473,'1. Set Program Names'!$B$2:$D$15,3,0)*AB473,"NA")</f>
        <v>7.1088386511097709E-2</v>
      </c>
      <c r="CC473" s="80">
        <f>IFERROR(VLOOKUP($H473,'1. Set Program Names'!$B$2:$D$15,3,0)*AC473,"NA")</f>
        <v>7.318172080779678E-2</v>
      </c>
      <c r="CD473" s="80">
        <f>IFERROR(VLOOKUP($H473,'1. Set Program Names'!$B$2:$D$15,3,0)*AD473,"NA")</f>
        <v>7.5131339621669166E-2</v>
      </c>
      <c r="CE473" s="80">
        <f>IFERROR(VLOOKUP($H473,'1. Set Program Names'!$B$2:$D$15,3,0)*AE473,"NA")</f>
        <v>7.6840633397319252E-2</v>
      </c>
    </row>
    <row r="474" spans="1:83" x14ac:dyDescent="0.25">
      <c r="A474" s="79" t="s">
        <v>116</v>
      </c>
      <c r="B474" s="79" t="s">
        <v>88</v>
      </c>
      <c r="C474" s="79" t="s">
        <v>122</v>
      </c>
      <c r="D474" s="79" t="s">
        <v>90</v>
      </c>
      <c r="E474" s="79" t="s">
        <v>91</v>
      </c>
      <c r="F474" s="79" t="s">
        <v>90</v>
      </c>
      <c r="G474" s="79" t="s">
        <v>92</v>
      </c>
      <c r="H474" s="79" t="s">
        <v>18</v>
      </c>
      <c r="I474" s="79" t="s">
        <v>157</v>
      </c>
      <c r="J474" s="79" t="s">
        <v>158</v>
      </c>
      <c r="K474" s="79" t="s">
        <v>159</v>
      </c>
      <c r="L474" s="79">
        <v>562.52000000000032</v>
      </c>
      <c r="M474" s="79">
        <v>0</v>
      </c>
      <c r="N474" s="79">
        <v>2.7796637938074218E-2</v>
      </c>
      <c r="O474" s="79">
        <v>169</v>
      </c>
      <c r="P474" s="79">
        <v>53.285725702774094</v>
      </c>
      <c r="Q474" s="79"/>
      <c r="R474" s="79">
        <v>275.37363005821356</v>
      </c>
      <c r="S474" s="79">
        <v>610.96426176974103</v>
      </c>
      <c r="T474" s="79">
        <v>15</v>
      </c>
      <c r="U474" s="79">
        <v>0.2</v>
      </c>
      <c r="V474" s="79">
        <f>tbl_Data_old[[#This Row],[2025 ]]*IFERROR(AVERAGEIFS('Participation Adjustment'!$C:$C,'Participation Adjustment'!$A:$A,$H474,'Participation Adjustment'!$B:$B,$I474),1)</f>
        <v>1.8874542475700952E-2</v>
      </c>
      <c r="W474" s="79">
        <f>tbl_Data_old[[#This Row],[2026 ]]*IFERROR(AVERAGEIFS('Participation Adjustment'!$C:$C,'Participation Adjustment'!$A:$A,$H474,'Participation Adjustment'!$B:$B,$I474),1)</f>
        <v>2.0558326982958699E-2</v>
      </c>
      <c r="X474" s="79">
        <f>tbl_Data_old[[#This Row],[2027 ]]*IFERROR(AVERAGEIFS('Participation Adjustment'!$C:$C,'Participation Adjustment'!$A:$A,$H474,'Participation Adjustment'!$B:$B,$I474),1)</f>
        <v>2.1887962174932503E-2</v>
      </c>
      <c r="Y474" s="79">
        <f>tbl_Data_old[[#This Row],[2028 ]]*IFERROR(AVERAGEIFS('Participation Adjustment'!$C:$C,'Participation Adjustment'!$A:$A,$H474,'Participation Adjustment'!$B:$B,$I474),1)</f>
        <v>2.300130768262855E-2</v>
      </c>
      <c r="Z474" s="79">
        <f>tbl_Data_old[[#This Row],[2029 ]]*IFERROR(AVERAGEIFS('Participation Adjustment'!$C:$C,'Participation Adjustment'!$A:$A,$H474,'Participation Adjustment'!$B:$B,$I474),1)</f>
        <v>2.3903375032142401E-2</v>
      </c>
      <c r="AA474" s="79">
        <f>tbl_Data_old[[#This Row],[2030 ]]*IFERROR(AVERAGEIFS('Participation Adjustment'!$C:$C,'Participation Adjustment'!$A:$A,$H474,'Participation Adjustment'!$B:$B,$I474),1)</f>
        <v>2.4596439747457198E-2</v>
      </c>
      <c r="AB474" s="79">
        <f>tbl_Data_old[[#This Row],[2031 ]]*IFERROR(AVERAGEIFS('Participation Adjustment'!$C:$C,'Participation Adjustment'!$A:$A,$H474,'Participation Adjustment'!$B:$B,$I474),1)</f>
        <v>2.5111842727547698E-2</v>
      </c>
      <c r="AC474" s="79">
        <f>tbl_Data_old[[#This Row],[2032 ]]*IFERROR(AVERAGEIFS('Participation Adjustment'!$C:$C,'Participation Adjustment'!$A:$A,$H474,'Participation Adjustment'!$B:$B,$I474),1)</f>
        <v>2.5524701204000147E-2</v>
      </c>
      <c r="AD474" s="79">
        <f>tbl_Data_old[[#This Row],[2033 ]]*IFERROR(AVERAGEIFS('Participation Adjustment'!$C:$C,'Participation Adjustment'!$A:$A,$H474,'Participation Adjustment'!$B:$B,$I474),1)</f>
        <v>2.5866969025925751E-2</v>
      </c>
      <c r="AE474" s="79">
        <f>tbl_Data_old[[#This Row],[2034 ]]*IFERROR(AVERAGEIFS('Participation Adjustment'!$C:$C,'Participation Adjustment'!$A:$A,$H474,'Participation Adjustment'!$B:$B,$I474),1)</f>
        <v>2.6117317490359698E-2</v>
      </c>
      <c r="AF474" s="77" t="str">
        <f t="shared" si="187"/>
        <v>NonResidential</v>
      </c>
      <c r="AG474" s="77" t="str">
        <f>tbl_Data[[#This Row],[All_Meas_Name_Append]]</f>
        <v>LED Exterior Wall Packs</v>
      </c>
      <c r="AH474" s="77">
        <f>AVERAGEIFS('3. Incentive Adjustment'!G:G,'3. Incentive Adjustment'!A:A,tbl_Data[[#This Row],[Trimmed Sector]],'3. Incentive Adjustment'!B:B,tbl_Data[[#This Row],[Trimmed Measure Name]])</f>
        <v>0.80637708305213962</v>
      </c>
      <c r="AI474" s="77">
        <f>$AH474*tbl_Data[[#This Row],[2025 ]]</f>
        <v>1.5219998505499443E-2</v>
      </c>
      <c r="AJ474" s="77">
        <f>$AH474*tbl_Data[[#This Row],[2026 ]]</f>
        <v>1.6577763744950329E-2</v>
      </c>
      <c r="AK474" s="77">
        <f>$AH474*tbl_Data[[#This Row],[2027 ]]</f>
        <v>1.7649951092577637E-2</v>
      </c>
      <c r="AL474" s="77">
        <f>$AH474*tbl_Data[[#This Row],[2028 ]]</f>
        <v>1.854772739550278E-2</v>
      </c>
      <c r="AM474" s="77">
        <f>$AH474*tbl_Data[[#This Row],[2029 ]]</f>
        <v>1.9275133833520332E-2</v>
      </c>
      <c r="AN474" s="77">
        <f>$AH474*tbl_Data[[#This Row],[2030 ]]</f>
        <v>1.9834005337022242E-2</v>
      </c>
      <c r="AO474" s="77">
        <f>$AH474*tbl_Data[[#This Row],[2031 ]]</f>
        <v>2.0249614488704E-2</v>
      </c>
      <c r="AP474" s="77">
        <f>$AH474*tbl_Data[[#This Row],[2032 ]]</f>
        <v>2.0582534102659075E-2</v>
      </c>
      <c r="AQ474" s="77">
        <f>$AH474*tbl_Data[[#This Row],[2033 ]]</f>
        <v>2.0858531030526054E-2</v>
      </c>
      <c r="AR474" s="77">
        <f>$AH474*tbl_Data[[#This Row],[2034 ]]</f>
        <v>2.1060406295022881E-2</v>
      </c>
      <c r="AS474" s="77">
        <f>SUM(tbl_Data[[#This Row],[Adjusted 2025]:[Adjusted 2034]])</f>
        <v>0.18985566582598473</v>
      </c>
      <c r="AT474" s="80">
        <f>AVERAGEIFS('3. Incentive Adjustment'!F:F,'3. Incentive Adjustment'!A:A,tbl_Data[[#This Row],[Trimmed Sector]],'3. Incentive Adjustment'!B:B,tbl_Data[[#This Row],[Trimmed Measure Name]])</f>
        <v>8.6864493556481861</v>
      </c>
      <c r="AU474" s="80">
        <f>IFERROR(VLOOKUP(tbl_Data[[#This Row],[All_Meas_Name_Append]],'IRA Tax Credits'!$A$3:$D$46,4,0),0)</f>
        <v>0</v>
      </c>
      <c r="AV474" s="81">
        <f>tbl_Data[[#This Row],[Adj. per unit Incentive ($)]]/tbl_Data[[#This Row],[kWh Savings]]*tbl_Data[[#This Row],[Sum of Annuals]]</f>
        <v>2.9317564283586031E-3</v>
      </c>
      <c r="AW474" s="81">
        <f>IFERROR(VLOOKUP(tbl_Data[[#This Row],[Column1]],'1. Set Program Names'!$B$2:$D$15,3,0)*tbl_Data[[#This Row],[Sum of Annuals]],"")</f>
        <v>6.0085893552339386E-3</v>
      </c>
      <c r="AX474" s="81">
        <f>tbl_Data[[#This Row],[per unit IRA tax ($)]]/tbl_Data[[#This Row],[kWh Savings]]*tbl_Data[[#This Row],[Sum of Annuals]]</f>
        <v>0</v>
      </c>
      <c r="AY474" s="81">
        <f>tbl_Data[[#This Row],[Avoided Costs ($/unit)]]/tbl_Data[[#This Row],[kWh Savings]]*tbl_Data[[#This Row],[Sum of Annuals]]</f>
        <v>9.2941129000960868E-2</v>
      </c>
      <c r="AZ474" s="81">
        <f>tbl_Data[[#This Row],[Lost Revenue ($/unit)]]/tbl_Data[[#This Row],[kWh Savings]]*tbl_Data[[#This Row],[Sum of Annuals]]</f>
        <v>0.20620604905456758</v>
      </c>
      <c r="BA474" s="81">
        <f>tbl_Data[[#This Row],[Incremental Cost ($/unit)]]/tbl_Data[[#This Row],[kWh Savings]]*tbl_Data[[#This Row],[Sum of Annuals]]</f>
        <v>5.7039051988536232E-2</v>
      </c>
      <c r="BB474" s="77">
        <f>ROUNDUP(tbl_Data[[#This Row],[Adjusted 2025]]/$L474,0)</f>
        <v>1</v>
      </c>
      <c r="BC474" s="77">
        <f>ROUNDUP(tbl_Data[[#This Row],[Adjusted 2026]]/$L474,0)</f>
        <v>1</v>
      </c>
      <c r="BD474" s="77">
        <f>ROUNDUP(tbl_Data[[#This Row],[Adjusted 2027]]/$L474,0)</f>
        <v>1</v>
      </c>
      <c r="BE474" s="77">
        <f>ROUNDUP(tbl_Data[[#This Row],[Adjusted 2028]]/$L474,0)</f>
        <v>1</v>
      </c>
      <c r="BF474" s="77">
        <f>ROUNDUP(tbl_Data[[#This Row],[Adjusted 2029]]/$L474,0)</f>
        <v>1</v>
      </c>
      <c r="BG474" s="77">
        <f>ROUNDUP(tbl_Data[[#This Row],[Adjusted 2030]]/$L474,0)</f>
        <v>1</v>
      </c>
      <c r="BH474" s="77">
        <f>ROUNDUP(tbl_Data[[#This Row],[Adjusted 2031]]/$L474,0)</f>
        <v>1</v>
      </c>
      <c r="BI474" s="77">
        <f>ROUNDUP(tbl_Data[[#This Row],[Adjusted 2032]]/$L474,0)</f>
        <v>1</v>
      </c>
      <c r="BJ474" s="77">
        <f>ROUNDUP(tbl_Data[[#This Row],[Adjusted 2033]]/$L474,0)</f>
        <v>1</v>
      </c>
      <c r="BK474" s="77">
        <f>ROUNDUP(tbl_Data[[#This Row],[Adjusted 2034]]/$L474,0)</f>
        <v>1</v>
      </c>
      <c r="BL474" s="80">
        <f t="shared" si="188"/>
        <v>2.9146120551483813E-4</v>
      </c>
      <c r="BM474" s="80">
        <f t="shared" si="189"/>
        <v>3.174622523187197E-4</v>
      </c>
      <c r="BN474" s="80">
        <f t="shared" si="190"/>
        <v>3.3799451562770068E-4</v>
      </c>
      <c r="BO474" s="80">
        <f t="shared" si="191"/>
        <v>3.5518682766627732E-4</v>
      </c>
      <c r="BP474" s="80">
        <f t="shared" si="192"/>
        <v>3.6911657655864713E-4</v>
      </c>
      <c r="BQ474" s="80">
        <f t="shared" si="193"/>
        <v>3.7981890100892212E-4</v>
      </c>
      <c r="BR474" s="80">
        <f t="shared" si="194"/>
        <v>3.8777776804352761E-4</v>
      </c>
      <c r="BS474" s="80">
        <f t="shared" si="195"/>
        <v>3.9415314002453147E-4</v>
      </c>
      <c r="BT474" s="80">
        <f t="shared" si="196"/>
        <v>3.994384491712725E-4</v>
      </c>
      <c r="BU474" s="80">
        <f t="shared" si="197"/>
        <v>4.0330433706427146E-4</v>
      </c>
      <c r="BV474" s="80">
        <f>IFERROR(VLOOKUP($H474,'1. Set Program Names'!$B$2:$D$15,3,0)*V474,"NA")</f>
        <v>5.9734522280917735E-4</v>
      </c>
      <c r="BW474" s="80">
        <f>IFERROR(VLOOKUP($H474,'1. Set Program Names'!$B$2:$D$15,3,0)*W474,"NA")</f>
        <v>6.506339651956689E-4</v>
      </c>
      <c r="BX474" s="80">
        <f>IFERROR(VLOOKUP($H474,'1. Set Program Names'!$B$2:$D$15,3,0)*X474,"NA")</f>
        <v>6.9271452058009919E-4</v>
      </c>
      <c r="BY474" s="80">
        <f>IFERROR(VLOOKUP($H474,'1. Set Program Names'!$B$2:$D$15,3,0)*Y474,"NA")</f>
        <v>7.2794989760788557E-4</v>
      </c>
      <c r="BZ474" s="80">
        <f>IFERROR(VLOOKUP($H474,'1. Set Program Names'!$B$2:$D$15,3,0)*Z474,"NA")</f>
        <v>7.5649870203999003E-4</v>
      </c>
      <c r="CA474" s="80">
        <f>IFERROR(VLOOKUP($H474,'1. Set Program Names'!$B$2:$D$15,3,0)*AA474,"NA")</f>
        <v>7.7843295010581088E-4</v>
      </c>
      <c r="CB474" s="80">
        <f>IFERROR(VLOOKUP($H474,'1. Set Program Names'!$B$2:$D$15,3,0)*AB474,"NA")</f>
        <v>7.9474452472411106E-4</v>
      </c>
      <c r="CC474" s="80">
        <f>IFERROR(VLOOKUP($H474,'1. Set Program Names'!$B$2:$D$15,3,0)*AC474,"NA")</f>
        <v>8.078107507755581E-4</v>
      </c>
      <c r="CD474" s="80">
        <f>IFERROR(VLOOKUP($H474,'1. Set Program Names'!$B$2:$D$15,3,0)*AD474,"NA")</f>
        <v>8.1864290994507292E-4</v>
      </c>
      <c r="CE474" s="80">
        <f>IFERROR(VLOOKUP($H474,'1. Set Program Names'!$B$2:$D$15,3,0)*AE474,"NA")</f>
        <v>8.2656598725726501E-4</v>
      </c>
    </row>
    <row r="475" spans="1:83" x14ac:dyDescent="0.25">
      <c r="A475" s="79" t="s">
        <v>116</v>
      </c>
      <c r="B475" s="79" t="s">
        <v>88</v>
      </c>
      <c r="C475" s="79" t="s">
        <v>122</v>
      </c>
      <c r="D475" s="79" t="s">
        <v>90</v>
      </c>
      <c r="E475" s="79" t="s">
        <v>91</v>
      </c>
      <c r="F475" s="79" t="s">
        <v>90</v>
      </c>
      <c r="G475" s="79" t="s">
        <v>92</v>
      </c>
      <c r="H475" s="79" t="s">
        <v>18</v>
      </c>
      <c r="I475" s="79" t="s">
        <v>160</v>
      </c>
      <c r="J475" s="79" t="s">
        <v>161</v>
      </c>
      <c r="K475" s="79" t="s">
        <v>159</v>
      </c>
      <c r="L475" s="79">
        <v>1059.6621428571407</v>
      </c>
      <c r="M475" s="79">
        <v>0.13879011985330975</v>
      </c>
      <c r="N475" s="79">
        <v>0.14661252282673942</v>
      </c>
      <c r="O475" s="79">
        <v>179</v>
      </c>
      <c r="P475" s="79">
        <v>5.0437849584490522</v>
      </c>
      <c r="Q475" s="79"/>
      <c r="R475" s="79">
        <v>417.01467834907817</v>
      </c>
      <c r="S475" s="79">
        <v>1150.9203207638036</v>
      </c>
      <c r="T475" s="79">
        <v>15</v>
      </c>
      <c r="U475" s="79">
        <v>0.2</v>
      </c>
      <c r="V475" s="79">
        <f>tbl_Data_old[[#This Row],[2025 ]]*IFERROR(AVERAGEIFS('Participation Adjustment'!$C:$C,'Participation Adjustment'!$A:$A,$H475,'Participation Adjustment'!$B:$B,$I475),1)</f>
        <v>4.5541051187358903</v>
      </c>
      <c r="W475" s="79">
        <f>tbl_Data_old[[#This Row],[2026 ]]*IFERROR(AVERAGEIFS('Participation Adjustment'!$C:$C,'Participation Adjustment'!$A:$A,$H475,'Participation Adjustment'!$B:$B,$I475),1)</f>
        <v>4.9569314679925602</v>
      </c>
      <c r="X475" s="79">
        <f>tbl_Data_old[[#This Row],[2027 ]]*IFERROR(AVERAGEIFS('Participation Adjustment'!$C:$C,'Participation Adjustment'!$A:$A,$H475,'Participation Adjustment'!$B:$B,$I475),1)</f>
        <v>5.2765427345175802</v>
      </c>
      <c r="Y475" s="79">
        <f>tbl_Data_old[[#This Row],[2028 ]]*IFERROR(AVERAGEIFS('Participation Adjustment'!$C:$C,'Participation Adjustment'!$A:$A,$H475,'Participation Adjustment'!$B:$B,$I475),1)</f>
        <v>5.5443253237482102</v>
      </c>
      <c r="Z475" s="79">
        <f>tbl_Data_old[[#This Row],[2029 ]]*IFERROR(AVERAGEIFS('Participation Adjustment'!$C:$C,'Participation Adjustment'!$A:$A,$H475,'Participation Adjustment'!$B:$B,$I475),1)</f>
        <v>5.7605186596134299</v>
      </c>
      <c r="AA475" s="79">
        <f>tbl_Data_old[[#This Row],[2030 ]]*IFERROR(AVERAGEIFS('Participation Adjustment'!$C:$C,'Participation Adjustment'!$A:$A,$H475,'Participation Adjustment'!$B:$B,$I475),1)</f>
        <v>5.9267096706594202</v>
      </c>
      <c r="AB475" s="79">
        <f>tbl_Data_old[[#This Row],[2031 ]]*IFERROR(AVERAGEIFS('Participation Adjustment'!$C:$C,'Participation Adjustment'!$A:$A,$H475,'Participation Adjustment'!$B:$B,$I475),1)</f>
        <v>6.0494314729715706</v>
      </c>
      <c r="AC475" s="79">
        <f>tbl_Data_old[[#This Row],[2032 ]]*IFERROR(AVERAGEIFS('Participation Adjustment'!$C:$C,'Participation Adjustment'!$A:$A,$H475,'Participation Adjustment'!$B:$B,$I475),1)</f>
        <v>6.1470053592755498</v>
      </c>
      <c r="AD475" s="79">
        <f>tbl_Data_old[[#This Row],[2033 ]]*IFERROR(AVERAGEIFS('Participation Adjustment'!$C:$C,'Participation Adjustment'!$A:$A,$H475,'Participation Adjustment'!$B:$B,$I475),1)</f>
        <v>6.2284843853542</v>
      </c>
      <c r="AE475" s="79">
        <f>tbl_Data_old[[#This Row],[2034 ]]*IFERROR(AVERAGEIFS('Participation Adjustment'!$C:$C,'Participation Adjustment'!$A:$A,$H475,'Participation Adjustment'!$B:$B,$I475),1)</f>
        <v>6.2873395295579604</v>
      </c>
      <c r="AF475" s="77" t="str">
        <f t="shared" si="187"/>
        <v>NonResidential</v>
      </c>
      <c r="AG475" s="77" t="str">
        <f>tbl_Data[[#This Row],[All_Meas_Name_Append]]</f>
        <v>LED High Bay_HID Baseline</v>
      </c>
      <c r="AH475" s="77">
        <f>AVERAGEIFS('3. Incentive Adjustment'!G:G,'3. Incentive Adjustment'!A:A,tbl_Data[[#This Row],[Trimmed Sector]],'3. Incentive Adjustment'!B:B,tbl_Data[[#This Row],[Trimmed Measure Name]])</f>
        <v>1.0603846876879557</v>
      </c>
      <c r="AI475" s="77">
        <f>$AH475*tbl_Data[[#This Row],[2025 ]]</f>
        <v>4.8291033340288774</v>
      </c>
      <c r="AJ475" s="77">
        <f>$AH475*tbl_Data[[#This Row],[2026 ]]</f>
        <v>5.2562542265778909</v>
      </c>
      <c r="AK475" s="77">
        <f>$AH475*tbl_Data[[#This Row],[2027 ]]</f>
        <v>5.5951651196135757</v>
      </c>
      <c r="AL475" s="77">
        <f>$AH475*tbl_Data[[#This Row],[2028 ]]</f>
        <v>5.8791176768631699</v>
      </c>
      <c r="AM475" s="77">
        <f>$AH475*tbl_Data[[#This Row],[2029 ]]</f>
        <v>6.1083657797948279</v>
      </c>
      <c r="AN475" s="77">
        <f>$AH475*tbl_Data[[#This Row],[2030 ]]</f>
        <v>6.2845921831393756</v>
      </c>
      <c r="AO475" s="77">
        <f>$AH475*tbl_Data[[#This Row],[2031 ]]</f>
        <v>6.4147245031566484</v>
      </c>
      <c r="AP475" s="77">
        <f>$AH475*tbl_Data[[#This Row],[2032 ]]</f>
        <v>6.5181903581115934</v>
      </c>
      <c r="AQ475" s="77">
        <f>$AH475*tbl_Data[[#This Row],[2033 ]]</f>
        <v>6.6045894697331224</v>
      </c>
      <c r="AR475" s="77">
        <f>$AH475*tbl_Data[[#This Row],[2034 ]]</f>
        <v>6.6669985634384563</v>
      </c>
      <c r="AS475" s="77">
        <f>SUM(tbl_Data[[#This Row],[Adjusted 2025]:[Adjusted 2034]])</f>
        <v>60.157101214457533</v>
      </c>
      <c r="AT475" s="80">
        <f>AVERAGEIFS('3. Incentive Adjustment'!F:F,'3. Incentive Adjustment'!A:A,tbl_Data[[#This Row],[Trimmed Sector]],'3. Incentive Adjustment'!B:B,tbl_Data[[#This Row],[Trimmed Measure Name]])</f>
        <v>28.590998621954778</v>
      </c>
      <c r="AU475" s="80">
        <f>IFERROR(VLOOKUP(tbl_Data[[#This Row],[All_Meas_Name_Append]],'IRA Tax Credits'!$A$3:$D$46,4,0),0)</f>
        <v>0</v>
      </c>
      <c r="AV475" s="81">
        <f>tbl_Data[[#This Row],[Adj. per unit Incentive ($)]]/tbl_Data[[#This Row],[kWh Savings]]*tbl_Data[[#This Row],[Sum of Annuals]]</f>
        <v>1.6231131870823343</v>
      </c>
      <c r="AW475" s="81">
        <f>IFERROR(VLOOKUP(tbl_Data[[#This Row],[Column1]],'1. Set Program Names'!$B$2:$D$15,3,0)*tbl_Data[[#This Row],[Sum of Annuals]],"")</f>
        <v>1.9038637399961587</v>
      </c>
      <c r="AX475" s="81">
        <f>tbl_Data[[#This Row],[per unit IRA tax ($)]]/tbl_Data[[#This Row],[kWh Savings]]*tbl_Data[[#This Row],[Sum of Annuals]]</f>
        <v>0</v>
      </c>
      <c r="AY475" s="81">
        <f>tbl_Data[[#This Row],[Avoided Costs ($/unit)]]/tbl_Data[[#This Row],[kWh Savings]]*tbl_Data[[#This Row],[Sum of Annuals]]</f>
        <v>23.673955309680242</v>
      </c>
      <c r="AZ475" s="81">
        <f>tbl_Data[[#This Row],[Lost Revenue ($/unit)]]/tbl_Data[[#This Row],[kWh Savings]]*tbl_Data[[#This Row],[Sum of Annuals]]</f>
        <v>65.337834981331568</v>
      </c>
      <c r="BA475" s="81">
        <f>tbl_Data[[#This Row],[Incremental Cost ($/unit)]]/tbl_Data[[#This Row],[kWh Savings]]*tbl_Data[[#This Row],[Sum of Annuals]]</f>
        <v>10.161843744227836</v>
      </c>
      <c r="BB475" s="77">
        <f>ROUNDUP(tbl_Data[[#This Row],[Adjusted 2025]]/$L475,0)</f>
        <v>1</v>
      </c>
      <c r="BC475" s="77">
        <f>ROUNDUP(tbl_Data[[#This Row],[Adjusted 2026]]/$L475,0)</f>
        <v>1</v>
      </c>
      <c r="BD475" s="77">
        <f>ROUNDUP(tbl_Data[[#This Row],[Adjusted 2027]]/$L475,0)</f>
        <v>1</v>
      </c>
      <c r="BE475" s="77">
        <f>ROUNDUP(tbl_Data[[#This Row],[Adjusted 2028]]/$L475,0)</f>
        <v>1</v>
      </c>
      <c r="BF475" s="77">
        <f>ROUNDUP(tbl_Data[[#This Row],[Adjusted 2029]]/$L475,0)</f>
        <v>1</v>
      </c>
      <c r="BG475" s="77">
        <f>ROUNDUP(tbl_Data[[#This Row],[Adjusted 2030]]/$L475,0)</f>
        <v>1</v>
      </c>
      <c r="BH475" s="77">
        <f>ROUNDUP(tbl_Data[[#This Row],[Adjusted 2031]]/$L475,0)</f>
        <v>1</v>
      </c>
      <c r="BI475" s="77">
        <f>ROUNDUP(tbl_Data[[#This Row],[Adjusted 2032]]/$L475,0)</f>
        <v>1</v>
      </c>
      <c r="BJ475" s="77">
        <f>ROUNDUP(tbl_Data[[#This Row],[Adjusted 2033]]/$L475,0)</f>
        <v>1</v>
      </c>
      <c r="BK475" s="77">
        <f>ROUNDUP(tbl_Data[[#This Row],[Adjusted 2034]]/$L475,0)</f>
        <v>1</v>
      </c>
      <c r="BL475" s="80">
        <f t="shared" si="188"/>
        <v>0.12287540330821174</v>
      </c>
      <c r="BM475" s="80">
        <f t="shared" si="189"/>
        <v>0.13374415772594622</v>
      </c>
      <c r="BN475" s="80">
        <f t="shared" si="190"/>
        <v>0.14236766602278836</v>
      </c>
      <c r="BO475" s="80">
        <f t="shared" si="191"/>
        <v>0.1495927723373664</v>
      </c>
      <c r="BP475" s="80">
        <f t="shared" si="192"/>
        <v>0.15542593662417589</v>
      </c>
      <c r="BQ475" s="80">
        <f t="shared" si="193"/>
        <v>0.15990997618322408</v>
      </c>
      <c r="BR475" s="80">
        <f t="shared" si="194"/>
        <v>0.16322116258772273</v>
      </c>
      <c r="BS475" s="80">
        <f t="shared" si="195"/>
        <v>0.16585382703427357</v>
      </c>
      <c r="BT475" s="80">
        <f t="shared" si="196"/>
        <v>0.1680522321939141</v>
      </c>
      <c r="BU475" s="80">
        <f t="shared" si="197"/>
        <v>0.16964021696638845</v>
      </c>
      <c r="BV475" s="80">
        <f>IFERROR(VLOOKUP($H475,'1. Set Program Names'!$B$2:$D$15,3,0)*V475,"NA")</f>
        <v>0.14412921215705801</v>
      </c>
      <c r="BW475" s="80">
        <f>IFERROR(VLOOKUP($H475,'1. Set Program Names'!$B$2:$D$15,3,0)*W475,"NA")</f>
        <v>0.15687793947905351</v>
      </c>
      <c r="BX475" s="80">
        <f>IFERROR(VLOOKUP($H475,'1. Set Program Names'!$B$2:$D$15,3,0)*X475,"NA")</f>
        <v>0.16699305953881119</v>
      </c>
      <c r="BY475" s="80">
        <f>IFERROR(VLOOKUP($H475,'1. Set Program Names'!$B$2:$D$15,3,0)*Y475,"NA")</f>
        <v>0.17546789545254632</v>
      </c>
      <c r="BZ475" s="80">
        <f>IFERROR(VLOOKUP($H475,'1. Set Program Names'!$B$2:$D$15,3,0)*Z475,"NA")</f>
        <v>0.18231002455572992</v>
      </c>
      <c r="CA475" s="80">
        <f>IFERROR(VLOOKUP($H475,'1. Set Program Names'!$B$2:$D$15,3,0)*AA475,"NA")</f>
        <v>0.18756967027429258</v>
      </c>
      <c r="CB475" s="80">
        <f>IFERROR(VLOOKUP($H475,'1. Set Program Names'!$B$2:$D$15,3,0)*AB475,"NA")</f>
        <v>0.19145359394767811</v>
      </c>
      <c r="CC475" s="80">
        <f>IFERROR(VLOOKUP($H475,'1. Set Program Names'!$B$2:$D$15,3,0)*AC475,"NA")</f>
        <v>0.19454163144207798</v>
      </c>
      <c r="CD475" s="80">
        <f>IFERROR(VLOOKUP($H475,'1. Set Program Names'!$B$2:$D$15,3,0)*AD475,"NA")</f>
        <v>0.19712029564280684</v>
      </c>
      <c r="CE475" s="80">
        <f>IFERROR(VLOOKUP($H475,'1. Set Program Names'!$B$2:$D$15,3,0)*AE475,"NA")</f>
        <v>0.19898295479192912</v>
      </c>
    </row>
    <row r="476" spans="1:83" x14ac:dyDescent="0.25">
      <c r="A476" s="79" t="s">
        <v>116</v>
      </c>
      <c r="B476" s="79" t="s">
        <v>88</v>
      </c>
      <c r="C476" s="79" t="s">
        <v>122</v>
      </c>
      <c r="D476" s="79" t="s">
        <v>90</v>
      </c>
      <c r="E476" s="79" t="s">
        <v>91</v>
      </c>
      <c r="F476" s="79" t="s">
        <v>90</v>
      </c>
      <c r="G476" s="79" t="s">
        <v>92</v>
      </c>
      <c r="H476" s="79" t="s">
        <v>18</v>
      </c>
      <c r="I476" s="79" t="s">
        <v>162</v>
      </c>
      <c r="J476" s="79" t="s">
        <v>161</v>
      </c>
      <c r="K476" s="79" t="s">
        <v>159</v>
      </c>
      <c r="L476" s="79">
        <v>632.51142857142861</v>
      </c>
      <c r="M476" s="79">
        <v>7.5636667797052567E-2</v>
      </c>
      <c r="N476" s="79">
        <v>7.2066360150851286E-2</v>
      </c>
      <c r="O476" s="79">
        <v>179</v>
      </c>
      <c r="P476" s="79">
        <v>51.895440493260928</v>
      </c>
      <c r="Q476" s="79"/>
      <c r="R476" s="79">
        <v>248.91572427603518</v>
      </c>
      <c r="S476" s="79">
        <v>686.98335706831222</v>
      </c>
      <c r="T476" s="79">
        <v>15</v>
      </c>
      <c r="U476" s="79">
        <v>0.2</v>
      </c>
      <c r="V476" s="79">
        <f>tbl_Data_old[[#This Row],[2025 ]]*IFERROR(AVERAGEIFS('Participation Adjustment'!$C:$C,'Participation Adjustment'!$A:$A,$H476,'Participation Adjustment'!$B:$B,$I476),1)</f>
        <v>11.717774965795201</v>
      </c>
      <c r="W476" s="79">
        <f>tbl_Data_old[[#This Row],[2026 ]]*IFERROR(AVERAGEIFS('Participation Adjustment'!$C:$C,'Participation Adjustment'!$A:$A,$H476,'Participation Adjustment'!$B:$B,$I476),1)</f>
        <v>12.7542526903569</v>
      </c>
      <c r="X476" s="79">
        <f>tbl_Data_old[[#This Row],[2027 ]]*IFERROR(AVERAGEIFS('Participation Adjustment'!$C:$C,'Participation Adjustment'!$A:$A,$H476,'Participation Adjustment'!$B:$B,$I476),1)</f>
        <v>13.5766168651023</v>
      </c>
      <c r="Y476" s="79">
        <f>tbl_Data_old[[#This Row],[2028 ]]*IFERROR(AVERAGEIFS('Participation Adjustment'!$C:$C,'Participation Adjustment'!$A:$A,$H476,'Participation Adjustment'!$B:$B,$I476),1)</f>
        <v>14.265625141932301</v>
      </c>
      <c r="Z476" s="79">
        <f>tbl_Data_old[[#This Row],[2029 ]]*IFERROR(AVERAGEIFS('Participation Adjustment'!$C:$C,'Participation Adjustment'!$A:$A,$H476,'Participation Adjustment'!$B:$B,$I476),1)</f>
        <v>14.821893561901501</v>
      </c>
      <c r="AA476" s="79">
        <f>tbl_Data_old[[#This Row],[2030 ]]*IFERROR(AVERAGEIFS('Participation Adjustment'!$C:$C,'Participation Adjustment'!$A:$A,$H476,'Participation Adjustment'!$B:$B,$I476),1)</f>
        <v>15.2495053139367</v>
      </c>
      <c r="AB476" s="79">
        <f>tbl_Data_old[[#This Row],[2031 ]]*IFERROR(AVERAGEIFS('Participation Adjustment'!$C:$C,'Participation Adjustment'!$A:$A,$H476,'Participation Adjustment'!$B:$B,$I476),1)</f>
        <v>15.5652701953784</v>
      </c>
      <c r="AC476" s="79">
        <f>tbl_Data_old[[#This Row],[2032 ]]*IFERROR(AVERAGEIFS('Participation Adjustment'!$C:$C,'Participation Adjustment'!$A:$A,$H476,'Participation Adjustment'!$B:$B,$I476),1)</f>
        <v>15.81632914383</v>
      </c>
      <c r="AD476" s="79">
        <f>tbl_Data_old[[#This Row],[2033 ]]*IFERROR(AVERAGEIFS('Participation Adjustment'!$C:$C,'Participation Adjustment'!$A:$A,$H476,'Participation Adjustment'!$B:$B,$I476),1)</f>
        <v>16.025975796054599</v>
      </c>
      <c r="AE476" s="79">
        <f>tbl_Data_old[[#This Row],[2034 ]]*IFERROR(AVERAGEIFS('Participation Adjustment'!$C:$C,'Participation Adjustment'!$A:$A,$H476,'Participation Adjustment'!$B:$B,$I476),1)</f>
        <v>16.177410889751002</v>
      </c>
      <c r="AF476" s="77" t="str">
        <f t="shared" si="187"/>
        <v>NonResidential</v>
      </c>
      <c r="AG476" s="77" t="str">
        <f>tbl_Data[[#This Row],[All_Meas_Name_Append]]</f>
        <v>LED High Bay_LF Baseline</v>
      </c>
      <c r="AH476" s="77">
        <f>AVERAGEIFS('3. Incentive Adjustment'!G:G,'3. Incentive Adjustment'!A:A,tbl_Data[[#This Row],[Trimmed Sector]],'3. Incentive Adjustment'!B:B,tbl_Data[[#This Row],[Trimmed Measure Name]])</f>
        <v>0.93017466414143679</v>
      </c>
      <c r="AI476" s="77">
        <f>$AH476*tbl_Data[[#This Row],[2025 ]]</f>
        <v>10.899577393293487</v>
      </c>
      <c r="AJ476" s="77">
        <f>$AH476*tbl_Data[[#This Row],[2026 ]]</f>
        <v>11.863682712627746</v>
      </c>
      <c r="AK476" s="77">
        <f>$AH476*tbl_Data[[#This Row],[2027 ]]</f>
        <v>12.628625032673499</v>
      </c>
      <c r="AL476" s="77">
        <f>$AH476*tbl_Data[[#This Row],[2028 ]]</f>
        <v>13.269523075164514</v>
      </c>
      <c r="AM476" s="77">
        <f>$AH476*tbl_Data[[#This Row],[2029 ]]</f>
        <v>13.786949865881853</v>
      </c>
      <c r="AN476" s="77">
        <f>$AH476*tbl_Data[[#This Row],[2030 ]]</f>
        <v>14.184703483714125</v>
      </c>
      <c r="AO476" s="77">
        <f>$AH476*tbl_Data[[#This Row],[2031 ]]</f>
        <v>14.478419976256818</v>
      </c>
      <c r="AP476" s="77">
        <f>$AH476*tbl_Data[[#This Row],[2032 ]]</f>
        <v>14.71194864931249</v>
      </c>
      <c r="AQ476" s="77">
        <f>$AH476*tbl_Data[[#This Row],[2033 ]]</f>
        <v>14.906956653633882</v>
      </c>
      <c r="AR476" s="77">
        <f>$AH476*tbl_Data[[#This Row],[2034 ]]</f>
        <v>15.04781774105216</v>
      </c>
      <c r="AS476" s="77">
        <f>SUM(tbl_Data[[#This Row],[Adjusted 2025]:[Adjusted 2034]])</f>
        <v>135.77820458361057</v>
      </c>
      <c r="AT476" s="80">
        <f>AVERAGEIFS('3. Incentive Adjustment'!F:F,'3. Incentive Adjustment'!A:A,tbl_Data[[#This Row],[Trimmed Sector]],'3. Incentive Adjustment'!B:B,tbl_Data[[#This Row],[Trimmed Measure Name]])</f>
        <v>23.858858929800434</v>
      </c>
      <c r="AU476" s="80">
        <f>IFERROR(VLOOKUP(tbl_Data[[#This Row],[All_Meas_Name_Append]],'IRA Tax Credits'!$A$3:$D$46,4,0),0)</f>
        <v>0</v>
      </c>
      <c r="AV476" s="81">
        <f>tbl_Data[[#This Row],[Adj. per unit Incentive ($)]]/tbl_Data[[#This Row],[kWh Savings]]*tbl_Data[[#This Row],[Sum of Annuals]]</f>
        <v>5.1216671866603489</v>
      </c>
      <c r="AW476" s="81">
        <f>IFERROR(VLOOKUP(tbl_Data[[#This Row],[Column1]],'1. Set Program Names'!$B$2:$D$15,3,0)*tbl_Data[[#This Row],[Sum of Annuals]],"")</f>
        <v>4.2971352536912208</v>
      </c>
      <c r="AX476" s="81">
        <f>tbl_Data[[#This Row],[per unit IRA tax ($)]]/tbl_Data[[#This Row],[kWh Savings]]*tbl_Data[[#This Row],[Sum of Annuals]]</f>
        <v>0</v>
      </c>
      <c r="AY476" s="81">
        <f>tbl_Data[[#This Row],[Avoided Costs ($/unit)]]/tbl_Data[[#This Row],[kWh Savings]]*tbl_Data[[#This Row],[Sum of Annuals]]</f>
        <v>53.433548562375769</v>
      </c>
      <c r="AZ476" s="81">
        <f>tbl_Data[[#This Row],[Lost Revenue ($/unit)]]/tbl_Data[[#This Row],[kWh Savings]]*tbl_Data[[#This Row],[Sum of Annuals]]</f>
        <v>147.47143306521806</v>
      </c>
      <c r="BA476" s="81">
        <f>tbl_Data[[#This Row],[Incremental Cost ($/unit)]]/tbl_Data[[#This Row],[kWh Savings]]*tbl_Data[[#This Row],[Sum of Annuals]]</f>
        <v>38.42507427155784</v>
      </c>
      <c r="BB476" s="77">
        <f>ROUNDUP(tbl_Data[[#This Row],[Adjusted 2025]]/$L476,0)</f>
        <v>1</v>
      </c>
      <c r="BC476" s="77">
        <f>ROUNDUP(tbl_Data[[#This Row],[Adjusted 2026]]/$L476,0)</f>
        <v>1</v>
      </c>
      <c r="BD476" s="77">
        <f>ROUNDUP(tbl_Data[[#This Row],[Adjusted 2027]]/$L476,0)</f>
        <v>1</v>
      </c>
      <c r="BE476" s="77">
        <f>ROUNDUP(tbl_Data[[#This Row],[Adjusted 2028]]/$L476,0)</f>
        <v>1</v>
      </c>
      <c r="BF476" s="77">
        <f>ROUNDUP(tbl_Data[[#This Row],[Adjusted 2029]]/$L476,0)</f>
        <v>1</v>
      </c>
      <c r="BG476" s="77">
        <f>ROUNDUP(tbl_Data[[#This Row],[Adjusted 2030]]/$L476,0)</f>
        <v>1</v>
      </c>
      <c r="BH476" s="77">
        <f>ROUNDUP(tbl_Data[[#This Row],[Adjusted 2031]]/$L476,0)</f>
        <v>1</v>
      </c>
      <c r="BI476" s="77">
        <f>ROUNDUP(tbl_Data[[#This Row],[Adjusted 2032]]/$L476,0)</f>
        <v>1</v>
      </c>
      <c r="BJ476" s="77">
        <f>ROUNDUP(tbl_Data[[#This Row],[Adjusted 2033]]/$L476,0)</f>
        <v>1</v>
      </c>
      <c r="BK476" s="77">
        <f>ROUNDUP(tbl_Data[[#This Row],[Adjusted 2034]]/$L476,0)</f>
        <v>1</v>
      </c>
      <c r="BL476" s="80">
        <f t="shared" si="188"/>
        <v>0.44200425043937847</v>
      </c>
      <c r="BM476" s="80">
        <f t="shared" si="189"/>
        <v>0.48110105517229956</v>
      </c>
      <c r="BN476" s="80">
        <f t="shared" si="190"/>
        <v>0.51212131812389072</v>
      </c>
      <c r="BO476" s="80">
        <f t="shared" si="191"/>
        <v>0.53811128531781227</v>
      </c>
      <c r="BP476" s="80">
        <f t="shared" si="192"/>
        <v>0.5590941943367429</v>
      </c>
      <c r="BQ476" s="80">
        <f t="shared" si="193"/>
        <v>0.57522406647450852</v>
      </c>
      <c r="BR476" s="80">
        <f t="shared" si="194"/>
        <v>0.58713498131492214</v>
      </c>
      <c r="BS476" s="80">
        <f t="shared" si="195"/>
        <v>0.5966051343644877</v>
      </c>
      <c r="BT476" s="80">
        <f t="shared" si="196"/>
        <v>0.60451318104093876</v>
      </c>
      <c r="BU476" s="80">
        <f t="shared" si="197"/>
        <v>0.61022543915093685</v>
      </c>
      <c r="BV476" s="80">
        <f>IFERROR(VLOOKUP($H476,'1. Set Program Names'!$B$2:$D$15,3,0)*V476,"NA")</f>
        <v>0.37084644074323658</v>
      </c>
      <c r="BW476" s="80">
        <f>IFERROR(VLOOKUP($H476,'1. Set Program Names'!$B$2:$D$15,3,0)*W476,"NA")</f>
        <v>0.40364909109156322</v>
      </c>
      <c r="BX476" s="80">
        <f>IFERROR(VLOOKUP($H476,'1. Set Program Names'!$B$2:$D$15,3,0)*X476,"NA")</f>
        <v>0.42967543381356521</v>
      </c>
      <c r="BY476" s="80">
        <f>IFERROR(VLOOKUP($H476,'1. Set Program Names'!$B$2:$D$15,3,0)*Y476,"NA")</f>
        <v>0.45148130291848498</v>
      </c>
      <c r="BZ476" s="80">
        <f>IFERROR(VLOOKUP($H476,'1. Set Program Names'!$B$2:$D$15,3,0)*Z476,"NA")</f>
        <v>0.46908619499446474</v>
      </c>
      <c r="CA476" s="80">
        <f>IFERROR(VLOOKUP($H476,'1. Set Program Names'!$B$2:$D$15,3,0)*AA476,"NA")</f>
        <v>0.48261933560564146</v>
      </c>
      <c r="CB476" s="80">
        <f>IFERROR(VLOOKUP($H476,'1. Set Program Names'!$B$2:$D$15,3,0)*AB476,"NA")</f>
        <v>0.49261272451575333</v>
      </c>
      <c r="CC476" s="80">
        <f>IFERROR(VLOOKUP($H476,'1. Set Program Names'!$B$2:$D$15,3,0)*AC476,"NA")</f>
        <v>0.50055828736550867</v>
      </c>
      <c r="CD476" s="80">
        <f>IFERROR(VLOOKUP($H476,'1. Set Program Names'!$B$2:$D$15,3,0)*AD476,"NA")</f>
        <v>0.50719322574059911</v>
      </c>
      <c r="CE476" s="80">
        <f>IFERROR(VLOOKUP($H476,'1. Set Program Names'!$B$2:$D$15,3,0)*AE476,"NA")</f>
        <v>0.51198587329227685</v>
      </c>
    </row>
    <row r="477" spans="1:83" x14ac:dyDescent="0.25">
      <c r="A477" s="79" t="s">
        <v>116</v>
      </c>
      <c r="B477" s="79" t="s">
        <v>88</v>
      </c>
      <c r="C477" s="79" t="s">
        <v>122</v>
      </c>
      <c r="D477" s="79" t="s">
        <v>90</v>
      </c>
      <c r="E477" s="79" t="s">
        <v>91</v>
      </c>
      <c r="F477" s="79" t="s">
        <v>90</v>
      </c>
      <c r="G477" s="79" t="s">
        <v>92</v>
      </c>
      <c r="H477" s="79" t="s">
        <v>18</v>
      </c>
      <c r="I477" s="79" t="s">
        <v>163</v>
      </c>
      <c r="J477" s="79" t="s">
        <v>161</v>
      </c>
      <c r="K477" s="79" t="s">
        <v>159</v>
      </c>
      <c r="L477" s="79">
        <v>217.06142857142831</v>
      </c>
      <c r="M477" s="79">
        <v>3.4743730880075478E-2</v>
      </c>
      <c r="N477" s="79">
        <v>3.4497784431073229E-2</v>
      </c>
      <c r="O477" s="79">
        <v>109.07999999999996</v>
      </c>
      <c r="P477" s="79">
        <v>64.428955263702662</v>
      </c>
      <c r="Q477" s="79"/>
      <c r="R477" s="79">
        <v>85.561030664747506</v>
      </c>
      <c r="S477" s="79">
        <v>235.75477399173039</v>
      </c>
      <c r="T477" s="79">
        <v>15</v>
      </c>
      <c r="U477" s="79">
        <v>0.2</v>
      </c>
      <c r="V477" s="79">
        <f>tbl_Data_old[[#This Row],[2025 ]]*IFERROR(AVERAGEIFS('Participation Adjustment'!$C:$C,'Participation Adjustment'!$A:$A,$H477,'Participation Adjustment'!$B:$B,$I477),1)</f>
        <v>59.638577214734703</v>
      </c>
      <c r="W477" s="79">
        <f>tbl_Data_old[[#This Row],[2026 ]]*IFERROR(AVERAGEIFS('Participation Adjustment'!$C:$C,'Participation Adjustment'!$A:$A,$H477,'Participation Adjustment'!$B:$B,$I477),1)</f>
        <v>62.697798794354107</v>
      </c>
      <c r="X477" s="79">
        <f>tbl_Data_old[[#This Row],[2027 ]]*IFERROR(AVERAGEIFS('Participation Adjustment'!$C:$C,'Participation Adjustment'!$A:$A,$H477,'Participation Adjustment'!$B:$B,$I477),1)</f>
        <v>64.3453315982037</v>
      </c>
      <c r="Y477" s="79">
        <f>tbl_Data_old[[#This Row],[2028 ]]*IFERROR(AVERAGEIFS('Participation Adjustment'!$C:$C,'Participation Adjustment'!$A:$A,$H477,'Participation Adjustment'!$B:$B,$I477),1)</f>
        <v>65.354439843004201</v>
      </c>
      <c r="Z477" s="79">
        <f>tbl_Data_old[[#This Row],[2029 ]]*IFERROR(AVERAGEIFS('Participation Adjustment'!$C:$C,'Participation Adjustment'!$A:$A,$H477,'Participation Adjustment'!$B:$B,$I477),1)</f>
        <v>65.921843512624505</v>
      </c>
      <c r="AA477" s="79">
        <f>tbl_Data_old[[#This Row],[2030 ]]*IFERROR(AVERAGEIFS('Participation Adjustment'!$C:$C,'Participation Adjustment'!$A:$A,$H477,'Participation Adjustment'!$B:$B,$I477),1)</f>
        <v>65.99470065392039</v>
      </c>
      <c r="AB477" s="79">
        <f>tbl_Data_old[[#This Row],[2031 ]]*IFERROR(AVERAGEIFS('Participation Adjustment'!$C:$C,'Participation Adjustment'!$A:$A,$H477,'Participation Adjustment'!$B:$B,$I477),1)</f>
        <v>65.801368686050694</v>
      </c>
      <c r="AC477" s="79">
        <f>tbl_Data_old[[#This Row],[2032 ]]*IFERROR(AVERAGEIFS('Participation Adjustment'!$C:$C,'Participation Adjustment'!$A:$A,$H477,'Participation Adjustment'!$B:$B,$I477),1)</f>
        <v>65.529763563134395</v>
      </c>
      <c r="AD477" s="79">
        <f>tbl_Data_old[[#This Row],[2033 ]]*IFERROR(AVERAGEIFS('Participation Adjustment'!$C:$C,'Participation Adjustment'!$A:$A,$H477,'Participation Adjustment'!$B:$B,$I477),1)</f>
        <v>65.129464433412593</v>
      </c>
      <c r="AE477" s="79">
        <f>tbl_Data_old[[#This Row],[2034 ]]*IFERROR(AVERAGEIFS('Participation Adjustment'!$C:$C,'Participation Adjustment'!$A:$A,$H477,'Participation Adjustment'!$B:$B,$I477),1)</f>
        <v>64.681460976145203</v>
      </c>
      <c r="AF477" s="77" t="str">
        <f t="shared" si="187"/>
        <v>NonResidential</v>
      </c>
      <c r="AG477" s="77" t="str">
        <f>tbl_Data[[#This Row],[All_Meas_Name_Append]]</f>
        <v>LED Linear - Fixture Replacement</v>
      </c>
      <c r="AH477" s="77">
        <f>AVERAGEIFS('3. Incentive Adjustment'!G:G,'3. Incentive Adjustment'!A:A,tbl_Data[[#This Row],[Trimmed Sector]],'3. Incentive Adjustment'!B:B,tbl_Data[[#This Row],[Trimmed Measure Name]])</f>
        <v>0.56055357916158088</v>
      </c>
      <c r="AI477" s="77">
        <f>$AH477*tbl_Data[[#This Row],[2025 ]]</f>
        <v>33.430617913823845</v>
      </c>
      <c r="AJ477" s="77">
        <f>$AH477*tbl_Data[[#This Row],[2026 ]]</f>
        <v>35.145475519727846</v>
      </c>
      <c r="AK477" s="77">
        <f>$AH477*tbl_Data[[#This Row],[2027 ]]</f>
        <v>36.069005929711849</v>
      </c>
      <c r="AL477" s="77">
        <f>$AH477*tbl_Data[[#This Row],[2028 ]]</f>
        <v>36.634665168096234</v>
      </c>
      <c r="AM477" s="77">
        <f>$AH477*tbl_Data[[#This Row],[2029 ]]</f>
        <v>36.952725325931311</v>
      </c>
      <c r="AN477" s="77">
        <f>$AH477*tbl_Data[[#This Row],[2030 ]]</f>
        <v>36.993565657252198</v>
      </c>
      <c r="AO477" s="77">
        <f>$AH477*tbl_Data[[#This Row],[2031 ]]</f>
        <v>36.885192730696488</v>
      </c>
      <c r="AP477" s="77">
        <f>$AH477*tbl_Data[[#This Row],[2032 ]]</f>
        <v>36.732943506927136</v>
      </c>
      <c r="AQ477" s="77">
        <f>$AH477*tbl_Data[[#This Row],[2033 ]]</f>
        <v>36.508554397026316</v>
      </c>
      <c r="AR477" s="77">
        <f>$AH477*tbl_Data[[#This Row],[2034 ]]</f>
        <v>36.257424455578317</v>
      </c>
      <c r="AS477" s="77">
        <f>SUM(tbl_Data[[#This Row],[Adjusted 2025]:[Adjusted 2034]])</f>
        <v>361.61017060477155</v>
      </c>
      <c r="AT477" s="80">
        <f>AVERAGEIFS('3. Incentive Adjustment'!F:F,'3. Incentive Adjustment'!A:A,tbl_Data[[#This Row],[Trimmed Sector]],'3. Incentive Adjustment'!B:B,tbl_Data[[#This Row],[Trimmed Measure Name]])</f>
        <v>16.810726621008875</v>
      </c>
      <c r="AU477" s="80">
        <f>IFERROR(VLOOKUP(tbl_Data[[#This Row],[All_Meas_Name_Append]],'IRA Tax Credits'!$A$3:$D$46,4,0),0)</f>
        <v>0</v>
      </c>
      <c r="AV477" s="81">
        <f>tbl_Data[[#This Row],[Adj. per unit Incentive ($)]]/tbl_Data[[#This Row],[kWh Savings]]*tbl_Data[[#This Row],[Sum of Annuals]]</f>
        <v>28.005573175396304</v>
      </c>
      <c r="AW477" s="81">
        <f>IFERROR(VLOOKUP(tbl_Data[[#This Row],[Column1]],'1. Set Program Names'!$B$2:$D$15,3,0)*tbl_Data[[#This Row],[Sum of Annuals]],"")</f>
        <v>11.444309614818888</v>
      </c>
      <c r="AX477" s="81">
        <f>tbl_Data[[#This Row],[per unit IRA tax ($)]]/tbl_Data[[#This Row],[kWh Savings]]*tbl_Data[[#This Row],[Sum of Annuals]]</f>
        <v>0</v>
      </c>
      <c r="AY477" s="81">
        <f>tbl_Data[[#This Row],[Avoided Costs ($/unit)]]/tbl_Data[[#This Row],[kWh Savings]]*tbl_Data[[#This Row],[Sum of Annuals]]</f>
        <v>142.53909181113727</v>
      </c>
      <c r="AZ477" s="81">
        <f>tbl_Data[[#This Row],[Lost Revenue ($/unit)]]/tbl_Data[[#This Row],[kWh Savings]]*tbl_Data[[#This Row],[Sum of Annuals]]</f>
        <v>392.75206380568613</v>
      </c>
      <c r="BA477" s="81">
        <f>tbl_Data[[#This Row],[Incremental Cost ($/unit)]]/tbl_Data[[#This Row],[kWh Savings]]*tbl_Data[[#This Row],[Sum of Annuals]]</f>
        <v>181.72015944596299</v>
      </c>
      <c r="BB477" s="77">
        <f>ROUNDUP(tbl_Data[[#This Row],[Adjusted 2025]]/$L477,0)</f>
        <v>1</v>
      </c>
      <c r="BC477" s="77">
        <f>ROUNDUP(tbl_Data[[#This Row],[Adjusted 2026]]/$L477,0)</f>
        <v>1</v>
      </c>
      <c r="BD477" s="77">
        <f>ROUNDUP(tbl_Data[[#This Row],[Adjusted 2027]]/$L477,0)</f>
        <v>1</v>
      </c>
      <c r="BE477" s="77">
        <f>ROUNDUP(tbl_Data[[#This Row],[Adjusted 2028]]/$L477,0)</f>
        <v>1</v>
      </c>
      <c r="BF477" s="77">
        <f>ROUNDUP(tbl_Data[[#This Row],[Adjusted 2029]]/$L477,0)</f>
        <v>1</v>
      </c>
      <c r="BG477" s="77">
        <f>ROUNDUP(tbl_Data[[#This Row],[Adjusted 2030]]/$L477,0)</f>
        <v>1</v>
      </c>
      <c r="BH477" s="77">
        <f>ROUNDUP(tbl_Data[[#This Row],[Adjusted 2031]]/$L477,0)</f>
        <v>1</v>
      </c>
      <c r="BI477" s="77">
        <f>ROUNDUP(tbl_Data[[#This Row],[Adjusted 2032]]/$L477,0)</f>
        <v>1</v>
      </c>
      <c r="BJ477" s="77">
        <f>ROUNDUP(tbl_Data[[#This Row],[Adjusted 2033]]/$L477,0)</f>
        <v>1</v>
      </c>
      <c r="BK477" s="77">
        <f>ROUNDUP(tbl_Data[[#This Row],[Adjusted 2034]]/$L477,0)</f>
        <v>1</v>
      </c>
      <c r="BL477" s="80">
        <f t="shared" si="188"/>
        <v>4.6188206915487031</v>
      </c>
      <c r="BM477" s="80">
        <f t="shared" si="189"/>
        <v>4.8557478047006812</v>
      </c>
      <c r="BN477" s="80">
        <f t="shared" si="190"/>
        <v>4.9833440512882952</v>
      </c>
      <c r="BO477" s="80">
        <f t="shared" si="191"/>
        <v>5.0614963188099518</v>
      </c>
      <c r="BP477" s="80">
        <f t="shared" si="192"/>
        <v>5.1054399528149466</v>
      </c>
      <c r="BQ477" s="80">
        <f t="shared" si="193"/>
        <v>5.1110825098218466</v>
      </c>
      <c r="BR477" s="80">
        <f t="shared" si="194"/>
        <v>5.0961095554819202</v>
      </c>
      <c r="BS477" s="80">
        <f t="shared" si="195"/>
        <v>5.0750745908626351</v>
      </c>
      <c r="BT477" s="80">
        <f t="shared" si="196"/>
        <v>5.0440726791887398</v>
      </c>
      <c r="BU477" s="80">
        <f t="shared" si="197"/>
        <v>5.009376217016924</v>
      </c>
      <c r="BV477" s="80">
        <f>IFERROR(VLOOKUP($H477,'1. Set Program Names'!$B$2:$D$15,3,0)*V477,"NA")</f>
        <v>1.8874533907362974</v>
      </c>
      <c r="BW477" s="80">
        <f>IFERROR(VLOOKUP($H477,'1. Set Program Names'!$B$2:$D$15,3,0)*W477,"NA")</f>
        <v>1.9842722354024926</v>
      </c>
      <c r="BX477" s="80">
        <f>IFERROR(VLOOKUP($H477,'1. Set Program Names'!$B$2:$D$15,3,0)*X477,"NA")</f>
        <v>2.0364136767681815</v>
      </c>
      <c r="BY477" s="80">
        <f>IFERROR(VLOOKUP($H477,'1. Set Program Names'!$B$2:$D$15,3,0)*Y477,"NA")</f>
        <v>2.0683501324520721</v>
      </c>
      <c r="BZ477" s="80">
        <f>IFERROR(VLOOKUP($H477,'1. Set Program Names'!$B$2:$D$15,3,0)*Z477,"NA")</f>
        <v>2.0863074350933641</v>
      </c>
      <c r="CA477" s="80">
        <f>IFERROR(VLOOKUP($H477,'1. Set Program Names'!$B$2:$D$15,3,0)*AA477,"NA")</f>
        <v>2.0886132321931701</v>
      </c>
      <c r="CB477" s="80">
        <f>IFERROR(VLOOKUP($H477,'1. Set Program Names'!$B$2:$D$15,3,0)*AB477,"NA")</f>
        <v>2.0824946241489255</v>
      </c>
      <c r="CC477" s="80">
        <f>IFERROR(VLOOKUP($H477,'1. Set Program Names'!$B$2:$D$15,3,0)*AC477,"NA")</f>
        <v>2.0738988119392561</v>
      </c>
      <c r="CD477" s="80">
        <f>IFERROR(VLOOKUP($H477,'1. Set Program Names'!$B$2:$D$15,3,0)*AD477,"NA")</f>
        <v>2.0612300665568539</v>
      </c>
      <c r="CE477" s="80">
        <f>IFERROR(VLOOKUP($H477,'1. Set Program Names'!$B$2:$D$15,3,0)*AE477,"NA")</f>
        <v>2.0470515652583354</v>
      </c>
    </row>
    <row r="478" spans="1:83" x14ac:dyDescent="0.25">
      <c r="A478" s="79" t="s">
        <v>116</v>
      </c>
      <c r="B478" s="79" t="s">
        <v>88</v>
      </c>
      <c r="C478" s="79" t="s">
        <v>122</v>
      </c>
      <c r="D478" s="79" t="s">
        <v>90</v>
      </c>
      <c r="E478" s="79" t="s">
        <v>91</v>
      </c>
      <c r="F478" s="79" t="s">
        <v>90</v>
      </c>
      <c r="G478" s="79" t="s">
        <v>92</v>
      </c>
      <c r="H478" s="79" t="s">
        <v>18</v>
      </c>
      <c r="I478" s="79" t="s">
        <v>164</v>
      </c>
      <c r="J478" s="79" t="s">
        <v>158</v>
      </c>
      <c r="K478" s="79" t="s">
        <v>159</v>
      </c>
      <c r="L478" s="79">
        <v>612.05999999999972</v>
      </c>
      <c r="M478" s="79">
        <v>0</v>
      </c>
      <c r="N478" s="79">
        <v>3.0244631686656035E-2</v>
      </c>
      <c r="O478" s="79">
        <v>255</v>
      </c>
      <c r="P478" s="79">
        <v>129.09500333079711</v>
      </c>
      <c r="Q478" s="79"/>
      <c r="R478" s="79">
        <v>299.62522934905462</v>
      </c>
      <c r="S478" s="79">
        <v>664.77065003695441</v>
      </c>
      <c r="T478" s="79">
        <v>15</v>
      </c>
      <c r="U478" s="79">
        <v>0.2</v>
      </c>
      <c r="V478" s="79">
        <f>tbl_Data_old[[#This Row],[2025 ]]*IFERROR(AVERAGEIFS('Participation Adjustment'!$C:$C,'Participation Adjustment'!$A:$A,$H478,'Participation Adjustment'!$B:$B,$I478),1)</f>
        <v>5.3084506023595797</v>
      </c>
      <c r="W478" s="79">
        <f>tbl_Data_old[[#This Row],[2026 ]]*IFERROR(AVERAGEIFS('Participation Adjustment'!$C:$C,'Participation Adjustment'!$A:$A,$H478,'Participation Adjustment'!$B:$B,$I478),1)</f>
        <v>5.7676165866555396</v>
      </c>
      <c r="X478" s="79">
        <f>tbl_Data_old[[#This Row],[2027 ]]*IFERROR(AVERAGEIFS('Participation Adjustment'!$C:$C,'Participation Adjustment'!$A:$A,$H478,'Participation Adjustment'!$B:$B,$I478),1)</f>
        <v>6.1365269458418599</v>
      </c>
      <c r="Y478" s="79">
        <f>tbl_Data_old[[#This Row],[2028 ]]*IFERROR(AVERAGEIFS('Participation Adjustment'!$C:$C,'Participation Adjustment'!$A:$A,$H478,'Participation Adjustment'!$B:$B,$I478),1)</f>
        <v>6.4461047715476401</v>
      </c>
      <c r="Z478" s="79">
        <f>tbl_Data_old[[#This Row],[2029 ]]*IFERROR(AVERAGEIFS('Participation Adjustment'!$C:$C,'Participation Adjustment'!$A:$A,$H478,'Participation Adjustment'!$B:$B,$I478),1)</f>
        <v>6.6937033642292203</v>
      </c>
      <c r="AA478" s="79">
        <f>tbl_Data_old[[#This Row],[2030 ]]*IFERROR(AVERAGEIFS('Participation Adjustment'!$C:$C,'Participation Adjustment'!$A:$A,$H478,'Participation Adjustment'!$B:$B,$I478),1)</f>
        <v>6.8843037856493599</v>
      </c>
      <c r="AB478" s="79">
        <f>tbl_Data_old[[#This Row],[2031 ]]*IFERROR(AVERAGEIFS('Participation Adjustment'!$C:$C,'Participation Adjustment'!$A:$A,$H478,'Participation Adjustment'!$B:$B,$I478),1)</f>
        <v>7.0224171072295603</v>
      </c>
      <c r="AC478" s="79">
        <f>tbl_Data_old[[#This Row],[2032 ]]*IFERROR(AVERAGEIFS('Participation Adjustment'!$C:$C,'Participation Adjustment'!$A:$A,$H478,'Participation Adjustment'!$B:$B,$I478),1)</f>
        <v>7.1299930746091</v>
      </c>
      <c r="AD478" s="79">
        <f>tbl_Data_old[[#This Row],[2033 ]]*IFERROR(AVERAGEIFS('Participation Adjustment'!$C:$C,'Participation Adjustment'!$A:$A,$H478,'Participation Adjustment'!$B:$B,$I478),1)</f>
        <v>7.2216365159484397</v>
      </c>
      <c r="AE478" s="79">
        <f>tbl_Data_old[[#This Row],[2034 ]]*IFERROR(AVERAGEIFS('Participation Adjustment'!$C:$C,'Participation Adjustment'!$A:$A,$H478,'Participation Adjustment'!$B:$B,$I478),1)</f>
        <v>7.2855651501052003</v>
      </c>
      <c r="AF478" s="77" t="str">
        <f t="shared" si="187"/>
        <v>NonResidential</v>
      </c>
      <c r="AG478" s="77" t="str">
        <f>tbl_Data[[#This Row],[All_Meas_Name_Append]]</f>
        <v>LED Parking Lighting</v>
      </c>
      <c r="AH478" s="77">
        <f>AVERAGEIFS('3. Incentive Adjustment'!G:G,'3. Incentive Adjustment'!A:A,tbl_Data[[#This Row],[Trimmed Sector]],'3. Incentive Adjustment'!B:B,tbl_Data[[#This Row],[Trimmed Measure Name]])</f>
        <v>0.59704067730377497</v>
      </c>
      <c r="AI478" s="77">
        <f>$AH478*tbl_Data[[#This Row],[2025 ]]</f>
        <v>3.1693609430663958</v>
      </c>
      <c r="AJ478" s="77">
        <f>$AH478*tbl_Data[[#This Row],[2026 ]]</f>
        <v>3.4435017133253099</v>
      </c>
      <c r="AK478" s="77">
        <f>$AH478*tbl_Data[[#This Row],[2027 ]]</f>
        <v>3.6637562040382896</v>
      </c>
      <c r="AL478" s="77">
        <f>$AH478*tbl_Data[[#This Row],[2028 ]]</f>
        <v>3.8485867587758986</v>
      </c>
      <c r="AM478" s="77">
        <f>$AH478*tbl_Data[[#This Row],[2029 ]]</f>
        <v>3.9964131902499709</v>
      </c>
      <c r="AN478" s="77">
        <f>$AH478*tbl_Data[[#This Row],[2030 ]]</f>
        <v>4.1102093949490355</v>
      </c>
      <c r="AO478" s="77">
        <f>$AH478*tbl_Data[[#This Row],[2031 ]]</f>
        <v>4.1926686660099524</v>
      </c>
      <c r="AP478" s="77">
        <f>$AH478*tbl_Data[[#This Row],[2032 ]]</f>
        <v>4.2568958944358419</v>
      </c>
      <c r="AQ478" s="77">
        <f>$AH478*tbl_Data[[#This Row],[2033 ]]</f>
        <v>4.31161075672353</v>
      </c>
      <c r="AR478" s="77">
        <f>$AH478*tbl_Data[[#This Row],[2034 ]]</f>
        <v>4.3497787517595876</v>
      </c>
      <c r="AS478" s="77">
        <f>SUM(tbl_Data[[#This Row],[Adjusted 2025]:[Adjusted 2034]])</f>
        <v>39.34278227333381</v>
      </c>
      <c r="AT478" s="80">
        <f>AVERAGEIFS('3. Incentive Adjustment'!F:F,'3. Incentive Adjustment'!A:A,tbl_Data[[#This Row],[Trimmed Sector]],'3. Incentive Adjustment'!B:B,tbl_Data[[#This Row],[Trimmed Measure Name]])</f>
        <v>9.4514474020799994</v>
      </c>
      <c r="AU478" s="80">
        <f>IFERROR(VLOOKUP(tbl_Data[[#This Row],[All_Meas_Name_Append]],'IRA Tax Credits'!$A$3:$D$46,4,0),0)</f>
        <v>0</v>
      </c>
      <c r="AV478" s="81">
        <f>tbl_Data[[#This Row],[Adj. per unit Incentive ($)]]/tbl_Data[[#This Row],[kWh Savings]]*tbl_Data[[#This Row],[Sum of Annuals]]</f>
        <v>0.60753232903293808</v>
      </c>
      <c r="AW478" s="81">
        <f>IFERROR(VLOOKUP(tbl_Data[[#This Row],[Column1]],'1. Set Program Names'!$B$2:$D$15,3,0)*tbl_Data[[#This Row],[Sum of Annuals]],"")</f>
        <v>1.2451280910916367</v>
      </c>
      <c r="AX478" s="81">
        <f>tbl_Data[[#This Row],[per unit IRA tax ($)]]/tbl_Data[[#This Row],[kWh Savings]]*tbl_Data[[#This Row],[Sum of Annuals]]</f>
        <v>0</v>
      </c>
      <c r="AY478" s="81">
        <f>tbl_Data[[#This Row],[Avoided Costs ($/unit)]]/tbl_Data[[#This Row],[kWh Savings]]*tbl_Data[[#This Row],[Sum of Annuals]]</f>
        <v>19.259697026235283</v>
      </c>
      <c r="AZ478" s="81">
        <f>tbl_Data[[#This Row],[Lost Revenue ($/unit)]]/tbl_Data[[#This Row],[kWh Savings]]*tbl_Data[[#This Row],[Sum of Annuals]]</f>
        <v>42.730985436242349</v>
      </c>
      <c r="BA478" s="81">
        <f>tbl_Data[[#This Row],[Incremental Cost ($/unit)]]/tbl_Data[[#This Row],[kWh Savings]]*tbl_Data[[#This Row],[Sum of Annuals]]</f>
        <v>16.39121896497096</v>
      </c>
      <c r="BB478" s="77">
        <f>ROUNDUP(tbl_Data[[#This Row],[Adjusted 2025]]/$L478,0)</f>
        <v>1</v>
      </c>
      <c r="BC478" s="77">
        <f>ROUNDUP(tbl_Data[[#This Row],[Adjusted 2026]]/$L478,0)</f>
        <v>1</v>
      </c>
      <c r="BD478" s="77">
        <f>ROUNDUP(tbl_Data[[#This Row],[Adjusted 2027]]/$L478,0)</f>
        <v>1</v>
      </c>
      <c r="BE478" s="77">
        <f>ROUNDUP(tbl_Data[[#This Row],[Adjusted 2028]]/$L478,0)</f>
        <v>1</v>
      </c>
      <c r="BF478" s="77">
        <f>ROUNDUP(tbl_Data[[#This Row],[Adjusted 2029]]/$L478,0)</f>
        <v>1</v>
      </c>
      <c r="BG478" s="77">
        <f>ROUNDUP(tbl_Data[[#This Row],[Adjusted 2030]]/$L478,0)</f>
        <v>1</v>
      </c>
      <c r="BH478" s="77">
        <f>ROUNDUP(tbl_Data[[#This Row],[Adjusted 2031]]/$L478,0)</f>
        <v>1</v>
      </c>
      <c r="BI478" s="77">
        <f>ROUNDUP(tbl_Data[[#This Row],[Adjusted 2032]]/$L478,0)</f>
        <v>1</v>
      </c>
      <c r="BJ478" s="77">
        <f>ROUNDUP(tbl_Data[[#This Row],[Adjusted 2033]]/$L478,0)</f>
        <v>1</v>
      </c>
      <c r="BK478" s="77">
        <f>ROUNDUP(tbl_Data[[#This Row],[Adjusted 2034]]/$L478,0)</f>
        <v>1</v>
      </c>
      <c r="BL478" s="80">
        <f t="shared" si="188"/>
        <v>8.1973240621412077E-2</v>
      </c>
      <c r="BM478" s="80">
        <f t="shared" si="189"/>
        <v>8.9063694415807332E-2</v>
      </c>
      <c r="BN478" s="80">
        <f t="shared" si="190"/>
        <v>9.4760418357793336E-2</v>
      </c>
      <c r="BO478" s="80">
        <f t="shared" si="191"/>
        <v>9.9540927681239511E-2</v>
      </c>
      <c r="BP478" s="80">
        <f t="shared" si="192"/>
        <v>0.10336435197879039</v>
      </c>
      <c r="BQ478" s="80">
        <f t="shared" si="193"/>
        <v>0.10630760894357608</v>
      </c>
      <c r="BR478" s="80">
        <f t="shared" si="194"/>
        <v>0.10844035866491357</v>
      </c>
      <c r="BS478" s="80">
        <f t="shared" si="195"/>
        <v>0.11010154972039113</v>
      </c>
      <c r="BT478" s="80">
        <f t="shared" si="196"/>
        <v>0.11151671026929871</v>
      </c>
      <c r="BU478" s="80">
        <f t="shared" si="197"/>
        <v>0.11250389800125217</v>
      </c>
      <c r="BV478" s="80">
        <f>IFERROR(VLOOKUP($H478,'1. Set Program Names'!$B$2:$D$15,3,0)*V478,"NA")</f>
        <v>0.16800288599950464</v>
      </c>
      <c r="BW478" s="80">
        <f>IFERROR(VLOOKUP($H478,'1. Set Program Names'!$B$2:$D$15,3,0)*W478,"NA")</f>
        <v>0.18253466114312858</v>
      </c>
      <c r="BX478" s="80">
        <f>IFERROR(VLOOKUP($H478,'1. Set Program Names'!$B$2:$D$15,3,0)*X478,"NA")</f>
        <v>0.19421000855822307</v>
      </c>
      <c r="BY478" s="80">
        <f>IFERROR(VLOOKUP($H478,'1. Set Program Names'!$B$2:$D$15,3,0)*Y478,"NA")</f>
        <v>0.20400758831471633</v>
      </c>
      <c r="BZ478" s="80">
        <f>IFERROR(VLOOKUP($H478,'1. Set Program Names'!$B$2:$D$15,3,0)*Z478,"NA")</f>
        <v>0.21184363714625892</v>
      </c>
      <c r="CA478" s="80">
        <f>IFERROR(VLOOKUP($H478,'1. Set Program Names'!$B$2:$D$15,3,0)*AA478,"NA")</f>
        <v>0.21787579667263218</v>
      </c>
      <c r="CB478" s="80">
        <f>IFERROR(VLOOKUP($H478,'1. Set Program Names'!$B$2:$D$15,3,0)*AB478,"NA")</f>
        <v>0.22224683416710139</v>
      </c>
      <c r="CC478" s="80">
        <f>IFERROR(VLOOKUP($H478,'1. Set Program Names'!$B$2:$D$15,3,0)*AC478,"NA")</f>
        <v>0.22565141948544604</v>
      </c>
      <c r="CD478" s="80">
        <f>IFERROR(VLOOKUP($H478,'1. Set Program Names'!$B$2:$D$15,3,0)*AD478,"NA")</f>
        <v>0.22855176909425501</v>
      </c>
      <c r="CE478" s="80">
        <f>IFERROR(VLOOKUP($H478,'1. Set Program Names'!$B$2:$D$15,3,0)*AE478,"NA")</f>
        <v>0.23057499504865464</v>
      </c>
    </row>
    <row r="479" spans="1:83" x14ac:dyDescent="0.25">
      <c r="A479" s="79" t="s">
        <v>116</v>
      </c>
      <c r="B479" s="79" t="s">
        <v>88</v>
      </c>
      <c r="C479" s="79" t="s">
        <v>122</v>
      </c>
      <c r="D479" s="79" t="s">
        <v>90</v>
      </c>
      <c r="E479" s="79" t="s">
        <v>91</v>
      </c>
      <c r="F479" s="79" t="s">
        <v>90</v>
      </c>
      <c r="G479" s="79" t="s">
        <v>92</v>
      </c>
      <c r="H479" s="79" t="s">
        <v>18</v>
      </c>
      <c r="I479" s="79" t="s">
        <v>165</v>
      </c>
      <c r="J479" s="79" t="s">
        <v>161</v>
      </c>
      <c r="K479" s="79" t="s">
        <v>166</v>
      </c>
      <c r="L479" s="79">
        <v>510.6</v>
      </c>
      <c r="M479" s="79">
        <v>6.2552429943266097E-2</v>
      </c>
      <c r="N479" s="79">
        <v>6.4361142955417797E-2</v>
      </c>
      <c r="O479" s="79">
        <v>129</v>
      </c>
      <c r="P479" s="79">
        <v>26.468747947944401</v>
      </c>
      <c r="Q479" s="79">
        <v>16.159568962215999</v>
      </c>
      <c r="R479" s="79">
        <v>174.74401692254699</v>
      </c>
      <c r="S479" s="79">
        <v>419.99719394182398</v>
      </c>
      <c r="T479" s="79">
        <v>10</v>
      </c>
      <c r="U479" s="79">
        <v>0.2</v>
      </c>
      <c r="V479" s="79">
        <f>tbl_Data_old[[#This Row],[2025 ]]*IFERROR(AVERAGEIFS('Participation Adjustment'!$C:$C,'Participation Adjustment'!$A:$A,$H479,'Participation Adjustment'!$B:$B,$I479),1)</f>
        <v>1.01031225358409</v>
      </c>
      <c r="W479" s="79">
        <f>tbl_Data_old[[#This Row],[2026 ]]*IFERROR(AVERAGEIFS('Participation Adjustment'!$C:$C,'Participation Adjustment'!$A:$A,$H479,'Participation Adjustment'!$B:$B,$I479),1)</f>
        <v>1.3855865284019699</v>
      </c>
      <c r="X479" s="79">
        <f>tbl_Data_old[[#This Row],[2027 ]]*IFERROR(AVERAGEIFS('Participation Adjustment'!$C:$C,'Participation Adjustment'!$A:$A,$H479,'Participation Adjustment'!$B:$B,$I479),1)</f>
        <v>1.8431301959813899</v>
      </c>
      <c r="Y479" s="79">
        <f>tbl_Data_old[[#This Row],[2028 ]]*IFERROR(AVERAGEIFS('Participation Adjustment'!$C:$C,'Participation Adjustment'!$A:$A,$H479,'Participation Adjustment'!$B:$B,$I479),1)</f>
        <v>2.37730749924091</v>
      </c>
      <c r="Z479" s="79">
        <f>tbl_Data_old[[#This Row],[2029 ]]*IFERROR(AVERAGEIFS('Participation Adjustment'!$C:$C,'Participation Adjustment'!$A:$A,$H479,'Participation Adjustment'!$B:$B,$I479),1)</f>
        <v>2.9446264743708599</v>
      </c>
      <c r="AA479" s="79">
        <f>tbl_Data_old[[#This Row],[2030 ]]*IFERROR(AVERAGEIFS('Participation Adjustment'!$C:$C,'Participation Adjustment'!$A:$A,$H479,'Participation Adjustment'!$B:$B,$I479),1)</f>
        <v>3.4571214324950601</v>
      </c>
      <c r="AB479" s="79">
        <f>tbl_Data_old[[#This Row],[2031 ]]*IFERROR(AVERAGEIFS('Participation Adjustment'!$C:$C,'Participation Adjustment'!$A:$A,$H479,'Participation Adjustment'!$B:$B,$I479),1)</f>
        <v>3.8001953692236401</v>
      </c>
      <c r="AC479" s="79">
        <f>tbl_Data_old[[#This Row],[2032 ]]*IFERROR(AVERAGEIFS('Participation Adjustment'!$C:$C,'Participation Adjustment'!$A:$A,$H479,'Participation Adjustment'!$B:$B,$I479),1)</f>
        <v>3.8659605248708302</v>
      </c>
      <c r="AD479" s="79">
        <f>tbl_Data_old[[#This Row],[2033 ]]*IFERROR(AVERAGEIFS('Participation Adjustment'!$C:$C,'Participation Adjustment'!$A:$A,$H479,'Participation Adjustment'!$B:$B,$I479),1)</f>
        <v>3.5990904448874499</v>
      </c>
      <c r="AE479" s="79">
        <f>tbl_Data_old[[#This Row],[2034 ]]*IFERROR(AVERAGEIFS('Participation Adjustment'!$C:$C,'Participation Adjustment'!$A:$A,$H479,'Participation Adjustment'!$B:$B,$I479),1)</f>
        <v>3.0529041981390601</v>
      </c>
      <c r="AF479" s="77" t="str">
        <f t="shared" si="187"/>
        <v>NonResidential</v>
      </c>
      <c r="AG479" s="77" t="str">
        <f>tbl_Data[[#This Row],[All_Meas_Name_Append]]</f>
        <v>Occupancy Sensors_ Ceiling Mounted</v>
      </c>
      <c r="AH479" s="77">
        <f>AVERAGEIFS('3. Incentive Adjustment'!G:G,'3. Incentive Adjustment'!A:A,tbl_Data[[#This Row],[Trimmed Sector]],'3. Incentive Adjustment'!B:B,tbl_Data[[#This Row],[Trimmed Measure Name]])</f>
        <v>0.99348124042467356</v>
      </c>
      <c r="AI479" s="77">
        <f>$AH479*tbl_Data[[#This Row],[2025 ]]</f>
        <v>1.0037262709069692</v>
      </c>
      <c r="AJ479" s="77">
        <f>$AH479*tbl_Data[[#This Row],[2026 ]]</f>
        <v>1.3765542229525063</v>
      </c>
      <c r="AK479" s="77">
        <f>$AH479*tbl_Data[[#This Row],[2027 ]]</f>
        <v>1.8311152733677629</v>
      </c>
      <c r="AL479" s="77">
        <f>$AH479*tbl_Data[[#This Row],[2028 ]]</f>
        <v>2.361810403216738</v>
      </c>
      <c r="AM479" s="77">
        <f>$AH479*tbl_Data[[#This Row],[2029 ]]</f>
        <v>2.9254311623452951</v>
      </c>
      <c r="AN479" s="77">
        <f>$AH479*tbl_Data[[#This Row],[2030 ]]</f>
        <v>3.4345852890539166</v>
      </c>
      <c r="AO479" s="77">
        <f>$AH479*tbl_Data[[#This Row],[2031 ]]</f>
        <v>3.7754228092724023</v>
      </c>
      <c r="AP479" s="77">
        <f>$AH479*tbl_Data[[#This Row],[2032 ]]</f>
        <v>3.8407592576814946</v>
      </c>
      <c r="AQ479" s="77">
        <f>$AH479*tbl_Data[[#This Row],[2033 ]]</f>
        <v>3.5756288395873739</v>
      </c>
      <c r="AR479" s="77">
        <f>$AH479*tbl_Data[[#This Row],[2034 ]]</f>
        <v>3.0330030496648868</v>
      </c>
      <c r="AS479" s="77">
        <f>SUM(tbl_Data[[#This Row],[Adjusted 2025]:[Adjusted 2034]])</f>
        <v>27.158036578049348</v>
      </c>
      <c r="AT479" s="80">
        <f>AVERAGEIFS('3. Incentive Adjustment'!F:F,'3. Incentive Adjustment'!A:A,tbl_Data[[#This Row],[Trimmed Sector]],'3. Incentive Adjustment'!B:B,tbl_Data[[#This Row],[Trimmed Measure Name]])</f>
        <v>19.547634357270656</v>
      </c>
      <c r="AU479" s="80">
        <f>IFERROR(VLOOKUP(tbl_Data[[#This Row],[All_Meas_Name_Append]],'IRA Tax Credits'!$A$3:$D$46,4,0),0)</f>
        <v>0</v>
      </c>
      <c r="AV479" s="81">
        <f>tbl_Data[[#This Row],[Adj. per unit Incentive ($)]]/tbl_Data[[#This Row],[kWh Savings]]*tbl_Data[[#This Row],[Sum of Annuals]]</f>
        <v>1.0397089089093041</v>
      </c>
      <c r="AW479" s="81">
        <f>IFERROR(VLOOKUP(tbl_Data[[#This Row],[Column1]],'1. Set Program Names'!$B$2:$D$15,3,0)*tbl_Data[[#This Row],[Sum of Annuals]],"")</f>
        <v>0.85950286909787499</v>
      </c>
      <c r="AX479" s="81">
        <f>tbl_Data[[#This Row],[per unit IRA tax ($)]]/tbl_Data[[#This Row],[kWh Savings]]*tbl_Data[[#This Row],[Sum of Annuals]]</f>
        <v>0</v>
      </c>
      <c r="AY479" s="81">
        <f>tbl_Data[[#This Row],[Avoided Costs ($/unit)]]/tbl_Data[[#This Row],[kWh Savings]]*tbl_Data[[#This Row],[Sum of Annuals]]</f>
        <v>9.2943682008966029</v>
      </c>
      <c r="AZ479" s="81">
        <f>tbl_Data[[#This Row],[Lost Revenue ($/unit)]]/tbl_Data[[#This Row],[kWh Savings]]*tbl_Data[[#This Row],[Sum of Annuals]]</f>
        <v>22.339011272522797</v>
      </c>
      <c r="BA479" s="81">
        <f>tbl_Data[[#This Row],[Incremental Cost ($/unit)]]/tbl_Data[[#This Row],[kWh Savings]]*tbl_Data[[#This Row],[Sum of Annuals]]</f>
        <v>6.861313589048895</v>
      </c>
      <c r="BB479" s="77">
        <f>ROUNDUP(tbl_Data[[#This Row],[Adjusted 2025]]/$L479,0)</f>
        <v>1</v>
      </c>
      <c r="BC479" s="77">
        <f>ROUNDUP(tbl_Data[[#This Row],[Adjusted 2026]]/$L479,0)</f>
        <v>1</v>
      </c>
      <c r="BD479" s="77">
        <f>ROUNDUP(tbl_Data[[#This Row],[Adjusted 2027]]/$L479,0)</f>
        <v>1</v>
      </c>
      <c r="BE479" s="77">
        <f>ROUNDUP(tbl_Data[[#This Row],[Adjusted 2028]]/$L479,0)</f>
        <v>1</v>
      </c>
      <c r="BF479" s="77">
        <f>ROUNDUP(tbl_Data[[#This Row],[Adjusted 2029]]/$L479,0)</f>
        <v>1</v>
      </c>
      <c r="BG479" s="77">
        <f>ROUNDUP(tbl_Data[[#This Row],[Adjusted 2030]]/$L479,0)</f>
        <v>1</v>
      </c>
      <c r="BH479" s="77">
        <f>ROUNDUP(tbl_Data[[#This Row],[Adjusted 2031]]/$L479,0)</f>
        <v>1</v>
      </c>
      <c r="BI479" s="77">
        <f>ROUNDUP(tbl_Data[[#This Row],[Adjusted 2032]]/$L479,0)</f>
        <v>1</v>
      </c>
      <c r="BJ479" s="77">
        <f>ROUNDUP(tbl_Data[[#This Row],[Adjusted 2033]]/$L479,0)</f>
        <v>1</v>
      </c>
      <c r="BK479" s="77">
        <f>ROUNDUP(tbl_Data[[#This Row],[Adjusted 2034]]/$L479,0)</f>
        <v>1</v>
      </c>
      <c r="BL479" s="80">
        <f t="shared" si="188"/>
        <v>3.8678445984590484E-2</v>
      </c>
      <c r="BM479" s="80">
        <f t="shared" si="189"/>
        <v>5.3045316936078578E-2</v>
      </c>
      <c r="BN479" s="80">
        <f t="shared" si="190"/>
        <v>7.0561760955520594E-2</v>
      </c>
      <c r="BO479" s="80">
        <f t="shared" si="191"/>
        <v>9.1012020661885615E-2</v>
      </c>
      <c r="BP479" s="80">
        <f t="shared" si="192"/>
        <v>0.11273106470767838</v>
      </c>
      <c r="BQ479" s="80">
        <f t="shared" si="193"/>
        <v>0.13235124498843945</v>
      </c>
      <c r="BR479" s="80">
        <f t="shared" si="194"/>
        <v>0.14548536929842709</v>
      </c>
      <c r="BS479" s="80">
        <f t="shared" si="195"/>
        <v>0.14800309984296345</v>
      </c>
      <c r="BT479" s="80">
        <f t="shared" si="196"/>
        <v>0.13778633771133264</v>
      </c>
      <c r="BU479" s="80">
        <f t="shared" si="197"/>
        <v>0.11687633175283767</v>
      </c>
      <c r="BV479" s="80">
        <f>IFERROR(VLOOKUP($H479,'1. Set Program Names'!$B$2:$D$15,3,0)*V479,"NA")</f>
        <v>3.1974560390058818E-2</v>
      </c>
      <c r="BW479" s="80">
        <f>IFERROR(VLOOKUP($H479,'1. Set Program Names'!$B$2:$D$15,3,0)*W479,"NA")</f>
        <v>4.3851314255442989E-2</v>
      </c>
      <c r="BX479" s="80">
        <f>IFERROR(VLOOKUP($H479,'1. Set Program Names'!$B$2:$D$15,3,0)*X479,"NA")</f>
        <v>5.8331746001378949E-2</v>
      </c>
      <c r="BY479" s="80">
        <f>IFERROR(VLOOKUP($H479,'1. Set Program Names'!$B$2:$D$15,3,0)*Y479,"NA")</f>
        <v>7.5237494082210962E-2</v>
      </c>
      <c r="BZ479" s="80">
        <f>IFERROR(VLOOKUP($H479,'1. Set Program Names'!$B$2:$D$15,3,0)*Z479,"NA")</f>
        <v>9.3192116295658212E-2</v>
      </c>
      <c r="CA479" s="80">
        <f>IFERROR(VLOOKUP($H479,'1. Set Program Names'!$B$2:$D$15,3,0)*AA479,"NA")</f>
        <v>0.10941165726431479</v>
      </c>
      <c r="CB479" s="80">
        <f>IFERROR(VLOOKUP($H479,'1. Set Program Names'!$B$2:$D$15,3,0)*AB479,"NA")</f>
        <v>0.12026932851324633</v>
      </c>
      <c r="CC479" s="80">
        <f>IFERROR(VLOOKUP($H479,'1. Set Program Names'!$B$2:$D$15,3,0)*AC479,"NA")</f>
        <v>0.12235067706003763</v>
      </c>
      <c r="CD479" s="80">
        <f>IFERROR(VLOOKUP($H479,'1. Set Program Names'!$B$2:$D$15,3,0)*AD479,"NA")</f>
        <v>0.11390472041796253</v>
      </c>
      <c r="CE479" s="80">
        <f>IFERROR(VLOOKUP($H479,'1. Set Program Names'!$B$2:$D$15,3,0)*AE479,"NA")</f>
        <v>9.6618910937851743E-2</v>
      </c>
    </row>
    <row r="480" spans="1:83" x14ac:dyDescent="0.25">
      <c r="A480" s="79" t="s">
        <v>116</v>
      </c>
      <c r="B480" s="79" t="s">
        <v>88</v>
      </c>
      <c r="C480" s="79" t="s">
        <v>122</v>
      </c>
      <c r="D480" s="79" t="s">
        <v>90</v>
      </c>
      <c r="E480" s="79" t="s">
        <v>91</v>
      </c>
      <c r="F480" s="79" t="s">
        <v>90</v>
      </c>
      <c r="G480" s="79" t="s">
        <v>92</v>
      </c>
      <c r="H480" s="79" t="s">
        <v>18</v>
      </c>
      <c r="I480" s="79" t="s">
        <v>167</v>
      </c>
      <c r="J480" s="79" t="s">
        <v>124</v>
      </c>
      <c r="K480" s="79" t="s">
        <v>98</v>
      </c>
      <c r="L480" s="79">
        <v>151.65999999999994</v>
      </c>
      <c r="M480" s="79">
        <v>2.2013191527321094E-2</v>
      </c>
      <c r="N480" s="79">
        <v>1.952960139549019E-2</v>
      </c>
      <c r="O480" s="79">
        <v>56.59999999999998</v>
      </c>
      <c r="P480" s="79">
        <v>25.402483751835906</v>
      </c>
      <c r="Q480" s="79"/>
      <c r="R480" s="79">
        <v>70.56447857633529</v>
      </c>
      <c r="S480" s="79">
        <v>171.41744415542868</v>
      </c>
      <c r="T480" s="79">
        <v>16</v>
      </c>
      <c r="U480" s="79">
        <v>0.2</v>
      </c>
      <c r="V480" s="79">
        <f>tbl_Data_old[[#This Row],[2025 ]]*IFERROR(AVERAGEIFS('Participation Adjustment'!$C:$C,'Participation Adjustment'!$A:$A,$H480,'Participation Adjustment'!$B:$B,$I480),1)</f>
        <v>0.128353484704023</v>
      </c>
      <c r="W480" s="79">
        <f>tbl_Data_old[[#This Row],[2026 ]]*IFERROR(AVERAGEIFS('Participation Adjustment'!$C:$C,'Participation Adjustment'!$A:$A,$H480,'Participation Adjustment'!$B:$B,$I480),1)</f>
        <v>0.17456523312587499</v>
      </c>
      <c r="X480" s="79">
        <f>tbl_Data_old[[#This Row],[2027 ]]*IFERROR(AVERAGEIFS('Participation Adjustment'!$C:$C,'Participation Adjustment'!$A:$A,$H480,'Participation Adjustment'!$B:$B,$I480),1)</f>
        <v>0.22551955442037699</v>
      </c>
      <c r="Y480" s="79">
        <f>tbl_Data_old[[#This Row],[2028 ]]*IFERROR(AVERAGEIFS('Participation Adjustment'!$C:$C,'Participation Adjustment'!$A:$A,$H480,'Participation Adjustment'!$B:$B,$I480),1)</f>
        <v>0.278436278507108</v>
      </c>
      <c r="Z480" s="79">
        <f>tbl_Data_old[[#This Row],[2029 ]]*IFERROR(AVERAGEIFS('Participation Adjustment'!$C:$C,'Participation Adjustment'!$A:$A,$H480,'Participation Adjustment'!$B:$B,$I480),1)</f>
        <v>0.32870596309164901</v>
      </c>
      <c r="AA480" s="79">
        <f>tbl_Data_old[[#This Row],[2030 ]]*IFERROR(AVERAGEIFS('Participation Adjustment'!$C:$C,'Participation Adjustment'!$A:$A,$H480,'Participation Adjustment'!$B:$B,$I480),1)</f>
        <v>0.37272217935535901</v>
      </c>
      <c r="AB480" s="79">
        <f>tbl_Data_old[[#This Row],[2031 ]]*IFERROR(AVERAGEIFS('Participation Adjustment'!$C:$C,'Participation Adjustment'!$A:$A,$H480,'Participation Adjustment'!$B:$B,$I480),1)</f>
        <v>0.40794987529922</v>
      </c>
      <c r="AC480" s="79">
        <f>tbl_Data_old[[#This Row],[2032 ]]*IFERROR(AVERAGEIFS('Participation Adjustment'!$C:$C,'Participation Adjustment'!$A:$A,$H480,'Participation Adjustment'!$B:$B,$I480),1)</f>
        <v>0.43512111331179598</v>
      </c>
      <c r="AD480" s="79">
        <f>tbl_Data_old[[#This Row],[2033 ]]*IFERROR(AVERAGEIFS('Participation Adjustment'!$C:$C,'Participation Adjustment'!$A:$A,$H480,'Participation Adjustment'!$B:$B,$I480),1)</f>
        <v>0.45645664563352001</v>
      </c>
      <c r="AE480" s="79">
        <f>tbl_Data_old[[#This Row],[2034 ]]*IFERROR(AVERAGEIFS('Participation Adjustment'!$C:$C,'Participation Adjustment'!$A:$A,$H480,'Participation Adjustment'!$B:$B,$I480),1)</f>
        <v>0.47237189460489698</v>
      </c>
      <c r="AF480" s="77" t="str">
        <f t="shared" si="187"/>
        <v>NonResidential</v>
      </c>
      <c r="AG480" s="77" t="str">
        <f>tbl_Data[[#This Row],[All_Meas_Name_Append]]</f>
        <v>Refrigerated Display Case LED Lighting</v>
      </c>
      <c r="AH480" s="77">
        <f>AVERAGEIFS('3. Incentive Adjustment'!G:G,'3. Incentive Adjustment'!A:A,tbl_Data[[#This Row],[Trimmed Sector]],'3. Incentive Adjustment'!B:B,tbl_Data[[#This Row],[Trimmed Measure Name]])</f>
        <v>0.72450810749703154</v>
      </c>
      <c r="AI480" s="77">
        <f>$AH480*tbl_Data[[#This Row],[2025 ]]</f>
        <v>9.2993140293560886E-2</v>
      </c>
      <c r="AJ480" s="77">
        <f>$AH480*tbl_Data[[#This Row],[2026 ]]</f>
        <v>0.12647392668680582</v>
      </c>
      <c r="AK480" s="77">
        <f>$AH480*tbl_Data[[#This Row],[2027 ]]</f>
        <v>0.16339074557668115</v>
      </c>
      <c r="AL480" s="77">
        <f>$AH480*tbl_Data[[#This Row],[2028 ]]</f>
        <v>0.20172934119970121</v>
      </c>
      <c r="AM480" s="77">
        <f>$AH480*tbl_Data[[#This Row],[2029 ]]</f>
        <v>0.23815013524251971</v>
      </c>
      <c r="AN480" s="77">
        <f>$AH480*tbl_Data[[#This Row],[2030 ]]</f>
        <v>0.27004024078692029</v>
      </c>
      <c r="AO480" s="77">
        <f>$AH480*tbl_Data[[#This Row],[2031 ]]</f>
        <v>0.29556299210668791</v>
      </c>
      <c r="AP480" s="77">
        <f>$AH480*tbl_Data[[#This Row],[2032 ]]</f>
        <v>0.31524877433753073</v>
      </c>
      <c r="AQ480" s="77">
        <f>$AH480*tbl_Data[[#This Row],[2033 ]]</f>
        <v>0.33070654048238474</v>
      </c>
      <c r="AR480" s="77">
        <f>$AH480*tbl_Data[[#This Row],[2034 ]]</f>
        <v>0.34223726739498117</v>
      </c>
      <c r="AS480" s="77">
        <f>SUM(tbl_Data[[#This Row],[Adjusted 2025]:[Adjusted 2034]])</f>
        <v>2.3765331041077733</v>
      </c>
      <c r="AT480" s="80">
        <f>AVERAGEIFS('3. Incentive Adjustment'!F:F,'3. Incentive Adjustment'!A:A,tbl_Data[[#This Row],[Trimmed Sector]],'3. Incentive Adjustment'!B:B,tbl_Data[[#This Row],[Trimmed Measure Name]])</f>
        <v>6.879122352287844</v>
      </c>
      <c r="AU480" s="80">
        <f>IFERROR(VLOOKUP(tbl_Data[[#This Row],[All_Meas_Name_Append]],'IRA Tax Credits'!$A$3:$D$46,4,0),0)</f>
        <v>0</v>
      </c>
      <c r="AV480" s="81">
        <f>tbl_Data[[#This Row],[Adj. per unit Incentive ($)]]/tbl_Data[[#This Row],[kWh Savings]]*tbl_Data[[#This Row],[Sum of Annuals]]</f>
        <v>0.10779679544652382</v>
      </c>
      <c r="AW480" s="81">
        <f>IFERROR(VLOOKUP(tbl_Data[[#This Row],[Column1]],'1. Set Program Names'!$B$2:$D$15,3,0)*tbl_Data[[#This Row],[Sum of Annuals]],"")</f>
        <v>7.5212985873127663E-2</v>
      </c>
      <c r="AX480" s="81">
        <f>tbl_Data[[#This Row],[per unit IRA tax ($)]]/tbl_Data[[#This Row],[kWh Savings]]*tbl_Data[[#This Row],[Sum of Annuals]]</f>
        <v>0</v>
      </c>
      <c r="AY480" s="81">
        <f>tbl_Data[[#This Row],[Avoided Costs ($/unit)]]/tbl_Data[[#This Row],[kWh Savings]]*tbl_Data[[#This Row],[Sum of Annuals]]</f>
        <v>1.1057551055701216</v>
      </c>
      <c r="AZ480" s="81">
        <f>tbl_Data[[#This Row],[Lost Revenue ($/unit)]]/tbl_Data[[#This Row],[kWh Savings]]*tbl_Data[[#This Row],[Sum of Annuals]]</f>
        <v>2.6861349772973884</v>
      </c>
      <c r="BA480" s="81">
        <f>tbl_Data[[#This Row],[Incremental Cost ($/unit)]]/tbl_Data[[#This Row],[kWh Savings]]*tbl_Data[[#This Row],[Sum of Annuals]]</f>
        <v>0.88692980148028466</v>
      </c>
      <c r="BB480" s="77">
        <f>ROUNDUP(tbl_Data[[#This Row],[Adjusted 2025]]/$L480,0)</f>
        <v>1</v>
      </c>
      <c r="BC480" s="77">
        <f>ROUNDUP(tbl_Data[[#This Row],[Adjusted 2026]]/$L480,0)</f>
        <v>1</v>
      </c>
      <c r="BD480" s="77">
        <f>ROUNDUP(tbl_Data[[#This Row],[Adjusted 2027]]/$L480,0)</f>
        <v>1</v>
      </c>
      <c r="BE480" s="77">
        <f>ROUNDUP(tbl_Data[[#This Row],[Adjusted 2028]]/$L480,0)</f>
        <v>1</v>
      </c>
      <c r="BF480" s="77">
        <f>ROUNDUP(tbl_Data[[#This Row],[Adjusted 2029]]/$L480,0)</f>
        <v>1</v>
      </c>
      <c r="BG480" s="77">
        <f>ROUNDUP(tbl_Data[[#This Row],[Adjusted 2030]]/$L480,0)</f>
        <v>1</v>
      </c>
      <c r="BH480" s="77">
        <f>ROUNDUP(tbl_Data[[#This Row],[Adjusted 2031]]/$L480,0)</f>
        <v>1</v>
      </c>
      <c r="BI480" s="77">
        <f>ROUNDUP(tbl_Data[[#This Row],[Adjusted 2032]]/$L480,0)</f>
        <v>1</v>
      </c>
      <c r="BJ480" s="77">
        <f>ROUNDUP(tbl_Data[[#This Row],[Adjusted 2033]]/$L480,0)</f>
        <v>1</v>
      </c>
      <c r="BK480" s="77">
        <f>ROUNDUP(tbl_Data[[#This Row],[Adjusted 2034]]/$L480,0)</f>
        <v>1</v>
      </c>
      <c r="BL480" s="80">
        <f t="shared" si="188"/>
        <v>5.8219657498449215E-3</v>
      </c>
      <c r="BM480" s="80">
        <f t="shared" si="189"/>
        <v>7.9180772591886158E-3</v>
      </c>
      <c r="BN480" s="80">
        <f t="shared" si="190"/>
        <v>1.0229306393849471E-2</v>
      </c>
      <c r="BO480" s="80">
        <f t="shared" si="191"/>
        <v>1.2629547851550117E-2</v>
      </c>
      <c r="BP480" s="80">
        <f t="shared" si="192"/>
        <v>1.4909722656165546E-2</v>
      </c>
      <c r="BQ480" s="80">
        <f t="shared" si="193"/>
        <v>1.6906247363819661E-2</v>
      </c>
      <c r="BR480" s="80">
        <f t="shared" si="194"/>
        <v>1.8504134945166187E-2</v>
      </c>
      <c r="BS480" s="80">
        <f t="shared" si="195"/>
        <v>1.9736590904230175E-2</v>
      </c>
      <c r="BT480" s="80">
        <f t="shared" si="196"/>
        <v>2.0704345996491364E-2</v>
      </c>
      <c r="BU480" s="80">
        <f t="shared" si="197"/>
        <v>2.1426243299281982E-2</v>
      </c>
      <c r="BV480" s="80">
        <f>IFERROR(VLOOKUP($H480,'1. Set Program Names'!$B$2:$D$15,3,0)*V480,"NA")</f>
        <v>4.0621562624665198E-3</v>
      </c>
      <c r="BW480" s="80">
        <f>IFERROR(VLOOKUP($H480,'1. Set Program Names'!$B$2:$D$15,3,0)*W480,"NA")</f>
        <v>5.524674741682143E-3</v>
      </c>
      <c r="BX480" s="80">
        <f>IFERROR(VLOOKUP($H480,'1. Set Program Names'!$B$2:$D$15,3,0)*X480,"NA")</f>
        <v>7.1372870975016101E-3</v>
      </c>
      <c r="BY480" s="80">
        <f>IFERROR(VLOOKUP($H480,'1. Set Program Names'!$B$2:$D$15,3,0)*Y480,"NA")</f>
        <v>8.8120059618456946E-3</v>
      </c>
      <c r="BZ480" s="80">
        <f>IFERROR(VLOOKUP($H480,'1. Set Program Names'!$B$2:$D$15,3,0)*Z480,"NA")</f>
        <v>1.0402950800766064E-2</v>
      </c>
      <c r="CA480" s="80">
        <f>IFERROR(VLOOKUP($H480,'1. Set Program Names'!$B$2:$D$15,3,0)*AA480,"NA")</f>
        <v>1.1795984647552665E-2</v>
      </c>
      <c r="CB480" s="80">
        <f>IFERROR(VLOOKUP($H480,'1. Set Program Names'!$B$2:$D$15,3,0)*AB480,"NA")</f>
        <v>1.2910877679250279E-2</v>
      </c>
      <c r="CC480" s="80">
        <f>IFERROR(VLOOKUP($H480,'1. Set Program Names'!$B$2:$D$15,3,0)*AC480,"NA")</f>
        <v>1.377079834993772E-2</v>
      </c>
      <c r="CD480" s="80">
        <f>IFERROR(VLOOKUP($H480,'1. Set Program Names'!$B$2:$D$15,3,0)*AD480,"NA")</f>
        <v>1.4446029462155679E-2</v>
      </c>
      <c r="CE480" s="80">
        <f>IFERROR(VLOOKUP($H480,'1. Set Program Names'!$B$2:$D$15,3,0)*AE480,"NA")</f>
        <v>1.4949718383628073E-2</v>
      </c>
    </row>
    <row r="481" spans="1:83" x14ac:dyDescent="0.25">
      <c r="A481" s="79" t="s">
        <v>117</v>
      </c>
      <c r="B481" s="79" t="s">
        <v>88</v>
      </c>
      <c r="C481" s="79" t="s">
        <v>122</v>
      </c>
      <c r="D481" s="79" t="s">
        <v>90</v>
      </c>
      <c r="E481" s="79" t="s">
        <v>91</v>
      </c>
      <c r="F481" s="79" t="s">
        <v>90</v>
      </c>
      <c r="G481" s="79" t="s">
        <v>92</v>
      </c>
      <c r="H481" s="79" t="s">
        <v>18</v>
      </c>
      <c r="I481" s="79" t="s">
        <v>168</v>
      </c>
      <c r="J481" s="79" t="s">
        <v>129</v>
      </c>
      <c r="K481" s="79" t="s">
        <v>102</v>
      </c>
      <c r="L481" s="79">
        <v>3050.4666666666599</v>
      </c>
      <c r="M481" s="79">
        <v>1.01361966409546</v>
      </c>
      <c r="N481" s="79">
        <v>0</v>
      </c>
      <c r="O481" s="79">
        <v>742</v>
      </c>
      <c r="P481" s="79">
        <v>130.44720079847701</v>
      </c>
      <c r="Q481" s="79">
        <v>96.541767463653102</v>
      </c>
      <c r="R481" s="79">
        <v>1331.93833936435</v>
      </c>
      <c r="S481" s="79">
        <v>2509.1802589366698</v>
      </c>
      <c r="T481" s="79">
        <v>10</v>
      </c>
      <c r="U481" s="79">
        <v>1</v>
      </c>
      <c r="V481" s="79">
        <f>tbl_Data_old[[#This Row],[2025 ]]*IFERROR(AVERAGEIFS('Participation Adjustment'!$C:$C,'Participation Adjustment'!$A:$A,$H481,'Participation Adjustment'!$B:$B,$I481),1)</f>
        <v>0</v>
      </c>
      <c r="W481" s="79">
        <f>tbl_Data_old[[#This Row],[2026 ]]*IFERROR(AVERAGEIFS('Participation Adjustment'!$C:$C,'Participation Adjustment'!$A:$A,$H481,'Participation Adjustment'!$B:$B,$I481),1)</f>
        <v>0</v>
      </c>
      <c r="X481" s="79">
        <f>tbl_Data_old[[#This Row],[2027 ]]*IFERROR(AVERAGEIFS('Participation Adjustment'!$C:$C,'Participation Adjustment'!$A:$A,$H481,'Participation Adjustment'!$B:$B,$I481),1)</f>
        <v>0</v>
      </c>
      <c r="Y481" s="79">
        <f>tbl_Data_old[[#This Row],[2028 ]]*IFERROR(AVERAGEIFS('Participation Adjustment'!$C:$C,'Participation Adjustment'!$A:$A,$H481,'Participation Adjustment'!$B:$B,$I481),1)</f>
        <v>0</v>
      </c>
      <c r="Z481" s="79">
        <f>tbl_Data_old[[#This Row],[2029 ]]*IFERROR(AVERAGEIFS('Participation Adjustment'!$C:$C,'Participation Adjustment'!$A:$A,$H481,'Participation Adjustment'!$B:$B,$I481),1)</f>
        <v>0</v>
      </c>
      <c r="AA481" s="79">
        <f>tbl_Data_old[[#This Row],[2030 ]]*IFERROR(AVERAGEIFS('Participation Adjustment'!$C:$C,'Participation Adjustment'!$A:$A,$H481,'Participation Adjustment'!$B:$B,$I481),1)</f>
        <v>0</v>
      </c>
      <c r="AB481" s="79">
        <f>tbl_Data_old[[#This Row],[2031 ]]*IFERROR(AVERAGEIFS('Participation Adjustment'!$C:$C,'Participation Adjustment'!$A:$A,$H481,'Participation Adjustment'!$B:$B,$I481),1)</f>
        <v>0</v>
      </c>
      <c r="AC481" s="79">
        <f>tbl_Data_old[[#This Row],[2032 ]]*IFERROR(AVERAGEIFS('Participation Adjustment'!$C:$C,'Participation Adjustment'!$A:$A,$H481,'Participation Adjustment'!$B:$B,$I481),1)</f>
        <v>0</v>
      </c>
      <c r="AD481" s="79">
        <f>tbl_Data_old[[#This Row],[2033 ]]*IFERROR(AVERAGEIFS('Participation Adjustment'!$C:$C,'Participation Adjustment'!$A:$A,$H481,'Participation Adjustment'!$B:$B,$I481),1)</f>
        <v>0</v>
      </c>
      <c r="AE481" s="79">
        <f>tbl_Data_old[[#This Row],[2034 ]]*IFERROR(AVERAGEIFS('Participation Adjustment'!$C:$C,'Participation Adjustment'!$A:$A,$H481,'Participation Adjustment'!$B:$B,$I481),1)</f>
        <v>0</v>
      </c>
      <c r="AF481" s="77" t="str">
        <f t="shared" si="187"/>
        <v>NonResidential</v>
      </c>
      <c r="AG481" s="77" t="str">
        <f>tbl_Data[[#This Row],[All_Meas_Name_Append]]</f>
        <v>Chilled Water Reset</v>
      </c>
      <c r="AH481" s="77">
        <f>AVERAGEIFS('3. Incentive Adjustment'!G:G,'3. Incentive Adjustment'!A:A,tbl_Data[[#This Row],[Trimmed Sector]],'3. Incentive Adjustment'!B:B,tbl_Data[[#This Row],[Trimmed Measure Name]])</f>
        <v>1.6724428329362533</v>
      </c>
      <c r="AI481" s="77">
        <f>$AH481*tbl_Data[[#This Row],[2025 ]]</f>
        <v>0</v>
      </c>
      <c r="AJ481" s="77">
        <f>$AH481*tbl_Data[[#This Row],[2026 ]]</f>
        <v>0</v>
      </c>
      <c r="AK481" s="77">
        <f>$AH481*tbl_Data[[#This Row],[2027 ]]</f>
        <v>0</v>
      </c>
      <c r="AL481" s="77">
        <f>$AH481*tbl_Data[[#This Row],[2028 ]]</f>
        <v>0</v>
      </c>
      <c r="AM481" s="77">
        <f>$AH481*tbl_Data[[#This Row],[2029 ]]</f>
        <v>0</v>
      </c>
      <c r="AN481" s="77">
        <f>$AH481*tbl_Data[[#This Row],[2030 ]]</f>
        <v>0</v>
      </c>
      <c r="AO481" s="77">
        <f>$AH481*tbl_Data[[#This Row],[2031 ]]</f>
        <v>0</v>
      </c>
      <c r="AP481" s="77">
        <f>$AH481*tbl_Data[[#This Row],[2032 ]]</f>
        <v>0</v>
      </c>
      <c r="AQ481" s="77">
        <f>$AH481*tbl_Data[[#This Row],[2033 ]]</f>
        <v>0</v>
      </c>
      <c r="AR481" s="77">
        <f>$AH481*tbl_Data[[#This Row],[2034 ]]</f>
        <v>0</v>
      </c>
      <c r="AS481" s="77">
        <f>SUM(tbl_Data[[#This Row],[Adjusted 2025]:[Adjusted 2034]])</f>
        <v>0</v>
      </c>
      <c r="AT481" s="80">
        <f>AVERAGEIFS('3. Incentive Adjustment'!F:F,'3. Incentive Adjustment'!A:A,tbl_Data[[#This Row],[Trimmed Sector]],'3. Incentive Adjustment'!B:B,tbl_Data[[#This Row],[Trimmed Measure Name]])</f>
        <v>725.0262900596623</v>
      </c>
      <c r="AU481" s="80">
        <f>IFERROR(VLOOKUP(tbl_Data[[#This Row],[All_Meas_Name_Append]],'IRA Tax Credits'!$A$3:$D$46,4,0),0)</f>
        <v>0</v>
      </c>
      <c r="AV481" s="81">
        <f>tbl_Data[[#This Row],[Adj. per unit Incentive ($)]]/tbl_Data[[#This Row],[kWh Savings]]*tbl_Data[[#This Row],[Sum of Annuals]]</f>
        <v>0</v>
      </c>
      <c r="AW481" s="81">
        <f>IFERROR(VLOOKUP(tbl_Data[[#This Row],[Column1]],'1. Set Program Names'!$B$2:$D$15,3,0)*tbl_Data[[#This Row],[Sum of Annuals]],"")</f>
        <v>0</v>
      </c>
      <c r="AX481" s="81">
        <f>tbl_Data[[#This Row],[per unit IRA tax ($)]]/tbl_Data[[#This Row],[kWh Savings]]*tbl_Data[[#This Row],[Sum of Annuals]]</f>
        <v>0</v>
      </c>
      <c r="AY481" s="81">
        <f>tbl_Data[[#This Row],[Avoided Costs ($/unit)]]/tbl_Data[[#This Row],[kWh Savings]]*tbl_Data[[#This Row],[Sum of Annuals]]</f>
        <v>0</v>
      </c>
      <c r="AZ481" s="81">
        <f>tbl_Data[[#This Row],[Lost Revenue ($/unit)]]/tbl_Data[[#This Row],[kWh Savings]]*tbl_Data[[#This Row],[Sum of Annuals]]</f>
        <v>0</v>
      </c>
      <c r="BA481" s="81">
        <f>tbl_Data[[#This Row],[Incremental Cost ($/unit)]]/tbl_Data[[#This Row],[kWh Savings]]*tbl_Data[[#This Row],[Sum of Annuals]]</f>
        <v>0</v>
      </c>
      <c r="BB481" s="77">
        <f>ROUNDUP(tbl_Data[[#This Row],[Adjusted 2025]]/$L481,0)</f>
        <v>0</v>
      </c>
      <c r="BC481" s="77">
        <f>ROUNDUP(tbl_Data[[#This Row],[Adjusted 2026]]/$L481,0)</f>
        <v>0</v>
      </c>
      <c r="BD481" s="77">
        <f>ROUNDUP(tbl_Data[[#This Row],[Adjusted 2027]]/$L481,0)</f>
        <v>0</v>
      </c>
      <c r="BE481" s="77">
        <f>ROUNDUP(tbl_Data[[#This Row],[Adjusted 2028]]/$L481,0)</f>
        <v>0</v>
      </c>
      <c r="BF481" s="77">
        <f>ROUNDUP(tbl_Data[[#This Row],[Adjusted 2029]]/$L481,0)</f>
        <v>0</v>
      </c>
      <c r="BG481" s="77">
        <f>ROUNDUP(tbl_Data[[#This Row],[Adjusted 2030]]/$L481,0)</f>
        <v>0</v>
      </c>
      <c r="BH481" s="77">
        <f>ROUNDUP(tbl_Data[[#This Row],[Adjusted 2031]]/$L481,0)</f>
        <v>0</v>
      </c>
      <c r="BI481" s="77">
        <f>ROUNDUP(tbl_Data[[#This Row],[Adjusted 2032]]/$L481,0)</f>
        <v>0</v>
      </c>
      <c r="BJ481" s="77">
        <f>ROUNDUP(tbl_Data[[#This Row],[Adjusted 2033]]/$L481,0)</f>
        <v>0</v>
      </c>
      <c r="BK481" s="77">
        <f>ROUNDUP(tbl_Data[[#This Row],[Adjusted 2034]]/$L481,0)</f>
        <v>0</v>
      </c>
      <c r="BL481" s="80">
        <f t="shared" si="188"/>
        <v>0</v>
      </c>
      <c r="BM481" s="80">
        <f t="shared" si="189"/>
        <v>0</v>
      </c>
      <c r="BN481" s="80">
        <f t="shared" si="190"/>
        <v>0</v>
      </c>
      <c r="BO481" s="80">
        <f t="shared" si="191"/>
        <v>0</v>
      </c>
      <c r="BP481" s="80">
        <f t="shared" si="192"/>
        <v>0</v>
      </c>
      <c r="BQ481" s="80">
        <f t="shared" si="193"/>
        <v>0</v>
      </c>
      <c r="BR481" s="80">
        <f t="shared" si="194"/>
        <v>0</v>
      </c>
      <c r="BS481" s="80">
        <f t="shared" si="195"/>
        <v>0</v>
      </c>
      <c r="BT481" s="80">
        <f t="shared" si="196"/>
        <v>0</v>
      </c>
      <c r="BU481" s="80">
        <f t="shared" si="197"/>
        <v>0</v>
      </c>
      <c r="BV481" s="80">
        <f>IFERROR(VLOOKUP($H481,'1. Set Program Names'!$B$2:$D$15,3,0)*V481,"NA")</f>
        <v>0</v>
      </c>
      <c r="BW481" s="80">
        <f>IFERROR(VLOOKUP($H481,'1. Set Program Names'!$B$2:$D$15,3,0)*W481,"NA")</f>
        <v>0</v>
      </c>
      <c r="BX481" s="80">
        <f>IFERROR(VLOOKUP($H481,'1. Set Program Names'!$B$2:$D$15,3,0)*X481,"NA")</f>
        <v>0</v>
      </c>
      <c r="BY481" s="80">
        <f>IFERROR(VLOOKUP($H481,'1. Set Program Names'!$B$2:$D$15,3,0)*Y481,"NA")</f>
        <v>0</v>
      </c>
      <c r="BZ481" s="80">
        <f>IFERROR(VLOOKUP($H481,'1. Set Program Names'!$B$2:$D$15,3,0)*Z481,"NA")</f>
        <v>0</v>
      </c>
      <c r="CA481" s="80">
        <f>IFERROR(VLOOKUP($H481,'1. Set Program Names'!$B$2:$D$15,3,0)*AA481,"NA")</f>
        <v>0</v>
      </c>
      <c r="CB481" s="80">
        <f>IFERROR(VLOOKUP($H481,'1. Set Program Names'!$B$2:$D$15,3,0)*AB481,"NA")</f>
        <v>0</v>
      </c>
      <c r="CC481" s="80">
        <f>IFERROR(VLOOKUP($H481,'1. Set Program Names'!$B$2:$D$15,3,0)*AC481,"NA")</f>
        <v>0</v>
      </c>
      <c r="CD481" s="80">
        <f>IFERROR(VLOOKUP($H481,'1. Set Program Names'!$B$2:$D$15,3,0)*AD481,"NA")</f>
        <v>0</v>
      </c>
      <c r="CE481" s="80">
        <f>IFERROR(VLOOKUP($H481,'1. Set Program Names'!$B$2:$D$15,3,0)*AE481,"NA")</f>
        <v>0</v>
      </c>
    </row>
    <row r="482" spans="1:83" x14ac:dyDescent="0.25">
      <c r="A482" s="79" t="s">
        <v>117</v>
      </c>
      <c r="B482" s="79" t="s">
        <v>88</v>
      </c>
      <c r="C482" s="79" t="s">
        <v>122</v>
      </c>
      <c r="D482" s="79" t="s">
        <v>90</v>
      </c>
      <c r="E482" s="79" t="s">
        <v>91</v>
      </c>
      <c r="F482" s="79" t="s">
        <v>90</v>
      </c>
      <c r="G482" s="79" t="s">
        <v>92</v>
      </c>
      <c r="H482" s="79" t="s">
        <v>18</v>
      </c>
      <c r="I482" s="79" t="s">
        <v>169</v>
      </c>
      <c r="J482" s="79" t="s">
        <v>129</v>
      </c>
      <c r="K482" s="79" t="s">
        <v>102</v>
      </c>
      <c r="L482" s="79">
        <v>12279.148571428501</v>
      </c>
      <c r="M482" s="79">
        <v>2.3939185148112898</v>
      </c>
      <c r="N482" s="79">
        <v>0.409805025192993</v>
      </c>
      <c r="O482" s="79">
        <v>4666.07785714284</v>
      </c>
      <c r="P482" s="79">
        <v>2140.17810945783</v>
      </c>
      <c r="Q482" s="79">
        <v>388.61290273657698</v>
      </c>
      <c r="R482" s="79">
        <v>6035.2668545830202</v>
      </c>
      <c r="S482" s="79">
        <v>13336.629705795</v>
      </c>
      <c r="T482" s="79">
        <v>15</v>
      </c>
      <c r="U482" s="79">
        <v>1</v>
      </c>
      <c r="V482" s="79">
        <f>tbl_Data_old[[#This Row],[2025 ]]*IFERROR(AVERAGEIFS('Participation Adjustment'!$C:$C,'Participation Adjustment'!$A:$A,$H482,'Participation Adjustment'!$B:$B,$I482),1)</f>
        <v>6.8274033608015898</v>
      </c>
      <c r="W482" s="79">
        <f>tbl_Data_old[[#This Row],[2026 ]]*IFERROR(AVERAGEIFS('Participation Adjustment'!$C:$C,'Participation Adjustment'!$A:$A,$H482,'Participation Adjustment'!$B:$B,$I482),1)</f>
        <v>14.357188461602499</v>
      </c>
      <c r="X482" s="79">
        <f>tbl_Data_old[[#This Row],[2027 ]]*IFERROR(AVERAGEIFS('Participation Adjustment'!$C:$C,'Participation Adjustment'!$A:$A,$H482,'Participation Adjustment'!$B:$B,$I482),1)</f>
        <v>22.478151636052999</v>
      </c>
      <c r="Y482" s="79">
        <f>tbl_Data_old[[#This Row],[2028 ]]*IFERROR(AVERAGEIFS('Participation Adjustment'!$C:$C,'Participation Adjustment'!$A:$A,$H482,'Participation Adjustment'!$B:$B,$I482),1)</f>
        <v>31.123873804351099</v>
      </c>
      <c r="Z482" s="79">
        <f>tbl_Data_old[[#This Row],[2029 ]]*IFERROR(AVERAGEIFS('Participation Adjustment'!$C:$C,'Participation Adjustment'!$A:$A,$H482,'Participation Adjustment'!$B:$B,$I482),1)</f>
        <v>40.225705834576203</v>
      </c>
      <c r="AA482" s="79">
        <f>tbl_Data_old[[#This Row],[2030 ]]*IFERROR(AVERAGEIFS('Participation Adjustment'!$C:$C,'Participation Adjustment'!$A:$A,$H482,'Participation Adjustment'!$B:$B,$I482),1)</f>
        <v>49.714252334997497</v>
      </c>
      <c r="AB482" s="79">
        <f>tbl_Data_old[[#This Row],[2031 ]]*IFERROR(AVERAGEIFS('Participation Adjustment'!$C:$C,'Participation Adjustment'!$A:$A,$H482,'Participation Adjustment'!$B:$B,$I482),1)</f>
        <v>59.5280563862351</v>
      </c>
      <c r="AC482" s="79">
        <f>tbl_Data_old[[#This Row],[2032 ]]*IFERROR(AVERAGEIFS('Participation Adjustment'!$C:$C,'Participation Adjustment'!$A:$A,$H482,'Participation Adjustment'!$B:$B,$I482),1)</f>
        <v>69.633073307044498</v>
      </c>
      <c r="AD482" s="79">
        <f>tbl_Data_old[[#This Row],[2033 ]]*IFERROR(AVERAGEIFS('Participation Adjustment'!$C:$C,'Participation Adjustment'!$A:$A,$H482,'Participation Adjustment'!$B:$B,$I482),1)</f>
        <v>80.008390105881105</v>
      </c>
      <c r="AE482" s="79">
        <f>tbl_Data_old[[#This Row],[2034 ]]*IFERROR(AVERAGEIFS('Participation Adjustment'!$C:$C,'Participation Adjustment'!$A:$A,$H482,'Participation Adjustment'!$B:$B,$I482),1)</f>
        <v>90.6215456882843</v>
      </c>
      <c r="AF482" s="77" t="str">
        <f t="shared" ref="AF482:AF499" si="198">IF(C482="Residential","Residential","NonResidential")</f>
        <v>NonResidential</v>
      </c>
      <c r="AG482" s="77" t="str">
        <f>tbl_Data[[#This Row],[All_Meas_Name_Append]]</f>
        <v>Custom measure - Non-lighting_69</v>
      </c>
      <c r="AH482" s="77">
        <f>AVERAGEIFS('3. Incentive Adjustment'!G:G,'3. Incentive Adjustment'!A:A,tbl_Data[[#This Row],[Trimmed Sector]],'3. Incentive Adjustment'!B:B,tbl_Data[[#This Row],[Trimmed Measure Name]])</f>
        <v>0.94249803878007732</v>
      </c>
      <c r="AI482" s="77">
        <f>$AH482*tbl_Data[[#This Row],[2025 ]]</f>
        <v>6.4348142775160069</v>
      </c>
      <c r="AJ482" s="77">
        <f>$AH482*tbl_Data[[#This Row],[2026 ]]</f>
        <v>13.53162196745631</v>
      </c>
      <c r="AK482" s="77">
        <f>$AH482*tbl_Data[[#This Row],[2027 ]]</f>
        <v>21.185613832381136</v>
      </c>
      <c r="AL482" s="77">
        <f>$AH482*tbl_Data[[#This Row],[2028 ]]</f>
        <v>29.334190019839536</v>
      </c>
      <c r="AM482" s="77">
        <f>$AH482*tbl_Data[[#This Row],[2029 ]]</f>
        <v>37.912648857632384</v>
      </c>
      <c r="AN482" s="77">
        <f>$AH482*tbl_Data[[#This Row],[2030 ]]</f>
        <v>46.855585325153022</v>
      </c>
      <c r="AO482" s="77">
        <f>$AH482*tbl_Data[[#This Row],[2031 ]]</f>
        <v>56.105076396416436</v>
      </c>
      <c r="AP482" s="77">
        <f>$AH482*tbl_Data[[#This Row],[2032 ]]</f>
        <v>65.629035026118785</v>
      </c>
      <c r="AQ482" s="77">
        <f>$AH482*tbl_Data[[#This Row],[2033 ]]</f>
        <v>75.407750760744278</v>
      </c>
      <c r="AR482" s="77">
        <f>$AH482*tbl_Data[[#This Row],[2034 ]]</f>
        <v>85.410629082427121</v>
      </c>
      <c r="AS482" s="77">
        <f>SUM(tbl_Data[[#This Row],[Adjusted 2025]:[Adjusted 2034]])</f>
        <v>437.80696554568499</v>
      </c>
      <c r="AT482" s="80">
        <f>AVERAGEIFS('3. Incentive Adjustment'!F:F,'3. Incentive Adjustment'!A:A,tbl_Data[[#This Row],[Trimmed Sector]],'3. Incentive Adjustment'!B:B,tbl_Data[[#This Row],[Trimmed Measure Name]])</f>
        <v>1864.5735288999113</v>
      </c>
      <c r="AU482" s="80">
        <f>IFERROR(VLOOKUP(tbl_Data[[#This Row],[All_Meas_Name_Append]],'IRA Tax Credits'!$A$3:$D$46,4,0),0)</f>
        <v>0</v>
      </c>
      <c r="AV482" s="81">
        <f>tbl_Data[[#This Row],[Adj. per unit Incentive ($)]]/tbl_Data[[#This Row],[kWh Savings]]*tbl_Data[[#This Row],[Sum of Annuals]]</f>
        <v>66.480446423127873</v>
      </c>
      <c r="AW482" s="81">
        <f>IFERROR(VLOOKUP(tbl_Data[[#This Row],[Column1]],'1. Set Program Names'!$B$2:$D$15,3,0)*tbl_Data[[#This Row],[Sum of Annuals]],"")</f>
        <v>13.855800728307974</v>
      </c>
      <c r="AX482" s="81">
        <f>tbl_Data[[#This Row],[per unit IRA tax ($)]]/tbl_Data[[#This Row],[kWh Savings]]*tbl_Data[[#This Row],[Sum of Annuals]]</f>
        <v>0</v>
      </c>
      <c r="AY482" s="81">
        <f>tbl_Data[[#This Row],[Avoided Costs ($/unit)]]/tbl_Data[[#This Row],[kWh Savings]]*tbl_Data[[#This Row],[Sum of Annuals]]</f>
        <v>215.18445293605987</v>
      </c>
      <c r="AZ482" s="81">
        <f>tbl_Data[[#This Row],[Lost Revenue ($/unit)]]/tbl_Data[[#This Row],[kWh Savings]]*tbl_Data[[#This Row],[Sum of Annuals]]</f>
        <v>475.51093205978555</v>
      </c>
      <c r="BA482" s="81">
        <f>tbl_Data[[#This Row],[Incremental Cost ($/unit)]]/tbl_Data[[#This Row],[kWh Savings]]*tbl_Data[[#This Row],[Sum of Annuals]]</f>
        <v>166.36669682366781</v>
      </c>
      <c r="BB482" s="77">
        <f>ROUNDUP(tbl_Data[[#This Row],[Adjusted 2025]]/$L482,0)</f>
        <v>1</v>
      </c>
      <c r="BC482" s="77">
        <f>ROUNDUP(tbl_Data[[#This Row],[Adjusted 2026]]/$L482,0)</f>
        <v>1</v>
      </c>
      <c r="BD482" s="77">
        <f>ROUNDUP(tbl_Data[[#This Row],[Adjusted 2027]]/$L482,0)</f>
        <v>1</v>
      </c>
      <c r="BE482" s="77">
        <f>ROUNDUP(tbl_Data[[#This Row],[Adjusted 2028]]/$L482,0)</f>
        <v>1</v>
      </c>
      <c r="BF482" s="77">
        <f>ROUNDUP(tbl_Data[[#This Row],[Adjusted 2029]]/$L482,0)</f>
        <v>1</v>
      </c>
      <c r="BG482" s="77">
        <f>ROUNDUP(tbl_Data[[#This Row],[Adjusted 2030]]/$L482,0)</f>
        <v>1</v>
      </c>
      <c r="BH482" s="77">
        <f>ROUNDUP(tbl_Data[[#This Row],[Adjusted 2031]]/$L482,0)</f>
        <v>1</v>
      </c>
      <c r="BI482" s="77">
        <f>ROUNDUP(tbl_Data[[#This Row],[Adjusted 2032]]/$L482,0)</f>
        <v>1</v>
      </c>
      <c r="BJ482" s="77">
        <f>ROUNDUP(tbl_Data[[#This Row],[Adjusted 2033]]/$L482,0)</f>
        <v>1</v>
      </c>
      <c r="BK482" s="77">
        <f>ROUNDUP(tbl_Data[[#This Row],[Adjusted 2034]]/$L482,0)</f>
        <v>1</v>
      </c>
      <c r="BL482" s="80">
        <f t="shared" ref="BL482:BL499" si="199">$AT482/$L482*V482</f>
        <v>1.0367327590850999</v>
      </c>
      <c r="BM482" s="80">
        <f t="shared" ref="BM482:BM499" si="200">$AT482/$L482*W482</f>
        <v>2.1801213169796312</v>
      </c>
      <c r="BN482" s="80">
        <f t="shared" ref="BN482:BN499" si="201">$AT482/$L482*X482</f>
        <v>3.4132795344381748</v>
      </c>
      <c r="BO482" s="80">
        <f t="shared" ref="BO482:BO499" si="202">$AT482/$L482*Y482</f>
        <v>4.7261217563119002</v>
      </c>
      <c r="BP482" s="80">
        <f t="shared" ref="BP482:BP499" si="203">$AT482/$L482*Z482</f>
        <v>6.1082236967949557</v>
      </c>
      <c r="BQ482" s="80">
        <f t="shared" ref="BQ482:BQ499" si="204">$AT482/$L482*AA482</f>
        <v>7.5490477514519645</v>
      </c>
      <c r="BR482" s="80">
        <f t="shared" ref="BR482:BR499" si="205">$AT482/$L482*AB482</f>
        <v>9.0392617630590877</v>
      </c>
      <c r="BS482" s="80">
        <f t="shared" ref="BS482:BS499" si="206">$AT482/$L482*AC482</f>
        <v>10.573696088861446</v>
      </c>
      <c r="BT482" s="80">
        <f t="shared" ref="BT482:BT499" si="207">$AT482/$L482*AD482</f>
        <v>12.149175116949364</v>
      </c>
      <c r="BU482" s="80">
        <f t="shared" ref="BU482:BU499" si="208">$AT482/$L482*AE482</f>
        <v>13.760769670263182</v>
      </c>
      <c r="BV482" s="80">
        <f>IFERROR(VLOOKUP($H482,'1. Set Program Names'!$B$2:$D$15,3,0)*V482,"NA")</f>
        <v>0.2160750008651372</v>
      </c>
      <c r="BW482" s="80">
        <f>IFERROR(VLOOKUP($H482,'1. Set Program Names'!$B$2:$D$15,3,0)*W482,"NA")</f>
        <v>0.45437911682099186</v>
      </c>
      <c r="BX482" s="80">
        <f>IFERROR(VLOOKUP($H482,'1. Set Program Names'!$B$2:$D$15,3,0)*X482,"NA")</f>
        <v>0.71139295242058054</v>
      </c>
      <c r="BY482" s="80">
        <f>IFERROR(VLOOKUP($H482,'1. Set Program Names'!$B$2:$D$15,3,0)*Y482,"NA")</f>
        <v>0.98501446359718337</v>
      </c>
      <c r="BZ482" s="80">
        <f>IFERROR(VLOOKUP($H482,'1. Set Program Names'!$B$2:$D$15,3,0)*Z482,"NA")</f>
        <v>1.273071029157171</v>
      </c>
      <c r="CA482" s="80">
        <f>IFERROR(VLOOKUP($H482,'1. Set Program Names'!$B$2:$D$15,3,0)*AA482,"NA")</f>
        <v>1.5733664101300497</v>
      </c>
      <c r="CB482" s="80">
        <f>IFERROR(VLOOKUP($H482,'1. Set Program Names'!$B$2:$D$15,3,0)*AB482,"NA")</f>
        <v>1.8839556058755442</v>
      </c>
      <c r="CC482" s="80">
        <f>IFERROR(VLOOKUP($H482,'1. Set Program Names'!$B$2:$D$15,3,0)*AC482,"NA")</f>
        <v>2.2037611636432288</v>
      </c>
      <c r="CD482" s="80">
        <f>IFERROR(VLOOKUP($H482,'1. Set Program Names'!$B$2:$D$15,3,0)*AD482,"NA")</f>
        <v>2.5321212249742886</v>
      </c>
      <c r="CE482" s="80">
        <f>IFERROR(VLOOKUP($H482,'1. Set Program Names'!$B$2:$D$15,3,0)*AE482,"NA")</f>
        <v>2.8680084547834794</v>
      </c>
    </row>
    <row r="483" spans="1:83" x14ac:dyDescent="0.25">
      <c r="A483" s="79" t="s">
        <v>117</v>
      </c>
      <c r="B483" s="79" t="s">
        <v>88</v>
      </c>
      <c r="C483" s="79" t="s">
        <v>122</v>
      </c>
      <c r="D483" s="79" t="s">
        <v>90</v>
      </c>
      <c r="E483" s="79" t="s">
        <v>91</v>
      </c>
      <c r="F483" s="79" t="s">
        <v>90</v>
      </c>
      <c r="G483" s="79" t="s">
        <v>92</v>
      </c>
      <c r="H483" s="79" t="s">
        <v>18</v>
      </c>
      <c r="I483" s="79" t="s">
        <v>170</v>
      </c>
      <c r="J483" s="79" t="s">
        <v>144</v>
      </c>
      <c r="K483" s="79" t="s">
        <v>171</v>
      </c>
      <c r="L483" s="79">
        <v>5592.79</v>
      </c>
      <c r="M483" s="79">
        <v>0.87755365852981304</v>
      </c>
      <c r="N483" s="79">
        <v>1.3078150987013399</v>
      </c>
      <c r="O483" s="79">
        <v>2274</v>
      </c>
      <c r="P483" s="79">
        <v>1123.5242193223601</v>
      </c>
      <c r="Q483" s="79">
        <v>177.00171503367099</v>
      </c>
      <c r="R483" s="79">
        <v>3205.1805113222799</v>
      </c>
      <c r="S483" s="79">
        <v>7177.7771935445198</v>
      </c>
      <c r="T483" s="79">
        <v>20</v>
      </c>
      <c r="U483" s="79">
        <v>1</v>
      </c>
      <c r="V483" s="79">
        <f>tbl_Data_old[[#This Row],[2025 ]]*IFERROR(AVERAGEIFS('Participation Adjustment'!$C:$C,'Participation Adjustment'!$A:$A,$H483,'Participation Adjustment'!$B:$B,$I483),1)</f>
        <v>0.37441444939401902</v>
      </c>
      <c r="W483" s="79">
        <f>tbl_Data_old[[#This Row],[2026 ]]*IFERROR(AVERAGEIFS('Participation Adjustment'!$C:$C,'Participation Adjustment'!$A:$A,$H483,'Participation Adjustment'!$B:$B,$I483),1)</f>
        <v>0.85622296178518098</v>
      </c>
      <c r="X483" s="79">
        <f>tbl_Data_old[[#This Row],[2027 ]]*IFERROR(AVERAGEIFS('Participation Adjustment'!$C:$C,'Participation Adjustment'!$A:$A,$H483,'Participation Adjustment'!$B:$B,$I483),1)</f>
        <v>1.46147004346422</v>
      </c>
      <c r="Y483" s="79">
        <f>tbl_Data_old[[#This Row],[2028 ]]*IFERROR(AVERAGEIFS('Participation Adjustment'!$C:$C,'Participation Adjustment'!$A:$A,$H483,'Participation Adjustment'!$B:$B,$I483),1)</f>
        <v>2.2055497628311702</v>
      </c>
      <c r="Z483" s="79">
        <f>tbl_Data_old[[#This Row],[2029 ]]*IFERROR(AVERAGEIFS('Participation Adjustment'!$C:$C,'Participation Adjustment'!$A:$A,$H483,'Participation Adjustment'!$B:$B,$I483),1)</f>
        <v>3.09637824871615</v>
      </c>
      <c r="AA483" s="79">
        <f>tbl_Data_old[[#This Row],[2030 ]]*IFERROR(AVERAGEIFS('Participation Adjustment'!$C:$C,'Participation Adjustment'!$A:$A,$H483,'Participation Adjustment'!$B:$B,$I483),1)</f>
        <v>4.1292910665071796</v>
      </c>
      <c r="AB483" s="79">
        <f>tbl_Data_old[[#This Row],[2031 ]]*IFERROR(AVERAGEIFS('Participation Adjustment'!$C:$C,'Participation Adjustment'!$A:$A,$H483,'Participation Adjustment'!$B:$B,$I483),1)</f>
        <v>5.2845804382506598</v>
      </c>
      <c r="AC483" s="79">
        <f>tbl_Data_old[[#This Row],[2032 ]]*IFERROR(AVERAGEIFS('Participation Adjustment'!$C:$C,'Participation Adjustment'!$A:$A,$H483,'Participation Adjustment'!$B:$B,$I483),1)</f>
        <v>6.5277419507673198</v>
      </c>
      <c r="AD483" s="79">
        <f>tbl_Data_old[[#This Row],[2033 ]]*IFERROR(AVERAGEIFS('Participation Adjustment'!$C:$C,'Participation Adjustment'!$A:$A,$H483,'Participation Adjustment'!$B:$B,$I483),1)</f>
        <v>7.8088849431389402</v>
      </c>
      <c r="AE483" s="79">
        <f>tbl_Data_old[[#This Row],[2034 ]]*IFERROR(AVERAGEIFS('Participation Adjustment'!$C:$C,'Participation Adjustment'!$A:$A,$H483,'Participation Adjustment'!$B:$B,$I483),1)</f>
        <v>9.06715578864506</v>
      </c>
      <c r="AF483" s="77" t="str">
        <f t="shared" si="198"/>
        <v>NonResidential</v>
      </c>
      <c r="AG483" s="77" t="str">
        <f>tbl_Data[[#This Row],[All_Meas_Name_Append]]</f>
        <v>Demand Controlled Circulating Systems</v>
      </c>
      <c r="AH483" s="77">
        <f>AVERAGEIFS('3. Incentive Adjustment'!G:G,'3. Incentive Adjustment'!A:A,tbl_Data[[#This Row],[Trimmed Sector]],'3. Incentive Adjustment'!B:B,tbl_Data[[#This Row],[Trimmed Measure Name]])</f>
        <v>0.82519266246945677</v>
      </c>
      <c r="AI483" s="77">
        <f>$AH483*tbl_Data[[#This Row],[2025 ]]</f>
        <v>0.30896405636248625</v>
      </c>
      <c r="AJ483" s="77">
        <f>$AH483*tbl_Data[[#This Row],[2026 ]]</f>
        <v>0.70654890550299743</v>
      </c>
      <c r="AK483" s="77">
        <f>$AH483*tbl_Data[[#This Row],[2027 ]]</f>
        <v>1.2059943562855924</v>
      </c>
      <c r="AL483" s="77">
        <f>$AH483*tbl_Data[[#This Row],[2028 ]]</f>
        <v>1.8200034809995322</v>
      </c>
      <c r="AM483" s="77">
        <f>$AH483*tbl_Data[[#This Row],[2029 ]]</f>
        <v>2.5551086110705938</v>
      </c>
      <c r="AN483" s="77">
        <f>$AH483*tbl_Data[[#This Row],[2030 ]]</f>
        <v>3.4074606892824022</v>
      </c>
      <c r="AO483" s="77">
        <f>$AH483*tbl_Data[[#This Row],[2031 ]]</f>
        <v>4.3607970018740705</v>
      </c>
      <c r="AP483" s="77">
        <f>$AH483*tbl_Data[[#This Row],[2032 ]]</f>
        <v>5.3866447602672505</v>
      </c>
      <c r="AQ483" s="77">
        <f>$AH483*tbl_Data[[#This Row],[2033 ]]</f>
        <v>6.4438345571464746</v>
      </c>
      <c r="AR483" s="77">
        <f>$AH483*tbl_Data[[#This Row],[2034 ]]</f>
        <v>7.4821504262573644</v>
      </c>
      <c r="AS483" s="77">
        <f>SUM(tbl_Data[[#This Row],[Adjusted 2025]:[Adjusted 2034]])</f>
        <v>33.677506845048761</v>
      </c>
      <c r="AT483" s="80">
        <f>AVERAGEIFS('3. Incentive Adjustment'!F:F,'3. Incentive Adjustment'!A:A,tbl_Data[[#This Row],[Trimmed Sector]],'3. Incentive Adjustment'!B:B,tbl_Data[[#This Row],[Trimmed Measure Name]])</f>
        <v>716.2547365811331</v>
      </c>
      <c r="AU483" s="80">
        <f>IFERROR(VLOOKUP(tbl_Data[[#This Row],[All_Meas_Name_Append]],'IRA Tax Credits'!$A$3:$D$46,4,0),0)</f>
        <v>0</v>
      </c>
      <c r="AV483" s="81">
        <f>tbl_Data[[#This Row],[Adj. per unit Incentive ($)]]/tbl_Data[[#This Row],[kWh Savings]]*tbl_Data[[#This Row],[Sum of Annuals]]</f>
        <v>4.3129947296447222</v>
      </c>
      <c r="AW483" s="81">
        <f>IFERROR(VLOOKUP(tbl_Data[[#This Row],[Column1]],'1. Set Program Names'!$B$2:$D$15,3,0)*tbl_Data[[#This Row],[Sum of Annuals]],"")</f>
        <v>1.0658323430044443</v>
      </c>
      <c r="AX483" s="81">
        <f>tbl_Data[[#This Row],[per unit IRA tax ($)]]/tbl_Data[[#This Row],[kWh Savings]]*tbl_Data[[#This Row],[Sum of Annuals]]</f>
        <v>0</v>
      </c>
      <c r="AY483" s="81">
        <f>tbl_Data[[#This Row],[Avoided Costs ($/unit)]]/tbl_Data[[#This Row],[kWh Savings]]*tbl_Data[[#This Row],[Sum of Annuals]]</f>
        <v>19.300293522494673</v>
      </c>
      <c r="AZ483" s="81">
        <f>tbl_Data[[#This Row],[Lost Revenue ($/unit)]]/tbl_Data[[#This Row],[kWh Savings]]*tbl_Data[[#This Row],[Sum of Annuals]]</f>
        <v>43.221655125229169</v>
      </c>
      <c r="BA483" s="81">
        <f>tbl_Data[[#This Row],[Incremental Cost ($/unit)]]/tbl_Data[[#This Row],[kWh Savings]]*tbl_Data[[#This Row],[Sum of Annuals]]</f>
        <v>13.693103185644532</v>
      </c>
      <c r="BB483" s="77">
        <f>ROUNDUP(tbl_Data[[#This Row],[Adjusted 2025]]/$L483,0)</f>
        <v>1</v>
      </c>
      <c r="BC483" s="77">
        <f>ROUNDUP(tbl_Data[[#This Row],[Adjusted 2026]]/$L483,0)</f>
        <v>1</v>
      </c>
      <c r="BD483" s="77">
        <f>ROUNDUP(tbl_Data[[#This Row],[Adjusted 2027]]/$L483,0)</f>
        <v>1</v>
      </c>
      <c r="BE483" s="77">
        <f>ROUNDUP(tbl_Data[[#This Row],[Adjusted 2028]]/$L483,0)</f>
        <v>1</v>
      </c>
      <c r="BF483" s="77">
        <f>ROUNDUP(tbl_Data[[#This Row],[Adjusted 2029]]/$L483,0)</f>
        <v>1</v>
      </c>
      <c r="BG483" s="77">
        <f>ROUNDUP(tbl_Data[[#This Row],[Adjusted 2030]]/$L483,0)</f>
        <v>1</v>
      </c>
      <c r="BH483" s="77">
        <f>ROUNDUP(tbl_Data[[#This Row],[Adjusted 2031]]/$L483,0)</f>
        <v>1</v>
      </c>
      <c r="BI483" s="77">
        <f>ROUNDUP(tbl_Data[[#This Row],[Adjusted 2032]]/$L483,0)</f>
        <v>1</v>
      </c>
      <c r="BJ483" s="77">
        <f>ROUNDUP(tbl_Data[[#This Row],[Adjusted 2033]]/$L483,0)</f>
        <v>1</v>
      </c>
      <c r="BK483" s="77">
        <f>ROUNDUP(tbl_Data[[#This Row],[Adjusted 2034]]/$L483,0)</f>
        <v>1</v>
      </c>
      <c r="BL483" s="80">
        <f t="shared" si="199"/>
        <v>4.7950329410344945E-2</v>
      </c>
      <c r="BM483" s="80">
        <f t="shared" si="200"/>
        <v>0.10965434996632493</v>
      </c>
      <c r="BN483" s="80">
        <f t="shared" si="201"/>
        <v>0.18716684177354811</v>
      </c>
      <c r="BO483" s="80">
        <f t="shared" si="202"/>
        <v>0.28245928497104672</v>
      </c>
      <c r="BP483" s="80">
        <f t="shared" si="203"/>
        <v>0.39654547853392247</v>
      </c>
      <c r="BQ483" s="80">
        <f t="shared" si="204"/>
        <v>0.52882805989638915</v>
      </c>
      <c r="BR483" s="80">
        <f t="shared" si="205"/>
        <v>0.67678310284152188</v>
      </c>
      <c r="BS483" s="80">
        <f t="shared" si="206"/>
        <v>0.83599171279745155</v>
      </c>
      <c r="BT483" s="80">
        <f t="shared" si="207"/>
        <v>1.0000645166259341</v>
      </c>
      <c r="BU483" s="80">
        <f t="shared" si="208"/>
        <v>1.1612081413634454</v>
      </c>
      <c r="BV483" s="80">
        <f>IFERROR(VLOOKUP($H483,'1. Set Program Names'!$B$2:$D$15,3,0)*V483,"NA")</f>
        <v>1.1849541941701546E-2</v>
      </c>
      <c r="BW483" s="80">
        <f>IFERROR(VLOOKUP($H483,'1. Set Program Names'!$B$2:$D$15,3,0)*W483,"NA")</f>
        <v>2.7097912256170247E-2</v>
      </c>
      <c r="BX483" s="80">
        <f>IFERROR(VLOOKUP($H483,'1. Set Program Names'!$B$2:$D$15,3,0)*X483,"NA")</f>
        <v>4.6252890625877362E-2</v>
      </c>
      <c r="BY483" s="80">
        <f>IFERROR(VLOOKUP($H483,'1. Set Program Names'!$B$2:$D$15,3,0)*Y483,"NA")</f>
        <v>6.9801671547335672E-2</v>
      </c>
      <c r="BZ483" s="80">
        <f>IFERROR(VLOOKUP($H483,'1. Set Program Names'!$B$2:$D$15,3,0)*Z483,"NA")</f>
        <v>9.7994786218633861E-2</v>
      </c>
      <c r="CA483" s="80">
        <f>IFERROR(VLOOKUP($H483,'1. Set Program Names'!$B$2:$D$15,3,0)*AA483,"NA")</f>
        <v>0.13068461369816983</v>
      </c>
      <c r="CB483" s="80">
        <f>IFERROR(VLOOKUP($H483,'1. Set Program Names'!$B$2:$D$15,3,0)*AB483,"NA")</f>
        <v>0.16724743836327763</v>
      </c>
      <c r="CC483" s="80">
        <f>IFERROR(VLOOKUP($H483,'1. Set Program Names'!$B$2:$D$15,3,0)*AC483,"NA")</f>
        <v>0.20659125777707671</v>
      </c>
      <c r="CD483" s="80">
        <f>IFERROR(VLOOKUP($H483,'1. Set Program Names'!$B$2:$D$15,3,0)*AD483,"NA")</f>
        <v>0.24713712251598985</v>
      </c>
      <c r="CE483" s="80">
        <f>IFERROR(VLOOKUP($H483,'1. Set Program Names'!$B$2:$D$15,3,0)*AE483,"NA")</f>
        <v>0.28695912506417254</v>
      </c>
    </row>
    <row r="484" spans="1:83" x14ac:dyDescent="0.25">
      <c r="A484" s="79" t="s">
        <v>117</v>
      </c>
      <c r="B484" s="79" t="s">
        <v>88</v>
      </c>
      <c r="C484" s="79" t="s">
        <v>122</v>
      </c>
      <c r="D484" s="79" t="s">
        <v>90</v>
      </c>
      <c r="E484" s="79" t="s">
        <v>91</v>
      </c>
      <c r="F484" s="79" t="s">
        <v>90</v>
      </c>
      <c r="G484" s="79" t="s">
        <v>92</v>
      </c>
      <c r="H484" s="79" t="s">
        <v>18</v>
      </c>
      <c r="I484" s="79" t="s">
        <v>172</v>
      </c>
      <c r="J484" s="79" t="s">
        <v>144</v>
      </c>
      <c r="K484" s="79" t="s">
        <v>102</v>
      </c>
      <c r="L484" s="79">
        <v>18085.229999999901</v>
      </c>
      <c r="M484" s="79">
        <v>0.84213537152598805</v>
      </c>
      <c r="N484" s="79">
        <v>1.2419142635526399</v>
      </c>
      <c r="O484" s="79">
        <v>5343.87</v>
      </c>
      <c r="P484" s="79">
        <v>2505.3610009054501</v>
      </c>
      <c r="Q484" s="79">
        <v>572.36490674214201</v>
      </c>
      <c r="R484" s="79">
        <v>7297.3054636159204</v>
      </c>
      <c r="S484" s="79">
        <v>27879.9715993795</v>
      </c>
      <c r="T484" s="79">
        <v>30</v>
      </c>
      <c r="U484" s="79">
        <v>1</v>
      </c>
      <c r="V484" s="79">
        <f>tbl_Data_old[[#This Row],[2025 ]]*IFERROR(AVERAGEIFS('Participation Adjustment'!$C:$C,'Participation Adjustment'!$A:$A,$H484,'Participation Adjustment'!$B:$B,$I484),1)</f>
        <v>6.91492758908133</v>
      </c>
      <c r="W484" s="79">
        <f>tbl_Data_old[[#This Row],[2026 ]]*IFERROR(AVERAGEIFS('Participation Adjustment'!$C:$C,'Participation Adjustment'!$A:$A,$H484,'Participation Adjustment'!$B:$B,$I484),1)</f>
        <v>16.437078435759201</v>
      </c>
      <c r="X484" s="79">
        <f>tbl_Data_old[[#This Row],[2027 ]]*IFERROR(AVERAGEIFS('Participation Adjustment'!$C:$C,'Participation Adjustment'!$A:$A,$H484,'Participation Adjustment'!$B:$B,$I484),1)</f>
        <v>29.148741212244001</v>
      </c>
      <c r="Y484" s="79">
        <f>tbl_Data_old[[#This Row],[2028 ]]*IFERROR(AVERAGEIFS('Participation Adjustment'!$C:$C,'Participation Adjustment'!$A:$A,$H484,'Participation Adjustment'!$B:$B,$I484),1)</f>
        <v>45.607506807301498</v>
      </c>
      <c r="Z484" s="79">
        <f>tbl_Data_old[[#This Row],[2029 ]]*IFERROR(AVERAGEIFS('Participation Adjustment'!$C:$C,'Participation Adjustment'!$A:$A,$H484,'Participation Adjustment'!$B:$B,$I484),1)</f>
        <v>66.074868888534695</v>
      </c>
      <c r="AA484" s="79">
        <f>tbl_Data_old[[#This Row],[2030 ]]*IFERROR(AVERAGEIFS('Participation Adjustment'!$C:$C,'Participation Adjustment'!$A:$A,$H484,'Participation Adjustment'!$B:$B,$I484),1)</f>
        <v>90.171677822979504</v>
      </c>
      <c r="AB484" s="79">
        <f>tbl_Data_old[[#This Row],[2031 ]]*IFERROR(AVERAGEIFS('Participation Adjustment'!$C:$C,'Participation Adjustment'!$A:$A,$H484,'Participation Adjustment'!$B:$B,$I484),1)</f>
        <v>116.69752744827299</v>
      </c>
      <c r="AC484" s="79">
        <f>tbl_Data_old[[#This Row],[2032 ]]*IFERROR(AVERAGEIFS('Participation Adjustment'!$C:$C,'Participation Adjustment'!$A:$A,$H484,'Participation Adjustment'!$B:$B,$I484),1)</f>
        <v>143.659824925077</v>
      </c>
      <c r="AD484" s="79">
        <f>tbl_Data_old[[#This Row],[2033 ]]*IFERROR(AVERAGEIFS('Participation Adjustment'!$C:$C,'Participation Adjustment'!$A:$A,$H484,'Participation Adjustment'!$B:$B,$I484),1)</f>
        <v>168.6438085691</v>
      </c>
      <c r="AE484" s="79">
        <f>tbl_Data_old[[#This Row],[2034 ]]*IFERROR(AVERAGEIFS('Participation Adjustment'!$C:$C,'Participation Adjustment'!$A:$A,$H484,'Participation Adjustment'!$B:$B,$I484),1)</f>
        <v>189.64004223977599</v>
      </c>
      <c r="AF484" s="77" t="str">
        <f t="shared" si="198"/>
        <v>NonResidential</v>
      </c>
      <c r="AG484" s="77" t="str">
        <f>tbl_Data[[#This Row],[All_Meas_Name_Append]]</f>
        <v>Drain water heat recovery</v>
      </c>
      <c r="AH484" s="77">
        <f>AVERAGEIFS('3. Incentive Adjustment'!G:G,'3. Incentive Adjustment'!A:A,tbl_Data[[#This Row],[Trimmed Sector]],'3. Incentive Adjustment'!B:B,tbl_Data[[#This Row],[Trimmed Measure Name]])</f>
        <v>0.69383814414313949</v>
      </c>
      <c r="AI484" s="77">
        <f>$AH484*tbl_Data[[#This Row],[2025 ]]</f>
        <v>4.7978405252923837</v>
      </c>
      <c r="AJ484" s="77">
        <f>$AH484*tbl_Data[[#This Row],[2026 ]]</f>
        <v>11.404671997002382</v>
      </c>
      <c r="AK484" s="77">
        <f>$AH484*tbl_Data[[#This Row],[2027 ]]</f>
        <v>20.224508506812025</v>
      </c>
      <c r="AL484" s="77">
        <f>$AH484*tbl_Data[[#This Row],[2028 ]]</f>
        <v>31.644227882173674</v>
      </c>
      <c r="AM484" s="77">
        <f>$AH484*tbl_Data[[#This Row],[2029 ]]</f>
        <v>45.845264404122176</v>
      </c>
      <c r="AN484" s="77">
        <f>$AH484*tbl_Data[[#This Row],[2030 ]]</f>
        <v>62.564549594969186</v>
      </c>
      <c r="AO484" s="77">
        <f>$AH484*tbl_Data[[#This Row],[2031 ]]</f>
        <v>80.969195870802821</v>
      </c>
      <c r="AP484" s="77">
        <f>$AH484*tbl_Data[[#This Row],[2032 ]]</f>
        <v>99.676666313943755</v>
      </c>
      <c r="AQ484" s="77">
        <f>$AH484*tbl_Data[[#This Row],[2033 ]]</f>
        <v>117.01150715881523</v>
      </c>
      <c r="AR484" s="77">
        <f>$AH484*tbl_Data[[#This Row],[2034 ]]</f>
        <v>131.57949496287276</v>
      </c>
      <c r="AS484" s="77">
        <f>SUM(tbl_Data[[#This Row],[Adjusted 2025]:[Adjusted 2034]])</f>
        <v>605.7179272168064</v>
      </c>
      <c r="AT484" s="80">
        <f>AVERAGEIFS('3. Incentive Adjustment'!F:F,'3. Incentive Adjustment'!A:A,tbl_Data[[#This Row],[Trimmed Sector]],'3. Incentive Adjustment'!B:B,tbl_Data[[#This Row],[Trimmed Measure Name]])</f>
        <v>0</v>
      </c>
      <c r="AU484" s="80">
        <f>IFERROR(VLOOKUP(tbl_Data[[#This Row],[All_Meas_Name_Append]],'IRA Tax Credits'!$A$3:$D$46,4,0),0)</f>
        <v>0</v>
      </c>
      <c r="AV484" s="81">
        <f>tbl_Data[[#This Row],[Adj. per unit Incentive ($)]]/tbl_Data[[#This Row],[kWh Savings]]*tbl_Data[[#This Row],[Sum of Annuals]]</f>
        <v>0</v>
      </c>
      <c r="AW484" s="81">
        <f>IFERROR(VLOOKUP(tbl_Data[[#This Row],[Column1]],'1. Set Program Names'!$B$2:$D$15,3,0)*tbl_Data[[#This Row],[Sum of Annuals]],"")</f>
        <v>19.169879781650131</v>
      </c>
      <c r="AX484" s="81">
        <f>tbl_Data[[#This Row],[per unit IRA tax ($)]]/tbl_Data[[#This Row],[kWh Savings]]*tbl_Data[[#This Row],[Sum of Annuals]]</f>
        <v>0</v>
      </c>
      <c r="AY484" s="81">
        <f>tbl_Data[[#This Row],[Avoided Costs ($/unit)]]/tbl_Data[[#This Row],[kWh Savings]]*tbl_Data[[#This Row],[Sum of Annuals]]</f>
        <v>244.40434208961321</v>
      </c>
      <c r="AZ484" s="81">
        <f>tbl_Data[[#This Row],[Lost Revenue ($/unit)]]/tbl_Data[[#This Row],[kWh Savings]]*tbl_Data[[#This Row],[Sum of Annuals]]</f>
        <v>933.76742281075076</v>
      </c>
      <c r="BA484" s="81">
        <f>tbl_Data[[#This Row],[Incremental Cost ($/unit)]]/tbl_Data[[#This Row],[kWh Savings]]*tbl_Data[[#This Row],[Sum of Annuals]]</f>
        <v>178.97908180963651</v>
      </c>
      <c r="BB484" s="77">
        <f>ROUNDUP(tbl_Data[[#This Row],[Adjusted 2025]]/$L484,0)</f>
        <v>1</v>
      </c>
      <c r="BC484" s="77">
        <f>ROUNDUP(tbl_Data[[#This Row],[Adjusted 2026]]/$L484,0)</f>
        <v>1</v>
      </c>
      <c r="BD484" s="77">
        <f>ROUNDUP(tbl_Data[[#This Row],[Adjusted 2027]]/$L484,0)</f>
        <v>1</v>
      </c>
      <c r="BE484" s="77">
        <f>ROUNDUP(tbl_Data[[#This Row],[Adjusted 2028]]/$L484,0)</f>
        <v>1</v>
      </c>
      <c r="BF484" s="77">
        <f>ROUNDUP(tbl_Data[[#This Row],[Adjusted 2029]]/$L484,0)</f>
        <v>1</v>
      </c>
      <c r="BG484" s="77">
        <f>ROUNDUP(tbl_Data[[#This Row],[Adjusted 2030]]/$L484,0)</f>
        <v>1</v>
      </c>
      <c r="BH484" s="77">
        <f>ROUNDUP(tbl_Data[[#This Row],[Adjusted 2031]]/$L484,0)</f>
        <v>1</v>
      </c>
      <c r="BI484" s="77">
        <f>ROUNDUP(tbl_Data[[#This Row],[Adjusted 2032]]/$L484,0)</f>
        <v>1</v>
      </c>
      <c r="BJ484" s="77">
        <f>ROUNDUP(tbl_Data[[#This Row],[Adjusted 2033]]/$L484,0)</f>
        <v>1</v>
      </c>
      <c r="BK484" s="77">
        <f>ROUNDUP(tbl_Data[[#This Row],[Adjusted 2034]]/$L484,0)</f>
        <v>1</v>
      </c>
      <c r="BL484" s="80">
        <f t="shared" si="199"/>
        <v>0</v>
      </c>
      <c r="BM484" s="80">
        <f t="shared" si="200"/>
        <v>0</v>
      </c>
      <c r="BN484" s="80">
        <f t="shared" si="201"/>
        <v>0</v>
      </c>
      <c r="BO484" s="80">
        <f t="shared" si="202"/>
        <v>0</v>
      </c>
      <c r="BP484" s="80">
        <f t="shared" si="203"/>
        <v>0</v>
      </c>
      <c r="BQ484" s="80">
        <f t="shared" si="204"/>
        <v>0</v>
      </c>
      <c r="BR484" s="80">
        <f t="shared" si="205"/>
        <v>0</v>
      </c>
      <c r="BS484" s="80">
        <f t="shared" si="206"/>
        <v>0</v>
      </c>
      <c r="BT484" s="80">
        <f t="shared" si="207"/>
        <v>0</v>
      </c>
      <c r="BU484" s="80">
        <f t="shared" si="208"/>
        <v>0</v>
      </c>
      <c r="BV484" s="80">
        <f>IFERROR(VLOOKUP($H484,'1. Set Program Names'!$B$2:$D$15,3,0)*V484,"NA")</f>
        <v>0.21884498481098758</v>
      </c>
      <c r="BW484" s="80">
        <f>IFERROR(VLOOKUP($H484,'1. Set Program Names'!$B$2:$D$15,3,0)*W484,"NA")</f>
        <v>0.52020388272621521</v>
      </c>
      <c r="BX484" s="80">
        <f>IFERROR(VLOOKUP($H484,'1. Set Program Names'!$B$2:$D$15,3,0)*X484,"NA")</f>
        <v>0.92250507986887309</v>
      </c>
      <c r="BY484" s="80">
        <f>IFERROR(VLOOKUP($H484,'1. Set Program Names'!$B$2:$D$15,3,0)*Y484,"NA")</f>
        <v>1.4433953220668378</v>
      </c>
      <c r="BZ484" s="80">
        <f>IFERROR(VLOOKUP($H484,'1. Set Program Names'!$B$2:$D$15,3,0)*Z484,"NA")</f>
        <v>2.0911504122085027</v>
      </c>
      <c r="CA484" s="80">
        <f>IFERROR(VLOOKUP($H484,'1. Set Program Names'!$B$2:$D$15,3,0)*AA484,"NA")</f>
        <v>2.85377094833366</v>
      </c>
      <c r="CB484" s="80">
        <f>IFERROR(VLOOKUP($H484,'1. Set Program Names'!$B$2:$D$15,3,0)*AB484,"NA")</f>
        <v>3.6932662407373096</v>
      </c>
      <c r="CC484" s="80">
        <f>IFERROR(VLOOKUP($H484,'1. Set Program Names'!$B$2:$D$15,3,0)*AC484,"NA")</f>
        <v>4.5465743203616702</v>
      </c>
      <c r="CD484" s="80">
        <f>IFERROR(VLOOKUP($H484,'1. Set Program Names'!$B$2:$D$15,3,0)*AD484,"NA")</f>
        <v>5.337272335728823</v>
      </c>
      <c r="CE484" s="80">
        <f>IFERROR(VLOOKUP($H484,'1. Set Program Names'!$B$2:$D$15,3,0)*AE484,"NA")</f>
        <v>6.001765257679649</v>
      </c>
    </row>
    <row r="485" spans="1:83" x14ac:dyDescent="0.25">
      <c r="A485" s="79" t="s">
        <v>117</v>
      </c>
      <c r="B485" s="79" t="s">
        <v>88</v>
      </c>
      <c r="C485" s="79" t="s">
        <v>122</v>
      </c>
      <c r="D485" s="79" t="s">
        <v>90</v>
      </c>
      <c r="E485" s="79" t="s">
        <v>91</v>
      </c>
      <c r="F485" s="79" t="s">
        <v>90</v>
      </c>
      <c r="G485" s="79" t="s">
        <v>92</v>
      </c>
      <c r="H485" s="79" t="s">
        <v>18</v>
      </c>
      <c r="I485" s="79" t="s">
        <v>133</v>
      </c>
      <c r="J485" s="79" t="s">
        <v>134</v>
      </c>
      <c r="K485" s="79" t="s">
        <v>98</v>
      </c>
      <c r="L485" s="79">
        <v>4486</v>
      </c>
      <c r="M485" s="79">
        <v>0.89185722946849999</v>
      </c>
      <c r="N485" s="79">
        <v>0.84310494165890204</v>
      </c>
      <c r="O485" s="79">
        <v>2050</v>
      </c>
      <c r="P485" s="79">
        <v>1127.1986160539</v>
      </c>
      <c r="Q485" s="79">
        <v>141.97380799941499</v>
      </c>
      <c r="R485" s="79">
        <v>2297.8137992477</v>
      </c>
      <c r="S485" s="79">
        <v>5757.3247860621796</v>
      </c>
      <c r="T485" s="79">
        <v>20</v>
      </c>
      <c r="U485" s="79">
        <v>1</v>
      </c>
      <c r="V485" s="79">
        <f>tbl_Data_old[[#This Row],[2025 ]]*IFERROR(AVERAGEIFS('Participation Adjustment'!$C:$C,'Participation Adjustment'!$A:$A,$H485,'Participation Adjustment'!$B:$B,$I485),1)</f>
        <v>9.5161431467346898</v>
      </c>
      <c r="W485" s="79">
        <f>tbl_Data_old[[#This Row],[2026 ]]*IFERROR(AVERAGEIFS('Participation Adjustment'!$C:$C,'Participation Adjustment'!$A:$A,$H485,'Participation Adjustment'!$B:$B,$I485),1)</f>
        <v>21.822369786062499</v>
      </c>
      <c r="X485" s="79">
        <f>tbl_Data_old[[#This Row],[2027 ]]*IFERROR(AVERAGEIFS('Participation Adjustment'!$C:$C,'Participation Adjustment'!$A:$A,$H485,'Participation Adjustment'!$B:$B,$I485),1)</f>
        <v>37.389592365835902</v>
      </c>
      <c r="Y485" s="79">
        <f>tbl_Data_old[[#This Row],[2028 ]]*IFERROR(AVERAGEIFS('Participation Adjustment'!$C:$C,'Participation Adjustment'!$A:$A,$H485,'Participation Adjustment'!$B:$B,$I485),1)</f>
        <v>56.700100498064302</v>
      </c>
      <c r="Z485" s="79">
        <f>tbl_Data_old[[#This Row],[2029 ]]*IFERROR(AVERAGEIFS('Participation Adjustment'!$C:$C,'Participation Adjustment'!$A:$A,$H485,'Participation Adjustment'!$B:$B,$I485),1)</f>
        <v>80.072675962800403</v>
      </c>
      <c r="AA485" s="79">
        <f>tbl_Data_old[[#This Row],[2030 ]]*IFERROR(AVERAGEIFS('Participation Adjustment'!$C:$C,'Participation Adjustment'!$A:$A,$H485,'Participation Adjustment'!$B:$B,$I485),1)</f>
        <v>107.523656203778</v>
      </c>
      <c r="AB485" s="79">
        <f>tbl_Data_old[[#This Row],[2031 ]]*IFERROR(AVERAGEIFS('Participation Adjustment'!$C:$C,'Participation Adjustment'!$A:$A,$H485,'Participation Adjustment'!$B:$B,$I485),1)</f>
        <v>138.67943452665199</v>
      </c>
      <c r="AC485" s="79">
        <f>tbl_Data_old[[#This Row],[2032 ]]*IFERROR(AVERAGEIFS('Participation Adjustment'!$C:$C,'Participation Adjustment'!$A:$A,$H485,'Participation Adjustment'!$B:$B,$I485),1)</f>
        <v>172.75180775789701</v>
      </c>
      <c r="AD485" s="79">
        <f>tbl_Data_old[[#This Row],[2033 ]]*IFERROR(AVERAGEIFS('Participation Adjustment'!$C:$C,'Participation Adjustment'!$A:$A,$H485,'Participation Adjustment'!$B:$B,$I485),1)</f>
        <v>208.483785271919</v>
      </c>
      <c r="AE485" s="79">
        <f>tbl_Data_old[[#This Row],[2034 ]]*IFERROR(AVERAGEIFS('Participation Adjustment'!$C:$C,'Participation Adjustment'!$A:$A,$H485,'Participation Adjustment'!$B:$B,$I485),1)</f>
        <v>244.23010678277399</v>
      </c>
      <c r="AF485" s="77" t="str">
        <f t="shared" si="198"/>
        <v>NonResidential</v>
      </c>
      <c r="AG485" s="77" t="str">
        <f>tbl_Data[[#This Row],[All_Meas_Name_Append]]</f>
        <v>Efficient Exhaust Hood</v>
      </c>
      <c r="AH485" s="77">
        <f>AVERAGEIFS('3. Incentive Adjustment'!G:G,'3. Incentive Adjustment'!A:A,tbl_Data[[#This Row],[Trimmed Sector]],'3. Incentive Adjustment'!B:B,tbl_Data[[#This Row],[Trimmed Measure Name]])</f>
        <v>0.51531219842413434</v>
      </c>
      <c r="AI485" s="77">
        <f>$AH485*tbl_Data[[#This Row],[2025 ]]</f>
        <v>4.9037846454626122</v>
      </c>
      <c r="AJ485" s="77">
        <f>$AH485*tbl_Data[[#This Row],[2026 ]]</f>
        <v>11.245333349280273</v>
      </c>
      <c r="AK485" s="77">
        <f>$AH485*tbl_Data[[#This Row],[2027 ]]</f>
        <v>19.267313040221129</v>
      </c>
      <c r="AL485" s="77">
        <f>$AH485*tbl_Data[[#This Row],[2028 ]]</f>
        <v>29.218253438526869</v>
      </c>
      <c r="AM485" s="77">
        <f>$AH485*tbl_Data[[#This Row],[2029 ]]</f>
        <v>41.262426684094017</v>
      </c>
      <c r="AN485" s="77">
        <f>$AH485*tbl_Data[[#This Row],[2030 ]]</f>
        <v>55.408251660969654</v>
      </c>
      <c r="AO485" s="77">
        <f>$AH485*tbl_Data[[#This Row],[2031 ]]</f>
        <v>71.463204282144829</v>
      </c>
      <c r="AP485" s="77">
        <f>$AH485*tbl_Data[[#This Row],[2032 ]]</f>
        <v>89.021113837465336</v>
      </c>
      <c r="AQ485" s="77">
        <f>$AH485*tbl_Data[[#This Row],[2033 ]]</f>
        <v>107.43423772425774</v>
      </c>
      <c r="AR485" s="77">
        <f>$AH485*tbl_Data[[#This Row],[2034 ]]</f>
        <v>125.85475324759234</v>
      </c>
      <c r="AS485" s="77">
        <f>SUM(tbl_Data[[#This Row],[Adjusted 2025]:[Adjusted 2034]])</f>
        <v>555.0786719100148</v>
      </c>
      <c r="AT485" s="80">
        <f>AVERAGEIFS('3. Incentive Adjustment'!F:F,'3. Incentive Adjustment'!A:A,tbl_Data[[#This Row],[Trimmed Sector]],'3. Incentive Adjustment'!B:B,tbl_Data[[#This Row],[Trimmed Measure Name]])</f>
        <v>0</v>
      </c>
      <c r="AU485" s="80">
        <f>IFERROR(VLOOKUP(tbl_Data[[#This Row],[All_Meas_Name_Append]],'IRA Tax Credits'!$A$3:$D$46,4,0),0)</f>
        <v>0</v>
      </c>
      <c r="AV485" s="81">
        <f>tbl_Data[[#This Row],[Adj. per unit Incentive ($)]]/tbl_Data[[#This Row],[kWh Savings]]*tbl_Data[[#This Row],[Sum of Annuals]]</f>
        <v>0</v>
      </c>
      <c r="AW485" s="81">
        <f>IFERROR(VLOOKUP(tbl_Data[[#This Row],[Column1]],'1. Set Program Names'!$B$2:$D$15,3,0)*tbl_Data[[#This Row],[Sum of Annuals]],"")</f>
        <v>17.567238696014869</v>
      </c>
      <c r="AX485" s="81">
        <f>tbl_Data[[#This Row],[per unit IRA tax ($)]]/tbl_Data[[#This Row],[kWh Savings]]*tbl_Data[[#This Row],[Sum of Annuals]]</f>
        <v>0</v>
      </c>
      <c r="AY485" s="81">
        <f>tbl_Data[[#This Row],[Avoided Costs ($/unit)]]/tbl_Data[[#This Row],[kWh Savings]]*tbl_Data[[#This Row],[Sum of Annuals]]</f>
        <v>284.32176370551019</v>
      </c>
      <c r="AZ485" s="81">
        <f>tbl_Data[[#This Row],[Lost Revenue ($/unit)]]/tbl_Data[[#This Row],[kWh Savings]]*tbl_Data[[#This Row],[Sum of Annuals]]</f>
        <v>712.38702541284101</v>
      </c>
      <c r="BA485" s="81">
        <f>tbl_Data[[#This Row],[Incremental Cost ($/unit)]]/tbl_Data[[#This Row],[kWh Savings]]*tbl_Data[[#This Row],[Sum of Annuals]]</f>
        <v>253.65833201416191</v>
      </c>
      <c r="BB485" s="77">
        <f>ROUNDUP(tbl_Data[[#This Row],[Adjusted 2025]]/$L485,0)</f>
        <v>1</v>
      </c>
      <c r="BC485" s="77">
        <f>ROUNDUP(tbl_Data[[#This Row],[Adjusted 2026]]/$L485,0)</f>
        <v>1</v>
      </c>
      <c r="BD485" s="77">
        <f>ROUNDUP(tbl_Data[[#This Row],[Adjusted 2027]]/$L485,0)</f>
        <v>1</v>
      </c>
      <c r="BE485" s="77">
        <f>ROUNDUP(tbl_Data[[#This Row],[Adjusted 2028]]/$L485,0)</f>
        <v>1</v>
      </c>
      <c r="BF485" s="77">
        <f>ROUNDUP(tbl_Data[[#This Row],[Adjusted 2029]]/$L485,0)</f>
        <v>1</v>
      </c>
      <c r="BG485" s="77">
        <f>ROUNDUP(tbl_Data[[#This Row],[Adjusted 2030]]/$L485,0)</f>
        <v>1</v>
      </c>
      <c r="BH485" s="77">
        <f>ROUNDUP(tbl_Data[[#This Row],[Adjusted 2031]]/$L485,0)</f>
        <v>1</v>
      </c>
      <c r="BI485" s="77">
        <f>ROUNDUP(tbl_Data[[#This Row],[Adjusted 2032]]/$L485,0)</f>
        <v>1</v>
      </c>
      <c r="BJ485" s="77">
        <f>ROUNDUP(tbl_Data[[#This Row],[Adjusted 2033]]/$L485,0)</f>
        <v>1</v>
      </c>
      <c r="BK485" s="77">
        <f>ROUNDUP(tbl_Data[[#This Row],[Adjusted 2034]]/$L485,0)</f>
        <v>1</v>
      </c>
      <c r="BL485" s="80">
        <f t="shared" si="199"/>
        <v>0</v>
      </c>
      <c r="BM485" s="80">
        <f t="shared" si="200"/>
        <v>0</v>
      </c>
      <c r="BN485" s="80">
        <f t="shared" si="201"/>
        <v>0</v>
      </c>
      <c r="BO485" s="80">
        <f t="shared" si="202"/>
        <v>0</v>
      </c>
      <c r="BP485" s="80">
        <f t="shared" si="203"/>
        <v>0</v>
      </c>
      <c r="BQ485" s="80">
        <f t="shared" si="204"/>
        <v>0</v>
      </c>
      <c r="BR485" s="80">
        <f t="shared" si="205"/>
        <v>0</v>
      </c>
      <c r="BS485" s="80">
        <f t="shared" si="206"/>
        <v>0</v>
      </c>
      <c r="BT485" s="80">
        <f t="shared" si="207"/>
        <v>0</v>
      </c>
      <c r="BU485" s="80">
        <f t="shared" si="208"/>
        <v>0</v>
      </c>
      <c r="BV485" s="80">
        <f>IFERROR(VLOOKUP($H485,'1. Set Program Names'!$B$2:$D$15,3,0)*V485,"NA")</f>
        <v>0.30116876504892098</v>
      </c>
      <c r="BW485" s="80">
        <f>IFERROR(VLOOKUP($H485,'1. Set Program Names'!$B$2:$D$15,3,0)*W485,"NA")</f>
        <v>0.69063863979016316</v>
      </c>
      <c r="BX485" s="80">
        <f>IFERROR(VLOOKUP($H485,'1. Set Program Names'!$B$2:$D$15,3,0)*X485,"NA")</f>
        <v>1.1833131537502404</v>
      </c>
      <c r="BY485" s="80">
        <f>IFERROR(VLOOKUP($H485,'1. Set Program Names'!$B$2:$D$15,3,0)*Y485,"NA")</f>
        <v>1.7944559031787148</v>
      </c>
      <c r="BZ485" s="80">
        <f>IFERROR(VLOOKUP($H485,'1. Set Program Names'!$B$2:$D$15,3,0)*Z485,"NA")</f>
        <v>2.5341557563847519</v>
      </c>
      <c r="CA485" s="80">
        <f>IFERROR(VLOOKUP($H485,'1. Set Program Names'!$B$2:$D$15,3,0)*AA485,"NA")</f>
        <v>3.4029297639924843</v>
      </c>
      <c r="CB485" s="80">
        <f>IFERROR(VLOOKUP($H485,'1. Set Program Names'!$B$2:$D$15,3,0)*AB485,"NA")</f>
        <v>4.3889539480504531</v>
      </c>
      <c r="CC485" s="80">
        <f>IFERROR(VLOOKUP($H485,'1. Set Program Names'!$B$2:$D$15,3,0)*AC485,"NA")</f>
        <v>5.4672830999044848</v>
      </c>
      <c r="CD485" s="80">
        <f>IFERROR(VLOOKUP($H485,'1. Set Program Names'!$B$2:$D$15,3,0)*AD485,"NA")</f>
        <v>6.5981357336573092</v>
      </c>
      <c r="CE485" s="80">
        <f>IFERROR(VLOOKUP($H485,'1. Set Program Names'!$B$2:$D$15,3,0)*AE485,"NA")</f>
        <v>7.7294423290357051</v>
      </c>
    </row>
    <row r="486" spans="1:83" x14ac:dyDescent="0.25">
      <c r="A486" s="79" t="s">
        <v>117</v>
      </c>
      <c r="B486" s="79" t="s">
        <v>88</v>
      </c>
      <c r="C486" s="79" t="s">
        <v>122</v>
      </c>
      <c r="D486" s="79" t="s">
        <v>90</v>
      </c>
      <c r="E486" s="79" t="s">
        <v>91</v>
      </c>
      <c r="F486" s="79" t="s">
        <v>90</v>
      </c>
      <c r="G486" s="79" t="s">
        <v>92</v>
      </c>
      <c r="H486" s="79" t="s">
        <v>18</v>
      </c>
      <c r="I486" s="79" t="s">
        <v>173</v>
      </c>
      <c r="J486" s="79" t="s">
        <v>129</v>
      </c>
      <c r="K486" s="79" t="s">
        <v>130</v>
      </c>
      <c r="L486" s="79">
        <v>142641.03499999901</v>
      </c>
      <c r="M486" s="79">
        <v>27.8398087391258</v>
      </c>
      <c r="N486" s="79">
        <v>0</v>
      </c>
      <c r="O486" s="79">
        <v>59303.302436563899</v>
      </c>
      <c r="P486" s="79">
        <v>29333.7078862829</v>
      </c>
      <c r="Q486" s="79">
        <v>4514.3314569611503</v>
      </c>
      <c r="R486" s="79">
        <v>66617.989682832806</v>
      </c>
      <c r="S486" s="79">
        <v>154925.29091738301</v>
      </c>
      <c r="T486" s="79">
        <v>15</v>
      </c>
      <c r="U486" s="79">
        <v>1</v>
      </c>
      <c r="V486" s="79">
        <f>tbl_Data_old[[#This Row],[2025 ]]*IFERROR(AVERAGEIFS('Participation Adjustment'!$C:$C,'Participation Adjustment'!$A:$A,$H486,'Participation Adjustment'!$B:$B,$I486),1)</f>
        <v>0</v>
      </c>
      <c r="W486" s="79">
        <f>tbl_Data_old[[#This Row],[2026 ]]*IFERROR(AVERAGEIFS('Participation Adjustment'!$C:$C,'Participation Adjustment'!$A:$A,$H486,'Participation Adjustment'!$B:$B,$I486),1)</f>
        <v>0</v>
      </c>
      <c r="X486" s="79">
        <f>tbl_Data_old[[#This Row],[2027 ]]*IFERROR(AVERAGEIFS('Participation Adjustment'!$C:$C,'Participation Adjustment'!$A:$A,$H486,'Participation Adjustment'!$B:$B,$I486),1)</f>
        <v>0</v>
      </c>
      <c r="Y486" s="79">
        <f>tbl_Data_old[[#This Row],[2028 ]]*IFERROR(AVERAGEIFS('Participation Adjustment'!$C:$C,'Participation Adjustment'!$A:$A,$H486,'Participation Adjustment'!$B:$B,$I486),1)</f>
        <v>0</v>
      </c>
      <c r="Z486" s="79">
        <f>tbl_Data_old[[#This Row],[2029 ]]*IFERROR(AVERAGEIFS('Participation Adjustment'!$C:$C,'Participation Adjustment'!$A:$A,$H486,'Participation Adjustment'!$B:$B,$I486),1)</f>
        <v>0</v>
      </c>
      <c r="AA486" s="79">
        <f>tbl_Data_old[[#This Row],[2030 ]]*IFERROR(AVERAGEIFS('Participation Adjustment'!$C:$C,'Participation Adjustment'!$A:$A,$H486,'Participation Adjustment'!$B:$B,$I486),1)</f>
        <v>0</v>
      </c>
      <c r="AB486" s="79">
        <f>tbl_Data_old[[#This Row],[2031 ]]*IFERROR(AVERAGEIFS('Participation Adjustment'!$C:$C,'Participation Adjustment'!$A:$A,$H486,'Participation Adjustment'!$B:$B,$I486),1)</f>
        <v>0</v>
      </c>
      <c r="AC486" s="79">
        <f>tbl_Data_old[[#This Row],[2032 ]]*IFERROR(AVERAGEIFS('Participation Adjustment'!$C:$C,'Participation Adjustment'!$A:$A,$H486,'Participation Adjustment'!$B:$B,$I486),1)</f>
        <v>0</v>
      </c>
      <c r="AD486" s="79">
        <f>tbl_Data_old[[#This Row],[2033 ]]*IFERROR(AVERAGEIFS('Participation Adjustment'!$C:$C,'Participation Adjustment'!$A:$A,$H486,'Participation Adjustment'!$B:$B,$I486),1)</f>
        <v>0</v>
      </c>
      <c r="AE486" s="79">
        <f>tbl_Data_old[[#This Row],[2034 ]]*IFERROR(AVERAGEIFS('Participation Adjustment'!$C:$C,'Participation Adjustment'!$A:$A,$H486,'Participation Adjustment'!$B:$B,$I486),1)</f>
        <v>0</v>
      </c>
      <c r="AF486" s="77" t="str">
        <f t="shared" si="198"/>
        <v>NonResidential</v>
      </c>
      <c r="AG486" s="77" t="str">
        <f>tbl_Data[[#This Row],[All_Meas_Name_Append]]</f>
        <v>Facility Energy Management System_SC</v>
      </c>
      <c r="AH486" s="77">
        <f>AVERAGEIFS('3. Incentive Adjustment'!G:G,'3. Incentive Adjustment'!A:A,tbl_Data[[#This Row],[Trimmed Sector]],'3. Incentive Adjustment'!B:B,tbl_Data[[#This Row],[Trimmed Measure Name]])</f>
        <v>0.86797534995247072</v>
      </c>
      <c r="AI486" s="77">
        <f>$AH486*tbl_Data[[#This Row],[2025 ]]</f>
        <v>0</v>
      </c>
      <c r="AJ486" s="77">
        <f>$AH486*tbl_Data[[#This Row],[2026 ]]</f>
        <v>0</v>
      </c>
      <c r="AK486" s="77">
        <f>$AH486*tbl_Data[[#This Row],[2027 ]]</f>
        <v>0</v>
      </c>
      <c r="AL486" s="77">
        <f>$AH486*tbl_Data[[#This Row],[2028 ]]</f>
        <v>0</v>
      </c>
      <c r="AM486" s="77">
        <f>$AH486*tbl_Data[[#This Row],[2029 ]]</f>
        <v>0</v>
      </c>
      <c r="AN486" s="77">
        <f>$AH486*tbl_Data[[#This Row],[2030 ]]</f>
        <v>0</v>
      </c>
      <c r="AO486" s="77">
        <f>$AH486*tbl_Data[[#This Row],[2031 ]]</f>
        <v>0</v>
      </c>
      <c r="AP486" s="77">
        <f>$AH486*tbl_Data[[#This Row],[2032 ]]</f>
        <v>0</v>
      </c>
      <c r="AQ486" s="77">
        <f>$AH486*tbl_Data[[#This Row],[2033 ]]</f>
        <v>0</v>
      </c>
      <c r="AR486" s="77">
        <f>$AH486*tbl_Data[[#This Row],[2034 ]]</f>
        <v>0</v>
      </c>
      <c r="AS486" s="77">
        <f>SUM(tbl_Data[[#This Row],[Adjusted 2025]:[Adjusted 2034]])</f>
        <v>0</v>
      </c>
      <c r="AT486" s="80">
        <f>AVERAGEIFS('3. Incentive Adjustment'!F:F,'3. Incentive Adjustment'!A:A,tbl_Data[[#This Row],[Trimmed Sector]],'3. Incentive Adjustment'!B:B,tbl_Data[[#This Row],[Trimmed Measure Name]])</f>
        <v>21679.111511953593</v>
      </c>
      <c r="AU486" s="80">
        <f>IFERROR(VLOOKUP(tbl_Data[[#This Row],[All_Meas_Name_Append]],'IRA Tax Credits'!$A$3:$D$46,4,0),0)</f>
        <v>0</v>
      </c>
      <c r="AV486" s="81">
        <f>tbl_Data[[#This Row],[Adj. per unit Incentive ($)]]/tbl_Data[[#This Row],[kWh Savings]]*tbl_Data[[#This Row],[Sum of Annuals]]</f>
        <v>0</v>
      </c>
      <c r="AW486" s="81">
        <f>IFERROR(VLOOKUP(tbl_Data[[#This Row],[Column1]],'1. Set Program Names'!$B$2:$D$15,3,0)*tbl_Data[[#This Row],[Sum of Annuals]],"")</f>
        <v>0</v>
      </c>
      <c r="AX486" s="81">
        <f>tbl_Data[[#This Row],[per unit IRA tax ($)]]/tbl_Data[[#This Row],[kWh Savings]]*tbl_Data[[#This Row],[Sum of Annuals]]</f>
        <v>0</v>
      </c>
      <c r="AY486" s="81">
        <f>tbl_Data[[#This Row],[Avoided Costs ($/unit)]]/tbl_Data[[#This Row],[kWh Savings]]*tbl_Data[[#This Row],[Sum of Annuals]]</f>
        <v>0</v>
      </c>
      <c r="AZ486" s="81">
        <f>tbl_Data[[#This Row],[Lost Revenue ($/unit)]]/tbl_Data[[#This Row],[kWh Savings]]*tbl_Data[[#This Row],[Sum of Annuals]]</f>
        <v>0</v>
      </c>
      <c r="BA486" s="81">
        <f>tbl_Data[[#This Row],[Incremental Cost ($/unit)]]/tbl_Data[[#This Row],[kWh Savings]]*tbl_Data[[#This Row],[Sum of Annuals]]</f>
        <v>0</v>
      </c>
      <c r="BB486" s="77">
        <f>ROUNDUP(tbl_Data[[#This Row],[Adjusted 2025]]/$L486,0)</f>
        <v>0</v>
      </c>
      <c r="BC486" s="77">
        <f>ROUNDUP(tbl_Data[[#This Row],[Adjusted 2026]]/$L486,0)</f>
        <v>0</v>
      </c>
      <c r="BD486" s="77">
        <f>ROUNDUP(tbl_Data[[#This Row],[Adjusted 2027]]/$L486,0)</f>
        <v>0</v>
      </c>
      <c r="BE486" s="77">
        <f>ROUNDUP(tbl_Data[[#This Row],[Adjusted 2028]]/$L486,0)</f>
        <v>0</v>
      </c>
      <c r="BF486" s="77">
        <f>ROUNDUP(tbl_Data[[#This Row],[Adjusted 2029]]/$L486,0)</f>
        <v>0</v>
      </c>
      <c r="BG486" s="77">
        <f>ROUNDUP(tbl_Data[[#This Row],[Adjusted 2030]]/$L486,0)</f>
        <v>0</v>
      </c>
      <c r="BH486" s="77">
        <f>ROUNDUP(tbl_Data[[#This Row],[Adjusted 2031]]/$L486,0)</f>
        <v>0</v>
      </c>
      <c r="BI486" s="77">
        <f>ROUNDUP(tbl_Data[[#This Row],[Adjusted 2032]]/$L486,0)</f>
        <v>0</v>
      </c>
      <c r="BJ486" s="77">
        <f>ROUNDUP(tbl_Data[[#This Row],[Adjusted 2033]]/$L486,0)</f>
        <v>0</v>
      </c>
      <c r="BK486" s="77">
        <f>ROUNDUP(tbl_Data[[#This Row],[Adjusted 2034]]/$L486,0)</f>
        <v>0</v>
      </c>
      <c r="BL486" s="80">
        <f t="shared" si="199"/>
        <v>0</v>
      </c>
      <c r="BM486" s="80">
        <f t="shared" si="200"/>
        <v>0</v>
      </c>
      <c r="BN486" s="80">
        <f t="shared" si="201"/>
        <v>0</v>
      </c>
      <c r="BO486" s="80">
        <f t="shared" si="202"/>
        <v>0</v>
      </c>
      <c r="BP486" s="80">
        <f t="shared" si="203"/>
        <v>0</v>
      </c>
      <c r="BQ486" s="80">
        <f t="shared" si="204"/>
        <v>0</v>
      </c>
      <c r="BR486" s="80">
        <f t="shared" si="205"/>
        <v>0</v>
      </c>
      <c r="BS486" s="80">
        <f t="shared" si="206"/>
        <v>0</v>
      </c>
      <c r="BT486" s="80">
        <f t="shared" si="207"/>
        <v>0</v>
      </c>
      <c r="BU486" s="80">
        <f t="shared" si="208"/>
        <v>0</v>
      </c>
      <c r="BV486" s="80">
        <f>IFERROR(VLOOKUP($H486,'1. Set Program Names'!$B$2:$D$15,3,0)*V486,"NA")</f>
        <v>0</v>
      </c>
      <c r="BW486" s="80">
        <f>IFERROR(VLOOKUP($H486,'1. Set Program Names'!$B$2:$D$15,3,0)*W486,"NA")</f>
        <v>0</v>
      </c>
      <c r="BX486" s="80">
        <f>IFERROR(VLOOKUP($H486,'1. Set Program Names'!$B$2:$D$15,3,0)*X486,"NA")</f>
        <v>0</v>
      </c>
      <c r="BY486" s="80">
        <f>IFERROR(VLOOKUP($H486,'1. Set Program Names'!$B$2:$D$15,3,0)*Y486,"NA")</f>
        <v>0</v>
      </c>
      <c r="BZ486" s="80">
        <f>IFERROR(VLOOKUP($H486,'1. Set Program Names'!$B$2:$D$15,3,0)*Z486,"NA")</f>
        <v>0</v>
      </c>
      <c r="CA486" s="80">
        <f>IFERROR(VLOOKUP($H486,'1. Set Program Names'!$B$2:$D$15,3,0)*AA486,"NA")</f>
        <v>0</v>
      </c>
      <c r="CB486" s="80">
        <f>IFERROR(VLOOKUP($H486,'1. Set Program Names'!$B$2:$D$15,3,0)*AB486,"NA")</f>
        <v>0</v>
      </c>
      <c r="CC486" s="80">
        <f>IFERROR(VLOOKUP($H486,'1. Set Program Names'!$B$2:$D$15,3,0)*AC486,"NA")</f>
        <v>0</v>
      </c>
      <c r="CD486" s="80">
        <f>IFERROR(VLOOKUP($H486,'1. Set Program Names'!$B$2:$D$15,3,0)*AD486,"NA")</f>
        <v>0</v>
      </c>
      <c r="CE486" s="80">
        <f>IFERROR(VLOOKUP($H486,'1. Set Program Names'!$B$2:$D$15,3,0)*AE486,"NA")</f>
        <v>0</v>
      </c>
    </row>
    <row r="487" spans="1:83" x14ac:dyDescent="0.25">
      <c r="A487" s="79" t="s">
        <v>117</v>
      </c>
      <c r="B487" s="79" t="s">
        <v>88</v>
      </c>
      <c r="C487" s="79" t="s">
        <v>122</v>
      </c>
      <c r="D487" s="79" t="s">
        <v>90</v>
      </c>
      <c r="E487" s="79" t="s">
        <v>91</v>
      </c>
      <c r="F487" s="79" t="s">
        <v>90</v>
      </c>
      <c r="G487" s="79" t="s">
        <v>92</v>
      </c>
      <c r="H487" s="79" t="s">
        <v>18</v>
      </c>
      <c r="I487" s="79" t="s">
        <v>174</v>
      </c>
      <c r="J487" s="79" t="s">
        <v>132</v>
      </c>
      <c r="K487" s="79" t="s">
        <v>130</v>
      </c>
      <c r="L487" s="79">
        <v>2657.18</v>
      </c>
      <c r="M487" s="79">
        <v>0</v>
      </c>
      <c r="N487" s="79">
        <v>0.57468805905447795</v>
      </c>
      <c r="O487" s="79">
        <v>1080.72711480357</v>
      </c>
      <c r="P487" s="79">
        <v>534.12671770284101</v>
      </c>
      <c r="Q487" s="79">
        <v>84.094953887624897</v>
      </c>
      <c r="R487" s="79">
        <v>1466.48739383472</v>
      </c>
      <c r="S487" s="79">
        <v>2886.0165275711402</v>
      </c>
      <c r="T487" s="79">
        <v>15</v>
      </c>
      <c r="U487" s="79">
        <v>1</v>
      </c>
      <c r="V487" s="79">
        <f>tbl_Data_old[[#This Row],[2025 ]]*IFERROR(AVERAGEIFS('Participation Adjustment'!$C:$C,'Participation Adjustment'!$A:$A,$H487,'Participation Adjustment'!$B:$B,$I487),1)</f>
        <v>1.41064074809628E-2</v>
      </c>
      <c r="W487" s="79">
        <f>tbl_Data_old[[#This Row],[2026 ]]*IFERROR(AVERAGEIFS('Participation Adjustment'!$C:$C,'Participation Adjustment'!$A:$A,$H487,'Participation Adjustment'!$B:$B,$I487),1)</f>
        <v>3.3056004140125203E-2</v>
      </c>
      <c r="X487" s="79">
        <f>tbl_Data_old[[#This Row],[2027 ]]*IFERROR(AVERAGEIFS('Participation Adjustment'!$C:$C,'Participation Adjustment'!$A:$A,$H487,'Participation Adjustment'!$B:$B,$I487),1)</f>
        <v>5.7814680139095798E-2</v>
      </c>
      <c r="Y487" s="79">
        <f>tbl_Data_old[[#This Row],[2028 ]]*IFERROR(AVERAGEIFS('Participation Adjustment'!$C:$C,'Participation Adjustment'!$A:$A,$H487,'Participation Adjustment'!$B:$B,$I487),1)</f>
        <v>8.9087037415269299E-2</v>
      </c>
      <c r="Z487" s="79">
        <f>tbl_Data_old[[#This Row],[2029 ]]*IFERROR(AVERAGEIFS('Participation Adjustment'!$C:$C,'Participation Adjustment'!$A:$A,$H487,'Participation Adjustment'!$B:$B,$I487),1)</f>
        <v>0.12692731855565101</v>
      </c>
      <c r="AA487" s="79">
        <f>tbl_Data_old[[#This Row],[2030 ]]*IFERROR(AVERAGEIFS('Participation Adjustment'!$C:$C,'Participation Adjustment'!$A:$A,$H487,'Participation Adjustment'!$B:$B,$I487),1)</f>
        <v>0.17065356708063101</v>
      </c>
      <c r="AB487" s="79">
        <f>tbl_Data_old[[#This Row],[2031 ]]*IFERROR(AVERAGEIFS('Participation Adjustment'!$C:$C,'Participation Adjustment'!$A:$A,$H487,'Participation Adjustment'!$B:$B,$I487),1)</f>
        <v>0.21843112998848799</v>
      </c>
      <c r="AC487" s="79">
        <f>tbl_Data_old[[#This Row],[2032 ]]*IFERROR(AVERAGEIFS('Participation Adjustment'!$C:$C,'Participation Adjustment'!$A:$A,$H487,'Participation Adjustment'!$B:$B,$I487),1)</f>
        <v>0.26761780865219498</v>
      </c>
      <c r="AD487" s="79">
        <f>tbl_Data_old[[#This Row],[2033 ]]*IFERROR(AVERAGEIFS('Participation Adjustment'!$C:$C,'Participation Adjustment'!$A:$A,$H487,'Participation Adjustment'!$B:$B,$I487),1)</f>
        <v>0.31541578530577202</v>
      </c>
      <c r="AE487" s="79">
        <f>tbl_Data_old[[#This Row],[2034 ]]*IFERROR(AVERAGEIFS('Participation Adjustment'!$C:$C,'Participation Adjustment'!$A:$A,$H487,'Participation Adjustment'!$B:$B,$I487),1)</f>
        <v>0.35922303934257199</v>
      </c>
      <c r="AF487" s="77" t="str">
        <f t="shared" si="198"/>
        <v>NonResidential</v>
      </c>
      <c r="AG487" s="77" t="str">
        <f>tbl_Data[[#This Row],[All_Meas_Name_Append]]</f>
        <v>Facility Energy Management System_SH</v>
      </c>
      <c r="AH487" s="77">
        <f>AVERAGEIFS('3. Incentive Adjustment'!G:G,'3. Incentive Adjustment'!A:A,tbl_Data[[#This Row],[Trimmed Sector]],'3. Incentive Adjustment'!B:B,tbl_Data[[#This Row],[Trimmed Measure Name]])</f>
        <v>0.63685031373688805</v>
      </c>
      <c r="AI487" s="77">
        <f>$AH487*tbl_Data[[#This Row],[2025 ]]</f>
        <v>8.9836700299515439E-3</v>
      </c>
      <c r="AJ487" s="77">
        <f>$AH487*tbl_Data[[#This Row],[2026 ]]</f>
        <v>2.1051726607526605E-2</v>
      </c>
      <c r="AK487" s="77">
        <f>$AH487*tbl_Data[[#This Row],[2027 ]]</f>
        <v>3.6819297185180989E-2</v>
      </c>
      <c r="AL487" s="77">
        <f>$AH487*tbl_Data[[#This Row],[2028 ]]</f>
        <v>5.6735107727804136E-2</v>
      </c>
      <c r="AM487" s="77">
        <f>$AH487*tbl_Data[[#This Row],[2029 ]]</f>
        <v>8.0833702643948277E-2</v>
      </c>
      <c r="AN487" s="77">
        <f>$AH487*tbl_Data[[#This Row],[2030 ]]</f>
        <v>0.10868077773561893</v>
      </c>
      <c r="AO487" s="77">
        <f>$AH487*tbl_Data[[#This Row],[2031 ]]</f>
        <v>0.13910793366307156</v>
      </c>
      <c r="AP487" s="77">
        <f>$AH487*tbl_Data[[#This Row],[2032 ]]</f>
        <v>0.17043248540172884</v>
      </c>
      <c r="AQ487" s="77">
        <f>$AH487*tbl_Data[[#This Row],[2033 ]]</f>
        <v>0.20087264182954784</v>
      </c>
      <c r="AR487" s="77">
        <f>$AH487*tbl_Data[[#This Row],[2034 ]]</f>
        <v>0.22877130530683545</v>
      </c>
      <c r="AS487" s="77">
        <f>SUM(tbl_Data[[#This Row],[Adjusted 2025]:[Adjusted 2034]])</f>
        <v>1.0522886481312141</v>
      </c>
      <c r="AT487" s="80">
        <f>AVERAGEIFS('3. Incentive Adjustment'!F:F,'3. Incentive Adjustment'!A:A,tbl_Data[[#This Row],[Trimmed Sector]],'3. Incentive Adjustment'!B:B,tbl_Data[[#This Row],[Trimmed Measure Name]])</f>
        <v>79.715399999999988</v>
      </c>
      <c r="AU487" s="80">
        <f>IFERROR(VLOOKUP(tbl_Data[[#This Row],[All_Meas_Name_Append]],'IRA Tax Credits'!$A$3:$D$46,4,0),0)</f>
        <v>0</v>
      </c>
      <c r="AV487" s="81">
        <f>tbl_Data[[#This Row],[Adj. per unit Incentive ($)]]/tbl_Data[[#This Row],[kWh Savings]]*tbl_Data[[#This Row],[Sum of Annuals]]</f>
        <v>3.1568659443936421E-2</v>
      </c>
      <c r="AW487" s="81">
        <f>IFERROR(VLOOKUP(tbl_Data[[#This Row],[Column1]],'1. Set Program Names'!$B$2:$D$15,3,0)*tbl_Data[[#This Row],[Sum of Annuals]],"")</f>
        <v>3.3303037559015813E-2</v>
      </c>
      <c r="AX487" s="81">
        <f>tbl_Data[[#This Row],[per unit IRA tax ($)]]/tbl_Data[[#This Row],[kWh Savings]]*tbl_Data[[#This Row],[Sum of Annuals]]</f>
        <v>0</v>
      </c>
      <c r="AY487" s="81">
        <f>tbl_Data[[#This Row],[Avoided Costs ($/unit)]]/tbl_Data[[#This Row],[kWh Savings]]*tbl_Data[[#This Row],[Sum of Annuals]]</f>
        <v>0.58075404645519124</v>
      </c>
      <c r="AZ487" s="81">
        <f>tbl_Data[[#This Row],[Lost Revenue ($/unit)]]/tbl_Data[[#This Row],[kWh Savings]]*tbl_Data[[#This Row],[Sum of Annuals]]</f>
        <v>1.1429118201560211</v>
      </c>
      <c r="BA487" s="81">
        <f>tbl_Data[[#This Row],[Incremental Cost ($/unit)]]/tbl_Data[[#This Row],[kWh Savings]]*tbl_Data[[#This Row],[Sum of Annuals]]</f>
        <v>0.4279863895691659</v>
      </c>
      <c r="BB487" s="77">
        <f>ROUNDUP(tbl_Data[[#This Row],[Adjusted 2025]]/$L487,0)</f>
        <v>1</v>
      </c>
      <c r="BC487" s="77">
        <f>ROUNDUP(tbl_Data[[#This Row],[Adjusted 2026]]/$L487,0)</f>
        <v>1</v>
      </c>
      <c r="BD487" s="77">
        <f>ROUNDUP(tbl_Data[[#This Row],[Adjusted 2027]]/$L487,0)</f>
        <v>1</v>
      </c>
      <c r="BE487" s="77">
        <f>ROUNDUP(tbl_Data[[#This Row],[Adjusted 2028]]/$L487,0)</f>
        <v>1</v>
      </c>
      <c r="BF487" s="77">
        <f>ROUNDUP(tbl_Data[[#This Row],[Adjusted 2029]]/$L487,0)</f>
        <v>1</v>
      </c>
      <c r="BG487" s="77">
        <f>ROUNDUP(tbl_Data[[#This Row],[Adjusted 2030]]/$L487,0)</f>
        <v>1</v>
      </c>
      <c r="BH487" s="77">
        <f>ROUNDUP(tbl_Data[[#This Row],[Adjusted 2031]]/$L487,0)</f>
        <v>1</v>
      </c>
      <c r="BI487" s="77">
        <f>ROUNDUP(tbl_Data[[#This Row],[Adjusted 2032]]/$L487,0)</f>
        <v>1</v>
      </c>
      <c r="BJ487" s="77">
        <f>ROUNDUP(tbl_Data[[#This Row],[Adjusted 2033]]/$L487,0)</f>
        <v>1</v>
      </c>
      <c r="BK487" s="77">
        <f>ROUNDUP(tbl_Data[[#This Row],[Adjusted 2034]]/$L487,0)</f>
        <v>1</v>
      </c>
      <c r="BL487" s="80">
        <f t="shared" si="199"/>
        <v>4.2319222442888397E-4</v>
      </c>
      <c r="BM487" s="80">
        <f t="shared" si="200"/>
        <v>9.91680124203756E-4</v>
      </c>
      <c r="BN487" s="80">
        <f t="shared" si="201"/>
        <v>1.7344404041728738E-3</v>
      </c>
      <c r="BO487" s="80">
        <f t="shared" si="202"/>
        <v>2.6726111224580789E-3</v>
      </c>
      <c r="BP487" s="80">
        <f t="shared" si="203"/>
        <v>3.80781955666953E-3</v>
      </c>
      <c r="BQ487" s="80">
        <f t="shared" si="204"/>
        <v>5.1196070124189304E-3</v>
      </c>
      <c r="BR487" s="80">
        <f t="shared" si="205"/>
        <v>6.5529338996546393E-3</v>
      </c>
      <c r="BS487" s="80">
        <f t="shared" si="206"/>
        <v>8.0285342595658483E-3</v>
      </c>
      <c r="BT487" s="80">
        <f t="shared" si="207"/>
        <v>9.4624735591731599E-3</v>
      </c>
      <c r="BU487" s="80">
        <f t="shared" si="208"/>
        <v>1.0776691180277159E-2</v>
      </c>
      <c r="BV487" s="80">
        <f>IFERROR(VLOOKUP($H487,'1. Set Program Names'!$B$2:$D$15,3,0)*V487,"NA")</f>
        <v>4.464423511510753E-4</v>
      </c>
      <c r="BW487" s="80">
        <f>IFERROR(VLOOKUP($H487,'1. Set Program Names'!$B$2:$D$15,3,0)*W487,"NA")</f>
        <v>1.0461629034814986E-3</v>
      </c>
      <c r="BX487" s="80">
        <f>IFERROR(VLOOKUP($H487,'1. Set Program Names'!$B$2:$D$15,3,0)*X487,"NA")</f>
        <v>1.8297303383003963E-3</v>
      </c>
      <c r="BY487" s="80">
        <f>IFERROR(VLOOKUP($H487,'1. Set Program Names'!$B$2:$D$15,3,0)*Y487,"NA")</f>
        <v>2.8194440359411818E-3</v>
      </c>
      <c r="BZ487" s="80">
        <f>IFERROR(VLOOKUP($H487,'1. Set Program Names'!$B$2:$D$15,3,0)*Z487,"NA")</f>
        <v>4.0170206764379357E-3</v>
      </c>
      <c r="CA487" s="80">
        <f>IFERROR(VLOOKUP($H487,'1. Set Program Names'!$B$2:$D$15,3,0)*AA487,"NA")</f>
        <v>5.400877567347479E-3</v>
      </c>
      <c r="CB487" s="80">
        <f>IFERROR(VLOOKUP($H487,'1. Set Program Names'!$B$2:$D$15,3,0)*AB487,"NA")</f>
        <v>6.9129512505753119E-3</v>
      </c>
      <c r="CC487" s="80">
        <f>IFERROR(VLOOKUP($H487,'1. Set Program Names'!$B$2:$D$15,3,0)*AC487,"NA")</f>
        <v>8.4696209056644919E-3</v>
      </c>
      <c r="CD487" s="80">
        <f>IFERROR(VLOOKUP($H487,'1. Set Program Names'!$B$2:$D$15,3,0)*AD487,"NA")</f>
        <v>9.9823406471213506E-3</v>
      </c>
      <c r="CE487" s="80">
        <f>IFERROR(VLOOKUP($H487,'1. Set Program Names'!$B$2:$D$15,3,0)*AE487,"NA")</f>
        <v>1.1368761216359477E-2</v>
      </c>
    </row>
    <row r="488" spans="1:83" x14ac:dyDescent="0.25">
      <c r="A488" s="79" t="s">
        <v>117</v>
      </c>
      <c r="B488" s="79" t="s">
        <v>88</v>
      </c>
      <c r="C488" s="79" t="s">
        <v>122</v>
      </c>
      <c r="D488" s="79" t="s">
        <v>90</v>
      </c>
      <c r="E488" s="79" t="s">
        <v>91</v>
      </c>
      <c r="F488" s="79" t="s">
        <v>90</v>
      </c>
      <c r="G488" s="79" t="s">
        <v>92</v>
      </c>
      <c r="H488" s="79" t="s">
        <v>18</v>
      </c>
      <c r="I488" s="79" t="s">
        <v>145</v>
      </c>
      <c r="J488" s="79" t="s">
        <v>129</v>
      </c>
      <c r="K488" s="79" t="s">
        <v>98</v>
      </c>
      <c r="L488" s="79">
        <v>1452.1399999999801</v>
      </c>
      <c r="M488" s="79">
        <v>0.33467704377742202</v>
      </c>
      <c r="N488" s="79">
        <v>4.3977319526113799E-2</v>
      </c>
      <c r="O488" s="79">
        <v>654.99999999999898</v>
      </c>
      <c r="P488" s="79">
        <v>358.56061649158102</v>
      </c>
      <c r="Q488" s="79">
        <v>45.957611580086699</v>
      </c>
      <c r="R488" s="79">
        <v>761.15206993055403</v>
      </c>
      <c r="S488" s="79">
        <v>1577.19839843259</v>
      </c>
      <c r="T488" s="79">
        <v>15</v>
      </c>
      <c r="U488" s="79">
        <v>0.94999999999999896</v>
      </c>
      <c r="V488" s="79">
        <f>tbl_Data_old[[#This Row],[2025 ]]*IFERROR(AVERAGEIFS('Participation Adjustment'!$C:$C,'Participation Adjustment'!$A:$A,$H488,'Participation Adjustment'!$B:$B,$I488),1)</f>
        <v>4.8572910833813203E-2</v>
      </c>
      <c r="W488" s="79">
        <f>tbl_Data_old[[#This Row],[2026 ]]*IFERROR(AVERAGEIFS('Participation Adjustment'!$C:$C,'Participation Adjustment'!$A:$A,$H488,'Participation Adjustment'!$B:$B,$I488),1)</f>
        <v>0.102159086235834</v>
      </c>
      <c r="X488" s="79">
        <f>tbl_Data_old[[#This Row],[2027 ]]*IFERROR(AVERAGEIFS('Participation Adjustment'!$C:$C,'Participation Adjustment'!$A:$A,$H488,'Participation Adjustment'!$B:$B,$I488),1)</f>
        <v>0.159968155557487</v>
      </c>
      <c r="Y488" s="79">
        <f>tbl_Data_old[[#This Row],[2028 ]]*IFERROR(AVERAGEIFS('Participation Adjustment'!$C:$C,'Participation Adjustment'!$A:$A,$H488,'Participation Adjustment'!$B:$B,$I488),1)</f>
        <v>0.22152772577035401</v>
      </c>
      <c r="Z488" s="79">
        <f>tbl_Data_old[[#This Row],[2029 ]]*IFERROR(AVERAGEIFS('Participation Adjustment'!$C:$C,'Participation Adjustment'!$A:$A,$H488,'Participation Adjustment'!$B:$B,$I488),1)</f>
        <v>0.28634900276883501</v>
      </c>
      <c r="AA488" s="79">
        <f>tbl_Data_old[[#This Row],[2030 ]]*IFERROR(AVERAGEIFS('Participation Adjustment'!$C:$C,'Participation Adjustment'!$A:$A,$H488,'Participation Adjustment'!$B:$B,$I488),1)</f>
        <v>0.35393745355190198</v>
      </c>
      <c r="AB488" s="79">
        <f>tbl_Data_old[[#This Row],[2031 ]]*IFERROR(AVERAGEIFS('Participation Adjustment'!$C:$C,'Participation Adjustment'!$A:$A,$H488,'Participation Adjustment'!$B:$B,$I488),1)</f>
        <v>0.4238547691915</v>
      </c>
      <c r="AC488" s="79">
        <f>tbl_Data_old[[#This Row],[2032 ]]*IFERROR(AVERAGEIFS('Participation Adjustment'!$C:$C,'Participation Adjustment'!$A:$A,$H488,'Participation Adjustment'!$B:$B,$I488),1)</f>
        <v>0.49585773884295198</v>
      </c>
      <c r="AD488" s="79">
        <f>tbl_Data_old[[#This Row],[2033 ]]*IFERROR(AVERAGEIFS('Participation Adjustment'!$C:$C,'Participation Adjustment'!$A:$A,$H488,'Participation Adjustment'!$B:$B,$I488),1)</f>
        <v>0.56979664619214399</v>
      </c>
      <c r="AE488" s="79">
        <f>tbl_Data_old[[#This Row],[2034 ]]*IFERROR(AVERAGEIFS('Participation Adjustment'!$C:$C,'Participation Adjustment'!$A:$A,$H488,'Participation Adjustment'!$B:$B,$I488),1)</f>
        <v>0.64543944560919997</v>
      </c>
      <c r="AF488" s="77" t="str">
        <f t="shared" si="198"/>
        <v>NonResidential</v>
      </c>
      <c r="AG488" s="77" t="str">
        <f>tbl_Data[[#This Row],[All_Meas_Name_Append]]</f>
        <v>HE DX Less than 5.4 Tons Elect Heat</v>
      </c>
      <c r="AH488" s="77">
        <f>AVERAGEIFS('3. Incentive Adjustment'!G:G,'3. Incentive Adjustment'!A:A,tbl_Data[[#This Row],[Trimmed Sector]],'3. Incentive Adjustment'!B:B,tbl_Data[[#This Row],[Trimmed Measure Name]])</f>
        <v>0.74493198517309978</v>
      </c>
      <c r="AI488" s="77">
        <f>$AH488*tbl_Data[[#This Row],[2025 ]]</f>
        <v>3.6183514893068432E-2</v>
      </c>
      <c r="AJ488" s="77">
        <f>$AH488*tbl_Data[[#This Row],[2026 ]]</f>
        <v>7.6101570913129718E-2</v>
      </c>
      <c r="AK488" s="77">
        <f>$AH488*tbl_Data[[#This Row],[2027 ]]</f>
        <v>0.11916539568391803</v>
      </c>
      <c r="AL488" s="77">
        <f>$AH488*tbl_Data[[#This Row],[2028 ]]</f>
        <v>0.16502308852899186</v>
      </c>
      <c r="AM488" s="77">
        <f>$AH488*tbl_Data[[#This Row],[2029 ]]</f>
        <v>0.2133105310849257</v>
      </c>
      <c r="AN488" s="77">
        <f>$AH488*tbl_Data[[#This Row],[2030 ]]</f>
        <v>0.26365932990153013</v>
      </c>
      <c r="AO488" s="77">
        <f>$AH488*tbl_Data[[#This Row],[2031 ]]</f>
        <v>0.3157429746389101</v>
      </c>
      <c r="AP488" s="77">
        <f>$AH488*tbl_Data[[#This Row],[2032 ]]</f>
        <v>0.3693802897597247</v>
      </c>
      <c r="AQ488" s="77">
        <f>$AH488*tbl_Data[[#This Row],[2033 ]]</f>
        <v>0.42445974679288817</v>
      </c>
      <c r="AR488" s="77">
        <f>$AH488*tbl_Data[[#This Row],[2034 ]]</f>
        <v>0.48080848752668631</v>
      </c>
      <c r="AS488" s="77">
        <f>SUM(tbl_Data[[#This Row],[Adjusted 2025]:[Adjusted 2034]])</f>
        <v>2.4638349297237729</v>
      </c>
      <c r="AT488" s="80">
        <f>AVERAGEIFS('3. Incentive Adjustment'!F:F,'3. Incentive Adjustment'!A:A,tbl_Data[[#This Row],[Trimmed Sector]],'3. Incentive Adjustment'!B:B,tbl_Data[[#This Row],[Trimmed Measure Name]])</f>
        <v>196.49999999999969</v>
      </c>
      <c r="AU488" s="80">
        <f>IFERROR(VLOOKUP(tbl_Data[[#This Row],[All_Meas_Name_Append]],'IRA Tax Credits'!$A$3:$D$46,4,0),0)</f>
        <v>0</v>
      </c>
      <c r="AV488" s="81">
        <f>tbl_Data[[#This Row],[Adj. per unit Incentive ($)]]/tbl_Data[[#This Row],[kWh Savings]]*tbl_Data[[#This Row],[Sum of Annuals]]</f>
        <v>0.33340006038724035</v>
      </c>
      <c r="AW488" s="81">
        <f>IFERROR(VLOOKUP(tbl_Data[[#This Row],[Column1]],'1. Set Program Names'!$B$2:$D$15,3,0)*tbl_Data[[#This Row],[Sum of Annuals]],"")</f>
        <v>7.7975931175848209E-2</v>
      </c>
      <c r="AX488" s="81">
        <f>tbl_Data[[#This Row],[per unit IRA tax ($)]]/tbl_Data[[#This Row],[kWh Savings]]*tbl_Data[[#This Row],[Sum of Annuals]]</f>
        <v>0</v>
      </c>
      <c r="AY488" s="81">
        <f>tbl_Data[[#This Row],[Avoided Costs ($/unit)]]/tbl_Data[[#This Row],[kWh Savings]]*tbl_Data[[#This Row],[Sum of Annuals]]</f>
        <v>1.2914409469654968</v>
      </c>
      <c r="AZ488" s="81">
        <f>tbl_Data[[#This Row],[Lost Revenue ($/unit)]]/tbl_Data[[#This Row],[kWh Savings]]*tbl_Data[[#This Row],[Sum of Annuals]]</f>
        <v>2.676020566310866</v>
      </c>
      <c r="BA488" s="81">
        <f>tbl_Data[[#This Row],[Incremental Cost ($/unit)]]/tbl_Data[[#This Row],[kWh Savings]]*tbl_Data[[#This Row],[Sum of Annuals]]</f>
        <v>1.1113335346241346</v>
      </c>
      <c r="BB488" s="77">
        <f>ROUNDUP(tbl_Data[[#This Row],[Adjusted 2025]]/$L488,0)</f>
        <v>1</v>
      </c>
      <c r="BC488" s="77">
        <f>ROUNDUP(tbl_Data[[#This Row],[Adjusted 2026]]/$L488,0)</f>
        <v>1</v>
      </c>
      <c r="BD488" s="77">
        <f>ROUNDUP(tbl_Data[[#This Row],[Adjusted 2027]]/$L488,0)</f>
        <v>1</v>
      </c>
      <c r="BE488" s="77">
        <f>ROUNDUP(tbl_Data[[#This Row],[Adjusted 2028]]/$L488,0)</f>
        <v>1</v>
      </c>
      <c r="BF488" s="77">
        <f>ROUNDUP(tbl_Data[[#This Row],[Adjusted 2029]]/$L488,0)</f>
        <v>1</v>
      </c>
      <c r="BG488" s="77">
        <f>ROUNDUP(tbl_Data[[#This Row],[Adjusted 2030]]/$L488,0)</f>
        <v>1</v>
      </c>
      <c r="BH488" s="77">
        <f>ROUNDUP(tbl_Data[[#This Row],[Adjusted 2031]]/$L488,0)</f>
        <v>1</v>
      </c>
      <c r="BI488" s="77">
        <f>ROUNDUP(tbl_Data[[#This Row],[Adjusted 2032]]/$L488,0)</f>
        <v>1</v>
      </c>
      <c r="BJ488" s="77">
        <f>ROUNDUP(tbl_Data[[#This Row],[Adjusted 2033]]/$L488,0)</f>
        <v>1</v>
      </c>
      <c r="BK488" s="77">
        <f>ROUNDUP(tbl_Data[[#This Row],[Adjusted 2034]]/$L488,0)</f>
        <v>1</v>
      </c>
      <c r="BL488" s="80">
        <f t="shared" si="199"/>
        <v>6.5727663853653298E-3</v>
      </c>
      <c r="BM488" s="80">
        <f t="shared" si="200"/>
        <v>1.382391535619267E-2</v>
      </c>
      <c r="BN488" s="80">
        <f t="shared" si="201"/>
        <v>2.1646495907451466E-2</v>
      </c>
      <c r="BO488" s="80">
        <f t="shared" si="202"/>
        <v>2.9976584980700959E-2</v>
      </c>
      <c r="BP488" s="80">
        <f t="shared" si="203"/>
        <v>3.8748040164224361E-2</v>
      </c>
      <c r="BQ488" s="80">
        <f t="shared" si="204"/>
        <v>4.7893942473142798E-2</v>
      </c>
      <c r="BR488" s="80">
        <f t="shared" si="205"/>
        <v>5.7354981025335545E-2</v>
      </c>
      <c r="BS488" s="80">
        <f t="shared" si="206"/>
        <v>6.7098245129699086E-2</v>
      </c>
      <c r="BT488" s="80">
        <f t="shared" si="207"/>
        <v>7.7103475544202105E-2</v>
      </c>
      <c r="BU488" s="80">
        <f t="shared" si="208"/>
        <v>8.7339272427045131E-2</v>
      </c>
      <c r="BV488" s="80">
        <f>IFERROR(VLOOKUP($H488,'1. Set Program Names'!$B$2:$D$15,3,0)*V488,"NA")</f>
        <v>1.5372450104084931E-3</v>
      </c>
      <c r="BW488" s="80">
        <f>IFERROR(VLOOKUP($H488,'1. Set Program Names'!$B$2:$D$15,3,0)*W488,"NA")</f>
        <v>3.2331508013022682E-3</v>
      </c>
      <c r="BX488" s="80">
        <f>IFERROR(VLOOKUP($H488,'1. Set Program Names'!$B$2:$D$15,3,0)*X488,"NA")</f>
        <v>5.062703567351585E-3</v>
      </c>
      <c r="BY488" s="80">
        <f>IFERROR(VLOOKUP($H488,'1. Set Program Names'!$B$2:$D$15,3,0)*Y488,"NA")</f>
        <v>7.0109529213257457E-3</v>
      </c>
      <c r="BZ488" s="80">
        <f>IFERROR(VLOOKUP($H488,'1. Set Program Names'!$B$2:$D$15,3,0)*Z488,"NA")</f>
        <v>9.0624294114860747E-3</v>
      </c>
      <c r="CA488" s="80">
        <f>IFERROR(VLOOKUP($H488,'1. Set Program Names'!$B$2:$D$15,3,0)*AA488,"NA")</f>
        <v>1.1201481960405615E-2</v>
      </c>
      <c r="CB488" s="80">
        <f>IFERROR(VLOOKUP($H488,'1. Set Program Names'!$B$2:$D$15,3,0)*AB488,"NA")</f>
        <v>1.3414238881148099E-2</v>
      </c>
      <c r="CC488" s="80">
        <f>IFERROR(VLOOKUP($H488,'1. Set Program Names'!$B$2:$D$15,3,0)*AC488,"NA")</f>
        <v>1.5693002989191556E-2</v>
      </c>
      <c r="CD488" s="80">
        <f>IFERROR(VLOOKUP($H488,'1. Set Program Names'!$B$2:$D$15,3,0)*AD488,"NA")</f>
        <v>1.8033036033257701E-2</v>
      </c>
      <c r="CE488" s="80">
        <f>IFERROR(VLOOKUP($H488,'1. Set Program Names'!$B$2:$D$15,3,0)*AE488,"NA")</f>
        <v>2.0426994187732816E-2</v>
      </c>
    </row>
    <row r="489" spans="1:83" x14ac:dyDescent="0.25">
      <c r="A489" s="79" t="s">
        <v>117</v>
      </c>
      <c r="B489" s="79" t="s">
        <v>88</v>
      </c>
      <c r="C489" s="79" t="s">
        <v>122</v>
      </c>
      <c r="D489" s="79" t="s">
        <v>90</v>
      </c>
      <c r="E489" s="79" t="s">
        <v>91</v>
      </c>
      <c r="F489" s="79" t="s">
        <v>90</v>
      </c>
      <c r="G489" s="79" t="s">
        <v>92</v>
      </c>
      <c r="H489" s="79" t="s">
        <v>18</v>
      </c>
      <c r="I489" s="79" t="s">
        <v>146</v>
      </c>
      <c r="J489" s="79" t="s">
        <v>129</v>
      </c>
      <c r="K489" s="79" t="s">
        <v>98</v>
      </c>
      <c r="L489" s="79">
        <v>23719.439999999999</v>
      </c>
      <c r="M489" s="79">
        <v>5.4597690026648404</v>
      </c>
      <c r="N489" s="79">
        <v>0</v>
      </c>
      <c r="O489" s="79">
        <v>11386</v>
      </c>
      <c r="P489" s="79">
        <v>6681.8656442185202</v>
      </c>
      <c r="Q489" s="79">
        <v>750.67749006099905</v>
      </c>
      <c r="R489" s="79">
        <v>13758.6347393458</v>
      </c>
      <c r="S489" s="79">
        <v>32663.358650317699</v>
      </c>
      <c r="T489" s="79">
        <v>23</v>
      </c>
      <c r="U489" s="79">
        <v>1</v>
      </c>
      <c r="V489" s="79">
        <f>tbl_Data_old[[#This Row],[2025 ]]*IFERROR(AVERAGEIFS('Participation Adjustment'!$C:$C,'Participation Adjustment'!$A:$A,$H489,'Participation Adjustment'!$B:$B,$I489),1)</f>
        <v>0</v>
      </c>
      <c r="W489" s="79">
        <f>tbl_Data_old[[#This Row],[2026 ]]*IFERROR(AVERAGEIFS('Participation Adjustment'!$C:$C,'Participation Adjustment'!$A:$A,$H489,'Participation Adjustment'!$B:$B,$I489),1)</f>
        <v>0</v>
      </c>
      <c r="X489" s="79">
        <f>tbl_Data_old[[#This Row],[2027 ]]*IFERROR(AVERAGEIFS('Participation Adjustment'!$C:$C,'Participation Adjustment'!$A:$A,$H489,'Participation Adjustment'!$B:$B,$I489),1)</f>
        <v>0</v>
      </c>
      <c r="Y489" s="79">
        <f>tbl_Data_old[[#This Row],[2028 ]]*IFERROR(AVERAGEIFS('Participation Adjustment'!$C:$C,'Participation Adjustment'!$A:$A,$H489,'Participation Adjustment'!$B:$B,$I489),1)</f>
        <v>0</v>
      </c>
      <c r="Z489" s="79">
        <f>tbl_Data_old[[#This Row],[2029 ]]*IFERROR(AVERAGEIFS('Participation Adjustment'!$C:$C,'Participation Adjustment'!$A:$A,$H489,'Participation Adjustment'!$B:$B,$I489),1)</f>
        <v>0</v>
      </c>
      <c r="AA489" s="79">
        <f>tbl_Data_old[[#This Row],[2030 ]]*IFERROR(AVERAGEIFS('Participation Adjustment'!$C:$C,'Participation Adjustment'!$A:$A,$H489,'Participation Adjustment'!$B:$B,$I489),1)</f>
        <v>0</v>
      </c>
      <c r="AB489" s="79">
        <f>tbl_Data_old[[#This Row],[2031 ]]*IFERROR(AVERAGEIFS('Participation Adjustment'!$C:$C,'Participation Adjustment'!$A:$A,$H489,'Participation Adjustment'!$B:$B,$I489),1)</f>
        <v>0</v>
      </c>
      <c r="AC489" s="79">
        <f>tbl_Data_old[[#This Row],[2032 ]]*IFERROR(AVERAGEIFS('Participation Adjustment'!$C:$C,'Participation Adjustment'!$A:$A,$H489,'Participation Adjustment'!$B:$B,$I489),1)</f>
        <v>0</v>
      </c>
      <c r="AD489" s="79">
        <f>tbl_Data_old[[#This Row],[2033 ]]*IFERROR(AVERAGEIFS('Participation Adjustment'!$C:$C,'Participation Adjustment'!$A:$A,$H489,'Participation Adjustment'!$B:$B,$I489),1)</f>
        <v>0</v>
      </c>
      <c r="AE489" s="79">
        <f>tbl_Data_old[[#This Row],[2034 ]]*IFERROR(AVERAGEIFS('Participation Adjustment'!$C:$C,'Participation Adjustment'!$A:$A,$H489,'Participation Adjustment'!$B:$B,$I489),1)</f>
        <v>0</v>
      </c>
      <c r="AF489" s="77" t="str">
        <f t="shared" si="198"/>
        <v>NonResidential</v>
      </c>
      <c r="AG489" s="77" t="str">
        <f>tbl_Data[[#This Row],[All_Meas_Name_Append]]</f>
        <v>HE Water Cooled Chiller - Centrifugal Compressor - 200 Tons</v>
      </c>
      <c r="AH489" s="77">
        <f>AVERAGEIFS('3. Incentive Adjustment'!G:G,'3. Incentive Adjustment'!A:A,tbl_Data[[#This Row],[Trimmed Sector]],'3. Incentive Adjustment'!B:B,tbl_Data[[#This Row],[Trimmed Measure Name]])</f>
        <v>0.69536855707903378</v>
      </c>
      <c r="AI489" s="77">
        <f>$AH489*tbl_Data[[#This Row],[2025 ]]</f>
        <v>0</v>
      </c>
      <c r="AJ489" s="77">
        <f>$AH489*tbl_Data[[#This Row],[2026 ]]</f>
        <v>0</v>
      </c>
      <c r="AK489" s="77">
        <f>$AH489*tbl_Data[[#This Row],[2027 ]]</f>
        <v>0</v>
      </c>
      <c r="AL489" s="77">
        <f>$AH489*tbl_Data[[#This Row],[2028 ]]</f>
        <v>0</v>
      </c>
      <c r="AM489" s="77">
        <f>$AH489*tbl_Data[[#This Row],[2029 ]]</f>
        <v>0</v>
      </c>
      <c r="AN489" s="77">
        <f>$AH489*tbl_Data[[#This Row],[2030 ]]</f>
        <v>0</v>
      </c>
      <c r="AO489" s="77">
        <f>$AH489*tbl_Data[[#This Row],[2031 ]]</f>
        <v>0</v>
      </c>
      <c r="AP489" s="77">
        <f>$AH489*tbl_Data[[#This Row],[2032 ]]</f>
        <v>0</v>
      </c>
      <c r="AQ489" s="77">
        <f>$AH489*tbl_Data[[#This Row],[2033 ]]</f>
        <v>0</v>
      </c>
      <c r="AR489" s="77">
        <f>$AH489*tbl_Data[[#This Row],[2034 ]]</f>
        <v>0</v>
      </c>
      <c r="AS489" s="77">
        <f>SUM(tbl_Data[[#This Row],[Adjusted 2025]:[Adjusted 2034]])</f>
        <v>0</v>
      </c>
      <c r="AT489" s="80">
        <f>AVERAGEIFS('3. Incentive Adjustment'!F:F,'3. Incentive Adjustment'!A:A,tbl_Data[[#This Row],[Trimmed Sector]],'3. Incentive Adjustment'!B:B,tbl_Data[[#This Row],[Trimmed Measure Name]])</f>
        <v>3415.7999999999997</v>
      </c>
      <c r="AU489" s="80">
        <f>IFERROR(VLOOKUP(tbl_Data[[#This Row],[All_Meas_Name_Append]],'IRA Tax Credits'!$A$3:$D$46,4,0),0)</f>
        <v>0</v>
      </c>
      <c r="AV489" s="81">
        <f>tbl_Data[[#This Row],[Adj. per unit Incentive ($)]]/tbl_Data[[#This Row],[kWh Savings]]*tbl_Data[[#This Row],[Sum of Annuals]]</f>
        <v>0</v>
      </c>
      <c r="AW489" s="81">
        <f>IFERROR(VLOOKUP(tbl_Data[[#This Row],[Column1]],'1. Set Program Names'!$B$2:$D$15,3,0)*tbl_Data[[#This Row],[Sum of Annuals]],"")</f>
        <v>0</v>
      </c>
      <c r="AX489" s="81">
        <f>tbl_Data[[#This Row],[per unit IRA tax ($)]]/tbl_Data[[#This Row],[kWh Savings]]*tbl_Data[[#This Row],[Sum of Annuals]]</f>
        <v>0</v>
      </c>
      <c r="AY489" s="81">
        <f>tbl_Data[[#This Row],[Avoided Costs ($/unit)]]/tbl_Data[[#This Row],[kWh Savings]]*tbl_Data[[#This Row],[Sum of Annuals]]</f>
        <v>0</v>
      </c>
      <c r="AZ489" s="81">
        <f>tbl_Data[[#This Row],[Lost Revenue ($/unit)]]/tbl_Data[[#This Row],[kWh Savings]]*tbl_Data[[#This Row],[Sum of Annuals]]</f>
        <v>0</v>
      </c>
      <c r="BA489" s="81">
        <f>tbl_Data[[#This Row],[Incremental Cost ($/unit)]]/tbl_Data[[#This Row],[kWh Savings]]*tbl_Data[[#This Row],[Sum of Annuals]]</f>
        <v>0</v>
      </c>
      <c r="BB489" s="77">
        <f>ROUNDUP(tbl_Data[[#This Row],[Adjusted 2025]]/$L489,0)</f>
        <v>0</v>
      </c>
      <c r="BC489" s="77">
        <f>ROUNDUP(tbl_Data[[#This Row],[Adjusted 2026]]/$L489,0)</f>
        <v>0</v>
      </c>
      <c r="BD489" s="77">
        <f>ROUNDUP(tbl_Data[[#This Row],[Adjusted 2027]]/$L489,0)</f>
        <v>0</v>
      </c>
      <c r="BE489" s="77">
        <f>ROUNDUP(tbl_Data[[#This Row],[Adjusted 2028]]/$L489,0)</f>
        <v>0</v>
      </c>
      <c r="BF489" s="77">
        <f>ROUNDUP(tbl_Data[[#This Row],[Adjusted 2029]]/$L489,0)</f>
        <v>0</v>
      </c>
      <c r="BG489" s="77">
        <f>ROUNDUP(tbl_Data[[#This Row],[Adjusted 2030]]/$L489,0)</f>
        <v>0</v>
      </c>
      <c r="BH489" s="77">
        <f>ROUNDUP(tbl_Data[[#This Row],[Adjusted 2031]]/$L489,0)</f>
        <v>0</v>
      </c>
      <c r="BI489" s="77">
        <f>ROUNDUP(tbl_Data[[#This Row],[Adjusted 2032]]/$L489,0)</f>
        <v>0</v>
      </c>
      <c r="BJ489" s="77">
        <f>ROUNDUP(tbl_Data[[#This Row],[Adjusted 2033]]/$L489,0)</f>
        <v>0</v>
      </c>
      <c r="BK489" s="77">
        <f>ROUNDUP(tbl_Data[[#This Row],[Adjusted 2034]]/$L489,0)</f>
        <v>0</v>
      </c>
      <c r="BL489" s="80">
        <f t="shared" si="199"/>
        <v>0</v>
      </c>
      <c r="BM489" s="80">
        <f t="shared" si="200"/>
        <v>0</v>
      </c>
      <c r="BN489" s="80">
        <f t="shared" si="201"/>
        <v>0</v>
      </c>
      <c r="BO489" s="80">
        <f t="shared" si="202"/>
        <v>0</v>
      </c>
      <c r="BP489" s="80">
        <f t="shared" si="203"/>
        <v>0</v>
      </c>
      <c r="BQ489" s="80">
        <f t="shared" si="204"/>
        <v>0</v>
      </c>
      <c r="BR489" s="80">
        <f t="shared" si="205"/>
        <v>0</v>
      </c>
      <c r="BS489" s="80">
        <f t="shared" si="206"/>
        <v>0</v>
      </c>
      <c r="BT489" s="80">
        <f t="shared" si="207"/>
        <v>0</v>
      </c>
      <c r="BU489" s="80">
        <f t="shared" si="208"/>
        <v>0</v>
      </c>
      <c r="BV489" s="80">
        <f>IFERROR(VLOOKUP($H489,'1. Set Program Names'!$B$2:$D$15,3,0)*V489,"NA")</f>
        <v>0</v>
      </c>
      <c r="BW489" s="80">
        <f>IFERROR(VLOOKUP($H489,'1. Set Program Names'!$B$2:$D$15,3,0)*W489,"NA")</f>
        <v>0</v>
      </c>
      <c r="BX489" s="80">
        <f>IFERROR(VLOOKUP($H489,'1. Set Program Names'!$B$2:$D$15,3,0)*X489,"NA")</f>
        <v>0</v>
      </c>
      <c r="BY489" s="80">
        <f>IFERROR(VLOOKUP($H489,'1. Set Program Names'!$B$2:$D$15,3,0)*Y489,"NA")</f>
        <v>0</v>
      </c>
      <c r="BZ489" s="80">
        <f>IFERROR(VLOOKUP($H489,'1. Set Program Names'!$B$2:$D$15,3,0)*Z489,"NA")</f>
        <v>0</v>
      </c>
      <c r="CA489" s="80">
        <f>IFERROR(VLOOKUP($H489,'1. Set Program Names'!$B$2:$D$15,3,0)*AA489,"NA")</f>
        <v>0</v>
      </c>
      <c r="CB489" s="80">
        <f>IFERROR(VLOOKUP($H489,'1. Set Program Names'!$B$2:$D$15,3,0)*AB489,"NA")</f>
        <v>0</v>
      </c>
      <c r="CC489" s="80">
        <f>IFERROR(VLOOKUP($H489,'1. Set Program Names'!$B$2:$D$15,3,0)*AC489,"NA")</f>
        <v>0</v>
      </c>
      <c r="CD489" s="80">
        <f>IFERROR(VLOOKUP($H489,'1. Set Program Names'!$B$2:$D$15,3,0)*AD489,"NA")</f>
        <v>0</v>
      </c>
      <c r="CE489" s="80">
        <f>IFERROR(VLOOKUP($H489,'1. Set Program Names'!$B$2:$D$15,3,0)*AE489,"NA")</f>
        <v>0</v>
      </c>
    </row>
    <row r="490" spans="1:83" x14ac:dyDescent="0.25">
      <c r="A490" s="79" t="s">
        <v>117</v>
      </c>
      <c r="B490" s="79" t="s">
        <v>88</v>
      </c>
      <c r="C490" s="79" t="s">
        <v>122</v>
      </c>
      <c r="D490" s="79" t="s">
        <v>90</v>
      </c>
      <c r="E490" s="79" t="s">
        <v>91</v>
      </c>
      <c r="F490" s="79" t="s">
        <v>90</v>
      </c>
      <c r="G490" s="79" t="s">
        <v>92</v>
      </c>
      <c r="H490" s="79" t="s">
        <v>18</v>
      </c>
      <c r="I490" s="79" t="s">
        <v>147</v>
      </c>
      <c r="J490" s="79" t="s">
        <v>129</v>
      </c>
      <c r="K490" s="79" t="s">
        <v>98</v>
      </c>
      <c r="L490" s="79">
        <v>51564</v>
      </c>
      <c r="M490" s="79">
        <v>11.869063049271301</v>
      </c>
      <c r="N490" s="79">
        <v>0</v>
      </c>
      <c r="O490" s="79">
        <v>19806</v>
      </c>
      <c r="P490" s="79">
        <v>9503.5476574024997</v>
      </c>
      <c r="Q490" s="79">
        <v>1631.9075870891199</v>
      </c>
      <c r="R490" s="79">
        <v>29910.075520317099</v>
      </c>
      <c r="S490" s="79">
        <v>71007.301413734196</v>
      </c>
      <c r="T490" s="79">
        <v>23</v>
      </c>
      <c r="U490" s="79">
        <v>1</v>
      </c>
      <c r="V490" s="79">
        <f>tbl_Data_old[[#This Row],[2025 ]]*IFERROR(AVERAGEIFS('Participation Adjustment'!$C:$C,'Participation Adjustment'!$A:$A,$H490,'Participation Adjustment'!$B:$B,$I490),1)</f>
        <v>0</v>
      </c>
      <c r="W490" s="79">
        <f>tbl_Data_old[[#This Row],[2026 ]]*IFERROR(AVERAGEIFS('Participation Adjustment'!$C:$C,'Participation Adjustment'!$A:$A,$H490,'Participation Adjustment'!$B:$B,$I490),1)</f>
        <v>0</v>
      </c>
      <c r="X490" s="79">
        <f>tbl_Data_old[[#This Row],[2027 ]]*IFERROR(AVERAGEIFS('Participation Adjustment'!$C:$C,'Participation Adjustment'!$A:$A,$H490,'Participation Adjustment'!$B:$B,$I490),1)</f>
        <v>0</v>
      </c>
      <c r="Y490" s="79">
        <f>tbl_Data_old[[#This Row],[2028 ]]*IFERROR(AVERAGEIFS('Participation Adjustment'!$C:$C,'Participation Adjustment'!$A:$A,$H490,'Participation Adjustment'!$B:$B,$I490),1)</f>
        <v>0</v>
      </c>
      <c r="Z490" s="79">
        <f>tbl_Data_old[[#This Row],[2029 ]]*IFERROR(AVERAGEIFS('Participation Adjustment'!$C:$C,'Participation Adjustment'!$A:$A,$H490,'Participation Adjustment'!$B:$B,$I490),1)</f>
        <v>0</v>
      </c>
      <c r="AA490" s="79">
        <f>tbl_Data_old[[#This Row],[2030 ]]*IFERROR(AVERAGEIFS('Participation Adjustment'!$C:$C,'Participation Adjustment'!$A:$A,$H490,'Participation Adjustment'!$B:$B,$I490),1)</f>
        <v>0</v>
      </c>
      <c r="AB490" s="79">
        <f>tbl_Data_old[[#This Row],[2031 ]]*IFERROR(AVERAGEIFS('Participation Adjustment'!$C:$C,'Participation Adjustment'!$A:$A,$H490,'Participation Adjustment'!$B:$B,$I490),1)</f>
        <v>0</v>
      </c>
      <c r="AC490" s="79">
        <f>tbl_Data_old[[#This Row],[2032 ]]*IFERROR(AVERAGEIFS('Participation Adjustment'!$C:$C,'Participation Adjustment'!$A:$A,$H490,'Participation Adjustment'!$B:$B,$I490),1)</f>
        <v>0</v>
      </c>
      <c r="AD490" s="79">
        <f>tbl_Data_old[[#This Row],[2033 ]]*IFERROR(AVERAGEIFS('Participation Adjustment'!$C:$C,'Participation Adjustment'!$A:$A,$H490,'Participation Adjustment'!$B:$B,$I490),1)</f>
        <v>0</v>
      </c>
      <c r="AE490" s="79">
        <f>tbl_Data_old[[#This Row],[2034 ]]*IFERROR(AVERAGEIFS('Participation Adjustment'!$C:$C,'Participation Adjustment'!$A:$A,$H490,'Participation Adjustment'!$B:$B,$I490),1)</f>
        <v>0</v>
      </c>
      <c r="AF490" s="77" t="str">
        <f t="shared" si="198"/>
        <v>NonResidential</v>
      </c>
      <c r="AG490" s="77" t="str">
        <f>tbl_Data[[#This Row],[All_Meas_Name_Append]]</f>
        <v>HE Water Cooled Chiller - Centrifugal Compressor - 500 Tons</v>
      </c>
      <c r="AH490" s="77">
        <f>AVERAGEIFS('3. Incentive Adjustment'!G:G,'3. Incentive Adjustment'!A:A,tbl_Data[[#This Row],[Trimmed Sector]],'3. Incentive Adjustment'!B:B,tbl_Data[[#This Row],[Trimmed Measure Name]])</f>
        <v>0.83338953851620801</v>
      </c>
      <c r="AI490" s="77">
        <f>$AH490*tbl_Data[[#This Row],[2025 ]]</f>
        <v>0</v>
      </c>
      <c r="AJ490" s="77">
        <f>$AH490*tbl_Data[[#This Row],[2026 ]]</f>
        <v>0</v>
      </c>
      <c r="AK490" s="77">
        <f>$AH490*tbl_Data[[#This Row],[2027 ]]</f>
        <v>0</v>
      </c>
      <c r="AL490" s="77">
        <f>$AH490*tbl_Data[[#This Row],[2028 ]]</f>
        <v>0</v>
      </c>
      <c r="AM490" s="77">
        <f>$AH490*tbl_Data[[#This Row],[2029 ]]</f>
        <v>0</v>
      </c>
      <c r="AN490" s="77">
        <f>$AH490*tbl_Data[[#This Row],[2030 ]]</f>
        <v>0</v>
      </c>
      <c r="AO490" s="77">
        <f>$AH490*tbl_Data[[#This Row],[2031 ]]</f>
        <v>0</v>
      </c>
      <c r="AP490" s="77">
        <f>$AH490*tbl_Data[[#This Row],[2032 ]]</f>
        <v>0</v>
      </c>
      <c r="AQ490" s="77">
        <f>$AH490*tbl_Data[[#This Row],[2033 ]]</f>
        <v>0</v>
      </c>
      <c r="AR490" s="77">
        <f>$AH490*tbl_Data[[#This Row],[2034 ]]</f>
        <v>0</v>
      </c>
      <c r="AS490" s="77">
        <f>SUM(tbl_Data[[#This Row],[Adjusted 2025]:[Adjusted 2034]])</f>
        <v>0</v>
      </c>
      <c r="AT490" s="80">
        <f>AVERAGEIFS('3. Incentive Adjustment'!F:F,'3. Incentive Adjustment'!A:A,tbl_Data[[#This Row],[Trimmed Sector]],'3. Incentive Adjustment'!B:B,tbl_Data[[#This Row],[Trimmed Measure Name]])</f>
        <v>5941.8</v>
      </c>
      <c r="AU490" s="80">
        <f>IFERROR(VLOOKUP(tbl_Data[[#This Row],[All_Meas_Name_Append]],'IRA Tax Credits'!$A$3:$D$46,4,0),0)</f>
        <v>0</v>
      </c>
      <c r="AV490" s="81">
        <f>tbl_Data[[#This Row],[Adj. per unit Incentive ($)]]/tbl_Data[[#This Row],[kWh Savings]]*tbl_Data[[#This Row],[Sum of Annuals]]</f>
        <v>0</v>
      </c>
      <c r="AW490" s="81">
        <f>IFERROR(VLOOKUP(tbl_Data[[#This Row],[Column1]],'1. Set Program Names'!$B$2:$D$15,3,0)*tbl_Data[[#This Row],[Sum of Annuals]],"")</f>
        <v>0</v>
      </c>
      <c r="AX490" s="81">
        <f>tbl_Data[[#This Row],[per unit IRA tax ($)]]/tbl_Data[[#This Row],[kWh Savings]]*tbl_Data[[#This Row],[Sum of Annuals]]</f>
        <v>0</v>
      </c>
      <c r="AY490" s="81">
        <f>tbl_Data[[#This Row],[Avoided Costs ($/unit)]]/tbl_Data[[#This Row],[kWh Savings]]*tbl_Data[[#This Row],[Sum of Annuals]]</f>
        <v>0</v>
      </c>
      <c r="AZ490" s="81">
        <f>tbl_Data[[#This Row],[Lost Revenue ($/unit)]]/tbl_Data[[#This Row],[kWh Savings]]*tbl_Data[[#This Row],[Sum of Annuals]]</f>
        <v>0</v>
      </c>
      <c r="BA490" s="81">
        <f>tbl_Data[[#This Row],[Incremental Cost ($/unit)]]/tbl_Data[[#This Row],[kWh Savings]]*tbl_Data[[#This Row],[Sum of Annuals]]</f>
        <v>0</v>
      </c>
      <c r="BB490" s="77">
        <f>ROUNDUP(tbl_Data[[#This Row],[Adjusted 2025]]/$L490,0)</f>
        <v>0</v>
      </c>
      <c r="BC490" s="77">
        <f>ROUNDUP(tbl_Data[[#This Row],[Adjusted 2026]]/$L490,0)</f>
        <v>0</v>
      </c>
      <c r="BD490" s="77">
        <f>ROUNDUP(tbl_Data[[#This Row],[Adjusted 2027]]/$L490,0)</f>
        <v>0</v>
      </c>
      <c r="BE490" s="77">
        <f>ROUNDUP(tbl_Data[[#This Row],[Adjusted 2028]]/$L490,0)</f>
        <v>0</v>
      </c>
      <c r="BF490" s="77">
        <f>ROUNDUP(tbl_Data[[#This Row],[Adjusted 2029]]/$L490,0)</f>
        <v>0</v>
      </c>
      <c r="BG490" s="77">
        <f>ROUNDUP(tbl_Data[[#This Row],[Adjusted 2030]]/$L490,0)</f>
        <v>0</v>
      </c>
      <c r="BH490" s="77">
        <f>ROUNDUP(tbl_Data[[#This Row],[Adjusted 2031]]/$L490,0)</f>
        <v>0</v>
      </c>
      <c r="BI490" s="77">
        <f>ROUNDUP(tbl_Data[[#This Row],[Adjusted 2032]]/$L490,0)</f>
        <v>0</v>
      </c>
      <c r="BJ490" s="77">
        <f>ROUNDUP(tbl_Data[[#This Row],[Adjusted 2033]]/$L490,0)</f>
        <v>0</v>
      </c>
      <c r="BK490" s="77">
        <f>ROUNDUP(tbl_Data[[#This Row],[Adjusted 2034]]/$L490,0)</f>
        <v>0</v>
      </c>
      <c r="BL490" s="80">
        <f t="shared" si="199"/>
        <v>0</v>
      </c>
      <c r="BM490" s="80">
        <f t="shared" si="200"/>
        <v>0</v>
      </c>
      <c r="BN490" s="80">
        <f t="shared" si="201"/>
        <v>0</v>
      </c>
      <c r="BO490" s="80">
        <f t="shared" si="202"/>
        <v>0</v>
      </c>
      <c r="BP490" s="80">
        <f t="shared" si="203"/>
        <v>0</v>
      </c>
      <c r="BQ490" s="80">
        <f t="shared" si="204"/>
        <v>0</v>
      </c>
      <c r="BR490" s="80">
        <f t="shared" si="205"/>
        <v>0</v>
      </c>
      <c r="BS490" s="80">
        <f t="shared" si="206"/>
        <v>0</v>
      </c>
      <c r="BT490" s="80">
        <f t="shared" si="207"/>
        <v>0</v>
      </c>
      <c r="BU490" s="80">
        <f t="shared" si="208"/>
        <v>0</v>
      </c>
      <c r="BV490" s="80">
        <f>IFERROR(VLOOKUP($H490,'1. Set Program Names'!$B$2:$D$15,3,0)*V490,"NA")</f>
        <v>0</v>
      </c>
      <c r="BW490" s="80">
        <f>IFERROR(VLOOKUP($H490,'1. Set Program Names'!$B$2:$D$15,3,0)*W490,"NA")</f>
        <v>0</v>
      </c>
      <c r="BX490" s="80">
        <f>IFERROR(VLOOKUP($H490,'1. Set Program Names'!$B$2:$D$15,3,0)*X490,"NA")</f>
        <v>0</v>
      </c>
      <c r="BY490" s="80">
        <f>IFERROR(VLOOKUP($H490,'1. Set Program Names'!$B$2:$D$15,3,0)*Y490,"NA")</f>
        <v>0</v>
      </c>
      <c r="BZ490" s="80">
        <f>IFERROR(VLOOKUP($H490,'1. Set Program Names'!$B$2:$D$15,3,0)*Z490,"NA")</f>
        <v>0</v>
      </c>
      <c r="CA490" s="80">
        <f>IFERROR(VLOOKUP($H490,'1. Set Program Names'!$B$2:$D$15,3,0)*AA490,"NA")</f>
        <v>0</v>
      </c>
      <c r="CB490" s="80">
        <f>IFERROR(VLOOKUP($H490,'1. Set Program Names'!$B$2:$D$15,3,0)*AB490,"NA")</f>
        <v>0</v>
      </c>
      <c r="CC490" s="80">
        <f>IFERROR(VLOOKUP($H490,'1. Set Program Names'!$B$2:$D$15,3,0)*AC490,"NA")</f>
        <v>0</v>
      </c>
      <c r="CD490" s="80">
        <f>IFERROR(VLOOKUP($H490,'1. Set Program Names'!$B$2:$D$15,3,0)*AD490,"NA")</f>
        <v>0</v>
      </c>
      <c r="CE490" s="80">
        <f>IFERROR(VLOOKUP($H490,'1. Set Program Names'!$B$2:$D$15,3,0)*AE490,"NA")</f>
        <v>0</v>
      </c>
    </row>
    <row r="491" spans="1:83" x14ac:dyDescent="0.25">
      <c r="A491" s="79" t="s">
        <v>117</v>
      </c>
      <c r="B491" s="79" t="s">
        <v>88</v>
      </c>
      <c r="C491" s="79" t="s">
        <v>122</v>
      </c>
      <c r="D491" s="79" t="s">
        <v>90</v>
      </c>
      <c r="E491" s="79" t="s">
        <v>91</v>
      </c>
      <c r="F491" s="79" t="s">
        <v>90</v>
      </c>
      <c r="G491" s="79" t="s">
        <v>92</v>
      </c>
      <c r="H491" s="79" t="s">
        <v>18</v>
      </c>
      <c r="I491" s="79" t="s">
        <v>148</v>
      </c>
      <c r="J491" s="79" t="s">
        <v>129</v>
      </c>
      <c r="K491" s="79" t="s">
        <v>98</v>
      </c>
      <c r="L491" s="79">
        <v>552.51399999999899</v>
      </c>
      <c r="M491" s="79">
        <v>0.19160575593909501</v>
      </c>
      <c r="N491" s="79">
        <v>0</v>
      </c>
      <c r="O491" s="79">
        <v>129</v>
      </c>
      <c r="P491" s="79">
        <v>16.0943430226503</v>
      </c>
      <c r="Q491" s="79">
        <v>17.486071456306</v>
      </c>
      <c r="R491" s="79">
        <v>212.35909497904299</v>
      </c>
      <c r="S491" s="79">
        <v>383.33946557666002</v>
      </c>
      <c r="T491" s="79">
        <v>8</v>
      </c>
      <c r="U491" s="79">
        <v>1</v>
      </c>
      <c r="V491" s="79">
        <f>tbl_Data_old[[#This Row],[2025 ]]*IFERROR(AVERAGEIFS('Participation Adjustment'!$C:$C,'Participation Adjustment'!$A:$A,$H491,'Participation Adjustment'!$B:$B,$I491),1)</f>
        <v>0</v>
      </c>
      <c r="W491" s="79">
        <f>tbl_Data_old[[#This Row],[2026 ]]*IFERROR(AVERAGEIFS('Participation Adjustment'!$C:$C,'Participation Adjustment'!$A:$A,$H491,'Participation Adjustment'!$B:$B,$I491),1)</f>
        <v>0</v>
      </c>
      <c r="X491" s="79">
        <f>tbl_Data_old[[#This Row],[2027 ]]*IFERROR(AVERAGEIFS('Participation Adjustment'!$C:$C,'Participation Adjustment'!$A:$A,$H491,'Participation Adjustment'!$B:$B,$I491),1)</f>
        <v>0</v>
      </c>
      <c r="Y491" s="79">
        <f>tbl_Data_old[[#This Row],[2028 ]]*IFERROR(AVERAGEIFS('Participation Adjustment'!$C:$C,'Participation Adjustment'!$A:$A,$H491,'Participation Adjustment'!$B:$B,$I491),1)</f>
        <v>0</v>
      </c>
      <c r="Z491" s="79">
        <f>tbl_Data_old[[#This Row],[2029 ]]*IFERROR(AVERAGEIFS('Participation Adjustment'!$C:$C,'Participation Adjustment'!$A:$A,$H491,'Participation Adjustment'!$B:$B,$I491),1)</f>
        <v>0</v>
      </c>
      <c r="AA491" s="79">
        <f>tbl_Data_old[[#This Row],[2030 ]]*IFERROR(AVERAGEIFS('Participation Adjustment'!$C:$C,'Participation Adjustment'!$A:$A,$H491,'Participation Adjustment'!$B:$B,$I491),1)</f>
        <v>0</v>
      </c>
      <c r="AB491" s="79">
        <f>tbl_Data_old[[#This Row],[2031 ]]*IFERROR(AVERAGEIFS('Participation Adjustment'!$C:$C,'Participation Adjustment'!$A:$A,$H491,'Participation Adjustment'!$B:$B,$I491),1)</f>
        <v>0</v>
      </c>
      <c r="AC491" s="79">
        <f>tbl_Data_old[[#This Row],[2032 ]]*IFERROR(AVERAGEIFS('Participation Adjustment'!$C:$C,'Participation Adjustment'!$A:$A,$H491,'Participation Adjustment'!$B:$B,$I491),1)</f>
        <v>0</v>
      </c>
      <c r="AD491" s="79">
        <f>tbl_Data_old[[#This Row],[2033 ]]*IFERROR(AVERAGEIFS('Participation Adjustment'!$C:$C,'Participation Adjustment'!$A:$A,$H491,'Participation Adjustment'!$B:$B,$I491),1)</f>
        <v>0</v>
      </c>
      <c r="AE491" s="79">
        <f>tbl_Data_old[[#This Row],[2034 ]]*IFERROR(AVERAGEIFS('Participation Adjustment'!$C:$C,'Participation Adjustment'!$A:$A,$H491,'Participation Adjustment'!$B:$B,$I491),1)</f>
        <v>0</v>
      </c>
      <c r="AF491" s="77" t="str">
        <f t="shared" si="198"/>
        <v>NonResidential</v>
      </c>
      <c r="AG491" s="77" t="str">
        <f>tbl_Data[[#This Row],[All_Meas_Name_Append]]</f>
        <v>High Efficiency PTAC</v>
      </c>
      <c r="AH491" s="77">
        <f>AVERAGEIFS('3. Incentive Adjustment'!G:G,'3. Incentive Adjustment'!A:A,tbl_Data[[#This Row],[Trimmed Sector]],'3. Incentive Adjustment'!B:B,tbl_Data[[#This Row],[Trimmed Measure Name]])</f>
        <v>1.1757614296438725</v>
      </c>
      <c r="AI491" s="77">
        <f>$AH491*tbl_Data[[#This Row],[2025 ]]</f>
        <v>0</v>
      </c>
      <c r="AJ491" s="77">
        <f>$AH491*tbl_Data[[#This Row],[2026 ]]</f>
        <v>0</v>
      </c>
      <c r="AK491" s="77">
        <f>$AH491*tbl_Data[[#This Row],[2027 ]]</f>
        <v>0</v>
      </c>
      <c r="AL491" s="77">
        <f>$AH491*tbl_Data[[#This Row],[2028 ]]</f>
        <v>0</v>
      </c>
      <c r="AM491" s="77">
        <f>$AH491*tbl_Data[[#This Row],[2029 ]]</f>
        <v>0</v>
      </c>
      <c r="AN491" s="77">
        <f>$AH491*tbl_Data[[#This Row],[2030 ]]</f>
        <v>0</v>
      </c>
      <c r="AO491" s="77">
        <f>$AH491*tbl_Data[[#This Row],[2031 ]]</f>
        <v>0</v>
      </c>
      <c r="AP491" s="77">
        <f>$AH491*tbl_Data[[#This Row],[2032 ]]</f>
        <v>0</v>
      </c>
      <c r="AQ491" s="77">
        <f>$AH491*tbl_Data[[#This Row],[2033 ]]</f>
        <v>0</v>
      </c>
      <c r="AR491" s="77">
        <f>$AH491*tbl_Data[[#This Row],[2034 ]]</f>
        <v>0</v>
      </c>
      <c r="AS491" s="77">
        <f>SUM(tbl_Data[[#This Row],[Adjusted 2025]:[Adjusted 2034]])</f>
        <v>0</v>
      </c>
      <c r="AT491" s="80">
        <f>AVERAGEIFS('3. Incentive Adjustment'!F:F,'3. Incentive Adjustment'!A:A,tbl_Data[[#This Row],[Trimmed Sector]],'3. Incentive Adjustment'!B:B,tbl_Data[[#This Row],[Trimmed Measure Name]])</f>
        <v>50</v>
      </c>
      <c r="AU491" s="80">
        <f>IFERROR(VLOOKUP(tbl_Data[[#This Row],[All_Meas_Name_Append]],'IRA Tax Credits'!$A$3:$D$46,4,0),0)</f>
        <v>0</v>
      </c>
      <c r="AV491" s="81">
        <f>tbl_Data[[#This Row],[Adj. per unit Incentive ($)]]/tbl_Data[[#This Row],[kWh Savings]]*tbl_Data[[#This Row],[Sum of Annuals]]</f>
        <v>0</v>
      </c>
      <c r="AW491" s="81">
        <f>IFERROR(VLOOKUP(tbl_Data[[#This Row],[Column1]],'1. Set Program Names'!$B$2:$D$15,3,0)*tbl_Data[[#This Row],[Sum of Annuals]],"")</f>
        <v>0</v>
      </c>
      <c r="AX491" s="81">
        <f>tbl_Data[[#This Row],[per unit IRA tax ($)]]/tbl_Data[[#This Row],[kWh Savings]]*tbl_Data[[#This Row],[Sum of Annuals]]</f>
        <v>0</v>
      </c>
      <c r="AY491" s="81">
        <f>tbl_Data[[#This Row],[Avoided Costs ($/unit)]]/tbl_Data[[#This Row],[kWh Savings]]*tbl_Data[[#This Row],[Sum of Annuals]]</f>
        <v>0</v>
      </c>
      <c r="AZ491" s="81">
        <f>tbl_Data[[#This Row],[Lost Revenue ($/unit)]]/tbl_Data[[#This Row],[kWh Savings]]*tbl_Data[[#This Row],[Sum of Annuals]]</f>
        <v>0</v>
      </c>
      <c r="BA491" s="81">
        <f>tbl_Data[[#This Row],[Incremental Cost ($/unit)]]/tbl_Data[[#This Row],[kWh Savings]]*tbl_Data[[#This Row],[Sum of Annuals]]</f>
        <v>0</v>
      </c>
      <c r="BB491" s="77">
        <f>ROUNDUP(tbl_Data[[#This Row],[Adjusted 2025]]/$L491,0)</f>
        <v>0</v>
      </c>
      <c r="BC491" s="77">
        <f>ROUNDUP(tbl_Data[[#This Row],[Adjusted 2026]]/$L491,0)</f>
        <v>0</v>
      </c>
      <c r="BD491" s="77">
        <f>ROUNDUP(tbl_Data[[#This Row],[Adjusted 2027]]/$L491,0)</f>
        <v>0</v>
      </c>
      <c r="BE491" s="77">
        <f>ROUNDUP(tbl_Data[[#This Row],[Adjusted 2028]]/$L491,0)</f>
        <v>0</v>
      </c>
      <c r="BF491" s="77">
        <f>ROUNDUP(tbl_Data[[#This Row],[Adjusted 2029]]/$L491,0)</f>
        <v>0</v>
      </c>
      <c r="BG491" s="77">
        <f>ROUNDUP(tbl_Data[[#This Row],[Adjusted 2030]]/$L491,0)</f>
        <v>0</v>
      </c>
      <c r="BH491" s="77">
        <f>ROUNDUP(tbl_Data[[#This Row],[Adjusted 2031]]/$L491,0)</f>
        <v>0</v>
      </c>
      <c r="BI491" s="77">
        <f>ROUNDUP(tbl_Data[[#This Row],[Adjusted 2032]]/$L491,0)</f>
        <v>0</v>
      </c>
      <c r="BJ491" s="77">
        <f>ROUNDUP(tbl_Data[[#This Row],[Adjusted 2033]]/$L491,0)</f>
        <v>0</v>
      </c>
      <c r="BK491" s="77">
        <f>ROUNDUP(tbl_Data[[#This Row],[Adjusted 2034]]/$L491,0)</f>
        <v>0</v>
      </c>
      <c r="BL491" s="80">
        <f t="shared" si="199"/>
        <v>0</v>
      </c>
      <c r="BM491" s="80">
        <f t="shared" si="200"/>
        <v>0</v>
      </c>
      <c r="BN491" s="80">
        <f t="shared" si="201"/>
        <v>0</v>
      </c>
      <c r="BO491" s="80">
        <f t="shared" si="202"/>
        <v>0</v>
      </c>
      <c r="BP491" s="80">
        <f t="shared" si="203"/>
        <v>0</v>
      </c>
      <c r="BQ491" s="80">
        <f t="shared" si="204"/>
        <v>0</v>
      </c>
      <c r="BR491" s="80">
        <f t="shared" si="205"/>
        <v>0</v>
      </c>
      <c r="BS491" s="80">
        <f t="shared" si="206"/>
        <v>0</v>
      </c>
      <c r="BT491" s="80">
        <f t="shared" si="207"/>
        <v>0</v>
      </c>
      <c r="BU491" s="80">
        <f t="shared" si="208"/>
        <v>0</v>
      </c>
      <c r="BV491" s="80">
        <f>IFERROR(VLOOKUP($H491,'1. Set Program Names'!$B$2:$D$15,3,0)*V491,"NA")</f>
        <v>0</v>
      </c>
      <c r="BW491" s="80">
        <f>IFERROR(VLOOKUP($H491,'1. Set Program Names'!$B$2:$D$15,3,0)*W491,"NA")</f>
        <v>0</v>
      </c>
      <c r="BX491" s="80">
        <f>IFERROR(VLOOKUP($H491,'1. Set Program Names'!$B$2:$D$15,3,0)*X491,"NA")</f>
        <v>0</v>
      </c>
      <c r="BY491" s="80">
        <f>IFERROR(VLOOKUP($H491,'1. Set Program Names'!$B$2:$D$15,3,0)*Y491,"NA")</f>
        <v>0</v>
      </c>
      <c r="BZ491" s="80">
        <f>IFERROR(VLOOKUP($H491,'1. Set Program Names'!$B$2:$D$15,3,0)*Z491,"NA")</f>
        <v>0</v>
      </c>
      <c r="CA491" s="80">
        <f>IFERROR(VLOOKUP($H491,'1. Set Program Names'!$B$2:$D$15,3,0)*AA491,"NA")</f>
        <v>0</v>
      </c>
      <c r="CB491" s="80">
        <f>IFERROR(VLOOKUP($H491,'1. Set Program Names'!$B$2:$D$15,3,0)*AB491,"NA")</f>
        <v>0</v>
      </c>
      <c r="CC491" s="80">
        <f>IFERROR(VLOOKUP($H491,'1. Set Program Names'!$B$2:$D$15,3,0)*AC491,"NA")</f>
        <v>0</v>
      </c>
      <c r="CD491" s="80">
        <f>IFERROR(VLOOKUP($H491,'1. Set Program Names'!$B$2:$D$15,3,0)*AD491,"NA")</f>
        <v>0</v>
      </c>
      <c r="CE491" s="80">
        <f>IFERROR(VLOOKUP($H491,'1. Set Program Names'!$B$2:$D$15,3,0)*AE491,"NA")</f>
        <v>0</v>
      </c>
    </row>
    <row r="492" spans="1:83" x14ac:dyDescent="0.25">
      <c r="A492" s="79" t="s">
        <v>117</v>
      </c>
      <c r="B492" s="79" t="s">
        <v>88</v>
      </c>
      <c r="C492" s="79" t="s">
        <v>122</v>
      </c>
      <c r="D492" s="79" t="s">
        <v>90</v>
      </c>
      <c r="E492" s="79" t="s">
        <v>91</v>
      </c>
      <c r="F492" s="79" t="s">
        <v>90</v>
      </c>
      <c r="G492" s="79" t="s">
        <v>92</v>
      </c>
      <c r="H492" s="79" t="s">
        <v>18</v>
      </c>
      <c r="I492" s="79" t="s">
        <v>149</v>
      </c>
      <c r="J492" s="79" t="s">
        <v>129</v>
      </c>
      <c r="K492" s="79" t="s">
        <v>98</v>
      </c>
      <c r="L492" s="79">
        <v>540.79749999999899</v>
      </c>
      <c r="M492" s="79">
        <v>0.159555976068885</v>
      </c>
      <c r="N492" s="79">
        <v>1.50169234953632E-2</v>
      </c>
      <c r="O492" s="79">
        <v>128.99999999999901</v>
      </c>
      <c r="P492" s="79">
        <v>23.4690947103329</v>
      </c>
      <c r="Q492" s="79">
        <v>17.115265365930298</v>
      </c>
      <c r="R492" s="79">
        <v>204.24936172330499</v>
      </c>
      <c r="S492" s="79">
        <v>375.21044649582399</v>
      </c>
      <c r="T492" s="79">
        <v>8</v>
      </c>
      <c r="U492" s="79">
        <v>1</v>
      </c>
      <c r="V492" s="79">
        <f>tbl_Data_old[[#This Row],[2025 ]]*IFERROR(AVERAGEIFS('Participation Adjustment'!$C:$C,'Participation Adjustment'!$A:$A,$H492,'Participation Adjustment'!$B:$B,$I492),1)</f>
        <v>1.564141550161952</v>
      </c>
      <c r="W492" s="79">
        <f>tbl_Data_old[[#This Row],[2026 ]]*IFERROR(AVERAGEIFS('Participation Adjustment'!$C:$C,'Participation Adjustment'!$A:$A,$H492,'Participation Adjustment'!$B:$B,$I492),1)</f>
        <v>3.2883600795611603</v>
      </c>
      <c r="X492" s="79">
        <f>tbl_Data_old[[#This Row],[2027 ]]*IFERROR(AVERAGEIFS('Participation Adjustment'!$C:$C,'Participation Adjustment'!$A:$A,$H492,'Participation Adjustment'!$B:$B,$I492),1)</f>
        <v>5.1478163306958802</v>
      </c>
      <c r="Y492" s="79">
        <f>tbl_Data_old[[#This Row],[2028 ]]*IFERROR(AVERAGEIFS('Participation Adjustment'!$C:$C,'Participation Adjustment'!$A:$A,$H492,'Participation Adjustment'!$B:$B,$I492),1)</f>
        <v>7.1273793470334601</v>
      </c>
      <c r="Z492" s="79">
        <f>tbl_Data_old[[#This Row],[2029 ]]*IFERROR(AVERAGEIFS('Participation Adjustment'!$C:$C,'Participation Adjustment'!$A:$A,$H492,'Participation Adjustment'!$B:$B,$I492),1)</f>
        <v>9.2111196543333413</v>
      </c>
      <c r="AA492" s="79">
        <f>tbl_Data_old[[#This Row],[2030 ]]*IFERROR(AVERAGEIFS('Participation Adjustment'!$C:$C,'Participation Adjustment'!$A:$A,$H492,'Participation Adjustment'!$B:$B,$I492),1)</f>
        <v>11.38323549736536</v>
      </c>
      <c r="AB492" s="79">
        <f>tbl_Data_old[[#This Row],[2031 ]]*IFERROR(AVERAGEIFS('Participation Adjustment'!$C:$C,'Participation Adjustment'!$A:$A,$H492,'Participation Adjustment'!$B:$B,$I492),1)</f>
        <v>13.629442078582782</v>
      </c>
      <c r="AC492" s="79">
        <f>tbl_Data_old[[#This Row],[2032 ]]*IFERROR(AVERAGEIFS('Participation Adjustment'!$C:$C,'Participation Adjustment'!$A:$A,$H492,'Participation Adjustment'!$B:$B,$I492),1)</f>
        <v>15.94179253371132</v>
      </c>
      <c r="AD492" s="79">
        <f>tbl_Data_old[[#This Row],[2033 ]]*IFERROR(AVERAGEIFS('Participation Adjustment'!$C:$C,'Participation Adjustment'!$A:$A,$H492,'Participation Adjustment'!$B:$B,$I492),1)</f>
        <v>16.751604280232062</v>
      </c>
      <c r="AE492" s="79">
        <f>tbl_Data_old[[#This Row],[2034 ]]*IFERROR(AVERAGEIFS('Participation Adjustment'!$C:$C,'Participation Adjustment'!$A:$A,$H492,'Participation Adjustment'!$B:$B,$I492),1)</f>
        <v>17.455348248125279</v>
      </c>
      <c r="AF492" s="77" t="str">
        <f t="shared" si="198"/>
        <v>NonResidential</v>
      </c>
      <c r="AG492" s="77" t="str">
        <f>tbl_Data[[#This Row],[All_Meas_Name_Append]]</f>
        <v>High Efficiency PTHP</v>
      </c>
      <c r="AH492" s="77">
        <f>AVERAGEIFS('3. Incentive Adjustment'!G:G,'3. Incentive Adjustment'!A:A,tbl_Data[[#This Row],[Trimmed Sector]],'3. Incentive Adjustment'!B:B,tbl_Data[[#This Row],[Trimmed Measure Name]])</f>
        <v>1.138194101705527</v>
      </c>
      <c r="AI492" s="77">
        <f>$AH492*tbl_Data[[#This Row],[2025 ]]</f>
        <v>1.7802966866268735</v>
      </c>
      <c r="AJ492" s="77">
        <f>$AH492*tbl_Data[[#This Row],[2026 ]]</f>
        <v>3.7427920468404303</v>
      </c>
      <c r="AK492" s="77">
        <f>$AH492*tbl_Data[[#This Row],[2027 ]]</f>
        <v>5.8592141842614396</v>
      </c>
      <c r="AL492" s="77">
        <f>$AH492*tbl_Data[[#This Row],[2028 ]]</f>
        <v>8.1123411334112756</v>
      </c>
      <c r="AM492" s="77">
        <f>$AH492*tbl_Data[[#This Row],[2029 ]]</f>
        <v>10.484042060666063</v>
      </c>
      <c r="AN492" s="77">
        <f>$AH492*tbl_Data[[#This Row],[2030 ]]</f>
        <v>12.956331501426234</v>
      </c>
      <c r="AO492" s="77">
        <f>$AH492*tbl_Data[[#This Row],[2031 ]]</f>
        <v>15.512950583380041</v>
      </c>
      <c r="AP492" s="77">
        <f>$AH492*tbl_Data[[#This Row],[2032 ]]</f>
        <v>18.144854232483432</v>
      </c>
      <c r="AQ492" s="77">
        <f>$AH492*tbl_Data[[#This Row],[2033 ]]</f>
        <v>19.066577185865192</v>
      </c>
      <c r="AR492" s="77">
        <f>$AH492*tbl_Data[[#This Row],[2034 ]]</f>
        <v>19.867574419232099</v>
      </c>
      <c r="AS492" s="77">
        <f>SUM(tbl_Data[[#This Row],[Adjusted 2025]:[Adjusted 2034]])</f>
        <v>115.52697403419309</v>
      </c>
      <c r="AT492" s="80">
        <f>AVERAGEIFS('3. Incentive Adjustment'!F:F,'3. Incentive Adjustment'!A:A,tbl_Data[[#This Row],[Trimmed Sector]],'3. Incentive Adjustment'!B:B,tbl_Data[[#This Row],[Trimmed Measure Name]])</f>
        <v>50</v>
      </c>
      <c r="AU492" s="80">
        <f>IFERROR(VLOOKUP(tbl_Data[[#This Row],[All_Meas_Name_Append]],'IRA Tax Credits'!$A$3:$D$46,4,0),0)</f>
        <v>0</v>
      </c>
      <c r="AV492" s="81">
        <f>tbl_Data[[#This Row],[Adj. per unit Incentive ($)]]/tbl_Data[[#This Row],[kWh Savings]]*tbl_Data[[#This Row],[Sum of Annuals]]</f>
        <v>10.681167538144436</v>
      </c>
      <c r="AW492" s="81">
        <f>IFERROR(VLOOKUP(tbl_Data[[#This Row],[Column1]],'1. Set Program Names'!$B$2:$D$15,3,0)*tbl_Data[[#This Row],[Sum of Annuals]],"")</f>
        <v>3.6562203366660566</v>
      </c>
      <c r="AX492" s="81">
        <f>tbl_Data[[#This Row],[per unit IRA tax ($)]]/tbl_Data[[#This Row],[kWh Savings]]*tbl_Data[[#This Row],[Sum of Annuals]]</f>
        <v>0</v>
      </c>
      <c r="AY492" s="81">
        <f>tbl_Data[[#This Row],[Avoided Costs ($/unit)]]/tbl_Data[[#This Row],[kWh Savings]]*tbl_Data[[#This Row],[Sum of Annuals]]</f>
        <v>43.632433042513711</v>
      </c>
      <c r="AZ492" s="81">
        <f>tbl_Data[[#This Row],[Lost Revenue ($/unit)]]/tbl_Data[[#This Row],[kWh Savings]]*tbl_Data[[#This Row],[Sum of Annuals]]</f>
        <v>80.153712821677487</v>
      </c>
      <c r="BA492" s="81">
        <f>tbl_Data[[#This Row],[Incremental Cost ($/unit)]]/tbl_Data[[#This Row],[kWh Savings]]*tbl_Data[[#This Row],[Sum of Annuals]]</f>
        <v>27.557412248412433</v>
      </c>
      <c r="BB492" s="77">
        <f>ROUNDUP(tbl_Data[[#This Row],[Adjusted 2025]]/$L492,0)</f>
        <v>1</v>
      </c>
      <c r="BC492" s="77">
        <f>ROUNDUP(tbl_Data[[#This Row],[Adjusted 2026]]/$L492,0)</f>
        <v>1</v>
      </c>
      <c r="BD492" s="77">
        <f>ROUNDUP(tbl_Data[[#This Row],[Adjusted 2027]]/$L492,0)</f>
        <v>1</v>
      </c>
      <c r="BE492" s="77">
        <f>ROUNDUP(tbl_Data[[#This Row],[Adjusted 2028]]/$L492,0)</f>
        <v>1</v>
      </c>
      <c r="BF492" s="77">
        <f>ROUNDUP(tbl_Data[[#This Row],[Adjusted 2029]]/$L492,0)</f>
        <v>1</v>
      </c>
      <c r="BG492" s="77">
        <f>ROUNDUP(tbl_Data[[#This Row],[Adjusted 2030]]/$L492,0)</f>
        <v>1</v>
      </c>
      <c r="BH492" s="77">
        <f>ROUNDUP(tbl_Data[[#This Row],[Adjusted 2031]]/$L492,0)</f>
        <v>1</v>
      </c>
      <c r="BI492" s="77">
        <f>ROUNDUP(tbl_Data[[#This Row],[Adjusted 2032]]/$L492,0)</f>
        <v>1</v>
      </c>
      <c r="BJ492" s="77">
        <f>ROUNDUP(tbl_Data[[#This Row],[Adjusted 2033]]/$L492,0)</f>
        <v>1</v>
      </c>
      <c r="BK492" s="77">
        <f>ROUNDUP(tbl_Data[[#This Row],[Adjusted 2034]]/$L492,0)</f>
        <v>1</v>
      </c>
      <c r="BL492" s="80">
        <f t="shared" si="199"/>
        <v>0.14461434734461187</v>
      </c>
      <c r="BM492" s="80">
        <f t="shared" si="200"/>
        <v>0.30402877967826836</v>
      </c>
      <c r="BN492" s="80">
        <f t="shared" si="201"/>
        <v>0.47594675739957099</v>
      </c>
      <c r="BO492" s="80">
        <f t="shared" si="202"/>
        <v>0.65896933205437092</v>
      </c>
      <c r="BP492" s="80">
        <f t="shared" si="203"/>
        <v>0.85162372739642456</v>
      </c>
      <c r="BQ492" s="80">
        <f t="shared" si="204"/>
        <v>1.0524489755745341</v>
      </c>
      <c r="BR492" s="80">
        <f t="shared" si="205"/>
        <v>1.2601243606509653</v>
      </c>
      <c r="BS492" s="80">
        <f t="shared" si="206"/>
        <v>1.473915146955316</v>
      </c>
      <c r="BT492" s="80">
        <f t="shared" si="207"/>
        <v>1.5487871412342045</v>
      </c>
      <c r="BU492" s="80">
        <f t="shared" si="208"/>
        <v>1.6138525278061855</v>
      </c>
      <c r="BV492" s="80">
        <f>IFERROR(VLOOKUP($H492,'1. Set Program Names'!$B$2:$D$15,3,0)*V492,"NA")</f>
        <v>4.9502258610477107E-2</v>
      </c>
      <c r="BW492" s="80">
        <f>IFERROR(VLOOKUP($H492,'1. Set Program Names'!$B$2:$D$15,3,0)*W492,"NA")</f>
        <v>0.10407066486147061</v>
      </c>
      <c r="BX492" s="80">
        <f>IFERROR(VLOOKUP($H492,'1. Set Program Names'!$B$2:$D$15,3,0)*X492,"NA")</f>
        <v>0.16291910105895449</v>
      </c>
      <c r="BY492" s="80">
        <f>IFERROR(VLOOKUP($H492,'1. Set Program Names'!$B$2:$D$15,3,0)*Y492,"NA")</f>
        <v>0.22556869972240842</v>
      </c>
      <c r="BZ492" s="80">
        <f>IFERROR(VLOOKUP($H492,'1. Set Program Names'!$B$2:$D$15,3,0)*Z492,"NA")</f>
        <v>0.29151532172625044</v>
      </c>
      <c r="CA492" s="80">
        <f>IFERROR(VLOOKUP($H492,'1. Set Program Names'!$B$2:$D$15,3,0)*AA492,"NA")</f>
        <v>0.36025887002119367</v>
      </c>
      <c r="CB492" s="80">
        <f>IFERROR(VLOOKUP($H492,'1. Set Program Names'!$B$2:$D$15,3,0)*AB492,"NA")</f>
        <v>0.43134725653229145</v>
      </c>
      <c r="CC492" s="80">
        <f>IFERROR(VLOOKUP($H492,'1. Set Program Names'!$B$2:$D$15,3,0)*AC492,"NA")</f>
        <v>0.50452897734008884</v>
      </c>
      <c r="CD492" s="80">
        <f>IFERROR(VLOOKUP($H492,'1. Set Program Names'!$B$2:$D$15,3,0)*AD492,"NA")</f>
        <v>0.53015805835128071</v>
      </c>
      <c r="CE492" s="80">
        <f>IFERROR(VLOOKUP($H492,'1. Set Program Names'!$B$2:$D$15,3,0)*AE492,"NA")</f>
        <v>0.55243028549760664</v>
      </c>
    </row>
    <row r="493" spans="1:83" x14ac:dyDescent="0.25">
      <c r="A493" s="79" t="s">
        <v>117</v>
      </c>
      <c r="B493" s="79" t="s">
        <v>88</v>
      </c>
      <c r="C493" s="79" t="s">
        <v>122</v>
      </c>
      <c r="D493" s="79" t="s">
        <v>90</v>
      </c>
      <c r="E493" s="79" t="s">
        <v>91</v>
      </c>
      <c r="F493" s="79" t="s">
        <v>90</v>
      </c>
      <c r="G493" s="79" t="s">
        <v>92</v>
      </c>
      <c r="H493" s="79" t="s">
        <v>18</v>
      </c>
      <c r="I493" s="79" t="s">
        <v>157</v>
      </c>
      <c r="J493" s="79" t="s">
        <v>158</v>
      </c>
      <c r="K493" s="79" t="s">
        <v>159</v>
      </c>
      <c r="L493" s="79">
        <v>562.52000000000032</v>
      </c>
      <c r="M493" s="79">
        <v>0</v>
      </c>
      <c r="N493" s="79">
        <v>2.7796637938074218E-2</v>
      </c>
      <c r="O493" s="79">
        <v>169</v>
      </c>
      <c r="P493" s="79">
        <v>53.285725702774094</v>
      </c>
      <c r="Q493" s="79"/>
      <c r="R493" s="79">
        <v>275.37363005821356</v>
      </c>
      <c r="S493" s="79">
        <v>610.96426176974103</v>
      </c>
      <c r="T493" s="79">
        <v>15</v>
      </c>
      <c r="U493" s="79">
        <v>0.2</v>
      </c>
      <c r="V493" s="79">
        <f>tbl_Data_old[[#This Row],[2025 ]]*IFERROR(AVERAGEIFS('Participation Adjustment'!$C:$C,'Participation Adjustment'!$A:$A,$H493,'Participation Adjustment'!$B:$B,$I493),1)</f>
        <v>1.8874542475700952E-2</v>
      </c>
      <c r="W493" s="79">
        <f>tbl_Data_old[[#This Row],[2026 ]]*IFERROR(AVERAGEIFS('Participation Adjustment'!$C:$C,'Participation Adjustment'!$A:$A,$H493,'Participation Adjustment'!$B:$B,$I493),1)</f>
        <v>3.9432869458659696E-2</v>
      </c>
      <c r="X493" s="79">
        <f>tbl_Data_old[[#This Row],[2027 ]]*IFERROR(AVERAGEIFS('Participation Adjustment'!$C:$C,'Participation Adjustment'!$A:$A,$H493,'Participation Adjustment'!$B:$B,$I493),1)</f>
        <v>6.1320831633592005E-2</v>
      </c>
      <c r="Y493" s="79">
        <f>tbl_Data_old[[#This Row],[2028 ]]*IFERROR(AVERAGEIFS('Participation Adjustment'!$C:$C,'Participation Adjustment'!$A:$A,$H493,'Participation Adjustment'!$B:$B,$I493),1)</f>
        <v>8.4322139316220499E-2</v>
      </c>
      <c r="Z493" s="79">
        <f>tbl_Data_old[[#This Row],[2029 ]]*IFERROR(AVERAGEIFS('Participation Adjustment'!$C:$C,'Participation Adjustment'!$A:$A,$H493,'Participation Adjustment'!$B:$B,$I493),1)</f>
        <v>0.108225514348363</v>
      </c>
      <c r="AA493" s="79">
        <f>tbl_Data_old[[#This Row],[2030 ]]*IFERROR(AVERAGEIFS('Participation Adjustment'!$C:$C,'Participation Adjustment'!$A:$A,$H493,'Participation Adjustment'!$B:$B,$I493),1)</f>
        <v>0.13282195409582001</v>
      </c>
      <c r="AB493" s="79">
        <f>tbl_Data_old[[#This Row],[2031 ]]*IFERROR(AVERAGEIFS('Participation Adjustment'!$C:$C,'Participation Adjustment'!$A:$A,$H493,'Participation Adjustment'!$B:$B,$I493),1)</f>
        <v>0.157933796823368</v>
      </c>
      <c r="AC493" s="79">
        <f>tbl_Data_old[[#This Row],[2032 ]]*IFERROR(AVERAGEIFS('Participation Adjustment'!$C:$C,'Participation Adjustment'!$A:$A,$H493,'Participation Adjustment'!$B:$B,$I493),1)</f>
        <v>0.18345849802736802</v>
      </c>
      <c r="AD493" s="79">
        <f>tbl_Data_old[[#This Row],[2033 ]]*IFERROR(AVERAGEIFS('Participation Adjustment'!$C:$C,'Participation Adjustment'!$A:$A,$H493,'Participation Adjustment'!$B:$B,$I493),1)</f>
        <v>0.209325467053294</v>
      </c>
      <c r="AE493" s="79">
        <f>tbl_Data_old[[#This Row],[2034 ]]*IFERROR(AVERAGEIFS('Participation Adjustment'!$C:$C,'Participation Adjustment'!$A:$A,$H493,'Participation Adjustment'!$B:$B,$I493),1)</f>
        <v>0.2354427845436535</v>
      </c>
      <c r="AF493" s="77" t="str">
        <f t="shared" si="198"/>
        <v>NonResidential</v>
      </c>
      <c r="AG493" s="77" t="str">
        <f>tbl_Data[[#This Row],[All_Meas_Name_Append]]</f>
        <v>LED Exterior Wall Packs</v>
      </c>
      <c r="AH493" s="77">
        <f>AVERAGEIFS('3. Incentive Adjustment'!G:G,'3. Incentive Adjustment'!A:A,tbl_Data[[#This Row],[Trimmed Sector]],'3. Incentive Adjustment'!B:B,tbl_Data[[#This Row],[Trimmed Measure Name]])</f>
        <v>0.80637708305213962</v>
      </c>
      <c r="AI493" s="77">
        <f>$AH493*tbl_Data[[#This Row],[2025 ]]</f>
        <v>1.5219998505499443E-2</v>
      </c>
      <c r="AJ493" s="77">
        <f>$AH493*tbl_Data[[#This Row],[2026 ]]</f>
        <v>3.1797762250449807E-2</v>
      </c>
      <c r="AK493" s="77">
        <f>$AH493*tbl_Data[[#This Row],[2027 ]]</f>
        <v>4.9447713343027291E-2</v>
      </c>
      <c r="AL493" s="77">
        <f>$AH493*tbl_Data[[#This Row],[2028 ]]</f>
        <v>6.7995440738530019E-2</v>
      </c>
      <c r="AM493" s="77">
        <f>$AH493*tbl_Data[[#This Row],[2029 ]]</f>
        <v>8.7270574572050438E-2</v>
      </c>
      <c r="AN493" s="77">
        <f>$AH493*tbl_Data[[#This Row],[2030 ]]</f>
        <v>0.10710457990907253</v>
      </c>
      <c r="AO493" s="77">
        <f>$AH493*tbl_Data[[#This Row],[2031 ]]</f>
        <v>0.12735419439777676</v>
      </c>
      <c r="AP493" s="77">
        <f>$AH493*tbl_Data[[#This Row],[2032 ]]</f>
        <v>0.14793672850043574</v>
      </c>
      <c r="AQ493" s="77">
        <f>$AH493*tbl_Data[[#This Row],[2033 ]]</f>
        <v>0.16879525953096197</v>
      </c>
      <c r="AR493" s="77">
        <f>$AH493*tbl_Data[[#This Row],[2034 ]]</f>
        <v>0.1898556658259847</v>
      </c>
      <c r="AS493" s="77">
        <f>SUM(tbl_Data[[#This Row],[Adjusted 2025]:[Adjusted 2034]])</f>
        <v>0.99277791757378864</v>
      </c>
      <c r="AT493" s="80">
        <f>AVERAGEIFS('3. Incentive Adjustment'!F:F,'3. Incentive Adjustment'!A:A,tbl_Data[[#This Row],[Trimmed Sector]],'3. Incentive Adjustment'!B:B,tbl_Data[[#This Row],[Trimmed Measure Name]])</f>
        <v>8.6864493556481861</v>
      </c>
      <c r="AU493" s="80">
        <f>IFERROR(VLOOKUP(tbl_Data[[#This Row],[All_Meas_Name_Append]],'IRA Tax Credits'!$A$3:$D$46,4,0),0)</f>
        <v>0</v>
      </c>
      <c r="AV493" s="81">
        <f>tbl_Data[[#This Row],[Adj. per unit Incentive ($)]]/tbl_Data[[#This Row],[kWh Savings]]*tbl_Data[[#This Row],[Sum of Annuals]]</f>
        <v>1.533050398636596E-2</v>
      </c>
      <c r="AW493" s="81">
        <f>IFERROR(VLOOKUP(tbl_Data[[#This Row],[Column1]],'1. Set Program Names'!$B$2:$D$15,3,0)*tbl_Data[[#This Row],[Sum of Annuals]],"")</f>
        <v>3.1419630284369171E-2</v>
      </c>
      <c r="AX493" s="81">
        <f>tbl_Data[[#This Row],[per unit IRA tax ($)]]/tbl_Data[[#This Row],[kWh Savings]]*tbl_Data[[#This Row],[Sum of Annuals]]</f>
        <v>0</v>
      </c>
      <c r="AY493" s="81">
        <f>tbl_Data[[#This Row],[Avoided Costs ($/unit)]]/tbl_Data[[#This Row],[kWh Savings]]*tbl_Data[[#This Row],[Sum of Annuals]]</f>
        <v>0.48600024710930806</v>
      </c>
      <c r="AZ493" s="81">
        <f>tbl_Data[[#This Row],[Lost Revenue ($/unit)]]/tbl_Data[[#This Row],[kWh Savings]]*tbl_Data[[#This Row],[Sum of Annuals]]</f>
        <v>1.0782760213179448</v>
      </c>
      <c r="BA493" s="81">
        <f>tbl_Data[[#This Row],[Incremental Cost ($/unit)]]/tbl_Data[[#This Row],[kWh Savings]]*tbl_Data[[#This Row],[Sum of Annuals]]</f>
        <v>0.29826400495977068</v>
      </c>
      <c r="BB493" s="77">
        <f>ROUNDUP(tbl_Data[[#This Row],[Adjusted 2025]]/$L493,0)</f>
        <v>1</v>
      </c>
      <c r="BC493" s="77">
        <f>ROUNDUP(tbl_Data[[#This Row],[Adjusted 2026]]/$L493,0)</f>
        <v>1</v>
      </c>
      <c r="BD493" s="77">
        <f>ROUNDUP(tbl_Data[[#This Row],[Adjusted 2027]]/$L493,0)</f>
        <v>1</v>
      </c>
      <c r="BE493" s="77">
        <f>ROUNDUP(tbl_Data[[#This Row],[Adjusted 2028]]/$L493,0)</f>
        <v>1</v>
      </c>
      <c r="BF493" s="77">
        <f>ROUNDUP(tbl_Data[[#This Row],[Adjusted 2029]]/$L493,0)</f>
        <v>1</v>
      </c>
      <c r="BG493" s="77">
        <f>ROUNDUP(tbl_Data[[#This Row],[Adjusted 2030]]/$L493,0)</f>
        <v>1</v>
      </c>
      <c r="BH493" s="77">
        <f>ROUNDUP(tbl_Data[[#This Row],[Adjusted 2031]]/$L493,0)</f>
        <v>1</v>
      </c>
      <c r="BI493" s="77">
        <f>ROUNDUP(tbl_Data[[#This Row],[Adjusted 2032]]/$L493,0)</f>
        <v>1</v>
      </c>
      <c r="BJ493" s="77">
        <f>ROUNDUP(tbl_Data[[#This Row],[Adjusted 2033]]/$L493,0)</f>
        <v>1</v>
      </c>
      <c r="BK493" s="77">
        <f>ROUNDUP(tbl_Data[[#This Row],[Adjusted 2034]]/$L493,0)</f>
        <v>1</v>
      </c>
      <c r="BL493" s="80">
        <f t="shared" si="199"/>
        <v>2.9146120551483813E-4</v>
      </c>
      <c r="BM493" s="80">
        <f t="shared" si="200"/>
        <v>6.0892345783355854E-4</v>
      </c>
      <c r="BN493" s="80">
        <f t="shared" si="201"/>
        <v>9.4691797346125629E-4</v>
      </c>
      <c r="BO493" s="80">
        <f t="shared" si="202"/>
        <v>1.3021048011275327E-3</v>
      </c>
      <c r="BP493" s="80">
        <f t="shared" si="203"/>
        <v>1.6712213776861815E-3</v>
      </c>
      <c r="BQ493" s="80">
        <f t="shared" si="204"/>
        <v>2.0510402786951005E-3</v>
      </c>
      <c r="BR493" s="80">
        <f t="shared" si="205"/>
        <v>2.4388180467386326E-3</v>
      </c>
      <c r="BS493" s="80">
        <f t="shared" si="206"/>
        <v>2.8329711867631623E-3</v>
      </c>
      <c r="BT493" s="80">
        <f t="shared" si="207"/>
        <v>3.2324096359344382E-3</v>
      </c>
      <c r="BU493" s="80">
        <f t="shared" si="208"/>
        <v>3.6357139729987068E-3</v>
      </c>
      <c r="BV493" s="80">
        <f>IFERROR(VLOOKUP($H493,'1. Set Program Names'!$B$2:$D$15,3,0)*V493,"NA")</f>
        <v>5.9734522280917735E-4</v>
      </c>
      <c r="BW493" s="80">
        <f>IFERROR(VLOOKUP($H493,'1. Set Program Names'!$B$2:$D$15,3,0)*W493,"NA")</f>
        <v>1.2479791880048478E-3</v>
      </c>
      <c r="BX493" s="80">
        <f>IFERROR(VLOOKUP($H493,'1. Set Program Names'!$B$2:$D$15,3,0)*X493,"NA")</f>
        <v>1.9406937085849408E-3</v>
      </c>
      <c r="BY493" s="80">
        <f>IFERROR(VLOOKUP($H493,'1. Set Program Names'!$B$2:$D$15,3,0)*Y493,"NA")</f>
        <v>2.6686436061928247E-3</v>
      </c>
      <c r="BZ493" s="80">
        <f>IFERROR(VLOOKUP($H493,'1. Set Program Names'!$B$2:$D$15,3,0)*Z493,"NA")</f>
        <v>3.4251423082328177E-3</v>
      </c>
      <c r="CA493" s="80">
        <f>IFERROR(VLOOKUP($H493,'1. Set Program Names'!$B$2:$D$15,3,0)*AA493,"NA")</f>
        <v>4.2035752583386224E-3</v>
      </c>
      <c r="CB493" s="80">
        <f>IFERROR(VLOOKUP($H493,'1. Set Program Names'!$B$2:$D$15,3,0)*AB493,"NA")</f>
        <v>4.9983197830627433E-3</v>
      </c>
      <c r="CC493" s="80">
        <f>IFERROR(VLOOKUP($H493,'1. Set Program Names'!$B$2:$D$15,3,0)*AC493,"NA")</f>
        <v>5.806130533838297E-3</v>
      </c>
      <c r="CD493" s="80">
        <f>IFERROR(VLOOKUP($H493,'1. Set Program Names'!$B$2:$D$15,3,0)*AD493,"NA")</f>
        <v>6.6247734437833768E-3</v>
      </c>
      <c r="CE493" s="80">
        <f>IFERROR(VLOOKUP($H493,'1. Set Program Names'!$B$2:$D$15,3,0)*AE493,"NA")</f>
        <v>7.4513394310406359E-3</v>
      </c>
    </row>
    <row r="494" spans="1:83" x14ac:dyDescent="0.25">
      <c r="A494" s="79" t="s">
        <v>117</v>
      </c>
      <c r="B494" s="79" t="s">
        <v>88</v>
      </c>
      <c r="C494" s="79" t="s">
        <v>122</v>
      </c>
      <c r="D494" s="79" t="s">
        <v>90</v>
      </c>
      <c r="E494" s="79" t="s">
        <v>91</v>
      </c>
      <c r="F494" s="79" t="s">
        <v>90</v>
      </c>
      <c r="G494" s="79" t="s">
        <v>92</v>
      </c>
      <c r="H494" s="79" t="s">
        <v>18</v>
      </c>
      <c r="I494" s="79" t="s">
        <v>160</v>
      </c>
      <c r="J494" s="79" t="s">
        <v>161</v>
      </c>
      <c r="K494" s="79" t="s">
        <v>159</v>
      </c>
      <c r="L494" s="79">
        <v>1059.6621428571407</v>
      </c>
      <c r="M494" s="79">
        <v>0.13879011985330975</v>
      </c>
      <c r="N494" s="79">
        <v>0.14661252282673942</v>
      </c>
      <c r="O494" s="79">
        <v>179</v>
      </c>
      <c r="P494" s="79">
        <v>5.0437849584490522</v>
      </c>
      <c r="Q494" s="79"/>
      <c r="R494" s="79">
        <v>417.01467834907817</v>
      </c>
      <c r="S494" s="79">
        <v>1150.9203207638036</v>
      </c>
      <c r="T494" s="79">
        <v>15</v>
      </c>
      <c r="U494" s="79">
        <v>0.2</v>
      </c>
      <c r="V494" s="79">
        <f>tbl_Data_old[[#This Row],[2025 ]]*IFERROR(AVERAGEIFS('Participation Adjustment'!$C:$C,'Participation Adjustment'!$A:$A,$H494,'Participation Adjustment'!$B:$B,$I494),1)</f>
        <v>4.5541051187358903</v>
      </c>
      <c r="W494" s="79">
        <f>tbl_Data_old[[#This Row],[2026 ]]*IFERROR(AVERAGEIFS('Participation Adjustment'!$C:$C,'Participation Adjustment'!$A:$A,$H494,'Participation Adjustment'!$B:$B,$I494),1)</f>
        <v>9.5110365867284603</v>
      </c>
      <c r="X494" s="79">
        <f>tbl_Data_old[[#This Row],[2027 ]]*IFERROR(AVERAGEIFS('Participation Adjustment'!$C:$C,'Participation Adjustment'!$A:$A,$H494,'Participation Adjustment'!$B:$B,$I494),1)</f>
        <v>14.787579321246</v>
      </c>
      <c r="Y494" s="79">
        <f>tbl_Data_old[[#This Row],[2028 ]]*IFERROR(AVERAGEIFS('Participation Adjustment'!$C:$C,'Participation Adjustment'!$A:$A,$H494,'Participation Adjustment'!$B:$B,$I494),1)</f>
        <v>20.3319046449942</v>
      </c>
      <c r="Z494" s="79">
        <f>tbl_Data_old[[#This Row],[2029 ]]*IFERROR(AVERAGEIFS('Participation Adjustment'!$C:$C,'Participation Adjustment'!$A:$A,$H494,'Participation Adjustment'!$B:$B,$I494),1)</f>
        <v>26.0924233046076</v>
      </c>
      <c r="AA494" s="79">
        <f>tbl_Data_old[[#This Row],[2030 ]]*IFERROR(AVERAGEIFS('Participation Adjustment'!$C:$C,'Participation Adjustment'!$A:$A,$H494,'Participation Adjustment'!$B:$B,$I494),1)</f>
        <v>32.019132975267098</v>
      </c>
      <c r="AB494" s="79">
        <f>tbl_Data_old[[#This Row],[2031 ]]*IFERROR(AVERAGEIFS('Participation Adjustment'!$C:$C,'Participation Adjustment'!$A:$A,$H494,'Participation Adjustment'!$B:$B,$I494),1)</f>
        <v>38.068564448238604</v>
      </c>
      <c r="AC494" s="79">
        <f>tbl_Data_old[[#This Row],[2032 ]]*IFERROR(AVERAGEIFS('Participation Adjustment'!$C:$C,'Participation Adjustment'!$A:$A,$H494,'Participation Adjustment'!$B:$B,$I494),1)</f>
        <v>44.2155698075142</v>
      </c>
      <c r="AD494" s="79">
        <f>tbl_Data_old[[#This Row],[2033 ]]*IFERROR(AVERAGEIFS('Participation Adjustment'!$C:$C,'Participation Adjustment'!$A:$A,$H494,'Participation Adjustment'!$B:$B,$I494),1)</f>
        <v>50.4440541928684</v>
      </c>
      <c r="AE494" s="79">
        <f>tbl_Data_old[[#This Row],[2034 ]]*IFERROR(AVERAGEIFS('Participation Adjustment'!$C:$C,'Participation Adjustment'!$A:$A,$H494,'Participation Adjustment'!$B:$B,$I494),1)</f>
        <v>56.731393722426404</v>
      </c>
      <c r="AF494" s="77" t="str">
        <f t="shared" si="198"/>
        <v>NonResidential</v>
      </c>
      <c r="AG494" s="77" t="str">
        <f>tbl_Data[[#This Row],[All_Meas_Name_Append]]</f>
        <v>LED High Bay_HID Baseline</v>
      </c>
      <c r="AH494" s="77">
        <f>AVERAGEIFS('3. Incentive Adjustment'!G:G,'3. Incentive Adjustment'!A:A,tbl_Data[[#This Row],[Trimmed Sector]],'3. Incentive Adjustment'!B:B,tbl_Data[[#This Row],[Trimmed Measure Name]])</f>
        <v>1.0603846876879557</v>
      </c>
      <c r="AI494" s="77">
        <f>$AH494*tbl_Data[[#This Row],[2025 ]]</f>
        <v>4.8291033340288774</v>
      </c>
      <c r="AJ494" s="77">
        <f>$AH494*tbl_Data[[#This Row],[2026 ]]</f>
        <v>10.085357560606779</v>
      </c>
      <c r="AK494" s="77">
        <f>$AH494*tbl_Data[[#This Row],[2027 ]]</f>
        <v>15.68052268022031</v>
      </c>
      <c r="AL494" s="77">
        <f>$AH494*tbl_Data[[#This Row],[2028 ]]</f>
        <v>21.55964035708347</v>
      </c>
      <c r="AM494" s="77">
        <f>$AH494*tbl_Data[[#This Row],[2029 ]]</f>
        <v>27.668006136878265</v>
      </c>
      <c r="AN494" s="77">
        <f>$AH494*tbl_Data[[#This Row],[2030 ]]</f>
        <v>33.952598320017728</v>
      </c>
      <c r="AO494" s="77">
        <f>$AH494*tbl_Data[[#This Row],[2031 ]]</f>
        <v>40.367322823174305</v>
      </c>
      <c r="AP494" s="77">
        <f>$AH494*tbl_Data[[#This Row],[2032 ]]</f>
        <v>46.885513181285951</v>
      </c>
      <c r="AQ494" s="77">
        <f>$AH494*tbl_Data[[#This Row],[2033 ]]</f>
        <v>53.490102651019072</v>
      </c>
      <c r="AR494" s="77">
        <f>$AH494*tbl_Data[[#This Row],[2034 ]]</f>
        <v>60.157101214457569</v>
      </c>
      <c r="AS494" s="77">
        <f>SUM(tbl_Data[[#This Row],[Adjusted 2025]:[Adjusted 2034]])</f>
        <v>314.67526825877229</v>
      </c>
      <c r="AT494" s="80">
        <f>AVERAGEIFS('3. Incentive Adjustment'!F:F,'3. Incentive Adjustment'!A:A,tbl_Data[[#This Row],[Trimmed Sector]],'3. Incentive Adjustment'!B:B,tbl_Data[[#This Row],[Trimmed Measure Name]])</f>
        <v>28.590998621954778</v>
      </c>
      <c r="AU494" s="80">
        <f>IFERROR(VLOOKUP(tbl_Data[[#This Row],[All_Meas_Name_Append]],'IRA Tax Credits'!$A$3:$D$46,4,0),0)</f>
        <v>0</v>
      </c>
      <c r="AV494" s="81">
        <f>tbl_Data[[#This Row],[Adj. per unit Incentive ($)]]/tbl_Data[[#This Row],[kWh Savings]]*tbl_Data[[#This Row],[Sum of Annuals]]</f>
        <v>8.4903289428569604</v>
      </c>
      <c r="AW494" s="81">
        <f>IFERROR(VLOOKUP(tbl_Data[[#This Row],[Column1]],'1. Set Program Names'!$B$2:$D$15,3,0)*tbl_Data[[#This Row],[Sum of Annuals]],"")</f>
        <v>9.9589046183538432</v>
      </c>
      <c r="AX494" s="81">
        <f>tbl_Data[[#This Row],[per unit IRA tax ($)]]/tbl_Data[[#This Row],[kWh Savings]]*tbl_Data[[#This Row],[Sum of Annuals]]</f>
        <v>0</v>
      </c>
      <c r="AY494" s="81">
        <f>tbl_Data[[#This Row],[Avoided Costs ($/unit)]]/tbl_Data[[#This Row],[kWh Savings]]*tbl_Data[[#This Row],[Sum of Annuals]]</f>
        <v>123.83589114878187</v>
      </c>
      <c r="AZ494" s="81">
        <f>tbl_Data[[#This Row],[Lost Revenue ($/unit)]]/tbl_Data[[#This Row],[kWh Savings]]*tbl_Data[[#This Row],[Sum of Annuals]]</f>
        <v>341.77512438476145</v>
      </c>
      <c r="BA494" s="81">
        <f>tbl_Data[[#This Row],[Incremental Cost ($/unit)]]/tbl_Data[[#This Row],[kWh Savings]]*tbl_Data[[#This Row],[Sum of Annuals]]</f>
        <v>53.155501871990531</v>
      </c>
      <c r="BB494" s="77">
        <f>ROUNDUP(tbl_Data[[#This Row],[Adjusted 2025]]/$L494,0)</f>
        <v>1</v>
      </c>
      <c r="BC494" s="77">
        <f>ROUNDUP(tbl_Data[[#This Row],[Adjusted 2026]]/$L494,0)</f>
        <v>1</v>
      </c>
      <c r="BD494" s="77">
        <f>ROUNDUP(tbl_Data[[#This Row],[Adjusted 2027]]/$L494,0)</f>
        <v>1</v>
      </c>
      <c r="BE494" s="77">
        <f>ROUNDUP(tbl_Data[[#This Row],[Adjusted 2028]]/$L494,0)</f>
        <v>1</v>
      </c>
      <c r="BF494" s="77">
        <f>ROUNDUP(tbl_Data[[#This Row],[Adjusted 2029]]/$L494,0)</f>
        <v>1</v>
      </c>
      <c r="BG494" s="77">
        <f>ROUNDUP(tbl_Data[[#This Row],[Adjusted 2030]]/$L494,0)</f>
        <v>1</v>
      </c>
      <c r="BH494" s="77">
        <f>ROUNDUP(tbl_Data[[#This Row],[Adjusted 2031]]/$L494,0)</f>
        <v>1</v>
      </c>
      <c r="BI494" s="77">
        <f>ROUNDUP(tbl_Data[[#This Row],[Adjusted 2032]]/$L494,0)</f>
        <v>1</v>
      </c>
      <c r="BJ494" s="77">
        <f>ROUNDUP(tbl_Data[[#This Row],[Adjusted 2033]]/$L494,0)</f>
        <v>1</v>
      </c>
      <c r="BK494" s="77">
        <f>ROUNDUP(tbl_Data[[#This Row],[Adjusted 2034]]/$L494,0)</f>
        <v>1</v>
      </c>
      <c r="BL494" s="80">
        <f t="shared" si="199"/>
        <v>0.12287540330821174</v>
      </c>
      <c r="BM494" s="80">
        <f t="shared" si="200"/>
        <v>0.25661956103415823</v>
      </c>
      <c r="BN494" s="80">
        <f t="shared" si="201"/>
        <v>0.39898722705694545</v>
      </c>
      <c r="BO494" s="80">
        <f t="shared" si="202"/>
        <v>0.54857999939431157</v>
      </c>
      <c r="BP494" s="80">
        <f t="shared" si="203"/>
        <v>0.70400593601848671</v>
      </c>
      <c r="BQ494" s="80">
        <f t="shared" si="204"/>
        <v>0.86391591220171282</v>
      </c>
      <c r="BR494" s="80">
        <f t="shared" si="205"/>
        <v>1.0271370747894339</v>
      </c>
      <c r="BS494" s="80">
        <f t="shared" si="206"/>
        <v>1.1929909018237086</v>
      </c>
      <c r="BT494" s="80">
        <f t="shared" si="207"/>
        <v>1.3610431340176228</v>
      </c>
      <c r="BU494" s="80">
        <f t="shared" si="208"/>
        <v>1.5306833509840123</v>
      </c>
      <c r="BV494" s="80">
        <f>IFERROR(VLOOKUP($H494,'1. Set Program Names'!$B$2:$D$15,3,0)*V494,"NA")</f>
        <v>0.14412921215705801</v>
      </c>
      <c r="BW494" s="80">
        <f>IFERROR(VLOOKUP($H494,'1. Set Program Names'!$B$2:$D$15,3,0)*W494,"NA")</f>
        <v>0.30100715163611186</v>
      </c>
      <c r="BX494" s="80">
        <f>IFERROR(VLOOKUP($H494,'1. Set Program Names'!$B$2:$D$15,3,0)*X494,"NA")</f>
        <v>0.46800021117492174</v>
      </c>
      <c r="BY494" s="80">
        <f>IFERROR(VLOOKUP($H494,'1. Set Program Names'!$B$2:$D$15,3,0)*Y494,"NA")</f>
        <v>0.64346810662746778</v>
      </c>
      <c r="BZ494" s="80">
        <f>IFERROR(VLOOKUP($H494,'1. Set Program Names'!$B$2:$D$15,3,0)*Z494,"NA")</f>
        <v>0.82577813118319676</v>
      </c>
      <c r="CA494" s="80">
        <f>IFERROR(VLOOKUP($H494,'1. Set Program Names'!$B$2:$D$15,3,0)*AA494,"NA")</f>
        <v>1.0133478014574917</v>
      </c>
      <c r="CB494" s="80">
        <f>IFERROR(VLOOKUP($H494,'1. Set Program Names'!$B$2:$D$15,3,0)*AB494,"NA")</f>
        <v>1.2048013954051677</v>
      </c>
      <c r="CC494" s="80">
        <f>IFERROR(VLOOKUP($H494,'1. Set Program Names'!$B$2:$D$15,3,0)*AC494,"NA")</f>
        <v>1.3993430268472473</v>
      </c>
      <c r="CD494" s="80">
        <f>IFERROR(VLOOKUP($H494,'1. Set Program Names'!$B$2:$D$15,3,0)*AD494,"NA")</f>
        <v>1.5964633224900542</v>
      </c>
      <c r="CE494" s="80">
        <f>IFERROR(VLOOKUP($H494,'1. Set Program Names'!$B$2:$D$15,3,0)*AE494,"NA")</f>
        <v>1.7954462772819846</v>
      </c>
    </row>
    <row r="495" spans="1:83" x14ac:dyDescent="0.25">
      <c r="A495" s="79" t="s">
        <v>117</v>
      </c>
      <c r="B495" s="79" t="s">
        <v>88</v>
      </c>
      <c r="C495" s="79" t="s">
        <v>122</v>
      </c>
      <c r="D495" s="79" t="s">
        <v>90</v>
      </c>
      <c r="E495" s="79" t="s">
        <v>91</v>
      </c>
      <c r="F495" s="79" t="s">
        <v>90</v>
      </c>
      <c r="G495" s="79" t="s">
        <v>92</v>
      </c>
      <c r="H495" s="79" t="s">
        <v>18</v>
      </c>
      <c r="I495" s="79" t="s">
        <v>162</v>
      </c>
      <c r="J495" s="79" t="s">
        <v>161</v>
      </c>
      <c r="K495" s="79" t="s">
        <v>159</v>
      </c>
      <c r="L495" s="79">
        <v>632.51142857142861</v>
      </c>
      <c r="M495" s="79">
        <v>7.5636667797052567E-2</v>
      </c>
      <c r="N495" s="79">
        <v>7.2066360150851286E-2</v>
      </c>
      <c r="O495" s="79">
        <v>179</v>
      </c>
      <c r="P495" s="79">
        <v>51.895440493260928</v>
      </c>
      <c r="Q495" s="79"/>
      <c r="R495" s="79">
        <v>248.91572427603518</v>
      </c>
      <c r="S495" s="79">
        <v>686.98335706831222</v>
      </c>
      <c r="T495" s="79">
        <v>15</v>
      </c>
      <c r="U495" s="79">
        <v>0.2</v>
      </c>
      <c r="V495" s="79">
        <f>tbl_Data_old[[#This Row],[2025 ]]*IFERROR(AVERAGEIFS('Participation Adjustment'!$C:$C,'Participation Adjustment'!$A:$A,$H495,'Participation Adjustment'!$B:$B,$I495),1)</f>
        <v>11.717774965795201</v>
      </c>
      <c r="W495" s="79">
        <f>tbl_Data_old[[#This Row],[2026 ]]*IFERROR(AVERAGEIFS('Participation Adjustment'!$C:$C,'Participation Adjustment'!$A:$A,$H495,'Participation Adjustment'!$B:$B,$I495),1)</f>
        <v>24.4720276561522</v>
      </c>
      <c r="X495" s="79">
        <f>tbl_Data_old[[#This Row],[2027 ]]*IFERROR(AVERAGEIFS('Participation Adjustment'!$C:$C,'Participation Adjustment'!$A:$A,$H495,'Participation Adjustment'!$B:$B,$I495),1)</f>
        <v>38.048644521254602</v>
      </c>
      <c r="Y495" s="79">
        <f>tbl_Data_old[[#This Row],[2028 ]]*IFERROR(AVERAGEIFS('Participation Adjustment'!$C:$C,'Participation Adjustment'!$A:$A,$H495,'Participation Adjustment'!$B:$B,$I495),1)</f>
        <v>52.314269663186899</v>
      </c>
      <c r="Z495" s="79">
        <f>tbl_Data_old[[#This Row],[2029 ]]*IFERROR(AVERAGEIFS('Participation Adjustment'!$C:$C,'Participation Adjustment'!$A:$A,$H495,'Participation Adjustment'!$B:$B,$I495),1)</f>
        <v>67.136163225088495</v>
      </c>
      <c r="AA495" s="79">
        <f>tbl_Data_old[[#This Row],[2030 ]]*IFERROR(AVERAGEIFS('Participation Adjustment'!$C:$C,'Participation Adjustment'!$A:$A,$H495,'Participation Adjustment'!$B:$B,$I495),1)</f>
        <v>82.385668539025204</v>
      </c>
      <c r="AB495" s="79">
        <f>tbl_Data_old[[#This Row],[2031 ]]*IFERROR(AVERAGEIFS('Participation Adjustment'!$C:$C,'Participation Adjustment'!$A:$A,$H495,'Participation Adjustment'!$B:$B,$I495),1)</f>
        <v>97.950938734403707</v>
      </c>
      <c r="AC495" s="79">
        <f>tbl_Data_old[[#This Row],[2032 ]]*IFERROR(AVERAGEIFS('Participation Adjustment'!$C:$C,'Participation Adjustment'!$A:$A,$H495,'Participation Adjustment'!$B:$B,$I495),1)</f>
        <v>113.767267878233</v>
      </c>
      <c r="AD495" s="79">
        <f>tbl_Data_old[[#This Row],[2033 ]]*IFERROR(AVERAGEIFS('Participation Adjustment'!$C:$C,'Participation Adjustment'!$A:$A,$H495,'Participation Adjustment'!$B:$B,$I495),1)</f>
        <v>129.79324367428799</v>
      </c>
      <c r="AE495" s="79">
        <f>tbl_Data_old[[#This Row],[2034 ]]*IFERROR(AVERAGEIFS('Participation Adjustment'!$C:$C,'Participation Adjustment'!$A:$A,$H495,'Participation Adjustment'!$B:$B,$I495),1)</f>
        <v>145.97065456403899</v>
      </c>
      <c r="AF495" s="77" t="str">
        <f t="shared" si="198"/>
        <v>NonResidential</v>
      </c>
      <c r="AG495" s="77" t="str">
        <f>tbl_Data[[#This Row],[All_Meas_Name_Append]]</f>
        <v>LED High Bay_LF Baseline</v>
      </c>
      <c r="AH495" s="77">
        <f>AVERAGEIFS('3. Incentive Adjustment'!G:G,'3. Incentive Adjustment'!A:A,tbl_Data[[#This Row],[Trimmed Sector]],'3. Incentive Adjustment'!B:B,tbl_Data[[#This Row],[Trimmed Measure Name]])</f>
        <v>0.93017466414143679</v>
      </c>
      <c r="AI495" s="77">
        <f>$AH495*tbl_Data[[#This Row],[2025 ]]</f>
        <v>10.899577393293487</v>
      </c>
      <c r="AJ495" s="77">
        <f>$AH495*tbl_Data[[#This Row],[2026 ]]</f>
        <v>22.763260105921326</v>
      </c>
      <c r="AK495" s="77">
        <f>$AH495*tbl_Data[[#This Row],[2027 ]]</f>
        <v>35.391885138594915</v>
      </c>
      <c r="AL495" s="77">
        <f>$AH495*tbl_Data[[#This Row],[2028 ]]</f>
        <v>48.661408213759429</v>
      </c>
      <c r="AM495" s="77">
        <f>$AH495*tbl_Data[[#This Row],[2029 ]]</f>
        <v>62.448358079641373</v>
      </c>
      <c r="AN495" s="77">
        <f>$AH495*tbl_Data[[#This Row],[2030 ]]</f>
        <v>76.633061563355511</v>
      </c>
      <c r="AO495" s="77">
        <f>$AH495*tbl_Data[[#This Row],[2031 ]]</f>
        <v>91.111481539612413</v>
      </c>
      <c r="AP495" s="77">
        <f>$AH495*tbl_Data[[#This Row],[2032 ]]</f>
        <v>105.82343018892425</v>
      </c>
      <c r="AQ495" s="77">
        <f>$AH495*tbl_Data[[#This Row],[2033 ]]</f>
        <v>120.7303868425585</v>
      </c>
      <c r="AR495" s="77">
        <f>$AH495*tbl_Data[[#This Row],[2034 ]]</f>
        <v>135.77820458361066</v>
      </c>
      <c r="AS495" s="77">
        <f>SUM(tbl_Data[[#This Row],[Adjusted 2025]:[Adjusted 2034]])</f>
        <v>710.24105364927186</v>
      </c>
      <c r="AT495" s="80">
        <f>AVERAGEIFS('3. Incentive Adjustment'!F:F,'3. Incentive Adjustment'!A:A,tbl_Data[[#This Row],[Trimmed Sector]],'3. Incentive Adjustment'!B:B,tbl_Data[[#This Row],[Trimmed Measure Name]])</f>
        <v>23.858858929800434</v>
      </c>
      <c r="AU495" s="80">
        <f>IFERROR(VLOOKUP(tbl_Data[[#This Row],[All_Meas_Name_Append]],'IRA Tax Credits'!$A$3:$D$46,4,0),0)</f>
        <v>0</v>
      </c>
      <c r="AV495" s="81">
        <f>tbl_Data[[#This Row],[Adj. per unit Incentive ($)]]/tbl_Data[[#This Row],[kWh Savings]]*tbl_Data[[#This Row],[Sum of Annuals]]</f>
        <v>26.790885254743127</v>
      </c>
      <c r="AW495" s="81">
        <f>IFERROR(VLOOKUP(tbl_Data[[#This Row],[Column1]],'1. Set Program Names'!$B$2:$D$15,3,0)*tbl_Data[[#This Row],[Sum of Annuals]],"")</f>
        <v>22.477848190839037</v>
      </c>
      <c r="AX495" s="81">
        <f>tbl_Data[[#This Row],[per unit IRA tax ($)]]/tbl_Data[[#This Row],[kWh Savings]]*tbl_Data[[#This Row],[Sum of Annuals]]</f>
        <v>0</v>
      </c>
      <c r="AY495" s="81">
        <f>tbl_Data[[#This Row],[Avoided Costs ($/unit)]]/tbl_Data[[#This Row],[kWh Savings]]*tbl_Data[[#This Row],[Sum of Annuals]]</f>
        <v>279.50509396956801</v>
      </c>
      <c r="AZ495" s="81">
        <f>tbl_Data[[#This Row],[Lost Revenue ($/unit)]]/tbl_Data[[#This Row],[kWh Savings]]*tbl_Data[[#This Row],[Sum of Annuals]]</f>
        <v>771.4070628980129</v>
      </c>
      <c r="BA495" s="81">
        <f>tbl_Data[[#This Row],[Incremental Cost ($/unit)]]/tbl_Data[[#This Row],[kWh Savings]]*tbl_Data[[#This Row],[Sum of Annuals]]</f>
        <v>200.99739366031503</v>
      </c>
      <c r="BB495" s="77">
        <f>ROUNDUP(tbl_Data[[#This Row],[Adjusted 2025]]/$L495,0)</f>
        <v>1</v>
      </c>
      <c r="BC495" s="77">
        <f>ROUNDUP(tbl_Data[[#This Row],[Adjusted 2026]]/$L495,0)</f>
        <v>1</v>
      </c>
      <c r="BD495" s="77">
        <f>ROUNDUP(tbl_Data[[#This Row],[Adjusted 2027]]/$L495,0)</f>
        <v>1</v>
      </c>
      <c r="BE495" s="77">
        <f>ROUNDUP(tbl_Data[[#This Row],[Adjusted 2028]]/$L495,0)</f>
        <v>1</v>
      </c>
      <c r="BF495" s="77">
        <f>ROUNDUP(tbl_Data[[#This Row],[Adjusted 2029]]/$L495,0)</f>
        <v>1</v>
      </c>
      <c r="BG495" s="77">
        <f>ROUNDUP(tbl_Data[[#This Row],[Adjusted 2030]]/$L495,0)</f>
        <v>1</v>
      </c>
      <c r="BH495" s="77">
        <f>ROUNDUP(tbl_Data[[#This Row],[Adjusted 2031]]/$L495,0)</f>
        <v>1</v>
      </c>
      <c r="BI495" s="77">
        <f>ROUNDUP(tbl_Data[[#This Row],[Adjusted 2032]]/$L495,0)</f>
        <v>1</v>
      </c>
      <c r="BJ495" s="77">
        <f>ROUNDUP(tbl_Data[[#This Row],[Adjusted 2033]]/$L495,0)</f>
        <v>1</v>
      </c>
      <c r="BK495" s="77">
        <f>ROUNDUP(tbl_Data[[#This Row],[Adjusted 2034]]/$L495,0)</f>
        <v>1</v>
      </c>
      <c r="BL495" s="80">
        <f t="shared" si="199"/>
        <v>0.44200425043937847</v>
      </c>
      <c r="BM495" s="80">
        <f t="shared" si="200"/>
        <v>0.9231053056116818</v>
      </c>
      <c r="BN495" s="80">
        <f t="shared" si="201"/>
        <v>1.4352266237355764</v>
      </c>
      <c r="BO495" s="80">
        <f t="shared" si="202"/>
        <v>1.9733379090533885</v>
      </c>
      <c r="BP495" s="80">
        <f t="shared" si="203"/>
        <v>2.5324321033901347</v>
      </c>
      <c r="BQ495" s="80">
        <f t="shared" si="204"/>
        <v>3.1076561698646437</v>
      </c>
      <c r="BR495" s="80">
        <f t="shared" si="205"/>
        <v>3.6947911511795697</v>
      </c>
      <c r="BS495" s="80">
        <f t="shared" si="206"/>
        <v>4.2913962855440309</v>
      </c>
      <c r="BT495" s="80">
        <f t="shared" si="207"/>
        <v>4.8959094665849845</v>
      </c>
      <c r="BU495" s="80">
        <f t="shared" si="208"/>
        <v>5.5061349057359212</v>
      </c>
      <c r="BV495" s="80">
        <f>IFERROR(VLOOKUP($H495,'1. Set Program Names'!$B$2:$D$15,3,0)*V495,"NA")</f>
        <v>0.37084644074323658</v>
      </c>
      <c r="BW495" s="80">
        <f>IFERROR(VLOOKUP($H495,'1. Set Program Names'!$B$2:$D$15,3,0)*W495,"NA")</f>
        <v>0.77449553183480291</v>
      </c>
      <c r="BX495" s="80">
        <f>IFERROR(VLOOKUP($H495,'1. Set Program Names'!$B$2:$D$15,3,0)*X495,"NA")</f>
        <v>1.2041709656483712</v>
      </c>
      <c r="BY495" s="80">
        <f>IFERROR(VLOOKUP($H495,'1. Set Program Names'!$B$2:$D$15,3,0)*Y495,"NA")</f>
        <v>1.6556522685668562</v>
      </c>
      <c r="BZ495" s="80">
        <f>IFERROR(VLOOKUP($H495,'1. Set Program Names'!$B$2:$D$15,3,0)*Z495,"NA")</f>
        <v>2.1247384635613238</v>
      </c>
      <c r="CA495" s="80">
        <f>IFERROR(VLOOKUP($H495,'1. Set Program Names'!$B$2:$D$15,3,0)*AA495,"NA")</f>
        <v>2.6073577991669659</v>
      </c>
      <c r="CB495" s="80">
        <f>IFERROR(VLOOKUP($H495,'1. Set Program Names'!$B$2:$D$15,3,0)*AB495,"NA")</f>
        <v>3.0999705236827224</v>
      </c>
      <c r="CC495" s="80">
        <f>IFERROR(VLOOKUP($H495,'1. Set Program Names'!$B$2:$D$15,3,0)*AC495,"NA")</f>
        <v>3.6005288110482088</v>
      </c>
      <c r="CD495" s="80">
        <f>IFERROR(VLOOKUP($H495,'1. Set Program Names'!$B$2:$D$15,3,0)*AD495,"NA")</f>
        <v>4.1077220367888199</v>
      </c>
      <c r="CE495" s="80">
        <f>IFERROR(VLOOKUP($H495,'1. Set Program Names'!$B$2:$D$15,3,0)*AE495,"NA")</f>
        <v>4.6197079100810967</v>
      </c>
    </row>
    <row r="496" spans="1:83" x14ac:dyDescent="0.25">
      <c r="A496" s="79" t="s">
        <v>117</v>
      </c>
      <c r="B496" s="79" t="s">
        <v>88</v>
      </c>
      <c r="C496" s="79" t="s">
        <v>122</v>
      </c>
      <c r="D496" s="79" t="s">
        <v>90</v>
      </c>
      <c r="E496" s="79" t="s">
        <v>91</v>
      </c>
      <c r="F496" s="79" t="s">
        <v>90</v>
      </c>
      <c r="G496" s="79" t="s">
        <v>92</v>
      </c>
      <c r="H496" s="79" t="s">
        <v>18</v>
      </c>
      <c r="I496" s="79" t="s">
        <v>163</v>
      </c>
      <c r="J496" s="79" t="s">
        <v>161</v>
      </c>
      <c r="K496" s="79" t="s">
        <v>159</v>
      </c>
      <c r="L496" s="79">
        <v>217.06142857142831</v>
      </c>
      <c r="M496" s="79">
        <v>3.4743730880075478E-2</v>
      </c>
      <c r="N496" s="79">
        <v>3.4497784431073229E-2</v>
      </c>
      <c r="O496" s="79">
        <v>109.07999999999996</v>
      </c>
      <c r="P496" s="79">
        <v>64.428955263702662</v>
      </c>
      <c r="Q496" s="79"/>
      <c r="R496" s="79">
        <v>85.561030664747506</v>
      </c>
      <c r="S496" s="79">
        <v>235.75477399173039</v>
      </c>
      <c r="T496" s="79">
        <v>15</v>
      </c>
      <c r="U496" s="79">
        <v>0.2</v>
      </c>
      <c r="V496" s="79">
        <f>tbl_Data_old[[#This Row],[2025 ]]*IFERROR(AVERAGEIFS('Participation Adjustment'!$C:$C,'Participation Adjustment'!$A:$A,$H496,'Participation Adjustment'!$B:$B,$I496),1)</f>
        <v>59.638577214734703</v>
      </c>
      <c r="W496" s="79">
        <f>tbl_Data_old[[#This Row],[2026 ]]*IFERROR(AVERAGEIFS('Participation Adjustment'!$C:$C,'Participation Adjustment'!$A:$A,$H496,'Participation Adjustment'!$B:$B,$I496),1)</f>
        <v>122.33637600908909</v>
      </c>
      <c r="X496" s="79">
        <f>tbl_Data_old[[#This Row],[2027 ]]*IFERROR(AVERAGEIFS('Participation Adjustment'!$C:$C,'Participation Adjustment'!$A:$A,$H496,'Participation Adjustment'!$B:$B,$I496),1)</f>
        <v>186.68170760729279</v>
      </c>
      <c r="Y496" s="79">
        <f>tbl_Data_old[[#This Row],[2028 ]]*IFERROR(AVERAGEIFS('Participation Adjustment'!$C:$C,'Participation Adjustment'!$A:$A,$H496,'Participation Adjustment'!$B:$B,$I496),1)</f>
        <v>252.03614745029702</v>
      </c>
      <c r="Z496" s="79">
        <f>tbl_Data_old[[#This Row],[2029 ]]*IFERROR(AVERAGEIFS('Participation Adjustment'!$C:$C,'Participation Adjustment'!$A:$A,$H496,'Participation Adjustment'!$B:$B,$I496),1)</f>
        <v>317.95799096292001</v>
      </c>
      <c r="AA496" s="79">
        <f>tbl_Data_old[[#This Row],[2030 ]]*IFERROR(AVERAGEIFS('Participation Adjustment'!$C:$C,'Participation Adjustment'!$A:$A,$H496,'Participation Adjustment'!$B:$B,$I496),1)</f>
        <v>383.95269161684098</v>
      </c>
      <c r="AB496" s="79">
        <f>tbl_Data_old[[#This Row],[2031 ]]*IFERROR(AVERAGEIFS('Participation Adjustment'!$C:$C,'Participation Adjustment'!$A:$A,$H496,'Participation Adjustment'!$B:$B,$I496),1)</f>
        <v>449.75406030289201</v>
      </c>
      <c r="AC496" s="79">
        <f>tbl_Data_old[[#This Row],[2032 ]]*IFERROR(AVERAGEIFS('Participation Adjustment'!$C:$C,'Participation Adjustment'!$A:$A,$H496,'Participation Adjustment'!$B:$B,$I496),1)</f>
        <v>515.28382386602698</v>
      </c>
      <c r="AD496" s="79">
        <f>tbl_Data_old[[#This Row],[2033 ]]*IFERROR(AVERAGEIFS('Participation Adjustment'!$C:$C,'Participation Adjustment'!$A:$A,$H496,'Participation Adjustment'!$B:$B,$I496),1)</f>
        <v>580.41328829943893</v>
      </c>
      <c r="AE496" s="79">
        <f>tbl_Data_old[[#This Row],[2034 ]]*IFERROR(AVERAGEIFS('Participation Adjustment'!$C:$C,'Participation Adjustment'!$A:$A,$H496,'Participation Adjustment'!$B:$B,$I496),1)</f>
        <v>645.09474927558301</v>
      </c>
      <c r="AF496" s="77" t="str">
        <f t="shared" si="198"/>
        <v>NonResidential</v>
      </c>
      <c r="AG496" s="77" t="str">
        <f>tbl_Data[[#This Row],[All_Meas_Name_Append]]</f>
        <v>LED Linear - Fixture Replacement</v>
      </c>
      <c r="AH496" s="77">
        <f>AVERAGEIFS('3. Incentive Adjustment'!G:G,'3. Incentive Adjustment'!A:A,tbl_Data[[#This Row],[Trimmed Sector]],'3. Incentive Adjustment'!B:B,tbl_Data[[#This Row],[Trimmed Measure Name]])</f>
        <v>0.56055357916158088</v>
      </c>
      <c r="AI496" s="77">
        <f>$AH496*tbl_Data[[#This Row],[2025 ]]</f>
        <v>33.430617913823845</v>
      </c>
      <c r="AJ496" s="77">
        <f>$AH496*tbl_Data[[#This Row],[2026 ]]</f>
        <v>68.576093433551847</v>
      </c>
      <c r="AK496" s="77">
        <f>$AH496*tbl_Data[[#This Row],[2027 ]]</f>
        <v>104.6450993632637</v>
      </c>
      <c r="AL496" s="77">
        <f>$AH496*tbl_Data[[#This Row],[2028 ]]</f>
        <v>141.27976453135994</v>
      </c>
      <c r="AM496" s="77">
        <f>$AH496*tbl_Data[[#This Row],[2029 ]]</f>
        <v>178.2324898572904</v>
      </c>
      <c r="AN496" s="77">
        <f>$AH496*tbl_Data[[#This Row],[2030 ]]</f>
        <v>215.22605551454294</v>
      </c>
      <c r="AO496" s="77">
        <f>$AH496*tbl_Data[[#This Row],[2031 ]]</f>
        <v>252.11124824523961</v>
      </c>
      <c r="AP496" s="77">
        <f>$AH496*tbl_Data[[#This Row],[2032 ]]</f>
        <v>288.84419175216703</v>
      </c>
      <c r="AQ496" s="77">
        <f>$AH496*tbl_Data[[#This Row],[2033 ]]</f>
        <v>325.35274614919302</v>
      </c>
      <c r="AR496" s="77">
        <f>$AH496*tbl_Data[[#This Row],[2034 ]]</f>
        <v>361.6101706047707</v>
      </c>
      <c r="AS496" s="77">
        <f>SUM(tbl_Data[[#This Row],[Adjusted 2025]:[Adjusted 2034]])</f>
        <v>1969.3084773652031</v>
      </c>
      <c r="AT496" s="80">
        <f>AVERAGEIFS('3. Incentive Adjustment'!F:F,'3. Incentive Adjustment'!A:A,tbl_Data[[#This Row],[Trimmed Sector]],'3. Incentive Adjustment'!B:B,tbl_Data[[#This Row],[Trimmed Measure Name]])</f>
        <v>16.810726621008875</v>
      </c>
      <c r="AU496" s="80">
        <f>IFERROR(VLOOKUP(tbl_Data[[#This Row],[All_Meas_Name_Append]],'IRA Tax Credits'!$A$3:$D$46,4,0),0)</f>
        <v>0</v>
      </c>
      <c r="AV496" s="81">
        <f>tbl_Data[[#This Row],[Adj. per unit Incentive ($)]]/tbl_Data[[#This Row],[kWh Savings]]*tbl_Data[[#This Row],[Sum of Annuals]]</f>
        <v>152.51676294265084</v>
      </c>
      <c r="AW496" s="81">
        <f>IFERROR(VLOOKUP(tbl_Data[[#This Row],[Column1]],'1. Set Program Names'!$B$2:$D$15,3,0)*tbl_Data[[#This Row],[Sum of Annuals]],"")</f>
        <v>62.325061002467145</v>
      </c>
      <c r="AX496" s="81">
        <f>tbl_Data[[#This Row],[per unit IRA tax ($)]]/tbl_Data[[#This Row],[kWh Savings]]*tbl_Data[[#This Row],[Sum of Annuals]]</f>
        <v>0</v>
      </c>
      <c r="AY496" s="81">
        <f>tbl_Data[[#This Row],[Avoided Costs ($/unit)]]/tbl_Data[[#This Row],[kWh Savings]]*tbl_Data[[#This Row],[Sum of Annuals]]</f>
        <v>776.25980870546255</v>
      </c>
      <c r="AZ496" s="81">
        <f>tbl_Data[[#This Row],[Lost Revenue ($/unit)]]/tbl_Data[[#This Row],[kWh Savings]]*tbl_Data[[#This Row],[Sum of Annuals]]</f>
        <v>2138.9054612641776</v>
      </c>
      <c r="BA496" s="81">
        <f>tbl_Data[[#This Row],[Incremental Cost ($/unit)]]/tbl_Data[[#This Row],[kWh Savings]]*tbl_Data[[#This Row],[Sum of Annuals]]</f>
        <v>989.63768056243168</v>
      </c>
      <c r="BB496" s="77">
        <f>ROUNDUP(tbl_Data[[#This Row],[Adjusted 2025]]/$L496,0)</f>
        <v>1</v>
      </c>
      <c r="BC496" s="77">
        <f>ROUNDUP(tbl_Data[[#This Row],[Adjusted 2026]]/$L496,0)</f>
        <v>1</v>
      </c>
      <c r="BD496" s="77">
        <f>ROUNDUP(tbl_Data[[#This Row],[Adjusted 2027]]/$L496,0)</f>
        <v>1</v>
      </c>
      <c r="BE496" s="77">
        <f>ROUNDUP(tbl_Data[[#This Row],[Adjusted 2028]]/$L496,0)</f>
        <v>1</v>
      </c>
      <c r="BF496" s="77">
        <f>ROUNDUP(tbl_Data[[#This Row],[Adjusted 2029]]/$L496,0)</f>
        <v>1</v>
      </c>
      <c r="BG496" s="77">
        <f>ROUNDUP(tbl_Data[[#This Row],[Adjusted 2030]]/$L496,0)</f>
        <v>1</v>
      </c>
      <c r="BH496" s="77">
        <f>ROUNDUP(tbl_Data[[#This Row],[Adjusted 2031]]/$L496,0)</f>
        <v>2</v>
      </c>
      <c r="BI496" s="77">
        <f>ROUNDUP(tbl_Data[[#This Row],[Adjusted 2032]]/$L496,0)</f>
        <v>2</v>
      </c>
      <c r="BJ496" s="77">
        <f>ROUNDUP(tbl_Data[[#This Row],[Adjusted 2033]]/$L496,0)</f>
        <v>2</v>
      </c>
      <c r="BK496" s="77">
        <f>ROUNDUP(tbl_Data[[#This Row],[Adjusted 2034]]/$L496,0)</f>
        <v>2</v>
      </c>
      <c r="BL496" s="80">
        <f t="shared" si="199"/>
        <v>4.6188206915487031</v>
      </c>
      <c r="BM496" s="80">
        <f t="shared" si="200"/>
        <v>9.4745684962494057</v>
      </c>
      <c r="BN496" s="80">
        <f t="shared" si="201"/>
        <v>14.457912547537701</v>
      </c>
      <c r="BO496" s="80">
        <f t="shared" si="202"/>
        <v>19.519408866347657</v>
      </c>
      <c r="BP496" s="80">
        <f t="shared" si="203"/>
        <v>24.624848819162484</v>
      </c>
      <c r="BQ496" s="80">
        <f t="shared" si="204"/>
        <v>29.735931328984375</v>
      </c>
      <c r="BR496" s="80">
        <f t="shared" si="205"/>
        <v>34.832040884466323</v>
      </c>
      <c r="BS496" s="80">
        <f t="shared" si="206"/>
        <v>39.907115475329</v>
      </c>
      <c r="BT496" s="80">
        <f t="shared" si="207"/>
        <v>44.951188154517695</v>
      </c>
      <c r="BU496" s="80">
        <f t="shared" si="208"/>
        <v>49.960564371534531</v>
      </c>
      <c r="BV496" s="80">
        <f>IFERROR(VLOOKUP($H496,'1. Set Program Names'!$B$2:$D$15,3,0)*V496,"NA")</f>
        <v>1.8874533907362974</v>
      </c>
      <c r="BW496" s="80">
        <f>IFERROR(VLOOKUP($H496,'1. Set Program Names'!$B$2:$D$15,3,0)*W496,"NA")</f>
        <v>3.8717256261387991</v>
      </c>
      <c r="BX496" s="80">
        <f>IFERROR(VLOOKUP($H496,'1. Set Program Names'!$B$2:$D$15,3,0)*X496,"NA")</f>
        <v>5.9081393029069806</v>
      </c>
      <c r="BY496" s="80">
        <f>IFERROR(VLOOKUP($H496,'1. Set Program Names'!$B$2:$D$15,3,0)*Y496,"NA")</f>
        <v>7.9764894353590536</v>
      </c>
      <c r="BZ496" s="80">
        <f>IFERROR(VLOOKUP($H496,'1. Set Program Names'!$B$2:$D$15,3,0)*Z496,"NA")</f>
        <v>10.06279687045237</v>
      </c>
      <c r="CA496" s="80">
        <f>IFERROR(VLOOKUP($H496,'1. Set Program Names'!$B$2:$D$15,3,0)*AA496,"NA")</f>
        <v>12.151410102645558</v>
      </c>
      <c r="CB496" s="80">
        <f>IFERROR(VLOOKUP($H496,'1. Set Program Names'!$B$2:$D$15,3,0)*AB496,"NA")</f>
        <v>14.233904726794494</v>
      </c>
      <c r="CC496" s="80">
        <f>IFERROR(VLOOKUP($H496,'1. Set Program Names'!$B$2:$D$15,3,0)*AC496,"NA")</f>
        <v>16.307803538733769</v>
      </c>
      <c r="CD496" s="80">
        <f>IFERROR(VLOOKUP($H496,'1. Set Program Names'!$B$2:$D$15,3,0)*AD496,"NA")</f>
        <v>18.369033605290603</v>
      </c>
      <c r="CE496" s="80">
        <f>IFERROR(VLOOKUP($H496,'1. Set Program Names'!$B$2:$D$15,3,0)*AE496,"NA")</f>
        <v>20.4160851705489</v>
      </c>
    </row>
    <row r="497" spans="1:83" x14ac:dyDescent="0.25">
      <c r="A497" s="79" t="s">
        <v>117</v>
      </c>
      <c r="B497" s="79" t="s">
        <v>88</v>
      </c>
      <c r="C497" s="79" t="s">
        <v>122</v>
      </c>
      <c r="D497" s="79" t="s">
        <v>90</v>
      </c>
      <c r="E497" s="79" t="s">
        <v>91</v>
      </c>
      <c r="F497" s="79" t="s">
        <v>90</v>
      </c>
      <c r="G497" s="79" t="s">
        <v>92</v>
      </c>
      <c r="H497" s="79" t="s">
        <v>18</v>
      </c>
      <c r="I497" s="79" t="s">
        <v>164</v>
      </c>
      <c r="J497" s="79" t="s">
        <v>158</v>
      </c>
      <c r="K497" s="79" t="s">
        <v>159</v>
      </c>
      <c r="L497" s="79">
        <v>612.05999999999972</v>
      </c>
      <c r="M497" s="79">
        <v>0</v>
      </c>
      <c r="N497" s="79">
        <v>3.0244631686656035E-2</v>
      </c>
      <c r="O497" s="79">
        <v>255</v>
      </c>
      <c r="P497" s="79">
        <v>129.09500333079711</v>
      </c>
      <c r="Q497" s="79"/>
      <c r="R497" s="79">
        <v>299.62522934905462</v>
      </c>
      <c r="S497" s="79">
        <v>664.77065003695441</v>
      </c>
      <c r="T497" s="79">
        <v>15</v>
      </c>
      <c r="U497" s="79">
        <v>0.2</v>
      </c>
      <c r="V497" s="79">
        <f>tbl_Data_old[[#This Row],[2025 ]]*IFERROR(AVERAGEIFS('Participation Adjustment'!$C:$C,'Participation Adjustment'!$A:$A,$H497,'Participation Adjustment'!$B:$B,$I497),1)</f>
        <v>5.3084506023595797</v>
      </c>
      <c r="W497" s="79">
        <f>tbl_Data_old[[#This Row],[2026 ]]*IFERROR(AVERAGEIFS('Participation Adjustment'!$C:$C,'Participation Adjustment'!$A:$A,$H497,'Participation Adjustment'!$B:$B,$I497),1)</f>
        <v>11.07606718901514</v>
      </c>
      <c r="X497" s="79">
        <f>tbl_Data_old[[#This Row],[2027 ]]*IFERROR(AVERAGEIFS('Participation Adjustment'!$C:$C,'Participation Adjustment'!$A:$A,$H497,'Participation Adjustment'!$B:$B,$I497),1)</f>
        <v>17.212594134857021</v>
      </c>
      <c r="Y497" s="79">
        <f>tbl_Data_old[[#This Row],[2028 ]]*IFERROR(AVERAGEIFS('Participation Adjustment'!$C:$C,'Participation Adjustment'!$A:$A,$H497,'Participation Adjustment'!$B:$B,$I497),1)</f>
        <v>23.658698906404599</v>
      </c>
      <c r="Z497" s="79">
        <f>tbl_Data_old[[#This Row],[2029 ]]*IFERROR(AVERAGEIFS('Participation Adjustment'!$C:$C,'Participation Adjustment'!$A:$A,$H497,'Participation Adjustment'!$B:$B,$I497),1)</f>
        <v>30.352402270633799</v>
      </c>
      <c r="AA497" s="79">
        <f>tbl_Data_old[[#This Row],[2030 ]]*IFERROR(AVERAGEIFS('Participation Adjustment'!$C:$C,'Participation Adjustment'!$A:$A,$H497,'Participation Adjustment'!$B:$B,$I497),1)</f>
        <v>37.236706056283197</v>
      </c>
      <c r="AB497" s="79">
        <f>tbl_Data_old[[#This Row],[2031 ]]*IFERROR(AVERAGEIFS('Participation Adjustment'!$C:$C,'Participation Adjustment'!$A:$A,$H497,'Participation Adjustment'!$B:$B,$I497),1)</f>
        <v>44.259123163512797</v>
      </c>
      <c r="AC497" s="79">
        <f>tbl_Data_old[[#This Row],[2032 ]]*IFERROR(AVERAGEIFS('Participation Adjustment'!$C:$C,'Participation Adjustment'!$A:$A,$H497,'Participation Adjustment'!$B:$B,$I497),1)</f>
        <v>51.389116238121801</v>
      </c>
      <c r="AD497" s="79">
        <f>tbl_Data_old[[#This Row],[2033 ]]*IFERROR(AVERAGEIFS('Participation Adjustment'!$C:$C,'Participation Adjustment'!$A:$A,$H497,'Participation Adjustment'!$B:$B,$I497),1)</f>
        <v>58.610752754070198</v>
      </c>
      <c r="AE497" s="79">
        <f>tbl_Data_old[[#This Row],[2034 ]]*IFERROR(AVERAGEIFS('Participation Adjustment'!$C:$C,'Participation Adjustment'!$A:$A,$H497,'Participation Adjustment'!$B:$B,$I497),1)</f>
        <v>65.896317904175604</v>
      </c>
      <c r="AF497" s="77" t="str">
        <f t="shared" si="198"/>
        <v>NonResidential</v>
      </c>
      <c r="AG497" s="77" t="str">
        <f>tbl_Data[[#This Row],[All_Meas_Name_Append]]</f>
        <v>LED Parking Lighting</v>
      </c>
      <c r="AH497" s="77">
        <f>AVERAGEIFS('3. Incentive Adjustment'!G:G,'3. Incentive Adjustment'!A:A,tbl_Data[[#This Row],[Trimmed Sector]],'3. Incentive Adjustment'!B:B,tbl_Data[[#This Row],[Trimmed Measure Name]])</f>
        <v>0.59704067730377497</v>
      </c>
      <c r="AI497" s="77">
        <f>$AH497*tbl_Data[[#This Row],[2025 ]]</f>
        <v>3.1693609430663958</v>
      </c>
      <c r="AJ497" s="77">
        <f>$AH497*tbl_Data[[#This Row],[2026 ]]</f>
        <v>6.6128626563917177</v>
      </c>
      <c r="AK497" s="77">
        <f>$AH497*tbl_Data[[#This Row],[2027 ]]</f>
        <v>10.27661886043002</v>
      </c>
      <c r="AL497" s="77">
        <f>$AH497*tbl_Data[[#This Row],[2028 ]]</f>
        <v>14.125205619205882</v>
      </c>
      <c r="AM497" s="77">
        <f>$AH497*tbl_Data[[#This Row],[2029 ]]</f>
        <v>18.121618809455843</v>
      </c>
      <c r="AN497" s="77">
        <f>$AH497*tbl_Data[[#This Row],[2030 ]]</f>
        <v>22.231828204404898</v>
      </c>
      <c r="AO497" s="77">
        <f>$AH497*tbl_Data[[#This Row],[2031 ]]</f>
        <v>26.424496870414874</v>
      </c>
      <c r="AP497" s="77">
        <f>$AH497*tbl_Data[[#This Row],[2032 ]]</f>
        <v>30.68139276485066</v>
      </c>
      <c r="AQ497" s="77">
        <f>$AH497*tbl_Data[[#This Row],[2033 ]]</f>
        <v>34.993003521574167</v>
      </c>
      <c r="AR497" s="77">
        <f>$AH497*tbl_Data[[#This Row],[2034 ]]</f>
        <v>39.342782273333874</v>
      </c>
      <c r="AS497" s="77">
        <f>SUM(tbl_Data[[#This Row],[Adjusted 2025]:[Adjusted 2034]])</f>
        <v>205.97917052312832</v>
      </c>
      <c r="AT497" s="80">
        <f>AVERAGEIFS('3. Incentive Adjustment'!F:F,'3. Incentive Adjustment'!A:A,tbl_Data[[#This Row],[Trimmed Sector]],'3. Incentive Adjustment'!B:B,tbl_Data[[#This Row],[Trimmed Measure Name]])</f>
        <v>9.4514474020799994</v>
      </c>
      <c r="AU497" s="80">
        <f>IFERROR(VLOOKUP(tbl_Data[[#This Row],[All_Meas_Name_Append]],'IRA Tax Credits'!$A$3:$D$46,4,0),0)</f>
        <v>0</v>
      </c>
      <c r="AV497" s="81">
        <f>tbl_Data[[#This Row],[Adj. per unit Incentive ($)]]/tbl_Data[[#This Row],[kWh Savings]]*tbl_Data[[#This Row],[Sum of Annuals]]</f>
        <v>3.1807360326167617</v>
      </c>
      <c r="AW497" s="81">
        <f>IFERROR(VLOOKUP(tbl_Data[[#This Row],[Column1]],'1. Set Program Names'!$B$2:$D$15,3,0)*tbl_Data[[#This Row],[Sum of Annuals]],"")</f>
        <v>6.5188691947680288</v>
      </c>
      <c r="AX497" s="81">
        <f>tbl_Data[[#This Row],[per unit IRA tax ($)]]/tbl_Data[[#This Row],[kWh Savings]]*tbl_Data[[#This Row],[Sum of Annuals]]</f>
        <v>0</v>
      </c>
      <c r="AY497" s="81">
        <f>tbl_Data[[#This Row],[Avoided Costs ($/unit)]]/tbl_Data[[#This Row],[kWh Savings]]*tbl_Data[[#This Row],[Sum of Annuals]]</f>
        <v>100.83416039133481</v>
      </c>
      <c r="AZ497" s="81">
        <f>tbl_Data[[#This Row],[Lost Revenue ($/unit)]]/tbl_Data[[#This Row],[kWh Savings]]*tbl_Data[[#This Row],[Sum of Annuals]]</f>
        <v>223.71811110468374</v>
      </c>
      <c r="BA497" s="81">
        <f>tbl_Data[[#This Row],[Incremental Cost ($/unit)]]/tbl_Data[[#This Row],[kWh Savings]]*tbl_Data[[#This Row],[Sum of Annuals]]</f>
        <v>85.816241027673343</v>
      </c>
      <c r="BB497" s="77">
        <f>ROUNDUP(tbl_Data[[#This Row],[Adjusted 2025]]/$L497,0)</f>
        <v>1</v>
      </c>
      <c r="BC497" s="77">
        <f>ROUNDUP(tbl_Data[[#This Row],[Adjusted 2026]]/$L497,0)</f>
        <v>1</v>
      </c>
      <c r="BD497" s="77">
        <f>ROUNDUP(tbl_Data[[#This Row],[Adjusted 2027]]/$L497,0)</f>
        <v>1</v>
      </c>
      <c r="BE497" s="77">
        <f>ROUNDUP(tbl_Data[[#This Row],[Adjusted 2028]]/$L497,0)</f>
        <v>1</v>
      </c>
      <c r="BF497" s="77">
        <f>ROUNDUP(tbl_Data[[#This Row],[Adjusted 2029]]/$L497,0)</f>
        <v>1</v>
      </c>
      <c r="BG497" s="77">
        <f>ROUNDUP(tbl_Data[[#This Row],[Adjusted 2030]]/$L497,0)</f>
        <v>1</v>
      </c>
      <c r="BH497" s="77">
        <f>ROUNDUP(tbl_Data[[#This Row],[Adjusted 2031]]/$L497,0)</f>
        <v>1</v>
      </c>
      <c r="BI497" s="77">
        <f>ROUNDUP(tbl_Data[[#This Row],[Adjusted 2032]]/$L497,0)</f>
        <v>1</v>
      </c>
      <c r="BJ497" s="77">
        <f>ROUNDUP(tbl_Data[[#This Row],[Adjusted 2033]]/$L497,0)</f>
        <v>1</v>
      </c>
      <c r="BK497" s="77">
        <f>ROUNDUP(tbl_Data[[#This Row],[Adjusted 2034]]/$L497,0)</f>
        <v>1</v>
      </c>
      <c r="BL497" s="80">
        <f t="shared" si="199"/>
        <v>8.1973240621412077E-2</v>
      </c>
      <c r="BM497" s="80">
        <f t="shared" si="200"/>
        <v>0.17103693503721973</v>
      </c>
      <c r="BN497" s="80">
        <f t="shared" si="201"/>
        <v>0.26579735339501337</v>
      </c>
      <c r="BO497" s="80">
        <f t="shared" si="202"/>
        <v>0.36533828107625194</v>
      </c>
      <c r="BP497" s="80">
        <f t="shared" si="203"/>
        <v>0.46870263305504201</v>
      </c>
      <c r="BQ497" s="80">
        <f t="shared" si="204"/>
        <v>0.57501024199861872</v>
      </c>
      <c r="BR497" s="80">
        <f t="shared" si="205"/>
        <v>0.68345060066353291</v>
      </c>
      <c r="BS497" s="80">
        <f t="shared" si="206"/>
        <v>0.79355215038392257</v>
      </c>
      <c r="BT497" s="80">
        <f t="shared" si="207"/>
        <v>0.90506886065322056</v>
      </c>
      <c r="BU497" s="80">
        <f t="shared" si="208"/>
        <v>1.0175727586544758</v>
      </c>
      <c r="BV497" s="80">
        <f>IFERROR(VLOOKUP($H497,'1. Set Program Names'!$B$2:$D$15,3,0)*V497,"NA")</f>
        <v>0.16800288599950464</v>
      </c>
      <c r="BW497" s="80">
        <f>IFERROR(VLOOKUP($H497,'1. Set Program Names'!$B$2:$D$15,3,0)*W497,"NA")</f>
        <v>0.35053754714263385</v>
      </c>
      <c r="BX497" s="80">
        <f>IFERROR(VLOOKUP($H497,'1. Set Program Names'!$B$2:$D$15,3,0)*X497,"NA")</f>
        <v>0.54474755570085764</v>
      </c>
      <c r="BY497" s="80">
        <f>IFERROR(VLOOKUP($H497,'1. Set Program Names'!$B$2:$D$15,3,0)*Y497,"NA")</f>
        <v>0.74875514401557197</v>
      </c>
      <c r="BZ497" s="80">
        <f>IFERROR(VLOOKUP($H497,'1. Set Program Names'!$B$2:$D$15,3,0)*Z497,"NA")</f>
        <v>0.96059878116183028</v>
      </c>
      <c r="CA497" s="80">
        <f>IFERROR(VLOOKUP($H497,'1. Set Program Names'!$B$2:$D$15,3,0)*AA497,"NA")</f>
        <v>1.1784745778344636</v>
      </c>
      <c r="CB497" s="80">
        <f>IFERROR(VLOOKUP($H497,'1. Set Program Names'!$B$2:$D$15,3,0)*AB497,"NA")</f>
        <v>1.4007214120015663</v>
      </c>
      <c r="CC497" s="80">
        <f>IFERROR(VLOOKUP($H497,'1. Set Program Names'!$B$2:$D$15,3,0)*AC497,"NA")</f>
        <v>1.6263728314870092</v>
      </c>
      <c r="CD497" s="80">
        <f>IFERROR(VLOOKUP($H497,'1. Set Program Names'!$B$2:$D$15,3,0)*AD497,"NA")</f>
        <v>1.854924600581263</v>
      </c>
      <c r="CE497" s="80">
        <f>IFERROR(VLOOKUP($H497,'1. Set Program Names'!$B$2:$D$15,3,0)*AE497,"NA")</f>
        <v>2.085499595629924</v>
      </c>
    </row>
    <row r="498" spans="1:83" x14ac:dyDescent="0.25">
      <c r="A498" s="79" t="s">
        <v>117</v>
      </c>
      <c r="B498" s="79" t="s">
        <v>88</v>
      </c>
      <c r="C498" s="79" t="s">
        <v>122</v>
      </c>
      <c r="D498" s="79" t="s">
        <v>90</v>
      </c>
      <c r="E498" s="79" t="s">
        <v>91</v>
      </c>
      <c r="F498" s="79" t="s">
        <v>90</v>
      </c>
      <c r="G498" s="79" t="s">
        <v>92</v>
      </c>
      <c r="H498" s="79" t="s">
        <v>18</v>
      </c>
      <c r="I498" s="79" t="s">
        <v>165</v>
      </c>
      <c r="J498" s="79" t="s">
        <v>161</v>
      </c>
      <c r="K498" s="79" t="s">
        <v>166</v>
      </c>
      <c r="L498" s="79">
        <v>510.6</v>
      </c>
      <c r="M498" s="79">
        <v>6.2552429943266097E-2</v>
      </c>
      <c r="N498" s="79">
        <v>6.4361142955417797E-2</v>
      </c>
      <c r="O498" s="79">
        <v>129</v>
      </c>
      <c r="P498" s="79">
        <v>26.468747947944401</v>
      </c>
      <c r="Q498" s="79">
        <v>16.159568962215999</v>
      </c>
      <c r="R498" s="79">
        <v>174.74401692254699</v>
      </c>
      <c r="S498" s="79">
        <v>419.99719394182398</v>
      </c>
      <c r="T498" s="79">
        <v>10</v>
      </c>
      <c r="U498" s="79">
        <v>0.2</v>
      </c>
      <c r="V498" s="79">
        <f>tbl_Data_old[[#This Row],[2025 ]]*IFERROR(AVERAGEIFS('Participation Adjustment'!$C:$C,'Participation Adjustment'!$A:$A,$H498,'Participation Adjustment'!$B:$B,$I498),1)</f>
        <v>1.01031225358409</v>
      </c>
      <c r="W498" s="79">
        <f>tbl_Data_old[[#This Row],[2026 ]]*IFERROR(AVERAGEIFS('Participation Adjustment'!$C:$C,'Participation Adjustment'!$A:$A,$H498,'Participation Adjustment'!$B:$B,$I498),1)</f>
        <v>2.3958987819860602</v>
      </c>
      <c r="X498" s="79">
        <f>tbl_Data_old[[#This Row],[2027 ]]*IFERROR(AVERAGEIFS('Participation Adjustment'!$C:$C,'Participation Adjustment'!$A:$A,$H498,'Participation Adjustment'!$B:$B,$I498),1)</f>
        <v>4.2390289779674504</v>
      </c>
      <c r="Y498" s="79">
        <f>tbl_Data_old[[#This Row],[2028 ]]*IFERROR(AVERAGEIFS('Participation Adjustment'!$C:$C,'Participation Adjustment'!$A:$A,$H498,'Participation Adjustment'!$B:$B,$I498),1)</f>
        <v>6.6163364772083701</v>
      </c>
      <c r="Z498" s="79">
        <f>tbl_Data_old[[#This Row],[2029 ]]*IFERROR(AVERAGEIFS('Participation Adjustment'!$C:$C,'Participation Adjustment'!$A:$A,$H498,'Participation Adjustment'!$B:$B,$I498),1)</f>
        <v>9.5609629515792296</v>
      </c>
      <c r="AA498" s="79">
        <f>tbl_Data_old[[#This Row],[2030 ]]*IFERROR(AVERAGEIFS('Participation Adjustment'!$C:$C,'Participation Adjustment'!$A:$A,$H498,'Participation Adjustment'!$B:$B,$I498),1)</f>
        <v>13.0180843840742</v>
      </c>
      <c r="AB498" s="79">
        <f>tbl_Data_old[[#This Row],[2031 ]]*IFERROR(AVERAGEIFS('Participation Adjustment'!$C:$C,'Participation Adjustment'!$A:$A,$H498,'Participation Adjustment'!$B:$B,$I498),1)</f>
        <v>16.818279753297901</v>
      </c>
      <c r="AC498" s="79">
        <f>tbl_Data_old[[#This Row],[2032 ]]*IFERROR(AVERAGEIFS('Participation Adjustment'!$C:$C,'Participation Adjustment'!$A:$A,$H498,'Participation Adjustment'!$B:$B,$I498),1)</f>
        <v>20.684240278168701</v>
      </c>
      <c r="AD498" s="79">
        <f>tbl_Data_old[[#This Row],[2033 ]]*IFERROR(AVERAGEIFS('Participation Adjustment'!$C:$C,'Participation Adjustment'!$A:$A,$H498,'Participation Adjustment'!$B:$B,$I498),1)</f>
        <v>24.283330723056199</v>
      </c>
      <c r="AE498" s="79">
        <f>tbl_Data_old[[#This Row],[2034 ]]*IFERROR(AVERAGEIFS('Participation Adjustment'!$C:$C,'Participation Adjustment'!$A:$A,$H498,'Participation Adjustment'!$B:$B,$I498),1)</f>
        <v>27.336234921195199</v>
      </c>
      <c r="AF498" s="77" t="str">
        <f t="shared" si="198"/>
        <v>NonResidential</v>
      </c>
      <c r="AG498" s="77" t="str">
        <f>tbl_Data[[#This Row],[All_Meas_Name_Append]]</f>
        <v>Occupancy Sensors_ Ceiling Mounted</v>
      </c>
      <c r="AH498" s="77">
        <f>AVERAGEIFS('3. Incentive Adjustment'!G:G,'3. Incentive Adjustment'!A:A,tbl_Data[[#This Row],[Trimmed Sector]],'3. Incentive Adjustment'!B:B,tbl_Data[[#This Row],[Trimmed Measure Name]])</f>
        <v>0.99348124042467356</v>
      </c>
      <c r="AI498" s="77">
        <f>$AH498*tbl_Data[[#This Row],[2025 ]]</f>
        <v>1.0037262709069692</v>
      </c>
      <c r="AJ498" s="77">
        <f>$AH498*tbl_Data[[#This Row],[2026 ]]</f>
        <v>2.3802804938594755</v>
      </c>
      <c r="AK498" s="77">
        <f>$AH498*tbl_Data[[#This Row],[2027 ]]</f>
        <v>4.2113957672272386</v>
      </c>
      <c r="AL498" s="77">
        <f>$AH498*tbl_Data[[#This Row],[2028 ]]</f>
        <v>6.5732061704439868</v>
      </c>
      <c r="AM498" s="77">
        <f>$AH498*tbl_Data[[#This Row],[2029 ]]</f>
        <v>9.498637332789281</v>
      </c>
      <c r="AN498" s="77">
        <f>$AH498*tbl_Data[[#This Row],[2030 ]]</f>
        <v>12.933222621843109</v>
      </c>
      <c r="AO498" s="77">
        <f>$AH498*tbl_Data[[#This Row],[2031 ]]</f>
        <v>16.708645431115571</v>
      </c>
      <c r="AP498" s="77">
        <f>$AH498*tbl_Data[[#This Row],[2032 ]]</f>
        <v>20.549404688797036</v>
      </c>
      <c r="AQ498" s="77">
        <f>$AH498*tbl_Data[[#This Row],[2033 ]]</f>
        <v>24.125033528384456</v>
      </c>
      <c r="AR498" s="77">
        <f>$AH498*tbl_Data[[#This Row],[2034 ]]</f>
        <v>27.158036578049284</v>
      </c>
      <c r="AS498" s="77">
        <f>SUM(tbl_Data[[#This Row],[Adjusted 2025]:[Adjusted 2034]])</f>
        <v>125.1415888834164</v>
      </c>
      <c r="AT498" s="80">
        <f>AVERAGEIFS('3. Incentive Adjustment'!F:F,'3. Incentive Adjustment'!A:A,tbl_Data[[#This Row],[Trimmed Sector]],'3. Incentive Adjustment'!B:B,tbl_Data[[#This Row],[Trimmed Measure Name]])</f>
        <v>19.547634357270656</v>
      </c>
      <c r="AU498" s="80">
        <f>IFERROR(VLOOKUP(tbl_Data[[#This Row],[All_Meas_Name_Append]],'IRA Tax Credits'!$A$3:$D$46,4,0),0)</f>
        <v>0</v>
      </c>
      <c r="AV498" s="81">
        <f>tbl_Data[[#This Row],[Adj. per unit Incentive ($)]]/tbl_Data[[#This Row],[kWh Savings]]*tbl_Data[[#This Row],[Sum of Annuals]]</f>
        <v>4.7908774429708387</v>
      </c>
      <c r="AW498" s="81">
        <f>IFERROR(VLOOKUP(tbl_Data[[#This Row],[Column1]],'1. Set Program Names'!$B$2:$D$15,3,0)*tbl_Data[[#This Row],[Sum of Annuals]],"")</f>
        <v>3.9605055534721099</v>
      </c>
      <c r="AX498" s="81">
        <f>tbl_Data[[#This Row],[per unit IRA tax ($)]]/tbl_Data[[#This Row],[kWh Savings]]*tbl_Data[[#This Row],[Sum of Annuals]]</f>
        <v>0</v>
      </c>
      <c r="AY498" s="81">
        <f>tbl_Data[[#This Row],[Avoided Costs ($/unit)]]/tbl_Data[[#This Row],[kWh Savings]]*tbl_Data[[#This Row],[Sum of Annuals]]</f>
        <v>42.827543920012012</v>
      </c>
      <c r="AZ498" s="81">
        <f>tbl_Data[[#This Row],[Lost Revenue ($/unit)]]/tbl_Data[[#This Row],[kWh Savings]]*tbl_Data[[#This Row],[Sum of Annuals]]</f>
        <v>102.93598937809682</v>
      </c>
      <c r="BA498" s="81">
        <f>tbl_Data[[#This Row],[Incremental Cost ($/unit)]]/tbl_Data[[#This Row],[kWh Savings]]*tbl_Data[[#This Row],[Sum of Annuals]]</f>
        <v>31.616265111556434</v>
      </c>
      <c r="BB498" s="77">
        <f>ROUNDUP(tbl_Data[[#This Row],[Adjusted 2025]]/$L498,0)</f>
        <v>1</v>
      </c>
      <c r="BC498" s="77">
        <f>ROUNDUP(tbl_Data[[#This Row],[Adjusted 2026]]/$L498,0)</f>
        <v>1</v>
      </c>
      <c r="BD498" s="77">
        <f>ROUNDUP(tbl_Data[[#This Row],[Adjusted 2027]]/$L498,0)</f>
        <v>1</v>
      </c>
      <c r="BE498" s="77">
        <f>ROUNDUP(tbl_Data[[#This Row],[Adjusted 2028]]/$L498,0)</f>
        <v>1</v>
      </c>
      <c r="BF498" s="77">
        <f>ROUNDUP(tbl_Data[[#This Row],[Adjusted 2029]]/$L498,0)</f>
        <v>1</v>
      </c>
      <c r="BG498" s="77">
        <f>ROUNDUP(tbl_Data[[#This Row],[Adjusted 2030]]/$L498,0)</f>
        <v>1</v>
      </c>
      <c r="BH498" s="77">
        <f>ROUNDUP(tbl_Data[[#This Row],[Adjusted 2031]]/$L498,0)</f>
        <v>1</v>
      </c>
      <c r="BI498" s="77">
        <f>ROUNDUP(tbl_Data[[#This Row],[Adjusted 2032]]/$L498,0)</f>
        <v>1</v>
      </c>
      <c r="BJ498" s="77">
        <f>ROUNDUP(tbl_Data[[#This Row],[Adjusted 2033]]/$L498,0)</f>
        <v>1</v>
      </c>
      <c r="BK498" s="77">
        <f>ROUNDUP(tbl_Data[[#This Row],[Adjusted 2034]]/$L498,0)</f>
        <v>1</v>
      </c>
      <c r="BL498" s="80">
        <f t="shared" si="199"/>
        <v>3.8678445984590484E-2</v>
      </c>
      <c r="BM498" s="80">
        <f t="shared" si="200"/>
        <v>9.1723762920669069E-2</v>
      </c>
      <c r="BN498" s="80">
        <f t="shared" si="201"/>
        <v>0.16228552387618969</v>
      </c>
      <c r="BO498" s="80">
        <f t="shared" si="202"/>
        <v>0.25329754453807568</v>
      </c>
      <c r="BP498" s="80">
        <f t="shared" si="203"/>
        <v>0.36602860924575403</v>
      </c>
      <c r="BQ498" s="80">
        <f t="shared" si="204"/>
        <v>0.49837985423419007</v>
      </c>
      <c r="BR498" s="80">
        <f t="shared" si="205"/>
        <v>0.64386522353261955</v>
      </c>
      <c r="BS498" s="80">
        <f t="shared" si="206"/>
        <v>0.79186832337558177</v>
      </c>
      <c r="BT498" s="80">
        <f t="shared" si="207"/>
        <v>0.9296546610869163</v>
      </c>
      <c r="BU498" s="80">
        <f t="shared" si="208"/>
        <v>1.0465309928397517</v>
      </c>
      <c r="BV498" s="80">
        <f>IFERROR(VLOOKUP($H498,'1. Set Program Names'!$B$2:$D$15,3,0)*V498,"NA")</f>
        <v>3.1974560390058818E-2</v>
      </c>
      <c r="BW498" s="80">
        <f>IFERROR(VLOOKUP($H498,'1. Set Program Names'!$B$2:$D$15,3,0)*W498,"NA")</f>
        <v>7.582587464550182E-2</v>
      </c>
      <c r="BX498" s="80">
        <f>IFERROR(VLOOKUP($H498,'1. Set Program Names'!$B$2:$D$15,3,0)*X498,"NA")</f>
        <v>0.13415762064688078</v>
      </c>
      <c r="BY498" s="80">
        <f>IFERROR(VLOOKUP($H498,'1. Set Program Names'!$B$2:$D$15,3,0)*Y498,"NA")</f>
        <v>0.20939511472909203</v>
      </c>
      <c r="BZ498" s="80">
        <f>IFERROR(VLOOKUP($H498,'1. Set Program Names'!$B$2:$D$15,3,0)*Z498,"NA")</f>
        <v>0.30258723102475021</v>
      </c>
      <c r="CA498" s="80">
        <f>IFERROR(VLOOKUP($H498,'1. Set Program Names'!$B$2:$D$15,3,0)*AA498,"NA")</f>
        <v>0.41199888828906217</v>
      </c>
      <c r="CB498" s="80">
        <f>IFERROR(VLOOKUP($H498,'1. Set Program Names'!$B$2:$D$15,3,0)*AB498,"NA")</f>
        <v>0.5322682168023104</v>
      </c>
      <c r="CC498" s="80">
        <f>IFERROR(VLOOKUP($H498,'1. Set Program Names'!$B$2:$D$15,3,0)*AC498,"NA")</f>
        <v>0.65461889386234717</v>
      </c>
      <c r="CD498" s="80">
        <f>IFERROR(VLOOKUP($H498,'1. Set Program Names'!$B$2:$D$15,3,0)*AD498,"NA")</f>
        <v>0.76852361428031113</v>
      </c>
      <c r="CE498" s="80">
        <f>IFERROR(VLOOKUP($H498,'1. Set Program Names'!$B$2:$D$15,3,0)*AE498,"NA")</f>
        <v>0.86514252521816104</v>
      </c>
    </row>
    <row r="499" spans="1:83" x14ac:dyDescent="0.25">
      <c r="A499" s="79" t="s">
        <v>117</v>
      </c>
      <c r="B499" s="79" t="s">
        <v>88</v>
      </c>
      <c r="C499" s="79" t="s">
        <v>122</v>
      </c>
      <c r="D499" s="79" t="s">
        <v>90</v>
      </c>
      <c r="E499" s="79" t="s">
        <v>91</v>
      </c>
      <c r="F499" s="79" t="s">
        <v>90</v>
      </c>
      <c r="G499" s="79" t="s">
        <v>92</v>
      </c>
      <c r="H499" s="79" t="s">
        <v>18</v>
      </c>
      <c r="I499" s="79" t="s">
        <v>167</v>
      </c>
      <c r="J499" s="79" t="s">
        <v>124</v>
      </c>
      <c r="K499" s="79" t="s">
        <v>98</v>
      </c>
      <c r="L499" s="79">
        <v>151.65999999999994</v>
      </c>
      <c r="M499" s="79">
        <v>2.2013191527321094E-2</v>
      </c>
      <c r="N499" s="79">
        <v>1.952960139549019E-2</v>
      </c>
      <c r="O499" s="79">
        <v>56.59999999999998</v>
      </c>
      <c r="P499" s="79">
        <v>25.402483751835906</v>
      </c>
      <c r="Q499" s="79"/>
      <c r="R499" s="79">
        <v>70.56447857633529</v>
      </c>
      <c r="S499" s="79">
        <v>171.41744415542868</v>
      </c>
      <c r="T499" s="79">
        <v>16</v>
      </c>
      <c r="U499" s="79">
        <v>0.2</v>
      </c>
      <c r="V499" s="79">
        <f>tbl_Data_old[[#This Row],[2025 ]]*IFERROR(AVERAGEIFS('Participation Adjustment'!$C:$C,'Participation Adjustment'!$A:$A,$H499,'Participation Adjustment'!$B:$B,$I499),1)</f>
        <v>0.128353484704023</v>
      </c>
      <c r="W499" s="79">
        <f>tbl_Data_old[[#This Row],[2026 ]]*IFERROR(AVERAGEIFS('Participation Adjustment'!$C:$C,'Participation Adjustment'!$A:$A,$H499,'Participation Adjustment'!$B:$B,$I499),1)</f>
        <v>0.30291871782989899</v>
      </c>
      <c r="X499" s="79">
        <f>tbl_Data_old[[#This Row],[2027 ]]*IFERROR(AVERAGEIFS('Participation Adjustment'!$C:$C,'Participation Adjustment'!$A:$A,$H499,'Participation Adjustment'!$B:$B,$I499),1)</f>
        <v>0.52843827225027595</v>
      </c>
      <c r="Y499" s="79">
        <f>tbl_Data_old[[#This Row],[2028 ]]*IFERROR(AVERAGEIFS('Participation Adjustment'!$C:$C,'Participation Adjustment'!$A:$A,$H499,'Participation Adjustment'!$B:$B,$I499),1)</f>
        <v>0.80687455075738501</v>
      </c>
      <c r="Z499" s="79">
        <f>tbl_Data_old[[#This Row],[2029 ]]*IFERROR(AVERAGEIFS('Participation Adjustment'!$C:$C,'Participation Adjustment'!$A:$A,$H499,'Participation Adjustment'!$B:$B,$I499),1)</f>
        <v>1.13558051384903</v>
      </c>
      <c r="AA499" s="79">
        <f>tbl_Data_old[[#This Row],[2030 ]]*IFERROR(AVERAGEIFS('Participation Adjustment'!$C:$C,'Participation Adjustment'!$A:$A,$H499,'Participation Adjustment'!$B:$B,$I499),1)</f>
        <v>1.5083026932043899</v>
      </c>
      <c r="AB499" s="79">
        <f>tbl_Data_old[[#This Row],[2031 ]]*IFERROR(AVERAGEIFS('Participation Adjustment'!$C:$C,'Participation Adjustment'!$A:$A,$H499,'Participation Adjustment'!$B:$B,$I499),1)</f>
        <v>1.91625256850361</v>
      </c>
      <c r="AC499" s="79">
        <f>tbl_Data_old[[#This Row],[2032 ]]*IFERROR(AVERAGEIFS('Participation Adjustment'!$C:$C,'Participation Adjustment'!$A:$A,$H499,'Participation Adjustment'!$B:$B,$I499),1)</f>
        <v>2.3513736818154101</v>
      </c>
      <c r="AD499" s="79">
        <f>tbl_Data_old[[#This Row],[2033 ]]*IFERROR(AVERAGEIFS('Participation Adjustment'!$C:$C,'Participation Adjustment'!$A:$A,$H499,'Participation Adjustment'!$B:$B,$I499),1)</f>
        <v>2.8078303274489298</v>
      </c>
      <c r="AE499" s="79">
        <f>tbl_Data_old[[#This Row],[2034 ]]*IFERROR(AVERAGEIFS('Participation Adjustment'!$C:$C,'Participation Adjustment'!$A:$A,$H499,'Participation Adjustment'!$B:$B,$I499),1)</f>
        <v>3.2802022220538198</v>
      </c>
      <c r="AF499" s="77" t="str">
        <f t="shared" si="198"/>
        <v>NonResidential</v>
      </c>
      <c r="AG499" s="77" t="str">
        <f>tbl_Data[[#This Row],[All_Meas_Name_Append]]</f>
        <v>Refrigerated Display Case LED Lighting</v>
      </c>
      <c r="AH499" s="77">
        <f>AVERAGEIFS('3. Incentive Adjustment'!G:G,'3. Incentive Adjustment'!A:A,tbl_Data[[#This Row],[Trimmed Sector]],'3. Incentive Adjustment'!B:B,tbl_Data[[#This Row],[Trimmed Measure Name]])</f>
        <v>0.72450810749703154</v>
      </c>
      <c r="AI499" s="77">
        <f>$AH499*tbl_Data[[#This Row],[2025 ]]</f>
        <v>9.2993140293560886E-2</v>
      </c>
      <c r="AJ499" s="77">
        <f>$AH499*tbl_Data[[#This Row],[2026 ]]</f>
        <v>0.21946706698036741</v>
      </c>
      <c r="AK499" s="77">
        <f>$AH499*tbl_Data[[#This Row],[2027 ]]</f>
        <v>0.38285781255704854</v>
      </c>
      <c r="AL499" s="77">
        <f>$AH499*tbl_Data[[#This Row],[2028 ]]</f>
        <v>0.58458715375675052</v>
      </c>
      <c r="AM499" s="77">
        <f>$AH499*tbl_Data[[#This Row],[2029 ]]</f>
        <v>0.82273728899926735</v>
      </c>
      <c r="AN499" s="77">
        <f>$AH499*tbl_Data[[#This Row],[2030 ]]</f>
        <v>1.0927775297861884</v>
      </c>
      <c r="AO499" s="77">
        <f>$AH499*tbl_Data[[#This Row],[2031 ]]</f>
        <v>1.3883405218928764</v>
      </c>
      <c r="AP499" s="77">
        <f>$AH499*tbl_Data[[#This Row],[2032 ]]</f>
        <v>1.70358929623041</v>
      </c>
      <c r="AQ499" s="77">
        <f>$AH499*tbl_Data[[#This Row],[2033 ]]</f>
        <v>2.0342958367127943</v>
      </c>
      <c r="AR499" s="77">
        <f>$AH499*tbl_Data[[#This Row],[2034 ]]</f>
        <v>2.3765331041077706</v>
      </c>
      <c r="AS499" s="77">
        <f>SUM(tbl_Data[[#This Row],[Adjusted 2025]:[Adjusted 2034]])</f>
        <v>10.698178751317034</v>
      </c>
      <c r="AT499" s="80">
        <f>AVERAGEIFS('3. Incentive Adjustment'!F:F,'3. Incentive Adjustment'!A:A,tbl_Data[[#This Row],[Trimmed Sector]],'3. Incentive Adjustment'!B:B,tbl_Data[[#This Row],[Trimmed Measure Name]])</f>
        <v>6.879122352287844</v>
      </c>
      <c r="AU499" s="80">
        <f>IFERROR(VLOOKUP(tbl_Data[[#This Row],[All_Meas_Name_Append]],'IRA Tax Credits'!$A$3:$D$46,4,0),0)</f>
        <v>0</v>
      </c>
      <c r="AV499" s="81">
        <f>tbl_Data[[#This Row],[Adj. per unit Incentive ($)]]/tbl_Data[[#This Row],[kWh Savings]]*tbl_Data[[#This Row],[Sum of Annuals]]</f>
        <v>0.48525702609096588</v>
      </c>
      <c r="AW499" s="81">
        <f>IFERROR(VLOOKUP(tbl_Data[[#This Row],[Column1]],'1. Set Program Names'!$B$2:$D$15,3,0)*tbl_Data[[#This Row],[Sum of Annuals]],"")</f>
        <v>0.33857805973760718</v>
      </c>
      <c r="AX499" s="81">
        <f>tbl_Data[[#This Row],[per unit IRA tax ($)]]/tbl_Data[[#This Row],[kWh Savings]]*tbl_Data[[#This Row],[Sum of Annuals]]</f>
        <v>0</v>
      </c>
      <c r="AY499" s="81">
        <f>tbl_Data[[#This Row],[Avoided Costs ($/unit)]]/tbl_Data[[#This Row],[kWh Savings]]*tbl_Data[[#This Row],[Sum of Annuals]]</f>
        <v>4.9776566352572633</v>
      </c>
      <c r="AZ499" s="81">
        <f>tbl_Data[[#This Row],[Lost Revenue ($/unit)]]/tbl_Data[[#This Row],[kWh Savings]]*tbl_Data[[#This Row],[Sum of Annuals]]</f>
        <v>12.09187959032495</v>
      </c>
      <c r="BA499" s="81">
        <f>tbl_Data[[#This Row],[Incremental Cost ($/unit)]]/tbl_Data[[#This Row],[kWh Savings]]*tbl_Data[[#This Row],[Sum of Annuals]]</f>
        <v>3.9925947337765009</v>
      </c>
      <c r="BB499" s="77">
        <f>ROUNDUP(tbl_Data[[#This Row],[Adjusted 2025]]/$L499,0)</f>
        <v>1</v>
      </c>
      <c r="BC499" s="77">
        <f>ROUNDUP(tbl_Data[[#This Row],[Adjusted 2026]]/$L499,0)</f>
        <v>1</v>
      </c>
      <c r="BD499" s="77">
        <f>ROUNDUP(tbl_Data[[#This Row],[Adjusted 2027]]/$L499,0)</f>
        <v>1</v>
      </c>
      <c r="BE499" s="77">
        <f>ROUNDUP(tbl_Data[[#This Row],[Adjusted 2028]]/$L499,0)</f>
        <v>1</v>
      </c>
      <c r="BF499" s="77">
        <f>ROUNDUP(tbl_Data[[#This Row],[Adjusted 2029]]/$L499,0)</f>
        <v>1</v>
      </c>
      <c r="BG499" s="77">
        <f>ROUNDUP(tbl_Data[[#This Row],[Adjusted 2030]]/$L499,0)</f>
        <v>1</v>
      </c>
      <c r="BH499" s="77">
        <f>ROUNDUP(tbl_Data[[#This Row],[Adjusted 2031]]/$L499,0)</f>
        <v>1</v>
      </c>
      <c r="BI499" s="77">
        <f>ROUNDUP(tbl_Data[[#This Row],[Adjusted 2032]]/$L499,0)</f>
        <v>1</v>
      </c>
      <c r="BJ499" s="77">
        <f>ROUNDUP(tbl_Data[[#This Row],[Adjusted 2033]]/$L499,0)</f>
        <v>1</v>
      </c>
      <c r="BK499" s="77">
        <f>ROUNDUP(tbl_Data[[#This Row],[Adjusted 2034]]/$L499,0)</f>
        <v>1</v>
      </c>
      <c r="BL499" s="80">
        <f t="shared" si="199"/>
        <v>5.8219657498449215E-3</v>
      </c>
      <c r="BM499" s="80">
        <f t="shared" si="200"/>
        <v>1.3740043009033583E-2</v>
      </c>
      <c r="BN499" s="80">
        <f t="shared" si="201"/>
        <v>2.3969349402883051E-2</v>
      </c>
      <c r="BO499" s="80">
        <f t="shared" si="202"/>
        <v>3.6598897254433216E-2</v>
      </c>
      <c r="BP499" s="80">
        <f t="shared" si="203"/>
        <v>5.1508619910598581E-2</v>
      </c>
      <c r="BQ499" s="80">
        <f t="shared" si="204"/>
        <v>6.8414867274418284E-2</v>
      </c>
      <c r="BR499" s="80">
        <f t="shared" si="205"/>
        <v>8.6919002219584471E-2</v>
      </c>
      <c r="BS499" s="80">
        <f t="shared" si="206"/>
        <v>0.10665559312381484</v>
      </c>
      <c r="BT499" s="80">
        <f t="shared" si="207"/>
        <v>0.12735993912030619</v>
      </c>
      <c r="BU499" s="80">
        <f t="shared" si="208"/>
        <v>0.14878618241958785</v>
      </c>
      <c r="BV499" s="80">
        <f>IFERROR(VLOOKUP($H499,'1. Set Program Names'!$B$2:$D$15,3,0)*V499,"NA")</f>
        <v>4.0621562624665198E-3</v>
      </c>
      <c r="BW499" s="80">
        <f>IFERROR(VLOOKUP($H499,'1. Set Program Names'!$B$2:$D$15,3,0)*W499,"NA")</f>
        <v>9.5868310041486941E-3</v>
      </c>
      <c r="BX499" s="80">
        <f>IFERROR(VLOOKUP($H499,'1. Set Program Names'!$B$2:$D$15,3,0)*X499,"NA")</f>
        <v>1.6724118101650302E-2</v>
      </c>
      <c r="BY499" s="80">
        <f>IFERROR(VLOOKUP($H499,'1. Set Program Names'!$B$2:$D$15,3,0)*Y499,"NA")</f>
        <v>2.5536124063496032E-2</v>
      </c>
      <c r="BZ499" s="80">
        <f>IFERROR(VLOOKUP($H499,'1. Set Program Names'!$B$2:$D$15,3,0)*Z499,"NA")</f>
        <v>3.5939074864261969E-2</v>
      </c>
      <c r="CA499" s="80">
        <f>IFERROR(VLOOKUP($H499,'1. Set Program Names'!$B$2:$D$15,3,0)*AA499,"NA")</f>
        <v>4.7735059511814663E-2</v>
      </c>
      <c r="CB499" s="80">
        <f>IFERROR(VLOOKUP($H499,'1. Set Program Names'!$B$2:$D$15,3,0)*AB499,"NA")</f>
        <v>6.0645937191064946E-2</v>
      </c>
      <c r="CC499" s="80">
        <f>IFERROR(VLOOKUP($H499,'1. Set Program Names'!$B$2:$D$15,3,0)*AC499,"NA")</f>
        <v>7.4416735541002796E-2</v>
      </c>
      <c r="CD499" s="80">
        <f>IFERROR(VLOOKUP($H499,'1. Set Program Names'!$B$2:$D$15,3,0)*AD499,"NA")</f>
        <v>8.886276500315847E-2</v>
      </c>
      <c r="CE499" s="80">
        <f>IFERROR(VLOOKUP($H499,'1. Set Program Names'!$B$2:$D$15,3,0)*AE499,"NA")</f>
        <v>0.10381248338678632</v>
      </c>
    </row>
    <row r="500" spans="1:83" x14ac:dyDescent="0.25">
      <c r="A500" s="79" t="s">
        <v>87</v>
      </c>
      <c r="B500" s="79" t="s">
        <v>88</v>
      </c>
      <c r="C500" s="79" t="s">
        <v>122</v>
      </c>
      <c r="D500" s="79" t="s">
        <v>90</v>
      </c>
      <c r="E500" s="79" t="s">
        <v>91</v>
      </c>
      <c r="F500" s="79" t="s">
        <v>90</v>
      </c>
      <c r="G500" s="79" t="s">
        <v>92</v>
      </c>
      <c r="H500" s="79" t="s">
        <v>20</v>
      </c>
      <c r="I500" s="79" t="s">
        <v>237</v>
      </c>
      <c r="J500" s="79" t="s">
        <v>129</v>
      </c>
      <c r="K500" s="79" t="s">
        <v>102</v>
      </c>
      <c r="L500" s="79">
        <v>2568.1199999999699</v>
      </c>
      <c r="M500" s="79">
        <v>0.53641456399840104</v>
      </c>
      <c r="N500" s="79">
        <v>2.1892485513222901E-2</v>
      </c>
      <c r="O500" s="79">
        <f>9025.1/929.29*tbl_Data[[#This Row],[kWh Savings]]</f>
        <v>24941.126894725789</v>
      </c>
      <c r="P500" s="79">
        <v>35498.089296558101</v>
      </c>
      <c r="Q500" s="79">
        <v>154.08719999999801</v>
      </c>
      <c r="R500" s="79">
        <v>1534.4473108970501</v>
      </c>
      <c r="S500" s="79">
        <v>3958.9826982459099</v>
      </c>
      <c r="T500" s="79">
        <v>30</v>
      </c>
      <c r="U500" s="79">
        <v>0.05</v>
      </c>
      <c r="V500" s="79">
        <f>tbl_Data_old[[#This Row],[2025 ]]*IFERROR(AVERAGEIFS('Participation Adjustment'!$C:$C,'Participation Adjustment'!$A:$A,$H500,'Participation Adjustment'!$B:$B,$I500),1)</f>
        <v>69.379738582172294</v>
      </c>
      <c r="W500" s="79">
        <f>tbl_Data_old[[#This Row],[2026 ]]*IFERROR(AVERAGEIFS('Participation Adjustment'!$C:$C,'Participation Adjustment'!$A:$A,$H500,'Participation Adjustment'!$B:$B,$I500),1)</f>
        <v>77.495616416935803</v>
      </c>
      <c r="X500" s="79">
        <f>tbl_Data_old[[#This Row],[2027 ]]*IFERROR(AVERAGEIFS('Participation Adjustment'!$C:$C,'Participation Adjustment'!$A:$A,$H500,'Participation Adjustment'!$B:$B,$I500),1)</f>
        <v>86.272403426245404</v>
      </c>
      <c r="Y500" s="79">
        <f>tbl_Data_old[[#This Row],[2028 ]]*IFERROR(AVERAGEIFS('Participation Adjustment'!$C:$C,'Participation Adjustment'!$A:$A,$H500,'Participation Adjustment'!$B:$B,$I500),1)</f>
        <v>95.881595744769896</v>
      </c>
      <c r="Z500" s="79">
        <f>tbl_Data_old[[#This Row],[2029 ]]*IFERROR(AVERAGEIFS('Participation Adjustment'!$C:$C,'Participation Adjustment'!$A:$A,$H500,'Participation Adjustment'!$B:$B,$I500),1)</f>
        <v>106.01241337774201</v>
      </c>
      <c r="AA500" s="79">
        <f>tbl_Data_old[[#This Row],[2030 ]]*IFERROR(AVERAGEIFS('Participation Adjustment'!$C:$C,'Participation Adjustment'!$A:$A,$H500,'Participation Adjustment'!$B:$B,$I500),1)</f>
        <v>116.64623256176399</v>
      </c>
      <c r="AB500" s="79">
        <f>tbl_Data_old[[#This Row],[2031 ]]*IFERROR(AVERAGEIFS('Participation Adjustment'!$C:$C,'Participation Adjustment'!$A:$A,$H500,'Participation Adjustment'!$B:$B,$I500),1)</f>
        <v>127.486748581806</v>
      </c>
      <c r="AC500" s="79">
        <f>tbl_Data_old[[#This Row],[2032 ]]*IFERROR(AVERAGEIFS('Participation Adjustment'!$C:$C,'Participation Adjustment'!$A:$A,$H500,'Participation Adjustment'!$B:$B,$I500),1)</f>
        <v>138.70866603086</v>
      </c>
      <c r="AD500" s="79">
        <f>tbl_Data_old[[#This Row],[2033 ]]*IFERROR(AVERAGEIFS('Participation Adjustment'!$C:$C,'Participation Adjustment'!$A:$A,$H500,'Participation Adjustment'!$B:$B,$I500),1)</f>
        <v>150.658394876611</v>
      </c>
      <c r="AE500" s="79">
        <f>tbl_Data_old[[#This Row],[2034 ]]*IFERROR(AVERAGEIFS('Participation Adjustment'!$C:$C,'Participation Adjustment'!$A:$A,$H500,'Participation Adjustment'!$B:$B,$I500),1)</f>
        <v>162.682314039472</v>
      </c>
      <c r="AF500" s="77" t="str">
        <f t="shared" ref="AF500:AF531" si="209">IF(C500="Residential","Residential","NonResidential")</f>
        <v>NonResidential</v>
      </c>
      <c r="AG500" s="77" t="str">
        <f>tbl_Data[[#This Row],[All_Meas_Name_Append]]</f>
        <v>Ceiling Insulation(R19 to R38)</v>
      </c>
      <c r="AH500" s="77">
        <f>AVERAGEIFS('3. Incentive Adjustment'!G:G,'3. Incentive Adjustment'!A:A,tbl_Data[[#This Row],[Trimmed Sector]],'3. Incentive Adjustment'!B:B,tbl_Data[[#This Row],[Trimmed Measure Name]])</f>
        <v>3.9688771318830651E-15</v>
      </c>
      <c r="AI500" s="77">
        <f>$AH500*tbl_Data[[#This Row],[2025 ]]</f>
        <v>2.7535965787480881E-13</v>
      </c>
      <c r="AJ500" s="77">
        <f>$AH500*tbl_Data[[#This Row],[2026 ]]</f>
        <v>3.0757057981835832E-13</v>
      </c>
      <c r="AK500" s="77">
        <f>$AH500*tbl_Data[[#This Row],[2027 ]]</f>
        <v>3.424045690710156E-13</v>
      </c>
      <c r="AL500" s="77">
        <f>$AH500*tbl_Data[[#This Row],[2028 ]]</f>
        <v>3.8054227271987383E-13</v>
      </c>
      <c r="AM500" s="77">
        <f>$AH500*tbl_Data[[#This Row],[2029 ]]</f>
        <v>4.2075024315065457E-13</v>
      </c>
      <c r="AN500" s="77">
        <f>$AH500*tbl_Data[[#This Row],[2030 ]]</f>
        <v>4.6295456493469887E-13</v>
      </c>
      <c r="AO500" s="77">
        <f>$AH500*tbl_Data[[#This Row],[2031 ]]</f>
        <v>5.0597924106445555E-13</v>
      </c>
      <c r="AP500" s="77">
        <f>$AH500*tbl_Data[[#This Row],[2032 ]]</f>
        <v>5.5051765260388562E-13</v>
      </c>
      <c r="AQ500" s="77">
        <f>$AH500*tbl_Data[[#This Row],[2033 ]]</f>
        <v>5.9794465815199008E-13</v>
      </c>
      <c r="AR500" s="77">
        <f>$AH500*tbl_Data[[#This Row],[2034 ]]</f>
        <v>6.456661159530797E-13</v>
      </c>
      <c r="AS500" s="77">
        <f>SUM(tbl_Data[[#This Row],[Adjusted 2025]:[Adjusted 2034]])</f>
        <v>4.4896895553428199E-12</v>
      </c>
      <c r="AT500" s="80">
        <f>AVERAGEIFS('3. Incentive Adjustment'!F:F,'3. Incentive Adjustment'!A:A,tbl_Data[[#This Row],[Trimmed Sector]],'3. Incentive Adjustment'!B:B,tbl_Data[[#This Row],[Trimmed Measure Name]])</f>
        <v>3222.5963039661074</v>
      </c>
      <c r="AU500" s="80">
        <f>IFERROR(VLOOKUP(tbl_Data[[#This Row],[All_Meas_Name_Append]],'IRA Tax Credits'!$A$3:$D$46,4,0),0)</f>
        <v>0</v>
      </c>
      <c r="AV500" s="81">
        <f>tbl_Data[[#This Row],[Adj. per unit Incentive ($)]]/tbl_Data[[#This Row],[kWh Savings]]*tbl_Data[[#This Row],[Sum of Annuals]]</f>
        <v>5.633871067941988E-12</v>
      </c>
      <c r="AW500" s="81" t="str">
        <f>IFERROR(VLOOKUP(tbl_Data[[#This Row],[Column1]],'1. Set Program Names'!$B$2:$D$15,3,0)*tbl_Data[[#This Row],[Sum of Annuals]],"")</f>
        <v/>
      </c>
      <c r="AX500" s="81">
        <f>tbl_Data[[#This Row],[per unit IRA tax ($)]]/tbl_Data[[#This Row],[kWh Savings]]*tbl_Data[[#This Row],[Sum of Annuals]]</f>
        <v>0</v>
      </c>
      <c r="AY500" s="81">
        <f>tbl_Data[[#This Row],[Avoided Costs ($/unit)]]/tbl_Data[[#This Row],[kWh Savings]]*tbl_Data[[#This Row],[Sum of Annuals]]</f>
        <v>2.6825818361129711E-12</v>
      </c>
      <c r="AZ500" s="81">
        <f>tbl_Data[[#This Row],[Lost Revenue ($/unit)]]/tbl_Data[[#This Row],[kWh Savings]]*tbl_Data[[#This Row],[Sum of Annuals]]</f>
        <v>6.9212510591786227E-12</v>
      </c>
      <c r="BA500" s="81">
        <f>tbl_Data[[#This Row],[Incremental Cost ($/unit)]]/tbl_Data[[#This Row],[kWh Savings]]*tbl_Data[[#This Row],[Sum of Annuals]]</f>
        <v>4.3603070307357754E-11</v>
      </c>
      <c r="BB500" s="77">
        <f>ROUNDUP(tbl_Data[[#This Row],[Adjusted 2025]]/$L500,0)</f>
        <v>1</v>
      </c>
      <c r="BC500" s="77">
        <f>ROUNDUP(tbl_Data[[#This Row],[Adjusted 2026]]/$L500,0)</f>
        <v>1</v>
      </c>
      <c r="BD500" s="77">
        <f>ROUNDUP(tbl_Data[[#This Row],[Adjusted 2027]]/$L500,0)</f>
        <v>1</v>
      </c>
      <c r="BE500" s="77">
        <f>ROUNDUP(tbl_Data[[#This Row],[Adjusted 2028]]/$L500,0)</f>
        <v>1</v>
      </c>
      <c r="BF500" s="77">
        <f>ROUNDUP(tbl_Data[[#This Row],[Adjusted 2029]]/$L500,0)</f>
        <v>1</v>
      </c>
      <c r="BG500" s="77">
        <f>ROUNDUP(tbl_Data[[#This Row],[Adjusted 2030]]/$L500,0)</f>
        <v>1</v>
      </c>
      <c r="BH500" s="77">
        <f>ROUNDUP(tbl_Data[[#This Row],[Adjusted 2031]]/$L500,0)</f>
        <v>1</v>
      </c>
      <c r="BI500" s="77">
        <f>ROUNDUP(tbl_Data[[#This Row],[Adjusted 2032]]/$L500,0)</f>
        <v>1</v>
      </c>
      <c r="BJ500" s="77">
        <f>ROUNDUP(tbl_Data[[#This Row],[Adjusted 2033]]/$L500,0)</f>
        <v>1</v>
      </c>
      <c r="BK500" s="77">
        <f>ROUNDUP(tbl_Data[[#This Row],[Adjusted 2034]]/$L500,0)</f>
        <v>1</v>
      </c>
      <c r="BL500" s="80">
        <f t="shared" ref="BL500:BL531" si="210">$AT500/$L500*V500</f>
        <v>87.060919709766608</v>
      </c>
      <c r="BM500" s="80">
        <f t="shared" ref="BM500:BM531" si="211">$AT500/$L500*W500</f>
        <v>97.245100321945799</v>
      </c>
      <c r="BN500" s="80">
        <f t="shared" ref="BN500:BN531" si="212">$AT500/$L500*X500</f>
        <v>108.25862047555981</v>
      </c>
      <c r="BO500" s="80">
        <f t="shared" ref="BO500:BO531" si="213">$AT500/$L500*Y500</f>
        <v>120.31668148897698</v>
      </c>
      <c r="BP500" s="80">
        <f t="shared" ref="BP500:BP531" si="214">$AT500/$L500*Z500</f>
        <v>133.02930218433818</v>
      </c>
      <c r="BQ500" s="80">
        <f t="shared" ref="BQ500:BQ531" si="215">$AT500/$L500*AA500</f>
        <v>146.37311259797676</v>
      </c>
      <c r="BR500" s="80">
        <f t="shared" ref="BR500:BR531" si="216">$AT500/$L500*AB500</f>
        <v>159.97629580564353</v>
      </c>
      <c r="BS500" s="80">
        <f t="shared" ref="BS500:BS531" si="217">$AT500/$L500*AC500</f>
        <v>174.05807924829207</v>
      </c>
      <c r="BT500" s="80">
        <f t="shared" ref="BT500:BT531" si="218">$AT500/$L500*AD500</f>
        <v>189.05315424934921</v>
      </c>
      <c r="BU500" s="80">
        <f t="shared" ref="BU500:BU531" si="219">$AT500/$L500*AE500</f>
        <v>204.14132670757684</v>
      </c>
      <c r="BV500" s="80" t="str">
        <f>IFERROR(VLOOKUP($H500,'1. Set Program Names'!$B$2:$D$15,3,0)*V500,"NA")</f>
        <v>NA</v>
      </c>
      <c r="BW500" s="80" t="str">
        <f>IFERROR(VLOOKUP($H500,'1. Set Program Names'!$B$2:$D$15,3,0)*W500,"NA")</f>
        <v>NA</v>
      </c>
      <c r="BX500" s="80" t="str">
        <f>IFERROR(VLOOKUP($H500,'1. Set Program Names'!$B$2:$D$15,3,0)*X500,"NA")</f>
        <v>NA</v>
      </c>
      <c r="BY500" s="80" t="str">
        <f>IFERROR(VLOOKUP($H500,'1. Set Program Names'!$B$2:$D$15,3,0)*Y500,"NA")</f>
        <v>NA</v>
      </c>
      <c r="BZ500" s="80" t="str">
        <f>IFERROR(VLOOKUP($H500,'1. Set Program Names'!$B$2:$D$15,3,0)*Z500,"NA")</f>
        <v>NA</v>
      </c>
      <c r="CA500" s="80" t="str">
        <f>IFERROR(VLOOKUP($H500,'1. Set Program Names'!$B$2:$D$15,3,0)*AA500,"NA")</f>
        <v>NA</v>
      </c>
      <c r="CB500" s="80" t="str">
        <f>IFERROR(VLOOKUP($H500,'1. Set Program Names'!$B$2:$D$15,3,0)*AB500,"NA")</f>
        <v>NA</v>
      </c>
      <c r="CC500" s="80" t="str">
        <f>IFERROR(VLOOKUP($H500,'1. Set Program Names'!$B$2:$D$15,3,0)*AC500,"NA")</f>
        <v>NA</v>
      </c>
      <c r="CD500" s="80" t="str">
        <f>IFERROR(VLOOKUP($H500,'1. Set Program Names'!$B$2:$D$15,3,0)*AD500,"NA")</f>
        <v>NA</v>
      </c>
      <c r="CE500" s="80" t="str">
        <f>IFERROR(VLOOKUP($H500,'1. Set Program Names'!$B$2:$D$15,3,0)*AE500,"NA")</f>
        <v>NA</v>
      </c>
    </row>
    <row r="501" spans="1:83" x14ac:dyDescent="0.25">
      <c r="A501" s="79" t="s">
        <v>87</v>
      </c>
      <c r="B501" s="79" t="s">
        <v>88</v>
      </c>
      <c r="C501" s="79" t="s">
        <v>122</v>
      </c>
      <c r="D501" s="79" t="s">
        <v>90</v>
      </c>
      <c r="E501" s="79" t="s">
        <v>91</v>
      </c>
      <c r="F501" s="79" t="s">
        <v>90</v>
      </c>
      <c r="G501" s="79" t="s">
        <v>92</v>
      </c>
      <c r="H501" s="79" t="s">
        <v>20</v>
      </c>
      <c r="I501" s="79" t="s">
        <v>238</v>
      </c>
      <c r="J501" s="79" t="s">
        <v>129</v>
      </c>
      <c r="K501" s="79" t="s">
        <v>102</v>
      </c>
      <c r="L501" s="79">
        <v>4477.6116666666303</v>
      </c>
      <c r="M501" s="79">
        <v>0.90610878358590996</v>
      </c>
      <c r="N501" s="79">
        <v>4.9616670393602701E-2</v>
      </c>
      <c r="O501" s="79">
        <f>9351.31/1137.9*tbl_Data[[#This Row],[kWh Savings]]</f>
        <v>36797.200768623181</v>
      </c>
      <c r="P501" s="79">
        <v>44221.719775682497</v>
      </c>
      <c r="Q501" s="79">
        <v>268.65669999999699</v>
      </c>
      <c r="R501" s="79">
        <v>2670.7044942461998</v>
      </c>
      <c r="S501" s="79">
        <v>6902.6319322295803</v>
      </c>
      <c r="T501" s="79">
        <v>30</v>
      </c>
      <c r="U501" s="79">
        <v>0.05</v>
      </c>
      <c r="V501" s="79">
        <f>tbl_Data_old[[#This Row],[2025 ]]*IFERROR(AVERAGEIFS('Participation Adjustment'!$C:$C,'Participation Adjustment'!$A:$A,$H501,'Participation Adjustment'!$B:$B,$I501),1)</f>
        <v>54.686713280527698</v>
      </c>
      <c r="W501" s="79">
        <f>tbl_Data_old[[#This Row],[2026 ]]*IFERROR(AVERAGEIFS('Participation Adjustment'!$C:$C,'Participation Adjustment'!$A:$A,$H501,'Participation Adjustment'!$B:$B,$I501),1)</f>
        <v>60.965334544945001</v>
      </c>
      <c r="X501" s="79">
        <f>tbl_Data_old[[#This Row],[2027 ]]*IFERROR(AVERAGEIFS('Participation Adjustment'!$C:$C,'Participation Adjustment'!$A:$A,$H501,'Participation Adjustment'!$B:$B,$I501),1)</f>
        <v>67.711076520924706</v>
      </c>
      <c r="Y501" s="79">
        <f>tbl_Data_old[[#This Row],[2028 ]]*IFERROR(AVERAGEIFS('Participation Adjustment'!$C:$C,'Participation Adjustment'!$A:$A,$H501,'Participation Adjustment'!$B:$B,$I501),1)</f>
        <v>75.060275405222498</v>
      </c>
      <c r="Z501" s="79">
        <f>tbl_Data_old[[#This Row],[2029 ]]*IFERROR(AVERAGEIFS('Participation Adjustment'!$C:$C,'Participation Adjustment'!$A:$A,$H501,'Participation Adjustment'!$B:$B,$I501),1)</f>
        <v>82.771715555086402</v>
      </c>
      <c r="AA501" s="79">
        <f>tbl_Data_old[[#This Row],[2030 ]]*IFERROR(AVERAGEIFS('Participation Adjustment'!$C:$C,'Participation Adjustment'!$A:$A,$H501,'Participation Adjustment'!$B:$B,$I501),1)</f>
        <v>90.822656646599995</v>
      </c>
      <c r="AB501" s="79">
        <f>tbl_Data_old[[#This Row],[2031 ]]*IFERROR(AVERAGEIFS('Participation Adjustment'!$C:$C,'Participation Adjustment'!$A:$A,$H501,'Participation Adjustment'!$B:$B,$I501),1)</f>
        <v>98.989293613397706</v>
      </c>
      <c r="AC501" s="79">
        <f>tbl_Data_old[[#This Row],[2032 ]]*IFERROR(AVERAGEIFS('Participation Adjustment'!$C:$C,'Participation Adjustment'!$A:$A,$H501,'Participation Adjustment'!$B:$B,$I501),1)</f>
        <v>107.407018326657</v>
      </c>
      <c r="AD501" s="79">
        <f>tbl_Data_old[[#This Row],[2033 ]]*IFERROR(AVERAGEIFS('Participation Adjustment'!$C:$C,'Participation Adjustment'!$A:$A,$H501,'Participation Adjustment'!$B:$B,$I501),1)</f>
        <v>116.32869759108</v>
      </c>
      <c r="AE501" s="79">
        <f>tbl_Data_old[[#This Row],[2034 ]]*IFERROR(AVERAGEIFS('Participation Adjustment'!$C:$C,'Participation Adjustment'!$A:$A,$H501,'Participation Adjustment'!$B:$B,$I501),1)</f>
        <v>125.26073147696501</v>
      </c>
      <c r="AF501" s="77" t="str">
        <f t="shared" si="209"/>
        <v>NonResidential</v>
      </c>
      <c r="AG501" s="77" t="str">
        <f>tbl_Data[[#This Row],[All_Meas_Name_Append]]</f>
        <v>Ceiling Insulation(R19 to R49)</v>
      </c>
      <c r="AH501" s="77">
        <f>AVERAGEIFS('3. Incentive Adjustment'!G:G,'3. Incentive Adjustment'!A:A,tbl_Data[[#This Row],[Trimmed Sector]],'3. Incentive Adjustment'!B:B,tbl_Data[[#This Row],[Trimmed Measure Name]])</f>
        <v>7.9373870200739678E-11</v>
      </c>
      <c r="AI501" s="77">
        <f>$AH501*tbl_Data[[#This Row],[2025 ]]</f>
        <v>4.3406960816336726E-9</v>
      </c>
      <c r="AJ501" s="77">
        <f>$AH501*tbl_Data[[#This Row],[2026 ]]</f>
        <v>4.8390545509151351E-9</v>
      </c>
      <c r="AK501" s="77">
        <f>$AH501*tbl_Data[[#This Row],[2027 ]]</f>
        <v>5.3744901989242299E-9</v>
      </c>
      <c r="AL501" s="77">
        <f>$AH501*tbl_Data[[#This Row],[2028 ]]</f>
        <v>5.9578245572459034E-9</v>
      </c>
      <c r="AM501" s="77">
        <f>$AH501*tbl_Data[[#This Row],[2029 ]]</f>
        <v>6.5699114067619734E-9</v>
      </c>
      <c r="AN501" s="77">
        <f>$AH501*tbl_Data[[#This Row],[2030 ]]</f>
        <v>7.2089457599535746E-9</v>
      </c>
      <c r="AO501" s="77">
        <f>$AH501*tbl_Data[[#This Row],[2031 ]]</f>
        <v>7.8571633425327383E-9</v>
      </c>
      <c r="AP501" s="77">
        <f>$AH501*tbl_Data[[#This Row],[2032 ]]</f>
        <v>8.5253107313085397E-9</v>
      </c>
      <c r="AQ501" s="77">
        <f>$AH501*tbl_Data[[#This Row],[2033 ]]</f>
        <v>9.2334589432154817E-9</v>
      </c>
      <c r="AR501" s="77">
        <f>$AH501*tbl_Data[[#This Row],[2034 ]]</f>
        <v>9.9424290415023265E-9</v>
      </c>
      <c r="AS501" s="77">
        <f>SUM(tbl_Data[[#This Row],[Adjusted 2025]:[Adjusted 2034]])</f>
        <v>6.984928461399358E-8</v>
      </c>
      <c r="AT501" s="80">
        <f>AVERAGEIFS('3. Incentive Adjustment'!F:F,'3. Incentive Adjustment'!A:A,tbl_Data[[#This Row],[Trimmed Sector]],'3. Incentive Adjustment'!B:B,tbl_Data[[#This Row],[Trimmed Measure Name]])</f>
        <v>4754.4974087894998</v>
      </c>
      <c r="AU501" s="80">
        <f>IFERROR(VLOOKUP(tbl_Data[[#This Row],[All_Meas_Name_Append]],'IRA Tax Credits'!$A$3:$D$46,4,0),0)</f>
        <v>500</v>
      </c>
      <c r="AV501" s="81">
        <f>tbl_Data[[#This Row],[Adj. per unit Incentive ($)]]/tbl_Data[[#This Row],[kWh Savings]]*tbl_Data[[#This Row],[Sum of Annuals]]</f>
        <v>7.4168612069537556E-8</v>
      </c>
      <c r="AW501" s="81" t="str">
        <f>IFERROR(VLOOKUP(tbl_Data[[#This Row],[Column1]],'1. Set Program Names'!$B$2:$D$15,3,0)*tbl_Data[[#This Row],[Sum of Annuals]],"")</f>
        <v/>
      </c>
      <c r="AX501" s="81">
        <f>tbl_Data[[#This Row],[per unit IRA tax ($)]]/tbl_Data[[#This Row],[kWh Savings]]*tbl_Data[[#This Row],[Sum of Annuals]]</f>
        <v>7.7998372585527338E-9</v>
      </c>
      <c r="AY501" s="81">
        <f>tbl_Data[[#This Row],[Avoided Costs ($/unit)]]/tbl_Data[[#This Row],[kWh Savings]]*tbl_Data[[#This Row],[Sum of Annuals]]</f>
        <v>4.1662120841611491E-8</v>
      </c>
      <c r="AZ501" s="81">
        <f>tbl_Data[[#This Row],[Lost Revenue ($/unit)]]/tbl_Data[[#This Row],[kWh Savings]]*tbl_Data[[#This Row],[Sum of Annuals]]</f>
        <v>1.0767881145416027E-7</v>
      </c>
      <c r="BA501" s="81">
        <f>tbl_Data[[#This Row],[Incremental Cost ($/unit)]]/tbl_Data[[#This Row],[kWh Savings]]*tbl_Data[[#This Row],[Sum of Annuals]]</f>
        <v>5.7402435513110479E-7</v>
      </c>
      <c r="BB501" s="77">
        <f>ROUNDUP(tbl_Data[[#This Row],[Adjusted 2025]]/$L501,0)</f>
        <v>1</v>
      </c>
      <c r="BC501" s="77">
        <f>ROUNDUP(tbl_Data[[#This Row],[Adjusted 2026]]/$L501,0)</f>
        <v>1</v>
      </c>
      <c r="BD501" s="77">
        <f>ROUNDUP(tbl_Data[[#This Row],[Adjusted 2027]]/$L501,0)</f>
        <v>1</v>
      </c>
      <c r="BE501" s="77">
        <f>ROUNDUP(tbl_Data[[#This Row],[Adjusted 2028]]/$L501,0)</f>
        <v>1</v>
      </c>
      <c r="BF501" s="77">
        <f>ROUNDUP(tbl_Data[[#This Row],[Adjusted 2029]]/$L501,0)</f>
        <v>1</v>
      </c>
      <c r="BG501" s="77">
        <f>ROUNDUP(tbl_Data[[#This Row],[Adjusted 2030]]/$L501,0)</f>
        <v>1</v>
      </c>
      <c r="BH501" s="77">
        <f>ROUNDUP(tbl_Data[[#This Row],[Adjusted 2031]]/$L501,0)</f>
        <v>1</v>
      </c>
      <c r="BI501" s="77">
        <f>ROUNDUP(tbl_Data[[#This Row],[Adjusted 2032]]/$L501,0)</f>
        <v>1</v>
      </c>
      <c r="BJ501" s="77">
        <f>ROUNDUP(tbl_Data[[#This Row],[Adjusted 2033]]/$L501,0)</f>
        <v>1</v>
      </c>
      <c r="BK501" s="77">
        <f>ROUNDUP(tbl_Data[[#This Row],[Adjusted 2034]]/$L501,0)</f>
        <v>1</v>
      </c>
      <c r="BL501" s="80">
        <f t="shared" si="210"/>
        <v>58.068420386497429</v>
      </c>
      <c r="BM501" s="80">
        <f t="shared" si="211"/>
        <v>64.735297899496658</v>
      </c>
      <c r="BN501" s="80">
        <f t="shared" si="212"/>
        <v>71.898181850313804</v>
      </c>
      <c r="BO501" s="80">
        <f t="shared" si="213"/>
        <v>79.701839168833573</v>
      </c>
      <c r="BP501" s="80">
        <f t="shared" si="214"/>
        <v>87.89013796292214</v>
      </c>
      <c r="BQ501" s="80">
        <f t="shared" si="215"/>
        <v>96.438931696616905</v>
      </c>
      <c r="BR501" s="80">
        <f t="shared" si="216"/>
        <v>105.1105756862508</v>
      </c>
      <c r="BS501" s="80">
        <f t="shared" si="217"/>
        <v>114.04883414109558</v>
      </c>
      <c r="BT501" s="80">
        <f t="shared" si="218"/>
        <v>123.52221059768509</v>
      </c>
      <c r="BU501" s="80">
        <f t="shared" si="219"/>
        <v>133.00658198294977</v>
      </c>
      <c r="BV501" s="80" t="str">
        <f>IFERROR(VLOOKUP($H501,'1. Set Program Names'!$B$2:$D$15,3,0)*V501,"NA")</f>
        <v>NA</v>
      </c>
      <c r="BW501" s="80" t="str">
        <f>IFERROR(VLOOKUP($H501,'1. Set Program Names'!$B$2:$D$15,3,0)*W501,"NA")</f>
        <v>NA</v>
      </c>
      <c r="BX501" s="80" t="str">
        <f>IFERROR(VLOOKUP($H501,'1. Set Program Names'!$B$2:$D$15,3,0)*X501,"NA")</f>
        <v>NA</v>
      </c>
      <c r="BY501" s="80" t="str">
        <f>IFERROR(VLOOKUP($H501,'1. Set Program Names'!$B$2:$D$15,3,0)*Y501,"NA")</f>
        <v>NA</v>
      </c>
      <c r="BZ501" s="80" t="str">
        <f>IFERROR(VLOOKUP($H501,'1. Set Program Names'!$B$2:$D$15,3,0)*Z501,"NA")</f>
        <v>NA</v>
      </c>
      <c r="CA501" s="80" t="str">
        <f>IFERROR(VLOOKUP($H501,'1. Set Program Names'!$B$2:$D$15,3,0)*AA501,"NA")</f>
        <v>NA</v>
      </c>
      <c r="CB501" s="80" t="str">
        <f>IFERROR(VLOOKUP($H501,'1. Set Program Names'!$B$2:$D$15,3,0)*AB501,"NA")</f>
        <v>NA</v>
      </c>
      <c r="CC501" s="80" t="str">
        <f>IFERROR(VLOOKUP($H501,'1. Set Program Names'!$B$2:$D$15,3,0)*AC501,"NA")</f>
        <v>NA</v>
      </c>
      <c r="CD501" s="80" t="str">
        <f>IFERROR(VLOOKUP($H501,'1. Set Program Names'!$B$2:$D$15,3,0)*AD501,"NA")</f>
        <v>NA</v>
      </c>
      <c r="CE501" s="80" t="str">
        <f>IFERROR(VLOOKUP($H501,'1. Set Program Names'!$B$2:$D$15,3,0)*AE501,"NA")</f>
        <v>NA</v>
      </c>
    </row>
    <row r="502" spans="1:83" x14ac:dyDescent="0.25">
      <c r="A502" s="79" t="s">
        <v>87</v>
      </c>
      <c r="B502" s="79" t="s">
        <v>88</v>
      </c>
      <c r="C502" s="79" t="s">
        <v>122</v>
      </c>
      <c r="D502" s="79" t="s">
        <v>90</v>
      </c>
      <c r="E502" s="79" t="s">
        <v>91</v>
      </c>
      <c r="F502" s="79" t="s">
        <v>90</v>
      </c>
      <c r="G502" s="79" t="s">
        <v>92</v>
      </c>
      <c r="H502" s="79" t="s">
        <v>20</v>
      </c>
      <c r="I502" s="79" t="s">
        <v>240</v>
      </c>
      <c r="J502" s="79" t="s">
        <v>129</v>
      </c>
      <c r="K502" s="79" t="s">
        <v>102</v>
      </c>
      <c r="L502" s="79">
        <v>18717.787499999999</v>
      </c>
      <c r="M502" s="79">
        <v>3.6380387810097399</v>
      </c>
      <c r="N502" s="79">
        <v>0.14255501576814</v>
      </c>
      <c r="O502" s="79">
        <f>11091.09/6133.31*tbl_Data[[#This Row],[kWh Savings]]</f>
        <v>33848.063405139306</v>
      </c>
      <c r="P502" s="79">
        <v>45532.278837645601</v>
      </c>
      <c r="Q502" s="79">
        <v>1123.0672500000001</v>
      </c>
      <c r="R502" s="79">
        <v>11042.715256281999</v>
      </c>
      <c r="S502" s="79">
        <v>28855.114582630202</v>
      </c>
      <c r="T502" s="79">
        <v>30</v>
      </c>
      <c r="U502" s="79">
        <v>0.05</v>
      </c>
      <c r="V502" s="79">
        <f>tbl_Data_old[[#This Row],[2025 ]]*IFERROR(AVERAGEIFS('Participation Adjustment'!$C:$C,'Participation Adjustment'!$A:$A,$H502,'Participation Adjustment'!$B:$B,$I502),1)</f>
        <v>80.117052851536798</v>
      </c>
      <c r="W502" s="79">
        <f>tbl_Data_old[[#This Row],[2026 ]]*IFERROR(AVERAGEIFS('Participation Adjustment'!$C:$C,'Participation Adjustment'!$A:$A,$H502,'Participation Adjustment'!$B:$B,$I502),1)</f>
        <v>78.607729730981106</v>
      </c>
      <c r="X502" s="79">
        <f>tbl_Data_old[[#This Row],[2027 ]]*IFERROR(AVERAGEIFS('Participation Adjustment'!$C:$C,'Participation Adjustment'!$A:$A,$H502,'Participation Adjustment'!$B:$B,$I502),1)</f>
        <v>76.427924053409797</v>
      </c>
      <c r="Y502" s="79">
        <f>tbl_Data_old[[#This Row],[2028 ]]*IFERROR(AVERAGEIFS('Participation Adjustment'!$C:$C,'Participation Adjustment'!$A:$A,$H502,'Participation Adjustment'!$B:$B,$I502),1)</f>
        <v>74.303131803533503</v>
      </c>
      <c r="Z502" s="79">
        <f>tbl_Data_old[[#This Row],[2029 ]]*IFERROR(AVERAGEIFS('Participation Adjustment'!$C:$C,'Participation Adjustment'!$A:$A,$H502,'Participation Adjustment'!$B:$B,$I502),1)</f>
        <v>72.254346669094602</v>
      </c>
      <c r="AA502" s="79">
        <f>tbl_Data_old[[#This Row],[2030 ]]*IFERROR(AVERAGEIFS('Participation Adjustment'!$C:$C,'Participation Adjustment'!$A:$A,$H502,'Participation Adjustment'!$B:$B,$I502),1)</f>
        <v>70.080598713955695</v>
      </c>
      <c r="AB502" s="79">
        <f>tbl_Data_old[[#This Row],[2031 ]]*IFERROR(AVERAGEIFS('Participation Adjustment'!$C:$C,'Participation Adjustment'!$A:$A,$H502,'Participation Adjustment'!$B:$B,$I502),1)</f>
        <v>67.927587218511704</v>
      </c>
      <c r="AC502" s="79">
        <f>tbl_Data_old[[#This Row],[2032 ]]*IFERROR(AVERAGEIFS('Participation Adjustment'!$C:$C,'Participation Adjustment'!$A:$A,$H502,'Participation Adjustment'!$B:$B,$I502),1)</f>
        <v>65.909057019983905</v>
      </c>
      <c r="AD502" s="79">
        <f>tbl_Data_old[[#This Row],[2033 ]]*IFERROR(AVERAGEIFS('Participation Adjustment'!$C:$C,'Participation Adjustment'!$A:$A,$H502,'Participation Adjustment'!$B:$B,$I502),1)</f>
        <v>63.9126694462079</v>
      </c>
      <c r="AE502" s="79">
        <f>tbl_Data_old[[#This Row],[2034 ]]*IFERROR(AVERAGEIFS('Participation Adjustment'!$C:$C,'Participation Adjustment'!$A:$A,$H502,'Participation Adjustment'!$B:$B,$I502),1)</f>
        <v>61.976461663354598</v>
      </c>
      <c r="AF502" s="77" t="str">
        <f t="shared" si="209"/>
        <v>NonResidential</v>
      </c>
      <c r="AG502" s="77" t="str">
        <f>tbl_Data[[#This Row],[All_Meas_Name_Append]]</f>
        <v>Ceiling Insulation(R2 to R38)</v>
      </c>
      <c r="AH502" s="77">
        <f>AVERAGEIFS('3. Incentive Adjustment'!G:G,'3. Incentive Adjustment'!A:A,tbl_Data[[#This Row],[Trimmed Sector]],'3. Incentive Adjustment'!B:B,tbl_Data[[#This Row],[Trimmed Measure Name]])</f>
        <v>3.0218441517909909E-3</v>
      </c>
      <c r="AI502" s="77">
        <f>$AH502*tbl_Data[[#This Row],[2025 ]]</f>
        <v>0.24210124761814619</v>
      </c>
      <c r="AJ502" s="77">
        <f>$AH502*tbl_Data[[#This Row],[2026 ]]</f>
        <v>0.23754030837313206</v>
      </c>
      <c r="AK502" s="77">
        <f>$AH502*tbl_Data[[#This Row],[2027 ]]</f>
        <v>0.23095327533432239</v>
      </c>
      <c r="AL502" s="77">
        <f>$AH502*tbl_Data[[#This Row],[2028 ]]</f>
        <v>0.2245324843002629</v>
      </c>
      <c r="AM502" s="77">
        <f>$AH502*tbl_Data[[#This Row],[2029 ]]</f>
        <v>0.21834137492348238</v>
      </c>
      <c r="AN502" s="77">
        <f>$AH502*tbl_Data[[#This Row],[2030 ]]</f>
        <v>0.21177264737777826</v>
      </c>
      <c r="AO502" s="77">
        <f>$AH502*tbl_Data[[#This Row],[2031 ]]</f>
        <v>0.20526658218153204</v>
      </c>
      <c r="AP502" s="77">
        <f>$AH502*tbl_Data[[#This Row],[2032 ]]</f>
        <v>0.19916689850589731</v>
      </c>
      <c r="AQ502" s="77">
        <f>$AH502*tbl_Data[[#This Row],[2033 ]]</f>
        <v>0.19313412639137409</v>
      </c>
      <c r="AR502" s="77">
        <f>$AH502*tbl_Data[[#This Row],[2034 ]]</f>
        <v>0.18728320822610664</v>
      </c>
      <c r="AS502" s="77">
        <f>SUM(tbl_Data[[#This Row],[Adjusted 2025]:[Adjusted 2034]])</f>
        <v>2.1500921532320345</v>
      </c>
      <c r="AT502" s="80">
        <f>AVERAGEIFS('3. Incentive Adjustment'!F:F,'3. Incentive Adjustment'!A:A,tbl_Data[[#This Row],[Trimmed Sector]],'3. Incentive Adjustment'!B:B,tbl_Data[[#This Row],[Trimmed Measure Name]])</f>
        <v>4373.4448922946976</v>
      </c>
      <c r="AU502" s="80">
        <f>IFERROR(VLOOKUP(tbl_Data[[#This Row],[All_Meas_Name_Append]],'IRA Tax Credits'!$A$3:$D$46,4,0),0)</f>
        <v>0</v>
      </c>
      <c r="AV502" s="81">
        <f>tbl_Data[[#This Row],[Adj. per unit Incentive ($)]]/tbl_Data[[#This Row],[kWh Savings]]*tbl_Data[[#This Row],[Sum of Annuals]]</f>
        <v>0.50237291910251414</v>
      </c>
      <c r="AW502" s="81" t="str">
        <f>IFERROR(VLOOKUP(tbl_Data[[#This Row],[Column1]],'1. Set Program Names'!$B$2:$D$15,3,0)*tbl_Data[[#This Row],[Sum of Annuals]],"")</f>
        <v/>
      </c>
      <c r="AX502" s="81">
        <f>tbl_Data[[#This Row],[per unit IRA tax ($)]]/tbl_Data[[#This Row],[kWh Savings]]*tbl_Data[[#This Row],[Sum of Annuals]]</f>
        <v>0</v>
      </c>
      <c r="AY502" s="81">
        <f>tbl_Data[[#This Row],[Avoided Costs ($/unit)]]/tbl_Data[[#This Row],[kWh Savings]]*tbl_Data[[#This Row],[Sum of Annuals]]</f>
        <v>1.2684648451590554</v>
      </c>
      <c r="AZ502" s="81">
        <f>tbl_Data[[#This Row],[Lost Revenue ($/unit)]]/tbl_Data[[#This Row],[kWh Savings]]*tbl_Data[[#This Row],[Sum of Annuals]]</f>
        <v>3.314556030979861</v>
      </c>
      <c r="BA502" s="81">
        <f>tbl_Data[[#This Row],[Incremental Cost ($/unit)]]/tbl_Data[[#This Row],[kWh Savings]]*tbl_Data[[#This Row],[Sum of Annuals]]</f>
        <v>3.8880907013978234</v>
      </c>
      <c r="BB502" s="77">
        <f>ROUNDUP(tbl_Data[[#This Row],[Adjusted 2025]]/$L502,0)</f>
        <v>1</v>
      </c>
      <c r="BC502" s="77">
        <f>ROUNDUP(tbl_Data[[#This Row],[Adjusted 2026]]/$L502,0)</f>
        <v>1</v>
      </c>
      <c r="BD502" s="77">
        <f>ROUNDUP(tbl_Data[[#This Row],[Adjusted 2027]]/$L502,0)</f>
        <v>1</v>
      </c>
      <c r="BE502" s="77">
        <f>ROUNDUP(tbl_Data[[#This Row],[Adjusted 2028]]/$L502,0)</f>
        <v>1</v>
      </c>
      <c r="BF502" s="77">
        <f>ROUNDUP(tbl_Data[[#This Row],[Adjusted 2029]]/$L502,0)</f>
        <v>1</v>
      </c>
      <c r="BG502" s="77">
        <f>ROUNDUP(tbl_Data[[#This Row],[Adjusted 2030]]/$L502,0)</f>
        <v>1</v>
      </c>
      <c r="BH502" s="77">
        <f>ROUNDUP(tbl_Data[[#This Row],[Adjusted 2031]]/$L502,0)</f>
        <v>1</v>
      </c>
      <c r="BI502" s="77">
        <f>ROUNDUP(tbl_Data[[#This Row],[Adjusted 2032]]/$L502,0)</f>
        <v>1</v>
      </c>
      <c r="BJ502" s="77">
        <f>ROUNDUP(tbl_Data[[#This Row],[Adjusted 2033]]/$L502,0)</f>
        <v>1</v>
      </c>
      <c r="BK502" s="77">
        <f>ROUNDUP(tbl_Data[[#This Row],[Adjusted 2034]]/$L502,0)</f>
        <v>1</v>
      </c>
      <c r="BL502" s="80">
        <f t="shared" si="210"/>
        <v>18.719494255357798</v>
      </c>
      <c r="BM502" s="80">
        <f t="shared" si="211"/>
        <v>18.36683817929023</v>
      </c>
      <c r="BN502" s="80">
        <f t="shared" si="212"/>
        <v>17.857522641501951</v>
      </c>
      <c r="BO502" s="80">
        <f t="shared" si="213"/>
        <v>17.361061090562298</v>
      </c>
      <c r="BP502" s="80">
        <f t="shared" si="214"/>
        <v>16.882358739570169</v>
      </c>
      <c r="BQ502" s="80">
        <f t="shared" si="215"/>
        <v>16.374458599580958</v>
      </c>
      <c r="BR502" s="80">
        <f t="shared" si="216"/>
        <v>15.871403570892268</v>
      </c>
      <c r="BS502" s="80">
        <f t="shared" si="217"/>
        <v>15.399770340378565</v>
      </c>
      <c r="BT502" s="80">
        <f t="shared" si="218"/>
        <v>14.933310774173355</v>
      </c>
      <c r="BU502" s="80">
        <f t="shared" si="219"/>
        <v>14.480912324926027</v>
      </c>
      <c r="BV502" s="80" t="str">
        <f>IFERROR(VLOOKUP($H502,'1. Set Program Names'!$B$2:$D$15,3,0)*V502,"NA")</f>
        <v>NA</v>
      </c>
      <c r="BW502" s="80" t="str">
        <f>IFERROR(VLOOKUP($H502,'1. Set Program Names'!$B$2:$D$15,3,0)*W502,"NA")</f>
        <v>NA</v>
      </c>
      <c r="BX502" s="80" t="str">
        <f>IFERROR(VLOOKUP($H502,'1. Set Program Names'!$B$2:$D$15,3,0)*X502,"NA")</f>
        <v>NA</v>
      </c>
      <c r="BY502" s="80" t="str">
        <f>IFERROR(VLOOKUP($H502,'1. Set Program Names'!$B$2:$D$15,3,0)*Y502,"NA")</f>
        <v>NA</v>
      </c>
      <c r="BZ502" s="80" t="str">
        <f>IFERROR(VLOOKUP($H502,'1. Set Program Names'!$B$2:$D$15,3,0)*Z502,"NA")</f>
        <v>NA</v>
      </c>
      <c r="CA502" s="80" t="str">
        <f>IFERROR(VLOOKUP($H502,'1. Set Program Names'!$B$2:$D$15,3,0)*AA502,"NA")</f>
        <v>NA</v>
      </c>
      <c r="CB502" s="80" t="str">
        <f>IFERROR(VLOOKUP($H502,'1. Set Program Names'!$B$2:$D$15,3,0)*AB502,"NA")</f>
        <v>NA</v>
      </c>
      <c r="CC502" s="80" t="str">
        <f>IFERROR(VLOOKUP($H502,'1. Set Program Names'!$B$2:$D$15,3,0)*AC502,"NA")</f>
        <v>NA</v>
      </c>
      <c r="CD502" s="80" t="str">
        <f>IFERROR(VLOOKUP($H502,'1. Set Program Names'!$B$2:$D$15,3,0)*AD502,"NA")</f>
        <v>NA</v>
      </c>
      <c r="CE502" s="80" t="str">
        <f>IFERROR(VLOOKUP($H502,'1. Set Program Names'!$B$2:$D$15,3,0)*AE502,"NA")</f>
        <v>NA</v>
      </c>
    </row>
    <row r="503" spans="1:83" x14ac:dyDescent="0.25">
      <c r="A503" s="79" t="s">
        <v>87</v>
      </c>
      <c r="B503" s="79" t="s">
        <v>88</v>
      </c>
      <c r="C503" s="79" t="s">
        <v>122</v>
      </c>
      <c r="D503" s="79" t="s">
        <v>90</v>
      </c>
      <c r="E503" s="79" t="s">
        <v>91</v>
      </c>
      <c r="F503" s="79" t="s">
        <v>90</v>
      </c>
      <c r="G503" s="79" t="s">
        <v>92</v>
      </c>
      <c r="H503" s="79" t="s">
        <v>20</v>
      </c>
      <c r="I503" s="79" t="s">
        <v>241</v>
      </c>
      <c r="J503" s="79" t="s">
        <v>129</v>
      </c>
      <c r="K503" s="79" t="s">
        <v>102</v>
      </c>
      <c r="L503" s="79">
        <v>19185.113333333298</v>
      </c>
      <c r="M503" s="79">
        <v>4.6125790568704801</v>
      </c>
      <c r="N503" s="79">
        <v>0.25911922024205197</v>
      </c>
      <c r="O503" s="79">
        <f>11417.3/6341.92*tbl_Data[[#This Row],[kWh Savings]]</f>
        <v>34538.782334161617</v>
      </c>
      <c r="P503" s="79">
        <v>25197.386166847798</v>
      </c>
      <c r="Q503" s="79">
        <v>1151.1068</v>
      </c>
      <c r="R503" s="79">
        <v>12014.6297388403</v>
      </c>
      <c r="S503" s="79">
        <v>29575.538429105502</v>
      </c>
      <c r="T503" s="79">
        <v>30</v>
      </c>
      <c r="U503" s="79">
        <v>0.05</v>
      </c>
      <c r="V503" s="79">
        <f>tbl_Data_old[[#This Row],[2025 ]]*IFERROR(AVERAGEIFS('Participation Adjustment'!$C:$C,'Participation Adjustment'!$A:$A,$H503,'Participation Adjustment'!$B:$B,$I503),1)</f>
        <v>85.3630252876914</v>
      </c>
      <c r="W503" s="79">
        <f>tbl_Data_old[[#This Row],[2026 ]]*IFERROR(AVERAGEIFS('Participation Adjustment'!$C:$C,'Participation Adjustment'!$A:$A,$H503,'Participation Adjustment'!$B:$B,$I503),1)</f>
        <v>83.640308867915707</v>
      </c>
      <c r="X503" s="79">
        <f>tbl_Data_old[[#This Row],[2027 ]]*IFERROR(AVERAGEIFS('Participation Adjustment'!$C:$C,'Participation Adjustment'!$A:$A,$H503,'Participation Adjustment'!$B:$B,$I503),1)</f>
        <v>81.196634216546798</v>
      </c>
      <c r="Y503" s="79">
        <f>tbl_Data_old[[#This Row],[2028 ]]*IFERROR(AVERAGEIFS('Participation Adjustment'!$C:$C,'Participation Adjustment'!$A:$A,$H503,'Participation Adjustment'!$B:$B,$I503),1)</f>
        <v>78.806436218771395</v>
      </c>
      <c r="Z503" s="79">
        <f>tbl_Data_old[[#This Row],[2029 ]]*IFERROR(AVERAGEIFS('Participation Adjustment'!$C:$C,'Participation Adjustment'!$A:$A,$H503,'Participation Adjustment'!$B:$B,$I503),1)</f>
        <v>76.493122214948102</v>
      </c>
      <c r="AA503" s="79">
        <f>tbl_Data_old[[#This Row],[2030 ]]*IFERROR(AVERAGEIFS('Participation Adjustment'!$C:$C,'Participation Adjustment'!$A:$A,$H503,'Participation Adjustment'!$B:$B,$I503),1)</f>
        <v>74.045303338746805</v>
      </c>
      <c r="AB503" s="79">
        <f>tbl_Data_old[[#This Row],[2031 ]]*IFERROR(AVERAGEIFS('Participation Adjustment'!$C:$C,'Participation Adjustment'!$A:$A,$H503,'Participation Adjustment'!$B:$B,$I503),1)</f>
        <v>71.6186197416867</v>
      </c>
      <c r="AC503" s="79">
        <f>tbl_Data_old[[#This Row],[2032 ]]*IFERROR(AVERAGEIFS('Participation Adjustment'!$C:$C,'Participation Adjustment'!$A:$A,$H503,'Participation Adjustment'!$B:$B,$I503),1)</f>
        <v>69.333838613102102</v>
      </c>
      <c r="AD503" s="79">
        <f>tbl_Data_old[[#This Row],[2033 ]]*IFERROR(AVERAGEIFS('Participation Adjustment'!$C:$C,'Participation Adjustment'!$A:$A,$H503,'Participation Adjustment'!$B:$B,$I503),1)</f>
        <v>67.073201214794906</v>
      </c>
      <c r="AE503" s="79">
        <f>tbl_Data_old[[#This Row],[2034 ]]*IFERROR(AVERAGEIFS('Participation Adjustment'!$C:$C,'Participation Adjustment'!$A:$A,$H503,'Participation Adjustment'!$B:$B,$I503),1)</f>
        <v>64.877193134792506</v>
      </c>
      <c r="AF503" s="77" t="str">
        <f t="shared" si="209"/>
        <v>NonResidential</v>
      </c>
      <c r="AG503" s="77" t="str">
        <f>tbl_Data[[#This Row],[All_Meas_Name_Append]]</f>
        <v>Ceiling Insulation(R2 to R49)</v>
      </c>
      <c r="AH503" s="77">
        <f>AVERAGEIFS('3. Incentive Adjustment'!G:G,'3. Incentive Adjustment'!A:A,tbl_Data[[#This Row],[Trimmed Sector]],'3. Incentive Adjustment'!B:B,tbl_Data[[#This Row],[Trimmed Measure Name]])</f>
        <v>5.674595082038876E-2</v>
      </c>
      <c r="AI503" s="77">
        <f>$AH503*tbl_Data[[#This Row],[2025 ]]</f>
        <v>4.8440060348549379</v>
      </c>
      <c r="AJ503" s="77">
        <f>$AH503*tbl_Data[[#This Row],[2026 ]]</f>
        <v>4.7462488536208705</v>
      </c>
      <c r="AK503" s="77">
        <f>$AH503*tbl_Data[[#This Row],[2027 ]]</f>
        <v>4.6075802120332598</v>
      </c>
      <c r="AL503" s="77">
        <f>$AH503*tbl_Data[[#This Row],[2028 ]]</f>
        <v>4.4719461540005048</v>
      </c>
      <c r="AM503" s="77">
        <f>$AH503*tbl_Data[[#This Row],[2029 ]]</f>
        <v>4.3406749513074319</v>
      </c>
      <c r="AN503" s="77">
        <f>$AH503*tbl_Data[[#This Row],[2030 ]]</f>
        <v>4.2017711417412942</v>
      </c>
      <c r="AO503" s="77">
        <f>$AH503*tbl_Data[[#This Row],[2031 ]]</f>
        <v>4.0640666736858773</v>
      </c>
      <c r="AP503" s="77">
        <f>$AH503*tbl_Data[[#This Row],[2032 ]]</f>
        <v>3.9344145961278634</v>
      </c>
      <c r="AQ503" s="77">
        <f>$AH503*tbl_Data[[#This Row],[2033 ]]</f>
        <v>3.8061325775007915</v>
      </c>
      <c r="AR503" s="77">
        <f>$AH503*tbl_Data[[#This Row],[2034 ]]</f>
        <v>3.6815180109917987</v>
      </c>
      <c r="AS503" s="77">
        <f>SUM(tbl_Data[[#This Row],[Adjusted 2025]:[Adjusted 2034]])</f>
        <v>42.698359205864634</v>
      </c>
      <c r="AT503" s="80">
        <f>AVERAGEIFS('3. Incentive Adjustment'!F:F,'3. Incentive Adjustment'!A:A,tbl_Data[[#This Row],[Trimmed Sector]],'3. Incentive Adjustment'!B:B,tbl_Data[[#This Row],[Trimmed Measure Name]])</f>
        <v>4335.1908026959672</v>
      </c>
      <c r="AU503" s="80">
        <f>IFERROR(VLOOKUP(tbl_Data[[#This Row],[All_Meas_Name_Append]],'IRA Tax Credits'!$A$3:$D$46,4,0),0)</f>
        <v>500</v>
      </c>
      <c r="AV503" s="81">
        <f>tbl_Data[[#This Row],[Adj. per unit Incentive ($)]]/tbl_Data[[#This Row],[kWh Savings]]*tbl_Data[[#This Row],[Sum of Annuals]]</f>
        <v>9.6483940909465584</v>
      </c>
      <c r="AW503" s="81" t="str">
        <f>IFERROR(VLOOKUP(tbl_Data[[#This Row],[Column1]],'1. Set Program Names'!$B$2:$D$15,3,0)*tbl_Data[[#This Row],[Sum of Annuals]],"")</f>
        <v/>
      </c>
      <c r="AX503" s="81">
        <f>tbl_Data[[#This Row],[per unit IRA tax ($)]]/tbl_Data[[#This Row],[kWh Savings]]*tbl_Data[[#This Row],[Sum of Annuals]]</f>
        <v>1.1127992434550307</v>
      </c>
      <c r="AY503" s="81">
        <f>tbl_Data[[#This Row],[Avoided Costs ($/unit)]]/tbl_Data[[#This Row],[kWh Savings]]*tbl_Data[[#This Row],[Sum of Annuals]]</f>
        <v>26.739741767547596</v>
      </c>
      <c r="AZ503" s="81">
        <f>tbl_Data[[#This Row],[Lost Revenue ($/unit)]]/tbl_Data[[#This Row],[kWh Savings]]*tbl_Data[[#This Row],[Sum of Annuals]]</f>
        <v>65.823273577367573</v>
      </c>
      <c r="BA503" s="81">
        <f>tbl_Data[[#This Row],[Incremental Cost ($/unit)]]/tbl_Data[[#This Row],[kWh Savings]]*tbl_Data[[#This Row],[Sum of Annuals]]</f>
        <v>76.869461702626054</v>
      </c>
      <c r="BB503" s="77">
        <f>ROUNDUP(tbl_Data[[#This Row],[Adjusted 2025]]/$L503,0)</f>
        <v>1</v>
      </c>
      <c r="BC503" s="77">
        <f>ROUNDUP(tbl_Data[[#This Row],[Adjusted 2026]]/$L503,0)</f>
        <v>1</v>
      </c>
      <c r="BD503" s="77">
        <f>ROUNDUP(tbl_Data[[#This Row],[Adjusted 2027]]/$L503,0)</f>
        <v>1</v>
      </c>
      <c r="BE503" s="77">
        <f>ROUNDUP(tbl_Data[[#This Row],[Adjusted 2028]]/$L503,0)</f>
        <v>1</v>
      </c>
      <c r="BF503" s="77">
        <f>ROUNDUP(tbl_Data[[#This Row],[Adjusted 2029]]/$L503,0)</f>
        <v>1</v>
      </c>
      <c r="BG503" s="77">
        <f>ROUNDUP(tbl_Data[[#This Row],[Adjusted 2030]]/$L503,0)</f>
        <v>1</v>
      </c>
      <c r="BH503" s="77">
        <f>ROUNDUP(tbl_Data[[#This Row],[Adjusted 2031]]/$L503,0)</f>
        <v>1</v>
      </c>
      <c r="BI503" s="77">
        <f>ROUNDUP(tbl_Data[[#This Row],[Adjusted 2032]]/$L503,0)</f>
        <v>1</v>
      </c>
      <c r="BJ503" s="77">
        <f>ROUNDUP(tbl_Data[[#This Row],[Adjusted 2033]]/$L503,0)</f>
        <v>1</v>
      </c>
      <c r="BK503" s="77">
        <f>ROUNDUP(tbl_Data[[#This Row],[Adjusted 2034]]/$L503,0)</f>
        <v>1</v>
      </c>
      <c r="BL503" s="80">
        <f t="shared" si="210"/>
        <v>19.289174668284666</v>
      </c>
      <c r="BM503" s="80">
        <f t="shared" si="211"/>
        <v>18.899898657822476</v>
      </c>
      <c r="BN503" s="80">
        <f t="shared" si="212"/>
        <v>18.347710318387989</v>
      </c>
      <c r="BO503" s="80">
        <f t="shared" si="213"/>
        <v>17.807605905318155</v>
      </c>
      <c r="BP503" s="80">
        <f t="shared" si="214"/>
        <v>17.284874690814554</v>
      </c>
      <c r="BQ503" s="80">
        <f t="shared" si="215"/>
        <v>16.731749895855124</v>
      </c>
      <c r="BR503" s="80">
        <f t="shared" si="216"/>
        <v>16.183400963625996</v>
      </c>
      <c r="BS503" s="80">
        <f t="shared" si="217"/>
        <v>15.667117219937921</v>
      </c>
      <c r="BT503" s="80">
        <f t="shared" si="218"/>
        <v>15.156289147823054</v>
      </c>
      <c r="BU503" s="80">
        <f t="shared" si="219"/>
        <v>14.660065129457124</v>
      </c>
      <c r="BV503" s="80" t="str">
        <f>IFERROR(VLOOKUP($H503,'1. Set Program Names'!$B$2:$D$15,3,0)*V503,"NA")</f>
        <v>NA</v>
      </c>
      <c r="BW503" s="80" t="str">
        <f>IFERROR(VLOOKUP($H503,'1. Set Program Names'!$B$2:$D$15,3,0)*W503,"NA")</f>
        <v>NA</v>
      </c>
      <c r="BX503" s="80" t="str">
        <f>IFERROR(VLOOKUP($H503,'1. Set Program Names'!$B$2:$D$15,3,0)*X503,"NA")</f>
        <v>NA</v>
      </c>
      <c r="BY503" s="80" t="str">
        <f>IFERROR(VLOOKUP($H503,'1. Set Program Names'!$B$2:$D$15,3,0)*Y503,"NA")</f>
        <v>NA</v>
      </c>
      <c r="BZ503" s="80" t="str">
        <f>IFERROR(VLOOKUP($H503,'1. Set Program Names'!$B$2:$D$15,3,0)*Z503,"NA")</f>
        <v>NA</v>
      </c>
      <c r="CA503" s="80" t="str">
        <f>IFERROR(VLOOKUP($H503,'1. Set Program Names'!$B$2:$D$15,3,0)*AA503,"NA")</f>
        <v>NA</v>
      </c>
      <c r="CB503" s="80" t="str">
        <f>IFERROR(VLOOKUP($H503,'1. Set Program Names'!$B$2:$D$15,3,0)*AB503,"NA")</f>
        <v>NA</v>
      </c>
      <c r="CC503" s="80" t="str">
        <f>IFERROR(VLOOKUP($H503,'1. Set Program Names'!$B$2:$D$15,3,0)*AC503,"NA")</f>
        <v>NA</v>
      </c>
      <c r="CD503" s="80" t="str">
        <f>IFERROR(VLOOKUP($H503,'1. Set Program Names'!$B$2:$D$15,3,0)*AD503,"NA")</f>
        <v>NA</v>
      </c>
      <c r="CE503" s="80" t="str">
        <f>IFERROR(VLOOKUP($H503,'1. Set Program Names'!$B$2:$D$15,3,0)*AE503,"NA")</f>
        <v>NA</v>
      </c>
    </row>
    <row r="504" spans="1:83" x14ac:dyDescent="0.25">
      <c r="A504" s="79" t="s">
        <v>87</v>
      </c>
      <c r="B504" s="79" t="s">
        <v>88</v>
      </c>
      <c r="C504" s="79" t="s">
        <v>122</v>
      </c>
      <c r="D504" s="79" t="s">
        <v>90</v>
      </c>
      <c r="E504" s="79" t="s">
        <v>91</v>
      </c>
      <c r="F504" s="79" t="s">
        <v>90</v>
      </c>
      <c r="G504" s="79" t="s">
        <v>92</v>
      </c>
      <c r="H504" s="79" t="s">
        <v>20</v>
      </c>
      <c r="I504" s="79" t="s">
        <v>128</v>
      </c>
      <c r="J504" s="79" t="s">
        <v>129</v>
      </c>
      <c r="K504" s="79" t="s">
        <v>130</v>
      </c>
      <c r="L504" s="79">
        <v>2045.1799999999989</v>
      </c>
      <c r="M504" s="79">
        <v>0.47104509500000002</v>
      </c>
      <c r="N504" s="79">
        <v>0.17900382200000001</v>
      </c>
      <c r="O504" s="79">
        <f>19591.5999999999/60160.456*2045.18</f>
        <v>666.02468053100858</v>
      </c>
      <c r="P504" s="79">
        <f>11310.7385995848/60160.456*2045.18</f>
        <v>384.51331501042552</v>
      </c>
      <c r="Q504" s="79">
        <f>2141.69388188172/60160.456*2045.18</f>
        <v>72.807784125619918</v>
      </c>
      <c r="R504" s="79">
        <f>32581.871747558/60160.456*2045.18</f>
        <v>1107.6344311730397</v>
      </c>
      <c r="S504" s="79">
        <f>77209.8271220691/60160.456*2045.18</f>
        <v>2624.780540784353</v>
      </c>
      <c r="T504" s="79">
        <v>20</v>
      </c>
      <c r="U504" s="79">
        <v>4.9999999999999899E-2</v>
      </c>
      <c r="V504" s="79">
        <f>tbl_Data_old[[#This Row],[2025 ]]*IFERROR(AVERAGEIFS('Participation Adjustment'!$C:$C,'Participation Adjustment'!$A:$A,$H504,'Participation Adjustment'!$B:$B,$I504),1)</f>
        <v>3764.8641025421398</v>
      </c>
      <c r="W504" s="79">
        <f>tbl_Data_old[[#This Row],[2026 ]]*IFERROR(AVERAGEIFS('Participation Adjustment'!$C:$C,'Participation Adjustment'!$A:$A,$H504,'Participation Adjustment'!$B:$B,$I504),1)</f>
        <v>3713.1851553091501</v>
      </c>
      <c r="X504" s="79">
        <f>tbl_Data_old[[#This Row],[2027 ]]*IFERROR(AVERAGEIFS('Participation Adjustment'!$C:$C,'Participation Adjustment'!$A:$A,$H504,'Participation Adjustment'!$B:$B,$I504),1)</f>
        <v>3642.28716188012</v>
      </c>
      <c r="Y504" s="79">
        <f>tbl_Data_old[[#This Row],[2028 ]]*IFERROR(AVERAGEIFS('Participation Adjustment'!$C:$C,'Participation Adjustment'!$A:$A,$H504,'Participation Adjustment'!$B:$B,$I504),1)</f>
        <v>3572.9760298788701</v>
      </c>
      <c r="Z504" s="79">
        <f>tbl_Data_old[[#This Row],[2029 ]]*IFERROR(AVERAGEIFS('Participation Adjustment'!$C:$C,'Participation Adjustment'!$A:$A,$H504,'Participation Adjustment'!$B:$B,$I504),1)</f>
        <v>3499.9925602841299</v>
      </c>
      <c r="AA504" s="79">
        <f>tbl_Data_old[[#This Row],[2030 ]]*IFERROR(AVERAGEIFS('Participation Adjustment'!$C:$C,'Participation Adjustment'!$A:$A,$H504,'Participation Adjustment'!$B:$B,$I504),1)</f>
        <v>3421.0695688943301</v>
      </c>
      <c r="AB504" s="79">
        <f>tbl_Data_old[[#This Row],[2031 ]]*IFERROR(AVERAGEIFS('Participation Adjustment'!$C:$C,'Participation Adjustment'!$A:$A,$H504,'Participation Adjustment'!$B:$B,$I504),1)</f>
        <v>3336.3586010957101</v>
      </c>
      <c r="AC504" s="79">
        <f>tbl_Data_old[[#This Row],[2032 ]]*IFERROR(AVERAGEIFS('Participation Adjustment'!$C:$C,'Participation Adjustment'!$A:$A,$H504,'Participation Adjustment'!$B:$B,$I504),1)</f>
        <v>3253.1431365257899</v>
      </c>
      <c r="AD504" s="79">
        <f>tbl_Data_old[[#This Row],[2033 ]]*IFERROR(AVERAGEIFS('Participation Adjustment'!$C:$C,'Participation Adjustment'!$A:$A,$H504,'Participation Adjustment'!$B:$B,$I504),1)</f>
        <v>3175.8743269494998</v>
      </c>
      <c r="AE504" s="79">
        <f>tbl_Data_old[[#This Row],[2034 ]]*IFERROR(AVERAGEIFS('Participation Adjustment'!$C:$C,'Participation Adjustment'!$A:$A,$H504,'Participation Adjustment'!$B:$B,$I504),1)</f>
        <v>3096.6603609428598</v>
      </c>
      <c r="AF504" s="77" t="str">
        <f t="shared" si="209"/>
        <v>NonResidential</v>
      </c>
      <c r="AG504" s="77" t="str">
        <f>tbl_Data[[#This Row],[All_Meas_Name_Append]]</f>
        <v>Commercial Duct Sealing</v>
      </c>
      <c r="AH504" s="77">
        <f>AVERAGEIFS('3. Incentive Adjustment'!G:G,'3. Incentive Adjustment'!A:A,tbl_Data[[#This Row],[Trimmed Sector]],'3. Incentive Adjustment'!B:B,tbl_Data[[#This Row],[Trimmed Measure Name]])</f>
        <v>0.69277112909915817</v>
      </c>
      <c r="AI504" s="77">
        <f>$AH504*tbl_Data[[#This Row],[2025 ]]</f>
        <v>2608.1891552230068</v>
      </c>
      <c r="AJ504" s="77">
        <f>$AH504*tbl_Data[[#This Row],[2026 ]]</f>
        <v>2572.387472597753</v>
      </c>
      <c r="AK504" s="77">
        <f>$AH504*tbl_Data[[#This Row],[2027 ]]</f>
        <v>2523.2713896390592</v>
      </c>
      <c r="AL504" s="77">
        <f>$AH504*tbl_Data[[#This Row],[2028 ]]</f>
        <v>2475.2546384634124</v>
      </c>
      <c r="AM504" s="77">
        <f>$AH504*tbl_Data[[#This Row],[2029 ]]</f>
        <v>2424.6937978266901</v>
      </c>
      <c r="AN504" s="77">
        <f>$AH504*tbl_Data[[#This Row],[2030 ]]</f>
        <v>2370.0182279696955</v>
      </c>
      <c r="AO504" s="77">
        <f>$AH504*tbl_Data[[#This Row],[2031 ]]</f>
        <v>2311.3329151607632</v>
      </c>
      <c r="AP504" s="77">
        <f>$AH504*tbl_Data[[#This Row],[2032 ]]</f>
        <v>2253.6836438121481</v>
      </c>
      <c r="AQ504" s="77">
        <f>$AH504*tbl_Data[[#This Row],[2033 ]]</f>
        <v>2200.1540433578339</v>
      </c>
      <c r="AR504" s="77">
        <f>$AH504*tbl_Data[[#This Row],[2034 ]]</f>
        <v>2145.2768946869915</v>
      </c>
      <c r="AS504" s="77">
        <f>SUM(tbl_Data[[#This Row],[Adjusted 2025]:[Adjusted 2034]])</f>
        <v>23884.26217873735</v>
      </c>
      <c r="AT504" s="80">
        <f>AVERAGEIFS('3. Incentive Adjustment'!F:F,'3. Incentive Adjustment'!A:A,tbl_Data[[#This Row],[Trimmed Sector]],'3. Incentive Adjustment'!B:B,tbl_Data[[#This Row],[Trimmed Measure Name]])</f>
        <v>100</v>
      </c>
      <c r="AU504" s="80">
        <f>IFERROR(VLOOKUP(tbl_Data[[#This Row],[All_Meas_Name_Append]],'IRA Tax Credits'!$A$3:$D$46,4,0),0)</f>
        <v>0</v>
      </c>
      <c r="AV504" s="81">
        <f>tbl_Data[[#This Row],[Adj. per unit Incentive ($)]]/tbl_Data[[#This Row],[kWh Savings]]*tbl_Data[[#This Row],[Sum of Annuals]]</f>
        <v>1167.8317888272604</v>
      </c>
      <c r="AW504" s="81" t="str">
        <f>IFERROR(VLOOKUP(tbl_Data[[#This Row],[Column1]],'1. Set Program Names'!$B$2:$D$15,3,0)*tbl_Data[[#This Row],[Sum of Annuals]],"")</f>
        <v/>
      </c>
      <c r="AX504" s="81">
        <f>tbl_Data[[#This Row],[per unit IRA tax ($)]]/tbl_Data[[#This Row],[kWh Savings]]*tbl_Data[[#This Row],[Sum of Annuals]]</f>
        <v>0</v>
      </c>
      <c r="AY504" s="81">
        <f>tbl_Data[[#This Row],[Avoided Costs ($/unit)]]/tbl_Data[[#This Row],[kWh Savings]]*tbl_Data[[#This Row],[Sum of Annuals]]</f>
        <v>12935.30699123476</v>
      </c>
      <c r="AZ504" s="81">
        <f>tbl_Data[[#This Row],[Lost Revenue ($/unit)]]/tbl_Data[[#This Row],[kWh Savings]]*tbl_Data[[#This Row],[Sum of Annuals]]</f>
        <v>30653.021542231745</v>
      </c>
      <c r="BA504" s="81">
        <f>tbl_Data[[#This Row],[Incremental Cost ($/unit)]]/tbl_Data[[#This Row],[kWh Savings]]*tbl_Data[[#This Row],[Sum of Annuals]]</f>
        <v>7778.0479406763234</v>
      </c>
      <c r="BB504" s="77">
        <f>ROUNDUP(tbl_Data[[#This Row],[Adjusted 2025]]/$L504,0)</f>
        <v>2</v>
      </c>
      <c r="BC504" s="77">
        <f>ROUNDUP(tbl_Data[[#This Row],[Adjusted 2026]]/$L504,0)</f>
        <v>2</v>
      </c>
      <c r="BD504" s="77">
        <f>ROUNDUP(tbl_Data[[#This Row],[Adjusted 2027]]/$L504,0)</f>
        <v>2</v>
      </c>
      <c r="BE504" s="77">
        <f>ROUNDUP(tbl_Data[[#This Row],[Adjusted 2028]]/$L504,0)</f>
        <v>2</v>
      </c>
      <c r="BF504" s="77">
        <f>ROUNDUP(tbl_Data[[#This Row],[Adjusted 2029]]/$L504,0)</f>
        <v>2</v>
      </c>
      <c r="BG504" s="77">
        <f>ROUNDUP(tbl_Data[[#This Row],[Adjusted 2030]]/$L504,0)</f>
        <v>2</v>
      </c>
      <c r="BH504" s="77">
        <f>ROUNDUP(tbl_Data[[#This Row],[Adjusted 2031]]/$L504,0)</f>
        <v>2</v>
      </c>
      <c r="BI504" s="77">
        <f>ROUNDUP(tbl_Data[[#This Row],[Adjusted 2032]]/$L504,0)</f>
        <v>2</v>
      </c>
      <c r="BJ504" s="77">
        <f>ROUNDUP(tbl_Data[[#This Row],[Adjusted 2033]]/$L504,0)</f>
        <v>2</v>
      </c>
      <c r="BK504" s="77">
        <f>ROUNDUP(tbl_Data[[#This Row],[Adjusted 2034]]/$L504,0)</f>
        <v>2</v>
      </c>
      <c r="BL504" s="80">
        <f t="shared" si="210"/>
        <v>184.08473105262823</v>
      </c>
      <c r="BM504" s="80">
        <f t="shared" si="211"/>
        <v>181.5578655819611</v>
      </c>
      <c r="BN504" s="80">
        <f t="shared" si="212"/>
        <v>178.09127616542906</v>
      </c>
      <c r="BO504" s="80">
        <f t="shared" si="213"/>
        <v>174.70227705526517</v>
      </c>
      <c r="BP504" s="80">
        <f t="shared" si="214"/>
        <v>171.13371733950711</v>
      </c>
      <c r="BQ504" s="80">
        <f t="shared" si="215"/>
        <v>167.2747420224299</v>
      </c>
      <c r="BR504" s="80">
        <f t="shared" si="216"/>
        <v>163.13276098415358</v>
      </c>
      <c r="BS504" s="80">
        <f t="shared" si="217"/>
        <v>159.06390325183074</v>
      </c>
      <c r="BT504" s="80">
        <f t="shared" si="218"/>
        <v>155.28580990179356</v>
      </c>
      <c r="BU504" s="80">
        <f t="shared" si="219"/>
        <v>151.41260724937959</v>
      </c>
      <c r="BV504" s="80" t="str">
        <f>IFERROR(VLOOKUP($H504,'1. Set Program Names'!$B$2:$D$15,3,0)*V504,"NA")</f>
        <v>NA</v>
      </c>
      <c r="BW504" s="80" t="str">
        <f>IFERROR(VLOOKUP($H504,'1. Set Program Names'!$B$2:$D$15,3,0)*W504,"NA")</f>
        <v>NA</v>
      </c>
      <c r="BX504" s="80" t="str">
        <f>IFERROR(VLOOKUP($H504,'1. Set Program Names'!$B$2:$D$15,3,0)*X504,"NA")</f>
        <v>NA</v>
      </c>
      <c r="BY504" s="80" t="str">
        <f>IFERROR(VLOOKUP($H504,'1. Set Program Names'!$B$2:$D$15,3,0)*Y504,"NA")</f>
        <v>NA</v>
      </c>
      <c r="BZ504" s="80" t="str">
        <f>IFERROR(VLOOKUP($H504,'1. Set Program Names'!$B$2:$D$15,3,0)*Z504,"NA")</f>
        <v>NA</v>
      </c>
      <c r="CA504" s="80" t="str">
        <f>IFERROR(VLOOKUP($H504,'1. Set Program Names'!$B$2:$D$15,3,0)*AA504,"NA")</f>
        <v>NA</v>
      </c>
      <c r="CB504" s="80" t="str">
        <f>IFERROR(VLOOKUP($H504,'1. Set Program Names'!$B$2:$D$15,3,0)*AB504,"NA")</f>
        <v>NA</v>
      </c>
      <c r="CC504" s="80" t="str">
        <f>IFERROR(VLOOKUP($H504,'1. Set Program Names'!$B$2:$D$15,3,0)*AC504,"NA")</f>
        <v>NA</v>
      </c>
      <c r="CD504" s="80" t="str">
        <f>IFERROR(VLOOKUP($H504,'1. Set Program Names'!$B$2:$D$15,3,0)*AD504,"NA")</f>
        <v>NA</v>
      </c>
      <c r="CE504" s="80" t="str">
        <f>IFERROR(VLOOKUP($H504,'1. Set Program Names'!$B$2:$D$15,3,0)*AE504,"NA")</f>
        <v>NA</v>
      </c>
    </row>
    <row r="505" spans="1:83" x14ac:dyDescent="0.25">
      <c r="A505" s="79" t="s">
        <v>87</v>
      </c>
      <c r="B505" s="79" t="s">
        <v>88</v>
      </c>
      <c r="C505" s="79" t="s">
        <v>122</v>
      </c>
      <c r="D505" s="79" t="s">
        <v>90</v>
      </c>
      <c r="E505" s="79" t="s">
        <v>91</v>
      </c>
      <c r="F505" s="79" t="s">
        <v>90</v>
      </c>
      <c r="G505" s="79" t="s">
        <v>92</v>
      </c>
      <c r="H505" s="79" t="s">
        <v>20</v>
      </c>
      <c r="I505" s="79" t="s">
        <v>303</v>
      </c>
      <c r="J505" s="79" t="s">
        <v>129</v>
      </c>
      <c r="K505" s="79" t="s">
        <v>298</v>
      </c>
      <c r="L505" s="79">
        <v>2407.8671428571402</v>
      </c>
      <c r="M505" s="79">
        <v>0.43509988390469401</v>
      </c>
      <c r="N505" s="79">
        <v>0.148929049658067</v>
      </c>
      <c r="O505" s="79">
        <v>1278.9912095238201</v>
      </c>
      <c r="P505" s="79">
        <v>9094.9443435978392</v>
      </c>
      <c r="Q505" s="79">
        <v>144.47202857142801</v>
      </c>
      <c r="R505" s="79">
        <v>1364.7105452988201</v>
      </c>
      <c r="S505" s="79">
        <v>3090.2526043504499</v>
      </c>
      <c r="T505" s="79">
        <v>20</v>
      </c>
      <c r="U505" s="79">
        <v>4.9999999999999899E-2</v>
      </c>
      <c r="V505" s="79">
        <f>tbl_Data_old[[#This Row],[2025 ]]*IFERROR(AVERAGEIFS('Participation Adjustment'!$C:$C,'Participation Adjustment'!$A:$A,$H505,'Participation Adjustment'!$B:$B,$I505),1)</f>
        <v>1477.48685112674</v>
      </c>
      <c r="W505" s="79">
        <f>tbl_Data_old[[#This Row],[2026 ]]*IFERROR(AVERAGEIFS('Participation Adjustment'!$C:$C,'Participation Adjustment'!$A:$A,$H505,'Participation Adjustment'!$B:$B,$I505),1)</f>
        <v>1403.48675011817</v>
      </c>
      <c r="X505" s="79">
        <f>tbl_Data_old[[#This Row],[2027 ]]*IFERROR(AVERAGEIFS('Participation Adjustment'!$C:$C,'Participation Adjustment'!$A:$A,$H505,'Participation Adjustment'!$B:$B,$I505),1)</f>
        <v>1317.2546859000299</v>
      </c>
      <c r="Y505" s="79">
        <f>tbl_Data_old[[#This Row],[2028 ]]*IFERROR(AVERAGEIFS('Participation Adjustment'!$C:$C,'Participation Adjustment'!$A:$A,$H505,'Participation Adjustment'!$B:$B,$I505),1)</f>
        <v>1231.37763720724</v>
      </c>
      <c r="Z505" s="79">
        <f>tbl_Data_old[[#This Row],[2029 ]]*IFERROR(AVERAGEIFS('Participation Adjustment'!$C:$C,'Participation Adjustment'!$A:$A,$H505,'Participation Adjustment'!$B:$B,$I505),1)</f>
        <v>1146.28165916324</v>
      </c>
      <c r="AA505" s="79">
        <f>tbl_Data_old[[#This Row],[2030 ]]*IFERROR(AVERAGEIFS('Participation Adjustment'!$C:$C,'Participation Adjustment'!$A:$A,$H505,'Participation Adjustment'!$B:$B,$I505),1)</f>
        <v>1061.5085788865999</v>
      </c>
      <c r="AB505" s="79">
        <f>tbl_Data_old[[#This Row],[2031 ]]*IFERROR(AVERAGEIFS('Participation Adjustment'!$C:$C,'Participation Adjustment'!$A:$A,$H505,'Participation Adjustment'!$B:$B,$I505),1)</f>
        <v>978.99379928343603</v>
      </c>
      <c r="AC505" s="79">
        <f>tbl_Data_old[[#This Row],[2032 ]]*IFERROR(AVERAGEIFS('Participation Adjustment'!$C:$C,'Participation Adjustment'!$A:$A,$H505,'Participation Adjustment'!$B:$B,$I505),1)</f>
        <v>901.327849987729</v>
      </c>
      <c r="AD505" s="79">
        <f>tbl_Data_old[[#This Row],[2033 ]]*IFERROR(AVERAGEIFS('Participation Adjustment'!$C:$C,'Participation Adjustment'!$A:$A,$H505,'Participation Adjustment'!$B:$B,$I505),1)</f>
        <v>829.33787367548996</v>
      </c>
      <c r="AE505" s="79">
        <f>tbl_Data_old[[#This Row],[2034 ]]*IFERROR(AVERAGEIFS('Participation Adjustment'!$C:$C,'Participation Adjustment'!$A:$A,$H505,'Participation Adjustment'!$B:$B,$I505),1)</f>
        <v>761.74948792982502</v>
      </c>
      <c r="AF505" s="77" t="str">
        <f t="shared" si="209"/>
        <v>NonResidential</v>
      </c>
      <c r="AG505" s="77" t="str">
        <f>tbl_Data[[#This Row],[All_Meas_Name_Append]]</f>
        <v>Energy Star windows</v>
      </c>
      <c r="AH505" s="77">
        <f>AVERAGEIFS('3. Incentive Adjustment'!G:G,'3. Incentive Adjustment'!A:A,tbl_Data[[#This Row],[Trimmed Sector]],'3. Incentive Adjustment'!B:B,tbl_Data[[#This Row],[Trimmed Measure Name]])</f>
        <v>1.8374525511831319E-4</v>
      </c>
      <c r="AI505" s="77">
        <f>$AH505*tbl_Data[[#This Row],[2025 ]]</f>
        <v>0.27148119839423607</v>
      </c>
      <c r="AJ505" s="77">
        <f>$AH505*tbl_Data[[#This Row],[2026 ]]</f>
        <v>0.25788403095563545</v>
      </c>
      <c r="AK505" s="77">
        <f>$AH505*tbl_Data[[#This Row],[2027 ]]</f>
        <v>0.24203929831649451</v>
      </c>
      <c r="AL505" s="77">
        <f>$AH505*tbl_Data[[#This Row],[2028 ]]</f>
        <v>0.22625979809563002</v>
      </c>
      <c r="AM505" s="77">
        <f>$AH505*tbl_Data[[#This Row],[2029 ]]</f>
        <v>0.21062381590039286</v>
      </c>
      <c r="AN505" s="77">
        <f>$AH505*tbl_Data[[#This Row],[2030 ]]</f>
        <v>0.19504716463779639</v>
      </c>
      <c r="AO505" s="77">
        <f>$AH505*tbl_Data[[#This Row],[2031 ]]</f>
        <v>0.17988546540858166</v>
      </c>
      <c r="AP505" s="77">
        <f>$AH505*tbl_Data[[#This Row],[2032 ]]</f>
        <v>0.16561471574123598</v>
      </c>
      <c r="AQ505" s="77">
        <f>$AH505*tbl_Data[[#This Row],[2033 ]]</f>
        <v>0.15238689917778231</v>
      </c>
      <c r="AR505" s="77">
        <f>$AH505*tbl_Data[[#This Row],[2034 ]]</f>
        <v>0.13996785399591014</v>
      </c>
      <c r="AS505" s="77">
        <f>SUM(tbl_Data[[#This Row],[Adjusted 2025]:[Adjusted 2034]])</f>
        <v>2.0411902406236955</v>
      </c>
      <c r="AT505" s="80">
        <f>AVERAGEIFS('3. Incentive Adjustment'!F:F,'3. Incentive Adjustment'!A:A,tbl_Data[[#This Row],[Trimmed Sector]],'3. Incentive Adjustment'!B:B,tbl_Data[[#This Row],[Trimmed Measure Name]])</f>
        <v>1244.9532966663394</v>
      </c>
      <c r="AU505" s="80">
        <f>IFERROR(VLOOKUP(tbl_Data[[#This Row],[All_Meas_Name_Append]],'IRA Tax Credits'!$A$3:$D$46,4,0),0)</f>
        <v>250</v>
      </c>
      <c r="AV505" s="81">
        <f>tbl_Data[[#This Row],[Adj. per unit Incentive ($)]]/tbl_Data[[#This Row],[kWh Savings]]*tbl_Data[[#This Row],[Sum of Annuals]]</f>
        <v>1.0553682443510124</v>
      </c>
      <c r="AW505" s="81" t="str">
        <f>IFERROR(VLOOKUP(tbl_Data[[#This Row],[Column1]],'1. Set Program Names'!$B$2:$D$15,3,0)*tbl_Data[[#This Row],[Sum of Annuals]],"")</f>
        <v/>
      </c>
      <c r="AX505" s="81">
        <f>tbl_Data[[#This Row],[per unit IRA tax ($)]]/tbl_Data[[#This Row],[kWh Savings]]*tbl_Data[[#This Row],[Sum of Annuals]]</f>
        <v>0.21192928425046417</v>
      </c>
      <c r="AY505" s="81">
        <f>tbl_Data[[#This Row],[Avoided Costs ($/unit)]]/tbl_Data[[#This Row],[kWh Savings]]*tbl_Data[[#This Row],[Sum of Annuals]]</f>
        <v>1.1568885162969582</v>
      </c>
      <c r="AZ505" s="81">
        <f>tbl_Data[[#This Row],[Lost Revenue ($/unit)]]/tbl_Data[[#This Row],[kWh Savings]]*tbl_Data[[#This Row],[Sum of Annuals]]</f>
        <v>2.6196600903724949</v>
      </c>
      <c r="BA505" s="81">
        <f>tbl_Data[[#This Row],[Incremental Cost ($/unit)]]/tbl_Data[[#This Row],[kWh Savings]]*tbl_Data[[#This Row],[Sum of Annuals]]</f>
        <v>1.0842227663880746</v>
      </c>
      <c r="BB505" s="77">
        <f>ROUNDUP(tbl_Data[[#This Row],[Adjusted 2025]]/$L505,0)</f>
        <v>1</v>
      </c>
      <c r="BC505" s="77">
        <f>ROUNDUP(tbl_Data[[#This Row],[Adjusted 2026]]/$L505,0)</f>
        <v>1</v>
      </c>
      <c r="BD505" s="77">
        <f>ROUNDUP(tbl_Data[[#This Row],[Adjusted 2027]]/$L505,0)</f>
        <v>1</v>
      </c>
      <c r="BE505" s="77">
        <f>ROUNDUP(tbl_Data[[#This Row],[Adjusted 2028]]/$L505,0)</f>
        <v>1</v>
      </c>
      <c r="BF505" s="77">
        <f>ROUNDUP(tbl_Data[[#This Row],[Adjusted 2029]]/$L505,0)</f>
        <v>1</v>
      </c>
      <c r="BG505" s="77">
        <f>ROUNDUP(tbl_Data[[#This Row],[Adjusted 2030]]/$L505,0)</f>
        <v>1</v>
      </c>
      <c r="BH505" s="77">
        <f>ROUNDUP(tbl_Data[[#This Row],[Adjusted 2031]]/$L505,0)</f>
        <v>1</v>
      </c>
      <c r="BI505" s="77">
        <f>ROUNDUP(tbl_Data[[#This Row],[Adjusted 2032]]/$L505,0)</f>
        <v>1</v>
      </c>
      <c r="BJ505" s="77">
        <f>ROUNDUP(tbl_Data[[#This Row],[Adjusted 2033]]/$L505,0)</f>
        <v>1</v>
      </c>
      <c r="BK505" s="77">
        <f>ROUNDUP(tbl_Data[[#This Row],[Adjusted 2034]]/$L505,0)</f>
        <v>1</v>
      </c>
      <c r="BL505" s="80">
        <f t="shared" si="210"/>
        <v>763.91346239676511</v>
      </c>
      <c r="BM505" s="80">
        <f t="shared" si="211"/>
        <v>725.65276766634679</v>
      </c>
      <c r="BN505" s="80">
        <f t="shared" si="212"/>
        <v>681.06771115889717</v>
      </c>
      <c r="BO505" s="80">
        <f t="shared" si="213"/>
        <v>636.6662103554919</v>
      </c>
      <c r="BP505" s="80">
        <f t="shared" si="214"/>
        <v>592.66855096917834</v>
      </c>
      <c r="BQ505" s="80">
        <f t="shared" si="215"/>
        <v>548.83784125911825</v>
      </c>
      <c r="BR505" s="80">
        <f t="shared" si="216"/>
        <v>506.17475364010579</v>
      </c>
      <c r="BS505" s="80">
        <f t="shared" si="217"/>
        <v>466.01868443951037</v>
      </c>
      <c r="BT505" s="80">
        <f t="shared" si="218"/>
        <v>428.79729595770777</v>
      </c>
      <c r="BU505" s="80">
        <f t="shared" si="219"/>
        <v>393.85168697756393</v>
      </c>
      <c r="BV505" s="80" t="str">
        <f>IFERROR(VLOOKUP($H505,'1. Set Program Names'!$B$2:$D$15,3,0)*V505,"NA")</f>
        <v>NA</v>
      </c>
      <c r="BW505" s="80" t="str">
        <f>IFERROR(VLOOKUP($H505,'1. Set Program Names'!$B$2:$D$15,3,0)*W505,"NA")</f>
        <v>NA</v>
      </c>
      <c r="BX505" s="80" t="str">
        <f>IFERROR(VLOOKUP($H505,'1. Set Program Names'!$B$2:$D$15,3,0)*X505,"NA")</f>
        <v>NA</v>
      </c>
      <c r="BY505" s="80" t="str">
        <f>IFERROR(VLOOKUP($H505,'1. Set Program Names'!$B$2:$D$15,3,0)*Y505,"NA")</f>
        <v>NA</v>
      </c>
      <c r="BZ505" s="80" t="str">
        <f>IFERROR(VLOOKUP($H505,'1. Set Program Names'!$B$2:$D$15,3,0)*Z505,"NA")</f>
        <v>NA</v>
      </c>
      <c r="CA505" s="80" t="str">
        <f>IFERROR(VLOOKUP($H505,'1. Set Program Names'!$B$2:$D$15,3,0)*AA505,"NA")</f>
        <v>NA</v>
      </c>
      <c r="CB505" s="80" t="str">
        <f>IFERROR(VLOOKUP($H505,'1. Set Program Names'!$B$2:$D$15,3,0)*AB505,"NA")</f>
        <v>NA</v>
      </c>
      <c r="CC505" s="80" t="str">
        <f>IFERROR(VLOOKUP($H505,'1. Set Program Names'!$B$2:$D$15,3,0)*AC505,"NA")</f>
        <v>NA</v>
      </c>
      <c r="CD505" s="80" t="str">
        <f>IFERROR(VLOOKUP($H505,'1. Set Program Names'!$B$2:$D$15,3,0)*AD505,"NA")</f>
        <v>NA</v>
      </c>
      <c r="CE505" s="80" t="str">
        <f>IFERROR(VLOOKUP($H505,'1. Set Program Names'!$B$2:$D$15,3,0)*AE505,"NA")</f>
        <v>NA</v>
      </c>
    </row>
    <row r="506" spans="1:83" x14ac:dyDescent="0.25">
      <c r="A506" s="79" t="s">
        <v>87</v>
      </c>
      <c r="B506" s="79" t="s">
        <v>88</v>
      </c>
      <c r="C506" s="79" t="s">
        <v>122</v>
      </c>
      <c r="D506" s="79" t="s">
        <v>90</v>
      </c>
      <c r="E506" s="79" t="s">
        <v>91</v>
      </c>
      <c r="F506" s="79" t="s">
        <v>90</v>
      </c>
      <c r="G506" s="79" t="s">
        <v>92</v>
      </c>
      <c r="H506" s="79" t="s">
        <v>20</v>
      </c>
      <c r="I506" s="79" t="s">
        <v>143</v>
      </c>
      <c r="J506" s="79" t="s">
        <v>144</v>
      </c>
      <c r="K506" s="79" t="s">
        <v>108</v>
      </c>
      <c r="L506" s="79">
        <v>6670.6049999999896</v>
      </c>
      <c r="M506" s="79">
        <v>1.04667148638823</v>
      </c>
      <c r="N506" s="79">
        <v>1.5598507965563999</v>
      </c>
      <c r="O506" s="79">
        <v>2431.625</v>
      </c>
      <c r="P506" s="79">
        <v>977.24379425036398</v>
      </c>
      <c r="Q506" s="79">
        <v>400.23629999999901</v>
      </c>
      <c r="R506" s="79">
        <v>3400.8076679878</v>
      </c>
      <c r="S506" s="79">
        <v>7245.0779694633802</v>
      </c>
      <c r="T506" s="79">
        <v>15</v>
      </c>
      <c r="U506" s="79">
        <v>0.05</v>
      </c>
      <c r="V506" s="79">
        <f>tbl_Data_old[[#This Row],[2025 ]]*IFERROR(AVERAGEIFS('Participation Adjustment'!$C:$C,'Participation Adjustment'!$A:$A,$H506,'Participation Adjustment'!$B:$B,$I506),1)</f>
        <v>1692.8438372017399</v>
      </c>
      <c r="W506" s="79">
        <f>tbl_Data_old[[#This Row],[2026 ]]*IFERROR(AVERAGEIFS('Participation Adjustment'!$C:$C,'Participation Adjustment'!$A:$A,$H506,'Participation Adjustment'!$B:$B,$I506),1)</f>
        <v>1861.5733456609701</v>
      </c>
      <c r="X506" s="79">
        <f>tbl_Data_old[[#This Row],[2027 ]]*IFERROR(AVERAGEIFS('Participation Adjustment'!$C:$C,'Participation Adjustment'!$A:$A,$H506,'Participation Adjustment'!$B:$B,$I506),1)</f>
        <v>1999.43667660807</v>
      </c>
      <c r="Y506" s="79">
        <f>tbl_Data_old[[#This Row],[2028 ]]*IFERROR(AVERAGEIFS('Participation Adjustment'!$C:$C,'Participation Adjustment'!$A:$A,$H506,'Participation Adjustment'!$B:$B,$I506),1)</f>
        <v>2119.3851893855099</v>
      </c>
      <c r="Z506" s="79">
        <f>tbl_Data_old[[#This Row],[2029 ]]*IFERROR(AVERAGEIFS('Participation Adjustment'!$C:$C,'Participation Adjustment'!$A:$A,$H506,'Participation Adjustment'!$B:$B,$I506),1)</f>
        <v>2222.02259431111</v>
      </c>
      <c r="AA506" s="79">
        <f>tbl_Data_old[[#This Row],[2030 ]]*IFERROR(AVERAGEIFS('Participation Adjustment'!$C:$C,'Participation Adjustment'!$A:$A,$H506,'Participation Adjustment'!$B:$B,$I506),1)</f>
        <v>2306.5264628362602</v>
      </c>
      <c r="AB506" s="79">
        <f>tbl_Data_old[[#This Row],[2031 ]]*IFERROR(AVERAGEIFS('Participation Adjustment'!$C:$C,'Participation Adjustment'!$A:$A,$H506,'Participation Adjustment'!$B:$B,$I506),1)</f>
        <v>2376.0439456511699</v>
      </c>
      <c r="AC506" s="79">
        <f>tbl_Data_old[[#This Row],[2032 ]]*IFERROR(AVERAGEIFS('Participation Adjustment'!$C:$C,'Participation Adjustment'!$A:$A,$H506,'Participation Adjustment'!$B:$B,$I506),1)</f>
        <v>2437.22027767905</v>
      </c>
      <c r="AD506" s="79">
        <f>tbl_Data_old[[#This Row],[2033 ]]*IFERROR(AVERAGEIFS('Participation Adjustment'!$C:$C,'Participation Adjustment'!$A:$A,$H506,'Participation Adjustment'!$B:$B,$I506),1)</f>
        <v>2492.02684517443</v>
      </c>
      <c r="AE506" s="79">
        <f>tbl_Data_old[[#This Row],[2034 ]]*IFERROR(AVERAGEIFS('Participation Adjustment'!$C:$C,'Participation Adjustment'!$A:$A,$H506,'Participation Adjustment'!$B:$B,$I506),1)</f>
        <v>2539.0823995512701</v>
      </c>
      <c r="AF506" s="77" t="str">
        <f t="shared" si="209"/>
        <v>NonResidential</v>
      </c>
      <c r="AG506" s="77" t="str">
        <f>tbl_Data[[#This Row],[All_Meas_Name_Append]]</f>
        <v>Heat Pump Water Heater</v>
      </c>
      <c r="AH506" s="77">
        <f>AVERAGEIFS('3. Incentive Adjustment'!G:G,'3. Incentive Adjustment'!A:A,tbl_Data[[#This Row],[Trimmed Sector]],'3. Incentive Adjustment'!B:B,tbl_Data[[#This Row],[Trimmed Measure Name]])</f>
        <v>0.82797588322898052</v>
      </c>
      <c r="AI506" s="77">
        <f>$AH506*tbl_Data[[#This Row],[2025 ]]</f>
        <v>1401.633871275847</v>
      </c>
      <c r="AJ506" s="77">
        <f>$AH506*tbl_Data[[#This Row],[2026 ]]</f>
        <v>1541.3378350691698</v>
      </c>
      <c r="AK506" s="77">
        <f>$AH506*tbl_Data[[#This Row],[2027 ]]</f>
        <v>1655.4853482749843</v>
      </c>
      <c r="AL506" s="77">
        <f>$AH506*tbl_Data[[#This Row],[2028 ]]</f>
        <v>1754.7998240838876</v>
      </c>
      <c r="AM506" s="77">
        <f>$AH506*tbl_Data[[#This Row],[2029 ]]</f>
        <v>1839.781120079492</v>
      </c>
      <c r="AN506" s="77">
        <f>$AH506*tbl_Data[[#This Row],[2030 ]]</f>
        <v>1909.7482852578689</v>
      </c>
      <c r="AO506" s="77">
        <f>$AH506*tbl_Data[[#This Row],[2031 ]]</f>
        <v>1967.3070844913991</v>
      </c>
      <c r="AP506" s="77">
        <f>$AH506*tbl_Data[[#This Row],[2032 ]]</f>
        <v>2017.9596120348926</v>
      </c>
      <c r="AQ506" s="77">
        <f>$AH506*tbl_Data[[#This Row],[2033 ]]</f>
        <v>2063.3381281636284</v>
      </c>
      <c r="AR506" s="77">
        <f>$AH506*tbl_Data[[#This Row],[2034 ]]</f>
        <v>2102.2989923596219</v>
      </c>
      <c r="AS506" s="77">
        <f>SUM(tbl_Data[[#This Row],[Adjusted 2025]:[Adjusted 2034]])</f>
        <v>18253.690101090793</v>
      </c>
      <c r="AT506" s="80">
        <f>AVERAGEIFS('3. Incentive Adjustment'!F:F,'3. Incentive Adjustment'!A:A,tbl_Data[[#This Row],[Trimmed Sector]],'3. Incentive Adjustment'!B:B,tbl_Data[[#This Row],[Trimmed Measure Name]])</f>
        <v>500</v>
      </c>
      <c r="AU506" s="80">
        <f>IFERROR(VLOOKUP(tbl_Data[[#This Row],[All_Meas_Name_Append]],'IRA Tax Credits'!$A$3:$D$46,4,0),0)</f>
        <v>0</v>
      </c>
      <c r="AV506" s="81">
        <f>tbl_Data[[#This Row],[Adj. per unit Incentive ($)]]/tbl_Data[[#This Row],[kWh Savings]]*tbl_Data[[#This Row],[Sum of Annuals]]</f>
        <v>1368.218482513267</v>
      </c>
      <c r="AW506" s="81" t="str">
        <f>IFERROR(VLOOKUP(tbl_Data[[#This Row],[Column1]],'1. Set Program Names'!$B$2:$D$15,3,0)*tbl_Data[[#This Row],[Sum of Annuals]],"")</f>
        <v/>
      </c>
      <c r="AX506" s="81">
        <f>tbl_Data[[#This Row],[per unit IRA tax ($)]]/tbl_Data[[#This Row],[kWh Savings]]*tbl_Data[[#This Row],[Sum of Annuals]]</f>
        <v>0</v>
      </c>
      <c r="AY506" s="81">
        <f>tbl_Data[[#This Row],[Avoided Costs ($/unit)]]/tbl_Data[[#This Row],[kWh Savings]]*tbl_Data[[#This Row],[Sum of Annuals]]</f>
        <v>9306.0958136275003</v>
      </c>
      <c r="AZ506" s="81">
        <f>tbl_Data[[#This Row],[Lost Revenue ($/unit)]]/tbl_Data[[#This Row],[kWh Savings]]*tbl_Data[[#This Row],[Sum of Annuals]]</f>
        <v>19825.699170138974</v>
      </c>
      <c r="BA506" s="81">
        <f>tbl_Data[[#This Row],[Incremental Cost ($/unit)]]/tbl_Data[[#This Row],[kWh Savings]]*tbl_Data[[#This Row],[Sum of Annuals]]</f>
        <v>6653.9885350826462</v>
      </c>
      <c r="BB506" s="77">
        <f>ROUNDUP(tbl_Data[[#This Row],[Adjusted 2025]]/$L506,0)</f>
        <v>1</v>
      </c>
      <c r="BC506" s="77">
        <f>ROUNDUP(tbl_Data[[#This Row],[Adjusted 2026]]/$L506,0)</f>
        <v>1</v>
      </c>
      <c r="BD506" s="77">
        <f>ROUNDUP(tbl_Data[[#This Row],[Adjusted 2027]]/$L506,0)</f>
        <v>1</v>
      </c>
      <c r="BE506" s="77">
        <f>ROUNDUP(tbl_Data[[#This Row],[Adjusted 2028]]/$L506,0)</f>
        <v>1</v>
      </c>
      <c r="BF506" s="77">
        <f>ROUNDUP(tbl_Data[[#This Row],[Adjusted 2029]]/$L506,0)</f>
        <v>1</v>
      </c>
      <c r="BG506" s="77">
        <f>ROUNDUP(tbl_Data[[#This Row],[Adjusted 2030]]/$L506,0)</f>
        <v>1</v>
      </c>
      <c r="BH506" s="77">
        <f>ROUNDUP(tbl_Data[[#This Row],[Adjusted 2031]]/$L506,0)</f>
        <v>1</v>
      </c>
      <c r="BI506" s="77">
        <f>ROUNDUP(tbl_Data[[#This Row],[Adjusted 2032]]/$L506,0)</f>
        <v>1</v>
      </c>
      <c r="BJ506" s="77">
        <f>ROUNDUP(tbl_Data[[#This Row],[Adjusted 2033]]/$L506,0)</f>
        <v>1</v>
      </c>
      <c r="BK506" s="77">
        <f>ROUNDUP(tbl_Data[[#This Row],[Adjusted 2034]]/$L506,0)</f>
        <v>1</v>
      </c>
      <c r="BL506" s="80">
        <f t="shared" si="210"/>
        <v>126.88832851006337</v>
      </c>
      <c r="BM506" s="80">
        <f t="shared" si="211"/>
        <v>139.53557028642626</v>
      </c>
      <c r="BN506" s="80">
        <f t="shared" si="212"/>
        <v>149.869215506545</v>
      </c>
      <c r="BO506" s="80">
        <f t="shared" si="213"/>
        <v>158.86004263372763</v>
      </c>
      <c r="BP506" s="80">
        <f t="shared" si="214"/>
        <v>166.55330320946254</v>
      </c>
      <c r="BQ506" s="80">
        <f t="shared" si="215"/>
        <v>172.88735150981537</v>
      </c>
      <c r="BR506" s="80">
        <f t="shared" si="216"/>
        <v>178.09808448043123</v>
      </c>
      <c r="BS506" s="80">
        <f t="shared" si="217"/>
        <v>182.68360048894021</v>
      </c>
      <c r="BT506" s="80">
        <f t="shared" si="218"/>
        <v>186.79166621126825</v>
      </c>
      <c r="BU506" s="80">
        <f t="shared" si="219"/>
        <v>190.31874916527619</v>
      </c>
      <c r="BV506" s="80" t="str">
        <f>IFERROR(VLOOKUP($H506,'1. Set Program Names'!$B$2:$D$15,3,0)*V506,"NA")</f>
        <v>NA</v>
      </c>
      <c r="BW506" s="80" t="str">
        <f>IFERROR(VLOOKUP($H506,'1. Set Program Names'!$B$2:$D$15,3,0)*W506,"NA")</f>
        <v>NA</v>
      </c>
      <c r="BX506" s="80" t="str">
        <f>IFERROR(VLOOKUP($H506,'1. Set Program Names'!$B$2:$D$15,3,0)*X506,"NA")</f>
        <v>NA</v>
      </c>
      <c r="BY506" s="80" t="str">
        <f>IFERROR(VLOOKUP($H506,'1. Set Program Names'!$B$2:$D$15,3,0)*Y506,"NA")</f>
        <v>NA</v>
      </c>
      <c r="BZ506" s="80" t="str">
        <f>IFERROR(VLOOKUP($H506,'1. Set Program Names'!$B$2:$D$15,3,0)*Z506,"NA")</f>
        <v>NA</v>
      </c>
      <c r="CA506" s="80" t="str">
        <f>IFERROR(VLOOKUP($H506,'1. Set Program Names'!$B$2:$D$15,3,0)*AA506,"NA")</f>
        <v>NA</v>
      </c>
      <c r="CB506" s="80" t="str">
        <f>IFERROR(VLOOKUP($H506,'1. Set Program Names'!$B$2:$D$15,3,0)*AB506,"NA")</f>
        <v>NA</v>
      </c>
      <c r="CC506" s="80" t="str">
        <f>IFERROR(VLOOKUP($H506,'1. Set Program Names'!$B$2:$D$15,3,0)*AC506,"NA")</f>
        <v>NA</v>
      </c>
      <c r="CD506" s="80" t="str">
        <f>IFERROR(VLOOKUP($H506,'1. Set Program Names'!$B$2:$D$15,3,0)*AD506,"NA")</f>
        <v>NA</v>
      </c>
      <c r="CE506" s="80" t="str">
        <f>IFERROR(VLOOKUP($H506,'1. Set Program Names'!$B$2:$D$15,3,0)*AE506,"NA")</f>
        <v>NA</v>
      </c>
    </row>
    <row r="507" spans="1:83" x14ac:dyDescent="0.25">
      <c r="A507" s="79" t="s">
        <v>87</v>
      </c>
      <c r="B507" s="79" t="s">
        <v>88</v>
      </c>
      <c r="C507" s="79" t="s">
        <v>122</v>
      </c>
      <c r="D507" s="79" t="s">
        <v>90</v>
      </c>
      <c r="E507" s="79" t="s">
        <v>91</v>
      </c>
      <c r="F507" s="79" t="s">
        <v>90</v>
      </c>
      <c r="G507" s="79" t="s">
        <v>92</v>
      </c>
      <c r="H507" s="79" t="s">
        <v>20</v>
      </c>
      <c r="I507" s="79" t="s">
        <v>145</v>
      </c>
      <c r="J507" s="79" t="s">
        <v>129</v>
      </c>
      <c r="K507" s="79" t="s">
        <v>98</v>
      </c>
      <c r="L507" s="79">
        <v>1452.1399999999801</v>
      </c>
      <c r="M507" s="79">
        <v>0.33467704377742202</v>
      </c>
      <c r="N507" s="79">
        <v>4.3977319526113799E-2</v>
      </c>
      <c r="O507" s="79">
        <v>654.99999999999898</v>
      </c>
      <c r="P507" s="79">
        <v>358.56061649158102</v>
      </c>
      <c r="Q507" s="79">
        <v>87.128399999999303</v>
      </c>
      <c r="R507" s="79">
        <v>761.15206993055403</v>
      </c>
      <c r="S507" s="79">
        <v>1577.19839843259</v>
      </c>
      <c r="T507" s="79">
        <v>15</v>
      </c>
      <c r="U507" s="79">
        <v>0.05</v>
      </c>
      <c r="V507" s="79">
        <f>tbl_Data_old[[#This Row],[2025 ]]*IFERROR(AVERAGEIFS('Participation Adjustment'!$C:$C,'Participation Adjustment'!$A:$A,$H507,'Participation Adjustment'!$B:$B,$I507),1)</f>
        <v>521.84423770522801</v>
      </c>
      <c r="W507" s="79">
        <f>tbl_Data_old[[#This Row],[2026 ]]*IFERROR(AVERAGEIFS('Participation Adjustment'!$C:$C,'Participation Adjustment'!$A:$A,$H507,'Participation Adjustment'!$B:$B,$I507),1)</f>
        <v>584.075436237139</v>
      </c>
      <c r="X507" s="79">
        <f>tbl_Data_old[[#This Row],[2027 ]]*IFERROR(AVERAGEIFS('Participation Adjustment'!$C:$C,'Participation Adjustment'!$A:$A,$H507,'Participation Adjustment'!$B:$B,$I507),1)</f>
        <v>639.45564585930504</v>
      </c>
      <c r="Y507" s="79">
        <f>tbl_Data_old[[#This Row],[2028 ]]*IFERROR(AVERAGEIFS('Participation Adjustment'!$C:$C,'Participation Adjustment'!$A:$A,$H507,'Participation Adjustment'!$B:$B,$I507),1)</f>
        <v>691.29675895867797</v>
      </c>
      <c r="Z507" s="79">
        <f>tbl_Data_old[[#This Row],[2029 ]]*IFERROR(AVERAGEIFS('Participation Adjustment'!$C:$C,'Participation Adjustment'!$A:$A,$H507,'Participation Adjustment'!$B:$B,$I507),1)</f>
        <v>739.27489648977496</v>
      </c>
      <c r="AA507" s="79">
        <f>tbl_Data_old[[#This Row],[2030 ]]*IFERROR(AVERAGEIFS('Participation Adjustment'!$C:$C,'Participation Adjustment'!$A:$A,$H507,'Participation Adjustment'!$B:$B,$I507),1)</f>
        <v>783.09436898384104</v>
      </c>
      <c r="AB507" s="79">
        <f>tbl_Data_old[[#This Row],[2031 ]]*IFERROR(AVERAGEIFS('Participation Adjustment'!$C:$C,'Participation Adjustment'!$A:$A,$H507,'Participation Adjustment'!$B:$B,$I507),1)</f>
        <v>823.23393641498797</v>
      </c>
      <c r="AC507" s="79">
        <f>tbl_Data_old[[#This Row],[2032 ]]*IFERROR(AVERAGEIFS('Participation Adjustment'!$C:$C,'Participation Adjustment'!$A:$A,$H507,'Participation Adjustment'!$B:$B,$I507),1)</f>
        <v>861.81606640575296</v>
      </c>
      <c r="AD507" s="79">
        <f>tbl_Data_old[[#This Row],[2033 ]]*IFERROR(AVERAGEIFS('Participation Adjustment'!$C:$C,'Participation Adjustment'!$A:$A,$H507,'Participation Adjustment'!$B:$B,$I507),1)</f>
        <v>899.81276913963404</v>
      </c>
      <c r="AE507" s="79">
        <f>tbl_Data_old[[#This Row],[2034 ]]*IFERROR(AVERAGEIFS('Participation Adjustment'!$C:$C,'Participation Adjustment'!$A:$A,$H507,'Participation Adjustment'!$B:$B,$I507),1)</f>
        <v>936.20250421979699</v>
      </c>
      <c r="AF507" s="77" t="str">
        <f t="shared" si="209"/>
        <v>NonResidential</v>
      </c>
      <c r="AG507" s="77" t="str">
        <f>tbl_Data[[#This Row],[All_Meas_Name_Append]]</f>
        <v>HE DX Less than 5.4 Tons Elect Heat</v>
      </c>
      <c r="AH507" s="77">
        <f>AVERAGEIFS('3. Incentive Adjustment'!G:G,'3. Incentive Adjustment'!A:A,tbl_Data[[#This Row],[Trimmed Sector]],'3. Incentive Adjustment'!B:B,tbl_Data[[#This Row],[Trimmed Measure Name]])</f>
        <v>0.74493198517309978</v>
      </c>
      <c r="AI507" s="77">
        <f>$AH507*tbl_Data[[#This Row],[2025 ]]</f>
        <v>388.73846394489846</v>
      </c>
      <c r="AJ507" s="77">
        <f>$AH507*tbl_Data[[#This Row],[2026 ]]</f>
        <v>435.09647420697621</v>
      </c>
      <c r="AK507" s="77">
        <f>$AH507*tbl_Data[[#This Row],[2027 ]]</f>
        <v>476.35096370011877</v>
      </c>
      <c r="AL507" s="77">
        <f>$AH507*tbl_Data[[#This Row],[2028 ]]</f>
        <v>514.96906699481781</v>
      </c>
      <c r="AM507" s="77">
        <f>$AH507*tbl_Data[[#This Row],[2029 ]]</f>
        <v>550.70951623076587</v>
      </c>
      <c r="AN507" s="77">
        <f>$AH507*tbl_Data[[#This Row],[2030 ]]</f>
        <v>583.35204286500857</v>
      </c>
      <c r="AO507" s="77">
        <f>$AH507*tbl_Data[[#This Row],[2031 ]]</f>
        <v>613.25329051548238</v>
      </c>
      <c r="AP507" s="77">
        <f>$AH507*tbl_Data[[#This Row],[2032 ]]</f>
        <v>641.99435320170949</v>
      </c>
      <c r="AQ507" s="77">
        <f>$AH507*tbl_Data[[#This Row],[2033 ]]</f>
        <v>670.29931239929169</v>
      </c>
      <c r="AR507" s="77">
        <f>$AH507*tbl_Data[[#This Row],[2034 ]]</f>
        <v>697.40718999248065</v>
      </c>
      <c r="AS507" s="77">
        <f>SUM(tbl_Data[[#This Row],[Adjusted 2025]:[Adjusted 2034]])</f>
        <v>5572.170674051551</v>
      </c>
      <c r="AT507" s="80">
        <f>AVERAGEIFS('3. Incentive Adjustment'!F:F,'3. Incentive Adjustment'!A:A,tbl_Data[[#This Row],[Trimmed Sector]],'3. Incentive Adjustment'!B:B,tbl_Data[[#This Row],[Trimmed Measure Name]])</f>
        <v>196.49999999999969</v>
      </c>
      <c r="AU507" s="80">
        <f>IFERROR(VLOOKUP(tbl_Data[[#This Row],[All_Meas_Name_Append]],'IRA Tax Credits'!$A$3:$D$46,4,0),0)</f>
        <v>0</v>
      </c>
      <c r="AV507" s="81">
        <f>tbl_Data[[#This Row],[Adj. per unit Incentive ($)]]/tbl_Data[[#This Row],[kWh Savings]]*tbl_Data[[#This Row],[Sum of Annuals]]</f>
        <v>754.01237997103794</v>
      </c>
      <c r="AW507" s="81" t="str">
        <f>IFERROR(VLOOKUP(tbl_Data[[#This Row],[Column1]],'1. Set Program Names'!$B$2:$D$15,3,0)*tbl_Data[[#This Row],[Sum of Annuals]],"")</f>
        <v/>
      </c>
      <c r="AX507" s="81">
        <f>tbl_Data[[#This Row],[per unit IRA tax ($)]]/tbl_Data[[#This Row],[kWh Savings]]*tbl_Data[[#This Row],[Sum of Annuals]]</f>
        <v>0</v>
      </c>
      <c r="AY507" s="81">
        <f>tbl_Data[[#This Row],[Avoided Costs ($/unit)]]/tbl_Data[[#This Row],[kWh Savings]]*tbl_Data[[#This Row],[Sum of Annuals]]</f>
        <v>2920.7027163777093</v>
      </c>
      <c r="AZ507" s="81">
        <f>tbl_Data[[#This Row],[Lost Revenue ($/unit)]]/tbl_Data[[#This Row],[kWh Savings]]*tbl_Data[[#This Row],[Sum of Annuals]]</f>
        <v>6052.0464024868625</v>
      </c>
      <c r="BA507" s="81">
        <f>tbl_Data[[#This Row],[Incremental Cost ($/unit)]]/tbl_Data[[#This Row],[kWh Savings]]*tbl_Data[[#This Row],[Sum of Annuals]]</f>
        <v>2513.37459990346</v>
      </c>
      <c r="BB507" s="77">
        <f>ROUNDUP(tbl_Data[[#This Row],[Adjusted 2025]]/$L507,0)</f>
        <v>1</v>
      </c>
      <c r="BC507" s="77">
        <f>ROUNDUP(tbl_Data[[#This Row],[Adjusted 2026]]/$L507,0)</f>
        <v>1</v>
      </c>
      <c r="BD507" s="77">
        <f>ROUNDUP(tbl_Data[[#This Row],[Adjusted 2027]]/$L507,0)</f>
        <v>1</v>
      </c>
      <c r="BE507" s="77">
        <f>ROUNDUP(tbl_Data[[#This Row],[Adjusted 2028]]/$L507,0)</f>
        <v>1</v>
      </c>
      <c r="BF507" s="77">
        <f>ROUNDUP(tbl_Data[[#This Row],[Adjusted 2029]]/$L507,0)</f>
        <v>1</v>
      </c>
      <c r="BG507" s="77">
        <f>ROUNDUP(tbl_Data[[#This Row],[Adjusted 2030]]/$L507,0)</f>
        <v>1</v>
      </c>
      <c r="BH507" s="77">
        <f>ROUNDUP(tbl_Data[[#This Row],[Adjusted 2031]]/$L507,0)</f>
        <v>1</v>
      </c>
      <c r="BI507" s="77">
        <f>ROUNDUP(tbl_Data[[#This Row],[Adjusted 2032]]/$L507,0)</f>
        <v>1</v>
      </c>
      <c r="BJ507" s="77">
        <f>ROUNDUP(tbl_Data[[#This Row],[Adjusted 2033]]/$L507,0)</f>
        <v>1</v>
      </c>
      <c r="BK507" s="77">
        <f>ROUNDUP(tbl_Data[[#This Row],[Adjusted 2034]]/$L507,0)</f>
        <v>1</v>
      </c>
      <c r="BL507" s="80">
        <f t="shared" si="210"/>
        <v>70.61467400462665</v>
      </c>
      <c r="BM507" s="80">
        <f t="shared" si="211"/>
        <v>79.035646164005669</v>
      </c>
      <c r="BN507" s="80">
        <f t="shared" si="212"/>
        <v>86.529559416691882</v>
      </c>
      <c r="BO507" s="80">
        <f t="shared" si="213"/>
        <v>93.544570864642424</v>
      </c>
      <c r="BP507" s="80">
        <f t="shared" si="214"/>
        <v>100.03685399496091</v>
      </c>
      <c r="BQ507" s="80">
        <f t="shared" si="215"/>
        <v>105.96639683868402</v>
      </c>
      <c r="BR507" s="80">
        <f t="shared" si="216"/>
        <v>111.39798401362616</v>
      </c>
      <c r="BS507" s="80">
        <f t="shared" si="217"/>
        <v>116.61882259887648</v>
      </c>
      <c r="BT507" s="80">
        <f t="shared" si="218"/>
        <v>121.76044261293004</v>
      </c>
      <c r="BU507" s="80">
        <f t="shared" si="219"/>
        <v>126.68461173109502</v>
      </c>
      <c r="BV507" s="80" t="str">
        <f>IFERROR(VLOOKUP($H507,'1. Set Program Names'!$B$2:$D$15,3,0)*V507,"NA")</f>
        <v>NA</v>
      </c>
      <c r="BW507" s="80" t="str">
        <f>IFERROR(VLOOKUP($H507,'1. Set Program Names'!$B$2:$D$15,3,0)*W507,"NA")</f>
        <v>NA</v>
      </c>
      <c r="BX507" s="80" t="str">
        <f>IFERROR(VLOOKUP($H507,'1. Set Program Names'!$B$2:$D$15,3,0)*X507,"NA")</f>
        <v>NA</v>
      </c>
      <c r="BY507" s="80" t="str">
        <f>IFERROR(VLOOKUP($H507,'1. Set Program Names'!$B$2:$D$15,3,0)*Y507,"NA")</f>
        <v>NA</v>
      </c>
      <c r="BZ507" s="80" t="str">
        <f>IFERROR(VLOOKUP($H507,'1. Set Program Names'!$B$2:$D$15,3,0)*Z507,"NA")</f>
        <v>NA</v>
      </c>
      <c r="CA507" s="80" t="str">
        <f>IFERROR(VLOOKUP($H507,'1. Set Program Names'!$B$2:$D$15,3,0)*AA507,"NA")</f>
        <v>NA</v>
      </c>
      <c r="CB507" s="80" t="str">
        <f>IFERROR(VLOOKUP($H507,'1. Set Program Names'!$B$2:$D$15,3,0)*AB507,"NA")</f>
        <v>NA</v>
      </c>
      <c r="CC507" s="80" t="str">
        <f>IFERROR(VLOOKUP($H507,'1. Set Program Names'!$B$2:$D$15,3,0)*AC507,"NA")</f>
        <v>NA</v>
      </c>
      <c r="CD507" s="80" t="str">
        <f>IFERROR(VLOOKUP($H507,'1. Set Program Names'!$B$2:$D$15,3,0)*AD507,"NA")</f>
        <v>NA</v>
      </c>
      <c r="CE507" s="80" t="str">
        <f>IFERROR(VLOOKUP($H507,'1. Set Program Names'!$B$2:$D$15,3,0)*AE507,"NA")</f>
        <v>NA</v>
      </c>
    </row>
    <row r="508" spans="1:83" x14ac:dyDescent="0.25">
      <c r="A508" s="79" t="s">
        <v>87</v>
      </c>
      <c r="B508" s="79" t="s">
        <v>88</v>
      </c>
      <c r="C508" s="79" t="s">
        <v>122</v>
      </c>
      <c r="D508" s="79" t="s">
        <v>90</v>
      </c>
      <c r="E508" s="79" t="s">
        <v>91</v>
      </c>
      <c r="F508" s="79" t="s">
        <v>90</v>
      </c>
      <c r="G508" s="79" t="s">
        <v>92</v>
      </c>
      <c r="H508" s="79" t="s">
        <v>20</v>
      </c>
      <c r="I508" s="79" t="s">
        <v>154</v>
      </c>
      <c r="J508" s="79" t="s">
        <v>129</v>
      </c>
      <c r="K508" s="79" t="s">
        <v>102</v>
      </c>
      <c r="L508" s="79">
        <v>111105.09249999899</v>
      </c>
      <c r="M508" s="79">
        <v>30.6532165911823</v>
      </c>
      <c r="N508" s="79">
        <v>0</v>
      </c>
      <c r="O508" s="79">
        <v>40257.675000000003</v>
      </c>
      <c r="P508" s="79">
        <v>17605.607636663401</v>
      </c>
      <c r="Q508" s="79">
        <v>6666.30554999998</v>
      </c>
      <c r="R508" s="79">
        <v>56706.982631731698</v>
      </c>
      <c r="S508" s="79">
        <v>120673.47084214</v>
      </c>
      <c r="T508" s="79">
        <v>15</v>
      </c>
      <c r="U508" s="79">
        <v>0.05</v>
      </c>
      <c r="V508" s="79">
        <f>tbl_Data_old[[#This Row],[2025 ]]*IFERROR(AVERAGEIFS('Participation Adjustment'!$C:$C,'Participation Adjustment'!$A:$A,$H508,'Participation Adjustment'!$B:$B,$I508),1)</f>
        <v>7.4716635380663696</v>
      </c>
      <c r="W508" s="79">
        <f>tbl_Data_old[[#This Row],[2026 ]]*IFERROR(AVERAGEIFS('Participation Adjustment'!$C:$C,'Participation Adjustment'!$A:$A,$H508,'Participation Adjustment'!$B:$B,$I508),1)</f>
        <v>7.49847816933117</v>
      </c>
      <c r="X508" s="79">
        <f>tbl_Data_old[[#This Row],[2027 ]]*IFERROR(AVERAGEIFS('Participation Adjustment'!$C:$C,'Participation Adjustment'!$A:$A,$H508,'Participation Adjustment'!$B:$B,$I508),1)</f>
        <v>7.5530280313722296</v>
      </c>
      <c r="Y508" s="79">
        <f>tbl_Data_old[[#This Row],[2028 ]]*IFERROR(AVERAGEIFS('Participation Adjustment'!$C:$C,'Participation Adjustment'!$A:$A,$H508,'Participation Adjustment'!$B:$B,$I508),1)</f>
        <v>7.6228358957210203</v>
      </c>
      <c r="Z508" s="79">
        <f>tbl_Data_old[[#This Row],[2029 ]]*IFERROR(AVERAGEIFS('Participation Adjustment'!$C:$C,'Participation Adjustment'!$A:$A,$H508,'Participation Adjustment'!$B:$B,$I508),1)</f>
        <v>7.6696610929655398</v>
      </c>
      <c r="AA508" s="79">
        <f>tbl_Data_old[[#This Row],[2030 ]]*IFERROR(AVERAGEIFS('Participation Adjustment'!$C:$C,'Participation Adjustment'!$A:$A,$H508,'Participation Adjustment'!$B:$B,$I508),1)</f>
        <v>7.7153548969551498</v>
      </c>
      <c r="AB508" s="79">
        <f>tbl_Data_old[[#This Row],[2031 ]]*IFERROR(AVERAGEIFS('Participation Adjustment'!$C:$C,'Participation Adjustment'!$A:$A,$H508,'Participation Adjustment'!$B:$B,$I508),1)</f>
        <v>7.7302925601724102</v>
      </c>
      <c r="AC508" s="79">
        <f>tbl_Data_old[[#This Row],[2032 ]]*IFERROR(AVERAGEIFS('Participation Adjustment'!$C:$C,'Participation Adjustment'!$A:$A,$H508,'Participation Adjustment'!$B:$B,$I508),1)</f>
        <v>7.7355881521616396</v>
      </c>
      <c r="AD508" s="79">
        <f>tbl_Data_old[[#This Row],[2033 ]]*IFERROR(AVERAGEIFS('Participation Adjustment'!$C:$C,'Participation Adjustment'!$A:$A,$H508,'Participation Adjustment'!$B:$B,$I508),1)</f>
        <v>7.7805122680407504</v>
      </c>
      <c r="AE508" s="79">
        <f>tbl_Data_old[[#This Row],[2034 ]]*IFERROR(AVERAGEIFS('Participation Adjustment'!$C:$C,'Participation Adjustment'!$A:$A,$H508,'Participation Adjustment'!$B:$B,$I508),1)</f>
        <v>7.8062541978031197</v>
      </c>
      <c r="AF508" s="77" t="str">
        <f t="shared" si="209"/>
        <v>NonResidential</v>
      </c>
      <c r="AG508" s="77" t="str">
        <f>tbl_Data[[#This Row],[All_Meas_Name_Append]]</f>
        <v>Reflective Roof Treatment</v>
      </c>
      <c r="AH508" s="77">
        <f>AVERAGEIFS('3. Incentive Adjustment'!G:G,'3. Incentive Adjustment'!A:A,tbl_Data[[#This Row],[Trimmed Sector]],'3. Incentive Adjustment'!B:B,tbl_Data[[#This Row],[Trimmed Measure Name]])</f>
        <v>0.87696681614875649</v>
      </c>
      <c r="AI508" s="77">
        <f>$AH508*tbl_Data[[#This Row],[2025 ]]</f>
        <v>6.5524009843128175</v>
      </c>
      <c r="AJ508" s="77">
        <f>$AH508*tbl_Data[[#This Row],[2026 ]]</f>
        <v>6.575916526119312</v>
      </c>
      <c r="AK508" s="77">
        <f>$AH508*tbl_Data[[#This Row],[2027 ]]</f>
        <v>6.6237549449548139</v>
      </c>
      <c r="AL508" s="77">
        <f>$AH508*tbl_Data[[#This Row],[2028 ]]</f>
        <v>6.6849741254949171</v>
      </c>
      <c r="AM508" s="77">
        <f>$AH508*tbl_Data[[#This Row],[2029 ]]</f>
        <v>6.7260382696379812</v>
      </c>
      <c r="AN508" s="77">
        <f>$AH508*tbl_Data[[#This Row],[2030 ]]</f>
        <v>6.766110219440475</v>
      </c>
      <c r="AO508" s="77">
        <f>$AH508*tbl_Data[[#This Row],[2031 ]]</f>
        <v>6.7792100543928182</v>
      </c>
      <c r="AP508" s="77">
        <f>$AH508*tbl_Data[[#This Row],[2032 ]]</f>
        <v>6.7838541128392356</v>
      </c>
      <c r="AQ508" s="77">
        <f>$AH508*tbl_Data[[#This Row],[2033 ]]</f>
        <v>6.823251071710037</v>
      </c>
      <c r="AR508" s="77">
        <f>$AH508*tbl_Data[[#This Row],[2034 ]]</f>
        <v>6.8458258898952673</v>
      </c>
      <c r="AS508" s="77">
        <f>SUM(tbl_Data[[#This Row],[Adjusted 2025]:[Adjusted 2034]])</f>
        <v>67.161336198797684</v>
      </c>
      <c r="AT508" s="80">
        <f>AVERAGEIFS('3. Incentive Adjustment'!F:F,'3. Incentive Adjustment'!A:A,tbl_Data[[#This Row],[Trimmed Sector]],'3. Incentive Adjustment'!B:B,tbl_Data[[#This Row],[Trimmed Measure Name]])</f>
        <v>12077.302499999998</v>
      </c>
      <c r="AU508" s="80">
        <f>IFERROR(VLOOKUP(tbl_Data[[#This Row],[All_Meas_Name_Append]],'IRA Tax Credits'!$A$3:$D$46,4,0),0)</f>
        <v>0</v>
      </c>
      <c r="AV508" s="81">
        <f>tbl_Data[[#This Row],[Adj. per unit Incentive ($)]]/tbl_Data[[#This Row],[kWh Savings]]*tbl_Data[[#This Row],[Sum of Annuals]]</f>
        <v>7.3005454144875221</v>
      </c>
      <c r="AW508" s="81" t="str">
        <f>IFERROR(VLOOKUP(tbl_Data[[#This Row],[Column1]],'1. Set Program Names'!$B$2:$D$15,3,0)*tbl_Data[[#This Row],[Sum of Annuals]],"")</f>
        <v/>
      </c>
      <c r="AX508" s="81">
        <f>tbl_Data[[#This Row],[per unit IRA tax ($)]]/tbl_Data[[#This Row],[kWh Savings]]*tbl_Data[[#This Row],[Sum of Annuals]]</f>
        <v>0</v>
      </c>
      <c r="AY508" s="81">
        <f>tbl_Data[[#This Row],[Avoided Costs ($/unit)]]/tbl_Data[[#This Row],[kWh Savings]]*tbl_Data[[#This Row],[Sum of Annuals]]</f>
        <v>34.278507309187006</v>
      </c>
      <c r="AZ508" s="81">
        <f>tbl_Data[[#This Row],[Lost Revenue ($/unit)]]/tbl_Data[[#This Row],[kWh Savings]]*tbl_Data[[#This Row],[Sum of Annuals]]</f>
        <v>72.945275172736544</v>
      </c>
      <c r="BA508" s="81">
        <f>tbl_Data[[#This Row],[Incremental Cost ($/unit)]]/tbl_Data[[#This Row],[kWh Savings]]*tbl_Data[[#This Row],[Sum of Annuals]]</f>
        <v>24.335151381625082</v>
      </c>
      <c r="BB508" s="77">
        <f>ROUNDUP(tbl_Data[[#This Row],[Adjusted 2025]]/$L508,0)</f>
        <v>1</v>
      </c>
      <c r="BC508" s="77">
        <f>ROUNDUP(tbl_Data[[#This Row],[Adjusted 2026]]/$L508,0)</f>
        <v>1</v>
      </c>
      <c r="BD508" s="77">
        <f>ROUNDUP(tbl_Data[[#This Row],[Adjusted 2027]]/$L508,0)</f>
        <v>1</v>
      </c>
      <c r="BE508" s="77">
        <f>ROUNDUP(tbl_Data[[#This Row],[Adjusted 2028]]/$L508,0)</f>
        <v>1</v>
      </c>
      <c r="BF508" s="77">
        <f>ROUNDUP(tbl_Data[[#This Row],[Adjusted 2029]]/$L508,0)</f>
        <v>1</v>
      </c>
      <c r="BG508" s="77">
        <f>ROUNDUP(tbl_Data[[#This Row],[Adjusted 2030]]/$L508,0)</f>
        <v>1</v>
      </c>
      <c r="BH508" s="77">
        <f>ROUNDUP(tbl_Data[[#This Row],[Adjusted 2031]]/$L508,0)</f>
        <v>1</v>
      </c>
      <c r="BI508" s="77">
        <f>ROUNDUP(tbl_Data[[#This Row],[Adjusted 2032]]/$L508,0)</f>
        <v>1</v>
      </c>
      <c r="BJ508" s="77">
        <f>ROUNDUP(tbl_Data[[#This Row],[Adjusted 2033]]/$L508,0)</f>
        <v>1</v>
      </c>
      <c r="BK508" s="77">
        <f>ROUNDUP(tbl_Data[[#This Row],[Adjusted 2034]]/$L508,0)</f>
        <v>1</v>
      </c>
      <c r="BL508" s="80">
        <f t="shared" si="210"/>
        <v>0.81218186040796125</v>
      </c>
      <c r="BM508" s="80">
        <f t="shared" si="211"/>
        <v>0.81509665401394249</v>
      </c>
      <c r="BN508" s="80">
        <f t="shared" si="212"/>
        <v>0.821026311875513</v>
      </c>
      <c r="BO508" s="80">
        <f t="shared" si="213"/>
        <v>0.82861453916238847</v>
      </c>
      <c r="BP508" s="80">
        <f t="shared" si="214"/>
        <v>0.83370451351927255</v>
      </c>
      <c r="BQ508" s="80">
        <f t="shared" si="215"/>
        <v>0.83867150360713216</v>
      </c>
      <c r="BR508" s="80">
        <f t="shared" si="216"/>
        <v>0.84029525165736652</v>
      </c>
      <c r="BS508" s="80">
        <f t="shared" si="217"/>
        <v>0.84087089103564705</v>
      </c>
      <c r="BT508" s="80">
        <f t="shared" si="218"/>
        <v>0.84575421478624002</v>
      </c>
      <c r="BU508" s="80">
        <f t="shared" si="219"/>
        <v>0.8485524040112199</v>
      </c>
      <c r="BV508" s="80" t="str">
        <f>IFERROR(VLOOKUP($H508,'1. Set Program Names'!$B$2:$D$15,3,0)*V508,"NA")</f>
        <v>NA</v>
      </c>
      <c r="BW508" s="80" t="str">
        <f>IFERROR(VLOOKUP($H508,'1. Set Program Names'!$B$2:$D$15,3,0)*W508,"NA")</f>
        <v>NA</v>
      </c>
      <c r="BX508" s="80" t="str">
        <f>IFERROR(VLOOKUP($H508,'1. Set Program Names'!$B$2:$D$15,3,0)*X508,"NA")</f>
        <v>NA</v>
      </c>
      <c r="BY508" s="80" t="str">
        <f>IFERROR(VLOOKUP($H508,'1. Set Program Names'!$B$2:$D$15,3,0)*Y508,"NA")</f>
        <v>NA</v>
      </c>
      <c r="BZ508" s="80" t="str">
        <f>IFERROR(VLOOKUP($H508,'1. Set Program Names'!$B$2:$D$15,3,0)*Z508,"NA")</f>
        <v>NA</v>
      </c>
      <c r="CA508" s="80" t="str">
        <f>IFERROR(VLOOKUP($H508,'1. Set Program Names'!$B$2:$D$15,3,0)*AA508,"NA")</f>
        <v>NA</v>
      </c>
      <c r="CB508" s="80" t="str">
        <f>IFERROR(VLOOKUP($H508,'1. Set Program Names'!$B$2:$D$15,3,0)*AB508,"NA")</f>
        <v>NA</v>
      </c>
      <c r="CC508" s="80" t="str">
        <f>IFERROR(VLOOKUP($H508,'1. Set Program Names'!$B$2:$D$15,3,0)*AC508,"NA")</f>
        <v>NA</v>
      </c>
      <c r="CD508" s="80" t="str">
        <f>IFERROR(VLOOKUP($H508,'1. Set Program Names'!$B$2:$D$15,3,0)*AD508,"NA")</f>
        <v>NA</v>
      </c>
      <c r="CE508" s="80" t="str">
        <f>IFERROR(VLOOKUP($H508,'1. Set Program Names'!$B$2:$D$15,3,0)*AE508,"NA")</f>
        <v>NA</v>
      </c>
    </row>
    <row r="509" spans="1:83" x14ac:dyDescent="0.25">
      <c r="A509" s="79" t="s">
        <v>87</v>
      </c>
      <c r="B509" s="79" t="s">
        <v>88</v>
      </c>
      <c r="C509" s="79" t="s">
        <v>122</v>
      </c>
      <c r="D509" s="79" t="s">
        <v>90</v>
      </c>
      <c r="E509" s="79" t="s">
        <v>91</v>
      </c>
      <c r="F509" s="79" t="s">
        <v>90</v>
      </c>
      <c r="G509" s="79" t="s">
        <v>92</v>
      </c>
      <c r="H509" s="79" t="s">
        <v>20</v>
      </c>
      <c r="I509" s="79" t="s">
        <v>155</v>
      </c>
      <c r="J509" s="79" t="s">
        <v>129</v>
      </c>
      <c r="K509" s="79" t="s">
        <v>102</v>
      </c>
      <c r="L509" s="79">
        <v>1193.02</v>
      </c>
      <c r="M509" s="79">
        <v>0.274776433335365</v>
      </c>
      <c r="N509" s="79">
        <v>0.10441874276921487</v>
      </c>
      <c r="O509" s="79">
        <f>8423.99999999998/36663.4359999998*1193.02</f>
        <v>274.11507421181233</v>
      </c>
      <c r="P509" s="79">
        <f>3224.30667036527/36663.4359999998*1193.02</f>
        <v>104.91821726363004</v>
      </c>
      <c r="Q509" s="79">
        <f>1305.20713755829/36663.4359999998*1193.02</f>
        <v>42.471148073786637</v>
      </c>
      <c r="R509" s="79">
        <f>14915.0733686122/36663.4359999998*1193.02</f>
        <v>485.33314854128304</v>
      </c>
      <c r="S509" s="79">
        <f>32320.5298576745/36663.4359999998*1193.02</f>
        <v>1051.702806327346</v>
      </c>
      <c r="T509" s="79">
        <v>11</v>
      </c>
      <c r="U509" s="79">
        <v>0.05</v>
      </c>
      <c r="V509" s="79">
        <f>tbl_Data_old[[#This Row],[2025 ]]*IFERROR(AVERAGEIFS('Participation Adjustment'!$C:$C,'Participation Adjustment'!$A:$A,$H509,'Participation Adjustment'!$B:$B,$I509),1)</f>
        <v>6991.8124319508197</v>
      </c>
      <c r="W509" s="79">
        <f>tbl_Data_old[[#This Row],[2026 ]]*IFERROR(AVERAGEIFS('Participation Adjustment'!$C:$C,'Participation Adjustment'!$A:$A,$H509,'Participation Adjustment'!$B:$B,$I509),1)</f>
        <v>5823.91295079876</v>
      </c>
      <c r="X509" s="79">
        <f>tbl_Data_old[[#This Row],[2027 ]]*IFERROR(AVERAGEIFS('Participation Adjustment'!$C:$C,'Participation Adjustment'!$A:$A,$H509,'Participation Adjustment'!$B:$B,$I509),1)</f>
        <v>4810.9652537072898</v>
      </c>
      <c r="Y509" s="79">
        <f>tbl_Data_old[[#This Row],[2028 ]]*IFERROR(AVERAGEIFS('Participation Adjustment'!$C:$C,'Participation Adjustment'!$A:$A,$H509,'Participation Adjustment'!$B:$B,$I509),1)</f>
        <v>3978.6395580765902</v>
      </c>
      <c r="Z509" s="79">
        <f>tbl_Data_old[[#This Row],[2029 ]]*IFERROR(AVERAGEIFS('Participation Adjustment'!$C:$C,'Participation Adjustment'!$A:$A,$H509,'Participation Adjustment'!$B:$B,$I509),1)</f>
        <v>3296.2056298477701</v>
      </c>
      <c r="AA509" s="79">
        <f>tbl_Data_old[[#This Row],[2030 ]]*IFERROR(AVERAGEIFS('Participation Adjustment'!$C:$C,'Participation Adjustment'!$A:$A,$H509,'Participation Adjustment'!$B:$B,$I509),1)</f>
        <v>2735.28583350398</v>
      </c>
      <c r="AB509" s="79">
        <f>tbl_Data_old[[#This Row],[2031 ]]*IFERROR(AVERAGEIFS('Participation Adjustment'!$C:$C,'Participation Adjustment'!$A:$A,$H509,'Participation Adjustment'!$B:$B,$I509),1)</f>
        <v>2277.3373682188299</v>
      </c>
      <c r="AC509" s="79">
        <f>tbl_Data_old[[#This Row],[2032 ]]*IFERROR(AVERAGEIFS('Participation Adjustment'!$C:$C,'Participation Adjustment'!$A:$A,$H509,'Participation Adjustment'!$B:$B,$I509),1)</f>
        <v>1907.9030859500299</v>
      </c>
      <c r="AD509" s="79">
        <f>tbl_Data_old[[#This Row],[2033 ]]*IFERROR(AVERAGEIFS('Participation Adjustment'!$C:$C,'Participation Adjustment'!$A:$A,$H509,'Participation Adjustment'!$B:$B,$I509),1)</f>
        <v>1612.93986328804</v>
      </c>
      <c r="AE509" s="79">
        <f>tbl_Data_old[[#This Row],[2034 ]]*IFERROR(AVERAGEIFS('Participation Adjustment'!$C:$C,'Participation Adjustment'!$A:$A,$H509,'Participation Adjustment'!$B:$B,$I509),1)</f>
        <v>1374.05208127026</v>
      </c>
      <c r="AF509" s="77" t="str">
        <f t="shared" si="209"/>
        <v>NonResidential</v>
      </c>
      <c r="AG509" s="77" t="str">
        <f>tbl_Data[[#This Row],[All_Meas_Name_Append]]</f>
        <v>Smart thermostat</v>
      </c>
      <c r="AH509" s="77">
        <f>AVERAGEIFS('3. Incentive Adjustment'!G:G,'3. Incentive Adjustment'!A:A,tbl_Data[[#This Row],[Trimmed Sector]],'3. Incentive Adjustment'!B:B,tbl_Data[[#This Row],[Trimmed Measure Name]])</f>
        <v>0.87546479230069263</v>
      </c>
      <c r="AI509" s="77">
        <f>$AH509*tbl_Data[[#This Row],[2025 ]]</f>
        <v>6121.0856185432249</v>
      </c>
      <c r="AJ509" s="77">
        <f>$AH509*tbl_Data[[#This Row],[2026 ]]</f>
        <v>5098.6307418483502</v>
      </c>
      <c r="AK509" s="77">
        <f>$AH509*tbl_Data[[#This Row],[2027 ]]</f>
        <v>4211.8306966027012</v>
      </c>
      <c r="AL509" s="77">
        <f>$AH509*tbl_Data[[#This Row],[2028 ]]</f>
        <v>3483.1588543508415</v>
      </c>
      <c r="AM509" s="77">
        <f>$AH509*tbl_Data[[#This Row],[2029 ]]</f>
        <v>2885.7119771150519</v>
      </c>
      <c r="AN509" s="77">
        <f>$AH509*tbl_Data[[#This Row],[2030 ]]</f>
        <v>2394.6464441115886</v>
      </c>
      <c r="AO509" s="77">
        <f>$AH509*tbl_Data[[#This Row],[2031 ]]</f>
        <v>1993.7286860663039</v>
      </c>
      <c r="AP509" s="77">
        <f>$AH509*tbl_Data[[#This Row],[2032 ]]</f>
        <v>1670.3019788710935</v>
      </c>
      <c r="AQ509" s="77">
        <f>$AH509*tbl_Data[[#This Row],[2033 ]]</f>
        <v>1412.0720624069716</v>
      </c>
      <c r="AR509" s="77">
        <f>$AH509*tbl_Data[[#This Row],[2034 ]]</f>
        <v>1202.9342199396026</v>
      </c>
      <c r="AS509" s="77">
        <f>SUM(tbl_Data[[#This Row],[Adjusted 2025]:[Adjusted 2034]])</f>
        <v>30474.101279855731</v>
      </c>
      <c r="AT509" s="80">
        <f>AVERAGEIFS('3. Incentive Adjustment'!F:F,'3. Incentive Adjustment'!A:A,tbl_Data[[#This Row],[Trimmed Sector]],'3. Incentive Adjustment'!B:B,tbl_Data[[#This Row],[Trimmed Measure Name]])</f>
        <v>50</v>
      </c>
      <c r="AU509" s="80">
        <f>IFERROR(VLOOKUP(tbl_Data[[#This Row],[All_Meas_Name_Append]],'IRA Tax Credits'!$A$3:$D$46,4,0),0)</f>
        <v>0</v>
      </c>
      <c r="AV509" s="81">
        <f>tbl_Data[[#This Row],[Adj. per unit Incentive ($)]]/tbl_Data[[#This Row],[kWh Savings]]*tbl_Data[[#This Row],[Sum of Annuals]]</f>
        <v>1277.1831687589365</v>
      </c>
      <c r="AW509" s="81" t="str">
        <f>IFERROR(VLOOKUP(tbl_Data[[#This Row],[Column1]],'1. Set Program Names'!$B$2:$D$15,3,0)*tbl_Data[[#This Row],[Sum of Annuals]],"")</f>
        <v/>
      </c>
      <c r="AX509" s="81">
        <f>tbl_Data[[#This Row],[per unit IRA tax ($)]]/tbl_Data[[#This Row],[kWh Savings]]*tbl_Data[[#This Row],[Sum of Annuals]]</f>
        <v>0</v>
      </c>
      <c r="AY509" s="81">
        <f>tbl_Data[[#This Row],[Avoided Costs ($/unit)]]/tbl_Data[[#This Row],[kWh Savings]]*tbl_Data[[#This Row],[Sum of Annuals]]</f>
        <v>12397.186571154152</v>
      </c>
      <c r="AZ509" s="81">
        <f>tbl_Data[[#This Row],[Lost Revenue ($/unit)]]/tbl_Data[[#This Row],[kWh Savings]]*tbl_Data[[#This Row],[Sum of Annuals]]</f>
        <v>26864.342455556522</v>
      </c>
      <c r="BA509" s="81">
        <f>tbl_Data[[#This Row],[Incremental Cost ($/unit)]]/tbl_Data[[#This Row],[kWh Savings]]*tbl_Data[[#This Row],[Sum of Annuals]]</f>
        <v>7001.9031817286714</v>
      </c>
      <c r="BB509" s="77">
        <f>ROUNDUP(tbl_Data[[#This Row],[Adjusted 2025]]/$L509,0)</f>
        <v>6</v>
      </c>
      <c r="BC509" s="77">
        <f>ROUNDUP(tbl_Data[[#This Row],[Adjusted 2026]]/$L509,0)</f>
        <v>5</v>
      </c>
      <c r="BD509" s="77">
        <f>ROUNDUP(tbl_Data[[#This Row],[Adjusted 2027]]/$L509,0)</f>
        <v>4</v>
      </c>
      <c r="BE509" s="77">
        <f>ROUNDUP(tbl_Data[[#This Row],[Adjusted 2028]]/$L509,0)</f>
        <v>3</v>
      </c>
      <c r="BF509" s="77">
        <f>ROUNDUP(tbl_Data[[#This Row],[Adjusted 2029]]/$L509,0)</f>
        <v>3</v>
      </c>
      <c r="BG509" s="77">
        <f>ROUNDUP(tbl_Data[[#This Row],[Adjusted 2030]]/$L509,0)</f>
        <v>3</v>
      </c>
      <c r="BH509" s="77">
        <f>ROUNDUP(tbl_Data[[#This Row],[Adjusted 2031]]/$L509,0)</f>
        <v>2</v>
      </c>
      <c r="BI509" s="77">
        <f>ROUNDUP(tbl_Data[[#This Row],[Adjusted 2032]]/$L509,0)</f>
        <v>2</v>
      </c>
      <c r="BJ509" s="77">
        <f>ROUNDUP(tbl_Data[[#This Row],[Adjusted 2033]]/$L509,0)</f>
        <v>2</v>
      </c>
      <c r="BK509" s="77">
        <f>ROUNDUP(tbl_Data[[#This Row],[Adjusted 2034]]/$L509,0)</f>
        <v>2</v>
      </c>
      <c r="BL509" s="80">
        <f t="shared" si="210"/>
        <v>293.0299756898803</v>
      </c>
      <c r="BM509" s="80">
        <f t="shared" si="211"/>
        <v>244.08278783250742</v>
      </c>
      <c r="BN509" s="80">
        <f t="shared" si="212"/>
        <v>201.62969831634382</v>
      </c>
      <c r="BO509" s="80">
        <f t="shared" si="213"/>
        <v>166.74655739537437</v>
      </c>
      <c r="BP509" s="80">
        <f t="shared" si="214"/>
        <v>138.14544726189712</v>
      </c>
      <c r="BQ509" s="80">
        <f t="shared" si="215"/>
        <v>114.63704856180031</v>
      </c>
      <c r="BR509" s="80">
        <f t="shared" si="216"/>
        <v>95.444224246820255</v>
      </c>
      <c r="BS509" s="80">
        <f t="shared" si="217"/>
        <v>79.961068798093493</v>
      </c>
      <c r="BT509" s="80">
        <f t="shared" si="218"/>
        <v>67.599028653670516</v>
      </c>
      <c r="BU509" s="80">
        <f t="shared" si="219"/>
        <v>57.587135222806829</v>
      </c>
      <c r="BV509" s="80" t="str">
        <f>IFERROR(VLOOKUP($H509,'1. Set Program Names'!$B$2:$D$15,3,0)*V509,"NA")</f>
        <v>NA</v>
      </c>
      <c r="BW509" s="80" t="str">
        <f>IFERROR(VLOOKUP($H509,'1. Set Program Names'!$B$2:$D$15,3,0)*W509,"NA")</f>
        <v>NA</v>
      </c>
      <c r="BX509" s="80" t="str">
        <f>IFERROR(VLOOKUP($H509,'1. Set Program Names'!$B$2:$D$15,3,0)*X509,"NA")</f>
        <v>NA</v>
      </c>
      <c r="BY509" s="80" t="str">
        <f>IFERROR(VLOOKUP($H509,'1. Set Program Names'!$B$2:$D$15,3,0)*Y509,"NA")</f>
        <v>NA</v>
      </c>
      <c r="BZ509" s="80" t="str">
        <f>IFERROR(VLOOKUP($H509,'1. Set Program Names'!$B$2:$D$15,3,0)*Z509,"NA")</f>
        <v>NA</v>
      </c>
      <c r="CA509" s="80" t="str">
        <f>IFERROR(VLOOKUP($H509,'1. Set Program Names'!$B$2:$D$15,3,0)*AA509,"NA")</f>
        <v>NA</v>
      </c>
      <c r="CB509" s="80" t="str">
        <f>IFERROR(VLOOKUP($H509,'1. Set Program Names'!$B$2:$D$15,3,0)*AB509,"NA")</f>
        <v>NA</v>
      </c>
      <c r="CC509" s="80" t="str">
        <f>IFERROR(VLOOKUP($H509,'1. Set Program Names'!$B$2:$D$15,3,0)*AC509,"NA")</f>
        <v>NA</v>
      </c>
      <c r="CD509" s="80" t="str">
        <f>IFERROR(VLOOKUP($H509,'1. Set Program Names'!$B$2:$D$15,3,0)*AD509,"NA")</f>
        <v>NA</v>
      </c>
      <c r="CE509" s="80" t="str">
        <f>IFERROR(VLOOKUP($H509,'1. Set Program Names'!$B$2:$D$15,3,0)*AE509,"NA")</f>
        <v>NA</v>
      </c>
    </row>
    <row r="510" spans="1:83" x14ac:dyDescent="0.25">
      <c r="A510" s="79" t="s">
        <v>87</v>
      </c>
      <c r="B510" s="79" t="s">
        <v>88</v>
      </c>
      <c r="C510" s="79" t="s">
        <v>122</v>
      </c>
      <c r="D510" s="79" t="s">
        <v>90</v>
      </c>
      <c r="E510" s="79" t="s">
        <v>91</v>
      </c>
      <c r="F510" s="79" t="s">
        <v>90</v>
      </c>
      <c r="G510" s="79" t="s">
        <v>92</v>
      </c>
      <c r="H510" s="79" t="s">
        <v>20</v>
      </c>
      <c r="I510" s="79" t="s">
        <v>305</v>
      </c>
      <c r="J510" s="79" t="s">
        <v>129</v>
      </c>
      <c r="K510" s="79" t="s">
        <v>306</v>
      </c>
      <c r="L510" s="79">
        <v>1181.58666666666</v>
      </c>
      <c r="M510" s="79">
        <v>0.32580149205424902</v>
      </c>
      <c r="N510" s="79">
        <v>0</v>
      </c>
      <c r="O510" s="79">
        <v>442.61899981344197</v>
      </c>
      <c r="P510" s="79">
        <v>13015.025349926</v>
      </c>
      <c r="Q510" s="79">
        <v>70.895199999999903</v>
      </c>
      <c r="R510" s="79">
        <v>484.68312470825703</v>
      </c>
      <c r="S510" s="79">
        <v>971.92143438909795</v>
      </c>
      <c r="T510" s="79">
        <v>10</v>
      </c>
      <c r="U510" s="79">
        <v>0.05</v>
      </c>
      <c r="V510" s="79">
        <f>tbl_Data_old[[#This Row],[2025 ]]*IFERROR(AVERAGEIFS('Participation Adjustment'!$C:$C,'Participation Adjustment'!$A:$A,$H510,'Participation Adjustment'!$B:$B,$I510),1)</f>
        <v>312.67497149635398</v>
      </c>
      <c r="W510" s="79">
        <f>tbl_Data_old[[#This Row],[2026 ]]*IFERROR(AVERAGEIFS('Participation Adjustment'!$C:$C,'Participation Adjustment'!$A:$A,$H510,'Participation Adjustment'!$B:$B,$I510),1)</f>
        <v>262.73234084633998</v>
      </c>
      <c r="X510" s="79">
        <f>tbl_Data_old[[#This Row],[2027 ]]*IFERROR(AVERAGEIFS('Participation Adjustment'!$C:$C,'Participation Adjustment'!$A:$A,$H510,'Participation Adjustment'!$B:$B,$I510),1)</f>
        <v>219.77950987116199</v>
      </c>
      <c r="Y510" s="79">
        <f>tbl_Data_old[[#This Row],[2028 ]]*IFERROR(AVERAGEIFS('Participation Adjustment'!$C:$C,'Participation Adjustment'!$A:$A,$H510,'Participation Adjustment'!$B:$B,$I510),1)</f>
        <v>184.66564883957599</v>
      </c>
      <c r="Z510" s="79">
        <f>tbl_Data_old[[#This Row],[2029 ]]*IFERROR(AVERAGEIFS('Participation Adjustment'!$C:$C,'Participation Adjustment'!$A:$A,$H510,'Participation Adjustment'!$B:$B,$I510),1)</f>
        <v>155.883022246492</v>
      </c>
      <c r="AA510" s="79">
        <f>tbl_Data_old[[#This Row],[2030 ]]*IFERROR(AVERAGEIFS('Participation Adjustment'!$C:$C,'Participation Adjustment'!$A:$A,$H510,'Participation Adjustment'!$B:$B,$I510),1)</f>
        <v>132.299380131145</v>
      </c>
      <c r="AB510" s="79">
        <f>tbl_Data_old[[#This Row],[2031 ]]*IFERROR(AVERAGEIFS('Participation Adjustment'!$C:$C,'Participation Adjustment'!$A:$A,$H510,'Participation Adjustment'!$B:$B,$I510),1)</f>
        <v>112.983196065455</v>
      </c>
      <c r="AC510" s="79">
        <f>tbl_Data_old[[#This Row],[2032 ]]*IFERROR(AVERAGEIFS('Participation Adjustment'!$C:$C,'Participation Adjustment'!$A:$A,$H510,'Participation Adjustment'!$B:$B,$I510),1)</f>
        <v>97.370513785375195</v>
      </c>
      <c r="AD510" s="79">
        <f>tbl_Data_old[[#This Row],[2033 ]]*IFERROR(AVERAGEIFS('Participation Adjustment'!$C:$C,'Participation Adjustment'!$A:$A,$H510,'Participation Adjustment'!$B:$B,$I510),1)</f>
        <v>85.048436557023606</v>
      </c>
      <c r="AE510" s="79">
        <f>tbl_Data_old[[#This Row],[2034 ]]*IFERROR(AVERAGEIFS('Participation Adjustment'!$C:$C,'Participation Adjustment'!$A:$A,$H510,'Participation Adjustment'!$B:$B,$I510),1)</f>
        <v>75.030857496795207</v>
      </c>
      <c r="AF510" s="77" t="str">
        <f t="shared" si="209"/>
        <v>NonResidential</v>
      </c>
      <c r="AG510" s="77" t="str">
        <f>tbl_Data[[#This Row],[All_Meas_Name_Append]]</f>
        <v>Window shade film</v>
      </c>
      <c r="AH510" s="77">
        <f>AVERAGEIFS('3. Incentive Adjustment'!G:G,'3. Incentive Adjustment'!A:A,tbl_Data[[#This Row],[Trimmed Sector]],'3. Incentive Adjustment'!B:B,tbl_Data[[#This Row],[Trimmed Measure Name]])</f>
        <v>3.2127764592544555E-13</v>
      </c>
      <c r="AI510" s="77">
        <f>$AH510*tbl_Data[[#This Row],[2025 ]]</f>
        <v>1.0045547878215439E-10</v>
      </c>
      <c r="AJ510" s="77">
        <f>$AH510*tbl_Data[[#This Row],[2026 ]]</f>
        <v>8.4410027975593893E-11</v>
      </c>
      <c r="AK510" s="77">
        <f>$AH510*tbl_Data[[#This Row],[2027 ]]</f>
        <v>7.0610243554055145E-11</v>
      </c>
      <c r="AL510" s="77">
        <f>$AH510*tbl_Data[[#This Row],[2028 ]]</f>
        <v>5.9328944942473965E-11</v>
      </c>
      <c r="AM510" s="77">
        <f>$AH510*tbl_Data[[#This Row],[2029 ]]</f>
        <v>5.0081730427096809E-11</v>
      </c>
      <c r="AN510" s="77">
        <f>$AH510*tbl_Data[[#This Row],[2030 ]]</f>
        <v>4.2504833405929929E-11</v>
      </c>
      <c r="AO510" s="77">
        <f>$AH510*tbl_Data[[#This Row],[2031 ]]</f>
        <v>3.6298975261042449E-11</v>
      </c>
      <c r="AP510" s="77">
        <f>$AH510*tbl_Data[[#This Row],[2032 ]]</f>
        <v>3.1282969451516488E-11</v>
      </c>
      <c r="AQ510" s="77">
        <f>$AH510*tbl_Data[[#This Row],[2033 ]]</f>
        <v>2.732416148668015E-11</v>
      </c>
      <c r="AR510" s="77">
        <f>$AH510*tbl_Data[[#This Row],[2034 ]]</f>
        <v>2.4105737268337933E-11</v>
      </c>
      <c r="AS510" s="77">
        <f>SUM(tbl_Data[[#This Row],[Adjusted 2025]:[Adjusted 2034]])</f>
        <v>5.2640310255488114E-10</v>
      </c>
      <c r="AT510" s="80">
        <f>AVERAGEIFS('3. Incentive Adjustment'!F:F,'3. Incentive Adjustment'!A:A,tbl_Data[[#This Row],[Trimmed Sector]],'3. Incentive Adjustment'!B:B,tbl_Data[[#This Row],[Trimmed Measure Name]])</f>
        <v>132.78569994403261</v>
      </c>
      <c r="AU510" s="80">
        <f>IFERROR(VLOOKUP(tbl_Data[[#This Row],[All_Meas_Name_Append]],'IRA Tax Credits'!$A$3:$D$46,4,0),0)</f>
        <v>0</v>
      </c>
      <c r="AV510" s="81">
        <f>tbl_Data[[#This Row],[Adj. per unit Incentive ($)]]/tbl_Data[[#This Row],[kWh Savings]]*tbl_Data[[#This Row],[Sum of Annuals]]</f>
        <v>5.9156730858050197E-11</v>
      </c>
      <c r="AW510" s="81" t="str">
        <f>IFERROR(VLOOKUP(tbl_Data[[#This Row],[Column1]],'1. Set Program Names'!$B$2:$D$15,3,0)*tbl_Data[[#This Row],[Sum of Annuals]],"")</f>
        <v/>
      </c>
      <c r="AX510" s="81">
        <f>tbl_Data[[#This Row],[per unit IRA tax ($)]]/tbl_Data[[#This Row],[kWh Savings]]*tbl_Data[[#This Row],[Sum of Annuals]]</f>
        <v>0</v>
      </c>
      <c r="AY510" s="81">
        <f>tbl_Data[[#This Row],[Avoided Costs ($/unit)]]/tbl_Data[[#This Row],[kWh Savings]]*tbl_Data[[#This Row],[Sum of Annuals]]</f>
        <v>2.1592889273385699E-10</v>
      </c>
      <c r="AZ510" s="81">
        <f>tbl_Data[[#This Row],[Lost Revenue ($/unit)]]/tbl_Data[[#This Row],[kWh Savings]]*tbl_Data[[#This Row],[Sum of Annuals]]</f>
        <v>4.3299613387254518E-10</v>
      </c>
      <c r="BA510" s="81">
        <f>tbl_Data[[#This Row],[Incremental Cost ($/unit)]]/tbl_Data[[#This Row],[kWh Savings]]*tbl_Data[[#This Row],[Sum of Annuals]]</f>
        <v>1.9718910286016729E-10</v>
      </c>
      <c r="BB510" s="77">
        <f>ROUNDUP(tbl_Data[[#This Row],[Adjusted 2025]]/$L510,0)</f>
        <v>1</v>
      </c>
      <c r="BC510" s="77">
        <f>ROUNDUP(tbl_Data[[#This Row],[Adjusted 2026]]/$L510,0)</f>
        <v>1</v>
      </c>
      <c r="BD510" s="77">
        <f>ROUNDUP(tbl_Data[[#This Row],[Adjusted 2027]]/$L510,0)</f>
        <v>1</v>
      </c>
      <c r="BE510" s="77">
        <f>ROUNDUP(tbl_Data[[#This Row],[Adjusted 2028]]/$L510,0)</f>
        <v>1</v>
      </c>
      <c r="BF510" s="77">
        <f>ROUNDUP(tbl_Data[[#This Row],[Adjusted 2029]]/$L510,0)</f>
        <v>1</v>
      </c>
      <c r="BG510" s="77">
        <f>ROUNDUP(tbl_Data[[#This Row],[Adjusted 2030]]/$L510,0)</f>
        <v>1</v>
      </c>
      <c r="BH510" s="77">
        <f>ROUNDUP(tbl_Data[[#This Row],[Adjusted 2031]]/$L510,0)</f>
        <v>1</v>
      </c>
      <c r="BI510" s="77">
        <f>ROUNDUP(tbl_Data[[#This Row],[Adjusted 2032]]/$L510,0)</f>
        <v>1</v>
      </c>
      <c r="BJ510" s="77">
        <f>ROUNDUP(tbl_Data[[#This Row],[Adjusted 2033]]/$L510,0)</f>
        <v>1</v>
      </c>
      <c r="BK510" s="77">
        <f>ROUNDUP(tbl_Data[[#This Row],[Adjusted 2034]]/$L510,0)</f>
        <v>1</v>
      </c>
      <c r="BL510" s="80">
        <f t="shared" si="210"/>
        <v>35.138146118601014</v>
      </c>
      <c r="BM510" s="80">
        <f t="shared" si="211"/>
        <v>29.525635961714418</v>
      </c>
      <c r="BN510" s="80">
        <f t="shared" si="212"/>
        <v>24.698633519560282</v>
      </c>
      <c r="BO510" s="80">
        <f t="shared" si="213"/>
        <v>20.752567821332477</v>
      </c>
      <c r="BP510" s="80">
        <f t="shared" si="214"/>
        <v>17.518000839316425</v>
      </c>
      <c r="BQ510" s="80">
        <f t="shared" si="215"/>
        <v>14.867691290419517</v>
      </c>
      <c r="BR510" s="80">
        <f t="shared" si="216"/>
        <v>12.696955030635698</v>
      </c>
      <c r="BS510" s="80">
        <f t="shared" si="217"/>
        <v>10.942415136907318</v>
      </c>
      <c r="BT510" s="80">
        <f t="shared" si="218"/>
        <v>9.5576706270975418</v>
      </c>
      <c r="BU510" s="80">
        <f t="shared" si="219"/>
        <v>8.431903652246957</v>
      </c>
      <c r="BV510" s="80" t="str">
        <f>IFERROR(VLOOKUP($H510,'1. Set Program Names'!$B$2:$D$15,3,0)*V510,"NA")</f>
        <v>NA</v>
      </c>
      <c r="BW510" s="80" t="str">
        <f>IFERROR(VLOOKUP($H510,'1. Set Program Names'!$B$2:$D$15,3,0)*W510,"NA")</f>
        <v>NA</v>
      </c>
      <c r="BX510" s="80" t="str">
        <f>IFERROR(VLOOKUP($H510,'1. Set Program Names'!$B$2:$D$15,3,0)*X510,"NA")</f>
        <v>NA</v>
      </c>
      <c r="BY510" s="80" t="str">
        <f>IFERROR(VLOOKUP($H510,'1. Set Program Names'!$B$2:$D$15,3,0)*Y510,"NA")</f>
        <v>NA</v>
      </c>
      <c r="BZ510" s="80" t="str">
        <f>IFERROR(VLOOKUP($H510,'1. Set Program Names'!$B$2:$D$15,3,0)*Z510,"NA")</f>
        <v>NA</v>
      </c>
      <c r="CA510" s="80" t="str">
        <f>IFERROR(VLOOKUP($H510,'1. Set Program Names'!$B$2:$D$15,3,0)*AA510,"NA")</f>
        <v>NA</v>
      </c>
      <c r="CB510" s="80" t="str">
        <f>IFERROR(VLOOKUP($H510,'1. Set Program Names'!$B$2:$D$15,3,0)*AB510,"NA")</f>
        <v>NA</v>
      </c>
      <c r="CC510" s="80" t="str">
        <f>IFERROR(VLOOKUP($H510,'1. Set Program Names'!$B$2:$D$15,3,0)*AC510,"NA")</f>
        <v>NA</v>
      </c>
      <c r="CD510" s="80" t="str">
        <f>IFERROR(VLOOKUP($H510,'1. Set Program Names'!$B$2:$D$15,3,0)*AD510,"NA")</f>
        <v>NA</v>
      </c>
      <c r="CE510" s="80" t="str">
        <f>IFERROR(VLOOKUP($H510,'1. Set Program Names'!$B$2:$D$15,3,0)*AE510,"NA")</f>
        <v>NA</v>
      </c>
    </row>
    <row r="511" spans="1:83" x14ac:dyDescent="0.25">
      <c r="A511" s="79" t="s">
        <v>113</v>
      </c>
      <c r="B511" s="79" t="s">
        <v>88</v>
      </c>
      <c r="C511" s="79" t="s">
        <v>122</v>
      </c>
      <c r="D511" s="79" t="s">
        <v>90</v>
      </c>
      <c r="E511" s="79" t="s">
        <v>91</v>
      </c>
      <c r="F511" s="79" t="s">
        <v>90</v>
      </c>
      <c r="G511" s="79" t="s">
        <v>92</v>
      </c>
      <c r="H511" s="79" t="s">
        <v>20</v>
      </c>
      <c r="I511" s="79" t="s">
        <v>237</v>
      </c>
      <c r="J511" s="79" t="s">
        <v>129</v>
      </c>
      <c r="K511" s="79" t="s">
        <v>102</v>
      </c>
      <c r="L511" s="79">
        <v>2568.1199999999699</v>
      </c>
      <c r="M511" s="79">
        <v>0.53641456399840104</v>
      </c>
      <c r="N511" s="79">
        <v>2.1892485513222901E-2</v>
      </c>
      <c r="O511" s="79">
        <f>9025.1/929.29*tbl_Data[[#This Row],[kWh Savings]]</f>
        <v>24941.126894725789</v>
      </c>
      <c r="P511" s="79">
        <v>35498.089296558101</v>
      </c>
      <c r="Q511" s="79">
        <v>154.08719999999801</v>
      </c>
      <c r="R511" s="79">
        <v>1534.4473108970501</v>
      </c>
      <c r="S511" s="79">
        <v>3958.9826982459099</v>
      </c>
      <c r="T511" s="79">
        <v>30</v>
      </c>
      <c r="U511" s="79">
        <v>0.05</v>
      </c>
      <c r="V511" s="79">
        <f>tbl_Data_old[[#This Row],[2025 ]]*IFERROR(AVERAGEIFS('Participation Adjustment'!$C:$C,'Participation Adjustment'!$A:$A,$H511,'Participation Adjustment'!$B:$B,$I511),1)</f>
        <v>69.379738582172294</v>
      </c>
      <c r="W511" s="79">
        <f>tbl_Data_old[[#This Row],[2026 ]]*IFERROR(AVERAGEIFS('Participation Adjustment'!$C:$C,'Participation Adjustment'!$A:$A,$H511,'Participation Adjustment'!$B:$B,$I511),1)</f>
        <v>146.875354999108</v>
      </c>
      <c r="X511" s="79">
        <f>tbl_Data_old[[#This Row],[2027 ]]*IFERROR(AVERAGEIFS('Participation Adjustment'!$C:$C,'Participation Adjustment'!$A:$A,$H511,'Participation Adjustment'!$B:$B,$I511),1)</f>
        <v>233.147758425353</v>
      </c>
      <c r="Y511" s="79">
        <f>tbl_Data_old[[#This Row],[2028 ]]*IFERROR(AVERAGEIFS('Participation Adjustment'!$C:$C,'Participation Adjustment'!$A:$A,$H511,'Participation Adjustment'!$B:$B,$I511),1)</f>
        <v>329.02935417012299</v>
      </c>
      <c r="Z511" s="79">
        <f>tbl_Data_old[[#This Row],[2029 ]]*IFERROR(AVERAGEIFS('Participation Adjustment'!$C:$C,'Participation Adjustment'!$A:$A,$H511,'Participation Adjustment'!$B:$B,$I511),1)</f>
        <v>435.04176754786499</v>
      </c>
      <c r="AA511" s="79">
        <f>tbl_Data_old[[#This Row],[2030 ]]*IFERROR(AVERAGEIFS('Participation Adjustment'!$C:$C,'Participation Adjustment'!$A:$A,$H511,'Participation Adjustment'!$B:$B,$I511),1)</f>
        <v>551.68800010963002</v>
      </c>
      <c r="AB511" s="79">
        <f>tbl_Data_old[[#This Row],[2031 ]]*IFERROR(AVERAGEIFS('Participation Adjustment'!$C:$C,'Participation Adjustment'!$A:$A,$H511,'Participation Adjustment'!$B:$B,$I511),1)</f>
        <v>679.174748691437</v>
      </c>
      <c r="AC511" s="79">
        <f>tbl_Data_old[[#This Row],[2032 ]]*IFERROR(AVERAGEIFS('Participation Adjustment'!$C:$C,'Participation Adjustment'!$A:$A,$H511,'Participation Adjustment'!$B:$B,$I511),1)</f>
        <v>817.88341472229695</v>
      </c>
      <c r="AD511" s="79">
        <f>tbl_Data_old[[#This Row],[2033 ]]*IFERROR(AVERAGEIFS('Participation Adjustment'!$C:$C,'Participation Adjustment'!$A:$A,$H511,'Participation Adjustment'!$B:$B,$I511),1)</f>
        <v>968.541809598908</v>
      </c>
      <c r="AE511" s="79">
        <f>tbl_Data_old[[#This Row],[2034 ]]*IFERROR(AVERAGEIFS('Participation Adjustment'!$C:$C,'Participation Adjustment'!$A:$A,$H511,'Participation Adjustment'!$B:$B,$I511),1)</f>
        <v>1131.22412363838</v>
      </c>
      <c r="AF511" s="77" t="str">
        <f t="shared" si="209"/>
        <v>NonResidential</v>
      </c>
      <c r="AG511" s="77" t="str">
        <f>tbl_Data[[#This Row],[All_Meas_Name_Append]]</f>
        <v>Ceiling Insulation(R19 to R38)</v>
      </c>
      <c r="AH511" s="77">
        <f>AVERAGEIFS('3. Incentive Adjustment'!G:G,'3. Incentive Adjustment'!A:A,tbl_Data[[#This Row],[Trimmed Sector]],'3. Incentive Adjustment'!B:B,tbl_Data[[#This Row],[Trimmed Measure Name]])</f>
        <v>3.9688771318830651E-15</v>
      </c>
      <c r="AI511" s="77">
        <f>$AH511*tbl_Data[[#This Row],[2025 ]]</f>
        <v>2.7535965787480881E-13</v>
      </c>
      <c r="AJ511" s="77">
        <f>$AH511*tbl_Data[[#This Row],[2026 ]]</f>
        <v>5.8293023769316672E-13</v>
      </c>
      <c r="AK511" s="77">
        <f>$AH511*tbl_Data[[#This Row],[2027 ]]</f>
        <v>9.253348067641808E-13</v>
      </c>
      <c r="AL511" s="77">
        <f>$AH511*tbl_Data[[#This Row],[2028 ]]</f>
        <v>1.3058770794840548E-12</v>
      </c>
      <c r="AM511" s="77">
        <f>$AH511*tbl_Data[[#This Row],[2029 ]]</f>
        <v>1.7266273226347095E-12</v>
      </c>
      <c r="AN511" s="77">
        <f>$AH511*tbl_Data[[#This Row],[2030 ]]</f>
        <v>2.1895818875694124E-12</v>
      </c>
      <c r="AO511" s="77">
        <f>$AH511*tbl_Data[[#This Row],[2031 ]]</f>
        <v>2.695561128633872E-12</v>
      </c>
      <c r="AP511" s="77">
        <f>$AH511*tbl_Data[[#This Row],[2032 ]]</f>
        <v>3.2460787812377572E-12</v>
      </c>
      <c r="AQ511" s="77">
        <f>$AH511*tbl_Data[[#This Row],[2033 ]]</f>
        <v>3.8440234393897478E-12</v>
      </c>
      <c r="AR511" s="77">
        <f>$AH511*tbl_Data[[#This Row],[2034 ]]</f>
        <v>4.4896895553428272E-12</v>
      </c>
      <c r="AS511" s="77">
        <f>SUM(tbl_Data[[#This Row],[Adjusted 2025]:[Adjusted 2034]])</f>
        <v>2.1281063896624538E-11</v>
      </c>
      <c r="AT511" s="80">
        <f>AVERAGEIFS('3. Incentive Adjustment'!F:F,'3. Incentive Adjustment'!A:A,tbl_Data[[#This Row],[Trimmed Sector]],'3. Incentive Adjustment'!B:B,tbl_Data[[#This Row],[Trimmed Measure Name]])</f>
        <v>3222.5963039661074</v>
      </c>
      <c r="AU511" s="80">
        <f>IFERROR(VLOOKUP(tbl_Data[[#This Row],[All_Meas_Name_Append]],'IRA Tax Credits'!$A$3:$D$46,4,0),0)</f>
        <v>0</v>
      </c>
      <c r="AV511" s="81">
        <f>tbl_Data[[#This Row],[Adj. per unit Incentive ($)]]/tbl_Data[[#This Row],[kWh Savings]]*tbl_Data[[#This Row],[Sum of Annuals]]</f>
        <v>2.6704467804358679E-11</v>
      </c>
      <c r="AW511" s="81" t="str">
        <f>IFERROR(VLOOKUP(tbl_Data[[#This Row],[Column1]],'1. Set Program Names'!$B$2:$D$15,3,0)*tbl_Data[[#This Row],[Sum of Annuals]],"")</f>
        <v/>
      </c>
      <c r="AX511" s="81">
        <f>tbl_Data[[#This Row],[per unit IRA tax ($)]]/tbl_Data[[#This Row],[kWh Savings]]*tbl_Data[[#This Row],[Sum of Annuals]]</f>
        <v>0</v>
      </c>
      <c r="AY511" s="81">
        <f>tbl_Data[[#This Row],[Avoided Costs ($/unit)]]/tbl_Data[[#This Row],[kWh Savings]]*tbl_Data[[#This Row],[Sum of Annuals]]</f>
        <v>1.2715399307354876E-11</v>
      </c>
      <c r="AZ511" s="81">
        <f>tbl_Data[[#This Row],[Lost Revenue ($/unit)]]/tbl_Data[[#This Row],[kWh Savings]]*tbl_Data[[#This Row],[Sum of Annuals]]</f>
        <v>3.280663044055699E-11</v>
      </c>
      <c r="BA511" s="81">
        <f>tbl_Data[[#This Row],[Incremental Cost ($/unit)]]/tbl_Data[[#This Row],[kWh Savings]]*tbl_Data[[#This Row],[Sum of Annuals]]</f>
        <v>2.0667792591486632E-10</v>
      </c>
      <c r="BB511" s="77">
        <f>ROUNDUP(tbl_Data[[#This Row],[Adjusted 2025]]/$L511,0)</f>
        <v>1</v>
      </c>
      <c r="BC511" s="77">
        <f>ROUNDUP(tbl_Data[[#This Row],[Adjusted 2026]]/$L511,0)</f>
        <v>1</v>
      </c>
      <c r="BD511" s="77">
        <f>ROUNDUP(tbl_Data[[#This Row],[Adjusted 2027]]/$L511,0)</f>
        <v>1</v>
      </c>
      <c r="BE511" s="77">
        <f>ROUNDUP(tbl_Data[[#This Row],[Adjusted 2028]]/$L511,0)</f>
        <v>1</v>
      </c>
      <c r="BF511" s="77">
        <f>ROUNDUP(tbl_Data[[#This Row],[Adjusted 2029]]/$L511,0)</f>
        <v>1</v>
      </c>
      <c r="BG511" s="77">
        <f>ROUNDUP(tbl_Data[[#This Row],[Adjusted 2030]]/$L511,0)</f>
        <v>1</v>
      </c>
      <c r="BH511" s="77">
        <f>ROUNDUP(tbl_Data[[#This Row],[Adjusted 2031]]/$L511,0)</f>
        <v>1</v>
      </c>
      <c r="BI511" s="77">
        <f>ROUNDUP(tbl_Data[[#This Row],[Adjusted 2032]]/$L511,0)</f>
        <v>1</v>
      </c>
      <c r="BJ511" s="77">
        <f>ROUNDUP(tbl_Data[[#This Row],[Adjusted 2033]]/$L511,0)</f>
        <v>1</v>
      </c>
      <c r="BK511" s="77">
        <f>ROUNDUP(tbl_Data[[#This Row],[Adjusted 2034]]/$L511,0)</f>
        <v>1</v>
      </c>
      <c r="BL511" s="80">
        <f t="shared" si="210"/>
        <v>87.060919709766608</v>
      </c>
      <c r="BM511" s="80">
        <f t="shared" si="211"/>
        <v>184.30602003171228</v>
      </c>
      <c r="BN511" s="80">
        <f t="shared" si="212"/>
        <v>292.56464050727158</v>
      </c>
      <c r="BO511" s="80">
        <f t="shared" si="213"/>
        <v>412.88132199624869</v>
      </c>
      <c r="BP511" s="80">
        <f t="shared" si="214"/>
        <v>545.91062418058686</v>
      </c>
      <c r="BQ511" s="80">
        <f t="shared" si="215"/>
        <v>692.28373677856496</v>
      </c>
      <c r="BR511" s="80">
        <f t="shared" si="216"/>
        <v>852.26003258420963</v>
      </c>
      <c r="BS511" s="80">
        <f t="shared" si="217"/>
        <v>1026.3181118325017</v>
      </c>
      <c r="BT511" s="80">
        <f t="shared" si="218"/>
        <v>1215.371266081851</v>
      </c>
      <c r="BU511" s="80">
        <f t="shared" si="219"/>
        <v>1419.5125927894278</v>
      </c>
      <c r="BV511" s="80" t="str">
        <f>IFERROR(VLOOKUP($H511,'1. Set Program Names'!$B$2:$D$15,3,0)*V511,"NA")</f>
        <v>NA</v>
      </c>
      <c r="BW511" s="80" t="str">
        <f>IFERROR(VLOOKUP($H511,'1. Set Program Names'!$B$2:$D$15,3,0)*W511,"NA")</f>
        <v>NA</v>
      </c>
      <c r="BX511" s="80" t="str">
        <f>IFERROR(VLOOKUP($H511,'1. Set Program Names'!$B$2:$D$15,3,0)*X511,"NA")</f>
        <v>NA</v>
      </c>
      <c r="BY511" s="80" t="str">
        <f>IFERROR(VLOOKUP($H511,'1. Set Program Names'!$B$2:$D$15,3,0)*Y511,"NA")</f>
        <v>NA</v>
      </c>
      <c r="BZ511" s="80" t="str">
        <f>IFERROR(VLOOKUP($H511,'1. Set Program Names'!$B$2:$D$15,3,0)*Z511,"NA")</f>
        <v>NA</v>
      </c>
      <c r="CA511" s="80" t="str">
        <f>IFERROR(VLOOKUP($H511,'1. Set Program Names'!$B$2:$D$15,3,0)*AA511,"NA")</f>
        <v>NA</v>
      </c>
      <c r="CB511" s="80" t="str">
        <f>IFERROR(VLOOKUP($H511,'1. Set Program Names'!$B$2:$D$15,3,0)*AB511,"NA")</f>
        <v>NA</v>
      </c>
      <c r="CC511" s="80" t="str">
        <f>IFERROR(VLOOKUP($H511,'1. Set Program Names'!$B$2:$D$15,3,0)*AC511,"NA")</f>
        <v>NA</v>
      </c>
      <c r="CD511" s="80" t="str">
        <f>IFERROR(VLOOKUP($H511,'1. Set Program Names'!$B$2:$D$15,3,0)*AD511,"NA")</f>
        <v>NA</v>
      </c>
      <c r="CE511" s="80" t="str">
        <f>IFERROR(VLOOKUP($H511,'1. Set Program Names'!$B$2:$D$15,3,0)*AE511,"NA")</f>
        <v>NA</v>
      </c>
    </row>
    <row r="512" spans="1:83" x14ac:dyDescent="0.25">
      <c r="A512" s="79" t="s">
        <v>113</v>
      </c>
      <c r="B512" s="79" t="s">
        <v>88</v>
      </c>
      <c r="C512" s="79" t="s">
        <v>122</v>
      </c>
      <c r="D512" s="79" t="s">
        <v>90</v>
      </c>
      <c r="E512" s="79" t="s">
        <v>91</v>
      </c>
      <c r="F512" s="79" t="s">
        <v>90</v>
      </c>
      <c r="G512" s="79" t="s">
        <v>92</v>
      </c>
      <c r="H512" s="79" t="s">
        <v>20</v>
      </c>
      <c r="I512" s="79" t="s">
        <v>238</v>
      </c>
      <c r="J512" s="79" t="s">
        <v>129</v>
      </c>
      <c r="K512" s="79" t="s">
        <v>102</v>
      </c>
      <c r="L512" s="79">
        <v>4477.6116666666303</v>
      </c>
      <c r="M512" s="79">
        <v>0.90610878358590996</v>
      </c>
      <c r="N512" s="79">
        <v>4.9616670393602701E-2</v>
      </c>
      <c r="O512" s="79">
        <f>9351.31/1137.9*tbl_Data[[#This Row],[kWh Savings]]</f>
        <v>36797.200768623181</v>
      </c>
      <c r="P512" s="79">
        <v>44221.719775682497</v>
      </c>
      <c r="Q512" s="79">
        <v>268.65669999999699</v>
      </c>
      <c r="R512" s="79">
        <v>2670.7044942461998</v>
      </c>
      <c r="S512" s="79">
        <v>6902.6319322295803</v>
      </c>
      <c r="T512" s="79">
        <v>30</v>
      </c>
      <c r="U512" s="79">
        <v>0.05</v>
      </c>
      <c r="V512" s="79">
        <f>tbl_Data_old[[#This Row],[2025 ]]*IFERROR(AVERAGEIFS('Participation Adjustment'!$C:$C,'Participation Adjustment'!$A:$A,$H512,'Participation Adjustment'!$B:$B,$I512),1)</f>
        <v>54.686713280527698</v>
      </c>
      <c r="W512" s="79">
        <f>tbl_Data_old[[#This Row],[2026 ]]*IFERROR(AVERAGEIFS('Participation Adjustment'!$C:$C,'Participation Adjustment'!$A:$A,$H512,'Participation Adjustment'!$B:$B,$I512),1)</f>
        <v>115.652047825472</v>
      </c>
      <c r="X512" s="79">
        <f>tbl_Data_old[[#This Row],[2027 ]]*IFERROR(AVERAGEIFS('Participation Adjustment'!$C:$C,'Participation Adjustment'!$A:$A,$H512,'Participation Adjustment'!$B:$B,$I512),1)</f>
        <v>183.363124346397</v>
      </c>
      <c r="Y512" s="79">
        <f>tbl_Data_old[[#This Row],[2028 ]]*IFERROR(AVERAGEIFS('Participation Adjustment'!$C:$C,'Participation Adjustment'!$A:$A,$H512,'Participation Adjustment'!$B:$B,$I512),1)</f>
        <v>258.42339975162002</v>
      </c>
      <c r="Z512" s="79">
        <f>tbl_Data_old[[#This Row],[2029 ]]*IFERROR(AVERAGEIFS('Participation Adjustment'!$C:$C,'Participation Adjustment'!$A:$A,$H512,'Participation Adjustment'!$B:$B,$I512),1)</f>
        <v>341.19511530670599</v>
      </c>
      <c r="AA512" s="79">
        <f>tbl_Data_old[[#This Row],[2030 ]]*IFERROR(AVERAGEIFS('Participation Adjustment'!$C:$C,'Participation Adjustment'!$A:$A,$H512,'Participation Adjustment'!$B:$B,$I512),1)</f>
        <v>432.01777195330601</v>
      </c>
      <c r="AB512" s="79">
        <f>tbl_Data_old[[#This Row],[2031 ]]*IFERROR(AVERAGEIFS('Participation Adjustment'!$C:$C,'Participation Adjustment'!$A:$A,$H512,'Participation Adjustment'!$B:$B,$I512),1)</f>
        <v>531.007065566704</v>
      </c>
      <c r="AC512" s="79">
        <f>tbl_Data_old[[#This Row],[2032 ]]*IFERROR(AVERAGEIFS('Participation Adjustment'!$C:$C,'Participation Adjustment'!$A:$A,$H512,'Participation Adjustment'!$B:$B,$I512),1)</f>
        <v>638.41408389336095</v>
      </c>
      <c r="AD512" s="79">
        <f>tbl_Data_old[[#This Row],[2033 ]]*IFERROR(AVERAGEIFS('Participation Adjustment'!$C:$C,'Participation Adjustment'!$A:$A,$H512,'Participation Adjustment'!$B:$B,$I512),1)</f>
        <v>754.74278148444205</v>
      </c>
      <c r="AE512" s="79">
        <f>tbl_Data_old[[#This Row],[2034 ]]*IFERROR(AVERAGEIFS('Participation Adjustment'!$C:$C,'Participation Adjustment'!$A:$A,$H512,'Participation Adjustment'!$B:$B,$I512),1)</f>
        <v>880.00351296140798</v>
      </c>
      <c r="AF512" s="77" t="str">
        <f t="shared" si="209"/>
        <v>NonResidential</v>
      </c>
      <c r="AG512" s="77" t="str">
        <f>tbl_Data[[#This Row],[All_Meas_Name_Append]]</f>
        <v>Ceiling Insulation(R19 to R49)</v>
      </c>
      <c r="AH512" s="77">
        <f>AVERAGEIFS('3. Incentive Adjustment'!G:G,'3. Incentive Adjustment'!A:A,tbl_Data[[#This Row],[Trimmed Sector]],'3. Incentive Adjustment'!B:B,tbl_Data[[#This Row],[Trimmed Measure Name]])</f>
        <v>7.9373870200739678E-11</v>
      </c>
      <c r="AI512" s="77">
        <f>$AH512*tbl_Data[[#This Row],[2025 ]]</f>
        <v>4.3406960816336726E-9</v>
      </c>
      <c r="AJ512" s="77">
        <f>$AH512*tbl_Data[[#This Row],[2026 ]]</f>
        <v>9.1797506325487515E-9</v>
      </c>
      <c r="AK512" s="77">
        <f>$AH512*tbl_Data[[#This Row],[2027 ]]</f>
        <v>1.4554240831473005E-8</v>
      </c>
      <c r="AL512" s="77">
        <f>$AH512*tbl_Data[[#This Row],[2028 ]]</f>
        <v>2.051206538871895E-8</v>
      </c>
      <c r="AM512" s="77">
        <f>$AH512*tbl_Data[[#This Row],[2029 ]]</f>
        <v>2.7081976795480887E-8</v>
      </c>
      <c r="AN512" s="77">
        <f>$AH512*tbl_Data[[#This Row],[2030 ]]</f>
        <v>3.4290922555434464E-8</v>
      </c>
      <c r="AO512" s="77">
        <f>$AH512*tbl_Data[[#This Row],[2031 ]]</f>
        <v>4.2148085897967227E-8</v>
      </c>
      <c r="AP512" s="77">
        <f>$AH512*tbl_Data[[#This Row],[2032 ]]</f>
        <v>5.0673396629275765E-8</v>
      </c>
      <c r="AQ512" s="77">
        <f>$AH512*tbl_Data[[#This Row],[2033 ]]</f>
        <v>5.990685557249133E-8</v>
      </c>
      <c r="AR512" s="77">
        <f>$AH512*tbl_Data[[#This Row],[2034 ]]</f>
        <v>6.9849284613993739E-8</v>
      </c>
      <c r="AS512" s="77">
        <f>SUM(tbl_Data[[#This Row],[Adjusted 2025]:[Adjusted 2034]])</f>
        <v>3.3253727499901781E-7</v>
      </c>
      <c r="AT512" s="80">
        <f>AVERAGEIFS('3. Incentive Adjustment'!F:F,'3. Incentive Adjustment'!A:A,tbl_Data[[#This Row],[Trimmed Sector]],'3. Incentive Adjustment'!B:B,tbl_Data[[#This Row],[Trimmed Measure Name]])</f>
        <v>4754.4974087894998</v>
      </c>
      <c r="AU512" s="80">
        <f>IFERROR(VLOOKUP(tbl_Data[[#This Row],[All_Meas_Name_Append]],'IRA Tax Credits'!$A$3:$D$46,4,0),0)</f>
        <v>500</v>
      </c>
      <c r="AV512" s="81">
        <f>tbl_Data[[#This Row],[Adj. per unit Incentive ($)]]/tbl_Data[[#This Row],[kWh Savings]]*tbl_Data[[#This Row],[Sum of Annuals]]</f>
        <v>3.5310065499399745E-7</v>
      </c>
      <c r="AW512" s="81" t="str">
        <f>IFERROR(VLOOKUP(tbl_Data[[#This Row],[Column1]],'1. Set Program Names'!$B$2:$D$15,3,0)*tbl_Data[[#This Row],[Sum of Annuals]],"")</f>
        <v/>
      </c>
      <c r="AX512" s="81">
        <f>tbl_Data[[#This Row],[per unit IRA tax ($)]]/tbl_Data[[#This Row],[kWh Savings]]*tbl_Data[[#This Row],[Sum of Annuals]]</f>
        <v>3.7133331310816426E-8</v>
      </c>
      <c r="AY512" s="81">
        <f>tbl_Data[[#This Row],[Avoided Costs ($/unit)]]/tbl_Data[[#This Row],[kWh Savings]]*tbl_Data[[#This Row],[Sum of Annuals]]</f>
        <v>1.9834430963626111E-7</v>
      </c>
      <c r="AZ512" s="81">
        <f>tbl_Data[[#This Row],[Lost Revenue ($/unit)]]/tbl_Data[[#This Row],[kWh Savings]]*tbl_Data[[#This Row],[Sum of Annuals]]</f>
        <v>5.1263543691220396E-7</v>
      </c>
      <c r="BA512" s="81">
        <f>tbl_Data[[#This Row],[Incremental Cost ($/unit)]]/tbl_Data[[#This Row],[kWh Savings]]*tbl_Data[[#This Row],[Sum of Annuals]]</f>
        <v>2.7328052949038268E-6</v>
      </c>
      <c r="BB512" s="77">
        <f>ROUNDUP(tbl_Data[[#This Row],[Adjusted 2025]]/$L512,0)</f>
        <v>1</v>
      </c>
      <c r="BC512" s="77">
        <f>ROUNDUP(tbl_Data[[#This Row],[Adjusted 2026]]/$L512,0)</f>
        <v>1</v>
      </c>
      <c r="BD512" s="77">
        <f>ROUNDUP(tbl_Data[[#This Row],[Adjusted 2027]]/$L512,0)</f>
        <v>1</v>
      </c>
      <c r="BE512" s="77">
        <f>ROUNDUP(tbl_Data[[#This Row],[Adjusted 2028]]/$L512,0)</f>
        <v>1</v>
      </c>
      <c r="BF512" s="77">
        <f>ROUNDUP(tbl_Data[[#This Row],[Adjusted 2029]]/$L512,0)</f>
        <v>1</v>
      </c>
      <c r="BG512" s="77">
        <f>ROUNDUP(tbl_Data[[#This Row],[Adjusted 2030]]/$L512,0)</f>
        <v>1</v>
      </c>
      <c r="BH512" s="77">
        <f>ROUNDUP(tbl_Data[[#This Row],[Adjusted 2031]]/$L512,0)</f>
        <v>1</v>
      </c>
      <c r="BI512" s="77">
        <f>ROUNDUP(tbl_Data[[#This Row],[Adjusted 2032]]/$L512,0)</f>
        <v>1</v>
      </c>
      <c r="BJ512" s="77">
        <f>ROUNDUP(tbl_Data[[#This Row],[Adjusted 2033]]/$L512,0)</f>
        <v>1</v>
      </c>
      <c r="BK512" s="77">
        <f>ROUNDUP(tbl_Data[[#This Row],[Adjusted 2034]]/$L512,0)</f>
        <v>1</v>
      </c>
      <c r="BL512" s="80">
        <f t="shared" si="210"/>
        <v>58.068420386497429</v>
      </c>
      <c r="BM512" s="80">
        <f t="shared" si="211"/>
        <v>122.80371828599334</v>
      </c>
      <c r="BN512" s="80">
        <f t="shared" si="212"/>
        <v>194.70190013630747</v>
      </c>
      <c r="BO512" s="80">
        <f t="shared" si="213"/>
        <v>274.40373930514158</v>
      </c>
      <c r="BP512" s="80">
        <f t="shared" si="214"/>
        <v>362.29387726806328</v>
      </c>
      <c r="BQ512" s="80">
        <f t="shared" si="215"/>
        <v>458.7328089646802</v>
      </c>
      <c r="BR512" s="80">
        <f t="shared" si="216"/>
        <v>563.84338465093128</v>
      </c>
      <c r="BS512" s="80">
        <f t="shared" si="217"/>
        <v>677.89221879202682</v>
      </c>
      <c r="BT512" s="80">
        <f t="shared" si="218"/>
        <v>801.41442938971306</v>
      </c>
      <c r="BU512" s="80">
        <f t="shared" si="219"/>
        <v>934.42101137266388</v>
      </c>
      <c r="BV512" s="80" t="str">
        <f>IFERROR(VLOOKUP($H512,'1. Set Program Names'!$B$2:$D$15,3,0)*V512,"NA")</f>
        <v>NA</v>
      </c>
      <c r="BW512" s="80" t="str">
        <f>IFERROR(VLOOKUP($H512,'1. Set Program Names'!$B$2:$D$15,3,0)*W512,"NA")</f>
        <v>NA</v>
      </c>
      <c r="BX512" s="80" t="str">
        <f>IFERROR(VLOOKUP($H512,'1. Set Program Names'!$B$2:$D$15,3,0)*X512,"NA")</f>
        <v>NA</v>
      </c>
      <c r="BY512" s="80" t="str">
        <f>IFERROR(VLOOKUP($H512,'1. Set Program Names'!$B$2:$D$15,3,0)*Y512,"NA")</f>
        <v>NA</v>
      </c>
      <c r="BZ512" s="80" t="str">
        <f>IFERROR(VLOOKUP($H512,'1. Set Program Names'!$B$2:$D$15,3,0)*Z512,"NA")</f>
        <v>NA</v>
      </c>
      <c r="CA512" s="80" t="str">
        <f>IFERROR(VLOOKUP($H512,'1. Set Program Names'!$B$2:$D$15,3,0)*AA512,"NA")</f>
        <v>NA</v>
      </c>
      <c r="CB512" s="80" t="str">
        <f>IFERROR(VLOOKUP($H512,'1. Set Program Names'!$B$2:$D$15,3,0)*AB512,"NA")</f>
        <v>NA</v>
      </c>
      <c r="CC512" s="80" t="str">
        <f>IFERROR(VLOOKUP($H512,'1. Set Program Names'!$B$2:$D$15,3,0)*AC512,"NA")</f>
        <v>NA</v>
      </c>
      <c r="CD512" s="80" t="str">
        <f>IFERROR(VLOOKUP($H512,'1. Set Program Names'!$B$2:$D$15,3,0)*AD512,"NA")</f>
        <v>NA</v>
      </c>
      <c r="CE512" s="80" t="str">
        <f>IFERROR(VLOOKUP($H512,'1. Set Program Names'!$B$2:$D$15,3,0)*AE512,"NA")</f>
        <v>NA</v>
      </c>
    </row>
    <row r="513" spans="1:83" x14ac:dyDescent="0.25">
      <c r="A513" s="79" t="s">
        <v>113</v>
      </c>
      <c r="B513" s="79" t="s">
        <v>88</v>
      </c>
      <c r="C513" s="79" t="s">
        <v>122</v>
      </c>
      <c r="D513" s="79" t="s">
        <v>90</v>
      </c>
      <c r="E513" s="79" t="s">
        <v>91</v>
      </c>
      <c r="F513" s="79" t="s">
        <v>90</v>
      </c>
      <c r="G513" s="79" t="s">
        <v>92</v>
      </c>
      <c r="H513" s="79" t="s">
        <v>20</v>
      </c>
      <c r="I513" s="79" t="s">
        <v>240</v>
      </c>
      <c r="J513" s="79" t="s">
        <v>129</v>
      </c>
      <c r="K513" s="79" t="s">
        <v>102</v>
      </c>
      <c r="L513" s="79">
        <v>18717.787499999999</v>
      </c>
      <c r="M513" s="79">
        <v>3.6380387810097399</v>
      </c>
      <c r="N513" s="79">
        <v>0.14255501576814</v>
      </c>
      <c r="O513" s="79">
        <f>11091.09/6133.31*tbl_Data[[#This Row],[kWh Savings]]</f>
        <v>33848.063405139306</v>
      </c>
      <c r="P513" s="79">
        <v>45532.278837645601</v>
      </c>
      <c r="Q513" s="79">
        <v>1123.0672500000001</v>
      </c>
      <c r="R513" s="79">
        <v>11042.715256281999</v>
      </c>
      <c r="S513" s="79">
        <v>28855.114582630202</v>
      </c>
      <c r="T513" s="79">
        <v>30</v>
      </c>
      <c r="U513" s="79">
        <v>0.05</v>
      </c>
      <c r="V513" s="79">
        <f>tbl_Data_old[[#This Row],[2025 ]]*IFERROR(AVERAGEIFS('Participation Adjustment'!$C:$C,'Participation Adjustment'!$A:$A,$H513,'Participation Adjustment'!$B:$B,$I513),1)</f>
        <v>80.117052851536798</v>
      </c>
      <c r="W513" s="79">
        <f>tbl_Data_old[[#This Row],[2026 ]]*IFERROR(AVERAGEIFS('Participation Adjustment'!$C:$C,'Participation Adjustment'!$A:$A,$H513,'Participation Adjustment'!$B:$B,$I513),1)</f>
        <v>158.72478258251701</v>
      </c>
      <c r="X513" s="79">
        <f>tbl_Data_old[[#This Row],[2027 ]]*IFERROR(AVERAGEIFS('Participation Adjustment'!$C:$C,'Participation Adjustment'!$A:$A,$H513,'Participation Adjustment'!$B:$B,$I513),1)</f>
        <v>235.15270663592699</v>
      </c>
      <c r="Y513" s="79">
        <f>tbl_Data_old[[#This Row],[2028 ]]*IFERROR(AVERAGEIFS('Participation Adjustment'!$C:$C,'Participation Adjustment'!$A:$A,$H513,'Participation Adjustment'!$B:$B,$I513),1)</f>
        <v>309.45583843946099</v>
      </c>
      <c r="Z513" s="79">
        <f>tbl_Data_old[[#This Row],[2029 ]]*IFERROR(AVERAGEIFS('Participation Adjustment'!$C:$C,'Participation Adjustment'!$A:$A,$H513,'Participation Adjustment'!$B:$B,$I513),1)</f>
        <v>381.71018510855498</v>
      </c>
      <c r="AA513" s="79">
        <f>tbl_Data_old[[#This Row],[2030 ]]*IFERROR(AVERAGEIFS('Participation Adjustment'!$C:$C,'Participation Adjustment'!$A:$A,$H513,'Participation Adjustment'!$B:$B,$I513),1)</f>
        <v>451.790783822511</v>
      </c>
      <c r="AB513" s="79">
        <f>tbl_Data_old[[#This Row],[2031 ]]*IFERROR(AVERAGEIFS('Participation Adjustment'!$C:$C,'Participation Adjustment'!$A:$A,$H513,'Participation Adjustment'!$B:$B,$I513),1)</f>
        <v>519.71837104102303</v>
      </c>
      <c r="AC513" s="79">
        <f>tbl_Data_old[[#This Row],[2032 ]]*IFERROR(AVERAGEIFS('Participation Adjustment'!$C:$C,'Participation Adjustment'!$A:$A,$H513,'Participation Adjustment'!$B:$B,$I513),1)</f>
        <v>585.62742806100698</v>
      </c>
      <c r="AD513" s="79">
        <f>tbl_Data_old[[#This Row],[2033 ]]*IFERROR(AVERAGEIFS('Participation Adjustment'!$C:$C,'Participation Adjustment'!$A:$A,$H513,'Participation Adjustment'!$B:$B,$I513),1)</f>
        <v>649.54009750721502</v>
      </c>
      <c r="AE513" s="79">
        <f>tbl_Data_old[[#This Row],[2034 ]]*IFERROR(AVERAGEIFS('Participation Adjustment'!$C:$C,'Participation Adjustment'!$A:$A,$H513,'Participation Adjustment'!$B:$B,$I513),1)</f>
        <v>711.51655917056996</v>
      </c>
      <c r="AF513" s="77" t="str">
        <f t="shared" si="209"/>
        <v>NonResidential</v>
      </c>
      <c r="AG513" s="77" t="str">
        <f>tbl_Data[[#This Row],[All_Meas_Name_Append]]</f>
        <v>Ceiling Insulation(R2 to R38)</v>
      </c>
      <c r="AH513" s="77">
        <f>AVERAGEIFS('3. Incentive Adjustment'!G:G,'3. Incentive Adjustment'!A:A,tbl_Data[[#This Row],[Trimmed Sector]],'3. Incentive Adjustment'!B:B,tbl_Data[[#This Row],[Trimmed Measure Name]])</f>
        <v>3.0218441517909909E-3</v>
      </c>
      <c r="AI513" s="77">
        <f>$AH513*tbl_Data[[#This Row],[2025 ]]</f>
        <v>0.24210124761814619</v>
      </c>
      <c r="AJ513" s="77">
        <f>$AH513*tbl_Data[[#This Row],[2026 ]]</f>
        <v>0.47964155599127556</v>
      </c>
      <c r="AK513" s="77">
        <f>$AH513*tbl_Data[[#This Row],[2027 ]]</f>
        <v>0.71059483132559853</v>
      </c>
      <c r="AL513" s="77">
        <f>$AH513*tbl_Data[[#This Row],[2028 ]]</f>
        <v>0.93512731562586293</v>
      </c>
      <c r="AM513" s="77">
        <f>$AH513*tbl_Data[[#This Row],[2029 ]]</f>
        <v>1.1534686905493434</v>
      </c>
      <c r="AN513" s="77">
        <f>$AH513*tbl_Data[[#This Row],[2030 ]]</f>
        <v>1.3652413379271227</v>
      </c>
      <c r="AO513" s="77">
        <f>$AH513*tbl_Data[[#This Row],[2031 ]]</f>
        <v>1.5705079201086558</v>
      </c>
      <c r="AP513" s="77">
        <f>$AH513*tbl_Data[[#This Row],[2032 ]]</f>
        <v>1.7696748186145532</v>
      </c>
      <c r="AQ513" s="77">
        <f>$AH513*tbl_Data[[#This Row],[2033 ]]</f>
        <v>1.9628089450059276</v>
      </c>
      <c r="AR513" s="77">
        <f>$AH513*tbl_Data[[#This Row],[2034 ]]</f>
        <v>2.1500921532320354</v>
      </c>
      <c r="AS513" s="77">
        <f>SUM(tbl_Data[[#This Row],[Adjusted 2025]:[Adjusted 2034]])</f>
        <v>12.339258815998521</v>
      </c>
      <c r="AT513" s="80">
        <f>AVERAGEIFS('3. Incentive Adjustment'!F:F,'3. Incentive Adjustment'!A:A,tbl_Data[[#This Row],[Trimmed Sector]],'3. Incentive Adjustment'!B:B,tbl_Data[[#This Row],[Trimmed Measure Name]])</f>
        <v>4373.4448922946976</v>
      </c>
      <c r="AU513" s="80">
        <f>IFERROR(VLOOKUP(tbl_Data[[#This Row],[All_Meas_Name_Append]],'IRA Tax Credits'!$A$3:$D$46,4,0),0)</f>
        <v>0</v>
      </c>
      <c r="AV513" s="81">
        <f>tbl_Data[[#This Row],[Adj. per unit Incentive ($)]]/tbl_Data[[#This Row],[kWh Savings]]*tbl_Data[[#This Row],[Sum of Annuals]]</f>
        <v>2.8830901325026295</v>
      </c>
      <c r="AW513" s="81" t="str">
        <f>IFERROR(VLOOKUP(tbl_Data[[#This Row],[Column1]],'1. Set Program Names'!$B$2:$D$15,3,0)*tbl_Data[[#This Row],[Sum of Annuals]],"")</f>
        <v/>
      </c>
      <c r="AX513" s="81">
        <f>tbl_Data[[#This Row],[per unit IRA tax ($)]]/tbl_Data[[#This Row],[kWh Savings]]*tbl_Data[[#This Row],[Sum of Annuals]]</f>
        <v>0</v>
      </c>
      <c r="AY513" s="81">
        <f>tbl_Data[[#This Row],[Avoided Costs ($/unit)]]/tbl_Data[[#This Row],[kWh Savings]]*tbl_Data[[#This Row],[Sum of Annuals]]</f>
        <v>7.2796489210404296</v>
      </c>
      <c r="AZ513" s="81">
        <f>tbl_Data[[#This Row],[Lost Revenue ($/unit)]]/tbl_Data[[#This Row],[kWh Savings]]*tbl_Data[[#This Row],[Sum of Annuals]]</f>
        <v>19.022051992008524</v>
      </c>
      <c r="BA513" s="81">
        <f>tbl_Data[[#This Row],[Incremental Cost ($/unit)]]/tbl_Data[[#This Row],[kWh Savings]]*tbl_Data[[#This Row],[Sum of Annuals]]</f>
        <v>22.31353544196087</v>
      </c>
      <c r="BB513" s="77">
        <f>ROUNDUP(tbl_Data[[#This Row],[Adjusted 2025]]/$L513,0)</f>
        <v>1</v>
      </c>
      <c r="BC513" s="77">
        <f>ROUNDUP(tbl_Data[[#This Row],[Adjusted 2026]]/$L513,0)</f>
        <v>1</v>
      </c>
      <c r="BD513" s="77">
        <f>ROUNDUP(tbl_Data[[#This Row],[Adjusted 2027]]/$L513,0)</f>
        <v>1</v>
      </c>
      <c r="BE513" s="77">
        <f>ROUNDUP(tbl_Data[[#This Row],[Adjusted 2028]]/$L513,0)</f>
        <v>1</v>
      </c>
      <c r="BF513" s="77">
        <f>ROUNDUP(tbl_Data[[#This Row],[Adjusted 2029]]/$L513,0)</f>
        <v>1</v>
      </c>
      <c r="BG513" s="77">
        <f>ROUNDUP(tbl_Data[[#This Row],[Adjusted 2030]]/$L513,0)</f>
        <v>1</v>
      </c>
      <c r="BH513" s="77">
        <f>ROUNDUP(tbl_Data[[#This Row],[Adjusted 2031]]/$L513,0)</f>
        <v>1</v>
      </c>
      <c r="BI513" s="77">
        <f>ROUNDUP(tbl_Data[[#This Row],[Adjusted 2032]]/$L513,0)</f>
        <v>1</v>
      </c>
      <c r="BJ513" s="77">
        <f>ROUNDUP(tbl_Data[[#This Row],[Adjusted 2033]]/$L513,0)</f>
        <v>1</v>
      </c>
      <c r="BK513" s="77">
        <f>ROUNDUP(tbl_Data[[#This Row],[Adjusted 2034]]/$L513,0)</f>
        <v>1</v>
      </c>
      <c r="BL513" s="80">
        <f t="shared" si="210"/>
        <v>18.719494255357798</v>
      </c>
      <c r="BM513" s="80">
        <f t="shared" si="211"/>
        <v>37.086332434647815</v>
      </c>
      <c r="BN513" s="80">
        <f t="shared" si="212"/>
        <v>54.943855076149809</v>
      </c>
      <c r="BO513" s="80">
        <f t="shared" si="213"/>
        <v>72.304916166712218</v>
      </c>
      <c r="BP513" s="80">
        <f t="shared" si="214"/>
        <v>89.187274906282255</v>
      </c>
      <c r="BQ513" s="80">
        <f t="shared" si="215"/>
        <v>105.56173350586329</v>
      </c>
      <c r="BR513" s="80">
        <f t="shared" si="216"/>
        <v>121.43313707675563</v>
      </c>
      <c r="BS513" s="80">
        <f t="shared" si="217"/>
        <v>136.83290741713421</v>
      </c>
      <c r="BT513" s="80">
        <f t="shared" si="218"/>
        <v>151.76621819130759</v>
      </c>
      <c r="BU513" s="80">
        <f t="shared" si="219"/>
        <v>166.24713051623368</v>
      </c>
      <c r="BV513" s="80" t="str">
        <f>IFERROR(VLOOKUP($H513,'1. Set Program Names'!$B$2:$D$15,3,0)*V513,"NA")</f>
        <v>NA</v>
      </c>
      <c r="BW513" s="80" t="str">
        <f>IFERROR(VLOOKUP($H513,'1. Set Program Names'!$B$2:$D$15,3,0)*W513,"NA")</f>
        <v>NA</v>
      </c>
      <c r="BX513" s="80" t="str">
        <f>IFERROR(VLOOKUP($H513,'1. Set Program Names'!$B$2:$D$15,3,0)*X513,"NA")</f>
        <v>NA</v>
      </c>
      <c r="BY513" s="80" t="str">
        <f>IFERROR(VLOOKUP($H513,'1. Set Program Names'!$B$2:$D$15,3,0)*Y513,"NA")</f>
        <v>NA</v>
      </c>
      <c r="BZ513" s="80" t="str">
        <f>IFERROR(VLOOKUP($H513,'1. Set Program Names'!$B$2:$D$15,3,0)*Z513,"NA")</f>
        <v>NA</v>
      </c>
      <c r="CA513" s="80" t="str">
        <f>IFERROR(VLOOKUP($H513,'1. Set Program Names'!$B$2:$D$15,3,0)*AA513,"NA")</f>
        <v>NA</v>
      </c>
      <c r="CB513" s="80" t="str">
        <f>IFERROR(VLOOKUP($H513,'1. Set Program Names'!$B$2:$D$15,3,0)*AB513,"NA")</f>
        <v>NA</v>
      </c>
      <c r="CC513" s="80" t="str">
        <f>IFERROR(VLOOKUP($H513,'1. Set Program Names'!$B$2:$D$15,3,0)*AC513,"NA")</f>
        <v>NA</v>
      </c>
      <c r="CD513" s="80" t="str">
        <f>IFERROR(VLOOKUP($H513,'1. Set Program Names'!$B$2:$D$15,3,0)*AD513,"NA")</f>
        <v>NA</v>
      </c>
      <c r="CE513" s="80" t="str">
        <f>IFERROR(VLOOKUP($H513,'1. Set Program Names'!$B$2:$D$15,3,0)*AE513,"NA")</f>
        <v>NA</v>
      </c>
    </row>
    <row r="514" spans="1:83" x14ac:dyDescent="0.25">
      <c r="A514" s="79" t="s">
        <v>113</v>
      </c>
      <c r="B514" s="79" t="s">
        <v>88</v>
      </c>
      <c r="C514" s="79" t="s">
        <v>122</v>
      </c>
      <c r="D514" s="79" t="s">
        <v>90</v>
      </c>
      <c r="E514" s="79" t="s">
        <v>91</v>
      </c>
      <c r="F514" s="79" t="s">
        <v>90</v>
      </c>
      <c r="G514" s="79" t="s">
        <v>92</v>
      </c>
      <c r="H514" s="79" t="s">
        <v>20</v>
      </c>
      <c r="I514" s="79" t="s">
        <v>241</v>
      </c>
      <c r="J514" s="79" t="s">
        <v>129</v>
      </c>
      <c r="K514" s="79" t="s">
        <v>102</v>
      </c>
      <c r="L514" s="79">
        <v>19185.113333333298</v>
      </c>
      <c r="M514" s="79">
        <v>4.6125790568704801</v>
      </c>
      <c r="N514" s="79">
        <v>0.25911922024205197</v>
      </c>
      <c r="O514" s="79">
        <f>11417.3/6341.92*tbl_Data[[#This Row],[kWh Savings]]</f>
        <v>34538.782334161617</v>
      </c>
      <c r="P514" s="79">
        <v>25197.386166847798</v>
      </c>
      <c r="Q514" s="79">
        <v>1151.1068</v>
      </c>
      <c r="R514" s="79">
        <v>12014.6297388403</v>
      </c>
      <c r="S514" s="79">
        <v>29575.538429105502</v>
      </c>
      <c r="T514" s="79">
        <v>30</v>
      </c>
      <c r="U514" s="79">
        <v>0.05</v>
      </c>
      <c r="V514" s="79">
        <f>tbl_Data_old[[#This Row],[2025 ]]*IFERROR(AVERAGEIFS('Participation Adjustment'!$C:$C,'Participation Adjustment'!$A:$A,$H514,'Participation Adjustment'!$B:$B,$I514),1)</f>
        <v>85.3630252876914</v>
      </c>
      <c r="W514" s="79">
        <f>tbl_Data_old[[#This Row],[2026 ]]*IFERROR(AVERAGEIFS('Participation Adjustment'!$C:$C,'Participation Adjustment'!$A:$A,$H514,'Participation Adjustment'!$B:$B,$I514),1)</f>
        <v>169.00333415560701</v>
      </c>
      <c r="X514" s="79">
        <f>tbl_Data_old[[#This Row],[2027 ]]*IFERROR(AVERAGEIFS('Participation Adjustment'!$C:$C,'Participation Adjustment'!$A:$A,$H514,'Participation Adjustment'!$B:$B,$I514),1)</f>
        <v>250.19996837215399</v>
      </c>
      <c r="Y514" s="79">
        <f>tbl_Data_old[[#This Row],[2028 ]]*IFERROR(AVERAGEIFS('Participation Adjustment'!$C:$C,'Participation Adjustment'!$A:$A,$H514,'Participation Adjustment'!$B:$B,$I514),1)</f>
        <v>329.006404590925</v>
      </c>
      <c r="Z514" s="79">
        <f>tbl_Data_old[[#This Row],[2029 ]]*IFERROR(AVERAGEIFS('Participation Adjustment'!$C:$C,'Participation Adjustment'!$A:$A,$H514,'Participation Adjustment'!$B:$B,$I514),1)</f>
        <v>405.49952680587302</v>
      </c>
      <c r="AA514" s="79">
        <f>tbl_Data_old[[#This Row],[2030 ]]*IFERROR(AVERAGEIFS('Participation Adjustment'!$C:$C,'Participation Adjustment'!$A:$A,$H514,'Participation Adjustment'!$B:$B,$I514),1)</f>
        <v>479.54483014461999</v>
      </c>
      <c r="AB514" s="79">
        <f>tbl_Data_old[[#This Row],[2031 ]]*IFERROR(AVERAGEIFS('Participation Adjustment'!$C:$C,'Participation Adjustment'!$A:$A,$H514,'Participation Adjustment'!$B:$B,$I514),1)</f>
        <v>551.16344988630703</v>
      </c>
      <c r="AC514" s="79">
        <f>tbl_Data_old[[#This Row],[2032 ]]*IFERROR(AVERAGEIFS('Participation Adjustment'!$C:$C,'Participation Adjustment'!$A:$A,$H514,'Participation Adjustment'!$B:$B,$I514),1)</f>
        <v>620.49728849940902</v>
      </c>
      <c r="AD514" s="79">
        <f>tbl_Data_old[[#This Row],[2033 ]]*IFERROR(AVERAGEIFS('Participation Adjustment'!$C:$C,'Participation Adjustment'!$A:$A,$H514,'Participation Adjustment'!$B:$B,$I514),1)</f>
        <v>687.57048971420397</v>
      </c>
      <c r="AE514" s="79">
        <f>tbl_Data_old[[#This Row],[2034 ]]*IFERROR(AVERAGEIFS('Participation Adjustment'!$C:$C,'Participation Adjustment'!$A:$A,$H514,'Participation Adjustment'!$B:$B,$I514),1)</f>
        <v>752.44768284899601</v>
      </c>
      <c r="AF514" s="77" t="str">
        <f t="shared" si="209"/>
        <v>NonResidential</v>
      </c>
      <c r="AG514" s="77" t="str">
        <f>tbl_Data[[#This Row],[All_Meas_Name_Append]]</f>
        <v>Ceiling Insulation(R2 to R49)</v>
      </c>
      <c r="AH514" s="77">
        <f>AVERAGEIFS('3. Incentive Adjustment'!G:G,'3. Incentive Adjustment'!A:A,tbl_Data[[#This Row],[Trimmed Sector]],'3. Incentive Adjustment'!B:B,tbl_Data[[#This Row],[Trimmed Measure Name]])</f>
        <v>5.674595082038876E-2</v>
      </c>
      <c r="AI514" s="77">
        <f>$AH514*tbl_Data[[#This Row],[2025 ]]</f>
        <v>4.8440060348549379</v>
      </c>
      <c r="AJ514" s="77">
        <f>$AH514*tbl_Data[[#This Row],[2026 ]]</f>
        <v>9.590254888475803</v>
      </c>
      <c r="AK514" s="77">
        <f>$AH514*tbl_Data[[#This Row],[2027 ]]</f>
        <v>14.197835100509074</v>
      </c>
      <c r="AL514" s="77">
        <f>$AH514*tbl_Data[[#This Row],[2028 ]]</f>
        <v>18.669781254509559</v>
      </c>
      <c r="AM514" s="77">
        <f>$AH514*tbl_Data[[#This Row],[2029 ]]</f>
        <v>23.010456205816983</v>
      </c>
      <c r="AN514" s="77">
        <f>$AH514*tbl_Data[[#This Row],[2030 ]]</f>
        <v>27.212227347558287</v>
      </c>
      <c r="AO514" s="77">
        <f>$AH514*tbl_Data[[#This Row],[2031 ]]</f>
        <v>31.276294021244183</v>
      </c>
      <c r="AP514" s="77">
        <f>$AH514*tbl_Data[[#This Row],[2032 ]]</f>
        <v>35.210708617372042</v>
      </c>
      <c r="AQ514" s="77">
        <f>$AH514*tbl_Data[[#This Row],[2033 ]]</f>
        <v>39.016841194872832</v>
      </c>
      <c r="AR514" s="77">
        <f>$AH514*tbl_Data[[#This Row],[2034 ]]</f>
        <v>42.698359205864605</v>
      </c>
      <c r="AS514" s="77">
        <f>SUM(tbl_Data[[#This Row],[Adjusted 2025]:[Adjusted 2034]])</f>
        <v>245.72676387107828</v>
      </c>
      <c r="AT514" s="80">
        <f>AVERAGEIFS('3. Incentive Adjustment'!F:F,'3. Incentive Adjustment'!A:A,tbl_Data[[#This Row],[Trimmed Sector]],'3. Incentive Adjustment'!B:B,tbl_Data[[#This Row],[Trimmed Measure Name]])</f>
        <v>4335.1908026959672</v>
      </c>
      <c r="AU514" s="80">
        <f>IFERROR(VLOOKUP(tbl_Data[[#This Row],[All_Meas_Name_Append]],'IRA Tax Credits'!$A$3:$D$46,4,0),0)</f>
        <v>500</v>
      </c>
      <c r="AV514" s="81">
        <f>tbl_Data[[#This Row],[Adj. per unit Incentive ($)]]/tbl_Data[[#This Row],[kWh Savings]]*tbl_Data[[#This Row],[Sum of Annuals]]</f>
        <v>55.52598977141708</v>
      </c>
      <c r="AW514" s="81" t="str">
        <f>IFERROR(VLOOKUP(tbl_Data[[#This Row],[Column1]],'1. Set Program Names'!$B$2:$D$15,3,0)*tbl_Data[[#This Row],[Sum of Annuals]],"")</f>
        <v/>
      </c>
      <c r="AX514" s="81">
        <f>tbl_Data[[#This Row],[per unit IRA tax ($)]]/tbl_Data[[#This Row],[kWh Savings]]*tbl_Data[[#This Row],[Sum of Annuals]]</f>
        <v>6.4040998768596982</v>
      </c>
      <c r="AY514" s="81">
        <f>tbl_Data[[#This Row],[Avoided Costs ($/unit)]]/tbl_Data[[#This Row],[kWh Savings]]*tbl_Data[[#This Row],[Sum of Annuals]]</f>
        <v>153.88577766204406</v>
      </c>
      <c r="AZ514" s="81">
        <f>tbl_Data[[#This Row],[Lost Revenue ($/unit)]]/tbl_Data[[#This Row],[kWh Savings]]*tbl_Data[[#This Row],[Sum of Annuals]]</f>
        <v>378.80940402378764</v>
      </c>
      <c r="BA514" s="81">
        <f>tbl_Data[[#This Row],[Incremental Cost ($/unit)]]/tbl_Data[[#This Row],[kWh Savings]]*tbl_Data[[#This Row],[Sum of Annuals]]</f>
        <v>442.37962338617666</v>
      </c>
      <c r="BB514" s="77">
        <f>ROUNDUP(tbl_Data[[#This Row],[Adjusted 2025]]/$L514,0)</f>
        <v>1</v>
      </c>
      <c r="BC514" s="77">
        <f>ROUNDUP(tbl_Data[[#This Row],[Adjusted 2026]]/$L514,0)</f>
        <v>1</v>
      </c>
      <c r="BD514" s="77">
        <f>ROUNDUP(tbl_Data[[#This Row],[Adjusted 2027]]/$L514,0)</f>
        <v>1</v>
      </c>
      <c r="BE514" s="77">
        <f>ROUNDUP(tbl_Data[[#This Row],[Adjusted 2028]]/$L514,0)</f>
        <v>1</v>
      </c>
      <c r="BF514" s="77">
        <f>ROUNDUP(tbl_Data[[#This Row],[Adjusted 2029]]/$L514,0)</f>
        <v>1</v>
      </c>
      <c r="BG514" s="77">
        <f>ROUNDUP(tbl_Data[[#This Row],[Adjusted 2030]]/$L514,0)</f>
        <v>1</v>
      </c>
      <c r="BH514" s="77">
        <f>ROUNDUP(tbl_Data[[#This Row],[Adjusted 2031]]/$L514,0)</f>
        <v>1</v>
      </c>
      <c r="BI514" s="77">
        <f>ROUNDUP(tbl_Data[[#This Row],[Adjusted 2032]]/$L514,0)</f>
        <v>1</v>
      </c>
      <c r="BJ514" s="77">
        <f>ROUNDUP(tbl_Data[[#This Row],[Adjusted 2033]]/$L514,0)</f>
        <v>1</v>
      </c>
      <c r="BK514" s="77">
        <f>ROUNDUP(tbl_Data[[#This Row],[Adjusted 2034]]/$L514,0)</f>
        <v>1</v>
      </c>
      <c r="BL514" s="80">
        <f t="shared" si="210"/>
        <v>19.289174668284666</v>
      </c>
      <c r="BM514" s="80">
        <f t="shared" si="211"/>
        <v>38.18907332610712</v>
      </c>
      <c r="BN514" s="80">
        <f t="shared" si="212"/>
        <v>56.536783644495152</v>
      </c>
      <c r="BO514" s="80">
        <f t="shared" si="213"/>
        <v>74.344389549813215</v>
      </c>
      <c r="BP514" s="80">
        <f t="shared" si="214"/>
        <v>91.629264240627748</v>
      </c>
      <c r="BQ514" s="80">
        <f t="shared" si="215"/>
        <v>108.36101413648292</v>
      </c>
      <c r="BR514" s="80">
        <f t="shared" si="216"/>
        <v>124.54441510010899</v>
      </c>
      <c r="BS514" s="80">
        <f t="shared" si="217"/>
        <v>140.21153232004687</v>
      </c>
      <c r="BT514" s="80">
        <f t="shared" si="218"/>
        <v>155.36782146786996</v>
      </c>
      <c r="BU514" s="80">
        <f t="shared" si="219"/>
        <v>170.02788659732695</v>
      </c>
      <c r="BV514" s="80" t="str">
        <f>IFERROR(VLOOKUP($H514,'1. Set Program Names'!$B$2:$D$15,3,0)*V514,"NA")</f>
        <v>NA</v>
      </c>
      <c r="BW514" s="80" t="str">
        <f>IFERROR(VLOOKUP($H514,'1. Set Program Names'!$B$2:$D$15,3,0)*W514,"NA")</f>
        <v>NA</v>
      </c>
      <c r="BX514" s="80" t="str">
        <f>IFERROR(VLOOKUP($H514,'1. Set Program Names'!$B$2:$D$15,3,0)*X514,"NA")</f>
        <v>NA</v>
      </c>
      <c r="BY514" s="80" t="str">
        <f>IFERROR(VLOOKUP($H514,'1. Set Program Names'!$B$2:$D$15,3,0)*Y514,"NA")</f>
        <v>NA</v>
      </c>
      <c r="BZ514" s="80" t="str">
        <f>IFERROR(VLOOKUP($H514,'1. Set Program Names'!$B$2:$D$15,3,0)*Z514,"NA")</f>
        <v>NA</v>
      </c>
      <c r="CA514" s="80" t="str">
        <f>IFERROR(VLOOKUP($H514,'1. Set Program Names'!$B$2:$D$15,3,0)*AA514,"NA")</f>
        <v>NA</v>
      </c>
      <c r="CB514" s="80" t="str">
        <f>IFERROR(VLOOKUP($H514,'1. Set Program Names'!$B$2:$D$15,3,0)*AB514,"NA")</f>
        <v>NA</v>
      </c>
      <c r="CC514" s="80" t="str">
        <f>IFERROR(VLOOKUP($H514,'1. Set Program Names'!$B$2:$D$15,3,0)*AC514,"NA")</f>
        <v>NA</v>
      </c>
      <c r="CD514" s="80" t="str">
        <f>IFERROR(VLOOKUP($H514,'1. Set Program Names'!$B$2:$D$15,3,0)*AD514,"NA")</f>
        <v>NA</v>
      </c>
      <c r="CE514" s="80" t="str">
        <f>IFERROR(VLOOKUP($H514,'1. Set Program Names'!$B$2:$D$15,3,0)*AE514,"NA")</f>
        <v>NA</v>
      </c>
    </row>
    <row r="515" spans="1:83" x14ac:dyDescent="0.25">
      <c r="A515" s="79" t="s">
        <v>113</v>
      </c>
      <c r="B515" s="79" t="s">
        <v>88</v>
      </c>
      <c r="C515" s="79" t="s">
        <v>122</v>
      </c>
      <c r="D515" s="79" t="s">
        <v>90</v>
      </c>
      <c r="E515" s="79" t="s">
        <v>91</v>
      </c>
      <c r="F515" s="79" t="s">
        <v>90</v>
      </c>
      <c r="G515" s="79" t="s">
        <v>92</v>
      </c>
      <c r="H515" s="79" t="s">
        <v>20</v>
      </c>
      <c r="I515" s="79" t="s">
        <v>128</v>
      </c>
      <c r="J515" s="79" t="s">
        <v>129</v>
      </c>
      <c r="K515" s="79" t="s">
        <v>130</v>
      </c>
      <c r="L515" s="79">
        <v>2045.1799999999989</v>
      </c>
      <c r="M515" s="79">
        <v>0.47104509500000002</v>
      </c>
      <c r="N515" s="79">
        <v>0.17900382200000001</v>
      </c>
      <c r="O515" s="79">
        <f>19591.5999999999/60160.456*2045.18</f>
        <v>666.02468053100858</v>
      </c>
      <c r="P515" s="79">
        <f>11310.7385995848/60160.456*2045.18</f>
        <v>384.51331501042552</v>
      </c>
      <c r="Q515" s="79">
        <f>2141.69388188172/60160.456*2045.18</f>
        <v>72.807784125619918</v>
      </c>
      <c r="R515" s="79">
        <f>32581.871747558/60160.456*2045.18</f>
        <v>1107.6344311730397</v>
      </c>
      <c r="S515" s="79">
        <f>77209.8271220691/60160.456*2045.18</f>
        <v>2624.780540784353</v>
      </c>
      <c r="T515" s="79">
        <v>20</v>
      </c>
      <c r="U515" s="79">
        <v>4.9999999999999899E-2</v>
      </c>
      <c r="V515" s="79">
        <f>tbl_Data_old[[#This Row],[2025 ]]*IFERROR(AVERAGEIFS('Participation Adjustment'!$C:$C,'Participation Adjustment'!$A:$A,$H515,'Participation Adjustment'!$B:$B,$I515),1)</f>
        <v>3764.8641025421398</v>
      </c>
      <c r="W515" s="79">
        <f>tbl_Data_old[[#This Row],[2026 ]]*IFERROR(AVERAGEIFS('Participation Adjustment'!$C:$C,'Participation Adjustment'!$A:$A,$H515,'Participation Adjustment'!$B:$B,$I515),1)</f>
        <v>7478.0492578512903</v>
      </c>
      <c r="X515" s="79">
        <f>tbl_Data_old[[#This Row],[2027 ]]*IFERROR(AVERAGEIFS('Participation Adjustment'!$C:$C,'Participation Adjustment'!$A:$A,$H515,'Participation Adjustment'!$B:$B,$I515),1)</f>
        <v>11120.3364197314</v>
      </c>
      <c r="Y515" s="79">
        <f>tbl_Data_old[[#This Row],[2028 ]]*IFERROR(AVERAGEIFS('Participation Adjustment'!$C:$C,'Participation Adjustment'!$A:$A,$H515,'Participation Adjustment'!$B:$B,$I515),1)</f>
        <v>14693.312449610199</v>
      </c>
      <c r="Z515" s="79">
        <f>tbl_Data_old[[#This Row],[2029 ]]*IFERROR(AVERAGEIFS('Participation Adjustment'!$C:$C,'Participation Adjustment'!$A:$A,$H515,'Participation Adjustment'!$B:$B,$I515),1)</f>
        <v>18193.3050098944</v>
      </c>
      <c r="AA515" s="79">
        <f>tbl_Data_old[[#This Row],[2030 ]]*IFERROR(AVERAGEIFS('Participation Adjustment'!$C:$C,'Participation Adjustment'!$A:$A,$H515,'Participation Adjustment'!$B:$B,$I515),1)</f>
        <v>21614.374578788698</v>
      </c>
      <c r="AB515" s="79">
        <f>tbl_Data_old[[#This Row],[2031 ]]*IFERROR(AVERAGEIFS('Participation Adjustment'!$C:$C,'Participation Adjustment'!$A:$A,$H515,'Participation Adjustment'!$B:$B,$I515),1)</f>
        <v>24950.733179884399</v>
      </c>
      <c r="AC515" s="79">
        <f>tbl_Data_old[[#This Row],[2032 ]]*IFERROR(AVERAGEIFS('Participation Adjustment'!$C:$C,'Participation Adjustment'!$A:$A,$H515,'Participation Adjustment'!$B:$B,$I515),1)</f>
        <v>28203.876316410198</v>
      </c>
      <c r="AD515" s="79">
        <f>tbl_Data_old[[#This Row],[2033 ]]*IFERROR(AVERAGEIFS('Participation Adjustment'!$C:$C,'Participation Adjustment'!$A:$A,$H515,'Participation Adjustment'!$B:$B,$I515),1)</f>
        <v>31379.750643359701</v>
      </c>
      <c r="AE515" s="79">
        <f>tbl_Data_old[[#This Row],[2034 ]]*IFERROR(AVERAGEIFS('Participation Adjustment'!$C:$C,'Participation Adjustment'!$A:$A,$H515,'Participation Adjustment'!$B:$B,$I515),1)</f>
        <v>34476.411004302601</v>
      </c>
      <c r="AF515" s="77" t="str">
        <f t="shared" si="209"/>
        <v>NonResidential</v>
      </c>
      <c r="AG515" s="77" t="str">
        <f>tbl_Data[[#This Row],[All_Meas_Name_Append]]</f>
        <v>Commercial Duct Sealing</v>
      </c>
      <c r="AH515" s="77">
        <f>AVERAGEIFS('3. Incentive Adjustment'!G:G,'3. Incentive Adjustment'!A:A,tbl_Data[[#This Row],[Trimmed Sector]],'3. Incentive Adjustment'!B:B,tbl_Data[[#This Row],[Trimmed Measure Name]])</f>
        <v>0.69277112909915817</v>
      </c>
      <c r="AI515" s="77">
        <f>$AH515*tbl_Data[[#This Row],[2025 ]]</f>
        <v>2608.1891552230068</v>
      </c>
      <c r="AJ515" s="77">
        <f>$AH515*tbl_Data[[#This Row],[2026 ]]</f>
        <v>5180.5766278207602</v>
      </c>
      <c r="AK515" s="77">
        <f>$AH515*tbl_Data[[#This Row],[2027 ]]</f>
        <v>7703.8480174598126</v>
      </c>
      <c r="AL515" s="77">
        <f>$AH515*tbl_Data[[#This Row],[2028 ]]</f>
        <v>10179.102655923176</v>
      </c>
      <c r="AM515" s="77">
        <f>$AH515*tbl_Data[[#This Row],[2029 ]]</f>
        <v>12603.796453749916</v>
      </c>
      <c r="AN515" s="77">
        <f>$AH515*tbl_Data[[#This Row],[2030 ]]</f>
        <v>14973.814681719588</v>
      </c>
      <c r="AO515" s="77">
        <f>$AH515*tbl_Data[[#This Row],[2031 ]]</f>
        <v>17285.147596880342</v>
      </c>
      <c r="AP515" s="77">
        <f>$AH515*tbl_Data[[#This Row],[2032 ]]</f>
        <v>19538.8312406925</v>
      </c>
      <c r="AQ515" s="77">
        <f>$AH515*tbl_Data[[#This Row],[2033 ]]</f>
        <v>21738.985284050334</v>
      </c>
      <c r="AR515" s="77">
        <f>$AH515*tbl_Data[[#This Row],[2034 ]]</f>
        <v>23884.262178737354</v>
      </c>
      <c r="AS515" s="77">
        <f>SUM(tbl_Data[[#This Row],[Adjusted 2025]:[Adjusted 2034]])</f>
        <v>135696.55389225678</v>
      </c>
      <c r="AT515" s="80">
        <f>AVERAGEIFS('3. Incentive Adjustment'!F:F,'3. Incentive Adjustment'!A:A,tbl_Data[[#This Row],[Trimmed Sector]],'3. Incentive Adjustment'!B:B,tbl_Data[[#This Row],[Trimmed Measure Name]])</f>
        <v>100</v>
      </c>
      <c r="AU515" s="80">
        <f>IFERROR(VLOOKUP(tbl_Data[[#This Row],[All_Meas_Name_Append]],'IRA Tax Credits'!$A$3:$D$46,4,0),0)</f>
        <v>0</v>
      </c>
      <c r="AV515" s="81">
        <f>tbl_Data[[#This Row],[Adj. per unit Incentive ($)]]/tbl_Data[[#This Row],[kWh Savings]]*tbl_Data[[#This Row],[Sum of Annuals]]</f>
        <v>6634.9443028123123</v>
      </c>
      <c r="AW515" s="81" t="str">
        <f>IFERROR(VLOOKUP(tbl_Data[[#This Row],[Column1]],'1. Set Program Names'!$B$2:$D$15,3,0)*tbl_Data[[#This Row],[Sum of Annuals]],"")</f>
        <v/>
      </c>
      <c r="AX515" s="81">
        <f>tbl_Data[[#This Row],[per unit IRA tax ($)]]/tbl_Data[[#This Row],[kWh Savings]]*tbl_Data[[#This Row],[Sum of Annuals]]</f>
        <v>0</v>
      </c>
      <c r="AY515" s="81">
        <f>tbl_Data[[#This Row],[Avoided Costs ($/unit)]]/tbl_Data[[#This Row],[kWh Savings]]*tbl_Data[[#This Row],[Sum of Annuals]]</f>
        <v>73490.927587103171</v>
      </c>
      <c r="AZ515" s="81">
        <f>tbl_Data[[#This Row],[Lost Revenue ($/unit)]]/tbl_Data[[#This Row],[kWh Savings]]*tbl_Data[[#This Row],[Sum of Annuals]]</f>
        <v>174152.72695209764</v>
      </c>
      <c r="BA515" s="81">
        <f>tbl_Data[[#This Row],[Incremental Cost ($/unit)]]/tbl_Data[[#This Row],[kWh Savings]]*tbl_Data[[#This Row],[Sum of Annuals]]</f>
        <v>44190.366596216059</v>
      </c>
      <c r="BB515" s="77">
        <f>ROUNDUP(tbl_Data[[#This Row],[Adjusted 2025]]/$L515,0)</f>
        <v>2</v>
      </c>
      <c r="BC515" s="77">
        <f>ROUNDUP(tbl_Data[[#This Row],[Adjusted 2026]]/$L515,0)</f>
        <v>3</v>
      </c>
      <c r="BD515" s="77">
        <f>ROUNDUP(tbl_Data[[#This Row],[Adjusted 2027]]/$L515,0)</f>
        <v>4</v>
      </c>
      <c r="BE515" s="77">
        <f>ROUNDUP(tbl_Data[[#This Row],[Adjusted 2028]]/$L515,0)</f>
        <v>5</v>
      </c>
      <c r="BF515" s="77">
        <f>ROUNDUP(tbl_Data[[#This Row],[Adjusted 2029]]/$L515,0)</f>
        <v>7</v>
      </c>
      <c r="BG515" s="77">
        <f>ROUNDUP(tbl_Data[[#This Row],[Adjusted 2030]]/$L515,0)</f>
        <v>8</v>
      </c>
      <c r="BH515" s="77">
        <f>ROUNDUP(tbl_Data[[#This Row],[Adjusted 2031]]/$L515,0)</f>
        <v>9</v>
      </c>
      <c r="BI515" s="77">
        <f>ROUNDUP(tbl_Data[[#This Row],[Adjusted 2032]]/$L515,0)</f>
        <v>10</v>
      </c>
      <c r="BJ515" s="77">
        <f>ROUNDUP(tbl_Data[[#This Row],[Adjusted 2033]]/$L515,0)</f>
        <v>11</v>
      </c>
      <c r="BK515" s="77">
        <f>ROUNDUP(tbl_Data[[#This Row],[Adjusted 2034]]/$L515,0)</f>
        <v>12</v>
      </c>
      <c r="BL515" s="80">
        <f t="shared" si="210"/>
        <v>184.08473105262823</v>
      </c>
      <c r="BM515" s="80">
        <f t="shared" si="211"/>
        <v>365.64259663458932</v>
      </c>
      <c r="BN515" s="80">
        <f t="shared" si="212"/>
        <v>543.73387280001793</v>
      </c>
      <c r="BO515" s="80">
        <f t="shared" si="213"/>
        <v>718.43614985527961</v>
      </c>
      <c r="BP515" s="80">
        <f t="shared" si="214"/>
        <v>889.56986719479016</v>
      </c>
      <c r="BQ515" s="80">
        <f t="shared" si="215"/>
        <v>1056.8446092172185</v>
      </c>
      <c r="BR515" s="80">
        <f t="shared" si="216"/>
        <v>1219.9773702013717</v>
      </c>
      <c r="BS515" s="80">
        <f t="shared" si="217"/>
        <v>1379.0412734532028</v>
      </c>
      <c r="BT515" s="80">
        <f t="shared" si="218"/>
        <v>1534.3270833549966</v>
      </c>
      <c r="BU515" s="80">
        <f t="shared" si="219"/>
        <v>1685.7396906043782</v>
      </c>
      <c r="BV515" s="80" t="str">
        <f>IFERROR(VLOOKUP($H515,'1. Set Program Names'!$B$2:$D$15,3,0)*V515,"NA")</f>
        <v>NA</v>
      </c>
      <c r="BW515" s="80" t="str">
        <f>IFERROR(VLOOKUP($H515,'1. Set Program Names'!$B$2:$D$15,3,0)*W515,"NA")</f>
        <v>NA</v>
      </c>
      <c r="BX515" s="80" t="str">
        <f>IFERROR(VLOOKUP($H515,'1. Set Program Names'!$B$2:$D$15,3,0)*X515,"NA")</f>
        <v>NA</v>
      </c>
      <c r="BY515" s="80" t="str">
        <f>IFERROR(VLOOKUP($H515,'1. Set Program Names'!$B$2:$D$15,3,0)*Y515,"NA")</f>
        <v>NA</v>
      </c>
      <c r="BZ515" s="80" t="str">
        <f>IFERROR(VLOOKUP($H515,'1. Set Program Names'!$B$2:$D$15,3,0)*Z515,"NA")</f>
        <v>NA</v>
      </c>
      <c r="CA515" s="80" t="str">
        <f>IFERROR(VLOOKUP($H515,'1. Set Program Names'!$B$2:$D$15,3,0)*AA515,"NA")</f>
        <v>NA</v>
      </c>
      <c r="CB515" s="80" t="str">
        <f>IFERROR(VLOOKUP($H515,'1. Set Program Names'!$B$2:$D$15,3,0)*AB515,"NA")</f>
        <v>NA</v>
      </c>
      <c r="CC515" s="80" t="str">
        <f>IFERROR(VLOOKUP($H515,'1. Set Program Names'!$B$2:$D$15,3,0)*AC515,"NA")</f>
        <v>NA</v>
      </c>
      <c r="CD515" s="80" t="str">
        <f>IFERROR(VLOOKUP($H515,'1. Set Program Names'!$B$2:$D$15,3,0)*AD515,"NA")</f>
        <v>NA</v>
      </c>
      <c r="CE515" s="80" t="str">
        <f>IFERROR(VLOOKUP($H515,'1. Set Program Names'!$B$2:$D$15,3,0)*AE515,"NA")</f>
        <v>NA</v>
      </c>
    </row>
    <row r="516" spans="1:83" x14ac:dyDescent="0.25">
      <c r="A516" s="79" t="s">
        <v>113</v>
      </c>
      <c r="B516" s="79" t="s">
        <v>88</v>
      </c>
      <c r="C516" s="79" t="s">
        <v>122</v>
      </c>
      <c r="D516" s="79" t="s">
        <v>90</v>
      </c>
      <c r="E516" s="79" t="s">
        <v>91</v>
      </c>
      <c r="F516" s="79" t="s">
        <v>90</v>
      </c>
      <c r="G516" s="79" t="s">
        <v>92</v>
      </c>
      <c r="H516" s="79" t="s">
        <v>20</v>
      </c>
      <c r="I516" s="79" t="s">
        <v>303</v>
      </c>
      <c r="J516" s="79" t="s">
        <v>129</v>
      </c>
      <c r="K516" s="79" t="s">
        <v>298</v>
      </c>
      <c r="L516" s="79">
        <v>2407.8671428571402</v>
      </c>
      <c r="M516" s="79">
        <v>0.43509988390469401</v>
      </c>
      <c r="N516" s="79">
        <v>0.148929049658067</v>
      </c>
      <c r="O516" s="79">
        <v>1278.9912095238201</v>
      </c>
      <c r="P516" s="79">
        <v>9094.9443435978392</v>
      </c>
      <c r="Q516" s="79">
        <v>144.47202857142801</v>
      </c>
      <c r="R516" s="79">
        <v>1364.7105452988201</v>
      </c>
      <c r="S516" s="79">
        <v>3090.2526043504499</v>
      </c>
      <c r="T516" s="79">
        <v>20</v>
      </c>
      <c r="U516" s="79">
        <v>4.9999999999999899E-2</v>
      </c>
      <c r="V516" s="79">
        <f>tbl_Data_old[[#This Row],[2025 ]]*IFERROR(AVERAGEIFS('Participation Adjustment'!$C:$C,'Participation Adjustment'!$A:$A,$H516,'Participation Adjustment'!$B:$B,$I516),1)</f>
        <v>1477.48685112674</v>
      </c>
      <c r="W516" s="79">
        <f>tbl_Data_old[[#This Row],[2026 ]]*IFERROR(AVERAGEIFS('Participation Adjustment'!$C:$C,'Participation Adjustment'!$A:$A,$H516,'Participation Adjustment'!$B:$B,$I516),1)</f>
        <v>2880.9736012449198</v>
      </c>
      <c r="X516" s="79">
        <f>tbl_Data_old[[#This Row],[2027 ]]*IFERROR(AVERAGEIFS('Participation Adjustment'!$C:$C,'Participation Adjustment'!$A:$A,$H516,'Participation Adjustment'!$B:$B,$I516),1)</f>
        <v>4198.2282871449497</v>
      </c>
      <c r="Y516" s="79">
        <f>tbl_Data_old[[#This Row],[2028 ]]*IFERROR(AVERAGEIFS('Participation Adjustment'!$C:$C,'Participation Adjustment'!$A:$A,$H516,'Participation Adjustment'!$B:$B,$I516),1)</f>
        <v>5429.6059243522004</v>
      </c>
      <c r="Z516" s="79">
        <f>tbl_Data_old[[#This Row],[2029 ]]*IFERROR(AVERAGEIFS('Participation Adjustment'!$C:$C,'Participation Adjustment'!$A:$A,$H516,'Participation Adjustment'!$B:$B,$I516),1)</f>
        <v>6575.8875835154504</v>
      </c>
      <c r="AA516" s="79">
        <f>tbl_Data_old[[#This Row],[2030 ]]*IFERROR(AVERAGEIFS('Participation Adjustment'!$C:$C,'Participation Adjustment'!$A:$A,$H516,'Participation Adjustment'!$B:$B,$I516),1)</f>
        <v>7637.3961624020503</v>
      </c>
      <c r="AB516" s="79">
        <f>tbl_Data_old[[#This Row],[2031 ]]*IFERROR(AVERAGEIFS('Participation Adjustment'!$C:$C,'Participation Adjustment'!$A:$A,$H516,'Participation Adjustment'!$B:$B,$I516),1)</f>
        <v>8616.3899616854906</v>
      </c>
      <c r="AC516" s="79">
        <f>tbl_Data_old[[#This Row],[2032 ]]*IFERROR(AVERAGEIFS('Participation Adjustment'!$C:$C,'Participation Adjustment'!$A:$A,$H516,'Participation Adjustment'!$B:$B,$I516),1)</f>
        <v>9517.7178116732193</v>
      </c>
      <c r="AD516" s="79">
        <f>tbl_Data_old[[#This Row],[2033 ]]*IFERROR(AVERAGEIFS('Participation Adjustment'!$C:$C,'Participation Adjustment'!$A:$A,$H516,'Participation Adjustment'!$B:$B,$I516),1)</f>
        <v>10347.0556853487</v>
      </c>
      <c r="AE516" s="79">
        <f>tbl_Data_old[[#This Row],[2034 ]]*IFERROR(AVERAGEIFS('Participation Adjustment'!$C:$C,'Participation Adjustment'!$A:$A,$H516,'Participation Adjustment'!$B:$B,$I516),1)</f>
        <v>11108.805173278501</v>
      </c>
      <c r="AF516" s="77" t="str">
        <f t="shared" si="209"/>
        <v>NonResidential</v>
      </c>
      <c r="AG516" s="77" t="str">
        <f>tbl_Data[[#This Row],[All_Meas_Name_Append]]</f>
        <v>Energy Star windows</v>
      </c>
      <c r="AH516" s="77">
        <f>AVERAGEIFS('3. Incentive Adjustment'!G:G,'3. Incentive Adjustment'!A:A,tbl_Data[[#This Row],[Trimmed Sector]],'3. Incentive Adjustment'!B:B,tbl_Data[[#This Row],[Trimmed Measure Name]])</f>
        <v>1.8374525511831319E-4</v>
      </c>
      <c r="AI516" s="77">
        <f>$AH516*tbl_Data[[#This Row],[2025 ]]</f>
        <v>0.27148119839423607</v>
      </c>
      <c r="AJ516" s="77">
        <f>$AH516*tbl_Data[[#This Row],[2026 ]]</f>
        <v>0.52936522934987329</v>
      </c>
      <c r="AK516" s="77">
        <f>$AH516*tbl_Data[[#This Row],[2027 ]]</f>
        <v>0.7714045276663678</v>
      </c>
      <c r="AL516" s="77">
        <f>$AH516*tbl_Data[[#This Row],[2028 ]]</f>
        <v>0.99766432576199982</v>
      </c>
      <c r="AM516" s="77">
        <f>$AH516*tbl_Data[[#This Row],[2029 ]]</f>
        <v>1.2082881416623945</v>
      </c>
      <c r="AN516" s="77">
        <f>$AH516*tbl_Data[[#This Row],[2030 ]]</f>
        <v>1.4033353063001908</v>
      </c>
      <c r="AO516" s="77">
        <f>$AH516*tbl_Data[[#This Row],[2031 ]]</f>
        <v>1.5832207717087732</v>
      </c>
      <c r="AP516" s="77">
        <f>$AH516*tbl_Data[[#This Row],[2032 ]]</f>
        <v>1.7488354874500092</v>
      </c>
      <c r="AQ516" s="77">
        <f>$AH516*tbl_Data[[#This Row],[2033 ]]</f>
        <v>1.9012223866277898</v>
      </c>
      <c r="AR516" s="77">
        <f>$AH516*tbl_Data[[#This Row],[2034 ]]</f>
        <v>2.0411902406236955</v>
      </c>
      <c r="AS516" s="77">
        <f>SUM(tbl_Data[[#This Row],[Adjusted 2025]:[Adjusted 2034]])</f>
        <v>12.45600761554533</v>
      </c>
      <c r="AT516" s="80">
        <f>AVERAGEIFS('3. Incentive Adjustment'!F:F,'3. Incentive Adjustment'!A:A,tbl_Data[[#This Row],[Trimmed Sector]],'3. Incentive Adjustment'!B:B,tbl_Data[[#This Row],[Trimmed Measure Name]])</f>
        <v>1244.9532966663394</v>
      </c>
      <c r="AU516" s="80">
        <f>IFERROR(VLOOKUP(tbl_Data[[#This Row],[All_Meas_Name_Append]],'IRA Tax Credits'!$A$3:$D$46,4,0),0)</f>
        <v>250</v>
      </c>
      <c r="AV516" s="81">
        <f>tbl_Data[[#This Row],[Adj. per unit Incentive ($)]]/tbl_Data[[#This Row],[kWh Savings]]*tbl_Data[[#This Row],[Sum of Annuals]]</f>
        <v>6.4402007354415876</v>
      </c>
      <c r="AW516" s="81" t="str">
        <f>IFERROR(VLOOKUP(tbl_Data[[#This Row],[Column1]],'1. Set Program Names'!$B$2:$D$15,3,0)*tbl_Data[[#This Row],[Sum of Annuals]],"")</f>
        <v/>
      </c>
      <c r="AX516" s="81">
        <f>tbl_Data[[#This Row],[per unit IRA tax ($)]]/tbl_Data[[#This Row],[kWh Savings]]*tbl_Data[[#This Row],[Sum of Annuals]]</f>
        <v>1.2932615128388283</v>
      </c>
      <c r="AY516" s="81">
        <f>tbl_Data[[#This Row],[Avoided Costs ($/unit)]]/tbl_Data[[#This Row],[kWh Savings]]*tbl_Data[[#This Row],[Sum of Annuals]]</f>
        <v>7.0597104976010172</v>
      </c>
      <c r="AZ516" s="81">
        <f>tbl_Data[[#This Row],[Lost Revenue ($/unit)]]/tbl_Data[[#This Row],[kWh Savings]]*tbl_Data[[#This Row],[Sum of Annuals]]</f>
        <v>15.98601903262557</v>
      </c>
      <c r="BA516" s="81">
        <f>tbl_Data[[#This Row],[Incremental Cost ($/unit)]]/tbl_Data[[#This Row],[kWh Savings]]*tbl_Data[[#This Row],[Sum of Annuals]]</f>
        <v>6.6162804261453543</v>
      </c>
      <c r="BB516" s="77">
        <f>ROUNDUP(tbl_Data[[#This Row],[Adjusted 2025]]/$L516,0)</f>
        <v>1</v>
      </c>
      <c r="BC516" s="77">
        <f>ROUNDUP(tbl_Data[[#This Row],[Adjusted 2026]]/$L516,0)</f>
        <v>1</v>
      </c>
      <c r="BD516" s="77">
        <f>ROUNDUP(tbl_Data[[#This Row],[Adjusted 2027]]/$L516,0)</f>
        <v>1</v>
      </c>
      <c r="BE516" s="77">
        <f>ROUNDUP(tbl_Data[[#This Row],[Adjusted 2028]]/$L516,0)</f>
        <v>1</v>
      </c>
      <c r="BF516" s="77">
        <f>ROUNDUP(tbl_Data[[#This Row],[Adjusted 2029]]/$L516,0)</f>
        <v>1</v>
      </c>
      <c r="BG516" s="77">
        <f>ROUNDUP(tbl_Data[[#This Row],[Adjusted 2030]]/$L516,0)</f>
        <v>1</v>
      </c>
      <c r="BH516" s="77">
        <f>ROUNDUP(tbl_Data[[#This Row],[Adjusted 2031]]/$L516,0)</f>
        <v>1</v>
      </c>
      <c r="BI516" s="77">
        <f>ROUNDUP(tbl_Data[[#This Row],[Adjusted 2032]]/$L516,0)</f>
        <v>1</v>
      </c>
      <c r="BJ516" s="77">
        <f>ROUNDUP(tbl_Data[[#This Row],[Adjusted 2033]]/$L516,0)</f>
        <v>1</v>
      </c>
      <c r="BK516" s="77">
        <f>ROUNDUP(tbl_Data[[#This Row],[Adjusted 2034]]/$L516,0)</f>
        <v>1</v>
      </c>
      <c r="BL516" s="80">
        <f t="shared" si="210"/>
        <v>763.91346239676511</v>
      </c>
      <c r="BM516" s="80">
        <f t="shared" si="211"/>
        <v>1489.566230063117</v>
      </c>
      <c r="BN516" s="80">
        <f t="shared" si="212"/>
        <v>2170.6339412220141</v>
      </c>
      <c r="BO516" s="80">
        <f t="shared" si="213"/>
        <v>2807.3001515775113</v>
      </c>
      <c r="BP516" s="80">
        <f t="shared" si="214"/>
        <v>3399.9687025466951</v>
      </c>
      <c r="BQ516" s="80">
        <f t="shared" si="215"/>
        <v>3948.8065438058134</v>
      </c>
      <c r="BR516" s="80">
        <f t="shared" si="216"/>
        <v>4454.981297445921</v>
      </c>
      <c r="BS516" s="80">
        <f t="shared" si="217"/>
        <v>4920.9999818854312</v>
      </c>
      <c r="BT516" s="80">
        <f t="shared" si="218"/>
        <v>5349.797277843134</v>
      </c>
      <c r="BU516" s="80">
        <f t="shared" si="219"/>
        <v>5743.6489648206862</v>
      </c>
      <c r="BV516" s="80" t="str">
        <f>IFERROR(VLOOKUP($H516,'1. Set Program Names'!$B$2:$D$15,3,0)*V516,"NA")</f>
        <v>NA</v>
      </c>
      <c r="BW516" s="80" t="str">
        <f>IFERROR(VLOOKUP($H516,'1. Set Program Names'!$B$2:$D$15,3,0)*W516,"NA")</f>
        <v>NA</v>
      </c>
      <c r="BX516" s="80" t="str">
        <f>IFERROR(VLOOKUP($H516,'1. Set Program Names'!$B$2:$D$15,3,0)*X516,"NA")</f>
        <v>NA</v>
      </c>
      <c r="BY516" s="80" t="str">
        <f>IFERROR(VLOOKUP($H516,'1. Set Program Names'!$B$2:$D$15,3,0)*Y516,"NA")</f>
        <v>NA</v>
      </c>
      <c r="BZ516" s="80" t="str">
        <f>IFERROR(VLOOKUP($H516,'1. Set Program Names'!$B$2:$D$15,3,0)*Z516,"NA")</f>
        <v>NA</v>
      </c>
      <c r="CA516" s="80" t="str">
        <f>IFERROR(VLOOKUP($H516,'1. Set Program Names'!$B$2:$D$15,3,0)*AA516,"NA")</f>
        <v>NA</v>
      </c>
      <c r="CB516" s="80" t="str">
        <f>IFERROR(VLOOKUP($H516,'1. Set Program Names'!$B$2:$D$15,3,0)*AB516,"NA")</f>
        <v>NA</v>
      </c>
      <c r="CC516" s="80" t="str">
        <f>IFERROR(VLOOKUP($H516,'1. Set Program Names'!$B$2:$D$15,3,0)*AC516,"NA")</f>
        <v>NA</v>
      </c>
      <c r="CD516" s="80" t="str">
        <f>IFERROR(VLOOKUP($H516,'1. Set Program Names'!$B$2:$D$15,3,0)*AD516,"NA")</f>
        <v>NA</v>
      </c>
      <c r="CE516" s="80" t="str">
        <f>IFERROR(VLOOKUP($H516,'1. Set Program Names'!$B$2:$D$15,3,0)*AE516,"NA")</f>
        <v>NA</v>
      </c>
    </row>
    <row r="517" spans="1:83" x14ac:dyDescent="0.25">
      <c r="A517" s="79" t="s">
        <v>113</v>
      </c>
      <c r="B517" s="79" t="s">
        <v>88</v>
      </c>
      <c r="C517" s="79" t="s">
        <v>122</v>
      </c>
      <c r="D517" s="79" t="s">
        <v>90</v>
      </c>
      <c r="E517" s="79" t="s">
        <v>91</v>
      </c>
      <c r="F517" s="79" t="s">
        <v>90</v>
      </c>
      <c r="G517" s="79" t="s">
        <v>92</v>
      </c>
      <c r="H517" s="79" t="s">
        <v>20</v>
      </c>
      <c r="I517" s="79" t="s">
        <v>143</v>
      </c>
      <c r="J517" s="79" t="s">
        <v>144</v>
      </c>
      <c r="K517" s="79" t="s">
        <v>108</v>
      </c>
      <c r="L517" s="79">
        <v>6670.6049999999896</v>
      </c>
      <c r="M517" s="79">
        <v>1.04667148638823</v>
      </c>
      <c r="N517" s="79">
        <v>1.5598507965563999</v>
      </c>
      <c r="O517" s="79">
        <v>2431.625</v>
      </c>
      <c r="P517" s="79">
        <v>977.24379425036398</v>
      </c>
      <c r="Q517" s="79">
        <v>400.23629999999901</v>
      </c>
      <c r="R517" s="79">
        <v>3400.8076679878</v>
      </c>
      <c r="S517" s="79">
        <v>7245.0779694633802</v>
      </c>
      <c r="T517" s="79">
        <v>15</v>
      </c>
      <c r="U517" s="79">
        <v>0.05</v>
      </c>
      <c r="V517" s="79">
        <f>tbl_Data_old[[#This Row],[2025 ]]*IFERROR(AVERAGEIFS('Participation Adjustment'!$C:$C,'Participation Adjustment'!$A:$A,$H517,'Participation Adjustment'!$B:$B,$I517),1)</f>
        <v>1692.8438372017399</v>
      </c>
      <c r="W517" s="79">
        <f>tbl_Data_old[[#This Row],[2026 ]]*IFERROR(AVERAGEIFS('Participation Adjustment'!$C:$C,'Participation Adjustment'!$A:$A,$H517,'Participation Adjustment'!$B:$B,$I517),1)</f>
        <v>3554.41718286272</v>
      </c>
      <c r="X517" s="79">
        <f>tbl_Data_old[[#This Row],[2027 ]]*IFERROR(AVERAGEIFS('Participation Adjustment'!$C:$C,'Participation Adjustment'!$A:$A,$H517,'Participation Adjustment'!$B:$B,$I517),1)</f>
        <v>5553.8538594707998</v>
      </c>
      <c r="Y517" s="79">
        <f>tbl_Data_old[[#This Row],[2028 ]]*IFERROR(AVERAGEIFS('Participation Adjustment'!$C:$C,'Participation Adjustment'!$A:$A,$H517,'Participation Adjustment'!$B:$B,$I517),1)</f>
        <v>7673.2390488563096</v>
      </c>
      <c r="Z517" s="79">
        <f>tbl_Data_old[[#This Row],[2029 ]]*IFERROR(AVERAGEIFS('Participation Adjustment'!$C:$C,'Participation Adjustment'!$A:$A,$H517,'Participation Adjustment'!$B:$B,$I517),1)</f>
        <v>9895.2616431674305</v>
      </c>
      <c r="AA517" s="79">
        <f>tbl_Data_old[[#This Row],[2030 ]]*IFERROR(AVERAGEIFS('Participation Adjustment'!$C:$C,'Participation Adjustment'!$A:$A,$H517,'Participation Adjustment'!$B:$B,$I517),1)</f>
        <v>12201.7881060036</v>
      </c>
      <c r="AB517" s="79">
        <f>tbl_Data_old[[#This Row],[2031 ]]*IFERROR(AVERAGEIFS('Participation Adjustment'!$C:$C,'Participation Adjustment'!$A:$A,$H517,'Participation Adjustment'!$B:$B,$I517),1)</f>
        <v>14577.832051654799</v>
      </c>
      <c r="AC517" s="79">
        <f>tbl_Data_old[[#This Row],[2032 ]]*IFERROR(AVERAGEIFS('Participation Adjustment'!$C:$C,'Participation Adjustment'!$A:$A,$H517,'Participation Adjustment'!$B:$B,$I517),1)</f>
        <v>17015.052329333899</v>
      </c>
      <c r="AD517" s="79">
        <f>tbl_Data_old[[#This Row],[2033 ]]*IFERROR(AVERAGEIFS('Participation Adjustment'!$C:$C,'Participation Adjustment'!$A:$A,$H517,'Participation Adjustment'!$B:$B,$I517),1)</f>
        <v>19507.079174508301</v>
      </c>
      <c r="AE517" s="79">
        <f>tbl_Data_old[[#This Row],[2034 ]]*IFERROR(AVERAGEIFS('Participation Adjustment'!$C:$C,'Participation Adjustment'!$A:$A,$H517,'Participation Adjustment'!$B:$B,$I517),1)</f>
        <v>22046.161574059599</v>
      </c>
      <c r="AF517" s="77" t="str">
        <f t="shared" si="209"/>
        <v>NonResidential</v>
      </c>
      <c r="AG517" s="77" t="str">
        <f>tbl_Data[[#This Row],[All_Meas_Name_Append]]</f>
        <v>Heat Pump Water Heater</v>
      </c>
      <c r="AH517" s="77">
        <f>AVERAGEIFS('3. Incentive Adjustment'!G:G,'3. Incentive Adjustment'!A:A,tbl_Data[[#This Row],[Trimmed Sector]],'3. Incentive Adjustment'!B:B,tbl_Data[[#This Row],[Trimmed Measure Name]])</f>
        <v>0.82797588322898052</v>
      </c>
      <c r="AI517" s="77">
        <f>$AH517*tbl_Data[[#This Row],[2025 ]]</f>
        <v>1401.633871275847</v>
      </c>
      <c r="AJ517" s="77">
        <f>$AH517*tbl_Data[[#This Row],[2026 ]]</f>
        <v>2942.9717063450253</v>
      </c>
      <c r="AK517" s="77">
        <f>$AH517*tbl_Data[[#This Row],[2027 ]]</f>
        <v>4598.4570546200175</v>
      </c>
      <c r="AL517" s="77">
        <f>$AH517*tbl_Data[[#This Row],[2028 ]]</f>
        <v>6353.2568787039054</v>
      </c>
      <c r="AM517" s="77">
        <f>$AH517*tbl_Data[[#This Row],[2029 ]]</f>
        <v>8193.0379987834058</v>
      </c>
      <c r="AN517" s="77">
        <f>$AH517*tbl_Data[[#This Row],[2030 ]]</f>
        <v>10102.7862840412</v>
      </c>
      <c r="AO517" s="77">
        <f>$AH517*tbl_Data[[#This Row],[2031 ]]</f>
        <v>12070.093368532624</v>
      </c>
      <c r="AP517" s="77">
        <f>$AH517*tbl_Data[[#This Row],[2032 ]]</f>
        <v>14088.052980567558</v>
      </c>
      <c r="AQ517" s="77">
        <f>$AH517*tbl_Data[[#This Row],[2033 ]]</f>
        <v>16151.391108731163</v>
      </c>
      <c r="AR517" s="77">
        <f>$AH517*tbl_Data[[#This Row],[2034 ]]</f>
        <v>18253.690101090808</v>
      </c>
      <c r="AS517" s="77">
        <f>SUM(tbl_Data[[#This Row],[Adjusted 2025]:[Adjusted 2034]])</f>
        <v>94155.371352691538</v>
      </c>
      <c r="AT517" s="80">
        <f>AVERAGEIFS('3. Incentive Adjustment'!F:F,'3. Incentive Adjustment'!A:A,tbl_Data[[#This Row],[Trimmed Sector]],'3. Incentive Adjustment'!B:B,tbl_Data[[#This Row],[Trimmed Measure Name]])</f>
        <v>500</v>
      </c>
      <c r="AU517" s="80">
        <f>IFERROR(VLOOKUP(tbl_Data[[#This Row],[All_Meas_Name_Append]],'IRA Tax Credits'!$A$3:$D$46,4,0),0)</f>
        <v>0</v>
      </c>
      <c r="AV517" s="81">
        <f>tbl_Data[[#This Row],[Adj. per unit Incentive ($)]]/tbl_Data[[#This Row],[kWh Savings]]*tbl_Data[[#This Row],[Sum of Annuals]]</f>
        <v>7057.4836429897805</v>
      </c>
      <c r="AW517" s="81" t="str">
        <f>IFERROR(VLOOKUP(tbl_Data[[#This Row],[Column1]],'1. Set Program Names'!$B$2:$D$15,3,0)*tbl_Data[[#This Row],[Sum of Annuals]],"")</f>
        <v/>
      </c>
      <c r="AX517" s="81">
        <f>tbl_Data[[#This Row],[per unit IRA tax ($)]]/tbl_Data[[#This Row],[kWh Savings]]*tbl_Data[[#This Row],[Sum of Annuals]]</f>
        <v>0</v>
      </c>
      <c r="AY517" s="81">
        <f>tbl_Data[[#This Row],[Avoided Costs ($/unit)]]/tbl_Data[[#This Row],[kWh Savings]]*tbl_Data[[#This Row],[Sum of Annuals]]</f>
        <v>48002.288979556237</v>
      </c>
      <c r="AZ517" s="81">
        <f>tbl_Data[[#This Row],[Lost Revenue ($/unit)]]/tbl_Data[[#This Row],[kWh Savings]]*tbl_Data[[#This Row],[Sum of Annuals]]</f>
        <v>102264.03852334684</v>
      </c>
      <c r="BA517" s="81">
        <f>tbl_Data[[#This Row],[Incremental Cost ($/unit)]]/tbl_Data[[#This Row],[kWh Savings]]*tbl_Data[[#This Row],[Sum of Annuals]]</f>
        <v>34322.307326770053</v>
      </c>
      <c r="BB517" s="77">
        <f>ROUNDUP(tbl_Data[[#This Row],[Adjusted 2025]]/$L517,0)</f>
        <v>1</v>
      </c>
      <c r="BC517" s="77">
        <f>ROUNDUP(tbl_Data[[#This Row],[Adjusted 2026]]/$L517,0)</f>
        <v>1</v>
      </c>
      <c r="BD517" s="77">
        <f>ROUNDUP(tbl_Data[[#This Row],[Adjusted 2027]]/$L517,0)</f>
        <v>1</v>
      </c>
      <c r="BE517" s="77">
        <f>ROUNDUP(tbl_Data[[#This Row],[Adjusted 2028]]/$L517,0)</f>
        <v>1</v>
      </c>
      <c r="BF517" s="77">
        <f>ROUNDUP(tbl_Data[[#This Row],[Adjusted 2029]]/$L517,0)</f>
        <v>2</v>
      </c>
      <c r="BG517" s="77">
        <f>ROUNDUP(tbl_Data[[#This Row],[Adjusted 2030]]/$L517,0)</f>
        <v>2</v>
      </c>
      <c r="BH517" s="77">
        <f>ROUNDUP(tbl_Data[[#This Row],[Adjusted 2031]]/$L517,0)</f>
        <v>2</v>
      </c>
      <c r="BI517" s="77">
        <f>ROUNDUP(tbl_Data[[#This Row],[Adjusted 2032]]/$L517,0)</f>
        <v>3</v>
      </c>
      <c r="BJ517" s="77">
        <f>ROUNDUP(tbl_Data[[#This Row],[Adjusted 2033]]/$L517,0)</f>
        <v>3</v>
      </c>
      <c r="BK517" s="77">
        <f>ROUNDUP(tbl_Data[[#This Row],[Adjusted 2034]]/$L517,0)</f>
        <v>3</v>
      </c>
      <c r="BL517" s="80">
        <f t="shared" si="210"/>
        <v>126.88832851006337</v>
      </c>
      <c r="BM517" s="80">
        <f t="shared" si="211"/>
        <v>266.42389879649039</v>
      </c>
      <c r="BN517" s="80">
        <f t="shared" si="212"/>
        <v>416.29311430303613</v>
      </c>
      <c r="BO517" s="80">
        <f t="shared" si="213"/>
        <v>575.15315693676382</v>
      </c>
      <c r="BP517" s="80">
        <f t="shared" si="214"/>
        <v>741.70646014622707</v>
      </c>
      <c r="BQ517" s="80">
        <f t="shared" si="215"/>
        <v>914.59381165603565</v>
      </c>
      <c r="BR517" s="80">
        <f t="shared" si="216"/>
        <v>1092.691896136469</v>
      </c>
      <c r="BS517" s="80">
        <f t="shared" si="217"/>
        <v>1275.375496625413</v>
      </c>
      <c r="BT517" s="80">
        <f t="shared" si="218"/>
        <v>1462.1671628366792</v>
      </c>
      <c r="BU517" s="80">
        <f t="shared" si="219"/>
        <v>1652.4859120019576</v>
      </c>
      <c r="BV517" s="80" t="str">
        <f>IFERROR(VLOOKUP($H517,'1. Set Program Names'!$B$2:$D$15,3,0)*V517,"NA")</f>
        <v>NA</v>
      </c>
      <c r="BW517" s="80" t="str">
        <f>IFERROR(VLOOKUP($H517,'1. Set Program Names'!$B$2:$D$15,3,0)*W517,"NA")</f>
        <v>NA</v>
      </c>
      <c r="BX517" s="80" t="str">
        <f>IFERROR(VLOOKUP($H517,'1. Set Program Names'!$B$2:$D$15,3,0)*X517,"NA")</f>
        <v>NA</v>
      </c>
      <c r="BY517" s="80" t="str">
        <f>IFERROR(VLOOKUP($H517,'1. Set Program Names'!$B$2:$D$15,3,0)*Y517,"NA")</f>
        <v>NA</v>
      </c>
      <c r="BZ517" s="80" t="str">
        <f>IFERROR(VLOOKUP($H517,'1. Set Program Names'!$B$2:$D$15,3,0)*Z517,"NA")</f>
        <v>NA</v>
      </c>
      <c r="CA517" s="80" t="str">
        <f>IFERROR(VLOOKUP($H517,'1. Set Program Names'!$B$2:$D$15,3,0)*AA517,"NA")</f>
        <v>NA</v>
      </c>
      <c r="CB517" s="80" t="str">
        <f>IFERROR(VLOOKUP($H517,'1. Set Program Names'!$B$2:$D$15,3,0)*AB517,"NA")</f>
        <v>NA</v>
      </c>
      <c r="CC517" s="80" t="str">
        <f>IFERROR(VLOOKUP($H517,'1. Set Program Names'!$B$2:$D$15,3,0)*AC517,"NA")</f>
        <v>NA</v>
      </c>
      <c r="CD517" s="80" t="str">
        <f>IFERROR(VLOOKUP($H517,'1. Set Program Names'!$B$2:$D$15,3,0)*AD517,"NA")</f>
        <v>NA</v>
      </c>
      <c r="CE517" s="80" t="str">
        <f>IFERROR(VLOOKUP($H517,'1. Set Program Names'!$B$2:$D$15,3,0)*AE517,"NA")</f>
        <v>NA</v>
      </c>
    </row>
    <row r="518" spans="1:83" x14ac:dyDescent="0.25">
      <c r="A518" s="79" t="s">
        <v>113</v>
      </c>
      <c r="B518" s="79" t="s">
        <v>88</v>
      </c>
      <c r="C518" s="79" t="s">
        <v>122</v>
      </c>
      <c r="D518" s="79" t="s">
        <v>90</v>
      </c>
      <c r="E518" s="79" t="s">
        <v>91</v>
      </c>
      <c r="F518" s="79" t="s">
        <v>90</v>
      </c>
      <c r="G518" s="79" t="s">
        <v>92</v>
      </c>
      <c r="H518" s="79" t="s">
        <v>20</v>
      </c>
      <c r="I518" s="79" t="s">
        <v>145</v>
      </c>
      <c r="J518" s="79" t="s">
        <v>129</v>
      </c>
      <c r="K518" s="79" t="s">
        <v>98</v>
      </c>
      <c r="L518" s="79">
        <v>1452.1399999999801</v>
      </c>
      <c r="M518" s="79">
        <v>0.33467704377742202</v>
      </c>
      <c r="N518" s="79">
        <v>4.3977319526113799E-2</v>
      </c>
      <c r="O518" s="79">
        <v>654.99999999999898</v>
      </c>
      <c r="P518" s="79">
        <v>358.56061649158102</v>
      </c>
      <c r="Q518" s="79">
        <v>87.128399999999303</v>
      </c>
      <c r="R518" s="79">
        <v>761.15206993055403</v>
      </c>
      <c r="S518" s="79">
        <v>1577.19839843259</v>
      </c>
      <c r="T518" s="79">
        <v>15</v>
      </c>
      <c r="U518" s="79">
        <v>0.05</v>
      </c>
      <c r="V518" s="79">
        <f>tbl_Data_old[[#This Row],[2025 ]]*IFERROR(AVERAGEIFS('Participation Adjustment'!$C:$C,'Participation Adjustment'!$A:$A,$H518,'Participation Adjustment'!$B:$B,$I518),1)</f>
        <v>521.84423770522801</v>
      </c>
      <c r="W518" s="79">
        <f>tbl_Data_old[[#This Row],[2026 ]]*IFERROR(AVERAGEIFS('Participation Adjustment'!$C:$C,'Participation Adjustment'!$A:$A,$H518,'Participation Adjustment'!$B:$B,$I518),1)</f>
        <v>1105.9196739423601</v>
      </c>
      <c r="X518" s="79">
        <f>tbl_Data_old[[#This Row],[2027 ]]*IFERROR(AVERAGEIFS('Participation Adjustment'!$C:$C,'Participation Adjustment'!$A:$A,$H518,'Participation Adjustment'!$B:$B,$I518),1)</f>
        <v>1745.37531980167</v>
      </c>
      <c r="Y518" s="79">
        <f>tbl_Data_old[[#This Row],[2028 ]]*IFERROR(AVERAGEIFS('Participation Adjustment'!$C:$C,'Participation Adjustment'!$A:$A,$H518,'Participation Adjustment'!$B:$B,$I518),1)</f>
        <v>2436.6720787603499</v>
      </c>
      <c r="Z518" s="79">
        <f>tbl_Data_old[[#This Row],[2029 ]]*IFERROR(AVERAGEIFS('Participation Adjustment'!$C:$C,'Participation Adjustment'!$A:$A,$H518,'Participation Adjustment'!$B:$B,$I518),1)</f>
        <v>3175.94697525012</v>
      </c>
      <c r="AA518" s="79">
        <f>tbl_Data_old[[#This Row],[2030 ]]*IFERROR(AVERAGEIFS('Participation Adjustment'!$C:$C,'Participation Adjustment'!$A:$A,$H518,'Participation Adjustment'!$B:$B,$I518),1)</f>
        <v>3959.04134423396</v>
      </c>
      <c r="AB518" s="79">
        <f>tbl_Data_old[[#This Row],[2031 ]]*IFERROR(AVERAGEIFS('Participation Adjustment'!$C:$C,'Participation Adjustment'!$A:$A,$H518,'Participation Adjustment'!$B:$B,$I518),1)</f>
        <v>4782.2752806489498</v>
      </c>
      <c r="AC518" s="79">
        <f>tbl_Data_old[[#This Row],[2032 ]]*IFERROR(AVERAGEIFS('Participation Adjustment'!$C:$C,'Participation Adjustment'!$A:$A,$H518,'Participation Adjustment'!$B:$B,$I518),1)</f>
        <v>5644.0913470547002</v>
      </c>
      <c r="AD518" s="79">
        <f>tbl_Data_old[[#This Row],[2033 ]]*IFERROR(AVERAGEIFS('Participation Adjustment'!$C:$C,'Participation Adjustment'!$A:$A,$H518,'Participation Adjustment'!$B:$B,$I518),1)</f>
        <v>6543.9041161943396</v>
      </c>
      <c r="AE518" s="79">
        <f>tbl_Data_old[[#This Row],[2034 ]]*IFERROR(AVERAGEIFS('Participation Adjustment'!$C:$C,'Participation Adjustment'!$A:$A,$H518,'Participation Adjustment'!$B:$B,$I518),1)</f>
        <v>7480.1066204141398</v>
      </c>
      <c r="AF518" s="77" t="str">
        <f t="shared" si="209"/>
        <v>NonResidential</v>
      </c>
      <c r="AG518" s="77" t="str">
        <f>tbl_Data[[#This Row],[All_Meas_Name_Append]]</f>
        <v>HE DX Less than 5.4 Tons Elect Heat</v>
      </c>
      <c r="AH518" s="77">
        <f>AVERAGEIFS('3. Incentive Adjustment'!G:G,'3. Incentive Adjustment'!A:A,tbl_Data[[#This Row],[Trimmed Sector]],'3. Incentive Adjustment'!B:B,tbl_Data[[#This Row],[Trimmed Measure Name]])</f>
        <v>0.74493198517309978</v>
      </c>
      <c r="AI518" s="77">
        <f>$AH518*tbl_Data[[#This Row],[2025 ]]</f>
        <v>388.73846394489846</v>
      </c>
      <c r="AJ518" s="77">
        <f>$AH518*tbl_Data[[#This Row],[2026 ]]</f>
        <v>823.83493815186955</v>
      </c>
      <c r="AK518" s="77">
        <f>$AH518*tbl_Data[[#This Row],[2027 ]]</f>
        <v>1300.185901851992</v>
      </c>
      <c r="AL518" s="77">
        <f>$AH518*tbl_Data[[#This Row],[2028 ]]</f>
        <v>1815.1549688468112</v>
      </c>
      <c r="AM518" s="77">
        <f>$AH518*tbl_Data[[#This Row],[2029 ]]</f>
        <v>2365.8644850775736</v>
      </c>
      <c r="AN518" s="77">
        <f>$AH518*tbl_Data[[#This Row],[2030 ]]</f>
        <v>2949.2165279425813</v>
      </c>
      <c r="AO518" s="77">
        <f>$AH518*tbl_Data[[#This Row],[2031 ]]</f>
        <v>3562.4698184580652</v>
      </c>
      <c r="AP518" s="77">
        <f>$AH518*tbl_Data[[#This Row],[2032 ]]</f>
        <v>4204.4641716597725</v>
      </c>
      <c r="AQ518" s="77">
        <f>$AH518*tbl_Data[[#This Row],[2033 ]]</f>
        <v>4874.7634840590681</v>
      </c>
      <c r="AR518" s="77">
        <f>$AH518*tbl_Data[[#This Row],[2034 ]]</f>
        <v>5572.170674051551</v>
      </c>
      <c r="AS518" s="77">
        <f>SUM(tbl_Data[[#This Row],[Adjusted 2025]:[Adjusted 2034]])</f>
        <v>27856.863434044186</v>
      </c>
      <c r="AT518" s="80">
        <f>AVERAGEIFS('3. Incentive Adjustment'!F:F,'3. Incentive Adjustment'!A:A,tbl_Data[[#This Row],[Trimmed Sector]],'3. Incentive Adjustment'!B:B,tbl_Data[[#This Row],[Trimmed Measure Name]])</f>
        <v>196.49999999999969</v>
      </c>
      <c r="AU518" s="80">
        <f>IFERROR(VLOOKUP(tbl_Data[[#This Row],[All_Meas_Name_Append]],'IRA Tax Credits'!$A$3:$D$46,4,0),0)</f>
        <v>0</v>
      </c>
      <c r="AV518" s="81">
        <f>tbl_Data[[#This Row],[Adj. per unit Incentive ($)]]/tbl_Data[[#This Row],[kWh Savings]]*tbl_Data[[#This Row],[Sum of Annuals]]</f>
        <v>3769.5219915364555</v>
      </c>
      <c r="AW518" s="81" t="str">
        <f>IFERROR(VLOOKUP(tbl_Data[[#This Row],[Column1]],'1. Set Program Names'!$B$2:$D$15,3,0)*tbl_Data[[#This Row],[Sum of Annuals]],"")</f>
        <v/>
      </c>
      <c r="AX518" s="81">
        <f>tbl_Data[[#This Row],[per unit IRA tax ($)]]/tbl_Data[[#This Row],[kWh Savings]]*tbl_Data[[#This Row],[Sum of Annuals]]</f>
        <v>0</v>
      </c>
      <c r="AY518" s="81">
        <f>tbl_Data[[#This Row],[Avoided Costs ($/unit)]]/tbl_Data[[#This Row],[kWh Savings]]*tbl_Data[[#This Row],[Sum of Annuals]]</f>
        <v>14601.422221408257</v>
      </c>
      <c r="AZ518" s="81">
        <f>tbl_Data[[#This Row],[Lost Revenue ($/unit)]]/tbl_Data[[#This Row],[kWh Savings]]*tbl_Data[[#This Row],[Sum of Annuals]]</f>
        <v>30255.898462634781</v>
      </c>
      <c r="BA518" s="81">
        <f>tbl_Data[[#This Row],[Incremental Cost ($/unit)]]/tbl_Data[[#This Row],[kWh Savings]]*tbl_Data[[#This Row],[Sum of Annuals]]</f>
        <v>12565.073305121519</v>
      </c>
      <c r="BB518" s="77">
        <f>ROUNDUP(tbl_Data[[#This Row],[Adjusted 2025]]/$L518,0)</f>
        <v>1</v>
      </c>
      <c r="BC518" s="77">
        <f>ROUNDUP(tbl_Data[[#This Row],[Adjusted 2026]]/$L518,0)</f>
        <v>1</v>
      </c>
      <c r="BD518" s="77">
        <f>ROUNDUP(tbl_Data[[#This Row],[Adjusted 2027]]/$L518,0)</f>
        <v>1</v>
      </c>
      <c r="BE518" s="77">
        <f>ROUNDUP(tbl_Data[[#This Row],[Adjusted 2028]]/$L518,0)</f>
        <v>2</v>
      </c>
      <c r="BF518" s="77">
        <f>ROUNDUP(tbl_Data[[#This Row],[Adjusted 2029]]/$L518,0)</f>
        <v>2</v>
      </c>
      <c r="BG518" s="77">
        <f>ROUNDUP(tbl_Data[[#This Row],[Adjusted 2030]]/$L518,0)</f>
        <v>3</v>
      </c>
      <c r="BH518" s="77">
        <f>ROUNDUP(tbl_Data[[#This Row],[Adjusted 2031]]/$L518,0)</f>
        <v>3</v>
      </c>
      <c r="BI518" s="77">
        <f>ROUNDUP(tbl_Data[[#This Row],[Adjusted 2032]]/$L518,0)</f>
        <v>3</v>
      </c>
      <c r="BJ518" s="77">
        <f>ROUNDUP(tbl_Data[[#This Row],[Adjusted 2033]]/$L518,0)</f>
        <v>4</v>
      </c>
      <c r="BK518" s="77">
        <f>ROUNDUP(tbl_Data[[#This Row],[Adjusted 2034]]/$L518,0)</f>
        <v>4</v>
      </c>
      <c r="BL518" s="80">
        <f t="shared" si="210"/>
        <v>70.61467400462665</v>
      </c>
      <c r="BM518" s="80">
        <f t="shared" si="211"/>
        <v>149.65032016863137</v>
      </c>
      <c r="BN518" s="80">
        <f t="shared" si="212"/>
        <v>236.17987958532393</v>
      </c>
      <c r="BO518" s="80">
        <f t="shared" si="213"/>
        <v>329.72445044996664</v>
      </c>
      <c r="BP518" s="80">
        <f t="shared" si="214"/>
        <v>429.76130444492685</v>
      </c>
      <c r="BQ518" s="80">
        <f t="shared" si="215"/>
        <v>535.72770128361071</v>
      </c>
      <c r="BR518" s="80">
        <f t="shared" si="216"/>
        <v>647.12568529723717</v>
      </c>
      <c r="BS518" s="80">
        <f t="shared" si="217"/>
        <v>763.7445078961133</v>
      </c>
      <c r="BT518" s="80">
        <f t="shared" si="218"/>
        <v>885.50495050904408</v>
      </c>
      <c r="BU518" s="80">
        <f t="shared" si="219"/>
        <v>1012.1895622401395</v>
      </c>
      <c r="BV518" s="80" t="str">
        <f>IFERROR(VLOOKUP($H518,'1. Set Program Names'!$B$2:$D$15,3,0)*V518,"NA")</f>
        <v>NA</v>
      </c>
      <c r="BW518" s="80" t="str">
        <f>IFERROR(VLOOKUP($H518,'1. Set Program Names'!$B$2:$D$15,3,0)*W518,"NA")</f>
        <v>NA</v>
      </c>
      <c r="BX518" s="80" t="str">
        <f>IFERROR(VLOOKUP($H518,'1. Set Program Names'!$B$2:$D$15,3,0)*X518,"NA")</f>
        <v>NA</v>
      </c>
      <c r="BY518" s="80" t="str">
        <f>IFERROR(VLOOKUP($H518,'1. Set Program Names'!$B$2:$D$15,3,0)*Y518,"NA")</f>
        <v>NA</v>
      </c>
      <c r="BZ518" s="80" t="str">
        <f>IFERROR(VLOOKUP($H518,'1. Set Program Names'!$B$2:$D$15,3,0)*Z518,"NA")</f>
        <v>NA</v>
      </c>
      <c r="CA518" s="80" t="str">
        <f>IFERROR(VLOOKUP($H518,'1. Set Program Names'!$B$2:$D$15,3,0)*AA518,"NA")</f>
        <v>NA</v>
      </c>
      <c r="CB518" s="80" t="str">
        <f>IFERROR(VLOOKUP($H518,'1. Set Program Names'!$B$2:$D$15,3,0)*AB518,"NA")</f>
        <v>NA</v>
      </c>
      <c r="CC518" s="80" t="str">
        <f>IFERROR(VLOOKUP($H518,'1. Set Program Names'!$B$2:$D$15,3,0)*AC518,"NA")</f>
        <v>NA</v>
      </c>
      <c r="CD518" s="80" t="str">
        <f>IFERROR(VLOOKUP($H518,'1. Set Program Names'!$B$2:$D$15,3,0)*AD518,"NA")</f>
        <v>NA</v>
      </c>
      <c r="CE518" s="80" t="str">
        <f>IFERROR(VLOOKUP($H518,'1. Set Program Names'!$B$2:$D$15,3,0)*AE518,"NA")</f>
        <v>NA</v>
      </c>
    </row>
    <row r="519" spans="1:83" x14ac:dyDescent="0.25">
      <c r="A519" s="79" t="s">
        <v>113</v>
      </c>
      <c r="B519" s="79" t="s">
        <v>88</v>
      </c>
      <c r="C519" s="79" t="s">
        <v>122</v>
      </c>
      <c r="D519" s="79" t="s">
        <v>90</v>
      </c>
      <c r="E519" s="79" t="s">
        <v>91</v>
      </c>
      <c r="F519" s="79" t="s">
        <v>90</v>
      </c>
      <c r="G519" s="79" t="s">
        <v>92</v>
      </c>
      <c r="H519" s="79" t="s">
        <v>20</v>
      </c>
      <c r="I519" s="79" t="s">
        <v>154</v>
      </c>
      <c r="J519" s="79" t="s">
        <v>129</v>
      </c>
      <c r="K519" s="79" t="s">
        <v>102</v>
      </c>
      <c r="L519" s="79">
        <v>111105.09249999899</v>
      </c>
      <c r="M519" s="79">
        <v>30.6532165911823</v>
      </c>
      <c r="N519" s="79">
        <v>0</v>
      </c>
      <c r="O519" s="79">
        <v>40257.675000000003</v>
      </c>
      <c r="P519" s="79">
        <v>17605.607636663401</v>
      </c>
      <c r="Q519" s="79">
        <v>6666.30554999998</v>
      </c>
      <c r="R519" s="79">
        <v>56706.982631731698</v>
      </c>
      <c r="S519" s="79">
        <v>120673.47084214</v>
      </c>
      <c r="T519" s="79">
        <v>15</v>
      </c>
      <c r="U519" s="79">
        <v>0.05</v>
      </c>
      <c r="V519" s="79">
        <f>tbl_Data_old[[#This Row],[2025 ]]*IFERROR(AVERAGEIFS('Participation Adjustment'!$C:$C,'Participation Adjustment'!$A:$A,$H519,'Participation Adjustment'!$B:$B,$I519),1)</f>
        <v>7.4716635380663696</v>
      </c>
      <c r="W519" s="79">
        <f>tbl_Data_old[[#This Row],[2026 ]]*IFERROR(AVERAGEIFS('Participation Adjustment'!$C:$C,'Participation Adjustment'!$A:$A,$H519,'Participation Adjustment'!$B:$B,$I519),1)</f>
        <v>14.9701417073975</v>
      </c>
      <c r="X519" s="79">
        <f>tbl_Data_old[[#This Row],[2027 ]]*IFERROR(AVERAGEIFS('Participation Adjustment'!$C:$C,'Participation Adjustment'!$A:$A,$H519,'Participation Adjustment'!$B:$B,$I519),1)</f>
        <v>22.523169738769699</v>
      </c>
      <c r="Y519" s="79">
        <f>tbl_Data_old[[#This Row],[2028 ]]*IFERROR(AVERAGEIFS('Participation Adjustment'!$C:$C,'Participation Adjustment'!$A:$A,$H519,'Participation Adjustment'!$B:$B,$I519),1)</f>
        <v>30.146005634490798</v>
      </c>
      <c r="Z519" s="79">
        <f>tbl_Data_old[[#This Row],[2029 ]]*IFERROR(AVERAGEIFS('Participation Adjustment'!$C:$C,'Participation Adjustment'!$A:$A,$H519,'Participation Adjustment'!$B:$B,$I519),1)</f>
        <v>37.815666727456303</v>
      </c>
      <c r="AA519" s="79">
        <f>tbl_Data_old[[#This Row],[2030 ]]*IFERROR(AVERAGEIFS('Participation Adjustment'!$C:$C,'Participation Adjustment'!$A:$A,$H519,'Participation Adjustment'!$B:$B,$I519),1)</f>
        <v>45.531021624411501</v>
      </c>
      <c r="AB519" s="79">
        <f>tbl_Data_old[[#This Row],[2031 ]]*IFERROR(AVERAGEIFS('Participation Adjustment'!$C:$C,'Participation Adjustment'!$A:$A,$H519,'Participation Adjustment'!$B:$B,$I519),1)</f>
        <v>53.261314184583902</v>
      </c>
      <c r="AC519" s="79">
        <f>tbl_Data_old[[#This Row],[2032 ]]*IFERROR(AVERAGEIFS('Participation Adjustment'!$C:$C,'Participation Adjustment'!$A:$A,$H519,'Participation Adjustment'!$B:$B,$I519),1)</f>
        <v>60.996902336745499</v>
      </c>
      <c r="AD519" s="79">
        <f>tbl_Data_old[[#This Row],[2033 ]]*IFERROR(AVERAGEIFS('Participation Adjustment'!$C:$C,'Participation Adjustment'!$A:$A,$H519,'Participation Adjustment'!$B:$B,$I519),1)</f>
        <v>68.777414604786301</v>
      </c>
      <c r="AE519" s="79">
        <f>tbl_Data_old[[#This Row],[2034 ]]*IFERROR(AVERAGEIFS('Participation Adjustment'!$C:$C,'Participation Adjustment'!$A:$A,$H519,'Participation Adjustment'!$B:$B,$I519),1)</f>
        <v>76.583668802589401</v>
      </c>
      <c r="AF519" s="77" t="str">
        <f t="shared" si="209"/>
        <v>NonResidential</v>
      </c>
      <c r="AG519" s="77" t="str">
        <f>tbl_Data[[#This Row],[All_Meas_Name_Append]]</f>
        <v>Reflective Roof Treatment</v>
      </c>
      <c r="AH519" s="77">
        <f>AVERAGEIFS('3. Incentive Adjustment'!G:G,'3. Incentive Adjustment'!A:A,tbl_Data[[#This Row],[Trimmed Sector]],'3. Incentive Adjustment'!B:B,tbl_Data[[#This Row],[Trimmed Measure Name]])</f>
        <v>0.87696681614875649</v>
      </c>
      <c r="AI519" s="77">
        <f>$AH519*tbl_Data[[#This Row],[2025 ]]</f>
        <v>6.5524009843128175</v>
      </c>
      <c r="AJ519" s="77">
        <f>$AH519*tbl_Data[[#This Row],[2026 ]]</f>
        <v>13.128317510432096</v>
      </c>
      <c r="AK519" s="77">
        <f>$AH519*tbl_Data[[#This Row],[2027 ]]</f>
        <v>19.752072455386884</v>
      </c>
      <c r="AL519" s="77">
        <f>$AH519*tbl_Data[[#This Row],[2028 ]]</f>
        <v>26.437046580881869</v>
      </c>
      <c r="AM519" s="77">
        <f>$AH519*tbl_Data[[#This Row],[2029 ]]</f>
        <v>33.163084850519823</v>
      </c>
      <c r="AN519" s="77">
        <f>$AH519*tbl_Data[[#This Row],[2030 ]]</f>
        <v>39.929195069960336</v>
      </c>
      <c r="AO519" s="77">
        <f>$AH519*tbl_Data[[#This Row],[2031 ]]</f>
        <v>46.708405124353149</v>
      </c>
      <c r="AP519" s="77">
        <f>$AH519*tbl_Data[[#This Row],[2032 ]]</f>
        <v>53.492259237192343</v>
      </c>
      <c r="AQ519" s="77">
        <f>$AH519*tbl_Data[[#This Row],[2033 ]]</f>
        <v>60.315510308902425</v>
      </c>
      <c r="AR519" s="77">
        <f>$AH519*tbl_Data[[#This Row],[2034 ]]</f>
        <v>67.16133619879767</v>
      </c>
      <c r="AS519" s="77">
        <f>SUM(tbl_Data[[#This Row],[Adjusted 2025]:[Adjusted 2034]])</f>
        <v>366.63962832073946</v>
      </c>
      <c r="AT519" s="80">
        <f>AVERAGEIFS('3. Incentive Adjustment'!F:F,'3. Incentive Adjustment'!A:A,tbl_Data[[#This Row],[Trimmed Sector]],'3. Incentive Adjustment'!B:B,tbl_Data[[#This Row],[Trimmed Measure Name]])</f>
        <v>12077.302499999998</v>
      </c>
      <c r="AU519" s="80">
        <f>IFERROR(VLOOKUP(tbl_Data[[#This Row],[All_Meas_Name_Append]],'IRA Tax Credits'!$A$3:$D$46,4,0),0)</f>
        <v>0</v>
      </c>
      <c r="AV519" s="81">
        <f>tbl_Data[[#This Row],[Adj. per unit Incentive ($)]]/tbl_Data[[#This Row],[kWh Savings]]*tbl_Data[[#This Row],[Sum of Annuals]]</f>
        <v>39.854318106230615</v>
      </c>
      <c r="AW519" s="81" t="str">
        <f>IFERROR(VLOOKUP(tbl_Data[[#This Row],[Column1]],'1. Set Program Names'!$B$2:$D$15,3,0)*tbl_Data[[#This Row],[Sum of Annuals]],"")</f>
        <v/>
      </c>
      <c r="AX519" s="81">
        <f>tbl_Data[[#This Row],[per unit IRA tax ($)]]/tbl_Data[[#This Row],[kWh Savings]]*tbl_Data[[#This Row],[Sum of Annuals]]</f>
        <v>0</v>
      </c>
      <c r="AY519" s="81">
        <f>tbl_Data[[#This Row],[Avoided Costs ($/unit)]]/tbl_Data[[#This Row],[kWh Savings]]*tbl_Data[[#This Row],[Sum of Annuals]]</f>
        <v>187.12937964827242</v>
      </c>
      <c r="AZ519" s="81">
        <f>tbl_Data[[#This Row],[Lost Revenue ($/unit)]]/tbl_Data[[#This Row],[kWh Savings]]*tbl_Data[[#This Row],[Sum of Annuals]]</f>
        <v>398.21465877215479</v>
      </c>
      <c r="BA519" s="81">
        <f>tbl_Data[[#This Row],[Incremental Cost ($/unit)]]/tbl_Data[[#This Row],[kWh Savings]]*tbl_Data[[#This Row],[Sum of Annuals]]</f>
        <v>132.84772702076873</v>
      </c>
      <c r="BB519" s="77">
        <f>ROUNDUP(tbl_Data[[#This Row],[Adjusted 2025]]/$L519,0)</f>
        <v>1</v>
      </c>
      <c r="BC519" s="77">
        <f>ROUNDUP(tbl_Data[[#This Row],[Adjusted 2026]]/$L519,0)</f>
        <v>1</v>
      </c>
      <c r="BD519" s="77">
        <f>ROUNDUP(tbl_Data[[#This Row],[Adjusted 2027]]/$L519,0)</f>
        <v>1</v>
      </c>
      <c r="BE519" s="77">
        <f>ROUNDUP(tbl_Data[[#This Row],[Adjusted 2028]]/$L519,0)</f>
        <v>1</v>
      </c>
      <c r="BF519" s="77">
        <f>ROUNDUP(tbl_Data[[#This Row],[Adjusted 2029]]/$L519,0)</f>
        <v>1</v>
      </c>
      <c r="BG519" s="77">
        <f>ROUNDUP(tbl_Data[[#This Row],[Adjusted 2030]]/$L519,0)</f>
        <v>1</v>
      </c>
      <c r="BH519" s="77">
        <f>ROUNDUP(tbl_Data[[#This Row],[Adjusted 2031]]/$L519,0)</f>
        <v>1</v>
      </c>
      <c r="BI519" s="77">
        <f>ROUNDUP(tbl_Data[[#This Row],[Adjusted 2032]]/$L519,0)</f>
        <v>1</v>
      </c>
      <c r="BJ519" s="77">
        <f>ROUNDUP(tbl_Data[[#This Row],[Adjusted 2033]]/$L519,0)</f>
        <v>1</v>
      </c>
      <c r="BK519" s="77">
        <f>ROUNDUP(tbl_Data[[#This Row],[Adjusted 2034]]/$L519,0)</f>
        <v>1</v>
      </c>
      <c r="BL519" s="80">
        <f t="shared" si="210"/>
        <v>0.81218186040796125</v>
      </c>
      <c r="BM519" s="80">
        <f t="shared" si="211"/>
        <v>1.6272785144218993</v>
      </c>
      <c r="BN519" s="80">
        <f t="shared" si="212"/>
        <v>2.448304826297409</v>
      </c>
      <c r="BO519" s="80">
        <f t="shared" si="213"/>
        <v>3.2769193654598059</v>
      </c>
      <c r="BP519" s="80">
        <f t="shared" si="214"/>
        <v>4.1106238789790748</v>
      </c>
      <c r="BQ519" s="80">
        <f t="shared" si="215"/>
        <v>4.9492953825862118</v>
      </c>
      <c r="BR519" s="80">
        <f t="shared" si="216"/>
        <v>5.7895906342435781</v>
      </c>
      <c r="BS519" s="80">
        <f t="shared" si="217"/>
        <v>6.6304615252792205</v>
      </c>
      <c r="BT519" s="80">
        <f t="shared" si="218"/>
        <v>7.4762157400654656</v>
      </c>
      <c r="BU519" s="80">
        <f t="shared" si="219"/>
        <v>8.3247681440766836</v>
      </c>
      <c r="BV519" s="80" t="str">
        <f>IFERROR(VLOOKUP($H519,'1. Set Program Names'!$B$2:$D$15,3,0)*V519,"NA")</f>
        <v>NA</v>
      </c>
      <c r="BW519" s="80" t="str">
        <f>IFERROR(VLOOKUP($H519,'1. Set Program Names'!$B$2:$D$15,3,0)*W519,"NA")</f>
        <v>NA</v>
      </c>
      <c r="BX519" s="80" t="str">
        <f>IFERROR(VLOOKUP($H519,'1. Set Program Names'!$B$2:$D$15,3,0)*X519,"NA")</f>
        <v>NA</v>
      </c>
      <c r="BY519" s="80" t="str">
        <f>IFERROR(VLOOKUP($H519,'1. Set Program Names'!$B$2:$D$15,3,0)*Y519,"NA")</f>
        <v>NA</v>
      </c>
      <c r="BZ519" s="80" t="str">
        <f>IFERROR(VLOOKUP($H519,'1. Set Program Names'!$B$2:$D$15,3,0)*Z519,"NA")</f>
        <v>NA</v>
      </c>
      <c r="CA519" s="80" t="str">
        <f>IFERROR(VLOOKUP($H519,'1. Set Program Names'!$B$2:$D$15,3,0)*AA519,"NA")</f>
        <v>NA</v>
      </c>
      <c r="CB519" s="80" t="str">
        <f>IFERROR(VLOOKUP($H519,'1. Set Program Names'!$B$2:$D$15,3,0)*AB519,"NA")</f>
        <v>NA</v>
      </c>
      <c r="CC519" s="80" t="str">
        <f>IFERROR(VLOOKUP($H519,'1. Set Program Names'!$B$2:$D$15,3,0)*AC519,"NA")</f>
        <v>NA</v>
      </c>
      <c r="CD519" s="80" t="str">
        <f>IFERROR(VLOOKUP($H519,'1. Set Program Names'!$B$2:$D$15,3,0)*AD519,"NA")</f>
        <v>NA</v>
      </c>
      <c r="CE519" s="80" t="str">
        <f>IFERROR(VLOOKUP($H519,'1. Set Program Names'!$B$2:$D$15,3,0)*AE519,"NA")</f>
        <v>NA</v>
      </c>
    </row>
    <row r="520" spans="1:83" x14ac:dyDescent="0.25">
      <c r="A520" s="79" t="s">
        <v>113</v>
      </c>
      <c r="B520" s="79" t="s">
        <v>88</v>
      </c>
      <c r="C520" s="79" t="s">
        <v>122</v>
      </c>
      <c r="D520" s="79" t="s">
        <v>90</v>
      </c>
      <c r="E520" s="79" t="s">
        <v>91</v>
      </c>
      <c r="F520" s="79" t="s">
        <v>90</v>
      </c>
      <c r="G520" s="79" t="s">
        <v>92</v>
      </c>
      <c r="H520" s="79" t="s">
        <v>20</v>
      </c>
      <c r="I520" s="79" t="s">
        <v>155</v>
      </c>
      <c r="J520" s="79" t="s">
        <v>129</v>
      </c>
      <c r="K520" s="79" t="s">
        <v>102</v>
      </c>
      <c r="L520" s="79">
        <v>1193.02</v>
      </c>
      <c r="M520" s="79">
        <v>0.274776433335365</v>
      </c>
      <c r="N520" s="79">
        <v>0.10441874276921487</v>
      </c>
      <c r="O520" s="79">
        <f>8423.99999999998/36663.4359999998*1193.02</f>
        <v>274.11507421181233</v>
      </c>
      <c r="P520" s="79">
        <f>3224.30667036527/36663.4359999998*1193.02</f>
        <v>104.91821726363004</v>
      </c>
      <c r="Q520" s="79">
        <f>1305.20713755829/36663.4359999998*1193.02</f>
        <v>42.471148073786637</v>
      </c>
      <c r="R520" s="79">
        <f>14915.0733686122/36663.4359999998*1193.02</f>
        <v>485.33314854128304</v>
      </c>
      <c r="S520" s="79">
        <f>32320.5298576745/36663.4359999998*1193.02</f>
        <v>1051.702806327346</v>
      </c>
      <c r="T520" s="79">
        <v>11</v>
      </c>
      <c r="U520" s="79">
        <v>0.05</v>
      </c>
      <c r="V520" s="79">
        <f>tbl_Data_old[[#This Row],[2025 ]]*IFERROR(AVERAGEIFS('Participation Adjustment'!$C:$C,'Participation Adjustment'!$A:$A,$H520,'Participation Adjustment'!$B:$B,$I520),1)</f>
        <v>6991.8124319508197</v>
      </c>
      <c r="W520" s="79">
        <f>tbl_Data_old[[#This Row],[2026 ]]*IFERROR(AVERAGEIFS('Participation Adjustment'!$C:$C,'Participation Adjustment'!$A:$A,$H520,'Participation Adjustment'!$B:$B,$I520),1)</f>
        <v>12815.725382749501</v>
      </c>
      <c r="X520" s="79">
        <f>tbl_Data_old[[#This Row],[2027 ]]*IFERROR(AVERAGEIFS('Participation Adjustment'!$C:$C,'Participation Adjustment'!$A:$A,$H520,'Participation Adjustment'!$B:$B,$I520),1)</f>
        <v>17626.690636456799</v>
      </c>
      <c r="Y520" s="79">
        <f>tbl_Data_old[[#This Row],[2028 ]]*IFERROR(AVERAGEIFS('Participation Adjustment'!$C:$C,'Participation Adjustment'!$A:$A,$H520,'Participation Adjustment'!$B:$B,$I520),1)</f>
        <v>21605.330194533399</v>
      </c>
      <c r="Z520" s="79">
        <f>tbl_Data_old[[#This Row],[2029 ]]*IFERROR(AVERAGEIFS('Participation Adjustment'!$C:$C,'Participation Adjustment'!$A:$A,$H520,'Participation Adjustment'!$B:$B,$I520),1)</f>
        <v>24901.535824381201</v>
      </c>
      <c r="AA520" s="79">
        <f>tbl_Data_old[[#This Row],[2030 ]]*IFERROR(AVERAGEIFS('Participation Adjustment'!$C:$C,'Participation Adjustment'!$A:$A,$H520,'Participation Adjustment'!$B:$B,$I520),1)</f>
        <v>27636.821657885201</v>
      </c>
      <c r="AB520" s="79">
        <f>tbl_Data_old[[#This Row],[2031 ]]*IFERROR(AVERAGEIFS('Participation Adjustment'!$C:$C,'Participation Adjustment'!$A:$A,$H520,'Participation Adjustment'!$B:$B,$I520),1)</f>
        <v>29914.159026104</v>
      </c>
      <c r="AC520" s="79">
        <f>tbl_Data_old[[#This Row],[2032 ]]*IFERROR(AVERAGEIFS('Participation Adjustment'!$C:$C,'Participation Adjustment'!$A:$A,$H520,'Participation Adjustment'!$B:$B,$I520),1)</f>
        <v>31822.0621120541</v>
      </c>
      <c r="AD520" s="79">
        <f>tbl_Data_old[[#This Row],[2033 ]]*IFERROR(AVERAGEIFS('Participation Adjustment'!$C:$C,'Participation Adjustment'!$A:$A,$H520,'Participation Adjustment'!$B:$B,$I520),1)</f>
        <v>33435.0019753421</v>
      </c>
      <c r="AE520" s="79">
        <f>tbl_Data_old[[#This Row],[2034 ]]*IFERROR(AVERAGEIFS('Participation Adjustment'!$C:$C,'Participation Adjustment'!$A:$A,$H520,'Participation Adjustment'!$B:$B,$I520),1)</f>
        <v>34809.054056612396</v>
      </c>
      <c r="AF520" s="77" t="str">
        <f t="shared" si="209"/>
        <v>NonResidential</v>
      </c>
      <c r="AG520" s="77" t="str">
        <f>tbl_Data[[#This Row],[All_Meas_Name_Append]]</f>
        <v>Smart thermostat</v>
      </c>
      <c r="AH520" s="77">
        <f>AVERAGEIFS('3. Incentive Adjustment'!G:G,'3. Incentive Adjustment'!A:A,tbl_Data[[#This Row],[Trimmed Sector]],'3. Incentive Adjustment'!B:B,tbl_Data[[#This Row],[Trimmed Measure Name]])</f>
        <v>0.87546479230069263</v>
      </c>
      <c r="AI520" s="77">
        <f>$AH520*tbl_Data[[#This Row],[2025 ]]</f>
        <v>6121.0856185432249</v>
      </c>
      <c r="AJ520" s="77">
        <f>$AH520*tbl_Data[[#This Row],[2026 ]]</f>
        <v>11219.716360391507</v>
      </c>
      <c r="AK520" s="77">
        <f>$AH520*tbl_Data[[#This Row],[2027 ]]</f>
        <v>15431.547056994215</v>
      </c>
      <c r="AL520" s="77">
        <f>$AH520*tbl_Data[[#This Row],[2028 ]]</f>
        <v>18914.705911345063</v>
      </c>
      <c r="AM520" s="77">
        <f>$AH520*tbl_Data[[#This Row],[2029 ]]</f>
        <v>21800.417888460146</v>
      </c>
      <c r="AN520" s="77">
        <f>$AH520*tbl_Data[[#This Row],[2030 ]]</f>
        <v>24195.06433257175</v>
      </c>
      <c r="AO520" s="77">
        <f>$AH520*tbl_Data[[#This Row],[2031 ]]</f>
        <v>26188.793018638029</v>
      </c>
      <c r="AP520" s="77">
        <f>$AH520*tbl_Data[[#This Row],[2032 ]]</f>
        <v>27859.094997509183</v>
      </c>
      <c r="AQ520" s="77">
        <f>$AH520*tbl_Data[[#This Row],[2033 ]]</f>
        <v>29271.167059916119</v>
      </c>
      <c r="AR520" s="77">
        <f>$AH520*tbl_Data[[#This Row],[2034 ]]</f>
        <v>30474.101279855753</v>
      </c>
      <c r="AS520" s="77">
        <f>SUM(tbl_Data[[#This Row],[Adjusted 2025]:[Adjusted 2034]])</f>
        <v>211475.693524225</v>
      </c>
      <c r="AT520" s="80">
        <f>AVERAGEIFS('3. Incentive Adjustment'!F:F,'3. Incentive Adjustment'!A:A,tbl_Data[[#This Row],[Trimmed Sector]],'3. Incentive Adjustment'!B:B,tbl_Data[[#This Row],[Trimmed Measure Name]])</f>
        <v>50</v>
      </c>
      <c r="AU520" s="80">
        <f>IFERROR(VLOOKUP(tbl_Data[[#This Row],[All_Meas_Name_Append]],'IRA Tax Credits'!$A$3:$D$46,4,0),0)</f>
        <v>0</v>
      </c>
      <c r="AV520" s="81">
        <f>tbl_Data[[#This Row],[Adj. per unit Incentive ($)]]/tbl_Data[[#This Row],[kWh Savings]]*tbl_Data[[#This Row],[Sum of Annuals]]</f>
        <v>8863.0405828999101</v>
      </c>
      <c r="AW520" s="81" t="str">
        <f>IFERROR(VLOOKUP(tbl_Data[[#This Row],[Column1]],'1. Set Program Names'!$B$2:$D$15,3,0)*tbl_Data[[#This Row],[Sum of Annuals]],"")</f>
        <v/>
      </c>
      <c r="AX520" s="81">
        <f>tbl_Data[[#This Row],[per unit IRA tax ($)]]/tbl_Data[[#This Row],[kWh Savings]]*tbl_Data[[#This Row],[Sum of Annuals]]</f>
        <v>0</v>
      </c>
      <c r="AY520" s="81">
        <f>tbl_Data[[#This Row],[Avoided Costs ($/unit)]]/tbl_Data[[#This Row],[kWh Savings]]*tbl_Data[[#This Row],[Sum of Annuals]]</f>
        <v>86030.547834959638</v>
      </c>
      <c r="AZ520" s="81">
        <f>tbl_Data[[#This Row],[Lost Revenue ($/unit)]]/tbl_Data[[#This Row],[kWh Savings]]*tbl_Data[[#This Row],[Sum of Annuals]]</f>
        <v>186425.69307257983</v>
      </c>
      <c r="BA520" s="81">
        <f>tbl_Data[[#This Row],[Incremental Cost ($/unit)]]/tbl_Data[[#This Row],[kWh Savings]]*tbl_Data[[#This Row],[Sum of Annuals]]</f>
        <v>48589.860542478265</v>
      </c>
      <c r="BB520" s="77">
        <f>ROUNDUP(tbl_Data[[#This Row],[Adjusted 2025]]/$L520,0)</f>
        <v>6</v>
      </c>
      <c r="BC520" s="77">
        <f>ROUNDUP(tbl_Data[[#This Row],[Adjusted 2026]]/$L520,0)</f>
        <v>10</v>
      </c>
      <c r="BD520" s="77">
        <f>ROUNDUP(tbl_Data[[#This Row],[Adjusted 2027]]/$L520,0)</f>
        <v>13</v>
      </c>
      <c r="BE520" s="77">
        <f>ROUNDUP(tbl_Data[[#This Row],[Adjusted 2028]]/$L520,0)</f>
        <v>16</v>
      </c>
      <c r="BF520" s="77">
        <f>ROUNDUP(tbl_Data[[#This Row],[Adjusted 2029]]/$L520,0)</f>
        <v>19</v>
      </c>
      <c r="BG520" s="77">
        <f>ROUNDUP(tbl_Data[[#This Row],[Adjusted 2030]]/$L520,0)</f>
        <v>21</v>
      </c>
      <c r="BH520" s="77">
        <f>ROUNDUP(tbl_Data[[#This Row],[Adjusted 2031]]/$L520,0)</f>
        <v>22</v>
      </c>
      <c r="BI520" s="77">
        <f>ROUNDUP(tbl_Data[[#This Row],[Adjusted 2032]]/$L520,0)</f>
        <v>24</v>
      </c>
      <c r="BJ520" s="77">
        <f>ROUNDUP(tbl_Data[[#This Row],[Adjusted 2033]]/$L520,0)</f>
        <v>25</v>
      </c>
      <c r="BK520" s="77">
        <f>ROUNDUP(tbl_Data[[#This Row],[Adjusted 2034]]/$L520,0)</f>
        <v>26</v>
      </c>
      <c r="BL520" s="80">
        <f t="shared" si="210"/>
        <v>293.0299756898803</v>
      </c>
      <c r="BM520" s="80">
        <f t="shared" si="211"/>
        <v>537.1127635223844</v>
      </c>
      <c r="BN520" s="80">
        <f t="shared" si="212"/>
        <v>738.74246183872856</v>
      </c>
      <c r="BO520" s="80">
        <f t="shared" si="213"/>
        <v>905.48901923410335</v>
      </c>
      <c r="BP520" s="80">
        <f t="shared" si="214"/>
        <v>1043.6344664960018</v>
      </c>
      <c r="BQ520" s="80">
        <f t="shared" si="215"/>
        <v>1158.2715150578028</v>
      </c>
      <c r="BR520" s="80">
        <f t="shared" si="216"/>
        <v>1253.7157393046218</v>
      </c>
      <c r="BS520" s="80">
        <f t="shared" si="217"/>
        <v>1333.6768081027183</v>
      </c>
      <c r="BT520" s="80">
        <f t="shared" si="218"/>
        <v>1401.2758367563872</v>
      </c>
      <c r="BU520" s="80">
        <f t="shared" si="219"/>
        <v>1458.8629719791954</v>
      </c>
      <c r="BV520" s="80" t="str">
        <f>IFERROR(VLOOKUP($H520,'1. Set Program Names'!$B$2:$D$15,3,0)*V520,"NA")</f>
        <v>NA</v>
      </c>
      <c r="BW520" s="80" t="str">
        <f>IFERROR(VLOOKUP($H520,'1. Set Program Names'!$B$2:$D$15,3,0)*W520,"NA")</f>
        <v>NA</v>
      </c>
      <c r="BX520" s="80" t="str">
        <f>IFERROR(VLOOKUP($H520,'1. Set Program Names'!$B$2:$D$15,3,0)*X520,"NA")</f>
        <v>NA</v>
      </c>
      <c r="BY520" s="80" t="str">
        <f>IFERROR(VLOOKUP($H520,'1. Set Program Names'!$B$2:$D$15,3,0)*Y520,"NA")</f>
        <v>NA</v>
      </c>
      <c r="BZ520" s="80" t="str">
        <f>IFERROR(VLOOKUP($H520,'1. Set Program Names'!$B$2:$D$15,3,0)*Z520,"NA")</f>
        <v>NA</v>
      </c>
      <c r="CA520" s="80" t="str">
        <f>IFERROR(VLOOKUP($H520,'1. Set Program Names'!$B$2:$D$15,3,0)*AA520,"NA")</f>
        <v>NA</v>
      </c>
      <c r="CB520" s="80" t="str">
        <f>IFERROR(VLOOKUP($H520,'1. Set Program Names'!$B$2:$D$15,3,0)*AB520,"NA")</f>
        <v>NA</v>
      </c>
      <c r="CC520" s="80" t="str">
        <f>IFERROR(VLOOKUP($H520,'1. Set Program Names'!$B$2:$D$15,3,0)*AC520,"NA")</f>
        <v>NA</v>
      </c>
      <c r="CD520" s="80" t="str">
        <f>IFERROR(VLOOKUP($H520,'1. Set Program Names'!$B$2:$D$15,3,0)*AD520,"NA")</f>
        <v>NA</v>
      </c>
      <c r="CE520" s="80" t="str">
        <f>IFERROR(VLOOKUP($H520,'1. Set Program Names'!$B$2:$D$15,3,0)*AE520,"NA")</f>
        <v>NA</v>
      </c>
    </row>
    <row r="521" spans="1:83" x14ac:dyDescent="0.25">
      <c r="A521" s="79" t="s">
        <v>113</v>
      </c>
      <c r="B521" s="79" t="s">
        <v>88</v>
      </c>
      <c r="C521" s="79" t="s">
        <v>122</v>
      </c>
      <c r="D521" s="79" t="s">
        <v>90</v>
      </c>
      <c r="E521" s="79" t="s">
        <v>91</v>
      </c>
      <c r="F521" s="79" t="s">
        <v>90</v>
      </c>
      <c r="G521" s="79" t="s">
        <v>92</v>
      </c>
      <c r="H521" s="79" t="s">
        <v>20</v>
      </c>
      <c r="I521" s="79" t="s">
        <v>305</v>
      </c>
      <c r="J521" s="79" t="s">
        <v>129</v>
      </c>
      <c r="K521" s="79" t="s">
        <v>306</v>
      </c>
      <c r="L521" s="79">
        <v>1181.58666666666</v>
      </c>
      <c r="M521" s="79">
        <v>0.32580149205424902</v>
      </c>
      <c r="N521" s="79">
        <v>0</v>
      </c>
      <c r="O521" s="79">
        <v>442.61899981344197</v>
      </c>
      <c r="P521" s="79">
        <v>13015.025349926</v>
      </c>
      <c r="Q521" s="79">
        <v>70.895199999999903</v>
      </c>
      <c r="R521" s="79">
        <v>484.68312470825703</v>
      </c>
      <c r="S521" s="79">
        <v>971.92143438909795</v>
      </c>
      <c r="T521" s="79">
        <v>10</v>
      </c>
      <c r="U521" s="79">
        <v>0.05</v>
      </c>
      <c r="V521" s="79">
        <f>tbl_Data_old[[#This Row],[2025 ]]*IFERROR(AVERAGEIFS('Participation Adjustment'!$C:$C,'Participation Adjustment'!$A:$A,$H521,'Participation Adjustment'!$B:$B,$I521),1)</f>
        <v>312.67497149635398</v>
      </c>
      <c r="W521" s="79">
        <f>tbl_Data_old[[#This Row],[2026 ]]*IFERROR(AVERAGEIFS('Participation Adjustment'!$C:$C,'Participation Adjustment'!$A:$A,$H521,'Participation Adjustment'!$B:$B,$I521),1)</f>
        <v>575.40731234269401</v>
      </c>
      <c r="X521" s="79">
        <f>tbl_Data_old[[#This Row],[2027 ]]*IFERROR(AVERAGEIFS('Participation Adjustment'!$C:$C,'Participation Adjustment'!$A:$A,$H521,'Participation Adjustment'!$B:$B,$I521),1)</f>
        <v>795.186822213857</v>
      </c>
      <c r="Y521" s="79">
        <f>tbl_Data_old[[#This Row],[2028 ]]*IFERROR(AVERAGEIFS('Participation Adjustment'!$C:$C,'Participation Adjustment'!$A:$A,$H521,'Participation Adjustment'!$B:$B,$I521),1)</f>
        <v>979.85247105343296</v>
      </c>
      <c r="Z521" s="79">
        <f>tbl_Data_old[[#This Row],[2029 ]]*IFERROR(AVERAGEIFS('Participation Adjustment'!$C:$C,'Participation Adjustment'!$A:$A,$H521,'Participation Adjustment'!$B:$B,$I521),1)</f>
        <v>1135.7354932999201</v>
      </c>
      <c r="AA521" s="79">
        <f>tbl_Data_old[[#This Row],[2030 ]]*IFERROR(AVERAGEIFS('Participation Adjustment'!$C:$C,'Participation Adjustment'!$A:$A,$H521,'Participation Adjustment'!$B:$B,$I521),1)</f>
        <v>1268.0348734310701</v>
      </c>
      <c r="AB521" s="79">
        <f>tbl_Data_old[[#This Row],[2031 ]]*IFERROR(AVERAGEIFS('Participation Adjustment'!$C:$C,'Participation Adjustment'!$A:$A,$H521,'Participation Adjustment'!$B:$B,$I521),1)</f>
        <v>1381.01806949652</v>
      </c>
      <c r="AC521" s="79">
        <f>tbl_Data_old[[#This Row],[2032 ]]*IFERROR(AVERAGEIFS('Participation Adjustment'!$C:$C,'Participation Adjustment'!$A:$A,$H521,'Participation Adjustment'!$B:$B,$I521),1)</f>
        <v>1478.3885832819001</v>
      </c>
      <c r="AD521" s="79">
        <f>tbl_Data_old[[#This Row],[2033 ]]*IFERROR(AVERAGEIFS('Participation Adjustment'!$C:$C,'Participation Adjustment'!$A:$A,$H521,'Participation Adjustment'!$B:$B,$I521),1)</f>
        <v>1563.4370198389199</v>
      </c>
      <c r="AE521" s="79">
        <f>tbl_Data_old[[#This Row],[2034 ]]*IFERROR(AVERAGEIFS('Participation Adjustment'!$C:$C,'Participation Adjustment'!$A:$A,$H521,'Participation Adjustment'!$B:$B,$I521),1)</f>
        <v>1638.46787733572</v>
      </c>
      <c r="AF521" s="77" t="str">
        <f t="shared" si="209"/>
        <v>NonResidential</v>
      </c>
      <c r="AG521" s="77" t="str">
        <f>tbl_Data[[#This Row],[All_Meas_Name_Append]]</f>
        <v>Window shade film</v>
      </c>
      <c r="AH521" s="77">
        <f>AVERAGEIFS('3. Incentive Adjustment'!G:G,'3. Incentive Adjustment'!A:A,tbl_Data[[#This Row],[Trimmed Sector]],'3. Incentive Adjustment'!B:B,tbl_Data[[#This Row],[Trimmed Measure Name]])</f>
        <v>3.2127764592544555E-13</v>
      </c>
      <c r="AI521" s="77">
        <f>$AH521*tbl_Data[[#This Row],[2025 ]]</f>
        <v>1.0045547878215439E-10</v>
      </c>
      <c r="AJ521" s="77">
        <f>$AH521*tbl_Data[[#This Row],[2026 ]]</f>
        <v>1.8486550675774829E-10</v>
      </c>
      <c r="AK521" s="77">
        <f>$AH521*tbl_Data[[#This Row],[2027 ]]</f>
        <v>2.5547575031180379E-10</v>
      </c>
      <c r="AL521" s="77">
        <f>$AH521*tbl_Data[[#This Row],[2028 ]]</f>
        <v>3.1480469525427772E-10</v>
      </c>
      <c r="AM521" s="77">
        <f>$AH521*tbl_Data[[#This Row],[2029 ]]</f>
        <v>3.6488642568137299E-10</v>
      </c>
      <c r="AN521" s="77">
        <f>$AH521*tbl_Data[[#This Row],[2030 ]]</f>
        <v>4.0739125908730448E-10</v>
      </c>
      <c r="AO521" s="77">
        <f>$AH521*tbl_Data[[#This Row],[2031 ]]</f>
        <v>4.4369023434834531E-10</v>
      </c>
      <c r="AP521" s="77">
        <f>$AH521*tbl_Data[[#This Row],[2032 ]]</f>
        <v>4.7497320379986337E-10</v>
      </c>
      <c r="AQ521" s="77">
        <f>$AH521*tbl_Data[[#This Row],[2033 ]]</f>
        <v>5.0229736528654235E-10</v>
      </c>
      <c r="AR521" s="77">
        <f>$AH521*tbl_Data[[#This Row],[2034 ]]</f>
        <v>5.2640310255488186E-10</v>
      </c>
      <c r="AS521" s="77">
        <f>SUM(tbl_Data[[#This Row],[Adjusted 2025]:[Adjusted 2034]])</f>
        <v>3.5752430218642947E-9</v>
      </c>
      <c r="AT521" s="80">
        <f>AVERAGEIFS('3. Incentive Adjustment'!F:F,'3. Incentive Adjustment'!A:A,tbl_Data[[#This Row],[Trimmed Sector]],'3. Incentive Adjustment'!B:B,tbl_Data[[#This Row],[Trimmed Measure Name]])</f>
        <v>132.78569994403261</v>
      </c>
      <c r="AU521" s="80">
        <f>IFERROR(VLOOKUP(tbl_Data[[#This Row],[All_Meas_Name_Append]],'IRA Tax Credits'!$A$3:$D$46,4,0),0)</f>
        <v>0</v>
      </c>
      <c r="AV521" s="81">
        <f>tbl_Data[[#This Row],[Adj. per unit Incentive ($)]]/tbl_Data[[#This Row],[kWh Savings]]*tbl_Data[[#This Row],[Sum of Annuals]]</f>
        <v>4.017827557817212E-10</v>
      </c>
      <c r="AW521" s="81" t="str">
        <f>IFERROR(VLOOKUP(tbl_Data[[#This Row],[Column1]],'1. Set Program Names'!$B$2:$D$15,3,0)*tbl_Data[[#This Row],[Sum of Annuals]],"")</f>
        <v/>
      </c>
      <c r="AX521" s="81">
        <f>tbl_Data[[#This Row],[per unit IRA tax ($)]]/tbl_Data[[#This Row],[kWh Savings]]*tbl_Data[[#This Row],[Sum of Annuals]]</f>
        <v>0</v>
      </c>
      <c r="AY521" s="81">
        <f>tbl_Data[[#This Row],[Avoided Costs ($/unit)]]/tbl_Data[[#This Row],[kWh Savings]]*tbl_Data[[#This Row],[Sum of Annuals]]</f>
        <v>1.466553413569822E-9</v>
      </c>
      <c r="AZ521" s="81">
        <f>tbl_Data[[#This Row],[Lost Revenue ($/unit)]]/tbl_Data[[#This Row],[kWh Savings]]*tbl_Data[[#This Row],[Sum of Annuals]]</f>
        <v>2.9408383016903637E-9</v>
      </c>
      <c r="BA521" s="81">
        <f>tbl_Data[[#This Row],[Incremental Cost ($/unit)]]/tbl_Data[[#This Row],[kWh Savings]]*tbl_Data[[#This Row],[Sum of Annuals]]</f>
        <v>1.3392758526057371E-9</v>
      </c>
      <c r="BB521" s="77">
        <f>ROUNDUP(tbl_Data[[#This Row],[Adjusted 2025]]/$L521,0)</f>
        <v>1</v>
      </c>
      <c r="BC521" s="77">
        <f>ROUNDUP(tbl_Data[[#This Row],[Adjusted 2026]]/$L521,0)</f>
        <v>1</v>
      </c>
      <c r="BD521" s="77">
        <f>ROUNDUP(tbl_Data[[#This Row],[Adjusted 2027]]/$L521,0)</f>
        <v>1</v>
      </c>
      <c r="BE521" s="77">
        <f>ROUNDUP(tbl_Data[[#This Row],[Adjusted 2028]]/$L521,0)</f>
        <v>1</v>
      </c>
      <c r="BF521" s="77">
        <f>ROUNDUP(tbl_Data[[#This Row],[Adjusted 2029]]/$L521,0)</f>
        <v>1</v>
      </c>
      <c r="BG521" s="77">
        <f>ROUNDUP(tbl_Data[[#This Row],[Adjusted 2030]]/$L521,0)</f>
        <v>1</v>
      </c>
      <c r="BH521" s="77">
        <f>ROUNDUP(tbl_Data[[#This Row],[Adjusted 2031]]/$L521,0)</f>
        <v>1</v>
      </c>
      <c r="BI521" s="77">
        <f>ROUNDUP(tbl_Data[[#This Row],[Adjusted 2032]]/$L521,0)</f>
        <v>1</v>
      </c>
      <c r="BJ521" s="77">
        <f>ROUNDUP(tbl_Data[[#This Row],[Adjusted 2033]]/$L521,0)</f>
        <v>1</v>
      </c>
      <c r="BK521" s="77">
        <f>ROUNDUP(tbl_Data[[#This Row],[Adjusted 2034]]/$L521,0)</f>
        <v>1</v>
      </c>
      <c r="BL521" s="80">
        <f t="shared" si="210"/>
        <v>35.138146118601014</v>
      </c>
      <c r="BM521" s="80">
        <f t="shared" si="211"/>
        <v>64.663782080315443</v>
      </c>
      <c r="BN521" s="80">
        <f t="shared" si="212"/>
        <v>89.362415599875831</v>
      </c>
      <c r="BO521" s="80">
        <f t="shared" si="213"/>
        <v>110.11498342120831</v>
      </c>
      <c r="BP521" s="80">
        <f t="shared" si="214"/>
        <v>127.63298426052418</v>
      </c>
      <c r="BQ521" s="80">
        <f t="shared" si="215"/>
        <v>142.50067555094427</v>
      </c>
      <c r="BR521" s="80">
        <f t="shared" si="216"/>
        <v>155.19763058157938</v>
      </c>
      <c r="BS521" s="80">
        <f t="shared" si="217"/>
        <v>166.14004571848724</v>
      </c>
      <c r="BT521" s="80">
        <f t="shared" si="218"/>
        <v>175.69771634558438</v>
      </c>
      <c r="BU521" s="80">
        <f t="shared" si="219"/>
        <v>184.12961999783187</v>
      </c>
      <c r="BV521" s="80" t="str">
        <f>IFERROR(VLOOKUP($H521,'1. Set Program Names'!$B$2:$D$15,3,0)*V521,"NA")</f>
        <v>NA</v>
      </c>
      <c r="BW521" s="80" t="str">
        <f>IFERROR(VLOOKUP($H521,'1. Set Program Names'!$B$2:$D$15,3,0)*W521,"NA")</f>
        <v>NA</v>
      </c>
      <c r="BX521" s="80" t="str">
        <f>IFERROR(VLOOKUP($H521,'1. Set Program Names'!$B$2:$D$15,3,0)*X521,"NA")</f>
        <v>NA</v>
      </c>
      <c r="BY521" s="80" t="str">
        <f>IFERROR(VLOOKUP($H521,'1. Set Program Names'!$B$2:$D$15,3,0)*Y521,"NA")</f>
        <v>NA</v>
      </c>
      <c r="BZ521" s="80" t="str">
        <f>IFERROR(VLOOKUP($H521,'1. Set Program Names'!$B$2:$D$15,3,0)*Z521,"NA")</f>
        <v>NA</v>
      </c>
      <c r="CA521" s="80" t="str">
        <f>IFERROR(VLOOKUP($H521,'1. Set Program Names'!$B$2:$D$15,3,0)*AA521,"NA")</f>
        <v>NA</v>
      </c>
      <c r="CB521" s="80" t="str">
        <f>IFERROR(VLOOKUP($H521,'1. Set Program Names'!$B$2:$D$15,3,0)*AB521,"NA")</f>
        <v>NA</v>
      </c>
      <c r="CC521" s="80" t="str">
        <f>IFERROR(VLOOKUP($H521,'1. Set Program Names'!$B$2:$D$15,3,0)*AC521,"NA")</f>
        <v>NA</v>
      </c>
      <c r="CD521" s="80" t="str">
        <f>IFERROR(VLOOKUP($H521,'1. Set Program Names'!$B$2:$D$15,3,0)*AD521,"NA")</f>
        <v>NA</v>
      </c>
      <c r="CE521" s="80" t="str">
        <f>IFERROR(VLOOKUP($H521,'1. Set Program Names'!$B$2:$D$15,3,0)*AE521,"NA")</f>
        <v>NA</v>
      </c>
    </row>
    <row r="522" spans="1:83" x14ac:dyDescent="0.25">
      <c r="A522" s="79" t="s">
        <v>114</v>
      </c>
      <c r="B522" s="79" t="s">
        <v>88</v>
      </c>
      <c r="C522" s="79" t="s">
        <v>122</v>
      </c>
      <c r="D522" s="79" t="s">
        <v>90</v>
      </c>
      <c r="E522" s="79" t="s">
        <v>91</v>
      </c>
      <c r="F522" s="79" t="s">
        <v>90</v>
      </c>
      <c r="G522" s="79" t="s">
        <v>92</v>
      </c>
      <c r="H522" s="79" t="s">
        <v>20</v>
      </c>
      <c r="I522" s="79" t="s">
        <v>237</v>
      </c>
      <c r="J522" s="79" t="s">
        <v>129</v>
      </c>
      <c r="K522" s="79" t="s">
        <v>102</v>
      </c>
      <c r="L522" s="79">
        <v>2568.1199999999699</v>
      </c>
      <c r="M522" s="79">
        <v>0.53641456399840104</v>
      </c>
      <c r="N522" s="79">
        <v>2.1892485513222901E-2</v>
      </c>
      <c r="O522" s="79">
        <f>9025.1/929.29*tbl_Data[[#This Row],[kWh Savings]]</f>
        <v>24941.126894725789</v>
      </c>
      <c r="P522" s="79">
        <v>35498.089296558101</v>
      </c>
      <c r="Q522" s="79">
        <v>154.08719999999801</v>
      </c>
      <c r="R522" s="79">
        <v>1534.4473108970501</v>
      </c>
      <c r="S522" s="79">
        <v>3958.9826982459099</v>
      </c>
      <c r="T522" s="79">
        <v>30</v>
      </c>
      <c r="U522" s="79">
        <v>0.05</v>
      </c>
      <c r="V522" s="79">
        <f>tbl_Data_old[[#This Row],[2025 ]]*IFERROR(AVERAGEIFS('Participation Adjustment'!$C:$C,'Participation Adjustment'!$A:$A,$H522,'Participation Adjustment'!$B:$B,$I522),1)</f>
        <v>1.81257838799656E-2</v>
      </c>
      <c r="W522" s="79">
        <f>tbl_Data_old[[#This Row],[2026 ]]*IFERROR(AVERAGEIFS('Participation Adjustment'!$C:$C,'Participation Adjustment'!$A:$A,$H522,'Participation Adjustment'!$B:$B,$I522),1)</f>
        <v>2.0250417388917301E-2</v>
      </c>
      <c r="X522" s="79">
        <f>tbl_Data_old[[#This Row],[2027 ]]*IFERROR(AVERAGEIFS('Participation Adjustment'!$C:$C,'Participation Adjustment'!$A:$A,$H522,'Participation Adjustment'!$B:$B,$I522),1)</f>
        <v>2.2554636980950501E-2</v>
      </c>
      <c r="Y522" s="79">
        <f>tbl_Data_old[[#This Row],[2028 ]]*IFERROR(AVERAGEIFS('Participation Adjustment'!$C:$C,'Participation Adjustment'!$A:$A,$H522,'Participation Adjustment'!$B:$B,$I522),1)</f>
        <v>2.5084692280651001E-2</v>
      </c>
      <c r="Z522" s="79">
        <f>tbl_Data_old[[#This Row],[2029 ]]*IFERROR(AVERAGEIFS('Participation Adjustment'!$C:$C,'Participation Adjustment'!$A:$A,$H522,'Participation Adjustment'!$B:$B,$I522),1)</f>
        <v>2.7760385244358501E-2</v>
      </c>
      <c r="AA522" s="79">
        <f>tbl_Data_old[[#This Row],[2030 ]]*IFERROR(AVERAGEIFS('Participation Adjustment'!$C:$C,'Participation Adjustment'!$A:$A,$H522,'Participation Adjustment'!$B:$B,$I522),1)</f>
        <v>3.0578318461102701E-2</v>
      </c>
      <c r="AB522" s="79">
        <f>tbl_Data_old[[#This Row],[2031 ]]*IFERROR(AVERAGEIFS('Participation Adjustment'!$C:$C,'Participation Adjustment'!$A:$A,$H522,'Participation Adjustment'!$B:$B,$I522),1)</f>
        <v>3.3461505838433402E-2</v>
      </c>
      <c r="AC522" s="79">
        <f>tbl_Data_old[[#This Row],[2032 ]]*IFERROR(AVERAGEIFS('Participation Adjustment'!$C:$C,'Participation Adjustment'!$A:$A,$H522,'Participation Adjustment'!$B:$B,$I522),1)</f>
        <v>3.6456714346071402E-2</v>
      </c>
      <c r="AD522" s="79">
        <f>tbl_Data_old[[#This Row],[2033 ]]*IFERROR(AVERAGEIFS('Participation Adjustment'!$C:$C,'Participation Adjustment'!$A:$A,$H522,'Participation Adjustment'!$B:$B,$I522),1)</f>
        <v>3.96571489331193E-2</v>
      </c>
      <c r="AE522" s="79">
        <f>tbl_Data_old[[#This Row],[2034 ]]*IFERROR(AVERAGEIFS('Participation Adjustment'!$C:$C,'Participation Adjustment'!$A:$A,$H522,'Participation Adjustment'!$B:$B,$I522),1)</f>
        <v>4.2891273963072102E-2</v>
      </c>
      <c r="AF522" s="77" t="str">
        <f t="shared" si="209"/>
        <v>NonResidential</v>
      </c>
      <c r="AG522" s="77" t="str">
        <f>tbl_Data[[#This Row],[All_Meas_Name_Append]]</f>
        <v>Ceiling Insulation(R19 to R38)</v>
      </c>
      <c r="AH522" s="77">
        <f>AVERAGEIFS('3. Incentive Adjustment'!G:G,'3. Incentive Adjustment'!A:A,tbl_Data[[#This Row],[Trimmed Sector]],'3. Incentive Adjustment'!B:B,tbl_Data[[#This Row],[Trimmed Measure Name]])</f>
        <v>3.9688771318830651E-15</v>
      </c>
      <c r="AI522" s="77">
        <f>$AH522*tbl_Data[[#This Row],[2025 ]]</f>
        <v>7.193900913865017E-17</v>
      </c>
      <c r="AJ522" s="77">
        <f>$AH522*tbl_Data[[#This Row],[2026 ]]</f>
        <v>8.0371418485961048E-17</v>
      </c>
      <c r="AK522" s="77">
        <f>$AH522*tbl_Data[[#This Row],[2027 ]]</f>
        <v>8.9516582931618536E-17</v>
      </c>
      <c r="AL522" s="77">
        <f>$AH522*tbl_Data[[#This Row],[2028 ]]</f>
        <v>9.9558061552999404E-17</v>
      </c>
      <c r="AM522" s="77">
        <f>$AH522*tbl_Data[[#This Row],[2029 ]]</f>
        <v>1.1017755816859852E-16</v>
      </c>
      <c r="AN522" s="77">
        <f>$AH522*tbl_Data[[#This Row],[2030 ]]</f>
        <v>1.2136158887170827E-16</v>
      </c>
      <c r="AO522" s="77">
        <f>$AH522*tbl_Data[[#This Row],[2031 ]]</f>
        <v>1.3280460532053001E-16</v>
      </c>
      <c r="AP522" s="77">
        <f>$AH522*tbl_Data[[#This Row],[2032 ]]</f>
        <v>1.4469221987171607E-16</v>
      </c>
      <c r="AQ522" s="77">
        <f>$AH522*tbl_Data[[#This Row],[2033 ]]</f>
        <v>1.5739435151633809E-16</v>
      </c>
      <c r="AR522" s="77">
        <f>$AH522*tbl_Data[[#This Row],[2034 ]]</f>
        <v>1.702301963893684E-16</v>
      </c>
      <c r="AS522" s="77">
        <f>SUM(tbl_Data[[#This Row],[Adjusted 2025]:[Adjusted 2034]])</f>
        <v>1.1780455922474887E-15</v>
      </c>
      <c r="AT522" s="80">
        <f>AVERAGEIFS('3. Incentive Adjustment'!F:F,'3. Incentive Adjustment'!A:A,tbl_Data[[#This Row],[Trimmed Sector]],'3. Incentive Adjustment'!B:B,tbl_Data[[#This Row],[Trimmed Measure Name]])</f>
        <v>3222.5963039661074</v>
      </c>
      <c r="AU522" s="80">
        <f>IFERROR(VLOOKUP(tbl_Data[[#This Row],[All_Meas_Name_Append]],'IRA Tax Credits'!$A$3:$D$46,4,0),0)</f>
        <v>0</v>
      </c>
      <c r="AV522" s="81">
        <f>tbl_Data[[#This Row],[Adj. per unit Incentive ($)]]/tbl_Data[[#This Row],[kWh Savings]]*tbl_Data[[#This Row],[Sum of Annuals]]</f>
        <v>1.4782663471646051E-15</v>
      </c>
      <c r="AW522" s="81" t="str">
        <f>IFERROR(VLOOKUP(tbl_Data[[#This Row],[Column1]],'1. Set Program Names'!$B$2:$D$15,3,0)*tbl_Data[[#This Row],[Sum of Annuals]],"")</f>
        <v/>
      </c>
      <c r="AX522" s="81">
        <f>tbl_Data[[#This Row],[per unit IRA tax ($)]]/tbl_Data[[#This Row],[kWh Savings]]*tbl_Data[[#This Row],[Sum of Annuals]]</f>
        <v>0</v>
      </c>
      <c r="AY522" s="81">
        <f>tbl_Data[[#This Row],[Avoided Costs ($/unit)]]/tbl_Data[[#This Row],[kWh Savings]]*tbl_Data[[#This Row],[Sum of Annuals]]</f>
        <v>7.0388022800270355E-16</v>
      </c>
      <c r="AZ522" s="81">
        <f>tbl_Data[[#This Row],[Lost Revenue ($/unit)]]/tbl_Data[[#This Row],[kWh Savings]]*tbl_Data[[#This Row],[Sum of Annuals]]</f>
        <v>1.8160608217111032E-15</v>
      </c>
      <c r="BA522" s="81">
        <f>tbl_Data[[#This Row],[Incremental Cost ($/unit)]]/tbl_Data[[#This Row],[kWh Savings]]*tbl_Data[[#This Row],[Sum of Annuals]]</f>
        <v>1.1440970283326852E-14</v>
      </c>
      <c r="BB522" s="77">
        <f>ROUNDUP(tbl_Data[[#This Row],[Adjusted 2025]]/$L522,0)</f>
        <v>1</v>
      </c>
      <c r="BC522" s="77">
        <f>ROUNDUP(tbl_Data[[#This Row],[Adjusted 2026]]/$L522,0)</f>
        <v>1</v>
      </c>
      <c r="BD522" s="77">
        <f>ROUNDUP(tbl_Data[[#This Row],[Adjusted 2027]]/$L522,0)</f>
        <v>1</v>
      </c>
      <c r="BE522" s="77">
        <f>ROUNDUP(tbl_Data[[#This Row],[Adjusted 2028]]/$L522,0)</f>
        <v>1</v>
      </c>
      <c r="BF522" s="77">
        <f>ROUNDUP(tbl_Data[[#This Row],[Adjusted 2029]]/$L522,0)</f>
        <v>1</v>
      </c>
      <c r="BG522" s="77">
        <f>ROUNDUP(tbl_Data[[#This Row],[Adjusted 2030]]/$L522,0)</f>
        <v>1</v>
      </c>
      <c r="BH522" s="77">
        <f>ROUNDUP(tbl_Data[[#This Row],[Adjusted 2031]]/$L522,0)</f>
        <v>1</v>
      </c>
      <c r="BI522" s="77">
        <f>ROUNDUP(tbl_Data[[#This Row],[Adjusted 2032]]/$L522,0)</f>
        <v>1</v>
      </c>
      <c r="BJ522" s="77">
        <f>ROUNDUP(tbl_Data[[#This Row],[Adjusted 2033]]/$L522,0)</f>
        <v>1</v>
      </c>
      <c r="BK522" s="77">
        <f>ROUNDUP(tbl_Data[[#This Row],[Adjusted 2034]]/$L522,0)</f>
        <v>1</v>
      </c>
      <c r="BL522" s="80">
        <f t="shared" si="210"/>
        <v>2.2745075829036916E-2</v>
      </c>
      <c r="BM522" s="80">
        <f t="shared" si="211"/>
        <v>2.5411164677389162E-2</v>
      </c>
      <c r="BN522" s="80">
        <f t="shared" si="212"/>
        <v>2.830260648727833E-2</v>
      </c>
      <c r="BO522" s="80">
        <f t="shared" si="213"/>
        <v>3.1477437436628355E-2</v>
      </c>
      <c r="BP522" s="80">
        <f t="shared" si="214"/>
        <v>3.4835021293843756E-2</v>
      </c>
      <c r="BQ522" s="80">
        <f t="shared" si="215"/>
        <v>3.8371094829777935E-2</v>
      </c>
      <c r="BR522" s="80">
        <f t="shared" si="216"/>
        <v>4.1989052318457502E-2</v>
      </c>
      <c r="BS522" s="80">
        <f t="shared" si="217"/>
        <v>4.5747579126520277E-2</v>
      </c>
      <c r="BT522" s="80">
        <f t="shared" si="218"/>
        <v>4.9763633154877973E-2</v>
      </c>
      <c r="BU522" s="80">
        <f t="shared" si="219"/>
        <v>5.3821963516422724E-2</v>
      </c>
      <c r="BV522" s="80" t="str">
        <f>IFERROR(VLOOKUP($H522,'1. Set Program Names'!$B$2:$D$15,3,0)*V522,"NA")</f>
        <v>NA</v>
      </c>
      <c r="BW522" s="80" t="str">
        <f>IFERROR(VLOOKUP($H522,'1. Set Program Names'!$B$2:$D$15,3,0)*W522,"NA")</f>
        <v>NA</v>
      </c>
      <c r="BX522" s="80" t="str">
        <f>IFERROR(VLOOKUP($H522,'1. Set Program Names'!$B$2:$D$15,3,0)*X522,"NA")</f>
        <v>NA</v>
      </c>
      <c r="BY522" s="80" t="str">
        <f>IFERROR(VLOOKUP($H522,'1. Set Program Names'!$B$2:$D$15,3,0)*Y522,"NA")</f>
        <v>NA</v>
      </c>
      <c r="BZ522" s="80" t="str">
        <f>IFERROR(VLOOKUP($H522,'1. Set Program Names'!$B$2:$D$15,3,0)*Z522,"NA")</f>
        <v>NA</v>
      </c>
      <c r="CA522" s="80" t="str">
        <f>IFERROR(VLOOKUP($H522,'1. Set Program Names'!$B$2:$D$15,3,0)*AA522,"NA")</f>
        <v>NA</v>
      </c>
      <c r="CB522" s="80" t="str">
        <f>IFERROR(VLOOKUP($H522,'1. Set Program Names'!$B$2:$D$15,3,0)*AB522,"NA")</f>
        <v>NA</v>
      </c>
      <c r="CC522" s="80" t="str">
        <f>IFERROR(VLOOKUP($H522,'1. Set Program Names'!$B$2:$D$15,3,0)*AC522,"NA")</f>
        <v>NA</v>
      </c>
      <c r="CD522" s="80" t="str">
        <f>IFERROR(VLOOKUP($H522,'1. Set Program Names'!$B$2:$D$15,3,0)*AD522,"NA")</f>
        <v>NA</v>
      </c>
      <c r="CE522" s="80" t="str">
        <f>IFERROR(VLOOKUP($H522,'1. Set Program Names'!$B$2:$D$15,3,0)*AE522,"NA")</f>
        <v>NA</v>
      </c>
    </row>
    <row r="523" spans="1:83" x14ac:dyDescent="0.25">
      <c r="A523" s="79" t="s">
        <v>114</v>
      </c>
      <c r="B523" s="79" t="s">
        <v>88</v>
      </c>
      <c r="C523" s="79" t="s">
        <v>122</v>
      </c>
      <c r="D523" s="79" t="s">
        <v>90</v>
      </c>
      <c r="E523" s="79" t="s">
        <v>91</v>
      </c>
      <c r="F523" s="79" t="s">
        <v>90</v>
      </c>
      <c r="G523" s="79" t="s">
        <v>92</v>
      </c>
      <c r="H523" s="79" t="s">
        <v>20</v>
      </c>
      <c r="I523" s="79" t="s">
        <v>238</v>
      </c>
      <c r="J523" s="79" t="s">
        <v>129</v>
      </c>
      <c r="K523" s="79" t="s">
        <v>102</v>
      </c>
      <c r="L523" s="79">
        <v>4477.6116666666303</v>
      </c>
      <c r="M523" s="79">
        <v>0.90610878358590996</v>
      </c>
      <c r="N523" s="79">
        <v>4.9616670393602701E-2</v>
      </c>
      <c r="O523" s="79">
        <f>9351.31/1137.9*tbl_Data[[#This Row],[kWh Savings]]</f>
        <v>36797.200768623181</v>
      </c>
      <c r="P523" s="79">
        <v>44221.719775682497</v>
      </c>
      <c r="Q523" s="79">
        <v>268.65669999999699</v>
      </c>
      <c r="R523" s="79">
        <v>2670.7044942461998</v>
      </c>
      <c r="S523" s="79">
        <v>6902.6319322295803</v>
      </c>
      <c r="T523" s="79">
        <v>30</v>
      </c>
      <c r="U523" s="79">
        <v>0.05</v>
      </c>
      <c r="V523" s="79">
        <f>tbl_Data_old[[#This Row],[2025 ]]*IFERROR(AVERAGEIFS('Participation Adjustment'!$C:$C,'Participation Adjustment'!$A:$A,$H523,'Participation Adjustment'!$B:$B,$I523),1)</f>
        <v>1.1459983861124999E-2</v>
      </c>
      <c r="W523" s="79">
        <f>tbl_Data_old[[#This Row],[2026 ]]*IFERROR(AVERAGEIFS('Participation Adjustment'!$C:$C,'Participation Adjustment'!$A:$A,$H523,'Participation Adjustment'!$B:$B,$I523),1)</f>
        <v>1.2786406613651E-2</v>
      </c>
      <c r="X523" s="79">
        <f>tbl_Data_old[[#This Row],[2027 ]]*IFERROR(AVERAGEIFS('Participation Adjustment'!$C:$C,'Participation Adjustment'!$A:$A,$H523,'Participation Adjustment'!$B:$B,$I523),1)</f>
        <v>1.42170706971468E-2</v>
      </c>
      <c r="Y523" s="79">
        <f>tbl_Data_old[[#This Row],[2028 ]]*IFERROR(AVERAGEIFS('Participation Adjustment'!$C:$C,'Participation Adjustment'!$A:$A,$H523,'Participation Adjustment'!$B:$B,$I523),1)</f>
        <v>1.5783581329116302E-2</v>
      </c>
      <c r="Z523" s="79">
        <f>tbl_Data_old[[#This Row],[2029 ]]*IFERROR(AVERAGEIFS('Participation Adjustment'!$C:$C,'Participation Adjustment'!$A:$A,$H523,'Participation Adjustment'!$B:$B,$I523),1)</f>
        <v>1.7437469525198999E-2</v>
      </c>
      <c r="AA523" s="79">
        <f>tbl_Data_old[[#This Row],[2030 ]]*IFERROR(AVERAGEIFS('Participation Adjustment'!$C:$C,'Participation Adjustment'!$A:$A,$H523,'Participation Adjustment'!$B:$B,$I523),1)</f>
        <v>1.9175003427041499E-2</v>
      </c>
      <c r="AB523" s="79">
        <f>tbl_Data_old[[#This Row],[2031 ]]*IFERROR(AVERAGEIFS('Participation Adjustment'!$C:$C,'Participation Adjustment'!$A:$A,$H523,'Participation Adjustment'!$B:$B,$I523),1)</f>
        <v>2.0950882752557399E-2</v>
      </c>
      <c r="AC523" s="79">
        <f>tbl_Data_old[[#This Row],[2032 ]]*IFERROR(AVERAGEIFS('Participation Adjustment'!$C:$C,'Participation Adjustment'!$A:$A,$H523,'Participation Adjustment'!$B:$B,$I523),1)</f>
        <v>2.27949106244568E-2</v>
      </c>
      <c r="AD523" s="79">
        <f>tbl_Data_old[[#This Row],[2033 ]]*IFERROR(AVERAGEIFS('Participation Adjustment'!$C:$C,'Participation Adjustment'!$A:$A,$H523,'Participation Adjustment'!$B:$B,$I523),1)</f>
        <v>2.4761997617404299E-2</v>
      </c>
      <c r="AE523" s="79">
        <f>tbl_Data_old[[#This Row],[2034 ]]*IFERROR(AVERAGEIFS('Participation Adjustment'!$C:$C,'Participation Adjustment'!$A:$A,$H523,'Participation Adjustment'!$B:$B,$I523),1)</f>
        <v>2.67493353139544E-2</v>
      </c>
      <c r="AF523" s="77" t="str">
        <f t="shared" si="209"/>
        <v>NonResidential</v>
      </c>
      <c r="AG523" s="77" t="str">
        <f>tbl_Data[[#This Row],[All_Meas_Name_Append]]</f>
        <v>Ceiling Insulation(R19 to R49)</v>
      </c>
      <c r="AH523" s="77">
        <f>AVERAGEIFS('3. Incentive Adjustment'!G:G,'3. Incentive Adjustment'!A:A,tbl_Data[[#This Row],[Trimmed Sector]],'3. Incentive Adjustment'!B:B,tbl_Data[[#This Row],[Trimmed Measure Name]])</f>
        <v>7.9373870200739678E-11</v>
      </c>
      <c r="AI523" s="77">
        <f>$AH523*tbl_Data[[#This Row],[2025 ]]</f>
        <v>9.0962327149550715E-13</v>
      </c>
      <c r="AJ523" s="77">
        <f>$AH523*tbl_Data[[#This Row],[2026 ]]</f>
        <v>1.0149065788858138E-12</v>
      </c>
      <c r="AK523" s="77">
        <f>$AH523*tbl_Data[[#This Row],[2027 ]]</f>
        <v>1.1284639241500698E-12</v>
      </c>
      <c r="AL523" s="77">
        <f>$AH523*tbl_Data[[#This Row],[2028 ]]</f>
        <v>1.2528039357200957E-12</v>
      </c>
      <c r="AM523" s="77">
        <f>$AH523*tbl_Data[[#This Row],[2029 ]]</f>
        <v>1.3840794427224991E-12</v>
      </c>
      <c r="AN523" s="77">
        <f>$AH523*tbl_Data[[#This Row],[2030 ]]</f>
        <v>1.5219942331167304E-12</v>
      </c>
      <c r="AO523" s="77">
        <f>$AH523*tbl_Data[[#This Row],[2031 ]]</f>
        <v>1.6629526481924066E-12</v>
      </c>
      <c r="AP523" s="77">
        <f>$AH523*tbl_Data[[#This Row],[2032 ]]</f>
        <v>1.8093202771430959E-12</v>
      </c>
      <c r="AQ523" s="77">
        <f>$AH523*tbl_Data[[#This Row],[2033 ]]</f>
        <v>1.9654555847948741E-12</v>
      </c>
      <c r="AR523" s="77">
        <f>$AH523*tbl_Data[[#This Row],[2034 ]]</f>
        <v>2.1231982691658789E-12</v>
      </c>
      <c r="AS523" s="77">
        <f>SUM(tbl_Data[[#This Row],[Adjusted 2025]:[Adjusted 2034]])</f>
        <v>1.4772798165386971E-11</v>
      </c>
      <c r="AT523" s="80">
        <f>AVERAGEIFS('3. Incentive Adjustment'!F:F,'3. Incentive Adjustment'!A:A,tbl_Data[[#This Row],[Trimmed Sector]],'3. Incentive Adjustment'!B:B,tbl_Data[[#This Row],[Trimmed Measure Name]])</f>
        <v>4754.4974087894998</v>
      </c>
      <c r="AU523" s="80">
        <f>IFERROR(VLOOKUP(tbl_Data[[#This Row],[All_Meas_Name_Append]],'IRA Tax Credits'!$A$3:$D$46,4,0),0)</f>
        <v>500</v>
      </c>
      <c r="AV523" s="81">
        <f>tbl_Data[[#This Row],[Adj. per unit Incentive ($)]]/tbl_Data[[#This Row],[kWh Savings]]*tbl_Data[[#This Row],[Sum of Annuals]]</f>
        <v>1.5686315792139903E-11</v>
      </c>
      <c r="AW523" s="81" t="str">
        <f>IFERROR(VLOOKUP(tbl_Data[[#This Row],[Column1]],'1. Set Program Names'!$B$2:$D$15,3,0)*tbl_Data[[#This Row],[Sum of Annuals]],"")</f>
        <v/>
      </c>
      <c r="AX523" s="81">
        <f>tbl_Data[[#This Row],[per unit IRA tax ($)]]/tbl_Data[[#This Row],[kWh Savings]]*tbl_Data[[#This Row],[Sum of Annuals]]</f>
        <v>1.6496292292789002E-12</v>
      </c>
      <c r="AY523" s="81">
        <f>tbl_Data[[#This Row],[Avoided Costs ($/unit)]]/tbl_Data[[#This Row],[kWh Savings]]*tbl_Data[[#This Row],[Sum of Annuals]]</f>
        <v>8.8113443929501065E-12</v>
      </c>
      <c r="AZ523" s="81">
        <f>tbl_Data[[#This Row],[Lost Revenue ($/unit)]]/tbl_Data[[#This Row],[kWh Savings]]*tbl_Data[[#This Row],[Sum of Annuals]]</f>
        <v>2.2773566788719615E-11</v>
      </c>
      <c r="BA523" s="81">
        <f>tbl_Data[[#This Row],[Incremental Cost ($/unit)]]/tbl_Data[[#This Row],[kWh Savings]]*tbl_Data[[#This Row],[Sum of Annuals]]</f>
        <v>1.2140347588712963E-10</v>
      </c>
      <c r="BB523" s="77">
        <f>ROUNDUP(tbl_Data[[#This Row],[Adjusted 2025]]/$L523,0)</f>
        <v>1</v>
      </c>
      <c r="BC523" s="77">
        <f>ROUNDUP(tbl_Data[[#This Row],[Adjusted 2026]]/$L523,0)</f>
        <v>1</v>
      </c>
      <c r="BD523" s="77">
        <f>ROUNDUP(tbl_Data[[#This Row],[Adjusted 2027]]/$L523,0)</f>
        <v>1</v>
      </c>
      <c r="BE523" s="77">
        <f>ROUNDUP(tbl_Data[[#This Row],[Adjusted 2028]]/$L523,0)</f>
        <v>1</v>
      </c>
      <c r="BF523" s="77">
        <f>ROUNDUP(tbl_Data[[#This Row],[Adjusted 2029]]/$L523,0)</f>
        <v>1</v>
      </c>
      <c r="BG523" s="77">
        <f>ROUNDUP(tbl_Data[[#This Row],[Adjusted 2030]]/$L523,0)</f>
        <v>1</v>
      </c>
      <c r="BH523" s="77">
        <f>ROUNDUP(tbl_Data[[#This Row],[Adjusted 2031]]/$L523,0)</f>
        <v>1</v>
      </c>
      <c r="BI523" s="77">
        <f>ROUNDUP(tbl_Data[[#This Row],[Adjusted 2032]]/$L523,0)</f>
        <v>1</v>
      </c>
      <c r="BJ523" s="77">
        <f>ROUNDUP(tbl_Data[[#This Row],[Adjusted 2033]]/$L523,0)</f>
        <v>1</v>
      </c>
      <c r="BK523" s="77">
        <f>ROUNDUP(tbl_Data[[#This Row],[Adjusted 2034]]/$L523,0)</f>
        <v>1</v>
      </c>
      <c r="BL523" s="80">
        <f t="shared" si="210"/>
        <v>1.2168644274828526E-2</v>
      </c>
      <c r="BM523" s="80">
        <f t="shared" si="211"/>
        <v>1.3577090118132122E-2</v>
      </c>
      <c r="BN523" s="80">
        <f t="shared" si="212"/>
        <v>1.5096223349016528E-2</v>
      </c>
      <c r="BO523" s="80">
        <f t="shared" si="213"/>
        <v>1.6759603582721532E-2</v>
      </c>
      <c r="BP523" s="80">
        <f t="shared" si="214"/>
        <v>1.8515764618579442E-2</v>
      </c>
      <c r="BQ523" s="80">
        <f t="shared" si="215"/>
        <v>2.0360743828253529E-2</v>
      </c>
      <c r="BR523" s="80">
        <f t="shared" si="216"/>
        <v>2.2246439658989543E-2</v>
      </c>
      <c r="BS523" s="80">
        <f t="shared" si="217"/>
        <v>2.4204498193620853E-2</v>
      </c>
      <c r="BT523" s="80">
        <f t="shared" si="218"/>
        <v>2.629322555701789E-2</v>
      </c>
      <c r="BU523" s="80">
        <f t="shared" si="219"/>
        <v>2.8403455883372057E-2</v>
      </c>
      <c r="BV523" s="80" t="str">
        <f>IFERROR(VLOOKUP($H523,'1. Set Program Names'!$B$2:$D$15,3,0)*V523,"NA")</f>
        <v>NA</v>
      </c>
      <c r="BW523" s="80" t="str">
        <f>IFERROR(VLOOKUP($H523,'1. Set Program Names'!$B$2:$D$15,3,0)*W523,"NA")</f>
        <v>NA</v>
      </c>
      <c r="BX523" s="80" t="str">
        <f>IFERROR(VLOOKUP($H523,'1. Set Program Names'!$B$2:$D$15,3,0)*X523,"NA")</f>
        <v>NA</v>
      </c>
      <c r="BY523" s="80" t="str">
        <f>IFERROR(VLOOKUP($H523,'1. Set Program Names'!$B$2:$D$15,3,0)*Y523,"NA")</f>
        <v>NA</v>
      </c>
      <c r="BZ523" s="80" t="str">
        <f>IFERROR(VLOOKUP($H523,'1. Set Program Names'!$B$2:$D$15,3,0)*Z523,"NA")</f>
        <v>NA</v>
      </c>
      <c r="CA523" s="80" t="str">
        <f>IFERROR(VLOOKUP($H523,'1. Set Program Names'!$B$2:$D$15,3,0)*AA523,"NA")</f>
        <v>NA</v>
      </c>
      <c r="CB523" s="80" t="str">
        <f>IFERROR(VLOOKUP($H523,'1. Set Program Names'!$B$2:$D$15,3,0)*AB523,"NA")</f>
        <v>NA</v>
      </c>
      <c r="CC523" s="80" t="str">
        <f>IFERROR(VLOOKUP($H523,'1. Set Program Names'!$B$2:$D$15,3,0)*AC523,"NA")</f>
        <v>NA</v>
      </c>
      <c r="CD523" s="80" t="str">
        <f>IFERROR(VLOOKUP($H523,'1. Set Program Names'!$B$2:$D$15,3,0)*AD523,"NA")</f>
        <v>NA</v>
      </c>
      <c r="CE523" s="80" t="str">
        <f>IFERROR(VLOOKUP($H523,'1. Set Program Names'!$B$2:$D$15,3,0)*AE523,"NA")</f>
        <v>NA</v>
      </c>
    </row>
    <row r="524" spans="1:83" x14ac:dyDescent="0.25">
      <c r="A524" s="79" t="s">
        <v>114</v>
      </c>
      <c r="B524" s="79" t="s">
        <v>88</v>
      </c>
      <c r="C524" s="79" t="s">
        <v>122</v>
      </c>
      <c r="D524" s="79" t="s">
        <v>90</v>
      </c>
      <c r="E524" s="79" t="s">
        <v>91</v>
      </c>
      <c r="F524" s="79" t="s">
        <v>90</v>
      </c>
      <c r="G524" s="79" t="s">
        <v>92</v>
      </c>
      <c r="H524" s="79" t="s">
        <v>20</v>
      </c>
      <c r="I524" s="79" t="s">
        <v>240</v>
      </c>
      <c r="J524" s="79" t="s">
        <v>129</v>
      </c>
      <c r="K524" s="79" t="s">
        <v>102</v>
      </c>
      <c r="L524" s="79">
        <v>18717.787499999999</v>
      </c>
      <c r="M524" s="79">
        <v>3.6380387810097399</v>
      </c>
      <c r="N524" s="79">
        <v>0.14255501576814</v>
      </c>
      <c r="O524" s="79">
        <f>11091.09/6133.31*tbl_Data[[#This Row],[kWh Savings]]</f>
        <v>33848.063405139306</v>
      </c>
      <c r="P524" s="79">
        <v>45532.278837645601</v>
      </c>
      <c r="Q524" s="79">
        <v>1123.0672500000001</v>
      </c>
      <c r="R524" s="79">
        <v>11042.715256281999</v>
      </c>
      <c r="S524" s="79">
        <v>28855.114582630202</v>
      </c>
      <c r="T524" s="79">
        <v>30</v>
      </c>
      <c r="U524" s="79">
        <v>0.05</v>
      </c>
      <c r="V524" s="79">
        <f>tbl_Data_old[[#This Row],[2025 ]]*IFERROR(AVERAGEIFS('Participation Adjustment'!$C:$C,'Participation Adjustment'!$A:$A,$H524,'Participation Adjustment'!$B:$B,$I524),1)</f>
        <v>2.0666208746619601E-2</v>
      </c>
      <c r="W524" s="79">
        <f>tbl_Data_old[[#This Row],[2026 ]]*IFERROR(AVERAGEIFS('Participation Adjustment'!$C:$C,'Participation Adjustment'!$A:$A,$H524,'Participation Adjustment'!$B:$B,$I524),1)</f>
        <v>2.0271851177313002E-2</v>
      </c>
      <c r="X524" s="79">
        <f>tbl_Data_old[[#This Row],[2027 ]]*IFERROR(AVERAGEIFS('Participation Adjustment'!$C:$C,'Participation Adjustment'!$A:$A,$H524,'Participation Adjustment'!$B:$B,$I524),1)</f>
        <v>1.9709828382717801E-2</v>
      </c>
      <c r="Y524" s="79">
        <f>tbl_Data_old[[#This Row],[2028 ]]*IFERROR(AVERAGEIFS('Participation Adjustment'!$C:$C,'Participation Adjustment'!$A:$A,$H524,'Participation Adjustment'!$B:$B,$I524),1)</f>
        <v>1.91664563938805E-2</v>
      </c>
      <c r="Z524" s="79">
        <f>tbl_Data_old[[#This Row],[2029 ]]*IFERROR(AVERAGEIFS('Participation Adjustment'!$C:$C,'Participation Adjustment'!$A:$A,$H524,'Participation Adjustment'!$B:$B,$I524),1)</f>
        <v>1.8646453639380799E-2</v>
      </c>
      <c r="AA524" s="79">
        <f>tbl_Data_old[[#This Row],[2030 ]]*IFERROR(AVERAGEIFS('Participation Adjustment'!$C:$C,'Participation Adjustment'!$A:$A,$H524,'Participation Adjustment'!$B:$B,$I524),1)</f>
        <v>1.8097321843546E-2</v>
      </c>
      <c r="AB524" s="79">
        <f>tbl_Data_old[[#This Row],[2031 ]]*IFERROR(AVERAGEIFS('Participation Adjustment'!$C:$C,'Participation Adjustment'!$A:$A,$H524,'Participation Adjustment'!$B:$B,$I524),1)</f>
        <v>1.75561010778485E-2</v>
      </c>
      <c r="AC524" s="79">
        <f>tbl_Data_old[[#This Row],[2032 ]]*IFERROR(AVERAGEIFS('Participation Adjustment'!$C:$C,'Participation Adjustment'!$A:$A,$H524,'Participation Adjustment'!$B:$B,$I524),1)</f>
        <v>1.7051723168461399E-2</v>
      </c>
      <c r="AD524" s="79">
        <f>tbl_Data_old[[#This Row],[2033 ]]*IFERROR(AVERAGEIFS('Participation Adjustment'!$C:$C,'Participation Adjustment'!$A:$A,$H524,'Participation Adjustment'!$B:$B,$I524),1)</f>
        <v>1.6554761531038801E-2</v>
      </c>
      <c r="AE524" s="79">
        <f>tbl_Data_old[[#This Row],[2034 ]]*IFERROR(AVERAGEIFS('Participation Adjustment'!$C:$C,'Participation Adjustment'!$A:$A,$H524,'Participation Adjustment'!$B:$B,$I524),1)</f>
        <v>1.6074749684717799E-2</v>
      </c>
      <c r="AF524" s="77" t="str">
        <f t="shared" si="209"/>
        <v>NonResidential</v>
      </c>
      <c r="AG524" s="77" t="str">
        <f>tbl_Data[[#This Row],[All_Meas_Name_Append]]</f>
        <v>Ceiling Insulation(R2 to R38)</v>
      </c>
      <c r="AH524" s="77">
        <f>AVERAGEIFS('3. Incentive Adjustment'!G:G,'3. Incentive Adjustment'!A:A,tbl_Data[[#This Row],[Trimmed Sector]],'3. Incentive Adjustment'!B:B,tbl_Data[[#This Row],[Trimmed Measure Name]])</f>
        <v>3.0218441517909909E-3</v>
      </c>
      <c r="AI524" s="77">
        <f>$AH524*tbl_Data[[#This Row],[2025 ]]</f>
        <v>6.2450062040664273E-5</v>
      </c>
      <c r="AJ524" s="77">
        <f>$AH524*tbl_Data[[#This Row],[2026 ]]</f>
        <v>6.1258374926140605E-5</v>
      </c>
      <c r="AK524" s="77">
        <f>$AH524*tbl_Data[[#This Row],[2027 ]]</f>
        <v>5.956002963111987E-5</v>
      </c>
      <c r="AL524" s="77">
        <f>$AH524*tbl_Data[[#This Row],[2028 ]]</f>
        <v>5.791804416440483E-5</v>
      </c>
      <c r="AM524" s="77">
        <f>$AH524*tbl_Data[[#This Row],[2029 ]]</f>
        <v>5.6346676881804702E-5</v>
      </c>
      <c r="AN524" s="77">
        <f>$AH524*tbl_Data[[#This Row],[2030 ]]</f>
        <v>5.4687286175998832E-5</v>
      </c>
      <c r="AO524" s="77">
        <f>$AH524*tbl_Data[[#This Row],[2031 ]]</f>
        <v>5.3051801370348001E-5</v>
      </c>
      <c r="AP524" s="77">
        <f>$AH524*tbl_Data[[#This Row],[2032 ]]</f>
        <v>5.1527649934574024E-5</v>
      </c>
      <c r="AQ524" s="77">
        <f>$AH524*tbl_Data[[#This Row],[2033 ]]</f>
        <v>5.0025909316864071E-5</v>
      </c>
      <c r="AR524" s="77">
        <f>$AH524*tbl_Data[[#This Row],[2034 ]]</f>
        <v>4.8575388326268556E-5</v>
      </c>
      <c r="AS524" s="77">
        <f>SUM(tbl_Data[[#This Row],[Adjusted 2025]:[Adjusted 2034]])</f>
        <v>5.5540122276818776E-4</v>
      </c>
      <c r="AT524" s="80">
        <f>AVERAGEIFS('3. Incentive Adjustment'!F:F,'3. Incentive Adjustment'!A:A,tbl_Data[[#This Row],[Trimmed Sector]],'3. Incentive Adjustment'!B:B,tbl_Data[[#This Row],[Trimmed Measure Name]])</f>
        <v>4373.4448922946976</v>
      </c>
      <c r="AU524" s="80">
        <f>IFERROR(VLOOKUP(tbl_Data[[#This Row],[All_Meas_Name_Append]],'IRA Tax Credits'!$A$3:$D$46,4,0),0)</f>
        <v>0</v>
      </c>
      <c r="AV524" s="81">
        <f>tbl_Data[[#This Row],[Adj. per unit Incentive ($)]]/tbl_Data[[#This Row],[kWh Savings]]*tbl_Data[[#This Row],[Sum of Annuals]]</f>
        <v>1.2977049989961476E-4</v>
      </c>
      <c r="AW524" s="81" t="str">
        <f>IFERROR(VLOOKUP(tbl_Data[[#This Row],[Column1]],'1. Set Program Names'!$B$2:$D$15,3,0)*tbl_Data[[#This Row],[Sum of Annuals]],"")</f>
        <v/>
      </c>
      <c r="AX524" s="81">
        <f>tbl_Data[[#This Row],[per unit IRA tax ($)]]/tbl_Data[[#This Row],[kWh Savings]]*tbl_Data[[#This Row],[Sum of Annuals]]</f>
        <v>0</v>
      </c>
      <c r="AY524" s="81">
        <f>tbl_Data[[#This Row],[Avoided Costs ($/unit)]]/tbl_Data[[#This Row],[kWh Savings]]*tbl_Data[[#This Row],[Sum of Annuals]]</f>
        <v>3.2766359571182997E-4</v>
      </c>
      <c r="AZ524" s="81">
        <f>tbl_Data[[#This Row],[Lost Revenue ($/unit)]]/tbl_Data[[#This Row],[kWh Savings]]*tbl_Data[[#This Row],[Sum of Annuals]]</f>
        <v>8.5619980044698027E-4</v>
      </c>
      <c r="BA524" s="81">
        <f>tbl_Data[[#This Row],[Incremental Cost ($/unit)]]/tbl_Data[[#This Row],[kWh Savings]]*tbl_Data[[#This Row],[Sum of Annuals]]</f>
        <v>1.0043524537047726E-3</v>
      </c>
      <c r="BB524" s="77">
        <f>ROUNDUP(tbl_Data[[#This Row],[Adjusted 2025]]/$L524,0)</f>
        <v>1</v>
      </c>
      <c r="BC524" s="77">
        <f>ROUNDUP(tbl_Data[[#This Row],[Adjusted 2026]]/$L524,0)</f>
        <v>1</v>
      </c>
      <c r="BD524" s="77">
        <f>ROUNDUP(tbl_Data[[#This Row],[Adjusted 2027]]/$L524,0)</f>
        <v>1</v>
      </c>
      <c r="BE524" s="77">
        <f>ROUNDUP(tbl_Data[[#This Row],[Adjusted 2028]]/$L524,0)</f>
        <v>1</v>
      </c>
      <c r="BF524" s="77">
        <f>ROUNDUP(tbl_Data[[#This Row],[Adjusted 2029]]/$L524,0)</f>
        <v>1</v>
      </c>
      <c r="BG524" s="77">
        <f>ROUNDUP(tbl_Data[[#This Row],[Adjusted 2030]]/$L524,0)</f>
        <v>1</v>
      </c>
      <c r="BH524" s="77">
        <f>ROUNDUP(tbl_Data[[#This Row],[Adjusted 2031]]/$L524,0)</f>
        <v>1</v>
      </c>
      <c r="BI524" s="77">
        <f>ROUNDUP(tbl_Data[[#This Row],[Adjusted 2032]]/$L524,0)</f>
        <v>1</v>
      </c>
      <c r="BJ524" s="77">
        <f>ROUNDUP(tbl_Data[[#This Row],[Adjusted 2033]]/$L524,0)</f>
        <v>1</v>
      </c>
      <c r="BK524" s="77">
        <f>ROUNDUP(tbl_Data[[#This Row],[Adjusted 2034]]/$L524,0)</f>
        <v>1</v>
      </c>
      <c r="BL524" s="80">
        <f t="shared" si="210"/>
        <v>4.8286970394337209E-3</v>
      </c>
      <c r="BM524" s="80">
        <f t="shared" si="211"/>
        <v>4.7365546803423116E-3</v>
      </c>
      <c r="BN524" s="80">
        <f t="shared" si="212"/>
        <v>4.6052370382131027E-3</v>
      </c>
      <c r="BO524" s="80">
        <f t="shared" si="213"/>
        <v>4.47827719057104E-3</v>
      </c>
      <c r="BP524" s="80">
        <f t="shared" si="214"/>
        <v>4.3567776067849817E-3</v>
      </c>
      <c r="BQ524" s="80">
        <f t="shared" si="215"/>
        <v>4.2284719698238655E-3</v>
      </c>
      <c r="BR524" s="80">
        <f t="shared" si="216"/>
        <v>4.1020147593579621E-3</v>
      </c>
      <c r="BS524" s="80">
        <f t="shared" si="217"/>
        <v>3.9841659488831505E-3</v>
      </c>
      <c r="BT524" s="80">
        <f t="shared" si="218"/>
        <v>3.8680499637619246E-3</v>
      </c>
      <c r="BU524" s="80">
        <f t="shared" si="219"/>
        <v>3.7558943279778589E-3</v>
      </c>
      <c r="BV524" s="80" t="str">
        <f>IFERROR(VLOOKUP($H524,'1. Set Program Names'!$B$2:$D$15,3,0)*V524,"NA")</f>
        <v>NA</v>
      </c>
      <c r="BW524" s="80" t="str">
        <f>IFERROR(VLOOKUP($H524,'1. Set Program Names'!$B$2:$D$15,3,0)*W524,"NA")</f>
        <v>NA</v>
      </c>
      <c r="BX524" s="80" t="str">
        <f>IFERROR(VLOOKUP($H524,'1. Set Program Names'!$B$2:$D$15,3,0)*X524,"NA")</f>
        <v>NA</v>
      </c>
      <c r="BY524" s="80" t="str">
        <f>IFERROR(VLOOKUP($H524,'1. Set Program Names'!$B$2:$D$15,3,0)*Y524,"NA")</f>
        <v>NA</v>
      </c>
      <c r="BZ524" s="80" t="str">
        <f>IFERROR(VLOOKUP($H524,'1. Set Program Names'!$B$2:$D$15,3,0)*Z524,"NA")</f>
        <v>NA</v>
      </c>
      <c r="CA524" s="80" t="str">
        <f>IFERROR(VLOOKUP($H524,'1. Set Program Names'!$B$2:$D$15,3,0)*AA524,"NA")</f>
        <v>NA</v>
      </c>
      <c r="CB524" s="80" t="str">
        <f>IFERROR(VLOOKUP($H524,'1. Set Program Names'!$B$2:$D$15,3,0)*AB524,"NA")</f>
        <v>NA</v>
      </c>
      <c r="CC524" s="80" t="str">
        <f>IFERROR(VLOOKUP($H524,'1. Set Program Names'!$B$2:$D$15,3,0)*AC524,"NA")</f>
        <v>NA</v>
      </c>
      <c r="CD524" s="80" t="str">
        <f>IFERROR(VLOOKUP($H524,'1. Set Program Names'!$B$2:$D$15,3,0)*AD524,"NA")</f>
        <v>NA</v>
      </c>
      <c r="CE524" s="80" t="str">
        <f>IFERROR(VLOOKUP($H524,'1. Set Program Names'!$B$2:$D$15,3,0)*AE524,"NA")</f>
        <v>NA</v>
      </c>
    </row>
    <row r="525" spans="1:83" x14ac:dyDescent="0.25">
      <c r="A525" s="79" t="s">
        <v>114</v>
      </c>
      <c r="B525" s="79" t="s">
        <v>88</v>
      </c>
      <c r="C525" s="79" t="s">
        <v>122</v>
      </c>
      <c r="D525" s="79" t="s">
        <v>90</v>
      </c>
      <c r="E525" s="79" t="s">
        <v>91</v>
      </c>
      <c r="F525" s="79" t="s">
        <v>90</v>
      </c>
      <c r="G525" s="79" t="s">
        <v>92</v>
      </c>
      <c r="H525" s="79" t="s">
        <v>20</v>
      </c>
      <c r="I525" s="79" t="s">
        <v>241</v>
      </c>
      <c r="J525" s="79" t="s">
        <v>129</v>
      </c>
      <c r="K525" s="79" t="s">
        <v>102</v>
      </c>
      <c r="L525" s="79">
        <v>19185.113333333298</v>
      </c>
      <c r="M525" s="79">
        <v>4.6125790568704801</v>
      </c>
      <c r="N525" s="79">
        <v>0.25911922024205197</v>
      </c>
      <c r="O525" s="79">
        <f>11417.3/6341.92*tbl_Data[[#This Row],[kWh Savings]]</f>
        <v>34538.782334161617</v>
      </c>
      <c r="P525" s="79">
        <v>25197.386166847798</v>
      </c>
      <c r="Q525" s="79">
        <v>1151.1068</v>
      </c>
      <c r="R525" s="79">
        <v>12014.6297388403</v>
      </c>
      <c r="S525" s="79">
        <v>29575.538429105502</v>
      </c>
      <c r="T525" s="79">
        <v>30</v>
      </c>
      <c r="U525" s="79">
        <v>0.05</v>
      </c>
      <c r="V525" s="79">
        <f>tbl_Data_old[[#This Row],[2025 ]]*IFERROR(AVERAGEIFS('Participation Adjustment'!$C:$C,'Participation Adjustment'!$A:$A,$H525,'Participation Adjustment'!$B:$B,$I525),1)</f>
        <v>2.3157920587444501E-2</v>
      </c>
      <c r="W525" s="79">
        <f>tbl_Data_old[[#This Row],[2026 ]]*IFERROR(AVERAGEIFS('Participation Adjustment'!$C:$C,'Participation Adjustment'!$A:$A,$H525,'Participation Adjustment'!$B:$B,$I525),1)</f>
        <v>2.27008904758337E-2</v>
      </c>
      <c r="X525" s="79">
        <f>tbl_Data_old[[#This Row],[2027 ]]*IFERROR(AVERAGEIFS('Participation Adjustment'!$C:$C,'Participation Adjustment'!$A:$A,$H525,'Participation Adjustment'!$B:$B,$I525),1)</f>
        <v>2.20564582407657E-2</v>
      </c>
      <c r="Y525" s="79">
        <f>tbl_Data_old[[#This Row],[2028 ]]*IFERROR(AVERAGEIFS('Participation Adjustment'!$C:$C,'Participation Adjustment'!$A:$A,$H525,'Participation Adjustment'!$B:$B,$I525),1)</f>
        <v>2.14336295595343E-2</v>
      </c>
      <c r="Z525" s="79">
        <f>tbl_Data_old[[#This Row],[2029 ]]*IFERROR(AVERAGEIFS('Participation Adjustment'!$C:$C,'Participation Adjustment'!$A:$A,$H525,'Participation Adjustment'!$B:$B,$I525),1)</f>
        <v>2.0837833507445801E-2</v>
      </c>
      <c r="AA525" s="79">
        <f>tbl_Data_old[[#This Row],[2030 ]]*IFERROR(AVERAGEIFS('Participation Adjustment'!$C:$C,'Participation Adjustment'!$A:$A,$H525,'Participation Adjustment'!$B:$B,$I525),1)</f>
        <v>2.0210529447635801E-2</v>
      </c>
      <c r="AB525" s="79">
        <f>tbl_Data_old[[#This Row],[2031 ]]*IFERROR(AVERAGEIFS('Participation Adjustment'!$C:$C,'Participation Adjustment'!$A:$A,$H525,'Participation Adjustment'!$B:$B,$I525),1)</f>
        <v>1.9593213019887999E-2</v>
      </c>
      <c r="AC525" s="79">
        <f>tbl_Data_old[[#This Row],[2032 ]]*IFERROR(AVERAGEIFS('Participation Adjustment'!$C:$C,'Participation Adjustment'!$A:$A,$H525,'Participation Adjustment'!$B:$B,$I525),1)</f>
        <v>1.9018188101370102E-2</v>
      </c>
      <c r="AD525" s="79">
        <f>tbl_Data_old[[#This Row],[2033 ]]*IFERROR(AVERAGEIFS('Participation Adjustment'!$C:$C,'Participation Adjustment'!$A:$A,$H525,'Participation Adjustment'!$B:$B,$I525),1)</f>
        <v>1.8452600614607701E-2</v>
      </c>
      <c r="AE525" s="79">
        <f>tbl_Data_old[[#This Row],[2034 ]]*IFERROR(AVERAGEIFS('Participation Adjustment'!$C:$C,'Participation Adjustment'!$A:$A,$H525,'Participation Adjustment'!$B:$B,$I525),1)</f>
        <v>1.7907056460870902E-2</v>
      </c>
      <c r="AF525" s="77" t="str">
        <f t="shared" si="209"/>
        <v>NonResidential</v>
      </c>
      <c r="AG525" s="77" t="str">
        <f>tbl_Data[[#This Row],[All_Meas_Name_Append]]</f>
        <v>Ceiling Insulation(R2 to R49)</v>
      </c>
      <c r="AH525" s="77">
        <f>AVERAGEIFS('3. Incentive Adjustment'!G:G,'3. Incentive Adjustment'!A:A,tbl_Data[[#This Row],[Trimmed Sector]],'3. Incentive Adjustment'!B:B,tbl_Data[[#This Row],[Trimmed Measure Name]])</f>
        <v>5.674595082038876E-2</v>
      </c>
      <c r="AI525" s="77">
        <f>$AH525*tbl_Data[[#This Row],[2025 ]]</f>
        <v>1.314118222757594E-3</v>
      </c>
      <c r="AJ525" s="77">
        <f>$AH525*tbl_Data[[#This Row],[2026 ]]</f>
        <v>1.2881836145206907E-3</v>
      </c>
      <c r="AK525" s="77">
        <f>$AH525*tbl_Data[[#This Row],[2027 ]]</f>
        <v>1.2516146946024488E-3</v>
      </c>
      <c r="AL525" s="77">
        <f>$AH525*tbl_Data[[#This Row],[2028 ]]</f>
        <v>1.2162716888877642E-3</v>
      </c>
      <c r="AM525" s="77">
        <f>$AH525*tbl_Data[[#This Row],[2029 ]]</f>
        <v>1.1824626754169685E-3</v>
      </c>
      <c r="AN525" s="77">
        <f>$AH525*tbl_Data[[#This Row],[2030 ]]</f>
        <v>1.14686571008956E-3</v>
      </c>
      <c r="AO525" s="77">
        <f>$AH525*tbl_Data[[#This Row],[2031 ]]</f>
        <v>1.1118355024399651E-3</v>
      </c>
      <c r="AP525" s="77">
        <f>$AH525*tbl_Data[[#This Row],[2032 ]]</f>
        <v>1.0792051666932505E-3</v>
      </c>
      <c r="AQ525" s="77">
        <f>$AH525*tbl_Data[[#This Row],[2033 ]]</f>
        <v>1.0471103669848041E-3</v>
      </c>
      <c r="AR525" s="77">
        <f>$AH525*tbl_Data[[#This Row],[2034 ]]</f>
        <v>1.016152945266505E-3</v>
      </c>
      <c r="AS525" s="77">
        <f>SUM(tbl_Data[[#This Row],[Adjusted 2025]:[Adjusted 2034]])</f>
        <v>1.165382058765955E-2</v>
      </c>
      <c r="AT525" s="80">
        <f>AVERAGEIFS('3. Incentive Adjustment'!F:F,'3. Incentive Adjustment'!A:A,tbl_Data[[#This Row],[Trimmed Sector]],'3. Incentive Adjustment'!B:B,tbl_Data[[#This Row],[Trimmed Measure Name]])</f>
        <v>4335.1908026959672</v>
      </c>
      <c r="AU525" s="80">
        <f>IFERROR(VLOOKUP(tbl_Data[[#This Row],[All_Meas_Name_Append]],'IRA Tax Credits'!$A$3:$D$46,4,0),0)</f>
        <v>500</v>
      </c>
      <c r="AV525" s="81">
        <f>tbl_Data[[#This Row],[Adj. per unit Incentive ($)]]/tbl_Data[[#This Row],[kWh Savings]]*tbl_Data[[#This Row],[Sum of Annuals]]</f>
        <v>2.6333717685217751E-3</v>
      </c>
      <c r="AW525" s="81" t="str">
        <f>IFERROR(VLOOKUP(tbl_Data[[#This Row],[Column1]],'1. Set Program Names'!$B$2:$D$15,3,0)*tbl_Data[[#This Row],[Sum of Annuals]],"")</f>
        <v/>
      </c>
      <c r="AX525" s="81">
        <f>tbl_Data[[#This Row],[per unit IRA tax ($)]]/tbl_Data[[#This Row],[kWh Savings]]*tbl_Data[[#This Row],[Sum of Annuals]]</f>
        <v>3.0372039990536685E-4</v>
      </c>
      <c r="AY525" s="81">
        <f>tbl_Data[[#This Row],[Avoided Costs ($/unit)]]/tbl_Data[[#This Row],[kWh Savings]]*tbl_Data[[#This Row],[Sum of Annuals]]</f>
        <v>7.2981762979909782E-3</v>
      </c>
      <c r="AZ525" s="81">
        <f>tbl_Data[[#This Row],[Lost Revenue ($/unit)]]/tbl_Data[[#This Row],[kWh Savings]]*tbl_Data[[#This Row],[Sum of Annuals]]</f>
        <v>1.7965388718208936E-2</v>
      </c>
      <c r="BA525" s="81">
        <f>tbl_Data[[#This Row],[Incremental Cost ($/unit)]]/tbl_Data[[#This Row],[kWh Savings]]*tbl_Data[[#This Row],[Sum of Annuals]]</f>
        <v>2.0980265565551971E-2</v>
      </c>
      <c r="BB525" s="77">
        <f>ROUNDUP(tbl_Data[[#This Row],[Adjusted 2025]]/$L525,0)</f>
        <v>1</v>
      </c>
      <c r="BC525" s="77">
        <f>ROUNDUP(tbl_Data[[#This Row],[Adjusted 2026]]/$L525,0)</f>
        <v>1</v>
      </c>
      <c r="BD525" s="77">
        <f>ROUNDUP(tbl_Data[[#This Row],[Adjusted 2027]]/$L525,0)</f>
        <v>1</v>
      </c>
      <c r="BE525" s="77">
        <f>ROUNDUP(tbl_Data[[#This Row],[Adjusted 2028]]/$L525,0)</f>
        <v>1</v>
      </c>
      <c r="BF525" s="77">
        <f>ROUNDUP(tbl_Data[[#This Row],[Adjusted 2029]]/$L525,0)</f>
        <v>1</v>
      </c>
      <c r="BG525" s="77">
        <f>ROUNDUP(tbl_Data[[#This Row],[Adjusted 2030]]/$L525,0)</f>
        <v>1</v>
      </c>
      <c r="BH525" s="77">
        <f>ROUNDUP(tbl_Data[[#This Row],[Adjusted 2031]]/$L525,0)</f>
        <v>1</v>
      </c>
      <c r="BI525" s="77">
        <f>ROUNDUP(tbl_Data[[#This Row],[Adjusted 2032]]/$L525,0)</f>
        <v>1</v>
      </c>
      <c r="BJ525" s="77">
        <f>ROUNDUP(tbl_Data[[#This Row],[Adjusted 2033]]/$L525,0)</f>
        <v>1</v>
      </c>
      <c r="BK525" s="77">
        <f>ROUNDUP(tbl_Data[[#This Row],[Adjusted 2034]]/$L525,0)</f>
        <v>1</v>
      </c>
      <c r="BL525" s="80">
        <f t="shared" si="210"/>
        <v>5.232911716284875E-3</v>
      </c>
      <c r="BM525" s="80">
        <f t="shared" si="211"/>
        <v>5.1296382718185448E-3</v>
      </c>
      <c r="BN525" s="80">
        <f t="shared" si="212"/>
        <v>4.9840182460262755E-3</v>
      </c>
      <c r="BO525" s="80">
        <f t="shared" si="213"/>
        <v>4.8432798973067842E-3</v>
      </c>
      <c r="BP525" s="80">
        <f t="shared" si="214"/>
        <v>4.7086500142083628E-3</v>
      </c>
      <c r="BQ525" s="80">
        <f t="shared" si="215"/>
        <v>4.5669003803473435E-3</v>
      </c>
      <c r="BR525" s="80">
        <f t="shared" si="216"/>
        <v>4.4274076156485993E-3</v>
      </c>
      <c r="BS525" s="80">
        <f t="shared" si="217"/>
        <v>4.2974713106204406E-3</v>
      </c>
      <c r="BT525" s="80">
        <f t="shared" si="218"/>
        <v>4.1696675479774457E-3</v>
      </c>
      <c r="BU525" s="80">
        <f t="shared" si="219"/>
        <v>4.0463929049428813E-3</v>
      </c>
      <c r="BV525" s="80" t="str">
        <f>IFERROR(VLOOKUP($H525,'1. Set Program Names'!$B$2:$D$15,3,0)*V525,"NA")</f>
        <v>NA</v>
      </c>
      <c r="BW525" s="80" t="str">
        <f>IFERROR(VLOOKUP($H525,'1. Set Program Names'!$B$2:$D$15,3,0)*W525,"NA")</f>
        <v>NA</v>
      </c>
      <c r="BX525" s="80" t="str">
        <f>IFERROR(VLOOKUP($H525,'1. Set Program Names'!$B$2:$D$15,3,0)*X525,"NA")</f>
        <v>NA</v>
      </c>
      <c r="BY525" s="80" t="str">
        <f>IFERROR(VLOOKUP($H525,'1. Set Program Names'!$B$2:$D$15,3,0)*Y525,"NA")</f>
        <v>NA</v>
      </c>
      <c r="BZ525" s="80" t="str">
        <f>IFERROR(VLOOKUP($H525,'1. Set Program Names'!$B$2:$D$15,3,0)*Z525,"NA")</f>
        <v>NA</v>
      </c>
      <c r="CA525" s="80" t="str">
        <f>IFERROR(VLOOKUP($H525,'1. Set Program Names'!$B$2:$D$15,3,0)*AA525,"NA")</f>
        <v>NA</v>
      </c>
      <c r="CB525" s="80" t="str">
        <f>IFERROR(VLOOKUP($H525,'1. Set Program Names'!$B$2:$D$15,3,0)*AB525,"NA")</f>
        <v>NA</v>
      </c>
      <c r="CC525" s="80" t="str">
        <f>IFERROR(VLOOKUP($H525,'1. Set Program Names'!$B$2:$D$15,3,0)*AC525,"NA")</f>
        <v>NA</v>
      </c>
      <c r="CD525" s="80" t="str">
        <f>IFERROR(VLOOKUP($H525,'1. Set Program Names'!$B$2:$D$15,3,0)*AD525,"NA")</f>
        <v>NA</v>
      </c>
      <c r="CE525" s="80" t="str">
        <f>IFERROR(VLOOKUP($H525,'1. Set Program Names'!$B$2:$D$15,3,0)*AE525,"NA")</f>
        <v>NA</v>
      </c>
    </row>
    <row r="526" spans="1:83" x14ac:dyDescent="0.25">
      <c r="A526" s="79" t="s">
        <v>114</v>
      </c>
      <c r="B526" s="79" t="s">
        <v>88</v>
      </c>
      <c r="C526" s="79" t="s">
        <v>122</v>
      </c>
      <c r="D526" s="79" t="s">
        <v>90</v>
      </c>
      <c r="E526" s="79" t="s">
        <v>91</v>
      </c>
      <c r="F526" s="79" t="s">
        <v>90</v>
      </c>
      <c r="G526" s="79" t="s">
        <v>92</v>
      </c>
      <c r="H526" s="79" t="s">
        <v>20</v>
      </c>
      <c r="I526" s="79" t="s">
        <v>128</v>
      </c>
      <c r="J526" s="79" t="s">
        <v>129</v>
      </c>
      <c r="K526" s="79" t="s">
        <v>130</v>
      </c>
      <c r="L526" s="79">
        <v>2045.1799999999989</v>
      </c>
      <c r="M526" s="79">
        <v>0.47104509500000002</v>
      </c>
      <c r="N526" s="79">
        <v>0.17900382200000001</v>
      </c>
      <c r="O526" s="79">
        <f>19591.5999999999/60160.456*2045.18</f>
        <v>666.02468053100858</v>
      </c>
      <c r="P526" s="79">
        <f>11310.7385995848/60160.456*2045.18</f>
        <v>384.51331501042552</v>
      </c>
      <c r="Q526" s="79">
        <f>2141.69388188172/60160.456*2045.18</f>
        <v>72.807784125619918</v>
      </c>
      <c r="R526" s="79">
        <f>32581.871747558/60160.456*2045.18</f>
        <v>1107.6344311730397</v>
      </c>
      <c r="S526" s="79">
        <f>77209.8271220691/60160.456*2045.18</f>
        <v>2624.780540784353</v>
      </c>
      <c r="T526" s="79">
        <v>20</v>
      </c>
      <c r="U526" s="79">
        <v>4.9999999999999899E-2</v>
      </c>
      <c r="V526" s="79">
        <f>tbl_Data_old[[#This Row],[2025 ]]*IFERROR(AVERAGEIFS('Participation Adjustment'!$C:$C,'Participation Adjustment'!$A:$A,$H526,'Participation Adjustment'!$B:$B,$I526),1)</f>
        <v>0.58186735771724196</v>
      </c>
      <c r="W526" s="79">
        <f>tbl_Data_old[[#This Row],[2026 ]]*IFERROR(AVERAGEIFS('Participation Adjustment'!$C:$C,'Participation Adjustment'!$A:$A,$H526,'Participation Adjustment'!$B:$B,$I526),1)</f>
        <v>0.57522662500264199</v>
      </c>
      <c r="X526" s="79">
        <f>tbl_Data_old[[#This Row],[2027 ]]*IFERROR(AVERAGEIFS('Participation Adjustment'!$C:$C,'Participation Adjustment'!$A:$A,$H526,'Participation Adjustment'!$B:$B,$I526),1)</f>
        <v>0.56606990296051196</v>
      </c>
      <c r="Y526" s="79">
        <f>tbl_Data_old[[#This Row],[2028 ]]*IFERROR(AVERAGEIFS('Participation Adjustment'!$C:$C,'Participation Adjustment'!$A:$A,$H526,'Participation Adjustment'!$B:$B,$I526),1)</f>
        <v>0.55757068583510405</v>
      </c>
      <c r="Z526" s="79">
        <f>tbl_Data_old[[#This Row],[2029 ]]*IFERROR(AVERAGEIFS('Participation Adjustment'!$C:$C,'Participation Adjustment'!$A:$A,$H526,'Participation Adjustment'!$B:$B,$I526),1)</f>
        <v>0.54884246481216503</v>
      </c>
      <c r="AA526" s="79">
        <f>tbl_Data_old[[#This Row],[2030 ]]*IFERROR(AVERAGEIFS('Participation Adjustment'!$C:$C,'Participation Adjustment'!$A:$A,$H526,'Participation Adjustment'!$B:$B,$I526),1)</f>
        <v>0.53950101432685504</v>
      </c>
      <c r="AB526" s="79">
        <f>tbl_Data_old[[#This Row],[2031 ]]*IFERROR(AVERAGEIFS('Participation Adjustment'!$C:$C,'Participation Adjustment'!$A:$A,$H526,'Participation Adjustment'!$B:$B,$I526),1)</f>
        <v>0.52948207116282797</v>
      </c>
      <c r="AC526" s="79">
        <f>tbl_Data_old[[#This Row],[2032 ]]*IFERROR(AVERAGEIFS('Participation Adjustment'!$C:$C,'Participation Adjustment'!$A:$A,$H526,'Participation Adjustment'!$B:$B,$I526),1)</f>
        <v>0.51989212204750102</v>
      </c>
      <c r="AD526" s="79">
        <f>tbl_Data_old[[#This Row],[2033 ]]*IFERROR(AVERAGEIFS('Participation Adjustment'!$C:$C,'Participation Adjustment'!$A:$A,$H526,'Participation Adjustment'!$B:$B,$I526),1)</f>
        <v>0.51147504813982403</v>
      </c>
      <c r="AE526" s="79">
        <f>tbl_Data_old[[#This Row],[2034 ]]*IFERROR(AVERAGEIFS('Participation Adjustment'!$C:$C,'Participation Adjustment'!$A:$A,$H526,'Participation Adjustment'!$B:$B,$I526),1)</f>
        <v>0.50288269489480797</v>
      </c>
      <c r="AF526" s="77" t="str">
        <f t="shared" si="209"/>
        <v>NonResidential</v>
      </c>
      <c r="AG526" s="77" t="str">
        <f>tbl_Data[[#This Row],[All_Meas_Name_Append]]</f>
        <v>Commercial Duct Sealing</v>
      </c>
      <c r="AH526" s="77">
        <f>AVERAGEIFS('3. Incentive Adjustment'!G:G,'3. Incentive Adjustment'!A:A,tbl_Data[[#This Row],[Trimmed Sector]],'3. Incentive Adjustment'!B:B,tbl_Data[[#This Row],[Trimmed Measure Name]])</f>
        <v>0.69277112909915817</v>
      </c>
      <c r="AI526" s="77">
        <f>$AH526*tbl_Data[[#This Row],[2025 ]]</f>
        <v>0.40310090639171747</v>
      </c>
      <c r="AJ526" s="77">
        <f>$AH526*tbl_Data[[#This Row],[2026 ]]</f>
        <v>0.39850039849097835</v>
      </c>
      <c r="AK526" s="77">
        <f>$AH526*tbl_Data[[#This Row],[2027 ]]</f>
        <v>0.39215688582300479</v>
      </c>
      <c r="AL526" s="77">
        <f>$AH526*tbl_Data[[#This Row],[2028 ]]</f>
        <v>0.38626887357857703</v>
      </c>
      <c r="AM526" s="77">
        <f>$AH526*tbl_Data[[#This Row],[2029 ]]</f>
        <v>0.38022221404548856</v>
      </c>
      <c r="AN526" s="77">
        <f>$AH526*tbl_Data[[#This Row],[2030 ]]</f>
        <v>0.37375072684535648</v>
      </c>
      <c r="AO526" s="77">
        <f>$AH526*tbl_Data[[#This Row],[2031 ]]</f>
        <v>0.36680989227723315</v>
      </c>
      <c r="AP526" s="77">
        <f>$AH526*tbl_Data[[#This Row],[2032 ]]</f>
        <v>0.36016625240060463</v>
      </c>
      <c r="AQ526" s="77">
        <f>$AH526*tbl_Data[[#This Row],[2033 ]]</f>
        <v>0.35433514660587218</v>
      </c>
      <c r="AR526" s="77">
        <f>$AH526*tbl_Data[[#This Row],[2034 ]]</f>
        <v>0.34838261234670359</v>
      </c>
      <c r="AS526" s="77">
        <f>SUM(tbl_Data[[#This Row],[Adjusted 2025]:[Adjusted 2034]])</f>
        <v>3.7636939088055361</v>
      </c>
      <c r="AT526" s="80">
        <f>AVERAGEIFS('3. Incentive Adjustment'!F:F,'3. Incentive Adjustment'!A:A,tbl_Data[[#This Row],[Trimmed Sector]],'3. Incentive Adjustment'!B:B,tbl_Data[[#This Row],[Trimmed Measure Name]])</f>
        <v>100</v>
      </c>
      <c r="AU526" s="80">
        <f>IFERROR(VLOOKUP(tbl_Data[[#This Row],[All_Meas_Name_Append]],'IRA Tax Credits'!$A$3:$D$46,4,0),0)</f>
        <v>0</v>
      </c>
      <c r="AV526" s="81">
        <f>tbl_Data[[#This Row],[Adj. per unit Incentive ($)]]/tbl_Data[[#This Row],[kWh Savings]]*tbl_Data[[#This Row],[Sum of Annuals]]</f>
        <v>0.18402751390124772</v>
      </c>
      <c r="AW526" s="81" t="str">
        <f>IFERROR(VLOOKUP(tbl_Data[[#This Row],[Column1]],'1. Set Program Names'!$B$2:$D$15,3,0)*tbl_Data[[#This Row],[Sum of Annuals]],"")</f>
        <v/>
      </c>
      <c r="AX526" s="81">
        <f>tbl_Data[[#This Row],[per unit IRA tax ($)]]/tbl_Data[[#This Row],[kWh Savings]]*tbl_Data[[#This Row],[Sum of Annuals]]</f>
        <v>0</v>
      </c>
      <c r="AY526" s="81">
        <f>tbl_Data[[#This Row],[Avoided Costs ($/unit)]]/tbl_Data[[#This Row],[kWh Savings]]*tbl_Data[[#This Row],[Sum of Annuals]]</f>
        <v>2.0383521068019719</v>
      </c>
      <c r="AZ526" s="81">
        <f>tbl_Data[[#This Row],[Lost Revenue ($/unit)]]/tbl_Data[[#This Row],[kWh Savings]]*tbl_Data[[#This Row],[Sum of Annuals]]</f>
        <v>4.8303183745691705</v>
      </c>
      <c r="BA526" s="81">
        <f>tbl_Data[[#This Row],[Incremental Cost ($/unit)]]/tbl_Data[[#This Row],[kWh Savings]]*tbl_Data[[#This Row],[Sum of Annuals]]</f>
        <v>1.2256686615499426</v>
      </c>
      <c r="BB526" s="77">
        <f>ROUNDUP(tbl_Data[[#This Row],[Adjusted 2025]]/$L526,0)</f>
        <v>1</v>
      </c>
      <c r="BC526" s="77">
        <f>ROUNDUP(tbl_Data[[#This Row],[Adjusted 2026]]/$L526,0)</f>
        <v>1</v>
      </c>
      <c r="BD526" s="77">
        <f>ROUNDUP(tbl_Data[[#This Row],[Adjusted 2027]]/$L526,0)</f>
        <v>1</v>
      </c>
      <c r="BE526" s="77">
        <f>ROUNDUP(tbl_Data[[#This Row],[Adjusted 2028]]/$L526,0)</f>
        <v>1</v>
      </c>
      <c r="BF526" s="77">
        <f>ROUNDUP(tbl_Data[[#This Row],[Adjusted 2029]]/$L526,0)</f>
        <v>1</v>
      </c>
      <c r="BG526" s="77">
        <f>ROUNDUP(tbl_Data[[#This Row],[Adjusted 2030]]/$L526,0)</f>
        <v>1</v>
      </c>
      <c r="BH526" s="77">
        <f>ROUNDUP(tbl_Data[[#This Row],[Adjusted 2031]]/$L526,0)</f>
        <v>1</v>
      </c>
      <c r="BI526" s="77">
        <f>ROUNDUP(tbl_Data[[#This Row],[Adjusted 2032]]/$L526,0)</f>
        <v>1</v>
      </c>
      <c r="BJ526" s="77">
        <f>ROUNDUP(tbl_Data[[#This Row],[Adjusted 2033]]/$L526,0)</f>
        <v>1</v>
      </c>
      <c r="BK526" s="77">
        <f>ROUNDUP(tbl_Data[[#This Row],[Adjusted 2034]]/$L526,0)</f>
        <v>1</v>
      </c>
      <c r="BL526" s="80">
        <f t="shared" si="210"/>
        <v>2.8450667311299849E-2</v>
      </c>
      <c r="BM526" s="80">
        <f t="shared" si="211"/>
        <v>2.8125965685301162E-2</v>
      </c>
      <c r="BN526" s="80">
        <f t="shared" si="212"/>
        <v>2.7678243624547096E-2</v>
      </c>
      <c r="BO526" s="80">
        <f t="shared" si="213"/>
        <v>2.7262670563720767E-2</v>
      </c>
      <c r="BP526" s="80">
        <f t="shared" si="214"/>
        <v>2.6835900253873269E-2</v>
      </c>
      <c r="BQ526" s="80">
        <f t="shared" si="215"/>
        <v>2.6379145812439754E-2</v>
      </c>
      <c r="BR526" s="80">
        <f t="shared" si="216"/>
        <v>2.5889265060426381E-2</v>
      </c>
      <c r="BS526" s="80">
        <f t="shared" si="217"/>
        <v>2.5420360166220152E-2</v>
      </c>
      <c r="BT526" s="80">
        <f t="shared" si="218"/>
        <v>2.500880353513257E-2</v>
      </c>
      <c r="BU526" s="80">
        <f t="shared" si="219"/>
        <v>2.4588676541664217E-2</v>
      </c>
      <c r="BV526" s="80" t="str">
        <f>IFERROR(VLOOKUP($H526,'1. Set Program Names'!$B$2:$D$15,3,0)*V526,"NA")</f>
        <v>NA</v>
      </c>
      <c r="BW526" s="80" t="str">
        <f>IFERROR(VLOOKUP($H526,'1. Set Program Names'!$B$2:$D$15,3,0)*W526,"NA")</f>
        <v>NA</v>
      </c>
      <c r="BX526" s="80" t="str">
        <f>IFERROR(VLOOKUP($H526,'1. Set Program Names'!$B$2:$D$15,3,0)*X526,"NA")</f>
        <v>NA</v>
      </c>
      <c r="BY526" s="80" t="str">
        <f>IFERROR(VLOOKUP($H526,'1. Set Program Names'!$B$2:$D$15,3,0)*Y526,"NA")</f>
        <v>NA</v>
      </c>
      <c r="BZ526" s="80" t="str">
        <f>IFERROR(VLOOKUP($H526,'1. Set Program Names'!$B$2:$D$15,3,0)*Z526,"NA")</f>
        <v>NA</v>
      </c>
      <c r="CA526" s="80" t="str">
        <f>IFERROR(VLOOKUP($H526,'1. Set Program Names'!$B$2:$D$15,3,0)*AA526,"NA")</f>
        <v>NA</v>
      </c>
      <c r="CB526" s="80" t="str">
        <f>IFERROR(VLOOKUP($H526,'1. Set Program Names'!$B$2:$D$15,3,0)*AB526,"NA")</f>
        <v>NA</v>
      </c>
      <c r="CC526" s="80" t="str">
        <f>IFERROR(VLOOKUP($H526,'1. Set Program Names'!$B$2:$D$15,3,0)*AC526,"NA")</f>
        <v>NA</v>
      </c>
      <c r="CD526" s="80" t="str">
        <f>IFERROR(VLOOKUP($H526,'1. Set Program Names'!$B$2:$D$15,3,0)*AD526,"NA")</f>
        <v>NA</v>
      </c>
      <c r="CE526" s="80" t="str">
        <f>IFERROR(VLOOKUP($H526,'1. Set Program Names'!$B$2:$D$15,3,0)*AE526,"NA")</f>
        <v>NA</v>
      </c>
    </row>
    <row r="527" spans="1:83" x14ac:dyDescent="0.25">
      <c r="A527" s="79" t="s">
        <v>114</v>
      </c>
      <c r="B527" s="79" t="s">
        <v>88</v>
      </c>
      <c r="C527" s="79" t="s">
        <v>122</v>
      </c>
      <c r="D527" s="79" t="s">
        <v>90</v>
      </c>
      <c r="E527" s="79" t="s">
        <v>91</v>
      </c>
      <c r="F527" s="79" t="s">
        <v>90</v>
      </c>
      <c r="G527" s="79" t="s">
        <v>92</v>
      </c>
      <c r="H527" s="79" t="s">
        <v>20</v>
      </c>
      <c r="I527" s="79" t="s">
        <v>303</v>
      </c>
      <c r="J527" s="79" t="s">
        <v>129</v>
      </c>
      <c r="K527" s="79" t="s">
        <v>298</v>
      </c>
      <c r="L527" s="79">
        <v>2407.8671428571402</v>
      </c>
      <c r="M527" s="79">
        <v>0.43509988390469401</v>
      </c>
      <c r="N527" s="79">
        <v>0.148929049658067</v>
      </c>
      <c r="O527" s="79">
        <v>1278.9912095238201</v>
      </c>
      <c r="P527" s="79">
        <v>9094.9443435978392</v>
      </c>
      <c r="Q527" s="79">
        <v>144.47202857142801</v>
      </c>
      <c r="R527" s="79">
        <v>1364.7105452988201</v>
      </c>
      <c r="S527" s="79">
        <v>3090.2526043504499</v>
      </c>
      <c r="T527" s="79">
        <v>20</v>
      </c>
      <c r="U527" s="79">
        <v>4.9999999999999899E-2</v>
      </c>
      <c r="V527" s="79">
        <f>tbl_Data_old[[#This Row],[2025 ]]*IFERROR(AVERAGEIFS('Participation Adjustment'!$C:$C,'Participation Adjustment'!$A:$A,$H527,'Participation Adjustment'!$B:$B,$I527),1)</f>
        <v>0.12254273037515501</v>
      </c>
      <c r="W527" s="79">
        <f>tbl_Data_old[[#This Row],[2026 ]]*IFERROR(AVERAGEIFS('Participation Adjustment'!$C:$C,'Participation Adjustment'!$A:$A,$H527,'Participation Adjustment'!$B:$B,$I527),1)</f>
        <v>0.116582360658835</v>
      </c>
      <c r="X527" s="79">
        <f>tbl_Data_old[[#This Row],[2027 ]]*IFERROR(AVERAGEIFS('Participation Adjustment'!$C:$C,'Participation Adjustment'!$A:$A,$H527,'Participation Adjustment'!$B:$B,$I527),1)</f>
        <v>0.109720180122848</v>
      </c>
      <c r="Y527" s="79">
        <f>tbl_Data_old[[#This Row],[2028 ]]*IFERROR(AVERAGEIFS('Participation Adjustment'!$C:$C,'Participation Adjustment'!$A:$A,$H527,'Participation Adjustment'!$B:$B,$I527),1)</f>
        <v>0.102975045757515</v>
      </c>
      <c r="Z527" s="79">
        <f>tbl_Data_old[[#This Row],[2029 ]]*IFERROR(AVERAGEIFS('Participation Adjustment'!$C:$C,'Participation Adjustment'!$A:$A,$H527,'Participation Adjustment'!$B:$B,$I527),1)</f>
        <v>9.6354090758782901E-2</v>
      </c>
      <c r="AA527" s="79">
        <f>tbl_Data_old[[#This Row],[2030 ]]*IFERROR(AVERAGEIFS('Participation Adjustment'!$C:$C,'Participation Adjustment'!$A:$A,$H527,'Participation Adjustment'!$B:$B,$I527),1)</f>
        <v>8.9791762659141905E-2</v>
      </c>
      <c r="AB527" s="79">
        <f>tbl_Data_old[[#This Row],[2031 ]]*IFERROR(AVERAGEIFS('Participation Adjustment'!$C:$C,'Participation Adjustment'!$A:$A,$H527,'Participation Adjustment'!$B:$B,$I527),1)</f>
        <v>8.34264611486744E-2</v>
      </c>
      <c r="AC527" s="79">
        <f>tbl_Data_old[[#This Row],[2032 ]]*IFERROR(AVERAGEIFS('Participation Adjustment'!$C:$C,'Participation Adjustment'!$A:$A,$H527,'Participation Adjustment'!$B:$B,$I527),1)</f>
        <v>7.7459517613733195E-2</v>
      </c>
      <c r="AD527" s="79">
        <f>tbl_Data_old[[#This Row],[2033 ]]*IFERROR(AVERAGEIFS('Participation Adjustment'!$C:$C,'Participation Adjustment'!$A:$A,$H527,'Participation Adjustment'!$B:$B,$I527),1)</f>
        <v>7.19540758019864E-2</v>
      </c>
      <c r="AE527" s="79">
        <f>tbl_Data_old[[#This Row],[2034 ]]*IFERROR(AVERAGEIFS('Participation Adjustment'!$C:$C,'Participation Adjustment'!$A:$A,$H527,'Participation Adjustment'!$B:$B,$I527),1)</f>
        <v>6.6788522795923705E-2</v>
      </c>
      <c r="AF527" s="77" t="str">
        <f t="shared" si="209"/>
        <v>NonResidential</v>
      </c>
      <c r="AG527" s="77" t="str">
        <f>tbl_Data[[#This Row],[All_Meas_Name_Append]]</f>
        <v>Energy Star windows</v>
      </c>
      <c r="AH527" s="77">
        <f>AVERAGEIFS('3. Incentive Adjustment'!G:G,'3. Incentive Adjustment'!A:A,tbl_Data[[#This Row],[Trimmed Sector]],'3. Incentive Adjustment'!B:B,tbl_Data[[#This Row],[Trimmed Measure Name]])</f>
        <v>1.8374525511831319E-4</v>
      </c>
      <c r="AI527" s="77">
        <f>$AH527*tbl_Data[[#This Row],[2025 ]]</f>
        <v>2.2516645255677522E-5</v>
      </c>
      <c r="AJ527" s="77">
        <f>$AH527*tbl_Data[[#This Row],[2026 ]]</f>
        <v>2.1421455601552836E-5</v>
      </c>
      <c r="AK527" s="77">
        <f>$AH527*tbl_Data[[#This Row],[2027 ]]</f>
        <v>2.016056248829998E-5</v>
      </c>
      <c r="AL527" s="77">
        <f>$AH527*tbl_Data[[#This Row],[2028 ]]</f>
        <v>1.8921176053534568E-5</v>
      </c>
      <c r="AM527" s="77">
        <f>$AH527*tbl_Data[[#This Row],[2029 ]]</f>
        <v>1.7704606988165668E-5</v>
      </c>
      <c r="AN527" s="77">
        <f>$AH527*tbl_Data[[#This Row],[2030 ]]</f>
        <v>1.6498810337327059E-5</v>
      </c>
      <c r="AO527" s="77">
        <f>$AH527*tbl_Data[[#This Row],[2031 ]]</f>
        <v>1.5329216387381221E-5</v>
      </c>
      <c r="AP527" s="77">
        <f>$AH527*tbl_Data[[#This Row],[2032 ]]</f>
        <v>1.423281882527688E-5</v>
      </c>
      <c r="AQ527" s="77">
        <f>$AH527*tbl_Data[[#This Row],[2033 ]]</f>
        <v>1.3221220015038438E-5</v>
      </c>
      <c r="AR527" s="77">
        <f>$AH527*tbl_Data[[#This Row],[2034 ]]</f>
        <v>1.2272074160112278E-5</v>
      </c>
      <c r="AS527" s="77">
        <f>SUM(tbl_Data[[#This Row],[Adjusted 2025]:[Adjusted 2034]])</f>
        <v>1.7227858611236648E-4</v>
      </c>
      <c r="AT527" s="80">
        <f>AVERAGEIFS('3. Incentive Adjustment'!F:F,'3. Incentive Adjustment'!A:A,tbl_Data[[#This Row],[Trimmed Sector]],'3. Incentive Adjustment'!B:B,tbl_Data[[#This Row],[Trimmed Measure Name]])</f>
        <v>1244.9532966663394</v>
      </c>
      <c r="AU527" s="80">
        <f>IFERROR(VLOOKUP(tbl_Data[[#This Row],[All_Meas_Name_Append]],'IRA Tax Credits'!$A$3:$D$46,4,0),0)</f>
        <v>250</v>
      </c>
      <c r="AV527" s="81">
        <f>tbl_Data[[#This Row],[Adj. per unit Incentive ($)]]/tbl_Data[[#This Row],[kWh Savings]]*tbl_Data[[#This Row],[Sum of Annuals]]</f>
        <v>8.9074181007806381E-5</v>
      </c>
      <c r="AW527" s="81" t="str">
        <f>IFERROR(VLOOKUP(tbl_Data[[#This Row],[Column1]],'1. Set Program Names'!$B$2:$D$15,3,0)*tbl_Data[[#This Row],[Sum of Annuals]],"")</f>
        <v/>
      </c>
      <c r="AX527" s="81">
        <f>tbl_Data[[#This Row],[per unit IRA tax ($)]]/tbl_Data[[#This Row],[kWh Savings]]*tbl_Data[[#This Row],[Sum of Annuals]]</f>
        <v>1.7887052720436147E-5</v>
      </c>
      <c r="AY527" s="81">
        <f>tbl_Data[[#This Row],[Avoided Costs ($/unit)]]/tbl_Data[[#This Row],[kWh Savings]]*tbl_Data[[#This Row],[Sum of Annuals]]</f>
        <v>9.7642597887580615E-5</v>
      </c>
      <c r="AZ527" s="81">
        <f>tbl_Data[[#This Row],[Lost Revenue ($/unit)]]/tbl_Data[[#This Row],[kWh Savings]]*tbl_Data[[#This Row],[Sum of Annuals]]</f>
        <v>2.2110204501392641E-4</v>
      </c>
      <c r="BA527" s="81">
        <f>tbl_Data[[#This Row],[Incremental Cost ($/unit)]]/tbl_Data[[#This Row],[kWh Savings]]*tbl_Data[[#This Row],[Sum of Annuals]]</f>
        <v>9.1509532774907844E-5</v>
      </c>
      <c r="BB527" s="77">
        <f>ROUNDUP(tbl_Data[[#This Row],[Adjusted 2025]]/$L527,0)</f>
        <v>1</v>
      </c>
      <c r="BC527" s="77">
        <f>ROUNDUP(tbl_Data[[#This Row],[Adjusted 2026]]/$L527,0)</f>
        <v>1</v>
      </c>
      <c r="BD527" s="77">
        <f>ROUNDUP(tbl_Data[[#This Row],[Adjusted 2027]]/$L527,0)</f>
        <v>1</v>
      </c>
      <c r="BE527" s="77">
        <f>ROUNDUP(tbl_Data[[#This Row],[Adjusted 2028]]/$L527,0)</f>
        <v>1</v>
      </c>
      <c r="BF527" s="77">
        <f>ROUNDUP(tbl_Data[[#This Row],[Adjusted 2029]]/$L527,0)</f>
        <v>1</v>
      </c>
      <c r="BG527" s="77">
        <f>ROUNDUP(tbl_Data[[#This Row],[Adjusted 2030]]/$L527,0)</f>
        <v>1</v>
      </c>
      <c r="BH527" s="77">
        <f>ROUNDUP(tbl_Data[[#This Row],[Adjusted 2031]]/$L527,0)</f>
        <v>1</v>
      </c>
      <c r="BI527" s="77">
        <f>ROUNDUP(tbl_Data[[#This Row],[Adjusted 2032]]/$L527,0)</f>
        <v>1</v>
      </c>
      <c r="BJ527" s="77">
        <f>ROUNDUP(tbl_Data[[#This Row],[Adjusted 2033]]/$L527,0)</f>
        <v>1</v>
      </c>
      <c r="BK527" s="77">
        <f>ROUNDUP(tbl_Data[[#This Row],[Adjusted 2034]]/$L527,0)</f>
        <v>1</v>
      </c>
      <c r="BL527" s="80">
        <f t="shared" si="210"/>
        <v>6.3358967547527623E-2</v>
      </c>
      <c r="BM527" s="80">
        <f t="shared" si="211"/>
        <v>6.027724356217605E-2</v>
      </c>
      <c r="BN527" s="80">
        <f t="shared" si="212"/>
        <v>5.6729251179814165E-2</v>
      </c>
      <c r="BO527" s="80">
        <f t="shared" si="213"/>
        <v>5.3241775847344394E-2</v>
      </c>
      <c r="BP527" s="80">
        <f t="shared" si="214"/>
        <v>4.9818505681794384E-2</v>
      </c>
      <c r="BQ527" s="80">
        <f t="shared" si="215"/>
        <v>4.6425547716613606E-2</v>
      </c>
      <c r="BR527" s="80">
        <f t="shared" si="216"/>
        <v>4.3134459533762846E-2</v>
      </c>
      <c r="BS527" s="80">
        <f t="shared" si="217"/>
        <v>4.0049336649436128E-2</v>
      </c>
      <c r="BT527" s="80">
        <f t="shared" si="218"/>
        <v>3.720282663601155E-2</v>
      </c>
      <c r="BU527" s="80">
        <f t="shared" si="219"/>
        <v>3.4532051272395899E-2</v>
      </c>
      <c r="BV527" s="80" t="str">
        <f>IFERROR(VLOOKUP($H527,'1. Set Program Names'!$B$2:$D$15,3,0)*V527,"NA")</f>
        <v>NA</v>
      </c>
      <c r="BW527" s="80" t="str">
        <f>IFERROR(VLOOKUP($H527,'1. Set Program Names'!$B$2:$D$15,3,0)*W527,"NA")</f>
        <v>NA</v>
      </c>
      <c r="BX527" s="80" t="str">
        <f>IFERROR(VLOOKUP($H527,'1. Set Program Names'!$B$2:$D$15,3,0)*X527,"NA")</f>
        <v>NA</v>
      </c>
      <c r="BY527" s="80" t="str">
        <f>IFERROR(VLOOKUP($H527,'1. Set Program Names'!$B$2:$D$15,3,0)*Y527,"NA")</f>
        <v>NA</v>
      </c>
      <c r="BZ527" s="80" t="str">
        <f>IFERROR(VLOOKUP($H527,'1. Set Program Names'!$B$2:$D$15,3,0)*Z527,"NA")</f>
        <v>NA</v>
      </c>
      <c r="CA527" s="80" t="str">
        <f>IFERROR(VLOOKUP($H527,'1. Set Program Names'!$B$2:$D$15,3,0)*AA527,"NA")</f>
        <v>NA</v>
      </c>
      <c r="CB527" s="80" t="str">
        <f>IFERROR(VLOOKUP($H527,'1. Set Program Names'!$B$2:$D$15,3,0)*AB527,"NA")</f>
        <v>NA</v>
      </c>
      <c r="CC527" s="80" t="str">
        <f>IFERROR(VLOOKUP($H527,'1. Set Program Names'!$B$2:$D$15,3,0)*AC527,"NA")</f>
        <v>NA</v>
      </c>
      <c r="CD527" s="80" t="str">
        <f>IFERROR(VLOOKUP($H527,'1. Set Program Names'!$B$2:$D$15,3,0)*AD527,"NA")</f>
        <v>NA</v>
      </c>
      <c r="CE527" s="80" t="str">
        <f>IFERROR(VLOOKUP($H527,'1. Set Program Names'!$B$2:$D$15,3,0)*AE527,"NA")</f>
        <v>NA</v>
      </c>
    </row>
    <row r="528" spans="1:83" x14ac:dyDescent="0.25">
      <c r="A528" s="79" t="s">
        <v>114</v>
      </c>
      <c r="B528" s="79" t="s">
        <v>88</v>
      </c>
      <c r="C528" s="79" t="s">
        <v>122</v>
      </c>
      <c r="D528" s="79" t="s">
        <v>90</v>
      </c>
      <c r="E528" s="79" t="s">
        <v>91</v>
      </c>
      <c r="F528" s="79" t="s">
        <v>90</v>
      </c>
      <c r="G528" s="79" t="s">
        <v>92</v>
      </c>
      <c r="H528" s="79" t="s">
        <v>20</v>
      </c>
      <c r="I528" s="79" t="s">
        <v>143</v>
      </c>
      <c r="J528" s="79" t="s">
        <v>144</v>
      </c>
      <c r="K528" s="79" t="s">
        <v>108</v>
      </c>
      <c r="L528" s="79">
        <v>6670.6049999999896</v>
      </c>
      <c r="M528" s="79">
        <v>1.04667148638823</v>
      </c>
      <c r="N528" s="79">
        <v>1.5598507965563999</v>
      </c>
      <c r="O528" s="79">
        <v>2431.625</v>
      </c>
      <c r="P528" s="79">
        <v>977.24379425036398</v>
      </c>
      <c r="Q528" s="79">
        <v>400.23629999999901</v>
      </c>
      <c r="R528" s="79">
        <v>3400.8076679878</v>
      </c>
      <c r="S528" s="79">
        <v>7245.0779694633802</v>
      </c>
      <c r="T528" s="79">
        <v>15</v>
      </c>
      <c r="U528" s="79">
        <v>0.05</v>
      </c>
      <c r="V528" s="79">
        <f>tbl_Data_old[[#This Row],[2025 ]]*IFERROR(AVERAGEIFS('Participation Adjustment'!$C:$C,'Participation Adjustment'!$A:$A,$H528,'Participation Adjustment'!$B:$B,$I528),1)</f>
        <v>0.265620790813894</v>
      </c>
      <c r="W528" s="79">
        <f>tbl_Data_old[[#This Row],[2026 ]]*IFERROR(AVERAGEIFS('Participation Adjustment'!$C:$C,'Participation Adjustment'!$A:$A,$H528,'Participation Adjustment'!$B:$B,$I528),1)</f>
        <v>0.29209580551144798</v>
      </c>
      <c r="X528" s="79">
        <f>tbl_Data_old[[#This Row],[2027 ]]*IFERROR(AVERAGEIFS('Participation Adjustment'!$C:$C,'Participation Adjustment'!$A:$A,$H528,'Participation Adjustment'!$B:$B,$I528),1)</f>
        <v>0.31372766911614802</v>
      </c>
      <c r="Y528" s="79">
        <f>tbl_Data_old[[#This Row],[2028 ]]*IFERROR(AVERAGEIFS('Participation Adjustment'!$C:$C,'Participation Adjustment'!$A:$A,$H528,'Participation Adjustment'!$B:$B,$I528),1)</f>
        <v>0.33254855390228499</v>
      </c>
      <c r="Z528" s="79">
        <f>tbl_Data_old[[#This Row],[2029 ]]*IFERROR(AVERAGEIFS('Participation Adjustment'!$C:$C,'Participation Adjustment'!$A:$A,$H528,'Participation Adjustment'!$B:$B,$I528),1)</f>
        <v>0.34865318686623697</v>
      </c>
      <c r="AA528" s="79">
        <f>tbl_Data_old[[#This Row],[2030 ]]*IFERROR(AVERAGEIFS('Participation Adjustment'!$C:$C,'Participation Adjustment'!$A:$A,$H528,'Participation Adjustment'!$B:$B,$I528),1)</f>
        <v>0.36191252236500798</v>
      </c>
      <c r="AB528" s="79">
        <f>tbl_Data_old[[#This Row],[2031 ]]*IFERROR(AVERAGEIFS('Participation Adjustment'!$C:$C,'Participation Adjustment'!$A:$A,$H528,'Participation Adjustment'!$B:$B,$I528),1)</f>
        <v>0.37282037361206</v>
      </c>
      <c r="AC528" s="79">
        <f>tbl_Data_old[[#This Row],[2032 ]]*IFERROR(AVERAGEIFS('Participation Adjustment'!$C:$C,'Participation Adjustment'!$A:$A,$H528,'Participation Adjustment'!$B:$B,$I528),1)</f>
        <v>0.38241943132502798</v>
      </c>
      <c r="AD528" s="79">
        <f>tbl_Data_old[[#This Row],[2033 ]]*IFERROR(AVERAGEIFS('Participation Adjustment'!$C:$C,'Participation Adjustment'!$A:$A,$H528,'Participation Adjustment'!$B:$B,$I528),1)</f>
        <v>0.39101902183656601</v>
      </c>
      <c r="AE528" s="79">
        <f>tbl_Data_old[[#This Row],[2034 ]]*IFERROR(AVERAGEIFS('Participation Adjustment'!$C:$C,'Participation Adjustment'!$A:$A,$H528,'Participation Adjustment'!$B:$B,$I528),1)</f>
        <v>0.39840241615273803</v>
      </c>
      <c r="AF528" s="77" t="str">
        <f t="shared" si="209"/>
        <v>NonResidential</v>
      </c>
      <c r="AG528" s="77" t="str">
        <f>tbl_Data[[#This Row],[All_Meas_Name_Append]]</f>
        <v>Heat Pump Water Heater</v>
      </c>
      <c r="AH528" s="77">
        <f>AVERAGEIFS('3. Incentive Adjustment'!G:G,'3. Incentive Adjustment'!A:A,tbl_Data[[#This Row],[Trimmed Sector]],'3. Incentive Adjustment'!B:B,tbl_Data[[#This Row],[Trimmed Measure Name]])</f>
        <v>0.82797588322898052</v>
      </c>
      <c r="AI528" s="77">
        <f>$AH528*tbl_Data[[#This Row],[2025 ]]</f>
        <v>0.21992760887811416</v>
      </c>
      <c r="AJ528" s="77">
        <f>$AH528*tbl_Data[[#This Row],[2026 ]]</f>
        <v>0.24184828255582166</v>
      </c>
      <c r="AK528" s="77">
        <f>$AH528*tbl_Data[[#This Row],[2027 ]]</f>
        <v>0.25975894392981203</v>
      </c>
      <c r="AL528" s="77">
        <f>$AH528*tbl_Data[[#This Row],[2028 ]]</f>
        <v>0.27534218263376464</v>
      </c>
      <c r="AM528" s="77">
        <f>$AH528*tbl_Data[[#This Row],[2029 ]]</f>
        <v>0.28867643033617135</v>
      </c>
      <c r="AN528" s="77">
        <f>$AH528*tbl_Data[[#This Row],[2030 ]]</f>
        <v>0.29965484035679563</v>
      </c>
      <c r="AO528" s="77">
        <f>$AH528*tbl_Data[[#This Row],[2031 ]]</f>
        <v>0.30868627812720389</v>
      </c>
      <c r="AP528" s="77">
        <f>$AH528*tbl_Data[[#This Row],[2032 ]]</f>
        <v>0.31663406641526448</v>
      </c>
      <c r="AQ528" s="77">
        <f>$AH528*tbl_Data[[#This Row],[2033 ]]</f>
        <v>0.32375431996446274</v>
      </c>
      <c r="AR528" s="77">
        <f>$AH528*tbl_Data[[#This Row],[2034 ]]</f>
        <v>0.3298675923946231</v>
      </c>
      <c r="AS528" s="77">
        <f>SUM(tbl_Data[[#This Row],[Adjusted 2025]:[Adjusted 2034]])</f>
        <v>2.8641505455920337</v>
      </c>
      <c r="AT528" s="80">
        <f>AVERAGEIFS('3. Incentive Adjustment'!F:F,'3. Incentive Adjustment'!A:A,tbl_Data[[#This Row],[Trimmed Sector]],'3. Incentive Adjustment'!B:B,tbl_Data[[#This Row],[Trimmed Measure Name]])</f>
        <v>500</v>
      </c>
      <c r="AU528" s="80">
        <f>IFERROR(VLOOKUP(tbl_Data[[#This Row],[All_Meas_Name_Append]],'IRA Tax Credits'!$A$3:$D$46,4,0),0)</f>
        <v>0</v>
      </c>
      <c r="AV528" s="81">
        <f>tbl_Data[[#This Row],[Adj. per unit Incentive ($)]]/tbl_Data[[#This Row],[kWh Savings]]*tbl_Data[[#This Row],[Sum of Annuals]]</f>
        <v>0.21468446607107139</v>
      </c>
      <c r="AW528" s="81" t="str">
        <f>IFERROR(VLOOKUP(tbl_Data[[#This Row],[Column1]],'1. Set Program Names'!$B$2:$D$15,3,0)*tbl_Data[[#This Row],[Sum of Annuals]],"")</f>
        <v/>
      </c>
      <c r="AX528" s="81">
        <f>tbl_Data[[#This Row],[per unit IRA tax ($)]]/tbl_Data[[#This Row],[kWh Savings]]*tbl_Data[[#This Row],[Sum of Annuals]]</f>
        <v>0</v>
      </c>
      <c r="AY528" s="81">
        <f>tbl_Data[[#This Row],[Avoided Costs ($/unit)]]/tbl_Data[[#This Row],[kWh Savings]]*tbl_Data[[#This Row],[Sum of Annuals]]</f>
        <v>1.4602011568247326</v>
      </c>
      <c r="AZ528" s="81">
        <f>tbl_Data[[#This Row],[Lost Revenue ($/unit)]]/tbl_Data[[#This Row],[kWh Savings]]*tbl_Data[[#This Row],[Sum of Annuals]]</f>
        <v>3.1108113910350554</v>
      </c>
      <c r="BA528" s="81">
        <f>tbl_Data[[#This Row],[Incremental Cost ($/unit)]]/tbl_Data[[#This Row],[kWh Savings]]*tbl_Data[[#This Row],[Sum of Annuals]]</f>
        <v>1.0440642296201379</v>
      </c>
      <c r="BB528" s="77">
        <f>ROUNDUP(tbl_Data[[#This Row],[Adjusted 2025]]/$L528,0)</f>
        <v>1</v>
      </c>
      <c r="BC528" s="77">
        <f>ROUNDUP(tbl_Data[[#This Row],[Adjusted 2026]]/$L528,0)</f>
        <v>1</v>
      </c>
      <c r="BD528" s="77">
        <f>ROUNDUP(tbl_Data[[#This Row],[Adjusted 2027]]/$L528,0)</f>
        <v>1</v>
      </c>
      <c r="BE528" s="77">
        <f>ROUNDUP(tbl_Data[[#This Row],[Adjusted 2028]]/$L528,0)</f>
        <v>1</v>
      </c>
      <c r="BF528" s="77">
        <f>ROUNDUP(tbl_Data[[#This Row],[Adjusted 2029]]/$L528,0)</f>
        <v>1</v>
      </c>
      <c r="BG528" s="77">
        <f>ROUNDUP(tbl_Data[[#This Row],[Adjusted 2030]]/$L528,0)</f>
        <v>1</v>
      </c>
      <c r="BH528" s="77">
        <f>ROUNDUP(tbl_Data[[#This Row],[Adjusted 2031]]/$L528,0)</f>
        <v>1</v>
      </c>
      <c r="BI528" s="77">
        <f>ROUNDUP(tbl_Data[[#This Row],[Adjusted 2032]]/$L528,0)</f>
        <v>1</v>
      </c>
      <c r="BJ528" s="77">
        <f>ROUNDUP(tbl_Data[[#This Row],[Adjusted 2033]]/$L528,0)</f>
        <v>1</v>
      </c>
      <c r="BK528" s="77">
        <f>ROUNDUP(tbl_Data[[#This Row],[Adjusted 2034]]/$L528,0)</f>
        <v>1</v>
      </c>
      <c r="BL528" s="80">
        <f t="shared" si="210"/>
        <v>1.9909797598110998E-2</v>
      </c>
      <c r="BM528" s="80">
        <f t="shared" si="211"/>
        <v>2.1894251384353327E-2</v>
      </c>
      <c r="BN528" s="80">
        <f t="shared" si="212"/>
        <v>2.3515683293805323E-2</v>
      </c>
      <c r="BO528" s="80">
        <f t="shared" si="213"/>
        <v>2.4926416262264481E-2</v>
      </c>
      <c r="BP528" s="80">
        <f t="shared" si="214"/>
        <v>2.6133550619939088E-2</v>
      </c>
      <c r="BQ528" s="80">
        <f t="shared" si="215"/>
        <v>2.7127413657757324E-2</v>
      </c>
      <c r="BR528" s="80">
        <f t="shared" si="216"/>
        <v>2.7945019500634546E-2</v>
      </c>
      <c r="BS528" s="80">
        <f t="shared" si="217"/>
        <v>2.8664523781952958E-2</v>
      </c>
      <c r="BT528" s="80">
        <f t="shared" si="218"/>
        <v>2.9309112279663287E-2</v>
      </c>
      <c r="BU528" s="80">
        <f t="shared" si="219"/>
        <v>2.9862539916000023E-2</v>
      </c>
      <c r="BV528" s="80" t="str">
        <f>IFERROR(VLOOKUP($H528,'1. Set Program Names'!$B$2:$D$15,3,0)*V528,"NA")</f>
        <v>NA</v>
      </c>
      <c r="BW528" s="80" t="str">
        <f>IFERROR(VLOOKUP($H528,'1. Set Program Names'!$B$2:$D$15,3,0)*W528,"NA")</f>
        <v>NA</v>
      </c>
      <c r="BX528" s="80" t="str">
        <f>IFERROR(VLOOKUP($H528,'1. Set Program Names'!$B$2:$D$15,3,0)*X528,"NA")</f>
        <v>NA</v>
      </c>
      <c r="BY528" s="80" t="str">
        <f>IFERROR(VLOOKUP($H528,'1. Set Program Names'!$B$2:$D$15,3,0)*Y528,"NA")</f>
        <v>NA</v>
      </c>
      <c r="BZ528" s="80" t="str">
        <f>IFERROR(VLOOKUP($H528,'1. Set Program Names'!$B$2:$D$15,3,0)*Z528,"NA")</f>
        <v>NA</v>
      </c>
      <c r="CA528" s="80" t="str">
        <f>IFERROR(VLOOKUP($H528,'1. Set Program Names'!$B$2:$D$15,3,0)*AA528,"NA")</f>
        <v>NA</v>
      </c>
      <c r="CB528" s="80" t="str">
        <f>IFERROR(VLOOKUP($H528,'1. Set Program Names'!$B$2:$D$15,3,0)*AB528,"NA")</f>
        <v>NA</v>
      </c>
      <c r="CC528" s="80" t="str">
        <f>IFERROR(VLOOKUP($H528,'1. Set Program Names'!$B$2:$D$15,3,0)*AC528,"NA")</f>
        <v>NA</v>
      </c>
      <c r="CD528" s="80" t="str">
        <f>IFERROR(VLOOKUP($H528,'1. Set Program Names'!$B$2:$D$15,3,0)*AD528,"NA")</f>
        <v>NA</v>
      </c>
      <c r="CE528" s="80" t="str">
        <f>IFERROR(VLOOKUP($H528,'1. Set Program Names'!$B$2:$D$15,3,0)*AE528,"NA")</f>
        <v>NA</v>
      </c>
    </row>
    <row r="529" spans="1:83" x14ac:dyDescent="0.25">
      <c r="A529" s="79" t="s">
        <v>114</v>
      </c>
      <c r="B529" s="79" t="s">
        <v>88</v>
      </c>
      <c r="C529" s="79" t="s">
        <v>122</v>
      </c>
      <c r="D529" s="79" t="s">
        <v>90</v>
      </c>
      <c r="E529" s="79" t="s">
        <v>91</v>
      </c>
      <c r="F529" s="79" t="s">
        <v>90</v>
      </c>
      <c r="G529" s="79" t="s">
        <v>92</v>
      </c>
      <c r="H529" s="79" t="s">
        <v>20</v>
      </c>
      <c r="I529" s="79" t="s">
        <v>145</v>
      </c>
      <c r="J529" s="79" t="s">
        <v>129</v>
      </c>
      <c r="K529" s="79" t="s">
        <v>98</v>
      </c>
      <c r="L529" s="79">
        <v>1452.1399999999801</v>
      </c>
      <c r="M529" s="79">
        <v>0.33467704377742202</v>
      </c>
      <c r="N529" s="79">
        <v>4.3977319526113799E-2</v>
      </c>
      <c r="O529" s="79">
        <v>654.99999999999898</v>
      </c>
      <c r="P529" s="79">
        <v>358.56061649158102</v>
      </c>
      <c r="Q529" s="79">
        <v>87.128399999999303</v>
      </c>
      <c r="R529" s="79">
        <v>761.15206993055403</v>
      </c>
      <c r="S529" s="79">
        <v>1577.19839843259</v>
      </c>
      <c r="T529" s="79">
        <v>15</v>
      </c>
      <c r="U529" s="79">
        <v>0.05</v>
      </c>
      <c r="V529" s="79">
        <f>tbl_Data_old[[#This Row],[2025 ]]*IFERROR(AVERAGEIFS('Participation Adjustment'!$C:$C,'Participation Adjustment'!$A:$A,$H529,'Participation Adjustment'!$B:$B,$I529),1)</f>
        <v>0.15312881725684199</v>
      </c>
      <c r="W529" s="79">
        <f>tbl_Data_old[[#This Row],[2026 ]]*IFERROR(AVERAGEIFS('Participation Adjustment'!$C:$C,'Participation Adjustment'!$A:$A,$H529,'Participation Adjustment'!$B:$B,$I529),1)</f>
        <v>0.17137310087511101</v>
      </c>
      <c r="X529" s="79">
        <f>tbl_Data_old[[#This Row],[2027 ]]*IFERROR(AVERAGEIFS('Participation Adjustment'!$C:$C,'Participation Adjustment'!$A:$A,$H529,'Participation Adjustment'!$B:$B,$I529),1)</f>
        <v>0.187611079996026</v>
      </c>
      <c r="Y529" s="79">
        <f>tbl_Data_old[[#This Row],[2028 ]]*IFERROR(AVERAGEIFS('Participation Adjustment'!$C:$C,'Participation Adjustment'!$A:$A,$H529,'Participation Adjustment'!$B:$B,$I529),1)</f>
        <v>0.202821298192257</v>
      </c>
      <c r="Z529" s="79">
        <f>tbl_Data_old[[#This Row],[2029 ]]*IFERROR(AVERAGEIFS('Participation Adjustment'!$C:$C,'Participation Adjustment'!$A:$A,$H529,'Participation Adjustment'!$B:$B,$I529),1)</f>
        <v>0.21691354767783</v>
      </c>
      <c r="AA529" s="79">
        <f>tbl_Data_old[[#This Row],[2030 ]]*IFERROR(AVERAGEIFS('Participation Adjustment'!$C:$C,'Participation Adjustment'!$A:$A,$H529,'Participation Adjustment'!$B:$B,$I529),1)</f>
        <v>0.22979922720753199</v>
      </c>
      <c r="AB529" s="79">
        <f>tbl_Data_old[[#This Row],[2031 ]]*IFERROR(AVERAGEIFS('Participation Adjustment'!$C:$C,'Participation Adjustment'!$A:$A,$H529,'Participation Adjustment'!$B:$B,$I529),1)</f>
        <v>0.24162281521443599</v>
      </c>
      <c r="AC529" s="79">
        <f>tbl_Data_old[[#This Row],[2032 ]]*IFERROR(AVERAGEIFS('Participation Adjustment'!$C:$C,'Participation Adjustment'!$A:$A,$H529,'Participation Adjustment'!$B:$B,$I529),1)</f>
        <v>0.25300691570206102</v>
      </c>
      <c r="AD529" s="79">
        <f>tbl_Data_old[[#This Row],[2033 ]]*IFERROR(AVERAGEIFS('Participation Adjustment'!$C:$C,'Participation Adjustment'!$A:$A,$H529,'Participation Adjustment'!$B:$B,$I529),1)</f>
        <v>0.26423151557291102</v>
      </c>
      <c r="AE529" s="79">
        <f>tbl_Data_old[[#This Row],[2034 ]]*IFERROR(AVERAGEIFS('Participation Adjustment'!$C:$C,'Participation Adjustment'!$A:$A,$H529,'Participation Adjustment'!$B:$B,$I529),1)</f>
        <v>0.27500179164111899</v>
      </c>
      <c r="AF529" s="77" t="str">
        <f t="shared" si="209"/>
        <v>NonResidential</v>
      </c>
      <c r="AG529" s="77" t="str">
        <f>tbl_Data[[#This Row],[All_Meas_Name_Append]]</f>
        <v>HE DX Less than 5.4 Tons Elect Heat</v>
      </c>
      <c r="AH529" s="77">
        <f>AVERAGEIFS('3. Incentive Adjustment'!G:G,'3. Incentive Adjustment'!A:A,tbl_Data[[#This Row],[Trimmed Sector]],'3. Incentive Adjustment'!B:B,tbl_Data[[#This Row],[Trimmed Measure Name]])</f>
        <v>0.74493198517309978</v>
      </c>
      <c r="AI529" s="77">
        <f>$AH529*tbl_Data[[#This Row],[2025 ]]</f>
        <v>0.11407055382634812</v>
      </c>
      <c r="AJ529" s="77">
        <f>$AH529*tbl_Data[[#This Row],[2026 ]]</f>
        <v>0.12766130424016633</v>
      </c>
      <c r="AK529" s="77">
        <f>$AH529*tbl_Data[[#This Row],[2027 ]]</f>
        <v>0.13975749426190887</v>
      </c>
      <c r="AL529" s="77">
        <f>$AH529*tbl_Data[[#This Row],[2028 ]]</f>
        <v>0.15108807229774324</v>
      </c>
      <c r="AM529" s="77">
        <f>$AH529*tbl_Data[[#This Row],[2029 ]]</f>
        <v>0.16158583968258572</v>
      </c>
      <c r="AN529" s="77">
        <f>$AH529*tbl_Data[[#This Row],[2030 ]]</f>
        <v>0.171184794514951</v>
      </c>
      <c r="AO529" s="77">
        <f>$AH529*tbl_Data[[#This Row],[2031 ]]</f>
        <v>0.17999256340080286</v>
      </c>
      <c r="AP529" s="77">
        <f>$AH529*tbl_Data[[#This Row],[2032 ]]</f>
        <v>0.18847294397645942</v>
      </c>
      <c r="AQ529" s="77">
        <f>$AH529*tbl_Data[[#This Row],[2033 ]]</f>
        <v>0.19683450744102543</v>
      </c>
      <c r="AR529" s="77">
        <f>$AH529*tbl_Data[[#This Row],[2034 ]]</f>
        <v>0.20485763057337791</v>
      </c>
      <c r="AS529" s="77">
        <f>SUM(tbl_Data[[#This Row],[Adjusted 2025]:[Adjusted 2034]])</f>
        <v>1.6355057042153689</v>
      </c>
      <c r="AT529" s="80">
        <f>AVERAGEIFS('3. Incentive Adjustment'!F:F,'3. Incentive Adjustment'!A:A,tbl_Data[[#This Row],[Trimmed Sector]],'3. Incentive Adjustment'!B:B,tbl_Data[[#This Row],[Trimmed Measure Name]])</f>
        <v>196.49999999999969</v>
      </c>
      <c r="AU529" s="80">
        <f>IFERROR(VLOOKUP(tbl_Data[[#This Row],[All_Meas_Name_Append]],'IRA Tax Credits'!$A$3:$D$46,4,0),0)</f>
        <v>0</v>
      </c>
      <c r="AV529" s="81">
        <f>tbl_Data[[#This Row],[Adj. per unit Incentive ($)]]/tbl_Data[[#This Row],[kWh Savings]]*tbl_Data[[#This Row],[Sum of Annuals]]</f>
        <v>0.22131259443188939</v>
      </c>
      <c r="AW529" s="81" t="str">
        <f>IFERROR(VLOOKUP(tbl_Data[[#This Row],[Column1]],'1. Set Program Names'!$B$2:$D$15,3,0)*tbl_Data[[#This Row],[Sum of Annuals]],"")</f>
        <v/>
      </c>
      <c r="AX529" s="81">
        <f>tbl_Data[[#This Row],[per unit IRA tax ($)]]/tbl_Data[[#This Row],[kWh Savings]]*tbl_Data[[#This Row],[Sum of Annuals]]</f>
        <v>0</v>
      </c>
      <c r="AY529" s="81">
        <f>tbl_Data[[#This Row],[Avoided Costs ($/unit)]]/tbl_Data[[#This Row],[kWh Savings]]*tbl_Data[[#This Row],[Sum of Annuals]]</f>
        <v>0.8572648313156952</v>
      </c>
      <c r="AZ529" s="81">
        <f>tbl_Data[[#This Row],[Lost Revenue ($/unit)]]/tbl_Data[[#This Row],[kWh Savings]]*tbl_Data[[#This Row],[Sum of Annuals]]</f>
        <v>1.776355569928437</v>
      </c>
      <c r="BA529" s="81">
        <f>tbl_Data[[#This Row],[Incremental Cost ($/unit)]]/tbl_Data[[#This Row],[kWh Savings]]*tbl_Data[[#This Row],[Sum of Annuals]]</f>
        <v>0.7377086481062981</v>
      </c>
      <c r="BB529" s="77">
        <f>ROUNDUP(tbl_Data[[#This Row],[Adjusted 2025]]/$L529,0)</f>
        <v>1</v>
      </c>
      <c r="BC529" s="77">
        <f>ROUNDUP(tbl_Data[[#This Row],[Adjusted 2026]]/$L529,0)</f>
        <v>1</v>
      </c>
      <c r="BD529" s="77">
        <f>ROUNDUP(tbl_Data[[#This Row],[Adjusted 2027]]/$L529,0)</f>
        <v>1</v>
      </c>
      <c r="BE529" s="77">
        <f>ROUNDUP(tbl_Data[[#This Row],[Adjusted 2028]]/$L529,0)</f>
        <v>1</v>
      </c>
      <c r="BF529" s="77">
        <f>ROUNDUP(tbl_Data[[#This Row],[Adjusted 2029]]/$L529,0)</f>
        <v>1</v>
      </c>
      <c r="BG529" s="77">
        <f>ROUNDUP(tbl_Data[[#This Row],[Adjusted 2030]]/$L529,0)</f>
        <v>1</v>
      </c>
      <c r="BH529" s="77">
        <f>ROUNDUP(tbl_Data[[#This Row],[Adjusted 2031]]/$L529,0)</f>
        <v>1</v>
      </c>
      <c r="BI529" s="77">
        <f>ROUNDUP(tbl_Data[[#This Row],[Adjusted 2032]]/$L529,0)</f>
        <v>1</v>
      </c>
      <c r="BJ529" s="77">
        <f>ROUNDUP(tbl_Data[[#This Row],[Adjusted 2033]]/$L529,0)</f>
        <v>1</v>
      </c>
      <c r="BK529" s="77">
        <f>ROUNDUP(tbl_Data[[#This Row],[Adjusted 2034]]/$L529,0)</f>
        <v>1</v>
      </c>
      <c r="BL529" s="80">
        <f t="shared" si="210"/>
        <v>2.0721013532420989E-2</v>
      </c>
      <c r="BM529" s="80">
        <f t="shared" si="211"/>
        <v>2.3189784953213683E-2</v>
      </c>
      <c r="BN529" s="80">
        <f t="shared" si="212"/>
        <v>2.5387068202252918E-2</v>
      </c>
      <c r="BO529" s="80">
        <f t="shared" si="213"/>
        <v>2.7445277380127937E-2</v>
      </c>
      <c r="BP529" s="80">
        <f t="shared" si="214"/>
        <v>2.9352205791930604E-2</v>
      </c>
      <c r="BQ529" s="80">
        <f t="shared" si="215"/>
        <v>3.1095864135882615E-2</v>
      </c>
      <c r="BR529" s="80">
        <f t="shared" si="216"/>
        <v>3.269580287688325E-2</v>
      </c>
      <c r="BS529" s="80">
        <f t="shared" si="217"/>
        <v>3.4236271251708229E-2</v>
      </c>
      <c r="BT529" s="80">
        <f t="shared" si="218"/>
        <v>3.5755156396819622E-2</v>
      </c>
      <c r="BU529" s="80">
        <f t="shared" si="219"/>
        <v>3.7212563566515991E-2</v>
      </c>
      <c r="BV529" s="80" t="str">
        <f>IFERROR(VLOOKUP($H529,'1. Set Program Names'!$B$2:$D$15,3,0)*V529,"NA")</f>
        <v>NA</v>
      </c>
      <c r="BW529" s="80" t="str">
        <f>IFERROR(VLOOKUP($H529,'1. Set Program Names'!$B$2:$D$15,3,0)*W529,"NA")</f>
        <v>NA</v>
      </c>
      <c r="BX529" s="80" t="str">
        <f>IFERROR(VLOOKUP($H529,'1. Set Program Names'!$B$2:$D$15,3,0)*X529,"NA")</f>
        <v>NA</v>
      </c>
      <c r="BY529" s="80" t="str">
        <f>IFERROR(VLOOKUP($H529,'1. Set Program Names'!$B$2:$D$15,3,0)*Y529,"NA")</f>
        <v>NA</v>
      </c>
      <c r="BZ529" s="80" t="str">
        <f>IFERROR(VLOOKUP($H529,'1. Set Program Names'!$B$2:$D$15,3,0)*Z529,"NA")</f>
        <v>NA</v>
      </c>
      <c r="CA529" s="80" t="str">
        <f>IFERROR(VLOOKUP($H529,'1. Set Program Names'!$B$2:$D$15,3,0)*AA529,"NA")</f>
        <v>NA</v>
      </c>
      <c r="CB529" s="80" t="str">
        <f>IFERROR(VLOOKUP($H529,'1. Set Program Names'!$B$2:$D$15,3,0)*AB529,"NA")</f>
        <v>NA</v>
      </c>
      <c r="CC529" s="80" t="str">
        <f>IFERROR(VLOOKUP($H529,'1. Set Program Names'!$B$2:$D$15,3,0)*AC529,"NA")</f>
        <v>NA</v>
      </c>
      <c r="CD529" s="80" t="str">
        <f>IFERROR(VLOOKUP($H529,'1. Set Program Names'!$B$2:$D$15,3,0)*AD529,"NA")</f>
        <v>NA</v>
      </c>
      <c r="CE529" s="80" t="str">
        <f>IFERROR(VLOOKUP($H529,'1. Set Program Names'!$B$2:$D$15,3,0)*AE529,"NA")</f>
        <v>NA</v>
      </c>
    </row>
    <row r="530" spans="1:83" x14ac:dyDescent="0.25">
      <c r="A530" s="79" t="s">
        <v>114</v>
      </c>
      <c r="B530" s="79" t="s">
        <v>88</v>
      </c>
      <c r="C530" s="79" t="s">
        <v>122</v>
      </c>
      <c r="D530" s="79" t="s">
        <v>90</v>
      </c>
      <c r="E530" s="79" t="s">
        <v>91</v>
      </c>
      <c r="F530" s="79" t="s">
        <v>90</v>
      </c>
      <c r="G530" s="79" t="s">
        <v>92</v>
      </c>
      <c r="H530" s="79" t="s">
        <v>20</v>
      </c>
      <c r="I530" s="79" t="s">
        <v>154</v>
      </c>
      <c r="J530" s="79" t="s">
        <v>129</v>
      </c>
      <c r="K530" s="79" t="s">
        <v>102</v>
      </c>
      <c r="L530" s="79">
        <v>111105.09249999899</v>
      </c>
      <c r="M530" s="79">
        <v>30.6532165911823</v>
      </c>
      <c r="N530" s="79">
        <v>0</v>
      </c>
      <c r="O530" s="79">
        <v>40257.675000000003</v>
      </c>
      <c r="P530" s="79">
        <v>17605.607636663401</v>
      </c>
      <c r="Q530" s="79">
        <v>6666.30554999998</v>
      </c>
      <c r="R530" s="79">
        <v>56706.982631731698</v>
      </c>
      <c r="S530" s="79">
        <v>120673.47084214</v>
      </c>
      <c r="T530" s="79">
        <v>15</v>
      </c>
      <c r="U530" s="79">
        <v>0.05</v>
      </c>
      <c r="V530" s="79">
        <f>tbl_Data_old[[#This Row],[2025 ]]*IFERROR(AVERAGEIFS('Participation Adjustment'!$C:$C,'Participation Adjustment'!$A:$A,$H530,'Participation Adjustment'!$B:$B,$I530),1)</f>
        <v>2.8808343632543902E-3</v>
      </c>
      <c r="W530" s="79">
        <f>tbl_Data_old[[#This Row],[2026 ]]*IFERROR(AVERAGEIFS('Participation Adjustment'!$C:$C,'Participation Adjustment'!$A:$A,$H530,'Participation Adjustment'!$B:$B,$I530),1)</f>
        <v>2.8911756372508599E-3</v>
      </c>
      <c r="X530" s="79">
        <f>tbl_Data_old[[#This Row],[2027 ]]*IFERROR(AVERAGEIFS('Participation Adjustment'!$C:$C,'Participation Adjustment'!$A:$A,$H530,'Participation Adjustment'!$B:$B,$I530),1)</f>
        <v>2.9122107896764498E-3</v>
      </c>
      <c r="Y530" s="79">
        <f>tbl_Data_old[[#This Row],[2028 ]]*IFERROR(AVERAGEIFS('Participation Adjustment'!$C:$C,'Participation Adjustment'!$A:$A,$H530,'Participation Adjustment'!$B:$B,$I530),1)</f>
        <v>2.93912885750012E-3</v>
      </c>
      <c r="Z530" s="79">
        <f>tbl_Data_old[[#This Row],[2029 ]]*IFERROR(AVERAGEIFS('Participation Adjustment'!$C:$C,'Participation Adjustment'!$A:$A,$H530,'Participation Adjustment'!$B:$B,$I530),1)</f>
        <v>2.9571853531401402E-3</v>
      </c>
      <c r="AA530" s="79">
        <f>tbl_Data_old[[#This Row],[2030 ]]*IFERROR(AVERAGEIFS('Participation Adjustment'!$C:$C,'Participation Adjustment'!$A:$A,$H530,'Participation Adjustment'!$B:$B,$I530),1)</f>
        <v>2.9748055371449202E-3</v>
      </c>
      <c r="AB530" s="79">
        <f>tbl_Data_old[[#This Row],[2031 ]]*IFERROR(AVERAGEIFS('Participation Adjustment'!$C:$C,'Participation Adjustment'!$A:$A,$H530,'Participation Adjustment'!$B:$B,$I530),1)</f>
        <v>2.9805669221007101E-3</v>
      </c>
      <c r="AC530" s="79">
        <f>tbl_Data_old[[#This Row],[2032 ]]*IFERROR(AVERAGEIFS('Participation Adjustment'!$C:$C,'Participation Adjustment'!$A:$A,$H530,'Participation Adjustment'!$B:$B,$I530),1)</f>
        <v>2.9826104628568198E-3</v>
      </c>
      <c r="AD530" s="79">
        <f>tbl_Data_old[[#This Row],[2033 ]]*IFERROR(AVERAGEIFS('Participation Adjustment'!$C:$C,'Participation Adjustment'!$A:$A,$H530,'Participation Adjustment'!$B:$B,$I530),1)</f>
        <v>2.9999335486654601E-3</v>
      </c>
      <c r="AE530" s="79">
        <f>tbl_Data_old[[#This Row],[2034 ]]*IFERROR(AVERAGEIFS('Participation Adjustment'!$C:$C,'Participation Adjustment'!$A:$A,$H530,'Participation Adjustment'!$B:$B,$I530),1)</f>
        <v>3.0098604236260401E-3</v>
      </c>
      <c r="AF530" s="77" t="str">
        <f t="shared" si="209"/>
        <v>NonResidential</v>
      </c>
      <c r="AG530" s="77" t="str">
        <f>tbl_Data[[#This Row],[All_Meas_Name_Append]]</f>
        <v>Reflective Roof Treatment</v>
      </c>
      <c r="AH530" s="77">
        <f>AVERAGEIFS('3. Incentive Adjustment'!G:G,'3. Incentive Adjustment'!A:A,tbl_Data[[#This Row],[Trimmed Sector]],'3. Incentive Adjustment'!B:B,tbl_Data[[#This Row],[Trimmed Measure Name]])</f>
        <v>0.87696681614875649</v>
      </c>
      <c r="AI530" s="77">
        <f>$AH530*tbl_Data[[#This Row],[2025 ]]</f>
        <v>2.5263961393951328E-3</v>
      </c>
      <c r="AJ530" s="77">
        <f>$AH530*tbl_Data[[#This Row],[2026 ]]</f>
        <v>2.5354650935267386E-3</v>
      </c>
      <c r="AK530" s="77">
        <f>$AH530*tbl_Data[[#This Row],[2027 ]]</f>
        <v>2.5539122241766119E-3</v>
      </c>
      <c r="AL530" s="77">
        <f>$AH530*tbl_Data[[#This Row],[2028 ]]</f>
        <v>2.5775184764128124E-3</v>
      </c>
      <c r="AM530" s="77">
        <f>$AH530*tbl_Data[[#This Row],[2029 ]]</f>
        <v>2.5933534239050448E-3</v>
      </c>
      <c r="AN530" s="77">
        <f>$AH530*tbl_Data[[#This Row],[2030 ]]</f>
        <v>2.6088057405716722E-3</v>
      </c>
      <c r="AO530" s="77">
        <f>$AH530*tbl_Data[[#This Row],[2031 ]]</f>
        <v>2.6138582839929582E-3</v>
      </c>
      <c r="AP530" s="77">
        <f>$AH530*tbl_Data[[#This Row],[2032 ]]</f>
        <v>2.6156504014235144E-3</v>
      </c>
      <c r="AQ530" s="77">
        <f>$AH530*tbl_Data[[#This Row],[2033 ]]</f>
        <v>2.6308421728309891E-3</v>
      </c>
      <c r="AR530" s="77">
        <f>$AH530*tbl_Data[[#This Row],[2034 ]]</f>
        <v>2.6395477127594759E-3</v>
      </c>
      <c r="AS530" s="77">
        <f>SUM(tbl_Data[[#This Row],[Adjusted 2025]:[Adjusted 2034]])</f>
        <v>2.5895349668994951E-2</v>
      </c>
      <c r="AT530" s="80">
        <f>AVERAGEIFS('3. Incentive Adjustment'!F:F,'3. Incentive Adjustment'!A:A,tbl_Data[[#This Row],[Trimmed Sector]],'3. Incentive Adjustment'!B:B,tbl_Data[[#This Row],[Trimmed Measure Name]])</f>
        <v>12077.302499999998</v>
      </c>
      <c r="AU530" s="80">
        <f>IFERROR(VLOOKUP(tbl_Data[[#This Row],[All_Meas_Name_Append]],'IRA Tax Credits'!$A$3:$D$46,4,0),0)</f>
        <v>0</v>
      </c>
      <c r="AV530" s="81">
        <f>tbl_Data[[#This Row],[Adj. per unit Incentive ($)]]/tbl_Data[[#This Row],[kWh Savings]]*tbl_Data[[#This Row],[Sum of Annuals]]</f>
        <v>2.8148662159273186E-3</v>
      </c>
      <c r="AW530" s="81" t="str">
        <f>IFERROR(VLOOKUP(tbl_Data[[#This Row],[Column1]],'1. Set Program Names'!$B$2:$D$15,3,0)*tbl_Data[[#This Row],[Sum of Annuals]],"")</f>
        <v/>
      </c>
      <c r="AX530" s="81">
        <f>tbl_Data[[#This Row],[per unit IRA tax ($)]]/tbl_Data[[#This Row],[kWh Savings]]*tbl_Data[[#This Row],[Sum of Annuals]]</f>
        <v>0</v>
      </c>
      <c r="AY530" s="81">
        <f>tbl_Data[[#This Row],[Avoided Costs ($/unit)]]/tbl_Data[[#This Row],[kWh Savings]]*tbl_Data[[#This Row],[Sum of Annuals]]</f>
        <v>1.3216740213076453E-2</v>
      </c>
      <c r="AZ530" s="81">
        <f>tbl_Data[[#This Row],[Lost Revenue ($/unit)]]/tbl_Data[[#This Row],[kWh Savings]]*tbl_Data[[#This Row],[Sum of Annuals]]</f>
        <v>2.8125458994856693E-2</v>
      </c>
      <c r="BA530" s="81">
        <f>tbl_Data[[#This Row],[Incremental Cost ($/unit)]]/tbl_Data[[#This Row],[kWh Savings]]*tbl_Data[[#This Row],[Sum of Annuals]]</f>
        <v>9.3828873864243972E-3</v>
      </c>
      <c r="BB530" s="77">
        <f>ROUNDUP(tbl_Data[[#This Row],[Adjusted 2025]]/$L530,0)</f>
        <v>1</v>
      </c>
      <c r="BC530" s="77">
        <f>ROUNDUP(tbl_Data[[#This Row],[Adjusted 2026]]/$L530,0)</f>
        <v>1</v>
      </c>
      <c r="BD530" s="77">
        <f>ROUNDUP(tbl_Data[[#This Row],[Adjusted 2027]]/$L530,0)</f>
        <v>1</v>
      </c>
      <c r="BE530" s="77">
        <f>ROUNDUP(tbl_Data[[#This Row],[Adjusted 2028]]/$L530,0)</f>
        <v>1</v>
      </c>
      <c r="BF530" s="77">
        <f>ROUNDUP(tbl_Data[[#This Row],[Adjusted 2029]]/$L530,0)</f>
        <v>1</v>
      </c>
      <c r="BG530" s="77">
        <f>ROUNDUP(tbl_Data[[#This Row],[Adjusted 2030]]/$L530,0)</f>
        <v>1</v>
      </c>
      <c r="BH530" s="77">
        <f>ROUNDUP(tbl_Data[[#This Row],[Adjusted 2031]]/$L530,0)</f>
        <v>1</v>
      </c>
      <c r="BI530" s="77">
        <f>ROUNDUP(tbl_Data[[#This Row],[Adjusted 2032]]/$L530,0)</f>
        <v>1</v>
      </c>
      <c r="BJ530" s="77">
        <f>ROUNDUP(tbl_Data[[#This Row],[Adjusted 2033]]/$L530,0)</f>
        <v>1</v>
      </c>
      <c r="BK530" s="77">
        <f>ROUNDUP(tbl_Data[[#This Row],[Adjusted 2034]]/$L530,0)</f>
        <v>1</v>
      </c>
      <c r="BL530" s="80">
        <f t="shared" si="210"/>
        <v>3.1315133514171246E-4</v>
      </c>
      <c r="BM530" s="80">
        <f t="shared" si="211"/>
        <v>3.1427544828072768E-4</v>
      </c>
      <c r="BN530" s="80">
        <f t="shared" si="212"/>
        <v>3.1656200322848995E-4</v>
      </c>
      <c r="BO530" s="80">
        <f t="shared" si="213"/>
        <v>3.1948804055501468E-4</v>
      </c>
      <c r="BP530" s="80">
        <f t="shared" si="214"/>
        <v>3.2145081071277733E-4</v>
      </c>
      <c r="BQ530" s="80">
        <f t="shared" si="215"/>
        <v>3.2336615309306823E-4</v>
      </c>
      <c r="BR530" s="80">
        <f t="shared" si="216"/>
        <v>3.2399242491701748E-4</v>
      </c>
      <c r="BS530" s="80">
        <f t="shared" si="217"/>
        <v>3.2421456108852213E-4</v>
      </c>
      <c r="BT530" s="80">
        <f t="shared" si="218"/>
        <v>3.2609760841638787E-4</v>
      </c>
      <c r="BU530" s="80">
        <f t="shared" si="219"/>
        <v>3.271766757127731E-4</v>
      </c>
      <c r="BV530" s="80" t="str">
        <f>IFERROR(VLOOKUP($H530,'1. Set Program Names'!$B$2:$D$15,3,0)*V530,"NA")</f>
        <v>NA</v>
      </c>
      <c r="BW530" s="80" t="str">
        <f>IFERROR(VLOOKUP($H530,'1. Set Program Names'!$B$2:$D$15,3,0)*W530,"NA")</f>
        <v>NA</v>
      </c>
      <c r="BX530" s="80" t="str">
        <f>IFERROR(VLOOKUP($H530,'1. Set Program Names'!$B$2:$D$15,3,0)*X530,"NA")</f>
        <v>NA</v>
      </c>
      <c r="BY530" s="80" t="str">
        <f>IFERROR(VLOOKUP($H530,'1. Set Program Names'!$B$2:$D$15,3,0)*Y530,"NA")</f>
        <v>NA</v>
      </c>
      <c r="BZ530" s="80" t="str">
        <f>IFERROR(VLOOKUP($H530,'1. Set Program Names'!$B$2:$D$15,3,0)*Z530,"NA")</f>
        <v>NA</v>
      </c>
      <c r="CA530" s="80" t="str">
        <f>IFERROR(VLOOKUP($H530,'1. Set Program Names'!$B$2:$D$15,3,0)*AA530,"NA")</f>
        <v>NA</v>
      </c>
      <c r="CB530" s="80" t="str">
        <f>IFERROR(VLOOKUP($H530,'1. Set Program Names'!$B$2:$D$15,3,0)*AB530,"NA")</f>
        <v>NA</v>
      </c>
      <c r="CC530" s="80" t="str">
        <f>IFERROR(VLOOKUP($H530,'1. Set Program Names'!$B$2:$D$15,3,0)*AC530,"NA")</f>
        <v>NA</v>
      </c>
      <c r="CD530" s="80" t="str">
        <f>IFERROR(VLOOKUP($H530,'1. Set Program Names'!$B$2:$D$15,3,0)*AD530,"NA")</f>
        <v>NA</v>
      </c>
      <c r="CE530" s="80" t="str">
        <f>IFERROR(VLOOKUP($H530,'1. Set Program Names'!$B$2:$D$15,3,0)*AE530,"NA")</f>
        <v>NA</v>
      </c>
    </row>
    <row r="531" spans="1:83" x14ac:dyDescent="0.25">
      <c r="A531" s="79" t="s">
        <v>114</v>
      </c>
      <c r="B531" s="79" t="s">
        <v>88</v>
      </c>
      <c r="C531" s="79" t="s">
        <v>122</v>
      </c>
      <c r="D531" s="79" t="s">
        <v>90</v>
      </c>
      <c r="E531" s="79" t="s">
        <v>91</v>
      </c>
      <c r="F531" s="79" t="s">
        <v>90</v>
      </c>
      <c r="G531" s="79" t="s">
        <v>92</v>
      </c>
      <c r="H531" s="79" t="s">
        <v>20</v>
      </c>
      <c r="I531" s="79" t="s">
        <v>155</v>
      </c>
      <c r="J531" s="79" t="s">
        <v>129</v>
      </c>
      <c r="K531" s="79" t="s">
        <v>102</v>
      </c>
      <c r="L531" s="79">
        <v>1193.02</v>
      </c>
      <c r="M531" s="79">
        <v>0.274776433335365</v>
      </c>
      <c r="N531" s="79">
        <v>0.10441874276921487</v>
      </c>
      <c r="O531" s="79">
        <f>8423.99999999998/36663.4359999998*1193.02</f>
        <v>274.11507421181233</v>
      </c>
      <c r="P531" s="79">
        <f>3224.30667036527/36663.4359999998*1193.02</f>
        <v>104.91821726363004</v>
      </c>
      <c r="Q531" s="79">
        <f>1305.20713755829/36663.4359999998*1193.02</f>
        <v>42.471148073786637</v>
      </c>
      <c r="R531" s="79">
        <f>14915.0733686122/36663.4359999998*1193.02</f>
        <v>485.33314854128304</v>
      </c>
      <c r="S531" s="79">
        <f>32320.5298576745/36663.4359999998*1193.02</f>
        <v>1051.702806327346</v>
      </c>
      <c r="T531" s="79">
        <v>11</v>
      </c>
      <c r="U531" s="79">
        <v>0.05</v>
      </c>
      <c r="V531" s="79">
        <f>tbl_Data_old[[#This Row],[2025 ]]*IFERROR(AVERAGEIFS('Participation Adjustment'!$C:$C,'Participation Adjustment'!$A:$A,$H531,'Participation Adjustment'!$B:$B,$I531),1)</f>
        <v>1.2455682636757901</v>
      </c>
      <c r="W531" s="79">
        <f>tbl_Data_old[[#This Row],[2026 ]]*IFERROR(AVERAGEIFS('Participation Adjustment'!$C:$C,'Participation Adjustment'!$A:$A,$H531,'Participation Adjustment'!$B:$B,$I531),1)</f>
        <v>1.0387532613530699</v>
      </c>
      <c r="X531" s="79">
        <f>tbl_Data_old[[#This Row],[2027 ]]*IFERROR(AVERAGEIFS('Participation Adjustment'!$C:$C,'Participation Adjustment'!$A:$A,$H531,'Participation Adjustment'!$B:$B,$I531),1)</f>
        <v>0.859857069106848</v>
      </c>
      <c r="Y531" s="79">
        <f>tbl_Data_old[[#This Row],[2028 ]]*IFERROR(AVERAGEIFS('Participation Adjustment'!$C:$C,'Participation Adjustment'!$A:$A,$H531,'Participation Adjustment'!$B:$B,$I531),1)</f>
        <v>0.71319976429841303</v>
      </c>
      <c r="Z531" s="79">
        <f>tbl_Data_old[[#This Row],[2029 ]]*IFERROR(AVERAGEIFS('Participation Adjustment'!$C:$C,'Participation Adjustment'!$A:$A,$H531,'Participation Adjustment'!$B:$B,$I531),1)</f>
        <v>0.59314286623171097</v>
      </c>
      <c r="AA531" s="79">
        <f>tbl_Data_old[[#This Row],[2030 ]]*IFERROR(AVERAGEIFS('Participation Adjustment'!$C:$C,'Participation Adjustment'!$A:$A,$H531,'Participation Adjustment'!$B:$B,$I531),1)</f>
        <v>0.49454720655957801</v>
      </c>
      <c r="AB531" s="79">
        <f>tbl_Data_old[[#This Row],[2031 ]]*IFERROR(AVERAGEIFS('Participation Adjustment'!$C:$C,'Participation Adjustment'!$A:$A,$H531,'Participation Adjustment'!$B:$B,$I531),1)</f>
        <v>0.41407175258279799</v>
      </c>
      <c r="AC531" s="79">
        <f>tbl_Data_old[[#This Row],[2032 ]]*IFERROR(AVERAGEIFS('Participation Adjustment'!$C:$C,'Participation Adjustment'!$A:$A,$H531,'Participation Adjustment'!$B:$B,$I531),1)</f>
        <v>0.349158078362522</v>
      </c>
      <c r="AD531" s="79">
        <f>tbl_Data_old[[#This Row],[2033 ]]*IFERROR(AVERAGEIFS('Participation Adjustment'!$C:$C,'Participation Adjustment'!$A:$A,$H531,'Participation Adjustment'!$B:$B,$I531),1)</f>
        <v>0.29736730929889099</v>
      </c>
      <c r="AE531" s="79">
        <f>tbl_Data_old[[#This Row],[2034 ]]*IFERROR(AVERAGEIFS('Participation Adjustment'!$C:$C,'Participation Adjustment'!$A:$A,$H531,'Participation Adjustment'!$B:$B,$I531),1)</f>
        <v>0.25540810496238198</v>
      </c>
      <c r="AF531" s="77" t="str">
        <f t="shared" si="209"/>
        <v>NonResidential</v>
      </c>
      <c r="AG531" s="77" t="str">
        <f>tbl_Data[[#This Row],[All_Meas_Name_Append]]</f>
        <v>Smart thermostat</v>
      </c>
      <c r="AH531" s="77">
        <f>AVERAGEIFS('3. Incentive Adjustment'!G:G,'3. Incentive Adjustment'!A:A,tbl_Data[[#This Row],[Trimmed Sector]],'3. Incentive Adjustment'!B:B,tbl_Data[[#This Row],[Trimmed Measure Name]])</f>
        <v>0.87546479230069263</v>
      </c>
      <c r="AI531" s="77">
        <f>$AH531*tbl_Data[[#This Row],[2025 ]]</f>
        <v>1.0904511612552599</v>
      </c>
      <c r="AJ531" s="77">
        <f>$AH531*tbl_Data[[#This Row],[2026 ]]</f>
        <v>0.90939190820213245</v>
      </c>
      <c r="AK531" s="77">
        <f>$AH531*tbl_Data[[#This Row],[2027 ]]</f>
        <v>0.75277459041390904</v>
      </c>
      <c r="AL531" s="77">
        <f>$AH531*tbl_Data[[#This Row],[2028 ]]</f>
        <v>0.62438128352041311</v>
      </c>
      <c r="AM531" s="77">
        <f>$AH531*tbl_Data[[#This Row],[2029 ]]</f>
        <v>0.51927569619018232</v>
      </c>
      <c r="AN531" s="77">
        <f>$AH531*tbl_Data[[#This Row],[2030 ]]</f>
        <v>0.4329586674735687</v>
      </c>
      <c r="AO531" s="77">
        <f>$AH531*tbl_Data[[#This Row],[2031 ]]</f>
        <v>0.36250524087248304</v>
      </c>
      <c r="AP531" s="77">
        <f>$AH531*tbl_Data[[#This Row],[2032 ]]</f>
        <v>0.30567560455375425</v>
      </c>
      <c r="AQ531" s="77">
        <f>$AH531*tbl_Data[[#This Row],[2033 ]]</f>
        <v>0.26033460967236943</v>
      </c>
      <c r="AR531" s="77">
        <f>$AH531*tbl_Data[[#This Row],[2034 ]]</f>
        <v>0.22360080356280523</v>
      </c>
      <c r="AS531" s="77">
        <f>SUM(tbl_Data[[#This Row],[Adjusted 2025]:[Adjusted 2034]])</f>
        <v>5.4813495657168785</v>
      </c>
      <c r="AT531" s="80">
        <f>AVERAGEIFS('3. Incentive Adjustment'!F:F,'3. Incentive Adjustment'!A:A,tbl_Data[[#This Row],[Trimmed Sector]],'3. Incentive Adjustment'!B:B,tbl_Data[[#This Row],[Trimmed Measure Name]])</f>
        <v>50</v>
      </c>
      <c r="AU531" s="80">
        <f>IFERROR(VLOOKUP(tbl_Data[[#This Row],[All_Meas_Name_Append]],'IRA Tax Credits'!$A$3:$D$46,4,0),0)</f>
        <v>0</v>
      </c>
      <c r="AV531" s="81">
        <f>tbl_Data[[#This Row],[Adj. per unit Incentive ($)]]/tbl_Data[[#This Row],[kWh Savings]]*tbl_Data[[#This Row],[Sum of Annuals]]</f>
        <v>0.22972580366284215</v>
      </c>
      <c r="AW531" s="81" t="str">
        <f>IFERROR(VLOOKUP(tbl_Data[[#This Row],[Column1]],'1. Set Program Names'!$B$2:$D$15,3,0)*tbl_Data[[#This Row],[Sum of Annuals]],"")</f>
        <v/>
      </c>
      <c r="AX531" s="81">
        <f>tbl_Data[[#This Row],[per unit IRA tax ($)]]/tbl_Data[[#This Row],[kWh Savings]]*tbl_Data[[#This Row],[Sum of Annuals]]</f>
        <v>0</v>
      </c>
      <c r="AY531" s="81">
        <f>tbl_Data[[#This Row],[Avoided Costs ($/unit)]]/tbl_Data[[#This Row],[kWh Savings]]*tbl_Data[[#This Row],[Sum of Annuals]]</f>
        <v>2.2298709518572757</v>
      </c>
      <c r="AZ531" s="81">
        <f>tbl_Data[[#This Row],[Lost Revenue ($/unit)]]/tbl_Data[[#This Row],[kWh Savings]]*tbl_Data[[#This Row],[Sum of Annuals]]</f>
        <v>4.8320654479603196</v>
      </c>
      <c r="BA531" s="81">
        <f>tbl_Data[[#This Row],[Incremental Cost ($/unit)]]/tbl_Data[[#This Row],[kWh Savings]]*tbl_Data[[#This Row],[Sum of Annuals]]</f>
        <v>1.259426114388164</v>
      </c>
      <c r="BB531" s="77">
        <f>ROUNDUP(tbl_Data[[#This Row],[Adjusted 2025]]/$L531,0)</f>
        <v>1</v>
      </c>
      <c r="BC531" s="77">
        <f>ROUNDUP(tbl_Data[[#This Row],[Adjusted 2026]]/$L531,0)</f>
        <v>1</v>
      </c>
      <c r="BD531" s="77">
        <f>ROUNDUP(tbl_Data[[#This Row],[Adjusted 2027]]/$L531,0)</f>
        <v>1</v>
      </c>
      <c r="BE531" s="77">
        <f>ROUNDUP(tbl_Data[[#This Row],[Adjusted 2028]]/$L531,0)</f>
        <v>1</v>
      </c>
      <c r="BF531" s="77">
        <f>ROUNDUP(tbl_Data[[#This Row],[Adjusted 2029]]/$L531,0)</f>
        <v>1</v>
      </c>
      <c r="BG531" s="77">
        <f>ROUNDUP(tbl_Data[[#This Row],[Adjusted 2030]]/$L531,0)</f>
        <v>1</v>
      </c>
      <c r="BH531" s="77">
        <f>ROUNDUP(tbl_Data[[#This Row],[Adjusted 2031]]/$L531,0)</f>
        <v>1</v>
      </c>
      <c r="BI531" s="77">
        <f>ROUNDUP(tbl_Data[[#This Row],[Adjusted 2032]]/$L531,0)</f>
        <v>1</v>
      </c>
      <c r="BJ531" s="77">
        <f>ROUNDUP(tbl_Data[[#This Row],[Adjusted 2033]]/$L531,0)</f>
        <v>1</v>
      </c>
      <c r="BK531" s="77">
        <f>ROUNDUP(tbl_Data[[#This Row],[Adjusted 2034]]/$L531,0)</f>
        <v>1</v>
      </c>
      <c r="BL531" s="80">
        <f t="shared" si="210"/>
        <v>5.2202321154540161E-2</v>
      </c>
      <c r="BM531" s="80">
        <f t="shared" si="211"/>
        <v>4.3534612217442703E-2</v>
      </c>
      <c r="BN531" s="80">
        <f t="shared" si="212"/>
        <v>3.6036993055726142E-2</v>
      </c>
      <c r="BO531" s="80">
        <f t="shared" si="213"/>
        <v>2.9890520037317608E-2</v>
      </c>
      <c r="BP531" s="80">
        <f t="shared" si="214"/>
        <v>2.4858881922839138E-2</v>
      </c>
      <c r="BQ531" s="80">
        <f t="shared" si="215"/>
        <v>2.072669387602798E-2</v>
      </c>
      <c r="BR531" s="80">
        <f t="shared" si="216"/>
        <v>1.7353931727162913E-2</v>
      </c>
      <c r="BS531" s="80">
        <f t="shared" si="217"/>
        <v>1.4633370704704112E-2</v>
      </c>
      <c r="BT531" s="80">
        <f t="shared" si="218"/>
        <v>1.2462796487019957E-2</v>
      </c>
      <c r="BU531" s="80">
        <f t="shared" si="219"/>
        <v>1.0704267529562873E-2</v>
      </c>
      <c r="BV531" s="80" t="str">
        <f>IFERROR(VLOOKUP($H531,'1. Set Program Names'!$B$2:$D$15,3,0)*V531,"NA")</f>
        <v>NA</v>
      </c>
      <c r="BW531" s="80" t="str">
        <f>IFERROR(VLOOKUP($H531,'1. Set Program Names'!$B$2:$D$15,3,0)*W531,"NA")</f>
        <v>NA</v>
      </c>
      <c r="BX531" s="80" t="str">
        <f>IFERROR(VLOOKUP($H531,'1. Set Program Names'!$B$2:$D$15,3,0)*X531,"NA")</f>
        <v>NA</v>
      </c>
      <c r="BY531" s="80" t="str">
        <f>IFERROR(VLOOKUP($H531,'1. Set Program Names'!$B$2:$D$15,3,0)*Y531,"NA")</f>
        <v>NA</v>
      </c>
      <c r="BZ531" s="80" t="str">
        <f>IFERROR(VLOOKUP($H531,'1. Set Program Names'!$B$2:$D$15,3,0)*Z531,"NA")</f>
        <v>NA</v>
      </c>
      <c r="CA531" s="80" t="str">
        <f>IFERROR(VLOOKUP($H531,'1. Set Program Names'!$B$2:$D$15,3,0)*AA531,"NA")</f>
        <v>NA</v>
      </c>
      <c r="CB531" s="80" t="str">
        <f>IFERROR(VLOOKUP($H531,'1. Set Program Names'!$B$2:$D$15,3,0)*AB531,"NA")</f>
        <v>NA</v>
      </c>
      <c r="CC531" s="80" t="str">
        <f>IFERROR(VLOOKUP($H531,'1. Set Program Names'!$B$2:$D$15,3,0)*AC531,"NA")</f>
        <v>NA</v>
      </c>
      <c r="CD531" s="80" t="str">
        <f>IFERROR(VLOOKUP($H531,'1. Set Program Names'!$B$2:$D$15,3,0)*AD531,"NA")</f>
        <v>NA</v>
      </c>
      <c r="CE531" s="80" t="str">
        <f>IFERROR(VLOOKUP($H531,'1. Set Program Names'!$B$2:$D$15,3,0)*AE531,"NA")</f>
        <v>NA</v>
      </c>
    </row>
    <row r="532" spans="1:83" x14ac:dyDescent="0.25">
      <c r="A532" s="79" t="s">
        <v>114</v>
      </c>
      <c r="B532" s="79" t="s">
        <v>88</v>
      </c>
      <c r="C532" s="79" t="s">
        <v>122</v>
      </c>
      <c r="D532" s="79" t="s">
        <v>90</v>
      </c>
      <c r="E532" s="79" t="s">
        <v>91</v>
      </c>
      <c r="F532" s="79" t="s">
        <v>90</v>
      </c>
      <c r="G532" s="79" t="s">
        <v>92</v>
      </c>
      <c r="H532" s="79" t="s">
        <v>20</v>
      </c>
      <c r="I532" s="79" t="s">
        <v>305</v>
      </c>
      <c r="J532" s="79" t="s">
        <v>129</v>
      </c>
      <c r="K532" s="79" t="s">
        <v>306</v>
      </c>
      <c r="L532" s="79">
        <v>1181.58666666666</v>
      </c>
      <c r="M532" s="79">
        <v>0.32580149205424902</v>
      </c>
      <c r="N532" s="79">
        <v>0</v>
      </c>
      <c r="O532" s="79">
        <v>442.61899981344197</v>
      </c>
      <c r="P532" s="79">
        <v>13015.025349926</v>
      </c>
      <c r="Q532" s="79">
        <v>70.895199999999903</v>
      </c>
      <c r="R532" s="79">
        <v>484.68312470825703</v>
      </c>
      <c r="S532" s="79">
        <v>971.92143438909795</v>
      </c>
      <c r="T532" s="79">
        <v>10</v>
      </c>
      <c r="U532" s="79">
        <v>0.05</v>
      </c>
      <c r="V532" s="79">
        <f>tbl_Data_old[[#This Row],[2025 ]]*IFERROR(AVERAGEIFS('Participation Adjustment'!$C:$C,'Participation Adjustment'!$A:$A,$H532,'Participation Adjustment'!$B:$B,$I532),1)</f>
        <v>8.6503411363077598E-2</v>
      </c>
      <c r="W532" s="79">
        <f>tbl_Data_old[[#This Row],[2026 ]]*IFERROR(AVERAGEIFS('Participation Adjustment'!$C:$C,'Participation Adjustment'!$A:$A,$H532,'Participation Adjustment'!$B:$B,$I532),1)</f>
        <v>7.2634506797353296E-2</v>
      </c>
      <c r="X532" s="79">
        <f>tbl_Data_old[[#This Row],[2027 ]]*IFERROR(AVERAGEIFS('Participation Adjustment'!$C:$C,'Participation Adjustment'!$A:$A,$H532,'Participation Adjustment'!$B:$B,$I532),1)</f>
        <v>6.0717763291267997E-2</v>
      </c>
      <c r="Y532" s="79">
        <f>tbl_Data_old[[#This Row],[2028 ]]*IFERROR(AVERAGEIFS('Participation Adjustment'!$C:$C,'Participation Adjustment'!$A:$A,$H532,'Participation Adjustment'!$B:$B,$I532),1)</f>
        <v>5.0982728415014597E-2</v>
      </c>
      <c r="Z532" s="79">
        <f>tbl_Data_old[[#This Row],[2029 ]]*IFERROR(AVERAGEIFS('Participation Adjustment'!$C:$C,'Participation Adjustment'!$A:$A,$H532,'Participation Adjustment'!$B:$B,$I532),1)</f>
        <v>4.3008416379362799E-2</v>
      </c>
      <c r="AA532" s="79">
        <f>tbl_Data_old[[#This Row],[2030 ]]*IFERROR(AVERAGEIFS('Participation Adjustment'!$C:$C,'Participation Adjustment'!$A:$A,$H532,'Participation Adjustment'!$B:$B,$I532),1)</f>
        <v>3.6477941564482003E-2</v>
      </c>
      <c r="AB532" s="79">
        <f>tbl_Data_old[[#This Row],[2031 ]]*IFERROR(AVERAGEIFS('Participation Adjustment'!$C:$C,'Participation Adjustment'!$A:$A,$H532,'Participation Adjustment'!$B:$B,$I532),1)</f>
        <v>3.11321201697577E-2</v>
      </c>
      <c r="AC532" s="79">
        <f>tbl_Data_old[[#This Row],[2032 ]]*IFERROR(AVERAGEIFS('Participation Adjustment'!$C:$C,'Participation Adjustment'!$A:$A,$H532,'Participation Adjustment'!$B:$B,$I532),1)</f>
        <v>2.68131424352645E-2</v>
      </c>
      <c r="AD532" s="79">
        <f>tbl_Data_old[[#This Row],[2033 ]]*IFERROR(AVERAGEIFS('Participation Adjustment'!$C:$C,'Participation Adjustment'!$A:$A,$H532,'Participation Adjustment'!$B:$B,$I532),1)</f>
        <v>2.34047776424843E-2</v>
      </c>
      <c r="AE532" s="79">
        <f>tbl_Data_old[[#This Row],[2034 ]]*IFERROR(AVERAGEIFS('Participation Adjustment'!$C:$C,'Participation Adjustment'!$A:$A,$H532,'Participation Adjustment'!$B:$B,$I532),1)</f>
        <v>2.0634848234088499E-2</v>
      </c>
      <c r="AF532" s="77" t="str">
        <f t="shared" ref="AF532:AF565" si="220">IF(C532="Residential","Residential","NonResidential")</f>
        <v>NonResidential</v>
      </c>
      <c r="AG532" s="77" t="str">
        <f>tbl_Data[[#This Row],[All_Meas_Name_Append]]</f>
        <v>Window shade film</v>
      </c>
      <c r="AH532" s="77">
        <f>AVERAGEIFS('3. Incentive Adjustment'!G:G,'3. Incentive Adjustment'!A:A,tbl_Data[[#This Row],[Trimmed Sector]],'3. Incentive Adjustment'!B:B,tbl_Data[[#This Row],[Trimmed Measure Name]])</f>
        <v>3.2127764592544555E-13</v>
      </c>
      <c r="AI532" s="77">
        <f>$AH532*tbl_Data[[#This Row],[2025 ]]</f>
        <v>2.7791612367250008E-14</v>
      </c>
      <c r="AJ532" s="77">
        <f>$AH532*tbl_Data[[#This Row],[2026 ]]</f>
        <v>2.3335843356809441E-14</v>
      </c>
      <c r="AK532" s="77">
        <f>$AH532*tbl_Data[[#This Row],[2027 ]]</f>
        <v>1.9507260056077015E-14</v>
      </c>
      <c r="AL532" s="77">
        <f>$AH532*tbl_Data[[#This Row],[2028 ]]</f>
        <v>1.6379610968032213E-14</v>
      </c>
      <c r="AM532" s="77">
        <f>$AH532*tbl_Data[[#This Row],[2029 ]]</f>
        <v>1.3817642769343054E-14</v>
      </c>
      <c r="AN532" s="77">
        <f>$AH532*tbl_Data[[#This Row],[2030 ]]</f>
        <v>1.1719547194042742E-14</v>
      </c>
      <c r="AO532" s="77">
        <f>$AH532*tbl_Data[[#This Row],[2031 ]]</f>
        <v>1.0002054280807837E-14</v>
      </c>
      <c r="AP532" s="77">
        <f>$AH532*tbl_Data[[#This Row],[2032 ]]</f>
        <v>8.6144632814654466E-15</v>
      </c>
      <c r="AQ532" s="77">
        <f>$AH532*tbl_Data[[#This Row],[2033 ]]</f>
        <v>7.5194318643858557E-15</v>
      </c>
      <c r="AR532" s="77">
        <f>$AH532*tbl_Data[[#This Row],[2034 ]]</f>
        <v>6.62951546467679E-15</v>
      </c>
      <c r="AS532" s="77">
        <f>SUM(tbl_Data[[#This Row],[Adjusted 2025]:[Adjusted 2034]])</f>
        <v>1.4531698160289043E-13</v>
      </c>
      <c r="AT532" s="80">
        <f>AVERAGEIFS('3. Incentive Adjustment'!F:F,'3. Incentive Adjustment'!A:A,tbl_Data[[#This Row],[Trimmed Sector]],'3. Incentive Adjustment'!B:B,tbl_Data[[#This Row],[Trimmed Measure Name]])</f>
        <v>132.78569994403261</v>
      </c>
      <c r="AU532" s="80">
        <f>IFERROR(VLOOKUP(tbl_Data[[#This Row],[All_Meas_Name_Append]],'IRA Tax Credits'!$A$3:$D$46,4,0),0)</f>
        <v>0</v>
      </c>
      <c r="AV532" s="81">
        <f>tbl_Data[[#This Row],[Adj. per unit Incentive ($)]]/tbl_Data[[#This Row],[kWh Savings]]*tbl_Data[[#This Row],[Sum of Annuals]]</f>
        <v>1.633059822038222E-14</v>
      </c>
      <c r="AW532" s="81" t="str">
        <f>IFERROR(VLOOKUP(tbl_Data[[#This Row],[Column1]],'1. Set Program Names'!$B$2:$D$15,3,0)*tbl_Data[[#This Row],[Sum of Annuals]],"")</f>
        <v/>
      </c>
      <c r="AX532" s="81">
        <f>tbl_Data[[#This Row],[per unit IRA tax ($)]]/tbl_Data[[#This Row],[kWh Savings]]*tbl_Data[[#This Row],[Sum of Annuals]]</f>
        <v>0</v>
      </c>
      <c r="AY532" s="81">
        <f>tbl_Data[[#This Row],[Avoided Costs ($/unit)]]/tbl_Data[[#This Row],[kWh Savings]]*tbl_Data[[#This Row],[Sum of Annuals]]</f>
        <v>5.9608567617944481E-14</v>
      </c>
      <c r="AZ532" s="81">
        <f>tbl_Data[[#This Row],[Lost Revenue ($/unit)]]/tbl_Data[[#This Row],[kWh Savings]]*tbl_Data[[#This Row],[Sum of Annuals]]</f>
        <v>1.1953138367667449E-13</v>
      </c>
      <c r="BA532" s="81">
        <f>tbl_Data[[#This Row],[Incremental Cost ($/unit)]]/tbl_Data[[#This Row],[kWh Savings]]*tbl_Data[[#This Row],[Sum of Annuals]]</f>
        <v>5.4435327401274056E-14</v>
      </c>
      <c r="BB532" s="77">
        <f>ROUNDUP(tbl_Data[[#This Row],[Adjusted 2025]]/$L532,0)</f>
        <v>1</v>
      </c>
      <c r="BC532" s="77">
        <f>ROUNDUP(tbl_Data[[#This Row],[Adjusted 2026]]/$L532,0)</f>
        <v>1</v>
      </c>
      <c r="BD532" s="77">
        <f>ROUNDUP(tbl_Data[[#This Row],[Adjusted 2027]]/$L532,0)</f>
        <v>1</v>
      </c>
      <c r="BE532" s="77">
        <f>ROUNDUP(tbl_Data[[#This Row],[Adjusted 2028]]/$L532,0)</f>
        <v>1</v>
      </c>
      <c r="BF532" s="77">
        <f>ROUNDUP(tbl_Data[[#This Row],[Adjusted 2029]]/$L532,0)</f>
        <v>1</v>
      </c>
      <c r="BG532" s="77">
        <f>ROUNDUP(tbl_Data[[#This Row],[Adjusted 2030]]/$L532,0)</f>
        <v>1</v>
      </c>
      <c r="BH532" s="77">
        <f>ROUNDUP(tbl_Data[[#This Row],[Adjusted 2031]]/$L532,0)</f>
        <v>1</v>
      </c>
      <c r="BI532" s="77">
        <f>ROUNDUP(tbl_Data[[#This Row],[Adjusted 2032]]/$L532,0)</f>
        <v>1</v>
      </c>
      <c r="BJ532" s="77">
        <f>ROUNDUP(tbl_Data[[#This Row],[Adjusted 2033]]/$L532,0)</f>
        <v>1</v>
      </c>
      <c r="BK532" s="77">
        <f>ROUNDUP(tbl_Data[[#This Row],[Adjusted 2034]]/$L532,0)</f>
        <v>1</v>
      </c>
      <c r="BL532" s="80">
        <f t="shared" ref="BL532:BL565" si="221">$AT532/$L532*V532</f>
        <v>9.7211794525380348E-3</v>
      </c>
      <c r="BM532" s="80">
        <f t="shared" ref="BM532:BM565" si="222">$AT532/$L532*W532</f>
        <v>8.1626038083053923E-3</v>
      </c>
      <c r="BN532" s="80">
        <f t="shared" ref="BN532:BN565" si="223">$AT532/$L532*X532</f>
        <v>6.8234103558496113E-3</v>
      </c>
      <c r="BO532" s="80">
        <f t="shared" ref="BO532:BO565" si="224">$AT532/$L532*Y532</f>
        <v>5.7293954549624843E-3</v>
      </c>
      <c r="BP532" s="80">
        <f t="shared" ref="BP532:BP565" si="225">$AT532/$L532*Z532</f>
        <v>4.8332490823791612E-3</v>
      </c>
      <c r="BQ532" s="80">
        <f t="shared" ref="BQ532:BQ565" si="226">$AT532/$L532*AA532</f>
        <v>4.0993599029192015E-3</v>
      </c>
      <c r="BR532" s="80">
        <f t="shared" ref="BR532:BR565" si="227">$AT532/$L532*AB532</f>
        <v>3.4986010625399477E-3</v>
      </c>
      <c r="BS532" s="80">
        <f t="shared" ref="BS532:BS565" si="228">$AT532/$L532*AC532</f>
        <v>3.0132380352681084E-3</v>
      </c>
      <c r="BT532" s="80">
        <f t="shared" ref="BT532:BT565" si="229">$AT532/$L532*AD532</f>
        <v>2.6302089122748006E-3</v>
      </c>
      <c r="BU532" s="80">
        <f t="shared" ref="BU532:BU565" si="230">$AT532/$L532*AE532</f>
        <v>2.3189266122408928E-3</v>
      </c>
      <c r="BV532" s="80" t="str">
        <f>IFERROR(VLOOKUP($H532,'1. Set Program Names'!$B$2:$D$15,3,0)*V532,"NA")</f>
        <v>NA</v>
      </c>
      <c r="BW532" s="80" t="str">
        <f>IFERROR(VLOOKUP($H532,'1. Set Program Names'!$B$2:$D$15,3,0)*W532,"NA")</f>
        <v>NA</v>
      </c>
      <c r="BX532" s="80" t="str">
        <f>IFERROR(VLOOKUP($H532,'1. Set Program Names'!$B$2:$D$15,3,0)*X532,"NA")</f>
        <v>NA</v>
      </c>
      <c r="BY532" s="80" t="str">
        <f>IFERROR(VLOOKUP($H532,'1. Set Program Names'!$B$2:$D$15,3,0)*Y532,"NA")</f>
        <v>NA</v>
      </c>
      <c r="BZ532" s="80" t="str">
        <f>IFERROR(VLOOKUP($H532,'1. Set Program Names'!$B$2:$D$15,3,0)*Z532,"NA")</f>
        <v>NA</v>
      </c>
      <c r="CA532" s="80" t="str">
        <f>IFERROR(VLOOKUP($H532,'1. Set Program Names'!$B$2:$D$15,3,0)*AA532,"NA")</f>
        <v>NA</v>
      </c>
      <c r="CB532" s="80" t="str">
        <f>IFERROR(VLOOKUP($H532,'1. Set Program Names'!$B$2:$D$15,3,0)*AB532,"NA")</f>
        <v>NA</v>
      </c>
      <c r="CC532" s="80" t="str">
        <f>IFERROR(VLOOKUP($H532,'1. Set Program Names'!$B$2:$D$15,3,0)*AC532,"NA")</f>
        <v>NA</v>
      </c>
      <c r="CD532" s="80" t="str">
        <f>IFERROR(VLOOKUP($H532,'1. Set Program Names'!$B$2:$D$15,3,0)*AD532,"NA")</f>
        <v>NA</v>
      </c>
      <c r="CE532" s="80" t="str">
        <f>IFERROR(VLOOKUP($H532,'1. Set Program Names'!$B$2:$D$15,3,0)*AE532,"NA")</f>
        <v>NA</v>
      </c>
    </row>
    <row r="533" spans="1:83" x14ac:dyDescent="0.25">
      <c r="A533" s="79" t="s">
        <v>115</v>
      </c>
      <c r="B533" s="79" t="s">
        <v>88</v>
      </c>
      <c r="C533" s="79" t="s">
        <v>122</v>
      </c>
      <c r="D533" s="79" t="s">
        <v>90</v>
      </c>
      <c r="E533" s="79" t="s">
        <v>91</v>
      </c>
      <c r="F533" s="79" t="s">
        <v>90</v>
      </c>
      <c r="G533" s="79" t="s">
        <v>92</v>
      </c>
      <c r="H533" s="79" t="s">
        <v>20</v>
      </c>
      <c r="I533" s="79" t="s">
        <v>237</v>
      </c>
      <c r="J533" s="79" t="s">
        <v>129</v>
      </c>
      <c r="K533" s="79" t="s">
        <v>102</v>
      </c>
      <c r="L533" s="79">
        <v>2568.1199999999699</v>
      </c>
      <c r="M533" s="79">
        <v>0.53641456399840104</v>
      </c>
      <c r="N533" s="79">
        <v>2.1892485513222901E-2</v>
      </c>
      <c r="O533" s="79">
        <f>9025.1/929.29*tbl_Data[[#This Row],[kWh Savings]]</f>
        <v>24941.126894725789</v>
      </c>
      <c r="P533" s="79">
        <v>35498.089296558101</v>
      </c>
      <c r="Q533" s="79">
        <v>154.08719999999801</v>
      </c>
      <c r="R533" s="79">
        <v>1534.4473108970501</v>
      </c>
      <c r="S533" s="79">
        <v>3958.9826982459099</v>
      </c>
      <c r="T533" s="79">
        <v>30</v>
      </c>
      <c r="U533" s="79">
        <v>0.05</v>
      </c>
      <c r="V533" s="79">
        <f>tbl_Data_old[[#This Row],[2025 ]]*IFERROR(AVERAGEIFS('Participation Adjustment'!$C:$C,'Participation Adjustment'!$A:$A,$H533,'Participation Adjustment'!$B:$B,$I533),1)</f>
        <v>1.81257838799656E-2</v>
      </c>
      <c r="W533" s="79">
        <f>tbl_Data_old[[#This Row],[2026 ]]*IFERROR(AVERAGEIFS('Participation Adjustment'!$C:$C,'Participation Adjustment'!$A:$A,$H533,'Participation Adjustment'!$B:$B,$I533),1)</f>
        <v>3.8376201268882998E-2</v>
      </c>
      <c r="X533" s="79">
        <f>tbl_Data_old[[#This Row],[2027 ]]*IFERROR(AVERAGEIFS('Participation Adjustment'!$C:$C,'Participation Adjustment'!$A:$A,$H533,'Participation Adjustment'!$B:$B,$I533),1)</f>
        <v>6.0930838249833599E-2</v>
      </c>
      <c r="Y533" s="79">
        <f>tbl_Data_old[[#This Row],[2028 ]]*IFERROR(AVERAGEIFS('Participation Adjustment'!$C:$C,'Participation Adjustment'!$A:$A,$H533,'Participation Adjustment'!$B:$B,$I533),1)</f>
        <v>8.6015530530484594E-2</v>
      </c>
      <c r="Z533" s="79">
        <f>tbl_Data_old[[#This Row],[2029 ]]*IFERROR(AVERAGEIFS('Participation Adjustment'!$C:$C,'Participation Adjustment'!$A:$A,$H533,'Participation Adjustment'!$B:$B,$I533),1)</f>
        <v>0.113775915774843</v>
      </c>
      <c r="AA533" s="79">
        <f>tbl_Data_old[[#This Row],[2030 ]]*IFERROR(AVERAGEIFS('Participation Adjustment'!$C:$C,'Participation Adjustment'!$A:$A,$H533,'Participation Adjustment'!$B:$B,$I533),1)</f>
        <v>0.14435423423594501</v>
      </c>
      <c r="AB533" s="79">
        <f>tbl_Data_old[[#This Row],[2031 ]]*IFERROR(AVERAGEIFS('Participation Adjustment'!$C:$C,'Participation Adjustment'!$A:$A,$H533,'Participation Adjustment'!$B:$B,$I533),1)</f>
        <v>0.177815740074379</v>
      </c>
      <c r="AC533" s="79">
        <f>tbl_Data_old[[#This Row],[2032 ]]*IFERROR(AVERAGEIFS('Participation Adjustment'!$C:$C,'Participation Adjustment'!$A:$A,$H533,'Participation Adjustment'!$B:$B,$I533),1)</f>
        <v>0.21427245442045001</v>
      </c>
      <c r="AD533" s="79">
        <f>tbl_Data_old[[#This Row],[2033 ]]*IFERROR(AVERAGEIFS('Participation Adjustment'!$C:$C,'Participation Adjustment'!$A:$A,$H533,'Participation Adjustment'!$B:$B,$I533),1)</f>
        <v>0.25392960335357001</v>
      </c>
      <c r="AE533" s="79">
        <f>tbl_Data_old[[#This Row],[2034 ]]*IFERROR(AVERAGEIFS('Participation Adjustment'!$C:$C,'Participation Adjustment'!$A:$A,$H533,'Participation Adjustment'!$B:$B,$I533),1)</f>
        <v>0.29682087731664197</v>
      </c>
      <c r="AF533" s="77" t="str">
        <f t="shared" si="220"/>
        <v>NonResidential</v>
      </c>
      <c r="AG533" s="77" t="str">
        <f>tbl_Data[[#This Row],[All_Meas_Name_Append]]</f>
        <v>Ceiling Insulation(R19 to R38)</v>
      </c>
      <c r="AH533" s="77">
        <f>AVERAGEIFS('3. Incentive Adjustment'!G:G,'3. Incentive Adjustment'!A:A,tbl_Data[[#This Row],[Trimmed Sector]],'3. Incentive Adjustment'!B:B,tbl_Data[[#This Row],[Trimmed Measure Name]])</f>
        <v>3.9688771318830651E-15</v>
      </c>
      <c r="AI533" s="77">
        <f>$AH533*tbl_Data[[#This Row],[2025 ]]</f>
        <v>7.193900913865017E-17</v>
      </c>
      <c r="AJ533" s="77">
        <f>$AH533*tbl_Data[[#This Row],[2026 ]]</f>
        <v>1.523104276246116E-16</v>
      </c>
      <c r="AK533" s="77">
        <f>$AH533*tbl_Data[[#This Row],[2027 ]]</f>
        <v>2.4182701055623053E-16</v>
      </c>
      <c r="AL533" s="77">
        <f>$AH533*tbl_Data[[#This Row],[2028 ]]</f>
        <v>3.4138507210922992E-16</v>
      </c>
      <c r="AM533" s="77">
        <f>$AH533*tbl_Data[[#This Row],[2029 ]]</f>
        <v>4.5156263027782804E-16</v>
      </c>
      <c r="AN533" s="77">
        <f>$AH533*tbl_Data[[#This Row],[2030 ]]</f>
        <v>5.7292421914953357E-16</v>
      </c>
      <c r="AO533" s="77">
        <f>$AH533*tbl_Data[[#This Row],[2031 ]]</f>
        <v>7.0572882447006597E-16</v>
      </c>
      <c r="AP533" s="77">
        <f>$AH533*tbl_Data[[#This Row],[2032 ]]</f>
        <v>8.5042104434178041E-16</v>
      </c>
      <c r="AQ533" s="77">
        <f>$AH533*tbl_Data[[#This Row],[2033 ]]</f>
        <v>1.0078153958581212E-15</v>
      </c>
      <c r="AR533" s="77">
        <f>$AH533*tbl_Data[[#This Row],[2034 ]]</f>
        <v>1.1780455922474891E-15</v>
      </c>
      <c r="AS533" s="77">
        <f>SUM(tbl_Data[[#This Row],[Adjusted 2025]:[Adjusted 2034]])</f>
        <v>5.5739592257735409E-15</v>
      </c>
      <c r="AT533" s="80">
        <f>AVERAGEIFS('3. Incentive Adjustment'!F:F,'3. Incentive Adjustment'!A:A,tbl_Data[[#This Row],[Trimmed Sector]],'3. Incentive Adjustment'!B:B,tbl_Data[[#This Row],[Trimmed Measure Name]])</f>
        <v>3222.5963039661074</v>
      </c>
      <c r="AU533" s="80">
        <f>IFERROR(VLOOKUP(tbl_Data[[#This Row],[All_Meas_Name_Append]],'IRA Tax Credits'!$A$3:$D$46,4,0),0)</f>
        <v>0</v>
      </c>
      <c r="AV533" s="81">
        <f>tbl_Data[[#This Row],[Adj. per unit Incentive ($)]]/tbl_Data[[#This Row],[kWh Savings]]*tbl_Data[[#This Row],[Sum of Annuals]]</f>
        <v>6.9944630311028338E-15</v>
      </c>
      <c r="AW533" s="81" t="str">
        <f>IFERROR(VLOOKUP(tbl_Data[[#This Row],[Column1]],'1. Set Program Names'!$B$2:$D$15,3,0)*tbl_Data[[#This Row],[Sum of Annuals]],"")</f>
        <v/>
      </c>
      <c r="AX533" s="81">
        <f>tbl_Data[[#This Row],[per unit IRA tax ($)]]/tbl_Data[[#This Row],[kWh Savings]]*tbl_Data[[#This Row],[Sum of Annuals]]</f>
        <v>0</v>
      </c>
      <c r="AY533" s="81">
        <f>tbl_Data[[#This Row],[Avoided Costs ($/unit)]]/tbl_Data[[#This Row],[kWh Savings]]*tbl_Data[[#This Row],[Sum of Annuals]]</f>
        <v>3.3304311110999929E-15</v>
      </c>
      <c r="AZ533" s="81">
        <f>tbl_Data[[#This Row],[Lost Revenue ($/unit)]]/tbl_Data[[#This Row],[kWh Savings]]*tbl_Data[[#This Row],[Sum of Annuals]]</f>
        <v>8.5927480552177755E-15</v>
      </c>
      <c r="BA533" s="81">
        <f>tbl_Data[[#This Row],[Incremental Cost ($/unit)]]/tbl_Data[[#This Row],[kWh Savings]]*tbl_Data[[#This Row],[Sum of Annuals]]</f>
        <v>5.4133305435901372E-14</v>
      </c>
      <c r="BB533" s="77">
        <f>ROUNDUP(tbl_Data[[#This Row],[Adjusted 2025]]/$L533,0)</f>
        <v>1</v>
      </c>
      <c r="BC533" s="77">
        <f>ROUNDUP(tbl_Data[[#This Row],[Adjusted 2026]]/$L533,0)</f>
        <v>1</v>
      </c>
      <c r="BD533" s="77">
        <f>ROUNDUP(tbl_Data[[#This Row],[Adjusted 2027]]/$L533,0)</f>
        <v>1</v>
      </c>
      <c r="BE533" s="77">
        <f>ROUNDUP(tbl_Data[[#This Row],[Adjusted 2028]]/$L533,0)</f>
        <v>1</v>
      </c>
      <c r="BF533" s="77">
        <f>ROUNDUP(tbl_Data[[#This Row],[Adjusted 2029]]/$L533,0)</f>
        <v>1</v>
      </c>
      <c r="BG533" s="77">
        <f>ROUNDUP(tbl_Data[[#This Row],[Adjusted 2030]]/$L533,0)</f>
        <v>1</v>
      </c>
      <c r="BH533" s="77">
        <f>ROUNDUP(tbl_Data[[#This Row],[Adjusted 2031]]/$L533,0)</f>
        <v>1</v>
      </c>
      <c r="BI533" s="77">
        <f>ROUNDUP(tbl_Data[[#This Row],[Adjusted 2032]]/$L533,0)</f>
        <v>1</v>
      </c>
      <c r="BJ533" s="77">
        <f>ROUNDUP(tbl_Data[[#This Row],[Adjusted 2033]]/$L533,0)</f>
        <v>1</v>
      </c>
      <c r="BK533" s="77">
        <f>ROUNDUP(tbl_Data[[#This Row],[Adjusted 2034]]/$L533,0)</f>
        <v>1</v>
      </c>
      <c r="BL533" s="80">
        <f t="shared" si="221"/>
        <v>2.2745075829036916E-2</v>
      </c>
      <c r="BM533" s="80">
        <f t="shared" si="222"/>
        <v>4.8156240506426196E-2</v>
      </c>
      <c r="BN533" s="80">
        <f t="shared" si="223"/>
        <v>7.6458846993704657E-2</v>
      </c>
      <c r="BO533" s="80">
        <f t="shared" si="224"/>
        <v>0.107936284430333</v>
      </c>
      <c r="BP533" s="80">
        <f t="shared" si="225"/>
        <v>0.14277130572417665</v>
      </c>
      <c r="BQ533" s="80">
        <f t="shared" si="226"/>
        <v>0.1811424005539537</v>
      </c>
      <c r="BR533" s="80">
        <f t="shared" si="227"/>
        <v>0.22313145287241196</v>
      </c>
      <c r="BS533" s="80">
        <f t="shared" si="228"/>
        <v>0.26887903199893171</v>
      </c>
      <c r="BT533" s="80">
        <f t="shared" si="229"/>
        <v>0.31864266515381057</v>
      </c>
      <c r="BU533" s="80">
        <f t="shared" si="230"/>
        <v>0.37246462867023311</v>
      </c>
      <c r="BV533" s="80" t="str">
        <f>IFERROR(VLOOKUP($H533,'1. Set Program Names'!$B$2:$D$15,3,0)*V533,"NA")</f>
        <v>NA</v>
      </c>
      <c r="BW533" s="80" t="str">
        <f>IFERROR(VLOOKUP($H533,'1. Set Program Names'!$B$2:$D$15,3,0)*W533,"NA")</f>
        <v>NA</v>
      </c>
      <c r="BX533" s="80" t="str">
        <f>IFERROR(VLOOKUP($H533,'1. Set Program Names'!$B$2:$D$15,3,0)*X533,"NA")</f>
        <v>NA</v>
      </c>
      <c r="BY533" s="80" t="str">
        <f>IFERROR(VLOOKUP($H533,'1. Set Program Names'!$B$2:$D$15,3,0)*Y533,"NA")</f>
        <v>NA</v>
      </c>
      <c r="BZ533" s="80" t="str">
        <f>IFERROR(VLOOKUP($H533,'1. Set Program Names'!$B$2:$D$15,3,0)*Z533,"NA")</f>
        <v>NA</v>
      </c>
      <c r="CA533" s="80" t="str">
        <f>IFERROR(VLOOKUP($H533,'1. Set Program Names'!$B$2:$D$15,3,0)*AA533,"NA")</f>
        <v>NA</v>
      </c>
      <c r="CB533" s="80" t="str">
        <f>IFERROR(VLOOKUP($H533,'1. Set Program Names'!$B$2:$D$15,3,0)*AB533,"NA")</f>
        <v>NA</v>
      </c>
      <c r="CC533" s="80" t="str">
        <f>IFERROR(VLOOKUP($H533,'1. Set Program Names'!$B$2:$D$15,3,0)*AC533,"NA")</f>
        <v>NA</v>
      </c>
      <c r="CD533" s="80" t="str">
        <f>IFERROR(VLOOKUP($H533,'1. Set Program Names'!$B$2:$D$15,3,0)*AD533,"NA")</f>
        <v>NA</v>
      </c>
      <c r="CE533" s="80" t="str">
        <f>IFERROR(VLOOKUP($H533,'1. Set Program Names'!$B$2:$D$15,3,0)*AE533,"NA")</f>
        <v>NA</v>
      </c>
    </row>
    <row r="534" spans="1:83" x14ac:dyDescent="0.25">
      <c r="A534" s="79" t="s">
        <v>115</v>
      </c>
      <c r="B534" s="79" t="s">
        <v>88</v>
      </c>
      <c r="C534" s="79" t="s">
        <v>122</v>
      </c>
      <c r="D534" s="79" t="s">
        <v>90</v>
      </c>
      <c r="E534" s="79" t="s">
        <v>91</v>
      </c>
      <c r="F534" s="79" t="s">
        <v>90</v>
      </c>
      <c r="G534" s="79" t="s">
        <v>92</v>
      </c>
      <c r="H534" s="79" t="s">
        <v>20</v>
      </c>
      <c r="I534" s="79" t="s">
        <v>238</v>
      </c>
      <c r="J534" s="79" t="s">
        <v>129</v>
      </c>
      <c r="K534" s="79" t="s">
        <v>102</v>
      </c>
      <c r="L534" s="79">
        <v>4477.6116666666303</v>
      </c>
      <c r="M534" s="79">
        <v>0.90610878358590996</v>
      </c>
      <c r="N534" s="79">
        <v>4.9616670393602701E-2</v>
      </c>
      <c r="O534" s="79">
        <f>9351.31/1137.9*tbl_Data[[#This Row],[kWh Savings]]</f>
        <v>36797.200768623181</v>
      </c>
      <c r="P534" s="79">
        <v>44221.719775682497</v>
      </c>
      <c r="Q534" s="79">
        <v>268.65669999999699</v>
      </c>
      <c r="R534" s="79">
        <v>2670.7044942461998</v>
      </c>
      <c r="S534" s="79">
        <v>6902.6319322295803</v>
      </c>
      <c r="T534" s="79">
        <v>30</v>
      </c>
      <c r="U534" s="79">
        <v>0.05</v>
      </c>
      <c r="V534" s="79">
        <f>tbl_Data_old[[#This Row],[2025 ]]*IFERROR(AVERAGEIFS('Participation Adjustment'!$C:$C,'Participation Adjustment'!$A:$A,$H534,'Participation Adjustment'!$B:$B,$I534),1)</f>
        <v>1.1459983861124999E-2</v>
      </c>
      <c r="W534" s="79">
        <f>tbl_Data_old[[#This Row],[2026 ]]*IFERROR(AVERAGEIFS('Participation Adjustment'!$C:$C,'Participation Adjustment'!$A:$A,$H534,'Participation Adjustment'!$B:$B,$I534),1)</f>
        <v>2.4246390474775999E-2</v>
      </c>
      <c r="X534" s="79">
        <f>tbl_Data_old[[#This Row],[2027 ]]*IFERROR(AVERAGEIFS('Participation Adjustment'!$C:$C,'Participation Adjustment'!$A:$A,$H534,'Participation Adjustment'!$B:$B,$I534),1)</f>
        <v>3.8463461171922897E-2</v>
      </c>
      <c r="Y534" s="79">
        <f>tbl_Data_old[[#This Row],[2028 ]]*IFERROR(AVERAGEIFS('Participation Adjustment'!$C:$C,'Participation Adjustment'!$A:$A,$H534,'Participation Adjustment'!$B:$B,$I534),1)</f>
        <v>5.4247042501039199E-2</v>
      </c>
      <c r="Z534" s="79">
        <f>tbl_Data_old[[#This Row],[2029 ]]*IFERROR(AVERAGEIFS('Participation Adjustment'!$C:$C,'Participation Adjustment'!$A:$A,$H534,'Participation Adjustment'!$B:$B,$I534),1)</f>
        <v>7.1684512026238198E-2</v>
      </c>
      <c r="AA534" s="79">
        <f>tbl_Data_old[[#This Row],[2030 ]]*IFERROR(AVERAGEIFS('Participation Adjustment'!$C:$C,'Participation Adjustment'!$A:$A,$H534,'Participation Adjustment'!$B:$B,$I534),1)</f>
        <v>9.0859515453279804E-2</v>
      </c>
      <c r="AB534" s="79">
        <f>tbl_Data_old[[#This Row],[2031 ]]*IFERROR(AVERAGEIFS('Participation Adjustment'!$C:$C,'Participation Adjustment'!$A:$A,$H534,'Participation Adjustment'!$B:$B,$I534),1)</f>
        <v>0.11181039820583701</v>
      </c>
      <c r="AC534" s="79">
        <f>tbl_Data_old[[#This Row],[2032 ]]*IFERROR(AVERAGEIFS('Participation Adjustment'!$C:$C,'Participation Adjustment'!$A:$A,$H534,'Participation Adjustment'!$B:$B,$I534),1)</f>
        <v>0.13460530883029401</v>
      </c>
      <c r="AD534" s="79">
        <f>tbl_Data_old[[#This Row],[2033 ]]*IFERROR(AVERAGEIFS('Participation Adjustment'!$C:$C,'Participation Adjustment'!$A:$A,$H534,'Participation Adjustment'!$B:$B,$I534),1)</f>
        <v>0.159367306447698</v>
      </c>
      <c r="AE534" s="79">
        <f>tbl_Data_old[[#This Row],[2034 ]]*IFERROR(AVERAGEIFS('Participation Adjustment'!$C:$C,'Participation Adjustment'!$A:$A,$H534,'Participation Adjustment'!$B:$B,$I534),1)</f>
        <v>0.18611664176165199</v>
      </c>
      <c r="AF534" s="77" t="str">
        <f t="shared" si="220"/>
        <v>NonResidential</v>
      </c>
      <c r="AG534" s="77" t="str">
        <f>tbl_Data[[#This Row],[All_Meas_Name_Append]]</f>
        <v>Ceiling Insulation(R19 to R49)</v>
      </c>
      <c r="AH534" s="77">
        <f>AVERAGEIFS('3. Incentive Adjustment'!G:G,'3. Incentive Adjustment'!A:A,tbl_Data[[#This Row],[Trimmed Sector]],'3. Incentive Adjustment'!B:B,tbl_Data[[#This Row],[Trimmed Measure Name]])</f>
        <v>7.9373870200739678E-11</v>
      </c>
      <c r="AI534" s="77">
        <f>$AH534*tbl_Data[[#This Row],[2025 ]]</f>
        <v>9.0962327149550715E-13</v>
      </c>
      <c r="AJ534" s="77">
        <f>$AH534*tbl_Data[[#This Row],[2026 ]]</f>
        <v>1.924529850381321E-12</v>
      </c>
      <c r="AK534" s="77">
        <f>$AH534*tbl_Data[[#This Row],[2027 ]]</f>
        <v>3.0529937745313986E-12</v>
      </c>
      <c r="AL534" s="77">
        <f>$AH534*tbl_Data[[#This Row],[2028 ]]</f>
        <v>4.3057977102514941E-12</v>
      </c>
      <c r="AM534" s="77">
        <f>$AH534*tbl_Data[[#This Row],[2029 ]]</f>
        <v>5.6898771529739934E-12</v>
      </c>
      <c r="AN534" s="77">
        <f>$AH534*tbl_Data[[#This Row],[2030 ]]</f>
        <v>7.2118713860907323E-12</v>
      </c>
      <c r="AO534" s="77">
        <f>$AH534*tbl_Data[[#This Row],[2031 ]]</f>
        <v>8.8748240342831227E-12</v>
      </c>
      <c r="AP534" s="77">
        <f>$AH534*tbl_Data[[#This Row],[2032 ]]</f>
        <v>1.0684144311426235E-11</v>
      </c>
      <c r="AQ534" s="77">
        <f>$AH534*tbl_Data[[#This Row],[2033 ]]</f>
        <v>1.2649599896221085E-11</v>
      </c>
      <c r="AR534" s="77">
        <f>$AH534*tbl_Data[[#This Row],[2034 ]]</f>
        <v>1.4772798165386932E-11</v>
      </c>
      <c r="AS534" s="77">
        <f>SUM(tbl_Data[[#This Row],[Adjusted 2025]:[Adjusted 2034]])</f>
        <v>7.0076059553041815E-11</v>
      </c>
      <c r="AT534" s="80">
        <f>AVERAGEIFS('3. Incentive Adjustment'!F:F,'3. Incentive Adjustment'!A:A,tbl_Data[[#This Row],[Trimmed Sector]],'3. Incentive Adjustment'!B:B,tbl_Data[[#This Row],[Trimmed Measure Name]])</f>
        <v>4754.4974087894998</v>
      </c>
      <c r="AU534" s="80">
        <f>IFERROR(VLOOKUP(tbl_Data[[#This Row],[All_Meas_Name_Append]],'IRA Tax Credits'!$A$3:$D$46,4,0),0)</f>
        <v>500</v>
      </c>
      <c r="AV534" s="81">
        <f>tbl_Data[[#This Row],[Adj. per unit Incentive ($)]]/tbl_Data[[#This Row],[kWh Savings]]*tbl_Data[[#This Row],[Sum of Annuals]]</f>
        <v>7.4409410276338257E-11</v>
      </c>
      <c r="AW534" s="81" t="str">
        <f>IFERROR(VLOOKUP(tbl_Data[[#This Row],[Column1]],'1. Set Program Names'!$B$2:$D$15,3,0)*tbl_Data[[#This Row],[Sum of Annuals]],"")</f>
        <v/>
      </c>
      <c r="AX534" s="81">
        <f>tbl_Data[[#This Row],[per unit IRA tax ($)]]/tbl_Data[[#This Row],[kWh Savings]]*tbl_Data[[#This Row],[Sum of Annuals]]</f>
        <v>7.825160461627316E-12</v>
      </c>
      <c r="AY534" s="81">
        <f>tbl_Data[[#This Row],[Avoided Costs ($/unit)]]/tbl_Data[[#This Row],[kWh Savings]]*tbl_Data[[#This Row],[Sum of Annuals]]</f>
        <v>4.1797382426131484E-11</v>
      </c>
      <c r="AZ534" s="81">
        <f>tbl_Data[[#This Row],[Lost Revenue ($/unit)]]/tbl_Data[[#This Row],[kWh Savings]]*tbl_Data[[#This Row],[Sum of Annuals]]</f>
        <v>1.0802840495449816E-10</v>
      </c>
      <c r="BA534" s="81">
        <f>tbl_Data[[#This Row],[Incremental Cost ($/unit)]]/tbl_Data[[#This Row],[kWh Savings]]*tbl_Data[[#This Row],[Sum of Annuals]]</f>
        <v>5.7588800110638483E-10</v>
      </c>
      <c r="BB534" s="77">
        <f>ROUNDUP(tbl_Data[[#This Row],[Adjusted 2025]]/$L534,0)</f>
        <v>1</v>
      </c>
      <c r="BC534" s="77">
        <f>ROUNDUP(tbl_Data[[#This Row],[Adjusted 2026]]/$L534,0)</f>
        <v>1</v>
      </c>
      <c r="BD534" s="77">
        <f>ROUNDUP(tbl_Data[[#This Row],[Adjusted 2027]]/$L534,0)</f>
        <v>1</v>
      </c>
      <c r="BE534" s="77">
        <f>ROUNDUP(tbl_Data[[#This Row],[Adjusted 2028]]/$L534,0)</f>
        <v>1</v>
      </c>
      <c r="BF534" s="77">
        <f>ROUNDUP(tbl_Data[[#This Row],[Adjusted 2029]]/$L534,0)</f>
        <v>1</v>
      </c>
      <c r="BG534" s="77">
        <f>ROUNDUP(tbl_Data[[#This Row],[Adjusted 2030]]/$L534,0)</f>
        <v>1</v>
      </c>
      <c r="BH534" s="77">
        <f>ROUNDUP(tbl_Data[[#This Row],[Adjusted 2031]]/$L534,0)</f>
        <v>1</v>
      </c>
      <c r="BI534" s="77">
        <f>ROUNDUP(tbl_Data[[#This Row],[Adjusted 2032]]/$L534,0)</f>
        <v>1</v>
      </c>
      <c r="BJ534" s="77">
        <f>ROUNDUP(tbl_Data[[#This Row],[Adjusted 2033]]/$L534,0)</f>
        <v>1</v>
      </c>
      <c r="BK534" s="77">
        <f>ROUNDUP(tbl_Data[[#This Row],[Adjusted 2034]]/$L534,0)</f>
        <v>1</v>
      </c>
      <c r="BL534" s="80">
        <f t="shared" si="221"/>
        <v>1.2168644274828526E-2</v>
      </c>
      <c r="BM534" s="80">
        <f t="shared" si="222"/>
        <v>2.5745734392960646E-2</v>
      </c>
      <c r="BN534" s="80">
        <f t="shared" si="223"/>
        <v>4.0841957741977276E-2</v>
      </c>
      <c r="BO534" s="80">
        <f t="shared" si="224"/>
        <v>5.7601561324698812E-2</v>
      </c>
      <c r="BP534" s="80">
        <f t="shared" si="225"/>
        <v>7.6117325943278247E-2</v>
      </c>
      <c r="BQ534" s="80">
        <f t="shared" si="226"/>
        <v>9.6478069771531894E-2</v>
      </c>
      <c r="BR534" s="80">
        <f t="shared" si="227"/>
        <v>0.11872450943052124</v>
      </c>
      <c r="BS534" s="80">
        <f t="shared" si="228"/>
        <v>0.14292900762414229</v>
      </c>
      <c r="BT534" s="80">
        <f t="shared" si="229"/>
        <v>0.16922223318115986</v>
      </c>
      <c r="BU534" s="80">
        <f t="shared" si="230"/>
        <v>0.19762568906453148</v>
      </c>
      <c r="BV534" s="80" t="str">
        <f>IFERROR(VLOOKUP($H534,'1. Set Program Names'!$B$2:$D$15,3,0)*V534,"NA")</f>
        <v>NA</v>
      </c>
      <c r="BW534" s="80" t="str">
        <f>IFERROR(VLOOKUP($H534,'1. Set Program Names'!$B$2:$D$15,3,0)*W534,"NA")</f>
        <v>NA</v>
      </c>
      <c r="BX534" s="80" t="str">
        <f>IFERROR(VLOOKUP($H534,'1. Set Program Names'!$B$2:$D$15,3,0)*X534,"NA")</f>
        <v>NA</v>
      </c>
      <c r="BY534" s="80" t="str">
        <f>IFERROR(VLOOKUP($H534,'1. Set Program Names'!$B$2:$D$15,3,0)*Y534,"NA")</f>
        <v>NA</v>
      </c>
      <c r="BZ534" s="80" t="str">
        <f>IFERROR(VLOOKUP($H534,'1. Set Program Names'!$B$2:$D$15,3,0)*Z534,"NA")</f>
        <v>NA</v>
      </c>
      <c r="CA534" s="80" t="str">
        <f>IFERROR(VLOOKUP($H534,'1. Set Program Names'!$B$2:$D$15,3,0)*AA534,"NA")</f>
        <v>NA</v>
      </c>
      <c r="CB534" s="80" t="str">
        <f>IFERROR(VLOOKUP($H534,'1. Set Program Names'!$B$2:$D$15,3,0)*AB534,"NA")</f>
        <v>NA</v>
      </c>
      <c r="CC534" s="80" t="str">
        <f>IFERROR(VLOOKUP($H534,'1. Set Program Names'!$B$2:$D$15,3,0)*AC534,"NA")</f>
        <v>NA</v>
      </c>
      <c r="CD534" s="80" t="str">
        <f>IFERROR(VLOOKUP($H534,'1. Set Program Names'!$B$2:$D$15,3,0)*AD534,"NA")</f>
        <v>NA</v>
      </c>
      <c r="CE534" s="80" t="str">
        <f>IFERROR(VLOOKUP($H534,'1. Set Program Names'!$B$2:$D$15,3,0)*AE534,"NA")</f>
        <v>NA</v>
      </c>
    </row>
    <row r="535" spans="1:83" x14ac:dyDescent="0.25">
      <c r="A535" s="79" t="s">
        <v>115</v>
      </c>
      <c r="B535" s="79" t="s">
        <v>88</v>
      </c>
      <c r="C535" s="79" t="s">
        <v>122</v>
      </c>
      <c r="D535" s="79" t="s">
        <v>90</v>
      </c>
      <c r="E535" s="79" t="s">
        <v>91</v>
      </c>
      <c r="F535" s="79" t="s">
        <v>90</v>
      </c>
      <c r="G535" s="79" t="s">
        <v>92</v>
      </c>
      <c r="H535" s="79" t="s">
        <v>20</v>
      </c>
      <c r="I535" s="79" t="s">
        <v>240</v>
      </c>
      <c r="J535" s="79" t="s">
        <v>129</v>
      </c>
      <c r="K535" s="79" t="s">
        <v>102</v>
      </c>
      <c r="L535" s="79">
        <v>18717.787499999999</v>
      </c>
      <c r="M535" s="79">
        <v>3.6380387810097399</v>
      </c>
      <c r="N535" s="79">
        <v>0.14255501576814</v>
      </c>
      <c r="O535" s="79">
        <f>11091.09/6133.31*tbl_Data[[#This Row],[kWh Savings]]</f>
        <v>33848.063405139306</v>
      </c>
      <c r="P535" s="79">
        <v>45532.278837645601</v>
      </c>
      <c r="Q535" s="79">
        <v>1123.0672500000001</v>
      </c>
      <c r="R535" s="79">
        <v>11042.715256281999</v>
      </c>
      <c r="S535" s="79">
        <v>28855.114582630202</v>
      </c>
      <c r="T535" s="79">
        <v>30</v>
      </c>
      <c r="U535" s="79">
        <v>0.05</v>
      </c>
      <c r="V535" s="79">
        <f>tbl_Data_old[[#This Row],[2025 ]]*IFERROR(AVERAGEIFS('Participation Adjustment'!$C:$C,'Participation Adjustment'!$A:$A,$H535,'Participation Adjustment'!$B:$B,$I535),1)</f>
        <v>2.0666208746619601E-2</v>
      </c>
      <c r="W535" s="79">
        <f>tbl_Data_old[[#This Row],[2026 ]]*IFERROR(AVERAGEIFS('Participation Adjustment'!$C:$C,'Participation Adjustment'!$A:$A,$H535,'Participation Adjustment'!$B:$B,$I535),1)</f>
        <v>4.09380599239327E-2</v>
      </c>
      <c r="X535" s="79">
        <f>tbl_Data_old[[#This Row],[2027 ]]*IFERROR(AVERAGEIFS('Participation Adjustment'!$C:$C,'Participation Adjustment'!$A:$A,$H535,'Participation Adjustment'!$B:$B,$I535),1)</f>
        <v>6.0647888306650501E-2</v>
      </c>
      <c r="Y535" s="79">
        <f>tbl_Data_old[[#This Row],[2028 ]]*IFERROR(AVERAGEIFS('Participation Adjustment'!$C:$C,'Participation Adjustment'!$A:$A,$H535,'Participation Adjustment'!$B:$B,$I535),1)</f>
        <v>7.9814344700531004E-2</v>
      </c>
      <c r="Z535" s="79">
        <f>tbl_Data_old[[#This Row],[2029 ]]*IFERROR(AVERAGEIFS('Participation Adjustment'!$C:$C,'Participation Adjustment'!$A:$A,$H535,'Participation Adjustment'!$B:$B,$I535),1)</f>
        <v>9.8460798339911906E-2</v>
      </c>
      <c r="AA535" s="79">
        <f>tbl_Data_old[[#This Row],[2030 ]]*IFERROR(AVERAGEIFS('Participation Adjustment'!$C:$C,'Participation Adjustment'!$A:$A,$H535,'Participation Adjustment'!$B:$B,$I535),1)</f>
        <v>0.116558120183458</v>
      </c>
      <c r="AB535" s="79">
        <f>tbl_Data_old[[#This Row],[2031 ]]*IFERROR(AVERAGEIFS('Participation Adjustment'!$C:$C,'Participation Adjustment'!$A:$A,$H535,'Participation Adjustment'!$B:$B,$I535),1)</f>
        <v>0.13411422126130601</v>
      </c>
      <c r="AC535" s="79">
        <f>tbl_Data_old[[#This Row],[2032 ]]*IFERROR(AVERAGEIFS('Participation Adjustment'!$C:$C,'Participation Adjustment'!$A:$A,$H535,'Participation Adjustment'!$B:$B,$I535),1)</f>
        <v>0.151165944429768</v>
      </c>
      <c r="AD535" s="79">
        <f>tbl_Data_old[[#This Row],[2033 ]]*IFERROR(AVERAGEIFS('Participation Adjustment'!$C:$C,'Participation Adjustment'!$A:$A,$H535,'Participation Adjustment'!$B:$B,$I535),1)</f>
        <v>0.16772070596080599</v>
      </c>
      <c r="AE535" s="79">
        <f>tbl_Data_old[[#This Row],[2034 ]]*IFERROR(AVERAGEIFS('Participation Adjustment'!$C:$C,'Participation Adjustment'!$A:$A,$H535,'Participation Adjustment'!$B:$B,$I535),1)</f>
        <v>0.18379545564552399</v>
      </c>
      <c r="AF535" s="77" t="str">
        <f t="shared" si="220"/>
        <v>NonResidential</v>
      </c>
      <c r="AG535" s="77" t="str">
        <f>tbl_Data[[#This Row],[All_Meas_Name_Append]]</f>
        <v>Ceiling Insulation(R2 to R38)</v>
      </c>
      <c r="AH535" s="77">
        <f>AVERAGEIFS('3. Incentive Adjustment'!G:G,'3. Incentive Adjustment'!A:A,tbl_Data[[#This Row],[Trimmed Sector]],'3. Incentive Adjustment'!B:B,tbl_Data[[#This Row],[Trimmed Measure Name]])</f>
        <v>3.0218441517909909E-3</v>
      </c>
      <c r="AI535" s="77">
        <f>$AH535*tbl_Data[[#This Row],[2025 ]]</f>
        <v>6.2450062040664273E-5</v>
      </c>
      <c r="AJ535" s="77">
        <f>$AH535*tbl_Data[[#This Row],[2026 ]]</f>
        <v>1.2370843696680518E-4</v>
      </c>
      <c r="AK535" s="77">
        <f>$AH535*tbl_Data[[#This Row],[2027 ]]</f>
        <v>1.8326846659792503E-4</v>
      </c>
      <c r="AL535" s="77">
        <f>$AH535*tbl_Data[[#This Row],[2028 ]]</f>
        <v>2.4118651076232987E-4</v>
      </c>
      <c r="AM535" s="77">
        <f>$AH535*tbl_Data[[#This Row],[2029 ]]</f>
        <v>2.9753318764413488E-4</v>
      </c>
      <c r="AN535" s="77">
        <f>$AH535*tbl_Data[[#This Row],[2030 ]]</f>
        <v>3.5222047382013399E-4</v>
      </c>
      <c r="AO535" s="77">
        <f>$AH535*tbl_Data[[#This Row],[2031 ]]</f>
        <v>4.0527227519048052E-4</v>
      </c>
      <c r="AP535" s="77">
        <f>$AH535*tbl_Data[[#This Row],[2032 ]]</f>
        <v>4.5679992512505634E-4</v>
      </c>
      <c r="AQ535" s="77">
        <f>$AH535*tbl_Data[[#This Row],[2033 ]]</f>
        <v>5.0682583444191793E-4</v>
      </c>
      <c r="AR535" s="77">
        <f>$AH535*tbl_Data[[#This Row],[2034 ]]</f>
        <v>5.5540122276818711E-4</v>
      </c>
      <c r="AS535" s="77">
        <f>SUM(tbl_Data[[#This Row],[Adjusted 2025]:[Adjusted 2034]])</f>
        <v>3.1846663953576356E-3</v>
      </c>
      <c r="AT535" s="80">
        <f>AVERAGEIFS('3. Incentive Adjustment'!F:F,'3. Incentive Adjustment'!A:A,tbl_Data[[#This Row],[Trimmed Sector]],'3. Incentive Adjustment'!B:B,tbl_Data[[#This Row],[Trimmed Measure Name]])</f>
        <v>4373.4448922946976</v>
      </c>
      <c r="AU535" s="80">
        <f>IFERROR(VLOOKUP(tbl_Data[[#This Row],[All_Meas_Name_Append]],'IRA Tax Credits'!$A$3:$D$46,4,0),0)</f>
        <v>0</v>
      </c>
      <c r="AV535" s="81">
        <f>tbl_Data[[#This Row],[Adj. per unit Incentive ($)]]/tbl_Data[[#This Row],[kWh Savings]]*tbl_Data[[#This Row],[Sum of Annuals]]</f>
        <v>7.4410306134950076E-4</v>
      </c>
      <c r="AW535" s="81" t="str">
        <f>IFERROR(VLOOKUP(tbl_Data[[#This Row],[Column1]],'1. Set Program Names'!$B$2:$D$15,3,0)*tbl_Data[[#This Row],[Sum of Annuals]],"")</f>
        <v/>
      </c>
      <c r="AX535" s="81">
        <f>tbl_Data[[#This Row],[per unit IRA tax ($)]]/tbl_Data[[#This Row],[kWh Savings]]*tbl_Data[[#This Row],[Sum of Annuals]]</f>
        <v>0</v>
      </c>
      <c r="AY535" s="81">
        <f>tbl_Data[[#This Row],[Avoided Costs ($/unit)]]/tbl_Data[[#This Row],[kWh Savings]]*tbl_Data[[#This Row],[Sum of Annuals]]</f>
        <v>1.878820570550038E-3</v>
      </c>
      <c r="AZ535" s="81">
        <f>tbl_Data[[#This Row],[Lost Revenue ($/unit)]]/tbl_Data[[#This Row],[kWh Savings]]*tbl_Data[[#This Row],[Sum of Annuals]]</f>
        <v>4.9094431564359027E-3</v>
      </c>
      <c r="BA535" s="81">
        <f>tbl_Data[[#This Row],[Incremental Cost ($/unit)]]/tbl_Data[[#This Row],[kWh Savings]]*tbl_Data[[#This Row],[Sum of Annuals]]</f>
        <v>5.7589493456041054E-3</v>
      </c>
      <c r="BB535" s="77">
        <f>ROUNDUP(tbl_Data[[#This Row],[Adjusted 2025]]/$L535,0)</f>
        <v>1</v>
      </c>
      <c r="BC535" s="77">
        <f>ROUNDUP(tbl_Data[[#This Row],[Adjusted 2026]]/$L535,0)</f>
        <v>1</v>
      </c>
      <c r="BD535" s="77">
        <f>ROUNDUP(tbl_Data[[#This Row],[Adjusted 2027]]/$L535,0)</f>
        <v>1</v>
      </c>
      <c r="BE535" s="77">
        <f>ROUNDUP(tbl_Data[[#This Row],[Adjusted 2028]]/$L535,0)</f>
        <v>1</v>
      </c>
      <c r="BF535" s="77">
        <f>ROUNDUP(tbl_Data[[#This Row],[Adjusted 2029]]/$L535,0)</f>
        <v>1</v>
      </c>
      <c r="BG535" s="77">
        <f>ROUNDUP(tbl_Data[[#This Row],[Adjusted 2030]]/$L535,0)</f>
        <v>1</v>
      </c>
      <c r="BH535" s="77">
        <f>ROUNDUP(tbl_Data[[#This Row],[Adjusted 2031]]/$L535,0)</f>
        <v>1</v>
      </c>
      <c r="BI535" s="77">
        <f>ROUNDUP(tbl_Data[[#This Row],[Adjusted 2032]]/$L535,0)</f>
        <v>1</v>
      </c>
      <c r="BJ535" s="77">
        <f>ROUNDUP(tbl_Data[[#This Row],[Adjusted 2033]]/$L535,0)</f>
        <v>1</v>
      </c>
      <c r="BK535" s="77">
        <f>ROUNDUP(tbl_Data[[#This Row],[Adjusted 2034]]/$L535,0)</f>
        <v>1</v>
      </c>
      <c r="BL535" s="80">
        <f t="shared" si="221"/>
        <v>4.8286970394337209E-3</v>
      </c>
      <c r="BM535" s="80">
        <f t="shared" si="222"/>
        <v>9.565251719776055E-3</v>
      </c>
      <c r="BN535" s="80">
        <f t="shared" si="223"/>
        <v>1.4170488757989158E-2</v>
      </c>
      <c r="BO535" s="80">
        <f t="shared" si="224"/>
        <v>1.86487659485602E-2</v>
      </c>
      <c r="BP535" s="80">
        <f t="shared" si="225"/>
        <v>2.3005543555345204E-2</v>
      </c>
      <c r="BQ535" s="80">
        <f t="shared" si="226"/>
        <v>2.7234015525169093E-2</v>
      </c>
      <c r="BR535" s="80">
        <f t="shared" si="227"/>
        <v>3.1336030284526938E-2</v>
      </c>
      <c r="BS535" s="80">
        <f t="shared" si="228"/>
        <v>3.5320196233410227E-2</v>
      </c>
      <c r="BT535" s="80">
        <f t="shared" si="229"/>
        <v>3.9188246197171962E-2</v>
      </c>
      <c r="BU535" s="80">
        <f t="shared" si="230"/>
        <v>4.2944140525149867E-2</v>
      </c>
      <c r="BV535" s="80" t="str">
        <f>IFERROR(VLOOKUP($H535,'1. Set Program Names'!$B$2:$D$15,3,0)*V535,"NA")</f>
        <v>NA</v>
      </c>
      <c r="BW535" s="80" t="str">
        <f>IFERROR(VLOOKUP($H535,'1. Set Program Names'!$B$2:$D$15,3,0)*W535,"NA")</f>
        <v>NA</v>
      </c>
      <c r="BX535" s="80" t="str">
        <f>IFERROR(VLOOKUP($H535,'1. Set Program Names'!$B$2:$D$15,3,0)*X535,"NA")</f>
        <v>NA</v>
      </c>
      <c r="BY535" s="80" t="str">
        <f>IFERROR(VLOOKUP($H535,'1. Set Program Names'!$B$2:$D$15,3,0)*Y535,"NA")</f>
        <v>NA</v>
      </c>
      <c r="BZ535" s="80" t="str">
        <f>IFERROR(VLOOKUP($H535,'1. Set Program Names'!$B$2:$D$15,3,0)*Z535,"NA")</f>
        <v>NA</v>
      </c>
      <c r="CA535" s="80" t="str">
        <f>IFERROR(VLOOKUP($H535,'1. Set Program Names'!$B$2:$D$15,3,0)*AA535,"NA")</f>
        <v>NA</v>
      </c>
      <c r="CB535" s="80" t="str">
        <f>IFERROR(VLOOKUP($H535,'1. Set Program Names'!$B$2:$D$15,3,0)*AB535,"NA")</f>
        <v>NA</v>
      </c>
      <c r="CC535" s="80" t="str">
        <f>IFERROR(VLOOKUP($H535,'1. Set Program Names'!$B$2:$D$15,3,0)*AC535,"NA")</f>
        <v>NA</v>
      </c>
      <c r="CD535" s="80" t="str">
        <f>IFERROR(VLOOKUP($H535,'1. Set Program Names'!$B$2:$D$15,3,0)*AD535,"NA")</f>
        <v>NA</v>
      </c>
      <c r="CE535" s="80" t="str">
        <f>IFERROR(VLOOKUP($H535,'1. Set Program Names'!$B$2:$D$15,3,0)*AE535,"NA")</f>
        <v>NA</v>
      </c>
    </row>
    <row r="536" spans="1:83" x14ac:dyDescent="0.25">
      <c r="A536" s="79" t="s">
        <v>115</v>
      </c>
      <c r="B536" s="79" t="s">
        <v>88</v>
      </c>
      <c r="C536" s="79" t="s">
        <v>122</v>
      </c>
      <c r="D536" s="79" t="s">
        <v>90</v>
      </c>
      <c r="E536" s="79" t="s">
        <v>91</v>
      </c>
      <c r="F536" s="79" t="s">
        <v>90</v>
      </c>
      <c r="G536" s="79" t="s">
        <v>92</v>
      </c>
      <c r="H536" s="79" t="s">
        <v>20</v>
      </c>
      <c r="I536" s="79" t="s">
        <v>241</v>
      </c>
      <c r="J536" s="79" t="s">
        <v>129</v>
      </c>
      <c r="K536" s="79" t="s">
        <v>102</v>
      </c>
      <c r="L536" s="79">
        <v>19185.113333333298</v>
      </c>
      <c r="M536" s="79">
        <v>4.6125790568704801</v>
      </c>
      <c r="N536" s="79">
        <v>0.25911922024205197</v>
      </c>
      <c r="O536" s="79">
        <f>11417.3/6341.92*tbl_Data[[#This Row],[kWh Savings]]</f>
        <v>34538.782334161617</v>
      </c>
      <c r="P536" s="79">
        <v>25197.386166847798</v>
      </c>
      <c r="Q536" s="79">
        <v>1151.1068</v>
      </c>
      <c r="R536" s="79">
        <v>12014.6297388403</v>
      </c>
      <c r="S536" s="79">
        <v>29575.538429105502</v>
      </c>
      <c r="T536" s="79">
        <v>30</v>
      </c>
      <c r="U536" s="79">
        <v>0.05</v>
      </c>
      <c r="V536" s="79">
        <f>tbl_Data_old[[#This Row],[2025 ]]*IFERROR(AVERAGEIFS('Participation Adjustment'!$C:$C,'Participation Adjustment'!$A:$A,$H536,'Participation Adjustment'!$B:$B,$I536),1)</f>
        <v>2.3157920587444501E-2</v>
      </c>
      <c r="W536" s="79">
        <f>tbl_Data_old[[#This Row],[2026 ]]*IFERROR(AVERAGEIFS('Participation Adjustment'!$C:$C,'Participation Adjustment'!$A:$A,$H536,'Participation Adjustment'!$B:$B,$I536),1)</f>
        <v>4.5858811063278201E-2</v>
      </c>
      <c r="X536" s="79">
        <f>tbl_Data_old[[#This Row],[2027 ]]*IFERROR(AVERAGEIFS('Participation Adjustment'!$C:$C,'Participation Adjustment'!$A:$A,$H536,'Participation Adjustment'!$B:$B,$I536),1)</f>
        <v>6.7915269304043901E-2</v>
      </c>
      <c r="Y536" s="79">
        <f>tbl_Data_old[[#This Row],[2028 ]]*IFERROR(AVERAGEIFS('Participation Adjustment'!$C:$C,'Participation Adjustment'!$A:$A,$H536,'Participation Adjustment'!$B:$B,$I536),1)</f>
        <v>8.9348898863578302E-2</v>
      </c>
      <c r="Z536" s="79">
        <f>tbl_Data_old[[#This Row],[2029 ]]*IFERROR(AVERAGEIFS('Participation Adjustment'!$C:$C,'Participation Adjustment'!$A:$A,$H536,'Participation Adjustment'!$B:$B,$I536),1)</f>
        <v>0.110186732371024</v>
      </c>
      <c r="AA536" s="79">
        <f>tbl_Data_old[[#This Row],[2030 ]]*IFERROR(AVERAGEIFS('Participation Adjustment'!$C:$C,'Participation Adjustment'!$A:$A,$H536,'Participation Adjustment'!$B:$B,$I536),1)</f>
        <v>0.13039726181865999</v>
      </c>
      <c r="AB536" s="79">
        <f>tbl_Data_old[[#This Row],[2031 ]]*IFERROR(AVERAGEIFS('Participation Adjustment'!$C:$C,'Participation Adjustment'!$A:$A,$H536,'Participation Adjustment'!$B:$B,$I536),1)</f>
        <v>0.14999047483854799</v>
      </c>
      <c r="AC536" s="79">
        <f>tbl_Data_old[[#This Row],[2032 ]]*IFERROR(AVERAGEIFS('Participation Adjustment'!$C:$C,'Participation Adjustment'!$A:$A,$H536,'Participation Adjustment'!$B:$B,$I536),1)</f>
        <v>0.16900866293991801</v>
      </c>
      <c r="AD536" s="79">
        <f>tbl_Data_old[[#This Row],[2033 ]]*IFERROR(AVERAGEIFS('Participation Adjustment'!$C:$C,'Participation Adjustment'!$A:$A,$H536,'Participation Adjustment'!$B:$B,$I536),1)</f>
        <v>0.187461263554525</v>
      </c>
      <c r="AE536" s="79">
        <f>tbl_Data_old[[#This Row],[2034 ]]*IFERROR(AVERAGEIFS('Participation Adjustment'!$C:$C,'Participation Adjustment'!$A:$A,$H536,'Participation Adjustment'!$B:$B,$I536),1)</f>
        <v>0.20536832001539601</v>
      </c>
      <c r="AF536" s="77" t="str">
        <f t="shared" si="220"/>
        <v>NonResidential</v>
      </c>
      <c r="AG536" s="77" t="str">
        <f>tbl_Data[[#This Row],[All_Meas_Name_Append]]</f>
        <v>Ceiling Insulation(R2 to R49)</v>
      </c>
      <c r="AH536" s="77">
        <f>AVERAGEIFS('3. Incentive Adjustment'!G:G,'3. Incentive Adjustment'!A:A,tbl_Data[[#This Row],[Trimmed Sector]],'3. Incentive Adjustment'!B:B,tbl_Data[[#This Row],[Trimmed Measure Name]])</f>
        <v>5.674595082038876E-2</v>
      </c>
      <c r="AI536" s="77">
        <f>$AH536*tbl_Data[[#This Row],[2025 ]]</f>
        <v>1.314118222757594E-3</v>
      </c>
      <c r="AJ536" s="77">
        <f>$AH536*tbl_Data[[#This Row],[2026 ]]</f>
        <v>2.6023018372782849E-3</v>
      </c>
      <c r="AK536" s="77">
        <f>$AH536*tbl_Data[[#This Row],[2027 ]]</f>
        <v>3.8539165318807337E-3</v>
      </c>
      <c r="AL536" s="77">
        <f>$AH536*tbl_Data[[#This Row],[2028 ]]</f>
        <v>5.070188220768504E-3</v>
      </c>
      <c r="AM536" s="77">
        <f>$AH536*tbl_Data[[#This Row],[2029 ]]</f>
        <v>6.2526508961854663E-3</v>
      </c>
      <c r="AN536" s="77">
        <f>$AH536*tbl_Data[[#This Row],[2030 ]]</f>
        <v>7.3995166062750363E-3</v>
      </c>
      <c r="AO536" s="77">
        <f>$AH536*tbl_Data[[#This Row],[2031 ]]</f>
        <v>8.5113521087150021E-3</v>
      </c>
      <c r="AP536" s="77">
        <f>$AH536*tbl_Data[[#This Row],[2032 ]]</f>
        <v>9.5905572754082478E-3</v>
      </c>
      <c r="AQ536" s="77">
        <f>$AH536*tbl_Data[[#This Row],[2033 ]]</f>
        <v>1.0637667642393012E-2</v>
      </c>
      <c r="AR536" s="77">
        <f>$AH536*tbl_Data[[#This Row],[2034 ]]</f>
        <v>1.1653820587659522E-2</v>
      </c>
      <c r="AS536" s="77">
        <f>SUM(tbl_Data[[#This Row],[Adjusted 2025]:[Adjusted 2034]])</f>
        <v>6.6886089929321407E-2</v>
      </c>
      <c r="AT536" s="80">
        <f>AVERAGEIFS('3. Incentive Adjustment'!F:F,'3. Incentive Adjustment'!A:A,tbl_Data[[#This Row],[Trimmed Sector]],'3. Incentive Adjustment'!B:B,tbl_Data[[#This Row],[Trimmed Measure Name]])</f>
        <v>4335.1908026959672</v>
      </c>
      <c r="AU536" s="80">
        <f>IFERROR(VLOOKUP(tbl_Data[[#This Row],[All_Meas_Name_Append]],'IRA Tax Credits'!$A$3:$D$46,4,0),0)</f>
        <v>500</v>
      </c>
      <c r="AV536" s="81">
        <f>tbl_Data[[#This Row],[Adj. per unit Incentive ($)]]/tbl_Data[[#This Row],[kWh Savings]]*tbl_Data[[#This Row],[Sum of Annuals]]</f>
        <v>1.5114008286106383E-2</v>
      </c>
      <c r="AW536" s="81" t="str">
        <f>IFERROR(VLOOKUP(tbl_Data[[#This Row],[Column1]],'1. Set Program Names'!$B$2:$D$15,3,0)*tbl_Data[[#This Row],[Sum of Annuals]],"")</f>
        <v/>
      </c>
      <c r="AX536" s="81">
        <f>tbl_Data[[#This Row],[per unit IRA tax ($)]]/tbl_Data[[#This Row],[kWh Savings]]*tbl_Data[[#This Row],[Sum of Annuals]]</f>
        <v>1.7431768258858742E-3</v>
      </c>
      <c r="AY536" s="81">
        <f>tbl_Data[[#This Row],[Avoided Costs ($/unit)]]/tbl_Data[[#This Row],[kWh Savings]]*tbl_Data[[#This Row],[Sum of Annuals]]</f>
        <v>4.1887248264691326E-2</v>
      </c>
      <c r="AZ536" s="81">
        <f>tbl_Data[[#This Row],[Lost Revenue ($/unit)]]/tbl_Data[[#This Row],[kWh Savings]]*tbl_Data[[#This Row],[Sum of Annuals]]</f>
        <v>0.10311078640542765</v>
      </c>
      <c r="BA536" s="81">
        <f>tbl_Data[[#This Row],[Incremental Cost ($/unit)]]/tbl_Data[[#This Row],[kWh Savings]]*tbl_Data[[#This Row],[Sum of Annuals]]</f>
        <v>0.1204144099184539</v>
      </c>
      <c r="BB536" s="77">
        <f>ROUNDUP(tbl_Data[[#This Row],[Adjusted 2025]]/$L536,0)</f>
        <v>1</v>
      </c>
      <c r="BC536" s="77">
        <f>ROUNDUP(tbl_Data[[#This Row],[Adjusted 2026]]/$L536,0)</f>
        <v>1</v>
      </c>
      <c r="BD536" s="77">
        <f>ROUNDUP(tbl_Data[[#This Row],[Adjusted 2027]]/$L536,0)</f>
        <v>1</v>
      </c>
      <c r="BE536" s="77">
        <f>ROUNDUP(tbl_Data[[#This Row],[Adjusted 2028]]/$L536,0)</f>
        <v>1</v>
      </c>
      <c r="BF536" s="77">
        <f>ROUNDUP(tbl_Data[[#This Row],[Adjusted 2029]]/$L536,0)</f>
        <v>1</v>
      </c>
      <c r="BG536" s="77">
        <f>ROUNDUP(tbl_Data[[#This Row],[Adjusted 2030]]/$L536,0)</f>
        <v>1</v>
      </c>
      <c r="BH536" s="77">
        <f>ROUNDUP(tbl_Data[[#This Row],[Adjusted 2031]]/$L536,0)</f>
        <v>1</v>
      </c>
      <c r="BI536" s="77">
        <f>ROUNDUP(tbl_Data[[#This Row],[Adjusted 2032]]/$L536,0)</f>
        <v>1</v>
      </c>
      <c r="BJ536" s="77">
        <f>ROUNDUP(tbl_Data[[#This Row],[Adjusted 2033]]/$L536,0)</f>
        <v>1</v>
      </c>
      <c r="BK536" s="77">
        <f>ROUNDUP(tbl_Data[[#This Row],[Adjusted 2034]]/$L536,0)</f>
        <v>1</v>
      </c>
      <c r="BL536" s="80">
        <f t="shared" si="221"/>
        <v>5.232911716284875E-3</v>
      </c>
      <c r="BM536" s="80">
        <f t="shared" si="222"/>
        <v>1.0362549988103419E-2</v>
      </c>
      <c r="BN536" s="80">
        <f t="shared" si="223"/>
        <v>1.5346568234129694E-2</v>
      </c>
      <c r="BO536" s="80">
        <f t="shared" si="224"/>
        <v>2.01898481314365E-2</v>
      </c>
      <c r="BP536" s="80">
        <f t="shared" si="225"/>
        <v>2.4898498145644841E-2</v>
      </c>
      <c r="BQ536" s="80">
        <f t="shared" si="226"/>
        <v>2.9465398525992226E-2</v>
      </c>
      <c r="BR536" s="80">
        <f t="shared" si="227"/>
        <v>3.3892806141640829E-2</v>
      </c>
      <c r="BS536" s="80">
        <f t="shared" si="228"/>
        <v>3.8190277452261251E-2</v>
      </c>
      <c r="BT536" s="80">
        <f t="shared" si="229"/>
        <v>4.2359945000238534E-2</v>
      </c>
      <c r="BU536" s="80">
        <f t="shared" si="230"/>
        <v>4.6406337905181443E-2</v>
      </c>
      <c r="BV536" s="80" t="str">
        <f>IFERROR(VLOOKUP($H536,'1. Set Program Names'!$B$2:$D$15,3,0)*V536,"NA")</f>
        <v>NA</v>
      </c>
      <c r="BW536" s="80" t="str">
        <f>IFERROR(VLOOKUP($H536,'1. Set Program Names'!$B$2:$D$15,3,0)*W536,"NA")</f>
        <v>NA</v>
      </c>
      <c r="BX536" s="80" t="str">
        <f>IFERROR(VLOOKUP($H536,'1. Set Program Names'!$B$2:$D$15,3,0)*X536,"NA")</f>
        <v>NA</v>
      </c>
      <c r="BY536" s="80" t="str">
        <f>IFERROR(VLOOKUP($H536,'1. Set Program Names'!$B$2:$D$15,3,0)*Y536,"NA")</f>
        <v>NA</v>
      </c>
      <c r="BZ536" s="80" t="str">
        <f>IFERROR(VLOOKUP($H536,'1. Set Program Names'!$B$2:$D$15,3,0)*Z536,"NA")</f>
        <v>NA</v>
      </c>
      <c r="CA536" s="80" t="str">
        <f>IFERROR(VLOOKUP($H536,'1. Set Program Names'!$B$2:$D$15,3,0)*AA536,"NA")</f>
        <v>NA</v>
      </c>
      <c r="CB536" s="80" t="str">
        <f>IFERROR(VLOOKUP($H536,'1. Set Program Names'!$B$2:$D$15,3,0)*AB536,"NA")</f>
        <v>NA</v>
      </c>
      <c r="CC536" s="80" t="str">
        <f>IFERROR(VLOOKUP($H536,'1. Set Program Names'!$B$2:$D$15,3,0)*AC536,"NA")</f>
        <v>NA</v>
      </c>
      <c r="CD536" s="80" t="str">
        <f>IFERROR(VLOOKUP($H536,'1. Set Program Names'!$B$2:$D$15,3,0)*AD536,"NA")</f>
        <v>NA</v>
      </c>
      <c r="CE536" s="80" t="str">
        <f>IFERROR(VLOOKUP($H536,'1. Set Program Names'!$B$2:$D$15,3,0)*AE536,"NA")</f>
        <v>NA</v>
      </c>
    </row>
    <row r="537" spans="1:83" x14ac:dyDescent="0.25">
      <c r="A537" s="79" t="s">
        <v>115</v>
      </c>
      <c r="B537" s="79" t="s">
        <v>88</v>
      </c>
      <c r="C537" s="79" t="s">
        <v>122</v>
      </c>
      <c r="D537" s="79" t="s">
        <v>90</v>
      </c>
      <c r="E537" s="79" t="s">
        <v>91</v>
      </c>
      <c r="F537" s="79" t="s">
        <v>90</v>
      </c>
      <c r="G537" s="79" t="s">
        <v>92</v>
      </c>
      <c r="H537" s="79" t="s">
        <v>20</v>
      </c>
      <c r="I537" s="79" t="s">
        <v>128</v>
      </c>
      <c r="J537" s="79" t="s">
        <v>129</v>
      </c>
      <c r="K537" s="79" t="s">
        <v>130</v>
      </c>
      <c r="L537" s="79">
        <v>2045.1799999999989</v>
      </c>
      <c r="M537" s="79">
        <v>0.47104509500000002</v>
      </c>
      <c r="N537" s="79">
        <v>0.17900382200000001</v>
      </c>
      <c r="O537" s="79">
        <f>19591.5999999999/60160.456*2045.18</f>
        <v>666.02468053100858</v>
      </c>
      <c r="P537" s="79">
        <f>11310.7385995848/60160.456*2045.18</f>
        <v>384.51331501042552</v>
      </c>
      <c r="Q537" s="79">
        <f>2141.69388188172/60160.456*2045.18</f>
        <v>72.807784125619918</v>
      </c>
      <c r="R537" s="79">
        <f>32581.871747558/60160.456*2045.18</f>
        <v>1107.6344311730397</v>
      </c>
      <c r="S537" s="79">
        <f>77209.8271220691/60160.456*2045.18</f>
        <v>2624.780540784353</v>
      </c>
      <c r="T537" s="79">
        <v>20</v>
      </c>
      <c r="U537" s="79">
        <v>4.9999999999999899E-2</v>
      </c>
      <c r="V537" s="79">
        <f>tbl_Data_old[[#This Row],[2025 ]]*IFERROR(AVERAGEIFS('Participation Adjustment'!$C:$C,'Participation Adjustment'!$A:$A,$H537,'Participation Adjustment'!$B:$B,$I537),1)</f>
        <v>0.58186735771724196</v>
      </c>
      <c r="W537" s="79">
        <f>tbl_Data_old[[#This Row],[2026 ]]*IFERROR(AVERAGEIFS('Participation Adjustment'!$C:$C,'Participation Adjustment'!$A:$A,$H537,'Participation Adjustment'!$B:$B,$I537),1)</f>
        <v>1.1570939827198801</v>
      </c>
      <c r="X537" s="79">
        <f>tbl_Data_old[[#This Row],[2027 ]]*IFERROR(AVERAGEIFS('Participation Adjustment'!$C:$C,'Participation Adjustment'!$A:$A,$H537,'Participation Adjustment'!$B:$B,$I537),1)</f>
        <v>1.7231638856803899</v>
      </c>
      <c r="Y537" s="79">
        <f>tbl_Data_old[[#This Row],[2028 ]]*IFERROR(AVERAGEIFS('Participation Adjustment'!$C:$C,'Participation Adjustment'!$A:$A,$H537,'Participation Adjustment'!$B:$B,$I537),1)</f>
        <v>2.2807345715155001</v>
      </c>
      <c r="Z537" s="79">
        <f>tbl_Data_old[[#This Row],[2029 ]]*IFERROR(AVERAGEIFS('Participation Adjustment'!$C:$C,'Participation Adjustment'!$A:$A,$H537,'Participation Adjustment'!$B:$B,$I537),1)</f>
        <v>2.82957703632766</v>
      </c>
      <c r="AA537" s="79">
        <f>tbl_Data_old[[#This Row],[2030 ]]*IFERROR(AVERAGEIFS('Participation Adjustment'!$C:$C,'Participation Adjustment'!$A:$A,$H537,'Participation Adjustment'!$B:$B,$I537),1)</f>
        <v>3.3690780506545202</v>
      </c>
      <c r="AB537" s="79">
        <f>tbl_Data_old[[#This Row],[2031 ]]*IFERROR(AVERAGEIFS('Participation Adjustment'!$C:$C,'Participation Adjustment'!$A:$A,$H537,'Participation Adjustment'!$B:$B,$I537),1)</f>
        <v>3.8985601218173498</v>
      </c>
      <c r="AC537" s="79">
        <f>tbl_Data_old[[#This Row],[2032 ]]*IFERROR(AVERAGEIFS('Participation Adjustment'!$C:$C,'Participation Adjustment'!$A:$A,$H537,'Participation Adjustment'!$B:$B,$I537),1)</f>
        <v>4.4184522438648504</v>
      </c>
      <c r="AD537" s="79">
        <f>tbl_Data_old[[#This Row],[2033 ]]*IFERROR(AVERAGEIFS('Participation Adjustment'!$C:$C,'Participation Adjustment'!$A:$A,$H537,'Participation Adjustment'!$B:$B,$I537),1)</f>
        <v>4.9299272920046704</v>
      </c>
      <c r="AE537" s="79">
        <f>tbl_Data_old[[#This Row],[2034 ]]*IFERROR(AVERAGEIFS('Participation Adjustment'!$C:$C,'Participation Adjustment'!$A:$A,$H537,'Participation Adjustment'!$B:$B,$I537),1)</f>
        <v>5.4328099868994801</v>
      </c>
      <c r="AF537" s="77" t="str">
        <f t="shared" si="220"/>
        <v>NonResidential</v>
      </c>
      <c r="AG537" s="77" t="str">
        <f>tbl_Data[[#This Row],[All_Meas_Name_Append]]</f>
        <v>Commercial Duct Sealing</v>
      </c>
      <c r="AH537" s="77">
        <f>AVERAGEIFS('3. Incentive Adjustment'!G:G,'3. Incentive Adjustment'!A:A,tbl_Data[[#This Row],[Trimmed Sector]],'3. Incentive Adjustment'!B:B,tbl_Data[[#This Row],[Trimmed Measure Name]])</f>
        <v>0.69277112909915817</v>
      </c>
      <c r="AI537" s="77">
        <f>$AH537*tbl_Data[[#This Row],[2025 ]]</f>
        <v>0.40310090639171747</v>
      </c>
      <c r="AJ537" s="77">
        <f>$AH537*tbl_Data[[#This Row],[2026 ]]</f>
        <v>0.8016013048826931</v>
      </c>
      <c r="AK537" s="77">
        <f>$AH537*tbl_Data[[#This Row],[2027 ]]</f>
        <v>1.1937581907056964</v>
      </c>
      <c r="AL537" s="77">
        <f>$AH537*tbl_Data[[#This Row],[2028 ]]</f>
        <v>1.5800270642842777</v>
      </c>
      <c r="AM537" s="77">
        <f>$AH537*tbl_Data[[#This Row],[2029 ]]</f>
        <v>1.9602492783297627</v>
      </c>
      <c r="AN537" s="77">
        <f>$AH537*tbl_Data[[#This Row],[2030 ]]</f>
        <v>2.3340000051751226</v>
      </c>
      <c r="AO537" s="77">
        <f>$AH537*tbl_Data[[#This Row],[2031 ]]</f>
        <v>2.7008098974523569</v>
      </c>
      <c r="AP537" s="77">
        <f>$AH537*tbl_Data[[#This Row],[2032 ]]</f>
        <v>3.0609761498529613</v>
      </c>
      <c r="AQ537" s="77">
        <f>$AH537*tbl_Data[[#This Row],[2033 ]]</f>
        <v>3.4153112964588308</v>
      </c>
      <c r="AR537" s="77">
        <f>$AH537*tbl_Data[[#This Row],[2034 ]]</f>
        <v>3.7636939088055357</v>
      </c>
      <c r="AS537" s="77">
        <f>SUM(tbl_Data[[#This Row],[Adjusted 2025]:[Adjusted 2034]])</f>
        <v>21.213528002338958</v>
      </c>
      <c r="AT537" s="80">
        <f>AVERAGEIFS('3. Incentive Adjustment'!F:F,'3. Incentive Adjustment'!A:A,tbl_Data[[#This Row],[Trimmed Sector]],'3. Incentive Adjustment'!B:B,tbl_Data[[#This Row],[Trimmed Measure Name]])</f>
        <v>100</v>
      </c>
      <c r="AU537" s="80">
        <f>IFERROR(VLOOKUP(tbl_Data[[#This Row],[All_Meas_Name_Append]],'IRA Tax Credits'!$A$3:$D$46,4,0),0)</f>
        <v>0</v>
      </c>
      <c r="AV537" s="81">
        <f>tbl_Data[[#This Row],[Adj. per unit Incentive ($)]]/tbl_Data[[#This Row],[kWh Savings]]*tbl_Data[[#This Row],[Sum of Annuals]]</f>
        <v>1.0372450347812403</v>
      </c>
      <c r="AW537" s="81" t="str">
        <f>IFERROR(VLOOKUP(tbl_Data[[#This Row],[Column1]],'1. Set Program Names'!$B$2:$D$15,3,0)*tbl_Data[[#This Row],[Sum of Annuals]],"")</f>
        <v/>
      </c>
      <c r="AX537" s="81">
        <f>tbl_Data[[#This Row],[per unit IRA tax ($)]]/tbl_Data[[#This Row],[kWh Savings]]*tbl_Data[[#This Row],[Sum of Annuals]]</f>
        <v>0</v>
      </c>
      <c r="AY537" s="81">
        <f>tbl_Data[[#This Row],[Avoided Costs ($/unit)]]/tbl_Data[[#This Row],[kWh Savings]]*tbl_Data[[#This Row],[Sum of Annuals]]</f>
        <v>11.488883140869788</v>
      </c>
      <c r="AZ537" s="81">
        <f>tbl_Data[[#This Row],[Lost Revenue ($/unit)]]/tbl_Data[[#This Row],[kWh Savings]]*tbl_Data[[#This Row],[Sum of Annuals]]</f>
        <v>27.225405833189889</v>
      </c>
      <c r="BA537" s="81">
        <f>tbl_Data[[#This Row],[Incremental Cost ($/unit)]]/tbl_Data[[#This Row],[kWh Savings]]*tbl_Data[[#This Row],[Sum of Annuals]]</f>
        <v>6.9083079292255043</v>
      </c>
      <c r="BB537" s="77">
        <f>ROUNDUP(tbl_Data[[#This Row],[Adjusted 2025]]/$L537,0)</f>
        <v>1</v>
      </c>
      <c r="BC537" s="77">
        <f>ROUNDUP(tbl_Data[[#This Row],[Adjusted 2026]]/$L537,0)</f>
        <v>1</v>
      </c>
      <c r="BD537" s="77">
        <f>ROUNDUP(tbl_Data[[#This Row],[Adjusted 2027]]/$L537,0)</f>
        <v>1</v>
      </c>
      <c r="BE537" s="77">
        <f>ROUNDUP(tbl_Data[[#This Row],[Adjusted 2028]]/$L537,0)</f>
        <v>1</v>
      </c>
      <c r="BF537" s="77">
        <f>ROUNDUP(tbl_Data[[#This Row],[Adjusted 2029]]/$L537,0)</f>
        <v>1</v>
      </c>
      <c r="BG537" s="77">
        <f>ROUNDUP(tbl_Data[[#This Row],[Adjusted 2030]]/$L537,0)</f>
        <v>1</v>
      </c>
      <c r="BH537" s="77">
        <f>ROUNDUP(tbl_Data[[#This Row],[Adjusted 2031]]/$L537,0)</f>
        <v>1</v>
      </c>
      <c r="BI537" s="77">
        <f>ROUNDUP(tbl_Data[[#This Row],[Adjusted 2032]]/$L537,0)</f>
        <v>1</v>
      </c>
      <c r="BJ537" s="77">
        <f>ROUNDUP(tbl_Data[[#This Row],[Adjusted 2033]]/$L537,0)</f>
        <v>1</v>
      </c>
      <c r="BK537" s="77">
        <f>ROUNDUP(tbl_Data[[#This Row],[Adjusted 2034]]/$L537,0)</f>
        <v>1</v>
      </c>
      <c r="BL537" s="80">
        <f t="shared" si="221"/>
        <v>2.8450667311299849E-2</v>
      </c>
      <c r="BM537" s="80">
        <f t="shared" si="222"/>
        <v>5.6576632996600824E-2</v>
      </c>
      <c r="BN537" s="80">
        <f t="shared" si="223"/>
        <v>8.425487662114782E-2</v>
      </c>
      <c r="BO537" s="80">
        <f t="shared" si="224"/>
        <v>0.11151754718486888</v>
      </c>
      <c r="BP537" s="80">
        <f t="shared" si="225"/>
        <v>0.13835344743874189</v>
      </c>
      <c r="BQ537" s="80">
        <f t="shared" si="226"/>
        <v>0.16473259325118189</v>
      </c>
      <c r="BR537" s="80">
        <f t="shared" si="227"/>
        <v>0.19062185831160836</v>
      </c>
      <c r="BS537" s="80">
        <f t="shared" si="228"/>
        <v>0.21604221847782851</v>
      </c>
      <c r="BT537" s="80">
        <f t="shared" si="229"/>
        <v>0.24105102201296086</v>
      </c>
      <c r="BU537" s="80">
        <f t="shared" si="230"/>
        <v>0.26563969855462516</v>
      </c>
      <c r="BV537" s="80" t="str">
        <f>IFERROR(VLOOKUP($H537,'1. Set Program Names'!$B$2:$D$15,3,0)*V537,"NA")</f>
        <v>NA</v>
      </c>
      <c r="BW537" s="80" t="str">
        <f>IFERROR(VLOOKUP($H537,'1. Set Program Names'!$B$2:$D$15,3,0)*W537,"NA")</f>
        <v>NA</v>
      </c>
      <c r="BX537" s="80" t="str">
        <f>IFERROR(VLOOKUP($H537,'1. Set Program Names'!$B$2:$D$15,3,0)*X537,"NA")</f>
        <v>NA</v>
      </c>
      <c r="BY537" s="80" t="str">
        <f>IFERROR(VLOOKUP($H537,'1. Set Program Names'!$B$2:$D$15,3,0)*Y537,"NA")</f>
        <v>NA</v>
      </c>
      <c r="BZ537" s="80" t="str">
        <f>IFERROR(VLOOKUP($H537,'1. Set Program Names'!$B$2:$D$15,3,0)*Z537,"NA")</f>
        <v>NA</v>
      </c>
      <c r="CA537" s="80" t="str">
        <f>IFERROR(VLOOKUP($H537,'1. Set Program Names'!$B$2:$D$15,3,0)*AA537,"NA")</f>
        <v>NA</v>
      </c>
      <c r="CB537" s="80" t="str">
        <f>IFERROR(VLOOKUP($H537,'1. Set Program Names'!$B$2:$D$15,3,0)*AB537,"NA")</f>
        <v>NA</v>
      </c>
      <c r="CC537" s="80" t="str">
        <f>IFERROR(VLOOKUP($H537,'1. Set Program Names'!$B$2:$D$15,3,0)*AC537,"NA")</f>
        <v>NA</v>
      </c>
      <c r="CD537" s="80" t="str">
        <f>IFERROR(VLOOKUP($H537,'1. Set Program Names'!$B$2:$D$15,3,0)*AD537,"NA")</f>
        <v>NA</v>
      </c>
      <c r="CE537" s="80" t="str">
        <f>IFERROR(VLOOKUP($H537,'1. Set Program Names'!$B$2:$D$15,3,0)*AE537,"NA")</f>
        <v>NA</v>
      </c>
    </row>
    <row r="538" spans="1:83" x14ac:dyDescent="0.25">
      <c r="A538" s="79" t="s">
        <v>115</v>
      </c>
      <c r="B538" s="79" t="s">
        <v>88</v>
      </c>
      <c r="C538" s="79" t="s">
        <v>122</v>
      </c>
      <c r="D538" s="79" t="s">
        <v>90</v>
      </c>
      <c r="E538" s="79" t="s">
        <v>91</v>
      </c>
      <c r="F538" s="79" t="s">
        <v>90</v>
      </c>
      <c r="G538" s="79" t="s">
        <v>92</v>
      </c>
      <c r="H538" s="79" t="s">
        <v>20</v>
      </c>
      <c r="I538" s="79" t="s">
        <v>303</v>
      </c>
      <c r="J538" s="79" t="s">
        <v>129</v>
      </c>
      <c r="K538" s="79" t="s">
        <v>298</v>
      </c>
      <c r="L538" s="79">
        <v>2407.8671428571402</v>
      </c>
      <c r="M538" s="79">
        <v>0.43509988390469401</v>
      </c>
      <c r="N538" s="79">
        <v>0.148929049658067</v>
      </c>
      <c r="O538" s="79">
        <v>1278.9912095238201</v>
      </c>
      <c r="P538" s="79">
        <v>9094.9443435978392</v>
      </c>
      <c r="Q538" s="79">
        <v>144.47202857142801</v>
      </c>
      <c r="R538" s="79">
        <v>1364.7105452988201</v>
      </c>
      <c r="S538" s="79">
        <v>3090.2526043504499</v>
      </c>
      <c r="T538" s="79">
        <v>20</v>
      </c>
      <c r="U538" s="79">
        <v>4.9999999999999899E-2</v>
      </c>
      <c r="V538" s="79">
        <f>tbl_Data_old[[#This Row],[2025 ]]*IFERROR(AVERAGEIFS('Participation Adjustment'!$C:$C,'Participation Adjustment'!$A:$A,$H538,'Participation Adjustment'!$B:$B,$I538),1)</f>
        <v>0.12254273037515501</v>
      </c>
      <c r="W538" s="79">
        <f>tbl_Data_old[[#This Row],[2026 ]]*IFERROR(AVERAGEIFS('Participation Adjustment'!$C:$C,'Participation Adjustment'!$A:$A,$H538,'Participation Adjustment'!$B:$B,$I538),1)</f>
        <v>0.23912509103399099</v>
      </c>
      <c r="X538" s="79">
        <f>tbl_Data_old[[#This Row],[2027 ]]*IFERROR(AVERAGEIFS('Participation Adjustment'!$C:$C,'Participation Adjustment'!$A:$A,$H538,'Participation Adjustment'!$B:$B,$I538),1)</f>
        <v>0.348845271156839</v>
      </c>
      <c r="Y538" s="79">
        <f>tbl_Data_old[[#This Row],[2028 ]]*IFERROR(AVERAGEIFS('Participation Adjustment'!$C:$C,'Participation Adjustment'!$A:$A,$H538,'Participation Adjustment'!$B:$B,$I538),1)</f>
        <v>0.45182031691435398</v>
      </c>
      <c r="Z538" s="79">
        <f>tbl_Data_old[[#This Row],[2029 ]]*IFERROR(AVERAGEIFS('Participation Adjustment'!$C:$C,'Participation Adjustment'!$A:$A,$H538,'Participation Adjustment'!$B:$B,$I538),1)</f>
        <v>0.54817440767313697</v>
      </c>
      <c r="AA538" s="79">
        <f>tbl_Data_old[[#This Row],[2030 ]]*IFERROR(AVERAGEIFS('Participation Adjustment'!$C:$C,'Participation Adjustment'!$A:$A,$H538,'Participation Adjustment'!$B:$B,$I538),1)</f>
        <v>0.63796617033227898</v>
      </c>
      <c r="AB538" s="79">
        <f>tbl_Data_old[[#This Row],[2031 ]]*IFERROR(AVERAGEIFS('Participation Adjustment'!$C:$C,'Participation Adjustment'!$A:$A,$H538,'Participation Adjustment'!$B:$B,$I538),1)</f>
        <v>0.72139263148095401</v>
      </c>
      <c r="AC538" s="79">
        <f>tbl_Data_old[[#This Row],[2032 ]]*IFERROR(AVERAGEIFS('Participation Adjustment'!$C:$C,'Participation Adjustment'!$A:$A,$H538,'Participation Adjustment'!$B:$B,$I538),1)</f>
        <v>0.79885214909468705</v>
      </c>
      <c r="AD538" s="79">
        <f>tbl_Data_old[[#This Row],[2033 ]]*IFERROR(AVERAGEIFS('Participation Adjustment'!$C:$C,'Participation Adjustment'!$A:$A,$H538,'Participation Adjustment'!$B:$B,$I538),1)</f>
        <v>0.87080622489667303</v>
      </c>
      <c r="AE538" s="79">
        <f>tbl_Data_old[[#This Row],[2034 ]]*IFERROR(AVERAGEIFS('Participation Adjustment'!$C:$C,'Participation Adjustment'!$A:$A,$H538,'Participation Adjustment'!$B:$B,$I538),1)</f>
        <v>0.93759474769259699</v>
      </c>
      <c r="AF538" s="77" t="str">
        <f t="shared" si="220"/>
        <v>NonResidential</v>
      </c>
      <c r="AG538" s="77" t="str">
        <f>tbl_Data[[#This Row],[All_Meas_Name_Append]]</f>
        <v>Energy Star windows</v>
      </c>
      <c r="AH538" s="77">
        <f>AVERAGEIFS('3. Incentive Adjustment'!G:G,'3. Incentive Adjustment'!A:A,tbl_Data[[#This Row],[Trimmed Sector]],'3. Incentive Adjustment'!B:B,tbl_Data[[#This Row],[Trimmed Measure Name]])</f>
        <v>1.8374525511831319E-4</v>
      </c>
      <c r="AI538" s="77">
        <f>$AH538*tbl_Data[[#This Row],[2025 ]]</f>
        <v>2.2516645255677522E-5</v>
      </c>
      <c r="AJ538" s="77">
        <f>$AH538*tbl_Data[[#This Row],[2026 ]]</f>
        <v>4.3938100857230538E-5</v>
      </c>
      <c r="AK538" s="77">
        <f>$AH538*tbl_Data[[#This Row],[2027 ]]</f>
        <v>6.4098663345530518E-5</v>
      </c>
      <c r="AL538" s="77">
        <f>$AH538*tbl_Data[[#This Row],[2028 ]]</f>
        <v>8.3019839399065093E-5</v>
      </c>
      <c r="AM538" s="77">
        <f>$AH538*tbl_Data[[#This Row],[2029 ]]</f>
        <v>1.0072444638723077E-4</v>
      </c>
      <c r="AN538" s="77">
        <f>$AH538*tbl_Data[[#This Row],[2030 ]]</f>
        <v>1.1722325672455784E-4</v>
      </c>
      <c r="AO538" s="77">
        <f>$AH538*tbl_Data[[#This Row],[2031 ]]</f>
        <v>1.3255247311193919E-4</v>
      </c>
      <c r="AP538" s="77">
        <f>$AH538*tbl_Data[[#This Row],[2032 ]]</f>
        <v>1.4678529193721604E-4</v>
      </c>
      <c r="AQ538" s="77">
        <f>$AH538*tbl_Data[[#This Row],[2033 ]]</f>
        <v>1.6000651195225441E-4</v>
      </c>
      <c r="AR538" s="77">
        <f>$AH538*tbl_Data[[#This Row],[2034 ]]</f>
        <v>1.7227858611236672E-4</v>
      </c>
      <c r="AS538" s="77">
        <f>SUM(tbl_Data[[#This Row],[Adjusted 2025]:[Adjusted 2034]])</f>
        <v>1.0431438150830686E-3</v>
      </c>
      <c r="AT538" s="80">
        <f>AVERAGEIFS('3. Incentive Adjustment'!F:F,'3. Incentive Adjustment'!A:A,tbl_Data[[#This Row],[Trimmed Sector]],'3. Incentive Adjustment'!B:B,tbl_Data[[#This Row],[Trimmed Measure Name]])</f>
        <v>1244.9532966663394</v>
      </c>
      <c r="AU538" s="80">
        <f>IFERROR(VLOOKUP(tbl_Data[[#This Row],[All_Meas_Name_Append]],'IRA Tax Credits'!$A$3:$D$46,4,0),0)</f>
        <v>250</v>
      </c>
      <c r="AV538" s="81">
        <f>tbl_Data[[#This Row],[Adj. per unit Incentive ($)]]/tbl_Data[[#This Row],[kWh Savings]]*tbl_Data[[#This Row],[Sum of Annuals]]</f>
        <v>5.3934260257556871E-4</v>
      </c>
      <c r="AW538" s="81" t="str">
        <f>IFERROR(VLOOKUP(tbl_Data[[#This Row],[Column1]],'1. Set Program Names'!$B$2:$D$15,3,0)*tbl_Data[[#This Row],[Sum of Annuals]],"")</f>
        <v/>
      </c>
      <c r="AX538" s="81">
        <f>tbl_Data[[#This Row],[per unit IRA tax ($)]]/tbl_Data[[#This Row],[kWh Savings]]*tbl_Data[[#This Row],[Sum of Annuals]]</f>
        <v>1.0830579026935943E-4</v>
      </c>
      <c r="AY538" s="81">
        <f>tbl_Data[[#This Row],[Avoided Costs ($/unit)]]/tbl_Data[[#This Row],[kWh Savings]]*tbl_Data[[#This Row],[Sum of Annuals]]</f>
        <v>5.9122421639006852E-4</v>
      </c>
      <c r="AZ538" s="81">
        <f>tbl_Data[[#This Row],[Lost Revenue ($/unit)]]/tbl_Data[[#This Row],[kWh Savings]]*tbl_Data[[#This Row],[Sum of Annuals]]</f>
        <v>1.3387690017844865E-3</v>
      </c>
      <c r="BA538" s="81">
        <f>tbl_Data[[#This Row],[Incremental Cost ($/unit)]]/tbl_Data[[#This Row],[kWh Savings]]*tbl_Data[[#This Row],[Sum of Annuals]]</f>
        <v>5.5408861478016482E-4</v>
      </c>
      <c r="BB538" s="77">
        <f>ROUNDUP(tbl_Data[[#This Row],[Adjusted 2025]]/$L538,0)</f>
        <v>1</v>
      </c>
      <c r="BC538" s="77">
        <f>ROUNDUP(tbl_Data[[#This Row],[Adjusted 2026]]/$L538,0)</f>
        <v>1</v>
      </c>
      <c r="BD538" s="77">
        <f>ROUNDUP(tbl_Data[[#This Row],[Adjusted 2027]]/$L538,0)</f>
        <v>1</v>
      </c>
      <c r="BE538" s="77">
        <f>ROUNDUP(tbl_Data[[#This Row],[Adjusted 2028]]/$L538,0)</f>
        <v>1</v>
      </c>
      <c r="BF538" s="77">
        <f>ROUNDUP(tbl_Data[[#This Row],[Adjusted 2029]]/$L538,0)</f>
        <v>1</v>
      </c>
      <c r="BG538" s="77">
        <f>ROUNDUP(tbl_Data[[#This Row],[Adjusted 2030]]/$L538,0)</f>
        <v>1</v>
      </c>
      <c r="BH538" s="77">
        <f>ROUNDUP(tbl_Data[[#This Row],[Adjusted 2031]]/$L538,0)</f>
        <v>1</v>
      </c>
      <c r="BI538" s="77">
        <f>ROUNDUP(tbl_Data[[#This Row],[Adjusted 2032]]/$L538,0)</f>
        <v>1</v>
      </c>
      <c r="BJ538" s="77">
        <f>ROUNDUP(tbl_Data[[#This Row],[Adjusted 2033]]/$L538,0)</f>
        <v>1</v>
      </c>
      <c r="BK538" s="77">
        <f>ROUNDUP(tbl_Data[[#This Row],[Adjusted 2034]]/$L538,0)</f>
        <v>1</v>
      </c>
      <c r="BL538" s="80">
        <f t="shared" si="221"/>
        <v>6.3358967547527623E-2</v>
      </c>
      <c r="BM538" s="80">
        <f t="shared" si="222"/>
        <v>0.12363621110970417</v>
      </c>
      <c r="BN538" s="80">
        <f t="shared" si="223"/>
        <v>0.18036546228951836</v>
      </c>
      <c r="BO538" s="80">
        <f t="shared" si="224"/>
        <v>0.23360723813686274</v>
      </c>
      <c r="BP538" s="80">
        <f t="shared" si="225"/>
        <v>0.28342574381865715</v>
      </c>
      <c r="BQ538" s="80">
        <f t="shared" si="226"/>
        <v>0.32985129153527082</v>
      </c>
      <c r="BR538" s="80">
        <f t="shared" si="227"/>
        <v>0.37298575106903398</v>
      </c>
      <c r="BS538" s="80">
        <f t="shared" si="228"/>
        <v>0.41303508771847003</v>
      </c>
      <c r="BT538" s="80">
        <f t="shared" si="229"/>
        <v>0.45023791435448141</v>
      </c>
      <c r="BU538" s="80">
        <f t="shared" si="230"/>
        <v>0.48476996562687741</v>
      </c>
      <c r="BV538" s="80" t="str">
        <f>IFERROR(VLOOKUP($H538,'1. Set Program Names'!$B$2:$D$15,3,0)*V538,"NA")</f>
        <v>NA</v>
      </c>
      <c r="BW538" s="80" t="str">
        <f>IFERROR(VLOOKUP($H538,'1. Set Program Names'!$B$2:$D$15,3,0)*W538,"NA")</f>
        <v>NA</v>
      </c>
      <c r="BX538" s="80" t="str">
        <f>IFERROR(VLOOKUP($H538,'1. Set Program Names'!$B$2:$D$15,3,0)*X538,"NA")</f>
        <v>NA</v>
      </c>
      <c r="BY538" s="80" t="str">
        <f>IFERROR(VLOOKUP($H538,'1. Set Program Names'!$B$2:$D$15,3,0)*Y538,"NA")</f>
        <v>NA</v>
      </c>
      <c r="BZ538" s="80" t="str">
        <f>IFERROR(VLOOKUP($H538,'1. Set Program Names'!$B$2:$D$15,3,0)*Z538,"NA")</f>
        <v>NA</v>
      </c>
      <c r="CA538" s="80" t="str">
        <f>IFERROR(VLOOKUP($H538,'1. Set Program Names'!$B$2:$D$15,3,0)*AA538,"NA")</f>
        <v>NA</v>
      </c>
      <c r="CB538" s="80" t="str">
        <f>IFERROR(VLOOKUP($H538,'1. Set Program Names'!$B$2:$D$15,3,0)*AB538,"NA")</f>
        <v>NA</v>
      </c>
      <c r="CC538" s="80" t="str">
        <f>IFERROR(VLOOKUP($H538,'1. Set Program Names'!$B$2:$D$15,3,0)*AC538,"NA")</f>
        <v>NA</v>
      </c>
      <c r="CD538" s="80" t="str">
        <f>IFERROR(VLOOKUP($H538,'1. Set Program Names'!$B$2:$D$15,3,0)*AD538,"NA")</f>
        <v>NA</v>
      </c>
      <c r="CE538" s="80" t="str">
        <f>IFERROR(VLOOKUP($H538,'1. Set Program Names'!$B$2:$D$15,3,0)*AE538,"NA")</f>
        <v>NA</v>
      </c>
    </row>
    <row r="539" spans="1:83" x14ac:dyDescent="0.25">
      <c r="A539" s="79" t="s">
        <v>115</v>
      </c>
      <c r="B539" s="79" t="s">
        <v>88</v>
      </c>
      <c r="C539" s="79" t="s">
        <v>122</v>
      </c>
      <c r="D539" s="79" t="s">
        <v>90</v>
      </c>
      <c r="E539" s="79" t="s">
        <v>91</v>
      </c>
      <c r="F539" s="79" t="s">
        <v>90</v>
      </c>
      <c r="G539" s="79" t="s">
        <v>92</v>
      </c>
      <c r="H539" s="79" t="s">
        <v>20</v>
      </c>
      <c r="I539" s="79" t="s">
        <v>143</v>
      </c>
      <c r="J539" s="79" t="s">
        <v>144</v>
      </c>
      <c r="K539" s="79" t="s">
        <v>108</v>
      </c>
      <c r="L539" s="79">
        <v>6670.6049999999896</v>
      </c>
      <c r="M539" s="79">
        <v>1.04667148638823</v>
      </c>
      <c r="N539" s="79">
        <v>1.5598507965563999</v>
      </c>
      <c r="O539" s="79">
        <v>2431.625</v>
      </c>
      <c r="P539" s="79">
        <v>977.24379425036398</v>
      </c>
      <c r="Q539" s="79">
        <v>400.23629999999901</v>
      </c>
      <c r="R539" s="79">
        <v>3400.8076679878</v>
      </c>
      <c r="S539" s="79">
        <v>7245.0779694633802</v>
      </c>
      <c r="T539" s="79">
        <v>15</v>
      </c>
      <c r="U539" s="79">
        <v>0.05</v>
      </c>
      <c r="V539" s="79">
        <f>tbl_Data_old[[#This Row],[2025 ]]*IFERROR(AVERAGEIFS('Participation Adjustment'!$C:$C,'Participation Adjustment'!$A:$A,$H539,'Participation Adjustment'!$B:$B,$I539),1)</f>
        <v>0.265620790813894</v>
      </c>
      <c r="W539" s="79">
        <f>tbl_Data_old[[#This Row],[2026 ]]*IFERROR(AVERAGEIFS('Participation Adjustment'!$C:$C,'Participation Adjustment'!$A:$A,$H539,'Participation Adjustment'!$B:$B,$I539),1)</f>
        <v>0.55771659632534298</v>
      </c>
      <c r="X539" s="79">
        <f>tbl_Data_old[[#This Row],[2027 ]]*IFERROR(AVERAGEIFS('Participation Adjustment'!$C:$C,'Participation Adjustment'!$A:$A,$H539,'Participation Adjustment'!$B:$B,$I539),1)</f>
        <v>0.87144426544149201</v>
      </c>
      <c r="Y539" s="79">
        <f>tbl_Data_old[[#This Row],[2028 ]]*IFERROR(AVERAGEIFS('Participation Adjustment'!$C:$C,'Participation Adjustment'!$A:$A,$H539,'Participation Adjustment'!$B:$B,$I539),1)</f>
        <v>1.2039928193437699</v>
      </c>
      <c r="Z539" s="79">
        <f>tbl_Data_old[[#This Row],[2029 ]]*IFERROR(AVERAGEIFS('Participation Adjustment'!$C:$C,'Participation Adjustment'!$A:$A,$H539,'Participation Adjustment'!$B:$B,$I539),1)</f>
        <v>1.55264600621001</v>
      </c>
      <c r="AA539" s="79">
        <f>tbl_Data_old[[#This Row],[2030 ]]*IFERROR(AVERAGEIFS('Participation Adjustment'!$C:$C,'Participation Adjustment'!$A:$A,$H539,'Participation Adjustment'!$B:$B,$I539),1)</f>
        <v>1.91455852857502</v>
      </c>
      <c r="AB539" s="79">
        <f>tbl_Data_old[[#This Row],[2031 ]]*IFERROR(AVERAGEIFS('Participation Adjustment'!$C:$C,'Participation Adjustment'!$A:$A,$H539,'Participation Adjustment'!$B:$B,$I539),1)</f>
        <v>2.2873789021870801</v>
      </c>
      <c r="AC539" s="79">
        <f>tbl_Data_old[[#This Row],[2032 ]]*IFERROR(AVERAGEIFS('Participation Adjustment'!$C:$C,'Participation Adjustment'!$A:$A,$H539,'Participation Adjustment'!$B:$B,$I539),1)</f>
        <v>2.66979833351211</v>
      </c>
      <c r="AD539" s="79">
        <f>tbl_Data_old[[#This Row],[2033 ]]*IFERROR(AVERAGEIFS('Participation Adjustment'!$C:$C,'Participation Adjustment'!$A:$A,$H539,'Participation Adjustment'!$B:$B,$I539),1)</f>
        <v>3.0608173553486702</v>
      </c>
      <c r="AE539" s="79">
        <f>tbl_Data_old[[#This Row],[2034 ]]*IFERROR(AVERAGEIFS('Participation Adjustment'!$C:$C,'Participation Adjustment'!$A:$A,$H539,'Participation Adjustment'!$B:$B,$I539),1)</f>
        <v>3.4592197715014099</v>
      </c>
      <c r="AF539" s="77" t="str">
        <f t="shared" si="220"/>
        <v>NonResidential</v>
      </c>
      <c r="AG539" s="77" t="str">
        <f>tbl_Data[[#This Row],[All_Meas_Name_Append]]</f>
        <v>Heat Pump Water Heater</v>
      </c>
      <c r="AH539" s="77">
        <f>AVERAGEIFS('3. Incentive Adjustment'!G:G,'3. Incentive Adjustment'!A:A,tbl_Data[[#This Row],[Trimmed Sector]],'3. Incentive Adjustment'!B:B,tbl_Data[[#This Row],[Trimmed Measure Name]])</f>
        <v>0.82797588322898052</v>
      </c>
      <c r="AI539" s="77">
        <f>$AH539*tbl_Data[[#This Row],[2025 ]]</f>
        <v>0.21992760887811416</v>
      </c>
      <c r="AJ539" s="77">
        <f>$AH539*tbl_Data[[#This Row],[2026 ]]</f>
        <v>0.46177589143393666</v>
      </c>
      <c r="AK539" s="77">
        <f>$AH539*tbl_Data[[#This Row],[2027 ]]</f>
        <v>0.72153483536374952</v>
      </c>
      <c r="AL539" s="77">
        <f>$AH539*tbl_Data[[#This Row],[2028 ]]</f>
        <v>0.99687701799750827</v>
      </c>
      <c r="AM539" s="77">
        <f>$AH539*tbl_Data[[#This Row],[2029 ]]</f>
        <v>1.2855534483336823</v>
      </c>
      <c r="AN539" s="77">
        <f>$AH539*tbl_Data[[#This Row],[2030 ]]</f>
        <v>1.5852082886904795</v>
      </c>
      <c r="AO539" s="77">
        <f>$AH539*tbl_Data[[#This Row],[2031 ]]</f>
        <v>1.8938945668176834</v>
      </c>
      <c r="AP539" s="77">
        <f>$AH539*tbl_Data[[#This Row],[2032 ]]</f>
        <v>2.2105286332329497</v>
      </c>
      <c r="AQ539" s="77">
        <f>$AH539*tbl_Data[[#This Row],[2033 ]]</f>
        <v>2.5342829531974074</v>
      </c>
      <c r="AR539" s="77">
        <f>$AH539*tbl_Data[[#This Row],[2034 ]]</f>
        <v>2.864150545592032</v>
      </c>
      <c r="AS539" s="77">
        <f>SUM(tbl_Data[[#This Row],[Adjusted 2025]:[Adjusted 2034]])</f>
        <v>14.773733789537545</v>
      </c>
      <c r="AT539" s="80">
        <f>AVERAGEIFS('3. Incentive Adjustment'!F:F,'3. Incentive Adjustment'!A:A,tbl_Data[[#This Row],[Trimmed Sector]],'3. Incentive Adjustment'!B:B,tbl_Data[[#This Row],[Trimmed Measure Name]])</f>
        <v>500</v>
      </c>
      <c r="AU539" s="80">
        <f>IFERROR(VLOOKUP(tbl_Data[[#This Row],[All_Meas_Name_Append]],'IRA Tax Credits'!$A$3:$D$46,4,0),0)</f>
        <v>0</v>
      </c>
      <c r="AV539" s="81">
        <f>tbl_Data[[#This Row],[Adj. per unit Incentive ($)]]/tbl_Data[[#This Row],[kWh Savings]]*tbl_Data[[#This Row],[Sum of Annuals]]</f>
        <v>1.1073758519307895</v>
      </c>
      <c r="AW539" s="81" t="str">
        <f>IFERROR(VLOOKUP(tbl_Data[[#This Row],[Column1]],'1. Set Program Names'!$B$2:$D$15,3,0)*tbl_Data[[#This Row],[Sum of Annuals]],"")</f>
        <v/>
      </c>
      <c r="AX539" s="81">
        <f>tbl_Data[[#This Row],[per unit IRA tax ($)]]/tbl_Data[[#This Row],[kWh Savings]]*tbl_Data[[#This Row],[Sum of Annuals]]</f>
        <v>0</v>
      </c>
      <c r="AY539" s="81">
        <f>tbl_Data[[#This Row],[Avoided Costs ($/unit)]]/tbl_Data[[#This Row],[kWh Savings]]*tbl_Data[[#This Row],[Sum of Annuals]]</f>
        <v>7.5319445771815028</v>
      </c>
      <c r="AZ539" s="81">
        <f>tbl_Data[[#This Row],[Lost Revenue ($/unit)]]/tbl_Data[[#This Row],[kWh Savings]]*tbl_Data[[#This Row],[Sum of Annuals]]</f>
        <v>16.046048777479012</v>
      </c>
      <c r="BA539" s="81">
        <f>tbl_Data[[#This Row],[Incremental Cost ($/unit)]]/tbl_Data[[#This Row],[kWh Savings]]*tbl_Data[[#This Row],[Sum of Annuals]]</f>
        <v>5.3854456119024121</v>
      </c>
      <c r="BB539" s="77">
        <f>ROUNDUP(tbl_Data[[#This Row],[Adjusted 2025]]/$L539,0)</f>
        <v>1</v>
      </c>
      <c r="BC539" s="77">
        <f>ROUNDUP(tbl_Data[[#This Row],[Adjusted 2026]]/$L539,0)</f>
        <v>1</v>
      </c>
      <c r="BD539" s="77">
        <f>ROUNDUP(tbl_Data[[#This Row],[Adjusted 2027]]/$L539,0)</f>
        <v>1</v>
      </c>
      <c r="BE539" s="77">
        <f>ROUNDUP(tbl_Data[[#This Row],[Adjusted 2028]]/$L539,0)</f>
        <v>1</v>
      </c>
      <c r="BF539" s="77">
        <f>ROUNDUP(tbl_Data[[#This Row],[Adjusted 2029]]/$L539,0)</f>
        <v>1</v>
      </c>
      <c r="BG539" s="77">
        <f>ROUNDUP(tbl_Data[[#This Row],[Adjusted 2030]]/$L539,0)</f>
        <v>1</v>
      </c>
      <c r="BH539" s="77">
        <f>ROUNDUP(tbl_Data[[#This Row],[Adjusted 2031]]/$L539,0)</f>
        <v>1</v>
      </c>
      <c r="BI539" s="77">
        <f>ROUNDUP(tbl_Data[[#This Row],[Adjusted 2032]]/$L539,0)</f>
        <v>1</v>
      </c>
      <c r="BJ539" s="77">
        <f>ROUNDUP(tbl_Data[[#This Row],[Adjusted 2033]]/$L539,0)</f>
        <v>1</v>
      </c>
      <c r="BK539" s="77">
        <f>ROUNDUP(tbl_Data[[#This Row],[Adjusted 2034]]/$L539,0)</f>
        <v>1</v>
      </c>
      <c r="BL539" s="80">
        <f t="shared" si="221"/>
        <v>1.9909797598110998E-2</v>
      </c>
      <c r="BM539" s="80">
        <f t="shared" si="222"/>
        <v>4.1804048982464398E-2</v>
      </c>
      <c r="BN539" s="80">
        <f t="shared" si="223"/>
        <v>6.5319732276269804E-2</v>
      </c>
      <c r="BO539" s="80">
        <f t="shared" si="224"/>
        <v>9.0246148538533744E-2</v>
      </c>
      <c r="BP539" s="80">
        <f t="shared" si="225"/>
        <v>0.11637969915847307</v>
      </c>
      <c r="BQ539" s="80">
        <f t="shared" si="226"/>
        <v>0.14350711281623055</v>
      </c>
      <c r="BR539" s="80">
        <f t="shared" si="227"/>
        <v>0.1714521323168651</v>
      </c>
      <c r="BS539" s="80">
        <f t="shared" si="228"/>
        <v>0.20011665609881821</v>
      </c>
      <c r="BT539" s="80">
        <f t="shared" si="229"/>
        <v>0.22942576837848105</v>
      </c>
      <c r="BU539" s="80">
        <f t="shared" si="230"/>
        <v>0.25928830829448118</v>
      </c>
      <c r="BV539" s="80" t="str">
        <f>IFERROR(VLOOKUP($H539,'1. Set Program Names'!$B$2:$D$15,3,0)*V539,"NA")</f>
        <v>NA</v>
      </c>
      <c r="BW539" s="80" t="str">
        <f>IFERROR(VLOOKUP($H539,'1. Set Program Names'!$B$2:$D$15,3,0)*W539,"NA")</f>
        <v>NA</v>
      </c>
      <c r="BX539" s="80" t="str">
        <f>IFERROR(VLOOKUP($H539,'1. Set Program Names'!$B$2:$D$15,3,0)*X539,"NA")</f>
        <v>NA</v>
      </c>
      <c r="BY539" s="80" t="str">
        <f>IFERROR(VLOOKUP($H539,'1. Set Program Names'!$B$2:$D$15,3,0)*Y539,"NA")</f>
        <v>NA</v>
      </c>
      <c r="BZ539" s="80" t="str">
        <f>IFERROR(VLOOKUP($H539,'1. Set Program Names'!$B$2:$D$15,3,0)*Z539,"NA")</f>
        <v>NA</v>
      </c>
      <c r="CA539" s="80" t="str">
        <f>IFERROR(VLOOKUP($H539,'1. Set Program Names'!$B$2:$D$15,3,0)*AA539,"NA")</f>
        <v>NA</v>
      </c>
      <c r="CB539" s="80" t="str">
        <f>IFERROR(VLOOKUP($H539,'1. Set Program Names'!$B$2:$D$15,3,0)*AB539,"NA")</f>
        <v>NA</v>
      </c>
      <c r="CC539" s="80" t="str">
        <f>IFERROR(VLOOKUP($H539,'1. Set Program Names'!$B$2:$D$15,3,0)*AC539,"NA")</f>
        <v>NA</v>
      </c>
      <c r="CD539" s="80" t="str">
        <f>IFERROR(VLOOKUP($H539,'1. Set Program Names'!$B$2:$D$15,3,0)*AD539,"NA")</f>
        <v>NA</v>
      </c>
      <c r="CE539" s="80" t="str">
        <f>IFERROR(VLOOKUP($H539,'1. Set Program Names'!$B$2:$D$15,3,0)*AE539,"NA")</f>
        <v>NA</v>
      </c>
    </row>
    <row r="540" spans="1:83" x14ac:dyDescent="0.25">
      <c r="A540" s="79" t="s">
        <v>115</v>
      </c>
      <c r="B540" s="79" t="s">
        <v>88</v>
      </c>
      <c r="C540" s="79" t="s">
        <v>122</v>
      </c>
      <c r="D540" s="79" t="s">
        <v>90</v>
      </c>
      <c r="E540" s="79" t="s">
        <v>91</v>
      </c>
      <c r="F540" s="79" t="s">
        <v>90</v>
      </c>
      <c r="G540" s="79" t="s">
        <v>92</v>
      </c>
      <c r="H540" s="79" t="s">
        <v>20</v>
      </c>
      <c r="I540" s="79" t="s">
        <v>145</v>
      </c>
      <c r="J540" s="79" t="s">
        <v>129</v>
      </c>
      <c r="K540" s="79" t="s">
        <v>98</v>
      </c>
      <c r="L540" s="79">
        <v>1452.1399999999801</v>
      </c>
      <c r="M540" s="79">
        <v>0.33467704377742202</v>
      </c>
      <c r="N540" s="79">
        <v>4.3977319526113799E-2</v>
      </c>
      <c r="O540" s="79">
        <v>654.99999999999898</v>
      </c>
      <c r="P540" s="79">
        <v>358.56061649158102</v>
      </c>
      <c r="Q540" s="79">
        <v>87.128399999999303</v>
      </c>
      <c r="R540" s="79">
        <v>761.15206993055403</v>
      </c>
      <c r="S540" s="79">
        <v>1577.19839843259</v>
      </c>
      <c r="T540" s="79">
        <v>15</v>
      </c>
      <c r="U540" s="79">
        <v>0.05</v>
      </c>
      <c r="V540" s="79">
        <f>tbl_Data_old[[#This Row],[2025 ]]*IFERROR(AVERAGEIFS('Participation Adjustment'!$C:$C,'Participation Adjustment'!$A:$A,$H540,'Participation Adjustment'!$B:$B,$I540),1)</f>
        <v>0.15312881725684199</v>
      </c>
      <c r="W540" s="79">
        <f>tbl_Data_old[[#This Row],[2026 ]]*IFERROR(AVERAGEIFS('Participation Adjustment'!$C:$C,'Participation Adjustment'!$A:$A,$H540,'Participation Adjustment'!$B:$B,$I540),1)</f>
        <v>0.324501918131953</v>
      </c>
      <c r="X540" s="79">
        <f>tbl_Data_old[[#This Row],[2027 ]]*IFERROR(AVERAGEIFS('Participation Adjustment'!$C:$C,'Participation Adjustment'!$A:$A,$H540,'Participation Adjustment'!$B:$B,$I540),1)</f>
        <v>0.51211299812797995</v>
      </c>
      <c r="Y540" s="79">
        <f>tbl_Data_old[[#This Row],[2028 ]]*IFERROR(AVERAGEIFS('Participation Adjustment'!$C:$C,'Participation Adjustment'!$A:$A,$H540,'Participation Adjustment'!$B:$B,$I540),1)</f>
        <v>0.71493429632023697</v>
      </c>
      <c r="Z540" s="79">
        <f>tbl_Data_old[[#This Row],[2029 ]]*IFERROR(AVERAGEIFS('Participation Adjustment'!$C:$C,'Participation Adjustment'!$A:$A,$H540,'Participation Adjustment'!$B:$B,$I540),1)</f>
        <v>0.93184784399806797</v>
      </c>
      <c r="AA540" s="79">
        <f>tbl_Data_old[[#This Row],[2030 ]]*IFERROR(AVERAGEIFS('Participation Adjustment'!$C:$C,'Participation Adjustment'!$A:$A,$H540,'Participation Adjustment'!$B:$B,$I540),1)</f>
        <v>1.1616470712056</v>
      </c>
      <c r="AB540" s="79">
        <f>tbl_Data_old[[#This Row],[2031 ]]*IFERROR(AVERAGEIFS('Participation Adjustment'!$C:$C,'Participation Adjustment'!$A:$A,$H540,'Participation Adjustment'!$B:$B,$I540),1)</f>
        <v>1.4032698864200299</v>
      </c>
      <c r="AC540" s="79">
        <f>tbl_Data_old[[#This Row],[2032 ]]*IFERROR(AVERAGEIFS('Participation Adjustment'!$C:$C,'Participation Adjustment'!$A:$A,$H540,'Participation Adjustment'!$B:$B,$I540),1)</f>
        <v>1.6562768021220899</v>
      </c>
      <c r="AD540" s="79">
        <f>tbl_Data_old[[#This Row],[2033 ]]*IFERROR(AVERAGEIFS('Participation Adjustment'!$C:$C,'Participation Adjustment'!$A:$A,$H540,'Participation Adjustment'!$B:$B,$I540),1)</f>
        <v>1.92050831769501</v>
      </c>
      <c r="AE540" s="79">
        <f>tbl_Data_old[[#This Row],[2034 ]]*IFERROR(AVERAGEIFS('Participation Adjustment'!$C:$C,'Participation Adjustment'!$A:$A,$H540,'Participation Adjustment'!$B:$B,$I540),1)</f>
        <v>2.19551010933613</v>
      </c>
      <c r="AF540" s="77" t="str">
        <f t="shared" si="220"/>
        <v>NonResidential</v>
      </c>
      <c r="AG540" s="77" t="str">
        <f>tbl_Data[[#This Row],[All_Meas_Name_Append]]</f>
        <v>HE DX Less than 5.4 Tons Elect Heat</v>
      </c>
      <c r="AH540" s="77">
        <f>AVERAGEIFS('3. Incentive Adjustment'!G:G,'3. Incentive Adjustment'!A:A,tbl_Data[[#This Row],[Trimmed Sector]],'3. Incentive Adjustment'!B:B,tbl_Data[[#This Row],[Trimmed Measure Name]])</f>
        <v>0.74493198517309978</v>
      </c>
      <c r="AI540" s="77">
        <f>$AH540*tbl_Data[[#This Row],[2025 ]]</f>
        <v>0.11407055382634812</v>
      </c>
      <c r="AJ540" s="77">
        <f>$AH540*tbl_Data[[#This Row],[2026 ]]</f>
        <v>0.24173185806651445</v>
      </c>
      <c r="AK540" s="77">
        <f>$AH540*tbl_Data[[#This Row],[2027 ]]</f>
        <v>0.38148935232842401</v>
      </c>
      <c r="AL540" s="77">
        <f>$AH540*tbl_Data[[#This Row],[2028 ]]</f>
        <v>0.53257742462616731</v>
      </c>
      <c r="AM540" s="77">
        <f>$AH540*tbl_Data[[#This Row],[2029 ]]</f>
        <v>0.69416326430875375</v>
      </c>
      <c r="AN540" s="77">
        <f>$AH540*tbl_Data[[#This Row],[2030 ]]</f>
        <v>0.8653480588237048</v>
      </c>
      <c r="AO540" s="77">
        <f>$AH540*tbl_Data[[#This Row],[2031 ]]</f>
        <v>1.0453406222245032</v>
      </c>
      <c r="AP540" s="77">
        <f>$AH540*tbl_Data[[#This Row],[2032 ]]</f>
        <v>1.2338135662009617</v>
      </c>
      <c r="AQ540" s="77">
        <f>$AH540*tbl_Data[[#This Row],[2033 ]]</f>
        <v>1.430648073641994</v>
      </c>
      <c r="AR540" s="77">
        <f>$AH540*tbl_Data[[#This Row],[2034 ]]</f>
        <v>1.6355057042153727</v>
      </c>
      <c r="AS540" s="77">
        <f>SUM(tbl_Data[[#This Row],[Adjusted 2025]:[Adjusted 2034]])</f>
        <v>8.1746884782627429</v>
      </c>
      <c r="AT540" s="80">
        <f>AVERAGEIFS('3. Incentive Adjustment'!F:F,'3. Incentive Adjustment'!A:A,tbl_Data[[#This Row],[Trimmed Sector]],'3. Incentive Adjustment'!B:B,tbl_Data[[#This Row],[Trimmed Measure Name]])</f>
        <v>196.49999999999969</v>
      </c>
      <c r="AU540" s="80">
        <f>IFERROR(VLOOKUP(tbl_Data[[#This Row],[All_Meas_Name_Append]],'IRA Tax Credits'!$A$3:$D$46,4,0),0)</f>
        <v>0</v>
      </c>
      <c r="AV540" s="81">
        <f>tbl_Data[[#This Row],[Adj. per unit Incentive ($)]]/tbl_Data[[#This Row],[kWh Savings]]*tbl_Data[[#This Row],[Sum of Annuals]]</f>
        <v>1.1061786645768648</v>
      </c>
      <c r="AW540" s="81" t="str">
        <f>IFERROR(VLOOKUP(tbl_Data[[#This Row],[Column1]],'1. Set Program Names'!$B$2:$D$15,3,0)*tbl_Data[[#This Row],[Sum of Annuals]],"")</f>
        <v/>
      </c>
      <c r="AX540" s="81">
        <f>tbl_Data[[#This Row],[per unit IRA tax ($)]]/tbl_Data[[#This Row],[kWh Savings]]*tbl_Data[[#This Row],[Sum of Annuals]]</f>
        <v>0</v>
      </c>
      <c r="AY540" s="81">
        <f>tbl_Data[[#This Row],[Avoided Costs ($/unit)]]/tbl_Data[[#This Row],[kWh Savings]]*tbl_Data[[#This Row],[Sum of Annuals]]</f>
        <v>4.284835522929761</v>
      </c>
      <c r="AZ540" s="81">
        <f>tbl_Data[[#This Row],[Lost Revenue ($/unit)]]/tbl_Data[[#This Row],[kWh Savings]]*tbl_Data[[#This Row],[Sum of Annuals]]</f>
        <v>8.8786932221421644</v>
      </c>
      <c r="BA540" s="81">
        <f>tbl_Data[[#This Row],[Incremental Cost ($/unit)]]/tbl_Data[[#This Row],[kWh Savings]]*tbl_Data[[#This Row],[Sum of Annuals]]</f>
        <v>3.687262215256216</v>
      </c>
      <c r="BB540" s="77">
        <f>ROUNDUP(tbl_Data[[#This Row],[Adjusted 2025]]/$L540,0)</f>
        <v>1</v>
      </c>
      <c r="BC540" s="77">
        <f>ROUNDUP(tbl_Data[[#This Row],[Adjusted 2026]]/$L540,0)</f>
        <v>1</v>
      </c>
      <c r="BD540" s="77">
        <f>ROUNDUP(tbl_Data[[#This Row],[Adjusted 2027]]/$L540,0)</f>
        <v>1</v>
      </c>
      <c r="BE540" s="77">
        <f>ROUNDUP(tbl_Data[[#This Row],[Adjusted 2028]]/$L540,0)</f>
        <v>1</v>
      </c>
      <c r="BF540" s="77">
        <f>ROUNDUP(tbl_Data[[#This Row],[Adjusted 2029]]/$L540,0)</f>
        <v>1</v>
      </c>
      <c r="BG540" s="77">
        <f>ROUNDUP(tbl_Data[[#This Row],[Adjusted 2030]]/$L540,0)</f>
        <v>1</v>
      </c>
      <c r="BH540" s="77">
        <f>ROUNDUP(tbl_Data[[#This Row],[Adjusted 2031]]/$L540,0)</f>
        <v>1</v>
      </c>
      <c r="BI540" s="77">
        <f>ROUNDUP(tbl_Data[[#This Row],[Adjusted 2032]]/$L540,0)</f>
        <v>1</v>
      </c>
      <c r="BJ540" s="77">
        <f>ROUNDUP(tbl_Data[[#This Row],[Adjusted 2033]]/$L540,0)</f>
        <v>1</v>
      </c>
      <c r="BK540" s="77">
        <f>ROUNDUP(tbl_Data[[#This Row],[Adjusted 2034]]/$L540,0)</f>
        <v>1</v>
      </c>
      <c r="BL540" s="80">
        <f t="shared" si="221"/>
        <v>2.0721013532420989E-2</v>
      </c>
      <c r="BM540" s="80">
        <f t="shared" si="222"/>
        <v>4.3910798485634672E-2</v>
      </c>
      <c r="BN540" s="80">
        <f t="shared" si="223"/>
        <v>6.9297866687887719E-2</v>
      </c>
      <c r="BO540" s="80">
        <f t="shared" si="224"/>
        <v>9.6743144068015652E-2</v>
      </c>
      <c r="BP540" s="80">
        <f t="shared" si="225"/>
        <v>0.12609534985994639</v>
      </c>
      <c r="BQ540" s="80">
        <f t="shared" si="226"/>
        <v>0.157191213995829</v>
      </c>
      <c r="BR540" s="80">
        <f t="shared" si="227"/>
        <v>0.18988701687271145</v>
      </c>
      <c r="BS540" s="80">
        <f t="shared" si="228"/>
        <v>0.22412328812441953</v>
      </c>
      <c r="BT540" s="80">
        <f t="shared" si="229"/>
        <v>0.25987844452124037</v>
      </c>
      <c r="BU540" s="80">
        <f t="shared" si="230"/>
        <v>0.29709100808775651</v>
      </c>
      <c r="BV540" s="80" t="str">
        <f>IFERROR(VLOOKUP($H540,'1. Set Program Names'!$B$2:$D$15,3,0)*V540,"NA")</f>
        <v>NA</v>
      </c>
      <c r="BW540" s="80" t="str">
        <f>IFERROR(VLOOKUP($H540,'1. Set Program Names'!$B$2:$D$15,3,0)*W540,"NA")</f>
        <v>NA</v>
      </c>
      <c r="BX540" s="80" t="str">
        <f>IFERROR(VLOOKUP($H540,'1. Set Program Names'!$B$2:$D$15,3,0)*X540,"NA")</f>
        <v>NA</v>
      </c>
      <c r="BY540" s="80" t="str">
        <f>IFERROR(VLOOKUP($H540,'1. Set Program Names'!$B$2:$D$15,3,0)*Y540,"NA")</f>
        <v>NA</v>
      </c>
      <c r="BZ540" s="80" t="str">
        <f>IFERROR(VLOOKUP($H540,'1. Set Program Names'!$B$2:$D$15,3,0)*Z540,"NA")</f>
        <v>NA</v>
      </c>
      <c r="CA540" s="80" t="str">
        <f>IFERROR(VLOOKUP($H540,'1. Set Program Names'!$B$2:$D$15,3,0)*AA540,"NA")</f>
        <v>NA</v>
      </c>
      <c r="CB540" s="80" t="str">
        <f>IFERROR(VLOOKUP($H540,'1. Set Program Names'!$B$2:$D$15,3,0)*AB540,"NA")</f>
        <v>NA</v>
      </c>
      <c r="CC540" s="80" t="str">
        <f>IFERROR(VLOOKUP($H540,'1. Set Program Names'!$B$2:$D$15,3,0)*AC540,"NA")</f>
        <v>NA</v>
      </c>
      <c r="CD540" s="80" t="str">
        <f>IFERROR(VLOOKUP($H540,'1. Set Program Names'!$B$2:$D$15,3,0)*AD540,"NA")</f>
        <v>NA</v>
      </c>
      <c r="CE540" s="80" t="str">
        <f>IFERROR(VLOOKUP($H540,'1. Set Program Names'!$B$2:$D$15,3,0)*AE540,"NA")</f>
        <v>NA</v>
      </c>
    </row>
    <row r="541" spans="1:83" x14ac:dyDescent="0.25">
      <c r="A541" s="79" t="s">
        <v>115</v>
      </c>
      <c r="B541" s="79" t="s">
        <v>88</v>
      </c>
      <c r="C541" s="79" t="s">
        <v>122</v>
      </c>
      <c r="D541" s="79" t="s">
        <v>90</v>
      </c>
      <c r="E541" s="79" t="s">
        <v>91</v>
      </c>
      <c r="F541" s="79" t="s">
        <v>90</v>
      </c>
      <c r="G541" s="79" t="s">
        <v>92</v>
      </c>
      <c r="H541" s="79" t="s">
        <v>20</v>
      </c>
      <c r="I541" s="79" t="s">
        <v>154</v>
      </c>
      <c r="J541" s="79" t="s">
        <v>129</v>
      </c>
      <c r="K541" s="79" t="s">
        <v>102</v>
      </c>
      <c r="L541" s="79">
        <v>111105.09249999899</v>
      </c>
      <c r="M541" s="79">
        <v>30.6532165911823</v>
      </c>
      <c r="N541" s="79">
        <v>0</v>
      </c>
      <c r="O541" s="79">
        <v>40257.675000000003</v>
      </c>
      <c r="P541" s="79">
        <v>17605.607636663401</v>
      </c>
      <c r="Q541" s="79">
        <v>6666.30554999998</v>
      </c>
      <c r="R541" s="79">
        <v>56706.982631731698</v>
      </c>
      <c r="S541" s="79">
        <v>120673.47084214</v>
      </c>
      <c r="T541" s="79">
        <v>15</v>
      </c>
      <c r="U541" s="79">
        <v>0.05</v>
      </c>
      <c r="V541" s="79">
        <f>tbl_Data_old[[#This Row],[2025 ]]*IFERROR(AVERAGEIFS('Participation Adjustment'!$C:$C,'Participation Adjustment'!$A:$A,$H541,'Participation Adjustment'!$B:$B,$I541),1)</f>
        <v>2.8808343632543902E-3</v>
      </c>
      <c r="W541" s="79">
        <f>tbl_Data_old[[#This Row],[2026 ]]*IFERROR(AVERAGEIFS('Participation Adjustment'!$C:$C,'Participation Adjustment'!$A:$A,$H541,'Participation Adjustment'!$B:$B,$I541),1)</f>
        <v>5.7720100005052496E-3</v>
      </c>
      <c r="X541" s="79">
        <f>tbl_Data_old[[#This Row],[2027 ]]*IFERROR(AVERAGEIFS('Participation Adjustment'!$C:$C,'Participation Adjustment'!$A:$A,$H541,'Participation Adjustment'!$B:$B,$I541),1)</f>
        <v>8.6842207901817008E-3</v>
      </c>
      <c r="Y541" s="79">
        <f>tbl_Data_old[[#This Row],[2028 ]]*IFERROR(AVERAGEIFS('Participation Adjustment'!$C:$C,'Participation Adjustment'!$A:$A,$H541,'Participation Adjustment'!$B:$B,$I541),1)</f>
        <v>1.16233496476818E-2</v>
      </c>
      <c r="Z541" s="79">
        <f>tbl_Data_old[[#This Row],[2029 ]]*IFERROR(AVERAGEIFS('Participation Adjustment'!$C:$C,'Participation Adjustment'!$A:$A,$H541,'Participation Adjustment'!$B:$B,$I541),1)</f>
        <v>1.45805350008219E-2</v>
      </c>
      <c r="AA541" s="79">
        <f>tbl_Data_old[[#This Row],[2030 ]]*IFERROR(AVERAGEIFS('Participation Adjustment'!$C:$C,'Participation Adjustment'!$A:$A,$H541,'Participation Adjustment'!$B:$B,$I541),1)</f>
        <v>1.7555340537966899E-2</v>
      </c>
      <c r="AB541" s="79">
        <f>tbl_Data_old[[#This Row],[2031 ]]*IFERROR(AVERAGEIFS('Participation Adjustment'!$C:$C,'Participation Adjustment'!$A:$A,$H541,'Participation Adjustment'!$B:$B,$I541),1)</f>
        <v>2.0535907460067601E-2</v>
      </c>
      <c r="AC541" s="79">
        <f>tbl_Data_old[[#This Row],[2032 ]]*IFERROR(AVERAGEIFS('Participation Adjustment'!$C:$C,'Participation Adjustment'!$A:$A,$H541,'Participation Adjustment'!$B:$B,$I541),1)</f>
        <v>2.3518517922924399E-2</v>
      </c>
      <c r="AD541" s="79">
        <f>tbl_Data_old[[#This Row],[2033 ]]*IFERROR(AVERAGEIFS('Participation Adjustment'!$C:$C,'Participation Adjustment'!$A:$A,$H541,'Participation Adjustment'!$B:$B,$I541),1)</f>
        <v>2.6518451471589901E-2</v>
      </c>
      <c r="AE541" s="79">
        <f>tbl_Data_old[[#This Row],[2034 ]]*IFERROR(AVERAGEIFS('Participation Adjustment'!$C:$C,'Participation Adjustment'!$A:$A,$H541,'Participation Adjustment'!$B:$B,$I541),1)</f>
        <v>2.9528311895215899E-2</v>
      </c>
      <c r="AF541" s="77" t="str">
        <f t="shared" si="220"/>
        <v>NonResidential</v>
      </c>
      <c r="AG541" s="77" t="str">
        <f>tbl_Data[[#This Row],[All_Meas_Name_Append]]</f>
        <v>Reflective Roof Treatment</v>
      </c>
      <c r="AH541" s="77">
        <f>AVERAGEIFS('3. Incentive Adjustment'!G:G,'3. Incentive Adjustment'!A:A,tbl_Data[[#This Row],[Trimmed Sector]],'3. Incentive Adjustment'!B:B,tbl_Data[[#This Row],[Trimmed Measure Name]])</f>
        <v>0.87696681614875649</v>
      </c>
      <c r="AI541" s="77">
        <f>$AH541*tbl_Data[[#This Row],[2025 ]]</f>
        <v>2.5263961393951328E-3</v>
      </c>
      <c r="AJ541" s="77">
        <f>$AH541*tbl_Data[[#This Row],[2026 ]]</f>
        <v>5.061861232921871E-3</v>
      </c>
      <c r="AK541" s="77">
        <f>$AH541*tbl_Data[[#This Row],[2027 ]]</f>
        <v>7.6157734570984842E-3</v>
      </c>
      <c r="AL541" s="77">
        <f>$AH541*tbl_Data[[#This Row],[2028 ]]</f>
        <v>1.0193291933511279E-2</v>
      </c>
      <c r="AM541" s="77">
        <f>$AH541*tbl_Data[[#This Row],[2029 ]]</f>
        <v>1.2786645357416289E-2</v>
      </c>
      <c r="AN541" s="77">
        <f>$AH541*tbl_Data[[#This Row],[2030 ]]</f>
        <v>1.539545109798803E-2</v>
      </c>
      <c r="AO541" s="77">
        <f>$AH541*tbl_Data[[#This Row],[2031 ]]</f>
        <v>1.8009309381980979E-2</v>
      </c>
      <c r="AP541" s="77">
        <f>$AH541*tbl_Data[[#This Row],[2032 ]]</f>
        <v>2.0624959783404475E-2</v>
      </c>
      <c r="AQ541" s="77">
        <f>$AH541*tbl_Data[[#This Row],[2033 ]]</f>
        <v>2.32558019562355E-2</v>
      </c>
      <c r="AR541" s="77">
        <f>$AH541*tbl_Data[[#This Row],[2034 ]]</f>
        <v>2.5895349668994941E-2</v>
      </c>
      <c r="AS541" s="77">
        <f>SUM(tbl_Data[[#This Row],[Adjusted 2025]:[Adjusted 2034]])</f>
        <v>0.141364840008947</v>
      </c>
      <c r="AT541" s="80">
        <f>AVERAGEIFS('3. Incentive Adjustment'!F:F,'3. Incentive Adjustment'!A:A,tbl_Data[[#This Row],[Trimmed Sector]],'3. Incentive Adjustment'!B:B,tbl_Data[[#This Row],[Trimmed Measure Name]])</f>
        <v>12077.302499999998</v>
      </c>
      <c r="AU541" s="80">
        <f>IFERROR(VLOOKUP(tbl_Data[[#This Row],[All_Meas_Name_Append]],'IRA Tax Credits'!$A$3:$D$46,4,0),0)</f>
        <v>0</v>
      </c>
      <c r="AV541" s="81">
        <f>tbl_Data[[#This Row],[Adj. per unit Incentive ($)]]/tbl_Data[[#This Row],[kWh Savings]]*tbl_Data[[#This Row],[Sum of Annuals]]</f>
        <v>1.536658579040534E-2</v>
      </c>
      <c r="AW541" s="81" t="str">
        <f>IFERROR(VLOOKUP(tbl_Data[[#This Row],[Column1]],'1. Set Program Names'!$B$2:$D$15,3,0)*tbl_Data[[#This Row],[Sum of Annuals]],"")</f>
        <v/>
      </c>
      <c r="AX541" s="81">
        <f>tbl_Data[[#This Row],[per unit IRA tax ($)]]/tbl_Data[[#This Row],[kWh Savings]]*tbl_Data[[#This Row],[Sum of Annuals]]</f>
        <v>0</v>
      </c>
      <c r="AY541" s="81">
        <f>tbl_Data[[#This Row],[Avoided Costs ($/unit)]]/tbl_Data[[#This Row],[kWh Savings]]*tbl_Data[[#This Row],[Sum of Annuals]]</f>
        <v>7.2151269998042264E-2</v>
      </c>
      <c r="AZ541" s="81">
        <f>tbl_Data[[#This Row],[Lost Revenue ($/unit)]]/tbl_Data[[#This Row],[kWh Savings]]*tbl_Data[[#This Row],[Sum of Annuals]]</f>
        <v>0.15353918992438267</v>
      </c>
      <c r="BA541" s="81">
        <f>tbl_Data[[#This Row],[Incremental Cost ($/unit)]]/tbl_Data[[#This Row],[kWh Savings]]*tbl_Data[[#This Row],[Sum of Annuals]]</f>
        <v>5.122195263468448E-2</v>
      </c>
      <c r="BB541" s="77">
        <f>ROUNDUP(tbl_Data[[#This Row],[Adjusted 2025]]/$L541,0)</f>
        <v>1</v>
      </c>
      <c r="BC541" s="77">
        <f>ROUNDUP(tbl_Data[[#This Row],[Adjusted 2026]]/$L541,0)</f>
        <v>1</v>
      </c>
      <c r="BD541" s="77">
        <f>ROUNDUP(tbl_Data[[#This Row],[Adjusted 2027]]/$L541,0)</f>
        <v>1</v>
      </c>
      <c r="BE541" s="77">
        <f>ROUNDUP(tbl_Data[[#This Row],[Adjusted 2028]]/$L541,0)</f>
        <v>1</v>
      </c>
      <c r="BF541" s="77">
        <f>ROUNDUP(tbl_Data[[#This Row],[Adjusted 2029]]/$L541,0)</f>
        <v>1</v>
      </c>
      <c r="BG541" s="77">
        <f>ROUNDUP(tbl_Data[[#This Row],[Adjusted 2030]]/$L541,0)</f>
        <v>1</v>
      </c>
      <c r="BH541" s="77">
        <f>ROUNDUP(tbl_Data[[#This Row],[Adjusted 2031]]/$L541,0)</f>
        <v>1</v>
      </c>
      <c r="BI541" s="77">
        <f>ROUNDUP(tbl_Data[[#This Row],[Adjusted 2032]]/$L541,0)</f>
        <v>1</v>
      </c>
      <c r="BJ541" s="77">
        <f>ROUNDUP(tbl_Data[[#This Row],[Adjusted 2033]]/$L541,0)</f>
        <v>1</v>
      </c>
      <c r="BK541" s="77">
        <f>ROUNDUP(tbl_Data[[#This Row],[Adjusted 2034]]/$L541,0)</f>
        <v>1</v>
      </c>
      <c r="BL541" s="80">
        <f t="shared" si="221"/>
        <v>3.1315133514171246E-4</v>
      </c>
      <c r="BM541" s="80">
        <f t="shared" si="222"/>
        <v>6.2742678342244014E-4</v>
      </c>
      <c r="BN541" s="80">
        <f t="shared" si="223"/>
        <v>9.4398878665093026E-4</v>
      </c>
      <c r="BO541" s="80">
        <f t="shared" si="224"/>
        <v>1.2634768272059428E-3</v>
      </c>
      <c r="BP541" s="80">
        <f t="shared" si="225"/>
        <v>1.5849276379187155E-3</v>
      </c>
      <c r="BQ541" s="80">
        <f t="shared" si="226"/>
        <v>1.9082937910117925E-3</v>
      </c>
      <c r="BR541" s="80">
        <f t="shared" si="227"/>
        <v>2.2322862159288091E-3</v>
      </c>
      <c r="BS541" s="80">
        <f t="shared" si="228"/>
        <v>2.5565007770173287E-3</v>
      </c>
      <c r="BT541" s="80">
        <f t="shared" si="229"/>
        <v>2.8825983854337211E-3</v>
      </c>
      <c r="BU541" s="80">
        <f t="shared" si="230"/>
        <v>3.20977506114649E-3</v>
      </c>
      <c r="BV541" s="80" t="str">
        <f>IFERROR(VLOOKUP($H541,'1. Set Program Names'!$B$2:$D$15,3,0)*V541,"NA")</f>
        <v>NA</v>
      </c>
      <c r="BW541" s="80" t="str">
        <f>IFERROR(VLOOKUP($H541,'1. Set Program Names'!$B$2:$D$15,3,0)*W541,"NA")</f>
        <v>NA</v>
      </c>
      <c r="BX541" s="80" t="str">
        <f>IFERROR(VLOOKUP($H541,'1. Set Program Names'!$B$2:$D$15,3,0)*X541,"NA")</f>
        <v>NA</v>
      </c>
      <c r="BY541" s="80" t="str">
        <f>IFERROR(VLOOKUP($H541,'1. Set Program Names'!$B$2:$D$15,3,0)*Y541,"NA")</f>
        <v>NA</v>
      </c>
      <c r="BZ541" s="80" t="str">
        <f>IFERROR(VLOOKUP($H541,'1. Set Program Names'!$B$2:$D$15,3,0)*Z541,"NA")</f>
        <v>NA</v>
      </c>
      <c r="CA541" s="80" t="str">
        <f>IFERROR(VLOOKUP($H541,'1. Set Program Names'!$B$2:$D$15,3,0)*AA541,"NA")</f>
        <v>NA</v>
      </c>
      <c r="CB541" s="80" t="str">
        <f>IFERROR(VLOOKUP($H541,'1. Set Program Names'!$B$2:$D$15,3,0)*AB541,"NA")</f>
        <v>NA</v>
      </c>
      <c r="CC541" s="80" t="str">
        <f>IFERROR(VLOOKUP($H541,'1. Set Program Names'!$B$2:$D$15,3,0)*AC541,"NA")</f>
        <v>NA</v>
      </c>
      <c r="CD541" s="80" t="str">
        <f>IFERROR(VLOOKUP($H541,'1. Set Program Names'!$B$2:$D$15,3,0)*AD541,"NA")</f>
        <v>NA</v>
      </c>
      <c r="CE541" s="80" t="str">
        <f>IFERROR(VLOOKUP($H541,'1. Set Program Names'!$B$2:$D$15,3,0)*AE541,"NA")</f>
        <v>NA</v>
      </c>
    </row>
    <row r="542" spans="1:83" x14ac:dyDescent="0.25">
      <c r="A542" s="79" t="s">
        <v>115</v>
      </c>
      <c r="B542" s="79" t="s">
        <v>88</v>
      </c>
      <c r="C542" s="79" t="s">
        <v>122</v>
      </c>
      <c r="D542" s="79" t="s">
        <v>90</v>
      </c>
      <c r="E542" s="79" t="s">
        <v>91</v>
      </c>
      <c r="F542" s="79" t="s">
        <v>90</v>
      </c>
      <c r="G542" s="79" t="s">
        <v>92</v>
      </c>
      <c r="H542" s="79" t="s">
        <v>20</v>
      </c>
      <c r="I542" s="79" t="s">
        <v>155</v>
      </c>
      <c r="J542" s="79" t="s">
        <v>129</v>
      </c>
      <c r="K542" s="79" t="s">
        <v>102</v>
      </c>
      <c r="L542" s="79">
        <v>1193.02</v>
      </c>
      <c r="M542" s="79">
        <v>0.274776433335365</v>
      </c>
      <c r="N542" s="79">
        <v>0.10441874276921487</v>
      </c>
      <c r="O542" s="79">
        <f>8423.99999999998/36663.4359999998*1193.02</f>
        <v>274.11507421181233</v>
      </c>
      <c r="P542" s="79">
        <f>3224.30667036527/36663.4359999998*1193.02</f>
        <v>104.91821726363004</v>
      </c>
      <c r="Q542" s="79">
        <f>1305.20713755829/36663.4359999998*1193.02</f>
        <v>42.471148073786637</v>
      </c>
      <c r="R542" s="79">
        <f>14915.0733686122/36663.4359999998*1193.02</f>
        <v>485.33314854128304</v>
      </c>
      <c r="S542" s="79">
        <f>32320.5298576745/36663.4359999998*1193.02</f>
        <v>1051.702806327346</v>
      </c>
      <c r="T542" s="79">
        <v>11</v>
      </c>
      <c r="U542" s="79">
        <v>0.05</v>
      </c>
      <c r="V542" s="79">
        <f>tbl_Data_old[[#This Row],[2025 ]]*IFERROR(AVERAGEIFS('Participation Adjustment'!$C:$C,'Participation Adjustment'!$A:$A,$H542,'Participation Adjustment'!$B:$B,$I542),1)</f>
        <v>1.2455682636757901</v>
      </c>
      <c r="W542" s="79">
        <f>tbl_Data_old[[#This Row],[2026 ]]*IFERROR(AVERAGEIFS('Participation Adjustment'!$C:$C,'Participation Adjustment'!$A:$A,$H542,'Participation Adjustment'!$B:$B,$I542),1)</f>
        <v>2.28432152502887</v>
      </c>
      <c r="X542" s="79">
        <f>tbl_Data_old[[#This Row],[2027 ]]*IFERROR(AVERAGEIFS('Participation Adjustment'!$C:$C,'Participation Adjustment'!$A:$A,$H542,'Participation Adjustment'!$B:$B,$I542),1)</f>
        <v>3.1441785941357199</v>
      </c>
      <c r="Y542" s="79">
        <f>tbl_Data_old[[#This Row],[2028 ]]*IFERROR(AVERAGEIFS('Participation Adjustment'!$C:$C,'Participation Adjustment'!$A:$A,$H542,'Participation Adjustment'!$B:$B,$I542),1)</f>
        <v>3.8573783584341301</v>
      </c>
      <c r="Z542" s="79">
        <f>tbl_Data_old[[#This Row],[2029 ]]*IFERROR(AVERAGEIFS('Participation Adjustment'!$C:$C,'Participation Adjustment'!$A:$A,$H542,'Participation Adjustment'!$B:$B,$I542),1)</f>
        <v>4.4505212246658399</v>
      </c>
      <c r="AA542" s="79">
        <f>tbl_Data_old[[#This Row],[2030 ]]*IFERROR(AVERAGEIFS('Participation Adjustment'!$C:$C,'Participation Adjustment'!$A:$A,$H542,'Participation Adjustment'!$B:$B,$I542),1)</f>
        <v>4.9450684312254198</v>
      </c>
      <c r="AB542" s="79">
        <f>tbl_Data_old[[#This Row],[2031 ]]*IFERROR(AVERAGEIFS('Participation Adjustment'!$C:$C,'Participation Adjustment'!$A:$A,$H542,'Participation Adjustment'!$B:$B,$I542),1)</f>
        <v>5.3591401838082202</v>
      </c>
      <c r="AC542" s="79">
        <f>tbl_Data_old[[#This Row],[2032 ]]*IFERROR(AVERAGEIFS('Participation Adjustment'!$C:$C,'Participation Adjustment'!$A:$A,$H542,'Participation Adjustment'!$B:$B,$I542),1)</f>
        <v>5.7082982621707403</v>
      </c>
      <c r="AD542" s="79">
        <f>tbl_Data_old[[#This Row],[2033 ]]*IFERROR(AVERAGEIFS('Participation Adjustment'!$C:$C,'Participation Adjustment'!$A:$A,$H542,'Participation Adjustment'!$B:$B,$I542),1)</f>
        <v>6.0056655714696303</v>
      </c>
      <c r="AE542" s="79">
        <f>tbl_Data_old[[#This Row],[2034 ]]*IFERROR(AVERAGEIFS('Participation Adjustment'!$C:$C,'Participation Adjustment'!$A:$A,$H542,'Participation Adjustment'!$B:$B,$I542),1)</f>
        <v>6.2610736764320096</v>
      </c>
      <c r="AF542" s="77" t="str">
        <f t="shared" si="220"/>
        <v>NonResidential</v>
      </c>
      <c r="AG542" s="77" t="str">
        <f>tbl_Data[[#This Row],[All_Meas_Name_Append]]</f>
        <v>Smart thermostat</v>
      </c>
      <c r="AH542" s="77">
        <f>AVERAGEIFS('3. Incentive Adjustment'!G:G,'3. Incentive Adjustment'!A:A,tbl_Data[[#This Row],[Trimmed Sector]],'3. Incentive Adjustment'!B:B,tbl_Data[[#This Row],[Trimmed Measure Name]])</f>
        <v>0.87546479230069263</v>
      </c>
      <c r="AI542" s="77">
        <f>$AH542*tbl_Data[[#This Row],[2025 ]]</f>
        <v>1.0904511612552599</v>
      </c>
      <c r="AJ542" s="77">
        <f>$AH542*tbl_Data[[#This Row],[2026 ]]</f>
        <v>1.9998430694574012</v>
      </c>
      <c r="AK542" s="77">
        <f>$AH542*tbl_Data[[#This Row],[2027 ]]</f>
        <v>2.7526176598713117</v>
      </c>
      <c r="AL542" s="77">
        <f>$AH542*tbl_Data[[#This Row],[2028 ]]</f>
        <v>3.3769989433917225</v>
      </c>
      <c r="AM542" s="77">
        <f>$AH542*tbl_Data[[#This Row],[2029 ]]</f>
        <v>3.8962746395819039</v>
      </c>
      <c r="AN542" s="77">
        <f>$AH542*tbl_Data[[#This Row],[2030 ]]</f>
        <v>4.3292333070554738</v>
      </c>
      <c r="AO542" s="77">
        <f>$AH542*tbl_Data[[#This Row],[2031 ]]</f>
        <v>4.691738547927959</v>
      </c>
      <c r="AP542" s="77">
        <f>$AH542*tbl_Data[[#This Row],[2032 ]]</f>
        <v>4.9974141524817117</v>
      </c>
      <c r="AQ542" s="77">
        <f>$AH542*tbl_Data[[#This Row],[2033 ]]</f>
        <v>5.2577487621540806</v>
      </c>
      <c r="AR542" s="77">
        <f>$AH542*tbl_Data[[#This Row],[2034 ]]</f>
        <v>5.4813495657168829</v>
      </c>
      <c r="AS542" s="77">
        <f>SUM(tbl_Data[[#This Row],[Adjusted 2025]:[Adjusted 2034]])</f>
        <v>37.873669808893709</v>
      </c>
      <c r="AT542" s="80">
        <f>AVERAGEIFS('3. Incentive Adjustment'!F:F,'3. Incentive Adjustment'!A:A,tbl_Data[[#This Row],[Trimmed Sector]],'3. Incentive Adjustment'!B:B,tbl_Data[[#This Row],[Trimmed Measure Name]])</f>
        <v>50</v>
      </c>
      <c r="AU542" s="80">
        <f>IFERROR(VLOOKUP(tbl_Data[[#This Row],[All_Meas_Name_Append]],'IRA Tax Credits'!$A$3:$D$46,4,0),0)</f>
        <v>0</v>
      </c>
      <c r="AV542" s="81">
        <f>tbl_Data[[#This Row],[Adj. per unit Incentive ($)]]/tbl_Data[[#This Row],[kWh Savings]]*tbl_Data[[#This Row],[Sum of Annuals]]</f>
        <v>1.587302384238894</v>
      </c>
      <c r="AW542" s="81" t="str">
        <f>IFERROR(VLOOKUP(tbl_Data[[#This Row],[Column1]],'1. Set Program Names'!$B$2:$D$15,3,0)*tbl_Data[[#This Row],[Sum of Annuals]],"")</f>
        <v/>
      </c>
      <c r="AX542" s="81">
        <f>tbl_Data[[#This Row],[per unit IRA tax ($)]]/tbl_Data[[#This Row],[kWh Savings]]*tbl_Data[[#This Row],[Sum of Annuals]]</f>
        <v>0</v>
      </c>
      <c r="AY542" s="81">
        <f>tbl_Data[[#This Row],[Avoided Costs ($/unit)]]/tbl_Data[[#This Row],[kWh Savings]]*tbl_Data[[#This Row],[Sum of Annuals]]</f>
        <v>15.40740927659496</v>
      </c>
      <c r="AZ542" s="81">
        <f>tbl_Data[[#This Row],[Lost Revenue ($/unit)]]/tbl_Data[[#This Row],[kWh Savings]]*tbl_Data[[#This Row],[Sum of Annuals]]</f>
        <v>33.387407439882644</v>
      </c>
      <c r="BA542" s="81">
        <f>tbl_Data[[#This Row],[Incremental Cost ($/unit)]]/tbl_Data[[#This Row],[kWh Savings]]*tbl_Data[[#This Row],[Sum of Annuals]]</f>
        <v>8.7020702170446231</v>
      </c>
      <c r="BB542" s="77">
        <f>ROUNDUP(tbl_Data[[#This Row],[Adjusted 2025]]/$L542,0)</f>
        <v>1</v>
      </c>
      <c r="BC542" s="77">
        <f>ROUNDUP(tbl_Data[[#This Row],[Adjusted 2026]]/$L542,0)</f>
        <v>1</v>
      </c>
      <c r="BD542" s="77">
        <f>ROUNDUP(tbl_Data[[#This Row],[Adjusted 2027]]/$L542,0)</f>
        <v>1</v>
      </c>
      <c r="BE542" s="77">
        <f>ROUNDUP(tbl_Data[[#This Row],[Adjusted 2028]]/$L542,0)</f>
        <v>1</v>
      </c>
      <c r="BF542" s="77">
        <f>ROUNDUP(tbl_Data[[#This Row],[Adjusted 2029]]/$L542,0)</f>
        <v>1</v>
      </c>
      <c r="BG542" s="77">
        <f>ROUNDUP(tbl_Data[[#This Row],[Adjusted 2030]]/$L542,0)</f>
        <v>1</v>
      </c>
      <c r="BH542" s="77">
        <f>ROUNDUP(tbl_Data[[#This Row],[Adjusted 2031]]/$L542,0)</f>
        <v>1</v>
      </c>
      <c r="BI542" s="77">
        <f>ROUNDUP(tbl_Data[[#This Row],[Adjusted 2032]]/$L542,0)</f>
        <v>1</v>
      </c>
      <c r="BJ542" s="77">
        <f>ROUNDUP(tbl_Data[[#This Row],[Adjusted 2033]]/$L542,0)</f>
        <v>1</v>
      </c>
      <c r="BK542" s="77">
        <f>ROUNDUP(tbl_Data[[#This Row],[Adjusted 2034]]/$L542,0)</f>
        <v>1</v>
      </c>
      <c r="BL542" s="80">
        <f t="shared" si="221"/>
        <v>5.2202321154540161E-2</v>
      </c>
      <c r="BM542" s="80">
        <f t="shared" si="222"/>
        <v>9.5736933371983288E-2</v>
      </c>
      <c r="BN542" s="80">
        <f t="shared" si="223"/>
        <v>0.13177392642770952</v>
      </c>
      <c r="BO542" s="80">
        <f t="shared" si="224"/>
        <v>0.16166444646502701</v>
      </c>
      <c r="BP542" s="80">
        <f t="shared" si="225"/>
        <v>0.18652332838786609</v>
      </c>
      <c r="BQ542" s="80">
        <f t="shared" si="226"/>
        <v>0.20725002226389413</v>
      </c>
      <c r="BR542" s="80">
        <f t="shared" si="227"/>
        <v>0.22460395399105715</v>
      </c>
      <c r="BS542" s="80">
        <f t="shared" si="228"/>
        <v>0.2392373246957612</v>
      </c>
      <c r="BT542" s="80">
        <f t="shared" si="229"/>
        <v>0.25170012118278112</v>
      </c>
      <c r="BU542" s="80">
        <f t="shared" si="230"/>
        <v>0.26240438871234389</v>
      </c>
      <c r="BV542" s="80" t="str">
        <f>IFERROR(VLOOKUP($H542,'1. Set Program Names'!$B$2:$D$15,3,0)*V542,"NA")</f>
        <v>NA</v>
      </c>
      <c r="BW542" s="80" t="str">
        <f>IFERROR(VLOOKUP($H542,'1. Set Program Names'!$B$2:$D$15,3,0)*W542,"NA")</f>
        <v>NA</v>
      </c>
      <c r="BX542" s="80" t="str">
        <f>IFERROR(VLOOKUP($H542,'1. Set Program Names'!$B$2:$D$15,3,0)*X542,"NA")</f>
        <v>NA</v>
      </c>
      <c r="BY542" s="80" t="str">
        <f>IFERROR(VLOOKUP($H542,'1. Set Program Names'!$B$2:$D$15,3,0)*Y542,"NA")</f>
        <v>NA</v>
      </c>
      <c r="BZ542" s="80" t="str">
        <f>IFERROR(VLOOKUP($H542,'1. Set Program Names'!$B$2:$D$15,3,0)*Z542,"NA")</f>
        <v>NA</v>
      </c>
      <c r="CA542" s="80" t="str">
        <f>IFERROR(VLOOKUP($H542,'1. Set Program Names'!$B$2:$D$15,3,0)*AA542,"NA")</f>
        <v>NA</v>
      </c>
      <c r="CB542" s="80" t="str">
        <f>IFERROR(VLOOKUP($H542,'1. Set Program Names'!$B$2:$D$15,3,0)*AB542,"NA")</f>
        <v>NA</v>
      </c>
      <c r="CC542" s="80" t="str">
        <f>IFERROR(VLOOKUP($H542,'1. Set Program Names'!$B$2:$D$15,3,0)*AC542,"NA")</f>
        <v>NA</v>
      </c>
      <c r="CD542" s="80" t="str">
        <f>IFERROR(VLOOKUP($H542,'1. Set Program Names'!$B$2:$D$15,3,0)*AD542,"NA")</f>
        <v>NA</v>
      </c>
      <c r="CE542" s="80" t="str">
        <f>IFERROR(VLOOKUP($H542,'1. Set Program Names'!$B$2:$D$15,3,0)*AE542,"NA")</f>
        <v>NA</v>
      </c>
    </row>
    <row r="543" spans="1:83" x14ac:dyDescent="0.25">
      <c r="A543" s="79" t="s">
        <v>115</v>
      </c>
      <c r="B543" s="79" t="s">
        <v>88</v>
      </c>
      <c r="C543" s="79" t="s">
        <v>122</v>
      </c>
      <c r="D543" s="79" t="s">
        <v>90</v>
      </c>
      <c r="E543" s="79" t="s">
        <v>91</v>
      </c>
      <c r="F543" s="79" t="s">
        <v>90</v>
      </c>
      <c r="G543" s="79" t="s">
        <v>92</v>
      </c>
      <c r="H543" s="79" t="s">
        <v>20</v>
      </c>
      <c r="I543" s="79" t="s">
        <v>305</v>
      </c>
      <c r="J543" s="79" t="s">
        <v>129</v>
      </c>
      <c r="K543" s="79" t="s">
        <v>306</v>
      </c>
      <c r="L543" s="79">
        <v>1181.58666666666</v>
      </c>
      <c r="M543" s="79">
        <v>0.32580149205424902</v>
      </c>
      <c r="N543" s="79">
        <v>0</v>
      </c>
      <c r="O543" s="79">
        <v>442.61899981344197</v>
      </c>
      <c r="P543" s="79">
        <v>13015.025349926</v>
      </c>
      <c r="Q543" s="79">
        <v>70.895199999999903</v>
      </c>
      <c r="R543" s="79">
        <v>484.68312470825703</v>
      </c>
      <c r="S543" s="79">
        <v>971.92143438909795</v>
      </c>
      <c r="T543" s="79">
        <v>10</v>
      </c>
      <c r="U543" s="79">
        <v>0.05</v>
      </c>
      <c r="V543" s="79">
        <f>tbl_Data_old[[#This Row],[2025 ]]*IFERROR(AVERAGEIFS('Participation Adjustment'!$C:$C,'Participation Adjustment'!$A:$A,$H543,'Participation Adjustment'!$B:$B,$I543),1)</f>
        <v>8.6503411363077598E-2</v>
      </c>
      <c r="W543" s="79">
        <f>tbl_Data_old[[#This Row],[2026 ]]*IFERROR(AVERAGEIFS('Participation Adjustment'!$C:$C,'Participation Adjustment'!$A:$A,$H543,'Participation Adjustment'!$B:$B,$I543),1)</f>
        <v>0.15913791816042999</v>
      </c>
      <c r="X543" s="79">
        <f>tbl_Data_old[[#This Row],[2027 ]]*IFERROR(AVERAGEIFS('Participation Adjustment'!$C:$C,'Participation Adjustment'!$A:$A,$H543,'Participation Adjustment'!$B:$B,$I543),1)</f>
        <v>0.21985568145169901</v>
      </c>
      <c r="Y543" s="79">
        <f>tbl_Data_old[[#This Row],[2028 ]]*IFERROR(AVERAGEIFS('Participation Adjustment'!$C:$C,'Participation Adjustment'!$A:$A,$H543,'Participation Adjustment'!$B:$B,$I543),1)</f>
        <v>0.27083840986671298</v>
      </c>
      <c r="Z543" s="79">
        <f>tbl_Data_old[[#This Row],[2029 ]]*IFERROR(AVERAGEIFS('Participation Adjustment'!$C:$C,'Participation Adjustment'!$A:$A,$H543,'Participation Adjustment'!$B:$B,$I543),1)</f>
        <v>0.31384682624607602</v>
      </c>
      <c r="AA543" s="79">
        <f>tbl_Data_old[[#This Row],[2030 ]]*IFERROR(AVERAGEIFS('Participation Adjustment'!$C:$C,'Participation Adjustment'!$A:$A,$H543,'Participation Adjustment'!$B:$B,$I543),1)</f>
        <v>0.35032476781055799</v>
      </c>
      <c r="AB543" s="79">
        <f>tbl_Data_old[[#This Row],[2031 ]]*IFERROR(AVERAGEIFS('Participation Adjustment'!$C:$C,'Participation Adjustment'!$A:$A,$H543,'Participation Adjustment'!$B:$B,$I543),1)</f>
        <v>0.38145688798031602</v>
      </c>
      <c r="AC543" s="79">
        <f>tbl_Data_old[[#This Row],[2032 ]]*IFERROR(AVERAGEIFS('Participation Adjustment'!$C:$C,'Participation Adjustment'!$A:$A,$H543,'Participation Adjustment'!$B:$B,$I543),1)</f>
        <v>0.40827003041558002</v>
      </c>
      <c r="AD543" s="79">
        <f>tbl_Data_old[[#This Row],[2033 ]]*IFERROR(AVERAGEIFS('Participation Adjustment'!$C:$C,'Participation Adjustment'!$A:$A,$H543,'Participation Adjustment'!$B:$B,$I543),1)</f>
        <v>0.43167480805806502</v>
      </c>
      <c r="AE543" s="79">
        <f>tbl_Data_old[[#This Row],[2034 ]]*IFERROR(AVERAGEIFS('Participation Adjustment'!$C:$C,'Participation Adjustment'!$A:$A,$H543,'Participation Adjustment'!$B:$B,$I543),1)</f>
        <v>0.45230965629215297</v>
      </c>
      <c r="AF543" s="77" t="str">
        <f t="shared" si="220"/>
        <v>NonResidential</v>
      </c>
      <c r="AG543" s="77" t="str">
        <f>tbl_Data[[#This Row],[All_Meas_Name_Append]]</f>
        <v>Window shade film</v>
      </c>
      <c r="AH543" s="77">
        <f>AVERAGEIFS('3. Incentive Adjustment'!G:G,'3. Incentive Adjustment'!A:A,tbl_Data[[#This Row],[Trimmed Sector]],'3. Incentive Adjustment'!B:B,tbl_Data[[#This Row],[Trimmed Measure Name]])</f>
        <v>3.2127764592544555E-13</v>
      </c>
      <c r="AI543" s="77">
        <f>$AH543*tbl_Data[[#This Row],[2025 ]]</f>
        <v>2.7791612367250008E-14</v>
      </c>
      <c r="AJ543" s="77">
        <f>$AH543*tbl_Data[[#This Row],[2026 ]]</f>
        <v>5.1127455724059159E-14</v>
      </c>
      <c r="AK543" s="77">
        <f>$AH543*tbl_Data[[#This Row],[2027 ]]</f>
        <v>7.0634715780136496E-14</v>
      </c>
      <c r="AL543" s="77">
        <f>$AH543*tbl_Data[[#This Row],[2028 ]]</f>
        <v>8.701432674816851E-14</v>
      </c>
      <c r="AM543" s="77">
        <f>$AH543*tbl_Data[[#This Row],[2029 ]]</f>
        <v>1.0083196951751164E-13</v>
      </c>
      <c r="AN543" s="77">
        <f>$AH543*tbl_Data[[#This Row],[2030 ]]</f>
        <v>1.1255151671155438E-13</v>
      </c>
      <c r="AO543" s="77">
        <f>$AH543*tbl_Data[[#This Row],[2031 ]]</f>
        <v>1.2255357099236232E-13</v>
      </c>
      <c r="AP543" s="77">
        <f>$AH543*tbl_Data[[#This Row],[2032 ]]</f>
        <v>1.311680342738276E-13</v>
      </c>
      <c r="AQ543" s="77">
        <f>$AH543*tbl_Data[[#This Row],[2033 ]]</f>
        <v>1.3868746613821368E-13</v>
      </c>
      <c r="AR543" s="77">
        <f>$AH543*tbl_Data[[#This Row],[2034 ]]</f>
        <v>1.453169816028903E-13</v>
      </c>
      <c r="AS543" s="77">
        <f>SUM(tbl_Data[[#This Row],[Adjusted 2025]:[Adjusted 2034]])</f>
        <v>9.8767764985597419E-13</v>
      </c>
      <c r="AT543" s="80">
        <f>AVERAGEIFS('3. Incentive Adjustment'!F:F,'3. Incentive Adjustment'!A:A,tbl_Data[[#This Row],[Trimmed Sector]],'3. Incentive Adjustment'!B:B,tbl_Data[[#This Row],[Trimmed Measure Name]])</f>
        <v>132.78569994403261</v>
      </c>
      <c r="AU543" s="80">
        <f>IFERROR(VLOOKUP(tbl_Data[[#This Row],[All_Meas_Name_Append]],'IRA Tax Credits'!$A$3:$D$46,4,0),0)</f>
        <v>0</v>
      </c>
      <c r="AV543" s="81">
        <f>tbl_Data[[#This Row],[Adj. per unit Incentive ($)]]/tbl_Data[[#This Row],[kWh Savings]]*tbl_Data[[#This Row],[Sum of Annuals]]</f>
        <v>1.1099437032848778E-13</v>
      </c>
      <c r="AW543" s="81" t="str">
        <f>IFERROR(VLOOKUP(tbl_Data[[#This Row],[Column1]],'1. Set Program Names'!$B$2:$D$15,3,0)*tbl_Data[[#This Row],[Sum of Annuals]],"")</f>
        <v/>
      </c>
      <c r="AX543" s="81">
        <f>tbl_Data[[#This Row],[per unit IRA tax ($)]]/tbl_Data[[#This Row],[kWh Savings]]*tbl_Data[[#This Row],[Sum of Annuals]]</f>
        <v>0</v>
      </c>
      <c r="AY543" s="81">
        <f>tbl_Data[[#This Row],[Avoided Costs ($/unit)]]/tbl_Data[[#This Row],[kWh Savings]]*tbl_Data[[#This Row],[Sum of Annuals]]</f>
        <v>4.0514225747585513E-13</v>
      </c>
      <c r="AZ543" s="81">
        <f>tbl_Data[[#This Row],[Lost Revenue ($/unit)]]/tbl_Data[[#This Row],[kWh Savings]]*tbl_Data[[#This Row],[Sum of Annuals]]</f>
        <v>8.1242037105085568E-13</v>
      </c>
      <c r="BA543" s="81">
        <f>tbl_Data[[#This Row],[Incremental Cost ($/unit)]]/tbl_Data[[#This Row],[kWh Savings]]*tbl_Data[[#This Row],[Sum of Annuals]]</f>
        <v>3.6998123442829253E-13</v>
      </c>
      <c r="BB543" s="77">
        <f>ROUNDUP(tbl_Data[[#This Row],[Adjusted 2025]]/$L543,0)</f>
        <v>1</v>
      </c>
      <c r="BC543" s="77">
        <f>ROUNDUP(tbl_Data[[#This Row],[Adjusted 2026]]/$L543,0)</f>
        <v>1</v>
      </c>
      <c r="BD543" s="77">
        <f>ROUNDUP(tbl_Data[[#This Row],[Adjusted 2027]]/$L543,0)</f>
        <v>1</v>
      </c>
      <c r="BE543" s="77">
        <f>ROUNDUP(tbl_Data[[#This Row],[Adjusted 2028]]/$L543,0)</f>
        <v>1</v>
      </c>
      <c r="BF543" s="77">
        <f>ROUNDUP(tbl_Data[[#This Row],[Adjusted 2029]]/$L543,0)</f>
        <v>1</v>
      </c>
      <c r="BG543" s="77">
        <f>ROUNDUP(tbl_Data[[#This Row],[Adjusted 2030]]/$L543,0)</f>
        <v>1</v>
      </c>
      <c r="BH543" s="77">
        <f>ROUNDUP(tbl_Data[[#This Row],[Adjusted 2031]]/$L543,0)</f>
        <v>1</v>
      </c>
      <c r="BI543" s="77">
        <f>ROUNDUP(tbl_Data[[#This Row],[Adjusted 2032]]/$L543,0)</f>
        <v>1</v>
      </c>
      <c r="BJ543" s="77">
        <f>ROUNDUP(tbl_Data[[#This Row],[Adjusted 2033]]/$L543,0)</f>
        <v>1</v>
      </c>
      <c r="BK543" s="77">
        <f>ROUNDUP(tbl_Data[[#This Row],[Adjusted 2034]]/$L543,0)</f>
        <v>1</v>
      </c>
      <c r="BL543" s="80">
        <f t="shared" si="221"/>
        <v>9.7211794525380348E-3</v>
      </c>
      <c r="BM543" s="80">
        <f t="shared" si="222"/>
        <v>1.7883783260843326E-2</v>
      </c>
      <c r="BN543" s="80">
        <f t="shared" si="223"/>
        <v>2.470719361669305E-2</v>
      </c>
      <c r="BO543" s="80">
        <f t="shared" si="224"/>
        <v>3.0436589071655466E-2</v>
      </c>
      <c r="BP543" s="80">
        <f t="shared" si="225"/>
        <v>3.5269838154034651E-2</v>
      </c>
      <c r="BQ543" s="80">
        <f t="shared" si="226"/>
        <v>3.9369198056953852E-2</v>
      </c>
      <c r="BR543" s="80">
        <f t="shared" si="227"/>
        <v>4.2867799119493837E-2</v>
      </c>
      <c r="BS543" s="80">
        <f t="shared" si="228"/>
        <v>4.588103715476189E-2</v>
      </c>
      <c r="BT543" s="80">
        <f t="shared" si="229"/>
        <v>4.8511246067036766E-2</v>
      </c>
      <c r="BU543" s="80">
        <f t="shared" si="230"/>
        <v>5.0830172679277599E-2</v>
      </c>
      <c r="BV543" s="80" t="str">
        <f>IFERROR(VLOOKUP($H543,'1. Set Program Names'!$B$2:$D$15,3,0)*V543,"NA")</f>
        <v>NA</v>
      </c>
      <c r="BW543" s="80" t="str">
        <f>IFERROR(VLOOKUP($H543,'1. Set Program Names'!$B$2:$D$15,3,0)*W543,"NA")</f>
        <v>NA</v>
      </c>
      <c r="BX543" s="80" t="str">
        <f>IFERROR(VLOOKUP($H543,'1. Set Program Names'!$B$2:$D$15,3,0)*X543,"NA")</f>
        <v>NA</v>
      </c>
      <c r="BY543" s="80" t="str">
        <f>IFERROR(VLOOKUP($H543,'1. Set Program Names'!$B$2:$D$15,3,0)*Y543,"NA")</f>
        <v>NA</v>
      </c>
      <c r="BZ543" s="80" t="str">
        <f>IFERROR(VLOOKUP($H543,'1. Set Program Names'!$B$2:$D$15,3,0)*Z543,"NA")</f>
        <v>NA</v>
      </c>
      <c r="CA543" s="80" t="str">
        <f>IFERROR(VLOOKUP($H543,'1. Set Program Names'!$B$2:$D$15,3,0)*AA543,"NA")</f>
        <v>NA</v>
      </c>
      <c r="CB543" s="80" t="str">
        <f>IFERROR(VLOOKUP($H543,'1. Set Program Names'!$B$2:$D$15,3,0)*AB543,"NA")</f>
        <v>NA</v>
      </c>
      <c r="CC543" s="80" t="str">
        <f>IFERROR(VLOOKUP($H543,'1. Set Program Names'!$B$2:$D$15,3,0)*AC543,"NA")</f>
        <v>NA</v>
      </c>
      <c r="CD543" s="80" t="str">
        <f>IFERROR(VLOOKUP($H543,'1. Set Program Names'!$B$2:$D$15,3,0)*AD543,"NA")</f>
        <v>NA</v>
      </c>
      <c r="CE543" s="80" t="str">
        <f>IFERROR(VLOOKUP($H543,'1. Set Program Names'!$B$2:$D$15,3,0)*AE543,"NA")</f>
        <v>NA</v>
      </c>
    </row>
    <row r="544" spans="1:83" x14ac:dyDescent="0.25">
      <c r="A544" s="79" t="s">
        <v>116</v>
      </c>
      <c r="B544" s="79" t="s">
        <v>88</v>
      </c>
      <c r="C544" s="79" t="s">
        <v>122</v>
      </c>
      <c r="D544" s="79" t="s">
        <v>90</v>
      </c>
      <c r="E544" s="79" t="s">
        <v>91</v>
      </c>
      <c r="F544" s="79" t="s">
        <v>90</v>
      </c>
      <c r="G544" s="79" t="s">
        <v>92</v>
      </c>
      <c r="H544" s="79" t="s">
        <v>20</v>
      </c>
      <c r="I544" s="79" t="s">
        <v>237</v>
      </c>
      <c r="J544" s="79" t="s">
        <v>129</v>
      </c>
      <c r="K544" s="79" t="s">
        <v>102</v>
      </c>
      <c r="L544" s="79">
        <v>2568.1199999999699</v>
      </c>
      <c r="M544" s="79">
        <v>0.53641456399840104</v>
      </c>
      <c r="N544" s="79">
        <v>2.1892485513222901E-2</v>
      </c>
      <c r="O544" s="79">
        <f>9025.1/929.29*tbl_Data[[#This Row],[kWh Savings]]</f>
        <v>24941.126894725789</v>
      </c>
      <c r="P544" s="79">
        <v>35498.089296558101</v>
      </c>
      <c r="Q544" s="79">
        <v>154.08719999999801</v>
      </c>
      <c r="R544" s="79">
        <v>1534.4473108970501</v>
      </c>
      <c r="S544" s="79">
        <v>3958.9826982459099</v>
      </c>
      <c r="T544" s="79">
        <v>30</v>
      </c>
      <c r="U544" s="79">
        <v>0.05</v>
      </c>
      <c r="V544" s="79">
        <f>tbl_Data_old[[#This Row],[2025 ]]*IFERROR(AVERAGEIFS('Participation Adjustment'!$C:$C,'Participation Adjustment'!$A:$A,$H544,'Participation Adjustment'!$B:$B,$I544),1)</f>
        <v>2.5672177689267201E-3</v>
      </c>
      <c r="W544" s="79">
        <f>tbl_Data_old[[#This Row],[2026 ]]*IFERROR(AVERAGEIFS('Participation Adjustment'!$C:$C,'Participation Adjustment'!$A:$A,$H544,'Participation Adjustment'!$B:$B,$I544),1)</f>
        <v>2.85497544410439E-3</v>
      </c>
      <c r="X544" s="79">
        <f>tbl_Data_old[[#This Row],[2027 ]]*IFERROR(AVERAGEIFS('Participation Adjustment'!$C:$C,'Participation Adjustment'!$A:$A,$H544,'Participation Adjustment'!$B:$B,$I544),1)</f>
        <v>3.1606622381309302E-3</v>
      </c>
      <c r="Y544" s="79">
        <f>tbl_Data_old[[#This Row],[2028 ]]*IFERROR(AVERAGEIFS('Participation Adjustment'!$C:$C,'Participation Adjustment'!$A:$A,$H544,'Participation Adjustment'!$B:$B,$I544),1)</f>
        <v>3.4891246713603902E-3</v>
      </c>
      <c r="Z544" s="79">
        <f>tbl_Data_old[[#This Row],[2029 ]]*IFERROR(AVERAGEIFS('Participation Adjustment'!$C:$C,'Participation Adjustment'!$A:$A,$H544,'Participation Adjustment'!$B:$B,$I544),1)</f>
        <v>3.82802056571814E-3</v>
      </c>
      <c r="AA544" s="79">
        <f>tbl_Data_old[[#This Row],[2030 ]]*IFERROR(AVERAGEIFS('Participation Adjustment'!$C:$C,'Participation Adjustment'!$A:$A,$H544,'Participation Adjustment'!$B:$B,$I544),1)</f>
        <v>4.1754621331638103E-3</v>
      </c>
      <c r="AB544" s="79">
        <f>tbl_Data_old[[#This Row],[2031 ]]*IFERROR(AVERAGEIFS('Participation Adjustment'!$C:$C,'Participation Adjustment'!$A:$A,$H544,'Participation Adjustment'!$B:$B,$I544),1)</f>
        <v>4.5202860059660004E-3</v>
      </c>
      <c r="AC544" s="79">
        <f>tbl_Data_old[[#This Row],[2032 ]]*IFERROR(AVERAGEIFS('Participation Adjustment'!$C:$C,'Participation Adjustment'!$A:$A,$H544,'Participation Adjustment'!$B:$B,$I544),1)</f>
        <v>4.8679961364839503E-3</v>
      </c>
      <c r="AD544" s="79">
        <f>tbl_Data_old[[#This Row],[2033 ]]*IFERROR(AVERAGEIFS('Participation Adjustment'!$C:$C,'Participation Adjustment'!$A:$A,$H544,'Participation Adjustment'!$B:$B,$I544),1)</f>
        <v>5.2288525878758998E-3</v>
      </c>
      <c r="AE544" s="79">
        <f>tbl_Data_old[[#This Row],[2034 ]]*IFERROR(AVERAGEIFS('Participation Adjustment'!$C:$C,'Participation Adjustment'!$A:$A,$H544,'Participation Adjustment'!$B:$B,$I544),1)</f>
        <v>5.5797891600455098E-3</v>
      </c>
      <c r="AF544" s="77" t="str">
        <f t="shared" si="220"/>
        <v>NonResidential</v>
      </c>
      <c r="AG544" s="77" t="str">
        <f>tbl_Data[[#This Row],[All_Meas_Name_Append]]</f>
        <v>Ceiling Insulation(R19 to R38)</v>
      </c>
      <c r="AH544" s="77">
        <f>AVERAGEIFS('3. Incentive Adjustment'!G:G,'3. Incentive Adjustment'!A:A,tbl_Data[[#This Row],[Trimmed Sector]],'3. Incentive Adjustment'!B:B,tbl_Data[[#This Row],[Trimmed Measure Name]])</f>
        <v>3.9688771318830651E-15</v>
      </c>
      <c r="AI544" s="77">
        <f>$AH544*tbl_Data[[#This Row],[2025 ]]</f>
        <v>1.0188971895657122E-17</v>
      </c>
      <c r="AJ544" s="77">
        <f>$AH544*tbl_Data[[#This Row],[2026 ]]</f>
        <v>1.1331046752193612E-17</v>
      </c>
      <c r="AK544" s="77">
        <f>$AH544*tbl_Data[[#This Row],[2027 ]]</f>
        <v>1.2544280078524195E-17</v>
      </c>
      <c r="AL544" s="77">
        <f>$AH544*tbl_Data[[#This Row],[2028 ]]</f>
        <v>1.3847907118451267E-17</v>
      </c>
      <c r="AM544" s="77">
        <f>$AH544*tbl_Data[[#This Row],[2029 ]]</f>
        <v>1.5192943283656799E-17</v>
      </c>
      <c r="AN544" s="77">
        <f>$AH544*tbl_Data[[#This Row],[2030 ]]</f>
        <v>1.6571896175357529E-17</v>
      </c>
      <c r="AO544" s="77">
        <f>$AH544*tbl_Data[[#This Row],[2031 ]]</f>
        <v>1.7940459758649496E-17</v>
      </c>
      <c r="AP544" s="77">
        <f>$AH544*tbl_Data[[#This Row],[2032 ]]</f>
        <v>1.9320478544186263E-17</v>
      </c>
      <c r="AQ544" s="77">
        <f>$AH544*tbl_Data[[#This Row],[2033 ]]</f>
        <v>2.0752673462008245E-17</v>
      </c>
      <c r="AR544" s="77">
        <f>$AH544*tbl_Data[[#This Row],[2034 ]]</f>
        <v>2.214549759803364E-17</v>
      </c>
      <c r="AS544" s="77">
        <f>SUM(tbl_Data[[#This Row],[Adjusted 2025]:[Adjusted 2034]])</f>
        <v>1.5983615466671815E-16</v>
      </c>
      <c r="AT544" s="80">
        <f>AVERAGEIFS('3. Incentive Adjustment'!F:F,'3. Incentive Adjustment'!A:A,tbl_Data[[#This Row],[Trimmed Sector]],'3. Incentive Adjustment'!B:B,tbl_Data[[#This Row],[Trimmed Measure Name]])</f>
        <v>3222.5963039661074</v>
      </c>
      <c r="AU544" s="80">
        <f>IFERROR(VLOOKUP(tbl_Data[[#This Row],[All_Meas_Name_Append]],'IRA Tax Credits'!$A$3:$D$46,4,0),0)</f>
        <v>0</v>
      </c>
      <c r="AV544" s="81">
        <f>tbl_Data[[#This Row],[Adj. per unit Incentive ($)]]/tbl_Data[[#This Row],[kWh Savings]]*tbl_Data[[#This Row],[Sum of Annuals]]</f>
        <v>2.0056983367955044E-16</v>
      </c>
      <c r="AW544" s="81" t="str">
        <f>IFERROR(VLOOKUP(tbl_Data[[#This Row],[Column1]],'1. Set Program Names'!$B$2:$D$15,3,0)*tbl_Data[[#This Row],[Sum of Annuals]],"")</f>
        <v/>
      </c>
      <c r="AX544" s="81">
        <f>tbl_Data[[#This Row],[per unit IRA tax ($)]]/tbl_Data[[#This Row],[kWh Savings]]*tbl_Data[[#This Row],[Sum of Annuals]]</f>
        <v>0</v>
      </c>
      <c r="AY544" s="81">
        <f>tbl_Data[[#This Row],[Avoided Costs ($/unit)]]/tbl_Data[[#This Row],[kWh Savings]]*tbl_Data[[#This Row],[Sum of Annuals]]</f>
        <v>9.5501829241808616E-17</v>
      </c>
      <c r="AZ544" s="81">
        <f>tbl_Data[[#This Row],[Lost Revenue ($/unit)]]/tbl_Data[[#This Row],[kWh Savings]]*tbl_Data[[#This Row],[Sum of Annuals]]</f>
        <v>2.4640148080296165E-16</v>
      </c>
      <c r="BA544" s="81">
        <f>tbl_Data[[#This Row],[Incremental Cost ($/unit)]]/tbl_Data[[#This Row],[kWh Savings]]*tbl_Data[[#This Row],[Sum of Annuals]]</f>
        <v>1.5523004438685426E-15</v>
      </c>
      <c r="BB544" s="77">
        <f>ROUNDUP(tbl_Data[[#This Row],[Adjusted 2025]]/$L544,0)</f>
        <v>1</v>
      </c>
      <c r="BC544" s="77">
        <f>ROUNDUP(tbl_Data[[#This Row],[Adjusted 2026]]/$L544,0)</f>
        <v>1</v>
      </c>
      <c r="BD544" s="77">
        <f>ROUNDUP(tbl_Data[[#This Row],[Adjusted 2027]]/$L544,0)</f>
        <v>1</v>
      </c>
      <c r="BE544" s="77">
        <f>ROUNDUP(tbl_Data[[#This Row],[Adjusted 2028]]/$L544,0)</f>
        <v>1</v>
      </c>
      <c r="BF544" s="77">
        <f>ROUNDUP(tbl_Data[[#This Row],[Adjusted 2029]]/$L544,0)</f>
        <v>1</v>
      </c>
      <c r="BG544" s="77">
        <f>ROUNDUP(tbl_Data[[#This Row],[Adjusted 2030]]/$L544,0)</f>
        <v>1</v>
      </c>
      <c r="BH544" s="77">
        <f>ROUNDUP(tbl_Data[[#This Row],[Adjusted 2031]]/$L544,0)</f>
        <v>1</v>
      </c>
      <c r="BI544" s="77">
        <f>ROUNDUP(tbl_Data[[#This Row],[Adjusted 2032]]/$L544,0)</f>
        <v>1</v>
      </c>
      <c r="BJ544" s="77">
        <f>ROUNDUP(tbl_Data[[#This Row],[Adjusted 2033]]/$L544,0)</f>
        <v>1</v>
      </c>
      <c r="BK544" s="77">
        <f>ROUNDUP(tbl_Data[[#This Row],[Adjusted 2034]]/$L544,0)</f>
        <v>1</v>
      </c>
      <c r="BL544" s="80">
        <f t="shared" si="221"/>
        <v>3.2214641424931321E-3</v>
      </c>
      <c r="BM544" s="80">
        <f t="shared" si="222"/>
        <v>3.5825558439967417E-3</v>
      </c>
      <c r="BN544" s="80">
        <f t="shared" si="223"/>
        <v>3.9661458369103083E-3</v>
      </c>
      <c r="BO544" s="80">
        <f t="shared" si="224"/>
        <v>4.3783157601681713E-3</v>
      </c>
      <c r="BP544" s="80">
        <f t="shared" si="225"/>
        <v>4.8035780752416829E-3</v>
      </c>
      <c r="BQ544" s="80">
        <f t="shared" si="226"/>
        <v>5.2395638979815164E-3</v>
      </c>
      <c r="BR544" s="80">
        <f t="shared" si="227"/>
        <v>5.672264915851254E-3</v>
      </c>
      <c r="BS544" s="80">
        <f t="shared" si="228"/>
        <v>6.1085877440129957E-3</v>
      </c>
      <c r="BT544" s="80">
        <f t="shared" si="229"/>
        <v>6.5614071864526146E-3</v>
      </c>
      <c r="BU544" s="80">
        <f t="shared" si="230"/>
        <v>7.00177870351581E-3</v>
      </c>
      <c r="BV544" s="80" t="str">
        <f>IFERROR(VLOOKUP($H544,'1. Set Program Names'!$B$2:$D$15,3,0)*V544,"NA")</f>
        <v>NA</v>
      </c>
      <c r="BW544" s="80" t="str">
        <f>IFERROR(VLOOKUP($H544,'1. Set Program Names'!$B$2:$D$15,3,0)*W544,"NA")</f>
        <v>NA</v>
      </c>
      <c r="BX544" s="80" t="str">
        <f>IFERROR(VLOOKUP($H544,'1. Set Program Names'!$B$2:$D$15,3,0)*X544,"NA")</f>
        <v>NA</v>
      </c>
      <c r="BY544" s="80" t="str">
        <f>IFERROR(VLOOKUP($H544,'1. Set Program Names'!$B$2:$D$15,3,0)*Y544,"NA")</f>
        <v>NA</v>
      </c>
      <c r="BZ544" s="80" t="str">
        <f>IFERROR(VLOOKUP($H544,'1. Set Program Names'!$B$2:$D$15,3,0)*Z544,"NA")</f>
        <v>NA</v>
      </c>
      <c r="CA544" s="80" t="str">
        <f>IFERROR(VLOOKUP($H544,'1. Set Program Names'!$B$2:$D$15,3,0)*AA544,"NA")</f>
        <v>NA</v>
      </c>
      <c r="CB544" s="80" t="str">
        <f>IFERROR(VLOOKUP($H544,'1. Set Program Names'!$B$2:$D$15,3,0)*AB544,"NA")</f>
        <v>NA</v>
      </c>
      <c r="CC544" s="80" t="str">
        <f>IFERROR(VLOOKUP($H544,'1. Set Program Names'!$B$2:$D$15,3,0)*AC544,"NA")</f>
        <v>NA</v>
      </c>
      <c r="CD544" s="80" t="str">
        <f>IFERROR(VLOOKUP($H544,'1. Set Program Names'!$B$2:$D$15,3,0)*AD544,"NA")</f>
        <v>NA</v>
      </c>
      <c r="CE544" s="80" t="str">
        <f>IFERROR(VLOOKUP($H544,'1. Set Program Names'!$B$2:$D$15,3,0)*AE544,"NA")</f>
        <v>NA</v>
      </c>
    </row>
    <row r="545" spans="1:83" x14ac:dyDescent="0.25">
      <c r="A545" s="79" t="s">
        <v>116</v>
      </c>
      <c r="B545" s="79" t="s">
        <v>88</v>
      </c>
      <c r="C545" s="79" t="s">
        <v>122</v>
      </c>
      <c r="D545" s="79" t="s">
        <v>90</v>
      </c>
      <c r="E545" s="79" t="s">
        <v>91</v>
      </c>
      <c r="F545" s="79" t="s">
        <v>90</v>
      </c>
      <c r="G545" s="79" t="s">
        <v>92</v>
      </c>
      <c r="H545" s="79" t="s">
        <v>20</v>
      </c>
      <c r="I545" s="79" t="s">
        <v>238</v>
      </c>
      <c r="J545" s="79" t="s">
        <v>129</v>
      </c>
      <c r="K545" s="79" t="s">
        <v>102</v>
      </c>
      <c r="L545" s="79">
        <v>4477.6116666666303</v>
      </c>
      <c r="M545" s="79">
        <v>0.90610878358590996</v>
      </c>
      <c r="N545" s="79">
        <v>4.9616670393602701E-2</v>
      </c>
      <c r="O545" s="79">
        <f>9351.31/1137.9*tbl_Data[[#This Row],[kWh Savings]]</f>
        <v>36797.200768623181</v>
      </c>
      <c r="P545" s="79">
        <v>44221.719775682497</v>
      </c>
      <c r="Q545" s="79">
        <v>268.65669999999699</v>
      </c>
      <c r="R545" s="79">
        <v>2670.7044942461998</v>
      </c>
      <c r="S545" s="79">
        <v>6902.6319322295803</v>
      </c>
      <c r="T545" s="79">
        <v>30</v>
      </c>
      <c r="U545" s="79">
        <v>0.05</v>
      </c>
      <c r="V545" s="79">
        <f>tbl_Data_old[[#This Row],[2025 ]]*IFERROR(AVERAGEIFS('Participation Adjustment'!$C:$C,'Participation Adjustment'!$A:$A,$H545,'Participation Adjustment'!$B:$B,$I545),1)</f>
        <v>4.7279510881321103E-3</v>
      </c>
      <c r="W545" s="79">
        <f>tbl_Data_old[[#This Row],[2026 ]]*IFERROR(AVERAGEIFS('Participation Adjustment'!$C:$C,'Participation Adjustment'!$A:$A,$H545,'Participation Adjustment'!$B:$B,$I545),1)</f>
        <v>5.2477057644603996E-3</v>
      </c>
      <c r="X545" s="79">
        <f>tbl_Data_old[[#This Row],[2027 ]]*IFERROR(AVERAGEIFS('Participation Adjustment'!$C:$C,'Participation Adjustment'!$A:$A,$H545,'Participation Adjustment'!$B:$B,$I545),1)</f>
        <v>5.7974002402725704E-3</v>
      </c>
      <c r="Y545" s="79">
        <f>tbl_Data_old[[#This Row],[2028 ]]*IFERROR(AVERAGEIFS('Participation Adjustment'!$C:$C,'Participation Adjustment'!$A:$A,$H545,'Participation Adjustment'!$B:$B,$I545),1)</f>
        <v>6.3866465635960797E-3</v>
      </c>
      <c r="Z545" s="79">
        <f>tbl_Data_old[[#This Row],[2029 ]]*IFERROR(AVERAGEIFS('Participation Adjustment'!$C:$C,'Participation Adjustment'!$A:$A,$H545,'Participation Adjustment'!$B:$B,$I545),1)</f>
        <v>6.9933070619593802E-3</v>
      </c>
      <c r="AA545" s="79">
        <f>tbl_Data_old[[#This Row],[2030 ]]*IFERROR(AVERAGEIFS('Participation Adjustment'!$C:$C,'Participation Adjustment'!$A:$A,$H545,'Participation Adjustment'!$B:$B,$I545),1)</f>
        <v>7.6135958015579996E-3</v>
      </c>
      <c r="AB545" s="79">
        <f>tbl_Data_old[[#This Row],[2031 ]]*IFERROR(AVERAGEIFS('Participation Adjustment'!$C:$C,'Participation Adjustment'!$A:$A,$H545,'Participation Adjustment'!$B:$B,$I545),1)</f>
        <v>8.2278292876544808E-3</v>
      </c>
      <c r="AC545" s="79">
        <f>tbl_Data_old[[#This Row],[2032 ]]*IFERROR(AVERAGEIFS('Participation Adjustment'!$C:$C,'Participation Adjustment'!$A:$A,$H545,'Participation Adjustment'!$B:$B,$I545),1)</f>
        <v>8.8461574966662692E-3</v>
      </c>
      <c r="AD545" s="79">
        <f>tbl_Data_old[[#This Row],[2033 ]]*IFERROR(AVERAGEIFS('Participation Adjustment'!$C:$C,'Participation Adjustment'!$A:$A,$H545,'Participation Adjustment'!$B:$B,$I545),1)</f>
        <v>9.4866340018722895E-3</v>
      </c>
      <c r="AE545" s="79">
        <f>tbl_Data_old[[#This Row],[2034 ]]*IFERROR(AVERAGEIFS('Participation Adjustment'!$C:$C,'Participation Adjustment'!$A:$A,$H545,'Participation Adjustment'!$B:$B,$I545),1)</f>
        <v>1.01082364594192E-2</v>
      </c>
      <c r="AF545" s="77" t="str">
        <f t="shared" si="220"/>
        <v>NonResidential</v>
      </c>
      <c r="AG545" s="77" t="str">
        <f>tbl_Data[[#This Row],[All_Meas_Name_Append]]</f>
        <v>Ceiling Insulation(R19 to R49)</v>
      </c>
      <c r="AH545" s="77">
        <f>AVERAGEIFS('3. Incentive Adjustment'!G:G,'3. Incentive Adjustment'!A:A,tbl_Data[[#This Row],[Trimmed Sector]],'3. Incentive Adjustment'!B:B,tbl_Data[[#This Row],[Trimmed Measure Name]])</f>
        <v>7.9373870200739678E-11</v>
      </c>
      <c r="AI545" s="77">
        <f>$AH545*tbl_Data[[#This Row],[2025 ]]</f>
        <v>3.7527577598484407E-13</v>
      </c>
      <c r="AJ545" s="77">
        <f>$AH545*tbl_Data[[#This Row],[2026 ]]</f>
        <v>4.1653071619995313E-13</v>
      </c>
      <c r="AK545" s="77">
        <f>$AH545*tbl_Data[[#This Row],[2027 ]]</f>
        <v>4.6016209417313199E-13</v>
      </c>
      <c r="AL545" s="77">
        <f>$AH545*tbl_Data[[#This Row],[2028 ]]</f>
        <v>5.0693285535687534E-13</v>
      </c>
      <c r="AM545" s="77">
        <f>$AH545*tbl_Data[[#This Row],[2029 ]]</f>
        <v>5.5508584700987995E-13</v>
      </c>
      <c r="AN545" s="77">
        <f>$AH545*tbl_Data[[#This Row],[2030 ]]</f>
        <v>6.0432056491376121E-13</v>
      </c>
      <c r="AO545" s="77">
        <f>$AH545*tbl_Data[[#This Row],[2031 ]]</f>
        <v>6.5307465391213114E-13</v>
      </c>
      <c r="AP545" s="77">
        <f>$AH545*tbl_Data[[#This Row],[2032 ]]</f>
        <v>7.0215375691568868E-13</v>
      </c>
      <c r="AQ545" s="77">
        <f>$AH545*tbl_Data[[#This Row],[2033 ]]</f>
        <v>7.5299085590653475E-13</v>
      </c>
      <c r="AR545" s="77">
        <f>$AH545*tbl_Data[[#This Row],[2034 ]]</f>
        <v>8.0232984868832398E-13</v>
      </c>
      <c r="AS545" s="77">
        <f>SUM(tbl_Data[[#This Row],[Adjusted 2025]:[Adjusted 2034]])</f>
        <v>5.8288569690611245E-12</v>
      </c>
      <c r="AT545" s="80">
        <f>AVERAGEIFS('3. Incentive Adjustment'!F:F,'3. Incentive Adjustment'!A:A,tbl_Data[[#This Row],[Trimmed Sector]],'3. Incentive Adjustment'!B:B,tbl_Data[[#This Row],[Trimmed Measure Name]])</f>
        <v>4754.4974087894998</v>
      </c>
      <c r="AU545" s="80">
        <f>IFERROR(VLOOKUP(tbl_Data[[#This Row],[All_Meas_Name_Append]],'IRA Tax Credits'!$A$3:$D$46,4,0),0)</f>
        <v>500</v>
      </c>
      <c r="AV545" s="81">
        <f>tbl_Data[[#This Row],[Adj. per unit Incentive ($)]]/tbl_Data[[#This Row],[kWh Savings]]*tbl_Data[[#This Row],[Sum of Annuals]]</f>
        <v>6.1893007743203786E-12</v>
      </c>
      <c r="AW545" s="81" t="str">
        <f>IFERROR(VLOOKUP(tbl_Data[[#This Row],[Column1]],'1. Set Program Names'!$B$2:$D$15,3,0)*tbl_Data[[#This Row],[Sum of Annuals]],"")</f>
        <v/>
      </c>
      <c r="AX545" s="81">
        <f>tbl_Data[[#This Row],[per unit IRA tax ($)]]/tbl_Data[[#This Row],[kWh Savings]]*tbl_Data[[#This Row],[Sum of Annuals]]</f>
        <v>6.50889067988385E-13</v>
      </c>
      <c r="AY545" s="81">
        <f>tbl_Data[[#This Row],[Avoided Costs ($/unit)]]/tbl_Data[[#This Row],[kWh Savings]]*tbl_Data[[#This Row],[Sum of Annuals]]</f>
        <v>3.4766647182646E-12</v>
      </c>
      <c r="AZ545" s="81">
        <f>tbl_Data[[#This Row],[Lost Revenue ($/unit)]]/tbl_Data[[#This Row],[kWh Savings]]*tbl_Data[[#This Row],[Sum of Annuals]]</f>
        <v>8.9856953300715527E-12</v>
      </c>
      <c r="BA545" s="81">
        <f>tbl_Data[[#This Row],[Incremental Cost ($/unit)]]/tbl_Data[[#This Row],[kWh Savings]]*tbl_Data[[#This Row],[Sum of Annuals]]</f>
        <v>4.7901791425741257E-11</v>
      </c>
      <c r="BB545" s="77">
        <f>ROUNDUP(tbl_Data[[#This Row],[Adjusted 2025]]/$L545,0)</f>
        <v>1</v>
      </c>
      <c r="BC545" s="77">
        <f>ROUNDUP(tbl_Data[[#This Row],[Adjusted 2026]]/$L545,0)</f>
        <v>1</v>
      </c>
      <c r="BD545" s="77">
        <f>ROUNDUP(tbl_Data[[#This Row],[Adjusted 2027]]/$L545,0)</f>
        <v>1</v>
      </c>
      <c r="BE545" s="77">
        <f>ROUNDUP(tbl_Data[[#This Row],[Adjusted 2028]]/$L545,0)</f>
        <v>1</v>
      </c>
      <c r="BF545" s="77">
        <f>ROUNDUP(tbl_Data[[#This Row],[Adjusted 2029]]/$L545,0)</f>
        <v>1</v>
      </c>
      <c r="BG545" s="77">
        <f>ROUNDUP(tbl_Data[[#This Row],[Adjusted 2030]]/$L545,0)</f>
        <v>1</v>
      </c>
      <c r="BH545" s="77">
        <f>ROUNDUP(tbl_Data[[#This Row],[Adjusted 2031]]/$L545,0)</f>
        <v>1</v>
      </c>
      <c r="BI545" s="77">
        <f>ROUNDUP(tbl_Data[[#This Row],[Adjusted 2032]]/$L545,0)</f>
        <v>1</v>
      </c>
      <c r="BJ545" s="77">
        <f>ROUNDUP(tbl_Data[[#This Row],[Adjusted 2033]]/$L545,0)</f>
        <v>1</v>
      </c>
      <c r="BK545" s="77">
        <f>ROUNDUP(tbl_Data[[#This Row],[Adjusted 2034]]/$L545,0)</f>
        <v>1</v>
      </c>
      <c r="BL545" s="80">
        <f t="shared" si="221"/>
        <v>5.0203172742182417E-3</v>
      </c>
      <c r="BM545" s="80">
        <f t="shared" si="222"/>
        <v>5.5722124464158669E-3</v>
      </c>
      <c r="BN545" s="80">
        <f t="shared" si="223"/>
        <v>6.1558988300143159E-3</v>
      </c>
      <c r="BO545" s="80">
        <f t="shared" si="224"/>
        <v>6.7815828611321825E-3</v>
      </c>
      <c r="BP545" s="80">
        <f t="shared" si="225"/>
        <v>7.4257579219030355E-3</v>
      </c>
      <c r="BQ545" s="80">
        <f t="shared" si="226"/>
        <v>8.084403964631089E-3</v>
      </c>
      <c r="BR545" s="80">
        <f t="shared" si="227"/>
        <v>8.7366203101837941E-3</v>
      </c>
      <c r="BS545" s="80">
        <f t="shared" si="228"/>
        <v>9.393184587388425E-3</v>
      </c>
      <c r="BT545" s="80">
        <f t="shared" si="229"/>
        <v>1.0073266763130017E-2</v>
      </c>
      <c r="BU545" s="80">
        <f t="shared" si="230"/>
        <v>1.0733307761259749E-2</v>
      </c>
      <c r="BV545" s="80" t="str">
        <f>IFERROR(VLOOKUP($H545,'1. Set Program Names'!$B$2:$D$15,3,0)*V545,"NA")</f>
        <v>NA</v>
      </c>
      <c r="BW545" s="80" t="str">
        <f>IFERROR(VLOOKUP($H545,'1. Set Program Names'!$B$2:$D$15,3,0)*W545,"NA")</f>
        <v>NA</v>
      </c>
      <c r="BX545" s="80" t="str">
        <f>IFERROR(VLOOKUP($H545,'1. Set Program Names'!$B$2:$D$15,3,0)*X545,"NA")</f>
        <v>NA</v>
      </c>
      <c r="BY545" s="80" t="str">
        <f>IFERROR(VLOOKUP($H545,'1. Set Program Names'!$B$2:$D$15,3,0)*Y545,"NA")</f>
        <v>NA</v>
      </c>
      <c r="BZ545" s="80" t="str">
        <f>IFERROR(VLOOKUP($H545,'1. Set Program Names'!$B$2:$D$15,3,0)*Z545,"NA")</f>
        <v>NA</v>
      </c>
      <c r="CA545" s="80" t="str">
        <f>IFERROR(VLOOKUP($H545,'1. Set Program Names'!$B$2:$D$15,3,0)*AA545,"NA")</f>
        <v>NA</v>
      </c>
      <c r="CB545" s="80" t="str">
        <f>IFERROR(VLOOKUP($H545,'1. Set Program Names'!$B$2:$D$15,3,0)*AB545,"NA")</f>
        <v>NA</v>
      </c>
      <c r="CC545" s="80" t="str">
        <f>IFERROR(VLOOKUP($H545,'1. Set Program Names'!$B$2:$D$15,3,0)*AC545,"NA")</f>
        <v>NA</v>
      </c>
      <c r="CD545" s="80" t="str">
        <f>IFERROR(VLOOKUP($H545,'1. Set Program Names'!$B$2:$D$15,3,0)*AD545,"NA")</f>
        <v>NA</v>
      </c>
      <c r="CE545" s="80" t="str">
        <f>IFERROR(VLOOKUP($H545,'1. Set Program Names'!$B$2:$D$15,3,0)*AE545,"NA")</f>
        <v>NA</v>
      </c>
    </row>
    <row r="546" spans="1:83" x14ac:dyDescent="0.25">
      <c r="A546" s="79" t="s">
        <v>116</v>
      </c>
      <c r="B546" s="79" t="s">
        <v>88</v>
      </c>
      <c r="C546" s="79" t="s">
        <v>122</v>
      </c>
      <c r="D546" s="79" t="s">
        <v>90</v>
      </c>
      <c r="E546" s="79" t="s">
        <v>91</v>
      </c>
      <c r="F546" s="79" t="s">
        <v>90</v>
      </c>
      <c r="G546" s="79" t="s">
        <v>92</v>
      </c>
      <c r="H546" s="79" t="s">
        <v>20</v>
      </c>
      <c r="I546" s="79" t="s">
        <v>240</v>
      </c>
      <c r="J546" s="79" t="s">
        <v>129</v>
      </c>
      <c r="K546" s="79" t="s">
        <v>102</v>
      </c>
      <c r="L546" s="79">
        <v>18717.787499999999</v>
      </c>
      <c r="M546" s="79">
        <v>3.6380387810097399</v>
      </c>
      <c r="N546" s="79">
        <v>0.14255501576814</v>
      </c>
      <c r="O546" s="79">
        <f>11091.09/6133.31*tbl_Data[[#This Row],[kWh Savings]]</f>
        <v>33848.063405139306</v>
      </c>
      <c r="P546" s="79">
        <v>45532.278837645601</v>
      </c>
      <c r="Q546" s="79">
        <v>1123.0672500000001</v>
      </c>
      <c r="R546" s="79">
        <v>11042.715256281999</v>
      </c>
      <c r="S546" s="79">
        <v>28855.114582630202</v>
      </c>
      <c r="T546" s="79">
        <v>30</v>
      </c>
      <c r="U546" s="79">
        <v>0.05</v>
      </c>
      <c r="V546" s="79">
        <f>tbl_Data_old[[#This Row],[2025 ]]*IFERROR(AVERAGEIFS('Participation Adjustment'!$C:$C,'Participation Adjustment'!$A:$A,$H546,'Participation Adjustment'!$B:$B,$I546),1)</f>
        <v>2.4947593568523498E-3</v>
      </c>
      <c r="W546" s="79">
        <f>tbl_Data_old[[#This Row],[2026 ]]*IFERROR(AVERAGEIFS('Participation Adjustment'!$C:$C,'Participation Adjustment'!$A:$A,$H546,'Participation Adjustment'!$B:$B,$I546),1)</f>
        <v>2.4454313520748902E-3</v>
      </c>
      <c r="X546" s="79">
        <f>tbl_Data_old[[#This Row],[2027 ]]*IFERROR(AVERAGEIFS('Participation Adjustment'!$C:$C,'Participation Adjustment'!$A:$A,$H546,'Participation Adjustment'!$B:$B,$I546),1)</f>
        <v>2.37223103734748E-3</v>
      </c>
      <c r="Y546" s="79">
        <f>tbl_Data_old[[#This Row],[2028 ]]*IFERROR(AVERAGEIFS('Participation Adjustment'!$C:$C,'Participation Adjustment'!$A:$A,$H546,'Participation Adjustment'!$B:$B,$I546),1)</f>
        <v>2.2981481910545202E-3</v>
      </c>
      <c r="Z546" s="79">
        <f>tbl_Data_old[[#This Row],[2029 ]]*IFERROR(AVERAGEIFS('Participation Adjustment'!$C:$C,'Participation Adjustment'!$A:$A,$H546,'Participation Adjustment'!$B:$B,$I546),1)</f>
        <v>2.2241749343425501E-3</v>
      </c>
      <c r="AA546" s="79">
        <f>tbl_Data_old[[#This Row],[2030 ]]*IFERROR(AVERAGEIFS('Participation Adjustment'!$C:$C,'Participation Adjustment'!$A:$A,$H546,'Participation Adjustment'!$B:$B,$I546),1)</f>
        <v>2.1444684425715901E-3</v>
      </c>
      <c r="AB546" s="79">
        <f>tbl_Data_old[[#This Row],[2031 ]]*IFERROR(AVERAGEIFS('Participation Adjustment'!$C:$C,'Participation Adjustment'!$A:$A,$H546,'Participation Adjustment'!$B:$B,$I546),1)</f>
        <v>2.06383567842198E-3</v>
      </c>
      <c r="AC546" s="79">
        <f>tbl_Data_old[[#This Row],[2032 ]]*IFERROR(AVERAGEIFS('Participation Adjustment'!$C:$C,'Participation Adjustment'!$A:$A,$H546,'Participation Adjustment'!$B:$B,$I546),1)</f>
        <v>1.9859969946620301E-3</v>
      </c>
      <c r="AD546" s="79">
        <f>tbl_Data_old[[#This Row],[2033 ]]*IFERROR(AVERAGEIFS('Participation Adjustment'!$C:$C,'Participation Adjustment'!$A:$A,$H546,'Participation Adjustment'!$B:$B,$I546),1)</f>
        <v>1.90776845401049E-3</v>
      </c>
      <c r="AE546" s="79">
        <f>tbl_Data_old[[#This Row],[2034 ]]*IFERROR(AVERAGEIFS('Participation Adjustment'!$C:$C,'Participation Adjustment'!$A:$A,$H546,'Participation Adjustment'!$B:$B,$I546),1)</f>
        <v>1.8304760215589299E-3</v>
      </c>
      <c r="AF546" s="77" t="str">
        <f t="shared" si="220"/>
        <v>NonResidential</v>
      </c>
      <c r="AG546" s="77" t="str">
        <f>tbl_Data[[#This Row],[All_Meas_Name_Append]]</f>
        <v>Ceiling Insulation(R2 to R38)</v>
      </c>
      <c r="AH546" s="77">
        <f>AVERAGEIFS('3. Incentive Adjustment'!G:G,'3. Incentive Adjustment'!A:A,tbl_Data[[#This Row],[Trimmed Sector]],'3. Incentive Adjustment'!B:B,tbl_Data[[#This Row],[Trimmed Measure Name]])</f>
        <v>3.0218441517909909E-3</v>
      </c>
      <c r="AI546" s="77">
        <f>$AH546*tbl_Data[[#This Row],[2025 ]]</f>
        <v>7.538773972630127E-6</v>
      </c>
      <c r="AJ546" s="77">
        <f>$AH546*tbl_Data[[#This Row],[2026 ]]</f>
        <v>7.3897124298738422E-6</v>
      </c>
      <c r="AK546" s="77">
        <f>$AH546*tbl_Data[[#This Row],[2027 ]]</f>
        <v>7.1685124869055577E-6</v>
      </c>
      <c r="AL546" s="77">
        <f>$AH546*tbl_Data[[#This Row],[2028 ]]</f>
        <v>6.9446456710871467E-6</v>
      </c>
      <c r="AM546" s="77">
        <f>$AH546*tbl_Data[[#This Row],[2029 ]]</f>
        <v>6.7211100179031465E-6</v>
      </c>
      <c r="AN546" s="77">
        <f>$AH546*tbl_Data[[#This Row],[2030 ]]</f>
        <v>6.4802494218852941E-6</v>
      </c>
      <c r="AO546" s="77">
        <f>$AH546*tbl_Data[[#This Row],[2031 ]]</f>
        <v>6.2365897750970526E-6</v>
      </c>
      <c r="AP546" s="77">
        <f>$AH546*tbl_Data[[#This Row],[2032 ]]</f>
        <v>6.0013734037939392E-6</v>
      </c>
      <c r="AQ546" s="77">
        <f>$AH546*tbl_Data[[#This Row],[2033 ]]</f>
        <v>5.7649789457229393E-6</v>
      </c>
      <c r="AR546" s="77">
        <f>$AH546*tbl_Data[[#This Row],[2034 ]]</f>
        <v>5.5314132607414921E-6</v>
      </c>
      <c r="AS546" s="77">
        <f>SUM(tbl_Data[[#This Row],[Adjusted 2025]:[Adjusted 2034]])</f>
        <v>6.5777359385640541E-5</v>
      </c>
      <c r="AT546" s="80">
        <f>AVERAGEIFS('3. Incentive Adjustment'!F:F,'3. Incentive Adjustment'!A:A,tbl_Data[[#This Row],[Trimmed Sector]],'3. Incentive Adjustment'!B:B,tbl_Data[[#This Row],[Trimmed Measure Name]])</f>
        <v>4373.4448922946976</v>
      </c>
      <c r="AU546" s="80">
        <f>IFERROR(VLOOKUP(tbl_Data[[#This Row],[All_Meas_Name_Append]],'IRA Tax Credits'!$A$3:$D$46,4,0),0)</f>
        <v>0</v>
      </c>
      <c r="AV546" s="81">
        <f>tbl_Data[[#This Row],[Adj. per unit Incentive ($)]]/tbl_Data[[#This Row],[kWh Savings]]*tbl_Data[[#This Row],[Sum of Annuals]]</f>
        <v>1.5368998949996754E-5</v>
      </c>
      <c r="AW546" s="81" t="str">
        <f>IFERROR(VLOOKUP(tbl_Data[[#This Row],[Column1]],'1. Set Program Names'!$B$2:$D$15,3,0)*tbl_Data[[#This Row],[Sum of Annuals]],"")</f>
        <v/>
      </c>
      <c r="AX546" s="81">
        <f>tbl_Data[[#This Row],[per unit IRA tax ($)]]/tbl_Data[[#This Row],[kWh Savings]]*tbl_Data[[#This Row],[Sum of Annuals]]</f>
        <v>0</v>
      </c>
      <c r="AY546" s="81">
        <f>tbl_Data[[#This Row],[Avoided Costs ($/unit)]]/tbl_Data[[#This Row],[kWh Savings]]*tbl_Data[[#This Row],[Sum of Annuals]]</f>
        <v>3.880590320868622E-5</v>
      </c>
      <c r="AZ546" s="81">
        <f>tbl_Data[[#This Row],[Lost Revenue ($/unit)]]/tbl_Data[[#This Row],[kWh Savings]]*tbl_Data[[#This Row],[Sum of Annuals]]</f>
        <v>1.0140158082334806E-4</v>
      </c>
      <c r="BA546" s="81">
        <f>tbl_Data[[#This Row],[Incremental Cost ($/unit)]]/tbl_Data[[#This Row],[kWh Savings]]*tbl_Data[[#This Row],[Sum of Annuals]]</f>
        <v>1.1894761766623306E-4</v>
      </c>
      <c r="BB546" s="77">
        <f>ROUNDUP(tbl_Data[[#This Row],[Adjusted 2025]]/$L546,0)</f>
        <v>1</v>
      </c>
      <c r="BC546" s="77">
        <f>ROUNDUP(tbl_Data[[#This Row],[Adjusted 2026]]/$L546,0)</f>
        <v>1</v>
      </c>
      <c r="BD546" s="77">
        <f>ROUNDUP(tbl_Data[[#This Row],[Adjusted 2027]]/$L546,0)</f>
        <v>1</v>
      </c>
      <c r="BE546" s="77">
        <f>ROUNDUP(tbl_Data[[#This Row],[Adjusted 2028]]/$L546,0)</f>
        <v>1</v>
      </c>
      <c r="BF546" s="77">
        <f>ROUNDUP(tbl_Data[[#This Row],[Adjusted 2029]]/$L546,0)</f>
        <v>1</v>
      </c>
      <c r="BG546" s="77">
        <f>ROUNDUP(tbl_Data[[#This Row],[Adjusted 2030]]/$L546,0)</f>
        <v>1</v>
      </c>
      <c r="BH546" s="77">
        <f>ROUNDUP(tbl_Data[[#This Row],[Adjusted 2031]]/$L546,0)</f>
        <v>1</v>
      </c>
      <c r="BI546" s="77">
        <f>ROUNDUP(tbl_Data[[#This Row],[Adjusted 2032]]/$L546,0)</f>
        <v>1</v>
      </c>
      <c r="BJ546" s="77">
        <f>ROUNDUP(tbl_Data[[#This Row],[Adjusted 2033]]/$L546,0)</f>
        <v>1</v>
      </c>
      <c r="BK546" s="77">
        <f>ROUNDUP(tbl_Data[[#This Row],[Adjusted 2034]]/$L546,0)</f>
        <v>1</v>
      </c>
      <c r="BL546" s="80">
        <f t="shared" si="221"/>
        <v>5.8290503440806319E-4</v>
      </c>
      <c r="BM546" s="80">
        <f t="shared" si="222"/>
        <v>5.7137945690372038E-4</v>
      </c>
      <c r="BN546" s="80">
        <f t="shared" si="223"/>
        <v>5.5427607101695591E-4</v>
      </c>
      <c r="BO546" s="80">
        <f t="shared" si="224"/>
        <v>5.36966480034229E-4</v>
      </c>
      <c r="BP546" s="80">
        <f t="shared" si="225"/>
        <v>5.1968249485524515E-4</v>
      </c>
      <c r="BQ546" s="80">
        <f t="shared" si="226"/>
        <v>5.0105892893868398E-4</v>
      </c>
      <c r="BR546" s="80">
        <f t="shared" si="227"/>
        <v>4.8221893780609339E-4</v>
      </c>
      <c r="BS546" s="80">
        <f t="shared" si="228"/>
        <v>4.6403178860841734E-4</v>
      </c>
      <c r="BT546" s="80">
        <f t="shared" si="229"/>
        <v>4.4575354864313587E-4</v>
      </c>
      <c r="BU546" s="80">
        <f t="shared" si="230"/>
        <v>4.2769403205132134E-4</v>
      </c>
      <c r="BV546" s="80" t="str">
        <f>IFERROR(VLOOKUP($H546,'1. Set Program Names'!$B$2:$D$15,3,0)*V546,"NA")</f>
        <v>NA</v>
      </c>
      <c r="BW546" s="80" t="str">
        <f>IFERROR(VLOOKUP($H546,'1. Set Program Names'!$B$2:$D$15,3,0)*W546,"NA")</f>
        <v>NA</v>
      </c>
      <c r="BX546" s="80" t="str">
        <f>IFERROR(VLOOKUP($H546,'1. Set Program Names'!$B$2:$D$15,3,0)*X546,"NA")</f>
        <v>NA</v>
      </c>
      <c r="BY546" s="80" t="str">
        <f>IFERROR(VLOOKUP($H546,'1. Set Program Names'!$B$2:$D$15,3,0)*Y546,"NA")</f>
        <v>NA</v>
      </c>
      <c r="BZ546" s="80" t="str">
        <f>IFERROR(VLOOKUP($H546,'1. Set Program Names'!$B$2:$D$15,3,0)*Z546,"NA")</f>
        <v>NA</v>
      </c>
      <c r="CA546" s="80" t="str">
        <f>IFERROR(VLOOKUP($H546,'1. Set Program Names'!$B$2:$D$15,3,0)*AA546,"NA")</f>
        <v>NA</v>
      </c>
      <c r="CB546" s="80" t="str">
        <f>IFERROR(VLOOKUP($H546,'1. Set Program Names'!$B$2:$D$15,3,0)*AB546,"NA")</f>
        <v>NA</v>
      </c>
      <c r="CC546" s="80" t="str">
        <f>IFERROR(VLOOKUP($H546,'1. Set Program Names'!$B$2:$D$15,3,0)*AC546,"NA")</f>
        <v>NA</v>
      </c>
      <c r="CD546" s="80" t="str">
        <f>IFERROR(VLOOKUP($H546,'1. Set Program Names'!$B$2:$D$15,3,0)*AD546,"NA")</f>
        <v>NA</v>
      </c>
      <c r="CE546" s="80" t="str">
        <f>IFERROR(VLOOKUP($H546,'1. Set Program Names'!$B$2:$D$15,3,0)*AE546,"NA")</f>
        <v>NA</v>
      </c>
    </row>
    <row r="547" spans="1:83" x14ac:dyDescent="0.25">
      <c r="A547" s="79" t="s">
        <v>116</v>
      </c>
      <c r="B547" s="79" t="s">
        <v>88</v>
      </c>
      <c r="C547" s="79" t="s">
        <v>122</v>
      </c>
      <c r="D547" s="79" t="s">
        <v>90</v>
      </c>
      <c r="E547" s="79" t="s">
        <v>91</v>
      </c>
      <c r="F547" s="79" t="s">
        <v>90</v>
      </c>
      <c r="G547" s="79" t="s">
        <v>92</v>
      </c>
      <c r="H547" s="79" t="s">
        <v>20</v>
      </c>
      <c r="I547" s="79" t="s">
        <v>241</v>
      </c>
      <c r="J547" s="79" t="s">
        <v>129</v>
      </c>
      <c r="K547" s="79" t="s">
        <v>102</v>
      </c>
      <c r="L547" s="79">
        <v>19185.113333333298</v>
      </c>
      <c r="M547" s="79">
        <v>4.6125790568704801</v>
      </c>
      <c r="N547" s="79">
        <v>0.25911922024205197</v>
      </c>
      <c r="O547" s="79">
        <f>11417.3/6341.92*tbl_Data[[#This Row],[kWh Savings]]</f>
        <v>34538.782334161617</v>
      </c>
      <c r="P547" s="79">
        <v>25197.386166847798</v>
      </c>
      <c r="Q547" s="79">
        <v>1151.1068</v>
      </c>
      <c r="R547" s="79">
        <v>12014.6297388403</v>
      </c>
      <c r="S547" s="79">
        <v>29575.538429105502</v>
      </c>
      <c r="T547" s="79">
        <v>30</v>
      </c>
      <c r="U547" s="79">
        <v>0.05</v>
      </c>
      <c r="V547" s="79">
        <f>tbl_Data_old[[#This Row],[2025 ]]*IFERROR(AVERAGEIFS('Participation Adjustment'!$C:$C,'Participation Adjustment'!$A:$A,$H547,'Participation Adjustment'!$B:$B,$I547),1)</f>
        <v>9.87683399104098E-3</v>
      </c>
      <c r="W547" s="79">
        <f>tbl_Data_old[[#This Row],[2026 ]]*IFERROR(AVERAGEIFS('Participation Adjustment'!$C:$C,'Participation Adjustment'!$A:$A,$H547,'Participation Adjustment'!$B:$B,$I547),1)</f>
        <v>9.66584273211025E-3</v>
      </c>
      <c r="X547" s="79">
        <f>tbl_Data_old[[#This Row],[2027 ]]*IFERROR(AVERAGEIFS('Participation Adjustment'!$C:$C,'Participation Adjustment'!$A:$A,$H547,'Participation Adjustment'!$B:$B,$I547),1)</f>
        <v>9.3623014422247203E-3</v>
      </c>
      <c r="Y547" s="79">
        <f>tbl_Data_old[[#This Row],[2028 ]]*IFERROR(AVERAGEIFS('Participation Adjustment'!$C:$C,'Participation Adjustment'!$A:$A,$H547,'Participation Adjustment'!$B:$B,$I547),1)</f>
        <v>9.0570505527491907E-3</v>
      </c>
      <c r="Z547" s="79">
        <f>tbl_Data_old[[#This Row],[2029 ]]*IFERROR(AVERAGEIFS('Participation Adjustment'!$C:$C,'Participation Adjustment'!$A:$A,$H547,'Participation Adjustment'!$B:$B,$I547),1)</f>
        <v>8.7538410605513609E-3</v>
      </c>
      <c r="AA547" s="79">
        <f>tbl_Data_old[[#This Row],[2030 ]]*IFERROR(AVERAGEIFS('Participation Adjustment'!$C:$C,'Participation Adjustment'!$A:$A,$H547,'Participation Adjustment'!$B:$B,$I547),1)</f>
        <v>8.4295577837064997E-3</v>
      </c>
      <c r="AB547" s="79">
        <f>tbl_Data_old[[#This Row],[2031 ]]*IFERROR(AVERAGEIFS('Participation Adjustment'!$C:$C,'Participation Adjustment'!$A:$A,$H547,'Participation Adjustment'!$B:$B,$I547),1)</f>
        <v>8.1030264497288403E-3</v>
      </c>
      <c r="AC547" s="79">
        <f>tbl_Data_old[[#This Row],[2032 ]]*IFERROR(AVERAGEIFS('Participation Adjustment'!$C:$C,'Participation Adjustment'!$A:$A,$H547,'Participation Adjustment'!$B:$B,$I547),1)</f>
        <v>7.7887340433602697E-3</v>
      </c>
      <c r="AD547" s="79">
        <f>tbl_Data_old[[#This Row],[2033 ]]*IFERROR(AVERAGEIFS('Participation Adjustment'!$C:$C,'Participation Adjustment'!$A:$A,$H547,'Participation Adjustment'!$B:$B,$I547),1)</f>
        <v>7.47406963721629E-3</v>
      </c>
      <c r="AE547" s="79">
        <f>tbl_Data_old[[#This Row],[2034 ]]*IFERROR(AVERAGEIFS('Participation Adjustment'!$C:$C,'Participation Adjustment'!$A:$A,$H547,'Participation Adjustment'!$B:$B,$I547),1)</f>
        <v>7.1641380796833697E-3</v>
      </c>
      <c r="AF547" s="77" t="str">
        <f t="shared" si="220"/>
        <v>NonResidential</v>
      </c>
      <c r="AG547" s="77" t="str">
        <f>tbl_Data[[#This Row],[All_Meas_Name_Append]]</f>
        <v>Ceiling Insulation(R2 to R49)</v>
      </c>
      <c r="AH547" s="77">
        <f>AVERAGEIFS('3. Incentive Adjustment'!G:G,'3. Incentive Adjustment'!A:A,tbl_Data[[#This Row],[Trimmed Sector]],'3. Incentive Adjustment'!B:B,tbl_Data[[#This Row],[Trimmed Measure Name]])</f>
        <v>5.674595082038876E-2</v>
      </c>
      <c r="AI547" s="77">
        <f>$AH547*tbl_Data[[#This Row],[2025 ]]</f>
        <v>5.6047033591675554E-4</v>
      </c>
      <c r="AJ547" s="77">
        <f>$AH547*tbl_Data[[#This Row],[2026 ]]</f>
        <v>5.4849743631394038E-4</v>
      </c>
      <c r="AK547" s="77">
        <f>$AH547*tbl_Data[[#This Row],[2027 ]]</f>
        <v>5.3127269720613869E-4</v>
      </c>
      <c r="AL547" s="77">
        <f>$AH547*tbl_Data[[#This Row],[2028 ]]</f>
        <v>5.1395094524408038E-4</v>
      </c>
      <c r="AM547" s="77">
        <f>$AH547*tbl_Data[[#This Row],[2029 ]]</f>
        <v>4.9674503431154735E-4</v>
      </c>
      <c r="AN547" s="77">
        <f>$AH547*tbl_Data[[#This Row],[2030 ]]</f>
        <v>4.7834327143183431E-4</v>
      </c>
      <c r="AO547" s="77">
        <f>$AH547*tbl_Data[[#This Row],[2031 ]]</f>
        <v>4.5981394041262212E-4</v>
      </c>
      <c r="AP547" s="77">
        <f>$AH547*tbl_Data[[#This Row],[2032 ]]</f>
        <v>4.4197911897760956E-4</v>
      </c>
      <c r="AQ547" s="77">
        <f>$AH547*tbl_Data[[#This Row],[2033 ]]</f>
        <v>4.2412318806163646E-4</v>
      </c>
      <c r="AR547" s="77">
        <f>$AH547*tbl_Data[[#This Row],[2034 ]]</f>
        <v>4.0653582714018688E-4</v>
      </c>
      <c r="AS547" s="77">
        <f>SUM(tbl_Data[[#This Row],[Adjusted 2025]:[Adjusted 2034]])</f>
        <v>4.8617317950163516E-3</v>
      </c>
      <c r="AT547" s="80">
        <f>AVERAGEIFS('3. Incentive Adjustment'!F:F,'3. Incentive Adjustment'!A:A,tbl_Data[[#This Row],[Trimmed Sector]],'3. Incentive Adjustment'!B:B,tbl_Data[[#This Row],[Trimmed Measure Name]])</f>
        <v>4335.1908026959672</v>
      </c>
      <c r="AU547" s="80">
        <f>IFERROR(VLOOKUP(tbl_Data[[#This Row],[All_Meas_Name_Append]],'IRA Tax Credits'!$A$3:$D$46,4,0),0)</f>
        <v>500</v>
      </c>
      <c r="AV547" s="81">
        <f>tbl_Data[[#This Row],[Adj. per unit Incentive ($)]]/tbl_Data[[#This Row],[kWh Savings]]*tbl_Data[[#This Row],[Sum of Annuals]]</f>
        <v>1.0985879831269948E-3</v>
      </c>
      <c r="AW547" s="81" t="str">
        <f>IFERROR(VLOOKUP(tbl_Data[[#This Row],[Column1]],'1. Set Program Names'!$B$2:$D$15,3,0)*tbl_Data[[#This Row],[Sum of Annuals]],"")</f>
        <v/>
      </c>
      <c r="AX547" s="81">
        <f>tbl_Data[[#This Row],[per unit IRA tax ($)]]/tbl_Data[[#This Row],[kWh Savings]]*tbl_Data[[#This Row],[Sum of Annuals]]</f>
        <v>1.2670583984951772E-4</v>
      </c>
      <c r="AY547" s="81">
        <f>tbl_Data[[#This Row],[Avoided Costs ($/unit)]]/tbl_Data[[#This Row],[kWh Savings]]*tbl_Data[[#This Row],[Sum of Annuals]]</f>
        <v>3.0446475030815037E-3</v>
      </c>
      <c r="AZ547" s="81">
        <f>tbl_Data[[#This Row],[Lost Revenue ($/unit)]]/tbl_Data[[#This Row],[kWh Savings]]*tbl_Data[[#This Row],[Sum of Annuals]]</f>
        <v>7.4947868713229962E-3</v>
      </c>
      <c r="BA547" s="81">
        <f>tbl_Data[[#This Row],[Incremental Cost ($/unit)]]/tbl_Data[[#This Row],[kWh Savings]]*tbl_Data[[#This Row],[Sum of Annuals]]</f>
        <v>8.7525308460592657E-3</v>
      </c>
      <c r="BB547" s="77">
        <f>ROUNDUP(tbl_Data[[#This Row],[Adjusted 2025]]/$L547,0)</f>
        <v>1</v>
      </c>
      <c r="BC547" s="77">
        <f>ROUNDUP(tbl_Data[[#This Row],[Adjusted 2026]]/$L547,0)</f>
        <v>1</v>
      </c>
      <c r="BD547" s="77">
        <f>ROUNDUP(tbl_Data[[#This Row],[Adjusted 2027]]/$L547,0)</f>
        <v>1</v>
      </c>
      <c r="BE547" s="77">
        <f>ROUNDUP(tbl_Data[[#This Row],[Adjusted 2028]]/$L547,0)</f>
        <v>1</v>
      </c>
      <c r="BF547" s="77">
        <f>ROUNDUP(tbl_Data[[#This Row],[Adjusted 2029]]/$L547,0)</f>
        <v>1</v>
      </c>
      <c r="BG547" s="77">
        <f>ROUNDUP(tbl_Data[[#This Row],[Adjusted 2030]]/$L547,0)</f>
        <v>1</v>
      </c>
      <c r="BH547" s="77">
        <f>ROUNDUP(tbl_Data[[#This Row],[Adjusted 2031]]/$L547,0)</f>
        <v>1</v>
      </c>
      <c r="BI547" s="77">
        <f>ROUNDUP(tbl_Data[[#This Row],[Adjusted 2032]]/$L547,0)</f>
        <v>1</v>
      </c>
      <c r="BJ547" s="77">
        <f>ROUNDUP(tbl_Data[[#This Row],[Adjusted 2033]]/$L547,0)</f>
        <v>1</v>
      </c>
      <c r="BK547" s="77">
        <f>ROUNDUP(tbl_Data[[#This Row],[Adjusted 2034]]/$L547,0)</f>
        <v>1</v>
      </c>
      <c r="BL547" s="80">
        <f t="shared" si="221"/>
        <v>2.2318325221108502E-3</v>
      </c>
      <c r="BM547" s="80">
        <f t="shared" si="222"/>
        <v>2.1841555889974811E-3</v>
      </c>
      <c r="BN547" s="80">
        <f t="shared" si="223"/>
        <v>2.1155654594899381E-3</v>
      </c>
      <c r="BO547" s="80">
        <f t="shared" si="224"/>
        <v>2.0465890179346062E-3</v>
      </c>
      <c r="BP547" s="80">
        <f t="shared" si="225"/>
        <v>1.9780738635527808E-3</v>
      </c>
      <c r="BQ547" s="80">
        <f t="shared" si="226"/>
        <v>1.9047967421295063E-3</v>
      </c>
      <c r="BR547" s="80">
        <f t="shared" si="227"/>
        <v>1.8310116353512996E-3</v>
      </c>
      <c r="BS547" s="80">
        <f t="shared" si="228"/>
        <v>1.7599921148630418E-3</v>
      </c>
      <c r="BT547" s="80">
        <f t="shared" si="229"/>
        <v>1.6888885349284344E-3</v>
      </c>
      <c r="BU547" s="80">
        <f t="shared" si="230"/>
        <v>1.6188544197091365E-3</v>
      </c>
      <c r="BV547" s="80" t="str">
        <f>IFERROR(VLOOKUP($H547,'1. Set Program Names'!$B$2:$D$15,3,0)*V547,"NA")</f>
        <v>NA</v>
      </c>
      <c r="BW547" s="80" t="str">
        <f>IFERROR(VLOOKUP($H547,'1. Set Program Names'!$B$2:$D$15,3,0)*W547,"NA")</f>
        <v>NA</v>
      </c>
      <c r="BX547" s="80" t="str">
        <f>IFERROR(VLOOKUP($H547,'1. Set Program Names'!$B$2:$D$15,3,0)*X547,"NA")</f>
        <v>NA</v>
      </c>
      <c r="BY547" s="80" t="str">
        <f>IFERROR(VLOOKUP($H547,'1. Set Program Names'!$B$2:$D$15,3,0)*Y547,"NA")</f>
        <v>NA</v>
      </c>
      <c r="BZ547" s="80" t="str">
        <f>IFERROR(VLOOKUP($H547,'1. Set Program Names'!$B$2:$D$15,3,0)*Z547,"NA")</f>
        <v>NA</v>
      </c>
      <c r="CA547" s="80" t="str">
        <f>IFERROR(VLOOKUP($H547,'1. Set Program Names'!$B$2:$D$15,3,0)*AA547,"NA")</f>
        <v>NA</v>
      </c>
      <c r="CB547" s="80" t="str">
        <f>IFERROR(VLOOKUP($H547,'1. Set Program Names'!$B$2:$D$15,3,0)*AB547,"NA")</f>
        <v>NA</v>
      </c>
      <c r="CC547" s="80" t="str">
        <f>IFERROR(VLOOKUP($H547,'1. Set Program Names'!$B$2:$D$15,3,0)*AC547,"NA")</f>
        <v>NA</v>
      </c>
      <c r="CD547" s="80" t="str">
        <f>IFERROR(VLOOKUP($H547,'1. Set Program Names'!$B$2:$D$15,3,0)*AD547,"NA")</f>
        <v>NA</v>
      </c>
      <c r="CE547" s="80" t="str">
        <f>IFERROR(VLOOKUP($H547,'1. Set Program Names'!$B$2:$D$15,3,0)*AE547,"NA")</f>
        <v>NA</v>
      </c>
    </row>
    <row r="548" spans="1:83" x14ac:dyDescent="0.25">
      <c r="A548" s="79" t="s">
        <v>116</v>
      </c>
      <c r="B548" s="79" t="s">
        <v>88</v>
      </c>
      <c r="C548" s="79" t="s">
        <v>122</v>
      </c>
      <c r="D548" s="79" t="s">
        <v>90</v>
      </c>
      <c r="E548" s="79" t="s">
        <v>91</v>
      </c>
      <c r="F548" s="79" t="s">
        <v>90</v>
      </c>
      <c r="G548" s="79" t="s">
        <v>92</v>
      </c>
      <c r="H548" s="79" t="s">
        <v>20</v>
      </c>
      <c r="I548" s="79" t="s">
        <v>128</v>
      </c>
      <c r="J548" s="79" t="s">
        <v>129</v>
      </c>
      <c r="K548" s="79" t="s">
        <v>130</v>
      </c>
      <c r="L548" s="79">
        <v>2045.1799999999989</v>
      </c>
      <c r="M548" s="79">
        <v>0.47104509500000002</v>
      </c>
      <c r="N548" s="79">
        <v>0.17900382200000001</v>
      </c>
      <c r="O548" s="79">
        <f>19591.5999999999/60160.456*2045.18</f>
        <v>666.02468053100858</v>
      </c>
      <c r="P548" s="79">
        <f>11310.7385995848/60160.456*2045.18</f>
        <v>384.51331501042552</v>
      </c>
      <c r="Q548" s="79">
        <f>2141.69388188172/60160.456*2045.18</f>
        <v>72.807784125619918</v>
      </c>
      <c r="R548" s="79">
        <f>32581.871747558/60160.456*2045.18</f>
        <v>1107.6344311730397</v>
      </c>
      <c r="S548" s="79">
        <f>77209.8271220691/60160.456*2045.18</f>
        <v>2624.780540784353</v>
      </c>
      <c r="T548" s="79">
        <v>20</v>
      </c>
      <c r="U548" s="79">
        <v>4.9999999999999899E-2</v>
      </c>
      <c r="V548" s="79">
        <f>tbl_Data_old[[#This Row],[2025 ]]*IFERROR(AVERAGEIFS('Participation Adjustment'!$C:$C,'Participation Adjustment'!$A:$A,$H548,'Participation Adjustment'!$B:$B,$I548),1)</f>
        <v>0.85411543567367199</v>
      </c>
      <c r="W548" s="79">
        <f>tbl_Data_old[[#This Row],[2026 ]]*IFERROR(AVERAGEIFS('Participation Adjustment'!$C:$C,'Participation Adjustment'!$A:$A,$H548,'Participation Adjustment'!$B:$B,$I548),1)</f>
        <v>0.84089455667543</v>
      </c>
      <c r="X548" s="79">
        <f>tbl_Data_old[[#This Row],[2027 ]]*IFERROR(AVERAGEIFS('Participation Adjustment'!$C:$C,'Participation Adjustment'!$A:$A,$H548,'Participation Adjustment'!$B:$B,$I548),1)</f>
        <v>0.82270298091960004</v>
      </c>
      <c r="Y548" s="79">
        <f>tbl_Data_old[[#This Row],[2028 ]]*IFERROR(AVERAGEIFS('Participation Adjustment'!$C:$C,'Participation Adjustment'!$A:$A,$H548,'Participation Adjustment'!$B:$B,$I548),1)</f>
        <v>0.80444393284319704</v>
      </c>
      <c r="Z548" s="79">
        <f>tbl_Data_old[[#This Row],[2029 ]]*IFERROR(AVERAGEIFS('Participation Adjustment'!$C:$C,'Participation Adjustment'!$A:$A,$H548,'Participation Adjustment'!$B:$B,$I548),1)</f>
        <v>0.78506522686094304</v>
      </c>
      <c r="AA548" s="79">
        <f>tbl_Data_old[[#This Row],[2030 ]]*IFERROR(AVERAGEIFS('Participation Adjustment'!$C:$C,'Participation Adjustment'!$A:$A,$H548,'Participation Adjustment'!$B:$B,$I548),1)</f>
        <v>0.76402214641325406</v>
      </c>
      <c r="AB548" s="79">
        <f>tbl_Data_old[[#This Row],[2031 ]]*IFERROR(AVERAGEIFS('Participation Adjustment'!$C:$C,'Participation Adjustment'!$A:$A,$H548,'Participation Adjustment'!$B:$B,$I548),1)</f>
        <v>0.74150523512866995</v>
      </c>
      <c r="AC548" s="79">
        <f>tbl_Data_old[[#This Row],[2032 ]]*IFERROR(AVERAGEIFS('Participation Adjustment'!$C:$C,'Participation Adjustment'!$A:$A,$H548,'Participation Adjustment'!$B:$B,$I548),1)</f>
        <v>0.71916979630698197</v>
      </c>
      <c r="AD548" s="79">
        <f>tbl_Data_old[[#This Row],[2033 ]]*IFERROR(AVERAGEIFS('Participation Adjustment'!$C:$C,'Participation Adjustment'!$A:$A,$H548,'Participation Adjustment'!$B:$B,$I548),1)</f>
        <v>0.69788149621706597</v>
      </c>
      <c r="AE548" s="79">
        <f>tbl_Data_old[[#This Row],[2034 ]]*IFERROR(AVERAGEIFS('Participation Adjustment'!$C:$C,'Participation Adjustment'!$A:$A,$H548,'Participation Adjustment'!$B:$B,$I548),1)</f>
        <v>0.67607107101348296</v>
      </c>
      <c r="AF548" s="77" t="str">
        <f t="shared" si="220"/>
        <v>NonResidential</v>
      </c>
      <c r="AG548" s="77" t="str">
        <f>tbl_Data[[#This Row],[All_Meas_Name_Append]]</f>
        <v>Commercial Duct Sealing</v>
      </c>
      <c r="AH548" s="77">
        <f>AVERAGEIFS('3. Incentive Adjustment'!G:G,'3. Incentive Adjustment'!A:A,tbl_Data[[#This Row],[Trimmed Sector]],'3. Incentive Adjustment'!B:B,tbl_Data[[#This Row],[Trimmed Measure Name]])</f>
        <v>0.69277112909915817</v>
      </c>
      <c r="AI548" s="77">
        <f>$AH548*tbl_Data[[#This Row],[2025 ]]</f>
        <v>0.59170651475266911</v>
      </c>
      <c r="AJ548" s="77">
        <f>$AH548*tbl_Data[[#This Row],[2026 ]]</f>
        <v>0.58254747148137365</v>
      </c>
      <c r="AK548" s="77">
        <f>$AH548*tbl_Data[[#This Row],[2027 ]]</f>
        <v>0.56994487300491448</v>
      </c>
      <c r="AL548" s="77">
        <f>$AH548*tbl_Data[[#This Row],[2028 ]]</f>
        <v>0.55729553165274903</v>
      </c>
      <c r="AM548" s="77">
        <f>$AH548*tbl_Data[[#This Row],[2029 ]]</f>
        <v>0.54387052362894228</v>
      </c>
      <c r="AN548" s="77">
        <f>$AH548*tbl_Data[[#This Row],[2030 ]]</f>
        <v>0.52929248502747239</v>
      </c>
      <c r="AO548" s="77">
        <f>$AH548*tbl_Data[[#This Row],[2031 ]]</f>
        <v>0.51369341897302545</v>
      </c>
      <c r="AP548" s="77">
        <f>$AH548*tbl_Data[[#This Row],[2032 ]]</f>
        <v>0.4982200718015995</v>
      </c>
      <c r="AQ548" s="77">
        <f>$AH548*tbl_Data[[#This Row],[2033 ]]</f>
        <v>0.48347215211170669</v>
      </c>
      <c r="AR548" s="77">
        <f>$AH548*tbl_Data[[#This Row],[2034 ]]</f>
        <v>0.46836251921728772</v>
      </c>
      <c r="AS548" s="77">
        <f>SUM(tbl_Data[[#This Row],[Adjusted 2025]:[Adjusted 2034]])</f>
        <v>5.338405561651741</v>
      </c>
      <c r="AT548" s="80">
        <f>AVERAGEIFS('3. Incentive Adjustment'!F:F,'3. Incentive Adjustment'!A:A,tbl_Data[[#This Row],[Trimmed Sector]],'3. Incentive Adjustment'!B:B,tbl_Data[[#This Row],[Trimmed Measure Name]])</f>
        <v>100</v>
      </c>
      <c r="AU548" s="80">
        <f>IFERROR(VLOOKUP(tbl_Data[[#This Row],[All_Meas_Name_Append]],'IRA Tax Credits'!$A$3:$D$46,4,0),0)</f>
        <v>0</v>
      </c>
      <c r="AV548" s="81">
        <f>tbl_Data[[#This Row],[Adj. per unit Incentive ($)]]/tbl_Data[[#This Row],[kWh Savings]]*tbl_Data[[#This Row],[Sum of Annuals]]</f>
        <v>0.26102375153540247</v>
      </c>
      <c r="AW548" s="81" t="str">
        <f>IFERROR(VLOOKUP(tbl_Data[[#This Row],[Column1]],'1. Set Program Names'!$B$2:$D$15,3,0)*tbl_Data[[#This Row],[Sum of Annuals]],"")</f>
        <v/>
      </c>
      <c r="AX548" s="81">
        <f>tbl_Data[[#This Row],[per unit IRA tax ($)]]/tbl_Data[[#This Row],[kWh Savings]]*tbl_Data[[#This Row],[Sum of Annuals]]</f>
        <v>0</v>
      </c>
      <c r="AY548" s="81">
        <f>tbl_Data[[#This Row],[Avoided Costs ($/unit)]]/tbl_Data[[#This Row],[kWh Savings]]*tbl_Data[[#This Row],[Sum of Annuals]]</f>
        <v>2.8911889455456836</v>
      </c>
      <c r="AZ548" s="81">
        <f>tbl_Data[[#This Row],[Lost Revenue ($/unit)]]/tbl_Data[[#This Row],[kWh Savings]]*tbl_Data[[#This Row],[Sum of Annuals]]</f>
        <v>6.8513006371265419</v>
      </c>
      <c r="BA548" s="81">
        <f>tbl_Data[[#This Row],[Incremental Cost ($/unit)]]/tbl_Data[[#This Row],[kWh Savings]]*tbl_Data[[#This Row],[Sum of Annuals]]</f>
        <v>1.7384826072737178</v>
      </c>
      <c r="BB548" s="77">
        <f>ROUNDUP(tbl_Data[[#This Row],[Adjusted 2025]]/$L548,0)</f>
        <v>1</v>
      </c>
      <c r="BC548" s="77">
        <f>ROUNDUP(tbl_Data[[#This Row],[Adjusted 2026]]/$L548,0)</f>
        <v>1</v>
      </c>
      <c r="BD548" s="77">
        <f>ROUNDUP(tbl_Data[[#This Row],[Adjusted 2027]]/$L548,0)</f>
        <v>1</v>
      </c>
      <c r="BE548" s="77">
        <f>ROUNDUP(tbl_Data[[#This Row],[Adjusted 2028]]/$L548,0)</f>
        <v>1</v>
      </c>
      <c r="BF548" s="77">
        <f>ROUNDUP(tbl_Data[[#This Row],[Adjusted 2029]]/$L548,0)</f>
        <v>1</v>
      </c>
      <c r="BG548" s="77">
        <f>ROUNDUP(tbl_Data[[#This Row],[Adjusted 2030]]/$L548,0)</f>
        <v>1</v>
      </c>
      <c r="BH548" s="77">
        <f>ROUNDUP(tbl_Data[[#This Row],[Adjusted 2031]]/$L548,0)</f>
        <v>1</v>
      </c>
      <c r="BI548" s="77">
        <f>ROUNDUP(tbl_Data[[#This Row],[Adjusted 2032]]/$L548,0)</f>
        <v>1</v>
      </c>
      <c r="BJ548" s="77">
        <f>ROUNDUP(tbl_Data[[#This Row],[Adjusted 2033]]/$L548,0)</f>
        <v>1</v>
      </c>
      <c r="BK548" s="77">
        <f>ROUNDUP(tbl_Data[[#This Row],[Adjusted 2034]]/$L548,0)</f>
        <v>1</v>
      </c>
      <c r="BL548" s="80">
        <f t="shared" si="221"/>
        <v>4.1762360069708897E-2</v>
      </c>
      <c r="BM548" s="80">
        <f t="shared" si="222"/>
        <v>4.1115919218622836E-2</v>
      </c>
      <c r="BN548" s="80">
        <f t="shared" si="223"/>
        <v>4.0226433904086707E-2</v>
      </c>
      <c r="BO548" s="80">
        <f t="shared" si="224"/>
        <v>3.9333649499955874E-2</v>
      </c>
      <c r="BP548" s="80">
        <f t="shared" si="225"/>
        <v>3.8386118916718504E-2</v>
      </c>
      <c r="BQ548" s="80">
        <f t="shared" si="226"/>
        <v>3.7357207992120715E-2</v>
      </c>
      <c r="BR548" s="80">
        <f t="shared" si="227"/>
        <v>3.6256233442957114E-2</v>
      </c>
      <c r="BS548" s="80">
        <f t="shared" si="228"/>
        <v>3.5164132071846113E-2</v>
      </c>
      <c r="BT548" s="80">
        <f t="shared" si="229"/>
        <v>3.4123231022064875E-2</v>
      </c>
      <c r="BU548" s="80">
        <f t="shared" si="230"/>
        <v>3.3056800428983429E-2</v>
      </c>
      <c r="BV548" s="80" t="str">
        <f>IFERROR(VLOOKUP($H548,'1. Set Program Names'!$B$2:$D$15,3,0)*V548,"NA")</f>
        <v>NA</v>
      </c>
      <c r="BW548" s="80" t="str">
        <f>IFERROR(VLOOKUP($H548,'1. Set Program Names'!$B$2:$D$15,3,0)*W548,"NA")</f>
        <v>NA</v>
      </c>
      <c r="BX548" s="80" t="str">
        <f>IFERROR(VLOOKUP($H548,'1. Set Program Names'!$B$2:$D$15,3,0)*X548,"NA")</f>
        <v>NA</v>
      </c>
      <c r="BY548" s="80" t="str">
        <f>IFERROR(VLOOKUP($H548,'1. Set Program Names'!$B$2:$D$15,3,0)*Y548,"NA")</f>
        <v>NA</v>
      </c>
      <c r="BZ548" s="80" t="str">
        <f>IFERROR(VLOOKUP($H548,'1. Set Program Names'!$B$2:$D$15,3,0)*Z548,"NA")</f>
        <v>NA</v>
      </c>
      <c r="CA548" s="80" t="str">
        <f>IFERROR(VLOOKUP($H548,'1. Set Program Names'!$B$2:$D$15,3,0)*AA548,"NA")</f>
        <v>NA</v>
      </c>
      <c r="CB548" s="80" t="str">
        <f>IFERROR(VLOOKUP($H548,'1. Set Program Names'!$B$2:$D$15,3,0)*AB548,"NA")</f>
        <v>NA</v>
      </c>
      <c r="CC548" s="80" t="str">
        <f>IFERROR(VLOOKUP($H548,'1. Set Program Names'!$B$2:$D$15,3,0)*AC548,"NA")</f>
        <v>NA</v>
      </c>
      <c r="CD548" s="80" t="str">
        <f>IFERROR(VLOOKUP($H548,'1. Set Program Names'!$B$2:$D$15,3,0)*AD548,"NA")</f>
        <v>NA</v>
      </c>
      <c r="CE548" s="80" t="str">
        <f>IFERROR(VLOOKUP($H548,'1. Set Program Names'!$B$2:$D$15,3,0)*AE548,"NA")</f>
        <v>NA</v>
      </c>
    </row>
    <row r="549" spans="1:83" x14ac:dyDescent="0.25">
      <c r="A549" s="79" t="s">
        <v>116</v>
      </c>
      <c r="B549" s="79" t="s">
        <v>88</v>
      </c>
      <c r="C549" s="79" t="s">
        <v>122</v>
      </c>
      <c r="D549" s="79" t="s">
        <v>90</v>
      </c>
      <c r="E549" s="79" t="s">
        <v>91</v>
      </c>
      <c r="F549" s="79" t="s">
        <v>90</v>
      </c>
      <c r="G549" s="79" t="s">
        <v>92</v>
      </c>
      <c r="H549" s="79" t="s">
        <v>20</v>
      </c>
      <c r="I549" s="79" t="s">
        <v>303</v>
      </c>
      <c r="J549" s="79" t="s">
        <v>129</v>
      </c>
      <c r="K549" s="79" t="s">
        <v>298</v>
      </c>
      <c r="L549" s="79">
        <v>2407.8671428571402</v>
      </c>
      <c r="M549" s="79">
        <v>0.43509988390469401</v>
      </c>
      <c r="N549" s="79">
        <v>0.148929049658067</v>
      </c>
      <c r="O549" s="79">
        <v>1278.9912095238201</v>
      </c>
      <c r="P549" s="79">
        <v>9094.9443435978392</v>
      </c>
      <c r="Q549" s="79">
        <v>144.47202857142801</v>
      </c>
      <c r="R549" s="79">
        <v>1364.7105452988201</v>
      </c>
      <c r="S549" s="79">
        <v>3090.2526043504499</v>
      </c>
      <c r="T549" s="79">
        <v>20</v>
      </c>
      <c r="U549" s="79">
        <v>4.9999999999999899E-2</v>
      </c>
      <c r="V549" s="79">
        <f>tbl_Data_old[[#This Row],[2025 ]]*IFERROR(AVERAGEIFS('Participation Adjustment'!$C:$C,'Participation Adjustment'!$A:$A,$H549,'Participation Adjustment'!$B:$B,$I549),1)</f>
        <v>0.45410869342033799</v>
      </c>
      <c r="W549" s="79">
        <f>tbl_Data_old[[#This Row],[2026 ]]*IFERROR(AVERAGEIFS('Participation Adjustment'!$C:$C,'Participation Adjustment'!$A:$A,$H549,'Participation Adjustment'!$B:$B,$I549),1)</f>
        <v>0.43118365975110401</v>
      </c>
      <c r="X549" s="79">
        <f>tbl_Data_old[[#This Row],[2027 ]]*IFERROR(AVERAGEIFS('Participation Adjustment'!$C:$C,'Participation Adjustment'!$A:$A,$H549,'Participation Adjustment'!$B:$B,$I549),1)</f>
        <v>0.40438340591773198</v>
      </c>
      <c r="Y549" s="79">
        <f>tbl_Data_old[[#This Row],[2028 ]]*IFERROR(AVERAGEIFS('Participation Adjustment'!$C:$C,'Participation Adjustment'!$A:$A,$H549,'Participation Adjustment'!$B:$B,$I549),1)</f>
        <v>0.37760096760520701</v>
      </c>
      <c r="Z549" s="79">
        <f>tbl_Data_old[[#This Row],[2029 ]]*IFERROR(AVERAGEIFS('Participation Adjustment'!$C:$C,'Participation Adjustment'!$A:$A,$H549,'Participation Adjustment'!$B:$B,$I549),1)</f>
        <v>0.350995580161031</v>
      </c>
      <c r="AA549" s="79">
        <f>tbl_Data_old[[#This Row],[2030 ]]*IFERROR(AVERAGEIFS('Participation Adjustment'!$C:$C,'Participation Adjustment'!$A:$A,$H549,'Participation Adjustment'!$B:$B,$I549),1)</f>
        <v>0.32445507627409698</v>
      </c>
      <c r="AB549" s="79">
        <f>tbl_Data_old[[#This Row],[2031 ]]*IFERROR(AVERAGEIFS('Participation Adjustment'!$C:$C,'Participation Adjustment'!$A:$A,$H549,'Participation Adjustment'!$B:$B,$I549),1)</f>
        <v>0.29859673007165999</v>
      </c>
      <c r="AC549" s="79">
        <f>tbl_Data_old[[#This Row],[2032 ]]*IFERROR(AVERAGEIFS('Participation Adjustment'!$C:$C,'Participation Adjustment'!$A:$A,$H549,'Participation Adjustment'!$B:$B,$I549),1)</f>
        <v>0.274230952931039</v>
      </c>
      <c r="AD549" s="79">
        <f>tbl_Data_old[[#This Row],[2033 ]]*IFERROR(AVERAGEIFS('Participation Adjustment'!$C:$C,'Participation Adjustment'!$A:$A,$H549,'Participation Adjustment'!$B:$B,$I549),1)</f>
        <v>0.251618284613917</v>
      </c>
      <c r="AE549" s="79">
        <f>tbl_Data_old[[#This Row],[2034 ]]*IFERROR(AVERAGEIFS('Participation Adjustment'!$C:$C,'Participation Adjustment'!$A:$A,$H549,'Participation Adjustment'!$B:$B,$I549),1)</f>
        <v>0.23038323928320201</v>
      </c>
      <c r="AF549" s="77" t="str">
        <f t="shared" si="220"/>
        <v>NonResidential</v>
      </c>
      <c r="AG549" s="77" t="str">
        <f>tbl_Data[[#This Row],[All_Meas_Name_Append]]</f>
        <v>Energy Star windows</v>
      </c>
      <c r="AH549" s="77">
        <f>AVERAGEIFS('3. Incentive Adjustment'!G:G,'3. Incentive Adjustment'!A:A,tbl_Data[[#This Row],[Trimmed Sector]],'3. Incentive Adjustment'!B:B,tbl_Data[[#This Row],[Trimmed Measure Name]])</f>
        <v>1.8374525511831319E-4</v>
      </c>
      <c r="AI549" s="77">
        <f>$AH549*tbl_Data[[#This Row],[2025 ]]</f>
        <v>8.3440317723963879E-5</v>
      </c>
      <c r="AJ549" s="77">
        <f>$AH549*tbl_Data[[#This Row],[2026 ]]</f>
        <v>7.9227951563814553E-5</v>
      </c>
      <c r="AK549" s="77">
        <f>$AH549*tbl_Data[[#This Row],[2027 ]]</f>
        <v>7.4303532085966064E-5</v>
      </c>
      <c r="AL549" s="77">
        <f>$AH549*tbl_Data[[#This Row],[2028 ]]</f>
        <v>6.9382386125540674E-5</v>
      </c>
      <c r="AM549" s="77">
        <f>$AH549*tbl_Data[[#This Row],[2029 ]]</f>
        <v>6.4493772422088985E-5</v>
      </c>
      <c r="AN549" s="77">
        <f>$AH549*tbl_Data[[#This Row],[2030 ]]</f>
        <v>5.9617080764415713E-5</v>
      </c>
      <c r="AO549" s="77">
        <f>$AH549*tbl_Data[[#This Row],[2031 ]]</f>
        <v>5.4865732344511264E-5</v>
      </c>
      <c r="AP549" s="77">
        <f>$AH549*tbl_Data[[#This Row],[2032 ]]</f>
        <v>5.0388636407651898E-5</v>
      </c>
      <c r="AQ549" s="77">
        <f>$AH549*tbl_Data[[#This Row],[2033 ]]</f>
        <v>4.6233665898816518E-5</v>
      </c>
      <c r="AR549" s="77">
        <f>$AH549*tbl_Data[[#This Row],[2034 ]]</f>
        <v>4.2331827077075344E-5</v>
      </c>
      <c r="AS549" s="77">
        <f>SUM(tbl_Data[[#This Row],[Adjusted 2025]:[Adjusted 2034]])</f>
        <v>6.2428490241384484E-4</v>
      </c>
      <c r="AT549" s="80">
        <f>AVERAGEIFS('3. Incentive Adjustment'!F:F,'3. Incentive Adjustment'!A:A,tbl_Data[[#This Row],[Trimmed Sector]],'3. Incentive Adjustment'!B:B,tbl_Data[[#This Row],[Trimmed Measure Name]])</f>
        <v>1244.9532966663394</v>
      </c>
      <c r="AU549" s="80">
        <f>IFERROR(VLOOKUP(tbl_Data[[#This Row],[All_Meas_Name_Append]],'IRA Tax Credits'!$A$3:$D$46,4,0),0)</f>
        <v>250</v>
      </c>
      <c r="AV549" s="81">
        <f>tbl_Data[[#This Row],[Adj. per unit Incentive ($)]]/tbl_Data[[#This Row],[kWh Savings]]*tbl_Data[[#This Row],[Sum of Annuals]]</f>
        <v>3.2277758746976354E-4</v>
      </c>
      <c r="AW549" s="81" t="str">
        <f>IFERROR(VLOOKUP(tbl_Data[[#This Row],[Column1]],'1. Set Program Names'!$B$2:$D$15,3,0)*tbl_Data[[#This Row],[Sum of Annuals]],"")</f>
        <v/>
      </c>
      <c r="AX549" s="81">
        <f>tbl_Data[[#This Row],[per unit IRA tax ($)]]/tbl_Data[[#This Row],[kWh Savings]]*tbl_Data[[#This Row],[Sum of Annuals]]</f>
        <v>6.4817208069989013E-5</v>
      </c>
      <c r="AY549" s="81">
        <f>tbl_Data[[#This Row],[Avoided Costs ($/unit)]]/tbl_Data[[#This Row],[kWh Savings]]*tbl_Data[[#This Row],[Sum of Annuals]]</f>
        <v>3.5382690947976712E-4</v>
      </c>
      <c r="AZ549" s="81">
        <f>tbl_Data[[#This Row],[Lost Revenue ($/unit)]]/tbl_Data[[#This Row],[kWh Savings]]*tbl_Data[[#This Row],[Sum of Annuals]]</f>
        <v>8.0120618418003423E-4</v>
      </c>
      <c r="BA549" s="81">
        <f>tbl_Data[[#This Row],[Incremental Cost ($/unit)]]/tbl_Data[[#This Row],[kWh Savings]]*tbl_Data[[#This Row],[Sum of Annuals]]</f>
        <v>3.3160255738956941E-4</v>
      </c>
      <c r="BB549" s="77">
        <f>ROUNDUP(tbl_Data[[#This Row],[Adjusted 2025]]/$L549,0)</f>
        <v>1</v>
      </c>
      <c r="BC549" s="77">
        <f>ROUNDUP(tbl_Data[[#This Row],[Adjusted 2026]]/$L549,0)</f>
        <v>1</v>
      </c>
      <c r="BD549" s="77">
        <f>ROUNDUP(tbl_Data[[#This Row],[Adjusted 2027]]/$L549,0)</f>
        <v>1</v>
      </c>
      <c r="BE549" s="77">
        <f>ROUNDUP(tbl_Data[[#This Row],[Adjusted 2028]]/$L549,0)</f>
        <v>1</v>
      </c>
      <c r="BF549" s="77">
        <f>ROUNDUP(tbl_Data[[#This Row],[Adjusted 2029]]/$L549,0)</f>
        <v>1</v>
      </c>
      <c r="BG549" s="77">
        <f>ROUNDUP(tbl_Data[[#This Row],[Adjusted 2030]]/$L549,0)</f>
        <v>1</v>
      </c>
      <c r="BH549" s="77">
        <f>ROUNDUP(tbl_Data[[#This Row],[Adjusted 2031]]/$L549,0)</f>
        <v>1</v>
      </c>
      <c r="BI549" s="77">
        <f>ROUNDUP(tbl_Data[[#This Row],[Adjusted 2032]]/$L549,0)</f>
        <v>1</v>
      </c>
      <c r="BJ549" s="77">
        <f>ROUNDUP(tbl_Data[[#This Row],[Adjusted 2033]]/$L549,0)</f>
        <v>1</v>
      </c>
      <c r="BK549" s="77">
        <f>ROUNDUP(tbl_Data[[#This Row],[Adjusted 2034]]/$L549,0)</f>
        <v>1</v>
      </c>
      <c r="BL549" s="80">
        <f t="shared" si="221"/>
        <v>0.23479041050731092</v>
      </c>
      <c r="BM549" s="80">
        <f t="shared" si="222"/>
        <v>0.22293734945808966</v>
      </c>
      <c r="BN549" s="80">
        <f t="shared" si="223"/>
        <v>0.2090806612017099</v>
      </c>
      <c r="BO549" s="80">
        <f t="shared" si="224"/>
        <v>0.195233184205792</v>
      </c>
      <c r="BP549" s="80">
        <f t="shared" si="225"/>
        <v>0.18147724883121416</v>
      </c>
      <c r="BQ549" s="80">
        <f t="shared" si="226"/>
        <v>0.16775486057269193</v>
      </c>
      <c r="BR549" s="80">
        <f t="shared" si="227"/>
        <v>0.15438517219658646</v>
      </c>
      <c r="BS549" s="80">
        <f t="shared" si="228"/>
        <v>0.14178719532438275</v>
      </c>
      <c r="BT549" s="80">
        <f t="shared" si="229"/>
        <v>0.13009563831662396</v>
      </c>
      <c r="BU549" s="80">
        <f t="shared" si="230"/>
        <v>0.11911636158710996</v>
      </c>
      <c r="BV549" s="80" t="str">
        <f>IFERROR(VLOOKUP($H549,'1. Set Program Names'!$B$2:$D$15,3,0)*V549,"NA")</f>
        <v>NA</v>
      </c>
      <c r="BW549" s="80" t="str">
        <f>IFERROR(VLOOKUP($H549,'1. Set Program Names'!$B$2:$D$15,3,0)*W549,"NA")</f>
        <v>NA</v>
      </c>
      <c r="BX549" s="80" t="str">
        <f>IFERROR(VLOOKUP($H549,'1. Set Program Names'!$B$2:$D$15,3,0)*X549,"NA")</f>
        <v>NA</v>
      </c>
      <c r="BY549" s="80" t="str">
        <f>IFERROR(VLOOKUP($H549,'1. Set Program Names'!$B$2:$D$15,3,0)*Y549,"NA")</f>
        <v>NA</v>
      </c>
      <c r="BZ549" s="80" t="str">
        <f>IFERROR(VLOOKUP($H549,'1. Set Program Names'!$B$2:$D$15,3,0)*Z549,"NA")</f>
        <v>NA</v>
      </c>
      <c r="CA549" s="80" t="str">
        <f>IFERROR(VLOOKUP($H549,'1. Set Program Names'!$B$2:$D$15,3,0)*AA549,"NA")</f>
        <v>NA</v>
      </c>
      <c r="CB549" s="80" t="str">
        <f>IFERROR(VLOOKUP($H549,'1. Set Program Names'!$B$2:$D$15,3,0)*AB549,"NA")</f>
        <v>NA</v>
      </c>
      <c r="CC549" s="80" t="str">
        <f>IFERROR(VLOOKUP($H549,'1. Set Program Names'!$B$2:$D$15,3,0)*AC549,"NA")</f>
        <v>NA</v>
      </c>
      <c r="CD549" s="80" t="str">
        <f>IFERROR(VLOOKUP($H549,'1. Set Program Names'!$B$2:$D$15,3,0)*AD549,"NA")</f>
        <v>NA</v>
      </c>
      <c r="CE549" s="80" t="str">
        <f>IFERROR(VLOOKUP($H549,'1. Set Program Names'!$B$2:$D$15,3,0)*AE549,"NA")</f>
        <v>NA</v>
      </c>
    </row>
    <row r="550" spans="1:83" x14ac:dyDescent="0.25">
      <c r="A550" s="79" t="s">
        <v>116</v>
      </c>
      <c r="B550" s="79" t="s">
        <v>88</v>
      </c>
      <c r="C550" s="79" t="s">
        <v>122</v>
      </c>
      <c r="D550" s="79" t="s">
        <v>90</v>
      </c>
      <c r="E550" s="79" t="s">
        <v>91</v>
      </c>
      <c r="F550" s="79" t="s">
        <v>90</v>
      </c>
      <c r="G550" s="79" t="s">
        <v>92</v>
      </c>
      <c r="H550" s="79" t="s">
        <v>20</v>
      </c>
      <c r="I550" s="79" t="s">
        <v>143</v>
      </c>
      <c r="J550" s="79" t="s">
        <v>144</v>
      </c>
      <c r="K550" s="79" t="s">
        <v>108</v>
      </c>
      <c r="L550" s="79">
        <v>6670.6049999999896</v>
      </c>
      <c r="M550" s="79">
        <v>1.04667148638823</v>
      </c>
      <c r="N550" s="79">
        <v>1.5598507965563999</v>
      </c>
      <c r="O550" s="79">
        <v>2431.625</v>
      </c>
      <c r="P550" s="79">
        <v>977.24379425036398</v>
      </c>
      <c r="Q550" s="79">
        <v>400.23629999999901</v>
      </c>
      <c r="R550" s="79">
        <v>3400.8076679878</v>
      </c>
      <c r="S550" s="79">
        <v>7245.0779694633802</v>
      </c>
      <c r="T550" s="79">
        <v>15</v>
      </c>
      <c r="U550" s="79">
        <v>0.05</v>
      </c>
      <c r="V550" s="79">
        <f>tbl_Data_old[[#This Row],[2025 ]]*IFERROR(AVERAGEIFS('Participation Adjustment'!$C:$C,'Participation Adjustment'!$A:$A,$H550,'Participation Adjustment'!$B:$B,$I550),1)</f>
        <v>0.39585372060026702</v>
      </c>
      <c r="W550" s="79">
        <f>tbl_Data_old[[#This Row],[2026 ]]*IFERROR(AVERAGEIFS('Participation Adjustment'!$C:$C,'Participation Adjustment'!$A:$A,$H550,'Participation Adjustment'!$B:$B,$I550),1)</f>
        <v>0.43530934091846901</v>
      </c>
      <c r="X550" s="79">
        <f>tbl_Data_old[[#This Row],[2027 ]]*IFERROR(AVERAGEIFS('Participation Adjustment'!$C:$C,'Participation Adjustment'!$A:$A,$H550,'Participation Adjustment'!$B:$B,$I550),1)</f>
        <v>0.46754723037433499</v>
      </c>
      <c r="Y550" s="79">
        <f>tbl_Data_old[[#This Row],[2028 ]]*IFERROR(AVERAGEIFS('Participation Adjustment'!$C:$C,'Participation Adjustment'!$A:$A,$H550,'Participation Adjustment'!$B:$B,$I550),1)</f>
        <v>0.49559592808641001</v>
      </c>
      <c r="Z550" s="79">
        <f>tbl_Data_old[[#This Row],[2029 ]]*IFERROR(AVERAGEIFS('Participation Adjustment'!$C:$C,'Participation Adjustment'!$A:$A,$H550,'Participation Adjustment'!$B:$B,$I550),1)</f>
        <v>0.51959660536076002</v>
      </c>
      <c r="AA550" s="79">
        <f>tbl_Data_old[[#This Row],[2030 ]]*IFERROR(AVERAGEIFS('Participation Adjustment'!$C:$C,'Participation Adjustment'!$A:$A,$H550,'Participation Adjustment'!$B:$B,$I550),1)</f>
        <v>0.53935694593422601</v>
      </c>
      <c r="AB550" s="79">
        <f>tbl_Data_old[[#This Row],[2031 ]]*IFERROR(AVERAGEIFS('Participation Adjustment'!$C:$C,'Participation Adjustment'!$A:$A,$H550,'Participation Adjustment'!$B:$B,$I550),1)</f>
        <v>0.55561287788393998</v>
      </c>
      <c r="AC550" s="79">
        <f>tbl_Data_old[[#This Row],[2032 ]]*IFERROR(AVERAGEIFS('Participation Adjustment'!$C:$C,'Participation Adjustment'!$A:$A,$H550,'Participation Adjustment'!$B:$B,$I550),1)</f>
        <v>0.56991831948093197</v>
      </c>
      <c r="AD550" s="79">
        <f>tbl_Data_old[[#This Row],[2033 ]]*IFERROR(AVERAGEIFS('Participation Adjustment'!$C:$C,'Participation Adjustment'!$A:$A,$H550,'Participation Adjustment'!$B:$B,$I550),1)</f>
        <v>0.58273425865948802</v>
      </c>
      <c r="AE550" s="79">
        <f>tbl_Data_old[[#This Row],[2034 ]]*IFERROR(AVERAGEIFS('Participation Adjustment'!$C:$C,'Participation Adjustment'!$A:$A,$H550,'Participation Adjustment'!$B:$B,$I550),1)</f>
        <v>0.59373770497014799</v>
      </c>
      <c r="AF550" s="77" t="str">
        <f t="shared" si="220"/>
        <v>NonResidential</v>
      </c>
      <c r="AG550" s="77" t="str">
        <f>tbl_Data[[#This Row],[All_Meas_Name_Append]]</f>
        <v>Heat Pump Water Heater</v>
      </c>
      <c r="AH550" s="77">
        <f>AVERAGEIFS('3. Incentive Adjustment'!G:G,'3. Incentive Adjustment'!A:A,tbl_Data[[#This Row],[Trimmed Sector]],'3. Incentive Adjustment'!B:B,tbl_Data[[#This Row],[Trimmed Measure Name]])</f>
        <v>0.82797588322898052</v>
      </c>
      <c r="AI550" s="77">
        <f>$AH550*tbl_Data[[#This Row],[2025 ]]</f>
        <v>0.32775733394348416</v>
      </c>
      <c r="AJ550" s="77">
        <f>$AH550*tbl_Data[[#This Row],[2026 ]]</f>
        <v>0.36042563602479477</v>
      </c>
      <c r="AK550" s="77">
        <f>$AH550*tbl_Data[[#This Row],[2027 ]]</f>
        <v>0.38711783102045366</v>
      </c>
      <c r="AL550" s="77">
        <f>$AH550*tbl_Data[[#This Row],[2028 ]]</f>
        <v>0.41034147628203166</v>
      </c>
      <c r="AM550" s="77">
        <f>$AH550*tbl_Data[[#This Row],[2029 ]]</f>
        <v>0.43021345824635532</v>
      </c>
      <c r="AN550" s="77">
        <f>$AH550*tbl_Data[[#This Row],[2030 ]]</f>
        <v>0.44657454368557625</v>
      </c>
      <c r="AO550" s="77">
        <f>$AH550*tbl_Data[[#This Row],[2031 ]]</f>
        <v>0.46003406329935093</v>
      </c>
      <c r="AP550" s="77">
        <f>$AH550*tbl_Data[[#This Row],[2032 ]]</f>
        <v>0.47187862394060093</v>
      </c>
      <c r="AQ550" s="77">
        <f>$AH550*tbl_Data[[#This Row],[2033 ]]</f>
        <v>0.4824899125013748</v>
      </c>
      <c r="AR550" s="77">
        <f>$AH550*tbl_Data[[#This Row],[2034 ]]</f>
        <v>0.49160050067900612</v>
      </c>
      <c r="AS550" s="77">
        <f>SUM(tbl_Data[[#This Row],[Adjusted 2025]:[Adjusted 2034]])</f>
        <v>4.268433379623028</v>
      </c>
      <c r="AT550" s="80">
        <f>AVERAGEIFS('3. Incentive Adjustment'!F:F,'3. Incentive Adjustment'!A:A,tbl_Data[[#This Row],[Trimmed Sector]],'3. Incentive Adjustment'!B:B,tbl_Data[[#This Row],[Trimmed Measure Name]])</f>
        <v>500</v>
      </c>
      <c r="AU550" s="80">
        <f>IFERROR(VLOOKUP(tbl_Data[[#This Row],[All_Meas_Name_Append]],'IRA Tax Credits'!$A$3:$D$46,4,0),0)</f>
        <v>0</v>
      </c>
      <c r="AV550" s="81">
        <f>tbl_Data[[#This Row],[Adj. per unit Incentive ($)]]/tbl_Data[[#This Row],[kWh Savings]]*tbl_Data[[#This Row],[Sum of Annuals]]</f>
        <v>0.31994349685096291</v>
      </c>
      <c r="AW550" s="81" t="str">
        <f>IFERROR(VLOOKUP(tbl_Data[[#This Row],[Column1]],'1. Set Program Names'!$B$2:$D$15,3,0)*tbl_Data[[#This Row],[Sum of Annuals]],"")</f>
        <v/>
      </c>
      <c r="AX550" s="81">
        <f>tbl_Data[[#This Row],[per unit IRA tax ($)]]/tbl_Data[[#This Row],[kWh Savings]]*tbl_Data[[#This Row],[Sum of Annuals]]</f>
        <v>0</v>
      </c>
      <c r="AY550" s="81">
        <f>tbl_Data[[#This Row],[Avoided Costs ($/unit)]]/tbl_Data[[#This Row],[kWh Savings]]*tbl_Data[[#This Row],[Sum of Annuals]]</f>
        <v>2.1761325948271706</v>
      </c>
      <c r="AZ550" s="81">
        <f>tbl_Data[[#This Row],[Lost Revenue ($/unit)]]/tbl_Data[[#This Row],[kWh Savings]]*tbl_Data[[#This Row],[Sum of Annuals]]</f>
        <v>4.6360311610159757</v>
      </c>
      <c r="BA550" s="81">
        <f>tbl_Data[[#This Row],[Incremental Cost ($/unit)]]/tbl_Data[[#This Row],[kWh Savings]]*tbl_Data[[#This Row],[Sum of Annuals]]</f>
        <v>1.5559652110604454</v>
      </c>
      <c r="BB550" s="77">
        <f>ROUNDUP(tbl_Data[[#This Row],[Adjusted 2025]]/$L550,0)</f>
        <v>1</v>
      </c>
      <c r="BC550" s="77">
        <f>ROUNDUP(tbl_Data[[#This Row],[Adjusted 2026]]/$L550,0)</f>
        <v>1</v>
      </c>
      <c r="BD550" s="77">
        <f>ROUNDUP(tbl_Data[[#This Row],[Adjusted 2027]]/$L550,0)</f>
        <v>1</v>
      </c>
      <c r="BE550" s="77">
        <f>ROUNDUP(tbl_Data[[#This Row],[Adjusted 2028]]/$L550,0)</f>
        <v>1</v>
      </c>
      <c r="BF550" s="77">
        <f>ROUNDUP(tbl_Data[[#This Row],[Adjusted 2029]]/$L550,0)</f>
        <v>1</v>
      </c>
      <c r="BG550" s="77">
        <f>ROUNDUP(tbl_Data[[#This Row],[Adjusted 2030]]/$L550,0)</f>
        <v>1</v>
      </c>
      <c r="BH550" s="77">
        <f>ROUNDUP(tbl_Data[[#This Row],[Adjusted 2031]]/$L550,0)</f>
        <v>1</v>
      </c>
      <c r="BI550" s="77">
        <f>ROUNDUP(tbl_Data[[#This Row],[Adjusted 2032]]/$L550,0)</f>
        <v>1</v>
      </c>
      <c r="BJ550" s="77">
        <f>ROUNDUP(tbl_Data[[#This Row],[Adjusted 2033]]/$L550,0)</f>
        <v>1</v>
      </c>
      <c r="BK550" s="77">
        <f>ROUNDUP(tbl_Data[[#This Row],[Adjusted 2034]]/$L550,0)</f>
        <v>1</v>
      </c>
      <c r="BL550" s="80">
        <f t="shared" si="221"/>
        <v>2.9671500606037057E-2</v>
      </c>
      <c r="BM550" s="80">
        <f t="shared" si="222"/>
        <v>3.2628925031422916E-2</v>
      </c>
      <c r="BN550" s="80">
        <f t="shared" si="223"/>
        <v>3.504533924391684E-2</v>
      </c>
      <c r="BO550" s="80">
        <f t="shared" si="224"/>
        <v>3.7147749573420312E-2</v>
      </c>
      <c r="BP550" s="80">
        <f t="shared" si="225"/>
        <v>3.8946737616809932E-2</v>
      </c>
      <c r="BQ550" s="80">
        <f t="shared" si="226"/>
        <v>4.0427888170130509E-2</v>
      </c>
      <c r="BR550" s="80">
        <f t="shared" si="227"/>
        <v>4.1646363252204326E-2</v>
      </c>
      <c r="BS550" s="80">
        <f t="shared" si="228"/>
        <v>4.2718637925715348E-2</v>
      </c>
      <c r="BT550" s="80">
        <f t="shared" si="229"/>
        <v>4.3679265873147112E-2</v>
      </c>
      <c r="BU550" s="80">
        <f t="shared" si="230"/>
        <v>4.4504037112836764E-2</v>
      </c>
      <c r="BV550" s="80" t="str">
        <f>IFERROR(VLOOKUP($H550,'1. Set Program Names'!$B$2:$D$15,3,0)*V550,"NA")</f>
        <v>NA</v>
      </c>
      <c r="BW550" s="80" t="str">
        <f>IFERROR(VLOOKUP($H550,'1. Set Program Names'!$B$2:$D$15,3,0)*W550,"NA")</f>
        <v>NA</v>
      </c>
      <c r="BX550" s="80" t="str">
        <f>IFERROR(VLOOKUP($H550,'1. Set Program Names'!$B$2:$D$15,3,0)*X550,"NA")</f>
        <v>NA</v>
      </c>
      <c r="BY550" s="80" t="str">
        <f>IFERROR(VLOOKUP($H550,'1. Set Program Names'!$B$2:$D$15,3,0)*Y550,"NA")</f>
        <v>NA</v>
      </c>
      <c r="BZ550" s="80" t="str">
        <f>IFERROR(VLOOKUP($H550,'1. Set Program Names'!$B$2:$D$15,3,0)*Z550,"NA")</f>
        <v>NA</v>
      </c>
      <c r="CA550" s="80" t="str">
        <f>IFERROR(VLOOKUP($H550,'1. Set Program Names'!$B$2:$D$15,3,0)*AA550,"NA")</f>
        <v>NA</v>
      </c>
      <c r="CB550" s="80" t="str">
        <f>IFERROR(VLOOKUP($H550,'1. Set Program Names'!$B$2:$D$15,3,0)*AB550,"NA")</f>
        <v>NA</v>
      </c>
      <c r="CC550" s="80" t="str">
        <f>IFERROR(VLOOKUP($H550,'1. Set Program Names'!$B$2:$D$15,3,0)*AC550,"NA")</f>
        <v>NA</v>
      </c>
      <c r="CD550" s="80" t="str">
        <f>IFERROR(VLOOKUP($H550,'1. Set Program Names'!$B$2:$D$15,3,0)*AD550,"NA")</f>
        <v>NA</v>
      </c>
      <c r="CE550" s="80" t="str">
        <f>IFERROR(VLOOKUP($H550,'1. Set Program Names'!$B$2:$D$15,3,0)*AE550,"NA")</f>
        <v>NA</v>
      </c>
    </row>
    <row r="551" spans="1:83" x14ac:dyDescent="0.25">
      <c r="A551" s="79" t="s">
        <v>116</v>
      </c>
      <c r="B551" s="79" t="s">
        <v>88</v>
      </c>
      <c r="C551" s="79" t="s">
        <v>122</v>
      </c>
      <c r="D551" s="79" t="s">
        <v>90</v>
      </c>
      <c r="E551" s="79" t="s">
        <v>91</v>
      </c>
      <c r="F551" s="79" t="s">
        <v>90</v>
      </c>
      <c r="G551" s="79" t="s">
        <v>92</v>
      </c>
      <c r="H551" s="79" t="s">
        <v>20</v>
      </c>
      <c r="I551" s="79" t="s">
        <v>145</v>
      </c>
      <c r="J551" s="79" t="s">
        <v>129</v>
      </c>
      <c r="K551" s="79" t="s">
        <v>98</v>
      </c>
      <c r="L551" s="79">
        <v>1452.1399999999801</v>
      </c>
      <c r="M551" s="79">
        <v>0.33467704377742202</v>
      </c>
      <c r="N551" s="79">
        <v>4.3977319526113799E-2</v>
      </c>
      <c r="O551" s="79">
        <v>654.99999999999898</v>
      </c>
      <c r="P551" s="79">
        <v>358.56061649158102</v>
      </c>
      <c r="Q551" s="79">
        <v>87.128399999999303</v>
      </c>
      <c r="R551" s="79">
        <v>761.15206993055403</v>
      </c>
      <c r="S551" s="79">
        <v>1577.19839843259</v>
      </c>
      <c r="T551" s="79">
        <v>15</v>
      </c>
      <c r="U551" s="79">
        <v>0.05</v>
      </c>
      <c r="V551" s="79">
        <f>tbl_Data_old[[#This Row],[2025 ]]*IFERROR(AVERAGEIFS('Participation Adjustment'!$C:$C,'Participation Adjustment'!$A:$A,$H551,'Participation Adjustment'!$B:$B,$I551),1)</f>
        <v>2.55646899125332E-3</v>
      </c>
      <c r="W551" s="79">
        <f>tbl_Data_old[[#This Row],[2026 ]]*IFERROR(AVERAGEIFS('Participation Adjustment'!$C:$C,'Participation Adjustment'!$A:$A,$H551,'Participation Adjustment'!$B:$B,$I551),1)</f>
        <v>2.8203250211590301E-3</v>
      </c>
      <c r="X551" s="79">
        <f>tbl_Data_old[[#This Row],[2027 ]]*IFERROR(AVERAGEIFS('Participation Adjustment'!$C:$C,'Participation Adjustment'!$A:$A,$H551,'Participation Adjustment'!$B:$B,$I551),1)</f>
        <v>3.04258259587646E-3</v>
      </c>
      <c r="Y551" s="79">
        <f>tbl_Data_old[[#This Row],[2028 ]]*IFERROR(AVERAGEIFS('Participation Adjustment'!$C:$C,'Participation Adjustment'!$A:$A,$H551,'Participation Adjustment'!$B:$B,$I551),1)</f>
        <v>3.2399773796245399E-3</v>
      </c>
      <c r="Z551" s="79">
        <f>tbl_Data_old[[#This Row],[2029 ]]*IFERROR(AVERAGEIFS('Participation Adjustment'!$C:$C,'Participation Adjustment'!$A:$A,$H551,'Participation Adjustment'!$B:$B,$I551),1)</f>
        <v>3.4116461578148302E-3</v>
      </c>
      <c r="AA551" s="79">
        <f>tbl_Data_old[[#This Row],[2030 ]]*IFERROR(AVERAGEIFS('Participation Adjustment'!$C:$C,'Participation Adjustment'!$A:$A,$H551,'Participation Adjustment'!$B:$B,$I551),1)</f>
        <v>3.5572868833192899E-3</v>
      </c>
      <c r="AB551" s="79">
        <f>tbl_Data_old[[#This Row],[2031 ]]*IFERROR(AVERAGEIFS('Participation Adjustment'!$C:$C,'Participation Adjustment'!$A:$A,$H551,'Participation Adjustment'!$B:$B,$I551),1)</f>
        <v>3.6798587178735599E-3</v>
      </c>
      <c r="AC551" s="79">
        <f>tbl_Data_old[[#This Row],[2032 ]]*IFERROR(AVERAGEIFS('Participation Adjustment'!$C:$C,'Participation Adjustment'!$A:$A,$H551,'Participation Adjustment'!$B:$B,$I551),1)</f>
        <v>3.7896299816554098E-3</v>
      </c>
      <c r="AD551" s="79">
        <f>tbl_Data_old[[#This Row],[2033 ]]*IFERROR(AVERAGEIFS('Participation Adjustment'!$C:$C,'Participation Adjustment'!$A:$A,$H551,'Participation Adjustment'!$B:$B,$I551),1)</f>
        <v>3.8915214394311202E-3</v>
      </c>
      <c r="AE551" s="79">
        <f>tbl_Data_old[[#This Row],[2034 ]]*IFERROR(AVERAGEIFS('Participation Adjustment'!$C:$C,'Participation Adjustment'!$A:$A,$H551,'Participation Adjustment'!$B:$B,$I551),1)</f>
        <v>3.9811999693187298E-3</v>
      </c>
      <c r="AF551" s="77" t="str">
        <f t="shared" si="220"/>
        <v>NonResidential</v>
      </c>
      <c r="AG551" s="77" t="str">
        <f>tbl_Data[[#This Row],[All_Meas_Name_Append]]</f>
        <v>HE DX Less than 5.4 Tons Elect Heat</v>
      </c>
      <c r="AH551" s="77">
        <f>AVERAGEIFS('3. Incentive Adjustment'!G:G,'3. Incentive Adjustment'!A:A,tbl_Data[[#This Row],[Trimmed Sector]],'3. Incentive Adjustment'!B:B,tbl_Data[[#This Row],[Trimmed Measure Name]])</f>
        <v>0.74493198517309978</v>
      </c>
      <c r="AI551" s="77">
        <f>$AH551*tbl_Data[[#This Row],[2025 ]]</f>
        <v>1.9043955206878075E-3</v>
      </c>
      <c r="AJ551" s="77">
        <f>$AH551*tbl_Data[[#This Row],[2026 ]]</f>
        <v>2.100950316845361E-3</v>
      </c>
      <c r="AK551" s="77">
        <f>$AH551*tbl_Data[[#This Row],[2027 ]]</f>
        <v>2.2665170931993744E-3</v>
      </c>
      <c r="AL551" s="77">
        <f>$AH551*tbl_Data[[#This Row],[2028 ]]</f>
        <v>2.4135627813196463E-3</v>
      </c>
      <c r="AM551" s="77">
        <f>$AH551*tbl_Data[[#This Row],[2029 ]]</f>
        <v>2.5414443450491797E-3</v>
      </c>
      <c r="AN551" s="77">
        <f>$AH551*tbl_Data[[#This Row],[2030 ]]</f>
        <v>2.6499367798212678E-3</v>
      </c>
      <c r="AO551" s="77">
        <f>$AH551*tbl_Data[[#This Row],[2031 ]]</f>
        <v>2.7412444598620888E-3</v>
      </c>
      <c r="AP551" s="77">
        <f>$AH551*tbl_Data[[#This Row],[2032 ]]</f>
        <v>2.8230165853060621E-3</v>
      </c>
      <c r="AQ551" s="77">
        <f>$AH551*tbl_Data[[#This Row],[2033 ]]</f>
        <v>2.8989187912191032E-3</v>
      </c>
      <c r="AR551" s="77">
        <f>$AH551*tbl_Data[[#This Row],[2034 ]]</f>
        <v>2.9657231965156852E-3</v>
      </c>
      <c r="AS551" s="77">
        <f>SUM(tbl_Data[[#This Row],[Adjusted 2025]:[Adjusted 2034]])</f>
        <v>2.5305709869825579E-2</v>
      </c>
      <c r="AT551" s="80">
        <f>AVERAGEIFS('3. Incentive Adjustment'!F:F,'3. Incentive Adjustment'!A:A,tbl_Data[[#This Row],[Trimmed Sector]],'3. Incentive Adjustment'!B:B,tbl_Data[[#This Row],[Trimmed Measure Name]])</f>
        <v>196.49999999999969</v>
      </c>
      <c r="AU551" s="80">
        <f>IFERROR(VLOOKUP(tbl_Data[[#This Row],[All_Meas_Name_Append]],'IRA Tax Credits'!$A$3:$D$46,4,0),0)</f>
        <v>0</v>
      </c>
      <c r="AV551" s="81">
        <f>tbl_Data[[#This Row],[Adj. per unit Incentive ($)]]/tbl_Data[[#This Row],[kWh Savings]]*tbl_Data[[#This Row],[Sum of Annuals]]</f>
        <v>3.4243061890869932E-3</v>
      </c>
      <c r="AW551" s="81" t="str">
        <f>IFERROR(VLOOKUP(tbl_Data[[#This Row],[Column1]],'1. Set Program Names'!$B$2:$D$15,3,0)*tbl_Data[[#This Row],[Sum of Annuals]],"")</f>
        <v/>
      </c>
      <c r="AX551" s="81">
        <f>tbl_Data[[#This Row],[per unit IRA tax ($)]]/tbl_Data[[#This Row],[kWh Savings]]*tbl_Data[[#This Row],[Sum of Annuals]]</f>
        <v>0</v>
      </c>
      <c r="AY551" s="81">
        <f>tbl_Data[[#This Row],[Avoided Costs ($/unit)]]/tbl_Data[[#This Row],[kWh Savings]]*tbl_Data[[#This Row],[Sum of Annuals]]</f>
        <v>1.3264212437147972E-2</v>
      </c>
      <c r="AZ551" s="81">
        <f>tbl_Data[[#This Row],[Lost Revenue ($/unit)]]/tbl_Data[[#This Row],[kWh Savings]]*tbl_Data[[#This Row],[Sum of Annuals]]</f>
        <v>2.7485039374915116E-2</v>
      </c>
      <c r="BA551" s="81">
        <f>tbl_Data[[#This Row],[Incremental Cost ($/unit)]]/tbl_Data[[#This Row],[kWh Savings]]*tbl_Data[[#This Row],[Sum of Annuals]]</f>
        <v>1.1414353963623312E-2</v>
      </c>
      <c r="BB551" s="77">
        <f>ROUNDUP(tbl_Data[[#This Row],[Adjusted 2025]]/$L551,0)</f>
        <v>1</v>
      </c>
      <c r="BC551" s="77">
        <f>ROUNDUP(tbl_Data[[#This Row],[Adjusted 2026]]/$L551,0)</f>
        <v>1</v>
      </c>
      <c r="BD551" s="77">
        <f>ROUNDUP(tbl_Data[[#This Row],[Adjusted 2027]]/$L551,0)</f>
        <v>1</v>
      </c>
      <c r="BE551" s="77">
        <f>ROUNDUP(tbl_Data[[#This Row],[Adjusted 2028]]/$L551,0)</f>
        <v>1</v>
      </c>
      <c r="BF551" s="77">
        <f>ROUNDUP(tbl_Data[[#This Row],[Adjusted 2029]]/$L551,0)</f>
        <v>1</v>
      </c>
      <c r="BG551" s="77">
        <f>ROUNDUP(tbl_Data[[#This Row],[Adjusted 2030]]/$L551,0)</f>
        <v>1</v>
      </c>
      <c r="BH551" s="77">
        <f>ROUNDUP(tbl_Data[[#This Row],[Adjusted 2031]]/$L551,0)</f>
        <v>1</v>
      </c>
      <c r="BI551" s="77">
        <f>ROUNDUP(tbl_Data[[#This Row],[Adjusted 2032]]/$L551,0)</f>
        <v>1</v>
      </c>
      <c r="BJ551" s="77">
        <f>ROUNDUP(tbl_Data[[#This Row],[Adjusted 2033]]/$L551,0)</f>
        <v>1</v>
      </c>
      <c r="BK551" s="77">
        <f>ROUNDUP(tbl_Data[[#This Row],[Adjusted 2034]]/$L551,0)</f>
        <v>1</v>
      </c>
      <c r="BL551" s="80">
        <f t="shared" si="221"/>
        <v>3.4593507291396383E-4</v>
      </c>
      <c r="BM551" s="80">
        <f t="shared" si="222"/>
        <v>3.8163941951723396E-4</v>
      </c>
      <c r="BN551" s="80">
        <f t="shared" si="223"/>
        <v>4.1171476585572436E-4</v>
      </c>
      <c r="BO551" s="80">
        <f t="shared" si="224"/>
        <v>4.3842574069733619E-4</v>
      </c>
      <c r="BP551" s="80">
        <f t="shared" si="225"/>
        <v>4.6165553597492129E-4</v>
      </c>
      <c r="BQ551" s="80">
        <f t="shared" si="226"/>
        <v>4.8136327941675656E-4</v>
      </c>
      <c r="BR551" s="80">
        <f t="shared" si="227"/>
        <v>4.9794939748382615E-4</v>
      </c>
      <c r="BS551" s="80">
        <f t="shared" si="228"/>
        <v>5.1280337391387679E-4</v>
      </c>
      <c r="BT551" s="80">
        <f t="shared" si="229"/>
        <v>5.265910744475218E-4</v>
      </c>
      <c r="BU551" s="80">
        <f t="shared" si="230"/>
        <v>5.3872615172857979E-4</v>
      </c>
      <c r="BV551" s="80" t="str">
        <f>IFERROR(VLOOKUP($H551,'1. Set Program Names'!$B$2:$D$15,3,0)*V551,"NA")</f>
        <v>NA</v>
      </c>
      <c r="BW551" s="80" t="str">
        <f>IFERROR(VLOOKUP($H551,'1. Set Program Names'!$B$2:$D$15,3,0)*W551,"NA")</f>
        <v>NA</v>
      </c>
      <c r="BX551" s="80" t="str">
        <f>IFERROR(VLOOKUP($H551,'1. Set Program Names'!$B$2:$D$15,3,0)*X551,"NA")</f>
        <v>NA</v>
      </c>
      <c r="BY551" s="80" t="str">
        <f>IFERROR(VLOOKUP($H551,'1. Set Program Names'!$B$2:$D$15,3,0)*Y551,"NA")</f>
        <v>NA</v>
      </c>
      <c r="BZ551" s="80" t="str">
        <f>IFERROR(VLOOKUP($H551,'1. Set Program Names'!$B$2:$D$15,3,0)*Z551,"NA")</f>
        <v>NA</v>
      </c>
      <c r="CA551" s="80" t="str">
        <f>IFERROR(VLOOKUP($H551,'1. Set Program Names'!$B$2:$D$15,3,0)*AA551,"NA")</f>
        <v>NA</v>
      </c>
      <c r="CB551" s="80" t="str">
        <f>IFERROR(VLOOKUP($H551,'1. Set Program Names'!$B$2:$D$15,3,0)*AB551,"NA")</f>
        <v>NA</v>
      </c>
      <c r="CC551" s="80" t="str">
        <f>IFERROR(VLOOKUP($H551,'1. Set Program Names'!$B$2:$D$15,3,0)*AC551,"NA")</f>
        <v>NA</v>
      </c>
      <c r="CD551" s="80" t="str">
        <f>IFERROR(VLOOKUP($H551,'1. Set Program Names'!$B$2:$D$15,3,0)*AD551,"NA")</f>
        <v>NA</v>
      </c>
      <c r="CE551" s="80" t="str">
        <f>IFERROR(VLOOKUP($H551,'1. Set Program Names'!$B$2:$D$15,3,0)*AE551,"NA")</f>
        <v>NA</v>
      </c>
    </row>
    <row r="552" spans="1:83" x14ac:dyDescent="0.25">
      <c r="A552" s="79" t="s">
        <v>116</v>
      </c>
      <c r="B552" s="79" t="s">
        <v>88</v>
      </c>
      <c r="C552" s="79" t="s">
        <v>122</v>
      </c>
      <c r="D552" s="79" t="s">
        <v>90</v>
      </c>
      <c r="E552" s="79" t="s">
        <v>91</v>
      </c>
      <c r="F552" s="79" t="s">
        <v>90</v>
      </c>
      <c r="G552" s="79" t="s">
        <v>92</v>
      </c>
      <c r="H552" s="79" t="s">
        <v>20</v>
      </c>
      <c r="I552" s="79" t="s">
        <v>154</v>
      </c>
      <c r="J552" s="79" t="s">
        <v>129</v>
      </c>
      <c r="K552" s="79" t="s">
        <v>102</v>
      </c>
      <c r="L552" s="79">
        <v>111105.09249999899</v>
      </c>
      <c r="M552" s="79">
        <v>30.6532165911823</v>
      </c>
      <c r="N552" s="79">
        <v>0</v>
      </c>
      <c r="O552" s="79">
        <v>40257.675000000003</v>
      </c>
      <c r="P552" s="79">
        <v>17605.607636663401</v>
      </c>
      <c r="Q552" s="79">
        <v>6666.30554999998</v>
      </c>
      <c r="R552" s="79">
        <v>56706.982631731698</v>
      </c>
      <c r="S552" s="79">
        <v>120673.47084214</v>
      </c>
      <c r="T552" s="79">
        <v>15</v>
      </c>
      <c r="U552" s="79">
        <v>0.05</v>
      </c>
      <c r="V552" s="79">
        <f>tbl_Data_old[[#This Row],[2025 ]]*IFERROR(AVERAGEIFS('Participation Adjustment'!$C:$C,'Participation Adjustment'!$A:$A,$H552,'Participation Adjustment'!$B:$B,$I552),1)</f>
        <v>0</v>
      </c>
      <c r="W552" s="79">
        <f>tbl_Data_old[[#This Row],[2026 ]]*IFERROR(AVERAGEIFS('Participation Adjustment'!$C:$C,'Participation Adjustment'!$A:$A,$H552,'Participation Adjustment'!$B:$B,$I552),1)</f>
        <v>0</v>
      </c>
      <c r="X552" s="79">
        <f>tbl_Data_old[[#This Row],[2027 ]]*IFERROR(AVERAGEIFS('Participation Adjustment'!$C:$C,'Participation Adjustment'!$A:$A,$H552,'Participation Adjustment'!$B:$B,$I552),1)</f>
        <v>0</v>
      </c>
      <c r="Y552" s="79">
        <f>tbl_Data_old[[#This Row],[2028 ]]*IFERROR(AVERAGEIFS('Participation Adjustment'!$C:$C,'Participation Adjustment'!$A:$A,$H552,'Participation Adjustment'!$B:$B,$I552),1)</f>
        <v>0</v>
      </c>
      <c r="Z552" s="79">
        <f>tbl_Data_old[[#This Row],[2029 ]]*IFERROR(AVERAGEIFS('Participation Adjustment'!$C:$C,'Participation Adjustment'!$A:$A,$H552,'Participation Adjustment'!$B:$B,$I552),1)</f>
        <v>0</v>
      </c>
      <c r="AA552" s="79">
        <f>tbl_Data_old[[#This Row],[2030 ]]*IFERROR(AVERAGEIFS('Participation Adjustment'!$C:$C,'Participation Adjustment'!$A:$A,$H552,'Participation Adjustment'!$B:$B,$I552),1)</f>
        <v>0</v>
      </c>
      <c r="AB552" s="79">
        <f>tbl_Data_old[[#This Row],[2031 ]]*IFERROR(AVERAGEIFS('Participation Adjustment'!$C:$C,'Participation Adjustment'!$A:$A,$H552,'Participation Adjustment'!$B:$B,$I552),1)</f>
        <v>0</v>
      </c>
      <c r="AC552" s="79">
        <f>tbl_Data_old[[#This Row],[2032 ]]*IFERROR(AVERAGEIFS('Participation Adjustment'!$C:$C,'Participation Adjustment'!$A:$A,$H552,'Participation Adjustment'!$B:$B,$I552),1)</f>
        <v>0</v>
      </c>
      <c r="AD552" s="79">
        <f>tbl_Data_old[[#This Row],[2033 ]]*IFERROR(AVERAGEIFS('Participation Adjustment'!$C:$C,'Participation Adjustment'!$A:$A,$H552,'Participation Adjustment'!$B:$B,$I552),1)</f>
        <v>0</v>
      </c>
      <c r="AE552" s="79">
        <f>tbl_Data_old[[#This Row],[2034 ]]*IFERROR(AVERAGEIFS('Participation Adjustment'!$C:$C,'Participation Adjustment'!$A:$A,$H552,'Participation Adjustment'!$B:$B,$I552),1)</f>
        <v>0</v>
      </c>
      <c r="AF552" s="77" t="str">
        <f t="shared" si="220"/>
        <v>NonResidential</v>
      </c>
      <c r="AG552" s="77" t="str">
        <f>tbl_Data[[#This Row],[All_Meas_Name_Append]]</f>
        <v>Reflective Roof Treatment</v>
      </c>
      <c r="AH552" s="77">
        <f>AVERAGEIFS('3. Incentive Adjustment'!G:G,'3. Incentive Adjustment'!A:A,tbl_Data[[#This Row],[Trimmed Sector]],'3. Incentive Adjustment'!B:B,tbl_Data[[#This Row],[Trimmed Measure Name]])</f>
        <v>0.87696681614875649</v>
      </c>
      <c r="AI552" s="77">
        <f>$AH552*tbl_Data[[#This Row],[2025 ]]</f>
        <v>0</v>
      </c>
      <c r="AJ552" s="77">
        <f>$AH552*tbl_Data[[#This Row],[2026 ]]</f>
        <v>0</v>
      </c>
      <c r="AK552" s="77">
        <f>$AH552*tbl_Data[[#This Row],[2027 ]]</f>
        <v>0</v>
      </c>
      <c r="AL552" s="77">
        <f>$AH552*tbl_Data[[#This Row],[2028 ]]</f>
        <v>0</v>
      </c>
      <c r="AM552" s="77">
        <f>$AH552*tbl_Data[[#This Row],[2029 ]]</f>
        <v>0</v>
      </c>
      <c r="AN552" s="77">
        <f>$AH552*tbl_Data[[#This Row],[2030 ]]</f>
        <v>0</v>
      </c>
      <c r="AO552" s="77">
        <f>$AH552*tbl_Data[[#This Row],[2031 ]]</f>
        <v>0</v>
      </c>
      <c r="AP552" s="77">
        <f>$AH552*tbl_Data[[#This Row],[2032 ]]</f>
        <v>0</v>
      </c>
      <c r="AQ552" s="77">
        <f>$AH552*tbl_Data[[#This Row],[2033 ]]</f>
        <v>0</v>
      </c>
      <c r="AR552" s="77">
        <f>$AH552*tbl_Data[[#This Row],[2034 ]]</f>
        <v>0</v>
      </c>
      <c r="AS552" s="77">
        <f>SUM(tbl_Data[[#This Row],[Adjusted 2025]:[Adjusted 2034]])</f>
        <v>0</v>
      </c>
      <c r="AT552" s="80">
        <f>AVERAGEIFS('3. Incentive Adjustment'!F:F,'3. Incentive Adjustment'!A:A,tbl_Data[[#This Row],[Trimmed Sector]],'3. Incentive Adjustment'!B:B,tbl_Data[[#This Row],[Trimmed Measure Name]])</f>
        <v>12077.302499999998</v>
      </c>
      <c r="AU552" s="80">
        <f>IFERROR(VLOOKUP(tbl_Data[[#This Row],[All_Meas_Name_Append]],'IRA Tax Credits'!$A$3:$D$46,4,0),0)</f>
        <v>0</v>
      </c>
      <c r="AV552" s="81">
        <f>tbl_Data[[#This Row],[Adj. per unit Incentive ($)]]/tbl_Data[[#This Row],[kWh Savings]]*tbl_Data[[#This Row],[Sum of Annuals]]</f>
        <v>0</v>
      </c>
      <c r="AW552" s="81" t="str">
        <f>IFERROR(VLOOKUP(tbl_Data[[#This Row],[Column1]],'1. Set Program Names'!$B$2:$D$15,3,0)*tbl_Data[[#This Row],[Sum of Annuals]],"")</f>
        <v/>
      </c>
      <c r="AX552" s="81">
        <f>tbl_Data[[#This Row],[per unit IRA tax ($)]]/tbl_Data[[#This Row],[kWh Savings]]*tbl_Data[[#This Row],[Sum of Annuals]]</f>
        <v>0</v>
      </c>
      <c r="AY552" s="81">
        <f>tbl_Data[[#This Row],[Avoided Costs ($/unit)]]/tbl_Data[[#This Row],[kWh Savings]]*tbl_Data[[#This Row],[Sum of Annuals]]</f>
        <v>0</v>
      </c>
      <c r="AZ552" s="81">
        <f>tbl_Data[[#This Row],[Lost Revenue ($/unit)]]/tbl_Data[[#This Row],[kWh Savings]]*tbl_Data[[#This Row],[Sum of Annuals]]</f>
        <v>0</v>
      </c>
      <c r="BA552" s="81">
        <f>tbl_Data[[#This Row],[Incremental Cost ($/unit)]]/tbl_Data[[#This Row],[kWh Savings]]*tbl_Data[[#This Row],[Sum of Annuals]]</f>
        <v>0</v>
      </c>
      <c r="BB552" s="77">
        <f>ROUNDUP(tbl_Data[[#This Row],[Adjusted 2025]]/$L552,0)</f>
        <v>0</v>
      </c>
      <c r="BC552" s="77">
        <f>ROUNDUP(tbl_Data[[#This Row],[Adjusted 2026]]/$L552,0)</f>
        <v>0</v>
      </c>
      <c r="BD552" s="77">
        <f>ROUNDUP(tbl_Data[[#This Row],[Adjusted 2027]]/$L552,0)</f>
        <v>0</v>
      </c>
      <c r="BE552" s="77">
        <f>ROUNDUP(tbl_Data[[#This Row],[Adjusted 2028]]/$L552,0)</f>
        <v>0</v>
      </c>
      <c r="BF552" s="77">
        <f>ROUNDUP(tbl_Data[[#This Row],[Adjusted 2029]]/$L552,0)</f>
        <v>0</v>
      </c>
      <c r="BG552" s="77">
        <f>ROUNDUP(tbl_Data[[#This Row],[Adjusted 2030]]/$L552,0)</f>
        <v>0</v>
      </c>
      <c r="BH552" s="77">
        <f>ROUNDUP(tbl_Data[[#This Row],[Adjusted 2031]]/$L552,0)</f>
        <v>0</v>
      </c>
      <c r="BI552" s="77">
        <f>ROUNDUP(tbl_Data[[#This Row],[Adjusted 2032]]/$L552,0)</f>
        <v>0</v>
      </c>
      <c r="BJ552" s="77">
        <f>ROUNDUP(tbl_Data[[#This Row],[Adjusted 2033]]/$L552,0)</f>
        <v>0</v>
      </c>
      <c r="BK552" s="77">
        <f>ROUNDUP(tbl_Data[[#This Row],[Adjusted 2034]]/$L552,0)</f>
        <v>0</v>
      </c>
      <c r="BL552" s="80">
        <f t="shared" si="221"/>
        <v>0</v>
      </c>
      <c r="BM552" s="80">
        <f t="shared" si="222"/>
        <v>0</v>
      </c>
      <c r="BN552" s="80">
        <f t="shared" si="223"/>
        <v>0</v>
      </c>
      <c r="BO552" s="80">
        <f t="shared" si="224"/>
        <v>0</v>
      </c>
      <c r="BP552" s="80">
        <f t="shared" si="225"/>
        <v>0</v>
      </c>
      <c r="BQ552" s="80">
        <f t="shared" si="226"/>
        <v>0</v>
      </c>
      <c r="BR552" s="80">
        <f t="shared" si="227"/>
        <v>0</v>
      </c>
      <c r="BS552" s="80">
        <f t="shared" si="228"/>
        <v>0</v>
      </c>
      <c r="BT552" s="80">
        <f t="shared" si="229"/>
        <v>0</v>
      </c>
      <c r="BU552" s="80">
        <f t="shared" si="230"/>
        <v>0</v>
      </c>
      <c r="BV552" s="80" t="str">
        <f>IFERROR(VLOOKUP($H552,'1. Set Program Names'!$B$2:$D$15,3,0)*V552,"NA")</f>
        <v>NA</v>
      </c>
      <c r="BW552" s="80" t="str">
        <f>IFERROR(VLOOKUP($H552,'1. Set Program Names'!$B$2:$D$15,3,0)*W552,"NA")</f>
        <v>NA</v>
      </c>
      <c r="BX552" s="80" t="str">
        <f>IFERROR(VLOOKUP($H552,'1. Set Program Names'!$B$2:$D$15,3,0)*X552,"NA")</f>
        <v>NA</v>
      </c>
      <c r="BY552" s="80" t="str">
        <f>IFERROR(VLOOKUP($H552,'1. Set Program Names'!$B$2:$D$15,3,0)*Y552,"NA")</f>
        <v>NA</v>
      </c>
      <c r="BZ552" s="80" t="str">
        <f>IFERROR(VLOOKUP($H552,'1. Set Program Names'!$B$2:$D$15,3,0)*Z552,"NA")</f>
        <v>NA</v>
      </c>
      <c r="CA552" s="80" t="str">
        <f>IFERROR(VLOOKUP($H552,'1. Set Program Names'!$B$2:$D$15,3,0)*AA552,"NA")</f>
        <v>NA</v>
      </c>
      <c r="CB552" s="80" t="str">
        <f>IFERROR(VLOOKUP($H552,'1. Set Program Names'!$B$2:$D$15,3,0)*AB552,"NA")</f>
        <v>NA</v>
      </c>
      <c r="CC552" s="80" t="str">
        <f>IFERROR(VLOOKUP($H552,'1. Set Program Names'!$B$2:$D$15,3,0)*AC552,"NA")</f>
        <v>NA</v>
      </c>
      <c r="CD552" s="80" t="str">
        <f>IFERROR(VLOOKUP($H552,'1. Set Program Names'!$B$2:$D$15,3,0)*AD552,"NA")</f>
        <v>NA</v>
      </c>
      <c r="CE552" s="80" t="str">
        <f>IFERROR(VLOOKUP($H552,'1. Set Program Names'!$B$2:$D$15,3,0)*AE552,"NA")</f>
        <v>NA</v>
      </c>
    </row>
    <row r="553" spans="1:83" x14ac:dyDescent="0.25">
      <c r="A553" s="79" t="s">
        <v>116</v>
      </c>
      <c r="B553" s="79" t="s">
        <v>88</v>
      </c>
      <c r="C553" s="79" t="s">
        <v>122</v>
      </c>
      <c r="D553" s="79" t="s">
        <v>90</v>
      </c>
      <c r="E553" s="79" t="s">
        <v>91</v>
      </c>
      <c r="F553" s="79" t="s">
        <v>90</v>
      </c>
      <c r="G553" s="79" t="s">
        <v>92</v>
      </c>
      <c r="H553" s="79" t="s">
        <v>20</v>
      </c>
      <c r="I553" s="79" t="s">
        <v>155</v>
      </c>
      <c r="J553" s="79" t="s">
        <v>129</v>
      </c>
      <c r="K553" s="79" t="s">
        <v>102</v>
      </c>
      <c r="L553" s="79">
        <v>1193.02</v>
      </c>
      <c r="M553" s="79">
        <v>0.274776433335365</v>
      </c>
      <c r="N553" s="79">
        <v>0.10441874276921487</v>
      </c>
      <c r="O553" s="79">
        <f>8423.99999999998/36663.4359999998*1193.02</f>
        <v>274.11507421181233</v>
      </c>
      <c r="P553" s="79">
        <f>3224.30667036527/36663.4359999998*1193.02</f>
        <v>104.91821726363004</v>
      </c>
      <c r="Q553" s="79">
        <f>1305.20713755829/36663.4359999998*1193.02</f>
        <v>42.471148073786637</v>
      </c>
      <c r="R553" s="79">
        <f>14915.0733686122/36663.4359999998*1193.02</f>
        <v>485.33314854128304</v>
      </c>
      <c r="S553" s="79">
        <f>32320.5298576745/36663.4359999998*1193.02</f>
        <v>1051.702806327346</v>
      </c>
      <c r="T553" s="79">
        <v>11</v>
      </c>
      <c r="U553" s="79">
        <v>0.05</v>
      </c>
      <c r="V553" s="79">
        <f>tbl_Data_old[[#This Row],[2025 ]]*IFERROR(AVERAGEIFS('Participation Adjustment'!$C:$C,'Participation Adjustment'!$A:$A,$H553,'Participation Adjustment'!$B:$B,$I553),1)</f>
        <v>1.46575094223624</v>
      </c>
      <c r="W553" s="79">
        <f>tbl_Data_old[[#This Row],[2026 ]]*IFERROR(AVERAGEIFS('Participation Adjustment'!$C:$C,'Participation Adjustment'!$A:$A,$H553,'Participation Adjustment'!$B:$B,$I553),1)</f>
        <v>1.2195500809109501</v>
      </c>
      <c r="X553" s="79">
        <f>tbl_Data_old[[#This Row],[2027 ]]*IFERROR(AVERAGEIFS('Participation Adjustment'!$C:$C,'Participation Adjustment'!$A:$A,$H553,'Participation Adjustment'!$B:$B,$I553),1)</f>
        <v>1.0054847167490399</v>
      </c>
      <c r="Y553" s="79">
        <f>tbl_Data_old[[#This Row],[2028 ]]*IFERROR(AVERAGEIFS('Participation Adjustment'!$C:$C,'Participation Adjustment'!$A:$A,$H553,'Participation Adjustment'!$B:$B,$I553),1)</f>
        <v>0.82921558396704098</v>
      </c>
      <c r="Z553" s="79">
        <f>tbl_Data_old[[#This Row],[2029 ]]*IFERROR(AVERAGEIFS('Participation Adjustment'!$C:$C,'Participation Adjustment'!$A:$A,$H553,'Participation Adjustment'!$B:$B,$I553),1)</f>
        <v>0.68448152477982405</v>
      </c>
      <c r="AA553" s="79">
        <f>tbl_Data_old[[#This Row],[2030 ]]*IFERROR(AVERAGEIFS('Participation Adjustment'!$C:$C,'Participation Adjustment'!$A:$A,$H553,'Participation Adjustment'!$B:$B,$I553),1)</f>
        <v>0.56542599785313497</v>
      </c>
      <c r="AB553" s="79">
        <f>tbl_Data_old[[#This Row],[2031 ]]*IFERROR(AVERAGEIFS('Participation Adjustment'!$C:$C,'Participation Adjustment'!$A:$A,$H553,'Participation Adjustment'!$B:$B,$I553),1)</f>
        <v>0.46820353104692403</v>
      </c>
      <c r="AC553" s="79">
        <f>tbl_Data_old[[#This Row],[2032 ]]*IFERROR(AVERAGEIFS('Participation Adjustment'!$C:$C,'Participation Adjustment'!$A:$A,$H553,'Participation Adjustment'!$B:$B,$I553),1)</f>
        <v>0.38976469520970503</v>
      </c>
      <c r="AD553" s="79">
        <f>tbl_Data_old[[#This Row],[2033 ]]*IFERROR(AVERAGEIFS('Participation Adjustment'!$C:$C,'Participation Adjustment'!$A:$A,$H553,'Participation Adjustment'!$B:$B,$I553),1)</f>
        <v>0.32709633570172297</v>
      </c>
      <c r="AE553" s="79">
        <f>tbl_Data_old[[#This Row],[2034 ]]*IFERROR(AVERAGEIFS('Participation Adjustment'!$C:$C,'Participation Adjustment'!$A:$A,$H553,'Participation Adjustment'!$B:$B,$I553),1)</f>
        <v>0.27635778617972401</v>
      </c>
      <c r="AF553" s="77" t="str">
        <f t="shared" si="220"/>
        <v>NonResidential</v>
      </c>
      <c r="AG553" s="77" t="str">
        <f>tbl_Data[[#This Row],[All_Meas_Name_Append]]</f>
        <v>Smart thermostat</v>
      </c>
      <c r="AH553" s="77">
        <f>AVERAGEIFS('3. Incentive Adjustment'!G:G,'3. Incentive Adjustment'!A:A,tbl_Data[[#This Row],[Trimmed Sector]],'3. Incentive Adjustment'!B:B,tbl_Data[[#This Row],[Trimmed Measure Name]])</f>
        <v>0.87546479230069263</v>
      </c>
      <c r="AI553" s="77">
        <f>$AH553*tbl_Data[[#This Row],[2025 ]]</f>
        <v>1.2832133442093945</v>
      </c>
      <c r="AJ553" s="77">
        <f>$AH553*tbl_Data[[#This Row],[2026 ]]</f>
        <v>1.0676731582849979</v>
      </c>
      <c r="AK553" s="77">
        <f>$AH553*tbl_Data[[#This Row],[2027 ]]</f>
        <v>0.88026646871021896</v>
      </c>
      <c r="AL553" s="77">
        <f>$AH553*tbl_Data[[#This Row],[2028 ]]</f>
        <v>0.72594904899020307</v>
      </c>
      <c r="AM553" s="77">
        <f>$AH553*tbl_Data[[#This Row],[2029 ]]</f>
        <v>0.59923947592503002</v>
      </c>
      <c r="AN553" s="77">
        <f>$AH553*tbl_Data[[#This Row],[2030 ]]</f>
        <v>0.49501055377190667</v>
      </c>
      <c r="AO553" s="77">
        <f>$AH553*tbl_Data[[#This Row],[2031 ]]</f>
        <v>0.40989570706244621</v>
      </c>
      <c r="AP553" s="77">
        <f>$AH553*tbl_Data[[#This Row],[2032 ]]</f>
        <v>0.3412252679379072</v>
      </c>
      <c r="AQ553" s="77">
        <f>$AH553*tbl_Data[[#This Row],[2033 ]]</f>
        <v>0.28636132559742655</v>
      </c>
      <c r="AR553" s="77">
        <f>$AH553*tbl_Data[[#This Row],[2034 ]]</f>
        <v>0.24194151187851129</v>
      </c>
      <c r="AS553" s="77">
        <f>SUM(tbl_Data[[#This Row],[Adjusted 2025]:[Adjusted 2034]])</f>
        <v>6.3307758623680419</v>
      </c>
      <c r="AT553" s="80">
        <f>AVERAGEIFS('3. Incentive Adjustment'!F:F,'3. Incentive Adjustment'!A:A,tbl_Data[[#This Row],[Trimmed Sector]],'3. Incentive Adjustment'!B:B,tbl_Data[[#This Row],[Trimmed Measure Name]])</f>
        <v>50</v>
      </c>
      <c r="AU553" s="80">
        <f>IFERROR(VLOOKUP(tbl_Data[[#This Row],[All_Meas_Name_Append]],'IRA Tax Credits'!$A$3:$D$46,4,0),0)</f>
        <v>0</v>
      </c>
      <c r="AV553" s="81">
        <f>tbl_Data[[#This Row],[Adj. per unit Incentive ($)]]/tbl_Data[[#This Row],[kWh Savings]]*tbl_Data[[#This Row],[Sum of Annuals]]</f>
        <v>0.26532563839533463</v>
      </c>
      <c r="AW553" s="81" t="str">
        <f>IFERROR(VLOOKUP(tbl_Data[[#This Row],[Column1]],'1. Set Program Names'!$B$2:$D$15,3,0)*tbl_Data[[#This Row],[Sum of Annuals]],"")</f>
        <v/>
      </c>
      <c r="AX553" s="81">
        <f>tbl_Data[[#This Row],[per unit IRA tax ($)]]/tbl_Data[[#This Row],[kWh Savings]]*tbl_Data[[#This Row],[Sum of Annuals]]</f>
        <v>0</v>
      </c>
      <c r="AY553" s="81">
        <f>tbl_Data[[#This Row],[Avoided Costs ($/unit)]]/tbl_Data[[#This Row],[kWh Savings]]*tbl_Data[[#This Row],[Sum of Annuals]]</f>
        <v>2.5754265494226738</v>
      </c>
      <c r="AZ553" s="81">
        <f>tbl_Data[[#This Row],[Lost Revenue ($/unit)]]/tbl_Data[[#This Row],[kWh Savings]]*tbl_Data[[#This Row],[Sum of Annuals]]</f>
        <v>5.5808743698193606</v>
      </c>
      <c r="BA553" s="81">
        <f>tbl_Data[[#This Row],[Incremental Cost ($/unit)]]/tbl_Data[[#This Row],[kWh Savings]]*tbl_Data[[#This Row],[Sum of Annuals]]</f>
        <v>1.4545951411806726</v>
      </c>
      <c r="BB553" s="77">
        <f>ROUNDUP(tbl_Data[[#This Row],[Adjusted 2025]]/$L553,0)</f>
        <v>1</v>
      </c>
      <c r="BC553" s="77">
        <f>ROUNDUP(tbl_Data[[#This Row],[Adjusted 2026]]/$L553,0)</f>
        <v>1</v>
      </c>
      <c r="BD553" s="77">
        <f>ROUNDUP(tbl_Data[[#This Row],[Adjusted 2027]]/$L553,0)</f>
        <v>1</v>
      </c>
      <c r="BE553" s="77">
        <f>ROUNDUP(tbl_Data[[#This Row],[Adjusted 2028]]/$L553,0)</f>
        <v>1</v>
      </c>
      <c r="BF553" s="77">
        <f>ROUNDUP(tbl_Data[[#This Row],[Adjusted 2029]]/$L553,0)</f>
        <v>1</v>
      </c>
      <c r="BG553" s="77">
        <f>ROUNDUP(tbl_Data[[#This Row],[Adjusted 2030]]/$L553,0)</f>
        <v>1</v>
      </c>
      <c r="BH553" s="77">
        <f>ROUNDUP(tbl_Data[[#This Row],[Adjusted 2031]]/$L553,0)</f>
        <v>1</v>
      </c>
      <c r="BI553" s="77">
        <f>ROUNDUP(tbl_Data[[#This Row],[Adjusted 2032]]/$L553,0)</f>
        <v>1</v>
      </c>
      <c r="BJ553" s="77">
        <f>ROUNDUP(tbl_Data[[#This Row],[Adjusted 2033]]/$L553,0)</f>
        <v>1</v>
      </c>
      <c r="BK553" s="77">
        <f>ROUNDUP(tbl_Data[[#This Row],[Adjusted 2034]]/$L553,0)</f>
        <v>1</v>
      </c>
      <c r="BL553" s="80">
        <f t="shared" si="221"/>
        <v>6.1430275361529563E-2</v>
      </c>
      <c r="BM553" s="80">
        <f t="shared" si="222"/>
        <v>5.1111887517013552E-2</v>
      </c>
      <c r="BN553" s="80">
        <f t="shared" si="223"/>
        <v>4.2140312683317964E-2</v>
      </c>
      <c r="BO553" s="80">
        <f t="shared" si="224"/>
        <v>3.4752794754783697E-2</v>
      </c>
      <c r="BP553" s="80">
        <f t="shared" si="225"/>
        <v>2.8686925817665423E-2</v>
      </c>
      <c r="BQ553" s="80">
        <f t="shared" si="226"/>
        <v>2.3697255614035597E-2</v>
      </c>
      <c r="BR553" s="80">
        <f t="shared" si="227"/>
        <v>1.9622618692348999E-2</v>
      </c>
      <c r="BS553" s="80">
        <f t="shared" si="228"/>
        <v>1.6335212117554822E-2</v>
      </c>
      <c r="BT553" s="80">
        <f t="shared" si="229"/>
        <v>1.3708753235558624E-2</v>
      </c>
      <c r="BU553" s="80">
        <f t="shared" si="230"/>
        <v>1.1582278007901126E-2</v>
      </c>
      <c r="BV553" s="80" t="str">
        <f>IFERROR(VLOOKUP($H553,'1. Set Program Names'!$B$2:$D$15,3,0)*V553,"NA")</f>
        <v>NA</v>
      </c>
      <c r="BW553" s="80" t="str">
        <f>IFERROR(VLOOKUP($H553,'1. Set Program Names'!$B$2:$D$15,3,0)*W553,"NA")</f>
        <v>NA</v>
      </c>
      <c r="BX553" s="80" t="str">
        <f>IFERROR(VLOOKUP($H553,'1. Set Program Names'!$B$2:$D$15,3,0)*X553,"NA")</f>
        <v>NA</v>
      </c>
      <c r="BY553" s="80" t="str">
        <f>IFERROR(VLOOKUP($H553,'1. Set Program Names'!$B$2:$D$15,3,0)*Y553,"NA")</f>
        <v>NA</v>
      </c>
      <c r="BZ553" s="80" t="str">
        <f>IFERROR(VLOOKUP($H553,'1. Set Program Names'!$B$2:$D$15,3,0)*Z553,"NA")</f>
        <v>NA</v>
      </c>
      <c r="CA553" s="80" t="str">
        <f>IFERROR(VLOOKUP($H553,'1. Set Program Names'!$B$2:$D$15,3,0)*AA553,"NA")</f>
        <v>NA</v>
      </c>
      <c r="CB553" s="80" t="str">
        <f>IFERROR(VLOOKUP($H553,'1. Set Program Names'!$B$2:$D$15,3,0)*AB553,"NA")</f>
        <v>NA</v>
      </c>
      <c r="CC553" s="80" t="str">
        <f>IFERROR(VLOOKUP($H553,'1. Set Program Names'!$B$2:$D$15,3,0)*AC553,"NA")</f>
        <v>NA</v>
      </c>
      <c r="CD553" s="80" t="str">
        <f>IFERROR(VLOOKUP($H553,'1. Set Program Names'!$B$2:$D$15,3,0)*AD553,"NA")</f>
        <v>NA</v>
      </c>
      <c r="CE553" s="80" t="str">
        <f>IFERROR(VLOOKUP($H553,'1. Set Program Names'!$B$2:$D$15,3,0)*AE553,"NA")</f>
        <v>NA</v>
      </c>
    </row>
    <row r="554" spans="1:83" x14ac:dyDescent="0.25">
      <c r="A554" s="79" t="s">
        <v>116</v>
      </c>
      <c r="B554" s="79" t="s">
        <v>88</v>
      </c>
      <c r="C554" s="79" t="s">
        <v>122</v>
      </c>
      <c r="D554" s="79" t="s">
        <v>90</v>
      </c>
      <c r="E554" s="79" t="s">
        <v>91</v>
      </c>
      <c r="F554" s="79" t="s">
        <v>90</v>
      </c>
      <c r="G554" s="79" t="s">
        <v>92</v>
      </c>
      <c r="H554" s="79" t="s">
        <v>20</v>
      </c>
      <c r="I554" s="79" t="s">
        <v>305</v>
      </c>
      <c r="J554" s="79" t="s">
        <v>129</v>
      </c>
      <c r="K554" s="79" t="s">
        <v>306</v>
      </c>
      <c r="L554" s="79">
        <v>1181.58666666666</v>
      </c>
      <c r="M554" s="79">
        <v>0.32580149205424902</v>
      </c>
      <c r="N554" s="79">
        <v>0</v>
      </c>
      <c r="O554" s="79">
        <v>442.61899981344197</v>
      </c>
      <c r="P554" s="79">
        <v>13015.025349926</v>
      </c>
      <c r="Q554" s="79">
        <v>70.895199999999903</v>
      </c>
      <c r="R554" s="79">
        <v>484.68312470825703</v>
      </c>
      <c r="S554" s="79">
        <v>971.92143438909795</v>
      </c>
      <c r="T554" s="79">
        <v>10</v>
      </c>
      <c r="U554" s="79">
        <v>0.05</v>
      </c>
      <c r="V554" s="79">
        <f>tbl_Data_old[[#This Row],[2025 ]]*IFERROR(AVERAGEIFS('Participation Adjustment'!$C:$C,'Participation Adjustment'!$A:$A,$H554,'Participation Adjustment'!$B:$B,$I554),1)</f>
        <v>0</v>
      </c>
      <c r="W554" s="79">
        <f>tbl_Data_old[[#This Row],[2026 ]]*IFERROR(AVERAGEIFS('Participation Adjustment'!$C:$C,'Participation Adjustment'!$A:$A,$H554,'Participation Adjustment'!$B:$B,$I554),1)</f>
        <v>0</v>
      </c>
      <c r="X554" s="79">
        <f>tbl_Data_old[[#This Row],[2027 ]]*IFERROR(AVERAGEIFS('Participation Adjustment'!$C:$C,'Participation Adjustment'!$A:$A,$H554,'Participation Adjustment'!$B:$B,$I554),1)</f>
        <v>0</v>
      </c>
      <c r="Y554" s="79">
        <f>tbl_Data_old[[#This Row],[2028 ]]*IFERROR(AVERAGEIFS('Participation Adjustment'!$C:$C,'Participation Adjustment'!$A:$A,$H554,'Participation Adjustment'!$B:$B,$I554),1)</f>
        <v>0</v>
      </c>
      <c r="Z554" s="79">
        <f>tbl_Data_old[[#This Row],[2029 ]]*IFERROR(AVERAGEIFS('Participation Adjustment'!$C:$C,'Participation Adjustment'!$A:$A,$H554,'Participation Adjustment'!$B:$B,$I554),1)</f>
        <v>0</v>
      </c>
      <c r="AA554" s="79">
        <f>tbl_Data_old[[#This Row],[2030 ]]*IFERROR(AVERAGEIFS('Participation Adjustment'!$C:$C,'Participation Adjustment'!$A:$A,$H554,'Participation Adjustment'!$B:$B,$I554),1)</f>
        <v>0</v>
      </c>
      <c r="AB554" s="79">
        <f>tbl_Data_old[[#This Row],[2031 ]]*IFERROR(AVERAGEIFS('Participation Adjustment'!$C:$C,'Participation Adjustment'!$A:$A,$H554,'Participation Adjustment'!$B:$B,$I554),1)</f>
        <v>0</v>
      </c>
      <c r="AC554" s="79">
        <f>tbl_Data_old[[#This Row],[2032 ]]*IFERROR(AVERAGEIFS('Participation Adjustment'!$C:$C,'Participation Adjustment'!$A:$A,$H554,'Participation Adjustment'!$B:$B,$I554),1)</f>
        <v>0</v>
      </c>
      <c r="AD554" s="79">
        <f>tbl_Data_old[[#This Row],[2033 ]]*IFERROR(AVERAGEIFS('Participation Adjustment'!$C:$C,'Participation Adjustment'!$A:$A,$H554,'Participation Adjustment'!$B:$B,$I554),1)</f>
        <v>0</v>
      </c>
      <c r="AE554" s="79">
        <f>tbl_Data_old[[#This Row],[2034 ]]*IFERROR(AVERAGEIFS('Participation Adjustment'!$C:$C,'Participation Adjustment'!$A:$A,$H554,'Participation Adjustment'!$B:$B,$I554),1)</f>
        <v>0</v>
      </c>
      <c r="AF554" s="77" t="str">
        <f t="shared" si="220"/>
        <v>NonResidential</v>
      </c>
      <c r="AG554" s="77" t="str">
        <f>tbl_Data[[#This Row],[All_Meas_Name_Append]]</f>
        <v>Window shade film</v>
      </c>
      <c r="AH554" s="77">
        <f>AVERAGEIFS('3. Incentive Adjustment'!G:G,'3. Incentive Adjustment'!A:A,tbl_Data[[#This Row],[Trimmed Sector]],'3. Incentive Adjustment'!B:B,tbl_Data[[#This Row],[Trimmed Measure Name]])</f>
        <v>3.2127764592544555E-13</v>
      </c>
      <c r="AI554" s="77">
        <f>$AH554*tbl_Data[[#This Row],[2025 ]]</f>
        <v>0</v>
      </c>
      <c r="AJ554" s="77">
        <f>$AH554*tbl_Data[[#This Row],[2026 ]]</f>
        <v>0</v>
      </c>
      <c r="AK554" s="77">
        <f>$AH554*tbl_Data[[#This Row],[2027 ]]</f>
        <v>0</v>
      </c>
      <c r="AL554" s="77">
        <f>$AH554*tbl_Data[[#This Row],[2028 ]]</f>
        <v>0</v>
      </c>
      <c r="AM554" s="77">
        <f>$AH554*tbl_Data[[#This Row],[2029 ]]</f>
        <v>0</v>
      </c>
      <c r="AN554" s="77">
        <f>$AH554*tbl_Data[[#This Row],[2030 ]]</f>
        <v>0</v>
      </c>
      <c r="AO554" s="77">
        <f>$AH554*tbl_Data[[#This Row],[2031 ]]</f>
        <v>0</v>
      </c>
      <c r="AP554" s="77">
        <f>$AH554*tbl_Data[[#This Row],[2032 ]]</f>
        <v>0</v>
      </c>
      <c r="AQ554" s="77">
        <f>$AH554*tbl_Data[[#This Row],[2033 ]]</f>
        <v>0</v>
      </c>
      <c r="AR554" s="77">
        <f>$AH554*tbl_Data[[#This Row],[2034 ]]</f>
        <v>0</v>
      </c>
      <c r="AS554" s="77">
        <f>SUM(tbl_Data[[#This Row],[Adjusted 2025]:[Adjusted 2034]])</f>
        <v>0</v>
      </c>
      <c r="AT554" s="80">
        <f>AVERAGEIFS('3. Incentive Adjustment'!F:F,'3. Incentive Adjustment'!A:A,tbl_Data[[#This Row],[Trimmed Sector]],'3. Incentive Adjustment'!B:B,tbl_Data[[#This Row],[Trimmed Measure Name]])</f>
        <v>132.78569994403261</v>
      </c>
      <c r="AU554" s="80">
        <f>IFERROR(VLOOKUP(tbl_Data[[#This Row],[All_Meas_Name_Append]],'IRA Tax Credits'!$A$3:$D$46,4,0),0)</f>
        <v>0</v>
      </c>
      <c r="AV554" s="81">
        <f>tbl_Data[[#This Row],[Adj. per unit Incentive ($)]]/tbl_Data[[#This Row],[kWh Savings]]*tbl_Data[[#This Row],[Sum of Annuals]]</f>
        <v>0</v>
      </c>
      <c r="AW554" s="81" t="str">
        <f>IFERROR(VLOOKUP(tbl_Data[[#This Row],[Column1]],'1. Set Program Names'!$B$2:$D$15,3,0)*tbl_Data[[#This Row],[Sum of Annuals]],"")</f>
        <v/>
      </c>
      <c r="AX554" s="81">
        <f>tbl_Data[[#This Row],[per unit IRA tax ($)]]/tbl_Data[[#This Row],[kWh Savings]]*tbl_Data[[#This Row],[Sum of Annuals]]</f>
        <v>0</v>
      </c>
      <c r="AY554" s="81">
        <f>tbl_Data[[#This Row],[Avoided Costs ($/unit)]]/tbl_Data[[#This Row],[kWh Savings]]*tbl_Data[[#This Row],[Sum of Annuals]]</f>
        <v>0</v>
      </c>
      <c r="AZ554" s="81">
        <f>tbl_Data[[#This Row],[Lost Revenue ($/unit)]]/tbl_Data[[#This Row],[kWh Savings]]*tbl_Data[[#This Row],[Sum of Annuals]]</f>
        <v>0</v>
      </c>
      <c r="BA554" s="81">
        <f>tbl_Data[[#This Row],[Incremental Cost ($/unit)]]/tbl_Data[[#This Row],[kWh Savings]]*tbl_Data[[#This Row],[Sum of Annuals]]</f>
        <v>0</v>
      </c>
      <c r="BB554" s="77">
        <f>ROUNDUP(tbl_Data[[#This Row],[Adjusted 2025]]/$L554,0)</f>
        <v>0</v>
      </c>
      <c r="BC554" s="77">
        <f>ROUNDUP(tbl_Data[[#This Row],[Adjusted 2026]]/$L554,0)</f>
        <v>0</v>
      </c>
      <c r="BD554" s="77">
        <f>ROUNDUP(tbl_Data[[#This Row],[Adjusted 2027]]/$L554,0)</f>
        <v>0</v>
      </c>
      <c r="BE554" s="77">
        <f>ROUNDUP(tbl_Data[[#This Row],[Adjusted 2028]]/$L554,0)</f>
        <v>0</v>
      </c>
      <c r="BF554" s="77">
        <f>ROUNDUP(tbl_Data[[#This Row],[Adjusted 2029]]/$L554,0)</f>
        <v>0</v>
      </c>
      <c r="BG554" s="77">
        <f>ROUNDUP(tbl_Data[[#This Row],[Adjusted 2030]]/$L554,0)</f>
        <v>0</v>
      </c>
      <c r="BH554" s="77">
        <f>ROUNDUP(tbl_Data[[#This Row],[Adjusted 2031]]/$L554,0)</f>
        <v>0</v>
      </c>
      <c r="BI554" s="77">
        <f>ROUNDUP(tbl_Data[[#This Row],[Adjusted 2032]]/$L554,0)</f>
        <v>0</v>
      </c>
      <c r="BJ554" s="77">
        <f>ROUNDUP(tbl_Data[[#This Row],[Adjusted 2033]]/$L554,0)</f>
        <v>0</v>
      </c>
      <c r="BK554" s="77">
        <f>ROUNDUP(tbl_Data[[#This Row],[Adjusted 2034]]/$L554,0)</f>
        <v>0</v>
      </c>
      <c r="BL554" s="80">
        <f t="shared" si="221"/>
        <v>0</v>
      </c>
      <c r="BM554" s="80">
        <f t="shared" si="222"/>
        <v>0</v>
      </c>
      <c r="BN554" s="80">
        <f t="shared" si="223"/>
        <v>0</v>
      </c>
      <c r="BO554" s="80">
        <f t="shared" si="224"/>
        <v>0</v>
      </c>
      <c r="BP554" s="80">
        <f t="shared" si="225"/>
        <v>0</v>
      </c>
      <c r="BQ554" s="80">
        <f t="shared" si="226"/>
        <v>0</v>
      </c>
      <c r="BR554" s="80">
        <f t="shared" si="227"/>
        <v>0</v>
      </c>
      <c r="BS554" s="80">
        <f t="shared" si="228"/>
        <v>0</v>
      </c>
      <c r="BT554" s="80">
        <f t="shared" si="229"/>
        <v>0</v>
      </c>
      <c r="BU554" s="80">
        <f t="shared" si="230"/>
        <v>0</v>
      </c>
      <c r="BV554" s="80" t="str">
        <f>IFERROR(VLOOKUP($H554,'1. Set Program Names'!$B$2:$D$15,3,0)*V554,"NA")</f>
        <v>NA</v>
      </c>
      <c r="BW554" s="80" t="str">
        <f>IFERROR(VLOOKUP($H554,'1. Set Program Names'!$B$2:$D$15,3,0)*W554,"NA")</f>
        <v>NA</v>
      </c>
      <c r="BX554" s="80" t="str">
        <f>IFERROR(VLOOKUP($H554,'1. Set Program Names'!$B$2:$D$15,3,0)*X554,"NA")</f>
        <v>NA</v>
      </c>
      <c r="BY554" s="80" t="str">
        <f>IFERROR(VLOOKUP($H554,'1. Set Program Names'!$B$2:$D$15,3,0)*Y554,"NA")</f>
        <v>NA</v>
      </c>
      <c r="BZ554" s="80" t="str">
        <f>IFERROR(VLOOKUP($H554,'1. Set Program Names'!$B$2:$D$15,3,0)*Z554,"NA")</f>
        <v>NA</v>
      </c>
      <c r="CA554" s="80" t="str">
        <f>IFERROR(VLOOKUP($H554,'1. Set Program Names'!$B$2:$D$15,3,0)*AA554,"NA")</f>
        <v>NA</v>
      </c>
      <c r="CB554" s="80" t="str">
        <f>IFERROR(VLOOKUP($H554,'1. Set Program Names'!$B$2:$D$15,3,0)*AB554,"NA")</f>
        <v>NA</v>
      </c>
      <c r="CC554" s="80" t="str">
        <f>IFERROR(VLOOKUP($H554,'1. Set Program Names'!$B$2:$D$15,3,0)*AC554,"NA")</f>
        <v>NA</v>
      </c>
      <c r="CD554" s="80" t="str">
        <f>IFERROR(VLOOKUP($H554,'1. Set Program Names'!$B$2:$D$15,3,0)*AD554,"NA")</f>
        <v>NA</v>
      </c>
      <c r="CE554" s="80" t="str">
        <f>IFERROR(VLOOKUP($H554,'1. Set Program Names'!$B$2:$D$15,3,0)*AE554,"NA")</f>
        <v>NA</v>
      </c>
    </row>
    <row r="555" spans="1:83" x14ac:dyDescent="0.25">
      <c r="A555" s="79" t="s">
        <v>117</v>
      </c>
      <c r="B555" s="79" t="s">
        <v>88</v>
      </c>
      <c r="C555" s="79" t="s">
        <v>122</v>
      </c>
      <c r="D555" s="79" t="s">
        <v>90</v>
      </c>
      <c r="E555" s="79" t="s">
        <v>91</v>
      </c>
      <c r="F555" s="79" t="s">
        <v>90</v>
      </c>
      <c r="G555" s="79" t="s">
        <v>92</v>
      </c>
      <c r="H555" s="79" t="s">
        <v>20</v>
      </c>
      <c r="I555" s="79" t="s">
        <v>237</v>
      </c>
      <c r="J555" s="79" t="s">
        <v>129</v>
      </c>
      <c r="K555" s="79" t="s">
        <v>102</v>
      </c>
      <c r="L555" s="79">
        <v>2568.1199999999699</v>
      </c>
      <c r="M555" s="79">
        <v>0.53641456399840104</v>
      </c>
      <c r="N555" s="79">
        <v>2.1892485513222901E-2</v>
      </c>
      <c r="O555" s="79">
        <f>9025.1/929.29*tbl_Data[[#This Row],[kWh Savings]]</f>
        <v>24941.126894725789</v>
      </c>
      <c r="P555" s="79">
        <v>35498.089296558101</v>
      </c>
      <c r="Q555" s="79">
        <v>154.08719999999801</v>
      </c>
      <c r="R555" s="79">
        <v>1534.4473108970501</v>
      </c>
      <c r="S555" s="79">
        <v>3958.9826982459099</v>
      </c>
      <c r="T555" s="79">
        <v>30</v>
      </c>
      <c r="U555" s="79">
        <v>0.05</v>
      </c>
      <c r="V555" s="79">
        <f>tbl_Data_old[[#This Row],[2025 ]]*IFERROR(AVERAGEIFS('Participation Adjustment'!$C:$C,'Participation Adjustment'!$A:$A,$H555,'Participation Adjustment'!$B:$B,$I555),1)</f>
        <v>2.5672177689267201E-3</v>
      </c>
      <c r="W555" s="79">
        <f>tbl_Data_old[[#This Row],[2026 ]]*IFERROR(AVERAGEIFS('Participation Adjustment'!$C:$C,'Participation Adjustment'!$A:$A,$H555,'Participation Adjustment'!$B:$B,$I555),1)</f>
        <v>5.4221932130311202E-3</v>
      </c>
      <c r="X555" s="79">
        <f>tbl_Data_old[[#This Row],[2027 ]]*IFERROR(AVERAGEIFS('Participation Adjustment'!$C:$C,'Participation Adjustment'!$A:$A,$H555,'Participation Adjustment'!$B:$B,$I555),1)</f>
        <v>8.5828554511620594E-3</v>
      </c>
      <c r="Y555" s="79">
        <f>tbl_Data_old[[#This Row],[2028 ]]*IFERROR(AVERAGEIFS('Participation Adjustment'!$C:$C,'Participation Adjustment'!$A:$A,$H555,'Participation Adjustment'!$B:$B,$I555),1)</f>
        <v>1.20719801225224E-2</v>
      </c>
      <c r="Z555" s="79">
        <f>tbl_Data_old[[#This Row],[2029 ]]*IFERROR(AVERAGEIFS('Participation Adjustment'!$C:$C,'Participation Adjustment'!$A:$A,$H555,'Participation Adjustment'!$B:$B,$I555),1)</f>
        <v>1.59000006882405E-2</v>
      </c>
      <c r="AA555" s="79">
        <f>tbl_Data_old[[#This Row],[2030 ]]*IFERROR(AVERAGEIFS('Participation Adjustment'!$C:$C,'Participation Adjustment'!$A:$A,$H555,'Participation Adjustment'!$B:$B,$I555),1)</f>
        <v>2.0075462821404402E-2</v>
      </c>
      <c r="AB555" s="79">
        <f>tbl_Data_old[[#This Row],[2031 ]]*IFERROR(AVERAGEIFS('Participation Adjustment'!$C:$C,'Participation Adjustment'!$A:$A,$H555,'Participation Adjustment'!$B:$B,$I555),1)</f>
        <v>2.4595748827370398E-2</v>
      </c>
      <c r="AC555" s="79">
        <f>tbl_Data_old[[#This Row],[2032 ]]*IFERROR(AVERAGEIFS('Participation Adjustment'!$C:$C,'Participation Adjustment'!$A:$A,$H555,'Participation Adjustment'!$B:$B,$I555),1)</f>
        <v>2.9463744963854299E-2</v>
      </c>
      <c r="AD555" s="79">
        <f>tbl_Data_old[[#This Row],[2033 ]]*IFERROR(AVERAGEIFS('Participation Adjustment'!$C:$C,'Participation Adjustment'!$A:$A,$H555,'Participation Adjustment'!$B:$B,$I555),1)</f>
        <v>3.4692597551730202E-2</v>
      </c>
      <c r="AE555" s="79">
        <f>tbl_Data_old[[#This Row],[2034 ]]*IFERROR(AVERAGEIFS('Participation Adjustment'!$C:$C,'Participation Adjustment'!$A:$A,$H555,'Participation Adjustment'!$B:$B,$I555),1)</f>
        <v>4.0272386711775798E-2</v>
      </c>
      <c r="AF555" s="77" t="str">
        <f t="shared" si="220"/>
        <v>NonResidential</v>
      </c>
      <c r="AG555" s="77" t="str">
        <f>tbl_Data[[#This Row],[All_Meas_Name_Append]]</f>
        <v>Ceiling Insulation(R19 to R38)</v>
      </c>
      <c r="AH555" s="77">
        <f>AVERAGEIFS('3. Incentive Adjustment'!G:G,'3. Incentive Adjustment'!A:A,tbl_Data[[#This Row],[Trimmed Sector]],'3. Incentive Adjustment'!B:B,tbl_Data[[#This Row],[Trimmed Measure Name]])</f>
        <v>3.9688771318830651E-15</v>
      </c>
      <c r="AI555" s="77">
        <f>$AH555*tbl_Data[[#This Row],[2025 ]]</f>
        <v>1.0188971895657122E-17</v>
      </c>
      <c r="AJ555" s="77">
        <f>$AH555*tbl_Data[[#This Row],[2026 ]]</f>
        <v>2.1520018647850773E-17</v>
      </c>
      <c r="AK555" s="77">
        <f>$AH555*tbl_Data[[#This Row],[2027 ]]</f>
        <v>3.4064298726375004E-17</v>
      </c>
      <c r="AL555" s="77">
        <f>$AH555*tbl_Data[[#This Row],[2028 ]]</f>
        <v>4.7912205844826071E-17</v>
      </c>
      <c r="AM555" s="77">
        <f>$AH555*tbl_Data[[#This Row],[2029 ]]</f>
        <v>6.3105149128482719E-17</v>
      </c>
      <c r="AN555" s="77">
        <f>$AH555*tbl_Data[[#This Row],[2030 ]]</f>
        <v>7.9677045303840609E-17</v>
      </c>
      <c r="AO555" s="77">
        <f>$AH555*tbl_Data[[#This Row],[2031 ]]</f>
        <v>9.7617505062490087E-17</v>
      </c>
      <c r="AP555" s="77">
        <f>$AH555*tbl_Data[[#This Row],[2032 ]]</f>
        <v>1.1693798360667615E-16</v>
      </c>
      <c r="AQ555" s="77">
        <f>$AH555*tbl_Data[[#This Row],[2033 ]]</f>
        <v>1.3769065706868441E-16</v>
      </c>
      <c r="AR555" s="77">
        <f>$AH555*tbl_Data[[#This Row],[2034 ]]</f>
        <v>1.598361546667184E-16</v>
      </c>
      <c r="AS555" s="77">
        <f>SUM(tbl_Data[[#This Row],[Adjusted 2025]:[Adjusted 2034]])</f>
        <v>7.6854998995160145E-16</v>
      </c>
      <c r="AT555" s="80">
        <f>AVERAGEIFS('3. Incentive Adjustment'!F:F,'3. Incentive Adjustment'!A:A,tbl_Data[[#This Row],[Trimmed Sector]],'3. Incentive Adjustment'!B:B,tbl_Data[[#This Row],[Trimmed Measure Name]])</f>
        <v>3222.5963039661074</v>
      </c>
      <c r="AU555" s="80">
        <f>IFERROR(VLOOKUP(tbl_Data[[#This Row],[All_Meas_Name_Append]],'IRA Tax Credits'!$A$3:$D$46,4,0),0)</f>
        <v>0</v>
      </c>
      <c r="AV555" s="81">
        <f>tbl_Data[[#This Row],[Adj. per unit Incentive ($)]]/tbl_Data[[#This Row],[kWh Savings]]*tbl_Data[[#This Row],[Sum of Annuals]]</f>
        <v>9.6441223814745761E-16</v>
      </c>
      <c r="AW555" s="81" t="str">
        <f>IFERROR(VLOOKUP(tbl_Data[[#This Row],[Column1]],'1. Set Program Names'!$B$2:$D$15,3,0)*tbl_Data[[#This Row],[Sum of Annuals]],"")</f>
        <v/>
      </c>
      <c r="AX555" s="81">
        <f>tbl_Data[[#This Row],[per unit IRA tax ($)]]/tbl_Data[[#This Row],[kWh Savings]]*tbl_Data[[#This Row],[Sum of Annuals]]</f>
        <v>0</v>
      </c>
      <c r="AY555" s="81">
        <f>tbl_Data[[#This Row],[Avoided Costs ($/unit)]]/tbl_Data[[#This Row],[kWh Savings]]*tbl_Data[[#This Row],[Sum of Annuals]]</f>
        <v>4.5920730548852994E-16</v>
      </c>
      <c r="AZ555" s="81">
        <f>tbl_Data[[#This Row],[Lost Revenue ($/unit)]]/tbl_Data[[#This Row],[kWh Savings]]*tbl_Data[[#This Row],[Sum of Annuals]]</f>
        <v>1.1847873592182195E-15</v>
      </c>
      <c r="BA555" s="81">
        <f>tbl_Data[[#This Row],[Incremental Cost ($/unit)]]/tbl_Data[[#This Row],[kWh Savings]]*tbl_Data[[#This Row],[Sum of Annuals]]</f>
        <v>7.4640214726427683E-15</v>
      </c>
      <c r="BB555" s="77">
        <f>ROUNDUP(tbl_Data[[#This Row],[Adjusted 2025]]/$L555,0)</f>
        <v>1</v>
      </c>
      <c r="BC555" s="77">
        <f>ROUNDUP(tbl_Data[[#This Row],[Adjusted 2026]]/$L555,0)</f>
        <v>1</v>
      </c>
      <c r="BD555" s="77">
        <f>ROUNDUP(tbl_Data[[#This Row],[Adjusted 2027]]/$L555,0)</f>
        <v>1</v>
      </c>
      <c r="BE555" s="77">
        <f>ROUNDUP(tbl_Data[[#This Row],[Adjusted 2028]]/$L555,0)</f>
        <v>1</v>
      </c>
      <c r="BF555" s="77">
        <f>ROUNDUP(tbl_Data[[#This Row],[Adjusted 2029]]/$L555,0)</f>
        <v>1</v>
      </c>
      <c r="BG555" s="77">
        <f>ROUNDUP(tbl_Data[[#This Row],[Adjusted 2030]]/$L555,0)</f>
        <v>1</v>
      </c>
      <c r="BH555" s="77">
        <f>ROUNDUP(tbl_Data[[#This Row],[Adjusted 2031]]/$L555,0)</f>
        <v>1</v>
      </c>
      <c r="BI555" s="77">
        <f>ROUNDUP(tbl_Data[[#This Row],[Adjusted 2032]]/$L555,0)</f>
        <v>1</v>
      </c>
      <c r="BJ555" s="77">
        <f>ROUNDUP(tbl_Data[[#This Row],[Adjusted 2033]]/$L555,0)</f>
        <v>1</v>
      </c>
      <c r="BK555" s="77">
        <f>ROUNDUP(tbl_Data[[#This Row],[Adjusted 2034]]/$L555,0)</f>
        <v>1</v>
      </c>
      <c r="BL555" s="80">
        <f t="shared" si="221"/>
        <v>3.2214641424931321E-3</v>
      </c>
      <c r="BM555" s="80">
        <f t="shared" si="222"/>
        <v>6.804019986489886E-3</v>
      </c>
      <c r="BN555" s="80">
        <f t="shared" si="223"/>
        <v>1.0770165823400206E-2</v>
      </c>
      <c r="BO555" s="80">
        <f t="shared" si="224"/>
        <v>1.5148481583568315E-2</v>
      </c>
      <c r="BP555" s="80">
        <f t="shared" si="225"/>
        <v>1.9952059658809949E-2</v>
      </c>
      <c r="BQ555" s="80">
        <f t="shared" si="226"/>
        <v>2.5191623556791578E-2</v>
      </c>
      <c r="BR555" s="80">
        <f t="shared" si="227"/>
        <v>3.0863888472642827E-2</v>
      </c>
      <c r="BS555" s="80">
        <f t="shared" si="228"/>
        <v>3.697247621665576E-2</v>
      </c>
      <c r="BT555" s="80">
        <f t="shared" si="229"/>
        <v>4.3533883403108382E-2</v>
      </c>
      <c r="BU555" s="80">
        <f t="shared" si="230"/>
        <v>5.0535662106624302E-2</v>
      </c>
      <c r="BV555" s="80" t="str">
        <f>IFERROR(VLOOKUP($H555,'1. Set Program Names'!$B$2:$D$15,3,0)*V555,"NA")</f>
        <v>NA</v>
      </c>
      <c r="BW555" s="80" t="str">
        <f>IFERROR(VLOOKUP($H555,'1. Set Program Names'!$B$2:$D$15,3,0)*W555,"NA")</f>
        <v>NA</v>
      </c>
      <c r="BX555" s="80" t="str">
        <f>IFERROR(VLOOKUP($H555,'1. Set Program Names'!$B$2:$D$15,3,0)*X555,"NA")</f>
        <v>NA</v>
      </c>
      <c r="BY555" s="80" t="str">
        <f>IFERROR(VLOOKUP($H555,'1. Set Program Names'!$B$2:$D$15,3,0)*Y555,"NA")</f>
        <v>NA</v>
      </c>
      <c r="BZ555" s="80" t="str">
        <f>IFERROR(VLOOKUP($H555,'1. Set Program Names'!$B$2:$D$15,3,0)*Z555,"NA")</f>
        <v>NA</v>
      </c>
      <c r="CA555" s="80" t="str">
        <f>IFERROR(VLOOKUP($H555,'1. Set Program Names'!$B$2:$D$15,3,0)*AA555,"NA")</f>
        <v>NA</v>
      </c>
      <c r="CB555" s="80" t="str">
        <f>IFERROR(VLOOKUP($H555,'1. Set Program Names'!$B$2:$D$15,3,0)*AB555,"NA")</f>
        <v>NA</v>
      </c>
      <c r="CC555" s="80" t="str">
        <f>IFERROR(VLOOKUP($H555,'1. Set Program Names'!$B$2:$D$15,3,0)*AC555,"NA")</f>
        <v>NA</v>
      </c>
      <c r="CD555" s="80" t="str">
        <f>IFERROR(VLOOKUP($H555,'1. Set Program Names'!$B$2:$D$15,3,0)*AD555,"NA")</f>
        <v>NA</v>
      </c>
      <c r="CE555" s="80" t="str">
        <f>IFERROR(VLOOKUP($H555,'1. Set Program Names'!$B$2:$D$15,3,0)*AE555,"NA")</f>
        <v>NA</v>
      </c>
    </row>
    <row r="556" spans="1:83" x14ac:dyDescent="0.25">
      <c r="A556" s="79" t="s">
        <v>117</v>
      </c>
      <c r="B556" s="79" t="s">
        <v>88</v>
      </c>
      <c r="C556" s="79" t="s">
        <v>122</v>
      </c>
      <c r="D556" s="79" t="s">
        <v>90</v>
      </c>
      <c r="E556" s="79" t="s">
        <v>91</v>
      </c>
      <c r="F556" s="79" t="s">
        <v>90</v>
      </c>
      <c r="G556" s="79" t="s">
        <v>92</v>
      </c>
      <c r="H556" s="79" t="s">
        <v>20</v>
      </c>
      <c r="I556" s="79" t="s">
        <v>238</v>
      </c>
      <c r="J556" s="79" t="s">
        <v>129</v>
      </c>
      <c r="K556" s="79" t="s">
        <v>102</v>
      </c>
      <c r="L556" s="79">
        <v>4477.6116666666303</v>
      </c>
      <c r="M556" s="79">
        <v>0.90610878358590996</v>
      </c>
      <c r="N556" s="79">
        <v>4.9616670393602701E-2</v>
      </c>
      <c r="O556" s="79">
        <f>9351.31/1137.9*tbl_Data[[#This Row],[kWh Savings]]</f>
        <v>36797.200768623181</v>
      </c>
      <c r="P556" s="79">
        <v>44221.719775682497</v>
      </c>
      <c r="Q556" s="79">
        <v>268.65669999999699</v>
      </c>
      <c r="R556" s="79">
        <v>2670.7044942461998</v>
      </c>
      <c r="S556" s="79">
        <v>6902.6319322295803</v>
      </c>
      <c r="T556" s="79">
        <v>30</v>
      </c>
      <c r="U556" s="79">
        <v>0.05</v>
      </c>
      <c r="V556" s="79">
        <f>tbl_Data_old[[#This Row],[2025 ]]*IFERROR(AVERAGEIFS('Participation Adjustment'!$C:$C,'Participation Adjustment'!$A:$A,$H556,'Participation Adjustment'!$B:$B,$I556),1)</f>
        <v>4.7279510881321103E-3</v>
      </c>
      <c r="W556" s="79">
        <f>tbl_Data_old[[#This Row],[2026 ]]*IFERROR(AVERAGEIFS('Participation Adjustment'!$C:$C,'Participation Adjustment'!$A:$A,$H556,'Participation Adjustment'!$B:$B,$I556),1)</f>
        <v>9.9756568525925203E-3</v>
      </c>
      <c r="X556" s="79">
        <f>tbl_Data_old[[#This Row],[2027 ]]*IFERROR(AVERAGEIFS('Participation Adjustment'!$C:$C,'Participation Adjustment'!$A:$A,$H556,'Participation Adjustment'!$B:$B,$I556),1)</f>
        <v>1.5773057092865E-2</v>
      </c>
      <c r="Y556" s="79">
        <f>tbl_Data_old[[#This Row],[2028 ]]*IFERROR(AVERAGEIFS('Participation Adjustment'!$C:$C,'Participation Adjustment'!$A:$A,$H556,'Participation Adjustment'!$B:$B,$I556),1)</f>
        <v>2.21597036564611E-2</v>
      </c>
      <c r="Z556" s="79">
        <f>tbl_Data_old[[#This Row],[2029 ]]*IFERROR(AVERAGEIFS('Participation Adjustment'!$C:$C,'Participation Adjustment'!$A:$A,$H556,'Participation Adjustment'!$B:$B,$I556),1)</f>
        <v>2.91530107184205E-2</v>
      </c>
      <c r="AA556" s="79">
        <f>tbl_Data_old[[#This Row],[2030 ]]*IFERROR(AVERAGEIFS('Participation Adjustment'!$C:$C,'Participation Adjustment'!$A:$A,$H556,'Participation Adjustment'!$B:$B,$I556),1)</f>
        <v>3.6766606519978498E-2</v>
      </c>
      <c r="AB556" s="79">
        <f>tbl_Data_old[[#This Row],[2031 ]]*IFERROR(AVERAGEIFS('Participation Adjustment'!$C:$C,'Participation Adjustment'!$A:$A,$H556,'Participation Adjustment'!$B:$B,$I556),1)</f>
        <v>4.4994435807633001E-2</v>
      </c>
      <c r="AC556" s="79">
        <f>tbl_Data_old[[#This Row],[2032 ]]*IFERROR(AVERAGEIFS('Participation Adjustment'!$C:$C,'Participation Adjustment'!$A:$A,$H556,'Participation Adjustment'!$B:$B,$I556),1)</f>
        <v>5.38405933042993E-2</v>
      </c>
      <c r="AD556" s="79">
        <f>tbl_Data_old[[#This Row],[2033 ]]*IFERROR(AVERAGEIFS('Participation Adjustment'!$C:$C,'Participation Adjustment'!$A:$A,$H556,'Participation Adjustment'!$B:$B,$I556),1)</f>
        <v>6.3327227306171602E-2</v>
      </c>
      <c r="AE556" s="79">
        <f>tbl_Data_old[[#This Row],[2034 ]]*IFERROR(AVERAGEIFS('Participation Adjustment'!$C:$C,'Participation Adjustment'!$A:$A,$H556,'Participation Adjustment'!$B:$B,$I556),1)</f>
        <v>7.3435463765590805E-2</v>
      </c>
      <c r="AF556" s="77" t="str">
        <f t="shared" si="220"/>
        <v>NonResidential</v>
      </c>
      <c r="AG556" s="77" t="str">
        <f>tbl_Data[[#This Row],[All_Meas_Name_Append]]</f>
        <v>Ceiling Insulation(R19 to R49)</v>
      </c>
      <c r="AH556" s="77">
        <f>AVERAGEIFS('3. Incentive Adjustment'!G:G,'3. Incentive Adjustment'!A:A,tbl_Data[[#This Row],[Trimmed Sector]],'3. Incentive Adjustment'!B:B,tbl_Data[[#This Row],[Trimmed Measure Name]])</f>
        <v>7.9373870200739678E-11</v>
      </c>
      <c r="AI556" s="77">
        <f>$AH556*tbl_Data[[#This Row],[2025 ]]</f>
        <v>3.7527577598484407E-13</v>
      </c>
      <c r="AJ556" s="77">
        <f>$AH556*tbl_Data[[#This Row],[2026 ]]</f>
        <v>7.9180649218479801E-13</v>
      </c>
      <c r="AK556" s="77">
        <f>$AH556*tbl_Data[[#This Row],[2027 ]]</f>
        <v>1.2519685863579228E-12</v>
      </c>
      <c r="AL556" s="77">
        <f>$AH556*tbl_Data[[#This Row],[2028 ]]</f>
        <v>1.7589014417147998E-12</v>
      </c>
      <c r="AM556" s="77">
        <f>$AH556*tbl_Data[[#This Row],[2029 ]]</f>
        <v>2.3139872887246813E-12</v>
      </c>
      <c r="AN556" s="77">
        <f>$AH556*tbl_Data[[#This Row],[2030 ]]</f>
        <v>2.9183078536384427E-12</v>
      </c>
      <c r="AO556" s="77">
        <f>$AH556*tbl_Data[[#This Row],[2031 ]]</f>
        <v>3.5713825075505756E-12</v>
      </c>
      <c r="AP556" s="77">
        <f>$AH556*tbl_Data[[#This Row],[2032 ]]</f>
        <v>4.2735362644662663E-12</v>
      </c>
      <c r="AQ556" s="77">
        <f>$AH556*tbl_Data[[#This Row],[2033 ]]</f>
        <v>5.0265271203728021E-12</v>
      </c>
      <c r="AR556" s="77">
        <f>$AH556*tbl_Data[[#This Row],[2034 ]]</f>
        <v>5.8288569690611261E-12</v>
      </c>
      <c r="AS556" s="77">
        <f>SUM(tbl_Data[[#This Row],[Adjusted 2025]:[Adjusted 2034]])</f>
        <v>2.8110550300056259E-11</v>
      </c>
      <c r="AT556" s="80">
        <f>AVERAGEIFS('3. Incentive Adjustment'!F:F,'3. Incentive Adjustment'!A:A,tbl_Data[[#This Row],[Trimmed Sector]],'3. Incentive Adjustment'!B:B,tbl_Data[[#This Row],[Trimmed Measure Name]])</f>
        <v>4754.4974087894998</v>
      </c>
      <c r="AU556" s="80">
        <f>IFERROR(VLOOKUP(tbl_Data[[#This Row],[All_Meas_Name_Append]],'IRA Tax Credits'!$A$3:$D$46,4,0),0)</f>
        <v>500</v>
      </c>
      <c r="AV556" s="81">
        <f>tbl_Data[[#This Row],[Adj. per unit Incentive ($)]]/tbl_Data[[#This Row],[kWh Savings]]*tbl_Data[[#This Row],[Sum of Annuals]]</f>
        <v>2.9848845436112067E-11</v>
      </c>
      <c r="AW556" s="81" t="str">
        <f>IFERROR(VLOOKUP(tbl_Data[[#This Row],[Column1]],'1. Set Program Names'!$B$2:$D$15,3,0)*tbl_Data[[#This Row],[Sum of Annuals]],"")</f>
        <v/>
      </c>
      <c r="AX556" s="81">
        <f>tbl_Data[[#This Row],[per unit IRA tax ($)]]/tbl_Data[[#This Row],[kWh Savings]]*tbl_Data[[#This Row],[Sum of Annuals]]</f>
        <v>3.1390116420014637E-12</v>
      </c>
      <c r="AY556" s="81">
        <f>tbl_Data[[#This Row],[Avoided Costs ($/unit)]]/tbl_Data[[#This Row],[kWh Savings]]*tbl_Data[[#This Row],[Sum of Annuals]]</f>
        <v>1.6766744999568902E-11</v>
      </c>
      <c r="AZ556" s="81">
        <f>tbl_Data[[#This Row],[Lost Revenue ($/unit)]]/tbl_Data[[#This Row],[kWh Savings]]*tbl_Data[[#This Row],[Sum of Annuals]]</f>
        <v>4.333488399143942E-11</v>
      </c>
      <c r="BA556" s="81">
        <f>tbl_Data[[#This Row],[Incremental Cost ($/unit)]]/tbl_Data[[#This Row],[kWh Savings]]*tbl_Data[[#This Row],[Sum of Annuals]]</f>
        <v>2.3101368321154676E-10</v>
      </c>
      <c r="BB556" s="77">
        <f>ROUNDUP(tbl_Data[[#This Row],[Adjusted 2025]]/$L556,0)</f>
        <v>1</v>
      </c>
      <c r="BC556" s="77">
        <f>ROUNDUP(tbl_Data[[#This Row],[Adjusted 2026]]/$L556,0)</f>
        <v>1</v>
      </c>
      <c r="BD556" s="77">
        <f>ROUNDUP(tbl_Data[[#This Row],[Adjusted 2027]]/$L556,0)</f>
        <v>1</v>
      </c>
      <c r="BE556" s="77">
        <f>ROUNDUP(tbl_Data[[#This Row],[Adjusted 2028]]/$L556,0)</f>
        <v>1</v>
      </c>
      <c r="BF556" s="77">
        <f>ROUNDUP(tbl_Data[[#This Row],[Adjusted 2029]]/$L556,0)</f>
        <v>1</v>
      </c>
      <c r="BG556" s="77">
        <f>ROUNDUP(tbl_Data[[#This Row],[Adjusted 2030]]/$L556,0)</f>
        <v>1</v>
      </c>
      <c r="BH556" s="77">
        <f>ROUNDUP(tbl_Data[[#This Row],[Adjusted 2031]]/$L556,0)</f>
        <v>1</v>
      </c>
      <c r="BI556" s="77">
        <f>ROUNDUP(tbl_Data[[#This Row],[Adjusted 2032]]/$L556,0)</f>
        <v>1</v>
      </c>
      <c r="BJ556" s="77">
        <f>ROUNDUP(tbl_Data[[#This Row],[Adjusted 2033]]/$L556,0)</f>
        <v>1</v>
      </c>
      <c r="BK556" s="77">
        <f>ROUNDUP(tbl_Data[[#This Row],[Adjusted 2034]]/$L556,0)</f>
        <v>1</v>
      </c>
      <c r="BL556" s="80">
        <f t="shared" si="221"/>
        <v>5.0203172742182417E-3</v>
      </c>
      <c r="BM556" s="80">
        <f t="shared" si="222"/>
        <v>1.059252972063412E-2</v>
      </c>
      <c r="BN556" s="80">
        <f t="shared" si="223"/>
        <v>1.6748428550648342E-2</v>
      </c>
      <c r="BO556" s="80">
        <f t="shared" si="224"/>
        <v>2.3530011411780544E-2</v>
      </c>
      <c r="BP556" s="80">
        <f t="shared" si="225"/>
        <v>3.0955769333683603E-2</v>
      </c>
      <c r="BQ556" s="80">
        <f t="shared" si="226"/>
        <v>3.904017329831469E-2</v>
      </c>
      <c r="BR556" s="80">
        <f t="shared" si="227"/>
        <v>4.7776793608498506E-2</v>
      </c>
      <c r="BS556" s="80">
        <f t="shared" si="228"/>
        <v>5.7169978195886963E-2</v>
      </c>
      <c r="BT556" s="80">
        <f t="shared" si="229"/>
        <v>6.7243244959016998E-2</v>
      </c>
      <c r="BU556" s="80">
        <f t="shared" si="230"/>
        <v>7.7976552720276746E-2</v>
      </c>
      <c r="BV556" s="80" t="str">
        <f>IFERROR(VLOOKUP($H556,'1. Set Program Names'!$B$2:$D$15,3,0)*V556,"NA")</f>
        <v>NA</v>
      </c>
      <c r="BW556" s="80" t="str">
        <f>IFERROR(VLOOKUP($H556,'1. Set Program Names'!$B$2:$D$15,3,0)*W556,"NA")</f>
        <v>NA</v>
      </c>
      <c r="BX556" s="80" t="str">
        <f>IFERROR(VLOOKUP($H556,'1. Set Program Names'!$B$2:$D$15,3,0)*X556,"NA")</f>
        <v>NA</v>
      </c>
      <c r="BY556" s="80" t="str">
        <f>IFERROR(VLOOKUP($H556,'1. Set Program Names'!$B$2:$D$15,3,0)*Y556,"NA")</f>
        <v>NA</v>
      </c>
      <c r="BZ556" s="80" t="str">
        <f>IFERROR(VLOOKUP($H556,'1. Set Program Names'!$B$2:$D$15,3,0)*Z556,"NA")</f>
        <v>NA</v>
      </c>
      <c r="CA556" s="80" t="str">
        <f>IFERROR(VLOOKUP($H556,'1. Set Program Names'!$B$2:$D$15,3,0)*AA556,"NA")</f>
        <v>NA</v>
      </c>
      <c r="CB556" s="80" t="str">
        <f>IFERROR(VLOOKUP($H556,'1. Set Program Names'!$B$2:$D$15,3,0)*AB556,"NA")</f>
        <v>NA</v>
      </c>
      <c r="CC556" s="80" t="str">
        <f>IFERROR(VLOOKUP($H556,'1. Set Program Names'!$B$2:$D$15,3,0)*AC556,"NA")</f>
        <v>NA</v>
      </c>
      <c r="CD556" s="80" t="str">
        <f>IFERROR(VLOOKUP($H556,'1. Set Program Names'!$B$2:$D$15,3,0)*AD556,"NA")</f>
        <v>NA</v>
      </c>
      <c r="CE556" s="80" t="str">
        <f>IFERROR(VLOOKUP($H556,'1. Set Program Names'!$B$2:$D$15,3,0)*AE556,"NA")</f>
        <v>NA</v>
      </c>
    </row>
    <row r="557" spans="1:83" x14ac:dyDescent="0.25">
      <c r="A557" s="79" t="s">
        <v>117</v>
      </c>
      <c r="B557" s="79" t="s">
        <v>88</v>
      </c>
      <c r="C557" s="79" t="s">
        <v>122</v>
      </c>
      <c r="D557" s="79" t="s">
        <v>90</v>
      </c>
      <c r="E557" s="79" t="s">
        <v>91</v>
      </c>
      <c r="F557" s="79" t="s">
        <v>90</v>
      </c>
      <c r="G557" s="79" t="s">
        <v>92</v>
      </c>
      <c r="H557" s="79" t="s">
        <v>20</v>
      </c>
      <c r="I557" s="79" t="s">
        <v>240</v>
      </c>
      <c r="J557" s="79" t="s">
        <v>129</v>
      </c>
      <c r="K557" s="79" t="s">
        <v>102</v>
      </c>
      <c r="L557" s="79">
        <v>18717.787499999999</v>
      </c>
      <c r="M557" s="79">
        <v>3.6380387810097399</v>
      </c>
      <c r="N557" s="79">
        <v>0.14255501576814</v>
      </c>
      <c r="O557" s="79">
        <f>11091.09/6133.31*tbl_Data[[#This Row],[kWh Savings]]</f>
        <v>33848.063405139306</v>
      </c>
      <c r="P557" s="79">
        <v>45532.278837645601</v>
      </c>
      <c r="Q557" s="79">
        <v>1123.0672500000001</v>
      </c>
      <c r="R557" s="79">
        <v>11042.715256281999</v>
      </c>
      <c r="S557" s="79">
        <v>28855.114582630202</v>
      </c>
      <c r="T557" s="79">
        <v>30</v>
      </c>
      <c r="U557" s="79">
        <v>0.05</v>
      </c>
      <c r="V557" s="79">
        <f>tbl_Data_old[[#This Row],[2025 ]]*IFERROR(AVERAGEIFS('Participation Adjustment'!$C:$C,'Participation Adjustment'!$A:$A,$H557,'Participation Adjustment'!$B:$B,$I557),1)</f>
        <v>2.4947593568523498E-3</v>
      </c>
      <c r="W557" s="79">
        <f>tbl_Data_old[[#This Row],[2026 ]]*IFERROR(AVERAGEIFS('Participation Adjustment'!$C:$C,'Participation Adjustment'!$A:$A,$H557,'Participation Adjustment'!$B:$B,$I557),1)</f>
        <v>4.9401907089272404E-3</v>
      </c>
      <c r="X557" s="79">
        <f>tbl_Data_old[[#This Row],[2027 ]]*IFERROR(AVERAGEIFS('Participation Adjustment'!$C:$C,'Participation Adjustment'!$A:$A,$H557,'Participation Adjustment'!$B:$B,$I557),1)</f>
        <v>7.3124217462747299E-3</v>
      </c>
      <c r="Y557" s="79">
        <f>tbl_Data_old[[#This Row],[2028 ]]*IFERROR(AVERAGEIFS('Participation Adjustment'!$C:$C,'Participation Adjustment'!$A:$A,$H557,'Participation Adjustment'!$B:$B,$I557),1)</f>
        <v>9.61056993732925E-3</v>
      </c>
      <c r="Z557" s="79">
        <f>tbl_Data_old[[#This Row],[2029 ]]*IFERROR(AVERAGEIFS('Participation Adjustment'!$C:$C,'Participation Adjustment'!$A:$A,$H557,'Participation Adjustment'!$B:$B,$I557),1)</f>
        <v>1.18347448716718E-2</v>
      </c>
      <c r="AA557" s="79">
        <f>tbl_Data_old[[#This Row],[2030 ]]*IFERROR(AVERAGEIFS('Participation Adjustment'!$C:$C,'Participation Adjustment'!$A:$A,$H557,'Participation Adjustment'!$B:$B,$I557),1)</f>
        <v>1.3979213314243399E-2</v>
      </c>
      <c r="AB557" s="79">
        <f>tbl_Data_old[[#This Row],[2031 ]]*IFERROR(AVERAGEIFS('Participation Adjustment'!$C:$C,'Participation Adjustment'!$A:$A,$H557,'Participation Adjustment'!$B:$B,$I557),1)</f>
        <v>1.6043048992665301E-2</v>
      </c>
      <c r="AC557" s="79">
        <f>tbl_Data_old[[#This Row],[2032 ]]*IFERROR(AVERAGEIFS('Participation Adjustment'!$C:$C,'Participation Adjustment'!$A:$A,$H557,'Participation Adjustment'!$B:$B,$I557),1)</f>
        <v>1.8029045987327401E-2</v>
      </c>
      <c r="AD557" s="79">
        <f>tbl_Data_old[[#This Row],[2033 ]]*IFERROR(AVERAGEIFS('Participation Adjustment'!$C:$C,'Participation Adjustment'!$A:$A,$H557,'Participation Adjustment'!$B:$B,$I557),1)</f>
        <v>1.9936814441337901E-2</v>
      </c>
      <c r="AE557" s="79">
        <f>tbl_Data_old[[#This Row],[2034 ]]*IFERROR(AVERAGEIFS('Participation Adjustment'!$C:$C,'Participation Adjustment'!$A:$A,$H557,'Participation Adjustment'!$B:$B,$I557),1)</f>
        <v>2.1767290462896799E-2</v>
      </c>
      <c r="AF557" s="77" t="str">
        <f t="shared" si="220"/>
        <v>NonResidential</v>
      </c>
      <c r="AG557" s="77" t="str">
        <f>tbl_Data[[#This Row],[All_Meas_Name_Append]]</f>
        <v>Ceiling Insulation(R2 to R38)</v>
      </c>
      <c r="AH557" s="77">
        <f>AVERAGEIFS('3. Incentive Adjustment'!G:G,'3. Incentive Adjustment'!A:A,tbl_Data[[#This Row],[Trimmed Sector]],'3. Incentive Adjustment'!B:B,tbl_Data[[#This Row],[Trimmed Measure Name]])</f>
        <v>3.0218441517909909E-3</v>
      </c>
      <c r="AI557" s="77">
        <f>$AH557*tbl_Data[[#This Row],[2025 ]]</f>
        <v>7.538773972630127E-6</v>
      </c>
      <c r="AJ557" s="77">
        <f>$AH557*tbl_Data[[#This Row],[2026 ]]</f>
        <v>1.4928486402503971E-5</v>
      </c>
      <c r="AK557" s="77">
        <f>$AH557*tbl_Data[[#This Row],[2027 ]]</f>
        <v>2.2096998889409558E-5</v>
      </c>
      <c r="AL557" s="77">
        <f>$AH557*tbl_Data[[#This Row],[2028 ]]</f>
        <v>2.9041644560496704E-5</v>
      </c>
      <c r="AM557" s="77">
        <f>$AH557*tbl_Data[[#This Row],[2029 ]]</f>
        <v>3.5762754578399853E-5</v>
      </c>
      <c r="AN557" s="77">
        <f>$AH557*tbl_Data[[#This Row],[2030 ]]</f>
        <v>4.2243004000285172E-5</v>
      </c>
      <c r="AO557" s="77">
        <f>$AH557*tbl_Data[[#This Row],[2031 ]]</f>
        <v>4.8479593775381986E-5</v>
      </c>
      <c r="AP557" s="77">
        <f>$AH557*tbl_Data[[#This Row],[2032 ]]</f>
        <v>5.4480967179176137E-5</v>
      </c>
      <c r="AQ557" s="77">
        <f>$AH557*tbl_Data[[#This Row],[2033 ]]</f>
        <v>6.0245946124899105E-5</v>
      </c>
      <c r="AR557" s="77">
        <f>$AH557*tbl_Data[[#This Row],[2034 ]]</f>
        <v>6.57773593856405E-5</v>
      </c>
      <c r="AS557" s="77">
        <f>SUM(tbl_Data[[#This Row],[Adjusted 2025]:[Adjusted 2034]])</f>
        <v>3.805955288688231E-4</v>
      </c>
      <c r="AT557" s="80">
        <f>AVERAGEIFS('3. Incentive Adjustment'!F:F,'3. Incentive Adjustment'!A:A,tbl_Data[[#This Row],[Trimmed Sector]],'3. Incentive Adjustment'!B:B,tbl_Data[[#This Row],[Trimmed Measure Name]])</f>
        <v>4373.4448922946976</v>
      </c>
      <c r="AU557" s="80">
        <f>IFERROR(VLOOKUP(tbl_Data[[#This Row],[All_Meas_Name_Append]],'IRA Tax Credits'!$A$3:$D$46,4,0),0)</f>
        <v>0</v>
      </c>
      <c r="AV557" s="81">
        <f>tbl_Data[[#This Row],[Adj. per unit Incentive ($)]]/tbl_Data[[#This Row],[kWh Savings]]*tbl_Data[[#This Row],[Sum of Annuals]]</f>
        <v>8.8926833460501334E-5</v>
      </c>
      <c r="AW557" s="81" t="str">
        <f>IFERROR(VLOOKUP(tbl_Data[[#This Row],[Column1]],'1. Set Program Names'!$B$2:$D$15,3,0)*tbl_Data[[#This Row],[Sum of Annuals]],"")</f>
        <v/>
      </c>
      <c r="AX557" s="81">
        <f>tbl_Data[[#This Row],[per unit IRA tax ($)]]/tbl_Data[[#This Row],[kWh Savings]]*tbl_Data[[#This Row],[Sum of Annuals]]</f>
        <v>0</v>
      </c>
      <c r="AY557" s="81">
        <f>tbl_Data[[#This Row],[Avoided Costs ($/unit)]]/tbl_Data[[#This Row],[kWh Savings]]*tbl_Data[[#This Row],[Sum of Annuals]]</f>
        <v>2.2453551484717248E-4</v>
      </c>
      <c r="AZ557" s="81">
        <f>tbl_Data[[#This Row],[Lost Revenue ($/unit)]]/tbl_Data[[#This Row],[kWh Savings]]*tbl_Data[[#This Row],[Sum of Annuals]]</f>
        <v>5.8672145920807316E-4</v>
      </c>
      <c r="BA557" s="81">
        <f>tbl_Data[[#This Row],[Incremental Cost ($/unit)]]/tbl_Data[[#This Row],[kWh Savings]]*tbl_Data[[#This Row],[Sum of Annuals]]</f>
        <v>6.8824488967322937E-4</v>
      </c>
      <c r="BB557" s="77">
        <f>ROUNDUP(tbl_Data[[#This Row],[Adjusted 2025]]/$L557,0)</f>
        <v>1</v>
      </c>
      <c r="BC557" s="77">
        <f>ROUNDUP(tbl_Data[[#This Row],[Adjusted 2026]]/$L557,0)</f>
        <v>1</v>
      </c>
      <c r="BD557" s="77">
        <f>ROUNDUP(tbl_Data[[#This Row],[Adjusted 2027]]/$L557,0)</f>
        <v>1</v>
      </c>
      <c r="BE557" s="77">
        <f>ROUNDUP(tbl_Data[[#This Row],[Adjusted 2028]]/$L557,0)</f>
        <v>1</v>
      </c>
      <c r="BF557" s="77">
        <f>ROUNDUP(tbl_Data[[#This Row],[Adjusted 2029]]/$L557,0)</f>
        <v>1</v>
      </c>
      <c r="BG557" s="77">
        <f>ROUNDUP(tbl_Data[[#This Row],[Adjusted 2030]]/$L557,0)</f>
        <v>1</v>
      </c>
      <c r="BH557" s="77">
        <f>ROUNDUP(tbl_Data[[#This Row],[Adjusted 2031]]/$L557,0)</f>
        <v>1</v>
      </c>
      <c r="BI557" s="77">
        <f>ROUNDUP(tbl_Data[[#This Row],[Adjusted 2032]]/$L557,0)</f>
        <v>1</v>
      </c>
      <c r="BJ557" s="77">
        <f>ROUNDUP(tbl_Data[[#This Row],[Adjusted 2033]]/$L557,0)</f>
        <v>1</v>
      </c>
      <c r="BK557" s="77">
        <f>ROUNDUP(tbl_Data[[#This Row],[Adjusted 2034]]/$L557,0)</f>
        <v>1</v>
      </c>
      <c r="BL557" s="80">
        <f t="shared" si="221"/>
        <v>5.8290503440806319E-4</v>
      </c>
      <c r="BM557" s="80">
        <f t="shared" si="222"/>
        <v>1.1542844913117838E-3</v>
      </c>
      <c r="BN557" s="80">
        <f t="shared" si="223"/>
        <v>1.7085605623287418E-3</v>
      </c>
      <c r="BO557" s="80">
        <f t="shared" si="224"/>
        <v>2.245527042362971E-3</v>
      </c>
      <c r="BP557" s="80">
        <f t="shared" si="225"/>
        <v>2.7652095372182159E-3</v>
      </c>
      <c r="BQ557" s="80">
        <f t="shared" si="226"/>
        <v>3.2662684661569023E-3</v>
      </c>
      <c r="BR557" s="80">
        <f t="shared" si="227"/>
        <v>3.7484874039629772E-3</v>
      </c>
      <c r="BS557" s="80">
        <f t="shared" si="228"/>
        <v>4.2125191925714107E-3</v>
      </c>
      <c r="BT557" s="80">
        <f t="shared" si="229"/>
        <v>4.6582727412145487E-3</v>
      </c>
      <c r="BU557" s="80">
        <f t="shared" si="230"/>
        <v>5.0859667732658627E-3</v>
      </c>
      <c r="BV557" s="80" t="str">
        <f>IFERROR(VLOOKUP($H557,'1. Set Program Names'!$B$2:$D$15,3,0)*V557,"NA")</f>
        <v>NA</v>
      </c>
      <c r="BW557" s="80" t="str">
        <f>IFERROR(VLOOKUP($H557,'1. Set Program Names'!$B$2:$D$15,3,0)*W557,"NA")</f>
        <v>NA</v>
      </c>
      <c r="BX557" s="80" t="str">
        <f>IFERROR(VLOOKUP($H557,'1. Set Program Names'!$B$2:$D$15,3,0)*X557,"NA")</f>
        <v>NA</v>
      </c>
      <c r="BY557" s="80" t="str">
        <f>IFERROR(VLOOKUP($H557,'1. Set Program Names'!$B$2:$D$15,3,0)*Y557,"NA")</f>
        <v>NA</v>
      </c>
      <c r="BZ557" s="80" t="str">
        <f>IFERROR(VLOOKUP($H557,'1. Set Program Names'!$B$2:$D$15,3,0)*Z557,"NA")</f>
        <v>NA</v>
      </c>
      <c r="CA557" s="80" t="str">
        <f>IFERROR(VLOOKUP($H557,'1. Set Program Names'!$B$2:$D$15,3,0)*AA557,"NA")</f>
        <v>NA</v>
      </c>
      <c r="CB557" s="80" t="str">
        <f>IFERROR(VLOOKUP($H557,'1. Set Program Names'!$B$2:$D$15,3,0)*AB557,"NA")</f>
        <v>NA</v>
      </c>
      <c r="CC557" s="80" t="str">
        <f>IFERROR(VLOOKUP($H557,'1. Set Program Names'!$B$2:$D$15,3,0)*AC557,"NA")</f>
        <v>NA</v>
      </c>
      <c r="CD557" s="80" t="str">
        <f>IFERROR(VLOOKUP($H557,'1. Set Program Names'!$B$2:$D$15,3,0)*AD557,"NA")</f>
        <v>NA</v>
      </c>
      <c r="CE557" s="80" t="str">
        <f>IFERROR(VLOOKUP($H557,'1. Set Program Names'!$B$2:$D$15,3,0)*AE557,"NA")</f>
        <v>NA</v>
      </c>
    </row>
    <row r="558" spans="1:83" x14ac:dyDescent="0.25">
      <c r="A558" s="79" t="s">
        <v>117</v>
      </c>
      <c r="B558" s="79" t="s">
        <v>88</v>
      </c>
      <c r="C558" s="79" t="s">
        <v>122</v>
      </c>
      <c r="D558" s="79" t="s">
        <v>90</v>
      </c>
      <c r="E558" s="79" t="s">
        <v>91</v>
      </c>
      <c r="F558" s="79" t="s">
        <v>90</v>
      </c>
      <c r="G558" s="79" t="s">
        <v>92</v>
      </c>
      <c r="H558" s="79" t="s">
        <v>20</v>
      </c>
      <c r="I558" s="79" t="s">
        <v>241</v>
      </c>
      <c r="J558" s="79" t="s">
        <v>129</v>
      </c>
      <c r="K558" s="79" t="s">
        <v>102</v>
      </c>
      <c r="L558" s="79">
        <v>19185.113333333298</v>
      </c>
      <c r="M558" s="79">
        <v>4.6125790568704801</v>
      </c>
      <c r="N558" s="79">
        <v>0.25911922024205197</v>
      </c>
      <c r="O558" s="79">
        <f>11417.3/6341.92*tbl_Data[[#This Row],[kWh Savings]]</f>
        <v>34538.782334161617</v>
      </c>
      <c r="P558" s="79">
        <v>25197.386166847798</v>
      </c>
      <c r="Q558" s="79">
        <v>1151.1068</v>
      </c>
      <c r="R558" s="79">
        <v>12014.6297388403</v>
      </c>
      <c r="S558" s="79">
        <v>29575.538429105502</v>
      </c>
      <c r="T558" s="79">
        <v>30</v>
      </c>
      <c r="U558" s="79">
        <v>0.05</v>
      </c>
      <c r="V558" s="79">
        <f>tbl_Data_old[[#This Row],[2025 ]]*IFERROR(AVERAGEIFS('Participation Adjustment'!$C:$C,'Participation Adjustment'!$A:$A,$H558,'Participation Adjustment'!$B:$B,$I558),1)</f>
        <v>9.87683399104098E-3</v>
      </c>
      <c r="W558" s="79">
        <f>tbl_Data_old[[#This Row],[2026 ]]*IFERROR(AVERAGEIFS('Participation Adjustment'!$C:$C,'Participation Adjustment'!$A:$A,$H558,'Participation Adjustment'!$B:$B,$I558),1)</f>
        <v>1.9542676723151201E-2</v>
      </c>
      <c r="X558" s="79">
        <f>tbl_Data_old[[#This Row],[2027 ]]*IFERROR(AVERAGEIFS('Participation Adjustment'!$C:$C,'Participation Adjustment'!$A:$A,$H558,'Participation Adjustment'!$B:$B,$I558),1)</f>
        <v>2.8904978165375898E-2</v>
      </c>
      <c r="Y558" s="79">
        <f>tbl_Data_old[[#This Row],[2028 ]]*IFERROR(AVERAGEIFS('Participation Adjustment'!$C:$C,'Participation Adjustment'!$A:$A,$H558,'Participation Adjustment'!$B:$B,$I558),1)</f>
        <v>3.7962028718125103E-2</v>
      </c>
      <c r="Z558" s="79">
        <f>tbl_Data_old[[#This Row],[2029 ]]*IFERROR(AVERAGEIFS('Participation Adjustment'!$C:$C,'Participation Adjustment'!$A:$A,$H558,'Participation Adjustment'!$B:$B,$I558),1)</f>
        <v>4.6715869778676498E-2</v>
      </c>
      <c r="AA558" s="79">
        <f>tbl_Data_old[[#This Row],[2030 ]]*IFERROR(AVERAGEIFS('Participation Adjustment'!$C:$C,'Participation Adjustment'!$A:$A,$H558,'Participation Adjustment'!$B:$B,$I558),1)</f>
        <v>5.5145427562382998E-2</v>
      </c>
      <c r="AB558" s="79">
        <f>tbl_Data_old[[#This Row],[2031 ]]*IFERROR(AVERAGEIFS('Participation Adjustment'!$C:$C,'Participation Adjustment'!$A:$A,$H558,'Participation Adjustment'!$B:$B,$I558),1)</f>
        <v>6.3248454012111793E-2</v>
      </c>
      <c r="AC558" s="79">
        <f>tbl_Data_old[[#This Row],[2032 ]]*IFERROR(AVERAGEIFS('Participation Adjustment'!$C:$C,'Participation Adjustment'!$A:$A,$H558,'Participation Adjustment'!$B:$B,$I558),1)</f>
        <v>7.10371880554721E-2</v>
      </c>
      <c r="AD558" s="79">
        <f>tbl_Data_old[[#This Row],[2033 ]]*IFERROR(AVERAGEIFS('Participation Adjustment'!$C:$C,'Participation Adjustment'!$A:$A,$H558,'Participation Adjustment'!$B:$B,$I558),1)</f>
        <v>7.8511257692688394E-2</v>
      </c>
      <c r="AE558" s="79">
        <f>tbl_Data_old[[#This Row],[2034 ]]*IFERROR(AVERAGEIFS('Participation Adjustment'!$C:$C,'Participation Adjustment'!$A:$A,$H558,'Participation Adjustment'!$B:$B,$I558),1)</f>
        <v>8.5675395772371807E-2</v>
      </c>
      <c r="AF558" s="77" t="str">
        <f t="shared" si="220"/>
        <v>NonResidential</v>
      </c>
      <c r="AG558" s="77" t="str">
        <f>tbl_Data[[#This Row],[All_Meas_Name_Append]]</f>
        <v>Ceiling Insulation(R2 to R49)</v>
      </c>
      <c r="AH558" s="77">
        <f>AVERAGEIFS('3. Incentive Adjustment'!G:G,'3. Incentive Adjustment'!A:A,tbl_Data[[#This Row],[Trimmed Sector]],'3. Incentive Adjustment'!B:B,tbl_Data[[#This Row],[Trimmed Measure Name]])</f>
        <v>5.674595082038876E-2</v>
      </c>
      <c r="AI558" s="77">
        <f>$AH558*tbl_Data[[#This Row],[2025 ]]</f>
        <v>5.6047033591675554E-4</v>
      </c>
      <c r="AJ558" s="77">
        <f>$AH558*tbl_Data[[#This Row],[2026 ]]</f>
        <v>1.1089677722306943E-3</v>
      </c>
      <c r="AK558" s="77">
        <f>$AH558*tbl_Data[[#This Row],[2027 ]]</f>
        <v>1.6402404694368317E-3</v>
      </c>
      <c r="AL558" s="77">
        <f>$AH558*tbl_Data[[#This Row],[2028 ]]</f>
        <v>2.1541914146809131E-3</v>
      </c>
      <c r="AM558" s="77">
        <f>$AH558*tbl_Data[[#This Row],[2029 ]]</f>
        <v>2.6509364489924621E-3</v>
      </c>
      <c r="AN558" s="77">
        <f>$AH558*tbl_Data[[#This Row],[2030 ]]</f>
        <v>3.1292797204242966E-3</v>
      </c>
      <c r="AO558" s="77">
        <f>$AH558*tbl_Data[[#This Row],[2031 ]]</f>
        <v>3.5890936608369158E-3</v>
      </c>
      <c r="AP558" s="77">
        <f>$AH558*tbl_Data[[#This Row],[2032 ]]</f>
        <v>4.0310727798145273E-3</v>
      </c>
      <c r="AQ558" s="77">
        <f>$AH558*tbl_Data[[#This Row],[2033 ]]</f>
        <v>4.4551959678761641E-3</v>
      </c>
      <c r="AR558" s="77">
        <f>$AH558*tbl_Data[[#This Row],[2034 ]]</f>
        <v>4.8617317950163533E-3</v>
      </c>
      <c r="AS558" s="77">
        <f>SUM(tbl_Data[[#This Row],[Adjusted 2025]:[Adjusted 2034]])</f>
        <v>2.8181180365225912E-2</v>
      </c>
      <c r="AT558" s="80">
        <f>AVERAGEIFS('3. Incentive Adjustment'!F:F,'3. Incentive Adjustment'!A:A,tbl_Data[[#This Row],[Trimmed Sector]],'3. Incentive Adjustment'!B:B,tbl_Data[[#This Row],[Trimmed Measure Name]])</f>
        <v>4335.1908026959672</v>
      </c>
      <c r="AU558" s="80">
        <f>IFERROR(VLOOKUP(tbl_Data[[#This Row],[All_Meas_Name_Append]],'IRA Tax Credits'!$A$3:$D$46,4,0),0)</f>
        <v>500</v>
      </c>
      <c r="AV558" s="81">
        <f>tbl_Data[[#This Row],[Adj. per unit Incentive ($)]]/tbl_Data[[#This Row],[kWh Savings]]*tbl_Data[[#This Row],[Sum of Annuals]]</f>
        <v>6.3679995945698752E-3</v>
      </c>
      <c r="AW558" s="81" t="str">
        <f>IFERROR(VLOOKUP(tbl_Data[[#This Row],[Column1]],'1. Set Program Names'!$B$2:$D$15,3,0)*tbl_Data[[#This Row],[Sum of Annuals]],"")</f>
        <v/>
      </c>
      <c r="AX558" s="81">
        <f>tbl_Data[[#This Row],[per unit IRA tax ($)]]/tbl_Data[[#This Row],[kWh Savings]]*tbl_Data[[#This Row],[Sum of Annuals]]</f>
        <v>7.3445436249423499E-4</v>
      </c>
      <c r="AY558" s="81">
        <f>tbl_Data[[#This Row],[Avoided Costs ($/unit)]]/tbl_Data[[#This Row],[kWh Savings]]*tbl_Data[[#This Row],[Sum of Annuals]]</f>
        <v>1.764839445088846E-2</v>
      </c>
      <c r="AZ558" s="81">
        <f>tbl_Data[[#This Row],[Lost Revenue ($/unit)]]/tbl_Data[[#This Row],[kWh Savings]]*tbl_Data[[#This Row],[Sum of Annuals]]</f>
        <v>4.3443766444744861E-2</v>
      </c>
      <c r="BA558" s="81">
        <f>tbl_Data[[#This Row],[Incremental Cost ($/unit)]]/tbl_Data[[#This Row],[kWh Savings]]*tbl_Data[[#This Row],[Sum of Annuals]]</f>
        <v>5.073431872112763E-2</v>
      </c>
      <c r="BB558" s="77">
        <f>ROUNDUP(tbl_Data[[#This Row],[Adjusted 2025]]/$L558,0)</f>
        <v>1</v>
      </c>
      <c r="BC558" s="77">
        <f>ROUNDUP(tbl_Data[[#This Row],[Adjusted 2026]]/$L558,0)</f>
        <v>1</v>
      </c>
      <c r="BD558" s="77">
        <f>ROUNDUP(tbl_Data[[#This Row],[Adjusted 2027]]/$L558,0)</f>
        <v>1</v>
      </c>
      <c r="BE558" s="77">
        <f>ROUNDUP(tbl_Data[[#This Row],[Adjusted 2028]]/$L558,0)</f>
        <v>1</v>
      </c>
      <c r="BF558" s="77">
        <f>ROUNDUP(tbl_Data[[#This Row],[Adjusted 2029]]/$L558,0)</f>
        <v>1</v>
      </c>
      <c r="BG558" s="77">
        <f>ROUNDUP(tbl_Data[[#This Row],[Adjusted 2030]]/$L558,0)</f>
        <v>1</v>
      </c>
      <c r="BH558" s="77">
        <f>ROUNDUP(tbl_Data[[#This Row],[Adjusted 2031]]/$L558,0)</f>
        <v>1</v>
      </c>
      <c r="BI558" s="77">
        <f>ROUNDUP(tbl_Data[[#This Row],[Adjusted 2032]]/$L558,0)</f>
        <v>1</v>
      </c>
      <c r="BJ558" s="77">
        <f>ROUNDUP(tbl_Data[[#This Row],[Adjusted 2033]]/$L558,0)</f>
        <v>1</v>
      </c>
      <c r="BK558" s="77">
        <f>ROUNDUP(tbl_Data[[#This Row],[Adjusted 2034]]/$L558,0)</f>
        <v>1</v>
      </c>
      <c r="BL558" s="80">
        <f t="shared" si="221"/>
        <v>2.2318325221108502E-3</v>
      </c>
      <c r="BM558" s="80">
        <f t="shared" si="222"/>
        <v>4.4159881111083248E-3</v>
      </c>
      <c r="BN558" s="80">
        <f t="shared" si="223"/>
        <v>6.5315535705982577E-3</v>
      </c>
      <c r="BO558" s="80">
        <f t="shared" si="224"/>
        <v>8.5781425885328669E-3</v>
      </c>
      <c r="BP558" s="80">
        <f t="shared" si="225"/>
        <v>1.0556216452085656E-2</v>
      </c>
      <c r="BQ558" s="80">
        <f t="shared" si="226"/>
        <v>1.2461013194215163E-2</v>
      </c>
      <c r="BR558" s="80">
        <f t="shared" si="227"/>
        <v>1.4292024829566452E-2</v>
      </c>
      <c r="BS558" s="80">
        <f t="shared" si="228"/>
        <v>1.6052016944429502E-2</v>
      </c>
      <c r="BT558" s="80">
        <f t="shared" si="229"/>
        <v>1.7740905479357937E-2</v>
      </c>
      <c r="BU558" s="80">
        <f t="shared" si="230"/>
        <v>1.9359759899067082E-2</v>
      </c>
      <c r="BV558" s="80" t="str">
        <f>IFERROR(VLOOKUP($H558,'1. Set Program Names'!$B$2:$D$15,3,0)*V558,"NA")</f>
        <v>NA</v>
      </c>
      <c r="BW558" s="80" t="str">
        <f>IFERROR(VLOOKUP($H558,'1. Set Program Names'!$B$2:$D$15,3,0)*W558,"NA")</f>
        <v>NA</v>
      </c>
      <c r="BX558" s="80" t="str">
        <f>IFERROR(VLOOKUP($H558,'1. Set Program Names'!$B$2:$D$15,3,0)*X558,"NA")</f>
        <v>NA</v>
      </c>
      <c r="BY558" s="80" t="str">
        <f>IFERROR(VLOOKUP($H558,'1. Set Program Names'!$B$2:$D$15,3,0)*Y558,"NA")</f>
        <v>NA</v>
      </c>
      <c r="BZ558" s="80" t="str">
        <f>IFERROR(VLOOKUP($H558,'1. Set Program Names'!$B$2:$D$15,3,0)*Z558,"NA")</f>
        <v>NA</v>
      </c>
      <c r="CA558" s="80" t="str">
        <f>IFERROR(VLOOKUP($H558,'1. Set Program Names'!$B$2:$D$15,3,0)*AA558,"NA")</f>
        <v>NA</v>
      </c>
      <c r="CB558" s="80" t="str">
        <f>IFERROR(VLOOKUP($H558,'1. Set Program Names'!$B$2:$D$15,3,0)*AB558,"NA")</f>
        <v>NA</v>
      </c>
      <c r="CC558" s="80" t="str">
        <f>IFERROR(VLOOKUP($H558,'1. Set Program Names'!$B$2:$D$15,3,0)*AC558,"NA")</f>
        <v>NA</v>
      </c>
      <c r="CD558" s="80" t="str">
        <f>IFERROR(VLOOKUP($H558,'1. Set Program Names'!$B$2:$D$15,3,0)*AD558,"NA")</f>
        <v>NA</v>
      </c>
      <c r="CE558" s="80" t="str">
        <f>IFERROR(VLOOKUP($H558,'1. Set Program Names'!$B$2:$D$15,3,0)*AE558,"NA")</f>
        <v>NA</v>
      </c>
    </row>
    <row r="559" spans="1:83" x14ac:dyDescent="0.25">
      <c r="A559" s="79" t="s">
        <v>117</v>
      </c>
      <c r="B559" s="79" t="s">
        <v>88</v>
      </c>
      <c r="C559" s="79" t="s">
        <v>122</v>
      </c>
      <c r="D559" s="79" t="s">
        <v>90</v>
      </c>
      <c r="E559" s="79" t="s">
        <v>91</v>
      </c>
      <c r="F559" s="79" t="s">
        <v>90</v>
      </c>
      <c r="G559" s="79" t="s">
        <v>92</v>
      </c>
      <c r="H559" s="79" t="s">
        <v>20</v>
      </c>
      <c r="I559" s="79" t="s">
        <v>128</v>
      </c>
      <c r="J559" s="79" t="s">
        <v>129</v>
      </c>
      <c r="K559" s="79" t="s">
        <v>130</v>
      </c>
      <c r="L559" s="79">
        <v>2045.1799999999989</v>
      </c>
      <c r="M559" s="79">
        <v>0.47104509500000002</v>
      </c>
      <c r="N559" s="79">
        <v>0.17900382200000001</v>
      </c>
      <c r="O559" s="79">
        <f>19591.5999999999/60160.456*2045.18</f>
        <v>666.02468053100858</v>
      </c>
      <c r="P559" s="79">
        <f>11310.7385995848/60160.456*2045.18</f>
        <v>384.51331501042552</v>
      </c>
      <c r="Q559" s="79">
        <f>2141.69388188172/60160.456*2045.18</f>
        <v>72.807784125619918</v>
      </c>
      <c r="R559" s="79">
        <f>32581.871747558/60160.456*2045.18</f>
        <v>1107.6344311730397</v>
      </c>
      <c r="S559" s="79">
        <f>77209.8271220691/60160.456*2045.18</f>
        <v>2624.780540784353</v>
      </c>
      <c r="T559" s="79">
        <v>20</v>
      </c>
      <c r="U559" s="79">
        <v>4.9999999999999899E-2</v>
      </c>
      <c r="V559" s="79">
        <f>tbl_Data_old[[#This Row],[2025 ]]*IFERROR(AVERAGEIFS('Participation Adjustment'!$C:$C,'Participation Adjustment'!$A:$A,$H559,'Participation Adjustment'!$B:$B,$I559),1)</f>
        <v>0.85411543567367199</v>
      </c>
      <c r="W559" s="79">
        <f>tbl_Data_old[[#This Row],[2026 ]]*IFERROR(AVERAGEIFS('Participation Adjustment'!$C:$C,'Participation Adjustment'!$A:$A,$H559,'Participation Adjustment'!$B:$B,$I559),1)</f>
        <v>1.6950099923491</v>
      </c>
      <c r="X559" s="79">
        <f>tbl_Data_old[[#This Row],[2027 ]]*IFERROR(AVERAGEIFS('Participation Adjustment'!$C:$C,'Participation Adjustment'!$A:$A,$H559,'Participation Adjustment'!$B:$B,$I559),1)</f>
        <v>2.5177129732686998</v>
      </c>
      <c r="Y559" s="79">
        <f>tbl_Data_old[[#This Row],[2028 ]]*IFERROR(AVERAGEIFS('Participation Adjustment'!$C:$C,'Participation Adjustment'!$A:$A,$H559,'Participation Adjustment'!$B:$B,$I559),1)</f>
        <v>3.3221569061118998</v>
      </c>
      <c r="Z559" s="79">
        <f>tbl_Data_old[[#This Row],[2029 ]]*IFERROR(AVERAGEIFS('Participation Adjustment'!$C:$C,'Participation Adjustment'!$A:$A,$H559,'Participation Adjustment'!$B:$B,$I559),1)</f>
        <v>4.10722213297284</v>
      </c>
      <c r="AA559" s="79">
        <f>tbl_Data_old[[#This Row],[2030 ]]*IFERROR(AVERAGEIFS('Participation Adjustment'!$C:$C,'Participation Adjustment'!$A:$A,$H559,'Participation Adjustment'!$B:$B,$I559),1)</f>
        <v>4.8712442793860902</v>
      </c>
      <c r="AB559" s="79">
        <f>tbl_Data_old[[#This Row],[2031 ]]*IFERROR(AVERAGEIFS('Participation Adjustment'!$C:$C,'Participation Adjustment'!$A:$A,$H559,'Participation Adjustment'!$B:$B,$I559),1)</f>
        <v>5.6127495145147703</v>
      </c>
      <c r="AC559" s="79">
        <f>tbl_Data_old[[#This Row],[2032 ]]*IFERROR(AVERAGEIFS('Participation Adjustment'!$C:$C,'Participation Adjustment'!$A:$A,$H559,'Participation Adjustment'!$B:$B,$I559),1)</f>
        <v>6.3319193108217497</v>
      </c>
      <c r="AD559" s="79">
        <f>tbl_Data_old[[#This Row],[2033 ]]*IFERROR(AVERAGEIFS('Participation Adjustment'!$C:$C,'Participation Adjustment'!$A:$A,$H559,'Participation Adjustment'!$B:$B,$I559),1)</f>
        <v>7.0298008070388098</v>
      </c>
      <c r="AE559" s="79">
        <f>tbl_Data_old[[#This Row],[2034 ]]*IFERROR(AVERAGEIFS('Participation Adjustment'!$C:$C,'Participation Adjustment'!$A:$A,$H559,'Participation Adjustment'!$B:$B,$I559),1)</f>
        <v>7.7058718780523003</v>
      </c>
      <c r="AF559" s="77" t="str">
        <f t="shared" si="220"/>
        <v>NonResidential</v>
      </c>
      <c r="AG559" s="77" t="str">
        <f>tbl_Data[[#This Row],[All_Meas_Name_Append]]</f>
        <v>Commercial Duct Sealing</v>
      </c>
      <c r="AH559" s="77">
        <f>AVERAGEIFS('3. Incentive Adjustment'!G:G,'3. Incentive Adjustment'!A:A,tbl_Data[[#This Row],[Trimmed Sector]],'3. Incentive Adjustment'!B:B,tbl_Data[[#This Row],[Trimmed Measure Name]])</f>
        <v>0.69277112909915817</v>
      </c>
      <c r="AI559" s="77">
        <f>$AH559*tbl_Data[[#This Row],[2025 ]]</f>
        <v>0.59170651475266911</v>
      </c>
      <c r="AJ559" s="77">
        <f>$AH559*tbl_Data[[#This Row],[2026 ]]</f>
        <v>1.1742539862340415</v>
      </c>
      <c r="AK559" s="77">
        <f>$AH559*tbl_Data[[#This Row],[2027 ]]</f>
        <v>1.7441988592389557</v>
      </c>
      <c r="AL559" s="77">
        <f>$AH559*tbl_Data[[#This Row],[2028 ]]</f>
        <v>2.3014943908917069</v>
      </c>
      <c r="AM559" s="77">
        <f>$AH559*tbl_Data[[#This Row],[2029 ]]</f>
        <v>2.8453649145206472</v>
      </c>
      <c r="AN559" s="77">
        <f>$AH559*tbl_Data[[#This Row],[2030 ]]</f>
        <v>3.3746573995481168</v>
      </c>
      <c r="AO559" s="77">
        <f>$AH559*tbl_Data[[#This Row],[2031 ]]</f>
        <v>3.8883508185211495</v>
      </c>
      <c r="AP559" s="77">
        <f>$AH559*tbl_Data[[#This Row],[2032 ]]</f>
        <v>4.3865708903227469</v>
      </c>
      <c r="AQ559" s="77">
        <f>$AH559*tbl_Data[[#This Row],[2033 ]]</f>
        <v>4.8700430424344496</v>
      </c>
      <c r="AR559" s="77">
        <f>$AH559*tbl_Data[[#This Row],[2034 ]]</f>
        <v>5.3384055616517427</v>
      </c>
      <c r="AS559" s="77">
        <f>SUM(tbl_Data[[#This Row],[Adjusted 2025]:[Adjusted 2034]])</f>
        <v>30.515046378116228</v>
      </c>
      <c r="AT559" s="80">
        <f>AVERAGEIFS('3. Incentive Adjustment'!F:F,'3. Incentive Adjustment'!A:A,tbl_Data[[#This Row],[Trimmed Sector]],'3. Incentive Adjustment'!B:B,tbl_Data[[#This Row],[Trimmed Measure Name]])</f>
        <v>100</v>
      </c>
      <c r="AU559" s="80">
        <f>IFERROR(VLOOKUP(tbl_Data[[#This Row],[All_Meas_Name_Append]],'IRA Tax Credits'!$A$3:$D$46,4,0),0)</f>
        <v>0</v>
      </c>
      <c r="AV559" s="81">
        <f>tbl_Data[[#This Row],[Adj. per unit Incentive ($)]]/tbl_Data[[#This Row],[kWh Savings]]*tbl_Data[[#This Row],[Sum of Annuals]]</f>
        <v>1.4920469776800205</v>
      </c>
      <c r="AW559" s="81" t="str">
        <f>IFERROR(VLOOKUP(tbl_Data[[#This Row],[Column1]],'1. Set Program Names'!$B$2:$D$15,3,0)*tbl_Data[[#This Row],[Sum of Annuals]],"")</f>
        <v/>
      </c>
      <c r="AX559" s="81">
        <f>tbl_Data[[#This Row],[per unit IRA tax ($)]]/tbl_Data[[#This Row],[kWh Savings]]*tbl_Data[[#This Row],[Sum of Annuals]]</f>
        <v>0</v>
      </c>
      <c r="AY559" s="81">
        <f>tbl_Data[[#This Row],[Avoided Costs ($/unit)]]/tbl_Data[[#This Row],[kWh Savings]]*tbl_Data[[#This Row],[Sum of Annuals]]</f>
        <v>16.526426054060629</v>
      </c>
      <c r="AZ559" s="81">
        <f>tbl_Data[[#This Row],[Lost Revenue ($/unit)]]/tbl_Data[[#This Row],[kWh Savings]]*tbl_Data[[#This Row],[Sum of Annuals]]</f>
        <v>39.162958729506236</v>
      </c>
      <c r="BA559" s="81">
        <f>tbl_Data[[#This Row],[Incremental Cost ($/unit)]]/tbl_Data[[#This Row],[kWh Savings]]*tbl_Data[[#This Row],[Sum of Annuals]]</f>
        <v>9.9374011164659262</v>
      </c>
      <c r="BB559" s="77">
        <f>ROUNDUP(tbl_Data[[#This Row],[Adjusted 2025]]/$L559,0)</f>
        <v>1</v>
      </c>
      <c r="BC559" s="77">
        <f>ROUNDUP(tbl_Data[[#This Row],[Adjusted 2026]]/$L559,0)</f>
        <v>1</v>
      </c>
      <c r="BD559" s="77">
        <f>ROUNDUP(tbl_Data[[#This Row],[Adjusted 2027]]/$L559,0)</f>
        <v>1</v>
      </c>
      <c r="BE559" s="77">
        <f>ROUNDUP(tbl_Data[[#This Row],[Adjusted 2028]]/$L559,0)</f>
        <v>1</v>
      </c>
      <c r="BF559" s="77">
        <f>ROUNDUP(tbl_Data[[#This Row],[Adjusted 2029]]/$L559,0)</f>
        <v>1</v>
      </c>
      <c r="BG559" s="77">
        <f>ROUNDUP(tbl_Data[[#This Row],[Adjusted 2030]]/$L559,0)</f>
        <v>1</v>
      </c>
      <c r="BH559" s="77">
        <f>ROUNDUP(tbl_Data[[#This Row],[Adjusted 2031]]/$L559,0)</f>
        <v>1</v>
      </c>
      <c r="BI559" s="77">
        <f>ROUNDUP(tbl_Data[[#This Row],[Adjusted 2032]]/$L559,0)</f>
        <v>1</v>
      </c>
      <c r="BJ559" s="77">
        <f>ROUNDUP(tbl_Data[[#This Row],[Adjusted 2033]]/$L559,0)</f>
        <v>1</v>
      </c>
      <c r="BK559" s="77">
        <f>ROUNDUP(tbl_Data[[#This Row],[Adjusted 2034]]/$L559,0)</f>
        <v>1</v>
      </c>
      <c r="BL559" s="80">
        <f t="shared" si="221"/>
        <v>4.1762360069708897E-2</v>
      </c>
      <c r="BM559" s="80">
        <f t="shared" si="222"/>
        <v>8.2878279288331635E-2</v>
      </c>
      <c r="BN559" s="80">
        <f t="shared" si="223"/>
        <v>0.12310471319241834</v>
      </c>
      <c r="BO559" s="80">
        <f t="shared" si="224"/>
        <v>0.16243836269237436</v>
      </c>
      <c r="BP559" s="80">
        <f t="shared" si="225"/>
        <v>0.20082448160909272</v>
      </c>
      <c r="BQ559" s="80">
        <f t="shared" si="226"/>
        <v>0.23818168960121325</v>
      </c>
      <c r="BR559" s="80">
        <f t="shared" si="227"/>
        <v>0.27443792304417086</v>
      </c>
      <c r="BS559" s="80">
        <f t="shared" si="228"/>
        <v>0.30960205511601685</v>
      </c>
      <c r="BT559" s="80">
        <f t="shared" si="229"/>
        <v>0.3437252861380814</v>
      </c>
      <c r="BU559" s="80">
        <f t="shared" si="230"/>
        <v>0.37678208656706524</v>
      </c>
      <c r="BV559" s="80" t="str">
        <f>IFERROR(VLOOKUP($H559,'1. Set Program Names'!$B$2:$D$15,3,0)*V559,"NA")</f>
        <v>NA</v>
      </c>
      <c r="BW559" s="80" t="str">
        <f>IFERROR(VLOOKUP($H559,'1. Set Program Names'!$B$2:$D$15,3,0)*W559,"NA")</f>
        <v>NA</v>
      </c>
      <c r="BX559" s="80" t="str">
        <f>IFERROR(VLOOKUP($H559,'1. Set Program Names'!$B$2:$D$15,3,0)*X559,"NA")</f>
        <v>NA</v>
      </c>
      <c r="BY559" s="80" t="str">
        <f>IFERROR(VLOOKUP($H559,'1. Set Program Names'!$B$2:$D$15,3,0)*Y559,"NA")</f>
        <v>NA</v>
      </c>
      <c r="BZ559" s="80" t="str">
        <f>IFERROR(VLOOKUP($H559,'1. Set Program Names'!$B$2:$D$15,3,0)*Z559,"NA")</f>
        <v>NA</v>
      </c>
      <c r="CA559" s="80" t="str">
        <f>IFERROR(VLOOKUP($H559,'1. Set Program Names'!$B$2:$D$15,3,0)*AA559,"NA")</f>
        <v>NA</v>
      </c>
      <c r="CB559" s="80" t="str">
        <f>IFERROR(VLOOKUP($H559,'1. Set Program Names'!$B$2:$D$15,3,0)*AB559,"NA")</f>
        <v>NA</v>
      </c>
      <c r="CC559" s="80" t="str">
        <f>IFERROR(VLOOKUP($H559,'1. Set Program Names'!$B$2:$D$15,3,0)*AC559,"NA")</f>
        <v>NA</v>
      </c>
      <c r="CD559" s="80" t="str">
        <f>IFERROR(VLOOKUP($H559,'1. Set Program Names'!$B$2:$D$15,3,0)*AD559,"NA")</f>
        <v>NA</v>
      </c>
      <c r="CE559" s="80" t="str">
        <f>IFERROR(VLOOKUP($H559,'1. Set Program Names'!$B$2:$D$15,3,0)*AE559,"NA")</f>
        <v>NA</v>
      </c>
    </row>
    <row r="560" spans="1:83" x14ac:dyDescent="0.25">
      <c r="A560" s="79" t="s">
        <v>117</v>
      </c>
      <c r="B560" s="79" t="s">
        <v>88</v>
      </c>
      <c r="C560" s="79" t="s">
        <v>122</v>
      </c>
      <c r="D560" s="79" t="s">
        <v>90</v>
      </c>
      <c r="E560" s="79" t="s">
        <v>91</v>
      </c>
      <c r="F560" s="79" t="s">
        <v>90</v>
      </c>
      <c r="G560" s="79" t="s">
        <v>92</v>
      </c>
      <c r="H560" s="79" t="s">
        <v>20</v>
      </c>
      <c r="I560" s="79" t="s">
        <v>303</v>
      </c>
      <c r="J560" s="79" t="s">
        <v>129</v>
      </c>
      <c r="K560" s="79" t="s">
        <v>298</v>
      </c>
      <c r="L560" s="79">
        <v>2407.8671428571402</v>
      </c>
      <c r="M560" s="79">
        <v>0.43509988390469401</v>
      </c>
      <c r="N560" s="79">
        <v>0.148929049658067</v>
      </c>
      <c r="O560" s="79">
        <v>1278.9912095238201</v>
      </c>
      <c r="P560" s="79">
        <v>9094.9443435978392</v>
      </c>
      <c r="Q560" s="79">
        <v>144.47202857142801</v>
      </c>
      <c r="R560" s="79">
        <v>1364.7105452988201</v>
      </c>
      <c r="S560" s="79">
        <v>3090.2526043504499</v>
      </c>
      <c r="T560" s="79">
        <v>20</v>
      </c>
      <c r="U560" s="79">
        <v>4.9999999999999899E-2</v>
      </c>
      <c r="V560" s="79">
        <f>tbl_Data_old[[#This Row],[2025 ]]*IFERROR(AVERAGEIFS('Participation Adjustment'!$C:$C,'Participation Adjustment'!$A:$A,$H560,'Participation Adjustment'!$B:$B,$I560),1)</f>
        <v>0.45410869342033799</v>
      </c>
      <c r="W560" s="79">
        <f>tbl_Data_old[[#This Row],[2026 ]]*IFERROR(AVERAGEIFS('Participation Adjustment'!$C:$C,'Participation Adjustment'!$A:$A,$H560,'Participation Adjustment'!$B:$B,$I560),1)</f>
        <v>0.88529235317144195</v>
      </c>
      <c r="X560" s="79">
        <f>tbl_Data_old[[#This Row],[2027 ]]*IFERROR(AVERAGEIFS('Participation Adjustment'!$C:$C,'Participation Adjustment'!$A:$A,$H560,'Participation Adjustment'!$B:$B,$I560),1)</f>
        <v>1.2896757590891701</v>
      </c>
      <c r="Y560" s="79">
        <f>tbl_Data_old[[#This Row],[2028 ]]*IFERROR(AVERAGEIFS('Participation Adjustment'!$C:$C,'Participation Adjustment'!$A:$A,$H560,'Participation Adjustment'!$B:$B,$I560),1)</f>
        <v>1.66727672669438</v>
      </c>
      <c r="Z560" s="79">
        <f>tbl_Data_old[[#This Row],[2029 ]]*IFERROR(AVERAGEIFS('Participation Adjustment'!$C:$C,'Participation Adjustment'!$A:$A,$H560,'Participation Adjustment'!$B:$B,$I560),1)</f>
        <v>2.01827230685541</v>
      </c>
      <c r="AA560" s="79">
        <f>tbl_Data_old[[#This Row],[2030 ]]*IFERROR(AVERAGEIFS('Participation Adjustment'!$C:$C,'Participation Adjustment'!$A:$A,$H560,'Participation Adjustment'!$B:$B,$I560),1)</f>
        <v>2.3427273831295099</v>
      </c>
      <c r="AB560" s="79">
        <f>tbl_Data_old[[#This Row],[2031 ]]*IFERROR(AVERAGEIFS('Participation Adjustment'!$C:$C,'Participation Adjustment'!$A:$A,$H560,'Participation Adjustment'!$B:$B,$I560),1)</f>
        <v>2.6413241132011702</v>
      </c>
      <c r="AC560" s="79">
        <f>tbl_Data_old[[#This Row],[2032 ]]*IFERROR(AVERAGEIFS('Participation Adjustment'!$C:$C,'Participation Adjustment'!$A:$A,$H560,'Participation Adjustment'!$B:$B,$I560),1)</f>
        <v>2.9155550661322098</v>
      </c>
      <c r="AD560" s="79">
        <f>tbl_Data_old[[#This Row],[2033 ]]*IFERROR(AVERAGEIFS('Participation Adjustment'!$C:$C,'Participation Adjustment'!$A:$A,$H560,'Participation Adjustment'!$B:$B,$I560),1)</f>
        <v>3.1671733507461202</v>
      </c>
      <c r="AE560" s="79">
        <f>tbl_Data_old[[#This Row],[2034 ]]*IFERROR(AVERAGEIFS('Participation Adjustment'!$C:$C,'Participation Adjustment'!$A:$A,$H560,'Participation Adjustment'!$B:$B,$I560),1)</f>
        <v>3.3975565900293301</v>
      </c>
      <c r="AF560" s="77" t="str">
        <f t="shared" si="220"/>
        <v>NonResidential</v>
      </c>
      <c r="AG560" s="77" t="str">
        <f>tbl_Data[[#This Row],[All_Meas_Name_Append]]</f>
        <v>Energy Star windows</v>
      </c>
      <c r="AH560" s="77">
        <f>AVERAGEIFS('3. Incentive Adjustment'!G:G,'3. Incentive Adjustment'!A:A,tbl_Data[[#This Row],[Trimmed Sector]],'3. Incentive Adjustment'!B:B,tbl_Data[[#This Row],[Trimmed Measure Name]])</f>
        <v>1.8374525511831319E-4</v>
      </c>
      <c r="AI560" s="77">
        <f>$AH560*tbl_Data[[#This Row],[2025 ]]</f>
        <v>8.3440317723963879E-5</v>
      </c>
      <c r="AJ560" s="77">
        <f>$AH560*tbl_Data[[#This Row],[2026 ]]</f>
        <v>1.6266826928777842E-4</v>
      </c>
      <c r="AK560" s="77">
        <f>$AH560*tbl_Data[[#This Row],[2027 ]]</f>
        <v>2.3697180137374378E-4</v>
      </c>
      <c r="AL560" s="77">
        <f>$AH560*tbl_Data[[#This Row],[2028 ]]</f>
        <v>3.0635418749928498E-4</v>
      </c>
      <c r="AM560" s="77">
        <f>$AH560*tbl_Data[[#This Row],[2029 ]]</f>
        <v>3.7084795992137378E-4</v>
      </c>
      <c r="AN560" s="77">
        <f>$AH560*tbl_Data[[#This Row],[2030 ]]</f>
        <v>4.3046504068579007E-4</v>
      </c>
      <c r="AO560" s="77">
        <f>$AH560*tbl_Data[[#This Row],[2031 ]]</f>
        <v>4.8533077303030135E-4</v>
      </c>
      <c r="AP560" s="77">
        <f>$AH560*tbl_Data[[#This Row],[2032 ]]</f>
        <v>5.3571940943795342E-4</v>
      </c>
      <c r="AQ560" s="77">
        <f>$AH560*tbl_Data[[#This Row],[2033 ]]</f>
        <v>5.8195307533676869E-4</v>
      </c>
      <c r="AR560" s="77">
        <f>$AH560*tbl_Data[[#This Row],[2034 ]]</f>
        <v>6.2428490241384549E-4</v>
      </c>
      <c r="AS560" s="77">
        <f>SUM(tbl_Data[[#This Row],[Adjusted 2025]:[Adjusted 2034]])</f>
        <v>3.8180357367108039E-3</v>
      </c>
      <c r="AT560" s="80">
        <f>AVERAGEIFS('3. Incentive Adjustment'!F:F,'3. Incentive Adjustment'!A:A,tbl_Data[[#This Row],[Trimmed Sector]],'3. Incentive Adjustment'!B:B,tbl_Data[[#This Row],[Trimmed Measure Name]])</f>
        <v>1244.9532966663394</v>
      </c>
      <c r="AU560" s="80">
        <f>IFERROR(VLOOKUP(tbl_Data[[#This Row],[All_Meas_Name_Append]],'IRA Tax Credits'!$A$3:$D$46,4,0),0)</f>
        <v>250</v>
      </c>
      <c r="AV560" s="81">
        <f>tbl_Data[[#This Row],[Adj. per unit Incentive ($)]]/tbl_Data[[#This Row],[kWh Savings]]*tbl_Data[[#This Row],[Sum of Annuals]]</f>
        <v>1.9740608161494502E-3</v>
      </c>
      <c r="AW560" s="81" t="str">
        <f>IFERROR(VLOOKUP(tbl_Data[[#This Row],[Column1]],'1. Set Program Names'!$B$2:$D$15,3,0)*tbl_Data[[#This Row],[Sum of Annuals]],"")</f>
        <v/>
      </c>
      <c r="AX560" s="81">
        <f>tbl_Data[[#This Row],[per unit IRA tax ($)]]/tbl_Data[[#This Row],[kWh Savings]]*tbl_Data[[#This Row],[Sum of Annuals]]</f>
        <v>3.9641262476180247E-4</v>
      </c>
      <c r="AY560" s="81">
        <f>tbl_Data[[#This Row],[Avoided Costs ($/unit)]]/tbl_Data[[#This Row],[kWh Savings]]*tbl_Data[[#This Row],[Sum of Annuals]]</f>
        <v>2.1639539572080638E-3</v>
      </c>
      <c r="AZ560" s="81">
        <f>tbl_Data[[#This Row],[Lost Revenue ($/unit)]]/tbl_Data[[#This Row],[kWh Savings]]*tbl_Data[[#This Row],[Sum of Annuals]]</f>
        <v>4.9000605842702315E-3</v>
      </c>
      <c r="BA560" s="81">
        <f>tbl_Data[[#This Row],[Incremental Cost ($/unit)]]/tbl_Data[[#This Row],[kWh Savings]]*tbl_Data[[#This Row],[Sum of Annuals]]</f>
        <v>2.02803304965844E-3</v>
      </c>
      <c r="BB560" s="77">
        <f>ROUNDUP(tbl_Data[[#This Row],[Adjusted 2025]]/$L560,0)</f>
        <v>1</v>
      </c>
      <c r="BC560" s="77">
        <f>ROUNDUP(tbl_Data[[#This Row],[Adjusted 2026]]/$L560,0)</f>
        <v>1</v>
      </c>
      <c r="BD560" s="77">
        <f>ROUNDUP(tbl_Data[[#This Row],[Adjusted 2027]]/$L560,0)</f>
        <v>1</v>
      </c>
      <c r="BE560" s="77">
        <f>ROUNDUP(tbl_Data[[#This Row],[Adjusted 2028]]/$L560,0)</f>
        <v>1</v>
      </c>
      <c r="BF560" s="77">
        <f>ROUNDUP(tbl_Data[[#This Row],[Adjusted 2029]]/$L560,0)</f>
        <v>1</v>
      </c>
      <c r="BG560" s="77">
        <f>ROUNDUP(tbl_Data[[#This Row],[Adjusted 2030]]/$L560,0)</f>
        <v>1</v>
      </c>
      <c r="BH560" s="77">
        <f>ROUNDUP(tbl_Data[[#This Row],[Adjusted 2031]]/$L560,0)</f>
        <v>1</v>
      </c>
      <c r="BI560" s="77">
        <f>ROUNDUP(tbl_Data[[#This Row],[Adjusted 2032]]/$L560,0)</f>
        <v>1</v>
      </c>
      <c r="BJ560" s="77">
        <f>ROUNDUP(tbl_Data[[#This Row],[Adjusted 2033]]/$L560,0)</f>
        <v>1</v>
      </c>
      <c r="BK560" s="77">
        <f>ROUNDUP(tbl_Data[[#This Row],[Adjusted 2034]]/$L560,0)</f>
        <v>1</v>
      </c>
      <c r="BL560" s="80">
        <f t="shared" si="221"/>
        <v>0.23479041050731092</v>
      </c>
      <c r="BM560" s="80">
        <f t="shared" si="222"/>
        <v>0.45772775996540055</v>
      </c>
      <c r="BN560" s="80">
        <f t="shared" si="223"/>
        <v>0.66680842116710848</v>
      </c>
      <c r="BO560" s="80">
        <f t="shared" si="224"/>
        <v>0.86204160537290198</v>
      </c>
      <c r="BP560" s="80">
        <f t="shared" si="225"/>
        <v>1.0435188542041156</v>
      </c>
      <c r="BQ560" s="80">
        <f t="shared" si="226"/>
        <v>1.2112737147768091</v>
      </c>
      <c r="BR560" s="80">
        <f t="shared" si="227"/>
        <v>1.3656588869733957</v>
      </c>
      <c r="BS560" s="80">
        <f t="shared" si="228"/>
        <v>1.5074460822977787</v>
      </c>
      <c r="BT560" s="80">
        <f t="shared" si="229"/>
        <v>1.6375417206143992</v>
      </c>
      <c r="BU560" s="80">
        <f t="shared" si="230"/>
        <v>1.7566580822015134</v>
      </c>
      <c r="BV560" s="80" t="str">
        <f>IFERROR(VLOOKUP($H560,'1. Set Program Names'!$B$2:$D$15,3,0)*V560,"NA")</f>
        <v>NA</v>
      </c>
      <c r="BW560" s="80" t="str">
        <f>IFERROR(VLOOKUP($H560,'1. Set Program Names'!$B$2:$D$15,3,0)*W560,"NA")</f>
        <v>NA</v>
      </c>
      <c r="BX560" s="80" t="str">
        <f>IFERROR(VLOOKUP($H560,'1. Set Program Names'!$B$2:$D$15,3,0)*X560,"NA")</f>
        <v>NA</v>
      </c>
      <c r="BY560" s="80" t="str">
        <f>IFERROR(VLOOKUP($H560,'1. Set Program Names'!$B$2:$D$15,3,0)*Y560,"NA")</f>
        <v>NA</v>
      </c>
      <c r="BZ560" s="80" t="str">
        <f>IFERROR(VLOOKUP($H560,'1. Set Program Names'!$B$2:$D$15,3,0)*Z560,"NA")</f>
        <v>NA</v>
      </c>
      <c r="CA560" s="80" t="str">
        <f>IFERROR(VLOOKUP($H560,'1. Set Program Names'!$B$2:$D$15,3,0)*AA560,"NA")</f>
        <v>NA</v>
      </c>
      <c r="CB560" s="80" t="str">
        <f>IFERROR(VLOOKUP($H560,'1. Set Program Names'!$B$2:$D$15,3,0)*AB560,"NA")</f>
        <v>NA</v>
      </c>
      <c r="CC560" s="80" t="str">
        <f>IFERROR(VLOOKUP($H560,'1. Set Program Names'!$B$2:$D$15,3,0)*AC560,"NA")</f>
        <v>NA</v>
      </c>
      <c r="CD560" s="80" t="str">
        <f>IFERROR(VLOOKUP($H560,'1. Set Program Names'!$B$2:$D$15,3,0)*AD560,"NA")</f>
        <v>NA</v>
      </c>
      <c r="CE560" s="80" t="str">
        <f>IFERROR(VLOOKUP($H560,'1. Set Program Names'!$B$2:$D$15,3,0)*AE560,"NA")</f>
        <v>NA</v>
      </c>
    </row>
    <row r="561" spans="1:83" x14ac:dyDescent="0.25">
      <c r="A561" s="79" t="s">
        <v>117</v>
      </c>
      <c r="B561" s="79" t="s">
        <v>88</v>
      </c>
      <c r="C561" s="79" t="s">
        <v>122</v>
      </c>
      <c r="D561" s="79" t="s">
        <v>90</v>
      </c>
      <c r="E561" s="79" t="s">
        <v>91</v>
      </c>
      <c r="F561" s="79" t="s">
        <v>90</v>
      </c>
      <c r="G561" s="79" t="s">
        <v>92</v>
      </c>
      <c r="H561" s="79" t="s">
        <v>20</v>
      </c>
      <c r="I561" s="79" t="s">
        <v>143</v>
      </c>
      <c r="J561" s="79" t="s">
        <v>144</v>
      </c>
      <c r="K561" s="79" t="s">
        <v>108</v>
      </c>
      <c r="L561" s="79">
        <v>6670.6049999999896</v>
      </c>
      <c r="M561" s="79">
        <v>1.04667148638823</v>
      </c>
      <c r="N561" s="79">
        <v>1.5598507965563999</v>
      </c>
      <c r="O561" s="79">
        <v>2431.625</v>
      </c>
      <c r="P561" s="79">
        <v>977.24379425036398</v>
      </c>
      <c r="Q561" s="79">
        <v>400.23629999999901</v>
      </c>
      <c r="R561" s="79">
        <v>3400.8076679878</v>
      </c>
      <c r="S561" s="79">
        <v>7245.0779694633802</v>
      </c>
      <c r="T561" s="79">
        <v>15</v>
      </c>
      <c r="U561" s="79">
        <v>0.05</v>
      </c>
      <c r="V561" s="79">
        <f>tbl_Data_old[[#This Row],[2025 ]]*IFERROR(AVERAGEIFS('Participation Adjustment'!$C:$C,'Participation Adjustment'!$A:$A,$H561,'Participation Adjustment'!$B:$B,$I561),1)</f>
        <v>0.39585372060026702</v>
      </c>
      <c r="W561" s="79">
        <f>tbl_Data_old[[#This Row],[2026 ]]*IFERROR(AVERAGEIFS('Participation Adjustment'!$C:$C,'Participation Adjustment'!$A:$A,$H561,'Participation Adjustment'!$B:$B,$I561),1)</f>
        <v>0.83116306151873598</v>
      </c>
      <c r="X561" s="79">
        <f>tbl_Data_old[[#This Row],[2027 ]]*IFERROR(AVERAGEIFS('Participation Adjustment'!$C:$C,'Participation Adjustment'!$A:$A,$H561,'Participation Adjustment'!$B:$B,$I561),1)</f>
        <v>1.29871029189307</v>
      </c>
      <c r="Y561" s="79">
        <f>tbl_Data_old[[#This Row],[2028 ]]*IFERROR(AVERAGEIFS('Participation Adjustment'!$C:$C,'Participation Adjustment'!$A:$A,$H561,'Participation Adjustment'!$B:$B,$I561),1)</f>
        <v>1.7943062199794799</v>
      </c>
      <c r="Z561" s="79">
        <f>tbl_Data_old[[#This Row],[2029 ]]*IFERROR(AVERAGEIFS('Participation Adjustment'!$C:$C,'Participation Adjustment'!$A:$A,$H561,'Participation Adjustment'!$B:$B,$I561),1)</f>
        <v>2.3139028253402398</v>
      </c>
      <c r="AA561" s="79">
        <f>tbl_Data_old[[#This Row],[2030 ]]*IFERROR(AVERAGEIFS('Participation Adjustment'!$C:$C,'Participation Adjustment'!$A:$A,$H561,'Participation Adjustment'!$B:$B,$I561),1)</f>
        <v>2.8532597712744598</v>
      </c>
      <c r="AB561" s="79">
        <f>tbl_Data_old[[#This Row],[2031 ]]*IFERROR(AVERAGEIFS('Participation Adjustment'!$C:$C,'Participation Adjustment'!$A:$A,$H561,'Participation Adjustment'!$B:$B,$I561),1)</f>
        <v>3.4088726491584098</v>
      </c>
      <c r="AC561" s="79">
        <f>tbl_Data_old[[#This Row],[2032 ]]*IFERROR(AVERAGEIFS('Participation Adjustment'!$C:$C,'Participation Adjustment'!$A:$A,$H561,'Participation Adjustment'!$B:$B,$I561),1)</f>
        <v>3.9787909686393399</v>
      </c>
      <c r="AD561" s="79">
        <f>tbl_Data_old[[#This Row],[2033 ]]*IFERROR(AVERAGEIFS('Participation Adjustment'!$C:$C,'Participation Adjustment'!$A:$A,$H561,'Participation Adjustment'!$B:$B,$I561),1)</f>
        <v>4.56152522729883</v>
      </c>
      <c r="AE561" s="79">
        <f>tbl_Data_old[[#This Row],[2034 ]]*IFERROR(AVERAGEIFS('Participation Adjustment'!$C:$C,'Participation Adjustment'!$A:$A,$H561,'Participation Adjustment'!$B:$B,$I561),1)</f>
        <v>5.15526293226897</v>
      </c>
      <c r="AF561" s="77" t="str">
        <f t="shared" si="220"/>
        <v>NonResidential</v>
      </c>
      <c r="AG561" s="77" t="str">
        <f>tbl_Data[[#This Row],[All_Meas_Name_Append]]</f>
        <v>Heat Pump Water Heater</v>
      </c>
      <c r="AH561" s="77">
        <f>AVERAGEIFS('3. Incentive Adjustment'!G:G,'3. Incentive Adjustment'!A:A,tbl_Data[[#This Row],[Trimmed Sector]],'3. Incentive Adjustment'!B:B,tbl_Data[[#This Row],[Trimmed Measure Name]])</f>
        <v>0.82797588322898052</v>
      </c>
      <c r="AI561" s="77">
        <f>$AH561*tbl_Data[[#This Row],[2025 ]]</f>
        <v>0.32775733394348416</v>
      </c>
      <c r="AJ561" s="77">
        <f>$AH561*tbl_Data[[#This Row],[2026 ]]</f>
        <v>0.68818296996827888</v>
      </c>
      <c r="AK561" s="77">
        <f>$AH561*tbl_Data[[#This Row],[2027 ]]</f>
        <v>1.0753008009887317</v>
      </c>
      <c r="AL561" s="77">
        <f>$AH561*tbl_Data[[#This Row],[2028 ]]</f>
        <v>1.4856422772707634</v>
      </c>
      <c r="AM561" s="77">
        <f>$AH561*tbl_Data[[#This Row],[2029 ]]</f>
        <v>1.9158557355171186</v>
      </c>
      <c r="AN561" s="77">
        <f>$AH561*tbl_Data[[#This Row],[2030 ]]</f>
        <v>2.3624302792026897</v>
      </c>
      <c r="AO561" s="77">
        <f>$AH561*tbl_Data[[#This Row],[2031 ]]</f>
        <v>2.822464342502049</v>
      </c>
      <c r="AP561" s="77">
        <f>$AH561*tbl_Data[[#This Row],[2032 ]]</f>
        <v>3.2943429664426485</v>
      </c>
      <c r="AQ561" s="77">
        <f>$AH561*tbl_Data[[#This Row],[2033 ]]</f>
        <v>3.7768328789440249</v>
      </c>
      <c r="AR561" s="77">
        <f>$AH561*tbl_Data[[#This Row],[2034 ]]</f>
        <v>4.2684333796230245</v>
      </c>
      <c r="AS561" s="77">
        <f>SUM(tbl_Data[[#This Row],[Adjusted 2025]:[Adjusted 2034]])</f>
        <v>22.017242964402811</v>
      </c>
      <c r="AT561" s="80">
        <f>AVERAGEIFS('3. Incentive Adjustment'!F:F,'3. Incentive Adjustment'!A:A,tbl_Data[[#This Row],[Trimmed Sector]],'3. Incentive Adjustment'!B:B,tbl_Data[[#This Row],[Trimmed Measure Name]])</f>
        <v>500</v>
      </c>
      <c r="AU561" s="80">
        <f>IFERROR(VLOOKUP(tbl_Data[[#This Row],[All_Meas_Name_Append]],'IRA Tax Credits'!$A$3:$D$46,4,0),0)</f>
        <v>0</v>
      </c>
      <c r="AV561" s="81">
        <f>tbl_Data[[#This Row],[Adj. per unit Incentive ($)]]/tbl_Data[[#This Row],[kWh Savings]]*tbl_Data[[#This Row],[Sum of Annuals]]</f>
        <v>1.650318296796381</v>
      </c>
      <c r="AW561" s="81" t="str">
        <f>IFERROR(VLOOKUP(tbl_Data[[#This Row],[Column1]],'1. Set Program Names'!$B$2:$D$15,3,0)*tbl_Data[[#This Row],[Sum of Annuals]],"")</f>
        <v/>
      </c>
      <c r="AX561" s="81">
        <f>tbl_Data[[#This Row],[per unit IRA tax ($)]]/tbl_Data[[#This Row],[kWh Savings]]*tbl_Data[[#This Row],[Sum of Annuals]]</f>
        <v>0</v>
      </c>
      <c r="AY561" s="81">
        <f>tbl_Data[[#This Row],[Avoided Costs ($/unit)]]/tbl_Data[[#This Row],[kWh Savings]]*tbl_Data[[#This Row],[Sum of Annuals]]</f>
        <v>11.224830236731396</v>
      </c>
      <c r="AZ561" s="81">
        <f>tbl_Data[[#This Row],[Lost Revenue ($/unit)]]/tbl_Data[[#This Row],[kWh Savings]]*tbl_Data[[#This Row],[Sum of Annuals]]</f>
        <v>23.913369469443577</v>
      </c>
      <c r="BA561" s="81">
        <f>tbl_Data[[#This Row],[Incremental Cost ($/unit)]]/tbl_Data[[#This Row],[kWh Savings]]*tbl_Data[[#This Row],[Sum of Annuals]]</f>
        <v>8.0259104568949997</v>
      </c>
      <c r="BB561" s="77">
        <f>ROUNDUP(tbl_Data[[#This Row],[Adjusted 2025]]/$L561,0)</f>
        <v>1</v>
      </c>
      <c r="BC561" s="77">
        <f>ROUNDUP(tbl_Data[[#This Row],[Adjusted 2026]]/$L561,0)</f>
        <v>1</v>
      </c>
      <c r="BD561" s="77">
        <f>ROUNDUP(tbl_Data[[#This Row],[Adjusted 2027]]/$L561,0)</f>
        <v>1</v>
      </c>
      <c r="BE561" s="77">
        <f>ROUNDUP(tbl_Data[[#This Row],[Adjusted 2028]]/$L561,0)</f>
        <v>1</v>
      </c>
      <c r="BF561" s="77">
        <f>ROUNDUP(tbl_Data[[#This Row],[Adjusted 2029]]/$L561,0)</f>
        <v>1</v>
      </c>
      <c r="BG561" s="77">
        <f>ROUNDUP(tbl_Data[[#This Row],[Adjusted 2030]]/$L561,0)</f>
        <v>1</v>
      </c>
      <c r="BH561" s="77">
        <f>ROUNDUP(tbl_Data[[#This Row],[Adjusted 2031]]/$L561,0)</f>
        <v>1</v>
      </c>
      <c r="BI561" s="77">
        <f>ROUNDUP(tbl_Data[[#This Row],[Adjusted 2032]]/$L561,0)</f>
        <v>1</v>
      </c>
      <c r="BJ561" s="77">
        <f>ROUNDUP(tbl_Data[[#This Row],[Adjusted 2033]]/$L561,0)</f>
        <v>1</v>
      </c>
      <c r="BK561" s="77">
        <f>ROUNDUP(tbl_Data[[#This Row],[Adjusted 2034]]/$L561,0)</f>
        <v>1</v>
      </c>
      <c r="BL561" s="80">
        <f t="shared" si="221"/>
        <v>2.9671500606037057E-2</v>
      </c>
      <c r="BM561" s="80">
        <f t="shared" si="222"/>
        <v>6.2300425637459973E-2</v>
      </c>
      <c r="BN561" s="80">
        <f t="shared" si="223"/>
        <v>9.7345764881376737E-2</v>
      </c>
      <c r="BO561" s="80">
        <f t="shared" si="224"/>
        <v>0.13449351445479704</v>
      </c>
      <c r="BP561" s="80">
        <f t="shared" si="225"/>
        <v>0.17344025207160696</v>
      </c>
      <c r="BQ561" s="80">
        <f t="shared" si="226"/>
        <v>0.21386814024173703</v>
      </c>
      <c r="BR561" s="80">
        <f t="shared" si="227"/>
        <v>0.25551450349394211</v>
      </c>
      <c r="BS561" s="80">
        <f t="shared" si="228"/>
        <v>0.29823314141965729</v>
      </c>
      <c r="BT561" s="80">
        <f t="shared" si="229"/>
        <v>0.34191240729280459</v>
      </c>
      <c r="BU561" s="80">
        <f t="shared" si="230"/>
        <v>0.38641644440564077</v>
      </c>
      <c r="BV561" s="80" t="str">
        <f>IFERROR(VLOOKUP($H561,'1. Set Program Names'!$B$2:$D$15,3,0)*V561,"NA")</f>
        <v>NA</v>
      </c>
      <c r="BW561" s="80" t="str">
        <f>IFERROR(VLOOKUP($H561,'1. Set Program Names'!$B$2:$D$15,3,0)*W561,"NA")</f>
        <v>NA</v>
      </c>
      <c r="BX561" s="80" t="str">
        <f>IFERROR(VLOOKUP($H561,'1. Set Program Names'!$B$2:$D$15,3,0)*X561,"NA")</f>
        <v>NA</v>
      </c>
      <c r="BY561" s="80" t="str">
        <f>IFERROR(VLOOKUP($H561,'1. Set Program Names'!$B$2:$D$15,3,0)*Y561,"NA")</f>
        <v>NA</v>
      </c>
      <c r="BZ561" s="80" t="str">
        <f>IFERROR(VLOOKUP($H561,'1. Set Program Names'!$B$2:$D$15,3,0)*Z561,"NA")</f>
        <v>NA</v>
      </c>
      <c r="CA561" s="80" t="str">
        <f>IFERROR(VLOOKUP($H561,'1. Set Program Names'!$B$2:$D$15,3,0)*AA561,"NA")</f>
        <v>NA</v>
      </c>
      <c r="CB561" s="80" t="str">
        <f>IFERROR(VLOOKUP($H561,'1. Set Program Names'!$B$2:$D$15,3,0)*AB561,"NA")</f>
        <v>NA</v>
      </c>
      <c r="CC561" s="80" t="str">
        <f>IFERROR(VLOOKUP($H561,'1. Set Program Names'!$B$2:$D$15,3,0)*AC561,"NA")</f>
        <v>NA</v>
      </c>
      <c r="CD561" s="80" t="str">
        <f>IFERROR(VLOOKUP($H561,'1. Set Program Names'!$B$2:$D$15,3,0)*AD561,"NA")</f>
        <v>NA</v>
      </c>
      <c r="CE561" s="80" t="str">
        <f>IFERROR(VLOOKUP($H561,'1. Set Program Names'!$B$2:$D$15,3,0)*AE561,"NA")</f>
        <v>NA</v>
      </c>
    </row>
    <row r="562" spans="1:83" x14ac:dyDescent="0.25">
      <c r="A562" s="79" t="s">
        <v>117</v>
      </c>
      <c r="B562" s="79" t="s">
        <v>88</v>
      </c>
      <c r="C562" s="79" t="s">
        <v>122</v>
      </c>
      <c r="D562" s="79" t="s">
        <v>90</v>
      </c>
      <c r="E562" s="79" t="s">
        <v>91</v>
      </c>
      <c r="F562" s="79" t="s">
        <v>90</v>
      </c>
      <c r="G562" s="79" t="s">
        <v>92</v>
      </c>
      <c r="H562" s="79" t="s">
        <v>20</v>
      </c>
      <c r="I562" s="79" t="s">
        <v>145</v>
      </c>
      <c r="J562" s="79" t="s">
        <v>129</v>
      </c>
      <c r="K562" s="79" t="s">
        <v>98</v>
      </c>
      <c r="L562" s="79">
        <v>1452.1399999999801</v>
      </c>
      <c r="M562" s="79">
        <v>0.33467704377742202</v>
      </c>
      <c r="N562" s="79">
        <v>4.3977319526113799E-2</v>
      </c>
      <c r="O562" s="79">
        <v>654.99999999999898</v>
      </c>
      <c r="P562" s="79">
        <v>358.56061649158102</v>
      </c>
      <c r="Q562" s="79">
        <v>87.128399999999303</v>
      </c>
      <c r="R562" s="79">
        <v>761.15206993055403</v>
      </c>
      <c r="S562" s="79">
        <v>1577.19839843259</v>
      </c>
      <c r="T562" s="79">
        <v>15</v>
      </c>
      <c r="U562" s="79">
        <v>0.05</v>
      </c>
      <c r="V562" s="79">
        <f>tbl_Data_old[[#This Row],[2025 ]]*IFERROR(AVERAGEIFS('Participation Adjustment'!$C:$C,'Participation Adjustment'!$A:$A,$H562,'Participation Adjustment'!$B:$B,$I562),1)</f>
        <v>2.55646899125332E-3</v>
      </c>
      <c r="W562" s="79">
        <f>tbl_Data_old[[#This Row],[2026 ]]*IFERROR(AVERAGEIFS('Participation Adjustment'!$C:$C,'Participation Adjustment'!$A:$A,$H562,'Participation Adjustment'!$B:$B,$I562),1)</f>
        <v>5.37679401241236E-3</v>
      </c>
      <c r="X562" s="79">
        <f>tbl_Data_old[[#This Row],[2027 ]]*IFERROR(AVERAGEIFS('Participation Adjustment'!$C:$C,'Participation Adjustment'!$A:$A,$H562,'Participation Adjustment'!$B:$B,$I562),1)</f>
        <v>8.4193766082888196E-3</v>
      </c>
      <c r="Y562" s="79">
        <f>tbl_Data_old[[#This Row],[2028 ]]*IFERROR(AVERAGEIFS('Participation Adjustment'!$C:$C,'Participation Adjustment'!$A:$A,$H562,'Participation Adjustment'!$B:$B,$I562),1)</f>
        <v>1.1659353987913301E-2</v>
      </c>
      <c r="Z562" s="79">
        <f>tbl_Data_old[[#This Row],[2029 ]]*IFERROR(AVERAGEIFS('Participation Adjustment'!$C:$C,'Participation Adjustment'!$A:$A,$H562,'Participation Adjustment'!$B:$B,$I562),1)</f>
        <v>1.50710001457282E-2</v>
      </c>
      <c r="AA562" s="79">
        <f>tbl_Data_old[[#This Row],[2030 ]]*IFERROR(AVERAGEIFS('Participation Adjustment'!$C:$C,'Participation Adjustment'!$A:$A,$H562,'Participation Adjustment'!$B:$B,$I562),1)</f>
        <v>1.86282870290474E-2</v>
      </c>
      <c r="AB562" s="79">
        <f>tbl_Data_old[[#This Row],[2031 ]]*IFERROR(AVERAGEIFS('Participation Adjustment'!$C:$C,'Participation Adjustment'!$A:$A,$H562,'Participation Adjustment'!$B:$B,$I562),1)</f>
        <v>2.2308145746920999E-2</v>
      </c>
      <c r="AC562" s="79">
        <f>tbl_Data_old[[#This Row],[2032 ]]*IFERROR(AVERAGEIFS('Participation Adjustment'!$C:$C,'Participation Adjustment'!$A:$A,$H562,'Participation Adjustment'!$B:$B,$I562),1)</f>
        <v>2.6097775728576401E-2</v>
      </c>
      <c r="AD562" s="79">
        <f>tbl_Data_old[[#This Row],[2033 ]]*IFERROR(AVERAGEIFS('Participation Adjustment'!$C:$C,'Participation Adjustment'!$A:$A,$H562,'Participation Adjustment'!$B:$B,$I562),1)</f>
        <v>2.9989297168007498E-2</v>
      </c>
      <c r="AE562" s="79">
        <f>tbl_Data_old[[#This Row],[2034 ]]*IFERROR(AVERAGEIFS('Participation Adjustment'!$C:$C,'Participation Adjustment'!$A:$A,$H562,'Participation Adjustment'!$B:$B,$I562),1)</f>
        <v>3.3970497137326298E-2</v>
      </c>
      <c r="AF562" s="77" t="str">
        <f t="shared" si="220"/>
        <v>NonResidential</v>
      </c>
      <c r="AG562" s="77" t="str">
        <f>tbl_Data[[#This Row],[All_Meas_Name_Append]]</f>
        <v>HE DX Less than 5.4 Tons Elect Heat</v>
      </c>
      <c r="AH562" s="77">
        <f>AVERAGEIFS('3. Incentive Adjustment'!G:G,'3. Incentive Adjustment'!A:A,tbl_Data[[#This Row],[Trimmed Sector]],'3. Incentive Adjustment'!B:B,tbl_Data[[#This Row],[Trimmed Measure Name]])</f>
        <v>0.74493198517309978</v>
      </c>
      <c r="AI562" s="77">
        <f>$AH562*tbl_Data[[#This Row],[2025 ]]</f>
        <v>1.9043955206878075E-3</v>
      </c>
      <c r="AJ562" s="77">
        <f>$AH562*tbl_Data[[#This Row],[2026 ]]</f>
        <v>4.0053458375331761E-3</v>
      </c>
      <c r="AK562" s="77">
        <f>$AH562*tbl_Data[[#This Row],[2027 ]]</f>
        <v>6.2718629307325496E-3</v>
      </c>
      <c r="AL562" s="77">
        <f>$AH562*tbl_Data[[#This Row],[2028 ]]</f>
        <v>8.6854257120521517E-3</v>
      </c>
      <c r="AM562" s="77">
        <f>$AH562*tbl_Data[[#This Row],[2029 ]]</f>
        <v>1.1226870057101384E-2</v>
      </c>
      <c r="AN562" s="77">
        <f>$AH562*tbl_Data[[#This Row],[2030 ]]</f>
        <v>1.3876806836922585E-2</v>
      </c>
      <c r="AO562" s="77">
        <f>$AH562*tbl_Data[[#This Row],[2031 ]]</f>
        <v>1.6618051296784703E-2</v>
      </c>
      <c r="AP562" s="77">
        <f>$AH562*tbl_Data[[#This Row],[2032 ]]</f>
        <v>1.9441067882090757E-2</v>
      </c>
      <c r="AQ562" s="77">
        <f>$AH562*tbl_Data[[#This Row],[2033 ]]</f>
        <v>2.2339986673309845E-2</v>
      </c>
      <c r="AR562" s="77">
        <f>$AH562*tbl_Data[[#This Row],[2034 ]]</f>
        <v>2.5305709869825582E-2</v>
      </c>
      <c r="AS562" s="77">
        <f>SUM(tbl_Data[[#This Row],[Adjusted 2025]:[Adjusted 2034]])</f>
        <v>0.12967552261704055</v>
      </c>
      <c r="AT562" s="80">
        <f>AVERAGEIFS('3. Incentive Adjustment'!F:F,'3. Incentive Adjustment'!A:A,tbl_Data[[#This Row],[Trimmed Sector]],'3. Incentive Adjustment'!B:B,tbl_Data[[#This Row],[Trimmed Measure Name]])</f>
        <v>196.49999999999969</v>
      </c>
      <c r="AU562" s="80">
        <f>IFERROR(VLOOKUP(tbl_Data[[#This Row],[All_Meas_Name_Append]],'IRA Tax Credits'!$A$3:$D$46,4,0),0)</f>
        <v>0</v>
      </c>
      <c r="AV562" s="81">
        <f>tbl_Data[[#This Row],[Adj. per unit Incentive ($)]]/tbl_Data[[#This Row],[kWh Savings]]*tbl_Data[[#This Row],[Sum of Annuals]]</f>
        <v>1.7547371599328423E-2</v>
      </c>
      <c r="AW562" s="81" t="str">
        <f>IFERROR(VLOOKUP(tbl_Data[[#This Row],[Column1]],'1. Set Program Names'!$B$2:$D$15,3,0)*tbl_Data[[#This Row],[Sum of Annuals]],"")</f>
        <v/>
      </c>
      <c r="AX562" s="81">
        <f>tbl_Data[[#This Row],[per unit IRA tax ($)]]/tbl_Data[[#This Row],[kWh Savings]]*tbl_Data[[#This Row],[Sum of Annuals]]</f>
        <v>0</v>
      </c>
      <c r="AY562" s="81">
        <f>tbl_Data[[#This Row],[Avoided Costs ($/unit)]]/tbl_Data[[#This Row],[kWh Savings]]*tbl_Data[[#This Row],[Sum of Annuals]]</f>
        <v>6.797057615607871E-2</v>
      </c>
      <c r="AZ562" s="81">
        <f>tbl_Data[[#This Row],[Lost Revenue ($/unit)]]/tbl_Data[[#This Row],[kWh Savings]]*tbl_Data[[#This Row],[Sum of Annuals]]</f>
        <v>0.14084318770057175</v>
      </c>
      <c r="BA562" s="81">
        <f>tbl_Data[[#This Row],[Incremental Cost ($/unit)]]/tbl_Data[[#This Row],[kWh Savings]]*tbl_Data[[#This Row],[Sum of Annuals]]</f>
        <v>5.8491238664428076E-2</v>
      </c>
      <c r="BB562" s="77">
        <f>ROUNDUP(tbl_Data[[#This Row],[Adjusted 2025]]/$L562,0)</f>
        <v>1</v>
      </c>
      <c r="BC562" s="77">
        <f>ROUNDUP(tbl_Data[[#This Row],[Adjusted 2026]]/$L562,0)</f>
        <v>1</v>
      </c>
      <c r="BD562" s="77">
        <f>ROUNDUP(tbl_Data[[#This Row],[Adjusted 2027]]/$L562,0)</f>
        <v>1</v>
      </c>
      <c r="BE562" s="77">
        <f>ROUNDUP(tbl_Data[[#This Row],[Adjusted 2028]]/$L562,0)</f>
        <v>1</v>
      </c>
      <c r="BF562" s="77">
        <f>ROUNDUP(tbl_Data[[#This Row],[Adjusted 2029]]/$L562,0)</f>
        <v>1</v>
      </c>
      <c r="BG562" s="77">
        <f>ROUNDUP(tbl_Data[[#This Row],[Adjusted 2030]]/$L562,0)</f>
        <v>1</v>
      </c>
      <c r="BH562" s="77">
        <f>ROUNDUP(tbl_Data[[#This Row],[Adjusted 2031]]/$L562,0)</f>
        <v>1</v>
      </c>
      <c r="BI562" s="77">
        <f>ROUNDUP(tbl_Data[[#This Row],[Adjusted 2032]]/$L562,0)</f>
        <v>1</v>
      </c>
      <c r="BJ562" s="77">
        <f>ROUNDUP(tbl_Data[[#This Row],[Adjusted 2033]]/$L562,0)</f>
        <v>1</v>
      </c>
      <c r="BK562" s="77">
        <f>ROUNDUP(tbl_Data[[#This Row],[Adjusted 2034]]/$L562,0)</f>
        <v>1</v>
      </c>
      <c r="BL562" s="80">
        <f t="shared" si="221"/>
        <v>3.4593507291396383E-4</v>
      </c>
      <c r="BM562" s="80">
        <f t="shared" si="222"/>
        <v>7.2757449243119915E-4</v>
      </c>
      <c r="BN562" s="80">
        <f t="shared" si="223"/>
        <v>1.1392892582869235E-3</v>
      </c>
      <c r="BO562" s="80">
        <f t="shared" si="224"/>
        <v>1.5777149989842517E-3</v>
      </c>
      <c r="BP562" s="80">
        <f t="shared" si="225"/>
        <v>2.0393705349591824E-3</v>
      </c>
      <c r="BQ562" s="80">
        <f t="shared" si="226"/>
        <v>2.5207338143759268E-3</v>
      </c>
      <c r="BR562" s="80">
        <f t="shared" si="227"/>
        <v>3.0186832118597579E-3</v>
      </c>
      <c r="BS562" s="80">
        <f t="shared" si="228"/>
        <v>3.5314865857736339E-3</v>
      </c>
      <c r="BT562" s="80">
        <f t="shared" si="229"/>
        <v>4.0580776602211523E-3</v>
      </c>
      <c r="BU562" s="80">
        <f t="shared" si="230"/>
        <v>4.5968038119497418E-3</v>
      </c>
      <c r="BV562" s="80" t="str">
        <f>IFERROR(VLOOKUP($H562,'1. Set Program Names'!$B$2:$D$15,3,0)*V562,"NA")</f>
        <v>NA</v>
      </c>
      <c r="BW562" s="80" t="str">
        <f>IFERROR(VLOOKUP($H562,'1. Set Program Names'!$B$2:$D$15,3,0)*W562,"NA")</f>
        <v>NA</v>
      </c>
      <c r="BX562" s="80" t="str">
        <f>IFERROR(VLOOKUP($H562,'1. Set Program Names'!$B$2:$D$15,3,0)*X562,"NA")</f>
        <v>NA</v>
      </c>
      <c r="BY562" s="80" t="str">
        <f>IFERROR(VLOOKUP($H562,'1. Set Program Names'!$B$2:$D$15,3,0)*Y562,"NA")</f>
        <v>NA</v>
      </c>
      <c r="BZ562" s="80" t="str">
        <f>IFERROR(VLOOKUP($H562,'1. Set Program Names'!$B$2:$D$15,3,0)*Z562,"NA")</f>
        <v>NA</v>
      </c>
      <c r="CA562" s="80" t="str">
        <f>IFERROR(VLOOKUP($H562,'1. Set Program Names'!$B$2:$D$15,3,0)*AA562,"NA")</f>
        <v>NA</v>
      </c>
      <c r="CB562" s="80" t="str">
        <f>IFERROR(VLOOKUP($H562,'1. Set Program Names'!$B$2:$D$15,3,0)*AB562,"NA")</f>
        <v>NA</v>
      </c>
      <c r="CC562" s="80" t="str">
        <f>IFERROR(VLOOKUP($H562,'1. Set Program Names'!$B$2:$D$15,3,0)*AC562,"NA")</f>
        <v>NA</v>
      </c>
      <c r="CD562" s="80" t="str">
        <f>IFERROR(VLOOKUP($H562,'1. Set Program Names'!$B$2:$D$15,3,0)*AD562,"NA")</f>
        <v>NA</v>
      </c>
      <c r="CE562" s="80" t="str">
        <f>IFERROR(VLOOKUP($H562,'1. Set Program Names'!$B$2:$D$15,3,0)*AE562,"NA")</f>
        <v>NA</v>
      </c>
    </row>
    <row r="563" spans="1:83" x14ac:dyDescent="0.25">
      <c r="A563" s="79" t="s">
        <v>117</v>
      </c>
      <c r="B563" s="79" t="s">
        <v>88</v>
      </c>
      <c r="C563" s="79" t="s">
        <v>122</v>
      </c>
      <c r="D563" s="79" t="s">
        <v>90</v>
      </c>
      <c r="E563" s="79" t="s">
        <v>91</v>
      </c>
      <c r="F563" s="79" t="s">
        <v>90</v>
      </c>
      <c r="G563" s="79" t="s">
        <v>92</v>
      </c>
      <c r="H563" s="79" t="s">
        <v>20</v>
      </c>
      <c r="I563" s="79" t="s">
        <v>154</v>
      </c>
      <c r="J563" s="79" t="s">
        <v>129</v>
      </c>
      <c r="K563" s="79" t="s">
        <v>102</v>
      </c>
      <c r="L563" s="79">
        <v>111105.09249999899</v>
      </c>
      <c r="M563" s="79">
        <v>30.6532165911823</v>
      </c>
      <c r="N563" s="79">
        <v>0</v>
      </c>
      <c r="O563" s="79">
        <v>40257.675000000003</v>
      </c>
      <c r="P563" s="79">
        <v>17605.607636663401</v>
      </c>
      <c r="Q563" s="79">
        <v>6666.30554999998</v>
      </c>
      <c r="R563" s="79">
        <v>56706.982631731698</v>
      </c>
      <c r="S563" s="79">
        <v>120673.47084214</v>
      </c>
      <c r="T563" s="79">
        <v>15</v>
      </c>
      <c r="U563" s="79">
        <v>0.05</v>
      </c>
      <c r="V563" s="79">
        <f>tbl_Data_old[[#This Row],[2025 ]]*IFERROR(AVERAGEIFS('Participation Adjustment'!$C:$C,'Participation Adjustment'!$A:$A,$H563,'Participation Adjustment'!$B:$B,$I563),1)</f>
        <v>0</v>
      </c>
      <c r="W563" s="79">
        <f>tbl_Data_old[[#This Row],[2026 ]]*IFERROR(AVERAGEIFS('Participation Adjustment'!$C:$C,'Participation Adjustment'!$A:$A,$H563,'Participation Adjustment'!$B:$B,$I563),1)</f>
        <v>0</v>
      </c>
      <c r="X563" s="79">
        <f>tbl_Data_old[[#This Row],[2027 ]]*IFERROR(AVERAGEIFS('Participation Adjustment'!$C:$C,'Participation Adjustment'!$A:$A,$H563,'Participation Adjustment'!$B:$B,$I563),1)</f>
        <v>0</v>
      </c>
      <c r="Y563" s="79">
        <f>tbl_Data_old[[#This Row],[2028 ]]*IFERROR(AVERAGEIFS('Participation Adjustment'!$C:$C,'Participation Adjustment'!$A:$A,$H563,'Participation Adjustment'!$B:$B,$I563),1)</f>
        <v>0</v>
      </c>
      <c r="Z563" s="79">
        <f>tbl_Data_old[[#This Row],[2029 ]]*IFERROR(AVERAGEIFS('Participation Adjustment'!$C:$C,'Participation Adjustment'!$A:$A,$H563,'Participation Adjustment'!$B:$B,$I563),1)</f>
        <v>0</v>
      </c>
      <c r="AA563" s="79">
        <f>tbl_Data_old[[#This Row],[2030 ]]*IFERROR(AVERAGEIFS('Participation Adjustment'!$C:$C,'Participation Adjustment'!$A:$A,$H563,'Participation Adjustment'!$B:$B,$I563),1)</f>
        <v>0</v>
      </c>
      <c r="AB563" s="79">
        <f>tbl_Data_old[[#This Row],[2031 ]]*IFERROR(AVERAGEIFS('Participation Adjustment'!$C:$C,'Participation Adjustment'!$A:$A,$H563,'Participation Adjustment'!$B:$B,$I563),1)</f>
        <v>0</v>
      </c>
      <c r="AC563" s="79">
        <f>tbl_Data_old[[#This Row],[2032 ]]*IFERROR(AVERAGEIFS('Participation Adjustment'!$C:$C,'Participation Adjustment'!$A:$A,$H563,'Participation Adjustment'!$B:$B,$I563),1)</f>
        <v>0</v>
      </c>
      <c r="AD563" s="79">
        <f>tbl_Data_old[[#This Row],[2033 ]]*IFERROR(AVERAGEIFS('Participation Adjustment'!$C:$C,'Participation Adjustment'!$A:$A,$H563,'Participation Adjustment'!$B:$B,$I563),1)</f>
        <v>0</v>
      </c>
      <c r="AE563" s="79">
        <f>tbl_Data_old[[#This Row],[2034 ]]*IFERROR(AVERAGEIFS('Participation Adjustment'!$C:$C,'Participation Adjustment'!$A:$A,$H563,'Participation Adjustment'!$B:$B,$I563),1)</f>
        <v>0</v>
      </c>
      <c r="AF563" s="77" t="str">
        <f t="shared" si="220"/>
        <v>NonResidential</v>
      </c>
      <c r="AG563" s="77" t="str">
        <f>tbl_Data[[#This Row],[All_Meas_Name_Append]]</f>
        <v>Reflective Roof Treatment</v>
      </c>
      <c r="AH563" s="77">
        <f>AVERAGEIFS('3. Incentive Adjustment'!G:G,'3. Incentive Adjustment'!A:A,tbl_Data[[#This Row],[Trimmed Sector]],'3. Incentive Adjustment'!B:B,tbl_Data[[#This Row],[Trimmed Measure Name]])</f>
        <v>0.87696681614875649</v>
      </c>
      <c r="AI563" s="77">
        <f>$AH563*tbl_Data[[#This Row],[2025 ]]</f>
        <v>0</v>
      </c>
      <c r="AJ563" s="77">
        <f>$AH563*tbl_Data[[#This Row],[2026 ]]</f>
        <v>0</v>
      </c>
      <c r="AK563" s="77">
        <f>$AH563*tbl_Data[[#This Row],[2027 ]]</f>
        <v>0</v>
      </c>
      <c r="AL563" s="77">
        <f>$AH563*tbl_Data[[#This Row],[2028 ]]</f>
        <v>0</v>
      </c>
      <c r="AM563" s="77">
        <f>$AH563*tbl_Data[[#This Row],[2029 ]]</f>
        <v>0</v>
      </c>
      <c r="AN563" s="77">
        <f>$AH563*tbl_Data[[#This Row],[2030 ]]</f>
        <v>0</v>
      </c>
      <c r="AO563" s="77">
        <f>$AH563*tbl_Data[[#This Row],[2031 ]]</f>
        <v>0</v>
      </c>
      <c r="AP563" s="77">
        <f>$AH563*tbl_Data[[#This Row],[2032 ]]</f>
        <v>0</v>
      </c>
      <c r="AQ563" s="77">
        <f>$AH563*tbl_Data[[#This Row],[2033 ]]</f>
        <v>0</v>
      </c>
      <c r="AR563" s="77">
        <f>$AH563*tbl_Data[[#This Row],[2034 ]]</f>
        <v>0</v>
      </c>
      <c r="AS563" s="77">
        <f>SUM(tbl_Data[[#This Row],[Adjusted 2025]:[Adjusted 2034]])</f>
        <v>0</v>
      </c>
      <c r="AT563" s="80">
        <f>AVERAGEIFS('3. Incentive Adjustment'!F:F,'3. Incentive Adjustment'!A:A,tbl_Data[[#This Row],[Trimmed Sector]],'3. Incentive Adjustment'!B:B,tbl_Data[[#This Row],[Trimmed Measure Name]])</f>
        <v>12077.302499999998</v>
      </c>
      <c r="AU563" s="80">
        <f>IFERROR(VLOOKUP(tbl_Data[[#This Row],[All_Meas_Name_Append]],'IRA Tax Credits'!$A$3:$D$46,4,0),0)</f>
        <v>0</v>
      </c>
      <c r="AV563" s="81">
        <f>tbl_Data[[#This Row],[Adj. per unit Incentive ($)]]/tbl_Data[[#This Row],[kWh Savings]]*tbl_Data[[#This Row],[Sum of Annuals]]</f>
        <v>0</v>
      </c>
      <c r="AW563" s="81" t="str">
        <f>IFERROR(VLOOKUP(tbl_Data[[#This Row],[Column1]],'1. Set Program Names'!$B$2:$D$15,3,0)*tbl_Data[[#This Row],[Sum of Annuals]],"")</f>
        <v/>
      </c>
      <c r="AX563" s="81">
        <f>tbl_Data[[#This Row],[per unit IRA tax ($)]]/tbl_Data[[#This Row],[kWh Savings]]*tbl_Data[[#This Row],[Sum of Annuals]]</f>
        <v>0</v>
      </c>
      <c r="AY563" s="81">
        <f>tbl_Data[[#This Row],[Avoided Costs ($/unit)]]/tbl_Data[[#This Row],[kWh Savings]]*tbl_Data[[#This Row],[Sum of Annuals]]</f>
        <v>0</v>
      </c>
      <c r="AZ563" s="81">
        <f>tbl_Data[[#This Row],[Lost Revenue ($/unit)]]/tbl_Data[[#This Row],[kWh Savings]]*tbl_Data[[#This Row],[Sum of Annuals]]</f>
        <v>0</v>
      </c>
      <c r="BA563" s="81">
        <f>tbl_Data[[#This Row],[Incremental Cost ($/unit)]]/tbl_Data[[#This Row],[kWh Savings]]*tbl_Data[[#This Row],[Sum of Annuals]]</f>
        <v>0</v>
      </c>
      <c r="BB563" s="77">
        <f>ROUNDUP(tbl_Data[[#This Row],[Adjusted 2025]]/$L563,0)</f>
        <v>0</v>
      </c>
      <c r="BC563" s="77">
        <f>ROUNDUP(tbl_Data[[#This Row],[Adjusted 2026]]/$L563,0)</f>
        <v>0</v>
      </c>
      <c r="BD563" s="77">
        <f>ROUNDUP(tbl_Data[[#This Row],[Adjusted 2027]]/$L563,0)</f>
        <v>0</v>
      </c>
      <c r="BE563" s="77">
        <f>ROUNDUP(tbl_Data[[#This Row],[Adjusted 2028]]/$L563,0)</f>
        <v>0</v>
      </c>
      <c r="BF563" s="77">
        <f>ROUNDUP(tbl_Data[[#This Row],[Adjusted 2029]]/$L563,0)</f>
        <v>0</v>
      </c>
      <c r="BG563" s="77">
        <f>ROUNDUP(tbl_Data[[#This Row],[Adjusted 2030]]/$L563,0)</f>
        <v>0</v>
      </c>
      <c r="BH563" s="77">
        <f>ROUNDUP(tbl_Data[[#This Row],[Adjusted 2031]]/$L563,0)</f>
        <v>0</v>
      </c>
      <c r="BI563" s="77">
        <f>ROUNDUP(tbl_Data[[#This Row],[Adjusted 2032]]/$L563,0)</f>
        <v>0</v>
      </c>
      <c r="BJ563" s="77">
        <f>ROUNDUP(tbl_Data[[#This Row],[Adjusted 2033]]/$L563,0)</f>
        <v>0</v>
      </c>
      <c r="BK563" s="77">
        <f>ROUNDUP(tbl_Data[[#This Row],[Adjusted 2034]]/$L563,0)</f>
        <v>0</v>
      </c>
      <c r="BL563" s="80">
        <f t="shared" si="221"/>
        <v>0</v>
      </c>
      <c r="BM563" s="80">
        <f t="shared" si="222"/>
        <v>0</v>
      </c>
      <c r="BN563" s="80">
        <f t="shared" si="223"/>
        <v>0</v>
      </c>
      <c r="BO563" s="80">
        <f t="shared" si="224"/>
        <v>0</v>
      </c>
      <c r="BP563" s="80">
        <f t="shared" si="225"/>
        <v>0</v>
      </c>
      <c r="BQ563" s="80">
        <f t="shared" si="226"/>
        <v>0</v>
      </c>
      <c r="BR563" s="80">
        <f t="shared" si="227"/>
        <v>0</v>
      </c>
      <c r="BS563" s="80">
        <f t="shared" si="228"/>
        <v>0</v>
      </c>
      <c r="BT563" s="80">
        <f t="shared" si="229"/>
        <v>0</v>
      </c>
      <c r="BU563" s="80">
        <f t="shared" si="230"/>
        <v>0</v>
      </c>
      <c r="BV563" s="80" t="str">
        <f>IFERROR(VLOOKUP($H563,'1. Set Program Names'!$B$2:$D$15,3,0)*V563,"NA")</f>
        <v>NA</v>
      </c>
      <c r="BW563" s="80" t="str">
        <f>IFERROR(VLOOKUP($H563,'1. Set Program Names'!$B$2:$D$15,3,0)*W563,"NA")</f>
        <v>NA</v>
      </c>
      <c r="BX563" s="80" t="str">
        <f>IFERROR(VLOOKUP($H563,'1. Set Program Names'!$B$2:$D$15,3,0)*X563,"NA")</f>
        <v>NA</v>
      </c>
      <c r="BY563" s="80" t="str">
        <f>IFERROR(VLOOKUP($H563,'1. Set Program Names'!$B$2:$D$15,3,0)*Y563,"NA")</f>
        <v>NA</v>
      </c>
      <c r="BZ563" s="80" t="str">
        <f>IFERROR(VLOOKUP($H563,'1. Set Program Names'!$B$2:$D$15,3,0)*Z563,"NA")</f>
        <v>NA</v>
      </c>
      <c r="CA563" s="80" t="str">
        <f>IFERROR(VLOOKUP($H563,'1. Set Program Names'!$B$2:$D$15,3,0)*AA563,"NA")</f>
        <v>NA</v>
      </c>
      <c r="CB563" s="80" t="str">
        <f>IFERROR(VLOOKUP($H563,'1. Set Program Names'!$B$2:$D$15,3,0)*AB563,"NA")</f>
        <v>NA</v>
      </c>
      <c r="CC563" s="80" t="str">
        <f>IFERROR(VLOOKUP($H563,'1. Set Program Names'!$B$2:$D$15,3,0)*AC563,"NA")</f>
        <v>NA</v>
      </c>
      <c r="CD563" s="80" t="str">
        <f>IFERROR(VLOOKUP($H563,'1. Set Program Names'!$B$2:$D$15,3,0)*AD563,"NA")</f>
        <v>NA</v>
      </c>
      <c r="CE563" s="80" t="str">
        <f>IFERROR(VLOOKUP($H563,'1. Set Program Names'!$B$2:$D$15,3,0)*AE563,"NA")</f>
        <v>NA</v>
      </c>
    </row>
    <row r="564" spans="1:83" x14ac:dyDescent="0.25">
      <c r="A564" s="79" t="s">
        <v>117</v>
      </c>
      <c r="B564" s="79" t="s">
        <v>88</v>
      </c>
      <c r="C564" s="79" t="s">
        <v>122</v>
      </c>
      <c r="D564" s="79" t="s">
        <v>90</v>
      </c>
      <c r="E564" s="79" t="s">
        <v>91</v>
      </c>
      <c r="F564" s="79" t="s">
        <v>90</v>
      </c>
      <c r="G564" s="79" t="s">
        <v>92</v>
      </c>
      <c r="H564" s="79" t="s">
        <v>20</v>
      </c>
      <c r="I564" s="79" t="s">
        <v>155</v>
      </c>
      <c r="J564" s="79" t="s">
        <v>129</v>
      </c>
      <c r="K564" s="79" t="s">
        <v>102</v>
      </c>
      <c r="L564" s="79">
        <v>1193.02</v>
      </c>
      <c r="M564" s="79">
        <v>0.274776433335365</v>
      </c>
      <c r="N564" s="79">
        <v>0.10441874276921487</v>
      </c>
      <c r="O564" s="79">
        <f>8423.99999999998/36663.4359999998*1193.02</f>
        <v>274.11507421181233</v>
      </c>
      <c r="P564" s="79">
        <f>3224.30667036527/36663.4359999998*1193.02</f>
        <v>104.91821726363004</v>
      </c>
      <c r="Q564" s="79">
        <f>1305.20713755829/36663.4359999998*1193.02</f>
        <v>42.471148073786637</v>
      </c>
      <c r="R564" s="79">
        <f>14915.0733686122/36663.4359999998*1193.02</f>
        <v>485.33314854128304</v>
      </c>
      <c r="S564" s="79">
        <f>32320.5298576745/36663.4359999998*1193.02</f>
        <v>1051.702806327346</v>
      </c>
      <c r="T564" s="79">
        <v>11</v>
      </c>
      <c r="U564" s="79">
        <v>0.05</v>
      </c>
      <c r="V564" s="79">
        <f>tbl_Data_old[[#This Row],[2025 ]]*IFERROR(AVERAGEIFS('Participation Adjustment'!$C:$C,'Participation Adjustment'!$A:$A,$H564,'Participation Adjustment'!$B:$B,$I564),1)</f>
        <v>1.46575094223624</v>
      </c>
      <c r="W564" s="79">
        <f>tbl_Data_old[[#This Row],[2026 ]]*IFERROR(AVERAGEIFS('Participation Adjustment'!$C:$C,'Participation Adjustment'!$A:$A,$H564,'Participation Adjustment'!$B:$B,$I564),1)</f>
        <v>2.6853010231471899</v>
      </c>
      <c r="X564" s="79">
        <f>tbl_Data_old[[#This Row],[2027 ]]*IFERROR(AVERAGEIFS('Participation Adjustment'!$C:$C,'Participation Adjustment'!$A:$A,$H564,'Participation Adjustment'!$B:$B,$I564),1)</f>
        <v>3.6907857398962398</v>
      </c>
      <c r="Y564" s="79">
        <f>tbl_Data_old[[#This Row],[2028 ]]*IFERROR(AVERAGEIFS('Participation Adjustment'!$C:$C,'Participation Adjustment'!$A:$A,$H564,'Participation Adjustment'!$B:$B,$I564),1)</f>
        <v>4.5200013238632799</v>
      </c>
      <c r="Z564" s="79">
        <f>tbl_Data_old[[#This Row],[2029 ]]*IFERROR(AVERAGEIFS('Participation Adjustment'!$C:$C,'Participation Adjustment'!$A:$A,$H564,'Participation Adjustment'!$B:$B,$I564),1)</f>
        <v>5.2044828486431101</v>
      </c>
      <c r="AA564" s="79">
        <f>tbl_Data_old[[#This Row],[2030 ]]*IFERROR(AVERAGEIFS('Participation Adjustment'!$C:$C,'Participation Adjustment'!$A:$A,$H564,'Participation Adjustment'!$B:$B,$I564),1)</f>
        <v>5.7699088464962403</v>
      </c>
      <c r="AB564" s="79">
        <f>tbl_Data_old[[#This Row],[2031 ]]*IFERROR(AVERAGEIFS('Participation Adjustment'!$C:$C,'Participation Adjustment'!$A:$A,$H564,'Participation Adjustment'!$B:$B,$I564),1)</f>
        <v>6.2381123775431702</v>
      </c>
      <c r="AC564" s="79">
        <f>tbl_Data_old[[#This Row],[2032 ]]*IFERROR(AVERAGEIFS('Participation Adjustment'!$C:$C,'Participation Adjustment'!$A:$A,$H564,'Participation Adjustment'!$B:$B,$I564),1)</f>
        <v>6.6278770727528702</v>
      </c>
      <c r="AD564" s="79">
        <f>tbl_Data_old[[#This Row],[2033 ]]*IFERROR(AVERAGEIFS('Participation Adjustment'!$C:$C,'Participation Adjustment'!$A:$A,$H564,'Participation Adjustment'!$B:$B,$I564),1)</f>
        <v>6.95497340845459</v>
      </c>
      <c r="AE564" s="79">
        <f>tbl_Data_old[[#This Row],[2034 ]]*IFERROR(AVERAGEIFS('Participation Adjustment'!$C:$C,'Participation Adjustment'!$A:$A,$H564,'Participation Adjustment'!$B:$B,$I564),1)</f>
        <v>7.2313311946343202</v>
      </c>
      <c r="AF564" s="77" t="str">
        <f t="shared" si="220"/>
        <v>NonResidential</v>
      </c>
      <c r="AG564" s="77" t="str">
        <f>tbl_Data[[#This Row],[All_Meas_Name_Append]]</f>
        <v>Smart thermostat</v>
      </c>
      <c r="AH564" s="77">
        <f>AVERAGEIFS('3. Incentive Adjustment'!G:G,'3. Incentive Adjustment'!A:A,tbl_Data[[#This Row],[Trimmed Sector]],'3. Incentive Adjustment'!B:B,tbl_Data[[#This Row],[Trimmed Measure Name]])</f>
        <v>0.87546479230069263</v>
      </c>
      <c r="AI564" s="77">
        <f>$AH564*tbl_Data[[#This Row],[2025 ]]</f>
        <v>1.2832133442093945</v>
      </c>
      <c r="AJ564" s="77">
        <f>$AH564*tbl_Data[[#This Row],[2026 ]]</f>
        <v>2.3508865024943919</v>
      </c>
      <c r="AK564" s="77">
        <f>$AH564*tbl_Data[[#This Row],[2027 ]]</f>
        <v>3.2311529712046196</v>
      </c>
      <c r="AL564" s="77">
        <f>$AH564*tbl_Data[[#This Row],[2028 ]]</f>
        <v>3.9571020201948222</v>
      </c>
      <c r="AM564" s="77">
        <f>$AH564*tbl_Data[[#This Row],[2029 ]]</f>
        <v>4.5563414961198578</v>
      </c>
      <c r="AN564" s="77">
        <f>$AH564*tbl_Data[[#This Row],[2030 ]]</f>
        <v>5.0513520498917597</v>
      </c>
      <c r="AO564" s="77">
        <f>$AH564*tbl_Data[[#This Row],[2031 ]]</f>
        <v>5.4612477569542115</v>
      </c>
      <c r="AP564" s="77">
        <f>$AH564*tbl_Data[[#This Row],[2032 ]]</f>
        <v>5.8024730248921141</v>
      </c>
      <c r="AQ564" s="77">
        <f>$AH564*tbl_Data[[#This Row],[2033 ]]</f>
        <v>6.0888343504895381</v>
      </c>
      <c r="AR564" s="77">
        <f>$AH564*tbl_Data[[#This Row],[2034 ]]</f>
        <v>6.3307758623680543</v>
      </c>
      <c r="AS564" s="77">
        <f>SUM(tbl_Data[[#This Row],[Adjusted 2025]:[Adjusted 2034]])</f>
        <v>44.113379378818763</v>
      </c>
      <c r="AT564" s="80">
        <f>AVERAGEIFS('3. Incentive Adjustment'!F:F,'3. Incentive Adjustment'!A:A,tbl_Data[[#This Row],[Trimmed Sector]],'3. Incentive Adjustment'!B:B,tbl_Data[[#This Row],[Trimmed Measure Name]])</f>
        <v>50</v>
      </c>
      <c r="AU564" s="80">
        <f>IFERROR(VLOOKUP(tbl_Data[[#This Row],[All_Meas_Name_Append]],'IRA Tax Credits'!$A$3:$D$46,4,0),0)</f>
        <v>0</v>
      </c>
      <c r="AV564" s="81">
        <f>tbl_Data[[#This Row],[Adj. per unit Incentive ($)]]/tbl_Data[[#This Row],[kWh Savings]]*tbl_Data[[#This Row],[Sum of Annuals]]</f>
        <v>1.8488113937242781</v>
      </c>
      <c r="AW564" s="81" t="str">
        <f>IFERROR(VLOOKUP(tbl_Data[[#This Row],[Column1]],'1. Set Program Names'!$B$2:$D$15,3,0)*tbl_Data[[#This Row],[Sum of Annuals]],"")</f>
        <v/>
      </c>
      <c r="AX564" s="81">
        <f>tbl_Data[[#This Row],[per unit IRA tax ($)]]/tbl_Data[[#This Row],[kWh Savings]]*tbl_Data[[#This Row],[Sum of Annuals]]</f>
        <v>0</v>
      </c>
      <c r="AY564" s="81">
        <f>tbl_Data[[#This Row],[Avoided Costs ($/unit)]]/tbl_Data[[#This Row],[kWh Savings]]*tbl_Data[[#This Row],[Sum of Annuals]]</f>
        <v>17.945789095504033</v>
      </c>
      <c r="AZ564" s="81">
        <f>tbl_Data[[#This Row],[Lost Revenue ($/unit)]]/tbl_Data[[#This Row],[kWh Savings]]*tbl_Data[[#This Row],[Sum of Annuals]]</f>
        <v>38.888002622995899</v>
      </c>
      <c r="BA564" s="81">
        <f>tbl_Data[[#This Row],[Incremental Cost ($/unit)]]/tbl_Data[[#This Row],[kWh Savings]]*tbl_Data[[#This Row],[Sum of Annuals]]</f>
        <v>10.135741447887494</v>
      </c>
      <c r="BB564" s="77">
        <f>ROUNDUP(tbl_Data[[#This Row],[Adjusted 2025]]/$L564,0)</f>
        <v>1</v>
      </c>
      <c r="BC564" s="77">
        <f>ROUNDUP(tbl_Data[[#This Row],[Adjusted 2026]]/$L564,0)</f>
        <v>1</v>
      </c>
      <c r="BD564" s="77">
        <f>ROUNDUP(tbl_Data[[#This Row],[Adjusted 2027]]/$L564,0)</f>
        <v>1</v>
      </c>
      <c r="BE564" s="77">
        <f>ROUNDUP(tbl_Data[[#This Row],[Adjusted 2028]]/$L564,0)</f>
        <v>1</v>
      </c>
      <c r="BF564" s="77">
        <f>ROUNDUP(tbl_Data[[#This Row],[Adjusted 2029]]/$L564,0)</f>
        <v>1</v>
      </c>
      <c r="BG564" s="77">
        <f>ROUNDUP(tbl_Data[[#This Row],[Adjusted 2030]]/$L564,0)</f>
        <v>1</v>
      </c>
      <c r="BH564" s="77">
        <f>ROUNDUP(tbl_Data[[#This Row],[Adjusted 2031]]/$L564,0)</f>
        <v>1</v>
      </c>
      <c r="BI564" s="77">
        <f>ROUNDUP(tbl_Data[[#This Row],[Adjusted 2032]]/$L564,0)</f>
        <v>1</v>
      </c>
      <c r="BJ564" s="77">
        <f>ROUNDUP(tbl_Data[[#This Row],[Adjusted 2033]]/$L564,0)</f>
        <v>1</v>
      </c>
      <c r="BK564" s="77">
        <f>ROUNDUP(tbl_Data[[#This Row],[Adjusted 2034]]/$L564,0)</f>
        <v>1</v>
      </c>
      <c r="BL564" s="80">
        <f t="shared" si="221"/>
        <v>6.1430275361529563E-2</v>
      </c>
      <c r="BM564" s="80">
        <f t="shared" si="222"/>
        <v>0.1125421628785431</v>
      </c>
      <c r="BN564" s="80">
        <f t="shared" si="223"/>
        <v>0.15468247556186149</v>
      </c>
      <c r="BO564" s="80">
        <f t="shared" si="224"/>
        <v>0.18943527031664514</v>
      </c>
      <c r="BP564" s="80">
        <f t="shared" si="225"/>
        <v>0.21812219613431083</v>
      </c>
      <c r="BQ564" s="80">
        <f t="shared" si="226"/>
        <v>0.24181945174834624</v>
      </c>
      <c r="BR564" s="80">
        <f t="shared" si="227"/>
        <v>0.26144207044069545</v>
      </c>
      <c r="BS564" s="80">
        <f t="shared" si="228"/>
        <v>0.27777728255825007</v>
      </c>
      <c r="BT564" s="80">
        <f t="shared" si="229"/>
        <v>0.29148603579380855</v>
      </c>
      <c r="BU564" s="80">
        <f t="shared" si="230"/>
        <v>0.30306831380170995</v>
      </c>
      <c r="BV564" s="80" t="str">
        <f>IFERROR(VLOOKUP($H564,'1. Set Program Names'!$B$2:$D$15,3,0)*V564,"NA")</f>
        <v>NA</v>
      </c>
      <c r="BW564" s="80" t="str">
        <f>IFERROR(VLOOKUP($H564,'1. Set Program Names'!$B$2:$D$15,3,0)*W564,"NA")</f>
        <v>NA</v>
      </c>
      <c r="BX564" s="80" t="str">
        <f>IFERROR(VLOOKUP($H564,'1. Set Program Names'!$B$2:$D$15,3,0)*X564,"NA")</f>
        <v>NA</v>
      </c>
      <c r="BY564" s="80" t="str">
        <f>IFERROR(VLOOKUP($H564,'1. Set Program Names'!$B$2:$D$15,3,0)*Y564,"NA")</f>
        <v>NA</v>
      </c>
      <c r="BZ564" s="80" t="str">
        <f>IFERROR(VLOOKUP($H564,'1. Set Program Names'!$B$2:$D$15,3,0)*Z564,"NA")</f>
        <v>NA</v>
      </c>
      <c r="CA564" s="80" t="str">
        <f>IFERROR(VLOOKUP($H564,'1. Set Program Names'!$B$2:$D$15,3,0)*AA564,"NA")</f>
        <v>NA</v>
      </c>
      <c r="CB564" s="80" t="str">
        <f>IFERROR(VLOOKUP($H564,'1. Set Program Names'!$B$2:$D$15,3,0)*AB564,"NA")</f>
        <v>NA</v>
      </c>
      <c r="CC564" s="80" t="str">
        <f>IFERROR(VLOOKUP($H564,'1. Set Program Names'!$B$2:$D$15,3,0)*AC564,"NA")</f>
        <v>NA</v>
      </c>
      <c r="CD564" s="80" t="str">
        <f>IFERROR(VLOOKUP($H564,'1. Set Program Names'!$B$2:$D$15,3,0)*AD564,"NA")</f>
        <v>NA</v>
      </c>
      <c r="CE564" s="80" t="str">
        <f>IFERROR(VLOOKUP($H564,'1. Set Program Names'!$B$2:$D$15,3,0)*AE564,"NA")</f>
        <v>NA</v>
      </c>
    </row>
    <row r="565" spans="1:83" x14ac:dyDescent="0.25">
      <c r="A565" s="79" t="s">
        <v>117</v>
      </c>
      <c r="B565" s="79" t="s">
        <v>88</v>
      </c>
      <c r="C565" s="79" t="s">
        <v>122</v>
      </c>
      <c r="D565" s="79" t="s">
        <v>90</v>
      </c>
      <c r="E565" s="79" t="s">
        <v>91</v>
      </c>
      <c r="F565" s="79" t="s">
        <v>90</v>
      </c>
      <c r="G565" s="79" t="s">
        <v>92</v>
      </c>
      <c r="H565" s="79" t="s">
        <v>20</v>
      </c>
      <c r="I565" s="79" t="s">
        <v>305</v>
      </c>
      <c r="J565" s="79" t="s">
        <v>129</v>
      </c>
      <c r="K565" s="79" t="s">
        <v>306</v>
      </c>
      <c r="L565" s="79">
        <v>1181.58666666666</v>
      </c>
      <c r="M565" s="79">
        <v>0.32580149205424902</v>
      </c>
      <c r="N565" s="79">
        <v>0</v>
      </c>
      <c r="O565" s="79">
        <v>442.61899981344197</v>
      </c>
      <c r="P565" s="79">
        <v>13015.025349926</v>
      </c>
      <c r="Q565" s="79">
        <v>70.895199999999903</v>
      </c>
      <c r="R565" s="79">
        <v>484.68312470825703</v>
      </c>
      <c r="S565" s="79">
        <v>971.92143438909795</v>
      </c>
      <c r="T565" s="79">
        <v>10</v>
      </c>
      <c r="U565" s="79">
        <v>0.05</v>
      </c>
      <c r="V565" s="79">
        <f>tbl_Data_old[[#This Row],[2025 ]]*IFERROR(AVERAGEIFS('Participation Adjustment'!$C:$C,'Participation Adjustment'!$A:$A,$H565,'Participation Adjustment'!$B:$B,$I565),1)</f>
        <v>0</v>
      </c>
      <c r="W565" s="79">
        <f>tbl_Data_old[[#This Row],[2026 ]]*IFERROR(AVERAGEIFS('Participation Adjustment'!$C:$C,'Participation Adjustment'!$A:$A,$H565,'Participation Adjustment'!$B:$B,$I565),1)</f>
        <v>0</v>
      </c>
      <c r="X565" s="79">
        <f>tbl_Data_old[[#This Row],[2027 ]]*IFERROR(AVERAGEIFS('Participation Adjustment'!$C:$C,'Participation Adjustment'!$A:$A,$H565,'Participation Adjustment'!$B:$B,$I565),1)</f>
        <v>0</v>
      </c>
      <c r="Y565" s="79">
        <f>tbl_Data_old[[#This Row],[2028 ]]*IFERROR(AVERAGEIFS('Participation Adjustment'!$C:$C,'Participation Adjustment'!$A:$A,$H565,'Participation Adjustment'!$B:$B,$I565),1)</f>
        <v>0</v>
      </c>
      <c r="Z565" s="79">
        <f>tbl_Data_old[[#This Row],[2029 ]]*IFERROR(AVERAGEIFS('Participation Adjustment'!$C:$C,'Participation Adjustment'!$A:$A,$H565,'Participation Adjustment'!$B:$B,$I565),1)</f>
        <v>0</v>
      </c>
      <c r="AA565" s="79">
        <f>tbl_Data_old[[#This Row],[2030 ]]*IFERROR(AVERAGEIFS('Participation Adjustment'!$C:$C,'Participation Adjustment'!$A:$A,$H565,'Participation Adjustment'!$B:$B,$I565),1)</f>
        <v>0</v>
      </c>
      <c r="AB565" s="79">
        <f>tbl_Data_old[[#This Row],[2031 ]]*IFERROR(AVERAGEIFS('Participation Adjustment'!$C:$C,'Participation Adjustment'!$A:$A,$H565,'Participation Adjustment'!$B:$B,$I565),1)</f>
        <v>0</v>
      </c>
      <c r="AC565" s="79">
        <f>tbl_Data_old[[#This Row],[2032 ]]*IFERROR(AVERAGEIFS('Participation Adjustment'!$C:$C,'Participation Adjustment'!$A:$A,$H565,'Participation Adjustment'!$B:$B,$I565),1)</f>
        <v>0</v>
      </c>
      <c r="AD565" s="79">
        <f>tbl_Data_old[[#This Row],[2033 ]]*IFERROR(AVERAGEIFS('Participation Adjustment'!$C:$C,'Participation Adjustment'!$A:$A,$H565,'Participation Adjustment'!$B:$B,$I565),1)</f>
        <v>0</v>
      </c>
      <c r="AE565" s="79">
        <f>tbl_Data_old[[#This Row],[2034 ]]*IFERROR(AVERAGEIFS('Participation Adjustment'!$C:$C,'Participation Adjustment'!$A:$A,$H565,'Participation Adjustment'!$B:$B,$I565),1)</f>
        <v>0</v>
      </c>
      <c r="AF565" s="77" t="str">
        <f t="shared" si="220"/>
        <v>NonResidential</v>
      </c>
      <c r="AG565" s="77" t="str">
        <f>tbl_Data[[#This Row],[All_Meas_Name_Append]]</f>
        <v>Window shade film</v>
      </c>
      <c r="AH565" s="77">
        <f>AVERAGEIFS('3. Incentive Adjustment'!G:G,'3. Incentive Adjustment'!A:A,tbl_Data[[#This Row],[Trimmed Sector]],'3. Incentive Adjustment'!B:B,tbl_Data[[#This Row],[Trimmed Measure Name]])</f>
        <v>3.2127764592544555E-13</v>
      </c>
      <c r="AI565" s="77">
        <f>$AH565*tbl_Data[[#This Row],[2025 ]]</f>
        <v>0</v>
      </c>
      <c r="AJ565" s="77">
        <f>$AH565*tbl_Data[[#This Row],[2026 ]]</f>
        <v>0</v>
      </c>
      <c r="AK565" s="77">
        <f>$AH565*tbl_Data[[#This Row],[2027 ]]</f>
        <v>0</v>
      </c>
      <c r="AL565" s="77">
        <f>$AH565*tbl_Data[[#This Row],[2028 ]]</f>
        <v>0</v>
      </c>
      <c r="AM565" s="77">
        <f>$AH565*tbl_Data[[#This Row],[2029 ]]</f>
        <v>0</v>
      </c>
      <c r="AN565" s="77">
        <f>$AH565*tbl_Data[[#This Row],[2030 ]]</f>
        <v>0</v>
      </c>
      <c r="AO565" s="77">
        <f>$AH565*tbl_Data[[#This Row],[2031 ]]</f>
        <v>0</v>
      </c>
      <c r="AP565" s="77">
        <f>$AH565*tbl_Data[[#This Row],[2032 ]]</f>
        <v>0</v>
      </c>
      <c r="AQ565" s="77">
        <f>$AH565*tbl_Data[[#This Row],[2033 ]]</f>
        <v>0</v>
      </c>
      <c r="AR565" s="77">
        <f>$AH565*tbl_Data[[#This Row],[2034 ]]</f>
        <v>0</v>
      </c>
      <c r="AS565" s="77">
        <f>SUM(tbl_Data[[#This Row],[Adjusted 2025]:[Adjusted 2034]])</f>
        <v>0</v>
      </c>
      <c r="AT565" s="80">
        <f>AVERAGEIFS('3. Incentive Adjustment'!F:F,'3. Incentive Adjustment'!A:A,tbl_Data[[#This Row],[Trimmed Sector]],'3. Incentive Adjustment'!B:B,tbl_Data[[#This Row],[Trimmed Measure Name]])</f>
        <v>132.78569994403261</v>
      </c>
      <c r="AU565" s="80">
        <f>IFERROR(VLOOKUP(tbl_Data[[#This Row],[All_Meas_Name_Append]],'IRA Tax Credits'!$A$3:$D$46,4,0),0)</f>
        <v>0</v>
      </c>
      <c r="AV565" s="81">
        <f>tbl_Data[[#This Row],[Adj. per unit Incentive ($)]]/tbl_Data[[#This Row],[kWh Savings]]*tbl_Data[[#This Row],[Sum of Annuals]]</f>
        <v>0</v>
      </c>
      <c r="AW565" s="81" t="str">
        <f>IFERROR(VLOOKUP(tbl_Data[[#This Row],[Column1]],'1. Set Program Names'!$B$2:$D$15,3,0)*tbl_Data[[#This Row],[Sum of Annuals]],"")</f>
        <v/>
      </c>
      <c r="AX565" s="81">
        <f>tbl_Data[[#This Row],[per unit IRA tax ($)]]/tbl_Data[[#This Row],[kWh Savings]]*tbl_Data[[#This Row],[Sum of Annuals]]</f>
        <v>0</v>
      </c>
      <c r="AY565" s="81">
        <f>tbl_Data[[#This Row],[Avoided Costs ($/unit)]]/tbl_Data[[#This Row],[kWh Savings]]*tbl_Data[[#This Row],[Sum of Annuals]]</f>
        <v>0</v>
      </c>
      <c r="AZ565" s="81">
        <f>tbl_Data[[#This Row],[Lost Revenue ($/unit)]]/tbl_Data[[#This Row],[kWh Savings]]*tbl_Data[[#This Row],[Sum of Annuals]]</f>
        <v>0</v>
      </c>
      <c r="BA565" s="81">
        <f>tbl_Data[[#This Row],[Incremental Cost ($/unit)]]/tbl_Data[[#This Row],[kWh Savings]]*tbl_Data[[#This Row],[Sum of Annuals]]</f>
        <v>0</v>
      </c>
      <c r="BB565" s="77">
        <f>ROUNDUP(tbl_Data[[#This Row],[Adjusted 2025]]/$L565,0)</f>
        <v>0</v>
      </c>
      <c r="BC565" s="77">
        <f>ROUNDUP(tbl_Data[[#This Row],[Adjusted 2026]]/$L565,0)</f>
        <v>0</v>
      </c>
      <c r="BD565" s="77">
        <f>ROUNDUP(tbl_Data[[#This Row],[Adjusted 2027]]/$L565,0)</f>
        <v>0</v>
      </c>
      <c r="BE565" s="77">
        <f>ROUNDUP(tbl_Data[[#This Row],[Adjusted 2028]]/$L565,0)</f>
        <v>0</v>
      </c>
      <c r="BF565" s="77">
        <f>ROUNDUP(tbl_Data[[#This Row],[Adjusted 2029]]/$L565,0)</f>
        <v>0</v>
      </c>
      <c r="BG565" s="77">
        <f>ROUNDUP(tbl_Data[[#This Row],[Adjusted 2030]]/$L565,0)</f>
        <v>0</v>
      </c>
      <c r="BH565" s="77">
        <f>ROUNDUP(tbl_Data[[#This Row],[Adjusted 2031]]/$L565,0)</f>
        <v>0</v>
      </c>
      <c r="BI565" s="77">
        <f>ROUNDUP(tbl_Data[[#This Row],[Adjusted 2032]]/$L565,0)</f>
        <v>0</v>
      </c>
      <c r="BJ565" s="77">
        <f>ROUNDUP(tbl_Data[[#This Row],[Adjusted 2033]]/$L565,0)</f>
        <v>0</v>
      </c>
      <c r="BK565" s="77">
        <f>ROUNDUP(tbl_Data[[#This Row],[Adjusted 2034]]/$L565,0)</f>
        <v>0</v>
      </c>
      <c r="BL565" s="80">
        <f t="shared" si="221"/>
        <v>0</v>
      </c>
      <c r="BM565" s="80">
        <f t="shared" si="222"/>
        <v>0</v>
      </c>
      <c r="BN565" s="80">
        <f t="shared" si="223"/>
        <v>0</v>
      </c>
      <c r="BO565" s="80">
        <f t="shared" si="224"/>
        <v>0</v>
      </c>
      <c r="BP565" s="80">
        <f t="shared" si="225"/>
        <v>0</v>
      </c>
      <c r="BQ565" s="80">
        <f t="shared" si="226"/>
        <v>0</v>
      </c>
      <c r="BR565" s="80">
        <f t="shared" si="227"/>
        <v>0</v>
      </c>
      <c r="BS565" s="80">
        <f t="shared" si="228"/>
        <v>0</v>
      </c>
      <c r="BT565" s="80">
        <f t="shared" si="229"/>
        <v>0</v>
      </c>
      <c r="BU565" s="80">
        <f t="shared" si="230"/>
        <v>0</v>
      </c>
      <c r="BV565" s="80" t="str">
        <f>IFERROR(VLOOKUP($H565,'1. Set Program Names'!$B$2:$D$15,3,0)*V565,"NA")</f>
        <v>NA</v>
      </c>
      <c r="BW565" s="80" t="str">
        <f>IFERROR(VLOOKUP($H565,'1. Set Program Names'!$B$2:$D$15,3,0)*W565,"NA")</f>
        <v>NA</v>
      </c>
      <c r="BX565" s="80" t="str">
        <f>IFERROR(VLOOKUP($H565,'1. Set Program Names'!$B$2:$D$15,3,0)*X565,"NA")</f>
        <v>NA</v>
      </c>
      <c r="BY565" s="80" t="str">
        <f>IFERROR(VLOOKUP($H565,'1. Set Program Names'!$B$2:$D$15,3,0)*Y565,"NA")</f>
        <v>NA</v>
      </c>
      <c r="BZ565" s="80" t="str">
        <f>IFERROR(VLOOKUP($H565,'1. Set Program Names'!$B$2:$D$15,3,0)*Z565,"NA")</f>
        <v>NA</v>
      </c>
      <c r="CA565" s="80" t="str">
        <f>IFERROR(VLOOKUP($H565,'1. Set Program Names'!$B$2:$D$15,3,0)*AA565,"NA")</f>
        <v>NA</v>
      </c>
      <c r="CB565" s="80" t="str">
        <f>IFERROR(VLOOKUP($H565,'1. Set Program Names'!$B$2:$D$15,3,0)*AB565,"NA")</f>
        <v>NA</v>
      </c>
      <c r="CC565" s="80" t="str">
        <f>IFERROR(VLOOKUP($H565,'1. Set Program Names'!$B$2:$D$15,3,0)*AC565,"NA")</f>
        <v>NA</v>
      </c>
      <c r="CD565" s="80" t="str">
        <f>IFERROR(VLOOKUP($H565,'1. Set Program Names'!$B$2:$D$15,3,0)*AD565,"NA")</f>
        <v>NA</v>
      </c>
      <c r="CE565" s="80" t="str">
        <f>IFERROR(VLOOKUP($H565,'1. Set Program Names'!$B$2:$D$15,3,0)*AE565,"NA")</f>
        <v>NA</v>
      </c>
    </row>
    <row r="566" spans="1:83" x14ac:dyDescent="0.25">
      <c r="A566" s="79" t="s">
        <v>87</v>
      </c>
      <c r="B566" s="79" t="s">
        <v>88</v>
      </c>
      <c r="C566" s="79" t="s">
        <v>122</v>
      </c>
      <c r="D566" s="79" t="s">
        <v>90</v>
      </c>
      <c r="E566" s="79" t="s">
        <v>91</v>
      </c>
      <c r="F566" s="79" t="s">
        <v>90</v>
      </c>
      <c r="G566" s="79" t="s">
        <v>92</v>
      </c>
      <c r="H566" s="79" t="s">
        <v>268</v>
      </c>
      <c r="I566" s="79" t="s">
        <v>123</v>
      </c>
      <c r="J566" s="79" t="s">
        <v>124</v>
      </c>
      <c r="K566" s="79" t="s">
        <v>125</v>
      </c>
      <c r="L566" s="79">
        <v>276.38000000000102</v>
      </c>
      <c r="M566" s="79">
        <v>4.0116087790590997E-2</v>
      </c>
      <c r="N566" s="79">
        <v>3.5590078027730399E-2</v>
      </c>
      <c r="O566" s="79">
        <v>71</v>
      </c>
      <c r="P566" s="79">
        <v>14.1467127741815</v>
      </c>
      <c r="Q566" s="79">
        <v>0.27638000000000101</v>
      </c>
      <c r="R566" s="79">
        <v>109.905179976762</v>
      </c>
      <c r="S566" s="79">
        <v>259.02791823564098</v>
      </c>
      <c r="T566" s="79">
        <v>12</v>
      </c>
      <c r="U566" s="79">
        <v>1</v>
      </c>
      <c r="V566" s="79">
        <f>tbl_Data_old[[#This Row],[2025 ]]*IFERROR(AVERAGEIFS('Participation Adjustment'!$C:$C,'Participation Adjustment'!$A:$A,$H566,'Participation Adjustment'!$B:$B,$I566),1)</f>
        <v>2549.1121999214201</v>
      </c>
      <c r="W566" s="79">
        <f>tbl_Data_old[[#This Row],[2026 ]]*IFERROR(AVERAGEIFS('Participation Adjustment'!$C:$C,'Participation Adjustment'!$A:$A,$H566,'Participation Adjustment'!$B:$B,$I566),1)</f>
        <v>3482.7929122768601</v>
      </c>
      <c r="X566" s="79">
        <f>tbl_Data_old[[#This Row],[2027 ]]*IFERROR(AVERAGEIFS('Participation Adjustment'!$C:$C,'Participation Adjustment'!$A:$A,$H566,'Participation Adjustment'!$B:$B,$I566),1)</f>
        <v>4625.2682284192497</v>
      </c>
      <c r="Y566" s="79">
        <f>tbl_Data_old[[#This Row],[2028 ]]*IFERROR(AVERAGEIFS('Participation Adjustment'!$C:$C,'Participation Adjustment'!$A:$A,$H566,'Participation Adjustment'!$B:$B,$I566),1)</f>
        <v>5956.4043283232504</v>
      </c>
      <c r="Z566" s="79">
        <f>tbl_Data_old[[#This Row],[2029 ]]*IFERROR(AVERAGEIFS('Participation Adjustment'!$C:$C,'Participation Adjustment'!$A:$A,$H566,'Participation Adjustment'!$B:$B,$I566),1)</f>
        <v>7370.9418300226798</v>
      </c>
      <c r="AA566" s="79">
        <f>tbl_Data_old[[#This Row],[2030 ]]*IFERROR(AVERAGEIFS('Participation Adjustment'!$C:$C,'Participation Adjustment'!$A:$A,$H566,'Participation Adjustment'!$B:$B,$I566),1)</f>
        <v>8686.7666676269801</v>
      </c>
      <c r="AB566" s="79">
        <f>tbl_Data_old[[#This Row],[2031 ]]*IFERROR(AVERAGEIFS('Participation Adjustment'!$C:$C,'Participation Adjustment'!$A:$A,$H566,'Participation Adjustment'!$B:$B,$I566),1)</f>
        <v>9640.1334488038901</v>
      </c>
      <c r="AC566" s="79">
        <f>tbl_Data_old[[#This Row],[2032 ]]*IFERROR(AVERAGEIFS('Participation Adjustment'!$C:$C,'Participation Adjustment'!$A:$A,$H566,'Participation Adjustment'!$B:$B,$I566),1)</f>
        <v>9988.0301749983901</v>
      </c>
      <c r="AD566" s="79">
        <f>tbl_Data_old[[#This Row],[2033 ]]*IFERROR(AVERAGEIFS('Participation Adjustment'!$C:$C,'Participation Adjustment'!$A:$A,$H566,'Participation Adjustment'!$B:$B,$I566),1)</f>
        <v>9603.6725524580306</v>
      </c>
      <c r="AE566" s="79">
        <f>tbl_Data_old[[#This Row],[2034 ]]*IFERROR(AVERAGEIFS('Participation Adjustment'!$C:$C,'Participation Adjustment'!$A:$A,$H566,'Participation Adjustment'!$B:$B,$I566),1)</f>
        <v>8552.0293032641493</v>
      </c>
      <c r="AF566" s="77" t="str">
        <f t="shared" ref="AF566:AF597" si="231">IF(C566="Residential","Residential","NonResidential")</f>
        <v>NonResidential</v>
      </c>
      <c r="AG566" s="77" t="str">
        <f>tbl_Data[[#This Row],[All_Meas_Name_Append]]</f>
        <v>Anti-Sweat Controls</v>
      </c>
      <c r="AH566" s="77">
        <f>AVERAGEIFS('3. Incentive Adjustment'!G:G,'3. Incentive Adjustment'!A:A,tbl_Data[[#This Row],[Trimmed Sector]],'3. Incentive Adjustment'!B:B,tbl_Data[[#This Row],[Trimmed Measure Name]])</f>
        <v>0.87366811775307662</v>
      </c>
      <c r="AI566" s="77">
        <f>$AH566*tbl_Data[[#This Row],[2025 ]]</f>
        <v>2227.0780576467514</v>
      </c>
      <c r="AJ566" s="77">
        <f>$AH566*tbl_Data[[#This Row],[2026 ]]</f>
        <v>3042.8051281926805</v>
      </c>
      <c r="AK566" s="77">
        <f>$AH566*tbl_Data[[#This Row],[2027 ]]</f>
        <v>4040.9493872261532</v>
      </c>
      <c r="AL566" s="77">
        <f>$AH566*tbl_Data[[#This Row],[2028 ]]</f>
        <v>5203.9205581024526</v>
      </c>
      <c r="AM566" s="77">
        <f>$AH566*tbl_Data[[#This Row],[2029 ]]</f>
        <v>6439.7568747033329</v>
      </c>
      <c r="AN566" s="77">
        <f>$AH566*tbl_Data[[#This Row],[2030 ]]</f>
        <v>7589.3510838658294</v>
      </c>
      <c r="AO566" s="77">
        <f>$AH566*tbl_Data[[#This Row],[2031 ]]</f>
        <v>8422.2772451049696</v>
      </c>
      <c r="AP566" s="77">
        <f>$AH566*tbl_Data[[#This Row],[2032 ]]</f>
        <v>8726.2235230517763</v>
      </c>
      <c r="AQ566" s="77">
        <f>$AH566*tbl_Data[[#This Row],[2033 ]]</f>
        <v>8390.4225224228921</v>
      </c>
      <c r="AR566" s="77">
        <f>$AH566*tbl_Data[[#This Row],[2034 ]]</f>
        <v>7471.6353443519447</v>
      </c>
      <c r="AS566" s="77">
        <f>SUM(tbl_Data[[#This Row],[Adjusted 2025]:[Adjusted 2034]])</f>
        <v>61554.419724668791</v>
      </c>
      <c r="AT566" s="80">
        <f>AVERAGEIFS('3. Incentive Adjustment'!F:F,'3. Incentive Adjustment'!A:A,tbl_Data[[#This Row],[Trimmed Sector]],'3. Incentive Adjustment'!B:B,tbl_Data[[#This Row],[Trimmed Measure Name]])</f>
        <v>0</v>
      </c>
      <c r="AU566" s="80">
        <f>IFERROR(VLOOKUP(tbl_Data[[#This Row],[All_Meas_Name_Append]],'IRA Tax Credits'!$A$3:$D$46,4,0),0)</f>
        <v>0</v>
      </c>
      <c r="AV566" s="81">
        <f>tbl_Data[[#This Row],[Adj. per unit Incentive ($)]]/tbl_Data[[#This Row],[kWh Savings]]*tbl_Data[[#This Row],[Sum of Annuals]]</f>
        <v>0</v>
      </c>
      <c r="AW566" s="81" t="str">
        <f>IFERROR(VLOOKUP(tbl_Data[[#This Row],[Column1]],'1. Set Program Names'!$B$2:$D$15,3,0)*tbl_Data[[#This Row],[Sum of Annuals]],"")</f>
        <v/>
      </c>
      <c r="AX566" s="81">
        <f>tbl_Data[[#This Row],[per unit IRA tax ($)]]/tbl_Data[[#This Row],[kWh Savings]]*tbl_Data[[#This Row],[Sum of Annuals]]</f>
        <v>0</v>
      </c>
      <c r="AY566" s="81">
        <f>tbl_Data[[#This Row],[Avoided Costs ($/unit)]]/tbl_Data[[#This Row],[kWh Savings]]*tbl_Data[[#This Row],[Sum of Annuals]]</f>
        <v>24477.710319867019</v>
      </c>
      <c r="AZ566" s="81">
        <f>tbl_Data[[#This Row],[Lost Revenue ($/unit)]]/tbl_Data[[#This Row],[kWh Savings]]*tbl_Data[[#This Row],[Sum of Annuals]]</f>
        <v>57689.822705998173</v>
      </c>
      <c r="BA566" s="81">
        <f>tbl_Data[[#This Row],[Incremental Cost ($/unit)]]/tbl_Data[[#This Row],[kWh Savings]]*tbl_Data[[#This Row],[Sum of Annuals]]</f>
        <v>15812.880094259597</v>
      </c>
      <c r="BB566" s="77">
        <f>ROUNDUP(tbl_Data[[#This Row],[Adjusted 2025]]/$L566,0)</f>
        <v>9</v>
      </c>
      <c r="BC566" s="77">
        <f>ROUNDUP(tbl_Data[[#This Row],[Adjusted 2026]]/$L566,0)</f>
        <v>12</v>
      </c>
      <c r="BD566" s="77">
        <f>ROUNDUP(tbl_Data[[#This Row],[Adjusted 2027]]/$L566,0)</f>
        <v>15</v>
      </c>
      <c r="BE566" s="77">
        <f>ROUNDUP(tbl_Data[[#This Row],[Adjusted 2028]]/$L566,0)</f>
        <v>19</v>
      </c>
      <c r="BF566" s="77">
        <f>ROUNDUP(tbl_Data[[#This Row],[Adjusted 2029]]/$L566,0)</f>
        <v>24</v>
      </c>
      <c r="BG566" s="77">
        <f>ROUNDUP(tbl_Data[[#This Row],[Adjusted 2030]]/$L566,0)</f>
        <v>28</v>
      </c>
      <c r="BH566" s="77">
        <f>ROUNDUP(tbl_Data[[#This Row],[Adjusted 2031]]/$L566,0)</f>
        <v>31</v>
      </c>
      <c r="BI566" s="77">
        <f>ROUNDUP(tbl_Data[[#This Row],[Adjusted 2032]]/$L566,0)</f>
        <v>32</v>
      </c>
      <c r="BJ566" s="77">
        <f>ROUNDUP(tbl_Data[[#This Row],[Adjusted 2033]]/$L566,0)</f>
        <v>31</v>
      </c>
      <c r="BK566" s="77">
        <f>ROUNDUP(tbl_Data[[#This Row],[Adjusted 2034]]/$L566,0)</f>
        <v>28</v>
      </c>
      <c r="BL566" s="80">
        <f t="shared" ref="BL566:BL597" si="232">$AT566/$L566*V566</f>
        <v>0</v>
      </c>
      <c r="BM566" s="80">
        <f t="shared" ref="BM566:BM597" si="233">$AT566/$L566*W566</f>
        <v>0</v>
      </c>
      <c r="BN566" s="80">
        <f t="shared" ref="BN566:BN597" si="234">$AT566/$L566*X566</f>
        <v>0</v>
      </c>
      <c r="BO566" s="80">
        <f t="shared" ref="BO566:BO597" si="235">$AT566/$L566*Y566</f>
        <v>0</v>
      </c>
      <c r="BP566" s="80">
        <f t="shared" ref="BP566:BP597" si="236">$AT566/$L566*Z566</f>
        <v>0</v>
      </c>
      <c r="BQ566" s="80">
        <f t="shared" ref="BQ566:BQ597" si="237">$AT566/$L566*AA566</f>
        <v>0</v>
      </c>
      <c r="BR566" s="80">
        <f t="shared" ref="BR566:BR597" si="238">$AT566/$L566*AB566</f>
        <v>0</v>
      </c>
      <c r="BS566" s="80">
        <f t="shared" ref="BS566:BS597" si="239">$AT566/$L566*AC566</f>
        <v>0</v>
      </c>
      <c r="BT566" s="80">
        <f t="shared" ref="BT566:BT597" si="240">$AT566/$L566*AD566</f>
        <v>0</v>
      </c>
      <c r="BU566" s="80">
        <f t="shared" ref="BU566:BU597" si="241">$AT566/$L566*AE566</f>
        <v>0</v>
      </c>
      <c r="BV566" s="80" t="str">
        <f>IFERROR(VLOOKUP($H566,'1. Set Program Names'!$B$2:$D$15,3,0)*V566,"NA")</f>
        <v>NA</v>
      </c>
      <c r="BW566" s="80" t="str">
        <f>IFERROR(VLOOKUP($H566,'1. Set Program Names'!$B$2:$D$15,3,0)*W566,"NA")</f>
        <v>NA</v>
      </c>
      <c r="BX566" s="80" t="str">
        <f>IFERROR(VLOOKUP($H566,'1. Set Program Names'!$B$2:$D$15,3,0)*X566,"NA")</f>
        <v>NA</v>
      </c>
      <c r="BY566" s="80" t="str">
        <f>IFERROR(VLOOKUP($H566,'1. Set Program Names'!$B$2:$D$15,3,0)*Y566,"NA")</f>
        <v>NA</v>
      </c>
      <c r="BZ566" s="80" t="str">
        <f>IFERROR(VLOOKUP($H566,'1. Set Program Names'!$B$2:$D$15,3,0)*Z566,"NA")</f>
        <v>NA</v>
      </c>
      <c r="CA566" s="80" t="str">
        <f>IFERROR(VLOOKUP($H566,'1. Set Program Names'!$B$2:$D$15,3,0)*AA566,"NA")</f>
        <v>NA</v>
      </c>
      <c r="CB566" s="80" t="str">
        <f>IFERROR(VLOOKUP($H566,'1. Set Program Names'!$B$2:$D$15,3,0)*AB566,"NA")</f>
        <v>NA</v>
      </c>
      <c r="CC566" s="80" t="str">
        <f>IFERROR(VLOOKUP($H566,'1. Set Program Names'!$B$2:$D$15,3,0)*AC566,"NA")</f>
        <v>NA</v>
      </c>
      <c r="CD566" s="80" t="str">
        <f>IFERROR(VLOOKUP($H566,'1. Set Program Names'!$B$2:$D$15,3,0)*AD566,"NA")</f>
        <v>NA</v>
      </c>
      <c r="CE566" s="80" t="str">
        <f>IFERROR(VLOOKUP($H566,'1. Set Program Names'!$B$2:$D$15,3,0)*AE566,"NA")</f>
        <v>NA</v>
      </c>
    </row>
    <row r="567" spans="1:83" x14ac:dyDescent="0.25">
      <c r="A567" s="79" t="s">
        <v>87</v>
      </c>
      <c r="B567" s="79" t="s">
        <v>88</v>
      </c>
      <c r="C567" s="79" t="s">
        <v>122</v>
      </c>
      <c r="D567" s="79" t="s">
        <v>90</v>
      </c>
      <c r="E567" s="79" t="s">
        <v>91</v>
      </c>
      <c r="F567" s="79" t="s">
        <v>90</v>
      </c>
      <c r="G567" s="79" t="s">
        <v>92</v>
      </c>
      <c r="H567" s="79" t="s">
        <v>268</v>
      </c>
      <c r="I567" s="79" t="s">
        <v>126</v>
      </c>
      <c r="J567" s="79" t="s">
        <v>127</v>
      </c>
      <c r="K567" s="79" t="s">
        <v>102</v>
      </c>
      <c r="L567" s="79">
        <v>10474.513428571399</v>
      </c>
      <c r="M567" s="79">
        <v>11.987030831722899</v>
      </c>
      <c r="N567" s="79">
        <v>6.5774989692018102E-2</v>
      </c>
      <c r="O567" s="79">
        <v>2861.52</v>
      </c>
      <c r="P567" s="79">
        <v>706.838432647388</v>
      </c>
      <c r="Q567" s="79">
        <v>10.474513428571401</v>
      </c>
      <c r="R567" s="79">
        <v>9615.4333568812199</v>
      </c>
      <c r="S567" s="79">
        <v>8615.8759261769592</v>
      </c>
      <c r="T567" s="79">
        <v>10</v>
      </c>
      <c r="U567" s="79">
        <v>1</v>
      </c>
      <c r="V567" s="79">
        <f>tbl_Data_old[[#This Row],[2025 ]]*IFERROR(AVERAGEIFS('Participation Adjustment'!$C:$C,'Participation Adjustment'!$A:$A,$H567,'Participation Adjustment'!$B:$B,$I567),1)</f>
        <v>12724.939794092301</v>
      </c>
      <c r="W567" s="79">
        <f>tbl_Data_old[[#This Row],[2026 ]]*IFERROR(AVERAGEIFS('Participation Adjustment'!$C:$C,'Participation Adjustment'!$A:$A,$H567,'Participation Adjustment'!$B:$B,$I567),1)</f>
        <v>17615.367180720001</v>
      </c>
      <c r="X567" s="79">
        <f>tbl_Data_old[[#This Row],[2027 ]]*IFERROR(AVERAGEIFS('Participation Adjustment'!$C:$C,'Participation Adjustment'!$A:$A,$H567,'Participation Adjustment'!$B:$B,$I567),1)</f>
        <v>23697.161889743398</v>
      </c>
      <c r="Y567" s="79">
        <f>tbl_Data_old[[#This Row],[2028 ]]*IFERROR(AVERAGEIFS('Participation Adjustment'!$C:$C,'Participation Adjustment'!$A:$A,$H567,'Participation Adjustment'!$B:$B,$I567),1)</f>
        <v>31013.392700479199</v>
      </c>
      <c r="Z567" s="79">
        <f>tbl_Data_old[[#This Row],[2029 ]]*IFERROR(AVERAGEIFS('Participation Adjustment'!$C:$C,'Participation Adjustment'!$A:$A,$H567,'Participation Adjustment'!$B:$B,$I567),1)</f>
        <v>39095.746025086002</v>
      </c>
      <c r="AA567" s="79">
        <f>tbl_Data_old[[#This Row],[2030 ]]*IFERROR(AVERAGEIFS('Participation Adjustment'!$C:$C,'Participation Adjustment'!$A:$A,$H567,'Participation Adjustment'!$B:$B,$I567),1)</f>
        <v>46742.129582060901</v>
      </c>
      <c r="AB567" s="79">
        <f>tbl_Data_old[[#This Row],[2031 ]]*IFERROR(AVERAGEIFS('Participation Adjustment'!$C:$C,'Participation Adjustment'!$A:$A,$H567,'Participation Adjustment'!$B:$B,$I567),1)</f>
        <v>52334.517166948499</v>
      </c>
      <c r="AC567" s="79">
        <f>tbl_Data_old[[#This Row],[2032 ]]*IFERROR(AVERAGEIFS('Participation Adjustment'!$C:$C,'Participation Adjustment'!$A:$A,$H567,'Participation Adjustment'!$B:$B,$I567),1)</f>
        <v>54148.3734090988</v>
      </c>
      <c r="AD567" s="79">
        <f>tbl_Data_old[[#This Row],[2033 ]]*IFERROR(AVERAGEIFS('Participation Adjustment'!$C:$C,'Participation Adjustment'!$A:$A,$H567,'Participation Adjustment'!$B:$B,$I567),1)</f>
        <v>51037.615001489597</v>
      </c>
      <c r="AE567" s="79">
        <f>tbl_Data_old[[#This Row],[2034 ]]*IFERROR(AVERAGEIFS('Participation Adjustment'!$C:$C,'Participation Adjustment'!$A:$A,$H567,'Participation Adjustment'!$B:$B,$I567),1)</f>
        <v>43557.461237634503</v>
      </c>
      <c r="AF567" s="77" t="str">
        <f t="shared" si="231"/>
        <v>NonResidential</v>
      </c>
      <c r="AG567" s="77" t="str">
        <f>tbl_Data[[#This Row],[All_Meas_Name_Append]]</f>
        <v>Chiller maintenance</v>
      </c>
      <c r="AH567" s="77">
        <f>AVERAGEIFS('3. Incentive Adjustment'!G:G,'3. Incentive Adjustment'!A:A,tbl_Data[[#This Row],[Trimmed Sector]],'3. Incentive Adjustment'!B:B,tbl_Data[[#This Row],[Trimmed Measure Name]])</f>
        <v>0.83689882434423457</v>
      </c>
      <c r="AI567" s="77">
        <f>$AH567*tbl_Data[[#This Row],[2025 ]]</f>
        <v>10649.487153527012</v>
      </c>
      <c r="AJ567" s="77">
        <f>$AH567*tbl_Data[[#This Row],[2026 ]]</f>
        <v>14742.280083936583</v>
      </c>
      <c r="AK567" s="77">
        <f>$AH567*tbl_Data[[#This Row],[2027 ]]</f>
        <v>19832.126925821249</v>
      </c>
      <c r="AL567" s="77">
        <f>$AH567*tbl_Data[[#This Row],[2028 ]]</f>
        <v>25955.071889957107</v>
      </c>
      <c r="AM567" s="77">
        <f>$AH567*tbl_Data[[#This Row],[2029 ]]</f>
        <v>32719.183885255257</v>
      </c>
      <c r="AN567" s="77">
        <f>$AH567*tbl_Data[[#This Row],[2030 ]]</f>
        <v>39118.433294572635</v>
      </c>
      <c r="AO567" s="77">
        <f>$AH567*tbl_Data[[#This Row],[2031 ]]</f>
        <v>43798.69588964236</v>
      </c>
      <c r="AP567" s="77">
        <f>$AH567*tbl_Data[[#This Row],[2032 ]]</f>
        <v>45316.710046227396</v>
      </c>
      <c r="AQ567" s="77">
        <f>$AH567*tbl_Data[[#This Row],[2033 ]]</f>
        <v>42713.319992080316</v>
      </c>
      <c r="AR567" s="77">
        <f>$AH567*tbl_Data[[#This Row],[2034 ]]</f>
        <v>36453.188101195883</v>
      </c>
      <c r="AS567" s="77">
        <f>SUM(tbl_Data[[#This Row],[Adjusted 2025]:[Adjusted 2034]])</f>
        <v>311298.49726221582</v>
      </c>
      <c r="AT567" s="80">
        <f>AVERAGEIFS('3. Incentive Adjustment'!F:F,'3. Incentive Adjustment'!A:A,tbl_Data[[#This Row],[Trimmed Sector]],'3. Incentive Adjustment'!B:B,tbl_Data[[#This Row],[Trimmed Measure Name]])</f>
        <v>0</v>
      </c>
      <c r="AU567" s="80">
        <f>IFERROR(VLOOKUP(tbl_Data[[#This Row],[All_Meas_Name_Append]],'IRA Tax Credits'!$A$3:$D$46,4,0),0)</f>
        <v>0</v>
      </c>
      <c r="AV567" s="81">
        <f>tbl_Data[[#This Row],[Adj. per unit Incentive ($)]]/tbl_Data[[#This Row],[kWh Savings]]*tbl_Data[[#This Row],[Sum of Annuals]]</f>
        <v>0</v>
      </c>
      <c r="AW567" s="81" t="str">
        <f>IFERROR(VLOOKUP(tbl_Data[[#This Row],[Column1]],'1. Set Program Names'!$B$2:$D$15,3,0)*tbl_Data[[#This Row],[Sum of Annuals]],"")</f>
        <v/>
      </c>
      <c r="AX567" s="81">
        <f>tbl_Data[[#This Row],[per unit IRA tax ($)]]/tbl_Data[[#This Row],[kWh Savings]]*tbl_Data[[#This Row],[Sum of Annuals]]</f>
        <v>0</v>
      </c>
      <c r="AY567" s="81">
        <f>tbl_Data[[#This Row],[Avoided Costs ($/unit)]]/tbl_Data[[#This Row],[kWh Savings]]*tbl_Data[[#This Row],[Sum of Annuals]]</f>
        <v>285766.96902763471</v>
      </c>
      <c r="AZ567" s="81">
        <f>tbl_Data[[#This Row],[Lost Revenue ($/unit)]]/tbl_Data[[#This Row],[kWh Savings]]*tbl_Data[[#This Row],[Sum of Annuals]]</f>
        <v>256060.5078896154</v>
      </c>
      <c r="BA567" s="81">
        <f>tbl_Data[[#This Row],[Incremental Cost ($/unit)]]/tbl_Data[[#This Row],[kWh Savings]]*tbl_Data[[#This Row],[Sum of Annuals]]</f>
        <v>85043.270215871846</v>
      </c>
      <c r="BB567" s="77">
        <f>ROUNDUP(tbl_Data[[#This Row],[Adjusted 2025]]/$L567,0)</f>
        <v>2</v>
      </c>
      <c r="BC567" s="77">
        <f>ROUNDUP(tbl_Data[[#This Row],[Adjusted 2026]]/$L567,0)</f>
        <v>2</v>
      </c>
      <c r="BD567" s="77">
        <f>ROUNDUP(tbl_Data[[#This Row],[Adjusted 2027]]/$L567,0)</f>
        <v>2</v>
      </c>
      <c r="BE567" s="77">
        <f>ROUNDUP(tbl_Data[[#This Row],[Adjusted 2028]]/$L567,0)</f>
        <v>3</v>
      </c>
      <c r="BF567" s="77">
        <f>ROUNDUP(tbl_Data[[#This Row],[Adjusted 2029]]/$L567,0)</f>
        <v>4</v>
      </c>
      <c r="BG567" s="77">
        <f>ROUNDUP(tbl_Data[[#This Row],[Adjusted 2030]]/$L567,0)</f>
        <v>4</v>
      </c>
      <c r="BH567" s="77">
        <f>ROUNDUP(tbl_Data[[#This Row],[Adjusted 2031]]/$L567,0)</f>
        <v>5</v>
      </c>
      <c r="BI567" s="77">
        <f>ROUNDUP(tbl_Data[[#This Row],[Adjusted 2032]]/$L567,0)</f>
        <v>5</v>
      </c>
      <c r="BJ567" s="77">
        <f>ROUNDUP(tbl_Data[[#This Row],[Adjusted 2033]]/$L567,0)</f>
        <v>5</v>
      </c>
      <c r="BK567" s="77">
        <f>ROUNDUP(tbl_Data[[#This Row],[Adjusted 2034]]/$L567,0)</f>
        <v>4</v>
      </c>
      <c r="BL567" s="80">
        <f t="shared" si="232"/>
        <v>0</v>
      </c>
      <c r="BM567" s="80">
        <f t="shared" si="233"/>
        <v>0</v>
      </c>
      <c r="BN567" s="80">
        <f t="shared" si="234"/>
        <v>0</v>
      </c>
      <c r="BO567" s="80">
        <f t="shared" si="235"/>
        <v>0</v>
      </c>
      <c r="BP567" s="80">
        <f t="shared" si="236"/>
        <v>0</v>
      </c>
      <c r="BQ567" s="80">
        <f t="shared" si="237"/>
        <v>0</v>
      </c>
      <c r="BR567" s="80">
        <f t="shared" si="238"/>
        <v>0</v>
      </c>
      <c r="BS567" s="80">
        <f t="shared" si="239"/>
        <v>0</v>
      </c>
      <c r="BT567" s="80">
        <f t="shared" si="240"/>
        <v>0</v>
      </c>
      <c r="BU567" s="80">
        <f t="shared" si="241"/>
        <v>0</v>
      </c>
      <c r="BV567" s="80" t="str">
        <f>IFERROR(VLOOKUP($H567,'1. Set Program Names'!$B$2:$D$15,3,0)*V567,"NA")</f>
        <v>NA</v>
      </c>
      <c r="BW567" s="80" t="str">
        <f>IFERROR(VLOOKUP($H567,'1. Set Program Names'!$B$2:$D$15,3,0)*W567,"NA")</f>
        <v>NA</v>
      </c>
      <c r="BX567" s="80" t="str">
        <f>IFERROR(VLOOKUP($H567,'1. Set Program Names'!$B$2:$D$15,3,0)*X567,"NA")</f>
        <v>NA</v>
      </c>
      <c r="BY567" s="80" t="str">
        <f>IFERROR(VLOOKUP($H567,'1. Set Program Names'!$B$2:$D$15,3,0)*Y567,"NA")</f>
        <v>NA</v>
      </c>
      <c r="BZ567" s="80" t="str">
        <f>IFERROR(VLOOKUP($H567,'1. Set Program Names'!$B$2:$D$15,3,0)*Z567,"NA")</f>
        <v>NA</v>
      </c>
      <c r="CA567" s="80" t="str">
        <f>IFERROR(VLOOKUP($H567,'1. Set Program Names'!$B$2:$D$15,3,0)*AA567,"NA")</f>
        <v>NA</v>
      </c>
      <c r="CB567" s="80" t="str">
        <f>IFERROR(VLOOKUP($H567,'1. Set Program Names'!$B$2:$D$15,3,0)*AB567,"NA")</f>
        <v>NA</v>
      </c>
      <c r="CC567" s="80" t="str">
        <f>IFERROR(VLOOKUP($H567,'1. Set Program Names'!$B$2:$D$15,3,0)*AC567,"NA")</f>
        <v>NA</v>
      </c>
      <c r="CD567" s="80" t="str">
        <f>IFERROR(VLOOKUP($H567,'1. Set Program Names'!$B$2:$D$15,3,0)*AD567,"NA")</f>
        <v>NA</v>
      </c>
      <c r="CE567" s="80" t="str">
        <f>IFERROR(VLOOKUP($H567,'1. Set Program Names'!$B$2:$D$15,3,0)*AE567,"NA")</f>
        <v>NA</v>
      </c>
    </row>
    <row r="568" spans="1:83" x14ac:dyDescent="0.25">
      <c r="A568" s="79" t="s">
        <v>87</v>
      </c>
      <c r="B568" s="79" t="s">
        <v>88</v>
      </c>
      <c r="C568" s="79" t="s">
        <v>122</v>
      </c>
      <c r="D568" s="79" t="s">
        <v>90</v>
      </c>
      <c r="E568" s="79" t="s">
        <v>91</v>
      </c>
      <c r="F568" s="79" t="s">
        <v>90</v>
      </c>
      <c r="G568" s="79" t="s">
        <v>92</v>
      </c>
      <c r="H568" s="79" t="s">
        <v>268</v>
      </c>
      <c r="I568" s="79" t="s">
        <v>131</v>
      </c>
      <c r="J568" s="79" t="s">
        <v>132</v>
      </c>
      <c r="K568" s="79" t="s">
        <v>102</v>
      </c>
      <c r="L568" s="79">
        <v>1121.1428571428501</v>
      </c>
      <c r="M568" s="79">
        <v>0</v>
      </c>
      <c r="N568" s="79">
        <v>0.20460408928759399</v>
      </c>
      <c r="O568" s="79">
        <v>313</v>
      </c>
      <c r="P568" s="79">
        <v>104.06901074138401</v>
      </c>
      <c r="Q568" s="79">
        <v>1.1211428571428499</v>
      </c>
      <c r="R568" s="79">
        <v>557.43130076035402</v>
      </c>
      <c r="S568" s="79">
        <v>1217.69575846672</v>
      </c>
      <c r="T568" s="79">
        <v>15</v>
      </c>
      <c r="U568" s="79">
        <v>1</v>
      </c>
      <c r="V568" s="79">
        <f>tbl_Data_old[[#This Row],[2025 ]]*IFERROR(AVERAGEIFS('Participation Adjustment'!$C:$C,'Participation Adjustment'!$A:$A,$H568,'Participation Adjustment'!$B:$B,$I568),1)</f>
        <v>6498.9307769429397</v>
      </c>
      <c r="W568" s="79">
        <f>tbl_Data_old[[#This Row],[2026 ]]*IFERROR(AVERAGEIFS('Participation Adjustment'!$C:$C,'Participation Adjustment'!$A:$A,$H568,'Participation Adjustment'!$B:$B,$I568),1)</f>
        <v>6181.2862441116404</v>
      </c>
      <c r="X568" s="79">
        <f>tbl_Data_old[[#This Row],[2027 ]]*IFERROR(AVERAGEIFS('Participation Adjustment'!$C:$C,'Participation Adjustment'!$A:$A,$H568,'Participation Adjustment'!$B:$B,$I568),1)</f>
        <v>5805.4202541857003</v>
      </c>
      <c r="Y568" s="79">
        <f>tbl_Data_old[[#This Row],[2028 ]]*IFERROR(AVERAGEIFS('Participation Adjustment'!$C:$C,'Participation Adjustment'!$A:$A,$H568,'Participation Adjustment'!$B:$B,$I568),1)</f>
        <v>5427.5168290216998</v>
      </c>
      <c r="Z568" s="79">
        <f>tbl_Data_old[[#This Row],[2029 ]]*IFERROR(AVERAGEIFS('Participation Adjustment'!$C:$C,'Participation Adjustment'!$A:$A,$H568,'Participation Adjustment'!$B:$B,$I568),1)</f>
        <v>5050.2849712511097</v>
      </c>
      <c r="AA568" s="79">
        <f>tbl_Data_old[[#This Row],[2030 ]]*IFERROR(AVERAGEIFS('Participation Adjustment'!$C:$C,'Participation Adjustment'!$A:$A,$H568,'Participation Adjustment'!$B:$B,$I568),1)</f>
        <v>4672.55799272474</v>
      </c>
      <c r="AB568" s="79">
        <f>tbl_Data_old[[#This Row],[2031 ]]*IFERROR(AVERAGEIFS('Participation Adjustment'!$C:$C,'Participation Adjustment'!$A:$A,$H568,'Participation Adjustment'!$B:$B,$I568),1)</f>
        <v>4303.4642381803296</v>
      </c>
      <c r="AC568" s="79">
        <f>tbl_Data_old[[#This Row],[2032 ]]*IFERROR(AVERAGEIFS('Participation Adjustment'!$C:$C,'Participation Adjustment'!$A:$A,$H568,'Participation Adjustment'!$B:$B,$I568),1)</f>
        <v>3954.9515679829101</v>
      </c>
      <c r="AD568" s="79">
        <f>tbl_Data_old[[#This Row],[2033 ]]*IFERROR(AVERAGEIFS('Participation Adjustment'!$C:$C,'Participation Adjustment'!$A:$A,$H568,'Participation Adjustment'!$B:$B,$I568),1)</f>
        <v>3631.0720501320998</v>
      </c>
      <c r="AE568" s="79">
        <f>tbl_Data_old[[#This Row],[2034 ]]*IFERROR(AVERAGEIFS('Participation Adjustment'!$C:$C,'Participation Adjustment'!$A:$A,$H568,'Participation Adjustment'!$B:$B,$I568),1)</f>
        <v>3326.4872520859199</v>
      </c>
      <c r="AF568" s="77" t="str">
        <f t="shared" si="231"/>
        <v>NonResidential</v>
      </c>
      <c r="AG568" s="77" t="str">
        <f>tbl_Data[[#This Row],[All_Meas_Name_Append]]</f>
        <v>ECM Motors on Furnaces</v>
      </c>
      <c r="AH568" s="77">
        <f>AVERAGEIFS('3. Incentive Adjustment'!G:G,'3. Incentive Adjustment'!A:A,tbl_Data[[#This Row],[Trimmed Sector]],'3. Incentive Adjustment'!B:B,tbl_Data[[#This Row],[Trimmed Measure Name]])</f>
        <v>0.7827684764944346</v>
      </c>
      <c r="AI568" s="77">
        <f>$AH568*tbl_Data[[#This Row],[2025 ]]</f>
        <v>5087.1581431104169</v>
      </c>
      <c r="AJ568" s="77">
        <f>$AH568*tbl_Data[[#This Row],[2026 ]]</f>
        <v>4838.5160160792748</v>
      </c>
      <c r="AK568" s="77">
        <f>$AH568*tbl_Data[[#This Row],[2027 ]]</f>
        <v>4544.2999677788739</v>
      </c>
      <c r="AL568" s="77">
        <f>$AH568*tbl_Data[[#This Row],[2028 ]]</f>
        <v>4248.4890794012208</v>
      </c>
      <c r="AM568" s="77">
        <f>$AH568*tbl_Data[[#This Row],[2029 ]]</f>
        <v>3953.2038728089706</v>
      </c>
      <c r="AN568" s="77">
        <f>$AH568*tbl_Data[[#This Row],[2030 ]]</f>
        <v>3657.5311012970383</v>
      </c>
      <c r="AO568" s="77">
        <f>$AH568*tbl_Data[[#This Row],[2031 ]]</f>
        <v>3368.6161453686991</v>
      </c>
      <c r="AP568" s="77">
        <f>$AH568*tbl_Data[[#This Row],[2032 ]]</f>
        <v>3095.8114134792577</v>
      </c>
      <c r="AQ568" s="77">
        <f>$AH568*tbl_Data[[#This Row],[2033 ]]</f>
        <v>2842.2887367234271</v>
      </c>
      <c r="AR568" s="77">
        <f>$AH568*tbl_Data[[#This Row],[2034 ]]</f>
        <v>2603.8693583934537</v>
      </c>
      <c r="AS568" s="77">
        <f>SUM(tbl_Data[[#This Row],[Adjusted 2025]:[Adjusted 2034]])</f>
        <v>38239.783834440634</v>
      </c>
      <c r="AT568" s="80">
        <f>AVERAGEIFS('3. Incentive Adjustment'!F:F,'3. Incentive Adjustment'!A:A,tbl_Data[[#This Row],[Trimmed Sector]],'3. Incentive Adjustment'!B:B,tbl_Data[[#This Row],[Trimmed Measure Name]])</f>
        <v>0</v>
      </c>
      <c r="AU568" s="80">
        <f>IFERROR(VLOOKUP(tbl_Data[[#This Row],[All_Meas_Name_Append]],'IRA Tax Credits'!$A$3:$D$46,4,0),0)</f>
        <v>0</v>
      </c>
      <c r="AV568" s="81">
        <f>tbl_Data[[#This Row],[Adj. per unit Incentive ($)]]/tbl_Data[[#This Row],[kWh Savings]]*tbl_Data[[#This Row],[Sum of Annuals]]</f>
        <v>0</v>
      </c>
      <c r="AW568" s="81" t="str">
        <f>IFERROR(VLOOKUP(tbl_Data[[#This Row],[Column1]],'1. Set Program Names'!$B$2:$D$15,3,0)*tbl_Data[[#This Row],[Sum of Annuals]],"")</f>
        <v/>
      </c>
      <c r="AX568" s="81">
        <f>tbl_Data[[#This Row],[per unit IRA tax ($)]]/tbl_Data[[#This Row],[kWh Savings]]*tbl_Data[[#This Row],[Sum of Annuals]]</f>
        <v>0</v>
      </c>
      <c r="AY568" s="81">
        <f>tbl_Data[[#This Row],[Avoided Costs ($/unit)]]/tbl_Data[[#This Row],[kWh Savings]]*tbl_Data[[#This Row],[Sum of Annuals]]</f>
        <v>19012.78887683358</v>
      </c>
      <c r="AZ568" s="81">
        <f>tbl_Data[[#This Row],[Lost Revenue ($/unit)]]/tbl_Data[[#This Row],[kWh Savings]]*tbl_Data[[#This Row],[Sum of Annuals]]</f>
        <v>41532.99669459484</v>
      </c>
      <c r="BA568" s="81">
        <f>tbl_Data[[#This Row],[Incremental Cost ($/unit)]]/tbl_Data[[#This Row],[kWh Savings]]*tbl_Data[[#This Row],[Sum of Annuals]]</f>
        <v>10675.760242260443</v>
      </c>
      <c r="BB568" s="77">
        <f>ROUNDUP(tbl_Data[[#This Row],[Adjusted 2025]]/$L568,0)</f>
        <v>5</v>
      </c>
      <c r="BC568" s="77">
        <f>ROUNDUP(tbl_Data[[#This Row],[Adjusted 2026]]/$L568,0)</f>
        <v>5</v>
      </c>
      <c r="BD568" s="77">
        <f>ROUNDUP(tbl_Data[[#This Row],[Adjusted 2027]]/$L568,0)</f>
        <v>5</v>
      </c>
      <c r="BE568" s="77">
        <f>ROUNDUP(tbl_Data[[#This Row],[Adjusted 2028]]/$L568,0)</f>
        <v>4</v>
      </c>
      <c r="BF568" s="77">
        <f>ROUNDUP(tbl_Data[[#This Row],[Adjusted 2029]]/$L568,0)</f>
        <v>4</v>
      </c>
      <c r="BG568" s="77">
        <f>ROUNDUP(tbl_Data[[#This Row],[Adjusted 2030]]/$L568,0)</f>
        <v>4</v>
      </c>
      <c r="BH568" s="77">
        <f>ROUNDUP(tbl_Data[[#This Row],[Adjusted 2031]]/$L568,0)</f>
        <v>4</v>
      </c>
      <c r="BI568" s="77">
        <f>ROUNDUP(tbl_Data[[#This Row],[Adjusted 2032]]/$L568,0)</f>
        <v>3</v>
      </c>
      <c r="BJ568" s="77">
        <f>ROUNDUP(tbl_Data[[#This Row],[Adjusted 2033]]/$L568,0)</f>
        <v>3</v>
      </c>
      <c r="BK568" s="77">
        <f>ROUNDUP(tbl_Data[[#This Row],[Adjusted 2034]]/$L568,0)</f>
        <v>3</v>
      </c>
      <c r="BL568" s="80">
        <f t="shared" si="232"/>
        <v>0</v>
      </c>
      <c r="BM568" s="80">
        <f t="shared" si="233"/>
        <v>0</v>
      </c>
      <c r="BN568" s="80">
        <f t="shared" si="234"/>
        <v>0</v>
      </c>
      <c r="BO568" s="80">
        <f t="shared" si="235"/>
        <v>0</v>
      </c>
      <c r="BP568" s="80">
        <f t="shared" si="236"/>
        <v>0</v>
      </c>
      <c r="BQ568" s="80">
        <f t="shared" si="237"/>
        <v>0</v>
      </c>
      <c r="BR568" s="80">
        <f t="shared" si="238"/>
        <v>0</v>
      </c>
      <c r="BS568" s="80">
        <f t="shared" si="239"/>
        <v>0</v>
      </c>
      <c r="BT568" s="80">
        <f t="shared" si="240"/>
        <v>0</v>
      </c>
      <c r="BU568" s="80">
        <f t="shared" si="241"/>
        <v>0</v>
      </c>
      <c r="BV568" s="80" t="str">
        <f>IFERROR(VLOOKUP($H568,'1. Set Program Names'!$B$2:$D$15,3,0)*V568,"NA")</f>
        <v>NA</v>
      </c>
      <c r="BW568" s="80" t="str">
        <f>IFERROR(VLOOKUP($H568,'1. Set Program Names'!$B$2:$D$15,3,0)*W568,"NA")</f>
        <v>NA</v>
      </c>
      <c r="BX568" s="80" t="str">
        <f>IFERROR(VLOOKUP($H568,'1. Set Program Names'!$B$2:$D$15,3,0)*X568,"NA")</f>
        <v>NA</v>
      </c>
      <c r="BY568" s="80" t="str">
        <f>IFERROR(VLOOKUP($H568,'1. Set Program Names'!$B$2:$D$15,3,0)*Y568,"NA")</f>
        <v>NA</v>
      </c>
      <c r="BZ568" s="80" t="str">
        <f>IFERROR(VLOOKUP($H568,'1. Set Program Names'!$B$2:$D$15,3,0)*Z568,"NA")</f>
        <v>NA</v>
      </c>
      <c r="CA568" s="80" t="str">
        <f>IFERROR(VLOOKUP($H568,'1. Set Program Names'!$B$2:$D$15,3,0)*AA568,"NA")</f>
        <v>NA</v>
      </c>
      <c r="CB568" s="80" t="str">
        <f>IFERROR(VLOOKUP($H568,'1. Set Program Names'!$B$2:$D$15,3,0)*AB568,"NA")</f>
        <v>NA</v>
      </c>
      <c r="CC568" s="80" t="str">
        <f>IFERROR(VLOOKUP($H568,'1. Set Program Names'!$B$2:$D$15,3,0)*AC568,"NA")</f>
        <v>NA</v>
      </c>
      <c r="CD568" s="80" t="str">
        <f>IFERROR(VLOOKUP($H568,'1. Set Program Names'!$B$2:$D$15,3,0)*AD568,"NA")</f>
        <v>NA</v>
      </c>
      <c r="CE568" s="80" t="str">
        <f>IFERROR(VLOOKUP($H568,'1. Set Program Names'!$B$2:$D$15,3,0)*AE568,"NA")</f>
        <v>NA</v>
      </c>
    </row>
    <row r="569" spans="1:83" x14ac:dyDescent="0.25">
      <c r="A569" s="79" t="s">
        <v>87</v>
      </c>
      <c r="B569" s="79" t="s">
        <v>88</v>
      </c>
      <c r="C569" s="79" t="s">
        <v>122</v>
      </c>
      <c r="D569" s="79" t="s">
        <v>90</v>
      </c>
      <c r="E569" s="79" t="s">
        <v>91</v>
      </c>
      <c r="F569" s="79" t="s">
        <v>90</v>
      </c>
      <c r="G569" s="79" t="s">
        <v>92</v>
      </c>
      <c r="H569" s="79" t="s">
        <v>268</v>
      </c>
      <c r="I569" s="79" t="s">
        <v>307</v>
      </c>
      <c r="J569" s="79" t="s">
        <v>137</v>
      </c>
      <c r="K569" s="79" t="s">
        <v>98</v>
      </c>
      <c r="L569" s="79">
        <v>1111.20999999999</v>
      </c>
      <c r="M569" s="79">
        <v>0.13640668324959701</v>
      </c>
      <c r="N569" s="79">
        <v>0.136388544932499</v>
      </c>
      <c r="O569" s="79">
        <v>412</v>
      </c>
      <c r="P569" s="79">
        <v>183.41637854330401</v>
      </c>
      <c r="Q569" s="79">
        <v>1.11120999999999</v>
      </c>
      <c r="R569" s="79">
        <v>480.86876845961399</v>
      </c>
      <c r="S569" s="79">
        <v>1206.90748297154</v>
      </c>
      <c r="T569" s="79">
        <v>15</v>
      </c>
      <c r="U569" s="79">
        <v>1</v>
      </c>
      <c r="V569" s="79">
        <f>tbl_Data_old[[#This Row],[2025 ]]*IFERROR(AVERAGEIFS('Participation Adjustment'!$C:$C,'Participation Adjustment'!$A:$A,$H569,'Participation Adjustment'!$B:$B,$I569),1)</f>
        <v>42669.031815708702</v>
      </c>
      <c r="W569" s="79">
        <f>tbl_Data_old[[#This Row],[2026 ]]*IFERROR(AVERAGEIFS('Participation Adjustment'!$C:$C,'Participation Adjustment'!$A:$A,$H569,'Participation Adjustment'!$B:$B,$I569),1)</f>
        <v>58761.277591569597</v>
      </c>
      <c r="X569" s="79">
        <f>tbl_Data_old[[#This Row],[2027 ]]*IFERROR(AVERAGEIFS('Participation Adjustment'!$C:$C,'Participation Adjustment'!$A:$A,$H569,'Participation Adjustment'!$B:$B,$I569),1)</f>
        <v>77004.254308920499</v>
      </c>
      <c r="Y569" s="79">
        <f>tbl_Data_old[[#This Row],[2028 ]]*IFERROR(AVERAGEIFS('Participation Adjustment'!$C:$C,'Participation Adjustment'!$A:$A,$H569,'Participation Adjustment'!$B:$B,$I569),1)</f>
        <v>96802.713240048106</v>
      </c>
      <c r="Z569" s="79">
        <f>tbl_Data_old[[#This Row],[2029 ]]*IFERROR(AVERAGEIFS('Participation Adjustment'!$C:$C,'Participation Adjustment'!$A:$A,$H569,'Participation Adjustment'!$B:$B,$I569),1)</f>
        <v>116752.964270888</v>
      </c>
      <c r="AA569" s="79">
        <f>tbl_Data_old[[#This Row],[2030 ]]*IFERROR(AVERAGEIFS('Participation Adjustment'!$C:$C,'Participation Adjustment'!$A:$A,$H569,'Participation Adjustment'!$B:$B,$I569),1)</f>
        <v>135166.67575061499</v>
      </c>
      <c r="AB569" s="79">
        <f>tbl_Data_old[[#This Row],[2031 ]]*IFERROR(AVERAGEIFS('Participation Adjustment'!$C:$C,'Participation Adjustment'!$A:$A,$H569,'Participation Adjustment'!$B:$B,$I569),1)</f>
        <v>150966.36867162801</v>
      </c>
      <c r="AC569" s="79">
        <f>tbl_Data_old[[#This Row],[2032 ]]*IFERROR(AVERAGEIFS('Participation Adjustment'!$C:$C,'Participation Adjustment'!$A:$A,$H569,'Participation Adjustment'!$B:$B,$I569),1)</f>
        <v>163995.50115118799</v>
      </c>
      <c r="AD569" s="79">
        <f>tbl_Data_old[[#This Row],[2033 ]]*IFERROR(AVERAGEIFS('Participation Adjustment'!$C:$C,'Participation Adjustment'!$A:$A,$H569,'Participation Adjustment'!$B:$B,$I569),1)</f>
        <v>174449.776071111</v>
      </c>
      <c r="AE569" s="79">
        <f>tbl_Data_old[[#This Row],[2034 ]]*IFERROR(AVERAGEIFS('Participation Adjustment'!$C:$C,'Participation Adjustment'!$A:$A,$H569,'Participation Adjustment'!$B:$B,$I569),1)</f>
        <v>182755.06401281699</v>
      </c>
      <c r="AF569" s="77" t="str">
        <f t="shared" si="231"/>
        <v>NonResidential</v>
      </c>
      <c r="AG569" s="77" t="str">
        <f>tbl_Data[[#This Row],[All_Meas_Name_Append]]</f>
        <v>Efficient Battery Charger</v>
      </c>
      <c r="AH569" s="77">
        <f>AVERAGEIFS('3. Incentive Adjustment'!G:G,'3. Incentive Adjustment'!A:A,tbl_Data[[#This Row],[Trimmed Sector]],'3. Incentive Adjustment'!B:B,tbl_Data[[#This Row],[Trimmed Measure Name]])</f>
        <v>0.64693164144446047</v>
      </c>
      <c r="AI569" s="77">
        <f>$AH569*tbl_Data[[#This Row],[2025 ]]</f>
        <v>27603.946791382339</v>
      </c>
      <c r="AJ569" s="77">
        <f>$AH569*tbl_Data[[#This Row],[2026 ]]</f>
        <v>38014.529765687716</v>
      </c>
      <c r="AK569" s="77">
        <f>$AH569*tbl_Data[[#This Row],[2027 ]]</f>
        <v>49816.488638276605</v>
      </c>
      <c r="AL569" s="77">
        <f>$AH569*tbl_Data[[#This Row],[2028 ]]</f>
        <v>62624.738172661724</v>
      </c>
      <c r="AM569" s="77">
        <f>$AH569*tbl_Data[[#This Row],[2029 ]]</f>
        <v>75531.186819272014</v>
      </c>
      <c r="AN569" s="77">
        <f>$AH569*tbl_Data[[#This Row],[2030 ]]</f>
        <v>87443.599411936506</v>
      </c>
      <c r="AO569" s="77">
        <f>$AH569*tbl_Data[[#This Row],[2031 ]]</f>
        <v>97664.920687645877</v>
      </c>
      <c r="AP569" s="77">
        <f>$AH569*tbl_Data[[#This Row],[2032 ]]</f>
        <v>106093.87874924495</v>
      </c>
      <c r="AQ569" s="77">
        <f>$AH569*tbl_Data[[#This Row],[2033 ]]</f>
        <v>112857.07998330241</v>
      </c>
      <c r="AR569" s="77">
        <f>$AH569*tbl_Data[[#This Row],[2034 ]]</f>
        <v>118230.03354409915</v>
      </c>
      <c r="AS569" s="77">
        <f>SUM(tbl_Data[[#This Row],[Adjusted 2025]:[Adjusted 2034]])</f>
        <v>775880.4025635093</v>
      </c>
      <c r="AT569" s="80">
        <f>AVERAGEIFS('3. Incentive Adjustment'!F:F,'3. Incentive Adjustment'!A:A,tbl_Data[[#This Row],[Trimmed Sector]],'3. Incentive Adjustment'!B:B,tbl_Data[[#This Row],[Trimmed Measure Name]])</f>
        <v>0</v>
      </c>
      <c r="AU569" s="80">
        <f>IFERROR(VLOOKUP(tbl_Data[[#This Row],[All_Meas_Name_Append]],'IRA Tax Credits'!$A$3:$D$46,4,0),0)</f>
        <v>0</v>
      </c>
      <c r="AV569" s="81">
        <f>tbl_Data[[#This Row],[Adj. per unit Incentive ($)]]/tbl_Data[[#This Row],[kWh Savings]]*tbl_Data[[#This Row],[Sum of Annuals]]</f>
        <v>0</v>
      </c>
      <c r="AW569" s="81" t="str">
        <f>IFERROR(VLOOKUP(tbl_Data[[#This Row],[Column1]],'1. Set Program Names'!$B$2:$D$15,3,0)*tbl_Data[[#This Row],[Sum of Annuals]],"")</f>
        <v/>
      </c>
      <c r="AX569" s="81">
        <f>tbl_Data[[#This Row],[per unit IRA tax ($)]]/tbl_Data[[#This Row],[kWh Savings]]*tbl_Data[[#This Row],[Sum of Annuals]]</f>
        <v>0</v>
      </c>
      <c r="AY569" s="81">
        <f>tbl_Data[[#This Row],[Avoided Costs ($/unit)]]/tbl_Data[[#This Row],[kWh Savings]]*tbl_Data[[#This Row],[Sum of Annuals]]</f>
        <v>335757.10590497527</v>
      </c>
      <c r="AZ569" s="81">
        <f>tbl_Data[[#This Row],[Lost Revenue ($/unit)]]/tbl_Data[[#This Row],[kWh Savings]]*tbl_Data[[#This Row],[Sum of Annuals]]</f>
        <v>842699.27713472571</v>
      </c>
      <c r="BA569" s="81">
        <f>tbl_Data[[#This Row],[Incremental Cost ($/unit)]]/tbl_Data[[#This Row],[kWh Savings]]*tbl_Data[[#This Row],[Sum of Annuals]]</f>
        <v>287670.85056485154</v>
      </c>
      <c r="BB569" s="77">
        <f>ROUNDUP(tbl_Data[[#This Row],[Adjusted 2025]]/$L569,0)</f>
        <v>25</v>
      </c>
      <c r="BC569" s="77">
        <f>ROUNDUP(tbl_Data[[#This Row],[Adjusted 2026]]/$L569,0)</f>
        <v>35</v>
      </c>
      <c r="BD569" s="77">
        <f>ROUNDUP(tbl_Data[[#This Row],[Adjusted 2027]]/$L569,0)</f>
        <v>45</v>
      </c>
      <c r="BE569" s="77">
        <f>ROUNDUP(tbl_Data[[#This Row],[Adjusted 2028]]/$L569,0)</f>
        <v>57</v>
      </c>
      <c r="BF569" s="77">
        <f>ROUNDUP(tbl_Data[[#This Row],[Adjusted 2029]]/$L569,0)</f>
        <v>68</v>
      </c>
      <c r="BG569" s="77">
        <f>ROUNDUP(tbl_Data[[#This Row],[Adjusted 2030]]/$L569,0)</f>
        <v>79</v>
      </c>
      <c r="BH569" s="77">
        <f>ROUNDUP(tbl_Data[[#This Row],[Adjusted 2031]]/$L569,0)</f>
        <v>88</v>
      </c>
      <c r="BI569" s="77">
        <f>ROUNDUP(tbl_Data[[#This Row],[Adjusted 2032]]/$L569,0)</f>
        <v>96</v>
      </c>
      <c r="BJ569" s="77">
        <f>ROUNDUP(tbl_Data[[#This Row],[Adjusted 2033]]/$L569,0)</f>
        <v>102</v>
      </c>
      <c r="BK569" s="77">
        <f>ROUNDUP(tbl_Data[[#This Row],[Adjusted 2034]]/$L569,0)</f>
        <v>107</v>
      </c>
      <c r="BL569" s="80">
        <f t="shared" si="232"/>
        <v>0</v>
      </c>
      <c r="BM569" s="80">
        <f t="shared" si="233"/>
        <v>0</v>
      </c>
      <c r="BN569" s="80">
        <f t="shared" si="234"/>
        <v>0</v>
      </c>
      <c r="BO569" s="80">
        <f t="shared" si="235"/>
        <v>0</v>
      </c>
      <c r="BP569" s="80">
        <f t="shared" si="236"/>
        <v>0</v>
      </c>
      <c r="BQ569" s="80">
        <f t="shared" si="237"/>
        <v>0</v>
      </c>
      <c r="BR569" s="80">
        <f t="shared" si="238"/>
        <v>0</v>
      </c>
      <c r="BS569" s="80">
        <f t="shared" si="239"/>
        <v>0</v>
      </c>
      <c r="BT569" s="80">
        <f t="shared" si="240"/>
        <v>0</v>
      </c>
      <c r="BU569" s="80">
        <f t="shared" si="241"/>
        <v>0</v>
      </c>
      <c r="BV569" s="80" t="str">
        <f>IFERROR(VLOOKUP($H569,'1. Set Program Names'!$B$2:$D$15,3,0)*V569,"NA")</f>
        <v>NA</v>
      </c>
      <c r="BW569" s="80" t="str">
        <f>IFERROR(VLOOKUP($H569,'1. Set Program Names'!$B$2:$D$15,3,0)*W569,"NA")</f>
        <v>NA</v>
      </c>
      <c r="BX569" s="80" t="str">
        <f>IFERROR(VLOOKUP($H569,'1. Set Program Names'!$B$2:$D$15,3,0)*X569,"NA")</f>
        <v>NA</v>
      </c>
      <c r="BY569" s="80" t="str">
        <f>IFERROR(VLOOKUP($H569,'1. Set Program Names'!$B$2:$D$15,3,0)*Y569,"NA")</f>
        <v>NA</v>
      </c>
      <c r="BZ569" s="80" t="str">
        <f>IFERROR(VLOOKUP($H569,'1. Set Program Names'!$B$2:$D$15,3,0)*Z569,"NA")</f>
        <v>NA</v>
      </c>
      <c r="CA569" s="80" t="str">
        <f>IFERROR(VLOOKUP($H569,'1. Set Program Names'!$B$2:$D$15,3,0)*AA569,"NA")</f>
        <v>NA</v>
      </c>
      <c r="CB569" s="80" t="str">
        <f>IFERROR(VLOOKUP($H569,'1. Set Program Names'!$B$2:$D$15,3,0)*AB569,"NA")</f>
        <v>NA</v>
      </c>
      <c r="CC569" s="80" t="str">
        <f>IFERROR(VLOOKUP($H569,'1. Set Program Names'!$B$2:$D$15,3,0)*AC569,"NA")</f>
        <v>NA</v>
      </c>
      <c r="CD569" s="80" t="str">
        <f>IFERROR(VLOOKUP($H569,'1. Set Program Names'!$B$2:$D$15,3,0)*AD569,"NA")</f>
        <v>NA</v>
      </c>
      <c r="CE569" s="80" t="str">
        <f>IFERROR(VLOOKUP($H569,'1. Set Program Names'!$B$2:$D$15,3,0)*AE569,"NA")</f>
        <v>NA</v>
      </c>
    </row>
    <row r="570" spans="1:83" x14ac:dyDescent="0.25">
      <c r="A570" s="79" t="s">
        <v>87</v>
      </c>
      <c r="B570" s="79" t="s">
        <v>88</v>
      </c>
      <c r="C570" s="79" t="s">
        <v>122</v>
      </c>
      <c r="D570" s="79" t="s">
        <v>90</v>
      </c>
      <c r="E570" s="79" t="s">
        <v>91</v>
      </c>
      <c r="F570" s="79" t="s">
        <v>90</v>
      </c>
      <c r="G570" s="79" t="s">
        <v>92</v>
      </c>
      <c r="H570" s="79" t="s">
        <v>268</v>
      </c>
      <c r="I570" s="79" t="s">
        <v>135</v>
      </c>
      <c r="J570" s="79" t="s">
        <v>134</v>
      </c>
      <c r="K570" s="79" t="s">
        <v>98</v>
      </c>
      <c r="L570" s="79">
        <v>6368</v>
      </c>
      <c r="M570" s="79">
        <v>0.60494632768604495</v>
      </c>
      <c r="N570" s="79">
        <v>0.53529110623606202</v>
      </c>
      <c r="O570" s="79">
        <v>1580</v>
      </c>
      <c r="P570" s="79">
        <v>270.05813353350197</v>
      </c>
      <c r="Q570" s="79">
        <v>6.3680000000000003</v>
      </c>
      <c r="R570" s="79">
        <v>1963.2041057461399</v>
      </c>
      <c r="S570" s="79">
        <v>5968.19517810463</v>
      </c>
      <c r="T570" s="79">
        <v>12</v>
      </c>
      <c r="U570" s="79">
        <v>1</v>
      </c>
      <c r="V570" s="79">
        <f>tbl_Data_old[[#This Row],[2025 ]]*IFERROR(AVERAGEIFS('Participation Adjustment'!$C:$C,'Participation Adjustment'!$A:$A,$H570,'Participation Adjustment'!$B:$B,$I570),1)</f>
        <v>19376.215906981</v>
      </c>
      <c r="W570" s="79">
        <f>tbl_Data_old[[#This Row],[2026 ]]*IFERROR(AVERAGEIFS('Participation Adjustment'!$C:$C,'Participation Adjustment'!$A:$A,$H570,'Participation Adjustment'!$B:$B,$I570),1)</f>
        <v>26610.7786882162</v>
      </c>
      <c r="X570" s="79">
        <f>tbl_Data_old[[#This Row],[2027 ]]*IFERROR(AVERAGEIFS('Participation Adjustment'!$C:$C,'Participation Adjustment'!$A:$A,$H570,'Participation Adjustment'!$B:$B,$I570),1)</f>
        <v>34640.238718525499</v>
      </c>
      <c r="Y570" s="79">
        <f>tbl_Data_old[[#This Row],[2028 ]]*IFERROR(AVERAGEIFS('Participation Adjustment'!$C:$C,'Participation Adjustment'!$A:$A,$H570,'Participation Adjustment'!$B:$B,$I570),1)</f>
        <v>43106.345819656803</v>
      </c>
      <c r="Z570" s="79">
        <f>tbl_Data_old[[#This Row],[2029 ]]*IFERROR(AVERAGEIFS('Participation Adjustment'!$C:$C,'Participation Adjustment'!$A:$A,$H570,'Participation Adjustment'!$B:$B,$I570),1)</f>
        <v>51316.232175552897</v>
      </c>
      <c r="AA570" s="79">
        <f>tbl_Data_old[[#This Row],[2030 ]]*IFERROR(AVERAGEIFS('Participation Adjustment'!$C:$C,'Participation Adjustment'!$A:$A,$H570,'Participation Adjustment'!$B:$B,$I570),1)</f>
        <v>58555.239272518098</v>
      </c>
      <c r="AB570" s="79">
        <f>tbl_Data_old[[#This Row],[2031 ]]*IFERROR(AVERAGEIFS('Participation Adjustment'!$C:$C,'Participation Adjustment'!$A:$A,$H570,'Participation Adjustment'!$B:$B,$I570),1)</f>
        <v>64391.9258155965</v>
      </c>
      <c r="AC570" s="79">
        <f>tbl_Data_old[[#This Row],[2032 ]]*IFERROR(AVERAGEIFS('Participation Adjustment'!$C:$C,'Participation Adjustment'!$A:$A,$H570,'Participation Adjustment'!$B:$B,$I570),1)</f>
        <v>68856.746997504306</v>
      </c>
      <c r="AD570" s="79">
        <f>tbl_Data_old[[#This Row],[2033 ]]*IFERROR(AVERAGEIFS('Participation Adjustment'!$C:$C,'Participation Adjustment'!$A:$A,$H570,'Participation Adjustment'!$B:$B,$I570),1)</f>
        <v>72163.358088004898</v>
      </c>
      <c r="AE570" s="79">
        <f>tbl_Data_old[[#This Row],[2034 ]]*IFERROR(AVERAGEIFS('Participation Adjustment'!$C:$C,'Participation Adjustment'!$A:$A,$H570,'Participation Adjustment'!$B:$B,$I570),1)</f>
        <v>74510.500360639096</v>
      </c>
      <c r="AF570" s="77" t="str">
        <f t="shared" si="231"/>
        <v>NonResidential</v>
      </c>
      <c r="AG570" s="77" t="str">
        <f>tbl_Data[[#This Row],[All_Meas_Name_Append]]</f>
        <v>Energy Star Combination Oven</v>
      </c>
      <c r="AH570" s="77">
        <f>AVERAGEIFS('3. Incentive Adjustment'!G:G,'3. Incentive Adjustment'!A:A,tbl_Data[[#This Row],[Trimmed Sector]],'3. Incentive Adjustment'!B:B,tbl_Data[[#This Row],[Trimmed Measure Name]])</f>
        <v>0.89413714267910538</v>
      </c>
      <c r="AI570" s="77">
        <f>$AH570*tbl_Data[[#This Row],[2025 ]]</f>
        <v>17324.994327001423</v>
      </c>
      <c r="AJ570" s="77">
        <f>$AH570*tbl_Data[[#This Row],[2026 ]]</f>
        <v>23793.685620747667</v>
      </c>
      <c r="AK570" s="77">
        <f>$AH570*tbl_Data[[#This Row],[2027 ]]</f>
        <v>30973.124069504505</v>
      </c>
      <c r="AL570" s="77">
        <f>$AH570*tbl_Data[[#This Row],[2028 ]]</f>
        <v>38542.984882525336</v>
      </c>
      <c r="AM570" s="77">
        <f>$AH570*tbl_Data[[#This Row],[2029 ]]</f>
        <v>45883.749210506438</v>
      </c>
      <c r="AN570" s="77">
        <f>$AH570*tbl_Data[[#This Row],[2030 ]]</f>
        <v>52356.414332020671</v>
      </c>
      <c r="AO570" s="77">
        <f>$AH570*tbl_Data[[#This Row],[2031 ]]</f>
        <v>57575.212560362379</v>
      </c>
      <c r="AP570" s="77">
        <f>$AH570*tbl_Data[[#This Row],[2032 ]]</f>
        <v>61567.375014526566</v>
      </c>
      <c r="AQ570" s="77">
        <f>$AH570*tbl_Data[[#This Row],[2033 ]]</f>
        <v>64523.938806937811</v>
      </c>
      <c r="AR570" s="77">
        <f>$AH570*tbl_Data[[#This Row],[2034 ]]</f>
        <v>66622.605892052292</v>
      </c>
      <c r="AS570" s="77">
        <f>SUM(tbl_Data[[#This Row],[Adjusted 2025]:[Adjusted 2034]])</f>
        <v>459164.08471618517</v>
      </c>
      <c r="AT570" s="80">
        <f>AVERAGEIFS('3. Incentive Adjustment'!F:F,'3. Incentive Adjustment'!A:A,tbl_Data[[#This Row],[Trimmed Sector]],'3. Incentive Adjustment'!B:B,tbl_Data[[#This Row],[Trimmed Measure Name]])</f>
        <v>0</v>
      </c>
      <c r="AU570" s="80">
        <f>IFERROR(VLOOKUP(tbl_Data[[#This Row],[All_Meas_Name_Append]],'IRA Tax Credits'!$A$3:$D$46,4,0),0)</f>
        <v>0</v>
      </c>
      <c r="AV570" s="81">
        <f>tbl_Data[[#This Row],[Adj. per unit Incentive ($)]]/tbl_Data[[#This Row],[kWh Savings]]*tbl_Data[[#This Row],[Sum of Annuals]]</f>
        <v>0</v>
      </c>
      <c r="AW570" s="81" t="str">
        <f>IFERROR(VLOOKUP(tbl_Data[[#This Row],[Column1]],'1. Set Program Names'!$B$2:$D$15,3,0)*tbl_Data[[#This Row],[Sum of Annuals]],"")</f>
        <v/>
      </c>
      <c r="AX570" s="81">
        <f>tbl_Data[[#This Row],[per unit IRA tax ($)]]/tbl_Data[[#This Row],[kWh Savings]]*tbl_Data[[#This Row],[Sum of Annuals]]</f>
        <v>0</v>
      </c>
      <c r="AY570" s="81">
        <f>tbl_Data[[#This Row],[Avoided Costs ($/unit)]]/tbl_Data[[#This Row],[kWh Savings]]*tbl_Data[[#This Row],[Sum of Annuals]]</f>
        <v>141556.66085521091</v>
      </c>
      <c r="AZ570" s="81">
        <f>tbl_Data[[#This Row],[Lost Revenue ($/unit)]]/tbl_Data[[#This Row],[kWh Savings]]*tbl_Data[[#This Row],[Sum of Annuals]]</f>
        <v>430336.19289603678</v>
      </c>
      <c r="BA570" s="81">
        <f>tbl_Data[[#This Row],[Incremental Cost ($/unit)]]/tbl_Data[[#This Row],[kWh Savings]]*tbl_Data[[#This Row],[Sum of Annuals]]</f>
        <v>113925.76222543539</v>
      </c>
      <c r="BB570" s="77">
        <f>ROUNDUP(tbl_Data[[#This Row],[Adjusted 2025]]/$L570,0)</f>
        <v>3</v>
      </c>
      <c r="BC570" s="77">
        <f>ROUNDUP(tbl_Data[[#This Row],[Adjusted 2026]]/$L570,0)</f>
        <v>4</v>
      </c>
      <c r="BD570" s="77">
        <f>ROUNDUP(tbl_Data[[#This Row],[Adjusted 2027]]/$L570,0)</f>
        <v>5</v>
      </c>
      <c r="BE570" s="77">
        <f>ROUNDUP(tbl_Data[[#This Row],[Adjusted 2028]]/$L570,0)</f>
        <v>7</v>
      </c>
      <c r="BF570" s="77">
        <f>ROUNDUP(tbl_Data[[#This Row],[Adjusted 2029]]/$L570,0)</f>
        <v>8</v>
      </c>
      <c r="BG570" s="77">
        <f>ROUNDUP(tbl_Data[[#This Row],[Adjusted 2030]]/$L570,0)</f>
        <v>9</v>
      </c>
      <c r="BH570" s="77">
        <f>ROUNDUP(tbl_Data[[#This Row],[Adjusted 2031]]/$L570,0)</f>
        <v>10</v>
      </c>
      <c r="BI570" s="77">
        <f>ROUNDUP(tbl_Data[[#This Row],[Adjusted 2032]]/$L570,0)</f>
        <v>10</v>
      </c>
      <c r="BJ570" s="77">
        <f>ROUNDUP(tbl_Data[[#This Row],[Adjusted 2033]]/$L570,0)</f>
        <v>11</v>
      </c>
      <c r="BK570" s="77">
        <f>ROUNDUP(tbl_Data[[#This Row],[Adjusted 2034]]/$L570,0)</f>
        <v>11</v>
      </c>
      <c r="BL570" s="80">
        <f t="shared" si="232"/>
        <v>0</v>
      </c>
      <c r="BM570" s="80">
        <f t="shared" si="233"/>
        <v>0</v>
      </c>
      <c r="BN570" s="80">
        <f t="shared" si="234"/>
        <v>0</v>
      </c>
      <c r="BO570" s="80">
        <f t="shared" si="235"/>
        <v>0</v>
      </c>
      <c r="BP570" s="80">
        <f t="shared" si="236"/>
        <v>0</v>
      </c>
      <c r="BQ570" s="80">
        <f t="shared" si="237"/>
        <v>0</v>
      </c>
      <c r="BR570" s="80">
        <f t="shared" si="238"/>
        <v>0</v>
      </c>
      <c r="BS570" s="80">
        <f t="shared" si="239"/>
        <v>0</v>
      </c>
      <c r="BT570" s="80">
        <f t="shared" si="240"/>
        <v>0</v>
      </c>
      <c r="BU570" s="80">
        <f t="shared" si="241"/>
        <v>0</v>
      </c>
      <c r="BV570" s="80" t="str">
        <f>IFERROR(VLOOKUP($H570,'1. Set Program Names'!$B$2:$D$15,3,0)*V570,"NA")</f>
        <v>NA</v>
      </c>
      <c r="BW570" s="80" t="str">
        <f>IFERROR(VLOOKUP($H570,'1. Set Program Names'!$B$2:$D$15,3,0)*W570,"NA")</f>
        <v>NA</v>
      </c>
      <c r="BX570" s="80" t="str">
        <f>IFERROR(VLOOKUP($H570,'1. Set Program Names'!$B$2:$D$15,3,0)*X570,"NA")</f>
        <v>NA</v>
      </c>
      <c r="BY570" s="80" t="str">
        <f>IFERROR(VLOOKUP($H570,'1. Set Program Names'!$B$2:$D$15,3,0)*Y570,"NA")</f>
        <v>NA</v>
      </c>
      <c r="BZ570" s="80" t="str">
        <f>IFERROR(VLOOKUP($H570,'1. Set Program Names'!$B$2:$D$15,3,0)*Z570,"NA")</f>
        <v>NA</v>
      </c>
      <c r="CA570" s="80" t="str">
        <f>IFERROR(VLOOKUP($H570,'1. Set Program Names'!$B$2:$D$15,3,0)*AA570,"NA")</f>
        <v>NA</v>
      </c>
      <c r="CB570" s="80" t="str">
        <f>IFERROR(VLOOKUP($H570,'1. Set Program Names'!$B$2:$D$15,3,0)*AB570,"NA")</f>
        <v>NA</v>
      </c>
      <c r="CC570" s="80" t="str">
        <f>IFERROR(VLOOKUP($H570,'1. Set Program Names'!$B$2:$D$15,3,0)*AC570,"NA")</f>
        <v>NA</v>
      </c>
      <c r="CD570" s="80" t="str">
        <f>IFERROR(VLOOKUP($H570,'1. Set Program Names'!$B$2:$D$15,3,0)*AD570,"NA")</f>
        <v>NA</v>
      </c>
      <c r="CE570" s="80" t="str">
        <f>IFERROR(VLOOKUP($H570,'1. Set Program Names'!$B$2:$D$15,3,0)*AE570,"NA")</f>
        <v>NA</v>
      </c>
    </row>
    <row r="571" spans="1:83" x14ac:dyDescent="0.25">
      <c r="A571" s="79" t="s">
        <v>87</v>
      </c>
      <c r="B571" s="79" t="s">
        <v>88</v>
      </c>
      <c r="C571" s="79" t="s">
        <v>122</v>
      </c>
      <c r="D571" s="79" t="s">
        <v>90</v>
      </c>
      <c r="E571" s="79" t="s">
        <v>91</v>
      </c>
      <c r="F571" s="79" t="s">
        <v>90</v>
      </c>
      <c r="G571" s="79" t="s">
        <v>92</v>
      </c>
      <c r="H571" s="79" t="s">
        <v>268</v>
      </c>
      <c r="I571" s="79" t="s">
        <v>136</v>
      </c>
      <c r="J571" s="79" t="s">
        <v>137</v>
      </c>
      <c r="K571" s="79" t="s">
        <v>104</v>
      </c>
      <c r="L571" s="79">
        <v>810.099999999999</v>
      </c>
      <c r="M571" s="79">
        <v>0.128563724196602</v>
      </c>
      <c r="N571" s="79">
        <v>0.13252898089850401</v>
      </c>
      <c r="O571" s="79">
        <v>224</v>
      </c>
      <c r="P571" s="79">
        <v>57.356798677055799</v>
      </c>
      <c r="Q571" s="79">
        <v>0.81009999999999904</v>
      </c>
      <c r="R571" s="79">
        <v>239.61317678792901</v>
      </c>
      <c r="S571" s="79">
        <v>505.19538551625698</v>
      </c>
      <c r="T571" s="79">
        <v>7</v>
      </c>
      <c r="U571" s="79">
        <v>1</v>
      </c>
      <c r="V571" s="79">
        <f>tbl_Data_old[[#This Row],[2025 ]]*IFERROR(AVERAGEIFS('Participation Adjustment'!$C:$C,'Participation Adjustment'!$A:$A,$H571,'Participation Adjustment'!$B:$B,$I571),1)</f>
        <v>18343.3664290171</v>
      </c>
      <c r="W571" s="79">
        <f>tbl_Data_old[[#This Row],[2026 ]]*IFERROR(AVERAGEIFS('Participation Adjustment'!$C:$C,'Participation Adjustment'!$A:$A,$H571,'Participation Adjustment'!$B:$B,$I571),1)</f>
        <v>25511.318369865901</v>
      </c>
      <c r="X571" s="79">
        <f>tbl_Data_old[[#This Row],[2027 ]]*IFERROR(AVERAGEIFS('Participation Adjustment'!$C:$C,'Participation Adjustment'!$A:$A,$H571,'Participation Adjustment'!$B:$B,$I571),1)</f>
        <v>33578.948643666699</v>
      </c>
      <c r="Y571" s="79">
        <f>tbl_Data_old[[#This Row],[2028 ]]*IFERROR(AVERAGEIFS('Participation Adjustment'!$C:$C,'Participation Adjustment'!$A:$A,$H571,'Participation Adjustment'!$B:$B,$I571),1)</f>
        <v>42238.913658184698</v>
      </c>
      <c r="Z571" s="79">
        <f>tbl_Data_old[[#This Row],[2029 ]]*IFERROR(AVERAGEIFS('Participation Adjustment'!$C:$C,'Participation Adjustment'!$A:$A,$H571,'Participation Adjustment'!$B:$B,$I571),1)</f>
        <v>50841.027850406601</v>
      </c>
      <c r="AA571" s="79">
        <f>tbl_Data_old[[#This Row],[2030 ]]*IFERROR(AVERAGEIFS('Participation Adjustment'!$C:$C,'Participation Adjustment'!$A:$A,$H571,'Participation Adjustment'!$B:$B,$I571),1)</f>
        <v>58642.007275023898</v>
      </c>
      <c r="AB571" s="79">
        <f>tbl_Data_old[[#This Row],[2031 ]]*IFERROR(AVERAGEIFS('Participation Adjustment'!$C:$C,'Participation Adjustment'!$A:$A,$H571,'Participation Adjustment'!$B:$B,$I571),1)</f>
        <v>65204.967206858099</v>
      </c>
      <c r="AC571" s="79">
        <f>tbl_Data_old[[#This Row],[2032 ]]*IFERROR(AVERAGEIFS('Participation Adjustment'!$C:$C,'Participation Adjustment'!$A:$A,$H571,'Participation Adjustment'!$B:$B,$I571),1)</f>
        <v>70516.531222992402</v>
      </c>
      <c r="AD571" s="79">
        <f>tbl_Data_old[[#This Row],[2033 ]]*IFERROR(AVERAGEIFS('Participation Adjustment'!$C:$C,'Participation Adjustment'!$A:$A,$H571,'Participation Adjustment'!$B:$B,$I571),1)</f>
        <v>74712.988726969605</v>
      </c>
      <c r="AE571" s="79">
        <f>tbl_Data_old[[#This Row],[2034 ]]*IFERROR(AVERAGEIFS('Participation Adjustment'!$C:$C,'Participation Adjustment'!$A:$A,$H571,'Participation Adjustment'!$B:$B,$I571),1)</f>
        <v>78011.265757062094</v>
      </c>
      <c r="AF571" s="77" t="str">
        <f t="shared" si="231"/>
        <v>NonResidential</v>
      </c>
      <c r="AG571" s="77" t="str">
        <f>tbl_Data[[#This Row],[All_Meas_Name_Append]]</f>
        <v>Energy Star Commercial Clothes Washer</v>
      </c>
      <c r="AH571" s="77">
        <f>AVERAGEIFS('3. Incentive Adjustment'!G:G,'3. Incentive Adjustment'!A:A,tbl_Data[[#This Row],[Trimmed Sector]],'3. Incentive Adjustment'!B:B,tbl_Data[[#This Row],[Trimmed Measure Name]])</f>
        <v>0.82959886877160749</v>
      </c>
      <c r="AI571" s="77">
        <f>$AH571*tbl_Data[[#This Row],[2025 ]]</f>
        <v>15217.636038975668</v>
      </c>
      <c r="AJ571" s="77">
        <f>$AH571*tbl_Data[[#This Row],[2026 ]]</f>
        <v>21164.160860513082</v>
      </c>
      <c r="AK571" s="77">
        <f>$AH571*tbl_Data[[#This Row],[2027 ]]</f>
        <v>27857.057809325797</v>
      </c>
      <c r="AL571" s="77">
        <f>$AH571*tbl_Data[[#This Row],[2028 ]]</f>
        <v>35041.354988971623</v>
      </c>
      <c r="AM571" s="77">
        <f>$AH571*tbl_Data[[#This Row],[2029 ]]</f>
        <v>42177.659191883111</v>
      </c>
      <c r="AN571" s="77">
        <f>$AH571*tbl_Data[[#This Row],[2030 ]]</f>
        <v>48649.342897856201</v>
      </c>
      <c r="AO571" s="77">
        <f>$AH571*tbl_Data[[#This Row],[2031 ]]</f>
        <v>54093.967033099245</v>
      </c>
      <c r="AP571" s="77">
        <f>$AH571*tbl_Data[[#This Row],[2032 ]]</f>
        <v>58500.434532292238</v>
      </c>
      <c r="AQ571" s="77">
        <f>$AH571*tbl_Data[[#This Row],[2033 ]]</f>
        <v>61981.810930439846</v>
      </c>
      <c r="AR571" s="77">
        <f>$AH571*tbl_Data[[#This Row],[2034 ]]</f>
        <v>64718.057823499956</v>
      </c>
      <c r="AS571" s="77">
        <f>SUM(tbl_Data[[#This Row],[Adjusted 2025]:[Adjusted 2034]])</f>
        <v>429401.48210685677</v>
      </c>
      <c r="AT571" s="80">
        <f>AVERAGEIFS('3. Incentive Adjustment'!F:F,'3. Incentive Adjustment'!A:A,tbl_Data[[#This Row],[Trimmed Sector]],'3. Incentive Adjustment'!B:B,tbl_Data[[#This Row],[Trimmed Measure Name]])</f>
        <v>0</v>
      </c>
      <c r="AU571" s="80">
        <f>IFERROR(VLOOKUP(tbl_Data[[#This Row],[All_Meas_Name_Append]],'IRA Tax Credits'!$A$3:$D$46,4,0),0)</f>
        <v>0</v>
      </c>
      <c r="AV571" s="81">
        <f>tbl_Data[[#This Row],[Adj. per unit Incentive ($)]]/tbl_Data[[#This Row],[kWh Savings]]*tbl_Data[[#This Row],[Sum of Annuals]]</f>
        <v>0</v>
      </c>
      <c r="AW571" s="81" t="str">
        <f>IFERROR(VLOOKUP(tbl_Data[[#This Row],[Column1]],'1. Set Program Names'!$B$2:$D$15,3,0)*tbl_Data[[#This Row],[Sum of Annuals]],"")</f>
        <v/>
      </c>
      <c r="AX571" s="81">
        <f>tbl_Data[[#This Row],[per unit IRA tax ($)]]/tbl_Data[[#This Row],[kWh Savings]]*tbl_Data[[#This Row],[Sum of Annuals]]</f>
        <v>0</v>
      </c>
      <c r="AY571" s="81">
        <f>tbl_Data[[#This Row],[Avoided Costs ($/unit)]]/tbl_Data[[#This Row],[kWh Savings]]*tbl_Data[[#This Row],[Sum of Annuals]]</f>
        <v>127009.32384282081</v>
      </c>
      <c r="AZ571" s="81">
        <f>tbl_Data[[#This Row],[Lost Revenue ($/unit)]]/tbl_Data[[#This Row],[kWh Savings]]*tbl_Data[[#This Row],[Sum of Annuals]]</f>
        <v>267783.78878437955</v>
      </c>
      <c r="BA571" s="81">
        <f>tbl_Data[[#This Row],[Incremental Cost ($/unit)]]/tbl_Data[[#This Row],[kWh Savings]]*tbl_Data[[#This Row],[Sum of Annuals]]</f>
        <v>118733.40574242198</v>
      </c>
      <c r="BB571" s="77">
        <f>ROUNDUP(tbl_Data[[#This Row],[Adjusted 2025]]/$L571,0)</f>
        <v>19</v>
      </c>
      <c r="BC571" s="77">
        <f>ROUNDUP(tbl_Data[[#This Row],[Adjusted 2026]]/$L571,0)</f>
        <v>27</v>
      </c>
      <c r="BD571" s="77">
        <f>ROUNDUP(tbl_Data[[#This Row],[Adjusted 2027]]/$L571,0)</f>
        <v>35</v>
      </c>
      <c r="BE571" s="77">
        <f>ROUNDUP(tbl_Data[[#This Row],[Adjusted 2028]]/$L571,0)</f>
        <v>44</v>
      </c>
      <c r="BF571" s="77">
        <f>ROUNDUP(tbl_Data[[#This Row],[Adjusted 2029]]/$L571,0)</f>
        <v>53</v>
      </c>
      <c r="BG571" s="77">
        <f>ROUNDUP(tbl_Data[[#This Row],[Adjusted 2030]]/$L571,0)</f>
        <v>61</v>
      </c>
      <c r="BH571" s="77">
        <f>ROUNDUP(tbl_Data[[#This Row],[Adjusted 2031]]/$L571,0)</f>
        <v>67</v>
      </c>
      <c r="BI571" s="77">
        <f>ROUNDUP(tbl_Data[[#This Row],[Adjusted 2032]]/$L571,0)</f>
        <v>73</v>
      </c>
      <c r="BJ571" s="77">
        <f>ROUNDUP(tbl_Data[[#This Row],[Adjusted 2033]]/$L571,0)</f>
        <v>77</v>
      </c>
      <c r="BK571" s="77">
        <f>ROUNDUP(tbl_Data[[#This Row],[Adjusted 2034]]/$L571,0)</f>
        <v>80</v>
      </c>
      <c r="BL571" s="80">
        <f t="shared" si="232"/>
        <v>0</v>
      </c>
      <c r="BM571" s="80">
        <f t="shared" si="233"/>
        <v>0</v>
      </c>
      <c r="BN571" s="80">
        <f t="shared" si="234"/>
        <v>0</v>
      </c>
      <c r="BO571" s="80">
        <f t="shared" si="235"/>
        <v>0</v>
      </c>
      <c r="BP571" s="80">
        <f t="shared" si="236"/>
        <v>0</v>
      </c>
      <c r="BQ571" s="80">
        <f t="shared" si="237"/>
        <v>0</v>
      </c>
      <c r="BR571" s="80">
        <f t="shared" si="238"/>
        <v>0</v>
      </c>
      <c r="BS571" s="80">
        <f t="shared" si="239"/>
        <v>0</v>
      </c>
      <c r="BT571" s="80">
        <f t="shared" si="240"/>
        <v>0</v>
      </c>
      <c r="BU571" s="80">
        <f t="shared" si="241"/>
        <v>0</v>
      </c>
      <c r="BV571" s="80" t="str">
        <f>IFERROR(VLOOKUP($H571,'1. Set Program Names'!$B$2:$D$15,3,0)*V571,"NA")</f>
        <v>NA</v>
      </c>
      <c r="BW571" s="80" t="str">
        <f>IFERROR(VLOOKUP($H571,'1. Set Program Names'!$B$2:$D$15,3,0)*W571,"NA")</f>
        <v>NA</v>
      </c>
      <c r="BX571" s="80" t="str">
        <f>IFERROR(VLOOKUP($H571,'1. Set Program Names'!$B$2:$D$15,3,0)*X571,"NA")</f>
        <v>NA</v>
      </c>
      <c r="BY571" s="80" t="str">
        <f>IFERROR(VLOOKUP($H571,'1. Set Program Names'!$B$2:$D$15,3,0)*Y571,"NA")</f>
        <v>NA</v>
      </c>
      <c r="BZ571" s="80" t="str">
        <f>IFERROR(VLOOKUP($H571,'1. Set Program Names'!$B$2:$D$15,3,0)*Z571,"NA")</f>
        <v>NA</v>
      </c>
      <c r="CA571" s="80" t="str">
        <f>IFERROR(VLOOKUP($H571,'1. Set Program Names'!$B$2:$D$15,3,0)*AA571,"NA")</f>
        <v>NA</v>
      </c>
      <c r="CB571" s="80" t="str">
        <f>IFERROR(VLOOKUP($H571,'1. Set Program Names'!$B$2:$D$15,3,0)*AB571,"NA")</f>
        <v>NA</v>
      </c>
      <c r="CC571" s="80" t="str">
        <f>IFERROR(VLOOKUP($H571,'1. Set Program Names'!$B$2:$D$15,3,0)*AC571,"NA")</f>
        <v>NA</v>
      </c>
      <c r="CD571" s="80" t="str">
        <f>IFERROR(VLOOKUP($H571,'1. Set Program Names'!$B$2:$D$15,3,0)*AD571,"NA")</f>
        <v>NA</v>
      </c>
      <c r="CE571" s="80" t="str">
        <f>IFERROR(VLOOKUP($H571,'1. Set Program Names'!$B$2:$D$15,3,0)*AE571,"NA")</f>
        <v>NA</v>
      </c>
    </row>
    <row r="572" spans="1:83" x14ac:dyDescent="0.25">
      <c r="A572" s="79" t="s">
        <v>87</v>
      </c>
      <c r="B572" s="79" t="s">
        <v>88</v>
      </c>
      <c r="C572" s="79" t="s">
        <v>122</v>
      </c>
      <c r="D572" s="79" t="s">
        <v>90</v>
      </c>
      <c r="E572" s="79" t="s">
        <v>91</v>
      </c>
      <c r="F572" s="79" t="s">
        <v>90</v>
      </c>
      <c r="G572" s="79" t="s">
        <v>92</v>
      </c>
      <c r="H572" s="79" t="s">
        <v>268</v>
      </c>
      <c r="I572" s="79" t="s">
        <v>138</v>
      </c>
      <c r="J572" s="79" t="s">
        <v>124</v>
      </c>
      <c r="K572" s="79" t="s">
        <v>98</v>
      </c>
      <c r="L572" s="79">
        <v>4708.5</v>
      </c>
      <c r="M572" s="79">
        <v>0.683430781395169</v>
      </c>
      <c r="N572" s="79">
        <v>0.60632419999120102</v>
      </c>
      <c r="O572" s="79">
        <v>1154.6399999999901</v>
      </c>
      <c r="P572" s="79">
        <v>186.06881936911</v>
      </c>
      <c r="Q572" s="79">
        <v>4.7084999999999999</v>
      </c>
      <c r="R572" s="79">
        <v>1872.3805627056299</v>
      </c>
      <c r="S572" s="79">
        <v>4412.8842644638298</v>
      </c>
      <c r="T572" s="79">
        <v>12</v>
      </c>
      <c r="U572" s="79">
        <v>1</v>
      </c>
      <c r="V572" s="79">
        <f>tbl_Data_old[[#This Row],[2025 ]]*IFERROR(AVERAGEIFS('Participation Adjustment'!$C:$C,'Participation Adjustment'!$A:$A,$H572,'Participation Adjustment'!$B:$B,$I572),1)</f>
        <v>30060.2834097175</v>
      </c>
      <c r="W572" s="79">
        <f>tbl_Data_old[[#This Row],[2026 ]]*IFERROR(AVERAGEIFS('Participation Adjustment'!$C:$C,'Participation Adjustment'!$A:$A,$H572,'Participation Adjustment'!$B:$B,$I572),1)</f>
        <v>41583.173529589003</v>
      </c>
      <c r="X572" s="79">
        <f>tbl_Data_old[[#This Row],[2027 ]]*IFERROR(AVERAGEIFS('Participation Adjustment'!$C:$C,'Participation Adjustment'!$A:$A,$H572,'Participation Adjustment'!$B:$B,$I572),1)</f>
        <v>54535.344331760301</v>
      </c>
      <c r="Y572" s="79">
        <f>tbl_Data_old[[#This Row],[2028 ]]*IFERROR(AVERAGEIFS('Participation Adjustment'!$C:$C,'Participation Adjustment'!$A:$A,$H572,'Participation Adjustment'!$B:$B,$I572),1)</f>
        <v>68373.954706888806</v>
      </c>
      <c r="Z572" s="79">
        <f>tbl_Data_old[[#This Row],[2029 ]]*IFERROR(AVERAGEIFS('Participation Adjustment'!$C:$C,'Participation Adjustment'!$A:$A,$H572,'Participation Adjustment'!$B:$B,$I572),1)</f>
        <v>82004.092227461893</v>
      </c>
      <c r="AA572" s="79">
        <f>tbl_Data_old[[#This Row],[2030 ]]*IFERROR(AVERAGEIFS('Participation Adjustment'!$C:$C,'Participation Adjustment'!$A:$A,$H572,'Participation Adjustment'!$B:$B,$I572),1)</f>
        <v>94274.203615963997</v>
      </c>
      <c r="AB572" s="79">
        <f>tbl_Data_old[[#This Row],[2031 ]]*IFERROR(AVERAGEIFS('Participation Adjustment'!$C:$C,'Participation Adjustment'!$A:$A,$H572,'Participation Adjustment'!$B:$B,$I572),1)</f>
        <v>104444.238301932</v>
      </c>
      <c r="AC572" s="79">
        <f>tbl_Data_old[[#This Row],[2032 ]]*IFERROR(AVERAGEIFS('Participation Adjustment'!$C:$C,'Participation Adjustment'!$A:$A,$H572,'Participation Adjustment'!$B:$B,$I572),1)</f>
        <v>112515.635522789</v>
      </c>
      <c r="AD572" s="79">
        <f>tbl_Data_old[[#This Row],[2033 ]]*IFERROR(AVERAGEIFS('Participation Adjustment'!$C:$C,'Participation Adjustment'!$A:$A,$H572,'Participation Adjustment'!$B:$B,$I572),1)</f>
        <v>118802.921923259</v>
      </c>
      <c r="AE572" s="79">
        <f>tbl_Data_old[[#This Row],[2034 ]]*IFERROR(AVERAGEIFS('Participation Adjustment'!$C:$C,'Participation Adjustment'!$A:$A,$H572,'Participation Adjustment'!$B:$B,$I572),1)</f>
        <v>123582.51544312701</v>
      </c>
      <c r="AF572" s="77" t="str">
        <f t="shared" si="231"/>
        <v>NonResidential</v>
      </c>
      <c r="AG572" s="77" t="str">
        <f>tbl_Data[[#This Row],[All_Meas_Name_Append]]</f>
        <v>Energy Star Commercial Glass Door Freezer</v>
      </c>
      <c r="AH572" s="77">
        <f>AVERAGEIFS('3. Incentive Adjustment'!G:G,'3. Incentive Adjustment'!A:A,tbl_Data[[#This Row],[Trimmed Sector]],'3. Incentive Adjustment'!B:B,tbl_Data[[#This Row],[Trimmed Measure Name]])</f>
        <v>0.90098363397891501</v>
      </c>
      <c r="AI572" s="77">
        <f>$AH572*tbl_Data[[#This Row],[2025 ]]</f>
        <v>27083.823384923362</v>
      </c>
      <c r="AJ572" s="77">
        <f>$AH572*tbl_Data[[#This Row],[2026 ]]</f>
        <v>37465.758799064926</v>
      </c>
      <c r="AK572" s="77">
        <f>$AH572*tbl_Data[[#This Row],[2027 ]]</f>
        <v>49135.452716320819</v>
      </c>
      <c r="AL572" s="77">
        <f>$AH572*tbl_Data[[#This Row],[2028 ]]</f>
        <v>61603.814181322414</v>
      </c>
      <c r="AM572" s="77">
        <f>$AH572*tbl_Data[[#This Row],[2029 ]]</f>
        <v>73884.34501624071</v>
      </c>
      <c r="AN572" s="77">
        <f>$AH572*tbl_Data[[#This Row],[2030 ]]</f>
        <v>84939.514564379409</v>
      </c>
      <c r="AO572" s="77">
        <f>$AH572*tbl_Data[[#This Row],[2031 ]]</f>
        <v>94102.549373434478</v>
      </c>
      <c r="AP572" s="77">
        <f>$AH572*tbl_Data[[#This Row],[2032 ]]</f>
        <v>101374.74617276953</v>
      </c>
      <c r="AQ572" s="77">
        <f>$AH572*tbl_Data[[#This Row],[2033 ]]</f>
        <v>107039.4883217312</v>
      </c>
      <c r="AR572" s="77">
        <f>$AH572*tbl_Data[[#This Row],[2034 ]]</f>
        <v>111345.82386020395</v>
      </c>
      <c r="AS572" s="77">
        <f>SUM(tbl_Data[[#This Row],[Adjusted 2025]:[Adjusted 2034]])</f>
        <v>747975.31639039086</v>
      </c>
      <c r="AT572" s="80">
        <f>AVERAGEIFS('3. Incentive Adjustment'!F:F,'3. Incentive Adjustment'!A:A,tbl_Data[[#This Row],[Trimmed Sector]],'3. Incentive Adjustment'!B:B,tbl_Data[[#This Row],[Trimmed Measure Name]])</f>
        <v>0</v>
      </c>
      <c r="AU572" s="80">
        <f>IFERROR(VLOOKUP(tbl_Data[[#This Row],[All_Meas_Name_Append]],'IRA Tax Credits'!$A$3:$D$46,4,0),0)</f>
        <v>0</v>
      </c>
      <c r="AV572" s="81">
        <f>tbl_Data[[#This Row],[Adj. per unit Incentive ($)]]/tbl_Data[[#This Row],[kWh Savings]]*tbl_Data[[#This Row],[Sum of Annuals]]</f>
        <v>0</v>
      </c>
      <c r="AW572" s="81" t="str">
        <f>IFERROR(VLOOKUP(tbl_Data[[#This Row],[Column1]],'1. Set Program Names'!$B$2:$D$15,3,0)*tbl_Data[[#This Row],[Sum of Annuals]],"")</f>
        <v/>
      </c>
      <c r="AX572" s="81">
        <f>tbl_Data[[#This Row],[per unit IRA tax ($)]]/tbl_Data[[#This Row],[kWh Savings]]*tbl_Data[[#This Row],[Sum of Annuals]]</f>
        <v>0</v>
      </c>
      <c r="AY572" s="81">
        <f>tbl_Data[[#This Row],[Avoided Costs ($/unit)]]/tbl_Data[[#This Row],[kWh Savings]]*tbl_Data[[#This Row],[Sum of Annuals]]</f>
        <v>297439.61851820361</v>
      </c>
      <c r="AZ572" s="81">
        <f>tbl_Data[[#This Row],[Lost Revenue ($/unit)]]/tbl_Data[[#This Row],[kWh Savings]]*tbl_Data[[#This Row],[Sum of Annuals]]</f>
        <v>701014.86756005313</v>
      </c>
      <c r="BA572" s="81">
        <f>tbl_Data[[#This Row],[Incremental Cost ($/unit)]]/tbl_Data[[#This Row],[kWh Savings]]*tbl_Data[[#This Row],[Sum of Annuals]]</f>
        <v>183421.94314898449</v>
      </c>
      <c r="BB572" s="77">
        <f>ROUNDUP(tbl_Data[[#This Row],[Adjusted 2025]]/$L572,0)</f>
        <v>6</v>
      </c>
      <c r="BC572" s="77">
        <f>ROUNDUP(tbl_Data[[#This Row],[Adjusted 2026]]/$L572,0)</f>
        <v>8</v>
      </c>
      <c r="BD572" s="77">
        <f>ROUNDUP(tbl_Data[[#This Row],[Adjusted 2027]]/$L572,0)</f>
        <v>11</v>
      </c>
      <c r="BE572" s="77">
        <f>ROUNDUP(tbl_Data[[#This Row],[Adjusted 2028]]/$L572,0)</f>
        <v>14</v>
      </c>
      <c r="BF572" s="77">
        <f>ROUNDUP(tbl_Data[[#This Row],[Adjusted 2029]]/$L572,0)</f>
        <v>16</v>
      </c>
      <c r="BG572" s="77">
        <f>ROUNDUP(tbl_Data[[#This Row],[Adjusted 2030]]/$L572,0)</f>
        <v>19</v>
      </c>
      <c r="BH572" s="77">
        <f>ROUNDUP(tbl_Data[[#This Row],[Adjusted 2031]]/$L572,0)</f>
        <v>20</v>
      </c>
      <c r="BI572" s="77">
        <f>ROUNDUP(tbl_Data[[#This Row],[Adjusted 2032]]/$L572,0)</f>
        <v>22</v>
      </c>
      <c r="BJ572" s="77">
        <f>ROUNDUP(tbl_Data[[#This Row],[Adjusted 2033]]/$L572,0)</f>
        <v>23</v>
      </c>
      <c r="BK572" s="77">
        <f>ROUNDUP(tbl_Data[[#This Row],[Adjusted 2034]]/$L572,0)</f>
        <v>24</v>
      </c>
      <c r="BL572" s="80">
        <f t="shared" si="232"/>
        <v>0</v>
      </c>
      <c r="BM572" s="80">
        <f t="shared" si="233"/>
        <v>0</v>
      </c>
      <c r="BN572" s="80">
        <f t="shared" si="234"/>
        <v>0</v>
      </c>
      <c r="BO572" s="80">
        <f t="shared" si="235"/>
        <v>0</v>
      </c>
      <c r="BP572" s="80">
        <f t="shared" si="236"/>
        <v>0</v>
      </c>
      <c r="BQ572" s="80">
        <f t="shared" si="237"/>
        <v>0</v>
      </c>
      <c r="BR572" s="80">
        <f t="shared" si="238"/>
        <v>0</v>
      </c>
      <c r="BS572" s="80">
        <f t="shared" si="239"/>
        <v>0</v>
      </c>
      <c r="BT572" s="80">
        <f t="shared" si="240"/>
        <v>0</v>
      </c>
      <c r="BU572" s="80">
        <f t="shared" si="241"/>
        <v>0</v>
      </c>
      <c r="BV572" s="80" t="str">
        <f>IFERROR(VLOOKUP($H572,'1. Set Program Names'!$B$2:$D$15,3,0)*V572,"NA")</f>
        <v>NA</v>
      </c>
      <c r="BW572" s="80" t="str">
        <f>IFERROR(VLOOKUP($H572,'1. Set Program Names'!$B$2:$D$15,3,0)*W572,"NA")</f>
        <v>NA</v>
      </c>
      <c r="BX572" s="80" t="str">
        <f>IFERROR(VLOOKUP($H572,'1. Set Program Names'!$B$2:$D$15,3,0)*X572,"NA")</f>
        <v>NA</v>
      </c>
      <c r="BY572" s="80" t="str">
        <f>IFERROR(VLOOKUP($H572,'1. Set Program Names'!$B$2:$D$15,3,0)*Y572,"NA")</f>
        <v>NA</v>
      </c>
      <c r="BZ572" s="80" t="str">
        <f>IFERROR(VLOOKUP($H572,'1. Set Program Names'!$B$2:$D$15,3,0)*Z572,"NA")</f>
        <v>NA</v>
      </c>
      <c r="CA572" s="80" t="str">
        <f>IFERROR(VLOOKUP($H572,'1. Set Program Names'!$B$2:$D$15,3,0)*AA572,"NA")</f>
        <v>NA</v>
      </c>
      <c r="CB572" s="80" t="str">
        <f>IFERROR(VLOOKUP($H572,'1. Set Program Names'!$B$2:$D$15,3,0)*AB572,"NA")</f>
        <v>NA</v>
      </c>
      <c r="CC572" s="80" t="str">
        <f>IFERROR(VLOOKUP($H572,'1. Set Program Names'!$B$2:$D$15,3,0)*AC572,"NA")</f>
        <v>NA</v>
      </c>
      <c r="CD572" s="80" t="str">
        <f>IFERROR(VLOOKUP($H572,'1. Set Program Names'!$B$2:$D$15,3,0)*AD572,"NA")</f>
        <v>NA</v>
      </c>
      <c r="CE572" s="80" t="str">
        <f>IFERROR(VLOOKUP($H572,'1. Set Program Names'!$B$2:$D$15,3,0)*AE572,"NA")</f>
        <v>NA</v>
      </c>
    </row>
    <row r="573" spans="1:83" x14ac:dyDescent="0.25">
      <c r="A573" s="79" t="s">
        <v>87</v>
      </c>
      <c r="B573" s="79" t="s">
        <v>88</v>
      </c>
      <c r="C573" s="79" t="s">
        <v>122</v>
      </c>
      <c r="D573" s="79" t="s">
        <v>90</v>
      </c>
      <c r="E573" s="79" t="s">
        <v>91</v>
      </c>
      <c r="F573" s="79" t="s">
        <v>90</v>
      </c>
      <c r="G573" s="79" t="s">
        <v>92</v>
      </c>
      <c r="H573" s="79" t="s">
        <v>268</v>
      </c>
      <c r="I573" s="79" t="s">
        <v>139</v>
      </c>
      <c r="J573" s="79" t="s">
        <v>134</v>
      </c>
      <c r="K573" s="79" t="s">
        <v>98</v>
      </c>
      <c r="L573" s="79">
        <v>1937</v>
      </c>
      <c r="M573" s="79">
        <v>0.24908899441118301</v>
      </c>
      <c r="N573" s="79">
        <v>0.21233623172368499</v>
      </c>
      <c r="O573" s="79">
        <v>631.37</v>
      </c>
      <c r="P573" s="79">
        <v>232.91563515301399</v>
      </c>
      <c r="Q573" s="79">
        <v>1.9370000000000001</v>
      </c>
      <c r="R573" s="79">
        <v>770.86000119756204</v>
      </c>
      <c r="S573" s="79">
        <v>2270.0548686653701</v>
      </c>
      <c r="T573" s="79">
        <v>17</v>
      </c>
      <c r="U573" s="79">
        <v>1</v>
      </c>
      <c r="V573" s="79">
        <f>tbl_Data_old[[#This Row],[2025 ]]*IFERROR(AVERAGEIFS('Participation Adjustment'!$C:$C,'Participation Adjustment'!$A:$A,$H573,'Participation Adjustment'!$B:$B,$I573),1)</f>
        <v>7975.3880942761598</v>
      </c>
      <c r="W573" s="79">
        <f>tbl_Data_old[[#This Row],[2026 ]]*IFERROR(AVERAGEIFS('Participation Adjustment'!$C:$C,'Participation Adjustment'!$A:$A,$H573,'Participation Adjustment'!$B:$B,$I573),1)</f>
        <v>10858.8058612117</v>
      </c>
      <c r="X573" s="79">
        <f>tbl_Data_old[[#This Row],[2027 ]]*IFERROR(AVERAGEIFS('Participation Adjustment'!$C:$C,'Participation Adjustment'!$A:$A,$H573,'Participation Adjustment'!$B:$B,$I573),1)</f>
        <v>13997.1728835617</v>
      </c>
      <c r="Y573" s="79">
        <f>tbl_Data_old[[#This Row],[2028 ]]*IFERROR(AVERAGEIFS('Participation Adjustment'!$C:$C,'Participation Adjustment'!$A:$A,$H573,'Participation Adjustment'!$B:$B,$I573),1)</f>
        <v>17237.825755087099</v>
      </c>
      <c r="Z573" s="79">
        <f>tbl_Data_old[[#This Row],[2029 ]]*IFERROR(AVERAGEIFS('Participation Adjustment'!$C:$C,'Participation Adjustment'!$A:$A,$H573,'Participation Adjustment'!$B:$B,$I573),1)</f>
        <v>20313.440729424601</v>
      </c>
      <c r="AA573" s="79">
        <f>tbl_Data_old[[#This Row],[2030 ]]*IFERROR(AVERAGEIFS('Participation Adjustment'!$C:$C,'Participation Adjustment'!$A:$A,$H573,'Participation Adjustment'!$B:$B,$I573),1)</f>
        <v>22969.736701091799</v>
      </c>
      <c r="AB573" s="79">
        <f>tbl_Data_old[[#This Row],[2031 ]]*IFERROR(AVERAGEIFS('Participation Adjustment'!$C:$C,'Participation Adjustment'!$A:$A,$H573,'Participation Adjustment'!$B:$B,$I573),1)</f>
        <v>25073.502125064399</v>
      </c>
      <c r="AC573" s="79">
        <f>tbl_Data_old[[#This Row],[2032 ]]*IFERROR(AVERAGEIFS('Participation Adjustment'!$C:$C,'Participation Adjustment'!$A:$A,$H573,'Participation Adjustment'!$B:$B,$I573),1)</f>
        <v>26664.489240945299</v>
      </c>
      <c r="AD573" s="79">
        <f>tbl_Data_old[[#This Row],[2033 ]]*IFERROR(AVERAGEIFS('Participation Adjustment'!$C:$C,'Participation Adjustment'!$A:$A,$H573,'Participation Adjustment'!$B:$B,$I573),1)</f>
        <v>27837.922540942101</v>
      </c>
      <c r="AE573" s="79">
        <f>tbl_Data_old[[#This Row],[2034 ]]*IFERROR(AVERAGEIFS('Participation Adjustment'!$C:$C,'Participation Adjustment'!$A:$A,$H573,'Participation Adjustment'!$B:$B,$I573),1)</f>
        <v>28670.8943541113</v>
      </c>
      <c r="AF573" s="77" t="str">
        <f t="shared" si="231"/>
        <v>NonResidential</v>
      </c>
      <c r="AG573" s="77" t="str">
        <f>tbl_Data[[#This Row],[All_Meas_Name_Append]]</f>
        <v>Energy Star convection oven</v>
      </c>
      <c r="AH573" s="77">
        <f>AVERAGEIFS('3. Incentive Adjustment'!G:G,'3. Incentive Adjustment'!A:A,tbl_Data[[#This Row],[Trimmed Sector]],'3. Incentive Adjustment'!B:B,tbl_Data[[#This Row],[Trimmed Measure Name]])</f>
        <v>0.72813370493976592</v>
      </c>
      <c r="AI573" s="77">
        <f>$AH573*tbl_Data[[#This Row],[2025 ]]</f>
        <v>5807.1488814177992</v>
      </c>
      <c r="AJ573" s="77">
        <f>$AH573*tbl_Data[[#This Row],[2026 ]]</f>
        <v>7906.6625429457208</v>
      </c>
      <c r="AK573" s="77">
        <f>$AH573*tbl_Data[[#This Row],[2027 ]]</f>
        <v>10191.813350390206</v>
      </c>
      <c r="AL573" s="77">
        <f>$AH573*tbl_Data[[#This Row],[2028 ]]</f>
        <v>12551.441932157688</v>
      </c>
      <c r="AM573" s="77">
        <f>$AH573*tbl_Data[[#This Row],[2029 ]]</f>
        <v>14790.900858390276</v>
      </c>
      <c r="AN573" s="77">
        <f>$AH573*tbl_Data[[#This Row],[2030 ]]</f>
        <v>16725.039485656889</v>
      </c>
      <c r="AO573" s="77">
        <f>$AH573*tbl_Data[[#This Row],[2031 ]]</f>
        <v>18256.861998138236</v>
      </c>
      <c r="AP573" s="77">
        <f>$AH573*tbl_Data[[#This Row],[2032 ]]</f>
        <v>19415.313341336026</v>
      </c>
      <c r="AQ573" s="77">
        <f>$AH573*tbl_Data[[#This Row],[2033 ]]</f>
        <v>20269.729677562394</v>
      </c>
      <c r="AR573" s="77">
        <f>$AH573*tbl_Data[[#This Row],[2034 ]]</f>
        <v>20876.244529995678</v>
      </c>
      <c r="AS573" s="77">
        <f>SUM(tbl_Data[[#This Row],[Adjusted 2025]:[Adjusted 2034]])</f>
        <v>146791.15659799092</v>
      </c>
      <c r="AT573" s="80">
        <f>AVERAGEIFS('3. Incentive Adjustment'!F:F,'3. Incentive Adjustment'!A:A,tbl_Data[[#This Row],[Trimmed Sector]],'3. Incentive Adjustment'!B:B,tbl_Data[[#This Row],[Trimmed Measure Name]])</f>
        <v>0</v>
      </c>
      <c r="AU573" s="80">
        <f>IFERROR(VLOOKUP(tbl_Data[[#This Row],[All_Meas_Name_Append]],'IRA Tax Credits'!$A$3:$D$46,4,0),0)</f>
        <v>0</v>
      </c>
      <c r="AV573" s="81">
        <f>tbl_Data[[#This Row],[Adj. per unit Incentive ($)]]/tbl_Data[[#This Row],[kWh Savings]]*tbl_Data[[#This Row],[Sum of Annuals]]</f>
        <v>0</v>
      </c>
      <c r="AW573" s="81" t="str">
        <f>IFERROR(VLOOKUP(tbl_Data[[#This Row],[Column1]],'1. Set Program Names'!$B$2:$D$15,3,0)*tbl_Data[[#This Row],[Sum of Annuals]],"")</f>
        <v/>
      </c>
      <c r="AX573" s="81">
        <f>tbl_Data[[#This Row],[per unit IRA tax ($)]]/tbl_Data[[#This Row],[kWh Savings]]*tbl_Data[[#This Row],[Sum of Annuals]]</f>
        <v>0</v>
      </c>
      <c r="AY573" s="81">
        <f>tbl_Data[[#This Row],[Avoided Costs ($/unit)]]/tbl_Data[[#This Row],[kWh Savings]]*tbl_Data[[#This Row],[Sum of Annuals]]</f>
        <v>58417.878756282291</v>
      </c>
      <c r="AZ573" s="81">
        <f>tbl_Data[[#This Row],[Lost Revenue ($/unit)]]/tbl_Data[[#This Row],[kWh Savings]]*tbl_Data[[#This Row],[Sum of Annuals]]</f>
        <v>172030.96526189471</v>
      </c>
      <c r="BA573" s="81">
        <f>tbl_Data[[#This Row],[Incremental Cost ($/unit)]]/tbl_Data[[#This Row],[kWh Savings]]*tbl_Data[[#This Row],[Sum of Annuals]]</f>
        <v>47846.94503937714</v>
      </c>
      <c r="BB573" s="77">
        <f>ROUNDUP(tbl_Data[[#This Row],[Adjusted 2025]]/$L573,0)</f>
        <v>3</v>
      </c>
      <c r="BC573" s="77">
        <f>ROUNDUP(tbl_Data[[#This Row],[Adjusted 2026]]/$L573,0)</f>
        <v>5</v>
      </c>
      <c r="BD573" s="77">
        <f>ROUNDUP(tbl_Data[[#This Row],[Adjusted 2027]]/$L573,0)</f>
        <v>6</v>
      </c>
      <c r="BE573" s="77">
        <f>ROUNDUP(tbl_Data[[#This Row],[Adjusted 2028]]/$L573,0)</f>
        <v>7</v>
      </c>
      <c r="BF573" s="77">
        <f>ROUNDUP(tbl_Data[[#This Row],[Adjusted 2029]]/$L573,0)</f>
        <v>8</v>
      </c>
      <c r="BG573" s="77">
        <f>ROUNDUP(tbl_Data[[#This Row],[Adjusted 2030]]/$L573,0)</f>
        <v>9</v>
      </c>
      <c r="BH573" s="77">
        <f>ROUNDUP(tbl_Data[[#This Row],[Adjusted 2031]]/$L573,0)</f>
        <v>10</v>
      </c>
      <c r="BI573" s="77">
        <f>ROUNDUP(tbl_Data[[#This Row],[Adjusted 2032]]/$L573,0)</f>
        <v>11</v>
      </c>
      <c r="BJ573" s="77">
        <f>ROUNDUP(tbl_Data[[#This Row],[Adjusted 2033]]/$L573,0)</f>
        <v>11</v>
      </c>
      <c r="BK573" s="77">
        <f>ROUNDUP(tbl_Data[[#This Row],[Adjusted 2034]]/$L573,0)</f>
        <v>11</v>
      </c>
      <c r="BL573" s="80">
        <f t="shared" si="232"/>
        <v>0</v>
      </c>
      <c r="BM573" s="80">
        <f t="shared" si="233"/>
        <v>0</v>
      </c>
      <c r="BN573" s="80">
        <f t="shared" si="234"/>
        <v>0</v>
      </c>
      <c r="BO573" s="80">
        <f t="shared" si="235"/>
        <v>0</v>
      </c>
      <c r="BP573" s="80">
        <f t="shared" si="236"/>
        <v>0</v>
      </c>
      <c r="BQ573" s="80">
        <f t="shared" si="237"/>
        <v>0</v>
      </c>
      <c r="BR573" s="80">
        <f t="shared" si="238"/>
        <v>0</v>
      </c>
      <c r="BS573" s="80">
        <f t="shared" si="239"/>
        <v>0</v>
      </c>
      <c r="BT573" s="80">
        <f t="shared" si="240"/>
        <v>0</v>
      </c>
      <c r="BU573" s="80">
        <f t="shared" si="241"/>
        <v>0</v>
      </c>
      <c r="BV573" s="80" t="str">
        <f>IFERROR(VLOOKUP($H573,'1. Set Program Names'!$B$2:$D$15,3,0)*V573,"NA")</f>
        <v>NA</v>
      </c>
      <c r="BW573" s="80" t="str">
        <f>IFERROR(VLOOKUP($H573,'1. Set Program Names'!$B$2:$D$15,3,0)*W573,"NA")</f>
        <v>NA</v>
      </c>
      <c r="BX573" s="80" t="str">
        <f>IFERROR(VLOOKUP($H573,'1. Set Program Names'!$B$2:$D$15,3,0)*X573,"NA")</f>
        <v>NA</v>
      </c>
      <c r="BY573" s="80" t="str">
        <f>IFERROR(VLOOKUP($H573,'1. Set Program Names'!$B$2:$D$15,3,0)*Y573,"NA")</f>
        <v>NA</v>
      </c>
      <c r="BZ573" s="80" t="str">
        <f>IFERROR(VLOOKUP($H573,'1. Set Program Names'!$B$2:$D$15,3,0)*Z573,"NA")</f>
        <v>NA</v>
      </c>
      <c r="CA573" s="80" t="str">
        <f>IFERROR(VLOOKUP($H573,'1. Set Program Names'!$B$2:$D$15,3,0)*AA573,"NA")</f>
        <v>NA</v>
      </c>
      <c r="CB573" s="80" t="str">
        <f>IFERROR(VLOOKUP($H573,'1. Set Program Names'!$B$2:$D$15,3,0)*AB573,"NA")</f>
        <v>NA</v>
      </c>
      <c r="CC573" s="80" t="str">
        <f>IFERROR(VLOOKUP($H573,'1. Set Program Names'!$B$2:$D$15,3,0)*AC573,"NA")</f>
        <v>NA</v>
      </c>
      <c r="CD573" s="80" t="str">
        <f>IFERROR(VLOOKUP($H573,'1. Set Program Names'!$B$2:$D$15,3,0)*AD573,"NA")</f>
        <v>NA</v>
      </c>
      <c r="CE573" s="80" t="str">
        <f>IFERROR(VLOOKUP($H573,'1. Set Program Names'!$B$2:$D$15,3,0)*AE573,"NA")</f>
        <v>NA</v>
      </c>
    </row>
    <row r="574" spans="1:83" x14ac:dyDescent="0.25">
      <c r="A574" s="79" t="s">
        <v>87</v>
      </c>
      <c r="B574" s="79" t="s">
        <v>88</v>
      </c>
      <c r="C574" s="79" t="s">
        <v>122</v>
      </c>
      <c r="D574" s="79" t="s">
        <v>90</v>
      </c>
      <c r="E574" s="79" t="s">
        <v>91</v>
      </c>
      <c r="F574" s="79" t="s">
        <v>90</v>
      </c>
      <c r="G574" s="79" t="s">
        <v>92</v>
      </c>
      <c r="H574" s="79" t="s">
        <v>268</v>
      </c>
      <c r="I574" s="79" t="s">
        <v>140</v>
      </c>
      <c r="J574" s="79" t="s">
        <v>129</v>
      </c>
      <c r="K574" s="79" t="s">
        <v>98</v>
      </c>
      <c r="L574" s="79">
        <v>145.64999999999901</v>
      </c>
      <c r="M574" s="79">
        <v>4.8385631271840701E-2</v>
      </c>
      <c r="N574" s="79">
        <v>0</v>
      </c>
      <c r="O574" s="79">
        <v>41.15</v>
      </c>
      <c r="P574" s="79">
        <v>12.5942011456304</v>
      </c>
      <c r="Q574" s="79">
        <v>0.145649999999999</v>
      </c>
      <c r="R574" s="79">
        <v>71.795310497711</v>
      </c>
      <c r="S574" s="79">
        <v>136.505594800712</v>
      </c>
      <c r="T574" s="79">
        <v>12</v>
      </c>
      <c r="U574" s="79">
        <v>1</v>
      </c>
      <c r="V574" s="79">
        <f>tbl_Data_old[[#This Row],[2025 ]]*IFERROR(AVERAGEIFS('Participation Adjustment'!$C:$C,'Participation Adjustment'!$A:$A,$H574,'Participation Adjustment'!$B:$B,$I574),1)</f>
        <v>203178.85319350901</v>
      </c>
      <c r="W574" s="79">
        <f>tbl_Data_old[[#This Row],[2026 ]]*IFERROR(AVERAGEIFS('Participation Adjustment'!$C:$C,'Participation Adjustment'!$A:$A,$H574,'Participation Adjustment'!$B:$B,$I574),1)</f>
        <v>219212.97234954999</v>
      </c>
      <c r="X574" s="79">
        <f>tbl_Data_old[[#This Row],[2027 ]]*IFERROR(AVERAGEIFS('Participation Adjustment'!$C:$C,'Participation Adjustment'!$A:$A,$H574,'Participation Adjustment'!$B:$B,$I574),1)</f>
        <v>231981.86992020599</v>
      </c>
      <c r="Y574" s="79">
        <f>tbl_Data_old[[#This Row],[2028 ]]*IFERROR(AVERAGEIFS('Participation Adjustment'!$C:$C,'Participation Adjustment'!$A:$A,$H574,'Participation Adjustment'!$B:$B,$I574),1)</f>
        <v>243132.42278327301</v>
      </c>
      <c r="Z574" s="79">
        <f>tbl_Data_old[[#This Row],[2029 ]]*IFERROR(AVERAGEIFS('Participation Adjustment'!$C:$C,'Participation Adjustment'!$A:$A,$H574,'Participation Adjustment'!$B:$B,$I574),1)</f>
        <v>252815.75460901801</v>
      </c>
      <c r="AA574" s="79">
        <f>tbl_Data_old[[#This Row],[2030 ]]*IFERROR(AVERAGEIFS('Participation Adjustment'!$C:$C,'Participation Adjustment'!$A:$A,$H574,'Participation Adjustment'!$B:$B,$I574),1)</f>
        <v>261093.49668042001</v>
      </c>
      <c r="AB574" s="79">
        <f>tbl_Data_old[[#This Row],[2031 ]]*IFERROR(AVERAGEIFS('Participation Adjustment'!$C:$C,'Participation Adjustment'!$A:$A,$H574,'Participation Adjustment'!$B:$B,$I574),1)</f>
        <v>268302.810138645</v>
      </c>
      <c r="AC574" s="79">
        <f>tbl_Data_old[[#This Row],[2032 ]]*IFERROR(AVERAGEIFS('Participation Adjustment'!$C:$C,'Participation Adjustment'!$A:$A,$H574,'Participation Adjustment'!$B:$B,$I574),1)</f>
        <v>275220.604853647</v>
      </c>
      <c r="AD574" s="79">
        <f>tbl_Data_old[[#This Row],[2033 ]]*IFERROR(AVERAGEIFS('Participation Adjustment'!$C:$C,'Participation Adjustment'!$A:$A,$H574,'Participation Adjustment'!$B:$B,$I574),1)</f>
        <v>282155.85087852803</v>
      </c>
      <c r="AE574" s="79">
        <f>tbl_Data_old[[#This Row],[2034 ]]*IFERROR(AVERAGEIFS('Participation Adjustment'!$C:$C,'Participation Adjustment'!$A:$A,$H574,'Participation Adjustment'!$B:$B,$I574),1)</f>
        <v>288845.18352683098</v>
      </c>
      <c r="AF574" s="77" t="str">
        <f t="shared" si="231"/>
        <v>NonResidential</v>
      </c>
      <c r="AG574" s="77" t="str">
        <f>tbl_Data[[#This Row],[All_Meas_Name_Append]]</f>
        <v>Energy Star room AC_137</v>
      </c>
      <c r="AH574" s="77">
        <f>AVERAGEIFS('3. Incentive Adjustment'!G:G,'3. Incentive Adjustment'!A:A,tbl_Data[[#This Row],[Trimmed Sector]],'3. Incentive Adjustment'!B:B,tbl_Data[[#This Row],[Trimmed Measure Name]])</f>
        <v>0.79600466062818009</v>
      </c>
      <c r="AI574" s="77">
        <f>$AH574*tbl_Data[[#This Row],[2025 ]]</f>
        <v>161731.31408312198</v>
      </c>
      <c r="AJ574" s="77">
        <f>$AH574*tbl_Data[[#This Row],[2026 ]]</f>
        <v>174494.54766039818</v>
      </c>
      <c r="AK574" s="77">
        <f>$AH574*tbl_Data[[#This Row],[2027 ]]</f>
        <v>184658.64963772419</v>
      </c>
      <c r="AL574" s="77">
        <f>$AH574*tbl_Data[[#This Row],[2028 ]]</f>
        <v>193534.54168530644</v>
      </c>
      <c r="AM574" s="77">
        <f>$AH574*tbl_Data[[#This Row],[2029 ]]</f>
        <v>201242.51894900863</v>
      </c>
      <c r="AN574" s="77">
        <f>$AH574*tbl_Data[[#This Row],[2030 ]]</f>
        <v>207831.64021732259</v>
      </c>
      <c r="AO574" s="77">
        <f>$AH574*tbl_Data[[#This Row],[2031 ]]</f>
        <v>213570.28732999915</v>
      </c>
      <c r="AP574" s="77">
        <f>$AH574*tbl_Data[[#This Row],[2032 ]]</f>
        <v>219076.88416440974</v>
      </c>
      <c r="AQ574" s="77">
        <f>$AH574*tbl_Data[[#This Row],[2033 ]]</f>
        <v>224597.37232281809</v>
      </c>
      <c r="AR574" s="77">
        <f>$AH574*tbl_Data[[#This Row],[2034 ]]</f>
        <v>229922.11228735949</v>
      </c>
      <c r="AS574" s="77">
        <f>SUM(tbl_Data[[#This Row],[Adjusted 2025]:[Adjusted 2034]])</f>
        <v>2010659.8683374682</v>
      </c>
      <c r="AT574" s="80">
        <f>AVERAGEIFS('3. Incentive Adjustment'!F:F,'3. Incentive Adjustment'!A:A,tbl_Data[[#This Row],[Trimmed Sector]],'3. Incentive Adjustment'!B:B,tbl_Data[[#This Row],[Trimmed Measure Name]])</f>
        <v>0</v>
      </c>
      <c r="AU574" s="80">
        <f>IFERROR(VLOOKUP(tbl_Data[[#This Row],[All_Meas_Name_Append]],'IRA Tax Credits'!$A$3:$D$46,4,0),0)</f>
        <v>0</v>
      </c>
      <c r="AV574" s="81">
        <f>tbl_Data[[#This Row],[Adj. per unit Incentive ($)]]/tbl_Data[[#This Row],[kWh Savings]]*tbl_Data[[#This Row],[Sum of Annuals]]</f>
        <v>0</v>
      </c>
      <c r="AW574" s="81" t="str">
        <f>IFERROR(VLOOKUP(tbl_Data[[#This Row],[Column1]],'1. Set Program Names'!$B$2:$D$15,3,0)*tbl_Data[[#This Row],[Sum of Annuals]],"")</f>
        <v/>
      </c>
      <c r="AX574" s="81">
        <f>tbl_Data[[#This Row],[per unit IRA tax ($)]]/tbl_Data[[#This Row],[kWh Savings]]*tbl_Data[[#This Row],[Sum of Annuals]]</f>
        <v>0</v>
      </c>
      <c r="AY574" s="81">
        <f>tbl_Data[[#This Row],[Avoided Costs ($/unit)]]/tbl_Data[[#This Row],[kWh Savings]]*tbl_Data[[#This Row],[Sum of Annuals]]</f>
        <v>991115.34193323879</v>
      </c>
      <c r="AZ574" s="81">
        <f>tbl_Data[[#This Row],[Lost Revenue ($/unit)]]/tbl_Data[[#This Row],[kWh Savings]]*tbl_Data[[#This Row],[Sum of Annuals]]</f>
        <v>1884423.7642933694</v>
      </c>
      <c r="BA574" s="81">
        <f>tbl_Data[[#This Row],[Incremental Cost ($/unit)]]/tbl_Data[[#This Row],[kWh Savings]]*tbl_Data[[#This Row],[Sum of Annuals]]</f>
        <v>568064.90615919931</v>
      </c>
      <c r="BB574" s="77">
        <f>ROUNDUP(tbl_Data[[#This Row],[Adjusted 2025]]/$L574,0)</f>
        <v>1111</v>
      </c>
      <c r="BC574" s="77">
        <f>ROUNDUP(tbl_Data[[#This Row],[Adjusted 2026]]/$L574,0)</f>
        <v>1199</v>
      </c>
      <c r="BD574" s="77">
        <f>ROUNDUP(tbl_Data[[#This Row],[Adjusted 2027]]/$L574,0)</f>
        <v>1268</v>
      </c>
      <c r="BE574" s="77">
        <f>ROUNDUP(tbl_Data[[#This Row],[Adjusted 2028]]/$L574,0)</f>
        <v>1329</v>
      </c>
      <c r="BF574" s="77">
        <f>ROUNDUP(tbl_Data[[#This Row],[Adjusted 2029]]/$L574,0)</f>
        <v>1382</v>
      </c>
      <c r="BG574" s="77">
        <f>ROUNDUP(tbl_Data[[#This Row],[Adjusted 2030]]/$L574,0)</f>
        <v>1427</v>
      </c>
      <c r="BH574" s="77">
        <f>ROUNDUP(tbl_Data[[#This Row],[Adjusted 2031]]/$L574,0)</f>
        <v>1467</v>
      </c>
      <c r="BI574" s="77">
        <f>ROUNDUP(tbl_Data[[#This Row],[Adjusted 2032]]/$L574,0)</f>
        <v>1505</v>
      </c>
      <c r="BJ574" s="77">
        <f>ROUNDUP(tbl_Data[[#This Row],[Adjusted 2033]]/$L574,0)</f>
        <v>1543</v>
      </c>
      <c r="BK574" s="77">
        <f>ROUNDUP(tbl_Data[[#This Row],[Adjusted 2034]]/$L574,0)</f>
        <v>1579</v>
      </c>
      <c r="BL574" s="80">
        <f t="shared" si="232"/>
        <v>0</v>
      </c>
      <c r="BM574" s="80">
        <f t="shared" si="233"/>
        <v>0</v>
      </c>
      <c r="BN574" s="80">
        <f t="shared" si="234"/>
        <v>0</v>
      </c>
      <c r="BO574" s="80">
        <f t="shared" si="235"/>
        <v>0</v>
      </c>
      <c r="BP574" s="80">
        <f t="shared" si="236"/>
        <v>0</v>
      </c>
      <c r="BQ574" s="80">
        <f t="shared" si="237"/>
        <v>0</v>
      </c>
      <c r="BR574" s="80">
        <f t="shared" si="238"/>
        <v>0</v>
      </c>
      <c r="BS574" s="80">
        <f t="shared" si="239"/>
        <v>0</v>
      </c>
      <c r="BT574" s="80">
        <f t="shared" si="240"/>
        <v>0</v>
      </c>
      <c r="BU574" s="80">
        <f t="shared" si="241"/>
        <v>0</v>
      </c>
      <c r="BV574" s="80" t="str">
        <f>IFERROR(VLOOKUP($H574,'1. Set Program Names'!$B$2:$D$15,3,0)*V574,"NA")</f>
        <v>NA</v>
      </c>
      <c r="BW574" s="80" t="str">
        <f>IFERROR(VLOOKUP($H574,'1. Set Program Names'!$B$2:$D$15,3,0)*W574,"NA")</f>
        <v>NA</v>
      </c>
      <c r="BX574" s="80" t="str">
        <f>IFERROR(VLOOKUP($H574,'1. Set Program Names'!$B$2:$D$15,3,0)*X574,"NA")</f>
        <v>NA</v>
      </c>
      <c r="BY574" s="80" t="str">
        <f>IFERROR(VLOOKUP($H574,'1. Set Program Names'!$B$2:$D$15,3,0)*Y574,"NA")</f>
        <v>NA</v>
      </c>
      <c r="BZ574" s="80" t="str">
        <f>IFERROR(VLOOKUP($H574,'1. Set Program Names'!$B$2:$D$15,3,0)*Z574,"NA")</f>
        <v>NA</v>
      </c>
      <c r="CA574" s="80" t="str">
        <f>IFERROR(VLOOKUP($H574,'1. Set Program Names'!$B$2:$D$15,3,0)*AA574,"NA")</f>
        <v>NA</v>
      </c>
      <c r="CB574" s="80" t="str">
        <f>IFERROR(VLOOKUP($H574,'1. Set Program Names'!$B$2:$D$15,3,0)*AB574,"NA")</f>
        <v>NA</v>
      </c>
      <c r="CC574" s="80" t="str">
        <f>IFERROR(VLOOKUP($H574,'1. Set Program Names'!$B$2:$D$15,3,0)*AC574,"NA")</f>
        <v>NA</v>
      </c>
      <c r="CD574" s="80" t="str">
        <f>IFERROR(VLOOKUP($H574,'1. Set Program Names'!$B$2:$D$15,3,0)*AD574,"NA")</f>
        <v>NA</v>
      </c>
      <c r="CE574" s="80" t="str">
        <f>IFERROR(VLOOKUP($H574,'1. Set Program Names'!$B$2:$D$15,3,0)*AE574,"NA")</f>
        <v>NA</v>
      </c>
    </row>
    <row r="575" spans="1:83" x14ac:dyDescent="0.25">
      <c r="A575" s="79" t="s">
        <v>87</v>
      </c>
      <c r="B575" s="79" t="s">
        <v>88</v>
      </c>
      <c r="C575" s="79" t="s">
        <v>122</v>
      </c>
      <c r="D575" s="79" t="s">
        <v>90</v>
      </c>
      <c r="E575" s="79" t="s">
        <v>91</v>
      </c>
      <c r="F575" s="79" t="s">
        <v>90</v>
      </c>
      <c r="G575" s="79" t="s">
        <v>92</v>
      </c>
      <c r="H575" s="79" t="s">
        <v>268</v>
      </c>
      <c r="I575" s="79" t="s">
        <v>141</v>
      </c>
      <c r="J575" s="79" t="s">
        <v>134</v>
      </c>
      <c r="K575" s="79" t="s">
        <v>98</v>
      </c>
      <c r="L575" s="79">
        <v>12160.5</v>
      </c>
      <c r="M575" s="79">
        <v>1.5637825072468701</v>
      </c>
      <c r="N575" s="79">
        <v>1.33304839745786</v>
      </c>
      <c r="O575" s="79">
        <v>3109.4399999999901</v>
      </c>
      <c r="P575" s="79">
        <v>607.94061759330305</v>
      </c>
      <c r="Q575" s="79">
        <v>12.160500000000001</v>
      </c>
      <c r="R575" s="79">
        <v>4122.3511685728599</v>
      </c>
      <c r="S575" s="79">
        <v>11397.022214720701</v>
      </c>
      <c r="T575" s="79">
        <v>12</v>
      </c>
      <c r="U575" s="79">
        <v>1</v>
      </c>
      <c r="V575" s="79">
        <f>tbl_Data_old[[#This Row],[2025 ]]*IFERROR(AVERAGEIFS('Participation Adjustment'!$C:$C,'Participation Adjustment'!$A:$A,$H575,'Participation Adjustment'!$B:$B,$I575),1)</f>
        <v>14179.357126576</v>
      </c>
      <c r="W575" s="79">
        <f>tbl_Data_old[[#This Row],[2026 ]]*IFERROR(AVERAGEIFS('Participation Adjustment'!$C:$C,'Participation Adjustment'!$A:$A,$H575,'Participation Adjustment'!$B:$B,$I575),1)</f>
        <v>19473.551298556202</v>
      </c>
      <c r="X575" s="79">
        <f>tbl_Data_old[[#This Row],[2027 ]]*IFERROR(AVERAGEIFS('Participation Adjustment'!$C:$C,'Participation Adjustment'!$A:$A,$H575,'Participation Adjustment'!$B:$B,$I575),1)</f>
        <v>25349.444808924502</v>
      </c>
      <c r="Y575" s="79">
        <f>tbl_Data_old[[#This Row],[2028 ]]*IFERROR(AVERAGEIFS('Participation Adjustment'!$C:$C,'Participation Adjustment'!$A:$A,$H575,'Participation Adjustment'!$B:$B,$I575),1)</f>
        <v>31544.873092500398</v>
      </c>
      <c r="Z575" s="79">
        <f>tbl_Data_old[[#This Row],[2029 ]]*IFERROR(AVERAGEIFS('Participation Adjustment'!$C:$C,'Participation Adjustment'!$A:$A,$H575,'Participation Adjustment'!$B:$B,$I575),1)</f>
        <v>37552.801119711999</v>
      </c>
      <c r="AA575" s="79">
        <f>tbl_Data_old[[#This Row],[2030 ]]*IFERROR(AVERAGEIFS('Participation Adjustment'!$C:$C,'Participation Adjustment'!$A:$A,$H575,'Participation Adjustment'!$B:$B,$I575),1)</f>
        <v>42850.247605777797</v>
      </c>
      <c r="AB575" s="79">
        <f>tbl_Data_old[[#This Row],[2031 ]]*IFERROR(AVERAGEIFS('Participation Adjustment'!$C:$C,'Participation Adjustment'!$A:$A,$H575,'Participation Adjustment'!$B:$B,$I575),1)</f>
        <v>47121.487321906898</v>
      </c>
      <c r="AC575" s="79">
        <f>tbl_Data_old[[#This Row],[2032 ]]*IFERROR(AVERAGEIFS('Participation Adjustment'!$C:$C,'Participation Adjustment'!$A:$A,$H575,'Participation Adjustment'!$B:$B,$I575),1)</f>
        <v>50388.807130299501</v>
      </c>
      <c r="AD575" s="79">
        <f>tbl_Data_old[[#This Row],[2033 ]]*IFERROR(AVERAGEIFS('Participation Adjustment'!$C:$C,'Participation Adjustment'!$A:$A,$H575,'Participation Adjustment'!$B:$B,$I575),1)</f>
        <v>52808.558218746701</v>
      </c>
      <c r="AE575" s="79">
        <f>tbl_Data_old[[#This Row],[2034 ]]*IFERROR(AVERAGEIFS('Participation Adjustment'!$C:$C,'Participation Adjustment'!$A:$A,$H575,'Participation Adjustment'!$B:$B,$I575),1)</f>
        <v>54526.177833966503</v>
      </c>
      <c r="AF575" s="77" t="str">
        <f t="shared" si="231"/>
        <v>NonResidential</v>
      </c>
      <c r="AG575" s="77" t="str">
        <f>tbl_Data[[#This Row],[All_Meas_Name_Append]]</f>
        <v>Energy Star Steamer</v>
      </c>
      <c r="AH575" s="77">
        <f>AVERAGEIFS('3. Incentive Adjustment'!G:G,'3. Incentive Adjustment'!A:A,tbl_Data[[#This Row],[Trimmed Sector]],'3. Incentive Adjustment'!B:B,tbl_Data[[#This Row],[Trimmed Measure Name]])</f>
        <v>0.87642178647683033</v>
      </c>
      <c r="AI575" s="77">
        <f>$AH575*tbl_Data[[#This Row],[2025 ]]</f>
        <v>12427.097503966714</v>
      </c>
      <c r="AJ575" s="77">
        <f>$AH575*tbl_Data[[#This Row],[2026 ]]</f>
        <v>17067.044618128824</v>
      </c>
      <c r="AK575" s="77">
        <f>$AH575*tbl_Data[[#This Row],[2027 ]]</f>
        <v>22216.805705633426</v>
      </c>
      <c r="AL575" s="77">
        <f>$AH575*tbl_Data[[#This Row],[2028 ]]</f>
        <v>27646.614029914093</v>
      </c>
      <c r="AM575" s="77">
        <f>$AH575*tbl_Data[[#This Row],[2029 ]]</f>
        <v>32912.093044547102</v>
      </c>
      <c r="AN575" s="77">
        <f>$AH575*tbl_Data[[#This Row],[2030 ]]</f>
        <v>37554.8905576303</v>
      </c>
      <c r="AO575" s="77">
        <f>$AH575*tbl_Data[[#This Row],[2031 ]]</f>
        <v>41298.298100110958</v>
      </c>
      <c r="AP575" s="77">
        <f>$AH575*tbl_Data[[#This Row],[2032 ]]</f>
        <v>44161.848363573532</v>
      </c>
      <c r="AQ575" s="77">
        <f>$AH575*tbl_Data[[#This Row],[2033 ]]</f>
        <v>46282.570935339681</v>
      </c>
      <c r="AR575" s="77">
        <f>$AH575*tbl_Data[[#This Row],[2034 ]]</f>
        <v>47787.930186998266</v>
      </c>
      <c r="AS575" s="77">
        <f>SUM(tbl_Data[[#This Row],[Adjusted 2025]:[Adjusted 2034]])</f>
        <v>329355.19304584287</v>
      </c>
      <c r="AT575" s="80">
        <f>AVERAGEIFS('3. Incentive Adjustment'!F:F,'3. Incentive Adjustment'!A:A,tbl_Data[[#This Row],[Trimmed Sector]],'3. Incentive Adjustment'!B:B,tbl_Data[[#This Row],[Trimmed Measure Name]])</f>
        <v>0</v>
      </c>
      <c r="AU575" s="80">
        <f>IFERROR(VLOOKUP(tbl_Data[[#This Row],[All_Meas_Name_Append]],'IRA Tax Credits'!$A$3:$D$46,4,0),0)</f>
        <v>0</v>
      </c>
      <c r="AV575" s="81">
        <f>tbl_Data[[#This Row],[Adj. per unit Incentive ($)]]/tbl_Data[[#This Row],[kWh Savings]]*tbl_Data[[#This Row],[Sum of Annuals]]</f>
        <v>0</v>
      </c>
      <c r="AW575" s="81" t="str">
        <f>IFERROR(VLOOKUP(tbl_Data[[#This Row],[Column1]],'1. Set Program Names'!$B$2:$D$15,3,0)*tbl_Data[[#This Row],[Sum of Annuals]],"")</f>
        <v/>
      </c>
      <c r="AX575" s="81">
        <f>tbl_Data[[#This Row],[per unit IRA tax ($)]]/tbl_Data[[#This Row],[kWh Savings]]*tbl_Data[[#This Row],[Sum of Annuals]]</f>
        <v>0</v>
      </c>
      <c r="AY575" s="81">
        <f>tbl_Data[[#This Row],[Avoided Costs ($/unit)]]/tbl_Data[[#This Row],[kWh Savings]]*tbl_Data[[#This Row],[Sum of Annuals]]</f>
        <v>111649.83059315573</v>
      </c>
      <c r="AZ575" s="81">
        <f>tbl_Data[[#This Row],[Lost Revenue ($/unit)]]/tbl_Data[[#This Row],[kWh Savings]]*tbl_Data[[#This Row],[Sum of Annuals]]</f>
        <v>308677.14745915844</v>
      </c>
      <c r="BA575" s="81">
        <f>tbl_Data[[#This Row],[Incremental Cost ($/unit)]]/tbl_Data[[#This Row],[kWh Savings]]*tbl_Data[[#This Row],[Sum of Annuals]]</f>
        <v>84216.126924424359</v>
      </c>
      <c r="BB575" s="77">
        <f>ROUNDUP(tbl_Data[[#This Row],[Adjusted 2025]]/$L575,0)</f>
        <v>2</v>
      </c>
      <c r="BC575" s="77">
        <f>ROUNDUP(tbl_Data[[#This Row],[Adjusted 2026]]/$L575,0)</f>
        <v>2</v>
      </c>
      <c r="BD575" s="77">
        <f>ROUNDUP(tbl_Data[[#This Row],[Adjusted 2027]]/$L575,0)</f>
        <v>2</v>
      </c>
      <c r="BE575" s="77">
        <f>ROUNDUP(tbl_Data[[#This Row],[Adjusted 2028]]/$L575,0)</f>
        <v>3</v>
      </c>
      <c r="BF575" s="77">
        <f>ROUNDUP(tbl_Data[[#This Row],[Adjusted 2029]]/$L575,0)</f>
        <v>3</v>
      </c>
      <c r="BG575" s="77">
        <f>ROUNDUP(tbl_Data[[#This Row],[Adjusted 2030]]/$L575,0)</f>
        <v>4</v>
      </c>
      <c r="BH575" s="77">
        <f>ROUNDUP(tbl_Data[[#This Row],[Adjusted 2031]]/$L575,0)</f>
        <v>4</v>
      </c>
      <c r="BI575" s="77">
        <f>ROUNDUP(tbl_Data[[#This Row],[Adjusted 2032]]/$L575,0)</f>
        <v>4</v>
      </c>
      <c r="BJ575" s="77">
        <f>ROUNDUP(tbl_Data[[#This Row],[Adjusted 2033]]/$L575,0)</f>
        <v>4</v>
      </c>
      <c r="BK575" s="77">
        <f>ROUNDUP(tbl_Data[[#This Row],[Adjusted 2034]]/$L575,0)</f>
        <v>4</v>
      </c>
      <c r="BL575" s="80">
        <f t="shared" si="232"/>
        <v>0</v>
      </c>
      <c r="BM575" s="80">
        <f t="shared" si="233"/>
        <v>0</v>
      </c>
      <c r="BN575" s="80">
        <f t="shared" si="234"/>
        <v>0</v>
      </c>
      <c r="BO575" s="80">
        <f t="shared" si="235"/>
        <v>0</v>
      </c>
      <c r="BP575" s="80">
        <f t="shared" si="236"/>
        <v>0</v>
      </c>
      <c r="BQ575" s="80">
        <f t="shared" si="237"/>
        <v>0</v>
      </c>
      <c r="BR575" s="80">
        <f t="shared" si="238"/>
        <v>0</v>
      </c>
      <c r="BS575" s="80">
        <f t="shared" si="239"/>
        <v>0</v>
      </c>
      <c r="BT575" s="80">
        <f t="shared" si="240"/>
        <v>0</v>
      </c>
      <c r="BU575" s="80">
        <f t="shared" si="241"/>
        <v>0</v>
      </c>
      <c r="BV575" s="80" t="str">
        <f>IFERROR(VLOOKUP($H575,'1. Set Program Names'!$B$2:$D$15,3,0)*V575,"NA")</f>
        <v>NA</v>
      </c>
      <c r="BW575" s="80" t="str">
        <f>IFERROR(VLOOKUP($H575,'1. Set Program Names'!$B$2:$D$15,3,0)*W575,"NA")</f>
        <v>NA</v>
      </c>
      <c r="BX575" s="80" t="str">
        <f>IFERROR(VLOOKUP($H575,'1. Set Program Names'!$B$2:$D$15,3,0)*X575,"NA")</f>
        <v>NA</v>
      </c>
      <c r="BY575" s="80" t="str">
        <f>IFERROR(VLOOKUP($H575,'1. Set Program Names'!$B$2:$D$15,3,0)*Y575,"NA")</f>
        <v>NA</v>
      </c>
      <c r="BZ575" s="80" t="str">
        <f>IFERROR(VLOOKUP($H575,'1. Set Program Names'!$B$2:$D$15,3,0)*Z575,"NA")</f>
        <v>NA</v>
      </c>
      <c r="CA575" s="80" t="str">
        <f>IFERROR(VLOOKUP($H575,'1. Set Program Names'!$B$2:$D$15,3,0)*AA575,"NA")</f>
        <v>NA</v>
      </c>
      <c r="CB575" s="80" t="str">
        <f>IFERROR(VLOOKUP($H575,'1. Set Program Names'!$B$2:$D$15,3,0)*AB575,"NA")</f>
        <v>NA</v>
      </c>
      <c r="CC575" s="80" t="str">
        <f>IFERROR(VLOOKUP($H575,'1. Set Program Names'!$B$2:$D$15,3,0)*AC575,"NA")</f>
        <v>NA</v>
      </c>
      <c r="CD575" s="80" t="str">
        <f>IFERROR(VLOOKUP($H575,'1. Set Program Names'!$B$2:$D$15,3,0)*AD575,"NA")</f>
        <v>NA</v>
      </c>
      <c r="CE575" s="80" t="str">
        <f>IFERROR(VLOOKUP($H575,'1. Set Program Names'!$B$2:$D$15,3,0)*AE575,"NA")</f>
        <v>NA</v>
      </c>
    </row>
    <row r="576" spans="1:83" x14ac:dyDescent="0.25">
      <c r="A576" s="79" t="s">
        <v>87</v>
      </c>
      <c r="B576" s="79" t="s">
        <v>88</v>
      </c>
      <c r="C576" s="79" t="s">
        <v>122</v>
      </c>
      <c r="D576" s="79" t="s">
        <v>90</v>
      </c>
      <c r="E576" s="79" t="s">
        <v>91</v>
      </c>
      <c r="F576" s="79" t="s">
        <v>90</v>
      </c>
      <c r="G576" s="79" t="s">
        <v>92</v>
      </c>
      <c r="H576" s="79" t="s">
        <v>268</v>
      </c>
      <c r="I576" s="79" t="s">
        <v>142</v>
      </c>
      <c r="J576" s="79" t="s">
        <v>137</v>
      </c>
      <c r="K576" s="79" t="s">
        <v>98</v>
      </c>
      <c r="L576" s="79">
        <v>11250</v>
      </c>
      <c r="M576" s="79">
        <v>1.3809947593685901</v>
      </c>
      <c r="N576" s="79">
        <v>1.3808111252514099</v>
      </c>
      <c r="O576" s="79">
        <v>3147</v>
      </c>
      <c r="P576" s="79">
        <v>832.79679683603899</v>
      </c>
      <c r="Q576" s="79">
        <v>11.25</v>
      </c>
      <c r="R576" s="79">
        <v>4868.3629963469202</v>
      </c>
      <c r="S576" s="79">
        <v>12218.8507873668</v>
      </c>
      <c r="T576" s="79">
        <v>15</v>
      </c>
      <c r="U576" s="79">
        <v>1</v>
      </c>
      <c r="V576" s="79">
        <f>tbl_Data_old[[#This Row],[2025 ]]*IFERROR(AVERAGEIFS('Participation Adjustment'!$C:$C,'Participation Adjustment'!$A:$A,$H576,'Participation Adjustment'!$B:$B,$I576),1)</f>
        <v>22216.870078757402</v>
      </c>
      <c r="W576" s="79">
        <f>tbl_Data_old[[#This Row],[2026 ]]*IFERROR(AVERAGEIFS('Participation Adjustment'!$C:$C,'Participation Adjustment'!$A:$A,$H576,'Participation Adjustment'!$B:$B,$I576),1)</f>
        <v>30626.8763098171</v>
      </c>
      <c r="X576" s="79">
        <f>tbl_Data_old[[#This Row],[2027 ]]*IFERROR(AVERAGEIFS('Participation Adjustment'!$C:$C,'Participation Adjustment'!$A:$A,$H576,'Participation Adjustment'!$B:$B,$I576),1)</f>
        <v>41039.855259323202</v>
      </c>
      <c r="Y576" s="79">
        <f>tbl_Data_old[[#This Row],[2028 ]]*IFERROR(AVERAGEIFS('Participation Adjustment'!$C:$C,'Participation Adjustment'!$A:$A,$H576,'Participation Adjustment'!$B:$B,$I576),1)</f>
        <v>53419.726050248697</v>
      </c>
      <c r="Z576" s="79">
        <f>tbl_Data_old[[#This Row],[2029 ]]*IFERROR(AVERAGEIFS('Participation Adjustment'!$C:$C,'Participation Adjustment'!$A:$A,$H576,'Participation Adjustment'!$B:$B,$I576),1)</f>
        <v>66892.598171659498</v>
      </c>
      <c r="AA576" s="79">
        <f>tbl_Data_old[[#This Row],[2030 ]]*IFERROR(AVERAGEIFS('Participation Adjustment'!$C:$C,'Participation Adjustment'!$A:$A,$H576,'Participation Adjustment'!$B:$B,$I576),1)</f>
        <v>79583.656954782695</v>
      </c>
      <c r="AB576" s="79">
        <f>tbl_Data_old[[#This Row],[2031 ]]*IFERROR(AVERAGEIFS('Participation Adjustment'!$C:$C,'Participation Adjustment'!$A:$A,$H576,'Participation Adjustment'!$B:$B,$I576),1)</f>
        <v>88883.587679730394</v>
      </c>
      <c r="AC576" s="79">
        <f>tbl_Data_old[[#This Row],[2032 ]]*IFERROR(AVERAGEIFS('Participation Adjustment'!$C:$C,'Participation Adjustment'!$A:$A,$H576,'Participation Adjustment'!$B:$B,$I576),1)</f>
        <v>92179.009956235197</v>
      </c>
      <c r="AD576" s="79">
        <f>tbl_Data_old[[#This Row],[2033 ]]*IFERROR(AVERAGEIFS('Participation Adjustment'!$C:$C,'Participation Adjustment'!$A:$A,$H576,'Participation Adjustment'!$B:$B,$I576),1)</f>
        <v>87911.262258870003</v>
      </c>
      <c r="AE576" s="79">
        <f>tbl_Data_old[[#This Row],[2034 ]]*IFERROR(AVERAGEIFS('Participation Adjustment'!$C:$C,'Participation Adjustment'!$A:$A,$H576,'Participation Adjustment'!$B:$B,$I576),1)</f>
        <v>76830.267344720007</v>
      </c>
      <c r="AF576" s="77" t="str">
        <f t="shared" si="231"/>
        <v>NonResidential</v>
      </c>
      <c r="AG576" s="77" t="str">
        <f>tbl_Data[[#This Row],[All_Meas_Name_Append]]</f>
        <v>Escalator Motor Efficiency Controller</v>
      </c>
      <c r="AH576" s="77">
        <f>AVERAGEIFS('3. Incentive Adjustment'!G:G,'3. Incentive Adjustment'!A:A,tbl_Data[[#This Row],[Trimmed Sector]],'3. Incentive Adjustment'!B:B,tbl_Data[[#This Row],[Trimmed Measure Name]])</f>
        <v>0.82257117184015105</v>
      </c>
      <c r="AI576" s="77">
        <f>$AH576*tbl_Data[[#This Row],[2025 ]]</f>
        <v>18274.956855303866</v>
      </c>
      <c r="AJ576" s="77">
        <f>$AH576*tbl_Data[[#This Row],[2026 ]]</f>
        <v>25192.785535969615</v>
      </c>
      <c r="AK576" s="77">
        <f>$AH576*tbl_Data[[#This Row],[2027 ]]</f>
        <v>33758.201832811676</v>
      </c>
      <c r="AL576" s="77">
        <f>$AH576*tbl_Data[[#This Row],[2028 ]]</f>
        <v>43941.526656532915</v>
      </c>
      <c r="AM576" s="77">
        <f>$AH576*tbl_Data[[#This Row],[2029 ]]</f>
        <v>55023.9228654943</v>
      </c>
      <c r="AN576" s="77">
        <f>$AH576*tbl_Data[[#This Row],[2030 ]]</f>
        <v>65463.221960620191</v>
      </c>
      <c r="AO576" s="77">
        <f>$AH576*tbl_Data[[#This Row],[2031 ]]</f>
        <v>73113.076875072642</v>
      </c>
      <c r="AP576" s="77">
        <f>$AH576*tbl_Data[[#This Row],[2032 ]]</f>
        <v>75823.796238765339</v>
      </c>
      <c r="AQ576" s="77">
        <f>$AH576*tbl_Data[[#This Row],[2033 ]]</f>
        <v>72313.270014225549</v>
      </c>
      <c r="AR576" s="77">
        <f>$AH576*tbl_Data[[#This Row],[2034 ]]</f>
        <v>63198.363042538425</v>
      </c>
      <c r="AS576" s="77">
        <f>SUM(tbl_Data[[#This Row],[Adjusted 2025]:[Adjusted 2034]])</f>
        <v>526103.12187733455</v>
      </c>
      <c r="AT576" s="80">
        <f>AVERAGEIFS('3. Incentive Adjustment'!F:F,'3. Incentive Adjustment'!A:A,tbl_Data[[#This Row],[Trimmed Sector]],'3. Incentive Adjustment'!B:B,tbl_Data[[#This Row],[Trimmed Measure Name]])</f>
        <v>0</v>
      </c>
      <c r="AU576" s="80">
        <f>IFERROR(VLOOKUP(tbl_Data[[#This Row],[All_Meas_Name_Append]],'IRA Tax Credits'!$A$3:$D$46,4,0),0)</f>
        <v>0</v>
      </c>
      <c r="AV576" s="81">
        <f>tbl_Data[[#This Row],[Adj. per unit Incentive ($)]]/tbl_Data[[#This Row],[kWh Savings]]*tbl_Data[[#This Row],[Sum of Annuals]]</f>
        <v>0</v>
      </c>
      <c r="AW576" s="81" t="str">
        <f>IFERROR(VLOOKUP(tbl_Data[[#This Row],[Column1]],'1. Set Program Names'!$B$2:$D$15,3,0)*tbl_Data[[#This Row],[Sum of Annuals]],"")</f>
        <v/>
      </c>
      <c r="AX576" s="81">
        <f>tbl_Data[[#This Row],[per unit IRA tax ($)]]/tbl_Data[[#This Row],[kWh Savings]]*tbl_Data[[#This Row],[Sum of Annuals]]</f>
        <v>0</v>
      </c>
      <c r="AY576" s="81">
        <f>tbl_Data[[#This Row],[Avoided Costs ($/unit)]]/tbl_Data[[#This Row],[kWh Savings]]*tbl_Data[[#This Row],[Sum of Annuals]]</f>
        <v>227667.64184979638</v>
      </c>
      <c r="AZ576" s="81">
        <f>tbl_Data[[#This Row],[Lost Revenue ($/unit)]]/tbl_Data[[#This Row],[kWh Savings]]*tbl_Data[[#This Row],[Sum of Annuals]]</f>
        <v>571411.15955440013</v>
      </c>
      <c r="BA576" s="81">
        <f>tbl_Data[[#This Row],[Incremental Cost ($/unit)]]/tbl_Data[[#This Row],[kWh Savings]]*tbl_Data[[#This Row],[Sum of Annuals]]</f>
        <v>147168.5799598197</v>
      </c>
      <c r="BB576" s="77">
        <f>ROUNDUP(tbl_Data[[#This Row],[Adjusted 2025]]/$L576,0)</f>
        <v>2</v>
      </c>
      <c r="BC576" s="77">
        <f>ROUNDUP(tbl_Data[[#This Row],[Adjusted 2026]]/$L576,0)</f>
        <v>3</v>
      </c>
      <c r="BD576" s="77">
        <f>ROUNDUP(tbl_Data[[#This Row],[Adjusted 2027]]/$L576,0)</f>
        <v>4</v>
      </c>
      <c r="BE576" s="77">
        <f>ROUNDUP(tbl_Data[[#This Row],[Adjusted 2028]]/$L576,0)</f>
        <v>4</v>
      </c>
      <c r="BF576" s="77">
        <f>ROUNDUP(tbl_Data[[#This Row],[Adjusted 2029]]/$L576,0)</f>
        <v>5</v>
      </c>
      <c r="BG576" s="77">
        <f>ROUNDUP(tbl_Data[[#This Row],[Adjusted 2030]]/$L576,0)</f>
        <v>6</v>
      </c>
      <c r="BH576" s="77">
        <f>ROUNDUP(tbl_Data[[#This Row],[Adjusted 2031]]/$L576,0)</f>
        <v>7</v>
      </c>
      <c r="BI576" s="77">
        <f>ROUNDUP(tbl_Data[[#This Row],[Adjusted 2032]]/$L576,0)</f>
        <v>7</v>
      </c>
      <c r="BJ576" s="77">
        <f>ROUNDUP(tbl_Data[[#This Row],[Adjusted 2033]]/$L576,0)</f>
        <v>7</v>
      </c>
      <c r="BK576" s="77">
        <f>ROUNDUP(tbl_Data[[#This Row],[Adjusted 2034]]/$L576,0)</f>
        <v>6</v>
      </c>
      <c r="BL576" s="80">
        <f t="shared" si="232"/>
        <v>0</v>
      </c>
      <c r="BM576" s="80">
        <f t="shared" si="233"/>
        <v>0</v>
      </c>
      <c r="BN576" s="80">
        <f t="shared" si="234"/>
        <v>0</v>
      </c>
      <c r="BO576" s="80">
        <f t="shared" si="235"/>
        <v>0</v>
      </c>
      <c r="BP576" s="80">
        <f t="shared" si="236"/>
        <v>0</v>
      </c>
      <c r="BQ576" s="80">
        <f t="shared" si="237"/>
        <v>0</v>
      </c>
      <c r="BR576" s="80">
        <f t="shared" si="238"/>
        <v>0</v>
      </c>
      <c r="BS576" s="80">
        <f t="shared" si="239"/>
        <v>0</v>
      </c>
      <c r="BT576" s="80">
        <f t="shared" si="240"/>
        <v>0</v>
      </c>
      <c r="BU576" s="80">
        <f t="shared" si="241"/>
        <v>0</v>
      </c>
      <c r="BV576" s="80" t="str">
        <f>IFERROR(VLOOKUP($H576,'1. Set Program Names'!$B$2:$D$15,3,0)*V576,"NA")</f>
        <v>NA</v>
      </c>
      <c r="BW576" s="80" t="str">
        <f>IFERROR(VLOOKUP($H576,'1. Set Program Names'!$B$2:$D$15,3,0)*W576,"NA")</f>
        <v>NA</v>
      </c>
      <c r="BX576" s="80" t="str">
        <f>IFERROR(VLOOKUP($H576,'1. Set Program Names'!$B$2:$D$15,3,0)*X576,"NA")</f>
        <v>NA</v>
      </c>
      <c r="BY576" s="80" t="str">
        <f>IFERROR(VLOOKUP($H576,'1. Set Program Names'!$B$2:$D$15,3,0)*Y576,"NA")</f>
        <v>NA</v>
      </c>
      <c r="BZ576" s="80" t="str">
        <f>IFERROR(VLOOKUP($H576,'1. Set Program Names'!$B$2:$D$15,3,0)*Z576,"NA")</f>
        <v>NA</v>
      </c>
      <c r="CA576" s="80" t="str">
        <f>IFERROR(VLOOKUP($H576,'1. Set Program Names'!$B$2:$D$15,3,0)*AA576,"NA")</f>
        <v>NA</v>
      </c>
      <c r="CB576" s="80" t="str">
        <f>IFERROR(VLOOKUP($H576,'1. Set Program Names'!$B$2:$D$15,3,0)*AB576,"NA")</f>
        <v>NA</v>
      </c>
      <c r="CC576" s="80" t="str">
        <f>IFERROR(VLOOKUP($H576,'1. Set Program Names'!$B$2:$D$15,3,0)*AC576,"NA")</f>
        <v>NA</v>
      </c>
      <c r="CD576" s="80" t="str">
        <f>IFERROR(VLOOKUP($H576,'1. Set Program Names'!$B$2:$D$15,3,0)*AD576,"NA")</f>
        <v>NA</v>
      </c>
      <c r="CE576" s="80" t="str">
        <f>IFERROR(VLOOKUP($H576,'1. Set Program Names'!$B$2:$D$15,3,0)*AE576,"NA")</f>
        <v>NA</v>
      </c>
    </row>
    <row r="577" spans="1:83" x14ac:dyDescent="0.25">
      <c r="A577" s="79" t="s">
        <v>87</v>
      </c>
      <c r="B577" s="79" t="s">
        <v>88</v>
      </c>
      <c r="C577" s="79" t="s">
        <v>122</v>
      </c>
      <c r="D577" s="79" t="s">
        <v>90</v>
      </c>
      <c r="E577" s="79" t="s">
        <v>91</v>
      </c>
      <c r="F577" s="79" t="s">
        <v>90</v>
      </c>
      <c r="G577" s="79" t="s">
        <v>92</v>
      </c>
      <c r="H577" s="79" t="s">
        <v>268</v>
      </c>
      <c r="I577" s="79" t="s">
        <v>175</v>
      </c>
      <c r="J577" s="79" t="s">
        <v>144</v>
      </c>
      <c r="K577" s="79" t="s">
        <v>98</v>
      </c>
      <c r="L577" s="79">
        <v>264.02999999999997</v>
      </c>
      <c r="M577" s="79">
        <v>4.1428427039389301E-2</v>
      </c>
      <c r="N577" s="79">
        <v>6.1740637590561503E-2</v>
      </c>
      <c r="O577" s="79">
        <v>74.16</v>
      </c>
      <c r="P577" s="79">
        <v>19.8471936238772</v>
      </c>
      <c r="Q577" s="79">
        <v>0.26402999999999999</v>
      </c>
      <c r="R577" s="79">
        <v>106.11574944735899</v>
      </c>
      <c r="S577" s="79">
        <v>217.179512566509</v>
      </c>
      <c r="T577" s="79">
        <v>10</v>
      </c>
      <c r="U577" s="79">
        <v>1</v>
      </c>
      <c r="V577" s="79">
        <f>tbl_Data_old[[#This Row],[2025 ]]*IFERROR(AVERAGEIFS('Participation Adjustment'!$C:$C,'Participation Adjustment'!$A:$A,$H577,'Participation Adjustment'!$B:$B,$I577),1)</f>
        <v>9840.1718481120497</v>
      </c>
      <c r="W577" s="79">
        <f>tbl_Data_old[[#This Row],[2026 ]]*IFERROR(AVERAGEIFS('Participation Adjustment'!$C:$C,'Participation Adjustment'!$A:$A,$H577,'Participation Adjustment'!$B:$B,$I577),1)</f>
        <v>13506.1202451677</v>
      </c>
      <c r="X577" s="79">
        <f>tbl_Data_old[[#This Row],[2027 ]]*IFERROR(AVERAGEIFS('Participation Adjustment'!$C:$C,'Participation Adjustment'!$A:$A,$H577,'Participation Adjustment'!$B:$B,$I577),1)</f>
        <v>17978.459874044402</v>
      </c>
      <c r="Y577" s="79">
        <f>tbl_Data_old[[#This Row],[2028 ]]*IFERROR(AVERAGEIFS('Participation Adjustment'!$C:$C,'Participation Adjustment'!$A:$A,$H577,'Participation Adjustment'!$B:$B,$I577),1)</f>
        <v>23201.233710603301</v>
      </c>
      <c r="Z577" s="79">
        <f>tbl_Data_old[[#This Row],[2029 ]]*IFERROR(AVERAGEIFS('Participation Adjustment'!$C:$C,'Participation Adjustment'!$A:$A,$H577,'Participation Adjustment'!$B:$B,$I577),1)</f>
        <v>28747.394156548999</v>
      </c>
      <c r="AA577" s="79">
        <f>tbl_Data_old[[#This Row],[2030 ]]*IFERROR(AVERAGEIFS('Participation Adjustment'!$C:$C,'Participation Adjustment'!$A:$A,$H577,'Participation Adjustment'!$B:$B,$I577),1)</f>
        <v>33756.916264723703</v>
      </c>
      <c r="AB577" s="79">
        <f>tbl_Data_old[[#This Row],[2031 ]]*IFERROR(AVERAGEIFS('Participation Adjustment'!$C:$C,'Participation Adjustment'!$A:$A,$H577,'Participation Adjustment'!$B:$B,$I577),1)</f>
        <v>37109.8210248295</v>
      </c>
      <c r="AC577" s="79">
        <f>tbl_Data_old[[#This Row],[2032 ]]*IFERROR(AVERAGEIFS('Participation Adjustment'!$C:$C,'Participation Adjustment'!$A:$A,$H577,'Participation Adjustment'!$B:$B,$I577),1)</f>
        <v>37756.016641159498</v>
      </c>
      <c r="AD577" s="79">
        <f>tbl_Data_old[[#This Row],[2033 ]]*IFERROR(AVERAGEIFS('Participation Adjustment'!$C:$C,'Participation Adjustment'!$A:$A,$H577,'Participation Adjustment'!$B:$B,$I577),1)</f>
        <v>35164.4274310049</v>
      </c>
      <c r="AE577" s="79">
        <f>tbl_Data_old[[#This Row],[2034 ]]*IFERROR(AVERAGEIFS('Participation Adjustment'!$C:$C,'Participation Adjustment'!$A:$A,$H577,'Participation Adjustment'!$B:$B,$I577),1)</f>
        <v>29858.8624565641</v>
      </c>
      <c r="AF577" s="77" t="str">
        <f t="shared" si="231"/>
        <v>NonResidential</v>
      </c>
      <c r="AG577" s="77" t="str">
        <f>tbl_Data[[#This Row],[All_Meas_Name_Append]]</f>
        <v>Faucet Aerator</v>
      </c>
      <c r="AH577" s="77">
        <f>AVERAGEIFS('3. Incentive Adjustment'!G:G,'3. Incentive Adjustment'!A:A,tbl_Data[[#This Row],[Trimmed Sector]],'3. Incentive Adjustment'!B:B,tbl_Data[[#This Row],[Trimmed Measure Name]])</f>
        <v>0.82009235606746977</v>
      </c>
      <c r="AI577" s="77">
        <f>$AH577*tbl_Data[[#This Row],[2025 ]]</f>
        <v>8069.8497150269995</v>
      </c>
      <c r="AJ577" s="77">
        <f>$AH577*tbl_Data[[#This Row],[2026 ]]</f>
        <v>11076.265973190131</v>
      </c>
      <c r="AK577" s="77">
        <f>$AH577*tbl_Data[[#This Row],[2027 ]]</f>
        <v>14743.99751656954</v>
      </c>
      <c r="AL577" s="77">
        <f>$AH577*tbl_Data[[#This Row],[2028 ]]</f>
        <v>19027.154417400667</v>
      </c>
      <c r="AM577" s="77">
        <f>$AH577*tbl_Data[[#This Row],[2029 ]]</f>
        <v>23575.518204644482</v>
      </c>
      <c r="AN577" s="77">
        <f>$AH577*tbl_Data[[#This Row],[2030 ]]</f>
        <v>27683.788993109552</v>
      </c>
      <c r="AO577" s="77">
        <f>$AH577*tbl_Data[[#This Row],[2031 ]]</f>
        <v>30433.480557494549</v>
      </c>
      <c r="AP577" s="77">
        <f>$AH577*tbl_Data[[#This Row],[2032 ]]</f>
        <v>30963.42064297109</v>
      </c>
      <c r="AQ577" s="77">
        <f>$AH577*tbl_Data[[#This Row],[2033 ]]</f>
        <v>28838.078141656373</v>
      </c>
      <c r="AR577" s="77">
        <f>$AH577*tbl_Data[[#This Row],[2034 ]]</f>
        <v>24487.024861498172</v>
      </c>
      <c r="AS577" s="77">
        <f>SUM(tbl_Data[[#This Row],[Adjusted 2025]:[Adjusted 2034]])</f>
        <v>218898.57902356159</v>
      </c>
      <c r="AT577" s="80">
        <f>AVERAGEIFS('3. Incentive Adjustment'!F:F,'3. Incentive Adjustment'!A:A,tbl_Data[[#This Row],[Trimmed Sector]],'3. Incentive Adjustment'!B:B,tbl_Data[[#This Row],[Trimmed Measure Name]])</f>
        <v>0</v>
      </c>
      <c r="AU577" s="80">
        <f>IFERROR(VLOOKUP(tbl_Data[[#This Row],[All_Meas_Name_Append]],'IRA Tax Credits'!$A$3:$D$46,4,0),0)</f>
        <v>0</v>
      </c>
      <c r="AV577" s="81">
        <f>tbl_Data[[#This Row],[Adj. per unit Incentive ($)]]/tbl_Data[[#This Row],[kWh Savings]]*tbl_Data[[#This Row],[Sum of Annuals]]</f>
        <v>0</v>
      </c>
      <c r="AW577" s="81" t="str">
        <f>IFERROR(VLOOKUP(tbl_Data[[#This Row],[Column1]],'1. Set Program Names'!$B$2:$D$15,3,0)*tbl_Data[[#This Row],[Sum of Annuals]],"")</f>
        <v/>
      </c>
      <c r="AX577" s="81">
        <f>tbl_Data[[#This Row],[per unit IRA tax ($)]]/tbl_Data[[#This Row],[kWh Savings]]*tbl_Data[[#This Row],[Sum of Annuals]]</f>
        <v>0</v>
      </c>
      <c r="AY577" s="81">
        <f>tbl_Data[[#This Row],[Avoided Costs ($/unit)]]/tbl_Data[[#This Row],[kWh Savings]]*tbl_Data[[#This Row],[Sum of Annuals]]</f>
        <v>87977.073688774675</v>
      </c>
      <c r="AZ577" s="81">
        <f>tbl_Data[[#This Row],[Lost Revenue ($/unit)]]/tbl_Data[[#This Row],[kWh Savings]]*tbl_Data[[#This Row],[Sum of Annuals]]</f>
        <v>180056.38258470083</v>
      </c>
      <c r="BA577" s="81">
        <f>tbl_Data[[#This Row],[Incremental Cost ($/unit)]]/tbl_Data[[#This Row],[kWh Savings]]*tbl_Data[[#This Row],[Sum of Annuals]]</f>
        <v>61483.614060475433</v>
      </c>
      <c r="BB577" s="77">
        <f>ROUNDUP(tbl_Data[[#This Row],[Adjusted 2025]]/$L577,0)</f>
        <v>31</v>
      </c>
      <c r="BC577" s="77">
        <f>ROUNDUP(tbl_Data[[#This Row],[Adjusted 2026]]/$L577,0)</f>
        <v>42</v>
      </c>
      <c r="BD577" s="77">
        <f>ROUNDUP(tbl_Data[[#This Row],[Adjusted 2027]]/$L577,0)</f>
        <v>56</v>
      </c>
      <c r="BE577" s="77">
        <f>ROUNDUP(tbl_Data[[#This Row],[Adjusted 2028]]/$L577,0)</f>
        <v>73</v>
      </c>
      <c r="BF577" s="77">
        <f>ROUNDUP(tbl_Data[[#This Row],[Adjusted 2029]]/$L577,0)</f>
        <v>90</v>
      </c>
      <c r="BG577" s="77">
        <f>ROUNDUP(tbl_Data[[#This Row],[Adjusted 2030]]/$L577,0)</f>
        <v>105</v>
      </c>
      <c r="BH577" s="77">
        <f>ROUNDUP(tbl_Data[[#This Row],[Adjusted 2031]]/$L577,0)</f>
        <v>116</v>
      </c>
      <c r="BI577" s="77">
        <f>ROUNDUP(tbl_Data[[#This Row],[Adjusted 2032]]/$L577,0)</f>
        <v>118</v>
      </c>
      <c r="BJ577" s="77">
        <f>ROUNDUP(tbl_Data[[#This Row],[Adjusted 2033]]/$L577,0)</f>
        <v>110</v>
      </c>
      <c r="BK577" s="77">
        <f>ROUNDUP(tbl_Data[[#This Row],[Adjusted 2034]]/$L577,0)</f>
        <v>93</v>
      </c>
      <c r="BL577" s="80">
        <f t="shared" si="232"/>
        <v>0</v>
      </c>
      <c r="BM577" s="80">
        <f t="shared" si="233"/>
        <v>0</v>
      </c>
      <c r="BN577" s="80">
        <f t="shared" si="234"/>
        <v>0</v>
      </c>
      <c r="BO577" s="80">
        <f t="shared" si="235"/>
        <v>0</v>
      </c>
      <c r="BP577" s="80">
        <f t="shared" si="236"/>
        <v>0</v>
      </c>
      <c r="BQ577" s="80">
        <f t="shared" si="237"/>
        <v>0</v>
      </c>
      <c r="BR577" s="80">
        <f t="shared" si="238"/>
        <v>0</v>
      </c>
      <c r="BS577" s="80">
        <f t="shared" si="239"/>
        <v>0</v>
      </c>
      <c r="BT577" s="80">
        <f t="shared" si="240"/>
        <v>0</v>
      </c>
      <c r="BU577" s="80">
        <f t="shared" si="241"/>
        <v>0</v>
      </c>
      <c r="BV577" s="80" t="str">
        <f>IFERROR(VLOOKUP($H577,'1. Set Program Names'!$B$2:$D$15,3,0)*V577,"NA")</f>
        <v>NA</v>
      </c>
      <c r="BW577" s="80" t="str">
        <f>IFERROR(VLOOKUP($H577,'1. Set Program Names'!$B$2:$D$15,3,0)*W577,"NA")</f>
        <v>NA</v>
      </c>
      <c r="BX577" s="80" t="str">
        <f>IFERROR(VLOOKUP($H577,'1. Set Program Names'!$B$2:$D$15,3,0)*X577,"NA")</f>
        <v>NA</v>
      </c>
      <c r="BY577" s="80" t="str">
        <f>IFERROR(VLOOKUP($H577,'1. Set Program Names'!$B$2:$D$15,3,0)*Y577,"NA")</f>
        <v>NA</v>
      </c>
      <c r="BZ577" s="80" t="str">
        <f>IFERROR(VLOOKUP($H577,'1. Set Program Names'!$B$2:$D$15,3,0)*Z577,"NA")</f>
        <v>NA</v>
      </c>
      <c r="CA577" s="80" t="str">
        <f>IFERROR(VLOOKUP($H577,'1. Set Program Names'!$B$2:$D$15,3,0)*AA577,"NA")</f>
        <v>NA</v>
      </c>
      <c r="CB577" s="80" t="str">
        <f>IFERROR(VLOOKUP($H577,'1. Set Program Names'!$B$2:$D$15,3,0)*AB577,"NA")</f>
        <v>NA</v>
      </c>
      <c r="CC577" s="80" t="str">
        <f>IFERROR(VLOOKUP($H577,'1. Set Program Names'!$B$2:$D$15,3,0)*AC577,"NA")</f>
        <v>NA</v>
      </c>
      <c r="CD577" s="80" t="str">
        <f>IFERROR(VLOOKUP($H577,'1. Set Program Names'!$B$2:$D$15,3,0)*AD577,"NA")</f>
        <v>NA</v>
      </c>
      <c r="CE577" s="80" t="str">
        <f>IFERROR(VLOOKUP($H577,'1. Set Program Names'!$B$2:$D$15,3,0)*AE577,"NA")</f>
        <v>NA</v>
      </c>
    </row>
    <row r="578" spans="1:83" x14ac:dyDescent="0.25">
      <c r="A578" s="79" t="s">
        <v>87</v>
      </c>
      <c r="B578" s="79" t="s">
        <v>88</v>
      </c>
      <c r="C578" s="79" t="s">
        <v>122</v>
      </c>
      <c r="D578" s="79" t="s">
        <v>90</v>
      </c>
      <c r="E578" s="79" t="s">
        <v>91</v>
      </c>
      <c r="F578" s="79" t="s">
        <v>90</v>
      </c>
      <c r="G578" s="79" t="s">
        <v>92</v>
      </c>
      <c r="H578" s="79" t="s">
        <v>268</v>
      </c>
      <c r="I578" s="79" t="s">
        <v>150</v>
      </c>
      <c r="J578" s="79" t="s">
        <v>129</v>
      </c>
      <c r="K578" s="79" t="s">
        <v>102</v>
      </c>
      <c r="L578" s="79">
        <v>56016.9549999999</v>
      </c>
      <c r="M578" s="79">
        <v>10.827112325312299</v>
      </c>
      <c r="N578" s="79">
        <v>1.3517775806744601</v>
      </c>
      <c r="O578" s="79">
        <v>17160.122499999899</v>
      </c>
      <c r="P578" s="79">
        <v>8652.3043908691998</v>
      </c>
      <c r="Q578" s="79">
        <v>56.016954999999903</v>
      </c>
      <c r="R578" s="79">
        <v>30291.5576269993</v>
      </c>
      <c r="S578" s="79">
        <v>71892.064971295098</v>
      </c>
      <c r="T578" s="79">
        <v>20</v>
      </c>
      <c r="U578" s="79">
        <v>1</v>
      </c>
      <c r="V578" s="79">
        <f>tbl_Data_old[[#This Row],[2025 ]]*IFERROR(AVERAGEIFS('Participation Adjustment'!$C:$C,'Participation Adjustment'!$A:$A,$H578,'Participation Adjustment'!$B:$B,$I578),1)</f>
        <v>60456.637521564597</v>
      </c>
      <c r="W578" s="79">
        <f>tbl_Data_old[[#This Row],[2026 ]]*IFERROR(AVERAGEIFS('Participation Adjustment'!$C:$C,'Participation Adjustment'!$A:$A,$H578,'Participation Adjustment'!$B:$B,$I578),1)</f>
        <v>59674.791222869397</v>
      </c>
      <c r="X578" s="79">
        <f>tbl_Data_old[[#This Row],[2027 ]]*IFERROR(AVERAGEIFS('Participation Adjustment'!$C:$C,'Participation Adjustment'!$A:$A,$H578,'Participation Adjustment'!$B:$B,$I578),1)</f>
        <v>58549.6633784437</v>
      </c>
      <c r="Y578" s="79">
        <f>tbl_Data_old[[#This Row],[2028 ]]*IFERROR(AVERAGEIFS('Participation Adjustment'!$C:$C,'Participation Adjustment'!$A:$A,$H578,'Participation Adjustment'!$B:$B,$I578),1)</f>
        <v>57438.6521255107</v>
      </c>
      <c r="Z578" s="79">
        <f>tbl_Data_old[[#This Row],[2029 ]]*IFERROR(AVERAGEIFS('Participation Adjustment'!$C:$C,'Participation Adjustment'!$A:$A,$H578,'Participation Adjustment'!$B:$B,$I578),1)</f>
        <v>56268.827684627999</v>
      </c>
      <c r="AA578" s="79">
        <f>tbl_Data_old[[#This Row],[2030 ]]*IFERROR(AVERAGEIFS('Participation Adjustment'!$C:$C,'Participation Adjustment'!$A:$A,$H578,'Participation Adjustment'!$B:$B,$I578),1)</f>
        <v>54992.461991539501</v>
      </c>
      <c r="AB578" s="79">
        <f>tbl_Data_old[[#This Row],[2031 ]]*IFERROR(AVERAGEIFS('Participation Adjustment'!$C:$C,'Participation Adjustment'!$A:$A,$H578,'Participation Adjustment'!$B:$B,$I578),1)</f>
        <v>53624.329269177302</v>
      </c>
      <c r="AC578" s="79">
        <f>tbl_Data_old[[#This Row],[2032 ]]*IFERROR(AVERAGEIFS('Participation Adjustment'!$C:$C,'Participation Adjustment'!$A:$A,$H578,'Participation Adjustment'!$B:$B,$I578),1)</f>
        <v>52279.712982556397</v>
      </c>
      <c r="AD578" s="79">
        <f>tbl_Data_old[[#This Row],[2033 ]]*IFERROR(AVERAGEIFS('Participation Adjustment'!$C:$C,'Participation Adjustment'!$A:$A,$H578,'Participation Adjustment'!$B:$B,$I578),1)</f>
        <v>51014.713298660201</v>
      </c>
      <c r="AE578" s="79">
        <f>tbl_Data_old[[#This Row],[2034 ]]*IFERROR(AVERAGEIFS('Participation Adjustment'!$C:$C,'Participation Adjustment'!$A:$A,$H578,'Participation Adjustment'!$B:$B,$I578),1)</f>
        <v>49719.326222792399</v>
      </c>
      <c r="AF578" s="77" t="str">
        <f t="shared" si="231"/>
        <v>NonResidential</v>
      </c>
      <c r="AG578" s="77" t="str">
        <f>tbl_Data[[#This Row],[All_Meas_Name_Append]]</f>
        <v>Infiltration Reduction - Air Sealing</v>
      </c>
      <c r="AH578" s="77">
        <f>AVERAGEIFS('3. Incentive Adjustment'!G:G,'3. Incentive Adjustment'!A:A,tbl_Data[[#This Row],[Trimmed Sector]],'3. Incentive Adjustment'!B:B,tbl_Data[[#This Row],[Trimmed Measure Name]])</f>
        <v>0.66528306579610585</v>
      </c>
      <c r="AI578" s="77">
        <f>$AH578*tbl_Data[[#This Row],[2025 ]]</f>
        <v>40220.777158070385</v>
      </c>
      <c r="AJ578" s="77">
        <f>$AH578*tbl_Data[[#This Row],[2026 ]]</f>
        <v>39700.6280554931</v>
      </c>
      <c r="AK578" s="77">
        <f>$AH578*tbl_Data[[#This Row],[2027 ]]</f>
        <v>38952.099553741013</v>
      </c>
      <c r="AL578" s="77">
        <f>$AH578*tbl_Data[[#This Row],[2028 ]]</f>
        <v>38212.962581255772</v>
      </c>
      <c r="AM578" s="77">
        <f>$AH578*tbl_Data[[#This Row],[2029 ]]</f>
        <v>37434.69819078211</v>
      </c>
      <c r="AN578" s="77">
        <f>$AH578*tbl_Data[[#This Row],[2030 ]]</f>
        <v>36585.553709407228</v>
      </c>
      <c r="AO578" s="77">
        <f>$AH578*tbl_Data[[#This Row],[2031 ]]</f>
        <v>35675.358177458125</v>
      </c>
      <c r="AP578" s="77">
        <f>$AH578*tbl_Data[[#This Row],[2032 ]]</f>
        <v>34780.807731975598</v>
      </c>
      <c r="AQ578" s="77">
        <f>$AH578*tbl_Data[[#This Row],[2033 ]]</f>
        <v>33939.224864042029</v>
      </c>
      <c r="AR578" s="77">
        <f>$AH578*tbl_Data[[#This Row],[2034 ]]</f>
        <v>33077.425778816047</v>
      </c>
      <c r="AS578" s="77">
        <f>SUM(tbl_Data[[#This Row],[Adjusted 2025]:[Adjusted 2034]])</f>
        <v>368579.53580104135</v>
      </c>
      <c r="AT578" s="80">
        <f>AVERAGEIFS('3. Incentive Adjustment'!F:F,'3. Incentive Adjustment'!A:A,tbl_Data[[#This Row],[Trimmed Sector]],'3. Incentive Adjustment'!B:B,tbl_Data[[#This Row],[Trimmed Measure Name]])</f>
        <v>0</v>
      </c>
      <c r="AU578" s="80">
        <f>IFERROR(VLOOKUP(tbl_Data[[#This Row],[All_Meas_Name_Append]],'IRA Tax Credits'!$A$3:$D$46,4,0),0)</f>
        <v>0</v>
      </c>
      <c r="AV578" s="81">
        <f>tbl_Data[[#This Row],[Adj. per unit Incentive ($)]]/tbl_Data[[#This Row],[kWh Savings]]*tbl_Data[[#This Row],[Sum of Annuals]]</f>
        <v>0</v>
      </c>
      <c r="AW578" s="81" t="str">
        <f>IFERROR(VLOOKUP(tbl_Data[[#This Row],[Column1]],'1. Set Program Names'!$B$2:$D$15,3,0)*tbl_Data[[#This Row],[Sum of Annuals]],"")</f>
        <v/>
      </c>
      <c r="AX578" s="81">
        <f>tbl_Data[[#This Row],[per unit IRA tax ($)]]/tbl_Data[[#This Row],[kWh Savings]]*tbl_Data[[#This Row],[Sum of Annuals]]</f>
        <v>0</v>
      </c>
      <c r="AY578" s="81">
        <f>tbl_Data[[#This Row],[Avoided Costs ($/unit)]]/tbl_Data[[#This Row],[kWh Savings]]*tbl_Data[[#This Row],[Sum of Annuals]]</f>
        <v>199311.9449075716</v>
      </c>
      <c r="AZ578" s="81">
        <f>tbl_Data[[#This Row],[Lost Revenue ($/unit)]]/tbl_Data[[#This Row],[kWh Savings]]*tbl_Data[[#This Row],[Sum of Annuals]]</f>
        <v>473034.350669334</v>
      </c>
      <c r="BA578" s="81">
        <f>tbl_Data[[#This Row],[Incremental Cost ($/unit)]]/tbl_Data[[#This Row],[kWh Savings]]*tbl_Data[[#This Row],[Sum of Annuals]]</f>
        <v>112909.92138610496</v>
      </c>
      <c r="BB578" s="77">
        <f>ROUNDUP(tbl_Data[[#This Row],[Adjusted 2025]]/$L578,0)</f>
        <v>1</v>
      </c>
      <c r="BC578" s="77">
        <f>ROUNDUP(tbl_Data[[#This Row],[Adjusted 2026]]/$L578,0)</f>
        <v>1</v>
      </c>
      <c r="BD578" s="77">
        <f>ROUNDUP(tbl_Data[[#This Row],[Adjusted 2027]]/$L578,0)</f>
        <v>1</v>
      </c>
      <c r="BE578" s="77">
        <f>ROUNDUP(tbl_Data[[#This Row],[Adjusted 2028]]/$L578,0)</f>
        <v>1</v>
      </c>
      <c r="BF578" s="77">
        <f>ROUNDUP(tbl_Data[[#This Row],[Adjusted 2029]]/$L578,0)</f>
        <v>1</v>
      </c>
      <c r="BG578" s="77">
        <f>ROUNDUP(tbl_Data[[#This Row],[Adjusted 2030]]/$L578,0)</f>
        <v>1</v>
      </c>
      <c r="BH578" s="77">
        <f>ROUNDUP(tbl_Data[[#This Row],[Adjusted 2031]]/$L578,0)</f>
        <v>1</v>
      </c>
      <c r="BI578" s="77">
        <f>ROUNDUP(tbl_Data[[#This Row],[Adjusted 2032]]/$L578,0)</f>
        <v>1</v>
      </c>
      <c r="BJ578" s="77">
        <f>ROUNDUP(tbl_Data[[#This Row],[Adjusted 2033]]/$L578,0)</f>
        <v>1</v>
      </c>
      <c r="BK578" s="77">
        <f>ROUNDUP(tbl_Data[[#This Row],[Adjusted 2034]]/$L578,0)</f>
        <v>1</v>
      </c>
      <c r="BL578" s="80">
        <f t="shared" si="232"/>
        <v>0</v>
      </c>
      <c r="BM578" s="80">
        <f t="shared" si="233"/>
        <v>0</v>
      </c>
      <c r="BN578" s="80">
        <f t="shared" si="234"/>
        <v>0</v>
      </c>
      <c r="BO578" s="80">
        <f t="shared" si="235"/>
        <v>0</v>
      </c>
      <c r="BP578" s="80">
        <f t="shared" si="236"/>
        <v>0</v>
      </c>
      <c r="BQ578" s="80">
        <f t="shared" si="237"/>
        <v>0</v>
      </c>
      <c r="BR578" s="80">
        <f t="shared" si="238"/>
        <v>0</v>
      </c>
      <c r="BS578" s="80">
        <f t="shared" si="239"/>
        <v>0</v>
      </c>
      <c r="BT578" s="80">
        <f t="shared" si="240"/>
        <v>0</v>
      </c>
      <c r="BU578" s="80">
        <f t="shared" si="241"/>
        <v>0</v>
      </c>
      <c r="BV578" s="80" t="str">
        <f>IFERROR(VLOOKUP($H578,'1. Set Program Names'!$B$2:$D$15,3,0)*V578,"NA")</f>
        <v>NA</v>
      </c>
      <c r="BW578" s="80" t="str">
        <f>IFERROR(VLOOKUP($H578,'1. Set Program Names'!$B$2:$D$15,3,0)*W578,"NA")</f>
        <v>NA</v>
      </c>
      <c r="BX578" s="80" t="str">
        <f>IFERROR(VLOOKUP($H578,'1. Set Program Names'!$B$2:$D$15,3,0)*X578,"NA")</f>
        <v>NA</v>
      </c>
      <c r="BY578" s="80" t="str">
        <f>IFERROR(VLOOKUP($H578,'1. Set Program Names'!$B$2:$D$15,3,0)*Y578,"NA")</f>
        <v>NA</v>
      </c>
      <c r="BZ578" s="80" t="str">
        <f>IFERROR(VLOOKUP($H578,'1. Set Program Names'!$B$2:$D$15,3,0)*Z578,"NA")</f>
        <v>NA</v>
      </c>
      <c r="CA578" s="80" t="str">
        <f>IFERROR(VLOOKUP($H578,'1. Set Program Names'!$B$2:$D$15,3,0)*AA578,"NA")</f>
        <v>NA</v>
      </c>
      <c r="CB578" s="80" t="str">
        <f>IFERROR(VLOOKUP($H578,'1. Set Program Names'!$B$2:$D$15,3,0)*AB578,"NA")</f>
        <v>NA</v>
      </c>
      <c r="CC578" s="80" t="str">
        <f>IFERROR(VLOOKUP($H578,'1. Set Program Names'!$B$2:$D$15,3,0)*AC578,"NA")</f>
        <v>NA</v>
      </c>
      <c r="CD578" s="80" t="str">
        <f>IFERROR(VLOOKUP($H578,'1. Set Program Names'!$B$2:$D$15,3,0)*AD578,"NA")</f>
        <v>NA</v>
      </c>
      <c r="CE578" s="80" t="str">
        <f>IFERROR(VLOOKUP($H578,'1. Set Program Names'!$B$2:$D$15,3,0)*AE578,"NA")</f>
        <v>NA</v>
      </c>
    </row>
    <row r="579" spans="1:83" x14ac:dyDescent="0.25">
      <c r="A579" s="79" t="s">
        <v>87</v>
      </c>
      <c r="B579" s="79" t="s">
        <v>88</v>
      </c>
      <c r="C579" s="79" t="s">
        <v>122</v>
      </c>
      <c r="D579" s="79" t="s">
        <v>90</v>
      </c>
      <c r="E579" s="79" t="s">
        <v>91</v>
      </c>
      <c r="F579" s="79" t="s">
        <v>90</v>
      </c>
      <c r="G579" s="79" t="s">
        <v>92</v>
      </c>
      <c r="H579" s="79" t="s">
        <v>268</v>
      </c>
      <c r="I579" s="79" t="s">
        <v>269</v>
      </c>
      <c r="J579" s="79" t="s">
        <v>144</v>
      </c>
      <c r="K579" s="79" t="s">
        <v>98</v>
      </c>
      <c r="L579" s="79">
        <v>114.663333333333</v>
      </c>
      <c r="M579" s="79">
        <v>9.9293177507311006E-3</v>
      </c>
      <c r="N579" s="79">
        <v>1.6498275913899602E-2</v>
      </c>
      <c r="O579" s="79">
        <v>32.906666666666602</v>
      </c>
      <c r="P579" s="79">
        <v>12.4845629759592</v>
      </c>
      <c r="Q579" s="79">
        <v>0.11466333333333301</v>
      </c>
      <c r="R579" s="79">
        <v>37.313940517924799</v>
      </c>
      <c r="S579" s="79">
        <v>94.317035346682403</v>
      </c>
      <c r="T579" s="79">
        <v>10</v>
      </c>
      <c r="U579" s="79">
        <v>1</v>
      </c>
      <c r="V579" s="79">
        <f>tbl_Data_old[[#This Row],[2025 ]]*IFERROR(AVERAGEIFS('Participation Adjustment'!$C:$C,'Participation Adjustment'!$A:$A,$H579,'Participation Adjustment'!$B:$B,$I579),1)</f>
        <v>25518.506796433401</v>
      </c>
      <c r="W579" s="79">
        <f>tbl_Data_old[[#This Row],[2026 ]]*IFERROR(AVERAGEIFS('Participation Adjustment'!$C:$C,'Participation Adjustment'!$A:$A,$H579,'Participation Adjustment'!$B:$B,$I579),1)</f>
        <v>35025.406729648603</v>
      </c>
      <c r="X579" s="79">
        <f>tbl_Data_old[[#This Row],[2027 ]]*IFERROR(AVERAGEIFS('Participation Adjustment'!$C:$C,'Participation Adjustment'!$A:$A,$H579,'Participation Adjustment'!$B:$B,$I579),1)</f>
        <v>46623.520154603</v>
      </c>
      <c r="Y579" s="79">
        <f>tbl_Data_old[[#This Row],[2028 ]]*IFERROR(AVERAGEIFS('Participation Adjustment'!$C:$C,'Participation Adjustment'!$A:$A,$H579,'Participation Adjustment'!$B:$B,$I579),1)</f>
        <v>60167.733782338699</v>
      </c>
      <c r="Z579" s="79">
        <f>tbl_Data_old[[#This Row],[2029 ]]*IFERROR(AVERAGEIFS('Participation Adjustment'!$C:$C,'Participation Adjustment'!$A:$A,$H579,'Participation Adjustment'!$B:$B,$I579),1)</f>
        <v>74550.585547385199</v>
      </c>
      <c r="AA579" s="79">
        <f>tbl_Data_old[[#This Row],[2030 ]]*IFERROR(AVERAGEIFS('Participation Adjustment'!$C:$C,'Participation Adjustment'!$A:$A,$H579,'Participation Adjustment'!$B:$B,$I579),1)</f>
        <v>87541.773703196406</v>
      </c>
      <c r="AB579" s="79">
        <f>tbl_Data_old[[#This Row],[2031 ]]*IFERROR(AVERAGEIFS('Participation Adjustment'!$C:$C,'Participation Adjustment'!$A:$A,$H579,'Participation Adjustment'!$B:$B,$I579),1)</f>
        <v>96236.857918109905</v>
      </c>
      <c r="AC579" s="79">
        <f>tbl_Data_old[[#This Row],[2032 ]]*IFERROR(AVERAGEIFS('Participation Adjustment'!$C:$C,'Participation Adjustment'!$A:$A,$H579,'Participation Adjustment'!$B:$B,$I579),1)</f>
        <v>97912.636296950397</v>
      </c>
      <c r="AD579" s="79">
        <f>tbl_Data_old[[#This Row],[2033 ]]*IFERROR(AVERAGEIFS('Participation Adjustment'!$C:$C,'Participation Adjustment'!$A:$A,$H579,'Participation Adjustment'!$B:$B,$I579),1)</f>
        <v>91191.870857718503</v>
      </c>
      <c r="AE579" s="79">
        <f>tbl_Data_old[[#This Row],[2034 ]]*IFERROR(AVERAGEIFS('Participation Adjustment'!$C:$C,'Participation Adjustment'!$A:$A,$H579,'Participation Adjustment'!$B:$B,$I579),1)</f>
        <v>77432.955063462199</v>
      </c>
      <c r="AF579" s="77" t="str">
        <f t="shared" si="231"/>
        <v>NonResidential</v>
      </c>
      <c r="AG579" s="77" t="str">
        <f>tbl_Data[[#This Row],[All_Meas_Name_Append]]</f>
        <v>Low Flow Shower Head</v>
      </c>
      <c r="AH579" s="77">
        <f>AVERAGEIFS('3. Incentive Adjustment'!G:G,'3. Incentive Adjustment'!A:A,tbl_Data[[#This Row],[Trimmed Sector]],'3. Incentive Adjustment'!B:B,tbl_Data[[#This Row],[Trimmed Measure Name]])</f>
        <v>0.75029954061989002</v>
      </c>
      <c r="AI579" s="77">
        <f>$AH579*tbl_Data[[#This Row],[2025 ]]</f>
        <v>19146.523926669521</v>
      </c>
      <c r="AJ579" s="77">
        <f>$AH579*tbl_Data[[#This Row],[2026 ]]</f>
        <v>26279.546579280151</v>
      </c>
      <c r="AK579" s="77">
        <f>$AH579*tbl_Data[[#This Row],[2027 ]]</f>
        <v>34981.605754080818</v>
      </c>
      <c r="AL579" s="77">
        <f>$AH579*tbl_Data[[#This Row],[2028 ]]</f>
        <v>45143.823017028561</v>
      </c>
      <c r="AM579" s="77">
        <f>$AH579*tbl_Data[[#This Row],[2029 ]]</f>
        <v>55935.270089146929</v>
      </c>
      <c r="AN579" s="77">
        <f>$AH579*tbl_Data[[#This Row],[2030 ]]</f>
        <v>65682.552594558627</v>
      </c>
      <c r="AO579" s="77">
        <f>$AH579*tbl_Data[[#This Row],[2031 ]]</f>
        <v>72206.470286659489</v>
      </c>
      <c r="AP579" s="77">
        <f>$AH579*tbl_Data[[#This Row],[2032 ]]</f>
        <v>73463.806034484252</v>
      </c>
      <c r="AQ579" s="77">
        <f>$AH579*tbl_Data[[#This Row],[2033 ]]</f>
        <v>68421.218812814535</v>
      </c>
      <c r="AR579" s="77">
        <f>$AH579*tbl_Data[[#This Row],[2034 ]]</f>
        <v>58097.910612956272</v>
      </c>
      <c r="AS579" s="77">
        <f>SUM(tbl_Data[[#This Row],[Adjusted 2025]:[Adjusted 2034]])</f>
        <v>519358.72770767915</v>
      </c>
      <c r="AT579" s="80">
        <f>AVERAGEIFS('3. Incentive Adjustment'!F:F,'3. Incentive Adjustment'!A:A,tbl_Data[[#This Row],[Trimmed Sector]],'3. Incentive Adjustment'!B:B,tbl_Data[[#This Row],[Trimmed Measure Name]])</f>
        <v>0</v>
      </c>
      <c r="AU579" s="80">
        <f>IFERROR(VLOOKUP(tbl_Data[[#This Row],[All_Meas_Name_Append]],'IRA Tax Credits'!$A$3:$D$46,4,0),0)</f>
        <v>0</v>
      </c>
      <c r="AV579" s="81">
        <f>tbl_Data[[#This Row],[Adj. per unit Incentive ($)]]/tbl_Data[[#This Row],[kWh Savings]]*tbl_Data[[#This Row],[Sum of Annuals]]</f>
        <v>0</v>
      </c>
      <c r="AW579" s="81" t="str">
        <f>IFERROR(VLOOKUP(tbl_Data[[#This Row],[Column1]],'1. Set Program Names'!$B$2:$D$15,3,0)*tbl_Data[[#This Row],[Sum of Annuals]],"")</f>
        <v/>
      </c>
      <c r="AX579" s="81">
        <f>tbl_Data[[#This Row],[per unit IRA tax ($)]]/tbl_Data[[#This Row],[kWh Savings]]*tbl_Data[[#This Row],[Sum of Annuals]]</f>
        <v>0</v>
      </c>
      <c r="AY579" s="81">
        <f>tbl_Data[[#This Row],[Avoided Costs ($/unit)]]/tbl_Data[[#This Row],[kWh Savings]]*tbl_Data[[#This Row],[Sum of Annuals]]</f>
        <v>169010.61664422948</v>
      </c>
      <c r="AZ579" s="81">
        <f>tbl_Data[[#This Row],[Lost Revenue ($/unit)]]/tbl_Data[[#This Row],[kWh Savings]]*tbl_Data[[#This Row],[Sum of Annuals]]</f>
        <v>427201.73969138623</v>
      </c>
      <c r="BA579" s="81">
        <f>tbl_Data[[#This Row],[Incremental Cost ($/unit)]]/tbl_Data[[#This Row],[kWh Savings]]*tbl_Data[[#This Row],[Sum of Annuals]]</f>
        <v>149048.20953894631</v>
      </c>
      <c r="BB579" s="77">
        <f>ROUNDUP(tbl_Data[[#This Row],[Adjusted 2025]]/$L579,0)</f>
        <v>167</v>
      </c>
      <c r="BC579" s="77">
        <f>ROUNDUP(tbl_Data[[#This Row],[Adjusted 2026]]/$L579,0)</f>
        <v>230</v>
      </c>
      <c r="BD579" s="77">
        <f>ROUNDUP(tbl_Data[[#This Row],[Adjusted 2027]]/$L579,0)</f>
        <v>306</v>
      </c>
      <c r="BE579" s="77">
        <f>ROUNDUP(tbl_Data[[#This Row],[Adjusted 2028]]/$L579,0)</f>
        <v>394</v>
      </c>
      <c r="BF579" s="77">
        <f>ROUNDUP(tbl_Data[[#This Row],[Adjusted 2029]]/$L579,0)</f>
        <v>488</v>
      </c>
      <c r="BG579" s="77">
        <f>ROUNDUP(tbl_Data[[#This Row],[Adjusted 2030]]/$L579,0)</f>
        <v>573</v>
      </c>
      <c r="BH579" s="77">
        <f>ROUNDUP(tbl_Data[[#This Row],[Adjusted 2031]]/$L579,0)</f>
        <v>630</v>
      </c>
      <c r="BI579" s="77">
        <f>ROUNDUP(tbl_Data[[#This Row],[Adjusted 2032]]/$L579,0)</f>
        <v>641</v>
      </c>
      <c r="BJ579" s="77">
        <f>ROUNDUP(tbl_Data[[#This Row],[Adjusted 2033]]/$L579,0)</f>
        <v>597</v>
      </c>
      <c r="BK579" s="77">
        <f>ROUNDUP(tbl_Data[[#This Row],[Adjusted 2034]]/$L579,0)</f>
        <v>507</v>
      </c>
      <c r="BL579" s="80">
        <f t="shared" si="232"/>
        <v>0</v>
      </c>
      <c r="BM579" s="80">
        <f t="shared" si="233"/>
        <v>0</v>
      </c>
      <c r="BN579" s="80">
        <f t="shared" si="234"/>
        <v>0</v>
      </c>
      <c r="BO579" s="80">
        <f t="shared" si="235"/>
        <v>0</v>
      </c>
      <c r="BP579" s="80">
        <f t="shared" si="236"/>
        <v>0</v>
      </c>
      <c r="BQ579" s="80">
        <f t="shared" si="237"/>
        <v>0</v>
      </c>
      <c r="BR579" s="80">
        <f t="shared" si="238"/>
        <v>0</v>
      </c>
      <c r="BS579" s="80">
        <f t="shared" si="239"/>
        <v>0</v>
      </c>
      <c r="BT579" s="80">
        <f t="shared" si="240"/>
        <v>0</v>
      </c>
      <c r="BU579" s="80">
        <f t="shared" si="241"/>
        <v>0</v>
      </c>
      <c r="BV579" s="80" t="str">
        <f>IFERROR(VLOOKUP($H579,'1. Set Program Names'!$B$2:$D$15,3,0)*V579,"NA")</f>
        <v>NA</v>
      </c>
      <c r="BW579" s="80" t="str">
        <f>IFERROR(VLOOKUP($H579,'1. Set Program Names'!$B$2:$D$15,3,0)*W579,"NA")</f>
        <v>NA</v>
      </c>
      <c r="BX579" s="80" t="str">
        <f>IFERROR(VLOOKUP($H579,'1. Set Program Names'!$B$2:$D$15,3,0)*X579,"NA")</f>
        <v>NA</v>
      </c>
      <c r="BY579" s="80" t="str">
        <f>IFERROR(VLOOKUP($H579,'1. Set Program Names'!$B$2:$D$15,3,0)*Y579,"NA")</f>
        <v>NA</v>
      </c>
      <c r="BZ579" s="80" t="str">
        <f>IFERROR(VLOOKUP($H579,'1. Set Program Names'!$B$2:$D$15,3,0)*Z579,"NA")</f>
        <v>NA</v>
      </c>
      <c r="CA579" s="80" t="str">
        <f>IFERROR(VLOOKUP($H579,'1. Set Program Names'!$B$2:$D$15,3,0)*AA579,"NA")</f>
        <v>NA</v>
      </c>
      <c r="CB579" s="80" t="str">
        <f>IFERROR(VLOOKUP($H579,'1. Set Program Names'!$B$2:$D$15,3,0)*AB579,"NA")</f>
        <v>NA</v>
      </c>
      <c r="CC579" s="80" t="str">
        <f>IFERROR(VLOOKUP($H579,'1. Set Program Names'!$B$2:$D$15,3,0)*AC579,"NA")</f>
        <v>NA</v>
      </c>
      <c r="CD579" s="80" t="str">
        <f>IFERROR(VLOOKUP($H579,'1. Set Program Names'!$B$2:$D$15,3,0)*AD579,"NA")</f>
        <v>NA</v>
      </c>
      <c r="CE579" s="80" t="str">
        <f>IFERROR(VLOOKUP($H579,'1. Set Program Names'!$B$2:$D$15,3,0)*AE579,"NA")</f>
        <v>NA</v>
      </c>
    </row>
    <row r="580" spans="1:83" x14ac:dyDescent="0.25">
      <c r="A580" s="79" t="s">
        <v>87</v>
      </c>
      <c r="B580" s="79" t="s">
        <v>88</v>
      </c>
      <c r="C580" s="79" t="s">
        <v>122</v>
      </c>
      <c r="D580" s="79" t="s">
        <v>90</v>
      </c>
      <c r="E580" s="79" t="s">
        <v>91</v>
      </c>
      <c r="F580" s="79" t="s">
        <v>90</v>
      </c>
      <c r="G580" s="79" t="s">
        <v>92</v>
      </c>
      <c r="H580" s="79" t="s">
        <v>268</v>
      </c>
      <c r="I580" s="79" t="s">
        <v>151</v>
      </c>
      <c r="J580" s="79" t="s">
        <v>137</v>
      </c>
      <c r="K580" s="79" t="s">
        <v>152</v>
      </c>
      <c r="L580" s="79">
        <v>746</v>
      </c>
      <c r="M580" s="79">
        <v>0.118390986607413</v>
      </c>
      <c r="N580" s="79">
        <v>0.122042488273403</v>
      </c>
      <c r="O580" s="79">
        <v>233.28</v>
      </c>
      <c r="P580" s="79">
        <v>79.822614261305304</v>
      </c>
      <c r="Q580" s="79">
        <v>0.746</v>
      </c>
      <c r="R580" s="79">
        <v>287.47532526616499</v>
      </c>
      <c r="S580" s="79">
        <v>613.62692260203801</v>
      </c>
      <c r="T580" s="79">
        <v>10</v>
      </c>
      <c r="U580" s="79">
        <v>1</v>
      </c>
      <c r="V580" s="79">
        <f>tbl_Data_old[[#This Row],[2025 ]]*IFERROR(AVERAGEIFS('Participation Adjustment'!$C:$C,'Participation Adjustment'!$A:$A,$H580,'Participation Adjustment'!$B:$B,$I580),1)</f>
        <v>22783.746486718599</v>
      </c>
      <c r="W580" s="79">
        <f>tbl_Data_old[[#This Row],[2026 ]]*IFERROR(AVERAGEIFS('Participation Adjustment'!$C:$C,'Participation Adjustment'!$A:$A,$H580,'Participation Adjustment'!$B:$B,$I580),1)</f>
        <v>27223.670499003201</v>
      </c>
      <c r="X580" s="79">
        <f>tbl_Data_old[[#This Row],[2027 ]]*IFERROR(AVERAGEIFS('Participation Adjustment'!$C:$C,'Participation Adjustment'!$A:$A,$H580,'Participation Adjustment'!$B:$B,$I580),1)</f>
        <v>31984.451959030099</v>
      </c>
      <c r="Y580" s="79">
        <f>tbl_Data_old[[#This Row],[2028 ]]*IFERROR(AVERAGEIFS('Participation Adjustment'!$C:$C,'Participation Adjustment'!$A:$A,$H580,'Participation Adjustment'!$B:$B,$I580),1)</f>
        <v>37190.158647965</v>
      </c>
      <c r="Z580" s="79">
        <f>tbl_Data_old[[#This Row],[2029 ]]*IFERROR(AVERAGEIFS('Participation Adjustment'!$C:$C,'Participation Adjustment'!$A:$A,$H580,'Participation Adjustment'!$B:$B,$I580),1)</f>
        <v>42766.475795670303</v>
      </c>
      <c r="AA580" s="79">
        <f>tbl_Data_old[[#This Row],[2030 ]]*IFERROR(AVERAGEIFS('Participation Adjustment'!$C:$C,'Participation Adjustment'!$A:$A,$H580,'Participation Adjustment'!$B:$B,$I580),1)</f>
        <v>48562.217647978097</v>
      </c>
      <c r="AB580" s="79">
        <f>tbl_Data_old[[#This Row],[2031 ]]*IFERROR(AVERAGEIFS('Participation Adjustment'!$C:$C,'Participation Adjustment'!$A:$A,$H580,'Participation Adjustment'!$B:$B,$I580),1)</f>
        <v>54502.687807970498</v>
      </c>
      <c r="AC580" s="79">
        <f>tbl_Data_old[[#This Row],[2032 ]]*IFERROR(AVERAGEIFS('Participation Adjustment'!$C:$C,'Participation Adjustment'!$A:$A,$H580,'Participation Adjustment'!$B:$B,$I580),1)</f>
        <v>60592.530101177901</v>
      </c>
      <c r="AD580" s="79">
        <f>tbl_Data_old[[#This Row],[2033 ]]*IFERROR(AVERAGEIFS('Participation Adjustment'!$C:$C,'Participation Adjustment'!$A:$A,$H580,'Participation Adjustment'!$B:$B,$I580),1)</f>
        <v>66738.165226992496</v>
      </c>
      <c r="AE580" s="79">
        <f>tbl_Data_old[[#This Row],[2034 ]]*IFERROR(AVERAGEIFS('Participation Adjustment'!$C:$C,'Participation Adjustment'!$A:$A,$H580,'Participation Adjustment'!$B:$B,$I580),1)</f>
        <v>72802.218427967702</v>
      </c>
      <c r="AF580" s="77" t="str">
        <f t="shared" si="231"/>
        <v>NonResidential</v>
      </c>
      <c r="AG580" s="77" t="str">
        <f>tbl_Data[[#This Row],[All_Meas_Name_Append]]</f>
        <v>Ozone Laundry Commercial</v>
      </c>
      <c r="AH580" s="77">
        <f>AVERAGEIFS('3. Incentive Adjustment'!G:G,'3. Incentive Adjustment'!A:A,tbl_Data[[#This Row],[Trimmed Sector]],'3. Incentive Adjustment'!B:B,tbl_Data[[#This Row],[Trimmed Measure Name]])</f>
        <v>0.75402928491932286</v>
      </c>
      <c r="AI580" s="77">
        <f>$AH580*tbl_Data[[#This Row],[2025 ]]</f>
        <v>17179.612071163559</v>
      </c>
      <c r="AJ580" s="77">
        <f>$AH580*tbl_Data[[#This Row],[2026 ]]</f>
        <v>20527.44479924265</v>
      </c>
      <c r="AK580" s="77">
        <f>$AH580*tbl_Data[[#This Row],[2027 ]]</f>
        <v>24117.213439203901</v>
      </c>
      <c r="AL580" s="77">
        <f>$AH580*tbl_Data[[#This Row],[2028 ]]</f>
        <v>28042.468731361219</v>
      </c>
      <c r="AM580" s="77">
        <f>$AH580*tbl_Data[[#This Row],[2029 ]]</f>
        <v>32247.175162728807</v>
      </c>
      <c r="AN580" s="77">
        <f>$AH580*tbl_Data[[#This Row],[2030 ]]</f>
        <v>36617.334247201448</v>
      </c>
      <c r="AO580" s="77">
        <f>$AH580*tbl_Data[[#This Row],[2031 ]]</f>
        <v>41096.622714025092</v>
      </c>
      <c r="AP580" s="77">
        <f>$AH580*tbl_Data[[#This Row],[2032 ]]</f>
        <v>45688.542143643717</v>
      </c>
      <c r="AQ580" s="77">
        <f>$AH580*tbl_Data[[#This Row],[2033 ]]</f>
        <v>50322.531002936768</v>
      </c>
      <c r="AR580" s="77">
        <f>$AH580*tbl_Data[[#This Row],[2034 ]]</f>
        <v>54895.004701780839</v>
      </c>
      <c r="AS580" s="77">
        <f>SUM(tbl_Data[[#This Row],[Adjusted 2025]:[Adjusted 2034]])</f>
        <v>350733.94901328802</v>
      </c>
      <c r="AT580" s="80">
        <f>AVERAGEIFS('3. Incentive Adjustment'!F:F,'3. Incentive Adjustment'!A:A,tbl_Data[[#This Row],[Trimmed Sector]],'3. Incentive Adjustment'!B:B,tbl_Data[[#This Row],[Trimmed Measure Name]])</f>
        <v>0</v>
      </c>
      <c r="AU580" s="80">
        <f>IFERROR(VLOOKUP(tbl_Data[[#This Row],[All_Meas_Name_Append]],'IRA Tax Credits'!$A$3:$D$46,4,0),0)</f>
        <v>0</v>
      </c>
      <c r="AV580" s="81">
        <f>tbl_Data[[#This Row],[Adj. per unit Incentive ($)]]/tbl_Data[[#This Row],[kWh Savings]]*tbl_Data[[#This Row],[Sum of Annuals]]</f>
        <v>0</v>
      </c>
      <c r="AW580" s="81" t="str">
        <f>IFERROR(VLOOKUP(tbl_Data[[#This Row],[Column1]],'1. Set Program Names'!$B$2:$D$15,3,0)*tbl_Data[[#This Row],[Sum of Annuals]],"")</f>
        <v/>
      </c>
      <c r="AX580" s="81">
        <f>tbl_Data[[#This Row],[per unit IRA tax ($)]]/tbl_Data[[#This Row],[kWh Savings]]*tbl_Data[[#This Row],[Sum of Annuals]]</f>
        <v>0</v>
      </c>
      <c r="AY580" s="81">
        <f>tbl_Data[[#This Row],[Avoided Costs ($/unit)]]/tbl_Data[[#This Row],[kWh Savings]]*tbl_Data[[#This Row],[Sum of Annuals]]</f>
        <v>135157.31377276339</v>
      </c>
      <c r="AZ580" s="81">
        <f>tbl_Data[[#This Row],[Lost Revenue ($/unit)]]/tbl_Data[[#This Row],[kWh Savings]]*tbl_Data[[#This Row],[Sum of Annuals]]</f>
        <v>288498.38308992499</v>
      </c>
      <c r="BA580" s="81">
        <f>tbl_Data[[#This Row],[Incremental Cost ($/unit)]]/tbl_Data[[#This Row],[kWh Savings]]*tbl_Data[[#This Row],[Sum of Annuals]]</f>
        <v>109677.23274238584</v>
      </c>
      <c r="BB580" s="77">
        <f>ROUNDUP(tbl_Data[[#This Row],[Adjusted 2025]]/$L580,0)</f>
        <v>24</v>
      </c>
      <c r="BC580" s="77">
        <f>ROUNDUP(tbl_Data[[#This Row],[Adjusted 2026]]/$L580,0)</f>
        <v>28</v>
      </c>
      <c r="BD580" s="77">
        <f>ROUNDUP(tbl_Data[[#This Row],[Adjusted 2027]]/$L580,0)</f>
        <v>33</v>
      </c>
      <c r="BE580" s="77">
        <f>ROUNDUP(tbl_Data[[#This Row],[Adjusted 2028]]/$L580,0)</f>
        <v>38</v>
      </c>
      <c r="BF580" s="77">
        <f>ROUNDUP(tbl_Data[[#This Row],[Adjusted 2029]]/$L580,0)</f>
        <v>44</v>
      </c>
      <c r="BG580" s="77">
        <f>ROUNDUP(tbl_Data[[#This Row],[Adjusted 2030]]/$L580,0)</f>
        <v>50</v>
      </c>
      <c r="BH580" s="77">
        <f>ROUNDUP(tbl_Data[[#This Row],[Adjusted 2031]]/$L580,0)</f>
        <v>56</v>
      </c>
      <c r="BI580" s="77">
        <f>ROUNDUP(tbl_Data[[#This Row],[Adjusted 2032]]/$L580,0)</f>
        <v>62</v>
      </c>
      <c r="BJ580" s="77">
        <f>ROUNDUP(tbl_Data[[#This Row],[Adjusted 2033]]/$L580,0)</f>
        <v>68</v>
      </c>
      <c r="BK580" s="77">
        <f>ROUNDUP(tbl_Data[[#This Row],[Adjusted 2034]]/$L580,0)</f>
        <v>74</v>
      </c>
      <c r="BL580" s="80">
        <f t="shared" si="232"/>
        <v>0</v>
      </c>
      <c r="BM580" s="80">
        <f t="shared" si="233"/>
        <v>0</v>
      </c>
      <c r="BN580" s="80">
        <f t="shared" si="234"/>
        <v>0</v>
      </c>
      <c r="BO580" s="80">
        <f t="shared" si="235"/>
        <v>0</v>
      </c>
      <c r="BP580" s="80">
        <f t="shared" si="236"/>
        <v>0</v>
      </c>
      <c r="BQ580" s="80">
        <f t="shared" si="237"/>
        <v>0</v>
      </c>
      <c r="BR580" s="80">
        <f t="shared" si="238"/>
        <v>0</v>
      </c>
      <c r="BS580" s="80">
        <f t="shared" si="239"/>
        <v>0</v>
      </c>
      <c r="BT580" s="80">
        <f t="shared" si="240"/>
        <v>0</v>
      </c>
      <c r="BU580" s="80">
        <f t="shared" si="241"/>
        <v>0</v>
      </c>
      <c r="BV580" s="80" t="str">
        <f>IFERROR(VLOOKUP($H580,'1. Set Program Names'!$B$2:$D$15,3,0)*V580,"NA")</f>
        <v>NA</v>
      </c>
      <c r="BW580" s="80" t="str">
        <f>IFERROR(VLOOKUP($H580,'1. Set Program Names'!$B$2:$D$15,3,0)*W580,"NA")</f>
        <v>NA</v>
      </c>
      <c r="BX580" s="80" t="str">
        <f>IFERROR(VLOOKUP($H580,'1. Set Program Names'!$B$2:$D$15,3,0)*X580,"NA")</f>
        <v>NA</v>
      </c>
      <c r="BY580" s="80" t="str">
        <f>IFERROR(VLOOKUP($H580,'1. Set Program Names'!$B$2:$D$15,3,0)*Y580,"NA")</f>
        <v>NA</v>
      </c>
      <c r="BZ580" s="80" t="str">
        <f>IFERROR(VLOOKUP($H580,'1. Set Program Names'!$B$2:$D$15,3,0)*Z580,"NA")</f>
        <v>NA</v>
      </c>
      <c r="CA580" s="80" t="str">
        <f>IFERROR(VLOOKUP($H580,'1. Set Program Names'!$B$2:$D$15,3,0)*AA580,"NA")</f>
        <v>NA</v>
      </c>
      <c r="CB580" s="80" t="str">
        <f>IFERROR(VLOOKUP($H580,'1. Set Program Names'!$B$2:$D$15,3,0)*AB580,"NA")</f>
        <v>NA</v>
      </c>
      <c r="CC580" s="80" t="str">
        <f>IFERROR(VLOOKUP($H580,'1. Set Program Names'!$B$2:$D$15,3,0)*AC580,"NA")</f>
        <v>NA</v>
      </c>
      <c r="CD580" s="80" t="str">
        <f>IFERROR(VLOOKUP($H580,'1. Set Program Names'!$B$2:$D$15,3,0)*AD580,"NA")</f>
        <v>NA</v>
      </c>
      <c r="CE580" s="80" t="str">
        <f>IFERROR(VLOOKUP($H580,'1. Set Program Names'!$B$2:$D$15,3,0)*AE580,"NA")</f>
        <v>NA</v>
      </c>
    </row>
    <row r="581" spans="1:83" x14ac:dyDescent="0.25">
      <c r="A581" s="79" t="s">
        <v>87</v>
      </c>
      <c r="B581" s="79" t="s">
        <v>88</v>
      </c>
      <c r="C581" s="79" t="s">
        <v>122</v>
      </c>
      <c r="D581" s="79" t="s">
        <v>90</v>
      </c>
      <c r="E581" s="79" t="s">
        <v>91</v>
      </c>
      <c r="F581" s="79" t="s">
        <v>90</v>
      </c>
      <c r="G581" s="79" t="s">
        <v>92</v>
      </c>
      <c r="H581" s="79" t="s">
        <v>268</v>
      </c>
      <c r="I581" s="79" t="s">
        <v>153</v>
      </c>
      <c r="J581" s="79" t="s">
        <v>129</v>
      </c>
      <c r="K581" s="79" t="s">
        <v>102</v>
      </c>
      <c r="L581" s="79">
        <v>1285.73999999999</v>
      </c>
      <c r="M581" s="79">
        <v>0.191067583335012</v>
      </c>
      <c r="N581" s="79">
        <v>3.6175165669598698E-2</v>
      </c>
      <c r="O581" s="79">
        <v>304.38999999999902</v>
      </c>
      <c r="P581" s="79">
        <v>39.904344316796902</v>
      </c>
      <c r="Q581" s="79">
        <v>1.2857399999999899</v>
      </c>
      <c r="R581" s="79">
        <v>497.118469789904</v>
      </c>
      <c r="S581" s="79">
        <v>1133.43981342083</v>
      </c>
      <c r="T581" s="79">
        <v>11</v>
      </c>
      <c r="U581" s="79">
        <v>1</v>
      </c>
      <c r="V581" s="79">
        <f>tbl_Data_old[[#This Row],[2025 ]]*IFERROR(AVERAGEIFS('Participation Adjustment'!$C:$C,'Participation Adjustment'!$A:$A,$H581,'Participation Adjustment'!$B:$B,$I581),1)</f>
        <v>1426.84815540609</v>
      </c>
      <c r="W581" s="79">
        <f>tbl_Data_old[[#This Row],[2026 ]]*IFERROR(AVERAGEIFS('Participation Adjustment'!$C:$C,'Participation Adjustment'!$A:$A,$H581,'Participation Adjustment'!$B:$B,$I581),1)</f>
        <v>1190.53972080064</v>
      </c>
      <c r="X581" s="79">
        <f>tbl_Data_old[[#This Row],[2027 ]]*IFERROR(AVERAGEIFS('Participation Adjustment'!$C:$C,'Participation Adjustment'!$A:$A,$H581,'Participation Adjustment'!$B:$B,$I581),1)</f>
        <v>985.64048683766202</v>
      </c>
      <c r="Y581" s="79">
        <f>tbl_Data_old[[#This Row],[2028 ]]*IFERROR(AVERAGEIFS('Participation Adjustment'!$C:$C,'Participation Adjustment'!$A:$A,$H581,'Participation Adjustment'!$B:$B,$I581),1)</f>
        <v>817.32791074081001</v>
      </c>
      <c r="Z581" s="79">
        <f>tbl_Data_old[[#This Row],[2029 ]]*IFERROR(AVERAGEIFS('Participation Adjustment'!$C:$C,'Participation Adjustment'!$A:$A,$H581,'Participation Adjustment'!$B:$B,$I581),1)</f>
        <v>679.30589097234804</v>
      </c>
      <c r="AA581" s="79">
        <f>tbl_Data_old[[#This Row],[2030 ]]*IFERROR(AVERAGEIFS('Participation Adjustment'!$C:$C,'Participation Adjustment'!$A:$A,$H581,'Participation Adjustment'!$B:$B,$I581),1)</f>
        <v>565.84214099398798</v>
      </c>
      <c r="AB581" s="79">
        <f>tbl_Data_old[[#This Row],[2031 ]]*IFERROR(AVERAGEIFS('Participation Adjustment'!$C:$C,'Participation Adjustment'!$A:$A,$H581,'Participation Adjustment'!$B:$B,$I581),1)</f>
        <v>473.145461086117</v>
      </c>
      <c r="AC581" s="79">
        <f>tbl_Data_old[[#This Row],[2032 ]]*IFERROR(AVERAGEIFS('Participation Adjustment'!$C:$C,'Participation Adjustment'!$A:$A,$H581,'Participation Adjustment'!$B:$B,$I581),1)</f>
        <v>398.32443308542298</v>
      </c>
      <c r="AD581" s="79">
        <f>tbl_Data_old[[#This Row],[2033 ]]*IFERROR(AVERAGEIFS('Participation Adjustment'!$C:$C,'Participation Adjustment'!$A:$A,$H581,'Participation Adjustment'!$B:$B,$I581),1)</f>
        <v>338.62539491029798</v>
      </c>
      <c r="AE581" s="79">
        <f>tbl_Data_old[[#This Row],[2034 ]]*IFERROR(AVERAGEIFS('Participation Adjustment'!$C:$C,'Participation Adjustment'!$A:$A,$H581,'Participation Adjustment'!$B:$B,$I581),1)</f>
        <v>290.241340752052</v>
      </c>
      <c r="AF581" s="77" t="str">
        <f t="shared" si="231"/>
        <v>NonResidential</v>
      </c>
      <c r="AG581" s="77" t="str">
        <f>tbl_Data[[#This Row],[All_Meas_Name_Append]]</f>
        <v>Programmable thermostat</v>
      </c>
      <c r="AH581" s="77">
        <f>AVERAGEIFS('3. Incentive Adjustment'!G:G,'3. Incentive Adjustment'!A:A,tbl_Data[[#This Row],[Trimmed Sector]],'3. Incentive Adjustment'!B:B,tbl_Data[[#This Row],[Trimmed Measure Name]])</f>
        <v>0.92137383531364503</v>
      </c>
      <c r="AI581" s="77">
        <f>$AH581*tbl_Data[[#This Row],[2025 ]]</f>
        <v>1314.660557356709</v>
      </c>
      <c r="AJ581" s="77">
        <f>$AH581*tbl_Data[[#This Row],[2026 ]]</f>
        <v>1096.9321486473218</v>
      </c>
      <c r="AK581" s="77">
        <f>$AH581*tbl_Data[[#This Row],[2027 ]]</f>
        <v>908.14335559802487</v>
      </c>
      <c r="AL581" s="77">
        <f>$AH581*tbl_Data[[#This Row],[2028 ]]</f>
        <v>753.06455182814864</v>
      </c>
      <c r="AM581" s="77">
        <f>$AH581*tbl_Data[[#This Row],[2029 ]]</f>
        <v>625.89467411634507</v>
      </c>
      <c r="AN581" s="77">
        <f>$AH581*tbl_Data[[#This Row],[2030 ]]</f>
        <v>521.35214362971499</v>
      </c>
      <c r="AO581" s="77">
        <f>$AH581*tbl_Data[[#This Row],[2031 ]]</f>
        <v>435.94384814215863</v>
      </c>
      <c r="AP581" s="77">
        <f>$AH581*tbl_Data[[#This Row],[2032 ]]</f>
        <v>367.00571061104955</v>
      </c>
      <c r="AQ581" s="77">
        <f>$AH581*tbl_Data[[#This Row],[2033 ]]</f>
        <v>312.00057884309888</v>
      </c>
      <c r="AR581" s="77">
        <f>$AH581*tbl_Data[[#This Row],[2034 ]]</f>
        <v>267.42077729529268</v>
      </c>
      <c r="AS581" s="77">
        <f>SUM(tbl_Data[[#This Row],[Adjusted 2025]:[Adjusted 2034]])</f>
        <v>6602.4183460678641</v>
      </c>
      <c r="AT581" s="80">
        <f>AVERAGEIFS('3. Incentive Adjustment'!F:F,'3. Incentive Adjustment'!A:A,tbl_Data[[#This Row],[Trimmed Sector]],'3. Incentive Adjustment'!B:B,tbl_Data[[#This Row],[Trimmed Measure Name]])</f>
        <v>0</v>
      </c>
      <c r="AU581" s="80">
        <f>IFERROR(VLOOKUP(tbl_Data[[#This Row],[All_Meas_Name_Append]],'IRA Tax Credits'!$A$3:$D$46,4,0),0)</f>
        <v>0</v>
      </c>
      <c r="AV581" s="81">
        <f>tbl_Data[[#This Row],[Adj. per unit Incentive ($)]]/tbl_Data[[#This Row],[kWh Savings]]*tbl_Data[[#This Row],[Sum of Annuals]]</f>
        <v>0</v>
      </c>
      <c r="AW581" s="81" t="str">
        <f>IFERROR(VLOOKUP(tbl_Data[[#This Row],[Column1]],'1. Set Program Names'!$B$2:$D$15,3,0)*tbl_Data[[#This Row],[Sum of Annuals]],"")</f>
        <v/>
      </c>
      <c r="AX581" s="81">
        <f>tbl_Data[[#This Row],[per unit IRA tax ($)]]/tbl_Data[[#This Row],[kWh Savings]]*tbl_Data[[#This Row],[Sum of Annuals]]</f>
        <v>0</v>
      </c>
      <c r="AY581" s="81">
        <f>tbl_Data[[#This Row],[Avoided Costs ($/unit)]]/tbl_Data[[#This Row],[kWh Savings]]*tbl_Data[[#This Row],[Sum of Annuals]]</f>
        <v>2552.7588043539681</v>
      </c>
      <c r="AZ581" s="81">
        <f>tbl_Data[[#This Row],[Lost Revenue ($/unit)]]/tbl_Data[[#This Row],[kWh Savings]]*tbl_Data[[#This Row],[Sum of Annuals]]</f>
        <v>5820.3398963192267</v>
      </c>
      <c r="BA581" s="81">
        <f>tbl_Data[[#This Row],[Incremental Cost ($/unit)]]/tbl_Data[[#This Row],[kWh Savings]]*tbl_Data[[#This Row],[Sum of Annuals]]</f>
        <v>1563.0766098586078</v>
      </c>
      <c r="BB581" s="77">
        <f>ROUNDUP(tbl_Data[[#This Row],[Adjusted 2025]]/$L581,0)</f>
        <v>2</v>
      </c>
      <c r="BC581" s="77">
        <f>ROUNDUP(tbl_Data[[#This Row],[Adjusted 2026]]/$L581,0)</f>
        <v>1</v>
      </c>
      <c r="BD581" s="77">
        <f>ROUNDUP(tbl_Data[[#This Row],[Adjusted 2027]]/$L581,0)</f>
        <v>1</v>
      </c>
      <c r="BE581" s="77">
        <f>ROUNDUP(tbl_Data[[#This Row],[Adjusted 2028]]/$L581,0)</f>
        <v>1</v>
      </c>
      <c r="BF581" s="77">
        <f>ROUNDUP(tbl_Data[[#This Row],[Adjusted 2029]]/$L581,0)</f>
        <v>1</v>
      </c>
      <c r="BG581" s="77">
        <f>ROUNDUP(tbl_Data[[#This Row],[Adjusted 2030]]/$L581,0)</f>
        <v>1</v>
      </c>
      <c r="BH581" s="77">
        <f>ROUNDUP(tbl_Data[[#This Row],[Adjusted 2031]]/$L581,0)</f>
        <v>1</v>
      </c>
      <c r="BI581" s="77">
        <f>ROUNDUP(tbl_Data[[#This Row],[Adjusted 2032]]/$L581,0)</f>
        <v>1</v>
      </c>
      <c r="BJ581" s="77">
        <f>ROUNDUP(tbl_Data[[#This Row],[Adjusted 2033]]/$L581,0)</f>
        <v>1</v>
      </c>
      <c r="BK581" s="77">
        <f>ROUNDUP(tbl_Data[[#This Row],[Adjusted 2034]]/$L581,0)</f>
        <v>1</v>
      </c>
      <c r="BL581" s="80">
        <f t="shared" si="232"/>
        <v>0</v>
      </c>
      <c r="BM581" s="80">
        <f t="shared" si="233"/>
        <v>0</v>
      </c>
      <c r="BN581" s="80">
        <f t="shared" si="234"/>
        <v>0</v>
      </c>
      <c r="BO581" s="80">
        <f t="shared" si="235"/>
        <v>0</v>
      </c>
      <c r="BP581" s="80">
        <f t="shared" si="236"/>
        <v>0</v>
      </c>
      <c r="BQ581" s="80">
        <f t="shared" si="237"/>
        <v>0</v>
      </c>
      <c r="BR581" s="80">
        <f t="shared" si="238"/>
        <v>0</v>
      </c>
      <c r="BS581" s="80">
        <f t="shared" si="239"/>
        <v>0</v>
      </c>
      <c r="BT581" s="80">
        <f t="shared" si="240"/>
        <v>0</v>
      </c>
      <c r="BU581" s="80">
        <f t="shared" si="241"/>
        <v>0</v>
      </c>
      <c r="BV581" s="80" t="str">
        <f>IFERROR(VLOOKUP($H581,'1. Set Program Names'!$B$2:$D$15,3,0)*V581,"NA")</f>
        <v>NA</v>
      </c>
      <c r="BW581" s="80" t="str">
        <f>IFERROR(VLOOKUP($H581,'1. Set Program Names'!$B$2:$D$15,3,0)*W581,"NA")</f>
        <v>NA</v>
      </c>
      <c r="BX581" s="80" t="str">
        <f>IFERROR(VLOOKUP($H581,'1. Set Program Names'!$B$2:$D$15,3,0)*X581,"NA")</f>
        <v>NA</v>
      </c>
      <c r="BY581" s="80" t="str">
        <f>IFERROR(VLOOKUP($H581,'1. Set Program Names'!$B$2:$D$15,3,0)*Y581,"NA")</f>
        <v>NA</v>
      </c>
      <c r="BZ581" s="80" t="str">
        <f>IFERROR(VLOOKUP($H581,'1. Set Program Names'!$B$2:$D$15,3,0)*Z581,"NA")</f>
        <v>NA</v>
      </c>
      <c r="CA581" s="80" t="str">
        <f>IFERROR(VLOOKUP($H581,'1. Set Program Names'!$B$2:$D$15,3,0)*AA581,"NA")</f>
        <v>NA</v>
      </c>
      <c r="CB581" s="80" t="str">
        <f>IFERROR(VLOOKUP($H581,'1. Set Program Names'!$B$2:$D$15,3,0)*AB581,"NA")</f>
        <v>NA</v>
      </c>
      <c r="CC581" s="80" t="str">
        <f>IFERROR(VLOOKUP($H581,'1. Set Program Names'!$B$2:$D$15,3,0)*AC581,"NA")</f>
        <v>NA</v>
      </c>
      <c r="CD581" s="80" t="str">
        <f>IFERROR(VLOOKUP($H581,'1. Set Program Names'!$B$2:$D$15,3,0)*AD581,"NA")</f>
        <v>NA</v>
      </c>
      <c r="CE581" s="80" t="str">
        <f>IFERROR(VLOOKUP($H581,'1. Set Program Names'!$B$2:$D$15,3,0)*AE581,"NA")</f>
        <v>NA</v>
      </c>
    </row>
    <row r="582" spans="1:83" x14ac:dyDescent="0.25">
      <c r="A582" s="79" t="s">
        <v>87</v>
      </c>
      <c r="B582" s="79" t="s">
        <v>88</v>
      </c>
      <c r="C582" s="79" t="s">
        <v>122</v>
      </c>
      <c r="D582" s="79" t="s">
        <v>90</v>
      </c>
      <c r="E582" s="79" t="s">
        <v>91</v>
      </c>
      <c r="F582" s="79" t="s">
        <v>90</v>
      </c>
      <c r="G582" s="79" t="s">
        <v>92</v>
      </c>
      <c r="H582" s="79" t="s">
        <v>268</v>
      </c>
      <c r="I582" s="79" t="s">
        <v>156</v>
      </c>
      <c r="J582" s="79" t="s">
        <v>129</v>
      </c>
      <c r="K582" s="79" t="s">
        <v>102</v>
      </c>
      <c r="L582" s="79">
        <v>1074.99714285714</v>
      </c>
      <c r="M582" s="79">
        <v>0.35483647389159401</v>
      </c>
      <c r="N582" s="79">
        <v>2.1679791501885101E-3</v>
      </c>
      <c r="O582" s="79">
        <v>322.49999999999898</v>
      </c>
      <c r="P582" s="79">
        <v>112.47094868606101</v>
      </c>
      <c r="Q582" s="79">
        <v>1.0749971428571401</v>
      </c>
      <c r="R582" s="79">
        <v>593.31352847936103</v>
      </c>
      <c r="S582" s="79">
        <v>1167.57597203707</v>
      </c>
      <c r="T582" s="79">
        <v>15</v>
      </c>
      <c r="U582" s="79">
        <v>1</v>
      </c>
      <c r="V582" s="79">
        <f>tbl_Data_old[[#This Row],[2025 ]]*IFERROR(AVERAGEIFS('Participation Adjustment'!$C:$C,'Participation Adjustment'!$A:$A,$H582,'Participation Adjustment'!$B:$B,$I582),1)</f>
        <v>106535.13174631201</v>
      </c>
      <c r="W582" s="79">
        <f>tbl_Data_old[[#This Row],[2026 ]]*IFERROR(AVERAGEIFS('Participation Adjustment'!$C:$C,'Participation Adjustment'!$A:$A,$H582,'Participation Adjustment'!$B:$B,$I582),1)</f>
        <v>119712.79985881899</v>
      </c>
      <c r="X582" s="79">
        <f>tbl_Data_old[[#This Row],[2027 ]]*IFERROR(AVERAGEIFS('Participation Adjustment'!$C:$C,'Participation Adjustment'!$A:$A,$H582,'Participation Adjustment'!$B:$B,$I582),1)</f>
        <v>131543.85167778499</v>
      </c>
      <c r="Y582" s="79">
        <f>tbl_Data_old[[#This Row],[2028 ]]*IFERROR(AVERAGEIFS('Participation Adjustment'!$C:$C,'Participation Adjustment'!$A:$A,$H582,'Participation Adjustment'!$B:$B,$I582),1)</f>
        <v>142679.743335362</v>
      </c>
      <c r="Z582" s="79">
        <f>tbl_Data_old[[#This Row],[2029 ]]*IFERROR(AVERAGEIFS('Participation Adjustment'!$C:$C,'Participation Adjustment'!$A:$A,$H582,'Participation Adjustment'!$B:$B,$I582),1)</f>
        <v>153033.224906191</v>
      </c>
      <c r="AA582" s="79">
        <f>tbl_Data_old[[#This Row],[2030 ]]*IFERROR(AVERAGEIFS('Participation Adjustment'!$C:$C,'Participation Adjustment'!$A:$A,$H582,'Participation Adjustment'!$B:$B,$I582),1)</f>
        <v>162534.97589419599</v>
      </c>
      <c r="AB582" s="79">
        <f>tbl_Data_old[[#This Row],[2031 ]]*IFERROR(AVERAGEIFS('Participation Adjustment'!$C:$C,'Participation Adjustment'!$A:$A,$H582,'Participation Adjustment'!$B:$B,$I582),1)</f>
        <v>171267.202633454</v>
      </c>
      <c r="AC582" s="79">
        <f>tbl_Data_old[[#This Row],[2032 ]]*IFERROR(AVERAGEIFS('Participation Adjustment'!$C:$C,'Participation Adjustment'!$A:$A,$H582,'Participation Adjustment'!$B:$B,$I582),1)</f>
        <v>179664.76916216</v>
      </c>
      <c r="AD582" s="79">
        <f>tbl_Data_old[[#This Row],[2033 ]]*IFERROR(AVERAGEIFS('Participation Adjustment'!$C:$C,'Participation Adjustment'!$A:$A,$H582,'Participation Adjustment'!$B:$B,$I582),1)</f>
        <v>187936.23516404399</v>
      </c>
      <c r="AE582" s="79">
        <f>tbl_Data_old[[#This Row],[2034 ]]*IFERROR(AVERAGEIFS('Participation Adjustment'!$C:$C,'Participation Adjustment'!$A:$A,$H582,'Participation Adjustment'!$B:$B,$I582),1)</f>
        <v>195856.44582297999</v>
      </c>
      <c r="AF582" s="77" t="str">
        <f t="shared" si="231"/>
        <v>NonResidential</v>
      </c>
      <c r="AG582" s="77" t="str">
        <f>tbl_Data[[#This Row],[All_Meas_Name_Append]]</f>
        <v>Water source heat pump</v>
      </c>
      <c r="AH582" s="77">
        <f>AVERAGEIFS('3. Incentive Adjustment'!G:G,'3. Incentive Adjustment'!A:A,tbl_Data[[#This Row],[Trimmed Sector]],'3. Incentive Adjustment'!B:B,tbl_Data[[#This Row],[Trimmed Measure Name]])</f>
        <v>0.75877205530206748</v>
      </c>
      <c r="AI582" s="77">
        <f>$AH582*tbl_Data[[#This Row],[2025 ]]</f>
        <v>80835.880877025702</v>
      </c>
      <c r="AJ582" s="77">
        <f>$AH582*tbl_Data[[#This Row],[2026 ]]</f>
        <v>90834.727194841136</v>
      </c>
      <c r="AK582" s="77">
        <f>$AH582*tbl_Data[[#This Row],[2027 ]]</f>
        <v>99811.798699903229</v>
      </c>
      <c r="AL582" s="77">
        <f>$AH582*tbl_Data[[#This Row],[2028 ]]</f>
        <v>108261.40210054409</v>
      </c>
      <c r="AM582" s="77">
        <f>$AH582*tbl_Data[[#This Row],[2029 ]]</f>
        <v>116117.33459157408</v>
      </c>
      <c r="AN582" s="77">
        <f>$AH582*tbl_Data[[#This Row],[2030 ]]</f>
        <v>123326.99771771108</v>
      </c>
      <c r="AO582" s="77">
        <f>$AH582*tbl_Data[[#This Row],[2031 ]]</f>
        <v>129952.76734802156</v>
      </c>
      <c r="AP582" s="77">
        <f>$AH582*tbl_Data[[#This Row],[2032 ]]</f>
        <v>136324.60616254364</v>
      </c>
      <c r="AQ582" s="77">
        <f>$AH582*tbl_Data[[#This Row],[2033 ]]</f>
        <v>142600.76342115435</v>
      </c>
      <c r="AR582" s="77">
        <f>$AH582*tbl_Data[[#This Row],[2034 ]]</f>
        <v>148610.39794126057</v>
      </c>
      <c r="AS582" s="77">
        <f>SUM(tbl_Data[[#This Row],[Adjusted 2025]:[Adjusted 2034]])</f>
        <v>1176676.6760545794</v>
      </c>
      <c r="AT582" s="80">
        <f>AVERAGEIFS('3. Incentive Adjustment'!F:F,'3. Incentive Adjustment'!A:A,tbl_Data[[#This Row],[Trimmed Sector]],'3. Incentive Adjustment'!B:B,tbl_Data[[#This Row],[Trimmed Measure Name]])</f>
        <v>0</v>
      </c>
      <c r="AU582" s="80">
        <f>IFERROR(VLOOKUP(tbl_Data[[#This Row],[All_Meas_Name_Append]],'IRA Tax Credits'!$A$3:$D$46,4,0),0)</f>
        <v>0</v>
      </c>
      <c r="AV582" s="81">
        <f>tbl_Data[[#This Row],[Adj. per unit Incentive ($)]]/tbl_Data[[#This Row],[kWh Savings]]*tbl_Data[[#This Row],[Sum of Annuals]]</f>
        <v>0</v>
      </c>
      <c r="AW582" s="81" t="str">
        <f>IFERROR(VLOOKUP(tbl_Data[[#This Row],[Column1]],'1. Set Program Names'!$B$2:$D$15,3,0)*tbl_Data[[#This Row],[Sum of Annuals]],"")</f>
        <v/>
      </c>
      <c r="AX582" s="81">
        <f>tbl_Data[[#This Row],[per unit IRA tax ($)]]/tbl_Data[[#This Row],[kWh Savings]]*tbl_Data[[#This Row],[Sum of Annuals]]</f>
        <v>0</v>
      </c>
      <c r="AY582" s="81">
        <f>tbl_Data[[#This Row],[Avoided Costs ($/unit)]]/tbl_Data[[#This Row],[kWh Savings]]*tbl_Data[[#This Row],[Sum of Annuals]]</f>
        <v>649432.60099630465</v>
      </c>
      <c r="AZ582" s="81">
        <f>tbl_Data[[#This Row],[Lost Revenue ($/unit)]]/tbl_Data[[#This Row],[kWh Savings]]*tbl_Data[[#This Row],[Sum of Annuals]]</f>
        <v>1278012.1537498364</v>
      </c>
      <c r="BA582" s="81">
        <f>tbl_Data[[#This Row],[Incremental Cost ($/unit)]]/tbl_Data[[#This Row],[kWh Savings]]*tbl_Data[[#This Row],[Sum of Annuals]]</f>
        <v>353003.94103282824</v>
      </c>
      <c r="BB582" s="77">
        <f>ROUNDUP(tbl_Data[[#This Row],[Adjusted 2025]]/$L582,0)</f>
        <v>76</v>
      </c>
      <c r="BC582" s="77">
        <f>ROUNDUP(tbl_Data[[#This Row],[Adjusted 2026]]/$L582,0)</f>
        <v>85</v>
      </c>
      <c r="BD582" s="77">
        <f>ROUNDUP(tbl_Data[[#This Row],[Adjusted 2027]]/$L582,0)</f>
        <v>93</v>
      </c>
      <c r="BE582" s="77">
        <f>ROUNDUP(tbl_Data[[#This Row],[Adjusted 2028]]/$L582,0)</f>
        <v>101</v>
      </c>
      <c r="BF582" s="77">
        <f>ROUNDUP(tbl_Data[[#This Row],[Adjusted 2029]]/$L582,0)</f>
        <v>109</v>
      </c>
      <c r="BG582" s="77">
        <f>ROUNDUP(tbl_Data[[#This Row],[Adjusted 2030]]/$L582,0)</f>
        <v>115</v>
      </c>
      <c r="BH582" s="77">
        <f>ROUNDUP(tbl_Data[[#This Row],[Adjusted 2031]]/$L582,0)</f>
        <v>121</v>
      </c>
      <c r="BI582" s="77">
        <f>ROUNDUP(tbl_Data[[#This Row],[Adjusted 2032]]/$L582,0)</f>
        <v>127</v>
      </c>
      <c r="BJ582" s="77">
        <f>ROUNDUP(tbl_Data[[#This Row],[Adjusted 2033]]/$L582,0)</f>
        <v>133</v>
      </c>
      <c r="BK582" s="77">
        <f>ROUNDUP(tbl_Data[[#This Row],[Adjusted 2034]]/$L582,0)</f>
        <v>139</v>
      </c>
      <c r="BL582" s="80">
        <f t="shared" si="232"/>
        <v>0</v>
      </c>
      <c r="BM582" s="80">
        <f t="shared" si="233"/>
        <v>0</v>
      </c>
      <c r="BN582" s="80">
        <f t="shared" si="234"/>
        <v>0</v>
      </c>
      <c r="BO582" s="80">
        <f t="shared" si="235"/>
        <v>0</v>
      </c>
      <c r="BP582" s="80">
        <f t="shared" si="236"/>
        <v>0</v>
      </c>
      <c r="BQ582" s="80">
        <f t="shared" si="237"/>
        <v>0</v>
      </c>
      <c r="BR582" s="80">
        <f t="shared" si="238"/>
        <v>0</v>
      </c>
      <c r="BS582" s="80">
        <f t="shared" si="239"/>
        <v>0</v>
      </c>
      <c r="BT582" s="80">
        <f t="shared" si="240"/>
        <v>0</v>
      </c>
      <c r="BU582" s="80">
        <f t="shared" si="241"/>
        <v>0</v>
      </c>
      <c r="BV582" s="80" t="str">
        <f>IFERROR(VLOOKUP($H582,'1. Set Program Names'!$B$2:$D$15,3,0)*V582,"NA")</f>
        <v>NA</v>
      </c>
      <c r="BW582" s="80" t="str">
        <f>IFERROR(VLOOKUP($H582,'1. Set Program Names'!$B$2:$D$15,3,0)*W582,"NA")</f>
        <v>NA</v>
      </c>
      <c r="BX582" s="80" t="str">
        <f>IFERROR(VLOOKUP($H582,'1. Set Program Names'!$B$2:$D$15,3,0)*X582,"NA")</f>
        <v>NA</v>
      </c>
      <c r="BY582" s="80" t="str">
        <f>IFERROR(VLOOKUP($H582,'1. Set Program Names'!$B$2:$D$15,3,0)*Y582,"NA")</f>
        <v>NA</v>
      </c>
      <c r="BZ582" s="80" t="str">
        <f>IFERROR(VLOOKUP($H582,'1. Set Program Names'!$B$2:$D$15,3,0)*Z582,"NA")</f>
        <v>NA</v>
      </c>
      <c r="CA582" s="80" t="str">
        <f>IFERROR(VLOOKUP($H582,'1. Set Program Names'!$B$2:$D$15,3,0)*AA582,"NA")</f>
        <v>NA</v>
      </c>
      <c r="CB582" s="80" t="str">
        <f>IFERROR(VLOOKUP($H582,'1. Set Program Names'!$B$2:$D$15,3,0)*AB582,"NA")</f>
        <v>NA</v>
      </c>
      <c r="CC582" s="80" t="str">
        <f>IFERROR(VLOOKUP($H582,'1. Set Program Names'!$B$2:$D$15,3,0)*AC582,"NA")</f>
        <v>NA</v>
      </c>
      <c r="CD582" s="80" t="str">
        <f>IFERROR(VLOOKUP($H582,'1. Set Program Names'!$B$2:$D$15,3,0)*AD582,"NA")</f>
        <v>NA</v>
      </c>
      <c r="CE582" s="80" t="str">
        <f>IFERROR(VLOOKUP($H582,'1. Set Program Names'!$B$2:$D$15,3,0)*AE582,"NA")</f>
        <v>NA</v>
      </c>
    </row>
    <row r="583" spans="1:83" x14ac:dyDescent="0.25">
      <c r="A583" s="79" t="s">
        <v>113</v>
      </c>
      <c r="B583" s="79" t="s">
        <v>88</v>
      </c>
      <c r="C583" s="79" t="s">
        <v>122</v>
      </c>
      <c r="D583" s="79" t="s">
        <v>90</v>
      </c>
      <c r="E583" s="79" t="s">
        <v>91</v>
      </c>
      <c r="F583" s="79" t="s">
        <v>90</v>
      </c>
      <c r="G583" s="79" t="s">
        <v>92</v>
      </c>
      <c r="H583" s="79" t="s">
        <v>268</v>
      </c>
      <c r="I583" s="79" t="s">
        <v>123</v>
      </c>
      <c r="J583" s="79" t="s">
        <v>124</v>
      </c>
      <c r="K583" s="79" t="s">
        <v>125</v>
      </c>
      <c r="L583" s="79">
        <v>276.38000000000102</v>
      </c>
      <c r="M583" s="79">
        <v>4.0116087790590997E-2</v>
      </c>
      <c r="N583" s="79">
        <v>3.5590078027730399E-2</v>
      </c>
      <c r="O583" s="79">
        <v>71</v>
      </c>
      <c r="P583" s="79">
        <v>14.1467127741815</v>
      </c>
      <c r="Q583" s="79">
        <v>0.27638000000000101</v>
      </c>
      <c r="R583" s="79">
        <v>109.905179976762</v>
      </c>
      <c r="S583" s="79">
        <v>259.02791823564098</v>
      </c>
      <c r="T583" s="79">
        <v>12</v>
      </c>
      <c r="U583" s="79">
        <v>1</v>
      </c>
      <c r="V583" s="79">
        <f>tbl_Data_old[[#This Row],[2025 ]]*IFERROR(AVERAGEIFS('Participation Adjustment'!$C:$C,'Participation Adjustment'!$A:$A,$H583,'Participation Adjustment'!$B:$B,$I583),1)</f>
        <v>2549.1121999214201</v>
      </c>
      <c r="W583" s="79">
        <f>tbl_Data_old[[#This Row],[2026 ]]*IFERROR(AVERAGEIFS('Participation Adjustment'!$C:$C,'Participation Adjustment'!$A:$A,$H583,'Participation Adjustment'!$B:$B,$I583),1)</f>
        <v>6031.9051121982902</v>
      </c>
      <c r="X583" s="79">
        <f>tbl_Data_old[[#This Row],[2027 ]]*IFERROR(AVERAGEIFS('Participation Adjustment'!$C:$C,'Participation Adjustment'!$A:$A,$H583,'Participation Adjustment'!$B:$B,$I583),1)</f>
        <v>10657.173340617501</v>
      </c>
      <c r="Y583" s="79">
        <f>tbl_Data_old[[#This Row],[2028 ]]*IFERROR(AVERAGEIFS('Participation Adjustment'!$C:$C,'Participation Adjustment'!$A:$A,$H583,'Participation Adjustment'!$B:$B,$I583),1)</f>
        <v>16613.577668940699</v>
      </c>
      <c r="Z583" s="79">
        <f>tbl_Data_old[[#This Row],[2029 ]]*IFERROR(AVERAGEIFS('Participation Adjustment'!$C:$C,'Participation Adjustment'!$A:$A,$H583,'Participation Adjustment'!$B:$B,$I583),1)</f>
        <v>23984.5194989634</v>
      </c>
      <c r="AA583" s="79">
        <f>tbl_Data_old[[#This Row],[2030 ]]*IFERROR(AVERAGEIFS('Participation Adjustment'!$C:$C,'Participation Adjustment'!$A:$A,$H583,'Participation Adjustment'!$B:$B,$I583),1)</f>
        <v>32671.286166590398</v>
      </c>
      <c r="AB583" s="79">
        <f>tbl_Data_old[[#This Row],[2031 ]]*IFERROR(AVERAGEIFS('Participation Adjustment'!$C:$C,'Participation Adjustment'!$A:$A,$H583,'Participation Adjustment'!$B:$B,$I583),1)</f>
        <v>42311.419615394298</v>
      </c>
      <c r="AC583" s="79">
        <f>tbl_Data_old[[#This Row],[2032 ]]*IFERROR(AVERAGEIFS('Participation Adjustment'!$C:$C,'Participation Adjustment'!$A:$A,$H583,'Participation Adjustment'!$B:$B,$I583),1)</f>
        <v>52299.449790392697</v>
      </c>
      <c r="AD583" s="79">
        <f>tbl_Data_old[[#This Row],[2033 ]]*IFERROR(AVERAGEIFS('Participation Adjustment'!$C:$C,'Participation Adjustment'!$A:$A,$H583,'Participation Adjustment'!$B:$B,$I583),1)</f>
        <v>61903.1223428507</v>
      </c>
      <c r="AE583" s="79">
        <f>tbl_Data_old[[#This Row],[2034 ]]*IFERROR(AVERAGEIFS('Participation Adjustment'!$C:$C,'Participation Adjustment'!$A:$A,$H583,'Participation Adjustment'!$B:$B,$I583),1)</f>
        <v>70455.1516461149</v>
      </c>
      <c r="AF583" s="77" t="str">
        <f t="shared" si="231"/>
        <v>NonResidential</v>
      </c>
      <c r="AG583" s="77" t="str">
        <f>tbl_Data[[#This Row],[All_Meas_Name_Append]]</f>
        <v>Anti-Sweat Controls</v>
      </c>
      <c r="AH583" s="77">
        <f>AVERAGEIFS('3. Incentive Adjustment'!G:G,'3. Incentive Adjustment'!A:A,tbl_Data[[#This Row],[Trimmed Sector]],'3. Incentive Adjustment'!B:B,tbl_Data[[#This Row],[Trimmed Measure Name]])</f>
        <v>0.87366811775307662</v>
      </c>
      <c r="AI583" s="77">
        <f>$AH583*tbl_Data[[#This Row],[2025 ]]</f>
        <v>2227.0780576467514</v>
      </c>
      <c r="AJ583" s="77">
        <f>$AH583*tbl_Data[[#This Row],[2026 ]]</f>
        <v>5269.8831858394406</v>
      </c>
      <c r="AK583" s="77">
        <f>$AH583*tbl_Data[[#This Row],[2027 ]]</f>
        <v>9310.8325730655597</v>
      </c>
      <c r="AL583" s="77">
        <f>$AH583*tbl_Data[[#This Row],[2028 ]]</f>
        <v>14514.753131167967</v>
      </c>
      <c r="AM583" s="77">
        <f>$AH583*tbl_Data[[#This Row],[2029 ]]</f>
        <v>20954.510005871318</v>
      </c>
      <c r="AN583" s="77">
        <f>$AH583*tbl_Data[[#This Row],[2030 ]]</f>
        <v>28543.861089737162</v>
      </c>
      <c r="AO583" s="77">
        <f>$AH583*tbl_Data[[#This Row],[2031 ]]</f>
        <v>36966.138334842144</v>
      </c>
      <c r="AP583" s="77">
        <f>$AH583*tbl_Data[[#This Row],[2032 ]]</f>
        <v>45692.361857893928</v>
      </c>
      <c r="AQ583" s="77">
        <f>$AH583*tbl_Data[[#This Row],[2033 ]]</f>
        <v>54082.784380316793</v>
      </c>
      <c r="AR583" s="77">
        <f>$AH583*tbl_Data[[#This Row],[2034 ]]</f>
        <v>61554.419724668784</v>
      </c>
      <c r="AS583" s="77">
        <f>SUM(tbl_Data[[#This Row],[Adjusted 2025]:[Adjusted 2034]])</f>
        <v>279116.62234104984</v>
      </c>
      <c r="AT583" s="80">
        <f>AVERAGEIFS('3. Incentive Adjustment'!F:F,'3. Incentive Adjustment'!A:A,tbl_Data[[#This Row],[Trimmed Sector]],'3. Incentive Adjustment'!B:B,tbl_Data[[#This Row],[Trimmed Measure Name]])</f>
        <v>0</v>
      </c>
      <c r="AU583" s="80">
        <f>IFERROR(VLOOKUP(tbl_Data[[#This Row],[All_Meas_Name_Append]],'IRA Tax Credits'!$A$3:$D$46,4,0),0)</f>
        <v>0</v>
      </c>
      <c r="AV583" s="81">
        <f>tbl_Data[[#This Row],[Adj. per unit Incentive ($)]]/tbl_Data[[#This Row],[kWh Savings]]*tbl_Data[[#This Row],[Sum of Annuals]]</f>
        <v>0</v>
      </c>
      <c r="AW583" s="81" t="str">
        <f>IFERROR(VLOOKUP(tbl_Data[[#This Row],[Column1]],'1. Set Program Names'!$B$2:$D$15,3,0)*tbl_Data[[#This Row],[Sum of Annuals]],"")</f>
        <v/>
      </c>
      <c r="AX583" s="81">
        <f>tbl_Data[[#This Row],[per unit IRA tax ($)]]/tbl_Data[[#This Row],[kWh Savings]]*tbl_Data[[#This Row],[Sum of Annuals]]</f>
        <v>0</v>
      </c>
      <c r="AY583" s="81">
        <f>tbl_Data[[#This Row],[Avoided Costs ($/unit)]]/tbl_Data[[#This Row],[kWh Savings]]*tbl_Data[[#This Row],[Sum of Annuals]]</f>
        <v>110993.42431760213</v>
      </c>
      <c r="AZ583" s="81">
        <f>tbl_Data[[#This Row],[Lost Revenue ($/unit)]]/tbl_Data[[#This Row],[kWh Savings]]*tbl_Data[[#This Row],[Sum of Annuals]]</f>
        <v>261592.72606543699</v>
      </c>
      <c r="BA583" s="81">
        <f>tbl_Data[[#This Row],[Incremental Cost ($/unit)]]/tbl_Data[[#This Row],[kWh Savings]]*tbl_Data[[#This Row],[Sum of Annuals]]</f>
        <v>71703.018258247568</v>
      </c>
      <c r="BB583" s="77">
        <f>ROUNDUP(tbl_Data[[#This Row],[Adjusted 2025]]/$L583,0)</f>
        <v>9</v>
      </c>
      <c r="BC583" s="77">
        <f>ROUNDUP(tbl_Data[[#This Row],[Adjusted 2026]]/$L583,0)</f>
        <v>20</v>
      </c>
      <c r="BD583" s="77">
        <f>ROUNDUP(tbl_Data[[#This Row],[Adjusted 2027]]/$L583,0)</f>
        <v>34</v>
      </c>
      <c r="BE583" s="77">
        <f>ROUNDUP(tbl_Data[[#This Row],[Adjusted 2028]]/$L583,0)</f>
        <v>53</v>
      </c>
      <c r="BF583" s="77">
        <f>ROUNDUP(tbl_Data[[#This Row],[Adjusted 2029]]/$L583,0)</f>
        <v>76</v>
      </c>
      <c r="BG583" s="77">
        <f>ROUNDUP(tbl_Data[[#This Row],[Adjusted 2030]]/$L583,0)</f>
        <v>104</v>
      </c>
      <c r="BH583" s="77">
        <f>ROUNDUP(tbl_Data[[#This Row],[Adjusted 2031]]/$L583,0)</f>
        <v>134</v>
      </c>
      <c r="BI583" s="77">
        <f>ROUNDUP(tbl_Data[[#This Row],[Adjusted 2032]]/$L583,0)</f>
        <v>166</v>
      </c>
      <c r="BJ583" s="77">
        <f>ROUNDUP(tbl_Data[[#This Row],[Adjusted 2033]]/$L583,0)</f>
        <v>196</v>
      </c>
      <c r="BK583" s="77">
        <f>ROUNDUP(tbl_Data[[#This Row],[Adjusted 2034]]/$L583,0)</f>
        <v>223</v>
      </c>
      <c r="BL583" s="80">
        <f t="shared" si="232"/>
        <v>0</v>
      </c>
      <c r="BM583" s="80">
        <f t="shared" si="233"/>
        <v>0</v>
      </c>
      <c r="BN583" s="80">
        <f t="shared" si="234"/>
        <v>0</v>
      </c>
      <c r="BO583" s="80">
        <f t="shared" si="235"/>
        <v>0</v>
      </c>
      <c r="BP583" s="80">
        <f t="shared" si="236"/>
        <v>0</v>
      </c>
      <c r="BQ583" s="80">
        <f t="shared" si="237"/>
        <v>0</v>
      </c>
      <c r="BR583" s="80">
        <f t="shared" si="238"/>
        <v>0</v>
      </c>
      <c r="BS583" s="80">
        <f t="shared" si="239"/>
        <v>0</v>
      </c>
      <c r="BT583" s="80">
        <f t="shared" si="240"/>
        <v>0</v>
      </c>
      <c r="BU583" s="80">
        <f t="shared" si="241"/>
        <v>0</v>
      </c>
      <c r="BV583" s="80" t="str">
        <f>IFERROR(VLOOKUP($H583,'1. Set Program Names'!$B$2:$D$15,3,0)*V583,"NA")</f>
        <v>NA</v>
      </c>
      <c r="BW583" s="80" t="str">
        <f>IFERROR(VLOOKUP($H583,'1. Set Program Names'!$B$2:$D$15,3,0)*W583,"NA")</f>
        <v>NA</v>
      </c>
      <c r="BX583" s="80" t="str">
        <f>IFERROR(VLOOKUP($H583,'1. Set Program Names'!$B$2:$D$15,3,0)*X583,"NA")</f>
        <v>NA</v>
      </c>
      <c r="BY583" s="80" t="str">
        <f>IFERROR(VLOOKUP($H583,'1. Set Program Names'!$B$2:$D$15,3,0)*Y583,"NA")</f>
        <v>NA</v>
      </c>
      <c r="BZ583" s="80" t="str">
        <f>IFERROR(VLOOKUP($H583,'1. Set Program Names'!$B$2:$D$15,3,0)*Z583,"NA")</f>
        <v>NA</v>
      </c>
      <c r="CA583" s="80" t="str">
        <f>IFERROR(VLOOKUP($H583,'1. Set Program Names'!$B$2:$D$15,3,0)*AA583,"NA")</f>
        <v>NA</v>
      </c>
      <c r="CB583" s="80" t="str">
        <f>IFERROR(VLOOKUP($H583,'1. Set Program Names'!$B$2:$D$15,3,0)*AB583,"NA")</f>
        <v>NA</v>
      </c>
      <c r="CC583" s="80" t="str">
        <f>IFERROR(VLOOKUP($H583,'1. Set Program Names'!$B$2:$D$15,3,0)*AC583,"NA")</f>
        <v>NA</v>
      </c>
      <c r="CD583" s="80" t="str">
        <f>IFERROR(VLOOKUP($H583,'1. Set Program Names'!$B$2:$D$15,3,0)*AD583,"NA")</f>
        <v>NA</v>
      </c>
      <c r="CE583" s="80" t="str">
        <f>IFERROR(VLOOKUP($H583,'1. Set Program Names'!$B$2:$D$15,3,0)*AE583,"NA")</f>
        <v>NA</v>
      </c>
    </row>
    <row r="584" spans="1:83" x14ac:dyDescent="0.25">
      <c r="A584" s="79" t="s">
        <v>113</v>
      </c>
      <c r="B584" s="79" t="s">
        <v>88</v>
      </c>
      <c r="C584" s="79" t="s">
        <v>122</v>
      </c>
      <c r="D584" s="79" t="s">
        <v>90</v>
      </c>
      <c r="E584" s="79" t="s">
        <v>91</v>
      </c>
      <c r="F584" s="79" t="s">
        <v>90</v>
      </c>
      <c r="G584" s="79" t="s">
        <v>92</v>
      </c>
      <c r="H584" s="79" t="s">
        <v>268</v>
      </c>
      <c r="I584" s="79" t="s">
        <v>126</v>
      </c>
      <c r="J584" s="79" t="s">
        <v>127</v>
      </c>
      <c r="K584" s="79" t="s">
        <v>102</v>
      </c>
      <c r="L584" s="79">
        <v>10474.513428571399</v>
      </c>
      <c r="M584" s="79">
        <v>11.987030831722899</v>
      </c>
      <c r="N584" s="79">
        <v>6.5774989692018102E-2</v>
      </c>
      <c r="O584" s="79">
        <v>2861.52</v>
      </c>
      <c r="P584" s="79">
        <v>706.838432647388</v>
      </c>
      <c r="Q584" s="79">
        <v>10.474513428571401</v>
      </c>
      <c r="R584" s="79">
        <v>9615.4333568812199</v>
      </c>
      <c r="S584" s="79">
        <v>8615.8759261769592</v>
      </c>
      <c r="T584" s="79">
        <v>10</v>
      </c>
      <c r="U584" s="79">
        <v>1</v>
      </c>
      <c r="V584" s="79">
        <f>tbl_Data_old[[#This Row],[2025 ]]*IFERROR(AVERAGEIFS('Participation Adjustment'!$C:$C,'Participation Adjustment'!$A:$A,$H584,'Participation Adjustment'!$B:$B,$I584),1)</f>
        <v>12724.939794092301</v>
      </c>
      <c r="W584" s="79">
        <f>tbl_Data_old[[#This Row],[2026 ]]*IFERROR(AVERAGEIFS('Participation Adjustment'!$C:$C,'Participation Adjustment'!$A:$A,$H584,'Participation Adjustment'!$B:$B,$I584),1)</f>
        <v>30340.3069748124</v>
      </c>
      <c r="X584" s="79">
        <f>tbl_Data_old[[#This Row],[2027 ]]*IFERROR(AVERAGEIFS('Participation Adjustment'!$C:$C,'Participation Adjustment'!$A:$A,$H584,'Participation Adjustment'!$B:$B,$I584),1)</f>
        <v>54037.468864555798</v>
      </c>
      <c r="Y584" s="79">
        <f>tbl_Data_old[[#This Row],[2028 ]]*IFERROR(AVERAGEIFS('Participation Adjustment'!$C:$C,'Participation Adjustment'!$A:$A,$H584,'Participation Adjustment'!$B:$B,$I584),1)</f>
        <v>85050.861565034997</v>
      </c>
      <c r="Z584" s="79">
        <f>tbl_Data_old[[#This Row],[2029 ]]*IFERROR(AVERAGEIFS('Participation Adjustment'!$C:$C,'Participation Adjustment'!$A:$A,$H584,'Participation Adjustment'!$B:$B,$I584),1)</f>
        <v>124146.607590121</v>
      </c>
      <c r="AA584" s="79">
        <f>tbl_Data_old[[#This Row],[2030 ]]*IFERROR(AVERAGEIFS('Participation Adjustment'!$C:$C,'Participation Adjustment'!$A:$A,$H584,'Participation Adjustment'!$B:$B,$I584),1)</f>
        <v>170888.73717218201</v>
      </c>
      <c r="AB584" s="79">
        <f>tbl_Data_old[[#This Row],[2031 ]]*IFERROR(AVERAGEIFS('Participation Adjustment'!$C:$C,'Participation Adjustment'!$A:$A,$H584,'Participation Adjustment'!$B:$B,$I584),1)</f>
        <v>223223.25433913001</v>
      </c>
      <c r="AC584" s="79">
        <f>tbl_Data_old[[#This Row],[2032 ]]*IFERROR(AVERAGEIFS('Participation Adjustment'!$C:$C,'Participation Adjustment'!$A:$A,$H584,'Participation Adjustment'!$B:$B,$I584),1)</f>
        <v>277371.62774822902</v>
      </c>
      <c r="AD584" s="79">
        <f>tbl_Data_old[[#This Row],[2033 ]]*IFERROR(AVERAGEIFS('Participation Adjustment'!$C:$C,'Participation Adjustment'!$A:$A,$H584,'Participation Adjustment'!$B:$B,$I584),1)</f>
        <v>328409.24274971802</v>
      </c>
      <c r="AE584" s="79">
        <f>tbl_Data_old[[#This Row],[2034 ]]*IFERROR(AVERAGEIFS('Participation Adjustment'!$C:$C,'Participation Adjustment'!$A:$A,$H584,'Participation Adjustment'!$B:$B,$I584),1)</f>
        <v>371966.70398735302</v>
      </c>
      <c r="AF584" s="77" t="str">
        <f t="shared" si="231"/>
        <v>NonResidential</v>
      </c>
      <c r="AG584" s="77" t="str">
        <f>tbl_Data[[#This Row],[All_Meas_Name_Append]]</f>
        <v>Chiller maintenance</v>
      </c>
      <c r="AH584" s="77">
        <f>AVERAGEIFS('3. Incentive Adjustment'!G:G,'3. Incentive Adjustment'!A:A,tbl_Data[[#This Row],[Trimmed Sector]],'3. Incentive Adjustment'!B:B,tbl_Data[[#This Row],[Trimmed Measure Name]])</f>
        <v>0.83689882434423457</v>
      </c>
      <c r="AI584" s="77">
        <f>$AH584*tbl_Data[[#This Row],[2025 ]]</f>
        <v>10649.487153527012</v>
      </c>
      <c r="AJ584" s="77">
        <f>$AH584*tbl_Data[[#This Row],[2026 ]]</f>
        <v>25391.767237463679</v>
      </c>
      <c r="AK584" s="77">
        <f>$AH584*tbl_Data[[#This Row],[2027 ]]</f>
        <v>45223.894163284931</v>
      </c>
      <c r="AL584" s="77">
        <f>$AH584*tbl_Data[[#This Row],[2028 ]]</f>
        <v>71178.966053242038</v>
      </c>
      <c r="AM584" s="77">
        <f>$AH584*tbl_Data[[#This Row],[2029 ]]</f>
        <v>103898.14993849728</v>
      </c>
      <c r="AN584" s="77">
        <f>$AH584*tbl_Data[[#This Row],[2030 ]]</f>
        <v>143016.58323307001</v>
      </c>
      <c r="AO584" s="77">
        <f>$AH584*tbl_Data[[#This Row],[2031 ]]</f>
        <v>186815.27912271197</v>
      </c>
      <c r="AP584" s="77">
        <f>$AH584*tbl_Data[[#This Row],[2032 ]]</f>
        <v>232131.98916893953</v>
      </c>
      <c r="AQ584" s="77">
        <f>$AH584*tbl_Data[[#This Row],[2033 ]]</f>
        <v>274845.30916101934</v>
      </c>
      <c r="AR584" s="77">
        <f>$AH584*tbl_Data[[#This Row],[2034 ]]</f>
        <v>311298.49726221565</v>
      </c>
      <c r="AS584" s="77">
        <f>SUM(tbl_Data[[#This Row],[Adjusted 2025]:[Adjusted 2034]])</f>
        <v>1404449.9224939714</v>
      </c>
      <c r="AT584" s="80">
        <f>AVERAGEIFS('3. Incentive Adjustment'!F:F,'3. Incentive Adjustment'!A:A,tbl_Data[[#This Row],[Trimmed Sector]],'3. Incentive Adjustment'!B:B,tbl_Data[[#This Row],[Trimmed Measure Name]])</f>
        <v>0</v>
      </c>
      <c r="AU584" s="80">
        <f>IFERROR(VLOOKUP(tbl_Data[[#This Row],[All_Meas_Name_Append]],'IRA Tax Credits'!$A$3:$D$46,4,0),0)</f>
        <v>0</v>
      </c>
      <c r="AV584" s="81">
        <f>tbl_Data[[#This Row],[Adj. per unit Incentive ($)]]/tbl_Data[[#This Row],[kWh Savings]]*tbl_Data[[#This Row],[Sum of Annuals]]</f>
        <v>0</v>
      </c>
      <c r="AW584" s="81" t="str">
        <f>IFERROR(VLOOKUP(tbl_Data[[#This Row],[Column1]],'1. Set Program Names'!$B$2:$D$15,3,0)*tbl_Data[[#This Row],[Sum of Annuals]],"")</f>
        <v/>
      </c>
      <c r="AX584" s="81">
        <f>tbl_Data[[#This Row],[per unit IRA tax ($)]]/tbl_Data[[#This Row],[kWh Savings]]*tbl_Data[[#This Row],[Sum of Annuals]]</f>
        <v>0</v>
      </c>
      <c r="AY584" s="81">
        <f>tbl_Data[[#This Row],[Avoided Costs ($/unit)]]/tbl_Data[[#This Row],[kWh Savings]]*tbl_Data[[#This Row],[Sum of Annuals]]</f>
        <v>1289262.2387577211</v>
      </c>
      <c r="AZ584" s="81">
        <f>tbl_Data[[#This Row],[Lost Revenue ($/unit)]]/tbl_Data[[#This Row],[kWh Savings]]*tbl_Data[[#This Row],[Sum of Annuals]]</f>
        <v>1155238.9864459108</v>
      </c>
      <c r="BA584" s="81">
        <f>tbl_Data[[#This Row],[Incremental Cost ($/unit)]]/tbl_Data[[#This Row],[kWh Savings]]*tbl_Data[[#This Row],[Sum of Annuals]]</f>
        <v>383680.02195239672</v>
      </c>
      <c r="BB584" s="77">
        <f>ROUNDUP(tbl_Data[[#This Row],[Adjusted 2025]]/$L584,0)</f>
        <v>2</v>
      </c>
      <c r="BC584" s="77">
        <f>ROUNDUP(tbl_Data[[#This Row],[Adjusted 2026]]/$L584,0)</f>
        <v>3</v>
      </c>
      <c r="BD584" s="77">
        <f>ROUNDUP(tbl_Data[[#This Row],[Adjusted 2027]]/$L584,0)</f>
        <v>5</v>
      </c>
      <c r="BE584" s="77">
        <f>ROUNDUP(tbl_Data[[#This Row],[Adjusted 2028]]/$L584,0)</f>
        <v>7</v>
      </c>
      <c r="BF584" s="77">
        <f>ROUNDUP(tbl_Data[[#This Row],[Adjusted 2029]]/$L584,0)</f>
        <v>10</v>
      </c>
      <c r="BG584" s="77">
        <f>ROUNDUP(tbl_Data[[#This Row],[Adjusted 2030]]/$L584,0)</f>
        <v>14</v>
      </c>
      <c r="BH584" s="77">
        <f>ROUNDUP(tbl_Data[[#This Row],[Adjusted 2031]]/$L584,0)</f>
        <v>18</v>
      </c>
      <c r="BI584" s="77">
        <f>ROUNDUP(tbl_Data[[#This Row],[Adjusted 2032]]/$L584,0)</f>
        <v>23</v>
      </c>
      <c r="BJ584" s="77">
        <f>ROUNDUP(tbl_Data[[#This Row],[Adjusted 2033]]/$L584,0)</f>
        <v>27</v>
      </c>
      <c r="BK584" s="77">
        <f>ROUNDUP(tbl_Data[[#This Row],[Adjusted 2034]]/$L584,0)</f>
        <v>30</v>
      </c>
      <c r="BL584" s="80">
        <f t="shared" si="232"/>
        <v>0</v>
      </c>
      <c r="BM584" s="80">
        <f t="shared" si="233"/>
        <v>0</v>
      </c>
      <c r="BN584" s="80">
        <f t="shared" si="234"/>
        <v>0</v>
      </c>
      <c r="BO584" s="80">
        <f t="shared" si="235"/>
        <v>0</v>
      </c>
      <c r="BP584" s="80">
        <f t="shared" si="236"/>
        <v>0</v>
      </c>
      <c r="BQ584" s="80">
        <f t="shared" si="237"/>
        <v>0</v>
      </c>
      <c r="BR584" s="80">
        <f t="shared" si="238"/>
        <v>0</v>
      </c>
      <c r="BS584" s="80">
        <f t="shared" si="239"/>
        <v>0</v>
      </c>
      <c r="BT584" s="80">
        <f t="shared" si="240"/>
        <v>0</v>
      </c>
      <c r="BU584" s="80">
        <f t="shared" si="241"/>
        <v>0</v>
      </c>
      <c r="BV584" s="80" t="str">
        <f>IFERROR(VLOOKUP($H584,'1. Set Program Names'!$B$2:$D$15,3,0)*V584,"NA")</f>
        <v>NA</v>
      </c>
      <c r="BW584" s="80" t="str">
        <f>IFERROR(VLOOKUP($H584,'1. Set Program Names'!$B$2:$D$15,3,0)*W584,"NA")</f>
        <v>NA</v>
      </c>
      <c r="BX584" s="80" t="str">
        <f>IFERROR(VLOOKUP($H584,'1. Set Program Names'!$B$2:$D$15,3,0)*X584,"NA")</f>
        <v>NA</v>
      </c>
      <c r="BY584" s="80" t="str">
        <f>IFERROR(VLOOKUP($H584,'1. Set Program Names'!$B$2:$D$15,3,0)*Y584,"NA")</f>
        <v>NA</v>
      </c>
      <c r="BZ584" s="80" t="str">
        <f>IFERROR(VLOOKUP($H584,'1. Set Program Names'!$B$2:$D$15,3,0)*Z584,"NA")</f>
        <v>NA</v>
      </c>
      <c r="CA584" s="80" t="str">
        <f>IFERROR(VLOOKUP($H584,'1. Set Program Names'!$B$2:$D$15,3,0)*AA584,"NA")</f>
        <v>NA</v>
      </c>
      <c r="CB584" s="80" t="str">
        <f>IFERROR(VLOOKUP($H584,'1. Set Program Names'!$B$2:$D$15,3,0)*AB584,"NA")</f>
        <v>NA</v>
      </c>
      <c r="CC584" s="80" t="str">
        <f>IFERROR(VLOOKUP($H584,'1. Set Program Names'!$B$2:$D$15,3,0)*AC584,"NA")</f>
        <v>NA</v>
      </c>
      <c r="CD584" s="80" t="str">
        <f>IFERROR(VLOOKUP($H584,'1. Set Program Names'!$B$2:$D$15,3,0)*AD584,"NA")</f>
        <v>NA</v>
      </c>
      <c r="CE584" s="80" t="str">
        <f>IFERROR(VLOOKUP($H584,'1. Set Program Names'!$B$2:$D$15,3,0)*AE584,"NA")</f>
        <v>NA</v>
      </c>
    </row>
    <row r="585" spans="1:83" x14ac:dyDescent="0.25">
      <c r="A585" s="79" t="s">
        <v>113</v>
      </c>
      <c r="B585" s="79" t="s">
        <v>88</v>
      </c>
      <c r="C585" s="79" t="s">
        <v>122</v>
      </c>
      <c r="D585" s="79" t="s">
        <v>90</v>
      </c>
      <c r="E585" s="79" t="s">
        <v>91</v>
      </c>
      <c r="F585" s="79" t="s">
        <v>90</v>
      </c>
      <c r="G585" s="79" t="s">
        <v>92</v>
      </c>
      <c r="H585" s="79" t="s">
        <v>268</v>
      </c>
      <c r="I585" s="79" t="s">
        <v>131</v>
      </c>
      <c r="J585" s="79" t="s">
        <v>132</v>
      </c>
      <c r="K585" s="79" t="s">
        <v>102</v>
      </c>
      <c r="L585" s="79">
        <v>1121.1428571428501</v>
      </c>
      <c r="M585" s="79">
        <v>0</v>
      </c>
      <c r="N585" s="79">
        <v>0.20460408928759399</v>
      </c>
      <c r="O585" s="79">
        <v>313</v>
      </c>
      <c r="P585" s="79">
        <v>104.06901074138401</v>
      </c>
      <c r="Q585" s="79">
        <v>1.1211428571428499</v>
      </c>
      <c r="R585" s="79">
        <v>557.43130076035402</v>
      </c>
      <c r="S585" s="79">
        <v>1217.69575846672</v>
      </c>
      <c r="T585" s="79">
        <v>15</v>
      </c>
      <c r="U585" s="79">
        <v>1</v>
      </c>
      <c r="V585" s="79">
        <f>tbl_Data_old[[#This Row],[2025 ]]*IFERROR(AVERAGEIFS('Participation Adjustment'!$C:$C,'Participation Adjustment'!$A:$A,$H585,'Participation Adjustment'!$B:$B,$I585),1)</f>
        <v>6498.9307769429397</v>
      </c>
      <c r="W585" s="79">
        <f>tbl_Data_old[[#This Row],[2026 ]]*IFERROR(AVERAGEIFS('Participation Adjustment'!$C:$C,'Participation Adjustment'!$A:$A,$H585,'Participation Adjustment'!$B:$B,$I585),1)</f>
        <v>12680.217021054499</v>
      </c>
      <c r="X585" s="79">
        <f>tbl_Data_old[[#This Row],[2027 ]]*IFERROR(AVERAGEIFS('Participation Adjustment'!$C:$C,'Participation Adjustment'!$A:$A,$H585,'Participation Adjustment'!$B:$B,$I585),1)</f>
        <v>18485.637275240199</v>
      </c>
      <c r="Y585" s="79">
        <f>tbl_Data_old[[#This Row],[2028 ]]*IFERROR(AVERAGEIFS('Participation Adjustment'!$C:$C,'Participation Adjustment'!$A:$A,$H585,'Participation Adjustment'!$B:$B,$I585),1)</f>
        <v>23913.154104261899</v>
      </c>
      <c r="Z585" s="79">
        <f>tbl_Data_old[[#This Row],[2029 ]]*IFERROR(AVERAGEIFS('Participation Adjustment'!$C:$C,'Participation Adjustment'!$A:$A,$H585,'Participation Adjustment'!$B:$B,$I585),1)</f>
        <v>28963.439075513099</v>
      </c>
      <c r="AA585" s="79">
        <f>tbl_Data_old[[#This Row],[2030 ]]*IFERROR(AVERAGEIFS('Participation Adjustment'!$C:$C,'Participation Adjustment'!$A:$A,$H585,'Participation Adjustment'!$B:$B,$I585),1)</f>
        <v>33635.997068237797</v>
      </c>
      <c r="AB585" s="79">
        <f>tbl_Data_old[[#This Row],[2031 ]]*IFERROR(AVERAGEIFS('Participation Adjustment'!$C:$C,'Participation Adjustment'!$A:$A,$H585,'Participation Adjustment'!$B:$B,$I585),1)</f>
        <v>37939.461306418103</v>
      </c>
      <c r="AC585" s="79">
        <f>tbl_Data_old[[#This Row],[2032 ]]*IFERROR(AVERAGEIFS('Participation Adjustment'!$C:$C,'Participation Adjustment'!$A:$A,$H585,'Participation Adjustment'!$B:$B,$I585),1)</f>
        <v>41894.412874401001</v>
      </c>
      <c r="AD585" s="79">
        <f>tbl_Data_old[[#This Row],[2033 ]]*IFERROR(AVERAGEIFS('Participation Adjustment'!$C:$C,'Participation Adjustment'!$A:$A,$H585,'Participation Adjustment'!$B:$B,$I585),1)</f>
        <v>45525.484924533201</v>
      </c>
      <c r="AE585" s="79">
        <f>tbl_Data_old[[#This Row],[2034 ]]*IFERROR(AVERAGEIFS('Participation Adjustment'!$C:$C,'Participation Adjustment'!$A:$A,$H585,'Participation Adjustment'!$B:$B,$I585),1)</f>
        <v>48851.9721766191</v>
      </c>
      <c r="AF585" s="77" t="str">
        <f t="shared" si="231"/>
        <v>NonResidential</v>
      </c>
      <c r="AG585" s="77" t="str">
        <f>tbl_Data[[#This Row],[All_Meas_Name_Append]]</f>
        <v>ECM Motors on Furnaces</v>
      </c>
      <c r="AH585" s="77">
        <f>AVERAGEIFS('3. Incentive Adjustment'!G:G,'3. Incentive Adjustment'!A:A,tbl_Data[[#This Row],[Trimmed Sector]],'3. Incentive Adjustment'!B:B,tbl_Data[[#This Row],[Trimmed Measure Name]])</f>
        <v>0.7827684764944346</v>
      </c>
      <c r="AI585" s="77">
        <f>$AH585*tbl_Data[[#This Row],[2025 ]]</f>
        <v>5087.1581431104169</v>
      </c>
      <c r="AJ585" s="77">
        <f>$AH585*tbl_Data[[#This Row],[2026 ]]</f>
        <v>9925.674159189628</v>
      </c>
      <c r="AK585" s="77">
        <f>$AH585*tbl_Data[[#This Row],[2027 ]]</f>
        <v>14469.974126968502</v>
      </c>
      <c r="AL585" s="77">
        <f>$AH585*tbl_Data[[#This Row],[2028 ]]</f>
        <v>18718.463206369721</v>
      </c>
      <c r="AM585" s="77">
        <f>$AH585*tbl_Data[[#This Row],[2029 ]]</f>
        <v>22671.667079178762</v>
      </c>
      <c r="AN585" s="77">
        <f>$AH585*tbl_Data[[#This Row],[2030 ]]</f>
        <v>26329.198180475771</v>
      </c>
      <c r="AO585" s="77">
        <f>$AH585*tbl_Data[[#This Row],[2031 ]]</f>
        <v>29697.814325844451</v>
      </c>
      <c r="AP585" s="77">
        <f>$AH585*tbl_Data[[#This Row],[2032 ]]</f>
        <v>32793.625739323696</v>
      </c>
      <c r="AQ585" s="77">
        <f>$AH585*tbl_Data[[#This Row],[2033 ]]</f>
        <v>35635.914476047205</v>
      </c>
      <c r="AR585" s="77">
        <f>$AH585*tbl_Data[[#This Row],[2034 ]]</f>
        <v>38239.783834440641</v>
      </c>
      <c r="AS585" s="77">
        <f>SUM(tbl_Data[[#This Row],[Adjusted 2025]:[Adjusted 2034]])</f>
        <v>233569.27327094879</v>
      </c>
      <c r="AT585" s="80">
        <f>AVERAGEIFS('3. Incentive Adjustment'!F:F,'3. Incentive Adjustment'!A:A,tbl_Data[[#This Row],[Trimmed Sector]],'3. Incentive Adjustment'!B:B,tbl_Data[[#This Row],[Trimmed Measure Name]])</f>
        <v>0</v>
      </c>
      <c r="AU585" s="80">
        <f>IFERROR(VLOOKUP(tbl_Data[[#This Row],[All_Meas_Name_Append]],'IRA Tax Credits'!$A$3:$D$46,4,0),0)</f>
        <v>0</v>
      </c>
      <c r="AV585" s="81">
        <f>tbl_Data[[#This Row],[Adj. per unit Incentive ($)]]/tbl_Data[[#This Row],[kWh Savings]]*tbl_Data[[#This Row],[Sum of Annuals]]</f>
        <v>0</v>
      </c>
      <c r="AW585" s="81" t="str">
        <f>IFERROR(VLOOKUP(tbl_Data[[#This Row],[Column1]],'1. Set Program Names'!$B$2:$D$15,3,0)*tbl_Data[[#This Row],[Sum of Annuals]],"")</f>
        <v/>
      </c>
      <c r="AX585" s="81">
        <f>tbl_Data[[#This Row],[per unit IRA tax ($)]]/tbl_Data[[#This Row],[kWh Savings]]*tbl_Data[[#This Row],[Sum of Annuals]]</f>
        <v>0</v>
      </c>
      <c r="AY585" s="81">
        <f>tbl_Data[[#This Row],[Avoided Costs ($/unit)]]/tbl_Data[[#This Row],[kWh Savings]]*tbl_Data[[#This Row],[Sum of Annuals]]</f>
        <v>116130.44937812624</v>
      </c>
      <c r="AZ585" s="81">
        <f>tbl_Data[[#This Row],[Lost Revenue ($/unit)]]/tbl_Data[[#This Row],[kWh Savings]]*tbl_Data[[#This Row],[Sum of Annuals]]</f>
        <v>253684.275432127</v>
      </c>
      <c r="BA585" s="81">
        <f>tbl_Data[[#This Row],[Incremental Cost ($/unit)]]/tbl_Data[[#This Row],[kWh Savings]]*tbl_Data[[#This Row],[Sum of Annuals]]</f>
        <v>65207.731617820085</v>
      </c>
      <c r="BB585" s="77">
        <f>ROUNDUP(tbl_Data[[#This Row],[Adjusted 2025]]/$L585,0)</f>
        <v>5</v>
      </c>
      <c r="BC585" s="77">
        <f>ROUNDUP(tbl_Data[[#This Row],[Adjusted 2026]]/$L585,0)</f>
        <v>9</v>
      </c>
      <c r="BD585" s="77">
        <f>ROUNDUP(tbl_Data[[#This Row],[Adjusted 2027]]/$L585,0)</f>
        <v>13</v>
      </c>
      <c r="BE585" s="77">
        <f>ROUNDUP(tbl_Data[[#This Row],[Adjusted 2028]]/$L585,0)</f>
        <v>17</v>
      </c>
      <c r="BF585" s="77">
        <f>ROUNDUP(tbl_Data[[#This Row],[Adjusted 2029]]/$L585,0)</f>
        <v>21</v>
      </c>
      <c r="BG585" s="77">
        <f>ROUNDUP(tbl_Data[[#This Row],[Adjusted 2030]]/$L585,0)</f>
        <v>24</v>
      </c>
      <c r="BH585" s="77">
        <f>ROUNDUP(tbl_Data[[#This Row],[Adjusted 2031]]/$L585,0)</f>
        <v>27</v>
      </c>
      <c r="BI585" s="77">
        <f>ROUNDUP(tbl_Data[[#This Row],[Adjusted 2032]]/$L585,0)</f>
        <v>30</v>
      </c>
      <c r="BJ585" s="77">
        <f>ROUNDUP(tbl_Data[[#This Row],[Adjusted 2033]]/$L585,0)</f>
        <v>32</v>
      </c>
      <c r="BK585" s="77">
        <f>ROUNDUP(tbl_Data[[#This Row],[Adjusted 2034]]/$L585,0)</f>
        <v>35</v>
      </c>
      <c r="BL585" s="80">
        <f t="shared" si="232"/>
        <v>0</v>
      </c>
      <c r="BM585" s="80">
        <f t="shared" si="233"/>
        <v>0</v>
      </c>
      <c r="BN585" s="80">
        <f t="shared" si="234"/>
        <v>0</v>
      </c>
      <c r="BO585" s="80">
        <f t="shared" si="235"/>
        <v>0</v>
      </c>
      <c r="BP585" s="80">
        <f t="shared" si="236"/>
        <v>0</v>
      </c>
      <c r="BQ585" s="80">
        <f t="shared" si="237"/>
        <v>0</v>
      </c>
      <c r="BR585" s="80">
        <f t="shared" si="238"/>
        <v>0</v>
      </c>
      <c r="BS585" s="80">
        <f t="shared" si="239"/>
        <v>0</v>
      </c>
      <c r="BT585" s="80">
        <f t="shared" si="240"/>
        <v>0</v>
      </c>
      <c r="BU585" s="80">
        <f t="shared" si="241"/>
        <v>0</v>
      </c>
      <c r="BV585" s="80" t="str">
        <f>IFERROR(VLOOKUP($H585,'1. Set Program Names'!$B$2:$D$15,3,0)*V585,"NA")</f>
        <v>NA</v>
      </c>
      <c r="BW585" s="80" t="str">
        <f>IFERROR(VLOOKUP($H585,'1. Set Program Names'!$B$2:$D$15,3,0)*W585,"NA")</f>
        <v>NA</v>
      </c>
      <c r="BX585" s="80" t="str">
        <f>IFERROR(VLOOKUP($H585,'1. Set Program Names'!$B$2:$D$15,3,0)*X585,"NA")</f>
        <v>NA</v>
      </c>
      <c r="BY585" s="80" t="str">
        <f>IFERROR(VLOOKUP($H585,'1. Set Program Names'!$B$2:$D$15,3,0)*Y585,"NA")</f>
        <v>NA</v>
      </c>
      <c r="BZ585" s="80" t="str">
        <f>IFERROR(VLOOKUP($H585,'1. Set Program Names'!$B$2:$D$15,3,0)*Z585,"NA")</f>
        <v>NA</v>
      </c>
      <c r="CA585" s="80" t="str">
        <f>IFERROR(VLOOKUP($H585,'1. Set Program Names'!$B$2:$D$15,3,0)*AA585,"NA")</f>
        <v>NA</v>
      </c>
      <c r="CB585" s="80" t="str">
        <f>IFERROR(VLOOKUP($H585,'1. Set Program Names'!$B$2:$D$15,3,0)*AB585,"NA")</f>
        <v>NA</v>
      </c>
      <c r="CC585" s="80" t="str">
        <f>IFERROR(VLOOKUP($H585,'1. Set Program Names'!$B$2:$D$15,3,0)*AC585,"NA")</f>
        <v>NA</v>
      </c>
      <c r="CD585" s="80" t="str">
        <f>IFERROR(VLOOKUP($H585,'1. Set Program Names'!$B$2:$D$15,3,0)*AD585,"NA")</f>
        <v>NA</v>
      </c>
      <c r="CE585" s="80" t="str">
        <f>IFERROR(VLOOKUP($H585,'1. Set Program Names'!$B$2:$D$15,3,0)*AE585,"NA")</f>
        <v>NA</v>
      </c>
    </row>
    <row r="586" spans="1:83" x14ac:dyDescent="0.25">
      <c r="A586" s="79" t="s">
        <v>113</v>
      </c>
      <c r="B586" s="79" t="s">
        <v>88</v>
      </c>
      <c r="C586" s="79" t="s">
        <v>122</v>
      </c>
      <c r="D586" s="79" t="s">
        <v>90</v>
      </c>
      <c r="E586" s="79" t="s">
        <v>91</v>
      </c>
      <c r="F586" s="79" t="s">
        <v>90</v>
      </c>
      <c r="G586" s="79" t="s">
        <v>92</v>
      </c>
      <c r="H586" s="79" t="s">
        <v>268</v>
      </c>
      <c r="I586" s="79" t="s">
        <v>307</v>
      </c>
      <c r="J586" s="79" t="s">
        <v>137</v>
      </c>
      <c r="K586" s="79" t="s">
        <v>98</v>
      </c>
      <c r="L586" s="79">
        <v>1111.20999999999</v>
      </c>
      <c r="M586" s="79">
        <v>0.13640668324959701</v>
      </c>
      <c r="N586" s="79">
        <v>0.136388544932499</v>
      </c>
      <c r="O586" s="79">
        <v>412</v>
      </c>
      <c r="P586" s="79">
        <v>183.41637854330401</v>
      </c>
      <c r="Q586" s="79">
        <v>1.11120999999999</v>
      </c>
      <c r="R586" s="79">
        <v>480.86876845961399</v>
      </c>
      <c r="S586" s="79">
        <v>1206.90748297154</v>
      </c>
      <c r="T586" s="79">
        <v>15</v>
      </c>
      <c r="U586" s="79">
        <v>1</v>
      </c>
      <c r="V586" s="79">
        <f>tbl_Data_old[[#This Row],[2025 ]]*IFERROR(AVERAGEIFS('Participation Adjustment'!$C:$C,'Participation Adjustment'!$A:$A,$H586,'Participation Adjustment'!$B:$B,$I586),1)</f>
        <v>42669.031815708702</v>
      </c>
      <c r="W586" s="79">
        <f>tbl_Data_old[[#This Row],[2026 ]]*IFERROR(AVERAGEIFS('Participation Adjustment'!$C:$C,'Participation Adjustment'!$A:$A,$H586,'Participation Adjustment'!$B:$B,$I586),1)</f>
        <v>101430.30940727799</v>
      </c>
      <c r="X586" s="79">
        <f>tbl_Data_old[[#This Row],[2027 ]]*IFERROR(AVERAGEIFS('Participation Adjustment'!$C:$C,'Participation Adjustment'!$A:$A,$H586,'Participation Adjustment'!$B:$B,$I586),1)</f>
        <v>178434.563716198</v>
      </c>
      <c r="Y586" s="79">
        <f>tbl_Data_old[[#This Row],[2028 ]]*IFERROR(AVERAGEIFS('Participation Adjustment'!$C:$C,'Participation Adjustment'!$A:$A,$H586,'Participation Adjustment'!$B:$B,$I586),1)</f>
        <v>275237.27695624699</v>
      </c>
      <c r="Z586" s="79">
        <f>tbl_Data_old[[#This Row],[2029 ]]*IFERROR(AVERAGEIFS('Participation Adjustment'!$C:$C,'Participation Adjustment'!$A:$A,$H586,'Participation Adjustment'!$B:$B,$I586),1)</f>
        <v>391990.241227135</v>
      </c>
      <c r="AA586" s="79">
        <f>tbl_Data_old[[#This Row],[2030 ]]*IFERROR(AVERAGEIFS('Participation Adjustment'!$C:$C,'Participation Adjustment'!$A:$A,$H586,'Participation Adjustment'!$B:$B,$I586),1)</f>
        <v>527156.91697775002</v>
      </c>
      <c r="AB586" s="79">
        <f>tbl_Data_old[[#This Row],[2031 ]]*IFERROR(AVERAGEIFS('Participation Adjustment'!$C:$C,'Participation Adjustment'!$A:$A,$H586,'Participation Adjustment'!$B:$B,$I586),1)</f>
        <v>678123.28564937797</v>
      </c>
      <c r="AC586" s="79">
        <f>tbl_Data_old[[#This Row],[2032 ]]*IFERROR(AVERAGEIFS('Participation Adjustment'!$C:$C,'Participation Adjustment'!$A:$A,$H586,'Participation Adjustment'!$B:$B,$I586),1)</f>
        <v>842118.78680056694</v>
      </c>
      <c r="AD586" s="79">
        <f>tbl_Data_old[[#This Row],[2033 ]]*IFERROR(AVERAGEIFS('Participation Adjustment'!$C:$C,'Participation Adjustment'!$A:$A,$H586,'Participation Adjustment'!$B:$B,$I586),1)</f>
        <v>1016568.56287167</v>
      </c>
      <c r="AE586" s="79">
        <f>tbl_Data_old[[#This Row],[2034 ]]*IFERROR(AVERAGEIFS('Participation Adjustment'!$C:$C,'Participation Adjustment'!$A:$A,$H586,'Participation Adjustment'!$B:$B,$I586),1)</f>
        <v>1199323.62688449</v>
      </c>
      <c r="AF586" s="77" t="str">
        <f t="shared" si="231"/>
        <v>NonResidential</v>
      </c>
      <c r="AG586" s="77" t="str">
        <f>tbl_Data[[#This Row],[All_Meas_Name_Append]]</f>
        <v>Efficient Battery Charger</v>
      </c>
      <c r="AH586" s="77">
        <f>AVERAGEIFS('3. Incentive Adjustment'!G:G,'3. Incentive Adjustment'!A:A,tbl_Data[[#This Row],[Trimmed Sector]],'3. Incentive Adjustment'!B:B,tbl_Data[[#This Row],[Trimmed Measure Name]])</f>
        <v>0.64693164144446047</v>
      </c>
      <c r="AI586" s="77">
        <f>$AH586*tbl_Data[[#This Row],[2025 ]]</f>
        <v>27603.946791382339</v>
      </c>
      <c r="AJ586" s="77">
        <f>$AH586*tbl_Data[[#This Row],[2026 ]]</f>
        <v>65618.476557069851</v>
      </c>
      <c r="AK586" s="77">
        <f>$AH586*tbl_Data[[#This Row],[2027 ]]</f>
        <v>115434.96519534614</v>
      </c>
      <c r="AL586" s="77">
        <f>$AH586*tbl_Data[[#This Row],[2028 ]]</f>
        <v>178059.70336800843</v>
      </c>
      <c r="AM586" s="77">
        <f>$AH586*tbl_Data[[#This Row],[2029 ]]</f>
        <v>253590.89018728046</v>
      </c>
      <c r="AN586" s="77">
        <f>$AH586*tbl_Data[[#This Row],[2030 ]]</f>
        <v>341034.48959921702</v>
      </c>
      <c r="AO586" s="77">
        <f>$AH586*tbl_Data[[#This Row],[2031 ]]</f>
        <v>438699.41028686281</v>
      </c>
      <c r="AP586" s="77">
        <f>$AH586*tbl_Data[[#This Row],[2032 ]]</f>
        <v>544793.28903610841</v>
      </c>
      <c r="AQ586" s="77">
        <f>$AH586*tbl_Data[[#This Row],[2033 ]]</f>
        <v>657650.36901940568</v>
      </c>
      <c r="AR586" s="77">
        <f>$AH586*tbl_Data[[#This Row],[2034 ]]</f>
        <v>775880.40256350674</v>
      </c>
      <c r="AS586" s="77">
        <f>SUM(tbl_Data[[#This Row],[Adjusted 2025]:[Adjusted 2034]])</f>
        <v>3398365.9426041879</v>
      </c>
      <c r="AT586" s="80">
        <f>AVERAGEIFS('3. Incentive Adjustment'!F:F,'3. Incentive Adjustment'!A:A,tbl_Data[[#This Row],[Trimmed Sector]],'3. Incentive Adjustment'!B:B,tbl_Data[[#This Row],[Trimmed Measure Name]])</f>
        <v>0</v>
      </c>
      <c r="AU586" s="80">
        <f>IFERROR(VLOOKUP(tbl_Data[[#This Row],[All_Meas_Name_Append]],'IRA Tax Credits'!$A$3:$D$46,4,0),0)</f>
        <v>0</v>
      </c>
      <c r="AV586" s="81">
        <f>tbl_Data[[#This Row],[Adj. per unit Incentive ($)]]/tbl_Data[[#This Row],[kWh Savings]]*tbl_Data[[#This Row],[Sum of Annuals]]</f>
        <v>0</v>
      </c>
      <c r="AW586" s="81" t="str">
        <f>IFERROR(VLOOKUP(tbl_Data[[#This Row],[Column1]],'1. Set Program Names'!$B$2:$D$15,3,0)*tbl_Data[[#This Row],[Sum of Annuals]],"")</f>
        <v/>
      </c>
      <c r="AX586" s="81">
        <f>tbl_Data[[#This Row],[per unit IRA tax ($)]]/tbl_Data[[#This Row],[kWh Savings]]*tbl_Data[[#This Row],[Sum of Annuals]]</f>
        <v>0</v>
      </c>
      <c r="AY586" s="81">
        <f>tbl_Data[[#This Row],[Avoided Costs ($/unit)]]/tbl_Data[[#This Row],[kWh Savings]]*tbl_Data[[#This Row],[Sum of Annuals]]</f>
        <v>1470620.3558239988</v>
      </c>
      <c r="AZ586" s="81">
        <f>tbl_Data[[#This Row],[Lost Revenue ($/unit)]]/tbl_Data[[#This Row],[kWh Savings]]*tbl_Data[[#This Row],[Sum of Annuals]]</f>
        <v>3691033.4554266632</v>
      </c>
      <c r="BA586" s="81">
        <f>tbl_Data[[#This Row],[Incremental Cost ($/unit)]]/tbl_Data[[#This Row],[kWh Savings]]*tbl_Data[[#This Row],[Sum of Annuals]]</f>
        <v>1260001.9513439746</v>
      </c>
      <c r="BB586" s="77">
        <f>ROUNDUP(tbl_Data[[#This Row],[Adjusted 2025]]/$L586,0)</f>
        <v>25</v>
      </c>
      <c r="BC586" s="77">
        <f>ROUNDUP(tbl_Data[[#This Row],[Adjusted 2026]]/$L586,0)</f>
        <v>60</v>
      </c>
      <c r="BD586" s="77">
        <f>ROUNDUP(tbl_Data[[#This Row],[Adjusted 2027]]/$L586,0)</f>
        <v>104</v>
      </c>
      <c r="BE586" s="77">
        <f>ROUNDUP(tbl_Data[[#This Row],[Adjusted 2028]]/$L586,0)</f>
        <v>161</v>
      </c>
      <c r="BF586" s="77">
        <f>ROUNDUP(tbl_Data[[#This Row],[Adjusted 2029]]/$L586,0)</f>
        <v>229</v>
      </c>
      <c r="BG586" s="77">
        <f>ROUNDUP(tbl_Data[[#This Row],[Adjusted 2030]]/$L586,0)</f>
        <v>307</v>
      </c>
      <c r="BH586" s="77">
        <f>ROUNDUP(tbl_Data[[#This Row],[Adjusted 2031]]/$L586,0)</f>
        <v>395</v>
      </c>
      <c r="BI586" s="77">
        <f>ROUNDUP(tbl_Data[[#This Row],[Adjusted 2032]]/$L586,0)</f>
        <v>491</v>
      </c>
      <c r="BJ586" s="77">
        <f>ROUNDUP(tbl_Data[[#This Row],[Adjusted 2033]]/$L586,0)</f>
        <v>592</v>
      </c>
      <c r="BK586" s="77">
        <f>ROUNDUP(tbl_Data[[#This Row],[Adjusted 2034]]/$L586,0)</f>
        <v>699</v>
      </c>
      <c r="BL586" s="80">
        <f t="shared" si="232"/>
        <v>0</v>
      </c>
      <c r="BM586" s="80">
        <f t="shared" si="233"/>
        <v>0</v>
      </c>
      <c r="BN586" s="80">
        <f t="shared" si="234"/>
        <v>0</v>
      </c>
      <c r="BO586" s="80">
        <f t="shared" si="235"/>
        <v>0</v>
      </c>
      <c r="BP586" s="80">
        <f t="shared" si="236"/>
        <v>0</v>
      </c>
      <c r="BQ586" s="80">
        <f t="shared" si="237"/>
        <v>0</v>
      </c>
      <c r="BR586" s="80">
        <f t="shared" si="238"/>
        <v>0</v>
      </c>
      <c r="BS586" s="80">
        <f t="shared" si="239"/>
        <v>0</v>
      </c>
      <c r="BT586" s="80">
        <f t="shared" si="240"/>
        <v>0</v>
      </c>
      <c r="BU586" s="80">
        <f t="shared" si="241"/>
        <v>0</v>
      </c>
      <c r="BV586" s="80" t="str">
        <f>IFERROR(VLOOKUP($H586,'1. Set Program Names'!$B$2:$D$15,3,0)*V586,"NA")</f>
        <v>NA</v>
      </c>
      <c r="BW586" s="80" t="str">
        <f>IFERROR(VLOOKUP($H586,'1. Set Program Names'!$B$2:$D$15,3,0)*W586,"NA")</f>
        <v>NA</v>
      </c>
      <c r="BX586" s="80" t="str">
        <f>IFERROR(VLOOKUP($H586,'1. Set Program Names'!$B$2:$D$15,3,0)*X586,"NA")</f>
        <v>NA</v>
      </c>
      <c r="BY586" s="80" t="str">
        <f>IFERROR(VLOOKUP($H586,'1. Set Program Names'!$B$2:$D$15,3,0)*Y586,"NA")</f>
        <v>NA</v>
      </c>
      <c r="BZ586" s="80" t="str">
        <f>IFERROR(VLOOKUP($H586,'1. Set Program Names'!$B$2:$D$15,3,0)*Z586,"NA")</f>
        <v>NA</v>
      </c>
      <c r="CA586" s="80" t="str">
        <f>IFERROR(VLOOKUP($H586,'1. Set Program Names'!$B$2:$D$15,3,0)*AA586,"NA")</f>
        <v>NA</v>
      </c>
      <c r="CB586" s="80" t="str">
        <f>IFERROR(VLOOKUP($H586,'1. Set Program Names'!$B$2:$D$15,3,0)*AB586,"NA")</f>
        <v>NA</v>
      </c>
      <c r="CC586" s="80" t="str">
        <f>IFERROR(VLOOKUP($H586,'1. Set Program Names'!$B$2:$D$15,3,0)*AC586,"NA")</f>
        <v>NA</v>
      </c>
      <c r="CD586" s="80" t="str">
        <f>IFERROR(VLOOKUP($H586,'1. Set Program Names'!$B$2:$D$15,3,0)*AD586,"NA")</f>
        <v>NA</v>
      </c>
      <c r="CE586" s="80" t="str">
        <f>IFERROR(VLOOKUP($H586,'1. Set Program Names'!$B$2:$D$15,3,0)*AE586,"NA")</f>
        <v>NA</v>
      </c>
    </row>
    <row r="587" spans="1:83" x14ac:dyDescent="0.25">
      <c r="A587" s="79" t="s">
        <v>113</v>
      </c>
      <c r="B587" s="79" t="s">
        <v>88</v>
      </c>
      <c r="C587" s="79" t="s">
        <v>122</v>
      </c>
      <c r="D587" s="79" t="s">
        <v>90</v>
      </c>
      <c r="E587" s="79" t="s">
        <v>91</v>
      </c>
      <c r="F587" s="79" t="s">
        <v>90</v>
      </c>
      <c r="G587" s="79" t="s">
        <v>92</v>
      </c>
      <c r="H587" s="79" t="s">
        <v>268</v>
      </c>
      <c r="I587" s="79" t="s">
        <v>135</v>
      </c>
      <c r="J587" s="79" t="s">
        <v>134</v>
      </c>
      <c r="K587" s="79" t="s">
        <v>98</v>
      </c>
      <c r="L587" s="79">
        <v>6368</v>
      </c>
      <c r="M587" s="79">
        <v>0.60494632768604495</v>
      </c>
      <c r="N587" s="79">
        <v>0.53529110623606202</v>
      </c>
      <c r="O587" s="79">
        <v>1580</v>
      </c>
      <c r="P587" s="79">
        <v>270.05813353350197</v>
      </c>
      <c r="Q587" s="79">
        <v>6.3680000000000003</v>
      </c>
      <c r="R587" s="79">
        <v>1963.2041057461399</v>
      </c>
      <c r="S587" s="79">
        <v>5968.19517810463</v>
      </c>
      <c r="T587" s="79">
        <v>12</v>
      </c>
      <c r="U587" s="79">
        <v>1</v>
      </c>
      <c r="V587" s="79">
        <f>tbl_Data_old[[#This Row],[2025 ]]*IFERROR(AVERAGEIFS('Participation Adjustment'!$C:$C,'Participation Adjustment'!$A:$A,$H587,'Participation Adjustment'!$B:$B,$I587),1)</f>
        <v>19376.215906981</v>
      </c>
      <c r="W587" s="79">
        <f>tbl_Data_old[[#This Row],[2026 ]]*IFERROR(AVERAGEIFS('Participation Adjustment'!$C:$C,'Participation Adjustment'!$A:$A,$H587,'Participation Adjustment'!$B:$B,$I587),1)</f>
        <v>45986.994595197299</v>
      </c>
      <c r="X587" s="79">
        <f>tbl_Data_old[[#This Row],[2027 ]]*IFERROR(AVERAGEIFS('Participation Adjustment'!$C:$C,'Participation Adjustment'!$A:$A,$H587,'Participation Adjustment'!$B:$B,$I587),1)</f>
        <v>80627.2333137229</v>
      </c>
      <c r="Y587" s="79">
        <f>tbl_Data_old[[#This Row],[2028 ]]*IFERROR(AVERAGEIFS('Participation Adjustment'!$C:$C,'Participation Adjustment'!$A:$A,$H587,'Participation Adjustment'!$B:$B,$I587),1)</f>
        <v>123733.579133379</v>
      </c>
      <c r="Z587" s="79">
        <f>tbl_Data_old[[#This Row],[2029 ]]*IFERROR(AVERAGEIFS('Participation Adjustment'!$C:$C,'Participation Adjustment'!$A:$A,$H587,'Participation Adjustment'!$B:$B,$I587),1)</f>
        <v>175049.811308932</v>
      </c>
      <c r="AA587" s="79">
        <f>tbl_Data_old[[#This Row],[2030 ]]*IFERROR(AVERAGEIFS('Participation Adjustment'!$C:$C,'Participation Adjustment'!$A:$A,$H587,'Participation Adjustment'!$B:$B,$I587),1)</f>
        <v>233605.05058144999</v>
      </c>
      <c r="AB587" s="79">
        <f>tbl_Data_old[[#This Row],[2031 ]]*IFERROR(AVERAGEIFS('Participation Adjustment'!$C:$C,'Participation Adjustment'!$A:$A,$H587,'Participation Adjustment'!$B:$B,$I587),1)</f>
        <v>297996.97639704699</v>
      </c>
      <c r="AC587" s="79">
        <f>tbl_Data_old[[#This Row],[2032 ]]*IFERROR(AVERAGEIFS('Participation Adjustment'!$C:$C,'Participation Adjustment'!$A:$A,$H587,'Participation Adjustment'!$B:$B,$I587),1)</f>
        <v>366853.72339455102</v>
      </c>
      <c r="AD587" s="79">
        <f>tbl_Data_old[[#This Row],[2033 ]]*IFERROR(AVERAGEIFS('Participation Adjustment'!$C:$C,'Participation Adjustment'!$A:$A,$H587,'Participation Adjustment'!$B:$B,$I587),1)</f>
        <v>439017.08148255601</v>
      </c>
      <c r="AE587" s="79">
        <f>tbl_Data_old[[#This Row],[2034 ]]*IFERROR(AVERAGEIFS('Participation Adjustment'!$C:$C,'Participation Adjustment'!$A:$A,$H587,'Participation Adjustment'!$B:$B,$I587),1)</f>
        <v>513527.58184319502</v>
      </c>
      <c r="AF587" s="77" t="str">
        <f t="shared" si="231"/>
        <v>NonResidential</v>
      </c>
      <c r="AG587" s="77" t="str">
        <f>tbl_Data[[#This Row],[All_Meas_Name_Append]]</f>
        <v>Energy Star Combination Oven</v>
      </c>
      <c r="AH587" s="77">
        <f>AVERAGEIFS('3. Incentive Adjustment'!G:G,'3. Incentive Adjustment'!A:A,tbl_Data[[#This Row],[Trimmed Sector]],'3. Incentive Adjustment'!B:B,tbl_Data[[#This Row],[Trimmed Measure Name]])</f>
        <v>0.89413714267910538</v>
      </c>
      <c r="AI587" s="77">
        <f>$AH587*tbl_Data[[#This Row],[2025 ]]</f>
        <v>17324.994327001423</v>
      </c>
      <c r="AJ587" s="77">
        <f>$AH587*tbl_Data[[#This Row],[2026 ]]</f>
        <v>41118.679947749173</v>
      </c>
      <c r="AK587" s="77">
        <f>$AH587*tbl_Data[[#This Row],[2027 ]]</f>
        <v>72091.804017253773</v>
      </c>
      <c r="AL587" s="77">
        <f>$AH587*tbl_Data[[#This Row],[2028 ]]</f>
        <v>110634.78889977848</v>
      </c>
      <c r="AM587" s="77">
        <f>$AH587*tbl_Data[[#This Row],[2029 ]]</f>
        <v>156518.53811028501</v>
      </c>
      <c r="AN587" s="77">
        <f>$AH587*tbl_Data[[#This Row],[2030 ]]</f>
        <v>208874.95244230557</v>
      </c>
      <c r="AO587" s="77">
        <f>$AH587*tbl_Data[[#This Row],[2031 ]]</f>
        <v>266450.16500266839</v>
      </c>
      <c r="AP587" s="77">
        <f>$AH587*tbl_Data[[#This Row],[2032 ]]</f>
        <v>328017.54001719475</v>
      </c>
      <c r="AQ587" s="77">
        <f>$AH587*tbl_Data[[#This Row],[2033 ]]</f>
        <v>392541.47882413259</v>
      </c>
      <c r="AR587" s="77">
        <f>$AH587*tbl_Data[[#This Row],[2034 ]]</f>
        <v>459164.08471618482</v>
      </c>
      <c r="AS587" s="77">
        <f>SUM(tbl_Data[[#This Row],[Adjusted 2025]:[Adjusted 2034]])</f>
        <v>2052737.026304554</v>
      </c>
      <c r="AT587" s="80">
        <f>AVERAGEIFS('3. Incentive Adjustment'!F:F,'3. Incentive Adjustment'!A:A,tbl_Data[[#This Row],[Trimmed Sector]],'3. Incentive Adjustment'!B:B,tbl_Data[[#This Row],[Trimmed Measure Name]])</f>
        <v>0</v>
      </c>
      <c r="AU587" s="80">
        <f>IFERROR(VLOOKUP(tbl_Data[[#This Row],[All_Meas_Name_Append]],'IRA Tax Credits'!$A$3:$D$46,4,0),0)</f>
        <v>0</v>
      </c>
      <c r="AV587" s="81">
        <f>tbl_Data[[#This Row],[Adj. per unit Incentive ($)]]/tbl_Data[[#This Row],[kWh Savings]]*tbl_Data[[#This Row],[Sum of Annuals]]</f>
        <v>0</v>
      </c>
      <c r="AW587" s="81" t="str">
        <f>IFERROR(VLOOKUP(tbl_Data[[#This Row],[Column1]],'1. Set Program Names'!$B$2:$D$15,3,0)*tbl_Data[[#This Row],[Sum of Annuals]],"")</f>
        <v/>
      </c>
      <c r="AX587" s="81">
        <f>tbl_Data[[#This Row],[per unit IRA tax ($)]]/tbl_Data[[#This Row],[kWh Savings]]*tbl_Data[[#This Row],[Sum of Annuals]]</f>
        <v>0</v>
      </c>
      <c r="AY587" s="81">
        <f>tbl_Data[[#This Row],[Avoided Costs ($/unit)]]/tbl_Data[[#This Row],[kWh Savings]]*tbl_Data[[#This Row],[Sum of Annuals]]</f>
        <v>632842.61276039924</v>
      </c>
      <c r="AZ587" s="81">
        <f>tbl_Data[[#This Row],[Lost Revenue ($/unit)]]/tbl_Data[[#This Row],[kWh Savings]]*tbl_Data[[#This Row],[Sum of Annuals]]</f>
        <v>1923859.1743573612</v>
      </c>
      <c r="BA587" s="81">
        <f>tbl_Data[[#This Row],[Incremental Cost ($/unit)]]/tbl_Data[[#This Row],[kWh Savings]]*tbl_Data[[#This Row],[Sum of Annuals]]</f>
        <v>509316.03353661986</v>
      </c>
      <c r="BB587" s="77">
        <f>ROUNDUP(tbl_Data[[#This Row],[Adjusted 2025]]/$L587,0)</f>
        <v>3</v>
      </c>
      <c r="BC587" s="77">
        <f>ROUNDUP(tbl_Data[[#This Row],[Adjusted 2026]]/$L587,0)</f>
        <v>7</v>
      </c>
      <c r="BD587" s="77">
        <f>ROUNDUP(tbl_Data[[#This Row],[Adjusted 2027]]/$L587,0)</f>
        <v>12</v>
      </c>
      <c r="BE587" s="77">
        <f>ROUNDUP(tbl_Data[[#This Row],[Adjusted 2028]]/$L587,0)</f>
        <v>18</v>
      </c>
      <c r="BF587" s="77">
        <f>ROUNDUP(tbl_Data[[#This Row],[Adjusted 2029]]/$L587,0)</f>
        <v>25</v>
      </c>
      <c r="BG587" s="77">
        <f>ROUNDUP(tbl_Data[[#This Row],[Adjusted 2030]]/$L587,0)</f>
        <v>33</v>
      </c>
      <c r="BH587" s="77">
        <f>ROUNDUP(tbl_Data[[#This Row],[Adjusted 2031]]/$L587,0)</f>
        <v>42</v>
      </c>
      <c r="BI587" s="77">
        <f>ROUNDUP(tbl_Data[[#This Row],[Adjusted 2032]]/$L587,0)</f>
        <v>52</v>
      </c>
      <c r="BJ587" s="77">
        <f>ROUNDUP(tbl_Data[[#This Row],[Adjusted 2033]]/$L587,0)</f>
        <v>62</v>
      </c>
      <c r="BK587" s="77">
        <f>ROUNDUP(tbl_Data[[#This Row],[Adjusted 2034]]/$L587,0)</f>
        <v>73</v>
      </c>
      <c r="BL587" s="80">
        <f t="shared" si="232"/>
        <v>0</v>
      </c>
      <c r="BM587" s="80">
        <f t="shared" si="233"/>
        <v>0</v>
      </c>
      <c r="BN587" s="80">
        <f t="shared" si="234"/>
        <v>0</v>
      </c>
      <c r="BO587" s="80">
        <f t="shared" si="235"/>
        <v>0</v>
      </c>
      <c r="BP587" s="80">
        <f t="shared" si="236"/>
        <v>0</v>
      </c>
      <c r="BQ587" s="80">
        <f t="shared" si="237"/>
        <v>0</v>
      </c>
      <c r="BR587" s="80">
        <f t="shared" si="238"/>
        <v>0</v>
      </c>
      <c r="BS587" s="80">
        <f t="shared" si="239"/>
        <v>0</v>
      </c>
      <c r="BT587" s="80">
        <f t="shared" si="240"/>
        <v>0</v>
      </c>
      <c r="BU587" s="80">
        <f t="shared" si="241"/>
        <v>0</v>
      </c>
      <c r="BV587" s="80" t="str">
        <f>IFERROR(VLOOKUP($H587,'1. Set Program Names'!$B$2:$D$15,3,0)*V587,"NA")</f>
        <v>NA</v>
      </c>
      <c r="BW587" s="80" t="str">
        <f>IFERROR(VLOOKUP($H587,'1. Set Program Names'!$B$2:$D$15,3,0)*W587,"NA")</f>
        <v>NA</v>
      </c>
      <c r="BX587" s="80" t="str">
        <f>IFERROR(VLOOKUP($H587,'1. Set Program Names'!$B$2:$D$15,3,0)*X587,"NA")</f>
        <v>NA</v>
      </c>
      <c r="BY587" s="80" t="str">
        <f>IFERROR(VLOOKUP($H587,'1. Set Program Names'!$B$2:$D$15,3,0)*Y587,"NA")</f>
        <v>NA</v>
      </c>
      <c r="BZ587" s="80" t="str">
        <f>IFERROR(VLOOKUP($H587,'1. Set Program Names'!$B$2:$D$15,3,0)*Z587,"NA")</f>
        <v>NA</v>
      </c>
      <c r="CA587" s="80" t="str">
        <f>IFERROR(VLOOKUP($H587,'1. Set Program Names'!$B$2:$D$15,3,0)*AA587,"NA")</f>
        <v>NA</v>
      </c>
      <c r="CB587" s="80" t="str">
        <f>IFERROR(VLOOKUP($H587,'1. Set Program Names'!$B$2:$D$15,3,0)*AB587,"NA")</f>
        <v>NA</v>
      </c>
      <c r="CC587" s="80" t="str">
        <f>IFERROR(VLOOKUP($H587,'1. Set Program Names'!$B$2:$D$15,3,0)*AC587,"NA")</f>
        <v>NA</v>
      </c>
      <c r="CD587" s="80" t="str">
        <f>IFERROR(VLOOKUP($H587,'1. Set Program Names'!$B$2:$D$15,3,0)*AD587,"NA")</f>
        <v>NA</v>
      </c>
      <c r="CE587" s="80" t="str">
        <f>IFERROR(VLOOKUP($H587,'1. Set Program Names'!$B$2:$D$15,3,0)*AE587,"NA")</f>
        <v>NA</v>
      </c>
    </row>
    <row r="588" spans="1:83" x14ac:dyDescent="0.25">
      <c r="A588" s="79" t="s">
        <v>113</v>
      </c>
      <c r="B588" s="79" t="s">
        <v>88</v>
      </c>
      <c r="C588" s="79" t="s">
        <v>122</v>
      </c>
      <c r="D588" s="79" t="s">
        <v>90</v>
      </c>
      <c r="E588" s="79" t="s">
        <v>91</v>
      </c>
      <c r="F588" s="79" t="s">
        <v>90</v>
      </c>
      <c r="G588" s="79" t="s">
        <v>92</v>
      </c>
      <c r="H588" s="79" t="s">
        <v>268</v>
      </c>
      <c r="I588" s="79" t="s">
        <v>136</v>
      </c>
      <c r="J588" s="79" t="s">
        <v>137</v>
      </c>
      <c r="K588" s="79" t="s">
        <v>104</v>
      </c>
      <c r="L588" s="79">
        <v>810.099999999999</v>
      </c>
      <c r="M588" s="79">
        <v>0.128563724196602</v>
      </c>
      <c r="N588" s="79">
        <v>0.13252898089850401</v>
      </c>
      <c r="O588" s="79">
        <v>224</v>
      </c>
      <c r="P588" s="79">
        <v>57.356798677055799</v>
      </c>
      <c r="Q588" s="79">
        <v>0.81009999999999904</v>
      </c>
      <c r="R588" s="79">
        <v>239.61317678792901</v>
      </c>
      <c r="S588" s="79">
        <v>505.19538551625698</v>
      </c>
      <c r="T588" s="79">
        <v>7</v>
      </c>
      <c r="U588" s="79">
        <v>1</v>
      </c>
      <c r="V588" s="79">
        <f>tbl_Data_old[[#This Row],[2025 ]]*IFERROR(AVERAGEIFS('Participation Adjustment'!$C:$C,'Participation Adjustment'!$A:$A,$H588,'Participation Adjustment'!$B:$B,$I588),1)</f>
        <v>18343.3664290171</v>
      </c>
      <c r="W588" s="79">
        <f>tbl_Data_old[[#This Row],[2026 ]]*IFERROR(AVERAGEIFS('Participation Adjustment'!$C:$C,'Participation Adjustment'!$A:$A,$H588,'Participation Adjustment'!$B:$B,$I588),1)</f>
        <v>43854.6847988831</v>
      </c>
      <c r="X588" s="79">
        <f>tbl_Data_old[[#This Row],[2027 ]]*IFERROR(AVERAGEIFS('Participation Adjustment'!$C:$C,'Participation Adjustment'!$A:$A,$H588,'Participation Adjustment'!$B:$B,$I588),1)</f>
        <v>77433.633442549894</v>
      </c>
      <c r="Y588" s="79">
        <f>tbl_Data_old[[#This Row],[2028 ]]*IFERROR(AVERAGEIFS('Participation Adjustment'!$C:$C,'Participation Adjustment'!$A:$A,$H588,'Participation Adjustment'!$B:$B,$I588),1)</f>
        <v>119672.54710073399</v>
      </c>
      <c r="Z588" s="79">
        <f>tbl_Data_old[[#This Row],[2029 ]]*IFERROR(AVERAGEIFS('Participation Adjustment'!$C:$C,'Participation Adjustment'!$A:$A,$H588,'Participation Adjustment'!$B:$B,$I588),1)</f>
        <v>170513.574951141</v>
      </c>
      <c r="AA588" s="79">
        <f>tbl_Data_old[[#This Row],[2030 ]]*IFERROR(AVERAGEIFS('Participation Adjustment'!$C:$C,'Participation Adjustment'!$A:$A,$H588,'Participation Adjustment'!$B:$B,$I588),1)</f>
        <v>229155.58222616499</v>
      </c>
      <c r="AB588" s="79">
        <f>tbl_Data_old[[#This Row],[2031 ]]*IFERROR(AVERAGEIFS('Participation Adjustment'!$C:$C,'Participation Adjustment'!$A:$A,$H588,'Participation Adjustment'!$B:$B,$I588),1)</f>
        <v>294360.54943302303</v>
      </c>
      <c r="AC588" s="79">
        <f>tbl_Data_old[[#This Row],[2032 ]]*IFERROR(AVERAGEIFS('Participation Adjustment'!$C:$C,'Participation Adjustment'!$A:$A,$H588,'Participation Adjustment'!$B:$B,$I588),1)</f>
        <v>346533.71422699798</v>
      </c>
      <c r="AD588" s="79">
        <f>tbl_Data_old[[#This Row],[2033 ]]*IFERROR(AVERAGEIFS('Participation Adjustment'!$C:$C,'Participation Adjustment'!$A:$A,$H588,'Participation Adjustment'!$B:$B,$I588),1)</f>
        <v>395735.38458410202</v>
      </c>
      <c r="AE588" s="79">
        <f>tbl_Data_old[[#This Row],[2034 ]]*IFERROR(AVERAGEIFS('Participation Adjustment'!$C:$C,'Participation Adjustment'!$A:$A,$H588,'Participation Adjustment'!$B:$B,$I588),1)</f>
        <v>440167.70169749699</v>
      </c>
      <c r="AF588" s="77" t="str">
        <f t="shared" si="231"/>
        <v>NonResidential</v>
      </c>
      <c r="AG588" s="77" t="str">
        <f>tbl_Data[[#This Row],[All_Meas_Name_Append]]</f>
        <v>Energy Star Commercial Clothes Washer</v>
      </c>
      <c r="AH588" s="77">
        <f>AVERAGEIFS('3. Incentive Adjustment'!G:G,'3. Incentive Adjustment'!A:A,tbl_Data[[#This Row],[Trimmed Sector]],'3. Incentive Adjustment'!B:B,tbl_Data[[#This Row],[Trimmed Measure Name]])</f>
        <v>0.82959886877160749</v>
      </c>
      <c r="AI588" s="77">
        <f>$AH588*tbl_Data[[#This Row],[2025 ]]</f>
        <v>15217.636038975668</v>
      </c>
      <c r="AJ588" s="77">
        <f>$AH588*tbl_Data[[#This Row],[2026 ]]</f>
        <v>36381.796899488829</v>
      </c>
      <c r="AK588" s="77">
        <f>$AH588*tbl_Data[[#This Row],[2027 ]]</f>
        <v>64238.85470881471</v>
      </c>
      <c r="AL588" s="77">
        <f>$AH588*tbl_Data[[#This Row],[2028 ]]</f>
        <v>99280.209697785831</v>
      </c>
      <c r="AM588" s="77">
        <f>$AH588*tbl_Data[[#This Row],[2029 ]]</f>
        <v>141457.86888966928</v>
      </c>
      <c r="AN588" s="77">
        <f>$AH588*tbl_Data[[#This Row],[2030 ]]</f>
        <v>190107.21178752556</v>
      </c>
      <c r="AO588" s="77">
        <f>$AH588*tbl_Data[[#This Row],[2031 ]]</f>
        <v>244201.17882062474</v>
      </c>
      <c r="AP588" s="77">
        <f>$AH588*tbl_Data[[#This Row],[2032 ]]</f>
        <v>287483.97731394105</v>
      </c>
      <c r="AQ588" s="77">
        <f>$AH588*tbl_Data[[#This Row],[2033 ]]</f>
        <v>328301.62738386809</v>
      </c>
      <c r="AR588" s="77">
        <f>$AH588*tbl_Data[[#This Row],[2034 ]]</f>
        <v>365162.62739804189</v>
      </c>
      <c r="AS588" s="77">
        <f>SUM(tbl_Data[[#This Row],[Adjusted 2025]:[Adjusted 2034]])</f>
        <v>1771832.9889387358</v>
      </c>
      <c r="AT588" s="80">
        <f>AVERAGEIFS('3. Incentive Adjustment'!F:F,'3. Incentive Adjustment'!A:A,tbl_Data[[#This Row],[Trimmed Sector]],'3. Incentive Adjustment'!B:B,tbl_Data[[#This Row],[Trimmed Measure Name]])</f>
        <v>0</v>
      </c>
      <c r="AU588" s="80">
        <f>IFERROR(VLOOKUP(tbl_Data[[#This Row],[All_Meas_Name_Append]],'IRA Tax Credits'!$A$3:$D$46,4,0),0)</f>
        <v>0</v>
      </c>
      <c r="AV588" s="81">
        <f>tbl_Data[[#This Row],[Adj. per unit Incentive ($)]]/tbl_Data[[#This Row],[kWh Savings]]*tbl_Data[[#This Row],[Sum of Annuals]]</f>
        <v>0</v>
      </c>
      <c r="AW588" s="81" t="str">
        <f>IFERROR(VLOOKUP(tbl_Data[[#This Row],[Column1]],'1. Set Program Names'!$B$2:$D$15,3,0)*tbl_Data[[#This Row],[Sum of Annuals]],"")</f>
        <v/>
      </c>
      <c r="AX588" s="81">
        <f>tbl_Data[[#This Row],[per unit IRA tax ($)]]/tbl_Data[[#This Row],[kWh Savings]]*tbl_Data[[#This Row],[Sum of Annuals]]</f>
        <v>0</v>
      </c>
      <c r="AY588" s="81">
        <f>tbl_Data[[#This Row],[Avoided Costs ($/unit)]]/tbl_Data[[#This Row],[kWh Savings]]*tbl_Data[[#This Row],[Sum of Annuals]]</f>
        <v>524076.69573788729</v>
      </c>
      <c r="AZ588" s="81">
        <f>tbl_Data[[#This Row],[Lost Revenue ($/unit)]]/tbl_Data[[#This Row],[kWh Savings]]*tbl_Data[[#This Row],[Sum of Annuals]]</f>
        <v>1104952.2897387082</v>
      </c>
      <c r="BA588" s="81">
        <f>tbl_Data[[#This Row],[Incremental Cost ($/unit)]]/tbl_Data[[#This Row],[kWh Savings]]*tbl_Data[[#This Row],[Sum of Annuals]]</f>
        <v>489927.89720068796</v>
      </c>
      <c r="BB588" s="77">
        <f>ROUNDUP(tbl_Data[[#This Row],[Adjusted 2025]]/$L588,0)</f>
        <v>19</v>
      </c>
      <c r="BC588" s="77">
        <f>ROUNDUP(tbl_Data[[#This Row],[Adjusted 2026]]/$L588,0)</f>
        <v>45</v>
      </c>
      <c r="BD588" s="77">
        <f>ROUNDUP(tbl_Data[[#This Row],[Adjusted 2027]]/$L588,0)</f>
        <v>80</v>
      </c>
      <c r="BE588" s="77">
        <f>ROUNDUP(tbl_Data[[#This Row],[Adjusted 2028]]/$L588,0)</f>
        <v>123</v>
      </c>
      <c r="BF588" s="77">
        <f>ROUNDUP(tbl_Data[[#This Row],[Adjusted 2029]]/$L588,0)</f>
        <v>175</v>
      </c>
      <c r="BG588" s="77">
        <f>ROUNDUP(tbl_Data[[#This Row],[Adjusted 2030]]/$L588,0)</f>
        <v>235</v>
      </c>
      <c r="BH588" s="77">
        <f>ROUNDUP(tbl_Data[[#This Row],[Adjusted 2031]]/$L588,0)</f>
        <v>302</v>
      </c>
      <c r="BI588" s="77">
        <f>ROUNDUP(tbl_Data[[#This Row],[Adjusted 2032]]/$L588,0)</f>
        <v>355</v>
      </c>
      <c r="BJ588" s="77">
        <f>ROUNDUP(tbl_Data[[#This Row],[Adjusted 2033]]/$L588,0)</f>
        <v>406</v>
      </c>
      <c r="BK588" s="77">
        <f>ROUNDUP(tbl_Data[[#This Row],[Adjusted 2034]]/$L588,0)</f>
        <v>451</v>
      </c>
      <c r="BL588" s="80">
        <f t="shared" si="232"/>
        <v>0</v>
      </c>
      <c r="BM588" s="80">
        <f t="shared" si="233"/>
        <v>0</v>
      </c>
      <c r="BN588" s="80">
        <f t="shared" si="234"/>
        <v>0</v>
      </c>
      <c r="BO588" s="80">
        <f t="shared" si="235"/>
        <v>0</v>
      </c>
      <c r="BP588" s="80">
        <f t="shared" si="236"/>
        <v>0</v>
      </c>
      <c r="BQ588" s="80">
        <f t="shared" si="237"/>
        <v>0</v>
      </c>
      <c r="BR588" s="80">
        <f t="shared" si="238"/>
        <v>0</v>
      </c>
      <c r="BS588" s="80">
        <f t="shared" si="239"/>
        <v>0</v>
      </c>
      <c r="BT588" s="80">
        <f t="shared" si="240"/>
        <v>0</v>
      </c>
      <c r="BU588" s="80">
        <f t="shared" si="241"/>
        <v>0</v>
      </c>
      <c r="BV588" s="80" t="str">
        <f>IFERROR(VLOOKUP($H588,'1. Set Program Names'!$B$2:$D$15,3,0)*V588,"NA")</f>
        <v>NA</v>
      </c>
      <c r="BW588" s="80" t="str">
        <f>IFERROR(VLOOKUP($H588,'1. Set Program Names'!$B$2:$D$15,3,0)*W588,"NA")</f>
        <v>NA</v>
      </c>
      <c r="BX588" s="80" t="str">
        <f>IFERROR(VLOOKUP($H588,'1. Set Program Names'!$B$2:$D$15,3,0)*X588,"NA")</f>
        <v>NA</v>
      </c>
      <c r="BY588" s="80" t="str">
        <f>IFERROR(VLOOKUP($H588,'1. Set Program Names'!$B$2:$D$15,3,0)*Y588,"NA")</f>
        <v>NA</v>
      </c>
      <c r="BZ588" s="80" t="str">
        <f>IFERROR(VLOOKUP($H588,'1. Set Program Names'!$B$2:$D$15,3,0)*Z588,"NA")</f>
        <v>NA</v>
      </c>
      <c r="CA588" s="80" t="str">
        <f>IFERROR(VLOOKUP($H588,'1. Set Program Names'!$B$2:$D$15,3,0)*AA588,"NA")</f>
        <v>NA</v>
      </c>
      <c r="CB588" s="80" t="str">
        <f>IFERROR(VLOOKUP($H588,'1. Set Program Names'!$B$2:$D$15,3,0)*AB588,"NA")</f>
        <v>NA</v>
      </c>
      <c r="CC588" s="80" t="str">
        <f>IFERROR(VLOOKUP($H588,'1. Set Program Names'!$B$2:$D$15,3,0)*AC588,"NA")</f>
        <v>NA</v>
      </c>
      <c r="CD588" s="80" t="str">
        <f>IFERROR(VLOOKUP($H588,'1. Set Program Names'!$B$2:$D$15,3,0)*AD588,"NA")</f>
        <v>NA</v>
      </c>
      <c r="CE588" s="80" t="str">
        <f>IFERROR(VLOOKUP($H588,'1. Set Program Names'!$B$2:$D$15,3,0)*AE588,"NA")</f>
        <v>NA</v>
      </c>
    </row>
    <row r="589" spans="1:83" x14ac:dyDescent="0.25">
      <c r="A589" s="79" t="s">
        <v>113</v>
      </c>
      <c r="B589" s="79" t="s">
        <v>88</v>
      </c>
      <c r="C589" s="79" t="s">
        <v>122</v>
      </c>
      <c r="D589" s="79" t="s">
        <v>90</v>
      </c>
      <c r="E589" s="79" t="s">
        <v>91</v>
      </c>
      <c r="F589" s="79" t="s">
        <v>90</v>
      </c>
      <c r="G589" s="79" t="s">
        <v>92</v>
      </c>
      <c r="H589" s="79" t="s">
        <v>268</v>
      </c>
      <c r="I589" s="79" t="s">
        <v>138</v>
      </c>
      <c r="J589" s="79" t="s">
        <v>124</v>
      </c>
      <c r="K589" s="79" t="s">
        <v>98</v>
      </c>
      <c r="L589" s="79">
        <v>4708.5</v>
      </c>
      <c r="M589" s="79">
        <v>0.683430781395169</v>
      </c>
      <c r="N589" s="79">
        <v>0.60632419999120102</v>
      </c>
      <c r="O589" s="79">
        <v>1154.6399999999901</v>
      </c>
      <c r="P589" s="79">
        <v>186.06881936911</v>
      </c>
      <c r="Q589" s="79">
        <v>4.7084999999999999</v>
      </c>
      <c r="R589" s="79">
        <v>1872.3805627056299</v>
      </c>
      <c r="S589" s="79">
        <v>4412.8842644638298</v>
      </c>
      <c r="T589" s="79">
        <v>12</v>
      </c>
      <c r="U589" s="79">
        <v>1</v>
      </c>
      <c r="V589" s="79">
        <f>tbl_Data_old[[#This Row],[2025 ]]*IFERROR(AVERAGEIFS('Participation Adjustment'!$C:$C,'Participation Adjustment'!$A:$A,$H589,'Participation Adjustment'!$B:$B,$I589),1)</f>
        <v>30060.2834097175</v>
      </c>
      <c r="W589" s="79">
        <f>tbl_Data_old[[#This Row],[2026 ]]*IFERROR(AVERAGEIFS('Participation Adjustment'!$C:$C,'Participation Adjustment'!$A:$A,$H589,'Participation Adjustment'!$B:$B,$I589),1)</f>
        <v>71643.456939306503</v>
      </c>
      <c r="X589" s="79">
        <f>tbl_Data_old[[#This Row],[2027 ]]*IFERROR(AVERAGEIFS('Participation Adjustment'!$C:$C,'Participation Adjustment'!$A:$A,$H589,'Participation Adjustment'!$B:$B,$I589),1)</f>
        <v>126178.801271066</v>
      </c>
      <c r="Y589" s="79">
        <f>tbl_Data_old[[#This Row],[2028 ]]*IFERROR(AVERAGEIFS('Participation Adjustment'!$C:$C,'Participation Adjustment'!$A:$A,$H589,'Participation Adjustment'!$B:$B,$I589),1)</f>
        <v>194552.75597795501</v>
      </c>
      <c r="Z589" s="79">
        <f>tbl_Data_old[[#This Row],[2029 ]]*IFERROR(AVERAGEIFS('Participation Adjustment'!$C:$C,'Participation Adjustment'!$A:$A,$H589,'Participation Adjustment'!$B:$B,$I589),1)</f>
        <v>276556.84820541699</v>
      </c>
      <c r="AA589" s="79">
        <f>tbl_Data_old[[#This Row],[2030 ]]*IFERROR(AVERAGEIFS('Participation Adjustment'!$C:$C,'Participation Adjustment'!$A:$A,$H589,'Participation Adjustment'!$B:$B,$I589),1)</f>
        <v>370831.05182138103</v>
      </c>
      <c r="AB589" s="79">
        <f>tbl_Data_old[[#This Row],[2031 ]]*IFERROR(AVERAGEIFS('Participation Adjustment'!$C:$C,'Participation Adjustment'!$A:$A,$H589,'Participation Adjustment'!$B:$B,$I589),1)</f>
        <v>475275.29012331401</v>
      </c>
      <c r="AC589" s="79">
        <f>tbl_Data_old[[#This Row],[2032 ]]*IFERROR(AVERAGEIFS('Participation Adjustment'!$C:$C,'Participation Adjustment'!$A:$A,$H589,'Participation Adjustment'!$B:$B,$I589),1)</f>
        <v>587790.92564610403</v>
      </c>
      <c r="AD589" s="79">
        <f>tbl_Data_old[[#This Row],[2033 ]]*IFERROR(AVERAGEIFS('Participation Adjustment'!$C:$C,'Participation Adjustment'!$A:$A,$H589,'Participation Adjustment'!$B:$B,$I589),1)</f>
        <v>706593.84756936296</v>
      </c>
      <c r="AE589" s="79">
        <f>tbl_Data_old[[#This Row],[2034 ]]*IFERROR(AVERAGEIFS('Participation Adjustment'!$C:$C,'Participation Adjustment'!$A:$A,$H589,'Participation Adjustment'!$B:$B,$I589),1)</f>
        <v>830176.36301248998</v>
      </c>
      <c r="AF589" s="77" t="str">
        <f t="shared" si="231"/>
        <v>NonResidential</v>
      </c>
      <c r="AG589" s="77" t="str">
        <f>tbl_Data[[#This Row],[All_Meas_Name_Append]]</f>
        <v>Energy Star Commercial Glass Door Freezer</v>
      </c>
      <c r="AH589" s="77">
        <f>AVERAGEIFS('3. Incentive Adjustment'!G:G,'3. Incentive Adjustment'!A:A,tbl_Data[[#This Row],[Trimmed Sector]],'3. Incentive Adjustment'!B:B,tbl_Data[[#This Row],[Trimmed Measure Name]])</f>
        <v>0.90098363397891501</v>
      </c>
      <c r="AI589" s="77">
        <f>$AH589*tbl_Data[[#This Row],[2025 ]]</f>
        <v>27083.823384923362</v>
      </c>
      <c r="AJ589" s="77">
        <f>$AH589*tbl_Data[[#This Row],[2026 ]]</f>
        <v>64549.582183988292</v>
      </c>
      <c r="AK589" s="77">
        <f>$AH589*tbl_Data[[#This Row],[2027 ]]</f>
        <v>113685.03490030838</v>
      </c>
      <c r="AL589" s="77">
        <f>$AH589*tbl_Data[[#This Row],[2028 ]]</f>
        <v>175288.84908163099</v>
      </c>
      <c r="AM589" s="77">
        <f>$AH589*tbl_Data[[#This Row],[2029 ]]</f>
        <v>249173.19409787178</v>
      </c>
      <c r="AN589" s="77">
        <f>$AH589*tbl_Data[[#This Row],[2030 ]]</f>
        <v>334112.70866225124</v>
      </c>
      <c r="AO589" s="77">
        <f>$AH589*tbl_Data[[#This Row],[2031 ]]</f>
        <v>428215.25803568657</v>
      </c>
      <c r="AP589" s="77">
        <f>$AH589*tbl_Data[[#This Row],[2032 ]]</f>
        <v>529590.00420845707</v>
      </c>
      <c r="AQ589" s="77">
        <f>$AH589*tbl_Data[[#This Row],[2033 ]]</f>
        <v>636629.49253018817</v>
      </c>
      <c r="AR589" s="77">
        <f>$AH589*tbl_Data[[#This Row],[2034 ]]</f>
        <v>747975.31639039214</v>
      </c>
      <c r="AS589" s="77">
        <f>SUM(tbl_Data[[#This Row],[Adjusted 2025]:[Adjusted 2034]])</f>
        <v>3306303.2634756975</v>
      </c>
      <c r="AT589" s="80">
        <f>AVERAGEIFS('3. Incentive Adjustment'!F:F,'3. Incentive Adjustment'!A:A,tbl_Data[[#This Row],[Trimmed Sector]],'3. Incentive Adjustment'!B:B,tbl_Data[[#This Row],[Trimmed Measure Name]])</f>
        <v>0</v>
      </c>
      <c r="AU589" s="80">
        <f>IFERROR(VLOOKUP(tbl_Data[[#This Row],[All_Meas_Name_Append]],'IRA Tax Credits'!$A$3:$D$46,4,0),0)</f>
        <v>0</v>
      </c>
      <c r="AV589" s="81">
        <f>tbl_Data[[#This Row],[Adj. per unit Incentive ($)]]/tbl_Data[[#This Row],[kWh Savings]]*tbl_Data[[#This Row],[Sum of Annuals]]</f>
        <v>0</v>
      </c>
      <c r="AW589" s="81" t="str">
        <f>IFERROR(VLOOKUP(tbl_Data[[#This Row],[Column1]],'1. Set Program Names'!$B$2:$D$15,3,0)*tbl_Data[[#This Row],[Sum of Annuals]],"")</f>
        <v/>
      </c>
      <c r="AX589" s="81">
        <f>tbl_Data[[#This Row],[per unit IRA tax ($)]]/tbl_Data[[#This Row],[kWh Savings]]*tbl_Data[[#This Row],[Sum of Annuals]]</f>
        <v>0</v>
      </c>
      <c r="AY589" s="81">
        <f>tbl_Data[[#This Row],[Avoided Costs ($/unit)]]/tbl_Data[[#This Row],[kWh Savings]]*tbl_Data[[#This Row],[Sum of Annuals]]</f>
        <v>1314783.4692454257</v>
      </c>
      <c r="AZ589" s="81">
        <f>tbl_Data[[#This Row],[Lost Revenue ($/unit)]]/tbl_Data[[#This Row],[kWh Savings]]*tbl_Data[[#This Row],[Sum of Annuals]]</f>
        <v>3098722.2353057903</v>
      </c>
      <c r="BA589" s="81">
        <f>tbl_Data[[#This Row],[Incremental Cost ($/unit)]]/tbl_Data[[#This Row],[kWh Savings]]*tbl_Data[[#This Row],[Sum of Annuals]]</f>
        <v>810786.87483052921</v>
      </c>
      <c r="BB589" s="77">
        <f>ROUNDUP(tbl_Data[[#This Row],[Adjusted 2025]]/$L589,0)</f>
        <v>6</v>
      </c>
      <c r="BC589" s="77">
        <f>ROUNDUP(tbl_Data[[#This Row],[Adjusted 2026]]/$L589,0)</f>
        <v>14</v>
      </c>
      <c r="BD589" s="77">
        <f>ROUNDUP(tbl_Data[[#This Row],[Adjusted 2027]]/$L589,0)</f>
        <v>25</v>
      </c>
      <c r="BE589" s="77">
        <f>ROUNDUP(tbl_Data[[#This Row],[Adjusted 2028]]/$L589,0)</f>
        <v>38</v>
      </c>
      <c r="BF589" s="77">
        <f>ROUNDUP(tbl_Data[[#This Row],[Adjusted 2029]]/$L589,0)</f>
        <v>53</v>
      </c>
      <c r="BG589" s="77">
        <f>ROUNDUP(tbl_Data[[#This Row],[Adjusted 2030]]/$L589,0)</f>
        <v>71</v>
      </c>
      <c r="BH589" s="77">
        <f>ROUNDUP(tbl_Data[[#This Row],[Adjusted 2031]]/$L589,0)</f>
        <v>91</v>
      </c>
      <c r="BI589" s="77">
        <f>ROUNDUP(tbl_Data[[#This Row],[Adjusted 2032]]/$L589,0)</f>
        <v>113</v>
      </c>
      <c r="BJ589" s="77">
        <f>ROUNDUP(tbl_Data[[#This Row],[Adjusted 2033]]/$L589,0)</f>
        <v>136</v>
      </c>
      <c r="BK589" s="77">
        <f>ROUNDUP(tbl_Data[[#This Row],[Adjusted 2034]]/$L589,0)</f>
        <v>159</v>
      </c>
      <c r="BL589" s="80">
        <f t="shared" si="232"/>
        <v>0</v>
      </c>
      <c r="BM589" s="80">
        <f t="shared" si="233"/>
        <v>0</v>
      </c>
      <c r="BN589" s="80">
        <f t="shared" si="234"/>
        <v>0</v>
      </c>
      <c r="BO589" s="80">
        <f t="shared" si="235"/>
        <v>0</v>
      </c>
      <c r="BP589" s="80">
        <f t="shared" si="236"/>
        <v>0</v>
      </c>
      <c r="BQ589" s="80">
        <f t="shared" si="237"/>
        <v>0</v>
      </c>
      <c r="BR589" s="80">
        <f t="shared" si="238"/>
        <v>0</v>
      </c>
      <c r="BS589" s="80">
        <f t="shared" si="239"/>
        <v>0</v>
      </c>
      <c r="BT589" s="80">
        <f t="shared" si="240"/>
        <v>0</v>
      </c>
      <c r="BU589" s="80">
        <f t="shared" si="241"/>
        <v>0</v>
      </c>
      <c r="BV589" s="80" t="str">
        <f>IFERROR(VLOOKUP($H589,'1. Set Program Names'!$B$2:$D$15,3,0)*V589,"NA")</f>
        <v>NA</v>
      </c>
      <c r="BW589" s="80" t="str">
        <f>IFERROR(VLOOKUP($H589,'1. Set Program Names'!$B$2:$D$15,3,0)*W589,"NA")</f>
        <v>NA</v>
      </c>
      <c r="BX589" s="80" t="str">
        <f>IFERROR(VLOOKUP($H589,'1. Set Program Names'!$B$2:$D$15,3,0)*X589,"NA")</f>
        <v>NA</v>
      </c>
      <c r="BY589" s="80" t="str">
        <f>IFERROR(VLOOKUP($H589,'1. Set Program Names'!$B$2:$D$15,3,0)*Y589,"NA")</f>
        <v>NA</v>
      </c>
      <c r="BZ589" s="80" t="str">
        <f>IFERROR(VLOOKUP($H589,'1. Set Program Names'!$B$2:$D$15,3,0)*Z589,"NA")</f>
        <v>NA</v>
      </c>
      <c r="CA589" s="80" t="str">
        <f>IFERROR(VLOOKUP($H589,'1. Set Program Names'!$B$2:$D$15,3,0)*AA589,"NA")</f>
        <v>NA</v>
      </c>
      <c r="CB589" s="80" t="str">
        <f>IFERROR(VLOOKUP($H589,'1. Set Program Names'!$B$2:$D$15,3,0)*AB589,"NA")</f>
        <v>NA</v>
      </c>
      <c r="CC589" s="80" t="str">
        <f>IFERROR(VLOOKUP($H589,'1. Set Program Names'!$B$2:$D$15,3,0)*AC589,"NA")</f>
        <v>NA</v>
      </c>
      <c r="CD589" s="80" t="str">
        <f>IFERROR(VLOOKUP($H589,'1. Set Program Names'!$B$2:$D$15,3,0)*AD589,"NA")</f>
        <v>NA</v>
      </c>
      <c r="CE589" s="80" t="str">
        <f>IFERROR(VLOOKUP($H589,'1. Set Program Names'!$B$2:$D$15,3,0)*AE589,"NA")</f>
        <v>NA</v>
      </c>
    </row>
    <row r="590" spans="1:83" x14ac:dyDescent="0.25">
      <c r="A590" s="79" t="s">
        <v>113</v>
      </c>
      <c r="B590" s="79" t="s">
        <v>88</v>
      </c>
      <c r="C590" s="79" t="s">
        <v>122</v>
      </c>
      <c r="D590" s="79" t="s">
        <v>90</v>
      </c>
      <c r="E590" s="79" t="s">
        <v>91</v>
      </c>
      <c r="F590" s="79" t="s">
        <v>90</v>
      </c>
      <c r="G590" s="79" t="s">
        <v>92</v>
      </c>
      <c r="H590" s="79" t="s">
        <v>268</v>
      </c>
      <c r="I590" s="79" t="s">
        <v>139</v>
      </c>
      <c r="J590" s="79" t="s">
        <v>134</v>
      </c>
      <c r="K590" s="79" t="s">
        <v>98</v>
      </c>
      <c r="L590" s="79">
        <v>1937</v>
      </c>
      <c r="M590" s="79">
        <v>0.24908899441118301</v>
      </c>
      <c r="N590" s="79">
        <v>0.21233623172368499</v>
      </c>
      <c r="O590" s="79">
        <v>631.37</v>
      </c>
      <c r="P590" s="79">
        <v>232.91563515301399</v>
      </c>
      <c r="Q590" s="79">
        <v>1.9370000000000001</v>
      </c>
      <c r="R590" s="79">
        <v>770.86000119756204</v>
      </c>
      <c r="S590" s="79">
        <v>2270.0548686653701</v>
      </c>
      <c r="T590" s="79">
        <v>17</v>
      </c>
      <c r="U590" s="79">
        <v>1</v>
      </c>
      <c r="V590" s="79">
        <f>tbl_Data_old[[#This Row],[2025 ]]*IFERROR(AVERAGEIFS('Participation Adjustment'!$C:$C,'Participation Adjustment'!$A:$A,$H590,'Participation Adjustment'!$B:$B,$I590),1)</f>
        <v>7975.3880942761598</v>
      </c>
      <c r="W590" s="79">
        <f>tbl_Data_old[[#This Row],[2026 ]]*IFERROR(AVERAGEIFS('Participation Adjustment'!$C:$C,'Participation Adjustment'!$A:$A,$H590,'Participation Adjustment'!$B:$B,$I590),1)</f>
        <v>18834.193955487899</v>
      </c>
      <c r="X590" s="79">
        <f>tbl_Data_old[[#This Row],[2027 ]]*IFERROR(AVERAGEIFS('Participation Adjustment'!$C:$C,'Participation Adjustment'!$A:$A,$H590,'Participation Adjustment'!$B:$B,$I590),1)</f>
        <v>32831.366839049602</v>
      </c>
      <c r="Y590" s="79">
        <f>tbl_Data_old[[#This Row],[2028 ]]*IFERROR(AVERAGEIFS('Participation Adjustment'!$C:$C,'Participation Adjustment'!$A:$A,$H590,'Participation Adjustment'!$B:$B,$I590),1)</f>
        <v>50069.192594136701</v>
      </c>
      <c r="Z590" s="79">
        <f>tbl_Data_old[[#This Row],[2029 ]]*IFERROR(AVERAGEIFS('Participation Adjustment'!$C:$C,'Participation Adjustment'!$A:$A,$H590,'Participation Adjustment'!$B:$B,$I590),1)</f>
        <v>70382.6333235614</v>
      </c>
      <c r="AA590" s="79">
        <f>tbl_Data_old[[#This Row],[2030 ]]*IFERROR(AVERAGEIFS('Participation Adjustment'!$C:$C,'Participation Adjustment'!$A:$A,$H590,'Participation Adjustment'!$B:$B,$I590),1)</f>
        <v>93352.370024653195</v>
      </c>
      <c r="AB590" s="79">
        <f>tbl_Data_old[[#This Row],[2031 ]]*IFERROR(AVERAGEIFS('Participation Adjustment'!$C:$C,'Participation Adjustment'!$A:$A,$H590,'Participation Adjustment'!$B:$B,$I590),1)</f>
        <v>118425.872149717</v>
      </c>
      <c r="AC590" s="79">
        <f>tbl_Data_old[[#This Row],[2032 ]]*IFERROR(AVERAGEIFS('Participation Adjustment'!$C:$C,'Participation Adjustment'!$A:$A,$H590,'Participation Adjustment'!$B:$B,$I590),1)</f>
        <v>145090.36139066299</v>
      </c>
      <c r="AD590" s="79">
        <f>tbl_Data_old[[#This Row],[2033 ]]*IFERROR(AVERAGEIFS('Participation Adjustment'!$C:$C,'Participation Adjustment'!$A:$A,$H590,'Participation Adjustment'!$B:$B,$I590),1)</f>
        <v>172928.28393160499</v>
      </c>
      <c r="AE590" s="79">
        <f>tbl_Data_old[[#This Row],[2034 ]]*IFERROR(AVERAGEIFS('Participation Adjustment'!$C:$C,'Participation Adjustment'!$A:$A,$H590,'Participation Adjustment'!$B:$B,$I590),1)</f>
        <v>201599.17828571601</v>
      </c>
      <c r="AF590" s="77" t="str">
        <f t="shared" si="231"/>
        <v>NonResidential</v>
      </c>
      <c r="AG590" s="77" t="str">
        <f>tbl_Data[[#This Row],[All_Meas_Name_Append]]</f>
        <v>Energy Star convection oven</v>
      </c>
      <c r="AH590" s="77">
        <f>AVERAGEIFS('3. Incentive Adjustment'!G:G,'3. Incentive Adjustment'!A:A,tbl_Data[[#This Row],[Trimmed Sector]],'3. Incentive Adjustment'!B:B,tbl_Data[[#This Row],[Trimmed Measure Name]])</f>
        <v>0.72813370493976592</v>
      </c>
      <c r="AI590" s="77">
        <f>$AH590*tbl_Data[[#This Row],[2025 ]]</f>
        <v>5807.1488814177992</v>
      </c>
      <c r="AJ590" s="77">
        <f>$AH590*tbl_Data[[#This Row],[2026 ]]</f>
        <v>13713.811424363548</v>
      </c>
      <c r="AK590" s="77">
        <f>$AH590*tbl_Data[[#This Row],[2027 ]]</f>
        <v>23905.62477475376</v>
      </c>
      <c r="AL590" s="77">
        <f>$AH590*tbl_Data[[#This Row],[2028 ]]</f>
        <v>36457.066706911442</v>
      </c>
      <c r="AM590" s="77">
        <f>$AH590*tbl_Data[[#This Row],[2029 ]]</f>
        <v>51247.967565301791</v>
      </c>
      <c r="AN590" s="77">
        <f>$AH590*tbl_Data[[#This Row],[2030 ]]</f>
        <v>67973.00705095868</v>
      </c>
      <c r="AO590" s="77">
        <f>$AH590*tbl_Data[[#This Row],[2031 ]]</f>
        <v>86229.86904909648</v>
      </c>
      <c r="AP590" s="77">
        <f>$AH590*tbl_Data[[#This Row],[2032 ]]</f>
        <v>105645.18239043301</v>
      </c>
      <c r="AQ590" s="77">
        <f>$AH590*tbl_Data[[#This Row],[2033 ]]</f>
        <v>125914.91206799533</v>
      </c>
      <c r="AR590" s="77">
        <f>$AH590*tbl_Data[[#This Row],[2034 ]]</f>
        <v>146791.1565979908</v>
      </c>
      <c r="AS590" s="77">
        <f>SUM(tbl_Data[[#This Row],[Adjusted 2025]:[Adjusted 2034]])</f>
        <v>663685.74650922266</v>
      </c>
      <c r="AT590" s="80">
        <f>AVERAGEIFS('3. Incentive Adjustment'!F:F,'3. Incentive Adjustment'!A:A,tbl_Data[[#This Row],[Trimmed Sector]],'3. Incentive Adjustment'!B:B,tbl_Data[[#This Row],[Trimmed Measure Name]])</f>
        <v>0</v>
      </c>
      <c r="AU590" s="80">
        <f>IFERROR(VLOOKUP(tbl_Data[[#This Row],[All_Meas_Name_Append]],'IRA Tax Credits'!$A$3:$D$46,4,0),0)</f>
        <v>0</v>
      </c>
      <c r="AV590" s="81">
        <f>tbl_Data[[#This Row],[Adj. per unit Incentive ($)]]/tbl_Data[[#This Row],[kWh Savings]]*tbl_Data[[#This Row],[Sum of Annuals]]</f>
        <v>0</v>
      </c>
      <c r="AW590" s="81" t="str">
        <f>IFERROR(VLOOKUP(tbl_Data[[#This Row],[Column1]],'1. Set Program Names'!$B$2:$D$15,3,0)*tbl_Data[[#This Row],[Sum of Annuals]],"")</f>
        <v/>
      </c>
      <c r="AX590" s="81">
        <f>tbl_Data[[#This Row],[per unit IRA tax ($)]]/tbl_Data[[#This Row],[kWh Savings]]*tbl_Data[[#This Row],[Sum of Annuals]]</f>
        <v>0</v>
      </c>
      <c r="AY590" s="81">
        <f>tbl_Data[[#This Row],[Avoided Costs ($/unit)]]/tbl_Data[[#This Row],[kWh Savings]]*tbl_Data[[#This Row],[Sum of Annuals]]</f>
        <v>264124.31355131866</v>
      </c>
      <c r="AZ590" s="81">
        <f>tbl_Data[[#This Row],[Lost Revenue ($/unit)]]/tbl_Data[[#This Row],[kWh Savings]]*tbl_Data[[#This Row],[Sum of Annuals]]</f>
        <v>777802.30259528733</v>
      </c>
      <c r="BA590" s="81">
        <f>tbl_Data[[#This Row],[Incremental Cost ($/unit)]]/tbl_Data[[#This Row],[kWh Savings]]*tbl_Data[[#This Row],[Sum of Annuals]]</f>
        <v>216330.03085881667</v>
      </c>
      <c r="BB590" s="77">
        <f>ROUNDUP(tbl_Data[[#This Row],[Adjusted 2025]]/$L590,0)</f>
        <v>3</v>
      </c>
      <c r="BC590" s="77">
        <f>ROUNDUP(tbl_Data[[#This Row],[Adjusted 2026]]/$L590,0)</f>
        <v>8</v>
      </c>
      <c r="BD590" s="77">
        <f>ROUNDUP(tbl_Data[[#This Row],[Adjusted 2027]]/$L590,0)</f>
        <v>13</v>
      </c>
      <c r="BE590" s="77">
        <f>ROUNDUP(tbl_Data[[#This Row],[Adjusted 2028]]/$L590,0)</f>
        <v>19</v>
      </c>
      <c r="BF590" s="77">
        <f>ROUNDUP(tbl_Data[[#This Row],[Adjusted 2029]]/$L590,0)</f>
        <v>27</v>
      </c>
      <c r="BG590" s="77">
        <f>ROUNDUP(tbl_Data[[#This Row],[Adjusted 2030]]/$L590,0)</f>
        <v>36</v>
      </c>
      <c r="BH590" s="77">
        <f>ROUNDUP(tbl_Data[[#This Row],[Adjusted 2031]]/$L590,0)</f>
        <v>45</v>
      </c>
      <c r="BI590" s="77">
        <f>ROUNDUP(tbl_Data[[#This Row],[Adjusted 2032]]/$L590,0)</f>
        <v>55</v>
      </c>
      <c r="BJ590" s="77">
        <f>ROUNDUP(tbl_Data[[#This Row],[Adjusted 2033]]/$L590,0)</f>
        <v>66</v>
      </c>
      <c r="BK590" s="77">
        <f>ROUNDUP(tbl_Data[[#This Row],[Adjusted 2034]]/$L590,0)</f>
        <v>76</v>
      </c>
      <c r="BL590" s="80">
        <f t="shared" si="232"/>
        <v>0</v>
      </c>
      <c r="BM590" s="80">
        <f t="shared" si="233"/>
        <v>0</v>
      </c>
      <c r="BN590" s="80">
        <f t="shared" si="234"/>
        <v>0</v>
      </c>
      <c r="BO590" s="80">
        <f t="shared" si="235"/>
        <v>0</v>
      </c>
      <c r="BP590" s="80">
        <f t="shared" si="236"/>
        <v>0</v>
      </c>
      <c r="BQ590" s="80">
        <f t="shared" si="237"/>
        <v>0</v>
      </c>
      <c r="BR590" s="80">
        <f t="shared" si="238"/>
        <v>0</v>
      </c>
      <c r="BS590" s="80">
        <f t="shared" si="239"/>
        <v>0</v>
      </c>
      <c r="BT590" s="80">
        <f t="shared" si="240"/>
        <v>0</v>
      </c>
      <c r="BU590" s="80">
        <f t="shared" si="241"/>
        <v>0</v>
      </c>
      <c r="BV590" s="80" t="str">
        <f>IFERROR(VLOOKUP($H590,'1. Set Program Names'!$B$2:$D$15,3,0)*V590,"NA")</f>
        <v>NA</v>
      </c>
      <c r="BW590" s="80" t="str">
        <f>IFERROR(VLOOKUP($H590,'1. Set Program Names'!$B$2:$D$15,3,0)*W590,"NA")</f>
        <v>NA</v>
      </c>
      <c r="BX590" s="80" t="str">
        <f>IFERROR(VLOOKUP($H590,'1. Set Program Names'!$B$2:$D$15,3,0)*X590,"NA")</f>
        <v>NA</v>
      </c>
      <c r="BY590" s="80" t="str">
        <f>IFERROR(VLOOKUP($H590,'1. Set Program Names'!$B$2:$D$15,3,0)*Y590,"NA")</f>
        <v>NA</v>
      </c>
      <c r="BZ590" s="80" t="str">
        <f>IFERROR(VLOOKUP($H590,'1. Set Program Names'!$B$2:$D$15,3,0)*Z590,"NA")</f>
        <v>NA</v>
      </c>
      <c r="CA590" s="80" t="str">
        <f>IFERROR(VLOOKUP($H590,'1. Set Program Names'!$B$2:$D$15,3,0)*AA590,"NA")</f>
        <v>NA</v>
      </c>
      <c r="CB590" s="80" t="str">
        <f>IFERROR(VLOOKUP($H590,'1. Set Program Names'!$B$2:$D$15,3,0)*AB590,"NA")</f>
        <v>NA</v>
      </c>
      <c r="CC590" s="80" t="str">
        <f>IFERROR(VLOOKUP($H590,'1. Set Program Names'!$B$2:$D$15,3,0)*AC590,"NA")</f>
        <v>NA</v>
      </c>
      <c r="CD590" s="80" t="str">
        <f>IFERROR(VLOOKUP($H590,'1. Set Program Names'!$B$2:$D$15,3,0)*AD590,"NA")</f>
        <v>NA</v>
      </c>
      <c r="CE590" s="80" t="str">
        <f>IFERROR(VLOOKUP($H590,'1. Set Program Names'!$B$2:$D$15,3,0)*AE590,"NA")</f>
        <v>NA</v>
      </c>
    </row>
    <row r="591" spans="1:83" x14ac:dyDescent="0.25">
      <c r="A591" s="79" t="s">
        <v>113</v>
      </c>
      <c r="B591" s="79" t="s">
        <v>88</v>
      </c>
      <c r="C591" s="79" t="s">
        <v>122</v>
      </c>
      <c r="D591" s="79" t="s">
        <v>90</v>
      </c>
      <c r="E591" s="79" t="s">
        <v>91</v>
      </c>
      <c r="F591" s="79" t="s">
        <v>90</v>
      </c>
      <c r="G591" s="79" t="s">
        <v>92</v>
      </c>
      <c r="H591" s="79" t="s">
        <v>268</v>
      </c>
      <c r="I591" s="79" t="s">
        <v>140</v>
      </c>
      <c r="J591" s="79" t="s">
        <v>129</v>
      </c>
      <c r="K591" s="79" t="s">
        <v>98</v>
      </c>
      <c r="L591" s="79">
        <v>145.64999999999901</v>
      </c>
      <c r="M591" s="79">
        <v>4.8385631271840701E-2</v>
      </c>
      <c r="N591" s="79">
        <v>0</v>
      </c>
      <c r="O591" s="79">
        <v>41.15</v>
      </c>
      <c r="P591" s="79">
        <v>12.5942011456304</v>
      </c>
      <c r="Q591" s="79">
        <v>0.145649999999999</v>
      </c>
      <c r="R591" s="79">
        <v>71.795310497711</v>
      </c>
      <c r="S591" s="79">
        <v>136.505594800712</v>
      </c>
      <c r="T591" s="79">
        <v>12</v>
      </c>
      <c r="U591" s="79">
        <v>1</v>
      </c>
      <c r="V591" s="79">
        <f>tbl_Data_old[[#This Row],[2025 ]]*IFERROR(AVERAGEIFS('Participation Adjustment'!$C:$C,'Participation Adjustment'!$A:$A,$H591,'Participation Adjustment'!$B:$B,$I591),1)</f>
        <v>203178.85319350901</v>
      </c>
      <c r="W591" s="79">
        <f>tbl_Data_old[[#This Row],[2026 ]]*IFERROR(AVERAGEIFS('Participation Adjustment'!$C:$C,'Participation Adjustment'!$A:$A,$H591,'Participation Adjustment'!$B:$B,$I591),1)</f>
        <v>422391.82554305898</v>
      </c>
      <c r="X591" s="79">
        <f>tbl_Data_old[[#This Row],[2027 ]]*IFERROR(AVERAGEIFS('Participation Adjustment'!$C:$C,'Participation Adjustment'!$A:$A,$H591,'Participation Adjustment'!$B:$B,$I591),1)</f>
        <v>654373.69546326599</v>
      </c>
      <c r="Y591" s="79">
        <f>tbl_Data_old[[#This Row],[2028 ]]*IFERROR(AVERAGEIFS('Participation Adjustment'!$C:$C,'Participation Adjustment'!$A:$A,$H591,'Participation Adjustment'!$B:$B,$I591),1)</f>
        <v>897506.11824653996</v>
      </c>
      <c r="Z591" s="79">
        <f>tbl_Data_old[[#This Row],[2029 ]]*IFERROR(AVERAGEIFS('Participation Adjustment'!$C:$C,'Participation Adjustment'!$A:$A,$H591,'Participation Adjustment'!$B:$B,$I591),1)</f>
        <v>1150321.8728555499</v>
      </c>
      <c r="AA591" s="79">
        <f>tbl_Data_old[[#This Row],[2030 ]]*IFERROR(AVERAGEIFS('Participation Adjustment'!$C:$C,'Participation Adjustment'!$A:$A,$H591,'Participation Adjustment'!$B:$B,$I591),1)</f>
        <v>1411415.36953597</v>
      </c>
      <c r="AB591" s="79">
        <f>tbl_Data_old[[#This Row],[2031 ]]*IFERROR(AVERAGEIFS('Participation Adjustment'!$C:$C,'Participation Adjustment'!$A:$A,$H591,'Participation Adjustment'!$B:$B,$I591),1)</f>
        <v>1679718.17967462</v>
      </c>
      <c r="AC591" s="79">
        <f>tbl_Data_old[[#This Row],[2032 ]]*IFERROR(AVERAGEIFS('Participation Adjustment'!$C:$C,'Participation Adjustment'!$A:$A,$H591,'Participation Adjustment'!$B:$B,$I591),1)</f>
        <v>1954938.7845282699</v>
      </c>
      <c r="AD591" s="79">
        <f>tbl_Data_old[[#This Row],[2033 ]]*IFERROR(AVERAGEIFS('Participation Adjustment'!$C:$C,'Participation Adjustment'!$A:$A,$H591,'Participation Adjustment'!$B:$B,$I591),1)</f>
        <v>2237094.6354068001</v>
      </c>
      <c r="AE591" s="79">
        <f>tbl_Data_old[[#This Row],[2034 ]]*IFERROR(AVERAGEIFS('Participation Adjustment'!$C:$C,'Participation Adjustment'!$A:$A,$H591,'Participation Adjustment'!$B:$B,$I591),1)</f>
        <v>2525939.8189336299</v>
      </c>
      <c r="AF591" s="77" t="str">
        <f t="shared" si="231"/>
        <v>NonResidential</v>
      </c>
      <c r="AG591" s="77" t="str">
        <f>tbl_Data[[#This Row],[All_Meas_Name_Append]]</f>
        <v>Energy Star room AC_137</v>
      </c>
      <c r="AH591" s="77">
        <f>AVERAGEIFS('3. Incentive Adjustment'!G:G,'3. Incentive Adjustment'!A:A,tbl_Data[[#This Row],[Trimmed Sector]],'3. Incentive Adjustment'!B:B,tbl_Data[[#This Row],[Trimmed Measure Name]])</f>
        <v>0.79600466062818009</v>
      </c>
      <c r="AI591" s="77">
        <f>$AH591*tbl_Data[[#This Row],[2025 ]]</f>
        <v>161731.31408312198</v>
      </c>
      <c r="AJ591" s="77">
        <f>$AH591*tbl_Data[[#This Row],[2026 ]]</f>
        <v>336225.86174352013</v>
      </c>
      <c r="AK591" s="77">
        <f>$AH591*tbl_Data[[#This Row],[2027 ]]</f>
        <v>520884.5113812451</v>
      </c>
      <c r="AL591" s="77">
        <f>$AH591*tbl_Data[[#This Row],[2028 ]]</f>
        <v>714419.05306655227</v>
      </c>
      <c r="AM591" s="77">
        <f>$AH591*tbl_Data[[#This Row],[2029 ]]</f>
        <v>915661.57201555453</v>
      </c>
      <c r="AN591" s="77">
        <f>$AH591*tbl_Data[[#This Row],[2030 ]]</f>
        <v>1123493.2122328773</v>
      </c>
      <c r="AO591" s="77">
        <f>$AH591*tbl_Data[[#This Row],[2031 ]]</f>
        <v>1337063.4995628803</v>
      </c>
      <c r="AP591" s="77">
        <f>$AH591*tbl_Data[[#This Row],[2032 ]]</f>
        <v>1556140.3837272923</v>
      </c>
      <c r="AQ591" s="77">
        <f>$AH591*tbl_Data[[#This Row],[2033 ]]</f>
        <v>1780737.7560501122</v>
      </c>
      <c r="AR591" s="77">
        <f>$AH591*tbl_Data[[#This Row],[2034 ]]</f>
        <v>2010659.8683374708</v>
      </c>
      <c r="AS591" s="77">
        <f>SUM(tbl_Data[[#This Row],[Adjusted 2025]:[Adjusted 2034]])</f>
        <v>10457017.032200627</v>
      </c>
      <c r="AT591" s="80">
        <f>AVERAGEIFS('3. Incentive Adjustment'!F:F,'3. Incentive Adjustment'!A:A,tbl_Data[[#This Row],[Trimmed Sector]],'3. Incentive Adjustment'!B:B,tbl_Data[[#This Row],[Trimmed Measure Name]])</f>
        <v>0</v>
      </c>
      <c r="AU591" s="80">
        <f>IFERROR(VLOOKUP(tbl_Data[[#This Row],[All_Meas_Name_Append]],'IRA Tax Credits'!$A$3:$D$46,4,0),0)</f>
        <v>0</v>
      </c>
      <c r="AV591" s="81">
        <f>tbl_Data[[#This Row],[Adj. per unit Incentive ($)]]/tbl_Data[[#This Row],[kWh Savings]]*tbl_Data[[#This Row],[Sum of Annuals]]</f>
        <v>0</v>
      </c>
      <c r="AW591" s="81" t="str">
        <f>IFERROR(VLOOKUP(tbl_Data[[#This Row],[Column1]],'1. Set Program Names'!$B$2:$D$15,3,0)*tbl_Data[[#This Row],[Sum of Annuals]],"")</f>
        <v/>
      </c>
      <c r="AX591" s="81">
        <f>tbl_Data[[#This Row],[per unit IRA tax ($)]]/tbl_Data[[#This Row],[kWh Savings]]*tbl_Data[[#This Row],[Sum of Annuals]]</f>
        <v>0</v>
      </c>
      <c r="AY591" s="81">
        <f>tbl_Data[[#This Row],[Avoided Costs ($/unit)]]/tbl_Data[[#This Row],[kWh Savings]]*tbl_Data[[#This Row],[Sum of Annuals]]</f>
        <v>5154581.4260672946</v>
      </c>
      <c r="AZ591" s="81">
        <f>tbl_Data[[#This Row],[Lost Revenue ($/unit)]]/tbl_Data[[#This Row],[kWh Savings]]*tbl_Data[[#This Row],[Sum of Annuals]]</f>
        <v>9800489.7344437521</v>
      </c>
      <c r="BA591" s="81">
        <f>tbl_Data[[#This Row],[Incremental Cost ($/unit)]]/tbl_Data[[#This Row],[kWh Savings]]*tbl_Data[[#This Row],[Sum of Annuals]]</f>
        <v>2954385.5192245706</v>
      </c>
      <c r="BB591" s="77">
        <f>ROUNDUP(tbl_Data[[#This Row],[Adjusted 2025]]/$L591,0)</f>
        <v>1111</v>
      </c>
      <c r="BC591" s="77">
        <f>ROUNDUP(tbl_Data[[#This Row],[Adjusted 2026]]/$L591,0)</f>
        <v>2309</v>
      </c>
      <c r="BD591" s="77">
        <f>ROUNDUP(tbl_Data[[#This Row],[Adjusted 2027]]/$L591,0)</f>
        <v>3577</v>
      </c>
      <c r="BE591" s="77">
        <f>ROUNDUP(tbl_Data[[#This Row],[Adjusted 2028]]/$L591,0)</f>
        <v>4906</v>
      </c>
      <c r="BF591" s="77">
        <f>ROUNDUP(tbl_Data[[#This Row],[Adjusted 2029]]/$L591,0)</f>
        <v>6287</v>
      </c>
      <c r="BG591" s="77">
        <f>ROUNDUP(tbl_Data[[#This Row],[Adjusted 2030]]/$L591,0)</f>
        <v>7714</v>
      </c>
      <c r="BH591" s="77">
        <f>ROUNDUP(tbl_Data[[#This Row],[Adjusted 2031]]/$L591,0)</f>
        <v>9180</v>
      </c>
      <c r="BI591" s="77">
        <f>ROUNDUP(tbl_Data[[#This Row],[Adjusted 2032]]/$L591,0)</f>
        <v>10685</v>
      </c>
      <c r="BJ591" s="77">
        <f>ROUNDUP(tbl_Data[[#This Row],[Adjusted 2033]]/$L591,0)</f>
        <v>12227</v>
      </c>
      <c r="BK591" s="77">
        <f>ROUNDUP(tbl_Data[[#This Row],[Adjusted 2034]]/$L591,0)</f>
        <v>13805</v>
      </c>
      <c r="BL591" s="80">
        <f t="shared" si="232"/>
        <v>0</v>
      </c>
      <c r="BM591" s="80">
        <f t="shared" si="233"/>
        <v>0</v>
      </c>
      <c r="BN591" s="80">
        <f t="shared" si="234"/>
        <v>0</v>
      </c>
      <c r="BO591" s="80">
        <f t="shared" si="235"/>
        <v>0</v>
      </c>
      <c r="BP591" s="80">
        <f t="shared" si="236"/>
        <v>0</v>
      </c>
      <c r="BQ591" s="80">
        <f t="shared" si="237"/>
        <v>0</v>
      </c>
      <c r="BR591" s="80">
        <f t="shared" si="238"/>
        <v>0</v>
      </c>
      <c r="BS591" s="80">
        <f t="shared" si="239"/>
        <v>0</v>
      </c>
      <c r="BT591" s="80">
        <f t="shared" si="240"/>
        <v>0</v>
      </c>
      <c r="BU591" s="80">
        <f t="shared" si="241"/>
        <v>0</v>
      </c>
      <c r="BV591" s="80" t="str">
        <f>IFERROR(VLOOKUP($H591,'1. Set Program Names'!$B$2:$D$15,3,0)*V591,"NA")</f>
        <v>NA</v>
      </c>
      <c r="BW591" s="80" t="str">
        <f>IFERROR(VLOOKUP($H591,'1. Set Program Names'!$B$2:$D$15,3,0)*W591,"NA")</f>
        <v>NA</v>
      </c>
      <c r="BX591" s="80" t="str">
        <f>IFERROR(VLOOKUP($H591,'1. Set Program Names'!$B$2:$D$15,3,0)*X591,"NA")</f>
        <v>NA</v>
      </c>
      <c r="BY591" s="80" t="str">
        <f>IFERROR(VLOOKUP($H591,'1. Set Program Names'!$B$2:$D$15,3,0)*Y591,"NA")</f>
        <v>NA</v>
      </c>
      <c r="BZ591" s="80" t="str">
        <f>IFERROR(VLOOKUP($H591,'1. Set Program Names'!$B$2:$D$15,3,0)*Z591,"NA")</f>
        <v>NA</v>
      </c>
      <c r="CA591" s="80" t="str">
        <f>IFERROR(VLOOKUP($H591,'1. Set Program Names'!$B$2:$D$15,3,0)*AA591,"NA")</f>
        <v>NA</v>
      </c>
      <c r="CB591" s="80" t="str">
        <f>IFERROR(VLOOKUP($H591,'1. Set Program Names'!$B$2:$D$15,3,0)*AB591,"NA")</f>
        <v>NA</v>
      </c>
      <c r="CC591" s="80" t="str">
        <f>IFERROR(VLOOKUP($H591,'1. Set Program Names'!$B$2:$D$15,3,0)*AC591,"NA")</f>
        <v>NA</v>
      </c>
      <c r="CD591" s="80" t="str">
        <f>IFERROR(VLOOKUP($H591,'1. Set Program Names'!$B$2:$D$15,3,0)*AD591,"NA")</f>
        <v>NA</v>
      </c>
      <c r="CE591" s="80" t="str">
        <f>IFERROR(VLOOKUP($H591,'1. Set Program Names'!$B$2:$D$15,3,0)*AE591,"NA")</f>
        <v>NA</v>
      </c>
    </row>
    <row r="592" spans="1:83" x14ac:dyDescent="0.25">
      <c r="A592" s="79" t="s">
        <v>113</v>
      </c>
      <c r="B592" s="79" t="s">
        <v>88</v>
      </c>
      <c r="C592" s="79" t="s">
        <v>122</v>
      </c>
      <c r="D592" s="79" t="s">
        <v>90</v>
      </c>
      <c r="E592" s="79" t="s">
        <v>91</v>
      </c>
      <c r="F592" s="79" t="s">
        <v>90</v>
      </c>
      <c r="G592" s="79" t="s">
        <v>92</v>
      </c>
      <c r="H592" s="79" t="s">
        <v>268</v>
      </c>
      <c r="I592" s="79" t="s">
        <v>141</v>
      </c>
      <c r="J592" s="79" t="s">
        <v>134</v>
      </c>
      <c r="K592" s="79" t="s">
        <v>98</v>
      </c>
      <c r="L592" s="79">
        <v>12160.5</v>
      </c>
      <c r="M592" s="79">
        <v>1.5637825072468701</v>
      </c>
      <c r="N592" s="79">
        <v>1.33304839745786</v>
      </c>
      <c r="O592" s="79">
        <v>3109.4399999999901</v>
      </c>
      <c r="P592" s="79">
        <v>607.94061759330305</v>
      </c>
      <c r="Q592" s="79">
        <v>12.160500000000001</v>
      </c>
      <c r="R592" s="79">
        <v>4122.3511685728599</v>
      </c>
      <c r="S592" s="79">
        <v>11397.022214720701</v>
      </c>
      <c r="T592" s="79">
        <v>12</v>
      </c>
      <c r="U592" s="79">
        <v>1</v>
      </c>
      <c r="V592" s="79">
        <f>tbl_Data_old[[#This Row],[2025 ]]*IFERROR(AVERAGEIFS('Participation Adjustment'!$C:$C,'Participation Adjustment'!$A:$A,$H592,'Participation Adjustment'!$B:$B,$I592),1)</f>
        <v>14179.357126576</v>
      </c>
      <c r="W592" s="79">
        <f>tbl_Data_old[[#This Row],[2026 ]]*IFERROR(AVERAGEIFS('Participation Adjustment'!$C:$C,'Participation Adjustment'!$A:$A,$H592,'Participation Adjustment'!$B:$B,$I592),1)</f>
        <v>33652.9084251323</v>
      </c>
      <c r="X592" s="79">
        <f>tbl_Data_old[[#This Row],[2027 ]]*IFERROR(AVERAGEIFS('Participation Adjustment'!$C:$C,'Participation Adjustment'!$A:$A,$H592,'Participation Adjustment'!$B:$B,$I592),1)</f>
        <v>59002.353234056798</v>
      </c>
      <c r="Y592" s="79">
        <f>tbl_Data_old[[#This Row],[2028 ]]*IFERROR(AVERAGEIFS('Participation Adjustment'!$C:$C,'Participation Adjustment'!$A:$A,$H592,'Participation Adjustment'!$B:$B,$I592),1)</f>
        <v>90547.226326557298</v>
      </c>
      <c r="Z592" s="79">
        <f>tbl_Data_old[[#This Row],[2029 ]]*IFERROR(AVERAGEIFS('Participation Adjustment'!$C:$C,'Participation Adjustment'!$A:$A,$H592,'Participation Adjustment'!$B:$B,$I592),1)</f>
        <v>128100.027446269</v>
      </c>
      <c r="AA592" s="79">
        <f>tbl_Data_old[[#This Row],[2030 ]]*IFERROR(AVERAGEIFS('Participation Adjustment'!$C:$C,'Participation Adjustment'!$A:$A,$H592,'Participation Adjustment'!$B:$B,$I592),1)</f>
        <v>170950.27505204701</v>
      </c>
      <c r="AB592" s="79">
        <f>tbl_Data_old[[#This Row],[2031 ]]*IFERROR(AVERAGEIFS('Participation Adjustment'!$C:$C,'Participation Adjustment'!$A:$A,$H592,'Participation Adjustment'!$B:$B,$I592),1)</f>
        <v>218071.762373954</v>
      </c>
      <c r="AC592" s="79">
        <f>tbl_Data_old[[#This Row],[2032 ]]*IFERROR(AVERAGEIFS('Participation Adjustment'!$C:$C,'Participation Adjustment'!$A:$A,$H592,'Participation Adjustment'!$B:$B,$I592),1)</f>
        <v>268460.56950425298</v>
      </c>
      <c r="AD592" s="79">
        <f>tbl_Data_old[[#This Row],[2033 ]]*IFERROR(AVERAGEIFS('Participation Adjustment'!$C:$C,'Participation Adjustment'!$A:$A,$H592,'Participation Adjustment'!$B:$B,$I592),1)</f>
        <v>321269.12772300001</v>
      </c>
      <c r="AE592" s="79">
        <f>tbl_Data_old[[#This Row],[2034 ]]*IFERROR(AVERAGEIFS('Participation Adjustment'!$C:$C,'Participation Adjustment'!$A:$A,$H592,'Participation Adjustment'!$B:$B,$I592),1)</f>
        <v>375795.30555696698</v>
      </c>
      <c r="AF592" s="77" t="str">
        <f t="shared" si="231"/>
        <v>NonResidential</v>
      </c>
      <c r="AG592" s="77" t="str">
        <f>tbl_Data[[#This Row],[All_Meas_Name_Append]]</f>
        <v>Energy Star Steamer</v>
      </c>
      <c r="AH592" s="77">
        <f>AVERAGEIFS('3. Incentive Adjustment'!G:G,'3. Incentive Adjustment'!A:A,tbl_Data[[#This Row],[Trimmed Sector]],'3. Incentive Adjustment'!B:B,tbl_Data[[#This Row],[Trimmed Measure Name]])</f>
        <v>0.87642178647683033</v>
      </c>
      <c r="AI592" s="77">
        <f>$AH592*tbl_Data[[#This Row],[2025 ]]</f>
        <v>12427.097503966714</v>
      </c>
      <c r="AJ592" s="77">
        <f>$AH592*tbl_Data[[#This Row],[2026 ]]</f>
        <v>29494.142122095625</v>
      </c>
      <c r="AK592" s="77">
        <f>$AH592*tbl_Data[[#This Row],[2027 ]]</f>
        <v>51710.947827729047</v>
      </c>
      <c r="AL592" s="77">
        <f>$AH592*tbl_Data[[#This Row],[2028 ]]</f>
        <v>79357.561857643232</v>
      </c>
      <c r="AM592" s="77">
        <f>$AH592*tbl_Data[[#This Row],[2029 ]]</f>
        <v>112269.65490219007</v>
      </c>
      <c r="AN592" s="77">
        <f>$AH592*tbl_Data[[#This Row],[2030 ]]</f>
        <v>149824.54545982057</v>
      </c>
      <c r="AO592" s="77">
        <f>$AH592*tbl_Data[[#This Row],[2031 ]]</f>
        <v>191122.84355993159</v>
      </c>
      <c r="AP592" s="77">
        <f>$AH592*tbl_Data[[#This Row],[2032 ]]</f>
        <v>235284.69192350467</v>
      </c>
      <c r="AQ592" s="77">
        <f>$AH592*tbl_Data[[#This Row],[2033 ]]</f>
        <v>281567.26285884465</v>
      </c>
      <c r="AR592" s="77">
        <f>$AH592*tbl_Data[[#This Row],[2034 ]]</f>
        <v>329355.19304584333</v>
      </c>
      <c r="AS592" s="77">
        <f>SUM(tbl_Data[[#This Row],[Adjusted 2025]:[Adjusted 2034]])</f>
        <v>1472413.9410615696</v>
      </c>
      <c r="AT592" s="80">
        <f>AVERAGEIFS('3. Incentive Adjustment'!F:F,'3. Incentive Adjustment'!A:A,tbl_Data[[#This Row],[Trimmed Sector]],'3. Incentive Adjustment'!B:B,tbl_Data[[#This Row],[Trimmed Measure Name]])</f>
        <v>0</v>
      </c>
      <c r="AU592" s="80">
        <f>IFERROR(VLOOKUP(tbl_Data[[#This Row],[All_Meas_Name_Append]],'IRA Tax Credits'!$A$3:$D$46,4,0),0)</f>
        <v>0</v>
      </c>
      <c r="AV592" s="81">
        <f>tbl_Data[[#This Row],[Adj. per unit Incentive ($)]]/tbl_Data[[#This Row],[kWh Savings]]*tbl_Data[[#This Row],[Sum of Annuals]]</f>
        <v>0</v>
      </c>
      <c r="AW592" s="81" t="str">
        <f>IFERROR(VLOOKUP(tbl_Data[[#This Row],[Column1]],'1. Set Program Names'!$B$2:$D$15,3,0)*tbl_Data[[#This Row],[Sum of Annuals]],"")</f>
        <v/>
      </c>
      <c r="AX592" s="81">
        <f>tbl_Data[[#This Row],[per unit IRA tax ($)]]/tbl_Data[[#This Row],[kWh Savings]]*tbl_Data[[#This Row],[Sum of Annuals]]</f>
        <v>0</v>
      </c>
      <c r="AY592" s="81">
        <f>tbl_Data[[#This Row],[Avoided Costs ($/unit)]]/tbl_Data[[#This Row],[kWh Savings]]*tbl_Data[[#This Row],[Sum of Annuals]]</f>
        <v>499141.26315185492</v>
      </c>
      <c r="AZ592" s="81">
        <f>tbl_Data[[#This Row],[Lost Revenue ($/unit)]]/tbl_Data[[#This Row],[kWh Savings]]*tbl_Data[[#This Row],[Sum of Annuals]]</f>
        <v>1379970.7574148404</v>
      </c>
      <c r="BA592" s="81">
        <f>tbl_Data[[#This Row],[Incremental Cost ($/unit)]]/tbl_Data[[#This Row],[kWh Savings]]*tbl_Data[[#This Row],[Sum of Annuals]]</f>
        <v>376496.2628916963</v>
      </c>
      <c r="BB592" s="77">
        <f>ROUNDUP(tbl_Data[[#This Row],[Adjusted 2025]]/$L592,0)</f>
        <v>2</v>
      </c>
      <c r="BC592" s="77">
        <f>ROUNDUP(tbl_Data[[#This Row],[Adjusted 2026]]/$L592,0)</f>
        <v>3</v>
      </c>
      <c r="BD592" s="77">
        <f>ROUNDUP(tbl_Data[[#This Row],[Adjusted 2027]]/$L592,0)</f>
        <v>5</v>
      </c>
      <c r="BE592" s="77">
        <f>ROUNDUP(tbl_Data[[#This Row],[Adjusted 2028]]/$L592,0)</f>
        <v>7</v>
      </c>
      <c r="BF592" s="77">
        <f>ROUNDUP(tbl_Data[[#This Row],[Adjusted 2029]]/$L592,0)</f>
        <v>10</v>
      </c>
      <c r="BG592" s="77">
        <f>ROUNDUP(tbl_Data[[#This Row],[Adjusted 2030]]/$L592,0)</f>
        <v>13</v>
      </c>
      <c r="BH592" s="77">
        <f>ROUNDUP(tbl_Data[[#This Row],[Adjusted 2031]]/$L592,0)</f>
        <v>16</v>
      </c>
      <c r="BI592" s="77">
        <f>ROUNDUP(tbl_Data[[#This Row],[Adjusted 2032]]/$L592,0)</f>
        <v>20</v>
      </c>
      <c r="BJ592" s="77">
        <f>ROUNDUP(tbl_Data[[#This Row],[Adjusted 2033]]/$L592,0)</f>
        <v>24</v>
      </c>
      <c r="BK592" s="77">
        <f>ROUNDUP(tbl_Data[[#This Row],[Adjusted 2034]]/$L592,0)</f>
        <v>28</v>
      </c>
      <c r="BL592" s="80">
        <f t="shared" si="232"/>
        <v>0</v>
      </c>
      <c r="BM592" s="80">
        <f t="shared" si="233"/>
        <v>0</v>
      </c>
      <c r="BN592" s="80">
        <f t="shared" si="234"/>
        <v>0</v>
      </c>
      <c r="BO592" s="80">
        <f t="shared" si="235"/>
        <v>0</v>
      </c>
      <c r="BP592" s="80">
        <f t="shared" si="236"/>
        <v>0</v>
      </c>
      <c r="BQ592" s="80">
        <f t="shared" si="237"/>
        <v>0</v>
      </c>
      <c r="BR592" s="80">
        <f t="shared" si="238"/>
        <v>0</v>
      </c>
      <c r="BS592" s="80">
        <f t="shared" si="239"/>
        <v>0</v>
      </c>
      <c r="BT592" s="80">
        <f t="shared" si="240"/>
        <v>0</v>
      </c>
      <c r="BU592" s="80">
        <f t="shared" si="241"/>
        <v>0</v>
      </c>
      <c r="BV592" s="80" t="str">
        <f>IFERROR(VLOOKUP($H592,'1. Set Program Names'!$B$2:$D$15,3,0)*V592,"NA")</f>
        <v>NA</v>
      </c>
      <c r="BW592" s="80" t="str">
        <f>IFERROR(VLOOKUP($H592,'1. Set Program Names'!$B$2:$D$15,3,0)*W592,"NA")</f>
        <v>NA</v>
      </c>
      <c r="BX592" s="80" t="str">
        <f>IFERROR(VLOOKUP($H592,'1. Set Program Names'!$B$2:$D$15,3,0)*X592,"NA")</f>
        <v>NA</v>
      </c>
      <c r="BY592" s="80" t="str">
        <f>IFERROR(VLOOKUP($H592,'1. Set Program Names'!$B$2:$D$15,3,0)*Y592,"NA")</f>
        <v>NA</v>
      </c>
      <c r="BZ592" s="80" t="str">
        <f>IFERROR(VLOOKUP($H592,'1. Set Program Names'!$B$2:$D$15,3,0)*Z592,"NA")</f>
        <v>NA</v>
      </c>
      <c r="CA592" s="80" t="str">
        <f>IFERROR(VLOOKUP($H592,'1. Set Program Names'!$B$2:$D$15,3,0)*AA592,"NA")</f>
        <v>NA</v>
      </c>
      <c r="CB592" s="80" t="str">
        <f>IFERROR(VLOOKUP($H592,'1. Set Program Names'!$B$2:$D$15,3,0)*AB592,"NA")</f>
        <v>NA</v>
      </c>
      <c r="CC592" s="80" t="str">
        <f>IFERROR(VLOOKUP($H592,'1. Set Program Names'!$B$2:$D$15,3,0)*AC592,"NA")</f>
        <v>NA</v>
      </c>
      <c r="CD592" s="80" t="str">
        <f>IFERROR(VLOOKUP($H592,'1. Set Program Names'!$B$2:$D$15,3,0)*AD592,"NA")</f>
        <v>NA</v>
      </c>
      <c r="CE592" s="80" t="str">
        <f>IFERROR(VLOOKUP($H592,'1. Set Program Names'!$B$2:$D$15,3,0)*AE592,"NA")</f>
        <v>NA</v>
      </c>
    </row>
    <row r="593" spans="1:83" x14ac:dyDescent="0.25">
      <c r="A593" s="79" t="s">
        <v>113</v>
      </c>
      <c r="B593" s="79" t="s">
        <v>88</v>
      </c>
      <c r="C593" s="79" t="s">
        <v>122</v>
      </c>
      <c r="D593" s="79" t="s">
        <v>90</v>
      </c>
      <c r="E593" s="79" t="s">
        <v>91</v>
      </c>
      <c r="F593" s="79" t="s">
        <v>90</v>
      </c>
      <c r="G593" s="79" t="s">
        <v>92</v>
      </c>
      <c r="H593" s="79" t="s">
        <v>268</v>
      </c>
      <c r="I593" s="79" t="s">
        <v>142</v>
      </c>
      <c r="J593" s="79" t="s">
        <v>137</v>
      </c>
      <c r="K593" s="79" t="s">
        <v>98</v>
      </c>
      <c r="L593" s="79">
        <v>11250</v>
      </c>
      <c r="M593" s="79">
        <v>1.3809947593685901</v>
      </c>
      <c r="N593" s="79">
        <v>1.3808111252514099</v>
      </c>
      <c r="O593" s="79">
        <v>3147</v>
      </c>
      <c r="P593" s="79">
        <v>832.79679683603899</v>
      </c>
      <c r="Q593" s="79">
        <v>11.25</v>
      </c>
      <c r="R593" s="79">
        <v>4868.3629963469202</v>
      </c>
      <c r="S593" s="79">
        <v>12218.8507873668</v>
      </c>
      <c r="T593" s="79">
        <v>15</v>
      </c>
      <c r="U593" s="79">
        <v>1</v>
      </c>
      <c r="V593" s="79">
        <f>tbl_Data_old[[#This Row],[2025 ]]*IFERROR(AVERAGEIFS('Participation Adjustment'!$C:$C,'Participation Adjustment'!$A:$A,$H593,'Participation Adjustment'!$B:$B,$I593),1)</f>
        <v>22216.870078757402</v>
      </c>
      <c r="W593" s="79">
        <f>tbl_Data_old[[#This Row],[2026 ]]*IFERROR(AVERAGEIFS('Participation Adjustment'!$C:$C,'Participation Adjustment'!$A:$A,$H593,'Participation Adjustment'!$B:$B,$I593),1)</f>
        <v>52843.746388574596</v>
      </c>
      <c r="X593" s="79">
        <f>tbl_Data_old[[#This Row],[2027 ]]*IFERROR(AVERAGEIFS('Participation Adjustment'!$C:$C,'Participation Adjustment'!$A:$A,$H593,'Participation Adjustment'!$B:$B,$I593),1)</f>
        <v>93883.601647897798</v>
      </c>
      <c r="Y593" s="79">
        <f>tbl_Data_old[[#This Row],[2028 ]]*IFERROR(AVERAGEIFS('Participation Adjustment'!$C:$C,'Participation Adjustment'!$A:$A,$H593,'Participation Adjustment'!$B:$B,$I593),1)</f>
        <v>147303.32769814599</v>
      </c>
      <c r="Z593" s="79">
        <f>tbl_Data_old[[#This Row],[2029 ]]*IFERROR(AVERAGEIFS('Participation Adjustment'!$C:$C,'Participation Adjustment'!$A:$A,$H593,'Participation Adjustment'!$B:$B,$I593),1)</f>
        <v>214195.925869806</v>
      </c>
      <c r="AA593" s="79">
        <f>tbl_Data_old[[#This Row],[2030 ]]*IFERROR(AVERAGEIFS('Participation Adjustment'!$C:$C,'Participation Adjustment'!$A:$A,$H593,'Participation Adjustment'!$B:$B,$I593),1)</f>
        <v>293779.582824588</v>
      </c>
      <c r="AB593" s="79">
        <f>tbl_Data_old[[#This Row],[2031 ]]*IFERROR(AVERAGEIFS('Participation Adjustment'!$C:$C,'Participation Adjustment'!$A:$A,$H593,'Participation Adjustment'!$B:$B,$I593),1)</f>
        <v>382663.17050431902</v>
      </c>
      <c r="AC593" s="79">
        <f>tbl_Data_old[[#This Row],[2032 ]]*IFERROR(AVERAGEIFS('Participation Adjustment'!$C:$C,'Participation Adjustment'!$A:$A,$H593,'Participation Adjustment'!$B:$B,$I593),1)</f>
        <v>474842.18046055402</v>
      </c>
      <c r="AD593" s="79">
        <f>tbl_Data_old[[#This Row],[2033 ]]*IFERROR(AVERAGEIFS('Participation Adjustment'!$C:$C,'Participation Adjustment'!$A:$A,$H593,'Participation Adjustment'!$B:$B,$I593),1)</f>
        <v>562753.44271942403</v>
      </c>
      <c r="AE593" s="79">
        <f>tbl_Data_old[[#This Row],[2034 ]]*IFERROR(AVERAGEIFS('Participation Adjustment'!$C:$C,'Participation Adjustment'!$A:$A,$H593,'Participation Adjustment'!$B:$B,$I593),1)</f>
        <v>639583.71006414399</v>
      </c>
      <c r="AF593" s="77" t="str">
        <f t="shared" si="231"/>
        <v>NonResidential</v>
      </c>
      <c r="AG593" s="77" t="str">
        <f>tbl_Data[[#This Row],[All_Meas_Name_Append]]</f>
        <v>Escalator Motor Efficiency Controller</v>
      </c>
      <c r="AH593" s="77">
        <f>AVERAGEIFS('3. Incentive Adjustment'!G:G,'3. Incentive Adjustment'!A:A,tbl_Data[[#This Row],[Trimmed Sector]],'3. Incentive Adjustment'!B:B,tbl_Data[[#This Row],[Trimmed Measure Name]])</f>
        <v>0.82257117184015105</v>
      </c>
      <c r="AI593" s="77">
        <f>$AH593*tbl_Data[[#This Row],[2025 ]]</f>
        <v>18274.956855303866</v>
      </c>
      <c r="AJ593" s="77">
        <f>$AH593*tbl_Data[[#This Row],[2026 ]]</f>
        <v>43467.742391273554</v>
      </c>
      <c r="AK593" s="77">
        <f>$AH593*tbl_Data[[#This Row],[2027 ]]</f>
        <v>77225.944224085222</v>
      </c>
      <c r="AL593" s="77">
        <f>$AH593*tbl_Data[[#This Row],[2028 ]]</f>
        <v>121167.47088061772</v>
      </c>
      <c r="AM593" s="77">
        <f>$AH593*tbl_Data[[#This Row],[2029 ]]</f>
        <v>176191.39374611244</v>
      </c>
      <c r="AN593" s="77">
        <f>$AH593*tbl_Data[[#This Row],[2030 ]]</f>
        <v>241654.61570673206</v>
      </c>
      <c r="AO593" s="77">
        <f>$AH593*tbl_Data[[#This Row],[2031 ]]</f>
        <v>314767.69258180523</v>
      </c>
      <c r="AP593" s="77">
        <f>$AH593*tbl_Data[[#This Row],[2032 ]]</f>
        <v>390591.4888205704</v>
      </c>
      <c r="AQ593" s="77">
        <f>$AH593*tbl_Data[[#This Row],[2033 ]]</f>
        <v>462904.75883479597</v>
      </c>
      <c r="AR593" s="77">
        <f>$AH593*tbl_Data[[#This Row],[2034 ]]</f>
        <v>526103.12187733431</v>
      </c>
      <c r="AS593" s="77">
        <f>SUM(tbl_Data[[#This Row],[Adjusted 2025]:[Adjusted 2034]])</f>
        <v>2372349.185918631</v>
      </c>
      <c r="AT593" s="80">
        <f>AVERAGEIFS('3. Incentive Adjustment'!F:F,'3. Incentive Adjustment'!A:A,tbl_Data[[#This Row],[Trimmed Sector]],'3. Incentive Adjustment'!B:B,tbl_Data[[#This Row],[Trimmed Measure Name]])</f>
        <v>0</v>
      </c>
      <c r="AU593" s="80">
        <f>IFERROR(VLOOKUP(tbl_Data[[#This Row],[All_Meas_Name_Append]],'IRA Tax Credits'!$A$3:$D$46,4,0),0)</f>
        <v>0</v>
      </c>
      <c r="AV593" s="81">
        <f>tbl_Data[[#This Row],[Adj. per unit Incentive ($)]]/tbl_Data[[#This Row],[kWh Savings]]*tbl_Data[[#This Row],[Sum of Annuals]]</f>
        <v>0</v>
      </c>
      <c r="AW593" s="81" t="str">
        <f>IFERROR(VLOOKUP(tbl_Data[[#This Row],[Column1]],'1. Set Program Names'!$B$2:$D$15,3,0)*tbl_Data[[#This Row],[Sum of Annuals]],"")</f>
        <v/>
      </c>
      <c r="AX593" s="81">
        <f>tbl_Data[[#This Row],[per unit IRA tax ($)]]/tbl_Data[[#This Row],[kWh Savings]]*tbl_Data[[#This Row],[Sum of Annuals]]</f>
        <v>0</v>
      </c>
      <c r="AY593" s="81">
        <f>tbl_Data[[#This Row],[Avoided Costs ($/unit)]]/tbl_Data[[#This Row],[kWh Savings]]*tbl_Data[[#This Row],[Sum of Annuals]]</f>
        <v>1026618.3992124448</v>
      </c>
      <c r="AZ593" s="81">
        <f>tbl_Data[[#This Row],[Lost Revenue ($/unit)]]/tbl_Data[[#This Row],[kWh Savings]]*tbl_Data[[#This Row],[Sum of Annuals]]</f>
        <v>2576656.063846298</v>
      </c>
      <c r="BA593" s="81">
        <f>tbl_Data[[#This Row],[Incremental Cost ($/unit)]]/tbl_Data[[#This Row],[kWh Savings]]*tbl_Data[[#This Row],[Sum of Annuals]]</f>
        <v>663625.14560763841</v>
      </c>
      <c r="BB593" s="77">
        <f>ROUNDUP(tbl_Data[[#This Row],[Adjusted 2025]]/$L593,0)</f>
        <v>2</v>
      </c>
      <c r="BC593" s="77">
        <f>ROUNDUP(tbl_Data[[#This Row],[Adjusted 2026]]/$L593,0)</f>
        <v>4</v>
      </c>
      <c r="BD593" s="77">
        <f>ROUNDUP(tbl_Data[[#This Row],[Adjusted 2027]]/$L593,0)</f>
        <v>7</v>
      </c>
      <c r="BE593" s="77">
        <f>ROUNDUP(tbl_Data[[#This Row],[Adjusted 2028]]/$L593,0)</f>
        <v>11</v>
      </c>
      <c r="BF593" s="77">
        <f>ROUNDUP(tbl_Data[[#This Row],[Adjusted 2029]]/$L593,0)</f>
        <v>16</v>
      </c>
      <c r="BG593" s="77">
        <f>ROUNDUP(tbl_Data[[#This Row],[Adjusted 2030]]/$L593,0)</f>
        <v>22</v>
      </c>
      <c r="BH593" s="77">
        <f>ROUNDUP(tbl_Data[[#This Row],[Adjusted 2031]]/$L593,0)</f>
        <v>28</v>
      </c>
      <c r="BI593" s="77">
        <f>ROUNDUP(tbl_Data[[#This Row],[Adjusted 2032]]/$L593,0)</f>
        <v>35</v>
      </c>
      <c r="BJ593" s="77">
        <f>ROUNDUP(tbl_Data[[#This Row],[Adjusted 2033]]/$L593,0)</f>
        <v>42</v>
      </c>
      <c r="BK593" s="77">
        <f>ROUNDUP(tbl_Data[[#This Row],[Adjusted 2034]]/$L593,0)</f>
        <v>47</v>
      </c>
      <c r="BL593" s="80">
        <f t="shared" si="232"/>
        <v>0</v>
      </c>
      <c r="BM593" s="80">
        <f t="shared" si="233"/>
        <v>0</v>
      </c>
      <c r="BN593" s="80">
        <f t="shared" si="234"/>
        <v>0</v>
      </c>
      <c r="BO593" s="80">
        <f t="shared" si="235"/>
        <v>0</v>
      </c>
      <c r="BP593" s="80">
        <f t="shared" si="236"/>
        <v>0</v>
      </c>
      <c r="BQ593" s="80">
        <f t="shared" si="237"/>
        <v>0</v>
      </c>
      <c r="BR593" s="80">
        <f t="shared" si="238"/>
        <v>0</v>
      </c>
      <c r="BS593" s="80">
        <f t="shared" si="239"/>
        <v>0</v>
      </c>
      <c r="BT593" s="80">
        <f t="shared" si="240"/>
        <v>0</v>
      </c>
      <c r="BU593" s="80">
        <f t="shared" si="241"/>
        <v>0</v>
      </c>
      <c r="BV593" s="80" t="str">
        <f>IFERROR(VLOOKUP($H593,'1. Set Program Names'!$B$2:$D$15,3,0)*V593,"NA")</f>
        <v>NA</v>
      </c>
      <c r="BW593" s="80" t="str">
        <f>IFERROR(VLOOKUP($H593,'1. Set Program Names'!$B$2:$D$15,3,0)*W593,"NA")</f>
        <v>NA</v>
      </c>
      <c r="BX593" s="80" t="str">
        <f>IFERROR(VLOOKUP($H593,'1. Set Program Names'!$B$2:$D$15,3,0)*X593,"NA")</f>
        <v>NA</v>
      </c>
      <c r="BY593" s="80" t="str">
        <f>IFERROR(VLOOKUP($H593,'1. Set Program Names'!$B$2:$D$15,3,0)*Y593,"NA")</f>
        <v>NA</v>
      </c>
      <c r="BZ593" s="80" t="str">
        <f>IFERROR(VLOOKUP($H593,'1. Set Program Names'!$B$2:$D$15,3,0)*Z593,"NA")</f>
        <v>NA</v>
      </c>
      <c r="CA593" s="80" t="str">
        <f>IFERROR(VLOOKUP($H593,'1. Set Program Names'!$B$2:$D$15,3,0)*AA593,"NA")</f>
        <v>NA</v>
      </c>
      <c r="CB593" s="80" t="str">
        <f>IFERROR(VLOOKUP($H593,'1. Set Program Names'!$B$2:$D$15,3,0)*AB593,"NA")</f>
        <v>NA</v>
      </c>
      <c r="CC593" s="80" t="str">
        <f>IFERROR(VLOOKUP($H593,'1. Set Program Names'!$B$2:$D$15,3,0)*AC593,"NA")</f>
        <v>NA</v>
      </c>
      <c r="CD593" s="80" t="str">
        <f>IFERROR(VLOOKUP($H593,'1. Set Program Names'!$B$2:$D$15,3,0)*AD593,"NA")</f>
        <v>NA</v>
      </c>
      <c r="CE593" s="80" t="str">
        <f>IFERROR(VLOOKUP($H593,'1. Set Program Names'!$B$2:$D$15,3,0)*AE593,"NA")</f>
        <v>NA</v>
      </c>
    </row>
    <row r="594" spans="1:83" x14ac:dyDescent="0.25">
      <c r="A594" s="79" t="s">
        <v>113</v>
      </c>
      <c r="B594" s="79" t="s">
        <v>88</v>
      </c>
      <c r="C594" s="79" t="s">
        <v>122</v>
      </c>
      <c r="D594" s="79" t="s">
        <v>90</v>
      </c>
      <c r="E594" s="79" t="s">
        <v>91</v>
      </c>
      <c r="F594" s="79" t="s">
        <v>90</v>
      </c>
      <c r="G594" s="79" t="s">
        <v>92</v>
      </c>
      <c r="H594" s="79" t="s">
        <v>268</v>
      </c>
      <c r="I594" s="79" t="s">
        <v>175</v>
      </c>
      <c r="J594" s="79" t="s">
        <v>144</v>
      </c>
      <c r="K594" s="79" t="s">
        <v>98</v>
      </c>
      <c r="L594" s="79">
        <v>264.02999999999997</v>
      </c>
      <c r="M594" s="79">
        <v>4.1428427039389301E-2</v>
      </c>
      <c r="N594" s="79">
        <v>6.1740637590561503E-2</v>
      </c>
      <c r="O594" s="79">
        <v>74.16</v>
      </c>
      <c r="P594" s="79">
        <v>19.8471936238772</v>
      </c>
      <c r="Q594" s="79">
        <v>0.26402999999999999</v>
      </c>
      <c r="R594" s="79">
        <v>106.11574944735899</v>
      </c>
      <c r="S594" s="79">
        <v>217.179512566509</v>
      </c>
      <c r="T594" s="79">
        <v>10</v>
      </c>
      <c r="U594" s="79">
        <v>1</v>
      </c>
      <c r="V594" s="79">
        <f>tbl_Data_old[[#This Row],[2025 ]]*IFERROR(AVERAGEIFS('Participation Adjustment'!$C:$C,'Participation Adjustment'!$A:$A,$H594,'Participation Adjustment'!$B:$B,$I594),1)</f>
        <v>9840.1718481120497</v>
      </c>
      <c r="W594" s="79">
        <f>tbl_Data_old[[#This Row],[2026 ]]*IFERROR(AVERAGEIFS('Participation Adjustment'!$C:$C,'Participation Adjustment'!$A:$A,$H594,'Participation Adjustment'!$B:$B,$I594),1)</f>
        <v>23346.292093279699</v>
      </c>
      <c r="X594" s="79">
        <f>tbl_Data_old[[#This Row],[2027 ]]*IFERROR(AVERAGEIFS('Participation Adjustment'!$C:$C,'Participation Adjustment'!$A:$A,$H594,'Participation Adjustment'!$B:$B,$I594),1)</f>
        <v>41324.751967324199</v>
      </c>
      <c r="Y594" s="79">
        <f>tbl_Data_old[[#This Row],[2028 ]]*IFERROR(AVERAGEIFS('Participation Adjustment'!$C:$C,'Participation Adjustment'!$A:$A,$H594,'Participation Adjustment'!$B:$B,$I594),1)</f>
        <v>64525.9856779275</v>
      </c>
      <c r="Z594" s="79">
        <f>tbl_Data_old[[#This Row],[2029 ]]*IFERROR(AVERAGEIFS('Participation Adjustment'!$C:$C,'Participation Adjustment'!$A:$A,$H594,'Participation Adjustment'!$B:$B,$I594),1)</f>
        <v>93273.379834476596</v>
      </c>
      <c r="AA594" s="79">
        <f>tbl_Data_old[[#This Row],[2030 ]]*IFERROR(AVERAGEIFS('Participation Adjustment'!$C:$C,'Participation Adjustment'!$A:$A,$H594,'Participation Adjustment'!$B:$B,$I594),1)</f>
        <v>127030.2960992</v>
      </c>
      <c r="AB594" s="79">
        <f>tbl_Data_old[[#This Row],[2031 ]]*IFERROR(AVERAGEIFS('Participation Adjustment'!$C:$C,'Participation Adjustment'!$A:$A,$H594,'Participation Adjustment'!$B:$B,$I594),1)</f>
        <v>164140.117124029</v>
      </c>
      <c r="AC594" s="79">
        <f>tbl_Data_old[[#This Row],[2032 ]]*IFERROR(AVERAGEIFS('Participation Adjustment'!$C:$C,'Participation Adjustment'!$A:$A,$H594,'Participation Adjustment'!$B:$B,$I594),1)</f>
        <v>201896.13376518901</v>
      </c>
      <c r="AD594" s="79">
        <f>tbl_Data_old[[#This Row],[2033 ]]*IFERROR(AVERAGEIFS('Participation Adjustment'!$C:$C,'Participation Adjustment'!$A:$A,$H594,'Participation Adjustment'!$B:$B,$I594),1)</f>
        <v>237060.561196194</v>
      </c>
      <c r="AE594" s="79">
        <f>tbl_Data_old[[#This Row],[2034 ]]*IFERROR(AVERAGEIFS('Participation Adjustment'!$C:$C,'Participation Adjustment'!$A:$A,$H594,'Participation Adjustment'!$B:$B,$I594),1)</f>
        <v>266919.42365275801</v>
      </c>
      <c r="AF594" s="77" t="str">
        <f t="shared" si="231"/>
        <v>NonResidential</v>
      </c>
      <c r="AG594" s="77" t="str">
        <f>tbl_Data[[#This Row],[All_Meas_Name_Append]]</f>
        <v>Faucet Aerator</v>
      </c>
      <c r="AH594" s="77">
        <f>AVERAGEIFS('3. Incentive Adjustment'!G:G,'3. Incentive Adjustment'!A:A,tbl_Data[[#This Row],[Trimmed Sector]],'3. Incentive Adjustment'!B:B,tbl_Data[[#This Row],[Trimmed Measure Name]])</f>
        <v>0.82009235606746977</v>
      </c>
      <c r="AI594" s="77">
        <f>$AH594*tbl_Data[[#This Row],[2025 ]]</f>
        <v>8069.8497150269995</v>
      </c>
      <c r="AJ594" s="77">
        <f>$AH594*tbl_Data[[#This Row],[2026 ]]</f>
        <v>19146.115688217087</v>
      </c>
      <c r="AK594" s="77">
        <f>$AH594*tbl_Data[[#This Row],[2027 ]]</f>
        <v>33890.113204786707</v>
      </c>
      <c r="AL594" s="77">
        <f>$AH594*tbl_Data[[#This Row],[2028 ]]</f>
        <v>52917.267622187377</v>
      </c>
      <c r="AM594" s="77">
        <f>$AH594*tbl_Data[[#This Row],[2029 ]]</f>
        <v>76492.78582683194</v>
      </c>
      <c r="AN594" s="77">
        <f>$AH594*tbl_Data[[#This Row],[2030 ]]</f>
        <v>104176.57481994125</v>
      </c>
      <c r="AO594" s="77">
        <f>$AH594*tbl_Data[[#This Row],[2031 ]]</f>
        <v>134610.05537743538</v>
      </c>
      <c r="AP594" s="77">
        <f>$AH594*tbl_Data[[#This Row],[2032 ]]</f>
        <v>165573.4760204069</v>
      </c>
      <c r="AQ594" s="77">
        <f>$AH594*tbl_Data[[#This Row],[2033 ]]</f>
        <v>194411.55416206334</v>
      </c>
      <c r="AR594" s="77">
        <f>$AH594*tbl_Data[[#This Row],[2034 ]]</f>
        <v>218898.57902356144</v>
      </c>
      <c r="AS594" s="77">
        <f>SUM(tbl_Data[[#This Row],[Adjusted 2025]:[Adjusted 2034]])</f>
        <v>1008186.3714604585</v>
      </c>
      <c r="AT594" s="80">
        <f>AVERAGEIFS('3. Incentive Adjustment'!F:F,'3. Incentive Adjustment'!A:A,tbl_Data[[#This Row],[Trimmed Sector]],'3. Incentive Adjustment'!B:B,tbl_Data[[#This Row],[Trimmed Measure Name]])</f>
        <v>0</v>
      </c>
      <c r="AU594" s="80">
        <f>IFERROR(VLOOKUP(tbl_Data[[#This Row],[All_Meas_Name_Append]],'IRA Tax Credits'!$A$3:$D$46,4,0),0)</f>
        <v>0</v>
      </c>
      <c r="AV594" s="81">
        <f>tbl_Data[[#This Row],[Adj. per unit Incentive ($)]]/tbl_Data[[#This Row],[kWh Savings]]*tbl_Data[[#This Row],[Sum of Annuals]]</f>
        <v>0</v>
      </c>
      <c r="AW594" s="81" t="str">
        <f>IFERROR(VLOOKUP(tbl_Data[[#This Row],[Column1]],'1. Set Program Names'!$B$2:$D$15,3,0)*tbl_Data[[#This Row],[Sum of Annuals]],"")</f>
        <v/>
      </c>
      <c r="AX594" s="81">
        <f>tbl_Data[[#This Row],[per unit IRA tax ($)]]/tbl_Data[[#This Row],[kWh Savings]]*tbl_Data[[#This Row],[Sum of Annuals]]</f>
        <v>0</v>
      </c>
      <c r="AY594" s="81">
        <f>tbl_Data[[#This Row],[Avoided Costs ($/unit)]]/tbl_Data[[#This Row],[kWh Savings]]*tbl_Data[[#This Row],[Sum of Annuals]]</f>
        <v>405198.09260364366</v>
      </c>
      <c r="AZ594" s="81">
        <f>tbl_Data[[#This Row],[Lost Revenue ($/unit)]]/tbl_Data[[#This Row],[kWh Savings]]*tbl_Data[[#This Row],[Sum of Annuals]]</f>
        <v>829289.94708926929</v>
      </c>
      <c r="BA594" s="81">
        <f>tbl_Data[[#This Row],[Incremental Cost ($/unit)]]/tbl_Data[[#This Row],[kWh Savings]]*tbl_Data[[#This Row],[Sum of Annuals]]</f>
        <v>283176.53792185587</v>
      </c>
      <c r="BB594" s="77">
        <f>ROUNDUP(tbl_Data[[#This Row],[Adjusted 2025]]/$L594,0)</f>
        <v>31</v>
      </c>
      <c r="BC594" s="77">
        <f>ROUNDUP(tbl_Data[[#This Row],[Adjusted 2026]]/$L594,0)</f>
        <v>73</v>
      </c>
      <c r="BD594" s="77">
        <f>ROUNDUP(tbl_Data[[#This Row],[Adjusted 2027]]/$L594,0)</f>
        <v>129</v>
      </c>
      <c r="BE594" s="77">
        <f>ROUNDUP(tbl_Data[[#This Row],[Adjusted 2028]]/$L594,0)</f>
        <v>201</v>
      </c>
      <c r="BF594" s="77">
        <f>ROUNDUP(tbl_Data[[#This Row],[Adjusted 2029]]/$L594,0)</f>
        <v>290</v>
      </c>
      <c r="BG594" s="77">
        <f>ROUNDUP(tbl_Data[[#This Row],[Adjusted 2030]]/$L594,0)</f>
        <v>395</v>
      </c>
      <c r="BH594" s="77">
        <f>ROUNDUP(tbl_Data[[#This Row],[Adjusted 2031]]/$L594,0)</f>
        <v>510</v>
      </c>
      <c r="BI594" s="77">
        <f>ROUNDUP(tbl_Data[[#This Row],[Adjusted 2032]]/$L594,0)</f>
        <v>628</v>
      </c>
      <c r="BJ594" s="77">
        <f>ROUNDUP(tbl_Data[[#This Row],[Adjusted 2033]]/$L594,0)</f>
        <v>737</v>
      </c>
      <c r="BK594" s="77">
        <f>ROUNDUP(tbl_Data[[#This Row],[Adjusted 2034]]/$L594,0)</f>
        <v>830</v>
      </c>
      <c r="BL594" s="80">
        <f t="shared" si="232"/>
        <v>0</v>
      </c>
      <c r="BM594" s="80">
        <f t="shared" si="233"/>
        <v>0</v>
      </c>
      <c r="BN594" s="80">
        <f t="shared" si="234"/>
        <v>0</v>
      </c>
      <c r="BO594" s="80">
        <f t="shared" si="235"/>
        <v>0</v>
      </c>
      <c r="BP594" s="80">
        <f t="shared" si="236"/>
        <v>0</v>
      </c>
      <c r="BQ594" s="80">
        <f t="shared" si="237"/>
        <v>0</v>
      </c>
      <c r="BR594" s="80">
        <f t="shared" si="238"/>
        <v>0</v>
      </c>
      <c r="BS594" s="80">
        <f t="shared" si="239"/>
        <v>0</v>
      </c>
      <c r="BT594" s="80">
        <f t="shared" si="240"/>
        <v>0</v>
      </c>
      <c r="BU594" s="80">
        <f t="shared" si="241"/>
        <v>0</v>
      </c>
      <c r="BV594" s="80" t="str">
        <f>IFERROR(VLOOKUP($H594,'1. Set Program Names'!$B$2:$D$15,3,0)*V594,"NA")</f>
        <v>NA</v>
      </c>
      <c r="BW594" s="80" t="str">
        <f>IFERROR(VLOOKUP($H594,'1. Set Program Names'!$B$2:$D$15,3,0)*W594,"NA")</f>
        <v>NA</v>
      </c>
      <c r="BX594" s="80" t="str">
        <f>IFERROR(VLOOKUP($H594,'1. Set Program Names'!$B$2:$D$15,3,0)*X594,"NA")</f>
        <v>NA</v>
      </c>
      <c r="BY594" s="80" t="str">
        <f>IFERROR(VLOOKUP($H594,'1. Set Program Names'!$B$2:$D$15,3,0)*Y594,"NA")</f>
        <v>NA</v>
      </c>
      <c r="BZ594" s="80" t="str">
        <f>IFERROR(VLOOKUP($H594,'1. Set Program Names'!$B$2:$D$15,3,0)*Z594,"NA")</f>
        <v>NA</v>
      </c>
      <c r="CA594" s="80" t="str">
        <f>IFERROR(VLOOKUP($H594,'1. Set Program Names'!$B$2:$D$15,3,0)*AA594,"NA")</f>
        <v>NA</v>
      </c>
      <c r="CB594" s="80" t="str">
        <f>IFERROR(VLOOKUP($H594,'1. Set Program Names'!$B$2:$D$15,3,0)*AB594,"NA")</f>
        <v>NA</v>
      </c>
      <c r="CC594" s="80" t="str">
        <f>IFERROR(VLOOKUP($H594,'1. Set Program Names'!$B$2:$D$15,3,0)*AC594,"NA")</f>
        <v>NA</v>
      </c>
      <c r="CD594" s="80" t="str">
        <f>IFERROR(VLOOKUP($H594,'1. Set Program Names'!$B$2:$D$15,3,0)*AD594,"NA")</f>
        <v>NA</v>
      </c>
      <c r="CE594" s="80" t="str">
        <f>IFERROR(VLOOKUP($H594,'1. Set Program Names'!$B$2:$D$15,3,0)*AE594,"NA")</f>
        <v>NA</v>
      </c>
    </row>
    <row r="595" spans="1:83" x14ac:dyDescent="0.25">
      <c r="A595" s="79" t="s">
        <v>113</v>
      </c>
      <c r="B595" s="79" t="s">
        <v>88</v>
      </c>
      <c r="C595" s="79" t="s">
        <v>122</v>
      </c>
      <c r="D595" s="79" t="s">
        <v>90</v>
      </c>
      <c r="E595" s="79" t="s">
        <v>91</v>
      </c>
      <c r="F595" s="79" t="s">
        <v>90</v>
      </c>
      <c r="G595" s="79" t="s">
        <v>92</v>
      </c>
      <c r="H595" s="79" t="s">
        <v>268</v>
      </c>
      <c r="I595" s="79" t="s">
        <v>150</v>
      </c>
      <c r="J595" s="79" t="s">
        <v>129</v>
      </c>
      <c r="K595" s="79" t="s">
        <v>102</v>
      </c>
      <c r="L595" s="79">
        <v>56016.9549999999</v>
      </c>
      <c r="M595" s="79">
        <v>10.827112325312299</v>
      </c>
      <c r="N595" s="79">
        <v>1.3517775806744601</v>
      </c>
      <c r="O595" s="79">
        <v>17160.122499999899</v>
      </c>
      <c r="P595" s="79">
        <v>8652.3043908691998</v>
      </c>
      <c r="Q595" s="79">
        <v>56.016954999999903</v>
      </c>
      <c r="R595" s="79">
        <v>30291.5576269993</v>
      </c>
      <c r="S595" s="79">
        <v>71892.064971295098</v>
      </c>
      <c r="T595" s="79">
        <v>20</v>
      </c>
      <c r="U595" s="79">
        <v>1</v>
      </c>
      <c r="V595" s="79">
        <f>tbl_Data_old[[#This Row],[2025 ]]*IFERROR(AVERAGEIFS('Participation Adjustment'!$C:$C,'Participation Adjustment'!$A:$A,$H595,'Participation Adjustment'!$B:$B,$I595),1)</f>
        <v>60456.637521564597</v>
      </c>
      <c r="W595" s="79">
        <f>tbl_Data_old[[#This Row],[2026 ]]*IFERROR(AVERAGEIFS('Participation Adjustment'!$C:$C,'Participation Adjustment'!$A:$A,$H595,'Participation Adjustment'!$B:$B,$I595),1)</f>
        <v>120131.428744434</v>
      </c>
      <c r="X595" s="79">
        <f>tbl_Data_old[[#This Row],[2027 ]]*IFERROR(AVERAGEIFS('Participation Adjustment'!$C:$C,'Participation Adjustment'!$A:$A,$H595,'Participation Adjustment'!$B:$B,$I595),1)</f>
        <v>178681.09212287699</v>
      </c>
      <c r="Y595" s="79">
        <f>tbl_Data_old[[#This Row],[2028 ]]*IFERROR(AVERAGEIFS('Participation Adjustment'!$C:$C,'Participation Adjustment'!$A:$A,$H595,'Participation Adjustment'!$B:$B,$I595),1)</f>
        <v>236119.74424838799</v>
      </c>
      <c r="Z595" s="79">
        <f>tbl_Data_old[[#This Row],[2029 ]]*IFERROR(AVERAGEIFS('Participation Adjustment'!$C:$C,'Participation Adjustment'!$A:$A,$H595,'Participation Adjustment'!$B:$B,$I595),1)</f>
        <v>292388.57193301601</v>
      </c>
      <c r="AA595" s="79">
        <f>tbl_Data_old[[#This Row],[2030 ]]*IFERROR(AVERAGEIFS('Participation Adjustment'!$C:$C,'Participation Adjustment'!$A:$A,$H595,'Participation Adjustment'!$B:$B,$I595),1)</f>
        <v>347381.03392455599</v>
      </c>
      <c r="AB595" s="79">
        <f>tbl_Data_old[[#This Row],[2031 ]]*IFERROR(AVERAGEIFS('Participation Adjustment'!$C:$C,'Participation Adjustment'!$A:$A,$H595,'Participation Adjustment'!$B:$B,$I595),1)</f>
        <v>401005.36319373298</v>
      </c>
      <c r="AC595" s="79">
        <f>tbl_Data_old[[#This Row],[2032 ]]*IFERROR(AVERAGEIFS('Participation Adjustment'!$C:$C,'Participation Adjustment'!$A:$A,$H595,'Participation Adjustment'!$B:$B,$I595),1)</f>
        <v>453285.076176289</v>
      </c>
      <c r="AD595" s="79">
        <f>tbl_Data_old[[#This Row],[2033 ]]*IFERROR(AVERAGEIFS('Participation Adjustment'!$C:$C,'Participation Adjustment'!$A:$A,$H595,'Participation Adjustment'!$B:$B,$I595),1)</f>
        <v>504299.78947495</v>
      </c>
      <c r="AE595" s="79">
        <f>tbl_Data_old[[#This Row],[2034 ]]*IFERROR(AVERAGEIFS('Participation Adjustment'!$C:$C,'Participation Adjustment'!$A:$A,$H595,'Participation Adjustment'!$B:$B,$I595),1)</f>
        <v>554019.11569774197</v>
      </c>
      <c r="AF595" s="77" t="str">
        <f t="shared" si="231"/>
        <v>NonResidential</v>
      </c>
      <c r="AG595" s="77" t="str">
        <f>tbl_Data[[#This Row],[All_Meas_Name_Append]]</f>
        <v>Infiltration Reduction - Air Sealing</v>
      </c>
      <c r="AH595" s="77">
        <f>AVERAGEIFS('3. Incentive Adjustment'!G:G,'3. Incentive Adjustment'!A:A,tbl_Data[[#This Row],[Trimmed Sector]],'3. Incentive Adjustment'!B:B,tbl_Data[[#This Row],[Trimmed Measure Name]])</f>
        <v>0.66528306579610585</v>
      </c>
      <c r="AI595" s="77">
        <f>$AH595*tbl_Data[[#This Row],[2025 ]]</f>
        <v>40220.777158070385</v>
      </c>
      <c r="AJ595" s="77">
        <f>$AH595*tbl_Data[[#This Row],[2026 ]]</f>
        <v>79921.405213563485</v>
      </c>
      <c r="AK595" s="77">
        <f>$AH595*tbl_Data[[#This Row],[2027 ]]</f>
        <v>118873.50476730402</v>
      </c>
      <c r="AL595" s="77">
        <f>$AH595*tbl_Data[[#This Row],[2028 ]]</f>
        <v>157086.46734855999</v>
      </c>
      <c r="AM595" s="77">
        <f>$AH595*tbl_Data[[#This Row],[2029 ]]</f>
        <v>194521.16553934212</v>
      </c>
      <c r="AN595" s="77">
        <f>$AH595*tbl_Data[[#This Row],[2030 ]]</f>
        <v>231106.71924874966</v>
      </c>
      <c r="AO595" s="77">
        <f>$AH595*tbl_Data[[#This Row],[2031 ]]</f>
        <v>266782.0774262076</v>
      </c>
      <c r="AP595" s="77">
        <f>$AH595*tbl_Data[[#This Row],[2032 ]]</f>
        <v>301562.88515818294</v>
      </c>
      <c r="AQ595" s="77">
        <f>$AH595*tbl_Data[[#This Row],[2033 ]]</f>
        <v>335502.11002222548</v>
      </c>
      <c r="AR595" s="77">
        <f>$AH595*tbl_Data[[#This Row],[2034 ]]</f>
        <v>368579.53580104123</v>
      </c>
      <c r="AS595" s="77">
        <f>SUM(tbl_Data[[#This Row],[Adjusted 2025]:[Adjusted 2034]])</f>
        <v>2094156.6476832468</v>
      </c>
      <c r="AT595" s="80">
        <f>AVERAGEIFS('3. Incentive Adjustment'!F:F,'3. Incentive Adjustment'!A:A,tbl_Data[[#This Row],[Trimmed Sector]],'3. Incentive Adjustment'!B:B,tbl_Data[[#This Row],[Trimmed Measure Name]])</f>
        <v>0</v>
      </c>
      <c r="AU595" s="80">
        <f>IFERROR(VLOOKUP(tbl_Data[[#This Row],[All_Meas_Name_Append]],'IRA Tax Credits'!$A$3:$D$46,4,0),0)</f>
        <v>0</v>
      </c>
      <c r="AV595" s="81">
        <f>tbl_Data[[#This Row],[Adj. per unit Incentive ($)]]/tbl_Data[[#This Row],[kWh Savings]]*tbl_Data[[#This Row],[Sum of Annuals]]</f>
        <v>0</v>
      </c>
      <c r="AW595" s="81" t="str">
        <f>IFERROR(VLOOKUP(tbl_Data[[#This Row],[Column1]],'1. Set Program Names'!$B$2:$D$15,3,0)*tbl_Data[[#This Row],[Sum of Annuals]],"")</f>
        <v/>
      </c>
      <c r="AX595" s="81">
        <f>tbl_Data[[#This Row],[per unit IRA tax ($)]]/tbl_Data[[#This Row],[kWh Savings]]*tbl_Data[[#This Row],[Sum of Annuals]]</f>
        <v>0</v>
      </c>
      <c r="AY595" s="81">
        <f>tbl_Data[[#This Row],[Avoided Costs ($/unit)]]/tbl_Data[[#This Row],[kWh Savings]]*tbl_Data[[#This Row],[Sum of Annuals]]</f>
        <v>1132429.7576200073</v>
      </c>
      <c r="AZ595" s="81">
        <f>tbl_Data[[#This Row],[Lost Revenue ($/unit)]]/tbl_Data[[#This Row],[kWh Savings]]*tbl_Data[[#This Row],[Sum of Annuals]]</f>
        <v>2687637.08729462</v>
      </c>
      <c r="BA595" s="81">
        <f>tbl_Data[[#This Row],[Incremental Cost ($/unit)]]/tbl_Data[[#This Row],[kWh Savings]]*tbl_Data[[#This Row],[Sum of Annuals]]</f>
        <v>641519.77929599548</v>
      </c>
      <c r="BB595" s="77">
        <f>ROUNDUP(tbl_Data[[#This Row],[Adjusted 2025]]/$L595,0)</f>
        <v>1</v>
      </c>
      <c r="BC595" s="77">
        <f>ROUNDUP(tbl_Data[[#This Row],[Adjusted 2026]]/$L595,0)</f>
        <v>2</v>
      </c>
      <c r="BD595" s="77">
        <f>ROUNDUP(tbl_Data[[#This Row],[Adjusted 2027]]/$L595,0)</f>
        <v>3</v>
      </c>
      <c r="BE595" s="77">
        <f>ROUNDUP(tbl_Data[[#This Row],[Adjusted 2028]]/$L595,0)</f>
        <v>3</v>
      </c>
      <c r="BF595" s="77">
        <f>ROUNDUP(tbl_Data[[#This Row],[Adjusted 2029]]/$L595,0)</f>
        <v>4</v>
      </c>
      <c r="BG595" s="77">
        <f>ROUNDUP(tbl_Data[[#This Row],[Adjusted 2030]]/$L595,0)</f>
        <v>5</v>
      </c>
      <c r="BH595" s="77">
        <f>ROUNDUP(tbl_Data[[#This Row],[Adjusted 2031]]/$L595,0)</f>
        <v>5</v>
      </c>
      <c r="BI595" s="77">
        <f>ROUNDUP(tbl_Data[[#This Row],[Adjusted 2032]]/$L595,0)</f>
        <v>6</v>
      </c>
      <c r="BJ595" s="77">
        <f>ROUNDUP(tbl_Data[[#This Row],[Adjusted 2033]]/$L595,0)</f>
        <v>6</v>
      </c>
      <c r="BK595" s="77">
        <f>ROUNDUP(tbl_Data[[#This Row],[Adjusted 2034]]/$L595,0)</f>
        <v>7</v>
      </c>
      <c r="BL595" s="80">
        <f t="shared" si="232"/>
        <v>0</v>
      </c>
      <c r="BM595" s="80">
        <f t="shared" si="233"/>
        <v>0</v>
      </c>
      <c r="BN595" s="80">
        <f t="shared" si="234"/>
        <v>0</v>
      </c>
      <c r="BO595" s="80">
        <f t="shared" si="235"/>
        <v>0</v>
      </c>
      <c r="BP595" s="80">
        <f t="shared" si="236"/>
        <v>0</v>
      </c>
      <c r="BQ595" s="80">
        <f t="shared" si="237"/>
        <v>0</v>
      </c>
      <c r="BR595" s="80">
        <f t="shared" si="238"/>
        <v>0</v>
      </c>
      <c r="BS595" s="80">
        <f t="shared" si="239"/>
        <v>0</v>
      </c>
      <c r="BT595" s="80">
        <f t="shared" si="240"/>
        <v>0</v>
      </c>
      <c r="BU595" s="80">
        <f t="shared" si="241"/>
        <v>0</v>
      </c>
      <c r="BV595" s="80" t="str">
        <f>IFERROR(VLOOKUP($H595,'1. Set Program Names'!$B$2:$D$15,3,0)*V595,"NA")</f>
        <v>NA</v>
      </c>
      <c r="BW595" s="80" t="str">
        <f>IFERROR(VLOOKUP($H595,'1. Set Program Names'!$B$2:$D$15,3,0)*W595,"NA")</f>
        <v>NA</v>
      </c>
      <c r="BX595" s="80" t="str">
        <f>IFERROR(VLOOKUP($H595,'1. Set Program Names'!$B$2:$D$15,3,0)*X595,"NA")</f>
        <v>NA</v>
      </c>
      <c r="BY595" s="80" t="str">
        <f>IFERROR(VLOOKUP($H595,'1. Set Program Names'!$B$2:$D$15,3,0)*Y595,"NA")</f>
        <v>NA</v>
      </c>
      <c r="BZ595" s="80" t="str">
        <f>IFERROR(VLOOKUP($H595,'1. Set Program Names'!$B$2:$D$15,3,0)*Z595,"NA")</f>
        <v>NA</v>
      </c>
      <c r="CA595" s="80" t="str">
        <f>IFERROR(VLOOKUP($H595,'1. Set Program Names'!$B$2:$D$15,3,0)*AA595,"NA")</f>
        <v>NA</v>
      </c>
      <c r="CB595" s="80" t="str">
        <f>IFERROR(VLOOKUP($H595,'1. Set Program Names'!$B$2:$D$15,3,0)*AB595,"NA")</f>
        <v>NA</v>
      </c>
      <c r="CC595" s="80" t="str">
        <f>IFERROR(VLOOKUP($H595,'1. Set Program Names'!$B$2:$D$15,3,0)*AC595,"NA")</f>
        <v>NA</v>
      </c>
      <c r="CD595" s="80" t="str">
        <f>IFERROR(VLOOKUP($H595,'1. Set Program Names'!$B$2:$D$15,3,0)*AD595,"NA")</f>
        <v>NA</v>
      </c>
      <c r="CE595" s="80" t="str">
        <f>IFERROR(VLOOKUP($H595,'1. Set Program Names'!$B$2:$D$15,3,0)*AE595,"NA")</f>
        <v>NA</v>
      </c>
    </row>
    <row r="596" spans="1:83" x14ac:dyDescent="0.25">
      <c r="A596" s="79" t="s">
        <v>113</v>
      </c>
      <c r="B596" s="79" t="s">
        <v>88</v>
      </c>
      <c r="C596" s="79" t="s">
        <v>122</v>
      </c>
      <c r="D596" s="79" t="s">
        <v>90</v>
      </c>
      <c r="E596" s="79" t="s">
        <v>91</v>
      </c>
      <c r="F596" s="79" t="s">
        <v>90</v>
      </c>
      <c r="G596" s="79" t="s">
        <v>92</v>
      </c>
      <c r="H596" s="79" t="s">
        <v>268</v>
      </c>
      <c r="I596" s="79" t="s">
        <v>269</v>
      </c>
      <c r="J596" s="79" t="s">
        <v>144</v>
      </c>
      <c r="K596" s="79" t="s">
        <v>98</v>
      </c>
      <c r="L596" s="79">
        <v>114.663333333333</v>
      </c>
      <c r="M596" s="79">
        <v>9.9293177507311006E-3</v>
      </c>
      <c r="N596" s="79">
        <v>1.6498275913899602E-2</v>
      </c>
      <c r="O596" s="79">
        <v>32.906666666666602</v>
      </c>
      <c r="P596" s="79">
        <v>12.4845629759592</v>
      </c>
      <c r="Q596" s="79">
        <v>0.11466333333333301</v>
      </c>
      <c r="R596" s="79">
        <v>37.313940517924799</v>
      </c>
      <c r="S596" s="79">
        <v>94.317035346682403</v>
      </c>
      <c r="T596" s="79">
        <v>10</v>
      </c>
      <c r="U596" s="79">
        <v>1</v>
      </c>
      <c r="V596" s="79">
        <f>tbl_Data_old[[#This Row],[2025 ]]*IFERROR(AVERAGEIFS('Participation Adjustment'!$C:$C,'Participation Adjustment'!$A:$A,$H596,'Participation Adjustment'!$B:$B,$I596),1)</f>
        <v>25518.506796433401</v>
      </c>
      <c r="W596" s="79">
        <f>tbl_Data_old[[#This Row],[2026 ]]*IFERROR(AVERAGEIFS('Participation Adjustment'!$C:$C,'Participation Adjustment'!$A:$A,$H596,'Participation Adjustment'!$B:$B,$I596),1)</f>
        <v>60543.913526082099</v>
      </c>
      <c r="X596" s="79">
        <f>tbl_Data_old[[#This Row],[2027 ]]*IFERROR(AVERAGEIFS('Participation Adjustment'!$C:$C,'Participation Adjustment'!$A:$A,$H596,'Participation Adjustment'!$B:$B,$I596),1)</f>
        <v>107167.433680685</v>
      </c>
      <c r="Y596" s="79">
        <f>tbl_Data_old[[#This Row],[2028 ]]*IFERROR(AVERAGEIFS('Participation Adjustment'!$C:$C,'Participation Adjustment'!$A:$A,$H596,'Participation Adjustment'!$B:$B,$I596),1)</f>
        <v>167335.16746302301</v>
      </c>
      <c r="Z596" s="79">
        <f>tbl_Data_old[[#This Row],[2029 ]]*IFERROR(AVERAGEIFS('Participation Adjustment'!$C:$C,'Participation Adjustment'!$A:$A,$H596,'Participation Adjustment'!$B:$B,$I596),1)</f>
        <v>241885.75301040901</v>
      </c>
      <c r="AA596" s="79">
        <f>tbl_Data_old[[#This Row],[2030 ]]*IFERROR(AVERAGEIFS('Participation Adjustment'!$C:$C,'Participation Adjustment'!$A:$A,$H596,'Participation Adjustment'!$B:$B,$I596),1)</f>
        <v>329427.52671360498</v>
      </c>
      <c r="AB596" s="79">
        <f>tbl_Data_old[[#This Row],[2031 ]]*IFERROR(AVERAGEIFS('Participation Adjustment'!$C:$C,'Participation Adjustment'!$A:$A,$H596,'Participation Adjustment'!$B:$B,$I596),1)</f>
        <v>425664.38463171502</v>
      </c>
      <c r="AC596" s="79">
        <f>tbl_Data_old[[#This Row],[2032 ]]*IFERROR(AVERAGEIFS('Participation Adjustment'!$C:$C,'Participation Adjustment'!$A:$A,$H596,'Participation Adjustment'!$B:$B,$I596),1)</f>
        <v>523577.020928666</v>
      </c>
      <c r="AD596" s="79">
        <f>tbl_Data_old[[#This Row],[2033 ]]*IFERROR(AVERAGEIFS('Participation Adjustment'!$C:$C,'Participation Adjustment'!$A:$A,$H596,'Participation Adjustment'!$B:$B,$I596),1)</f>
        <v>614768.89178638405</v>
      </c>
      <c r="AE596" s="79">
        <f>tbl_Data_old[[#This Row],[2034 ]]*IFERROR(AVERAGEIFS('Participation Adjustment'!$C:$C,'Participation Adjustment'!$A:$A,$H596,'Participation Adjustment'!$B:$B,$I596),1)</f>
        <v>692201.84684984596</v>
      </c>
      <c r="AF596" s="77" t="str">
        <f t="shared" si="231"/>
        <v>NonResidential</v>
      </c>
      <c r="AG596" s="77" t="str">
        <f>tbl_Data[[#This Row],[All_Meas_Name_Append]]</f>
        <v>Low Flow Shower Head</v>
      </c>
      <c r="AH596" s="77">
        <f>AVERAGEIFS('3. Incentive Adjustment'!G:G,'3. Incentive Adjustment'!A:A,tbl_Data[[#This Row],[Trimmed Sector]],'3. Incentive Adjustment'!B:B,tbl_Data[[#This Row],[Trimmed Measure Name]])</f>
        <v>0.75029954061989002</v>
      </c>
      <c r="AI596" s="77">
        <f>$AH596*tbl_Data[[#This Row],[2025 ]]</f>
        <v>19146.523926669521</v>
      </c>
      <c r="AJ596" s="77">
        <f>$AH596*tbl_Data[[#This Row],[2026 ]]</f>
        <v>45426.070505949741</v>
      </c>
      <c r="AK596" s="77">
        <f>$AH596*tbl_Data[[#This Row],[2027 ]]</f>
        <v>80407.676260030494</v>
      </c>
      <c r="AL596" s="77">
        <f>$AH596*tbl_Data[[#This Row],[2028 ]]</f>
        <v>125551.49927705854</v>
      </c>
      <c r="AM596" s="77">
        <f>$AH596*tbl_Data[[#This Row],[2029 ]]</f>
        <v>181486.76936620605</v>
      </c>
      <c r="AN596" s="77">
        <f>$AH596*tbl_Data[[#This Row],[2030 ]]</f>
        <v>247169.32196076436</v>
      </c>
      <c r="AO596" s="77">
        <f>$AH596*tbl_Data[[#This Row],[2031 ]]</f>
        <v>319375.79224742396</v>
      </c>
      <c r="AP596" s="77">
        <f>$AH596*tbl_Data[[#This Row],[2032 ]]</f>
        <v>392839.59828190866</v>
      </c>
      <c r="AQ596" s="77">
        <f>$AH596*tbl_Data[[#This Row],[2033 ]]</f>
        <v>461260.81709472282</v>
      </c>
      <c r="AR596" s="77">
        <f>$AH596*tbl_Data[[#This Row],[2034 ]]</f>
        <v>519358.72770767886</v>
      </c>
      <c r="AS596" s="77">
        <f>SUM(tbl_Data[[#This Row],[Adjusted 2025]:[Adjusted 2034]])</f>
        <v>2392022.7966284128</v>
      </c>
      <c r="AT596" s="80">
        <f>AVERAGEIFS('3. Incentive Adjustment'!F:F,'3. Incentive Adjustment'!A:A,tbl_Data[[#This Row],[Trimmed Sector]],'3. Incentive Adjustment'!B:B,tbl_Data[[#This Row],[Trimmed Measure Name]])</f>
        <v>0</v>
      </c>
      <c r="AU596" s="80">
        <f>IFERROR(VLOOKUP(tbl_Data[[#This Row],[All_Meas_Name_Append]],'IRA Tax Credits'!$A$3:$D$46,4,0),0)</f>
        <v>0</v>
      </c>
      <c r="AV596" s="81">
        <f>tbl_Data[[#This Row],[Adj. per unit Incentive ($)]]/tbl_Data[[#This Row],[kWh Savings]]*tbl_Data[[#This Row],[Sum of Annuals]]</f>
        <v>0</v>
      </c>
      <c r="AW596" s="81" t="str">
        <f>IFERROR(VLOOKUP(tbl_Data[[#This Row],[Column1]],'1. Set Program Names'!$B$2:$D$15,3,0)*tbl_Data[[#This Row],[Sum of Annuals]],"")</f>
        <v/>
      </c>
      <c r="AX596" s="81">
        <f>tbl_Data[[#This Row],[per unit IRA tax ($)]]/tbl_Data[[#This Row],[kWh Savings]]*tbl_Data[[#This Row],[Sum of Annuals]]</f>
        <v>0</v>
      </c>
      <c r="AY596" s="81">
        <f>tbl_Data[[#This Row],[Avoided Costs ($/unit)]]/tbl_Data[[#This Row],[kWh Savings]]*tbl_Data[[#This Row],[Sum of Annuals]]</f>
        <v>778416.20120567153</v>
      </c>
      <c r="AZ596" s="81">
        <f>tbl_Data[[#This Row],[Lost Revenue ($/unit)]]/tbl_Data[[#This Row],[kWh Savings]]*tbl_Data[[#This Row],[Sum of Annuals]]</f>
        <v>1967573.1735777734</v>
      </c>
      <c r="BA596" s="81">
        <f>tbl_Data[[#This Row],[Incremental Cost ($/unit)]]/tbl_Data[[#This Row],[kWh Savings]]*tbl_Data[[#This Row],[Sum of Annuals]]</f>
        <v>686474.86986004584</v>
      </c>
      <c r="BB596" s="77">
        <f>ROUNDUP(tbl_Data[[#This Row],[Adjusted 2025]]/$L596,0)</f>
        <v>167</v>
      </c>
      <c r="BC596" s="77">
        <f>ROUNDUP(tbl_Data[[#This Row],[Adjusted 2026]]/$L596,0)</f>
        <v>397</v>
      </c>
      <c r="BD596" s="77">
        <f>ROUNDUP(tbl_Data[[#This Row],[Adjusted 2027]]/$L596,0)</f>
        <v>702</v>
      </c>
      <c r="BE596" s="77">
        <f>ROUNDUP(tbl_Data[[#This Row],[Adjusted 2028]]/$L596,0)</f>
        <v>1095</v>
      </c>
      <c r="BF596" s="77">
        <f>ROUNDUP(tbl_Data[[#This Row],[Adjusted 2029]]/$L596,0)</f>
        <v>1583</v>
      </c>
      <c r="BG596" s="77">
        <f>ROUNDUP(tbl_Data[[#This Row],[Adjusted 2030]]/$L596,0)</f>
        <v>2156</v>
      </c>
      <c r="BH596" s="77">
        <f>ROUNDUP(tbl_Data[[#This Row],[Adjusted 2031]]/$L596,0)</f>
        <v>2786</v>
      </c>
      <c r="BI596" s="77">
        <f>ROUNDUP(tbl_Data[[#This Row],[Adjusted 2032]]/$L596,0)</f>
        <v>3427</v>
      </c>
      <c r="BJ596" s="77">
        <f>ROUNDUP(tbl_Data[[#This Row],[Adjusted 2033]]/$L596,0)</f>
        <v>4023</v>
      </c>
      <c r="BK596" s="77">
        <f>ROUNDUP(tbl_Data[[#This Row],[Adjusted 2034]]/$L596,0)</f>
        <v>4530</v>
      </c>
      <c r="BL596" s="80">
        <f t="shared" si="232"/>
        <v>0</v>
      </c>
      <c r="BM596" s="80">
        <f t="shared" si="233"/>
        <v>0</v>
      </c>
      <c r="BN596" s="80">
        <f t="shared" si="234"/>
        <v>0</v>
      </c>
      <c r="BO596" s="80">
        <f t="shared" si="235"/>
        <v>0</v>
      </c>
      <c r="BP596" s="80">
        <f t="shared" si="236"/>
        <v>0</v>
      </c>
      <c r="BQ596" s="80">
        <f t="shared" si="237"/>
        <v>0</v>
      </c>
      <c r="BR596" s="80">
        <f t="shared" si="238"/>
        <v>0</v>
      </c>
      <c r="BS596" s="80">
        <f t="shared" si="239"/>
        <v>0</v>
      </c>
      <c r="BT596" s="80">
        <f t="shared" si="240"/>
        <v>0</v>
      </c>
      <c r="BU596" s="80">
        <f t="shared" si="241"/>
        <v>0</v>
      </c>
      <c r="BV596" s="80" t="str">
        <f>IFERROR(VLOOKUP($H596,'1. Set Program Names'!$B$2:$D$15,3,0)*V596,"NA")</f>
        <v>NA</v>
      </c>
      <c r="BW596" s="80" t="str">
        <f>IFERROR(VLOOKUP($H596,'1. Set Program Names'!$B$2:$D$15,3,0)*W596,"NA")</f>
        <v>NA</v>
      </c>
      <c r="BX596" s="80" t="str">
        <f>IFERROR(VLOOKUP($H596,'1. Set Program Names'!$B$2:$D$15,3,0)*X596,"NA")</f>
        <v>NA</v>
      </c>
      <c r="BY596" s="80" t="str">
        <f>IFERROR(VLOOKUP($H596,'1. Set Program Names'!$B$2:$D$15,3,0)*Y596,"NA")</f>
        <v>NA</v>
      </c>
      <c r="BZ596" s="80" t="str">
        <f>IFERROR(VLOOKUP($H596,'1. Set Program Names'!$B$2:$D$15,3,0)*Z596,"NA")</f>
        <v>NA</v>
      </c>
      <c r="CA596" s="80" t="str">
        <f>IFERROR(VLOOKUP($H596,'1. Set Program Names'!$B$2:$D$15,3,0)*AA596,"NA")</f>
        <v>NA</v>
      </c>
      <c r="CB596" s="80" t="str">
        <f>IFERROR(VLOOKUP($H596,'1. Set Program Names'!$B$2:$D$15,3,0)*AB596,"NA")</f>
        <v>NA</v>
      </c>
      <c r="CC596" s="80" t="str">
        <f>IFERROR(VLOOKUP($H596,'1. Set Program Names'!$B$2:$D$15,3,0)*AC596,"NA")</f>
        <v>NA</v>
      </c>
      <c r="CD596" s="80" t="str">
        <f>IFERROR(VLOOKUP($H596,'1. Set Program Names'!$B$2:$D$15,3,0)*AD596,"NA")</f>
        <v>NA</v>
      </c>
      <c r="CE596" s="80" t="str">
        <f>IFERROR(VLOOKUP($H596,'1. Set Program Names'!$B$2:$D$15,3,0)*AE596,"NA")</f>
        <v>NA</v>
      </c>
    </row>
    <row r="597" spans="1:83" x14ac:dyDescent="0.25">
      <c r="A597" s="79" t="s">
        <v>113</v>
      </c>
      <c r="B597" s="79" t="s">
        <v>88</v>
      </c>
      <c r="C597" s="79" t="s">
        <v>122</v>
      </c>
      <c r="D597" s="79" t="s">
        <v>90</v>
      </c>
      <c r="E597" s="79" t="s">
        <v>91</v>
      </c>
      <c r="F597" s="79" t="s">
        <v>90</v>
      </c>
      <c r="G597" s="79" t="s">
        <v>92</v>
      </c>
      <c r="H597" s="79" t="s">
        <v>268</v>
      </c>
      <c r="I597" s="79" t="s">
        <v>151</v>
      </c>
      <c r="J597" s="79" t="s">
        <v>137</v>
      </c>
      <c r="K597" s="79" t="s">
        <v>152</v>
      </c>
      <c r="L597" s="79">
        <v>746</v>
      </c>
      <c r="M597" s="79">
        <v>0.118390986607413</v>
      </c>
      <c r="N597" s="79">
        <v>0.122042488273403</v>
      </c>
      <c r="O597" s="79">
        <v>233.28</v>
      </c>
      <c r="P597" s="79">
        <v>79.822614261305304</v>
      </c>
      <c r="Q597" s="79">
        <v>0.746</v>
      </c>
      <c r="R597" s="79">
        <v>287.47532526616499</v>
      </c>
      <c r="S597" s="79">
        <v>613.62692260203801</v>
      </c>
      <c r="T597" s="79">
        <v>10</v>
      </c>
      <c r="U597" s="79">
        <v>1</v>
      </c>
      <c r="V597" s="79">
        <f>tbl_Data_old[[#This Row],[2025 ]]*IFERROR(AVERAGEIFS('Participation Adjustment'!$C:$C,'Participation Adjustment'!$A:$A,$H597,'Participation Adjustment'!$B:$B,$I597),1)</f>
        <v>22783.746486718599</v>
      </c>
      <c r="W597" s="79">
        <f>tbl_Data_old[[#This Row],[2026 ]]*IFERROR(AVERAGEIFS('Participation Adjustment'!$C:$C,'Participation Adjustment'!$A:$A,$H597,'Participation Adjustment'!$B:$B,$I597),1)</f>
        <v>50007.4169857218</v>
      </c>
      <c r="X597" s="79">
        <f>tbl_Data_old[[#This Row],[2027 ]]*IFERROR(AVERAGEIFS('Participation Adjustment'!$C:$C,'Participation Adjustment'!$A:$A,$H597,'Participation Adjustment'!$B:$B,$I597),1)</f>
        <v>81991.868944752001</v>
      </c>
      <c r="Y597" s="79">
        <f>tbl_Data_old[[#This Row],[2028 ]]*IFERROR(AVERAGEIFS('Participation Adjustment'!$C:$C,'Participation Adjustment'!$A:$A,$H597,'Participation Adjustment'!$B:$B,$I597),1)</f>
        <v>119182.027592717</v>
      </c>
      <c r="Z597" s="79">
        <f>tbl_Data_old[[#This Row],[2029 ]]*IFERROR(AVERAGEIFS('Participation Adjustment'!$C:$C,'Participation Adjustment'!$A:$A,$H597,'Participation Adjustment'!$B:$B,$I597),1)</f>
        <v>161948.50338838701</v>
      </c>
      <c r="AA597" s="79">
        <f>tbl_Data_old[[#This Row],[2030 ]]*IFERROR(AVERAGEIFS('Participation Adjustment'!$C:$C,'Participation Adjustment'!$A:$A,$H597,'Participation Adjustment'!$B:$B,$I597),1)</f>
        <v>210510.72103636499</v>
      </c>
      <c r="AB597" s="79">
        <f>tbl_Data_old[[#This Row],[2031 ]]*IFERROR(AVERAGEIFS('Participation Adjustment'!$C:$C,'Participation Adjustment'!$A:$A,$H597,'Participation Adjustment'!$B:$B,$I597),1)</f>
        <v>265013.40884433599</v>
      </c>
      <c r="AC597" s="79">
        <f>tbl_Data_old[[#This Row],[2032 ]]*IFERROR(AVERAGEIFS('Participation Adjustment'!$C:$C,'Participation Adjustment'!$A:$A,$H597,'Participation Adjustment'!$B:$B,$I597),1)</f>
        <v>325605.93894551398</v>
      </c>
      <c r="AD597" s="79">
        <f>tbl_Data_old[[#This Row],[2033 ]]*IFERROR(AVERAGEIFS('Participation Adjustment'!$C:$C,'Participation Adjustment'!$A:$A,$H597,'Participation Adjustment'!$B:$B,$I597),1)</f>
        <v>392344.10417250602</v>
      </c>
      <c r="AE597" s="79">
        <f>tbl_Data_old[[#This Row],[2034 ]]*IFERROR(AVERAGEIFS('Participation Adjustment'!$C:$C,'Participation Adjustment'!$A:$A,$H597,'Participation Adjustment'!$B:$B,$I597),1)</f>
        <v>465146.322600474</v>
      </c>
      <c r="AF597" s="77" t="str">
        <f t="shared" si="231"/>
        <v>NonResidential</v>
      </c>
      <c r="AG597" s="77" t="str">
        <f>tbl_Data[[#This Row],[All_Meas_Name_Append]]</f>
        <v>Ozone Laundry Commercial</v>
      </c>
      <c r="AH597" s="77">
        <f>AVERAGEIFS('3. Incentive Adjustment'!G:G,'3. Incentive Adjustment'!A:A,tbl_Data[[#This Row],[Trimmed Sector]],'3. Incentive Adjustment'!B:B,tbl_Data[[#This Row],[Trimmed Measure Name]])</f>
        <v>0.75402928491932286</v>
      </c>
      <c r="AI597" s="77">
        <f>$AH597*tbl_Data[[#This Row],[2025 ]]</f>
        <v>17179.612071163559</v>
      </c>
      <c r="AJ597" s="77">
        <f>$AH597*tbl_Data[[#This Row],[2026 ]]</f>
        <v>37707.05687040621</v>
      </c>
      <c r="AK597" s="77">
        <f>$AH597*tbl_Data[[#This Row],[2027 ]]</f>
        <v>61824.270309610183</v>
      </c>
      <c r="AL597" s="77">
        <f>$AH597*tbl_Data[[#This Row],[2028 ]]</f>
        <v>89866.739040971413</v>
      </c>
      <c r="AM597" s="77">
        <f>$AH597*tbl_Data[[#This Row],[2029 ]]</f>
        <v>122113.91420369998</v>
      </c>
      <c r="AN597" s="77">
        <f>$AH597*tbl_Data[[#This Row],[2030 ]]</f>
        <v>158731.24845090136</v>
      </c>
      <c r="AO597" s="77">
        <f>$AH597*tbl_Data[[#This Row],[2031 ]]</f>
        <v>199827.87116492682</v>
      </c>
      <c r="AP597" s="77">
        <f>$AH597*tbl_Data[[#This Row],[2032 ]]</f>
        <v>245516.4133085706</v>
      </c>
      <c r="AQ597" s="77">
        <f>$AH597*tbl_Data[[#This Row],[2033 ]]</f>
        <v>295838.94431150705</v>
      </c>
      <c r="AR597" s="77">
        <f>$AH597*tbl_Data[[#This Row],[2034 ]]</f>
        <v>350733.94901328807</v>
      </c>
      <c r="AS597" s="77">
        <f>SUM(tbl_Data[[#This Row],[Adjusted 2025]:[Adjusted 2034]])</f>
        <v>1579340.0187450452</v>
      </c>
      <c r="AT597" s="80">
        <f>AVERAGEIFS('3. Incentive Adjustment'!F:F,'3. Incentive Adjustment'!A:A,tbl_Data[[#This Row],[Trimmed Sector]],'3. Incentive Adjustment'!B:B,tbl_Data[[#This Row],[Trimmed Measure Name]])</f>
        <v>0</v>
      </c>
      <c r="AU597" s="80">
        <f>IFERROR(VLOOKUP(tbl_Data[[#This Row],[All_Meas_Name_Append]],'IRA Tax Credits'!$A$3:$D$46,4,0),0)</f>
        <v>0</v>
      </c>
      <c r="AV597" s="81">
        <f>tbl_Data[[#This Row],[Adj. per unit Incentive ($)]]/tbl_Data[[#This Row],[kWh Savings]]*tbl_Data[[#This Row],[Sum of Annuals]]</f>
        <v>0</v>
      </c>
      <c r="AW597" s="81" t="str">
        <f>IFERROR(VLOOKUP(tbl_Data[[#This Row],[Column1]],'1. Set Program Names'!$B$2:$D$15,3,0)*tbl_Data[[#This Row],[Sum of Annuals]],"")</f>
        <v/>
      </c>
      <c r="AX597" s="81">
        <f>tbl_Data[[#This Row],[per unit IRA tax ($)]]/tbl_Data[[#This Row],[kWh Savings]]*tbl_Data[[#This Row],[Sum of Annuals]]</f>
        <v>0</v>
      </c>
      <c r="AY597" s="81">
        <f>tbl_Data[[#This Row],[Avoided Costs ($/unit)]]/tbl_Data[[#This Row],[kWh Savings]]*tbl_Data[[#This Row],[Sum of Annuals]]</f>
        <v>608607.62144048652</v>
      </c>
      <c r="AZ597" s="81">
        <f>tbl_Data[[#This Row],[Lost Revenue ($/unit)]]/tbl_Data[[#This Row],[kWh Savings]]*tbl_Data[[#This Row],[Sum of Annuals]]</f>
        <v>1299095.9188267656</v>
      </c>
      <c r="BA597" s="81">
        <f>tbl_Data[[#This Row],[Incremental Cost ($/unit)]]/tbl_Data[[#This Row],[kWh Savings]]*tbl_Data[[#This Row],[Sum of Annuals]]</f>
        <v>493871.90291265975</v>
      </c>
      <c r="BB597" s="77">
        <f>ROUNDUP(tbl_Data[[#This Row],[Adjusted 2025]]/$L597,0)</f>
        <v>24</v>
      </c>
      <c r="BC597" s="77">
        <f>ROUNDUP(tbl_Data[[#This Row],[Adjusted 2026]]/$L597,0)</f>
        <v>51</v>
      </c>
      <c r="BD597" s="77">
        <f>ROUNDUP(tbl_Data[[#This Row],[Adjusted 2027]]/$L597,0)</f>
        <v>83</v>
      </c>
      <c r="BE597" s="77">
        <f>ROUNDUP(tbl_Data[[#This Row],[Adjusted 2028]]/$L597,0)</f>
        <v>121</v>
      </c>
      <c r="BF597" s="77">
        <f>ROUNDUP(tbl_Data[[#This Row],[Adjusted 2029]]/$L597,0)</f>
        <v>164</v>
      </c>
      <c r="BG597" s="77">
        <f>ROUNDUP(tbl_Data[[#This Row],[Adjusted 2030]]/$L597,0)</f>
        <v>213</v>
      </c>
      <c r="BH597" s="77">
        <f>ROUNDUP(tbl_Data[[#This Row],[Adjusted 2031]]/$L597,0)</f>
        <v>268</v>
      </c>
      <c r="BI597" s="77">
        <f>ROUNDUP(tbl_Data[[#This Row],[Adjusted 2032]]/$L597,0)</f>
        <v>330</v>
      </c>
      <c r="BJ597" s="77">
        <f>ROUNDUP(tbl_Data[[#This Row],[Adjusted 2033]]/$L597,0)</f>
        <v>397</v>
      </c>
      <c r="BK597" s="77">
        <f>ROUNDUP(tbl_Data[[#This Row],[Adjusted 2034]]/$L597,0)</f>
        <v>471</v>
      </c>
      <c r="BL597" s="80">
        <f t="shared" si="232"/>
        <v>0</v>
      </c>
      <c r="BM597" s="80">
        <f t="shared" si="233"/>
        <v>0</v>
      </c>
      <c r="BN597" s="80">
        <f t="shared" si="234"/>
        <v>0</v>
      </c>
      <c r="BO597" s="80">
        <f t="shared" si="235"/>
        <v>0</v>
      </c>
      <c r="BP597" s="80">
        <f t="shared" si="236"/>
        <v>0</v>
      </c>
      <c r="BQ597" s="80">
        <f t="shared" si="237"/>
        <v>0</v>
      </c>
      <c r="BR597" s="80">
        <f t="shared" si="238"/>
        <v>0</v>
      </c>
      <c r="BS597" s="80">
        <f t="shared" si="239"/>
        <v>0</v>
      </c>
      <c r="BT597" s="80">
        <f t="shared" si="240"/>
        <v>0</v>
      </c>
      <c r="BU597" s="80">
        <f t="shared" si="241"/>
        <v>0</v>
      </c>
      <c r="BV597" s="80" t="str">
        <f>IFERROR(VLOOKUP($H597,'1. Set Program Names'!$B$2:$D$15,3,0)*V597,"NA")</f>
        <v>NA</v>
      </c>
      <c r="BW597" s="80" t="str">
        <f>IFERROR(VLOOKUP($H597,'1. Set Program Names'!$B$2:$D$15,3,0)*W597,"NA")</f>
        <v>NA</v>
      </c>
      <c r="BX597" s="80" t="str">
        <f>IFERROR(VLOOKUP($H597,'1. Set Program Names'!$B$2:$D$15,3,0)*X597,"NA")</f>
        <v>NA</v>
      </c>
      <c r="BY597" s="80" t="str">
        <f>IFERROR(VLOOKUP($H597,'1. Set Program Names'!$B$2:$D$15,3,0)*Y597,"NA")</f>
        <v>NA</v>
      </c>
      <c r="BZ597" s="80" t="str">
        <f>IFERROR(VLOOKUP($H597,'1. Set Program Names'!$B$2:$D$15,3,0)*Z597,"NA")</f>
        <v>NA</v>
      </c>
      <c r="CA597" s="80" t="str">
        <f>IFERROR(VLOOKUP($H597,'1. Set Program Names'!$B$2:$D$15,3,0)*AA597,"NA")</f>
        <v>NA</v>
      </c>
      <c r="CB597" s="80" t="str">
        <f>IFERROR(VLOOKUP($H597,'1. Set Program Names'!$B$2:$D$15,3,0)*AB597,"NA")</f>
        <v>NA</v>
      </c>
      <c r="CC597" s="80" t="str">
        <f>IFERROR(VLOOKUP($H597,'1. Set Program Names'!$B$2:$D$15,3,0)*AC597,"NA")</f>
        <v>NA</v>
      </c>
      <c r="CD597" s="80" t="str">
        <f>IFERROR(VLOOKUP($H597,'1. Set Program Names'!$B$2:$D$15,3,0)*AD597,"NA")</f>
        <v>NA</v>
      </c>
      <c r="CE597" s="80" t="str">
        <f>IFERROR(VLOOKUP($H597,'1. Set Program Names'!$B$2:$D$15,3,0)*AE597,"NA")</f>
        <v>NA</v>
      </c>
    </row>
    <row r="598" spans="1:83" x14ac:dyDescent="0.25">
      <c r="A598" s="79" t="s">
        <v>113</v>
      </c>
      <c r="B598" s="79" t="s">
        <v>88</v>
      </c>
      <c r="C598" s="79" t="s">
        <v>122</v>
      </c>
      <c r="D598" s="79" t="s">
        <v>90</v>
      </c>
      <c r="E598" s="79" t="s">
        <v>91</v>
      </c>
      <c r="F598" s="79" t="s">
        <v>90</v>
      </c>
      <c r="G598" s="79" t="s">
        <v>92</v>
      </c>
      <c r="H598" s="79" t="s">
        <v>268</v>
      </c>
      <c r="I598" s="79" t="s">
        <v>153</v>
      </c>
      <c r="J598" s="79" t="s">
        <v>129</v>
      </c>
      <c r="K598" s="79" t="s">
        <v>102</v>
      </c>
      <c r="L598" s="79">
        <v>1285.73999999999</v>
      </c>
      <c r="M598" s="79">
        <v>0.191067583335012</v>
      </c>
      <c r="N598" s="79">
        <v>3.6175165669598698E-2</v>
      </c>
      <c r="O598" s="79">
        <v>304.38999999999902</v>
      </c>
      <c r="P598" s="79">
        <v>39.904344316796902</v>
      </c>
      <c r="Q598" s="79">
        <v>1.2857399999999899</v>
      </c>
      <c r="R598" s="79">
        <v>497.118469789904</v>
      </c>
      <c r="S598" s="79">
        <v>1133.43981342083</v>
      </c>
      <c r="T598" s="79">
        <v>11</v>
      </c>
      <c r="U598" s="79">
        <v>1</v>
      </c>
      <c r="V598" s="79">
        <f>tbl_Data_old[[#This Row],[2025 ]]*IFERROR(AVERAGEIFS('Participation Adjustment'!$C:$C,'Participation Adjustment'!$A:$A,$H598,'Participation Adjustment'!$B:$B,$I598),1)</f>
        <v>1426.84815540609</v>
      </c>
      <c r="W598" s="79">
        <f>tbl_Data_old[[#This Row],[2026 ]]*IFERROR(AVERAGEIFS('Participation Adjustment'!$C:$C,'Participation Adjustment'!$A:$A,$H598,'Participation Adjustment'!$B:$B,$I598),1)</f>
        <v>2617.3878762067402</v>
      </c>
      <c r="X598" s="79">
        <f>tbl_Data_old[[#This Row],[2027 ]]*IFERROR(AVERAGEIFS('Participation Adjustment'!$C:$C,'Participation Adjustment'!$A:$A,$H598,'Participation Adjustment'!$B:$B,$I598),1)</f>
        <v>3603.0283630444001</v>
      </c>
      <c r="Y598" s="79">
        <f>tbl_Data_old[[#This Row],[2028 ]]*IFERROR(AVERAGEIFS('Participation Adjustment'!$C:$C,'Participation Adjustment'!$A:$A,$H598,'Participation Adjustment'!$B:$B,$I598),1)</f>
        <v>4420.3562737852099</v>
      </c>
      <c r="Z598" s="79">
        <f>tbl_Data_old[[#This Row],[2029 ]]*IFERROR(AVERAGEIFS('Participation Adjustment'!$C:$C,'Participation Adjustment'!$A:$A,$H598,'Participation Adjustment'!$B:$B,$I598),1)</f>
        <v>5099.6621647575603</v>
      </c>
      <c r="AA598" s="79">
        <f>tbl_Data_old[[#This Row],[2030 ]]*IFERROR(AVERAGEIFS('Participation Adjustment'!$C:$C,'Participation Adjustment'!$A:$A,$H598,'Participation Adjustment'!$B:$B,$I598),1)</f>
        <v>5665.5043057515504</v>
      </c>
      <c r="AB598" s="79">
        <f>tbl_Data_old[[#This Row],[2031 ]]*IFERROR(AVERAGEIFS('Participation Adjustment'!$C:$C,'Participation Adjustment'!$A:$A,$H598,'Participation Adjustment'!$B:$B,$I598),1)</f>
        <v>6138.6497668376696</v>
      </c>
      <c r="AC598" s="79">
        <f>tbl_Data_old[[#This Row],[2032 ]]*IFERROR(AVERAGEIFS('Participation Adjustment'!$C:$C,'Participation Adjustment'!$A:$A,$H598,'Participation Adjustment'!$B:$B,$I598),1)</f>
        <v>6536.9741999230901</v>
      </c>
      <c r="AD598" s="79">
        <f>tbl_Data_old[[#This Row],[2033 ]]*IFERROR(AVERAGEIFS('Participation Adjustment'!$C:$C,'Participation Adjustment'!$A:$A,$H598,'Participation Adjustment'!$B:$B,$I598),1)</f>
        <v>6875.5995948333903</v>
      </c>
      <c r="AE598" s="79">
        <f>tbl_Data_old[[#This Row],[2034 ]]*IFERROR(AVERAGEIFS('Participation Adjustment'!$C:$C,'Participation Adjustment'!$A:$A,$H598,'Participation Adjustment'!$B:$B,$I598),1)</f>
        <v>7165.8409355854401</v>
      </c>
      <c r="AF598" s="77" t="str">
        <f t="shared" ref="AF598:AF629" si="242">IF(C598="Residential","Residential","NonResidential")</f>
        <v>NonResidential</v>
      </c>
      <c r="AG598" s="77" t="str">
        <f>tbl_Data[[#This Row],[All_Meas_Name_Append]]</f>
        <v>Programmable thermostat</v>
      </c>
      <c r="AH598" s="77">
        <f>AVERAGEIFS('3. Incentive Adjustment'!G:G,'3. Incentive Adjustment'!A:A,tbl_Data[[#This Row],[Trimmed Sector]],'3. Incentive Adjustment'!B:B,tbl_Data[[#This Row],[Trimmed Measure Name]])</f>
        <v>0.92137383531364503</v>
      </c>
      <c r="AI598" s="77">
        <f>$AH598*tbl_Data[[#This Row],[2025 ]]</f>
        <v>1314.660557356709</v>
      </c>
      <c r="AJ598" s="77">
        <f>$AH598*tbl_Data[[#This Row],[2026 ]]</f>
        <v>2411.5927060040403</v>
      </c>
      <c r="AK598" s="77">
        <f>$AH598*tbl_Data[[#This Row],[2027 ]]</f>
        <v>3319.7360616020633</v>
      </c>
      <c r="AL598" s="77">
        <f>$AH598*tbl_Data[[#This Row],[2028 ]]</f>
        <v>4072.8006134302113</v>
      </c>
      <c r="AM598" s="77">
        <f>$AH598*tbl_Data[[#This Row],[2029 ]]</f>
        <v>4698.6952875465586</v>
      </c>
      <c r="AN598" s="77">
        <f>$AH598*tbl_Data[[#This Row],[2030 ]]</f>
        <v>5220.0474311762755</v>
      </c>
      <c r="AO598" s="77">
        <f>$AH598*tbl_Data[[#This Row],[2031 ]]</f>
        <v>5655.9912793184367</v>
      </c>
      <c r="AP598" s="77">
        <f>$AH598*tbl_Data[[#This Row],[2032 ]]</f>
        <v>6022.9969899294838</v>
      </c>
      <c r="AQ598" s="77">
        <f>$AH598*tbl_Data[[#This Row],[2033 ]]</f>
        <v>6334.9975687725846</v>
      </c>
      <c r="AR598" s="77">
        <f>$AH598*tbl_Data[[#This Row],[2034 ]]</f>
        <v>6602.4183460678751</v>
      </c>
      <c r="AS598" s="77">
        <f>SUM(tbl_Data[[#This Row],[Adjusted 2025]:[Adjusted 2034]])</f>
        <v>45653.936841204239</v>
      </c>
      <c r="AT598" s="80">
        <f>AVERAGEIFS('3. Incentive Adjustment'!F:F,'3. Incentive Adjustment'!A:A,tbl_Data[[#This Row],[Trimmed Sector]],'3. Incentive Adjustment'!B:B,tbl_Data[[#This Row],[Trimmed Measure Name]])</f>
        <v>0</v>
      </c>
      <c r="AU598" s="80">
        <f>IFERROR(VLOOKUP(tbl_Data[[#This Row],[All_Meas_Name_Append]],'IRA Tax Credits'!$A$3:$D$46,4,0),0)</f>
        <v>0</v>
      </c>
      <c r="AV598" s="81">
        <f>tbl_Data[[#This Row],[Adj. per unit Incentive ($)]]/tbl_Data[[#This Row],[kWh Savings]]*tbl_Data[[#This Row],[Sum of Annuals]]</f>
        <v>0</v>
      </c>
      <c r="AW598" s="81" t="str">
        <f>IFERROR(VLOOKUP(tbl_Data[[#This Row],[Column1]],'1. Set Program Names'!$B$2:$D$15,3,0)*tbl_Data[[#This Row],[Sum of Annuals]],"")</f>
        <v/>
      </c>
      <c r="AX598" s="81">
        <f>tbl_Data[[#This Row],[per unit IRA tax ($)]]/tbl_Data[[#This Row],[kWh Savings]]*tbl_Data[[#This Row],[Sum of Annuals]]</f>
        <v>0</v>
      </c>
      <c r="AY598" s="81">
        <f>tbl_Data[[#This Row],[Avoided Costs ($/unit)]]/tbl_Data[[#This Row],[kWh Savings]]*tbl_Data[[#This Row],[Sum of Annuals]]</f>
        <v>17651.636584678516</v>
      </c>
      <c r="AZ598" s="81">
        <f>tbl_Data[[#This Row],[Lost Revenue ($/unit)]]/tbl_Data[[#This Row],[kWh Savings]]*tbl_Data[[#This Row],[Sum of Annuals]]</f>
        <v>40246.07592143146</v>
      </c>
      <c r="BA598" s="81">
        <f>tbl_Data[[#This Row],[Incremental Cost ($/unit)]]/tbl_Data[[#This Row],[kWh Savings]]*tbl_Data[[#This Row],[Sum of Annuals]]</f>
        <v>10808.251928923593</v>
      </c>
      <c r="BB598" s="77">
        <f>ROUNDUP(tbl_Data[[#This Row],[Adjusted 2025]]/$L598,0)</f>
        <v>2</v>
      </c>
      <c r="BC598" s="77">
        <f>ROUNDUP(tbl_Data[[#This Row],[Adjusted 2026]]/$L598,0)</f>
        <v>2</v>
      </c>
      <c r="BD598" s="77">
        <f>ROUNDUP(tbl_Data[[#This Row],[Adjusted 2027]]/$L598,0)</f>
        <v>3</v>
      </c>
      <c r="BE598" s="77">
        <f>ROUNDUP(tbl_Data[[#This Row],[Adjusted 2028]]/$L598,0)</f>
        <v>4</v>
      </c>
      <c r="BF598" s="77">
        <f>ROUNDUP(tbl_Data[[#This Row],[Adjusted 2029]]/$L598,0)</f>
        <v>4</v>
      </c>
      <c r="BG598" s="77">
        <f>ROUNDUP(tbl_Data[[#This Row],[Adjusted 2030]]/$L598,0)</f>
        <v>5</v>
      </c>
      <c r="BH598" s="77">
        <f>ROUNDUP(tbl_Data[[#This Row],[Adjusted 2031]]/$L598,0)</f>
        <v>5</v>
      </c>
      <c r="BI598" s="77">
        <f>ROUNDUP(tbl_Data[[#This Row],[Adjusted 2032]]/$L598,0)</f>
        <v>5</v>
      </c>
      <c r="BJ598" s="77">
        <f>ROUNDUP(tbl_Data[[#This Row],[Adjusted 2033]]/$L598,0)</f>
        <v>5</v>
      </c>
      <c r="BK598" s="77">
        <f>ROUNDUP(tbl_Data[[#This Row],[Adjusted 2034]]/$L598,0)</f>
        <v>6</v>
      </c>
      <c r="BL598" s="80">
        <f t="shared" ref="BL598:BL629" si="243">$AT598/$L598*V598</f>
        <v>0</v>
      </c>
      <c r="BM598" s="80">
        <f t="shared" ref="BM598:BM629" si="244">$AT598/$L598*W598</f>
        <v>0</v>
      </c>
      <c r="BN598" s="80">
        <f t="shared" ref="BN598:BN629" si="245">$AT598/$L598*X598</f>
        <v>0</v>
      </c>
      <c r="BO598" s="80">
        <f t="shared" ref="BO598:BO629" si="246">$AT598/$L598*Y598</f>
        <v>0</v>
      </c>
      <c r="BP598" s="80">
        <f t="shared" ref="BP598:BP629" si="247">$AT598/$L598*Z598</f>
        <v>0</v>
      </c>
      <c r="BQ598" s="80">
        <f t="shared" ref="BQ598:BQ629" si="248">$AT598/$L598*AA598</f>
        <v>0</v>
      </c>
      <c r="BR598" s="80">
        <f t="shared" ref="BR598:BR629" si="249">$AT598/$L598*AB598</f>
        <v>0</v>
      </c>
      <c r="BS598" s="80">
        <f t="shared" ref="BS598:BS629" si="250">$AT598/$L598*AC598</f>
        <v>0</v>
      </c>
      <c r="BT598" s="80">
        <f t="shared" ref="BT598:BT629" si="251">$AT598/$L598*AD598</f>
        <v>0</v>
      </c>
      <c r="BU598" s="80">
        <f t="shared" ref="BU598:BU629" si="252">$AT598/$L598*AE598</f>
        <v>0</v>
      </c>
      <c r="BV598" s="80" t="str">
        <f>IFERROR(VLOOKUP($H598,'1. Set Program Names'!$B$2:$D$15,3,0)*V598,"NA")</f>
        <v>NA</v>
      </c>
      <c r="BW598" s="80" t="str">
        <f>IFERROR(VLOOKUP($H598,'1. Set Program Names'!$B$2:$D$15,3,0)*W598,"NA")</f>
        <v>NA</v>
      </c>
      <c r="BX598" s="80" t="str">
        <f>IFERROR(VLOOKUP($H598,'1. Set Program Names'!$B$2:$D$15,3,0)*X598,"NA")</f>
        <v>NA</v>
      </c>
      <c r="BY598" s="80" t="str">
        <f>IFERROR(VLOOKUP($H598,'1. Set Program Names'!$B$2:$D$15,3,0)*Y598,"NA")</f>
        <v>NA</v>
      </c>
      <c r="BZ598" s="80" t="str">
        <f>IFERROR(VLOOKUP($H598,'1. Set Program Names'!$B$2:$D$15,3,0)*Z598,"NA")</f>
        <v>NA</v>
      </c>
      <c r="CA598" s="80" t="str">
        <f>IFERROR(VLOOKUP($H598,'1. Set Program Names'!$B$2:$D$15,3,0)*AA598,"NA")</f>
        <v>NA</v>
      </c>
      <c r="CB598" s="80" t="str">
        <f>IFERROR(VLOOKUP($H598,'1. Set Program Names'!$B$2:$D$15,3,0)*AB598,"NA")</f>
        <v>NA</v>
      </c>
      <c r="CC598" s="80" t="str">
        <f>IFERROR(VLOOKUP($H598,'1. Set Program Names'!$B$2:$D$15,3,0)*AC598,"NA")</f>
        <v>NA</v>
      </c>
      <c r="CD598" s="80" t="str">
        <f>IFERROR(VLOOKUP($H598,'1. Set Program Names'!$B$2:$D$15,3,0)*AD598,"NA")</f>
        <v>NA</v>
      </c>
      <c r="CE598" s="80" t="str">
        <f>IFERROR(VLOOKUP($H598,'1. Set Program Names'!$B$2:$D$15,3,0)*AE598,"NA")</f>
        <v>NA</v>
      </c>
    </row>
    <row r="599" spans="1:83" x14ac:dyDescent="0.25">
      <c r="A599" s="79" t="s">
        <v>113</v>
      </c>
      <c r="B599" s="79" t="s">
        <v>88</v>
      </c>
      <c r="C599" s="79" t="s">
        <v>122</v>
      </c>
      <c r="D599" s="79" t="s">
        <v>90</v>
      </c>
      <c r="E599" s="79" t="s">
        <v>91</v>
      </c>
      <c r="F599" s="79" t="s">
        <v>90</v>
      </c>
      <c r="G599" s="79" t="s">
        <v>92</v>
      </c>
      <c r="H599" s="79" t="s">
        <v>268</v>
      </c>
      <c r="I599" s="79" t="s">
        <v>156</v>
      </c>
      <c r="J599" s="79" t="s">
        <v>129</v>
      </c>
      <c r="K599" s="79" t="s">
        <v>102</v>
      </c>
      <c r="L599" s="79">
        <v>1074.99714285714</v>
      </c>
      <c r="M599" s="79">
        <v>0.35483647389159401</v>
      </c>
      <c r="N599" s="79">
        <v>2.1679791501885101E-3</v>
      </c>
      <c r="O599" s="79">
        <v>322.49999999999898</v>
      </c>
      <c r="P599" s="79">
        <v>112.47094868606101</v>
      </c>
      <c r="Q599" s="79">
        <v>1.0749971428571401</v>
      </c>
      <c r="R599" s="79">
        <v>593.31352847936103</v>
      </c>
      <c r="S599" s="79">
        <v>1167.57597203707</v>
      </c>
      <c r="T599" s="79">
        <v>15</v>
      </c>
      <c r="U599" s="79">
        <v>1</v>
      </c>
      <c r="V599" s="79">
        <f>tbl_Data_old[[#This Row],[2025 ]]*IFERROR(AVERAGEIFS('Participation Adjustment'!$C:$C,'Participation Adjustment'!$A:$A,$H599,'Participation Adjustment'!$B:$B,$I599),1)</f>
        <v>106535.13174631201</v>
      </c>
      <c r="W599" s="79">
        <f>tbl_Data_old[[#This Row],[2026 ]]*IFERROR(AVERAGEIFS('Participation Adjustment'!$C:$C,'Participation Adjustment'!$A:$A,$H599,'Participation Adjustment'!$B:$B,$I599),1)</f>
        <v>226247.93160513201</v>
      </c>
      <c r="X599" s="79">
        <f>tbl_Data_old[[#This Row],[2027 ]]*IFERROR(AVERAGEIFS('Participation Adjustment'!$C:$C,'Participation Adjustment'!$A:$A,$H599,'Participation Adjustment'!$B:$B,$I599),1)</f>
        <v>357791.78328291699</v>
      </c>
      <c r="Y599" s="79">
        <f>tbl_Data_old[[#This Row],[2028 ]]*IFERROR(AVERAGEIFS('Participation Adjustment'!$C:$C,'Participation Adjustment'!$A:$A,$H599,'Participation Adjustment'!$B:$B,$I599),1)</f>
        <v>500471.52661827998</v>
      </c>
      <c r="Z599" s="79">
        <f>tbl_Data_old[[#This Row],[2029 ]]*IFERROR(AVERAGEIFS('Participation Adjustment'!$C:$C,'Participation Adjustment'!$A:$A,$H599,'Participation Adjustment'!$B:$B,$I599),1)</f>
        <v>653504.75152447098</v>
      </c>
      <c r="AA599" s="79">
        <f>tbl_Data_old[[#This Row],[2030 ]]*IFERROR(AVERAGEIFS('Participation Adjustment'!$C:$C,'Participation Adjustment'!$A:$A,$H599,'Participation Adjustment'!$B:$B,$I599),1)</f>
        <v>816039.72741866799</v>
      </c>
      <c r="AB599" s="79">
        <f>tbl_Data_old[[#This Row],[2031 ]]*IFERROR(AVERAGEIFS('Participation Adjustment'!$C:$C,'Participation Adjustment'!$A:$A,$H599,'Participation Adjustment'!$B:$B,$I599),1)</f>
        <v>987306.93005212303</v>
      </c>
      <c r="AC599" s="79">
        <f>tbl_Data_old[[#This Row],[2032 ]]*IFERROR(AVERAGEIFS('Participation Adjustment'!$C:$C,'Participation Adjustment'!$A:$A,$H599,'Participation Adjustment'!$B:$B,$I599),1)</f>
        <v>1166971.6992142799</v>
      </c>
      <c r="AD599" s="79">
        <f>tbl_Data_old[[#This Row],[2033 ]]*IFERROR(AVERAGEIFS('Participation Adjustment'!$C:$C,'Participation Adjustment'!$A:$A,$H599,'Participation Adjustment'!$B:$B,$I599),1)</f>
        <v>1354907.9343783199</v>
      </c>
      <c r="AE599" s="79">
        <f>tbl_Data_old[[#This Row],[2034 ]]*IFERROR(AVERAGEIFS('Participation Adjustment'!$C:$C,'Participation Adjustment'!$A:$A,$H599,'Participation Adjustment'!$B:$B,$I599),1)</f>
        <v>1550764.3802012999</v>
      </c>
      <c r="AF599" s="77" t="str">
        <f t="shared" si="242"/>
        <v>NonResidential</v>
      </c>
      <c r="AG599" s="77" t="str">
        <f>tbl_Data[[#This Row],[All_Meas_Name_Append]]</f>
        <v>Water source heat pump</v>
      </c>
      <c r="AH599" s="77">
        <f>AVERAGEIFS('3. Incentive Adjustment'!G:G,'3. Incentive Adjustment'!A:A,tbl_Data[[#This Row],[Trimmed Sector]],'3. Incentive Adjustment'!B:B,tbl_Data[[#This Row],[Trimmed Measure Name]])</f>
        <v>0.75877205530206748</v>
      </c>
      <c r="AI599" s="77">
        <f>$AH599*tbl_Data[[#This Row],[2025 ]]</f>
        <v>80835.880877025702</v>
      </c>
      <c r="AJ599" s="77">
        <f>$AH599*tbl_Data[[#This Row],[2026 ]]</f>
        <v>171670.60807186761</v>
      </c>
      <c r="AK599" s="77">
        <f>$AH599*tbl_Data[[#This Row],[2027 ]]</f>
        <v>271482.40677177085</v>
      </c>
      <c r="AL599" s="77">
        <f>$AH599*tbl_Data[[#This Row],[2028 ]]</f>
        <v>379743.80887231568</v>
      </c>
      <c r="AM599" s="77">
        <f>$AH599*tbl_Data[[#This Row],[2029 ]]</f>
        <v>495861.14346388978</v>
      </c>
      <c r="AN599" s="77">
        <f>$AH599*tbl_Data[[#This Row],[2030 ]]</f>
        <v>619188.14118160168</v>
      </c>
      <c r="AO599" s="77">
        <f>$AH599*tbl_Data[[#This Row],[2031 ]]</f>
        <v>749140.90852962399</v>
      </c>
      <c r="AP599" s="77">
        <f>$AH599*tbl_Data[[#This Row],[2032 ]]</f>
        <v>885465.51469216519</v>
      </c>
      <c r="AQ599" s="77">
        <f>$AH599*tbl_Data[[#This Row],[2033 ]]</f>
        <v>1028066.2781133165</v>
      </c>
      <c r="AR599" s="77">
        <f>$AH599*tbl_Data[[#This Row],[2034 ]]</f>
        <v>1176676.6760545771</v>
      </c>
      <c r="AS599" s="77">
        <f>SUM(tbl_Data[[#This Row],[Adjusted 2025]:[Adjusted 2034]])</f>
        <v>5858131.3666281542</v>
      </c>
      <c r="AT599" s="80">
        <f>AVERAGEIFS('3. Incentive Adjustment'!F:F,'3. Incentive Adjustment'!A:A,tbl_Data[[#This Row],[Trimmed Sector]],'3. Incentive Adjustment'!B:B,tbl_Data[[#This Row],[Trimmed Measure Name]])</f>
        <v>0</v>
      </c>
      <c r="AU599" s="80">
        <f>IFERROR(VLOOKUP(tbl_Data[[#This Row],[All_Meas_Name_Append]],'IRA Tax Credits'!$A$3:$D$46,4,0),0)</f>
        <v>0</v>
      </c>
      <c r="AV599" s="81">
        <f>tbl_Data[[#This Row],[Adj. per unit Incentive ($)]]/tbl_Data[[#This Row],[kWh Savings]]*tbl_Data[[#This Row],[Sum of Annuals]]</f>
        <v>0</v>
      </c>
      <c r="AW599" s="81" t="str">
        <f>IFERROR(VLOOKUP(tbl_Data[[#This Row],[Column1]],'1. Set Program Names'!$B$2:$D$15,3,0)*tbl_Data[[#This Row],[Sum of Annuals]],"")</f>
        <v/>
      </c>
      <c r="AX599" s="81">
        <f>tbl_Data[[#This Row],[per unit IRA tax ($)]]/tbl_Data[[#This Row],[kWh Savings]]*tbl_Data[[#This Row],[Sum of Annuals]]</f>
        <v>0</v>
      </c>
      <c r="AY599" s="81">
        <f>tbl_Data[[#This Row],[Avoided Costs ($/unit)]]/tbl_Data[[#This Row],[kWh Savings]]*tbl_Data[[#This Row],[Sum of Annuals]]</f>
        <v>3233225.8876446802</v>
      </c>
      <c r="AZ599" s="81">
        <f>tbl_Data[[#This Row],[Lost Revenue ($/unit)]]/tbl_Data[[#This Row],[kWh Savings]]*tbl_Data[[#This Row],[Sum of Annuals]]</f>
        <v>6362634.0499220118</v>
      </c>
      <c r="BA599" s="81">
        <f>tbl_Data[[#This Row],[Incremental Cost ($/unit)]]/tbl_Data[[#This Row],[kWh Savings]]*tbl_Data[[#This Row],[Sum of Annuals]]</f>
        <v>1757444.0809361688</v>
      </c>
      <c r="BB599" s="77">
        <f>ROUNDUP(tbl_Data[[#This Row],[Adjusted 2025]]/$L599,0)</f>
        <v>76</v>
      </c>
      <c r="BC599" s="77">
        <f>ROUNDUP(tbl_Data[[#This Row],[Adjusted 2026]]/$L599,0)</f>
        <v>160</v>
      </c>
      <c r="BD599" s="77">
        <f>ROUNDUP(tbl_Data[[#This Row],[Adjusted 2027]]/$L599,0)</f>
        <v>253</v>
      </c>
      <c r="BE599" s="77">
        <f>ROUNDUP(tbl_Data[[#This Row],[Adjusted 2028]]/$L599,0)</f>
        <v>354</v>
      </c>
      <c r="BF599" s="77">
        <f>ROUNDUP(tbl_Data[[#This Row],[Adjusted 2029]]/$L599,0)</f>
        <v>462</v>
      </c>
      <c r="BG599" s="77">
        <f>ROUNDUP(tbl_Data[[#This Row],[Adjusted 2030]]/$L599,0)</f>
        <v>576</v>
      </c>
      <c r="BH599" s="77">
        <f>ROUNDUP(tbl_Data[[#This Row],[Adjusted 2031]]/$L599,0)</f>
        <v>697</v>
      </c>
      <c r="BI599" s="77">
        <f>ROUNDUP(tbl_Data[[#This Row],[Adjusted 2032]]/$L599,0)</f>
        <v>824</v>
      </c>
      <c r="BJ599" s="77">
        <f>ROUNDUP(tbl_Data[[#This Row],[Adjusted 2033]]/$L599,0)</f>
        <v>957</v>
      </c>
      <c r="BK599" s="77">
        <f>ROUNDUP(tbl_Data[[#This Row],[Adjusted 2034]]/$L599,0)</f>
        <v>1095</v>
      </c>
      <c r="BL599" s="80">
        <f t="shared" si="243"/>
        <v>0</v>
      </c>
      <c r="BM599" s="80">
        <f t="shared" si="244"/>
        <v>0</v>
      </c>
      <c r="BN599" s="80">
        <f t="shared" si="245"/>
        <v>0</v>
      </c>
      <c r="BO599" s="80">
        <f t="shared" si="246"/>
        <v>0</v>
      </c>
      <c r="BP599" s="80">
        <f t="shared" si="247"/>
        <v>0</v>
      </c>
      <c r="BQ599" s="80">
        <f t="shared" si="248"/>
        <v>0</v>
      </c>
      <c r="BR599" s="80">
        <f t="shared" si="249"/>
        <v>0</v>
      </c>
      <c r="BS599" s="80">
        <f t="shared" si="250"/>
        <v>0</v>
      </c>
      <c r="BT599" s="80">
        <f t="shared" si="251"/>
        <v>0</v>
      </c>
      <c r="BU599" s="80">
        <f t="shared" si="252"/>
        <v>0</v>
      </c>
      <c r="BV599" s="80" t="str">
        <f>IFERROR(VLOOKUP($H599,'1. Set Program Names'!$B$2:$D$15,3,0)*V599,"NA")</f>
        <v>NA</v>
      </c>
      <c r="BW599" s="80" t="str">
        <f>IFERROR(VLOOKUP($H599,'1. Set Program Names'!$B$2:$D$15,3,0)*W599,"NA")</f>
        <v>NA</v>
      </c>
      <c r="BX599" s="80" t="str">
        <f>IFERROR(VLOOKUP($H599,'1. Set Program Names'!$B$2:$D$15,3,0)*X599,"NA")</f>
        <v>NA</v>
      </c>
      <c r="BY599" s="80" t="str">
        <f>IFERROR(VLOOKUP($H599,'1. Set Program Names'!$B$2:$D$15,3,0)*Y599,"NA")</f>
        <v>NA</v>
      </c>
      <c r="BZ599" s="80" t="str">
        <f>IFERROR(VLOOKUP($H599,'1. Set Program Names'!$B$2:$D$15,3,0)*Z599,"NA")</f>
        <v>NA</v>
      </c>
      <c r="CA599" s="80" t="str">
        <f>IFERROR(VLOOKUP($H599,'1. Set Program Names'!$B$2:$D$15,3,0)*AA599,"NA")</f>
        <v>NA</v>
      </c>
      <c r="CB599" s="80" t="str">
        <f>IFERROR(VLOOKUP($H599,'1. Set Program Names'!$B$2:$D$15,3,0)*AB599,"NA")</f>
        <v>NA</v>
      </c>
      <c r="CC599" s="80" t="str">
        <f>IFERROR(VLOOKUP($H599,'1. Set Program Names'!$B$2:$D$15,3,0)*AC599,"NA")</f>
        <v>NA</v>
      </c>
      <c r="CD599" s="80" t="str">
        <f>IFERROR(VLOOKUP($H599,'1. Set Program Names'!$B$2:$D$15,3,0)*AD599,"NA")</f>
        <v>NA</v>
      </c>
      <c r="CE599" s="80" t="str">
        <f>IFERROR(VLOOKUP($H599,'1. Set Program Names'!$B$2:$D$15,3,0)*AE599,"NA")</f>
        <v>NA</v>
      </c>
    </row>
    <row r="600" spans="1:83" x14ac:dyDescent="0.25">
      <c r="A600" s="79" t="s">
        <v>114</v>
      </c>
      <c r="B600" s="79" t="s">
        <v>88</v>
      </c>
      <c r="C600" s="79" t="s">
        <v>122</v>
      </c>
      <c r="D600" s="79" t="s">
        <v>90</v>
      </c>
      <c r="E600" s="79" t="s">
        <v>91</v>
      </c>
      <c r="F600" s="79" t="s">
        <v>90</v>
      </c>
      <c r="G600" s="79" t="s">
        <v>92</v>
      </c>
      <c r="H600" s="79" t="s">
        <v>268</v>
      </c>
      <c r="I600" s="79" t="s">
        <v>123</v>
      </c>
      <c r="J600" s="79" t="s">
        <v>124</v>
      </c>
      <c r="K600" s="79" t="s">
        <v>125</v>
      </c>
      <c r="L600" s="79">
        <v>276.38000000000102</v>
      </c>
      <c r="M600" s="79">
        <v>4.0116087790590997E-2</v>
      </c>
      <c r="N600" s="79">
        <v>3.5590078027730399E-2</v>
      </c>
      <c r="O600" s="79">
        <v>71</v>
      </c>
      <c r="P600" s="79">
        <v>14.1467127741815</v>
      </c>
      <c r="Q600" s="79">
        <v>0.27638000000000101</v>
      </c>
      <c r="R600" s="79">
        <v>109.905179976762</v>
      </c>
      <c r="S600" s="79">
        <v>259.02791823564098</v>
      </c>
      <c r="T600" s="79">
        <v>12</v>
      </c>
      <c r="U600" s="79">
        <v>1</v>
      </c>
      <c r="V600" s="79">
        <f>tbl_Data_old[[#This Row],[2025 ]]*IFERROR(AVERAGEIFS('Participation Adjustment'!$C:$C,'Participation Adjustment'!$A:$A,$H600,'Participation Adjustment'!$B:$B,$I600),1)</f>
        <v>0.37924797205642802</v>
      </c>
      <c r="W600" s="79">
        <f>tbl_Data_old[[#This Row],[2026 ]]*IFERROR(AVERAGEIFS('Participation Adjustment'!$C:$C,'Participation Adjustment'!$A:$A,$H600,'Participation Adjustment'!$B:$B,$I600),1)</f>
        <v>0.51815771354207696</v>
      </c>
      <c r="X600" s="79">
        <f>tbl_Data_old[[#This Row],[2027 ]]*IFERROR(AVERAGEIFS('Participation Adjustment'!$C:$C,'Participation Adjustment'!$A:$A,$H600,'Participation Adjustment'!$B:$B,$I600),1)</f>
        <v>0.68813118382906002</v>
      </c>
      <c r="Y600" s="79">
        <f>tbl_Data_old[[#This Row],[2028 ]]*IFERROR(AVERAGEIFS('Participation Adjustment'!$C:$C,'Participation Adjustment'!$A:$A,$H600,'Participation Adjustment'!$B:$B,$I600),1)</f>
        <v>0.88617294379366796</v>
      </c>
      <c r="Z600" s="79">
        <f>tbl_Data_old[[#This Row],[2029 ]]*IFERROR(AVERAGEIFS('Participation Adjustment'!$C:$C,'Participation Adjustment'!$A:$A,$H600,'Participation Adjustment'!$B:$B,$I600),1)</f>
        <v>1.09662287178578</v>
      </c>
      <c r="AA600" s="79">
        <f>tbl_Data_old[[#This Row],[2030 ]]*IFERROR(AVERAGEIFS('Participation Adjustment'!$C:$C,'Participation Adjustment'!$A:$A,$H600,'Participation Adjustment'!$B:$B,$I600),1)</f>
        <v>1.2923866758499101</v>
      </c>
      <c r="AB600" s="79">
        <f>tbl_Data_old[[#This Row],[2031 ]]*IFERROR(AVERAGEIFS('Participation Adjustment'!$C:$C,'Participation Adjustment'!$A:$A,$H600,'Participation Adjustment'!$B:$B,$I600),1)</f>
        <v>1.43422524160565</v>
      </c>
      <c r="AC600" s="79">
        <f>tbl_Data_old[[#This Row],[2032 ]]*IFERROR(AVERAGEIFS('Participation Adjustment'!$C:$C,'Participation Adjustment'!$A:$A,$H600,'Participation Adjustment'!$B:$B,$I600),1)</f>
        <v>1.48598409627607</v>
      </c>
      <c r="AD600" s="79">
        <f>tbl_Data_old[[#This Row],[2033 ]]*IFERROR(AVERAGEIFS('Participation Adjustment'!$C:$C,'Participation Adjustment'!$A:$A,$H600,'Participation Adjustment'!$B:$B,$I600),1)</f>
        <v>1.4288007173344299</v>
      </c>
      <c r="AE600" s="79">
        <f>tbl_Data_old[[#This Row],[2034 ]]*IFERROR(AVERAGEIFS('Participation Adjustment'!$C:$C,'Participation Adjustment'!$A:$A,$H600,'Participation Adjustment'!$B:$B,$I600),1)</f>
        <v>1.2723409233732601</v>
      </c>
      <c r="AF600" s="77" t="str">
        <f t="shared" si="242"/>
        <v>NonResidential</v>
      </c>
      <c r="AG600" s="77" t="str">
        <f>tbl_Data[[#This Row],[All_Meas_Name_Append]]</f>
        <v>Anti-Sweat Controls</v>
      </c>
      <c r="AH600" s="77">
        <f>AVERAGEIFS('3. Incentive Adjustment'!G:G,'3. Incentive Adjustment'!A:A,tbl_Data[[#This Row],[Trimmed Sector]],'3. Incentive Adjustment'!B:B,tbl_Data[[#This Row],[Trimmed Measure Name]])</f>
        <v>0.87366811775307662</v>
      </c>
      <c r="AI600" s="77">
        <f>$AH600*tbl_Data[[#This Row],[2025 ]]</f>
        <v>0.33133686190821088</v>
      </c>
      <c r="AJ600" s="77">
        <f>$AH600*tbl_Data[[#This Row],[2026 ]]</f>
        <v>0.45269787428954422</v>
      </c>
      <c r="AK600" s="77">
        <f>$AH600*tbl_Data[[#This Row],[2027 ]]</f>
        <v>0.60119827614313126</v>
      </c>
      <c r="AL600" s="77">
        <f>$AH600*tbl_Data[[#This Row],[2028 ]]</f>
        <v>0.7742210478079169</v>
      </c>
      <c r="AM600" s="77">
        <f>$AH600*tbl_Data[[#This Row],[2029 ]]</f>
        <v>0.95808444027805584</v>
      </c>
      <c r="AN600" s="77">
        <f>$AH600*tbl_Data[[#This Row],[2030 ]]</f>
        <v>1.1291170344989465</v>
      </c>
      <c r="AO600" s="77">
        <f>$AH600*tbl_Data[[#This Row],[2031 ]]</f>
        <v>1.2530368672675598</v>
      </c>
      <c r="AP600" s="77">
        <f>$AH600*tbl_Data[[#This Row],[2032 ]]</f>
        <v>1.2982569284045207</v>
      </c>
      <c r="AQ600" s="77">
        <f>$AH600*tbl_Data[[#This Row],[2033 ]]</f>
        <v>1.2482976333578171</v>
      </c>
      <c r="AR600" s="77">
        <f>$AH600*tbl_Data[[#This Row],[2034 ]]</f>
        <v>1.1116036996637277</v>
      </c>
      <c r="AS600" s="77">
        <f>SUM(tbl_Data[[#This Row],[Adjusted 2025]:[Adjusted 2034]])</f>
        <v>9.1578506636194312</v>
      </c>
      <c r="AT600" s="80">
        <f>AVERAGEIFS('3. Incentive Adjustment'!F:F,'3. Incentive Adjustment'!A:A,tbl_Data[[#This Row],[Trimmed Sector]],'3. Incentive Adjustment'!B:B,tbl_Data[[#This Row],[Trimmed Measure Name]])</f>
        <v>0</v>
      </c>
      <c r="AU600" s="80">
        <f>IFERROR(VLOOKUP(tbl_Data[[#This Row],[All_Meas_Name_Append]],'IRA Tax Credits'!$A$3:$D$46,4,0),0)</f>
        <v>0</v>
      </c>
      <c r="AV600" s="81">
        <f>tbl_Data[[#This Row],[Adj. per unit Incentive ($)]]/tbl_Data[[#This Row],[kWh Savings]]*tbl_Data[[#This Row],[Sum of Annuals]]</f>
        <v>0</v>
      </c>
      <c r="AW600" s="81" t="str">
        <f>IFERROR(VLOOKUP(tbl_Data[[#This Row],[Column1]],'1. Set Program Names'!$B$2:$D$15,3,0)*tbl_Data[[#This Row],[Sum of Annuals]],"")</f>
        <v/>
      </c>
      <c r="AX600" s="81">
        <f>tbl_Data[[#This Row],[per unit IRA tax ($)]]/tbl_Data[[#This Row],[kWh Savings]]*tbl_Data[[#This Row],[Sum of Annuals]]</f>
        <v>0</v>
      </c>
      <c r="AY600" s="81">
        <f>tbl_Data[[#This Row],[Avoided Costs ($/unit)]]/tbl_Data[[#This Row],[kWh Savings]]*tbl_Data[[#This Row],[Sum of Annuals]]</f>
        <v>3.6417078854671074</v>
      </c>
      <c r="AZ600" s="81">
        <f>tbl_Data[[#This Row],[Lost Revenue ($/unit)]]/tbl_Data[[#This Row],[kWh Savings]]*tbl_Data[[#This Row],[Sum of Annuals]]</f>
        <v>8.5828894743115125</v>
      </c>
      <c r="BA600" s="81">
        <f>tbl_Data[[#This Row],[Incremental Cost ($/unit)]]/tbl_Data[[#This Row],[kWh Savings]]*tbl_Data[[#This Row],[Sum of Annuals]]</f>
        <v>2.3525848365184787</v>
      </c>
      <c r="BB600" s="77">
        <f>ROUNDUP(tbl_Data[[#This Row],[Adjusted 2025]]/$L600,0)</f>
        <v>1</v>
      </c>
      <c r="BC600" s="77">
        <f>ROUNDUP(tbl_Data[[#This Row],[Adjusted 2026]]/$L600,0)</f>
        <v>1</v>
      </c>
      <c r="BD600" s="77">
        <f>ROUNDUP(tbl_Data[[#This Row],[Adjusted 2027]]/$L600,0)</f>
        <v>1</v>
      </c>
      <c r="BE600" s="77">
        <f>ROUNDUP(tbl_Data[[#This Row],[Adjusted 2028]]/$L600,0)</f>
        <v>1</v>
      </c>
      <c r="BF600" s="77">
        <f>ROUNDUP(tbl_Data[[#This Row],[Adjusted 2029]]/$L600,0)</f>
        <v>1</v>
      </c>
      <c r="BG600" s="77">
        <f>ROUNDUP(tbl_Data[[#This Row],[Adjusted 2030]]/$L600,0)</f>
        <v>1</v>
      </c>
      <c r="BH600" s="77">
        <f>ROUNDUP(tbl_Data[[#This Row],[Adjusted 2031]]/$L600,0)</f>
        <v>1</v>
      </c>
      <c r="BI600" s="77">
        <f>ROUNDUP(tbl_Data[[#This Row],[Adjusted 2032]]/$L600,0)</f>
        <v>1</v>
      </c>
      <c r="BJ600" s="77">
        <f>ROUNDUP(tbl_Data[[#This Row],[Adjusted 2033]]/$L600,0)</f>
        <v>1</v>
      </c>
      <c r="BK600" s="77">
        <f>ROUNDUP(tbl_Data[[#This Row],[Adjusted 2034]]/$L600,0)</f>
        <v>1</v>
      </c>
      <c r="BL600" s="80">
        <f t="shared" si="243"/>
        <v>0</v>
      </c>
      <c r="BM600" s="80">
        <f t="shared" si="244"/>
        <v>0</v>
      </c>
      <c r="BN600" s="80">
        <f t="shared" si="245"/>
        <v>0</v>
      </c>
      <c r="BO600" s="80">
        <f t="shared" si="246"/>
        <v>0</v>
      </c>
      <c r="BP600" s="80">
        <f t="shared" si="247"/>
        <v>0</v>
      </c>
      <c r="BQ600" s="80">
        <f t="shared" si="248"/>
        <v>0</v>
      </c>
      <c r="BR600" s="80">
        <f t="shared" si="249"/>
        <v>0</v>
      </c>
      <c r="BS600" s="80">
        <f t="shared" si="250"/>
        <v>0</v>
      </c>
      <c r="BT600" s="80">
        <f t="shared" si="251"/>
        <v>0</v>
      </c>
      <c r="BU600" s="80">
        <f t="shared" si="252"/>
        <v>0</v>
      </c>
      <c r="BV600" s="80" t="str">
        <f>IFERROR(VLOOKUP($H600,'1. Set Program Names'!$B$2:$D$15,3,0)*V600,"NA")</f>
        <v>NA</v>
      </c>
      <c r="BW600" s="80" t="str">
        <f>IFERROR(VLOOKUP($H600,'1. Set Program Names'!$B$2:$D$15,3,0)*W600,"NA")</f>
        <v>NA</v>
      </c>
      <c r="BX600" s="80" t="str">
        <f>IFERROR(VLOOKUP($H600,'1. Set Program Names'!$B$2:$D$15,3,0)*X600,"NA")</f>
        <v>NA</v>
      </c>
      <c r="BY600" s="80" t="str">
        <f>IFERROR(VLOOKUP($H600,'1. Set Program Names'!$B$2:$D$15,3,0)*Y600,"NA")</f>
        <v>NA</v>
      </c>
      <c r="BZ600" s="80" t="str">
        <f>IFERROR(VLOOKUP($H600,'1. Set Program Names'!$B$2:$D$15,3,0)*Z600,"NA")</f>
        <v>NA</v>
      </c>
      <c r="CA600" s="80" t="str">
        <f>IFERROR(VLOOKUP($H600,'1. Set Program Names'!$B$2:$D$15,3,0)*AA600,"NA")</f>
        <v>NA</v>
      </c>
      <c r="CB600" s="80" t="str">
        <f>IFERROR(VLOOKUP($H600,'1. Set Program Names'!$B$2:$D$15,3,0)*AB600,"NA")</f>
        <v>NA</v>
      </c>
      <c r="CC600" s="80" t="str">
        <f>IFERROR(VLOOKUP($H600,'1. Set Program Names'!$B$2:$D$15,3,0)*AC600,"NA")</f>
        <v>NA</v>
      </c>
      <c r="CD600" s="80" t="str">
        <f>IFERROR(VLOOKUP($H600,'1. Set Program Names'!$B$2:$D$15,3,0)*AD600,"NA")</f>
        <v>NA</v>
      </c>
      <c r="CE600" s="80" t="str">
        <f>IFERROR(VLOOKUP($H600,'1. Set Program Names'!$B$2:$D$15,3,0)*AE600,"NA")</f>
        <v>NA</v>
      </c>
    </row>
    <row r="601" spans="1:83" x14ac:dyDescent="0.25">
      <c r="A601" s="79" t="s">
        <v>114</v>
      </c>
      <c r="B601" s="79" t="s">
        <v>88</v>
      </c>
      <c r="C601" s="79" t="s">
        <v>122</v>
      </c>
      <c r="D601" s="79" t="s">
        <v>90</v>
      </c>
      <c r="E601" s="79" t="s">
        <v>91</v>
      </c>
      <c r="F601" s="79" t="s">
        <v>90</v>
      </c>
      <c r="G601" s="79" t="s">
        <v>92</v>
      </c>
      <c r="H601" s="79" t="s">
        <v>268</v>
      </c>
      <c r="I601" s="79" t="s">
        <v>126</v>
      </c>
      <c r="J601" s="79" t="s">
        <v>127</v>
      </c>
      <c r="K601" s="79" t="s">
        <v>102</v>
      </c>
      <c r="L601" s="79">
        <v>10474.513428571399</v>
      </c>
      <c r="M601" s="79">
        <v>11.987030831722899</v>
      </c>
      <c r="N601" s="79">
        <v>6.5774989692018102E-2</v>
      </c>
      <c r="O601" s="79">
        <v>2861.52</v>
      </c>
      <c r="P601" s="79">
        <v>706.838432647388</v>
      </c>
      <c r="Q601" s="79">
        <v>10.474513428571401</v>
      </c>
      <c r="R601" s="79">
        <v>9615.4333568812199</v>
      </c>
      <c r="S601" s="79">
        <v>8615.8759261769592</v>
      </c>
      <c r="T601" s="79">
        <v>10</v>
      </c>
      <c r="U601" s="79">
        <v>1</v>
      </c>
      <c r="V601" s="79">
        <f>tbl_Data_old[[#This Row],[2025 ]]*IFERROR(AVERAGEIFS('Participation Adjustment'!$C:$C,'Participation Adjustment'!$A:$A,$H601,'Participation Adjustment'!$B:$B,$I601),1)</f>
        <v>14.562418262554701</v>
      </c>
      <c r="W601" s="79">
        <f>tbl_Data_old[[#This Row],[2026 ]]*IFERROR(AVERAGEIFS('Participation Adjustment'!$C:$C,'Participation Adjustment'!$A:$A,$H601,'Participation Adjustment'!$B:$B,$I601),1)</f>
        <v>20.159022273191098</v>
      </c>
      <c r="X601" s="79">
        <f>tbl_Data_old[[#This Row],[2027 ]]*IFERROR(AVERAGEIFS('Participation Adjustment'!$C:$C,'Participation Adjustment'!$A:$A,$H601,'Participation Adjustment'!$B:$B,$I601),1)</f>
        <v>27.119026781888898</v>
      </c>
      <c r="Y601" s="79">
        <f>tbl_Data_old[[#This Row],[2028 ]]*IFERROR(AVERAGEIFS('Participation Adjustment'!$C:$C,'Participation Adjustment'!$A:$A,$H601,'Participation Adjustment'!$B:$B,$I601),1)</f>
        <v>35.491719690093198</v>
      </c>
      <c r="Z601" s="79">
        <f>tbl_Data_old[[#This Row],[2029 ]]*IFERROR(AVERAGEIFS('Participation Adjustment'!$C:$C,'Participation Adjustment'!$A:$A,$H601,'Participation Adjustment'!$B:$B,$I601),1)</f>
        <v>44.741163032317701</v>
      </c>
      <c r="AA601" s="79">
        <f>tbl_Data_old[[#This Row],[2030 ]]*IFERROR(AVERAGEIFS('Participation Adjustment'!$C:$C,'Participation Adjustment'!$A:$A,$H601,'Participation Adjustment'!$B:$B,$I601),1)</f>
        <v>53.491682669690299</v>
      </c>
      <c r="AB601" s="79">
        <f>tbl_Data_old[[#This Row],[2031 ]]*IFERROR(AVERAGEIFS('Participation Adjustment'!$C:$C,'Participation Adjustment'!$A:$A,$H601,'Participation Adjustment'!$B:$B,$I601),1)</f>
        <v>59.8916097746704</v>
      </c>
      <c r="AC601" s="79">
        <f>tbl_Data_old[[#This Row],[2032 ]]*IFERROR(AVERAGEIFS('Participation Adjustment'!$C:$C,'Participation Adjustment'!$A:$A,$H601,'Participation Adjustment'!$B:$B,$I601),1)</f>
        <v>61.967386453676802</v>
      </c>
      <c r="AD601" s="79">
        <f>tbl_Data_old[[#This Row],[2033 ]]*IFERROR(AVERAGEIFS('Participation Adjustment'!$C:$C,'Participation Adjustment'!$A:$A,$H601,'Participation Adjustment'!$B:$B,$I601),1)</f>
        <v>58.407435225742901</v>
      </c>
      <c r="AE601" s="79">
        <f>tbl_Data_old[[#This Row],[2034 ]]*IFERROR(AVERAGEIFS('Participation Adjustment'!$C:$C,'Participation Adjustment'!$A:$A,$H601,'Participation Adjustment'!$B:$B,$I601),1)</f>
        <v>49.847148926545501</v>
      </c>
      <c r="AF601" s="77" t="str">
        <f t="shared" si="242"/>
        <v>NonResidential</v>
      </c>
      <c r="AG601" s="77" t="str">
        <f>tbl_Data[[#This Row],[All_Meas_Name_Append]]</f>
        <v>Chiller maintenance</v>
      </c>
      <c r="AH601" s="77">
        <f>AVERAGEIFS('3. Incentive Adjustment'!G:G,'3. Incentive Adjustment'!A:A,tbl_Data[[#This Row],[Trimmed Sector]],'3. Incentive Adjustment'!B:B,tbl_Data[[#This Row],[Trimmed Measure Name]])</f>
        <v>0.83689882434423457</v>
      </c>
      <c r="AI601" s="77">
        <f>$AH601*tbl_Data[[#This Row],[2025 ]]</f>
        <v>12.18727072354104</v>
      </c>
      <c r="AJ601" s="77">
        <f>$AH601*tbl_Data[[#This Row],[2026 ]]</f>
        <v>16.871062040362869</v>
      </c>
      <c r="AK601" s="77">
        <f>$AH601*tbl_Data[[#This Row],[2027 ]]</f>
        <v>22.695881631122631</v>
      </c>
      <c r="AL601" s="77">
        <f>$AH601*tbl_Data[[#This Row],[2028 ]]</f>
        <v>29.702978482594119</v>
      </c>
      <c r="AM601" s="77">
        <f>$AH601*tbl_Data[[#This Row],[2029 ]]</f>
        <v>37.443826741540413</v>
      </c>
      <c r="AN601" s="77">
        <f>$AH601*tbl_Data[[#This Row],[2030 ]]</f>
        <v>44.767126338458681</v>
      </c>
      <c r="AO601" s="77">
        <f>$AH601*tbl_Data[[#This Row],[2031 ]]</f>
        <v>50.123217808505323</v>
      </c>
      <c r="AP601" s="77">
        <f>$AH601*tbl_Data[[#This Row],[2032 ]]</f>
        <v>51.860432870766964</v>
      </c>
      <c r="AQ601" s="77">
        <f>$AH601*tbl_Data[[#This Row],[2033 ]]</f>
        <v>48.881113873386269</v>
      </c>
      <c r="AR601" s="77">
        <f>$AH601*tbl_Data[[#This Row],[2034 ]]</f>
        <v>41.717020333537903</v>
      </c>
      <c r="AS601" s="77">
        <f>SUM(tbl_Data[[#This Row],[Adjusted 2025]:[Adjusted 2034]])</f>
        <v>356.24993084381617</v>
      </c>
      <c r="AT601" s="80">
        <f>AVERAGEIFS('3. Incentive Adjustment'!F:F,'3. Incentive Adjustment'!A:A,tbl_Data[[#This Row],[Trimmed Sector]],'3. Incentive Adjustment'!B:B,tbl_Data[[#This Row],[Trimmed Measure Name]])</f>
        <v>0</v>
      </c>
      <c r="AU601" s="80">
        <f>IFERROR(VLOOKUP(tbl_Data[[#This Row],[All_Meas_Name_Append]],'IRA Tax Credits'!$A$3:$D$46,4,0),0)</f>
        <v>0</v>
      </c>
      <c r="AV601" s="81">
        <f>tbl_Data[[#This Row],[Adj. per unit Incentive ($)]]/tbl_Data[[#This Row],[kWh Savings]]*tbl_Data[[#This Row],[Sum of Annuals]]</f>
        <v>0</v>
      </c>
      <c r="AW601" s="81" t="str">
        <f>IFERROR(VLOOKUP(tbl_Data[[#This Row],[Column1]],'1. Set Program Names'!$B$2:$D$15,3,0)*tbl_Data[[#This Row],[Sum of Annuals]],"")</f>
        <v/>
      </c>
      <c r="AX601" s="81">
        <f>tbl_Data[[#This Row],[per unit IRA tax ($)]]/tbl_Data[[#This Row],[kWh Savings]]*tbl_Data[[#This Row],[Sum of Annuals]]</f>
        <v>0</v>
      </c>
      <c r="AY601" s="81">
        <f>tbl_Data[[#This Row],[Avoided Costs ($/unit)]]/tbl_Data[[#This Row],[kWh Savings]]*tbl_Data[[#This Row],[Sum of Annuals]]</f>
        <v>327.03165562597928</v>
      </c>
      <c r="AZ601" s="81">
        <f>tbl_Data[[#This Row],[Lost Revenue ($/unit)]]/tbl_Data[[#This Row],[kWh Savings]]*tbl_Data[[#This Row],[Sum of Annuals]]</f>
        <v>293.03558812450473</v>
      </c>
      <c r="BA601" s="81">
        <f>tbl_Data[[#This Row],[Incremental Cost ($/unit)]]/tbl_Data[[#This Row],[kWh Savings]]*tbl_Data[[#This Row],[Sum of Annuals]]</f>
        <v>97.323499469438673</v>
      </c>
      <c r="BB601" s="77">
        <f>ROUNDUP(tbl_Data[[#This Row],[Adjusted 2025]]/$L601,0)</f>
        <v>1</v>
      </c>
      <c r="BC601" s="77">
        <f>ROUNDUP(tbl_Data[[#This Row],[Adjusted 2026]]/$L601,0)</f>
        <v>1</v>
      </c>
      <c r="BD601" s="77">
        <f>ROUNDUP(tbl_Data[[#This Row],[Adjusted 2027]]/$L601,0)</f>
        <v>1</v>
      </c>
      <c r="BE601" s="77">
        <f>ROUNDUP(tbl_Data[[#This Row],[Adjusted 2028]]/$L601,0)</f>
        <v>1</v>
      </c>
      <c r="BF601" s="77">
        <f>ROUNDUP(tbl_Data[[#This Row],[Adjusted 2029]]/$L601,0)</f>
        <v>1</v>
      </c>
      <c r="BG601" s="77">
        <f>ROUNDUP(tbl_Data[[#This Row],[Adjusted 2030]]/$L601,0)</f>
        <v>1</v>
      </c>
      <c r="BH601" s="77">
        <f>ROUNDUP(tbl_Data[[#This Row],[Adjusted 2031]]/$L601,0)</f>
        <v>1</v>
      </c>
      <c r="BI601" s="77">
        <f>ROUNDUP(tbl_Data[[#This Row],[Adjusted 2032]]/$L601,0)</f>
        <v>1</v>
      </c>
      <c r="BJ601" s="77">
        <f>ROUNDUP(tbl_Data[[#This Row],[Adjusted 2033]]/$L601,0)</f>
        <v>1</v>
      </c>
      <c r="BK601" s="77">
        <f>ROUNDUP(tbl_Data[[#This Row],[Adjusted 2034]]/$L601,0)</f>
        <v>1</v>
      </c>
      <c r="BL601" s="80">
        <f t="shared" si="243"/>
        <v>0</v>
      </c>
      <c r="BM601" s="80">
        <f t="shared" si="244"/>
        <v>0</v>
      </c>
      <c r="BN601" s="80">
        <f t="shared" si="245"/>
        <v>0</v>
      </c>
      <c r="BO601" s="80">
        <f t="shared" si="246"/>
        <v>0</v>
      </c>
      <c r="BP601" s="80">
        <f t="shared" si="247"/>
        <v>0</v>
      </c>
      <c r="BQ601" s="80">
        <f t="shared" si="248"/>
        <v>0</v>
      </c>
      <c r="BR601" s="80">
        <f t="shared" si="249"/>
        <v>0</v>
      </c>
      <c r="BS601" s="80">
        <f t="shared" si="250"/>
        <v>0</v>
      </c>
      <c r="BT601" s="80">
        <f t="shared" si="251"/>
        <v>0</v>
      </c>
      <c r="BU601" s="80">
        <f t="shared" si="252"/>
        <v>0</v>
      </c>
      <c r="BV601" s="80" t="str">
        <f>IFERROR(VLOOKUP($H601,'1. Set Program Names'!$B$2:$D$15,3,0)*V601,"NA")</f>
        <v>NA</v>
      </c>
      <c r="BW601" s="80" t="str">
        <f>IFERROR(VLOOKUP($H601,'1. Set Program Names'!$B$2:$D$15,3,0)*W601,"NA")</f>
        <v>NA</v>
      </c>
      <c r="BX601" s="80" t="str">
        <f>IFERROR(VLOOKUP($H601,'1. Set Program Names'!$B$2:$D$15,3,0)*X601,"NA")</f>
        <v>NA</v>
      </c>
      <c r="BY601" s="80" t="str">
        <f>IFERROR(VLOOKUP($H601,'1. Set Program Names'!$B$2:$D$15,3,0)*Y601,"NA")</f>
        <v>NA</v>
      </c>
      <c r="BZ601" s="80" t="str">
        <f>IFERROR(VLOOKUP($H601,'1. Set Program Names'!$B$2:$D$15,3,0)*Z601,"NA")</f>
        <v>NA</v>
      </c>
      <c r="CA601" s="80" t="str">
        <f>IFERROR(VLOOKUP($H601,'1. Set Program Names'!$B$2:$D$15,3,0)*AA601,"NA")</f>
        <v>NA</v>
      </c>
      <c r="CB601" s="80" t="str">
        <f>IFERROR(VLOOKUP($H601,'1. Set Program Names'!$B$2:$D$15,3,0)*AB601,"NA")</f>
        <v>NA</v>
      </c>
      <c r="CC601" s="80" t="str">
        <f>IFERROR(VLOOKUP($H601,'1. Set Program Names'!$B$2:$D$15,3,0)*AC601,"NA")</f>
        <v>NA</v>
      </c>
      <c r="CD601" s="80" t="str">
        <f>IFERROR(VLOOKUP($H601,'1. Set Program Names'!$B$2:$D$15,3,0)*AD601,"NA")</f>
        <v>NA</v>
      </c>
      <c r="CE601" s="80" t="str">
        <f>IFERROR(VLOOKUP($H601,'1. Set Program Names'!$B$2:$D$15,3,0)*AE601,"NA")</f>
        <v>NA</v>
      </c>
    </row>
    <row r="602" spans="1:83" x14ac:dyDescent="0.25">
      <c r="A602" s="79" t="s">
        <v>114</v>
      </c>
      <c r="B602" s="79" t="s">
        <v>88</v>
      </c>
      <c r="C602" s="79" t="s">
        <v>122</v>
      </c>
      <c r="D602" s="79" t="s">
        <v>90</v>
      </c>
      <c r="E602" s="79" t="s">
        <v>91</v>
      </c>
      <c r="F602" s="79" t="s">
        <v>90</v>
      </c>
      <c r="G602" s="79" t="s">
        <v>92</v>
      </c>
      <c r="H602" s="79" t="s">
        <v>268</v>
      </c>
      <c r="I602" s="79" t="s">
        <v>131</v>
      </c>
      <c r="J602" s="79" t="s">
        <v>132</v>
      </c>
      <c r="K602" s="79" t="s">
        <v>102</v>
      </c>
      <c r="L602" s="79">
        <v>1121.1428571428501</v>
      </c>
      <c r="M602" s="79">
        <v>0</v>
      </c>
      <c r="N602" s="79">
        <v>0.20460408928759399</v>
      </c>
      <c r="O602" s="79">
        <v>313</v>
      </c>
      <c r="P602" s="79">
        <v>104.06901074138401</v>
      </c>
      <c r="Q602" s="79">
        <v>1.1211428571428499</v>
      </c>
      <c r="R602" s="79">
        <v>557.43130076035402</v>
      </c>
      <c r="S602" s="79">
        <v>1217.69575846672</v>
      </c>
      <c r="T602" s="79">
        <v>15</v>
      </c>
      <c r="U602" s="79">
        <v>1</v>
      </c>
      <c r="V602" s="79">
        <f>tbl_Data_old[[#This Row],[2025 ]]*IFERROR(AVERAGEIFS('Participation Adjustment'!$C:$C,'Participation Adjustment'!$A:$A,$H602,'Participation Adjustment'!$B:$B,$I602),1)</f>
        <v>0</v>
      </c>
      <c r="W602" s="79">
        <f>tbl_Data_old[[#This Row],[2026 ]]*IFERROR(AVERAGEIFS('Participation Adjustment'!$C:$C,'Participation Adjustment'!$A:$A,$H602,'Participation Adjustment'!$B:$B,$I602),1)</f>
        <v>0</v>
      </c>
      <c r="X602" s="79">
        <f>tbl_Data_old[[#This Row],[2027 ]]*IFERROR(AVERAGEIFS('Participation Adjustment'!$C:$C,'Participation Adjustment'!$A:$A,$H602,'Participation Adjustment'!$B:$B,$I602),1)</f>
        <v>0</v>
      </c>
      <c r="Y602" s="79">
        <f>tbl_Data_old[[#This Row],[2028 ]]*IFERROR(AVERAGEIFS('Participation Adjustment'!$C:$C,'Participation Adjustment'!$A:$A,$H602,'Participation Adjustment'!$B:$B,$I602),1)</f>
        <v>0</v>
      </c>
      <c r="Z602" s="79">
        <f>tbl_Data_old[[#This Row],[2029 ]]*IFERROR(AVERAGEIFS('Participation Adjustment'!$C:$C,'Participation Adjustment'!$A:$A,$H602,'Participation Adjustment'!$B:$B,$I602),1)</f>
        <v>0</v>
      </c>
      <c r="AA602" s="79">
        <f>tbl_Data_old[[#This Row],[2030 ]]*IFERROR(AVERAGEIFS('Participation Adjustment'!$C:$C,'Participation Adjustment'!$A:$A,$H602,'Participation Adjustment'!$B:$B,$I602),1)</f>
        <v>0</v>
      </c>
      <c r="AB602" s="79">
        <f>tbl_Data_old[[#This Row],[2031 ]]*IFERROR(AVERAGEIFS('Participation Adjustment'!$C:$C,'Participation Adjustment'!$A:$A,$H602,'Participation Adjustment'!$B:$B,$I602),1)</f>
        <v>0</v>
      </c>
      <c r="AC602" s="79">
        <f>tbl_Data_old[[#This Row],[2032 ]]*IFERROR(AVERAGEIFS('Participation Adjustment'!$C:$C,'Participation Adjustment'!$A:$A,$H602,'Participation Adjustment'!$B:$B,$I602),1)</f>
        <v>0</v>
      </c>
      <c r="AD602" s="79">
        <f>tbl_Data_old[[#This Row],[2033 ]]*IFERROR(AVERAGEIFS('Participation Adjustment'!$C:$C,'Participation Adjustment'!$A:$A,$H602,'Participation Adjustment'!$B:$B,$I602),1)</f>
        <v>0</v>
      </c>
      <c r="AE602" s="79">
        <f>tbl_Data_old[[#This Row],[2034 ]]*IFERROR(AVERAGEIFS('Participation Adjustment'!$C:$C,'Participation Adjustment'!$A:$A,$H602,'Participation Adjustment'!$B:$B,$I602),1)</f>
        <v>0</v>
      </c>
      <c r="AF602" s="77" t="str">
        <f t="shared" si="242"/>
        <v>NonResidential</v>
      </c>
      <c r="AG602" s="77" t="str">
        <f>tbl_Data[[#This Row],[All_Meas_Name_Append]]</f>
        <v>ECM Motors on Furnaces</v>
      </c>
      <c r="AH602" s="77">
        <f>AVERAGEIFS('3. Incentive Adjustment'!G:G,'3. Incentive Adjustment'!A:A,tbl_Data[[#This Row],[Trimmed Sector]],'3. Incentive Adjustment'!B:B,tbl_Data[[#This Row],[Trimmed Measure Name]])</f>
        <v>0.7827684764944346</v>
      </c>
      <c r="AI602" s="77">
        <f>$AH602*tbl_Data[[#This Row],[2025 ]]</f>
        <v>0</v>
      </c>
      <c r="AJ602" s="77">
        <f>$AH602*tbl_Data[[#This Row],[2026 ]]</f>
        <v>0</v>
      </c>
      <c r="AK602" s="77">
        <f>$AH602*tbl_Data[[#This Row],[2027 ]]</f>
        <v>0</v>
      </c>
      <c r="AL602" s="77">
        <f>$AH602*tbl_Data[[#This Row],[2028 ]]</f>
        <v>0</v>
      </c>
      <c r="AM602" s="77">
        <f>$AH602*tbl_Data[[#This Row],[2029 ]]</f>
        <v>0</v>
      </c>
      <c r="AN602" s="77">
        <f>$AH602*tbl_Data[[#This Row],[2030 ]]</f>
        <v>0</v>
      </c>
      <c r="AO602" s="77">
        <f>$AH602*tbl_Data[[#This Row],[2031 ]]</f>
        <v>0</v>
      </c>
      <c r="AP602" s="77">
        <f>$AH602*tbl_Data[[#This Row],[2032 ]]</f>
        <v>0</v>
      </c>
      <c r="AQ602" s="77">
        <f>$AH602*tbl_Data[[#This Row],[2033 ]]</f>
        <v>0</v>
      </c>
      <c r="AR602" s="77">
        <f>$AH602*tbl_Data[[#This Row],[2034 ]]</f>
        <v>0</v>
      </c>
      <c r="AS602" s="77">
        <f>SUM(tbl_Data[[#This Row],[Adjusted 2025]:[Adjusted 2034]])</f>
        <v>0</v>
      </c>
      <c r="AT602" s="80">
        <f>AVERAGEIFS('3. Incentive Adjustment'!F:F,'3. Incentive Adjustment'!A:A,tbl_Data[[#This Row],[Trimmed Sector]],'3. Incentive Adjustment'!B:B,tbl_Data[[#This Row],[Trimmed Measure Name]])</f>
        <v>0</v>
      </c>
      <c r="AU602" s="80">
        <f>IFERROR(VLOOKUP(tbl_Data[[#This Row],[All_Meas_Name_Append]],'IRA Tax Credits'!$A$3:$D$46,4,0),0)</f>
        <v>0</v>
      </c>
      <c r="AV602" s="81">
        <f>tbl_Data[[#This Row],[Adj. per unit Incentive ($)]]/tbl_Data[[#This Row],[kWh Savings]]*tbl_Data[[#This Row],[Sum of Annuals]]</f>
        <v>0</v>
      </c>
      <c r="AW602" s="81" t="str">
        <f>IFERROR(VLOOKUP(tbl_Data[[#This Row],[Column1]],'1. Set Program Names'!$B$2:$D$15,3,0)*tbl_Data[[#This Row],[Sum of Annuals]],"")</f>
        <v/>
      </c>
      <c r="AX602" s="81">
        <f>tbl_Data[[#This Row],[per unit IRA tax ($)]]/tbl_Data[[#This Row],[kWh Savings]]*tbl_Data[[#This Row],[Sum of Annuals]]</f>
        <v>0</v>
      </c>
      <c r="AY602" s="81">
        <f>tbl_Data[[#This Row],[Avoided Costs ($/unit)]]/tbl_Data[[#This Row],[kWh Savings]]*tbl_Data[[#This Row],[Sum of Annuals]]</f>
        <v>0</v>
      </c>
      <c r="AZ602" s="81">
        <f>tbl_Data[[#This Row],[Lost Revenue ($/unit)]]/tbl_Data[[#This Row],[kWh Savings]]*tbl_Data[[#This Row],[Sum of Annuals]]</f>
        <v>0</v>
      </c>
      <c r="BA602" s="81">
        <f>tbl_Data[[#This Row],[Incremental Cost ($/unit)]]/tbl_Data[[#This Row],[kWh Savings]]*tbl_Data[[#This Row],[Sum of Annuals]]</f>
        <v>0</v>
      </c>
      <c r="BB602" s="77">
        <f>ROUNDUP(tbl_Data[[#This Row],[Adjusted 2025]]/$L602,0)</f>
        <v>0</v>
      </c>
      <c r="BC602" s="77">
        <f>ROUNDUP(tbl_Data[[#This Row],[Adjusted 2026]]/$L602,0)</f>
        <v>0</v>
      </c>
      <c r="BD602" s="77">
        <f>ROUNDUP(tbl_Data[[#This Row],[Adjusted 2027]]/$L602,0)</f>
        <v>0</v>
      </c>
      <c r="BE602" s="77">
        <f>ROUNDUP(tbl_Data[[#This Row],[Adjusted 2028]]/$L602,0)</f>
        <v>0</v>
      </c>
      <c r="BF602" s="77">
        <f>ROUNDUP(tbl_Data[[#This Row],[Adjusted 2029]]/$L602,0)</f>
        <v>0</v>
      </c>
      <c r="BG602" s="77">
        <f>ROUNDUP(tbl_Data[[#This Row],[Adjusted 2030]]/$L602,0)</f>
        <v>0</v>
      </c>
      <c r="BH602" s="77">
        <f>ROUNDUP(tbl_Data[[#This Row],[Adjusted 2031]]/$L602,0)</f>
        <v>0</v>
      </c>
      <c r="BI602" s="77">
        <f>ROUNDUP(tbl_Data[[#This Row],[Adjusted 2032]]/$L602,0)</f>
        <v>0</v>
      </c>
      <c r="BJ602" s="77">
        <f>ROUNDUP(tbl_Data[[#This Row],[Adjusted 2033]]/$L602,0)</f>
        <v>0</v>
      </c>
      <c r="BK602" s="77">
        <f>ROUNDUP(tbl_Data[[#This Row],[Adjusted 2034]]/$L602,0)</f>
        <v>0</v>
      </c>
      <c r="BL602" s="80">
        <f t="shared" si="243"/>
        <v>0</v>
      </c>
      <c r="BM602" s="80">
        <f t="shared" si="244"/>
        <v>0</v>
      </c>
      <c r="BN602" s="80">
        <f t="shared" si="245"/>
        <v>0</v>
      </c>
      <c r="BO602" s="80">
        <f t="shared" si="246"/>
        <v>0</v>
      </c>
      <c r="BP602" s="80">
        <f t="shared" si="247"/>
        <v>0</v>
      </c>
      <c r="BQ602" s="80">
        <f t="shared" si="248"/>
        <v>0</v>
      </c>
      <c r="BR602" s="80">
        <f t="shared" si="249"/>
        <v>0</v>
      </c>
      <c r="BS602" s="80">
        <f t="shared" si="250"/>
        <v>0</v>
      </c>
      <c r="BT602" s="80">
        <f t="shared" si="251"/>
        <v>0</v>
      </c>
      <c r="BU602" s="80">
        <f t="shared" si="252"/>
        <v>0</v>
      </c>
      <c r="BV602" s="80" t="str">
        <f>IFERROR(VLOOKUP($H602,'1. Set Program Names'!$B$2:$D$15,3,0)*V602,"NA")</f>
        <v>NA</v>
      </c>
      <c r="BW602" s="80" t="str">
        <f>IFERROR(VLOOKUP($H602,'1. Set Program Names'!$B$2:$D$15,3,0)*W602,"NA")</f>
        <v>NA</v>
      </c>
      <c r="BX602" s="80" t="str">
        <f>IFERROR(VLOOKUP($H602,'1. Set Program Names'!$B$2:$D$15,3,0)*X602,"NA")</f>
        <v>NA</v>
      </c>
      <c r="BY602" s="80" t="str">
        <f>IFERROR(VLOOKUP($H602,'1. Set Program Names'!$B$2:$D$15,3,0)*Y602,"NA")</f>
        <v>NA</v>
      </c>
      <c r="BZ602" s="80" t="str">
        <f>IFERROR(VLOOKUP($H602,'1. Set Program Names'!$B$2:$D$15,3,0)*Z602,"NA")</f>
        <v>NA</v>
      </c>
      <c r="CA602" s="80" t="str">
        <f>IFERROR(VLOOKUP($H602,'1. Set Program Names'!$B$2:$D$15,3,0)*AA602,"NA")</f>
        <v>NA</v>
      </c>
      <c r="CB602" s="80" t="str">
        <f>IFERROR(VLOOKUP($H602,'1. Set Program Names'!$B$2:$D$15,3,0)*AB602,"NA")</f>
        <v>NA</v>
      </c>
      <c r="CC602" s="80" t="str">
        <f>IFERROR(VLOOKUP($H602,'1. Set Program Names'!$B$2:$D$15,3,0)*AC602,"NA")</f>
        <v>NA</v>
      </c>
      <c r="CD602" s="80" t="str">
        <f>IFERROR(VLOOKUP($H602,'1. Set Program Names'!$B$2:$D$15,3,0)*AD602,"NA")</f>
        <v>NA</v>
      </c>
      <c r="CE602" s="80" t="str">
        <f>IFERROR(VLOOKUP($H602,'1. Set Program Names'!$B$2:$D$15,3,0)*AE602,"NA")</f>
        <v>NA</v>
      </c>
    </row>
    <row r="603" spans="1:83" x14ac:dyDescent="0.25">
      <c r="A603" s="79" t="s">
        <v>114</v>
      </c>
      <c r="B603" s="79" t="s">
        <v>88</v>
      </c>
      <c r="C603" s="79" t="s">
        <v>122</v>
      </c>
      <c r="D603" s="79" t="s">
        <v>90</v>
      </c>
      <c r="E603" s="79" t="s">
        <v>91</v>
      </c>
      <c r="F603" s="79" t="s">
        <v>90</v>
      </c>
      <c r="G603" s="79" t="s">
        <v>92</v>
      </c>
      <c r="H603" s="79" t="s">
        <v>268</v>
      </c>
      <c r="I603" s="79" t="s">
        <v>307</v>
      </c>
      <c r="J603" s="79" t="s">
        <v>137</v>
      </c>
      <c r="K603" s="79" t="s">
        <v>98</v>
      </c>
      <c r="L603" s="79">
        <v>1111.20999999999</v>
      </c>
      <c r="M603" s="79">
        <v>0.13640668324959701</v>
      </c>
      <c r="N603" s="79">
        <v>0.136388544932499</v>
      </c>
      <c r="O603" s="79">
        <v>412</v>
      </c>
      <c r="P603" s="79">
        <v>183.41637854330401</v>
      </c>
      <c r="Q603" s="79">
        <v>1.11120999999999</v>
      </c>
      <c r="R603" s="79">
        <v>480.86876845961399</v>
      </c>
      <c r="S603" s="79">
        <v>1206.90748297154</v>
      </c>
      <c r="T603" s="79">
        <v>15</v>
      </c>
      <c r="U603" s="79">
        <v>1</v>
      </c>
      <c r="V603" s="79">
        <f>tbl_Data_old[[#This Row],[2025 ]]*IFERROR(AVERAGEIFS('Participation Adjustment'!$C:$C,'Participation Adjustment'!$A:$A,$H603,'Participation Adjustment'!$B:$B,$I603),1)</f>
        <v>5.5835209986078498</v>
      </c>
      <c r="W603" s="79">
        <f>tbl_Data_old[[#This Row],[2026 ]]*IFERROR(AVERAGEIFS('Participation Adjustment'!$C:$C,'Participation Adjustment'!$A:$A,$H603,'Participation Adjustment'!$B:$B,$I603),1)</f>
        <v>7.6892962735743202</v>
      </c>
      <c r="X603" s="79">
        <f>tbl_Data_old[[#This Row],[2027 ]]*IFERROR(AVERAGEIFS('Participation Adjustment'!$C:$C,'Participation Adjustment'!$A:$A,$H603,'Participation Adjustment'!$B:$B,$I603),1)</f>
        <v>10.076508714165501</v>
      </c>
      <c r="Y603" s="79">
        <f>tbl_Data_old[[#This Row],[2028 ]]*IFERROR(AVERAGEIFS('Participation Adjustment'!$C:$C,'Participation Adjustment'!$A:$A,$H603,'Participation Adjustment'!$B:$B,$I603),1)</f>
        <v>12.6672661435696</v>
      </c>
      <c r="Z603" s="79">
        <f>tbl_Data_old[[#This Row],[2029 ]]*IFERROR(AVERAGEIFS('Participation Adjustment'!$C:$C,'Participation Adjustment'!$A:$A,$H603,'Participation Adjustment'!$B:$B,$I603),1)</f>
        <v>15.2778865588466</v>
      </c>
      <c r="AA603" s="79">
        <f>tbl_Data_old[[#This Row],[2030 ]]*IFERROR(AVERAGEIFS('Participation Adjustment'!$C:$C,'Participation Adjustment'!$A:$A,$H603,'Participation Adjustment'!$B:$B,$I603),1)</f>
        <v>17.6874407562191</v>
      </c>
      <c r="AB603" s="79">
        <f>tbl_Data_old[[#This Row],[2031 ]]*IFERROR(AVERAGEIFS('Participation Adjustment'!$C:$C,'Participation Adjustment'!$A:$A,$H603,'Participation Adjustment'!$B:$B,$I603),1)</f>
        <v>19.754933582797701</v>
      </c>
      <c r="AC603" s="79">
        <f>tbl_Data_old[[#This Row],[2032 ]]*IFERROR(AVERAGEIFS('Participation Adjustment'!$C:$C,'Participation Adjustment'!$A:$A,$H603,'Participation Adjustment'!$B:$B,$I603),1)</f>
        <v>21.459880512633799</v>
      </c>
      <c r="AD603" s="79">
        <f>tbl_Data_old[[#This Row],[2033 ]]*IFERROR(AVERAGEIFS('Participation Adjustment'!$C:$C,'Participation Adjustment'!$A:$A,$H603,'Participation Adjustment'!$B:$B,$I603),1)</f>
        <v>22.827890543719601</v>
      </c>
      <c r="AE603" s="79">
        <f>tbl_Data_old[[#This Row],[2034 ]]*IFERROR(AVERAGEIFS('Participation Adjustment'!$C:$C,'Participation Adjustment'!$A:$A,$H603,'Participation Adjustment'!$B:$B,$I603),1)</f>
        <v>23.914691618144801</v>
      </c>
      <c r="AF603" s="77" t="str">
        <f t="shared" si="242"/>
        <v>NonResidential</v>
      </c>
      <c r="AG603" s="77" t="str">
        <f>tbl_Data[[#This Row],[All_Meas_Name_Append]]</f>
        <v>Efficient Battery Charger</v>
      </c>
      <c r="AH603" s="77">
        <f>AVERAGEIFS('3. Incentive Adjustment'!G:G,'3. Incentive Adjustment'!A:A,tbl_Data[[#This Row],[Trimmed Sector]],'3. Incentive Adjustment'!B:B,tbl_Data[[#This Row],[Trimmed Measure Name]])</f>
        <v>0.64693164144446047</v>
      </c>
      <c r="AI603" s="77">
        <f>$AH603*tbl_Data[[#This Row],[2025 ]]</f>
        <v>3.6121564046689891</v>
      </c>
      <c r="AJ603" s="77">
        <f>$AH603*tbl_Data[[#This Row],[2026 ]]</f>
        <v>4.9744490598162079</v>
      </c>
      <c r="AK603" s="77">
        <f>$AH603*tbl_Data[[#This Row],[2027 ]]</f>
        <v>6.5188123224844974</v>
      </c>
      <c r="AL603" s="77">
        <f>$AH603*tbl_Data[[#This Row],[2028 ]]</f>
        <v>8.1948552788733231</v>
      </c>
      <c r="AM603" s="77">
        <f>$AH603*tbl_Data[[#This Row],[2029 ]]</f>
        <v>9.8837482293168897</v>
      </c>
      <c r="AN603" s="77">
        <f>$AH603*tbl_Data[[#This Row],[2030 ]]</f>
        <v>11.442565081372472</v>
      </c>
      <c r="AO603" s="77">
        <f>$AH603*tbl_Data[[#This Row],[2031 ]]</f>
        <v>12.780091609345613</v>
      </c>
      <c r="AP603" s="77">
        <f>$AH603*tbl_Data[[#This Row],[2032 ]]</f>
        <v>13.883075725240174</v>
      </c>
      <c r="AQ603" s="77">
        <f>$AH603*tbl_Data[[#This Row],[2033 ]]</f>
        <v>14.768084700162998</v>
      </c>
      <c r="AR603" s="77">
        <f>$AH603*tbl_Data[[#This Row],[2034 ]]</f>
        <v>15.471170703164496</v>
      </c>
      <c r="AS603" s="77">
        <f>SUM(tbl_Data[[#This Row],[Adjusted 2025]:[Adjusted 2034]])</f>
        <v>101.52900911444567</v>
      </c>
      <c r="AT603" s="80">
        <f>AVERAGEIFS('3. Incentive Adjustment'!F:F,'3. Incentive Adjustment'!A:A,tbl_Data[[#This Row],[Trimmed Sector]],'3. Incentive Adjustment'!B:B,tbl_Data[[#This Row],[Trimmed Measure Name]])</f>
        <v>0</v>
      </c>
      <c r="AU603" s="80">
        <f>IFERROR(VLOOKUP(tbl_Data[[#This Row],[All_Meas_Name_Append]],'IRA Tax Credits'!$A$3:$D$46,4,0),0)</f>
        <v>0</v>
      </c>
      <c r="AV603" s="81">
        <f>tbl_Data[[#This Row],[Adj. per unit Incentive ($)]]/tbl_Data[[#This Row],[kWh Savings]]*tbl_Data[[#This Row],[Sum of Annuals]]</f>
        <v>0</v>
      </c>
      <c r="AW603" s="81" t="str">
        <f>IFERROR(VLOOKUP(tbl_Data[[#This Row],[Column1]],'1. Set Program Names'!$B$2:$D$15,3,0)*tbl_Data[[#This Row],[Sum of Annuals]],"")</f>
        <v/>
      </c>
      <c r="AX603" s="81">
        <f>tbl_Data[[#This Row],[per unit IRA tax ($)]]/tbl_Data[[#This Row],[kWh Savings]]*tbl_Data[[#This Row],[Sum of Annuals]]</f>
        <v>0</v>
      </c>
      <c r="AY603" s="81">
        <f>tbl_Data[[#This Row],[Avoided Costs ($/unit)]]/tbl_Data[[#This Row],[kWh Savings]]*tbl_Data[[#This Row],[Sum of Annuals]]</f>
        <v>43.936006313648051</v>
      </c>
      <c r="AZ603" s="81">
        <f>tbl_Data[[#This Row],[Lost Revenue ($/unit)]]/tbl_Data[[#This Row],[kWh Savings]]*tbl_Data[[#This Row],[Sum of Annuals]]</f>
        <v>110.27269448521096</v>
      </c>
      <c r="BA603" s="81">
        <f>tbl_Data[[#This Row],[Incremental Cost ($/unit)]]/tbl_Data[[#This Row],[kWh Savings]]*tbl_Data[[#This Row],[Sum of Annuals]]</f>
        <v>37.643606298676211</v>
      </c>
      <c r="BB603" s="77">
        <f>ROUNDUP(tbl_Data[[#This Row],[Adjusted 2025]]/$L603,0)</f>
        <v>1</v>
      </c>
      <c r="BC603" s="77">
        <f>ROUNDUP(tbl_Data[[#This Row],[Adjusted 2026]]/$L603,0)</f>
        <v>1</v>
      </c>
      <c r="BD603" s="77">
        <f>ROUNDUP(tbl_Data[[#This Row],[Adjusted 2027]]/$L603,0)</f>
        <v>1</v>
      </c>
      <c r="BE603" s="77">
        <f>ROUNDUP(tbl_Data[[#This Row],[Adjusted 2028]]/$L603,0)</f>
        <v>1</v>
      </c>
      <c r="BF603" s="77">
        <f>ROUNDUP(tbl_Data[[#This Row],[Adjusted 2029]]/$L603,0)</f>
        <v>1</v>
      </c>
      <c r="BG603" s="77">
        <f>ROUNDUP(tbl_Data[[#This Row],[Adjusted 2030]]/$L603,0)</f>
        <v>1</v>
      </c>
      <c r="BH603" s="77">
        <f>ROUNDUP(tbl_Data[[#This Row],[Adjusted 2031]]/$L603,0)</f>
        <v>1</v>
      </c>
      <c r="BI603" s="77">
        <f>ROUNDUP(tbl_Data[[#This Row],[Adjusted 2032]]/$L603,0)</f>
        <v>1</v>
      </c>
      <c r="BJ603" s="77">
        <f>ROUNDUP(tbl_Data[[#This Row],[Adjusted 2033]]/$L603,0)</f>
        <v>1</v>
      </c>
      <c r="BK603" s="77">
        <f>ROUNDUP(tbl_Data[[#This Row],[Adjusted 2034]]/$L603,0)</f>
        <v>1</v>
      </c>
      <c r="BL603" s="80">
        <f t="shared" si="243"/>
        <v>0</v>
      </c>
      <c r="BM603" s="80">
        <f t="shared" si="244"/>
        <v>0</v>
      </c>
      <c r="BN603" s="80">
        <f t="shared" si="245"/>
        <v>0</v>
      </c>
      <c r="BO603" s="80">
        <f t="shared" si="246"/>
        <v>0</v>
      </c>
      <c r="BP603" s="80">
        <f t="shared" si="247"/>
        <v>0</v>
      </c>
      <c r="BQ603" s="80">
        <f t="shared" si="248"/>
        <v>0</v>
      </c>
      <c r="BR603" s="80">
        <f t="shared" si="249"/>
        <v>0</v>
      </c>
      <c r="BS603" s="80">
        <f t="shared" si="250"/>
        <v>0</v>
      </c>
      <c r="BT603" s="80">
        <f t="shared" si="251"/>
        <v>0</v>
      </c>
      <c r="BU603" s="80">
        <f t="shared" si="252"/>
        <v>0</v>
      </c>
      <c r="BV603" s="80" t="str">
        <f>IFERROR(VLOOKUP($H603,'1. Set Program Names'!$B$2:$D$15,3,0)*V603,"NA")</f>
        <v>NA</v>
      </c>
      <c r="BW603" s="80" t="str">
        <f>IFERROR(VLOOKUP($H603,'1. Set Program Names'!$B$2:$D$15,3,0)*W603,"NA")</f>
        <v>NA</v>
      </c>
      <c r="BX603" s="80" t="str">
        <f>IFERROR(VLOOKUP($H603,'1. Set Program Names'!$B$2:$D$15,3,0)*X603,"NA")</f>
        <v>NA</v>
      </c>
      <c r="BY603" s="80" t="str">
        <f>IFERROR(VLOOKUP($H603,'1. Set Program Names'!$B$2:$D$15,3,0)*Y603,"NA")</f>
        <v>NA</v>
      </c>
      <c r="BZ603" s="80" t="str">
        <f>IFERROR(VLOOKUP($H603,'1. Set Program Names'!$B$2:$D$15,3,0)*Z603,"NA")</f>
        <v>NA</v>
      </c>
      <c r="CA603" s="80" t="str">
        <f>IFERROR(VLOOKUP($H603,'1. Set Program Names'!$B$2:$D$15,3,0)*AA603,"NA")</f>
        <v>NA</v>
      </c>
      <c r="CB603" s="80" t="str">
        <f>IFERROR(VLOOKUP($H603,'1. Set Program Names'!$B$2:$D$15,3,0)*AB603,"NA")</f>
        <v>NA</v>
      </c>
      <c r="CC603" s="80" t="str">
        <f>IFERROR(VLOOKUP($H603,'1. Set Program Names'!$B$2:$D$15,3,0)*AC603,"NA")</f>
        <v>NA</v>
      </c>
      <c r="CD603" s="80" t="str">
        <f>IFERROR(VLOOKUP($H603,'1. Set Program Names'!$B$2:$D$15,3,0)*AD603,"NA")</f>
        <v>NA</v>
      </c>
      <c r="CE603" s="80" t="str">
        <f>IFERROR(VLOOKUP($H603,'1. Set Program Names'!$B$2:$D$15,3,0)*AE603,"NA")</f>
        <v>NA</v>
      </c>
    </row>
    <row r="604" spans="1:83" x14ac:dyDescent="0.25">
      <c r="A604" s="79" t="s">
        <v>114</v>
      </c>
      <c r="B604" s="79" t="s">
        <v>88</v>
      </c>
      <c r="C604" s="79" t="s">
        <v>122</v>
      </c>
      <c r="D604" s="79" t="s">
        <v>90</v>
      </c>
      <c r="E604" s="79" t="s">
        <v>91</v>
      </c>
      <c r="F604" s="79" t="s">
        <v>90</v>
      </c>
      <c r="G604" s="79" t="s">
        <v>92</v>
      </c>
      <c r="H604" s="79" t="s">
        <v>268</v>
      </c>
      <c r="I604" s="79" t="s">
        <v>135</v>
      </c>
      <c r="J604" s="79" t="s">
        <v>134</v>
      </c>
      <c r="K604" s="79" t="s">
        <v>98</v>
      </c>
      <c r="L604" s="79">
        <v>6368</v>
      </c>
      <c r="M604" s="79">
        <v>0.60494632768604495</v>
      </c>
      <c r="N604" s="79">
        <v>0.53529110623606202</v>
      </c>
      <c r="O604" s="79">
        <v>1580</v>
      </c>
      <c r="P604" s="79">
        <v>270.05813353350197</v>
      </c>
      <c r="Q604" s="79">
        <v>6.3680000000000003</v>
      </c>
      <c r="R604" s="79">
        <v>1963.2041057461399</v>
      </c>
      <c r="S604" s="79">
        <v>5968.19517810463</v>
      </c>
      <c r="T604" s="79">
        <v>12</v>
      </c>
      <c r="U604" s="79">
        <v>1</v>
      </c>
      <c r="V604" s="79">
        <f>tbl_Data_old[[#This Row],[2025 ]]*IFERROR(AVERAGEIFS('Participation Adjustment'!$C:$C,'Participation Adjustment'!$A:$A,$H604,'Participation Adjustment'!$B:$B,$I604),1)</f>
        <v>3.0689218055334302</v>
      </c>
      <c r="W604" s="79">
        <f>tbl_Data_old[[#This Row],[2026 ]]*IFERROR(AVERAGEIFS('Participation Adjustment'!$C:$C,'Participation Adjustment'!$A:$A,$H604,'Participation Adjustment'!$B:$B,$I604),1)</f>
        <v>4.2147754427667996</v>
      </c>
      <c r="X604" s="79">
        <f>tbl_Data_old[[#This Row],[2027 ]]*IFERROR(AVERAGEIFS('Participation Adjustment'!$C:$C,'Participation Adjustment'!$A:$A,$H604,'Participation Adjustment'!$B:$B,$I604),1)</f>
        <v>5.4865296950920603</v>
      </c>
      <c r="Y604" s="79">
        <f>tbl_Data_old[[#This Row],[2028 ]]*IFERROR(AVERAGEIFS('Participation Adjustment'!$C:$C,'Participation Adjustment'!$A:$A,$H604,'Participation Adjustment'!$B:$B,$I604),1)</f>
        <v>6.8274427410331997</v>
      </c>
      <c r="Z604" s="79">
        <f>tbl_Data_old[[#This Row],[2029 ]]*IFERROR(AVERAGEIFS('Participation Adjustment'!$C:$C,'Participation Adjustment'!$A:$A,$H604,'Participation Adjustment'!$B:$B,$I604),1)</f>
        <v>8.1277740017662801</v>
      </c>
      <c r="AA604" s="79">
        <f>tbl_Data_old[[#This Row],[2030 ]]*IFERROR(AVERAGEIFS('Participation Adjustment'!$C:$C,'Participation Adjustment'!$A:$A,$H604,'Participation Adjustment'!$B:$B,$I604),1)</f>
        <v>9.2743315564993303</v>
      </c>
      <c r="AB604" s="79">
        <f>tbl_Data_old[[#This Row],[2031 ]]*IFERROR(AVERAGEIFS('Participation Adjustment'!$C:$C,'Participation Adjustment'!$A:$A,$H604,'Participation Adjustment'!$B:$B,$I604),1)</f>
        <v>10.1987811337598</v>
      </c>
      <c r="AC604" s="79">
        <f>tbl_Data_old[[#This Row],[2032 ]]*IFERROR(AVERAGEIFS('Participation Adjustment'!$C:$C,'Participation Adjustment'!$A:$A,$H604,'Participation Adjustment'!$B:$B,$I604),1)</f>
        <v>10.905946410444599</v>
      </c>
      <c r="AD604" s="79">
        <f>tbl_Data_old[[#This Row],[2033 ]]*IFERROR(AVERAGEIFS('Participation Adjustment'!$C:$C,'Participation Adjustment'!$A:$A,$H604,'Participation Adjustment'!$B:$B,$I604),1)</f>
        <v>11.429667395324801</v>
      </c>
      <c r="AE604" s="79">
        <f>tbl_Data_old[[#This Row],[2034 ]]*IFERROR(AVERAGEIFS('Participation Adjustment'!$C:$C,'Participation Adjustment'!$A:$A,$H604,'Participation Adjustment'!$B:$B,$I604),1)</f>
        <v>11.801421928601901</v>
      </c>
      <c r="AF604" s="77" t="str">
        <f t="shared" si="242"/>
        <v>NonResidential</v>
      </c>
      <c r="AG604" s="77" t="str">
        <f>tbl_Data[[#This Row],[All_Meas_Name_Append]]</f>
        <v>Energy Star Combination Oven</v>
      </c>
      <c r="AH604" s="77">
        <f>AVERAGEIFS('3. Incentive Adjustment'!G:G,'3. Incentive Adjustment'!A:A,tbl_Data[[#This Row],[Trimmed Sector]],'3. Incentive Adjustment'!B:B,tbl_Data[[#This Row],[Trimmed Measure Name]])</f>
        <v>0.89413714267910538</v>
      </c>
      <c r="AI604" s="77">
        <f>$AH604*tbl_Data[[#This Row],[2025 ]]</f>
        <v>2.7440369743052622</v>
      </c>
      <c r="AJ604" s="77">
        <f>$AH604*tbl_Data[[#This Row],[2026 ]]</f>
        <v>3.7685872714295674</v>
      </c>
      <c r="AK604" s="77">
        <f>$AH604*tbl_Data[[#This Row],[2027 ]]</f>
        <v>4.9057099847936785</v>
      </c>
      <c r="AL604" s="77">
        <f>$AH604*tbl_Data[[#This Row],[2028 ]]</f>
        <v>6.1046701442726246</v>
      </c>
      <c r="AM604" s="77">
        <f>$AH604*tbl_Data[[#This Row],[2029 ]]</f>
        <v>7.2673446222808193</v>
      </c>
      <c r="AN604" s="77">
        <f>$AH604*tbl_Data[[#This Row],[2030 ]]</f>
        <v>8.2925243181869703</v>
      </c>
      <c r="AO604" s="77">
        <f>$AH604*tbl_Data[[#This Row],[2031 ]]</f>
        <v>9.119109021749555</v>
      </c>
      <c r="AP604" s="77">
        <f>$AH604*tbl_Data[[#This Row],[2032 ]]</f>
        <v>9.7514117616463807</v>
      </c>
      <c r="AQ604" s="77">
        <f>$AH604*tbl_Data[[#This Row],[2033 ]]</f>
        <v>10.219690146628251</v>
      </c>
      <c r="AR604" s="77">
        <f>$AH604*tbl_Data[[#This Row],[2034 ]]</f>
        <v>10.552089682790641</v>
      </c>
      <c r="AS604" s="77">
        <f>SUM(tbl_Data[[#This Row],[Adjusted 2025]:[Adjusted 2034]])</f>
        <v>72.725173928083748</v>
      </c>
      <c r="AT604" s="80">
        <f>AVERAGEIFS('3. Incentive Adjustment'!F:F,'3. Incentive Adjustment'!A:A,tbl_Data[[#This Row],[Trimmed Sector]],'3. Incentive Adjustment'!B:B,tbl_Data[[#This Row],[Trimmed Measure Name]])</f>
        <v>0</v>
      </c>
      <c r="AU604" s="80">
        <f>IFERROR(VLOOKUP(tbl_Data[[#This Row],[All_Meas_Name_Append]],'IRA Tax Credits'!$A$3:$D$46,4,0),0)</f>
        <v>0</v>
      </c>
      <c r="AV604" s="81">
        <f>tbl_Data[[#This Row],[Adj. per unit Incentive ($)]]/tbl_Data[[#This Row],[kWh Savings]]*tbl_Data[[#This Row],[Sum of Annuals]]</f>
        <v>0</v>
      </c>
      <c r="AW604" s="81" t="str">
        <f>IFERROR(VLOOKUP(tbl_Data[[#This Row],[Column1]],'1. Set Program Names'!$B$2:$D$15,3,0)*tbl_Data[[#This Row],[Sum of Annuals]],"")</f>
        <v/>
      </c>
      <c r="AX604" s="81">
        <f>tbl_Data[[#This Row],[per unit IRA tax ($)]]/tbl_Data[[#This Row],[kWh Savings]]*tbl_Data[[#This Row],[Sum of Annuals]]</f>
        <v>0</v>
      </c>
      <c r="AY604" s="81">
        <f>tbl_Data[[#This Row],[Avoided Costs ($/unit)]]/tbl_Data[[#This Row],[kWh Savings]]*tbl_Data[[#This Row],[Sum of Annuals]]</f>
        <v>22.420596741004417</v>
      </c>
      <c r="AZ604" s="81">
        <f>tbl_Data[[#This Row],[Lost Revenue ($/unit)]]/tbl_Data[[#This Row],[kWh Savings]]*tbl_Data[[#This Row],[Sum of Annuals]]</f>
        <v>68.159238750692523</v>
      </c>
      <c r="BA604" s="81">
        <f>tbl_Data[[#This Row],[Incremental Cost ($/unit)]]/tbl_Data[[#This Row],[kWh Savings]]*tbl_Data[[#This Row],[Sum of Annuals]]</f>
        <v>18.044248556277061</v>
      </c>
      <c r="BB604" s="77">
        <f>ROUNDUP(tbl_Data[[#This Row],[Adjusted 2025]]/$L604,0)</f>
        <v>1</v>
      </c>
      <c r="BC604" s="77">
        <f>ROUNDUP(tbl_Data[[#This Row],[Adjusted 2026]]/$L604,0)</f>
        <v>1</v>
      </c>
      <c r="BD604" s="77">
        <f>ROUNDUP(tbl_Data[[#This Row],[Adjusted 2027]]/$L604,0)</f>
        <v>1</v>
      </c>
      <c r="BE604" s="77">
        <f>ROUNDUP(tbl_Data[[#This Row],[Adjusted 2028]]/$L604,0)</f>
        <v>1</v>
      </c>
      <c r="BF604" s="77">
        <f>ROUNDUP(tbl_Data[[#This Row],[Adjusted 2029]]/$L604,0)</f>
        <v>1</v>
      </c>
      <c r="BG604" s="77">
        <f>ROUNDUP(tbl_Data[[#This Row],[Adjusted 2030]]/$L604,0)</f>
        <v>1</v>
      </c>
      <c r="BH604" s="77">
        <f>ROUNDUP(tbl_Data[[#This Row],[Adjusted 2031]]/$L604,0)</f>
        <v>1</v>
      </c>
      <c r="BI604" s="77">
        <f>ROUNDUP(tbl_Data[[#This Row],[Adjusted 2032]]/$L604,0)</f>
        <v>1</v>
      </c>
      <c r="BJ604" s="77">
        <f>ROUNDUP(tbl_Data[[#This Row],[Adjusted 2033]]/$L604,0)</f>
        <v>1</v>
      </c>
      <c r="BK604" s="77">
        <f>ROUNDUP(tbl_Data[[#This Row],[Adjusted 2034]]/$L604,0)</f>
        <v>1</v>
      </c>
      <c r="BL604" s="80">
        <f t="shared" si="243"/>
        <v>0</v>
      </c>
      <c r="BM604" s="80">
        <f t="shared" si="244"/>
        <v>0</v>
      </c>
      <c r="BN604" s="80">
        <f t="shared" si="245"/>
        <v>0</v>
      </c>
      <c r="BO604" s="80">
        <f t="shared" si="246"/>
        <v>0</v>
      </c>
      <c r="BP604" s="80">
        <f t="shared" si="247"/>
        <v>0</v>
      </c>
      <c r="BQ604" s="80">
        <f t="shared" si="248"/>
        <v>0</v>
      </c>
      <c r="BR604" s="80">
        <f t="shared" si="249"/>
        <v>0</v>
      </c>
      <c r="BS604" s="80">
        <f t="shared" si="250"/>
        <v>0</v>
      </c>
      <c r="BT604" s="80">
        <f t="shared" si="251"/>
        <v>0</v>
      </c>
      <c r="BU604" s="80">
        <f t="shared" si="252"/>
        <v>0</v>
      </c>
      <c r="BV604" s="80" t="str">
        <f>IFERROR(VLOOKUP($H604,'1. Set Program Names'!$B$2:$D$15,3,0)*V604,"NA")</f>
        <v>NA</v>
      </c>
      <c r="BW604" s="80" t="str">
        <f>IFERROR(VLOOKUP($H604,'1. Set Program Names'!$B$2:$D$15,3,0)*W604,"NA")</f>
        <v>NA</v>
      </c>
      <c r="BX604" s="80" t="str">
        <f>IFERROR(VLOOKUP($H604,'1. Set Program Names'!$B$2:$D$15,3,0)*X604,"NA")</f>
        <v>NA</v>
      </c>
      <c r="BY604" s="80" t="str">
        <f>IFERROR(VLOOKUP($H604,'1. Set Program Names'!$B$2:$D$15,3,0)*Y604,"NA")</f>
        <v>NA</v>
      </c>
      <c r="BZ604" s="80" t="str">
        <f>IFERROR(VLOOKUP($H604,'1. Set Program Names'!$B$2:$D$15,3,0)*Z604,"NA")</f>
        <v>NA</v>
      </c>
      <c r="CA604" s="80" t="str">
        <f>IFERROR(VLOOKUP($H604,'1. Set Program Names'!$B$2:$D$15,3,0)*AA604,"NA")</f>
        <v>NA</v>
      </c>
      <c r="CB604" s="80" t="str">
        <f>IFERROR(VLOOKUP($H604,'1. Set Program Names'!$B$2:$D$15,3,0)*AB604,"NA")</f>
        <v>NA</v>
      </c>
      <c r="CC604" s="80" t="str">
        <f>IFERROR(VLOOKUP($H604,'1. Set Program Names'!$B$2:$D$15,3,0)*AC604,"NA")</f>
        <v>NA</v>
      </c>
      <c r="CD604" s="80" t="str">
        <f>IFERROR(VLOOKUP($H604,'1. Set Program Names'!$B$2:$D$15,3,0)*AD604,"NA")</f>
        <v>NA</v>
      </c>
      <c r="CE604" s="80" t="str">
        <f>IFERROR(VLOOKUP($H604,'1. Set Program Names'!$B$2:$D$15,3,0)*AE604,"NA")</f>
        <v>NA</v>
      </c>
    </row>
    <row r="605" spans="1:83" x14ac:dyDescent="0.25">
      <c r="A605" s="79" t="s">
        <v>114</v>
      </c>
      <c r="B605" s="79" t="s">
        <v>88</v>
      </c>
      <c r="C605" s="79" t="s">
        <v>122</v>
      </c>
      <c r="D605" s="79" t="s">
        <v>90</v>
      </c>
      <c r="E605" s="79" t="s">
        <v>91</v>
      </c>
      <c r="F605" s="79" t="s">
        <v>90</v>
      </c>
      <c r="G605" s="79" t="s">
        <v>92</v>
      </c>
      <c r="H605" s="79" t="s">
        <v>268</v>
      </c>
      <c r="I605" s="79" t="s">
        <v>136</v>
      </c>
      <c r="J605" s="79" t="s">
        <v>137</v>
      </c>
      <c r="K605" s="79" t="s">
        <v>104</v>
      </c>
      <c r="L605" s="79">
        <v>810.099999999999</v>
      </c>
      <c r="M605" s="79">
        <v>0.128563724196602</v>
      </c>
      <c r="N605" s="79">
        <v>0.13252898089850401</v>
      </c>
      <c r="O605" s="79">
        <v>224</v>
      </c>
      <c r="P605" s="79">
        <v>57.356798677055799</v>
      </c>
      <c r="Q605" s="79">
        <v>0.81009999999999904</v>
      </c>
      <c r="R605" s="79">
        <v>239.61317678792901</v>
      </c>
      <c r="S605" s="79">
        <v>505.19538551625698</v>
      </c>
      <c r="T605" s="79">
        <v>7</v>
      </c>
      <c r="U605" s="79">
        <v>1</v>
      </c>
      <c r="V605" s="79">
        <f>tbl_Data_old[[#This Row],[2025 ]]*IFERROR(AVERAGEIFS('Participation Adjustment'!$C:$C,'Participation Adjustment'!$A:$A,$H605,'Participation Adjustment'!$B:$B,$I605),1)</f>
        <v>3.0482030807525602</v>
      </c>
      <c r="W605" s="79">
        <f>tbl_Data_old[[#This Row],[2026 ]]*IFERROR(AVERAGEIFS('Participation Adjustment'!$C:$C,'Participation Adjustment'!$A:$A,$H605,'Participation Adjustment'!$B:$B,$I605),1)</f>
        <v>4.23933521417701</v>
      </c>
      <c r="X605" s="79">
        <f>tbl_Data_old[[#This Row],[2027 ]]*IFERROR(AVERAGEIFS('Participation Adjustment'!$C:$C,'Participation Adjustment'!$A:$A,$H605,'Participation Adjustment'!$B:$B,$I605),1)</f>
        <v>5.5799711083643899</v>
      </c>
      <c r="Y605" s="79">
        <f>tbl_Data_old[[#This Row],[2028 ]]*IFERROR(AVERAGEIFS('Participation Adjustment'!$C:$C,'Participation Adjustment'!$A:$A,$H605,'Participation Adjustment'!$B:$B,$I605),1)</f>
        <v>7.0190380396505496</v>
      </c>
      <c r="Z605" s="79">
        <f>tbl_Data_old[[#This Row],[2029 ]]*IFERROR(AVERAGEIFS('Participation Adjustment'!$C:$C,'Participation Adjustment'!$A:$A,$H605,'Participation Adjustment'!$B:$B,$I605),1)</f>
        <v>8.4484916289457708</v>
      </c>
      <c r="AA605" s="79">
        <f>tbl_Data_old[[#This Row],[2030 ]]*IFERROR(AVERAGEIFS('Participation Adjustment'!$C:$C,'Participation Adjustment'!$A:$A,$H605,'Participation Adjustment'!$B:$B,$I605),1)</f>
        <v>9.7448169030999292</v>
      </c>
      <c r="AB605" s="79">
        <f>tbl_Data_old[[#This Row],[2031 ]]*IFERROR(AVERAGEIFS('Participation Adjustment'!$C:$C,'Participation Adjustment'!$A:$A,$H605,'Participation Adjustment'!$B:$B,$I605),1)</f>
        <v>10.8354146818929</v>
      </c>
      <c r="AC605" s="79">
        <f>tbl_Data_old[[#This Row],[2032 ]]*IFERROR(AVERAGEIFS('Participation Adjustment'!$C:$C,'Participation Adjustment'!$A:$A,$H605,'Participation Adjustment'!$B:$B,$I605),1)</f>
        <v>11.718062142501999</v>
      </c>
      <c r="AD605" s="79">
        <f>tbl_Data_old[[#This Row],[2033 ]]*IFERROR(AVERAGEIFS('Participation Adjustment'!$C:$C,'Participation Adjustment'!$A:$A,$H605,'Participation Adjustment'!$B:$B,$I605),1)</f>
        <v>12.4154071332032</v>
      </c>
      <c r="AE605" s="79">
        <f>tbl_Data_old[[#This Row],[2034 ]]*IFERROR(AVERAGEIFS('Participation Adjustment'!$C:$C,'Participation Adjustment'!$A:$A,$H605,'Participation Adjustment'!$B:$B,$I605),1)</f>
        <v>12.9634972693954</v>
      </c>
      <c r="AF605" s="77" t="str">
        <f t="shared" si="242"/>
        <v>NonResidential</v>
      </c>
      <c r="AG605" s="77" t="str">
        <f>tbl_Data[[#This Row],[All_Meas_Name_Append]]</f>
        <v>Energy Star Commercial Clothes Washer</v>
      </c>
      <c r="AH605" s="77">
        <f>AVERAGEIFS('3. Incentive Adjustment'!G:G,'3. Incentive Adjustment'!A:A,tbl_Data[[#This Row],[Trimmed Sector]],'3. Incentive Adjustment'!B:B,tbl_Data[[#This Row],[Trimmed Measure Name]])</f>
        <v>0.82959886877160749</v>
      </c>
      <c r="AI605" s="77">
        <f>$AH605*tbl_Data[[#This Row],[2025 ]]</f>
        <v>2.5287858275784529</v>
      </c>
      <c r="AJ605" s="77">
        <f>$AH605*tbl_Data[[#This Row],[2026 ]]</f>
        <v>3.5169476980248877</v>
      </c>
      <c r="AK605" s="77">
        <f>$AH605*tbl_Data[[#This Row],[2027 ]]</f>
        <v>4.6291377192773506</v>
      </c>
      <c r="AL605" s="77">
        <f>$AH605*tbl_Data[[#This Row],[2028 ]]</f>
        <v>5.8229860175589776</v>
      </c>
      <c r="AM605" s="77">
        <f>$AH605*tbl_Data[[#This Row],[2029 ]]</f>
        <v>7.0088590981998067</v>
      </c>
      <c r="AN605" s="77">
        <f>$AH605*tbl_Data[[#This Row],[2030 ]]</f>
        <v>8.0842890791981414</v>
      </c>
      <c r="AO605" s="77">
        <f>$AH605*tbl_Data[[#This Row],[2031 ]]</f>
        <v>8.9890477627696175</v>
      </c>
      <c r="AP605" s="77">
        <f>$AH605*tbl_Data[[#This Row],[2032 ]]</f>
        <v>9.7212910976150582</v>
      </c>
      <c r="AQ605" s="77">
        <f>$AH605*tbl_Data[[#This Row],[2033 ]]</f>
        <v>10.29980771304432</v>
      </c>
      <c r="AR605" s="77">
        <f>$AH605*tbl_Data[[#This Row],[2034 ]]</f>
        <v>10.754502670014247</v>
      </c>
      <c r="AS605" s="77">
        <f>SUM(tbl_Data[[#This Row],[Adjusted 2025]:[Adjusted 2034]])</f>
        <v>71.355654683280861</v>
      </c>
      <c r="AT605" s="80">
        <f>AVERAGEIFS('3. Incentive Adjustment'!F:F,'3. Incentive Adjustment'!A:A,tbl_Data[[#This Row],[Trimmed Sector]],'3. Incentive Adjustment'!B:B,tbl_Data[[#This Row],[Trimmed Measure Name]])</f>
        <v>0</v>
      </c>
      <c r="AU605" s="80">
        <f>IFERROR(VLOOKUP(tbl_Data[[#This Row],[All_Meas_Name_Append]],'IRA Tax Credits'!$A$3:$D$46,4,0),0)</f>
        <v>0</v>
      </c>
      <c r="AV605" s="81">
        <f>tbl_Data[[#This Row],[Adj. per unit Incentive ($)]]/tbl_Data[[#This Row],[kWh Savings]]*tbl_Data[[#This Row],[Sum of Annuals]]</f>
        <v>0</v>
      </c>
      <c r="AW605" s="81" t="str">
        <f>IFERROR(VLOOKUP(tbl_Data[[#This Row],[Column1]],'1. Set Program Names'!$B$2:$D$15,3,0)*tbl_Data[[#This Row],[Sum of Annuals]],"")</f>
        <v/>
      </c>
      <c r="AX605" s="81">
        <f>tbl_Data[[#This Row],[per unit IRA tax ($)]]/tbl_Data[[#This Row],[kWh Savings]]*tbl_Data[[#This Row],[Sum of Annuals]]</f>
        <v>0</v>
      </c>
      <c r="AY605" s="81">
        <f>tbl_Data[[#This Row],[Avoided Costs ($/unit)]]/tbl_Data[[#This Row],[kWh Savings]]*tbl_Data[[#This Row],[Sum of Annuals]]</f>
        <v>21.105733984006189</v>
      </c>
      <c r="AZ605" s="81">
        <f>tbl_Data[[#This Row],[Lost Revenue ($/unit)]]/tbl_Data[[#This Row],[kWh Savings]]*tbl_Data[[#This Row],[Sum of Annuals]]</f>
        <v>44.498885910980157</v>
      </c>
      <c r="BA605" s="81">
        <f>tbl_Data[[#This Row],[Incremental Cost ($/unit)]]/tbl_Data[[#This Row],[kWh Savings]]*tbl_Data[[#This Row],[Sum of Annuals]]</f>
        <v>19.730485926496648</v>
      </c>
      <c r="BB605" s="77">
        <f>ROUNDUP(tbl_Data[[#This Row],[Adjusted 2025]]/$L605,0)</f>
        <v>1</v>
      </c>
      <c r="BC605" s="77">
        <f>ROUNDUP(tbl_Data[[#This Row],[Adjusted 2026]]/$L605,0)</f>
        <v>1</v>
      </c>
      <c r="BD605" s="77">
        <f>ROUNDUP(tbl_Data[[#This Row],[Adjusted 2027]]/$L605,0)</f>
        <v>1</v>
      </c>
      <c r="BE605" s="77">
        <f>ROUNDUP(tbl_Data[[#This Row],[Adjusted 2028]]/$L605,0)</f>
        <v>1</v>
      </c>
      <c r="BF605" s="77">
        <f>ROUNDUP(tbl_Data[[#This Row],[Adjusted 2029]]/$L605,0)</f>
        <v>1</v>
      </c>
      <c r="BG605" s="77">
        <f>ROUNDUP(tbl_Data[[#This Row],[Adjusted 2030]]/$L605,0)</f>
        <v>1</v>
      </c>
      <c r="BH605" s="77">
        <f>ROUNDUP(tbl_Data[[#This Row],[Adjusted 2031]]/$L605,0)</f>
        <v>1</v>
      </c>
      <c r="BI605" s="77">
        <f>ROUNDUP(tbl_Data[[#This Row],[Adjusted 2032]]/$L605,0)</f>
        <v>1</v>
      </c>
      <c r="BJ605" s="77">
        <f>ROUNDUP(tbl_Data[[#This Row],[Adjusted 2033]]/$L605,0)</f>
        <v>1</v>
      </c>
      <c r="BK605" s="77">
        <f>ROUNDUP(tbl_Data[[#This Row],[Adjusted 2034]]/$L605,0)</f>
        <v>1</v>
      </c>
      <c r="BL605" s="80">
        <f t="shared" si="243"/>
        <v>0</v>
      </c>
      <c r="BM605" s="80">
        <f t="shared" si="244"/>
        <v>0</v>
      </c>
      <c r="BN605" s="80">
        <f t="shared" si="245"/>
        <v>0</v>
      </c>
      <c r="BO605" s="80">
        <f t="shared" si="246"/>
        <v>0</v>
      </c>
      <c r="BP605" s="80">
        <f t="shared" si="247"/>
        <v>0</v>
      </c>
      <c r="BQ605" s="80">
        <f t="shared" si="248"/>
        <v>0</v>
      </c>
      <c r="BR605" s="80">
        <f t="shared" si="249"/>
        <v>0</v>
      </c>
      <c r="BS605" s="80">
        <f t="shared" si="250"/>
        <v>0</v>
      </c>
      <c r="BT605" s="80">
        <f t="shared" si="251"/>
        <v>0</v>
      </c>
      <c r="BU605" s="80">
        <f t="shared" si="252"/>
        <v>0</v>
      </c>
      <c r="BV605" s="80" t="str">
        <f>IFERROR(VLOOKUP($H605,'1. Set Program Names'!$B$2:$D$15,3,0)*V605,"NA")</f>
        <v>NA</v>
      </c>
      <c r="BW605" s="80" t="str">
        <f>IFERROR(VLOOKUP($H605,'1. Set Program Names'!$B$2:$D$15,3,0)*W605,"NA")</f>
        <v>NA</v>
      </c>
      <c r="BX605" s="80" t="str">
        <f>IFERROR(VLOOKUP($H605,'1. Set Program Names'!$B$2:$D$15,3,0)*X605,"NA")</f>
        <v>NA</v>
      </c>
      <c r="BY605" s="80" t="str">
        <f>IFERROR(VLOOKUP($H605,'1. Set Program Names'!$B$2:$D$15,3,0)*Y605,"NA")</f>
        <v>NA</v>
      </c>
      <c r="BZ605" s="80" t="str">
        <f>IFERROR(VLOOKUP($H605,'1. Set Program Names'!$B$2:$D$15,3,0)*Z605,"NA")</f>
        <v>NA</v>
      </c>
      <c r="CA605" s="80" t="str">
        <f>IFERROR(VLOOKUP($H605,'1. Set Program Names'!$B$2:$D$15,3,0)*AA605,"NA")</f>
        <v>NA</v>
      </c>
      <c r="CB605" s="80" t="str">
        <f>IFERROR(VLOOKUP($H605,'1. Set Program Names'!$B$2:$D$15,3,0)*AB605,"NA")</f>
        <v>NA</v>
      </c>
      <c r="CC605" s="80" t="str">
        <f>IFERROR(VLOOKUP($H605,'1. Set Program Names'!$B$2:$D$15,3,0)*AC605,"NA")</f>
        <v>NA</v>
      </c>
      <c r="CD605" s="80" t="str">
        <f>IFERROR(VLOOKUP($H605,'1. Set Program Names'!$B$2:$D$15,3,0)*AD605,"NA")</f>
        <v>NA</v>
      </c>
      <c r="CE605" s="80" t="str">
        <f>IFERROR(VLOOKUP($H605,'1. Set Program Names'!$B$2:$D$15,3,0)*AE605,"NA")</f>
        <v>NA</v>
      </c>
    </row>
    <row r="606" spans="1:83" x14ac:dyDescent="0.25">
      <c r="A606" s="79" t="s">
        <v>114</v>
      </c>
      <c r="B606" s="79" t="s">
        <v>88</v>
      </c>
      <c r="C606" s="79" t="s">
        <v>122</v>
      </c>
      <c r="D606" s="79" t="s">
        <v>90</v>
      </c>
      <c r="E606" s="79" t="s">
        <v>91</v>
      </c>
      <c r="F606" s="79" t="s">
        <v>90</v>
      </c>
      <c r="G606" s="79" t="s">
        <v>92</v>
      </c>
      <c r="H606" s="79" t="s">
        <v>268</v>
      </c>
      <c r="I606" s="79" t="s">
        <v>138</v>
      </c>
      <c r="J606" s="79" t="s">
        <v>124</v>
      </c>
      <c r="K606" s="79" t="s">
        <v>98</v>
      </c>
      <c r="L606" s="79">
        <v>4708.5</v>
      </c>
      <c r="M606" s="79">
        <v>0.683430781395169</v>
      </c>
      <c r="N606" s="79">
        <v>0.60632419999120102</v>
      </c>
      <c r="O606" s="79">
        <v>1154.6399999999901</v>
      </c>
      <c r="P606" s="79">
        <v>186.06881936911</v>
      </c>
      <c r="Q606" s="79">
        <v>4.7084999999999999</v>
      </c>
      <c r="R606" s="79">
        <v>1872.3805627056299</v>
      </c>
      <c r="S606" s="79">
        <v>4412.8842644638298</v>
      </c>
      <c r="T606" s="79">
        <v>12</v>
      </c>
      <c r="U606" s="79">
        <v>1</v>
      </c>
      <c r="V606" s="79">
        <f>tbl_Data_old[[#This Row],[2025 ]]*IFERROR(AVERAGEIFS('Participation Adjustment'!$C:$C,'Participation Adjustment'!$A:$A,$H606,'Participation Adjustment'!$B:$B,$I606),1)</f>
        <v>4.47226352881927</v>
      </c>
      <c r="W606" s="79">
        <f>tbl_Data_old[[#This Row],[2026 ]]*IFERROR(AVERAGEIFS('Participation Adjustment'!$C:$C,'Participation Adjustment'!$A:$A,$H606,'Participation Adjustment'!$B:$B,$I606),1)</f>
        <v>6.1865987041501302</v>
      </c>
      <c r="X606" s="79">
        <f>tbl_Data_old[[#This Row],[2027 ]]*IFERROR(AVERAGEIFS('Participation Adjustment'!$C:$C,'Participation Adjustment'!$A:$A,$H606,'Participation Adjustment'!$B:$B,$I606),1)</f>
        <v>8.1135772461709106</v>
      </c>
      <c r="Y606" s="79">
        <f>tbl_Data_old[[#This Row],[2028 ]]*IFERROR(AVERAGEIFS('Participation Adjustment'!$C:$C,'Participation Adjustment'!$A:$A,$H606,'Participation Adjustment'!$B:$B,$I606),1)</f>
        <v>10.172437158656599</v>
      </c>
      <c r="Z606" s="79">
        <f>tbl_Data_old[[#This Row],[2029 ]]*IFERROR(AVERAGEIFS('Participation Adjustment'!$C:$C,'Participation Adjustment'!$A:$A,$H606,'Participation Adjustment'!$B:$B,$I606),1)</f>
        <v>12.2002812110631</v>
      </c>
      <c r="AA606" s="79">
        <f>tbl_Data_old[[#This Row],[2030 ]]*IFERROR(AVERAGEIFS('Participation Adjustment'!$C:$C,'Participation Adjustment'!$A:$A,$H606,'Participation Adjustment'!$B:$B,$I606),1)</f>
        <v>14.0257853458514</v>
      </c>
      <c r="AB606" s="79">
        <f>tbl_Data_old[[#This Row],[2031 ]]*IFERROR(AVERAGEIFS('Participation Adjustment'!$C:$C,'Participation Adjustment'!$A:$A,$H606,'Participation Adjustment'!$B:$B,$I606),1)</f>
        <v>15.5388474348862</v>
      </c>
      <c r="AC606" s="79">
        <f>tbl_Data_old[[#This Row],[2032 ]]*IFERROR(AVERAGEIFS('Participation Adjustment'!$C:$C,'Participation Adjustment'!$A:$A,$H606,'Participation Adjustment'!$B:$B,$I606),1)</f>
        <v>16.739681602862898</v>
      </c>
      <c r="AD606" s="79">
        <f>tbl_Data_old[[#This Row],[2033 ]]*IFERROR(AVERAGEIFS('Participation Adjustment'!$C:$C,'Participation Adjustment'!$A:$A,$H606,'Participation Adjustment'!$B:$B,$I606),1)</f>
        <v>17.675082020776902</v>
      </c>
      <c r="AE606" s="79">
        <f>tbl_Data_old[[#This Row],[2034 ]]*IFERROR(AVERAGEIFS('Participation Adjustment'!$C:$C,'Participation Adjustment'!$A:$A,$H606,'Participation Adjustment'!$B:$B,$I606),1)</f>
        <v>18.3861731801695</v>
      </c>
      <c r="AF606" s="77" t="str">
        <f t="shared" si="242"/>
        <v>NonResidential</v>
      </c>
      <c r="AG606" s="77" t="str">
        <f>tbl_Data[[#This Row],[All_Meas_Name_Append]]</f>
        <v>Energy Star Commercial Glass Door Freezer</v>
      </c>
      <c r="AH606" s="77">
        <f>AVERAGEIFS('3. Incentive Adjustment'!G:G,'3. Incentive Adjustment'!A:A,tbl_Data[[#This Row],[Trimmed Sector]],'3. Incentive Adjustment'!B:B,tbl_Data[[#This Row],[Trimmed Measure Name]])</f>
        <v>0.90098363397891501</v>
      </c>
      <c r="AI606" s="77">
        <f>$AH606*tbl_Data[[#This Row],[2025 ]]</f>
        <v>4.0294362463069522</v>
      </c>
      <c r="AJ606" s="77">
        <f>$AH606*tbl_Data[[#This Row],[2026 ]]</f>
        <v>5.5740241824344308</v>
      </c>
      <c r="AK606" s="77">
        <f>$AH606*tbl_Data[[#This Row],[2027 ]]</f>
        <v>7.3102003118237047</v>
      </c>
      <c r="AL606" s="77">
        <f>$AH606*tbl_Data[[#This Row],[2028 ]]</f>
        <v>9.1651993976285713</v>
      </c>
      <c r="AM606" s="77">
        <f>$AH606*tbl_Data[[#This Row],[2029 ]]</f>
        <v>10.992253701108309</v>
      </c>
      <c r="AN606" s="77">
        <f>$AH606*tbl_Data[[#This Row],[2030 ]]</f>
        <v>12.637003050313407</v>
      </c>
      <c r="AO606" s="77">
        <f>$AH606*tbl_Data[[#This Row],[2031 ]]</f>
        <v>14.000247229727711</v>
      </c>
      <c r="AP606" s="77">
        <f>$AH606*tbl_Data[[#This Row],[2032 ]]</f>
        <v>15.082179162197402</v>
      </c>
      <c r="AQ606" s="77">
        <f>$AH606*tbl_Data[[#This Row],[2033 ]]</f>
        <v>15.924959629954957</v>
      </c>
      <c r="AR606" s="77">
        <f>$AH606*tbl_Data[[#This Row],[2034 ]]</f>
        <v>16.56564112683478</v>
      </c>
      <c r="AS606" s="77">
        <f>SUM(tbl_Data[[#This Row],[Adjusted 2025]:[Adjusted 2034]])</f>
        <v>111.28114403833021</v>
      </c>
      <c r="AT606" s="80">
        <f>AVERAGEIFS('3. Incentive Adjustment'!F:F,'3. Incentive Adjustment'!A:A,tbl_Data[[#This Row],[Trimmed Sector]],'3. Incentive Adjustment'!B:B,tbl_Data[[#This Row],[Trimmed Measure Name]])</f>
        <v>0</v>
      </c>
      <c r="AU606" s="80">
        <f>IFERROR(VLOOKUP(tbl_Data[[#This Row],[All_Meas_Name_Append]],'IRA Tax Credits'!$A$3:$D$46,4,0),0)</f>
        <v>0</v>
      </c>
      <c r="AV606" s="81">
        <f>tbl_Data[[#This Row],[Adj. per unit Incentive ($)]]/tbl_Data[[#This Row],[kWh Savings]]*tbl_Data[[#This Row],[Sum of Annuals]]</f>
        <v>0</v>
      </c>
      <c r="AW606" s="81" t="str">
        <f>IFERROR(VLOOKUP(tbl_Data[[#This Row],[Column1]],'1. Set Program Names'!$B$2:$D$15,3,0)*tbl_Data[[#This Row],[Sum of Annuals]],"")</f>
        <v/>
      </c>
      <c r="AX606" s="81">
        <f>tbl_Data[[#This Row],[per unit IRA tax ($)]]/tbl_Data[[#This Row],[kWh Savings]]*tbl_Data[[#This Row],[Sum of Annuals]]</f>
        <v>0</v>
      </c>
      <c r="AY606" s="81">
        <f>tbl_Data[[#This Row],[Avoided Costs ($/unit)]]/tbl_Data[[#This Row],[kWh Savings]]*tbl_Data[[#This Row],[Sum of Annuals]]</f>
        <v>44.252023169377715</v>
      </c>
      <c r="AZ606" s="81">
        <f>tbl_Data[[#This Row],[Lost Revenue ($/unit)]]/tbl_Data[[#This Row],[kWh Savings]]*tbl_Data[[#This Row],[Sum of Annuals]]</f>
        <v>104.29453317580553</v>
      </c>
      <c r="BA606" s="81">
        <f>tbl_Data[[#This Row],[Incremental Cost ($/unit)]]/tbl_Data[[#This Row],[kWh Savings]]*tbl_Data[[#This Row],[Sum of Annuals]]</f>
        <v>27.288873346589465</v>
      </c>
      <c r="BB606" s="77">
        <f>ROUNDUP(tbl_Data[[#This Row],[Adjusted 2025]]/$L606,0)</f>
        <v>1</v>
      </c>
      <c r="BC606" s="77">
        <f>ROUNDUP(tbl_Data[[#This Row],[Adjusted 2026]]/$L606,0)</f>
        <v>1</v>
      </c>
      <c r="BD606" s="77">
        <f>ROUNDUP(tbl_Data[[#This Row],[Adjusted 2027]]/$L606,0)</f>
        <v>1</v>
      </c>
      <c r="BE606" s="77">
        <f>ROUNDUP(tbl_Data[[#This Row],[Adjusted 2028]]/$L606,0)</f>
        <v>1</v>
      </c>
      <c r="BF606" s="77">
        <f>ROUNDUP(tbl_Data[[#This Row],[Adjusted 2029]]/$L606,0)</f>
        <v>1</v>
      </c>
      <c r="BG606" s="77">
        <f>ROUNDUP(tbl_Data[[#This Row],[Adjusted 2030]]/$L606,0)</f>
        <v>1</v>
      </c>
      <c r="BH606" s="77">
        <f>ROUNDUP(tbl_Data[[#This Row],[Adjusted 2031]]/$L606,0)</f>
        <v>1</v>
      </c>
      <c r="BI606" s="77">
        <f>ROUNDUP(tbl_Data[[#This Row],[Adjusted 2032]]/$L606,0)</f>
        <v>1</v>
      </c>
      <c r="BJ606" s="77">
        <f>ROUNDUP(tbl_Data[[#This Row],[Adjusted 2033]]/$L606,0)</f>
        <v>1</v>
      </c>
      <c r="BK606" s="77">
        <f>ROUNDUP(tbl_Data[[#This Row],[Adjusted 2034]]/$L606,0)</f>
        <v>1</v>
      </c>
      <c r="BL606" s="80">
        <f t="shared" si="243"/>
        <v>0</v>
      </c>
      <c r="BM606" s="80">
        <f t="shared" si="244"/>
        <v>0</v>
      </c>
      <c r="BN606" s="80">
        <f t="shared" si="245"/>
        <v>0</v>
      </c>
      <c r="BO606" s="80">
        <f t="shared" si="246"/>
        <v>0</v>
      </c>
      <c r="BP606" s="80">
        <f t="shared" si="247"/>
        <v>0</v>
      </c>
      <c r="BQ606" s="80">
        <f t="shared" si="248"/>
        <v>0</v>
      </c>
      <c r="BR606" s="80">
        <f t="shared" si="249"/>
        <v>0</v>
      </c>
      <c r="BS606" s="80">
        <f t="shared" si="250"/>
        <v>0</v>
      </c>
      <c r="BT606" s="80">
        <f t="shared" si="251"/>
        <v>0</v>
      </c>
      <c r="BU606" s="80">
        <f t="shared" si="252"/>
        <v>0</v>
      </c>
      <c r="BV606" s="80" t="str">
        <f>IFERROR(VLOOKUP($H606,'1. Set Program Names'!$B$2:$D$15,3,0)*V606,"NA")</f>
        <v>NA</v>
      </c>
      <c r="BW606" s="80" t="str">
        <f>IFERROR(VLOOKUP($H606,'1. Set Program Names'!$B$2:$D$15,3,0)*W606,"NA")</f>
        <v>NA</v>
      </c>
      <c r="BX606" s="80" t="str">
        <f>IFERROR(VLOOKUP($H606,'1. Set Program Names'!$B$2:$D$15,3,0)*X606,"NA")</f>
        <v>NA</v>
      </c>
      <c r="BY606" s="80" t="str">
        <f>IFERROR(VLOOKUP($H606,'1. Set Program Names'!$B$2:$D$15,3,0)*Y606,"NA")</f>
        <v>NA</v>
      </c>
      <c r="BZ606" s="80" t="str">
        <f>IFERROR(VLOOKUP($H606,'1. Set Program Names'!$B$2:$D$15,3,0)*Z606,"NA")</f>
        <v>NA</v>
      </c>
      <c r="CA606" s="80" t="str">
        <f>IFERROR(VLOOKUP($H606,'1. Set Program Names'!$B$2:$D$15,3,0)*AA606,"NA")</f>
        <v>NA</v>
      </c>
      <c r="CB606" s="80" t="str">
        <f>IFERROR(VLOOKUP($H606,'1. Set Program Names'!$B$2:$D$15,3,0)*AB606,"NA")</f>
        <v>NA</v>
      </c>
      <c r="CC606" s="80" t="str">
        <f>IFERROR(VLOOKUP($H606,'1. Set Program Names'!$B$2:$D$15,3,0)*AC606,"NA")</f>
        <v>NA</v>
      </c>
      <c r="CD606" s="80" t="str">
        <f>IFERROR(VLOOKUP($H606,'1. Set Program Names'!$B$2:$D$15,3,0)*AD606,"NA")</f>
        <v>NA</v>
      </c>
      <c r="CE606" s="80" t="str">
        <f>IFERROR(VLOOKUP($H606,'1. Set Program Names'!$B$2:$D$15,3,0)*AE606,"NA")</f>
        <v>NA</v>
      </c>
    </row>
    <row r="607" spans="1:83" x14ac:dyDescent="0.25">
      <c r="A607" s="79" t="s">
        <v>114</v>
      </c>
      <c r="B607" s="79" t="s">
        <v>88</v>
      </c>
      <c r="C607" s="79" t="s">
        <v>122</v>
      </c>
      <c r="D607" s="79" t="s">
        <v>90</v>
      </c>
      <c r="E607" s="79" t="s">
        <v>91</v>
      </c>
      <c r="F607" s="79" t="s">
        <v>90</v>
      </c>
      <c r="G607" s="79" t="s">
        <v>92</v>
      </c>
      <c r="H607" s="79" t="s">
        <v>268</v>
      </c>
      <c r="I607" s="79" t="s">
        <v>139</v>
      </c>
      <c r="J607" s="79" t="s">
        <v>134</v>
      </c>
      <c r="K607" s="79" t="s">
        <v>98</v>
      </c>
      <c r="L607" s="79">
        <v>1937</v>
      </c>
      <c r="M607" s="79">
        <v>0.24908899441118301</v>
      </c>
      <c r="N607" s="79">
        <v>0.21233623172368499</v>
      </c>
      <c r="O607" s="79">
        <v>631.37</v>
      </c>
      <c r="P607" s="79">
        <v>232.91563515301399</v>
      </c>
      <c r="Q607" s="79">
        <v>1.9370000000000001</v>
      </c>
      <c r="R607" s="79">
        <v>770.86000119756204</v>
      </c>
      <c r="S607" s="79">
        <v>2270.0548686653701</v>
      </c>
      <c r="T607" s="79">
        <v>17</v>
      </c>
      <c r="U607" s="79">
        <v>1</v>
      </c>
      <c r="V607" s="79">
        <f>tbl_Data_old[[#This Row],[2025 ]]*IFERROR(AVERAGEIFS('Participation Adjustment'!$C:$C,'Participation Adjustment'!$A:$A,$H607,'Participation Adjustment'!$B:$B,$I607),1)</f>
        <v>1.3453224027487201</v>
      </c>
      <c r="W607" s="79">
        <f>tbl_Data_old[[#This Row],[2026 ]]*IFERROR(AVERAGEIFS('Participation Adjustment'!$C:$C,'Participation Adjustment'!$A:$A,$H607,'Participation Adjustment'!$B:$B,$I607),1)</f>
        <v>1.8317095819665199</v>
      </c>
      <c r="X607" s="79">
        <f>tbl_Data_old[[#This Row],[2027 ]]*IFERROR(AVERAGEIFS('Participation Adjustment'!$C:$C,'Participation Adjustment'!$A:$A,$H607,'Participation Adjustment'!$B:$B,$I607),1)</f>
        <v>2.3611026865159301</v>
      </c>
      <c r="Y607" s="79">
        <f>tbl_Data_old[[#This Row],[2028 ]]*IFERROR(AVERAGEIFS('Participation Adjustment'!$C:$C,'Participation Adjustment'!$A:$A,$H607,'Participation Adjustment'!$B:$B,$I607),1)</f>
        <v>2.90774980337837</v>
      </c>
      <c r="Z607" s="79">
        <f>tbl_Data_old[[#This Row],[2029 ]]*IFERROR(AVERAGEIFS('Participation Adjustment'!$C:$C,'Participation Adjustment'!$A:$A,$H607,'Participation Adjustment'!$B:$B,$I607),1)</f>
        <v>3.4265576254297199</v>
      </c>
      <c r="AA607" s="79">
        <f>tbl_Data_old[[#This Row],[2030 ]]*IFERROR(AVERAGEIFS('Participation Adjustment'!$C:$C,'Participation Adjustment'!$A:$A,$H607,'Participation Adjustment'!$B:$B,$I607),1)</f>
        <v>3.8746329337121899</v>
      </c>
      <c r="AB607" s="79">
        <f>tbl_Data_old[[#This Row],[2031 ]]*IFERROR(AVERAGEIFS('Participation Adjustment'!$C:$C,'Participation Adjustment'!$A:$A,$H607,'Participation Adjustment'!$B:$B,$I607),1)</f>
        <v>4.2295050379336496</v>
      </c>
      <c r="AC607" s="79">
        <f>tbl_Data_old[[#This Row],[2032 ]]*IFERROR(AVERAGEIFS('Participation Adjustment'!$C:$C,'Participation Adjustment'!$A:$A,$H607,'Participation Adjustment'!$B:$B,$I607),1)</f>
        <v>4.49787951503468</v>
      </c>
      <c r="AD607" s="79">
        <f>tbl_Data_old[[#This Row],[2033 ]]*IFERROR(AVERAGEIFS('Participation Adjustment'!$C:$C,'Participation Adjustment'!$A:$A,$H607,'Participation Adjustment'!$B:$B,$I607),1)</f>
        <v>4.6958192375856003</v>
      </c>
      <c r="AE607" s="79">
        <f>tbl_Data_old[[#This Row],[2034 ]]*IFERROR(AVERAGEIFS('Participation Adjustment'!$C:$C,'Participation Adjustment'!$A:$A,$H607,'Participation Adjustment'!$B:$B,$I607),1)</f>
        <v>4.8363284677156102</v>
      </c>
      <c r="AF607" s="77" t="str">
        <f t="shared" si="242"/>
        <v>NonResidential</v>
      </c>
      <c r="AG607" s="77" t="str">
        <f>tbl_Data[[#This Row],[All_Meas_Name_Append]]</f>
        <v>Energy Star convection oven</v>
      </c>
      <c r="AH607" s="77">
        <f>AVERAGEIFS('3. Incentive Adjustment'!G:G,'3. Incentive Adjustment'!A:A,tbl_Data[[#This Row],[Trimmed Sector]],'3. Incentive Adjustment'!B:B,tbl_Data[[#This Row],[Trimmed Measure Name]])</f>
        <v>0.72813370493976592</v>
      </c>
      <c r="AI607" s="77">
        <f>$AH607*tbl_Data[[#This Row],[2025 ]]</f>
        <v>0.97957458545189346</v>
      </c>
      <c r="AJ607" s="77">
        <f>$AH607*tbl_Data[[#This Row],[2026 ]]</f>
        <v>1.3337294842909519</v>
      </c>
      <c r="AK607" s="77">
        <f>$AH607*tbl_Data[[#This Row],[2027 ]]</f>
        <v>1.7191984468760788</v>
      </c>
      <c r="AL607" s="77">
        <f>$AH607*tbl_Data[[#This Row],[2028 ]]</f>
        <v>2.1172306373717684</v>
      </c>
      <c r="AM607" s="77">
        <f>$AH607*tbl_Data[[#This Row],[2029 ]]</f>
        <v>2.4949920989937486</v>
      </c>
      <c r="AN607" s="77">
        <f>$AH607*tbl_Data[[#This Row],[2030 ]]</f>
        <v>2.8212508333054913</v>
      </c>
      <c r="AO607" s="77">
        <f>$AH607*tbl_Data[[#This Row],[2031 ]]</f>
        <v>3.0796451733320334</v>
      </c>
      <c r="AP607" s="77">
        <f>$AH607*tbl_Data[[#This Row],[2032 ]]</f>
        <v>3.275057675654879</v>
      </c>
      <c r="AQ607" s="77">
        <f>$AH607*tbl_Data[[#This Row],[2033 ]]</f>
        <v>3.4191842591906298</v>
      </c>
      <c r="AR607" s="77">
        <f>$AH607*tbl_Data[[#This Row],[2034 ]]</f>
        <v>3.5214937655034282</v>
      </c>
      <c r="AS607" s="77">
        <f>SUM(tbl_Data[[#This Row],[Adjusted 2025]:[Adjusted 2034]])</f>
        <v>24.761356959970904</v>
      </c>
      <c r="AT607" s="80">
        <f>AVERAGEIFS('3. Incentive Adjustment'!F:F,'3. Incentive Adjustment'!A:A,tbl_Data[[#This Row],[Trimmed Sector]],'3. Incentive Adjustment'!B:B,tbl_Data[[#This Row],[Trimmed Measure Name]])</f>
        <v>0</v>
      </c>
      <c r="AU607" s="80">
        <f>IFERROR(VLOOKUP(tbl_Data[[#This Row],[All_Meas_Name_Append]],'IRA Tax Credits'!$A$3:$D$46,4,0),0)</f>
        <v>0</v>
      </c>
      <c r="AV607" s="81">
        <f>tbl_Data[[#This Row],[Adj. per unit Incentive ($)]]/tbl_Data[[#This Row],[kWh Savings]]*tbl_Data[[#This Row],[Sum of Annuals]]</f>
        <v>0</v>
      </c>
      <c r="AW607" s="81" t="str">
        <f>IFERROR(VLOOKUP(tbl_Data[[#This Row],[Column1]],'1. Set Program Names'!$B$2:$D$15,3,0)*tbl_Data[[#This Row],[Sum of Annuals]],"")</f>
        <v/>
      </c>
      <c r="AX607" s="81">
        <f>tbl_Data[[#This Row],[per unit IRA tax ($)]]/tbl_Data[[#This Row],[kWh Savings]]*tbl_Data[[#This Row],[Sum of Annuals]]</f>
        <v>0</v>
      </c>
      <c r="AY607" s="81">
        <f>tbl_Data[[#This Row],[Avoided Costs ($/unit)]]/tbl_Data[[#This Row],[kWh Savings]]*tbl_Data[[#This Row],[Sum of Annuals]]</f>
        <v>9.8541763840043526</v>
      </c>
      <c r="AZ607" s="81">
        <f>tbl_Data[[#This Row],[Lost Revenue ($/unit)]]/tbl_Data[[#This Row],[kWh Savings]]*tbl_Data[[#This Row],[Sum of Annuals]]</f>
        <v>29.018915292588076</v>
      </c>
      <c r="BA607" s="81">
        <f>tbl_Data[[#This Row],[Incremental Cost ($/unit)]]/tbl_Data[[#This Row],[kWh Savings]]*tbl_Data[[#This Row],[Sum of Annuals]]</f>
        <v>8.0710263003700717</v>
      </c>
      <c r="BB607" s="77">
        <f>ROUNDUP(tbl_Data[[#This Row],[Adjusted 2025]]/$L607,0)</f>
        <v>1</v>
      </c>
      <c r="BC607" s="77">
        <f>ROUNDUP(tbl_Data[[#This Row],[Adjusted 2026]]/$L607,0)</f>
        <v>1</v>
      </c>
      <c r="BD607" s="77">
        <f>ROUNDUP(tbl_Data[[#This Row],[Adjusted 2027]]/$L607,0)</f>
        <v>1</v>
      </c>
      <c r="BE607" s="77">
        <f>ROUNDUP(tbl_Data[[#This Row],[Adjusted 2028]]/$L607,0)</f>
        <v>1</v>
      </c>
      <c r="BF607" s="77">
        <f>ROUNDUP(tbl_Data[[#This Row],[Adjusted 2029]]/$L607,0)</f>
        <v>1</v>
      </c>
      <c r="BG607" s="77">
        <f>ROUNDUP(tbl_Data[[#This Row],[Adjusted 2030]]/$L607,0)</f>
        <v>1</v>
      </c>
      <c r="BH607" s="77">
        <f>ROUNDUP(tbl_Data[[#This Row],[Adjusted 2031]]/$L607,0)</f>
        <v>1</v>
      </c>
      <c r="BI607" s="77">
        <f>ROUNDUP(tbl_Data[[#This Row],[Adjusted 2032]]/$L607,0)</f>
        <v>1</v>
      </c>
      <c r="BJ607" s="77">
        <f>ROUNDUP(tbl_Data[[#This Row],[Adjusted 2033]]/$L607,0)</f>
        <v>1</v>
      </c>
      <c r="BK607" s="77">
        <f>ROUNDUP(tbl_Data[[#This Row],[Adjusted 2034]]/$L607,0)</f>
        <v>1</v>
      </c>
      <c r="BL607" s="80">
        <f t="shared" si="243"/>
        <v>0</v>
      </c>
      <c r="BM607" s="80">
        <f t="shared" si="244"/>
        <v>0</v>
      </c>
      <c r="BN607" s="80">
        <f t="shared" si="245"/>
        <v>0</v>
      </c>
      <c r="BO607" s="80">
        <f t="shared" si="246"/>
        <v>0</v>
      </c>
      <c r="BP607" s="80">
        <f t="shared" si="247"/>
        <v>0</v>
      </c>
      <c r="BQ607" s="80">
        <f t="shared" si="248"/>
        <v>0</v>
      </c>
      <c r="BR607" s="80">
        <f t="shared" si="249"/>
        <v>0</v>
      </c>
      <c r="BS607" s="80">
        <f t="shared" si="250"/>
        <v>0</v>
      </c>
      <c r="BT607" s="80">
        <f t="shared" si="251"/>
        <v>0</v>
      </c>
      <c r="BU607" s="80">
        <f t="shared" si="252"/>
        <v>0</v>
      </c>
      <c r="BV607" s="80" t="str">
        <f>IFERROR(VLOOKUP($H607,'1. Set Program Names'!$B$2:$D$15,3,0)*V607,"NA")</f>
        <v>NA</v>
      </c>
      <c r="BW607" s="80" t="str">
        <f>IFERROR(VLOOKUP($H607,'1. Set Program Names'!$B$2:$D$15,3,0)*W607,"NA")</f>
        <v>NA</v>
      </c>
      <c r="BX607" s="80" t="str">
        <f>IFERROR(VLOOKUP($H607,'1. Set Program Names'!$B$2:$D$15,3,0)*X607,"NA")</f>
        <v>NA</v>
      </c>
      <c r="BY607" s="80" t="str">
        <f>IFERROR(VLOOKUP($H607,'1. Set Program Names'!$B$2:$D$15,3,0)*Y607,"NA")</f>
        <v>NA</v>
      </c>
      <c r="BZ607" s="80" t="str">
        <f>IFERROR(VLOOKUP($H607,'1. Set Program Names'!$B$2:$D$15,3,0)*Z607,"NA")</f>
        <v>NA</v>
      </c>
      <c r="CA607" s="80" t="str">
        <f>IFERROR(VLOOKUP($H607,'1. Set Program Names'!$B$2:$D$15,3,0)*AA607,"NA")</f>
        <v>NA</v>
      </c>
      <c r="CB607" s="80" t="str">
        <f>IFERROR(VLOOKUP($H607,'1. Set Program Names'!$B$2:$D$15,3,0)*AB607,"NA")</f>
        <v>NA</v>
      </c>
      <c r="CC607" s="80" t="str">
        <f>IFERROR(VLOOKUP($H607,'1. Set Program Names'!$B$2:$D$15,3,0)*AC607,"NA")</f>
        <v>NA</v>
      </c>
      <c r="CD607" s="80" t="str">
        <f>IFERROR(VLOOKUP($H607,'1. Set Program Names'!$B$2:$D$15,3,0)*AD607,"NA")</f>
        <v>NA</v>
      </c>
      <c r="CE607" s="80" t="str">
        <f>IFERROR(VLOOKUP($H607,'1. Set Program Names'!$B$2:$D$15,3,0)*AE607,"NA")</f>
        <v>NA</v>
      </c>
    </row>
    <row r="608" spans="1:83" x14ac:dyDescent="0.25">
      <c r="A608" s="79" t="s">
        <v>114</v>
      </c>
      <c r="B608" s="79" t="s">
        <v>88</v>
      </c>
      <c r="C608" s="79" t="s">
        <v>122</v>
      </c>
      <c r="D608" s="79" t="s">
        <v>90</v>
      </c>
      <c r="E608" s="79" t="s">
        <v>91</v>
      </c>
      <c r="F608" s="79" t="s">
        <v>90</v>
      </c>
      <c r="G608" s="79" t="s">
        <v>92</v>
      </c>
      <c r="H608" s="79" t="s">
        <v>268</v>
      </c>
      <c r="I608" s="79" t="s">
        <v>140</v>
      </c>
      <c r="J608" s="79" t="s">
        <v>129</v>
      </c>
      <c r="K608" s="79" t="s">
        <v>98</v>
      </c>
      <c r="L608" s="79">
        <v>145.64999999999901</v>
      </c>
      <c r="M608" s="79">
        <v>4.8385631271840701E-2</v>
      </c>
      <c r="N608" s="79">
        <v>0</v>
      </c>
      <c r="O608" s="79">
        <v>41.15</v>
      </c>
      <c r="P608" s="79">
        <v>12.5942011456304</v>
      </c>
      <c r="Q608" s="79">
        <v>0.145649999999999</v>
      </c>
      <c r="R608" s="79">
        <v>71.795310497711</v>
      </c>
      <c r="S608" s="79">
        <v>136.505594800712</v>
      </c>
      <c r="T608" s="79">
        <v>12</v>
      </c>
      <c r="U608" s="79">
        <v>1</v>
      </c>
      <c r="V608" s="79">
        <f>tbl_Data_old[[#This Row],[2025 ]]*IFERROR(AVERAGEIFS('Participation Adjustment'!$C:$C,'Participation Adjustment'!$A:$A,$H608,'Participation Adjustment'!$B:$B,$I608),1)</f>
        <v>54.518820451286601</v>
      </c>
      <c r="W608" s="79">
        <f>tbl_Data_old[[#This Row],[2026 ]]*IFERROR(AVERAGEIFS('Participation Adjustment'!$C:$C,'Participation Adjustment'!$A:$A,$H608,'Participation Adjustment'!$B:$B,$I608),1)</f>
        <v>58.821242921061</v>
      </c>
      <c r="X608" s="79">
        <f>tbl_Data_old[[#This Row],[2027 ]]*IFERROR(AVERAGEIFS('Participation Adjustment'!$C:$C,'Participation Adjustment'!$A:$A,$H608,'Participation Adjustment'!$B:$B,$I608),1)</f>
        <v>62.247511073841899</v>
      </c>
      <c r="Y608" s="79">
        <f>tbl_Data_old[[#This Row],[2028 ]]*IFERROR(AVERAGEIFS('Participation Adjustment'!$C:$C,'Participation Adjustment'!$A:$A,$H608,'Participation Adjustment'!$B:$B,$I608),1)</f>
        <v>65.239530075421598</v>
      </c>
      <c r="Z608" s="79">
        <f>tbl_Data_old[[#This Row],[2029 ]]*IFERROR(AVERAGEIFS('Participation Adjustment'!$C:$C,'Participation Adjustment'!$A:$A,$H608,'Participation Adjustment'!$B:$B,$I608),1)</f>
        <v>67.837850820322998</v>
      </c>
      <c r="AA608" s="79">
        <f>tbl_Data_old[[#This Row],[2030 ]]*IFERROR(AVERAGEIFS('Participation Adjustment'!$C:$C,'Participation Adjustment'!$A:$A,$H608,'Participation Adjustment'!$B:$B,$I608),1)</f>
        <v>70.059010781803096</v>
      </c>
      <c r="AB608" s="79">
        <f>tbl_Data_old[[#This Row],[2031 ]]*IFERROR(AVERAGEIFS('Participation Adjustment'!$C:$C,'Participation Adjustment'!$A:$A,$H608,'Participation Adjustment'!$B:$B,$I608),1)</f>
        <v>71.993480141326799</v>
      </c>
      <c r="AC608" s="79">
        <f>tbl_Data_old[[#This Row],[2032 ]]*IFERROR(AVERAGEIFS('Participation Adjustment'!$C:$C,'Participation Adjustment'!$A:$A,$H608,'Participation Adjustment'!$B:$B,$I608),1)</f>
        <v>73.849726507806807</v>
      </c>
      <c r="AD608" s="79">
        <f>tbl_Data_old[[#This Row],[2033 ]]*IFERROR(AVERAGEIFS('Participation Adjustment'!$C:$C,'Participation Adjustment'!$A:$A,$H608,'Participation Adjustment'!$B:$B,$I608),1)</f>
        <v>75.710655570418893</v>
      </c>
      <c r="AE608" s="79">
        <f>tbl_Data_old[[#This Row],[2034 ]]*IFERROR(AVERAGEIFS('Participation Adjustment'!$C:$C,'Participation Adjustment'!$A:$A,$H608,'Participation Adjustment'!$B:$B,$I608),1)</f>
        <v>77.505598891830701</v>
      </c>
      <c r="AF608" s="77" t="str">
        <f t="shared" si="242"/>
        <v>NonResidential</v>
      </c>
      <c r="AG608" s="77" t="str">
        <f>tbl_Data[[#This Row],[All_Meas_Name_Append]]</f>
        <v>Energy Star room AC_137</v>
      </c>
      <c r="AH608" s="77">
        <f>AVERAGEIFS('3. Incentive Adjustment'!G:G,'3. Incentive Adjustment'!A:A,tbl_Data[[#This Row],[Trimmed Sector]],'3. Incentive Adjustment'!B:B,tbl_Data[[#This Row],[Trimmed Measure Name]])</f>
        <v>0.79600466062818009</v>
      </c>
      <c r="AI608" s="77">
        <f>$AH608*tbl_Data[[#This Row],[2025 ]]</f>
        <v>43.397235171175076</v>
      </c>
      <c r="AJ608" s="77">
        <f>$AH608*tbl_Data[[#This Row],[2026 ]]</f>
        <v>46.8219835091069</v>
      </c>
      <c r="AK608" s="77">
        <f>$AH608*tbl_Data[[#This Row],[2027 ]]</f>
        <v>49.549308927282404</v>
      </c>
      <c r="AL608" s="77">
        <f>$AH608*tbl_Data[[#This Row],[2028 ]]</f>
        <v>51.930969997227919</v>
      </c>
      <c r="AM608" s="77">
        <f>$AH608*tbl_Data[[#This Row],[2029 ]]</f>
        <v>53.999245419976319</v>
      </c>
      <c r="AN608" s="77">
        <f>$AH608*tbl_Data[[#This Row],[2030 ]]</f>
        <v>55.767299101315182</v>
      </c>
      <c r="AO608" s="77">
        <f>$AH608*tbl_Data[[#This Row],[2031 ]]</f>
        <v>57.307145727338465</v>
      </c>
      <c r="AP608" s="77">
        <f>$AH608*tbl_Data[[#This Row],[2032 ]]</f>
        <v>58.784726486330676</v>
      </c>
      <c r="AQ608" s="77">
        <f>$AH608*tbl_Data[[#This Row],[2033 ]]</f>
        <v>60.266034693268324</v>
      </c>
      <c r="AR608" s="77">
        <f>$AH608*tbl_Data[[#This Row],[2034 ]]</f>
        <v>61.694817942675549</v>
      </c>
      <c r="AS608" s="77">
        <f>SUM(tbl_Data[[#This Row],[Adjusted 2025]:[Adjusted 2034]])</f>
        <v>539.51876697569674</v>
      </c>
      <c r="AT608" s="80">
        <f>AVERAGEIFS('3. Incentive Adjustment'!F:F,'3. Incentive Adjustment'!A:A,tbl_Data[[#This Row],[Trimmed Sector]],'3. Incentive Adjustment'!B:B,tbl_Data[[#This Row],[Trimmed Measure Name]])</f>
        <v>0</v>
      </c>
      <c r="AU608" s="80">
        <f>IFERROR(VLOOKUP(tbl_Data[[#This Row],[All_Meas_Name_Append]],'IRA Tax Credits'!$A$3:$D$46,4,0),0)</f>
        <v>0</v>
      </c>
      <c r="AV608" s="81">
        <f>tbl_Data[[#This Row],[Adj. per unit Incentive ($)]]/tbl_Data[[#This Row],[kWh Savings]]*tbl_Data[[#This Row],[Sum of Annuals]]</f>
        <v>0</v>
      </c>
      <c r="AW608" s="81" t="str">
        <f>IFERROR(VLOOKUP(tbl_Data[[#This Row],[Column1]],'1. Set Program Names'!$B$2:$D$15,3,0)*tbl_Data[[#This Row],[Sum of Annuals]],"")</f>
        <v/>
      </c>
      <c r="AX608" s="81">
        <f>tbl_Data[[#This Row],[per unit IRA tax ($)]]/tbl_Data[[#This Row],[kWh Savings]]*tbl_Data[[#This Row],[Sum of Annuals]]</f>
        <v>0</v>
      </c>
      <c r="AY608" s="81">
        <f>tbl_Data[[#This Row],[Avoided Costs ($/unit)]]/tbl_Data[[#This Row],[kWh Savings]]*tbl_Data[[#This Row],[Sum of Annuals]]</f>
        <v>265.94519323283623</v>
      </c>
      <c r="AZ608" s="81">
        <f>tbl_Data[[#This Row],[Lost Revenue ($/unit)]]/tbl_Data[[#This Row],[kWh Savings]]*tbl_Data[[#This Row],[Sum of Annuals]]</f>
        <v>505.6459333481958</v>
      </c>
      <c r="BA608" s="81">
        <f>tbl_Data[[#This Row],[Incremental Cost ($/unit)]]/tbl_Data[[#This Row],[kWh Savings]]*tbl_Data[[#This Row],[Sum of Annuals]]</f>
        <v>152.42840549982884</v>
      </c>
      <c r="BB608" s="77">
        <f>ROUNDUP(tbl_Data[[#This Row],[Adjusted 2025]]/$L608,0)</f>
        <v>1</v>
      </c>
      <c r="BC608" s="77">
        <f>ROUNDUP(tbl_Data[[#This Row],[Adjusted 2026]]/$L608,0)</f>
        <v>1</v>
      </c>
      <c r="BD608" s="77">
        <f>ROUNDUP(tbl_Data[[#This Row],[Adjusted 2027]]/$L608,0)</f>
        <v>1</v>
      </c>
      <c r="BE608" s="77">
        <f>ROUNDUP(tbl_Data[[#This Row],[Adjusted 2028]]/$L608,0)</f>
        <v>1</v>
      </c>
      <c r="BF608" s="77">
        <f>ROUNDUP(tbl_Data[[#This Row],[Adjusted 2029]]/$L608,0)</f>
        <v>1</v>
      </c>
      <c r="BG608" s="77">
        <f>ROUNDUP(tbl_Data[[#This Row],[Adjusted 2030]]/$L608,0)</f>
        <v>1</v>
      </c>
      <c r="BH608" s="77">
        <f>ROUNDUP(tbl_Data[[#This Row],[Adjusted 2031]]/$L608,0)</f>
        <v>1</v>
      </c>
      <c r="BI608" s="77">
        <f>ROUNDUP(tbl_Data[[#This Row],[Adjusted 2032]]/$L608,0)</f>
        <v>1</v>
      </c>
      <c r="BJ608" s="77">
        <f>ROUNDUP(tbl_Data[[#This Row],[Adjusted 2033]]/$L608,0)</f>
        <v>1</v>
      </c>
      <c r="BK608" s="77">
        <f>ROUNDUP(tbl_Data[[#This Row],[Adjusted 2034]]/$L608,0)</f>
        <v>1</v>
      </c>
      <c r="BL608" s="80">
        <f t="shared" si="243"/>
        <v>0</v>
      </c>
      <c r="BM608" s="80">
        <f t="shared" si="244"/>
        <v>0</v>
      </c>
      <c r="BN608" s="80">
        <f t="shared" si="245"/>
        <v>0</v>
      </c>
      <c r="BO608" s="80">
        <f t="shared" si="246"/>
        <v>0</v>
      </c>
      <c r="BP608" s="80">
        <f t="shared" si="247"/>
        <v>0</v>
      </c>
      <c r="BQ608" s="80">
        <f t="shared" si="248"/>
        <v>0</v>
      </c>
      <c r="BR608" s="80">
        <f t="shared" si="249"/>
        <v>0</v>
      </c>
      <c r="BS608" s="80">
        <f t="shared" si="250"/>
        <v>0</v>
      </c>
      <c r="BT608" s="80">
        <f t="shared" si="251"/>
        <v>0</v>
      </c>
      <c r="BU608" s="80">
        <f t="shared" si="252"/>
        <v>0</v>
      </c>
      <c r="BV608" s="80" t="str">
        <f>IFERROR(VLOOKUP($H608,'1. Set Program Names'!$B$2:$D$15,3,0)*V608,"NA")</f>
        <v>NA</v>
      </c>
      <c r="BW608" s="80" t="str">
        <f>IFERROR(VLOOKUP($H608,'1. Set Program Names'!$B$2:$D$15,3,0)*W608,"NA")</f>
        <v>NA</v>
      </c>
      <c r="BX608" s="80" t="str">
        <f>IFERROR(VLOOKUP($H608,'1. Set Program Names'!$B$2:$D$15,3,0)*X608,"NA")</f>
        <v>NA</v>
      </c>
      <c r="BY608" s="80" t="str">
        <f>IFERROR(VLOOKUP($H608,'1. Set Program Names'!$B$2:$D$15,3,0)*Y608,"NA")</f>
        <v>NA</v>
      </c>
      <c r="BZ608" s="80" t="str">
        <f>IFERROR(VLOOKUP($H608,'1. Set Program Names'!$B$2:$D$15,3,0)*Z608,"NA")</f>
        <v>NA</v>
      </c>
      <c r="CA608" s="80" t="str">
        <f>IFERROR(VLOOKUP($H608,'1. Set Program Names'!$B$2:$D$15,3,0)*AA608,"NA")</f>
        <v>NA</v>
      </c>
      <c r="CB608" s="80" t="str">
        <f>IFERROR(VLOOKUP($H608,'1. Set Program Names'!$B$2:$D$15,3,0)*AB608,"NA")</f>
        <v>NA</v>
      </c>
      <c r="CC608" s="80" t="str">
        <f>IFERROR(VLOOKUP($H608,'1. Set Program Names'!$B$2:$D$15,3,0)*AC608,"NA")</f>
        <v>NA</v>
      </c>
      <c r="CD608" s="80" t="str">
        <f>IFERROR(VLOOKUP($H608,'1. Set Program Names'!$B$2:$D$15,3,0)*AD608,"NA")</f>
        <v>NA</v>
      </c>
      <c r="CE608" s="80" t="str">
        <f>IFERROR(VLOOKUP($H608,'1. Set Program Names'!$B$2:$D$15,3,0)*AE608,"NA")</f>
        <v>NA</v>
      </c>
    </row>
    <row r="609" spans="1:83" x14ac:dyDescent="0.25">
      <c r="A609" s="79" t="s">
        <v>114</v>
      </c>
      <c r="B609" s="79" t="s">
        <v>88</v>
      </c>
      <c r="C609" s="79" t="s">
        <v>122</v>
      </c>
      <c r="D609" s="79" t="s">
        <v>90</v>
      </c>
      <c r="E609" s="79" t="s">
        <v>91</v>
      </c>
      <c r="F609" s="79" t="s">
        <v>90</v>
      </c>
      <c r="G609" s="79" t="s">
        <v>92</v>
      </c>
      <c r="H609" s="79" t="s">
        <v>268</v>
      </c>
      <c r="I609" s="79" t="s">
        <v>141</v>
      </c>
      <c r="J609" s="79" t="s">
        <v>134</v>
      </c>
      <c r="K609" s="79" t="s">
        <v>98</v>
      </c>
      <c r="L609" s="79">
        <v>12160.5</v>
      </c>
      <c r="M609" s="79">
        <v>1.5637825072468701</v>
      </c>
      <c r="N609" s="79">
        <v>1.33304839745786</v>
      </c>
      <c r="O609" s="79">
        <v>3109.4399999999901</v>
      </c>
      <c r="P609" s="79">
        <v>607.94061759330305</v>
      </c>
      <c r="Q609" s="79">
        <v>12.160500000000001</v>
      </c>
      <c r="R609" s="79">
        <v>4122.3511685728599</v>
      </c>
      <c r="S609" s="79">
        <v>11397.022214720701</v>
      </c>
      <c r="T609" s="79">
        <v>12</v>
      </c>
      <c r="U609" s="79">
        <v>1</v>
      </c>
      <c r="V609" s="79">
        <f>tbl_Data_old[[#This Row],[2025 ]]*IFERROR(AVERAGEIFS('Participation Adjustment'!$C:$C,'Participation Adjustment'!$A:$A,$H609,'Participation Adjustment'!$B:$B,$I609),1)</f>
        <v>2.6518914562809601</v>
      </c>
      <c r="W609" s="79">
        <f>tbl_Data_old[[#This Row],[2026 ]]*IFERROR(AVERAGEIFS('Participation Adjustment'!$C:$C,'Participation Adjustment'!$A:$A,$H609,'Participation Adjustment'!$B:$B,$I609),1)</f>
        <v>3.6420370719980899</v>
      </c>
      <c r="X609" s="79">
        <f>tbl_Data_old[[#This Row],[2027 ]]*IFERROR(AVERAGEIFS('Participation Adjustment'!$C:$C,'Participation Adjustment'!$A:$A,$H609,'Participation Adjustment'!$B:$B,$I609),1)</f>
        <v>4.7409748911857399</v>
      </c>
      <c r="Y609" s="79">
        <f>tbl_Data_old[[#This Row],[2028 ]]*IFERROR(AVERAGEIFS('Participation Adjustment'!$C:$C,'Participation Adjustment'!$A:$A,$H609,'Participation Adjustment'!$B:$B,$I609),1)</f>
        <v>5.8996736380014703</v>
      </c>
      <c r="Z609" s="79">
        <f>tbl_Data_old[[#This Row],[2029 ]]*IFERROR(AVERAGEIFS('Participation Adjustment'!$C:$C,'Participation Adjustment'!$A:$A,$H609,'Participation Adjustment'!$B:$B,$I609),1)</f>
        <v>7.0233051865327996</v>
      </c>
      <c r="AA609" s="79">
        <f>tbl_Data_old[[#This Row],[2030 ]]*IFERROR(AVERAGEIFS('Participation Adjustment'!$C:$C,'Participation Adjustment'!$A:$A,$H609,'Participation Adjustment'!$B:$B,$I609),1)</f>
        <v>8.0140590656471797</v>
      </c>
      <c r="AB609" s="79">
        <f>tbl_Data_old[[#This Row],[2031 ]]*IFERROR(AVERAGEIFS('Participation Adjustment'!$C:$C,'Participation Adjustment'!$A:$A,$H609,'Participation Adjustment'!$B:$B,$I609),1)</f>
        <v>8.8128868270060501</v>
      </c>
      <c r="AC609" s="79">
        <f>tbl_Data_old[[#This Row],[2032 ]]*IFERROR(AVERAGEIFS('Participation Adjustment'!$C:$C,'Participation Adjustment'!$A:$A,$H609,'Participation Adjustment'!$B:$B,$I609),1)</f>
        <v>9.4239566665951902</v>
      </c>
      <c r="AD609" s="79">
        <f>tbl_Data_old[[#This Row],[2033 ]]*IFERROR(AVERAGEIFS('Participation Adjustment'!$C:$C,'Participation Adjustment'!$A:$A,$H609,'Participation Adjustment'!$B:$B,$I609),1)</f>
        <v>9.8765101343227695</v>
      </c>
      <c r="AE609" s="79">
        <f>tbl_Data_old[[#This Row],[2034 ]]*IFERROR(AVERAGEIFS('Participation Adjustment'!$C:$C,'Participation Adjustment'!$A:$A,$H609,'Participation Adjustment'!$B:$B,$I609),1)</f>
        <v>10.1977476024308</v>
      </c>
      <c r="AF609" s="77" t="str">
        <f t="shared" si="242"/>
        <v>NonResidential</v>
      </c>
      <c r="AG609" s="77" t="str">
        <f>tbl_Data[[#This Row],[All_Meas_Name_Append]]</f>
        <v>Energy Star Steamer</v>
      </c>
      <c r="AH609" s="77">
        <f>AVERAGEIFS('3. Incentive Adjustment'!G:G,'3. Incentive Adjustment'!A:A,tbl_Data[[#This Row],[Trimmed Sector]],'3. Incentive Adjustment'!B:B,tbl_Data[[#This Row],[Trimmed Measure Name]])</f>
        <v>0.87642178647683033</v>
      </c>
      <c r="AI609" s="77">
        <f>$AH609*tbl_Data[[#This Row],[2025 ]]</f>
        <v>2.3241754476564025</v>
      </c>
      <c r="AJ609" s="77">
        <f>$AH609*tbl_Data[[#This Row],[2026 ]]</f>
        <v>3.1919606370554101</v>
      </c>
      <c r="AK609" s="77">
        <f>$AH609*tbl_Data[[#This Row],[2027 ]]</f>
        <v>4.155093683774802</v>
      </c>
      <c r="AL609" s="77">
        <f>$AH609*tbl_Data[[#This Row],[2028 ]]</f>
        <v>5.1706025094475097</v>
      </c>
      <c r="AM609" s="77">
        <f>$AH609*tbl_Data[[#This Row],[2029 ]]</f>
        <v>6.1553776785530641</v>
      </c>
      <c r="AN609" s="77">
        <f>$AH609*tbl_Data[[#This Row],[2030 ]]</f>
        <v>7.0236959632453386</v>
      </c>
      <c r="AO609" s="77">
        <f>$AH609*tbl_Data[[#This Row],[2031 ]]</f>
        <v>7.7238060169427669</v>
      </c>
      <c r="AP609" s="77">
        <f>$AH609*tbl_Data[[#This Row],[2032 ]]</f>
        <v>8.2593609374175916</v>
      </c>
      <c r="AQ609" s="77">
        <f>$AH609*tbl_Data[[#This Row],[2033 ]]</f>
        <v>8.6559886560796819</v>
      </c>
      <c r="AR609" s="77">
        <f>$AH609*tbl_Data[[#This Row],[2034 ]]</f>
        <v>8.9375281717622155</v>
      </c>
      <c r="AS609" s="77">
        <f>SUM(tbl_Data[[#This Row],[Adjusted 2025]:[Adjusted 2034]])</f>
        <v>61.597589701934787</v>
      </c>
      <c r="AT609" s="80">
        <f>AVERAGEIFS('3. Incentive Adjustment'!F:F,'3. Incentive Adjustment'!A:A,tbl_Data[[#This Row],[Trimmed Sector]],'3. Incentive Adjustment'!B:B,tbl_Data[[#This Row],[Trimmed Measure Name]])</f>
        <v>0</v>
      </c>
      <c r="AU609" s="80">
        <f>IFERROR(VLOOKUP(tbl_Data[[#This Row],[All_Meas_Name_Append]],'IRA Tax Credits'!$A$3:$D$46,4,0),0)</f>
        <v>0</v>
      </c>
      <c r="AV609" s="81">
        <f>tbl_Data[[#This Row],[Adj. per unit Incentive ($)]]/tbl_Data[[#This Row],[kWh Savings]]*tbl_Data[[#This Row],[Sum of Annuals]]</f>
        <v>0</v>
      </c>
      <c r="AW609" s="81" t="str">
        <f>IFERROR(VLOOKUP(tbl_Data[[#This Row],[Column1]],'1. Set Program Names'!$B$2:$D$15,3,0)*tbl_Data[[#This Row],[Sum of Annuals]],"")</f>
        <v/>
      </c>
      <c r="AX609" s="81">
        <f>tbl_Data[[#This Row],[per unit IRA tax ($)]]/tbl_Data[[#This Row],[kWh Savings]]*tbl_Data[[#This Row],[Sum of Annuals]]</f>
        <v>0</v>
      </c>
      <c r="AY609" s="81">
        <f>tbl_Data[[#This Row],[Avoided Costs ($/unit)]]/tbl_Data[[#This Row],[kWh Savings]]*tbl_Data[[#This Row],[Sum of Annuals]]</f>
        <v>20.881287437937786</v>
      </c>
      <c r="AZ609" s="81">
        <f>tbl_Data[[#This Row],[Lost Revenue ($/unit)]]/tbl_Data[[#This Row],[kWh Savings]]*tbl_Data[[#This Row],[Sum of Annuals]]</f>
        <v>57.730282324427598</v>
      </c>
      <c r="BA609" s="81">
        <f>tbl_Data[[#This Row],[Incremental Cost ($/unit)]]/tbl_Data[[#This Row],[kWh Savings]]*tbl_Data[[#This Row],[Sum of Annuals]]</f>
        <v>15.750504446592123</v>
      </c>
      <c r="BB609" s="77">
        <f>ROUNDUP(tbl_Data[[#This Row],[Adjusted 2025]]/$L609,0)</f>
        <v>1</v>
      </c>
      <c r="BC609" s="77">
        <f>ROUNDUP(tbl_Data[[#This Row],[Adjusted 2026]]/$L609,0)</f>
        <v>1</v>
      </c>
      <c r="BD609" s="77">
        <f>ROUNDUP(tbl_Data[[#This Row],[Adjusted 2027]]/$L609,0)</f>
        <v>1</v>
      </c>
      <c r="BE609" s="77">
        <f>ROUNDUP(tbl_Data[[#This Row],[Adjusted 2028]]/$L609,0)</f>
        <v>1</v>
      </c>
      <c r="BF609" s="77">
        <f>ROUNDUP(tbl_Data[[#This Row],[Adjusted 2029]]/$L609,0)</f>
        <v>1</v>
      </c>
      <c r="BG609" s="77">
        <f>ROUNDUP(tbl_Data[[#This Row],[Adjusted 2030]]/$L609,0)</f>
        <v>1</v>
      </c>
      <c r="BH609" s="77">
        <f>ROUNDUP(tbl_Data[[#This Row],[Adjusted 2031]]/$L609,0)</f>
        <v>1</v>
      </c>
      <c r="BI609" s="77">
        <f>ROUNDUP(tbl_Data[[#This Row],[Adjusted 2032]]/$L609,0)</f>
        <v>1</v>
      </c>
      <c r="BJ609" s="77">
        <f>ROUNDUP(tbl_Data[[#This Row],[Adjusted 2033]]/$L609,0)</f>
        <v>1</v>
      </c>
      <c r="BK609" s="77">
        <f>ROUNDUP(tbl_Data[[#This Row],[Adjusted 2034]]/$L609,0)</f>
        <v>1</v>
      </c>
      <c r="BL609" s="80">
        <f t="shared" si="243"/>
        <v>0</v>
      </c>
      <c r="BM609" s="80">
        <f t="shared" si="244"/>
        <v>0</v>
      </c>
      <c r="BN609" s="80">
        <f t="shared" si="245"/>
        <v>0</v>
      </c>
      <c r="BO609" s="80">
        <f t="shared" si="246"/>
        <v>0</v>
      </c>
      <c r="BP609" s="80">
        <f t="shared" si="247"/>
        <v>0</v>
      </c>
      <c r="BQ609" s="80">
        <f t="shared" si="248"/>
        <v>0</v>
      </c>
      <c r="BR609" s="80">
        <f t="shared" si="249"/>
        <v>0</v>
      </c>
      <c r="BS609" s="80">
        <f t="shared" si="250"/>
        <v>0</v>
      </c>
      <c r="BT609" s="80">
        <f t="shared" si="251"/>
        <v>0</v>
      </c>
      <c r="BU609" s="80">
        <f t="shared" si="252"/>
        <v>0</v>
      </c>
      <c r="BV609" s="80" t="str">
        <f>IFERROR(VLOOKUP($H609,'1. Set Program Names'!$B$2:$D$15,3,0)*V609,"NA")</f>
        <v>NA</v>
      </c>
      <c r="BW609" s="80" t="str">
        <f>IFERROR(VLOOKUP($H609,'1. Set Program Names'!$B$2:$D$15,3,0)*W609,"NA")</f>
        <v>NA</v>
      </c>
      <c r="BX609" s="80" t="str">
        <f>IFERROR(VLOOKUP($H609,'1. Set Program Names'!$B$2:$D$15,3,0)*X609,"NA")</f>
        <v>NA</v>
      </c>
      <c r="BY609" s="80" t="str">
        <f>IFERROR(VLOOKUP($H609,'1. Set Program Names'!$B$2:$D$15,3,0)*Y609,"NA")</f>
        <v>NA</v>
      </c>
      <c r="BZ609" s="80" t="str">
        <f>IFERROR(VLOOKUP($H609,'1. Set Program Names'!$B$2:$D$15,3,0)*Z609,"NA")</f>
        <v>NA</v>
      </c>
      <c r="CA609" s="80" t="str">
        <f>IFERROR(VLOOKUP($H609,'1. Set Program Names'!$B$2:$D$15,3,0)*AA609,"NA")</f>
        <v>NA</v>
      </c>
      <c r="CB609" s="80" t="str">
        <f>IFERROR(VLOOKUP($H609,'1. Set Program Names'!$B$2:$D$15,3,0)*AB609,"NA")</f>
        <v>NA</v>
      </c>
      <c r="CC609" s="80" t="str">
        <f>IFERROR(VLOOKUP($H609,'1. Set Program Names'!$B$2:$D$15,3,0)*AC609,"NA")</f>
        <v>NA</v>
      </c>
      <c r="CD609" s="80" t="str">
        <f>IFERROR(VLOOKUP($H609,'1. Set Program Names'!$B$2:$D$15,3,0)*AD609,"NA")</f>
        <v>NA</v>
      </c>
      <c r="CE609" s="80" t="str">
        <f>IFERROR(VLOOKUP($H609,'1. Set Program Names'!$B$2:$D$15,3,0)*AE609,"NA")</f>
        <v>NA</v>
      </c>
    </row>
    <row r="610" spans="1:83" x14ac:dyDescent="0.25">
      <c r="A610" s="79" t="s">
        <v>114</v>
      </c>
      <c r="B610" s="79" t="s">
        <v>88</v>
      </c>
      <c r="C610" s="79" t="s">
        <v>122</v>
      </c>
      <c r="D610" s="79" t="s">
        <v>90</v>
      </c>
      <c r="E610" s="79" t="s">
        <v>91</v>
      </c>
      <c r="F610" s="79" t="s">
        <v>90</v>
      </c>
      <c r="G610" s="79" t="s">
        <v>92</v>
      </c>
      <c r="H610" s="79" t="s">
        <v>268</v>
      </c>
      <c r="I610" s="79" t="s">
        <v>142</v>
      </c>
      <c r="J610" s="79" t="s">
        <v>137</v>
      </c>
      <c r="K610" s="79" t="s">
        <v>98</v>
      </c>
      <c r="L610" s="79">
        <v>11250</v>
      </c>
      <c r="M610" s="79">
        <v>1.3809947593685901</v>
      </c>
      <c r="N610" s="79">
        <v>1.3808111252514099</v>
      </c>
      <c r="O610" s="79">
        <v>3147</v>
      </c>
      <c r="P610" s="79">
        <v>832.79679683603899</v>
      </c>
      <c r="Q610" s="79">
        <v>11.25</v>
      </c>
      <c r="R610" s="79">
        <v>4868.3629963469202</v>
      </c>
      <c r="S610" s="79">
        <v>12218.8507873668</v>
      </c>
      <c r="T610" s="79">
        <v>15</v>
      </c>
      <c r="U610" s="79">
        <v>1</v>
      </c>
      <c r="V610" s="79">
        <f>tbl_Data_old[[#This Row],[2025 ]]*IFERROR(AVERAGEIFS('Participation Adjustment'!$C:$C,'Participation Adjustment'!$A:$A,$H610,'Participation Adjustment'!$B:$B,$I610),1)</f>
        <v>2.5943906388183402</v>
      </c>
      <c r="W610" s="79">
        <f>tbl_Data_old[[#This Row],[2026 ]]*IFERROR(AVERAGEIFS('Participation Adjustment'!$C:$C,'Participation Adjustment'!$A:$A,$H610,'Participation Adjustment'!$B:$B,$I610),1)</f>
        <v>3.5763333982221401</v>
      </c>
      <c r="X610" s="79">
        <f>tbl_Data_old[[#This Row],[2027 ]]*IFERROR(AVERAGEIFS('Participation Adjustment'!$C:$C,'Participation Adjustment'!$A:$A,$H610,'Participation Adjustment'!$B:$B,$I610),1)</f>
        <v>4.7920934920094904</v>
      </c>
      <c r="Y610" s="79">
        <f>tbl_Data_old[[#This Row],[2028 ]]*IFERROR(AVERAGEIFS('Participation Adjustment'!$C:$C,'Participation Adjustment'!$A:$A,$H610,'Participation Adjustment'!$B:$B,$I610),1)</f>
        <v>6.2373357760251498</v>
      </c>
      <c r="Z610" s="79">
        <f>tbl_Data_old[[#This Row],[2029 ]]*IFERROR(AVERAGEIFS('Participation Adjustment'!$C:$C,'Participation Adjustment'!$A:$A,$H610,'Participation Adjustment'!$B:$B,$I610),1)</f>
        <v>7.8099517871769901</v>
      </c>
      <c r="AA610" s="79">
        <f>tbl_Data_old[[#This Row],[2030 ]]*IFERROR(AVERAGEIFS('Participation Adjustment'!$C:$C,'Participation Adjustment'!$A:$A,$H610,'Participation Adjustment'!$B:$B,$I610),1)</f>
        <v>9.2912639899222</v>
      </c>
      <c r="AB610" s="79">
        <f>tbl_Data_old[[#This Row],[2031 ]]*IFERROR(AVERAGEIFS('Participation Adjustment'!$C:$C,'Participation Adjustment'!$A:$A,$H610,'Participation Adjustment'!$B:$B,$I610),1)</f>
        <v>10.3768084130734</v>
      </c>
      <c r="AC610" s="79">
        <f>tbl_Data_old[[#This Row],[2032 ]]*IFERROR(AVERAGEIFS('Participation Adjustment'!$C:$C,'Participation Adjustment'!$A:$A,$H610,'Participation Adjustment'!$B:$B,$I610),1)</f>
        <v>10.7618441145967</v>
      </c>
      <c r="AD610" s="79">
        <f>tbl_Data_old[[#This Row],[2033 ]]*IFERROR(AVERAGEIFS('Participation Adjustment'!$C:$C,'Participation Adjustment'!$A:$A,$H610,'Participation Adjustment'!$B:$B,$I610),1)</f>
        <v>10.2648098635326</v>
      </c>
      <c r="AE610" s="79">
        <f>tbl_Data_old[[#This Row],[2034 ]]*IFERROR(AVERAGEIFS('Participation Adjustment'!$C:$C,'Participation Adjustment'!$A:$A,$H610,'Participation Adjustment'!$B:$B,$I610),1)</f>
        <v>8.9730276172241794</v>
      </c>
      <c r="AF610" s="77" t="str">
        <f t="shared" si="242"/>
        <v>NonResidential</v>
      </c>
      <c r="AG610" s="77" t="str">
        <f>tbl_Data[[#This Row],[All_Meas_Name_Append]]</f>
        <v>Escalator Motor Efficiency Controller</v>
      </c>
      <c r="AH610" s="77">
        <f>AVERAGEIFS('3. Incentive Adjustment'!G:G,'3. Incentive Adjustment'!A:A,tbl_Data[[#This Row],[Trimmed Sector]],'3. Incentive Adjustment'!B:B,tbl_Data[[#This Row],[Trimmed Measure Name]])</f>
        <v>0.82257117184015105</v>
      </c>
      <c r="AI610" s="77">
        <f>$AH610*tbl_Data[[#This Row],[2025 ]]</f>
        <v>2.1340709479839202</v>
      </c>
      <c r="AJ610" s="77">
        <f>$AH610*tbl_Data[[#This Row],[2026 ]]</f>
        <v>2.9417887542666552</v>
      </c>
      <c r="AK610" s="77">
        <f>$AH610*tbl_Data[[#This Row],[2027 ]]</f>
        <v>3.9418379592898081</v>
      </c>
      <c r="AL610" s="77">
        <f>$AH610*tbl_Data[[#This Row],[2028 ]]</f>
        <v>5.1306525984455051</v>
      </c>
      <c r="AM610" s="77">
        <f>$AH610*tbl_Data[[#This Row],[2029 ]]</f>
        <v>6.4242411935932591</v>
      </c>
      <c r="AN610" s="77">
        <f>$AH610*tbl_Data[[#This Row],[2030 ]]</f>
        <v>7.6427259080665015</v>
      </c>
      <c r="AO610" s="77">
        <f>$AH610*tbl_Data[[#This Row],[2031 ]]</f>
        <v>8.5356634563025242</v>
      </c>
      <c r="AP610" s="77">
        <f>$AH610*tbl_Data[[#This Row],[2032 ]]</f>
        <v>8.8523827245048405</v>
      </c>
      <c r="AQ610" s="77">
        <f>$AH610*tbl_Data[[#This Row],[2033 ]]</f>
        <v>8.4435366781623511</v>
      </c>
      <c r="AR610" s="77">
        <f>$AH610*tbl_Data[[#This Row],[2034 ]]</f>
        <v>7.3809538420541312</v>
      </c>
      <c r="AS610" s="77">
        <f>SUM(tbl_Data[[#This Row],[Adjusted 2025]:[Adjusted 2034]])</f>
        <v>61.427854062669503</v>
      </c>
      <c r="AT610" s="80">
        <f>AVERAGEIFS('3. Incentive Adjustment'!F:F,'3. Incentive Adjustment'!A:A,tbl_Data[[#This Row],[Trimmed Sector]],'3. Incentive Adjustment'!B:B,tbl_Data[[#This Row],[Trimmed Measure Name]])</f>
        <v>0</v>
      </c>
      <c r="AU610" s="80">
        <f>IFERROR(VLOOKUP(tbl_Data[[#This Row],[All_Meas_Name_Append]],'IRA Tax Credits'!$A$3:$D$46,4,0),0)</f>
        <v>0</v>
      </c>
      <c r="AV610" s="81">
        <f>tbl_Data[[#This Row],[Adj. per unit Incentive ($)]]/tbl_Data[[#This Row],[kWh Savings]]*tbl_Data[[#This Row],[Sum of Annuals]]</f>
        <v>0</v>
      </c>
      <c r="AW610" s="81" t="str">
        <f>IFERROR(VLOOKUP(tbl_Data[[#This Row],[Column1]],'1. Set Program Names'!$B$2:$D$15,3,0)*tbl_Data[[#This Row],[Sum of Annuals]],"")</f>
        <v/>
      </c>
      <c r="AX610" s="81">
        <f>tbl_Data[[#This Row],[per unit IRA tax ($)]]/tbl_Data[[#This Row],[kWh Savings]]*tbl_Data[[#This Row],[Sum of Annuals]]</f>
        <v>0</v>
      </c>
      <c r="AY610" s="81">
        <f>tbl_Data[[#This Row],[Avoided Costs ($/unit)]]/tbl_Data[[#This Row],[kWh Savings]]*tbl_Data[[#This Row],[Sum of Annuals]]</f>
        <v>26.582497036773248</v>
      </c>
      <c r="AZ610" s="81">
        <f>tbl_Data[[#This Row],[Lost Revenue ($/unit)]]/tbl_Data[[#This Row],[kWh Savings]]*tbl_Data[[#This Row],[Sum of Annuals]]</f>
        <v>66.718025153769091</v>
      </c>
      <c r="BA610" s="81">
        <f>tbl_Data[[#This Row],[Incremental Cost ($/unit)]]/tbl_Data[[#This Row],[kWh Savings]]*tbl_Data[[#This Row],[Sum of Annuals]]</f>
        <v>17.183418376464083</v>
      </c>
      <c r="BB610" s="77">
        <f>ROUNDUP(tbl_Data[[#This Row],[Adjusted 2025]]/$L610,0)</f>
        <v>1</v>
      </c>
      <c r="BC610" s="77">
        <f>ROUNDUP(tbl_Data[[#This Row],[Adjusted 2026]]/$L610,0)</f>
        <v>1</v>
      </c>
      <c r="BD610" s="77">
        <f>ROUNDUP(tbl_Data[[#This Row],[Adjusted 2027]]/$L610,0)</f>
        <v>1</v>
      </c>
      <c r="BE610" s="77">
        <f>ROUNDUP(tbl_Data[[#This Row],[Adjusted 2028]]/$L610,0)</f>
        <v>1</v>
      </c>
      <c r="BF610" s="77">
        <f>ROUNDUP(tbl_Data[[#This Row],[Adjusted 2029]]/$L610,0)</f>
        <v>1</v>
      </c>
      <c r="BG610" s="77">
        <f>ROUNDUP(tbl_Data[[#This Row],[Adjusted 2030]]/$L610,0)</f>
        <v>1</v>
      </c>
      <c r="BH610" s="77">
        <f>ROUNDUP(tbl_Data[[#This Row],[Adjusted 2031]]/$L610,0)</f>
        <v>1</v>
      </c>
      <c r="BI610" s="77">
        <f>ROUNDUP(tbl_Data[[#This Row],[Adjusted 2032]]/$L610,0)</f>
        <v>1</v>
      </c>
      <c r="BJ610" s="77">
        <f>ROUNDUP(tbl_Data[[#This Row],[Adjusted 2033]]/$L610,0)</f>
        <v>1</v>
      </c>
      <c r="BK610" s="77">
        <f>ROUNDUP(tbl_Data[[#This Row],[Adjusted 2034]]/$L610,0)</f>
        <v>1</v>
      </c>
      <c r="BL610" s="80">
        <f t="shared" si="243"/>
        <v>0</v>
      </c>
      <c r="BM610" s="80">
        <f t="shared" si="244"/>
        <v>0</v>
      </c>
      <c r="BN610" s="80">
        <f t="shared" si="245"/>
        <v>0</v>
      </c>
      <c r="BO610" s="80">
        <f t="shared" si="246"/>
        <v>0</v>
      </c>
      <c r="BP610" s="80">
        <f t="shared" si="247"/>
        <v>0</v>
      </c>
      <c r="BQ610" s="80">
        <f t="shared" si="248"/>
        <v>0</v>
      </c>
      <c r="BR610" s="80">
        <f t="shared" si="249"/>
        <v>0</v>
      </c>
      <c r="BS610" s="80">
        <f t="shared" si="250"/>
        <v>0</v>
      </c>
      <c r="BT610" s="80">
        <f t="shared" si="251"/>
        <v>0</v>
      </c>
      <c r="BU610" s="80">
        <f t="shared" si="252"/>
        <v>0</v>
      </c>
      <c r="BV610" s="80" t="str">
        <f>IFERROR(VLOOKUP($H610,'1. Set Program Names'!$B$2:$D$15,3,0)*V610,"NA")</f>
        <v>NA</v>
      </c>
      <c r="BW610" s="80" t="str">
        <f>IFERROR(VLOOKUP($H610,'1. Set Program Names'!$B$2:$D$15,3,0)*W610,"NA")</f>
        <v>NA</v>
      </c>
      <c r="BX610" s="80" t="str">
        <f>IFERROR(VLOOKUP($H610,'1. Set Program Names'!$B$2:$D$15,3,0)*X610,"NA")</f>
        <v>NA</v>
      </c>
      <c r="BY610" s="80" t="str">
        <f>IFERROR(VLOOKUP($H610,'1. Set Program Names'!$B$2:$D$15,3,0)*Y610,"NA")</f>
        <v>NA</v>
      </c>
      <c r="BZ610" s="80" t="str">
        <f>IFERROR(VLOOKUP($H610,'1. Set Program Names'!$B$2:$D$15,3,0)*Z610,"NA")</f>
        <v>NA</v>
      </c>
      <c r="CA610" s="80" t="str">
        <f>IFERROR(VLOOKUP($H610,'1. Set Program Names'!$B$2:$D$15,3,0)*AA610,"NA")</f>
        <v>NA</v>
      </c>
      <c r="CB610" s="80" t="str">
        <f>IFERROR(VLOOKUP($H610,'1. Set Program Names'!$B$2:$D$15,3,0)*AB610,"NA")</f>
        <v>NA</v>
      </c>
      <c r="CC610" s="80" t="str">
        <f>IFERROR(VLOOKUP($H610,'1. Set Program Names'!$B$2:$D$15,3,0)*AC610,"NA")</f>
        <v>NA</v>
      </c>
      <c r="CD610" s="80" t="str">
        <f>IFERROR(VLOOKUP($H610,'1. Set Program Names'!$B$2:$D$15,3,0)*AD610,"NA")</f>
        <v>NA</v>
      </c>
      <c r="CE610" s="80" t="str">
        <f>IFERROR(VLOOKUP($H610,'1. Set Program Names'!$B$2:$D$15,3,0)*AE610,"NA")</f>
        <v>NA</v>
      </c>
    </row>
    <row r="611" spans="1:83" x14ac:dyDescent="0.25">
      <c r="A611" s="79" t="s">
        <v>114</v>
      </c>
      <c r="B611" s="79" t="s">
        <v>88</v>
      </c>
      <c r="C611" s="79" t="s">
        <v>122</v>
      </c>
      <c r="D611" s="79" t="s">
        <v>90</v>
      </c>
      <c r="E611" s="79" t="s">
        <v>91</v>
      </c>
      <c r="F611" s="79" t="s">
        <v>90</v>
      </c>
      <c r="G611" s="79" t="s">
        <v>92</v>
      </c>
      <c r="H611" s="79" t="s">
        <v>268</v>
      </c>
      <c r="I611" s="79" t="s">
        <v>175</v>
      </c>
      <c r="J611" s="79" t="s">
        <v>144</v>
      </c>
      <c r="K611" s="79" t="s">
        <v>98</v>
      </c>
      <c r="L611" s="79">
        <v>264.02999999999997</v>
      </c>
      <c r="M611" s="79">
        <v>4.1428427039389301E-2</v>
      </c>
      <c r="N611" s="79">
        <v>6.1740637590561503E-2</v>
      </c>
      <c r="O611" s="79">
        <v>74.16</v>
      </c>
      <c r="P611" s="79">
        <v>19.8471936238772</v>
      </c>
      <c r="Q611" s="79">
        <v>0.26402999999999999</v>
      </c>
      <c r="R611" s="79">
        <v>106.11574944735899</v>
      </c>
      <c r="S611" s="79">
        <v>217.179512566509</v>
      </c>
      <c r="T611" s="79">
        <v>10</v>
      </c>
      <c r="U611" s="79">
        <v>1</v>
      </c>
      <c r="V611" s="79">
        <f>tbl_Data_old[[#This Row],[2025 ]]*IFERROR(AVERAGEIFS('Participation Adjustment'!$C:$C,'Participation Adjustment'!$A:$A,$H611,'Participation Adjustment'!$B:$B,$I611),1)</f>
        <v>1.5440019750201199</v>
      </c>
      <c r="W611" s="79">
        <f>tbl_Data_old[[#This Row],[2026 ]]*IFERROR(AVERAGEIFS('Participation Adjustment'!$C:$C,'Participation Adjustment'!$A:$A,$H611,'Participation Adjustment'!$B:$B,$I611),1)</f>
        <v>2.1192187143966601</v>
      </c>
      <c r="X611" s="79">
        <f>tbl_Data_old[[#This Row],[2027 ]]*IFERROR(AVERAGEIFS('Participation Adjustment'!$C:$C,'Participation Adjustment'!$A:$A,$H611,'Participation Adjustment'!$B:$B,$I611),1)</f>
        <v>2.8209647129964002</v>
      </c>
      <c r="Y611" s="79">
        <f>tbl_Data_old[[#This Row],[2028 ]]*IFERROR(AVERAGEIFS('Participation Adjustment'!$C:$C,'Participation Adjustment'!$A:$A,$H611,'Participation Adjustment'!$B:$B,$I611),1)</f>
        <v>3.6404598644227901</v>
      </c>
      <c r="Z611" s="79">
        <f>tbl_Data_old[[#This Row],[2029 ]]*IFERROR(AVERAGEIFS('Participation Adjustment'!$C:$C,'Participation Adjustment'!$A:$A,$H611,'Participation Adjustment'!$B:$B,$I611),1)</f>
        <v>4.5106969715076302</v>
      </c>
      <c r="AA611" s="79">
        <f>tbl_Data_old[[#This Row],[2030 ]]*IFERROR(AVERAGEIFS('Participation Adjustment'!$C:$C,'Participation Adjustment'!$A:$A,$H611,'Participation Adjustment'!$B:$B,$I611),1)</f>
        <v>5.29673121443731</v>
      </c>
      <c r="AB611" s="79">
        <f>tbl_Data_old[[#This Row],[2031 ]]*IFERROR(AVERAGEIFS('Participation Adjustment'!$C:$C,'Participation Adjustment'!$A:$A,$H611,'Participation Adjustment'!$B:$B,$I611),1)</f>
        <v>5.8228288935800796</v>
      </c>
      <c r="AC611" s="79">
        <f>tbl_Data_old[[#This Row],[2032 ]]*IFERROR(AVERAGEIFS('Participation Adjustment'!$C:$C,'Participation Adjustment'!$A:$A,$H611,'Participation Adjustment'!$B:$B,$I611),1)</f>
        <v>5.92422217443566</v>
      </c>
      <c r="AD611" s="79">
        <f>tbl_Data_old[[#This Row],[2033 ]]*IFERROR(AVERAGEIFS('Participation Adjustment'!$C:$C,'Participation Adjustment'!$A:$A,$H611,'Participation Adjustment'!$B:$B,$I611),1)</f>
        <v>5.5175810180937397</v>
      </c>
      <c r="AE611" s="79">
        <f>tbl_Data_old[[#This Row],[2034 ]]*IFERROR(AVERAGEIFS('Participation Adjustment'!$C:$C,'Participation Adjustment'!$A:$A,$H611,'Participation Adjustment'!$B:$B,$I611),1)</f>
        <v>4.6850952723589403</v>
      </c>
      <c r="AF611" s="77" t="str">
        <f t="shared" si="242"/>
        <v>NonResidential</v>
      </c>
      <c r="AG611" s="77" t="str">
        <f>tbl_Data[[#This Row],[All_Meas_Name_Append]]</f>
        <v>Faucet Aerator</v>
      </c>
      <c r="AH611" s="77">
        <f>AVERAGEIFS('3. Incentive Adjustment'!G:G,'3. Incentive Adjustment'!A:A,tbl_Data[[#This Row],[Trimmed Sector]],'3. Incentive Adjustment'!B:B,tbl_Data[[#This Row],[Trimmed Measure Name]])</f>
        <v>0.82009235606746977</v>
      </c>
      <c r="AI611" s="77">
        <f>$AH611*tbl_Data[[#This Row],[2025 ]]</f>
        <v>1.2662242174670768</v>
      </c>
      <c r="AJ611" s="77">
        <f>$AH611*tbl_Data[[#This Row],[2026 ]]</f>
        <v>1.7379550685118312</v>
      </c>
      <c r="AK611" s="77">
        <f>$AH611*tbl_Data[[#This Row],[2027 ]]</f>
        <v>2.3134515978644115</v>
      </c>
      <c r="AL611" s="77">
        <f>$AH611*tbl_Data[[#This Row],[2028 ]]</f>
        <v>2.9855133073835476</v>
      </c>
      <c r="AM611" s="77">
        <f>$AH611*tbl_Data[[#This Row],[2029 ]]</f>
        <v>3.6991881068700931</v>
      </c>
      <c r="AN611" s="77">
        <f>$AH611*tbl_Data[[#This Row],[2030 ]]</f>
        <v>4.3438087811040038</v>
      </c>
      <c r="AO611" s="77">
        <f>$AH611*tbl_Data[[#This Row],[2031 ]]</f>
        <v>4.7752574663138256</v>
      </c>
      <c r="AP611" s="77">
        <f>$AH611*tbl_Data[[#This Row],[2032 ]]</f>
        <v>4.8584093209000896</v>
      </c>
      <c r="AQ611" s="77">
        <f>$AH611*tbl_Data[[#This Row],[2033 ]]</f>
        <v>4.5249260169216434</v>
      </c>
      <c r="AR611" s="77">
        <f>$AH611*tbl_Data[[#This Row],[2034 ]]</f>
        <v>3.8422108203094072</v>
      </c>
      <c r="AS611" s="77">
        <f>SUM(tbl_Data[[#This Row],[Adjusted 2025]:[Adjusted 2034]])</f>
        <v>34.346944703645924</v>
      </c>
      <c r="AT611" s="80">
        <f>AVERAGEIFS('3. Incentive Adjustment'!F:F,'3. Incentive Adjustment'!A:A,tbl_Data[[#This Row],[Trimmed Sector]],'3. Incentive Adjustment'!B:B,tbl_Data[[#This Row],[Trimmed Measure Name]])</f>
        <v>0</v>
      </c>
      <c r="AU611" s="80">
        <f>IFERROR(VLOOKUP(tbl_Data[[#This Row],[All_Meas_Name_Append]],'IRA Tax Credits'!$A$3:$D$46,4,0),0)</f>
        <v>0</v>
      </c>
      <c r="AV611" s="81">
        <f>tbl_Data[[#This Row],[Adj. per unit Incentive ($)]]/tbl_Data[[#This Row],[kWh Savings]]*tbl_Data[[#This Row],[Sum of Annuals]]</f>
        <v>0</v>
      </c>
      <c r="AW611" s="81" t="str">
        <f>IFERROR(VLOOKUP(tbl_Data[[#This Row],[Column1]],'1. Set Program Names'!$B$2:$D$15,3,0)*tbl_Data[[#This Row],[Sum of Annuals]],"")</f>
        <v/>
      </c>
      <c r="AX611" s="81">
        <f>tbl_Data[[#This Row],[per unit IRA tax ($)]]/tbl_Data[[#This Row],[kWh Savings]]*tbl_Data[[#This Row],[Sum of Annuals]]</f>
        <v>0</v>
      </c>
      <c r="AY611" s="81">
        <f>tbl_Data[[#This Row],[Avoided Costs ($/unit)]]/tbl_Data[[#This Row],[kWh Savings]]*tbl_Data[[#This Row],[Sum of Annuals]]</f>
        <v>13.804309277182083</v>
      </c>
      <c r="AZ611" s="81">
        <f>tbl_Data[[#This Row],[Lost Revenue ($/unit)]]/tbl_Data[[#This Row],[kWh Savings]]*tbl_Data[[#This Row],[Sum of Annuals]]</f>
        <v>28.252292197427035</v>
      </c>
      <c r="BA611" s="81">
        <f>tbl_Data[[#This Row],[Incremental Cost ($/unit)]]/tbl_Data[[#This Row],[kWh Savings]]*tbl_Data[[#This Row],[Sum of Annuals]]</f>
        <v>9.6472727312138087</v>
      </c>
      <c r="BB611" s="77">
        <f>ROUNDUP(tbl_Data[[#This Row],[Adjusted 2025]]/$L611,0)</f>
        <v>1</v>
      </c>
      <c r="BC611" s="77">
        <f>ROUNDUP(tbl_Data[[#This Row],[Adjusted 2026]]/$L611,0)</f>
        <v>1</v>
      </c>
      <c r="BD611" s="77">
        <f>ROUNDUP(tbl_Data[[#This Row],[Adjusted 2027]]/$L611,0)</f>
        <v>1</v>
      </c>
      <c r="BE611" s="77">
        <f>ROUNDUP(tbl_Data[[#This Row],[Adjusted 2028]]/$L611,0)</f>
        <v>1</v>
      </c>
      <c r="BF611" s="77">
        <f>ROUNDUP(tbl_Data[[#This Row],[Adjusted 2029]]/$L611,0)</f>
        <v>1</v>
      </c>
      <c r="BG611" s="77">
        <f>ROUNDUP(tbl_Data[[#This Row],[Adjusted 2030]]/$L611,0)</f>
        <v>1</v>
      </c>
      <c r="BH611" s="77">
        <f>ROUNDUP(tbl_Data[[#This Row],[Adjusted 2031]]/$L611,0)</f>
        <v>1</v>
      </c>
      <c r="BI611" s="77">
        <f>ROUNDUP(tbl_Data[[#This Row],[Adjusted 2032]]/$L611,0)</f>
        <v>1</v>
      </c>
      <c r="BJ611" s="77">
        <f>ROUNDUP(tbl_Data[[#This Row],[Adjusted 2033]]/$L611,0)</f>
        <v>1</v>
      </c>
      <c r="BK611" s="77">
        <f>ROUNDUP(tbl_Data[[#This Row],[Adjusted 2034]]/$L611,0)</f>
        <v>1</v>
      </c>
      <c r="BL611" s="80">
        <f t="shared" si="243"/>
        <v>0</v>
      </c>
      <c r="BM611" s="80">
        <f t="shared" si="244"/>
        <v>0</v>
      </c>
      <c r="BN611" s="80">
        <f t="shared" si="245"/>
        <v>0</v>
      </c>
      <c r="BO611" s="80">
        <f t="shared" si="246"/>
        <v>0</v>
      </c>
      <c r="BP611" s="80">
        <f t="shared" si="247"/>
        <v>0</v>
      </c>
      <c r="BQ611" s="80">
        <f t="shared" si="248"/>
        <v>0</v>
      </c>
      <c r="BR611" s="80">
        <f t="shared" si="249"/>
        <v>0</v>
      </c>
      <c r="BS611" s="80">
        <f t="shared" si="250"/>
        <v>0</v>
      </c>
      <c r="BT611" s="80">
        <f t="shared" si="251"/>
        <v>0</v>
      </c>
      <c r="BU611" s="80">
        <f t="shared" si="252"/>
        <v>0</v>
      </c>
      <c r="BV611" s="80" t="str">
        <f>IFERROR(VLOOKUP($H611,'1. Set Program Names'!$B$2:$D$15,3,0)*V611,"NA")</f>
        <v>NA</v>
      </c>
      <c r="BW611" s="80" t="str">
        <f>IFERROR(VLOOKUP($H611,'1. Set Program Names'!$B$2:$D$15,3,0)*W611,"NA")</f>
        <v>NA</v>
      </c>
      <c r="BX611" s="80" t="str">
        <f>IFERROR(VLOOKUP($H611,'1. Set Program Names'!$B$2:$D$15,3,0)*X611,"NA")</f>
        <v>NA</v>
      </c>
      <c r="BY611" s="80" t="str">
        <f>IFERROR(VLOOKUP($H611,'1. Set Program Names'!$B$2:$D$15,3,0)*Y611,"NA")</f>
        <v>NA</v>
      </c>
      <c r="BZ611" s="80" t="str">
        <f>IFERROR(VLOOKUP($H611,'1. Set Program Names'!$B$2:$D$15,3,0)*Z611,"NA")</f>
        <v>NA</v>
      </c>
      <c r="CA611" s="80" t="str">
        <f>IFERROR(VLOOKUP($H611,'1. Set Program Names'!$B$2:$D$15,3,0)*AA611,"NA")</f>
        <v>NA</v>
      </c>
      <c r="CB611" s="80" t="str">
        <f>IFERROR(VLOOKUP($H611,'1. Set Program Names'!$B$2:$D$15,3,0)*AB611,"NA")</f>
        <v>NA</v>
      </c>
      <c r="CC611" s="80" t="str">
        <f>IFERROR(VLOOKUP($H611,'1. Set Program Names'!$B$2:$D$15,3,0)*AC611,"NA")</f>
        <v>NA</v>
      </c>
      <c r="CD611" s="80" t="str">
        <f>IFERROR(VLOOKUP($H611,'1. Set Program Names'!$B$2:$D$15,3,0)*AD611,"NA")</f>
        <v>NA</v>
      </c>
      <c r="CE611" s="80" t="str">
        <f>IFERROR(VLOOKUP($H611,'1. Set Program Names'!$B$2:$D$15,3,0)*AE611,"NA")</f>
        <v>NA</v>
      </c>
    </row>
    <row r="612" spans="1:83" x14ac:dyDescent="0.25">
      <c r="A612" s="79" t="s">
        <v>114</v>
      </c>
      <c r="B612" s="79" t="s">
        <v>88</v>
      </c>
      <c r="C612" s="79" t="s">
        <v>122</v>
      </c>
      <c r="D612" s="79" t="s">
        <v>90</v>
      </c>
      <c r="E612" s="79" t="s">
        <v>91</v>
      </c>
      <c r="F612" s="79" t="s">
        <v>90</v>
      </c>
      <c r="G612" s="79" t="s">
        <v>92</v>
      </c>
      <c r="H612" s="79" t="s">
        <v>268</v>
      </c>
      <c r="I612" s="79" t="s">
        <v>150</v>
      </c>
      <c r="J612" s="79" t="s">
        <v>129</v>
      </c>
      <c r="K612" s="79" t="s">
        <v>102</v>
      </c>
      <c r="L612" s="79">
        <v>56016.9549999999</v>
      </c>
      <c r="M612" s="79">
        <v>10.827112325312299</v>
      </c>
      <c r="N612" s="79">
        <v>1.3517775806744601</v>
      </c>
      <c r="O612" s="79">
        <v>17160.122499999899</v>
      </c>
      <c r="P612" s="79">
        <v>8652.3043908691998</v>
      </c>
      <c r="Q612" s="79">
        <v>56.016954999999903</v>
      </c>
      <c r="R612" s="79">
        <v>30291.5576269993</v>
      </c>
      <c r="S612" s="79">
        <v>71892.064971295098</v>
      </c>
      <c r="T612" s="79">
        <v>20</v>
      </c>
      <c r="U612" s="79">
        <v>1</v>
      </c>
      <c r="V612" s="79">
        <f>tbl_Data_old[[#This Row],[2025 ]]*IFERROR(AVERAGEIFS('Participation Adjustment'!$C:$C,'Participation Adjustment'!$A:$A,$H612,'Participation Adjustment'!$B:$B,$I612),1)</f>
        <v>9.0563268509833801</v>
      </c>
      <c r="W612" s="79">
        <f>tbl_Data_old[[#This Row],[2026 ]]*IFERROR(AVERAGEIFS('Participation Adjustment'!$C:$C,'Participation Adjustment'!$A:$A,$H612,'Participation Adjustment'!$B:$B,$I612),1)</f>
        <v>8.9554922859869492</v>
      </c>
      <c r="X612" s="79">
        <f>tbl_Data_old[[#This Row],[2027 ]]*IFERROR(AVERAGEIFS('Participation Adjustment'!$C:$C,'Participation Adjustment'!$A:$A,$H612,'Participation Adjustment'!$B:$B,$I612),1)</f>
        <v>8.8102719239718006</v>
      </c>
      <c r="Y612" s="79">
        <f>tbl_Data_old[[#This Row],[2028 ]]*IFERROR(AVERAGEIFS('Participation Adjustment'!$C:$C,'Participation Adjustment'!$A:$A,$H612,'Participation Adjustment'!$B:$B,$I612),1)</f>
        <v>8.6740079220640798</v>
      </c>
      <c r="Z612" s="79">
        <f>tbl_Data_old[[#This Row],[2029 ]]*IFERROR(AVERAGEIFS('Participation Adjustment'!$C:$C,'Participation Adjustment'!$A:$A,$H612,'Participation Adjustment'!$B:$B,$I612),1)</f>
        <v>8.5348889506359598</v>
      </c>
      <c r="AA612" s="79">
        <f>tbl_Data_old[[#This Row],[2030 ]]*IFERROR(AVERAGEIFS('Participation Adjustment'!$C:$C,'Participation Adjustment'!$A:$A,$H612,'Participation Adjustment'!$B:$B,$I612),1)</f>
        <v>8.3849169757730504</v>
      </c>
      <c r="AB612" s="79">
        <f>tbl_Data_old[[#This Row],[2031 ]]*IFERROR(AVERAGEIFS('Participation Adjustment'!$C:$C,'Participation Adjustment'!$A:$A,$H612,'Participation Adjustment'!$B:$B,$I612),1)</f>
        <v>8.2252413999778806</v>
      </c>
      <c r="AC612" s="79">
        <f>tbl_Data_old[[#This Row],[2032 ]]*IFERROR(AVERAGEIFS('Participation Adjustment'!$C:$C,'Participation Adjustment'!$A:$A,$H612,'Participation Adjustment'!$B:$B,$I612),1)</f>
        <v>8.0727057474894508</v>
      </c>
      <c r="AD612" s="79">
        <f>tbl_Data_old[[#This Row],[2033 ]]*IFERROR(AVERAGEIFS('Participation Adjustment'!$C:$C,'Participation Adjustment'!$A:$A,$H612,'Participation Adjustment'!$B:$B,$I612),1)</f>
        <v>7.9360275451944</v>
      </c>
      <c r="AE612" s="79">
        <f>tbl_Data_old[[#This Row],[2034 ]]*IFERROR(AVERAGEIFS('Participation Adjustment'!$C:$C,'Participation Adjustment'!$A:$A,$H612,'Participation Adjustment'!$B:$B,$I612),1)</f>
        <v>7.7972454568162499</v>
      </c>
      <c r="AF612" s="77" t="str">
        <f t="shared" si="242"/>
        <v>NonResidential</v>
      </c>
      <c r="AG612" s="77" t="str">
        <f>tbl_Data[[#This Row],[All_Meas_Name_Append]]</f>
        <v>Infiltration Reduction - Air Sealing</v>
      </c>
      <c r="AH612" s="77">
        <f>AVERAGEIFS('3. Incentive Adjustment'!G:G,'3. Incentive Adjustment'!A:A,tbl_Data[[#This Row],[Trimmed Sector]],'3. Incentive Adjustment'!B:B,tbl_Data[[#This Row],[Trimmed Measure Name]])</f>
        <v>0.66528306579610585</v>
      </c>
      <c r="AI612" s="77">
        <f>$AH612*tbl_Data[[#This Row],[2025 ]]</f>
        <v>6.0250208922738162</v>
      </c>
      <c r="AJ612" s="77">
        <f>$AH612*tbl_Data[[#This Row],[2026 ]]</f>
        <v>5.9579373637347741</v>
      </c>
      <c r="AK612" s="77">
        <f>$AH612*tbl_Data[[#This Row],[2027 ]]</f>
        <v>5.8613247160773154</v>
      </c>
      <c r="AL612" s="77">
        <f>$AH612*tbl_Data[[#This Row],[2028 ]]</f>
        <v>5.7706705831305003</v>
      </c>
      <c r="AM612" s="77">
        <f>$AH612*tbl_Data[[#This Row],[2029 ]]</f>
        <v>5.6781170873083999</v>
      </c>
      <c r="AN612" s="77">
        <f>$AH612*tbl_Data[[#This Row],[2030 ]]</f>
        <v>5.578343272088107</v>
      </c>
      <c r="AO612" s="77">
        <f>$AH612*tbl_Data[[#This Row],[2031 ]]</f>
        <v>5.4721138154903386</v>
      </c>
      <c r="AP612" s="77">
        <f>$AH612*tbl_Data[[#This Row],[2032 ]]</f>
        <v>5.370634428959626</v>
      </c>
      <c r="AQ612" s="77">
        <f>$AH612*tbl_Data[[#This Row],[2033 ]]</f>
        <v>5.2797047355092745</v>
      </c>
      <c r="AR612" s="77">
        <f>$AH612*tbl_Data[[#This Row],[2034 ]]</f>
        <v>5.187375362275473</v>
      </c>
      <c r="AS612" s="77">
        <f>SUM(tbl_Data[[#This Row],[Adjusted 2025]:[Adjusted 2034]])</f>
        <v>56.181242256847632</v>
      </c>
      <c r="AT612" s="80">
        <f>AVERAGEIFS('3. Incentive Adjustment'!F:F,'3. Incentive Adjustment'!A:A,tbl_Data[[#This Row],[Trimmed Sector]],'3. Incentive Adjustment'!B:B,tbl_Data[[#This Row],[Trimmed Measure Name]])</f>
        <v>0</v>
      </c>
      <c r="AU612" s="80">
        <f>IFERROR(VLOOKUP(tbl_Data[[#This Row],[All_Meas_Name_Append]],'IRA Tax Credits'!$A$3:$D$46,4,0),0)</f>
        <v>0</v>
      </c>
      <c r="AV612" s="81">
        <f>tbl_Data[[#This Row],[Adj. per unit Incentive ($)]]/tbl_Data[[#This Row],[kWh Savings]]*tbl_Data[[#This Row],[Sum of Annuals]]</f>
        <v>0</v>
      </c>
      <c r="AW612" s="81" t="str">
        <f>IFERROR(VLOOKUP(tbl_Data[[#This Row],[Column1]],'1. Set Program Names'!$B$2:$D$15,3,0)*tbl_Data[[#This Row],[Sum of Annuals]],"")</f>
        <v/>
      </c>
      <c r="AX612" s="81">
        <f>tbl_Data[[#This Row],[per unit IRA tax ($)]]/tbl_Data[[#This Row],[kWh Savings]]*tbl_Data[[#This Row],[Sum of Annuals]]</f>
        <v>0</v>
      </c>
      <c r="AY612" s="81">
        <f>tbl_Data[[#This Row],[Avoided Costs ($/unit)]]/tbl_Data[[#This Row],[kWh Savings]]*tbl_Data[[#This Row],[Sum of Annuals]]</f>
        <v>30.38039710262208</v>
      </c>
      <c r="AZ612" s="81">
        <f>tbl_Data[[#This Row],[Lost Revenue ($/unit)]]/tbl_Data[[#This Row],[kWh Savings]]*tbl_Data[[#This Row],[Sum of Annuals]]</f>
        <v>72.10291095789421</v>
      </c>
      <c r="BA612" s="81">
        <f>tbl_Data[[#This Row],[Incremental Cost ($/unit)]]/tbl_Data[[#This Row],[kWh Savings]]*tbl_Data[[#This Row],[Sum of Annuals]]</f>
        <v>17.210449931269522</v>
      </c>
      <c r="BB612" s="77">
        <f>ROUNDUP(tbl_Data[[#This Row],[Adjusted 2025]]/$L612,0)</f>
        <v>1</v>
      </c>
      <c r="BC612" s="77">
        <f>ROUNDUP(tbl_Data[[#This Row],[Adjusted 2026]]/$L612,0)</f>
        <v>1</v>
      </c>
      <c r="BD612" s="77">
        <f>ROUNDUP(tbl_Data[[#This Row],[Adjusted 2027]]/$L612,0)</f>
        <v>1</v>
      </c>
      <c r="BE612" s="77">
        <f>ROUNDUP(tbl_Data[[#This Row],[Adjusted 2028]]/$L612,0)</f>
        <v>1</v>
      </c>
      <c r="BF612" s="77">
        <f>ROUNDUP(tbl_Data[[#This Row],[Adjusted 2029]]/$L612,0)</f>
        <v>1</v>
      </c>
      <c r="BG612" s="77">
        <f>ROUNDUP(tbl_Data[[#This Row],[Adjusted 2030]]/$L612,0)</f>
        <v>1</v>
      </c>
      <c r="BH612" s="77">
        <f>ROUNDUP(tbl_Data[[#This Row],[Adjusted 2031]]/$L612,0)</f>
        <v>1</v>
      </c>
      <c r="BI612" s="77">
        <f>ROUNDUP(tbl_Data[[#This Row],[Adjusted 2032]]/$L612,0)</f>
        <v>1</v>
      </c>
      <c r="BJ612" s="77">
        <f>ROUNDUP(tbl_Data[[#This Row],[Adjusted 2033]]/$L612,0)</f>
        <v>1</v>
      </c>
      <c r="BK612" s="77">
        <f>ROUNDUP(tbl_Data[[#This Row],[Adjusted 2034]]/$L612,0)</f>
        <v>1</v>
      </c>
      <c r="BL612" s="80">
        <f t="shared" si="243"/>
        <v>0</v>
      </c>
      <c r="BM612" s="80">
        <f t="shared" si="244"/>
        <v>0</v>
      </c>
      <c r="BN612" s="80">
        <f t="shared" si="245"/>
        <v>0</v>
      </c>
      <c r="BO612" s="80">
        <f t="shared" si="246"/>
        <v>0</v>
      </c>
      <c r="BP612" s="80">
        <f t="shared" si="247"/>
        <v>0</v>
      </c>
      <c r="BQ612" s="80">
        <f t="shared" si="248"/>
        <v>0</v>
      </c>
      <c r="BR612" s="80">
        <f t="shared" si="249"/>
        <v>0</v>
      </c>
      <c r="BS612" s="80">
        <f t="shared" si="250"/>
        <v>0</v>
      </c>
      <c r="BT612" s="80">
        <f t="shared" si="251"/>
        <v>0</v>
      </c>
      <c r="BU612" s="80">
        <f t="shared" si="252"/>
        <v>0</v>
      </c>
      <c r="BV612" s="80" t="str">
        <f>IFERROR(VLOOKUP($H612,'1. Set Program Names'!$B$2:$D$15,3,0)*V612,"NA")</f>
        <v>NA</v>
      </c>
      <c r="BW612" s="80" t="str">
        <f>IFERROR(VLOOKUP($H612,'1. Set Program Names'!$B$2:$D$15,3,0)*W612,"NA")</f>
        <v>NA</v>
      </c>
      <c r="BX612" s="80" t="str">
        <f>IFERROR(VLOOKUP($H612,'1. Set Program Names'!$B$2:$D$15,3,0)*X612,"NA")</f>
        <v>NA</v>
      </c>
      <c r="BY612" s="80" t="str">
        <f>IFERROR(VLOOKUP($H612,'1. Set Program Names'!$B$2:$D$15,3,0)*Y612,"NA")</f>
        <v>NA</v>
      </c>
      <c r="BZ612" s="80" t="str">
        <f>IFERROR(VLOOKUP($H612,'1. Set Program Names'!$B$2:$D$15,3,0)*Z612,"NA")</f>
        <v>NA</v>
      </c>
      <c r="CA612" s="80" t="str">
        <f>IFERROR(VLOOKUP($H612,'1. Set Program Names'!$B$2:$D$15,3,0)*AA612,"NA")</f>
        <v>NA</v>
      </c>
      <c r="CB612" s="80" t="str">
        <f>IFERROR(VLOOKUP($H612,'1. Set Program Names'!$B$2:$D$15,3,0)*AB612,"NA")</f>
        <v>NA</v>
      </c>
      <c r="CC612" s="80" t="str">
        <f>IFERROR(VLOOKUP($H612,'1. Set Program Names'!$B$2:$D$15,3,0)*AC612,"NA")</f>
        <v>NA</v>
      </c>
      <c r="CD612" s="80" t="str">
        <f>IFERROR(VLOOKUP($H612,'1. Set Program Names'!$B$2:$D$15,3,0)*AD612,"NA")</f>
        <v>NA</v>
      </c>
      <c r="CE612" s="80" t="str">
        <f>IFERROR(VLOOKUP($H612,'1. Set Program Names'!$B$2:$D$15,3,0)*AE612,"NA")</f>
        <v>NA</v>
      </c>
    </row>
    <row r="613" spans="1:83" x14ac:dyDescent="0.25">
      <c r="A613" s="79" t="s">
        <v>114</v>
      </c>
      <c r="B613" s="79" t="s">
        <v>88</v>
      </c>
      <c r="C613" s="79" t="s">
        <v>122</v>
      </c>
      <c r="D613" s="79" t="s">
        <v>90</v>
      </c>
      <c r="E613" s="79" t="s">
        <v>91</v>
      </c>
      <c r="F613" s="79" t="s">
        <v>90</v>
      </c>
      <c r="G613" s="79" t="s">
        <v>92</v>
      </c>
      <c r="H613" s="79" t="s">
        <v>268</v>
      </c>
      <c r="I613" s="79" t="s">
        <v>269</v>
      </c>
      <c r="J613" s="79" t="s">
        <v>144</v>
      </c>
      <c r="K613" s="79" t="s">
        <v>98</v>
      </c>
      <c r="L613" s="79">
        <v>114.663333333333</v>
      </c>
      <c r="M613" s="79">
        <v>9.9293177507311006E-3</v>
      </c>
      <c r="N613" s="79">
        <v>1.6498275913899602E-2</v>
      </c>
      <c r="O613" s="79">
        <v>32.906666666666602</v>
      </c>
      <c r="P613" s="79">
        <v>12.4845629759592</v>
      </c>
      <c r="Q613" s="79">
        <v>0.11466333333333301</v>
      </c>
      <c r="R613" s="79">
        <v>37.313940517924799</v>
      </c>
      <c r="S613" s="79">
        <v>94.317035346682403</v>
      </c>
      <c r="T613" s="79">
        <v>10</v>
      </c>
      <c r="U613" s="79">
        <v>1</v>
      </c>
      <c r="V613" s="79">
        <f>tbl_Data_old[[#This Row],[2025 ]]*IFERROR(AVERAGEIFS('Participation Adjustment'!$C:$C,'Participation Adjustment'!$A:$A,$H613,'Participation Adjustment'!$B:$B,$I613),1)</f>
        <v>1.5197081248850599</v>
      </c>
      <c r="W613" s="79">
        <f>tbl_Data_old[[#This Row],[2026 ]]*IFERROR(AVERAGEIFS('Participation Adjustment'!$C:$C,'Participation Adjustment'!$A:$A,$H613,'Participation Adjustment'!$B:$B,$I613),1)</f>
        <v>2.08587420921863</v>
      </c>
      <c r="X613" s="79">
        <f>tbl_Data_old[[#This Row],[2027 ]]*IFERROR(AVERAGEIFS('Participation Adjustment'!$C:$C,'Participation Adjustment'!$A:$A,$H613,'Participation Adjustment'!$B:$B,$I613),1)</f>
        <v>2.7765786985465502</v>
      </c>
      <c r="Y613" s="79">
        <f>tbl_Data_old[[#This Row],[2028 ]]*IFERROR(AVERAGEIFS('Participation Adjustment'!$C:$C,'Participation Adjustment'!$A:$A,$H613,'Participation Adjustment'!$B:$B,$I613),1)</f>
        <v>3.5831796356407901</v>
      </c>
      <c r="Z613" s="79">
        <f>tbl_Data_old[[#This Row],[2029 ]]*IFERROR(AVERAGEIFS('Participation Adjustment'!$C:$C,'Participation Adjustment'!$A:$A,$H613,'Participation Adjustment'!$B:$B,$I613),1)</f>
        <v>4.4397241372733696</v>
      </c>
      <c r="AA613" s="79">
        <f>tbl_Data_old[[#This Row],[2030 ]]*IFERROR(AVERAGEIFS('Participation Adjustment'!$C:$C,'Participation Adjustment'!$A:$A,$H613,'Participation Adjustment'!$B:$B,$I613),1)</f>
        <v>5.2133906511407204</v>
      </c>
      <c r="AB613" s="79">
        <f>tbl_Data_old[[#This Row],[2031 ]]*IFERROR(AVERAGEIFS('Participation Adjustment'!$C:$C,'Participation Adjustment'!$A:$A,$H613,'Participation Adjustment'!$B:$B,$I613),1)</f>
        <v>5.7312105311742396</v>
      </c>
      <c r="AC613" s="79">
        <f>tbl_Data_old[[#This Row],[2032 ]]*IFERROR(AVERAGEIFS('Participation Adjustment'!$C:$C,'Participation Adjustment'!$A:$A,$H613,'Participation Adjustment'!$B:$B,$I613),1)</f>
        <v>5.83100845579993</v>
      </c>
      <c r="AD613" s="79">
        <f>tbl_Data_old[[#This Row],[2033 ]]*IFERROR(AVERAGEIFS('Participation Adjustment'!$C:$C,'Participation Adjustment'!$A:$A,$H613,'Participation Adjustment'!$B:$B,$I613),1)</f>
        <v>5.4307655291693298</v>
      </c>
      <c r="AE613" s="79">
        <f>tbl_Data_old[[#This Row],[2034 ]]*IFERROR(AVERAGEIFS('Participation Adjustment'!$C:$C,'Participation Adjustment'!$A:$A,$H613,'Participation Adjustment'!$B:$B,$I613),1)</f>
        <v>4.6113783961783401</v>
      </c>
      <c r="AF613" s="77" t="str">
        <f t="shared" si="242"/>
        <v>NonResidential</v>
      </c>
      <c r="AG613" s="77" t="str">
        <f>tbl_Data[[#This Row],[All_Meas_Name_Append]]</f>
        <v>Low Flow Shower Head</v>
      </c>
      <c r="AH613" s="77">
        <f>AVERAGEIFS('3. Incentive Adjustment'!G:G,'3. Incentive Adjustment'!A:A,tbl_Data[[#This Row],[Trimmed Sector]],'3. Incentive Adjustment'!B:B,tbl_Data[[#This Row],[Trimmed Measure Name]])</f>
        <v>0.75029954061989002</v>
      </c>
      <c r="AI613" s="77">
        <f>$AH613*tbl_Data[[#This Row],[2025 ]]</f>
        <v>1.1402363079775748</v>
      </c>
      <c r="AJ613" s="77">
        <f>$AH613*tbl_Data[[#This Row],[2026 ]]</f>
        <v>1.5650304609676144</v>
      </c>
      <c r="AK613" s="77">
        <f>$AH613*tbl_Data[[#This Row],[2027 ]]</f>
        <v>2.0832657220144486</v>
      </c>
      <c r="AL613" s="77">
        <f>$AH613*tbl_Data[[#This Row],[2028 ]]</f>
        <v>2.6884580345798299</v>
      </c>
      <c r="AM613" s="77">
        <f>$AH613*tbl_Data[[#This Row],[2029 ]]</f>
        <v>3.3311229806752465</v>
      </c>
      <c r="AN613" s="77">
        <f>$AH613*tbl_Data[[#This Row],[2030 ]]</f>
        <v>3.9116046106229119</v>
      </c>
      <c r="AO613" s="77">
        <f>$AH613*tbl_Data[[#This Row],[2031 ]]</f>
        <v>4.3001246287359081</v>
      </c>
      <c r="AP613" s="77">
        <f>$AH613*tbl_Data[[#This Row],[2032 ]]</f>
        <v>4.3750029657373819</v>
      </c>
      <c r="AQ613" s="77">
        <f>$AH613*tbl_Data[[#This Row],[2033 ]]</f>
        <v>4.0747008817500818</v>
      </c>
      <c r="AR613" s="77">
        <f>$AH613*tbl_Data[[#This Row],[2034 ]]</f>
        <v>3.4599150922770936</v>
      </c>
      <c r="AS613" s="77">
        <f>SUM(tbl_Data[[#This Row],[Adjusted 2025]:[Adjusted 2034]])</f>
        <v>30.92946168533809</v>
      </c>
      <c r="AT613" s="80">
        <f>AVERAGEIFS('3. Incentive Adjustment'!F:F,'3. Incentive Adjustment'!A:A,tbl_Data[[#This Row],[Trimmed Sector]],'3. Incentive Adjustment'!B:B,tbl_Data[[#This Row],[Trimmed Measure Name]])</f>
        <v>0</v>
      </c>
      <c r="AU613" s="80">
        <f>IFERROR(VLOOKUP(tbl_Data[[#This Row],[All_Meas_Name_Append]],'IRA Tax Credits'!$A$3:$D$46,4,0),0)</f>
        <v>0</v>
      </c>
      <c r="AV613" s="81">
        <f>tbl_Data[[#This Row],[Adj. per unit Incentive ($)]]/tbl_Data[[#This Row],[kWh Savings]]*tbl_Data[[#This Row],[Sum of Annuals]]</f>
        <v>0</v>
      </c>
      <c r="AW613" s="81" t="str">
        <f>IFERROR(VLOOKUP(tbl_Data[[#This Row],[Column1]],'1. Set Program Names'!$B$2:$D$15,3,0)*tbl_Data[[#This Row],[Sum of Annuals]],"")</f>
        <v/>
      </c>
      <c r="AX613" s="81">
        <f>tbl_Data[[#This Row],[per unit IRA tax ($)]]/tbl_Data[[#This Row],[kWh Savings]]*tbl_Data[[#This Row],[Sum of Annuals]]</f>
        <v>0</v>
      </c>
      <c r="AY613" s="81">
        <f>tbl_Data[[#This Row],[Avoided Costs ($/unit)]]/tbl_Data[[#This Row],[kWh Savings]]*tbl_Data[[#This Row],[Sum of Annuals]]</f>
        <v>10.065118988152065</v>
      </c>
      <c r="AZ613" s="81">
        <f>tbl_Data[[#This Row],[Lost Revenue ($/unit)]]/tbl_Data[[#This Row],[kWh Savings]]*tbl_Data[[#This Row],[Sum of Annuals]]</f>
        <v>25.441220364224833</v>
      </c>
      <c r="BA613" s="81">
        <f>tbl_Data[[#This Row],[Incremental Cost ($/unit)]]/tbl_Data[[#This Row],[kWh Savings]]*tbl_Data[[#This Row],[Sum of Annuals]]</f>
        <v>8.8762942456948739</v>
      </c>
      <c r="BB613" s="77">
        <f>ROUNDUP(tbl_Data[[#This Row],[Adjusted 2025]]/$L613,0)</f>
        <v>1</v>
      </c>
      <c r="BC613" s="77">
        <f>ROUNDUP(tbl_Data[[#This Row],[Adjusted 2026]]/$L613,0)</f>
        <v>1</v>
      </c>
      <c r="BD613" s="77">
        <f>ROUNDUP(tbl_Data[[#This Row],[Adjusted 2027]]/$L613,0)</f>
        <v>1</v>
      </c>
      <c r="BE613" s="77">
        <f>ROUNDUP(tbl_Data[[#This Row],[Adjusted 2028]]/$L613,0)</f>
        <v>1</v>
      </c>
      <c r="BF613" s="77">
        <f>ROUNDUP(tbl_Data[[#This Row],[Adjusted 2029]]/$L613,0)</f>
        <v>1</v>
      </c>
      <c r="BG613" s="77">
        <f>ROUNDUP(tbl_Data[[#This Row],[Adjusted 2030]]/$L613,0)</f>
        <v>1</v>
      </c>
      <c r="BH613" s="77">
        <f>ROUNDUP(tbl_Data[[#This Row],[Adjusted 2031]]/$L613,0)</f>
        <v>1</v>
      </c>
      <c r="BI613" s="77">
        <f>ROUNDUP(tbl_Data[[#This Row],[Adjusted 2032]]/$L613,0)</f>
        <v>1</v>
      </c>
      <c r="BJ613" s="77">
        <f>ROUNDUP(tbl_Data[[#This Row],[Adjusted 2033]]/$L613,0)</f>
        <v>1</v>
      </c>
      <c r="BK613" s="77">
        <f>ROUNDUP(tbl_Data[[#This Row],[Adjusted 2034]]/$L613,0)</f>
        <v>1</v>
      </c>
      <c r="BL613" s="80">
        <f t="shared" si="243"/>
        <v>0</v>
      </c>
      <c r="BM613" s="80">
        <f t="shared" si="244"/>
        <v>0</v>
      </c>
      <c r="BN613" s="80">
        <f t="shared" si="245"/>
        <v>0</v>
      </c>
      <c r="BO613" s="80">
        <f t="shared" si="246"/>
        <v>0</v>
      </c>
      <c r="BP613" s="80">
        <f t="shared" si="247"/>
        <v>0</v>
      </c>
      <c r="BQ613" s="80">
        <f t="shared" si="248"/>
        <v>0</v>
      </c>
      <c r="BR613" s="80">
        <f t="shared" si="249"/>
        <v>0</v>
      </c>
      <c r="BS613" s="80">
        <f t="shared" si="250"/>
        <v>0</v>
      </c>
      <c r="BT613" s="80">
        <f t="shared" si="251"/>
        <v>0</v>
      </c>
      <c r="BU613" s="80">
        <f t="shared" si="252"/>
        <v>0</v>
      </c>
      <c r="BV613" s="80" t="str">
        <f>IFERROR(VLOOKUP($H613,'1. Set Program Names'!$B$2:$D$15,3,0)*V613,"NA")</f>
        <v>NA</v>
      </c>
      <c r="BW613" s="80" t="str">
        <f>IFERROR(VLOOKUP($H613,'1. Set Program Names'!$B$2:$D$15,3,0)*W613,"NA")</f>
        <v>NA</v>
      </c>
      <c r="BX613" s="80" t="str">
        <f>IFERROR(VLOOKUP($H613,'1. Set Program Names'!$B$2:$D$15,3,0)*X613,"NA")</f>
        <v>NA</v>
      </c>
      <c r="BY613" s="80" t="str">
        <f>IFERROR(VLOOKUP($H613,'1. Set Program Names'!$B$2:$D$15,3,0)*Y613,"NA")</f>
        <v>NA</v>
      </c>
      <c r="BZ613" s="80" t="str">
        <f>IFERROR(VLOOKUP($H613,'1. Set Program Names'!$B$2:$D$15,3,0)*Z613,"NA")</f>
        <v>NA</v>
      </c>
      <c r="CA613" s="80" t="str">
        <f>IFERROR(VLOOKUP($H613,'1. Set Program Names'!$B$2:$D$15,3,0)*AA613,"NA")</f>
        <v>NA</v>
      </c>
      <c r="CB613" s="80" t="str">
        <f>IFERROR(VLOOKUP($H613,'1. Set Program Names'!$B$2:$D$15,3,0)*AB613,"NA")</f>
        <v>NA</v>
      </c>
      <c r="CC613" s="80" t="str">
        <f>IFERROR(VLOOKUP($H613,'1. Set Program Names'!$B$2:$D$15,3,0)*AC613,"NA")</f>
        <v>NA</v>
      </c>
      <c r="CD613" s="80" t="str">
        <f>IFERROR(VLOOKUP($H613,'1. Set Program Names'!$B$2:$D$15,3,0)*AD613,"NA")</f>
        <v>NA</v>
      </c>
      <c r="CE613" s="80" t="str">
        <f>IFERROR(VLOOKUP($H613,'1. Set Program Names'!$B$2:$D$15,3,0)*AE613,"NA")</f>
        <v>NA</v>
      </c>
    </row>
    <row r="614" spans="1:83" x14ac:dyDescent="0.25">
      <c r="A614" s="79" t="s">
        <v>114</v>
      </c>
      <c r="B614" s="79" t="s">
        <v>88</v>
      </c>
      <c r="C614" s="79" t="s">
        <v>122</v>
      </c>
      <c r="D614" s="79" t="s">
        <v>90</v>
      </c>
      <c r="E614" s="79" t="s">
        <v>91</v>
      </c>
      <c r="F614" s="79" t="s">
        <v>90</v>
      </c>
      <c r="G614" s="79" t="s">
        <v>92</v>
      </c>
      <c r="H614" s="79" t="s">
        <v>268</v>
      </c>
      <c r="I614" s="79" t="s">
        <v>151</v>
      </c>
      <c r="J614" s="79" t="s">
        <v>137</v>
      </c>
      <c r="K614" s="79" t="s">
        <v>152</v>
      </c>
      <c r="L614" s="79">
        <v>746</v>
      </c>
      <c r="M614" s="79">
        <v>0.118390986607413</v>
      </c>
      <c r="N614" s="79">
        <v>0.122042488273403</v>
      </c>
      <c r="O614" s="79">
        <v>233.28</v>
      </c>
      <c r="P614" s="79">
        <v>79.822614261305304</v>
      </c>
      <c r="Q614" s="79">
        <v>0.746</v>
      </c>
      <c r="R614" s="79">
        <v>287.47532526616499</v>
      </c>
      <c r="S614" s="79">
        <v>613.62692260203801</v>
      </c>
      <c r="T614" s="79">
        <v>10</v>
      </c>
      <c r="U614" s="79">
        <v>1</v>
      </c>
      <c r="V614" s="79">
        <f>tbl_Data_old[[#This Row],[2025 ]]*IFERROR(AVERAGEIFS('Participation Adjustment'!$C:$C,'Participation Adjustment'!$A:$A,$H614,'Participation Adjustment'!$B:$B,$I614),1)</f>
        <v>3.7860818242195502</v>
      </c>
      <c r="W614" s="79">
        <f>tbl_Data_old[[#This Row],[2026 ]]*IFERROR(AVERAGEIFS('Participation Adjustment'!$C:$C,'Participation Adjustment'!$A:$A,$H614,'Participation Adjustment'!$B:$B,$I614),1)</f>
        <v>4.5238847844844896</v>
      </c>
      <c r="X614" s="79">
        <f>tbl_Data_old[[#This Row],[2027 ]]*IFERROR(AVERAGEIFS('Participation Adjustment'!$C:$C,'Participation Adjustment'!$A:$A,$H614,'Participation Adjustment'!$B:$B,$I614),1)</f>
        <v>5.3150061290533603</v>
      </c>
      <c r="Y614" s="79">
        <f>tbl_Data_old[[#This Row],[2028 ]]*IFERROR(AVERAGEIFS('Participation Adjustment'!$C:$C,'Participation Adjustment'!$A:$A,$H614,'Participation Adjustment'!$B:$B,$I614),1)</f>
        <v>6.1800627819916203</v>
      </c>
      <c r="Z614" s="79">
        <f>tbl_Data_old[[#This Row],[2029 ]]*IFERROR(AVERAGEIFS('Participation Adjustment'!$C:$C,'Participation Adjustment'!$A:$A,$H614,'Participation Adjustment'!$B:$B,$I614),1)</f>
        <v>7.10670551001345</v>
      </c>
      <c r="AA614" s="79">
        <f>tbl_Data_old[[#This Row],[2030 ]]*IFERROR(AVERAGEIFS('Participation Adjustment'!$C:$C,'Participation Adjustment'!$A:$A,$H614,'Participation Adjustment'!$B:$B,$I614),1)</f>
        <v>8.06981106851687</v>
      </c>
      <c r="AB614" s="79">
        <f>tbl_Data_old[[#This Row],[2031 ]]*IFERROR(AVERAGEIFS('Participation Adjustment'!$C:$C,'Participation Adjustment'!$A:$A,$H614,'Participation Adjustment'!$B:$B,$I614),1)</f>
        <v>9.0569668075072194</v>
      </c>
      <c r="AC614" s="79">
        <f>tbl_Data_old[[#This Row],[2032 ]]*IFERROR(AVERAGEIFS('Participation Adjustment'!$C:$C,'Participation Adjustment'!$A:$A,$H614,'Participation Adjustment'!$B:$B,$I614),1)</f>
        <v>10.0689444132147</v>
      </c>
      <c r="AD614" s="79">
        <f>tbl_Data_old[[#This Row],[2033 ]]*IFERROR(AVERAGEIFS('Participation Adjustment'!$C:$C,'Participation Adjustment'!$A:$A,$H614,'Participation Adjustment'!$B:$B,$I614),1)</f>
        <v>11.0901933751313</v>
      </c>
      <c r="AE614" s="79">
        <f>tbl_Data_old[[#This Row],[2034 ]]*IFERROR(AVERAGEIFS('Participation Adjustment'!$C:$C,'Participation Adjustment'!$A:$A,$H614,'Participation Adjustment'!$B:$B,$I614),1)</f>
        <v>12.097885486641401</v>
      </c>
      <c r="AF614" s="77" t="str">
        <f t="shared" si="242"/>
        <v>NonResidential</v>
      </c>
      <c r="AG614" s="77" t="str">
        <f>tbl_Data[[#This Row],[All_Meas_Name_Append]]</f>
        <v>Ozone Laundry Commercial</v>
      </c>
      <c r="AH614" s="77">
        <f>AVERAGEIFS('3. Incentive Adjustment'!G:G,'3. Incentive Adjustment'!A:A,tbl_Data[[#This Row],[Trimmed Sector]],'3. Incentive Adjustment'!B:B,tbl_Data[[#This Row],[Trimmed Measure Name]])</f>
        <v>0.75402928491932286</v>
      </c>
      <c r="AI614" s="77">
        <f>$AH614*tbl_Data[[#This Row],[2025 ]]</f>
        <v>2.854816570562313</v>
      </c>
      <c r="AJ614" s="77">
        <f>$AH614*tbl_Data[[#This Row],[2026 ]]</f>
        <v>3.4111416091022448</v>
      </c>
      <c r="AK614" s="77">
        <f>$AH614*tbl_Data[[#This Row],[2027 ]]</f>
        <v>4.0076702708319232</v>
      </c>
      <c r="AL614" s="77">
        <f>$AH614*tbl_Data[[#This Row],[2028 ]]</f>
        <v>4.6599483202616625</v>
      </c>
      <c r="AM614" s="77">
        <f>$AH614*tbl_Data[[#This Row],[2029 ]]</f>
        <v>5.3586640738476534</v>
      </c>
      <c r="AN614" s="77">
        <f>$AH614*tbl_Data[[#This Row],[2030 ]]</f>
        <v>6.0848738694278124</v>
      </c>
      <c r="AO614" s="77">
        <f>$AH614*tbl_Data[[#This Row],[2031 ]]</f>
        <v>6.8292182054027109</v>
      </c>
      <c r="AP614" s="77">
        <f>$AH614*tbl_Data[[#This Row],[2032 ]]</f>
        <v>7.5922789557886912</v>
      </c>
      <c r="AQ614" s="77">
        <f>$AH614*tbl_Data[[#This Row],[2033 ]]</f>
        <v>8.3623305802672654</v>
      </c>
      <c r="AR614" s="77">
        <f>$AH614*tbl_Data[[#This Row],[2034 ]]</f>
        <v>9.1221599425280697</v>
      </c>
      <c r="AS614" s="77">
        <f>SUM(tbl_Data[[#This Row],[Adjusted 2025]:[Adjusted 2034]])</f>
        <v>58.283102398020347</v>
      </c>
      <c r="AT614" s="80">
        <f>AVERAGEIFS('3. Incentive Adjustment'!F:F,'3. Incentive Adjustment'!A:A,tbl_Data[[#This Row],[Trimmed Sector]],'3. Incentive Adjustment'!B:B,tbl_Data[[#This Row],[Trimmed Measure Name]])</f>
        <v>0</v>
      </c>
      <c r="AU614" s="80">
        <f>IFERROR(VLOOKUP(tbl_Data[[#This Row],[All_Meas_Name_Append]],'IRA Tax Credits'!$A$3:$D$46,4,0),0)</f>
        <v>0</v>
      </c>
      <c r="AV614" s="81">
        <f>tbl_Data[[#This Row],[Adj. per unit Incentive ($)]]/tbl_Data[[#This Row],[kWh Savings]]*tbl_Data[[#This Row],[Sum of Annuals]]</f>
        <v>0</v>
      </c>
      <c r="AW614" s="81" t="str">
        <f>IFERROR(VLOOKUP(tbl_Data[[#This Row],[Column1]],'1. Set Program Names'!$B$2:$D$15,3,0)*tbl_Data[[#This Row],[Sum of Annuals]],"")</f>
        <v/>
      </c>
      <c r="AX614" s="81">
        <f>tbl_Data[[#This Row],[per unit IRA tax ($)]]/tbl_Data[[#This Row],[kWh Savings]]*tbl_Data[[#This Row],[Sum of Annuals]]</f>
        <v>0</v>
      </c>
      <c r="AY614" s="81">
        <f>tbl_Data[[#This Row],[Avoided Costs ($/unit)]]/tbl_Data[[#This Row],[kWh Savings]]*tbl_Data[[#This Row],[Sum of Annuals]]</f>
        <v>22.45972361848807</v>
      </c>
      <c r="AZ614" s="81">
        <f>tbl_Data[[#This Row],[Lost Revenue ($/unit)]]/tbl_Data[[#This Row],[kWh Savings]]*tbl_Data[[#This Row],[Sum of Annuals]]</f>
        <v>47.941127029754277</v>
      </c>
      <c r="BA614" s="81">
        <f>tbl_Data[[#This Row],[Incremental Cost ($/unit)]]/tbl_Data[[#This Row],[kWh Savings]]*tbl_Data[[#This Row],[Sum of Annuals]]</f>
        <v>18.225579259262986</v>
      </c>
      <c r="BB614" s="77">
        <f>ROUNDUP(tbl_Data[[#This Row],[Adjusted 2025]]/$L614,0)</f>
        <v>1</v>
      </c>
      <c r="BC614" s="77">
        <f>ROUNDUP(tbl_Data[[#This Row],[Adjusted 2026]]/$L614,0)</f>
        <v>1</v>
      </c>
      <c r="BD614" s="77">
        <f>ROUNDUP(tbl_Data[[#This Row],[Adjusted 2027]]/$L614,0)</f>
        <v>1</v>
      </c>
      <c r="BE614" s="77">
        <f>ROUNDUP(tbl_Data[[#This Row],[Adjusted 2028]]/$L614,0)</f>
        <v>1</v>
      </c>
      <c r="BF614" s="77">
        <f>ROUNDUP(tbl_Data[[#This Row],[Adjusted 2029]]/$L614,0)</f>
        <v>1</v>
      </c>
      <c r="BG614" s="77">
        <f>ROUNDUP(tbl_Data[[#This Row],[Adjusted 2030]]/$L614,0)</f>
        <v>1</v>
      </c>
      <c r="BH614" s="77">
        <f>ROUNDUP(tbl_Data[[#This Row],[Adjusted 2031]]/$L614,0)</f>
        <v>1</v>
      </c>
      <c r="BI614" s="77">
        <f>ROUNDUP(tbl_Data[[#This Row],[Adjusted 2032]]/$L614,0)</f>
        <v>1</v>
      </c>
      <c r="BJ614" s="77">
        <f>ROUNDUP(tbl_Data[[#This Row],[Adjusted 2033]]/$L614,0)</f>
        <v>1</v>
      </c>
      <c r="BK614" s="77">
        <f>ROUNDUP(tbl_Data[[#This Row],[Adjusted 2034]]/$L614,0)</f>
        <v>1</v>
      </c>
      <c r="BL614" s="80">
        <f t="shared" si="243"/>
        <v>0</v>
      </c>
      <c r="BM614" s="80">
        <f t="shared" si="244"/>
        <v>0</v>
      </c>
      <c r="BN614" s="80">
        <f t="shared" si="245"/>
        <v>0</v>
      </c>
      <c r="BO614" s="80">
        <f t="shared" si="246"/>
        <v>0</v>
      </c>
      <c r="BP614" s="80">
        <f t="shared" si="247"/>
        <v>0</v>
      </c>
      <c r="BQ614" s="80">
        <f t="shared" si="248"/>
        <v>0</v>
      </c>
      <c r="BR614" s="80">
        <f t="shared" si="249"/>
        <v>0</v>
      </c>
      <c r="BS614" s="80">
        <f t="shared" si="250"/>
        <v>0</v>
      </c>
      <c r="BT614" s="80">
        <f t="shared" si="251"/>
        <v>0</v>
      </c>
      <c r="BU614" s="80">
        <f t="shared" si="252"/>
        <v>0</v>
      </c>
      <c r="BV614" s="80" t="str">
        <f>IFERROR(VLOOKUP($H614,'1. Set Program Names'!$B$2:$D$15,3,0)*V614,"NA")</f>
        <v>NA</v>
      </c>
      <c r="BW614" s="80" t="str">
        <f>IFERROR(VLOOKUP($H614,'1. Set Program Names'!$B$2:$D$15,3,0)*W614,"NA")</f>
        <v>NA</v>
      </c>
      <c r="BX614" s="80" t="str">
        <f>IFERROR(VLOOKUP($H614,'1. Set Program Names'!$B$2:$D$15,3,0)*X614,"NA")</f>
        <v>NA</v>
      </c>
      <c r="BY614" s="80" t="str">
        <f>IFERROR(VLOOKUP($H614,'1. Set Program Names'!$B$2:$D$15,3,0)*Y614,"NA")</f>
        <v>NA</v>
      </c>
      <c r="BZ614" s="80" t="str">
        <f>IFERROR(VLOOKUP($H614,'1. Set Program Names'!$B$2:$D$15,3,0)*Z614,"NA")</f>
        <v>NA</v>
      </c>
      <c r="CA614" s="80" t="str">
        <f>IFERROR(VLOOKUP($H614,'1. Set Program Names'!$B$2:$D$15,3,0)*AA614,"NA")</f>
        <v>NA</v>
      </c>
      <c r="CB614" s="80" t="str">
        <f>IFERROR(VLOOKUP($H614,'1. Set Program Names'!$B$2:$D$15,3,0)*AB614,"NA")</f>
        <v>NA</v>
      </c>
      <c r="CC614" s="80" t="str">
        <f>IFERROR(VLOOKUP($H614,'1. Set Program Names'!$B$2:$D$15,3,0)*AC614,"NA")</f>
        <v>NA</v>
      </c>
      <c r="CD614" s="80" t="str">
        <f>IFERROR(VLOOKUP($H614,'1. Set Program Names'!$B$2:$D$15,3,0)*AD614,"NA")</f>
        <v>NA</v>
      </c>
      <c r="CE614" s="80" t="str">
        <f>IFERROR(VLOOKUP($H614,'1. Set Program Names'!$B$2:$D$15,3,0)*AE614,"NA")</f>
        <v>NA</v>
      </c>
    </row>
    <row r="615" spans="1:83" x14ac:dyDescent="0.25">
      <c r="A615" s="79" t="s">
        <v>114</v>
      </c>
      <c r="B615" s="79" t="s">
        <v>88</v>
      </c>
      <c r="C615" s="79" t="s">
        <v>122</v>
      </c>
      <c r="D615" s="79" t="s">
        <v>90</v>
      </c>
      <c r="E615" s="79" t="s">
        <v>91</v>
      </c>
      <c r="F615" s="79" t="s">
        <v>90</v>
      </c>
      <c r="G615" s="79" t="s">
        <v>92</v>
      </c>
      <c r="H615" s="79" t="s">
        <v>268</v>
      </c>
      <c r="I615" s="79" t="s">
        <v>153</v>
      </c>
      <c r="J615" s="79" t="s">
        <v>129</v>
      </c>
      <c r="K615" s="79" t="s">
        <v>102</v>
      </c>
      <c r="L615" s="79">
        <v>1285.73999999999</v>
      </c>
      <c r="M615" s="79">
        <v>0.191067583335012</v>
      </c>
      <c r="N615" s="79">
        <v>3.6175165669598698E-2</v>
      </c>
      <c r="O615" s="79">
        <v>304.38999999999902</v>
      </c>
      <c r="P615" s="79">
        <v>39.904344316796902</v>
      </c>
      <c r="Q615" s="79">
        <v>1.2857399999999899</v>
      </c>
      <c r="R615" s="79">
        <v>497.118469789904</v>
      </c>
      <c r="S615" s="79">
        <v>1133.43981342083</v>
      </c>
      <c r="T615" s="79">
        <v>11</v>
      </c>
      <c r="U615" s="79">
        <v>1</v>
      </c>
      <c r="V615" s="79">
        <f>tbl_Data_old[[#This Row],[2025 ]]*IFERROR(AVERAGEIFS('Participation Adjustment'!$C:$C,'Participation Adjustment'!$A:$A,$H615,'Participation Adjustment'!$B:$B,$I615),1)</f>
        <v>0.17955454679170299</v>
      </c>
      <c r="W615" s="79">
        <f>tbl_Data_old[[#This Row],[2026 ]]*IFERROR(AVERAGEIFS('Participation Adjustment'!$C:$C,'Participation Adjustment'!$A:$A,$H615,'Participation Adjustment'!$B:$B,$I615),1)</f>
        <v>0.14993883451183099</v>
      </c>
      <c r="X615" s="79">
        <f>tbl_Data_old[[#This Row],[2027 ]]*IFERROR(AVERAGEIFS('Participation Adjustment'!$C:$C,'Participation Adjustment'!$A:$A,$H615,'Participation Adjustment'!$B:$B,$I615),1)</f>
        <v>0.124314391350106</v>
      </c>
      <c r="Y615" s="79">
        <f>tbl_Data_old[[#This Row],[2028 ]]*IFERROR(AVERAGEIFS('Participation Adjustment'!$C:$C,'Participation Adjustment'!$A:$A,$H615,'Participation Adjustment'!$B:$B,$I615),1)</f>
        <v>0.103304408513007</v>
      </c>
      <c r="Z615" s="79">
        <f>tbl_Data_old[[#This Row],[2029 ]]*IFERROR(AVERAGEIFS('Participation Adjustment'!$C:$C,'Participation Adjustment'!$A:$A,$H615,'Participation Adjustment'!$B:$B,$I615),1)</f>
        <v>8.6097820795206101E-2</v>
      </c>
      <c r="AA615" s="79">
        <f>tbl_Data_old[[#This Row],[2030 ]]*IFERROR(AVERAGEIFS('Participation Adjustment'!$C:$C,'Participation Adjustment'!$A:$A,$H615,'Participation Adjustment'!$B:$B,$I615),1)</f>
        <v>7.1965276401995196E-2</v>
      </c>
      <c r="AB615" s="79">
        <f>tbl_Data_old[[#This Row],[2031 ]]*IFERROR(AVERAGEIFS('Participation Adjustment'!$C:$C,'Participation Adjustment'!$A:$A,$H615,'Participation Adjustment'!$B:$B,$I615),1)</f>
        <v>6.0423614328950499E-2</v>
      </c>
      <c r="AC615" s="79">
        <f>tbl_Data_old[[#This Row],[2032 ]]*IFERROR(AVERAGEIFS('Participation Adjustment'!$C:$C,'Participation Adjustment'!$A:$A,$H615,'Participation Adjustment'!$B:$B,$I615),1)</f>
        <v>5.1110392271096497E-2</v>
      </c>
      <c r="AD615" s="79">
        <f>tbl_Data_old[[#This Row],[2033 ]]*IFERROR(AVERAGEIFS('Participation Adjustment'!$C:$C,'Participation Adjustment'!$A:$A,$H615,'Participation Adjustment'!$B:$B,$I615),1)</f>
        <v>4.3687024550551401E-2</v>
      </c>
      <c r="AE615" s="79">
        <f>tbl_Data_old[[#This Row],[2034 ]]*IFERROR(AVERAGEIFS('Participation Adjustment'!$C:$C,'Participation Adjustment'!$A:$A,$H615,'Participation Adjustment'!$B:$B,$I615),1)</f>
        <v>3.7670499868717601E-2</v>
      </c>
      <c r="AF615" s="77" t="str">
        <f t="shared" si="242"/>
        <v>NonResidential</v>
      </c>
      <c r="AG615" s="77" t="str">
        <f>tbl_Data[[#This Row],[All_Meas_Name_Append]]</f>
        <v>Programmable thermostat</v>
      </c>
      <c r="AH615" s="77">
        <f>AVERAGEIFS('3. Incentive Adjustment'!G:G,'3. Incentive Adjustment'!A:A,tbl_Data[[#This Row],[Trimmed Sector]],'3. Incentive Adjustment'!B:B,tbl_Data[[#This Row],[Trimmed Measure Name]])</f>
        <v>0.92137383531364503</v>
      </c>
      <c r="AI615" s="77">
        <f>$AH615*tbl_Data[[#This Row],[2025 ]]</f>
        <v>0.16543686142547473</v>
      </c>
      <c r="AJ615" s="77">
        <f>$AH615*tbl_Data[[#This Row],[2026 ]]</f>
        <v>0.13814971901662365</v>
      </c>
      <c r="AK615" s="77">
        <f>$AH615*tbl_Data[[#This Row],[2027 ]]</f>
        <v>0.11454002754292858</v>
      </c>
      <c r="AL615" s="77">
        <f>$AH615*tbl_Data[[#This Row],[2028 ]]</f>
        <v>9.5181979076436815E-2</v>
      </c>
      <c r="AM615" s="77">
        <f>$AH615*tbl_Data[[#This Row],[2029 ]]</f>
        <v>7.932827935822595E-2</v>
      </c>
      <c r="AN615" s="77">
        <f>$AH615*tbl_Data[[#This Row],[2030 ]]</f>
        <v>6.6306922727912873E-2</v>
      </c>
      <c r="AO615" s="77">
        <f>$AH615*tbl_Data[[#This Row],[2031 ]]</f>
        <v>5.5672737277777641E-2</v>
      </c>
      <c r="AP615" s="77">
        <f>$AH615*tbl_Data[[#This Row],[2032 ]]</f>
        <v>4.7091778151205056E-2</v>
      </c>
      <c r="AQ615" s="77">
        <f>$AH615*tbl_Data[[#This Row],[2033 ]]</f>
        <v>4.0252081363582916E-2</v>
      </c>
      <c r="AR615" s="77">
        <f>$AH615*tbl_Data[[#This Row],[2034 ]]</f>
        <v>3.4708612942222494E-2</v>
      </c>
      <c r="AS615" s="77">
        <f>SUM(tbl_Data[[#This Row],[Adjusted 2025]:[Adjusted 2034]])</f>
        <v>0.83666899888239066</v>
      </c>
      <c r="AT615" s="80">
        <f>AVERAGEIFS('3. Incentive Adjustment'!F:F,'3. Incentive Adjustment'!A:A,tbl_Data[[#This Row],[Trimmed Sector]],'3. Incentive Adjustment'!B:B,tbl_Data[[#This Row],[Trimmed Measure Name]])</f>
        <v>0</v>
      </c>
      <c r="AU615" s="80">
        <f>IFERROR(VLOOKUP(tbl_Data[[#This Row],[All_Meas_Name_Append]],'IRA Tax Credits'!$A$3:$D$46,4,0),0)</f>
        <v>0</v>
      </c>
      <c r="AV615" s="81">
        <f>tbl_Data[[#This Row],[Adj. per unit Incentive ($)]]/tbl_Data[[#This Row],[kWh Savings]]*tbl_Data[[#This Row],[Sum of Annuals]]</f>
        <v>0</v>
      </c>
      <c r="AW615" s="81" t="str">
        <f>IFERROR(VLOOKUP(tbl_Data[[#This Row],[Column1]],'1. Set Program Names'!$B$2:$D$15,3,0)*tbl_Data[[#This Row],[Sum of Annuals]],"")</f>
        <v/>
      </c>
      <c r="AX615" s="81">
        <f>tbl_Data[[#This Row],[per unit IRA tax ($)]]/tbl_Data[[#This Row],[kWh Savings]]*tbl_Data[[#This Row],[Sum of Annuals]]</f>
        <v>0</v>
      </c>
      <c r="AY615" s="81">
        <f>tbl_Data[[#This Row],[Avoided Costs ($/unit)]]/tbl_Data[[#This Row],[kWh Savings]]*tbl_Data[[#This Row],[Sum of Annuals]]</f>
        <v>0.32348967321936645</v>
      </c>
      <c r="AZ615" s="81">
        <f>tbl_Data[[#This Row],[Lost Revenue ($/unit)]]/tbl_Data[[#This Row],[kWh Savings]]*tbl_Data[[#This Row],[Sum of Annuals]]</f>
        <v>0.73756276851327396</v>
      </c>
      <c r="BA615" s="81">
        <f>tbl_Data[[#This Row],[Incremental Cost ($/unit)]]/tbl_Data[[#This Row],[kWh Savings]]*tbl_Data[[#This Row],[Sum of Annuals]]</f>
        <v>0.19807556470967075</v>
      </c>
      <c r="BB615" s="77">
        <f>ROUNDUP(tbl_Data[[#This Row],[Adjusted 2025]]/$L615,0)</f>
        <v>1</v>
      </c>
      <c r="BC615" s="77">
        <f>ROUNDUP(tbl_Data[[#This Row],[Adjusted 2026]]/$L615,0)</f>
        <v>1</v>
      </c>
      <c r="BD615" s="77">
        <f>ROUNDUP(tbl_Data[[#This Row],[Adjusted 2027]]/$L615,0)</f>
        <v>1</v>
      </c>
      <c r="BE615" s="77">
        <f>ROUNDUP(tbl_Data[[#This Row],[Adjusted 2028]]/$L615,0)</f>
        <v>1</v>
      </c>
      <c r="BF615" s="77">
        <f>ROUNDUP(tbl_Data[[#This Row],[Adjusted 2029]]/$L615,0)</f>
        <v>1</v>
      </c>
      <c r="BG615" s="77">
        <f>ROUNDUP(tbl_Data[[#This Row],[Adjusted 2030]]/$L615,0)</f>
        <v>1</v>
      </c>
      <c r="BH615" s="77">
        <f>ROUNDUP(tbl_Data[[#This Row],[Adjusted 2031]]/$L615,0)</f>
        <v>1</v>
      </c>
      <c r="BI615" s="77">
        <f>ROUNDUP(tbl_Data[[#This Row],[Adjusted 2032]]/$L615,0)</f>
        <v>1</v>
      </c>
      <c r="BJ615" s="77">
        <f>ROUNDUP(tbl_Data[[#This Row],[Adjusted 2033]]/$L615,0)</f>
        <v>1</v>
      </c>
      <c r="BK615" s="77">
        <f>ROUNDUP(tbl_Data[[#This Row],[Adjusted 2034]]/$L615,0)</f>
        <v>1</v>
      </c>
      <c r="BL615" s="80">
        <f t="shared" si="243"/>
        <v>0</v>
      </c>
      <c r="BM615" s="80">
        <f t="shared" si="244"/>
        <v>0</v>
      </c>
      <c r="BN615" s="80">
        <f t="shared" si="245"/>
        <v>0</v>
      </c>
      <c r="BO615" s="80">
        <f t="shared" si="246"/>
        <v>0</v>
      </c>
      <c r="BP615" s="80">
        <f t="shared" si="247"/>
        <v>0</v>
      </c>
      <c r="BQ615" s="80">
        <f t="shared" si="248"/>
        <v>0</v>
      </c>
      <c r="BR615" s="80">
        <f t="shared" si="249"/>
        <v>0</v>
      </c>
      <c r="BS615" s="80">
        <f t="shared" si="250"/>
        <v>0</v>
      </c>
      <c r="BT615" s="80">
        <f t="shared" si="251"/>
        <v>0</v>
      </c>
      <c r="BU615" s="80">
        <f t="shared" si="252"/>
        <v>0</v>
      </c>
      <c r="BV615" s="80" t="str">
        <f>IFERROR(VLOOKUP($H615,'1. Set Program Names'!$B$2:$D$15,3,0)*V615,"NA")</f>
        <v>NA</v>
      </c>
      <c r="BW615" s="80" t="str">
        <f>IFERROR(VLOOKUP($H615,'1. Set Program Names'!$B$2:$D$15,3,0)*W615,"NA")</f>
        <v>NA</v>
      </c>
      <c r="BX615" s="80" t="str">
        <f>IFERROR(VLOOKUP($H615,'1. Set Program Names'!$B$2:$D$15,3,0)*X615,"NA")</f>
        <v>NA</v>
      </c>
      <c r="BY615" s="80" t="str">
        <f>IFERROR(VLOOKUP($H615,'1. Set Program Names'!$B$2:$D$15,3,0)*Y615,"NA")</f>
        <v>NA</v>
      </c>
      <c r="BZ615" s="80" t="str">
        <f>IFERROR(VLOOKUP($H615,'1. Set Program Names'!$B$2:$D$15,3,0)*Z615,"NA")</f>
        <v>NA</v>
      </c>
      <c r="CA615" s="80" t="str">
        <f>IFERROR(VLOOKUP($H615,'1. Set Program Names'!$B$2:$D$15,3,0)*AA615,"NA")</f>
        <v>NA</v>
      </c>
      <c r="CB615" s="80" t="str">
        <f>IFERROR(VLOOKUP($H615,'1. Set Program Names'!$B$2:$D$15,3,0)*AB615,"NA")</f>
        <v>NA</v>
      </c>
      <c r="CC615" s="80" t="str">
        <f>IFERROR(VLOOKUP($H615,'1. Set Program Names'!$B$2:$D$15,3,0)*AC615,"NA")</f>
        <v>NA</v>
      </c>
      <c r="CD615" s="80" t="str">
        <f>IFERROR(VLOOKUP($H615,'1. Set Program Names'!$B$2:$D$15,3,0)*AD615,"NA")</f>
        <v>NA</v>
      </c>
      <c r="CE615" s="80" t="str">
        <f>IFERROR(VLOOKUP($H615,'1. Set Program Names'!$B$2:$D$15,3,0)*AE615,"NA")</f>
        <v>NA</v>
      </c>
    </row>
    <row r="616" spans="1:83" x14ac:dyDescent="0.25">
      <c r="A616" s="79" t="s">
        <v>114</v>
      </c>
      <c r="B616" s="79" t="s">
        <v>88</v>
      </c>
      <c r="C616" s="79" t="s">
        <v>122</v>
      </c>
      <c r="D616" s="79" t="s">
        <v>90</v>
      </c>
      <c r="E616" s="79" t="s">
        <v>91</v>
      </c>
      <c r="F616" s="79" t="s">
        <v>90</v>
      </c>
      <c r="G616" s="79" t="s">
        <v>92</v>
      </c>
      <c r="H616" s="79" t="s">
        <v>268</v>
      </c>
      <c r="I616" s="79" t="s">
        <v>156</v>
      </c>
      <c r="J616" s="79" t="s">
        <v>129</v>
      </c>
      <c r="K616" s="79" t="s">
        <v>102</v>
      </c>
      <c r="L616" s="79">
        <v>1074.99714285714</v>
      </c>
      <c r="M616" s="79">
        <v>0.35483647389159401</v>
      </c>
      <c r="N616" s="79">
        <v>2.1679791501885101E-3</v>
      </c>
      <c r="O616" s="79">
        <v>322.49999999999898</v>
      </c>
      <c r="P616" s="79">
        <v>112.47094868606101</v>
      </c>
      <c r="Q616" s="79">
        <v>1.0749971428571401</v>
      </c>
      <c r="R616" s="79">
        <v>593.31352847936103</v>
      </c>
      <c r="S616" s="79">
        <v>1167.57597203707</v>
      </c>
      <c r="T616" s="79">
        <v>15</v>
      </c>
      <c r="U616" s="79">
        <v>1</v>
      </c>
      <c r="V616" s="79">
        <f>tbl_Data_old[[#This Row],[2025 ]]*IFERROR(AVERAGEIFS('Participation Adjustment'!$C:$C,'Participation Adjustment'!$A:$A,$H616,'Participation Adjustment'!$B:$B,$I616),1)</f>
        <v>37.903333630167303</v>
      </c>
      <c r="W616" s="79">
        <f>tbl_Data_old[[#This Row],[2026 ]]*IFERROR(AVERAGEIFS('Participation Adjustment'!$C:$C,'Participation Adjustment'!$A:$A,$H616,'Participation Adjustment'!$B:$B,$I616),1)</f>
        <v>42.6196055176991</v>
      </c>
      <c r="X616" s="79">
        <f>tbl_Data_old[[#This Row],[2027 ]]*IFERROR(AVERAGEIFS('Participation Adjustment'!$C:$C,'Participation Adjustment'!$A:$A,$H616,'Participation Adjustment'!$B:$B,$I616),1)</f>
        <v>46.861685182960102</v>
      </c>
      <c r="Y616" s="79">
        <f>tbl_Data_old[[#This Row],[2028 ]]*IFERROR(AVERAGEIFS('Participation Adjustment'!$C:$C,'Participation Adjustment'!$A:$A,$H616,'Participation Adjustment'!$B:$B,$I616),1)</f>
        <v>50.860788445725902</v>
      </c>
      <c r="Z616" s="79">
        <f>tbl_Data_old[[#This Row],[2029 ]]*IFERROR(AVERAGEIFS('Participation Adjustment'!$C:$C,'Participation Adjustment'!$A:$A,$H616,'Participation Adjustment'!$B:$B,$I616),1)</f>
        <v>54.585237396926303</v>
      </c>
      <c r="AA616" s="79">
        <f>tbl_Data_old[[#This Row],[2030 ]]*IFERROR(AVERAGEIFS('Participation Adjustment'!$C:$C,'Participation Adjustment'!$A:$A,$H616,'Participation Adjustment'!$B:$B,$I616),1)</f>
        <v>58.009626754924902</v>
      </c>
      <c r="AB616" s="79">
        <f>tbl_Data_old[[#This Row],[2031 ]]*IFERROR(AVERAGEIFS('Participation Adjustment'!$C:$C,'Participation Adjustment'!$A:$A,$H616,'Participation Adjustment'!$B:$B,$I616),1)</f>
        <v>61.162701535641297</v>
      </c>
      <c r="AC616" s="79">
        <f>tbl_Data_old[[#This Row],[2032 ]]*IFERROR(AVERAGEIFS('Participation Adjustment'!$C:$C,'Participation Adjustment'!$A:$A,$H616,'Participation Adjustment'!$B:$B,$I616),1)</f>
        <v>64.199266051990193</v>
      </c>
      <c r="AD616" s="79">
        <f>tbl_Data_old[[#This Row],[2033 ]]*IFERROR(AVERAGEIFS('Participation Adjustment'!$C:$C,'Participation Adjustment'!$A:$A,$H616,'Participation Adjustment'!$B:$B,$I616),1)</f>
        <v>67.193534664055093</v>
      </c>
      <c r="AE616" s="79">
        <f>tbl_Data_old[[#This Row],[2034 ]]*IFERROR(AVERAGEIFS('Participation Adjustment'!$C:$C,'Participation Adjustment'!$A:$A,$H616,'Participation Adjustment'!$B:$B,$I616),1)</f>
        <v>70.064866184436994</v>
      </c>
      <c r="AF616" s="77" t="str">
        <f t="shared" si="242"/>
        <v>NonResidential</v>
      </c>
      <c r="AG616" s="77" t="str">
        <f>tbl_Data[[#This Row],[All_Meas_Name_Append]]</f>
        <v>Water source heat pump</v>
      </c>
      <c r="AH616" s="77">
        <f>AVERAGEIFS('3. Incentive Adjustment'!G:G,'3. Incentive Adjustment'!A:A,tbl_Data[[#This Row],[Trimmed Sector]],'3. Incentive Adjustment'!B:B,tbl_Data[[#This Row],[Trimmed Measure Name]])</f>
        <v>0.75877205530206748</v>
      </c>
      <c r="AI616" s="77">
        <f>$AH616*tbl_Data[[#This Row],[2025 ]]</f>
        <v>28.759990361362018</v>
      </c>
      <c r="AJ616" s="77">
        <f>$AH616*tbl_Data[[#This Row],[2026 ]]</f>
        <v>32.338565674827883</v>
      </c>
      <c r="AK616" s="77">
        <f>$AH616*tbl_Data[[#This Row],[2027 ]]</f>
        <v>35.557337181193077</v>
      </c>
      <c r="AL616" s="77">
        <f>$AH616*tbl_Data[[#This Row],[2028 ]]</f>
        <v>38.591744983247089</v>
      </c>
      <c r="AM616" s="77">
        <f>$AH616*tbl_Data[[#This Row],[2029 ]]</f>
        <v>41.417752768817046</v>
      </c>
      <c r="AN616" s="77">
        <f>$AH616*tbl_Data[[#This Row],[2030 ]]</f>
        <v>44.016083720140173</v>
      </c>
      <c r="AO616" s="77">
        <f>$AH616*tbl_Data[[#This Row],[2031 ]]</f>
        <v>46.408548752025467</v>
      </c>
      <c r="AP616" s="77">
        <f>$AH616*tbl_Data[[#This Row],[2032 ]]</f>
        <v>48.712609051152846</v>
      </c>
      <c r="AQ616" s="77">
        <f>$AH616*tbl_Data[[#This Row],[2033 ]]</f>
        <v>50.984576400055801</v>
      </c>
      <c r="AR616" s="77">
        <f>$AH616*tbl_Data[[#This Row],[2034 ]]</f>
        <v>53.163262519229583</v>
      </c>
      <c r="AS616" s="77">
        <f>SUM(tbl_Data[[#This Row],[Adjusted 2025]:[Adjusted 2034]])</f>
        <v>419.950471412051</v>
      </c>
      <c r="AT616" s="80">
        <f>AVERAGEIFS('3. Incentive Adjustment'!F:F,'3. Incentive Adjustment'!A:A,tbl_Data[[#This Row],[Trimmed Sector]],'3. Incentive Adjustment'!B:B,tbl_Data[[#This Row],[Trimmed Measure Name]])</f>
        <v>0</v>
      </c>
      <c r="AU616" s="80">
        <f>IFERROR(VLOOKUP(tbl_Data[[#This Row],[All_Meas_Name_Append]],'IRA Tax Credits'!$A$3:$D$46,4,0),0)</f>
        <v>0</v>
      </c>
      <c r="AV616" s="81">
        <f>tbl_Data[[#This Row],[Adj. per unit Incentive ($)]]/tbl_Data[[#This Row],[kWh Savings]]*tbl_Data[[#This Row],[Sum of Annuals]]</f>
        <v>0</v>
      </c>
      <c r="AW616" s="81" t="str">
        <f>IFERROR(VLOOKUP(tbl_Data[[#This Row],[Column1]],'1. Set Program Names'!$B$2:$D$15,3,0)*tbl_Data[[#This Row],[Sum of Annuals]],"")</f>
        <v/>
      </c>
      <c r="AX616" s="81">
        <f>tbl_Data[[#This Row],[per unit IRA tax ($)]]/tbl_Data[[#This Row],[kWh Savings]]*tbl_Data[[#This Row],[Sum of Annuals]]</f>
        <v>0</v>
      </c>
      <c r="AY616" s="81">
        <f>tbl_Data[[#This Row],[Avoided Costs ($/unit)]]/tbl_Data[[#This Row],[kWh Savings]]*tbl_Data[[#This Row],[Sum of Annuals]]</f>
        <v>231.77949600668569</v>
      </c>
      <c r="AZ616" s="81">
        <f>tbl_Data[[#This Row],[Lost Revenue ($/unit)]]/tbl_Data[[#This Row],[kWh Savings]]*tbl_Data[[#This Row],[Sum of Annuals]]</f>
        <v>456.11663540161805</v>
      </c>
      <c r="BA616" s="81">
        <f>tbl_Data[[#This Row],[Incremental Cost ($/unit)]]/tbl_Data[[#This Row],[kWh Savings]]*tbl_Data[[#This Row],[Sum of Annuals]]</f>
        <v>125.98547626873489</v>
      </c>
      <c r="BB616" s="77">
        <f>ROUNDUP(tbl_Data[[#This Row],[Adjusted 2025]]/$L616,0)</f>
        <v>1</v>
      </c>
      <c r="BC616" s="77">
        <f>ROUNDUP(tbl_Data[[#This Row],[Adjusted 2026]]/$L616,0)</f>
        <v>1</v>
      </c>
      <c r="BD616" s="77">
        <f>ROUNDUP(tbl_Data[[#This Row],[Adjusted 2027]]/$L616,0)</f>
        <v>1</v>
      </c>
      <c r="BE616" s="77">
        <f>ROUNDUP(tbl_Data[[#This Row],[Adjusted 2028]]/$L616,0)</f>
        <v>1</v>
      </c>
      <c r="BF616" s="77">
        <f>ROUNDUP(tbl_Data[[#This Row],[Adjusted 2029]]/$L616,0)</f>
        <v>1</v>
      </c>
      <c r="BG616" s="77">
        <f>ROUNDUP(tbl_Data[[#This Row],[Adjusted 2030]]/$L616,0)</f>
        <v>1</v>
      </c>
      <c r="BH616" s="77">
        <f>ROUNDUP(tbl_Data[[#This Row],[Adjusted 2031]]/$L616,0)</f>
        <v>1</v>
      </c>
      <c r="BI616" s="77">
        <f>ROUNDUP(tbl_Data[[#This Row],[Adjusted 2032]]/$L616,0)</f>
        <v>1</v>
      </c>
      <c r="BJ616" s="77">
        <f>ROUNDUP(tbl_Data[[#This Row],[Adjusted 2033]]/$L616,0)</f>
        <v>1</v>
      </c>
      <c r="BK616" s="77">
        <f>ROUNDUP(tbl_Data[[#This Row],[Adjusted 2034]]/$L616,0)</f>
        <v>1</v>
      </c>
      <c r="BL616" s="80">
        <f t="shared" si="243"/>
        <v>0</v>
      </c>
      <c r="BM616" s="80">
        <f t="shared" si="244"/>
        <v>0</v>
      </c>
      <c r="BN616" s="80">
        <f t="shared" si="245"/>
        <v>0</v>
      </c>
      <c r="BO616" s="80">
        <f t="shared" si="246"/>
        <v>0</v>
      </c>
      <c r="BP616" s="80">
        <f t="shared" si="247"/>
        <v>0</v>
      </c>
      <c r="BQ616" s="80">
        <f t="shared" si="248"/>
        <v>0</v>
      </c>
      <c r="BR616" s="80">
        <f t="shared" si="249"/>
        <v>0</v>
      </c>
      <c r="BS616" s="80">
        <f t="shared" si="250"/>
        <v>0</v>
      </c>
      <c r="BT616" s="80">
        <f t="shared" si="251"/>
        <v>0</v>
      </c>
      <c r="BU616" s="80">
        <f t="shared" si="252"/>
        <v>0</v>
      </c>
      <c r="BV616" s="80" t="str">
        <f>IFERROR(VLOOKUP($H616,'1. Set Program Names'!$B$2:$D$15,3,0)*V616,"NA")</f>
        <v>NA</v>
      </c>
      <c r="BW616" s="80" t="str">
        <f>IFERROR(VLOOKUP($H616,'1. Set Program Names'!$B$2:$D$15,3,0)*W616,"NA")</f>
        <v>NA</v>
      </c>
      <c r="BX616" s="80" t="str">
        <f>IFERROR(VLOOKUP($H616,'1. Set Program Names'!$B$2:$D$15,3,0)*X616,"NA")</f>
        <v>NA</v>
      </c>
      <c r="BY616" s="80" t="str">
        <f>IFERROR(VLOOKUP($H616,'1. Set Program Names'!$B$2:$D$15,3,0)*Y616,"NA")</f>
        <v>NA</v>
      </c>
      <c r="BZ616" s="80" t="str">
        <f>IFERROR(VLOOKUP($H616,'1. Set Program Names'!$B$2:$D$15,3,0)*Z616,"NA")</f>
        <v>NA</v>
      </c>
      <c r="CA616" s="80" t="str">
        <f>IFERROR(VLOOKUP($H616,'1. Set Program Names'!$B$2:$D$15,3,0)*AA616,"NA")</f>
        <v>NA</v>
      </c>
      <c r="CB616" s="80" t="str">
        <f>IFERROR(VLOOKUP($H616,'1. Set Program Names'!$B$2:$D$15,3,0)*AB616,"NA")</f>
        <v>NA</v>
      </c>
      <c r="CC616" s="80" t="str">
        <f>IFERROR(VLOOKUP($H616,'1. Set Program Names'!$B$2:$D$15,3,0)*AC616,"NA")</f>
        <v>NA</v>
      </c>
      <c r="CD616" s="80" t="str">
        <f>IFERROR(VLOOKUP($H616,'1. Set Program Names'!$B$2:$D$15,3,0)*AD616,"NA")</f>
        <v>NA</v>
      </c>
      <c r="CE616" s="80" t="str">
        <f>IFERROR(VLOOKUP($H616,'1. Set Program Names'!$B$2:$D$15,3,0)*AE616,"NA")</f>
        <v>NA</v>
      </c>
    </row>
    <row r="617" spans="1:83" x14ac:dyDescent="0.25">
      <c r="A617" s="79" t="s">
        <v>115</v>
      </c>
      <c r="B617" s="79" t="s">
        <v>88</v>
      </c>
      <c r="C617" s="79" t="s">
        <v>122</v>
      </c>
      <c r="D617" s="79" t="s">
        <v>90</v>
      </c>
      <c r="E617" s="79" t="s">
        <v>91</v>
      </c>
      <c r="F617" s="79" t="s">
        <v>90</v>
      </c>
      <c r="G617" s="79" t="s">
        <v>92</v>
      </c>
      <c r="H617" s="79" t="s">
        <v>268</v>
      </c>
      <c r="I617" s="79" t="s">
        <v>123</v>
      </c>
      <c r="J617" s="79" t="s">
        <v>124</v>
      </c>
      <c r="K617" s="79" t="s">
        <v>125</v>
      </c>
      <c r="L617" s="79">
        <v>276.38000000000102</v>
      </c>
      <c r="M617" s="79">
        <v>4.0116087790590997E-2</v>
      </c>
      <c r="N617" s="79">
        <v>3.5590078027730399E-2</v>
      </c>
      <c r="O617" s="79">
        <v>71</v>
      </c>
      <c r="P617" s="79">
        <v>14.1467127741815</v>
      </c>
      <c r="Q617" s="79">
        <v>0.27638000000000101</v>
      </c>
      <c r="R617" s="79">
        <v>109.905179976762</v>
      </c>
      <c r="S617" s="79">
        <v>259.02791823564098</v>
      </c>
      <c r="T617" s="79">
        <v>12</v>
      </c>
      <c r="U617" s="79">
        <v>1</v>
      </c>
      <c r="V617" s="79">
        <f>tbl_Data_old[[#This Row],[2025 ]]*IFERROR(AVERAGEIFS('Participation Adjustment'!$C:$C,'Participation Adjustment'!$A:$A,$H617,'Participation Adjustment'!$B:$B,$I617),1)</f>
        <v>0.37924797205642802</v>
      </c>
      <c r="W617" s="79">
        <f>tbl_Data_old[[#This Row],[2026 ]]*IFERROR(AVERAGEIFS('Participation Adjustment'!$C:$C,'Participation Adjustment'!$A:$A,$H617,'Participation Adjustment'!$B:$B,$I617),1)</f>
        <v>0.89740568559850598</v>
      </c>
      <c r="X617" s="79">
        <f>tbl_Data_old[[#This Row],[2027 ]]*IFERROR(AVERAGEIFS('Participation Adjustment'!$C:$C,'Participation Adjustment'!$A:$A,$H617,'Participation Adjustment'!$B:$B,$I617),1)</f>
        <v>1.58553686942756</v>
      </c>
      <c r="Y617" s="79">
        <f>tbl_Data_old[[#This Row],[2028 ]]*IFERROR(AVERAGEIFS('Participation Adjustment'!$C:$C,'Participation Adjustment'!$A:$A,$H617,'Participation Adjustment'!$B:$B,$I617),1)</f>
        <v>2.4717098132212301</v>
      </c>
      <c r="Z617" s="79">
        <f>tbl_Data_old[[#This Row],[2029 ]]*IFERROR(AVERAGEIFS('Participation Adjustment'!$C:$C,'Participation Adjustment'!$A:$A,$H617,'Participation Adjustment'!$B:$B,$I617),1)</f>
        <v>3.5683326850070101</v>
      </c>
      <c r="AA617" s="79">
        <f>tbl_Data_old[[#This Row],[2030 ]]*IFERROR(AVERAGEIFS('Participation Adjustment'!$C:$C,'Participation Adjustment'!$A:$A,$H617,'Participation Adjustment'!$B:$B,$I617),1)</f>
        <v>4.8607193608569297</v>
      </c>
      <c r="AB617" s="79">
        <f>tbl_Data_old[[#This Row],[2031 ]]*IFERROR(AVERAGEIFS('Participation Adjustment'!$C:$C,'Participation Adjustment'!$A:$A,$H617,'Participation Adjustment'!$B:$B,$I617),1)</f>
        <v>6.2949446024625697</v>
      </c>
      <c r="AC617" s="79">
        <f>tbl_Data_old[[#This Row],[2032 ]]*IFERROR(AVERAGEIFS('Participation Adjustment'!$C:$C,'Participation Adjustment'!$A:$A,$H617,'Participation Adjustment'!$B:$B,$I617),1)</f>
        <v>7.7809286987386503</v>
      </c>
      <c r="AD617" s="79">
        <f>tbl_Data_old[[#This Row],[2033 ]]*IFERROR(AVERAGEIFS('Participation Adjustment'!$C:$C,'Participation Adjustment'!$A:$A,$H617,'Participation Adjustment'!$B:$B,$I617),1)</f>
        <v>9.2097294160730794</v>
      </c>
      <c r="AE617" s="79">
        <f>tbl_Data_old[[#This Row],[2034 ]]*IFERROR(AVERAGEIFS('Participation Adjustment'!$C:$C,'Participation Adjustment'!$A:$A,$H617,'Participation Adjustment'!$B:$B,$I617),1)</f>
        <v>10.482070339446301</v>
      </c>
      <c r="AF617" s="77" t="str">
        <f t="shared" si="242"/>
        <v>NonResidential</v>
      </c>
      <c r="AG617" s="77" t="str">
        <f>tbl_Data[[#This Row],[All_Meas_Name_Append]]</f>
        <v>Anti-Sweat Controls</v>
      </c>
      <c r="AH617" s="77">
        <f>AVERAGEIFS('3. Incentive Adjustment'!G:G,'3. Incentive Adjustment'!A:A,tbl_Data[[#This Row],[Trimmed Sector]],'3. Incentive Adjustment'!B:B,tbl_Data[[#This Row],[Trimmed Measure Name]])</f>
        <v>0.87366811775307662</v>
      </c>
      <c r="AI617" s="77">
        <f>$AH617*tbl_Data[[#This Row],[2025 ]]</f>
        <v>0.33133686190821088</v>
      </c>
      <c r="AJ617" s="77">
        <f>$AH617*tbl_Data[[#This Row],[2026 ]]</f>
        <v>0.78403473619775599</v>
      </c>
      <c r="AK617" s="77">
        <f>$AH617*tbl_Data[[#This Row],[2027 ]]</f>
        <v>1.385233012340882</v>
      </c>
      <c r="AL617" s="77">
        <f>$AH617*tbl_Data[[#This Row],[2028 ]]</f>
        <v>2.1594540601488008</v>
      </c>
      <c r="AM617" s="77">
        <f>$AH617*tbl_Data[[#This Row],[2029 ]]</f>
        <v>3.1175385004268565</v>
      </c>
      <c r="AN617" s="77">
        <f>$AH617*tbl_Data[[#This Row],[2030 ]]</f>
        <v>4.2466555349258117</v>
      </c>
      <c r="AO617" s="77">
        <f>$AH617*tbl_Data[[#This Row],[2031 ]]</f>
        <v>5.4996924021933626</v>
      </c>
      <c r="AP617" s="77">
        <f>$AH617*tbl_Data[[#This Row],[2032 ]]</f>
        <v>6.7979493305978922</v>
      </c>
      <c r="AQ617" s="77">
        <f>$AH617*tbl_Data[[#This Row],[2033 ]]</f>
        <v>8.0462469639557082</v>
      </c>
      <c r="AR617" s="77">
        <f>$AH617*tbl_Data[[#This Row],[2034 ]]</f>
        <v>9.1578506636194028</v>
      </c>
      <c r="AS617" s="77">
        <f>SUM(tbl_Data[[#This Row],[Adjusted 2025]:[Adjusted 2034]])</f>
        <v>41.525992066314686</v>
      </c>
      <c r="AT617" s="80">
        <f>AVERAGEIFS('3. Incentive Adjustment'!F:F,'3. Incentive Adjustment'!A:A,tbl_Data[[#This Row],[Trimmed Sector]],'3. Incentive Adjustment'!B:B,tbl_Data[[#This Row],[Trimmed Measure Name]])</f>
        <v>0</v>
      </c>
      <c r="AU617" s="80">
        <f>IFERROR(VLOOKUP(tbl_Data[[#This Row],[All_Meas_Name_Append]],'IRA Tax Credits'!$A$3:$D$46,4,0),0)</f>
        <v>0</v>
      </c>
      <c r="AV617" s="81">
        <f>tbl_Data[[#This Row],[Adj. per unit Incentive ($)]]/tbl_Data[[#This Row],[kWh Savings]]*tbl_Data[[#This Row],[Sum of Annuals]]</f>
        <v>0</v>
      </c>
      <c r="AW617" s="81" t="str">
        <f>IFERROR(VLOOKUP(tbl_Data[[#This Row],[Column1]],'1. Set Program Names'!$B$2:$D$15,3,0)*tbl_Data[[#This Row],[Sum of Annuals]],"")</f>
        <v/>
      </c>
      <c r="AX617" s="81">
        <f>tbl_Data[[#This Row],[per unit IRA tax ($)]]/tbl_Data[[#This Row],[kWh Savings]]*tbl_Data[[#This Row],[Sum of Annuals]]</f>
        <v>0</v>
      </c>
      <c r="AY617" s="81">
        <f>tbl_Data[[#This Row],[Avoided Costs ($/unit)]]/tbl_Data[[#This Row],[kWh Savings]]*tbl_Data[[#This Row],[Sum of Annuals]]</f>
        <v>16.513212358932954</v>
      </c>
      <c r="AZ617" s="81">
        <f>tbl_Data[[#This Row],[Lost Revenue ($/unit)]]/tbl_Data[[#This Row],[kWh Savings]]*tbl_Data[[#This Row],[Sum of Annuals]]</f>
        <v>38.91884824374845</v>
      </c>
      <c r="BA617" s="81">
        <f>tbl_Data[[#This Row],[Incremental Cost ($/unit)]]/tbl_Data[[#This Row],[kWh Savings]]*tbl_Data[[#This Row],[Sum of Annuals]]</f>
        <v>10.667723557089268</v>
      </c>
      <c r="BB617" s="77">
        <f>ROUNDUP(tbl_Data[[#This Row],[Adjusted 2025]]/$L617,0)</f>
        <v>1</v>
      </c>
      <c r="BC617" s="77">
        <f>ROUNDUP(tbl_Data[[#This Row],[Adjusted 2026]]/$L617,0)</f>
        <v>1</v>
      </c>
      <c r="BD617" s="77">
        <f>ROUNDUP(tbl_Data[[#This Row],[Adjusted 2027]]/$L617,0)</f>
        <v>1</v>
      </c>
      <c r="BE617" s="77">
        <f>ROUNDUP(tbl_Data[[#This Row],[Adjusted 2028]]/$L617,0)</f>
        <v>1</v>
      </c>
      <c r="BF617" s="77">
        <f>ROUNDUP(tbl_Data[[#This Row],[Adjusted 2029]]/$L617,0)</f>
        <v>1</v>
      </c>
      <c r="BG617" s="77">
        <f>ROUNDUP(tbl_Data[[#This Row],[Adjusted 2030]]/$L617,0)</f>
        <v>1</v>
      </c>
      <c r="BH617" s="77">
        <f>ROUNDUP(tbl_Data[[#This Row],[Adjusted 2031]]/$L617,0)</f>
        <v>1</v>
      </c>
      <c r="BI617" s="77">
        <f>ROUNDUP(tbl_Data[[#This Row],[Adjusted 2032]]/$L617,0)</f>
        <v>1</v>
      </c>
      <c r="BJ617" s="77">
        <f>ROUNDUP(tbl_Data[[#This Row],[Adjusted 2033]]/$L617,0)</f>
        <v>1</v>
      </c>
      <c r="BK617" s="77">
        <f>ROUNDUP(tbl_Data[[#This Row],[Adjusted 2034]]/$L617,0)</f>
        <v>1</v>
      </c>
      <c r="BL617" s="80">
        <f t="shared" si="243"/>
        <v>0</v>
      </c>
      <c r="BM617" s="80">
        <f t="shared" si="244"/>
        <v>0</v>
      </c>
      <c r="BN617" s="80">
        <f t="shared" si="245"/>
        <v>0</v>
      </c>
      <c r="BO617" s="80">
        <f t="shared" si="246"/>
        <v>0</v>
      </c>
      <c r="BP617" s="80">
        <f t="shared" si="247"/>
        <v>0</v>
      </c>
      <c r="BQ617" s="80">
        <f t="shared" si="248"/>
        <v>0</v>
      </c>
      <c r="BR617" s="80">
        <f t="shared" si="249"/>
        <v>0</v>
      </c>
      <c r="BS617" s="80">
        <f t="shared" si="250"/>
        <v>0</v>
      </c>
      <c r="BT617" s="80">
        <f t="shared" si="251"/>
        <v>0</v>
      </c>
      <c r="BU617" s="80">
        <f t="shared" si="252"/>
        <v>0</v>
      </c>
      <c r="BV617" s="80" t="str">
        <f>IFERROR(VLOOKUP($H617,'1. Set Program Names'!$B$2:$D$15,3,0)*V617,"NA")</f>
        <v>NA</v>
      </c>
      <c r="BW617" s="80" t="str">
        <f>IFERROR(VLOOKUP($H617,'1. Set Program Names'!$B$2:$D$15,3,0)*W617,"NA")</f>
        <v>NA</v>
      </c>
      <c r="BX617" s="80" t="str">
        <f>IFERROR(VLOOKUP($H617,'1. Set Program Names'!$B$2:$D$15,3,0)*X617,"NA")</f>
        <v>NA</v>
      </c>
      <c r="BY617" s="80" t="str">
        <f>IFERROR(VLOOKUP($H617,'1. Set Program Names'!$B$2:$D$15,3,0)*Y617,"NA")</f>
        <v>NA</v>
      </c>
      <c r="BZ617" s="80" t="str">
        <f>IFERROR(VLOOKUP($H617,'1. Set Program Names'!$B$2:$D$15,3,0)*Z617,"NA")</f>
        <v>NA</v>
      </c>
      <c r="CA617" s="80" t="str">
        <f>IFERROR(VLOOKUP($H617,'1. Set Program Names'!$B$2:$D$15,3,0)*AA617,"NA")</f>
        <v>NA</v>
      </c>
      <c r="CB617" s="80" t="str">
        <f>IFERROR(VLOOKUP($H617,'1. Set Program Names'!$B$2:$D$15,3,0)*AB617,"NA")</f>
        <v>NA</v>
      </c>
      <c r="CC617" s="80" t="str">
        <f>IFERROR(VLOOKUP($H617,'1. Set Program Names'!$B$2:$D$15,3,0)*AC617,"NA")</f>
        <v>NA</v>
      </c>
      <c r="CD617" s="80" t="str">
        <f>IFERROR(VLOOKUP($H617,'1. Set Program Names'!$B$2:$D$15,3,0)*AD617,"NA")</f>
        <v>NA</v>
      </c>
      <c r="CE617" s="80" t="str">
        <f>IFERROR(VLOOKUP($H617,'1. Set Program Names'!$B$2:$D$15,3,0)*AE617,"NA")</f>
        <v>NA</v>
      </c>
    </row>
    <row r="618" spans="1:83" x14ac:dyDescent="0.25">
      <c r="A618" s="79" t="s">
        <v>115</v>
      </c>
      <c r="B618" s="79" t="s">
        <v>88</v>
      </c>
      <c r="C618" s="79" t="s">
        <v>122</v>
      </c>
      <c r="D618" s="79" t="s">
        <v>90</v>
      </c>
      <c r="E618" s="79" t="s">
        <v>91</v>
      </c>
      <c r="F618" s="79" t="s">
        <v>90</v>
      </c>
      <c r="G618" s="79" t="s">
        <v>92</v>
      </c>
      <c r="H618" s="79" t="s">
        <v>268</v>
      </c>
      <c r="I618" s="79" t="s">
        <v>126</v>
      </c>
      <c r="J618" s="79" t="s">
        <v>127</v>
      </c>
      <c r="K618" s="79" t="s">
        <v>102</v>
      </c>
      <c r="L618" s="79">
        <v>10474.513428571399</v>
      </c>
      <c r="M618" s="79">
        <v>11.987030831722899</v>
      </c>
      <c r="N618" s="79">
        <v>6.5774989692018102E-2</v>
      </c>
      <c r="O618" s="79">
        <v>2861.52</v>
      </c>
      <c r="P618" s="79">
        <v>706.838432647388</v>
      </c>
      <c r="Q618" s="79">
        <v>10.474513428571401</v>
      </c>
      <c r="R618" s="79">
        <v>9615.4333568812199</v>
      </c>
      <c r="S618" s="79">
        <v>8615.8759261769592</v>
      </c>
      <c r="T618" s="79">
        <v>10</v>
      </c>
      <c r="U618" s="79">
        <v>1</v>
      </c>
      <c r="V618" s="79">
        <f>tbl_Data_old[[#This Row],[2025 ]]*IFERROR(AVERAGEIFS('Participation Adjustment'!$C:$C,'Participation Adjustment'!$A:$A,$H618,'Participation Adjustment'!$B:$B,$I618),1)</f>
        <v>14.562418262554701</v>
      </c>
      <c r="W618" s="79">
        <f>tbl_Data_old[[#This Row],[2026 ]]*IFERROR(AVERAGEIFS('Participation Adjustment'!$C:$C,'Participation Adjustment'!$A:$A,$H618,'Participation Adjustment'!$B:$B,$I618),1)</f>
        <v>34.721440535745899</v>
      </c>
      <c r="X618" s="79">
        <f>tbl_Data_old[[#This Row],[2027 ]]*IFERROR(AVERAGEIFS('Participation Adjustment'!$C:$C,'Participation Adjustment'!$A:$A,$H618,'Participation Adjustment'!$B:$B,$I618),1)</f>
        <v>61.840467317634797</v>
      </c>
      <c r="Y618" s="79">
        <f>tbl_Data_old[[#This Row],[2028 ]]*IFERROR(AVERAGEIFS('Participation Adjustment'!$C:$C,'Participation Adjustment'!$A:$A,$H618,'Participation Adjustment'!$B:$B,$I618),1)</f>
        <v>97.332187007728095</v>
      </c>
      <c r="Z618" s="79">
        <f>tbl_Data_old[[#This Row],[2029 ]]*IFERROR(AVERAGEIFS('Participation Adjustment'!$C:$C,'Participation Adjustment'!$A:$A,$H618,'Participation Adjustment'!$B:$B,$I618),1)</f>
        <v>142.073350040045</v>
      </c>
      <c r="AA618" s="79">
        <f>tbl_Data_old[[#This Row],[2030 ]]*IFERROR(AVERAGEIFS('Participation Adjustment'!$C:$C,'Participation Adjustment'!$A:$A,$H618,'Participation Adjustment'!$B:$B,$I618),1)</f>
        <v>195.56503270973599</v>
      </c>
      <c r="AB618" s="79">
        <f>tbl_Data_old[[#This Row],[2031 ]]*IFERROR(AVERAGEIFS('Participation Adjustment'!$C:$C,'Participation Adjustment'!$A:$A,$H618,'Participation Adjustment'!$B:$B,$I618),1)</f>
        <v>255.45664248440599</v>
      </c>
      <c r="AC618" s="79">
        <f>tbl_Data_old[[#This Row],[2032 ]]*IFERROR(AVERAGEIFS('Participation Adjustment'!$C:$C,'Participation Adjustment'!$A:$A,$H618,'Participation Adjustment'!$B:$B,$I618),1)</f>
        <v>317.42402893808298</v>
      </c>
      <c r="AD618" s="79">
        <f>tbl_Data_old[[#This Row],[2033 ]]*IFERROR(AVERAGEIFS('Participation Adjustment'!$C:$C,'Participation Adjustment'!$A:$A,$H618,'Participation Adjustment'!$B:$B,$I618),1)</f>
        <v>375.83146416382601</v>
      </c>
      <c r="AE618" s="79">
        <f>tbl_Data_old[[#This Row],[2034 ]]*IFERROR(AVERAGEIFS('Participation Adjustment'!$C:$C,'Participation Adjustment'!$A:$A,$H618,'Participation Adjustment'!$B:$B,$I618),1)</f>
        <v>425.67861309037198</v>
      </c>
      <c r="AF618" s="77" t="str">
        <f t="shared" si="242"/>
        <v>NonResidential</v>
      </c>
      <c r="AG618" s="77" t="str">
        <f>tbl_Data[[#This Row],[All_Meas_Name_Append]]</f>
        <v>Chiller maintenance</v>
      </c>
      <c r="AH618" s="77">
        <f>AVERAGEIFS('3. Incentive Adjustment'!G:G,'3. Incentive Adjustment'!A:A,tbl_Data[[#This Row],[Trimmed Sector]],'3. Incentive Adjustment'!B:B,tbl_Data[[#This Row],[Trimmed Measure Name]])</f>
        <v>0.83689882434423457</v>
      </c>
      <c r="AI618" s="77">
        <f>$AH618*tbl_Data[[#This Row],[2025 ]]</f>
        <v>12.18727072354104</v>
      </c>
      <c r="AJ618" s="77">
        <f>$AH618*tbl_Data[[#This Row],[2026 ]]</f>
        <v>29.058332763903994</v>
      </c>
      <c r="AK618" s="77">
        <f>$AH618*tbl_Data[[#This Row],[2027 ]]</f>
        <v>51.754214395026622</v>
      </c>
      <c r="AL618" s="77">
        <f>$AH618*tbl_Data[[#This Row],[2028 ]]</f>
        <v>81.457192877620827</v>
      </c>
      <c r="AM618" s="77">
        <f>$AH618*tbl_Data[[#This Row],[2029 ]]</f>
        <v>118.90101961916058</v>
      </c>
      <c r="AN618" s="77">
        <f>$AH618*tbl_Data[[#This Row],[2030 ]]</f>
        <v>163.66814595761983</v>
      </c>
      <c r="AO618" s="77">
        <f>$AH618*tbl_Data[[#This Row],[2031 ]]</f>
        <v>213.79136376612482</v>
      </c>
      <c r="AP618" s="77">
        <f>$AH618*tbl_Data[[#This Row],[2032 ]]</f>
        <v>265.65179663689196</v>
      </c>
      <c r="AQ618" s="77">
        <f>$AH618*tbl_Data[[#This Row],[2033 ]]</f>
        <v>314.53291051027833</v>
      </c>
      <c r="AR618" s="77">
        <f>$AH618*tbl_Data[[#This Row],[2034 ]]</f>
        <v>356.24993084381663</v>
      </c>
      <c r="AS618" s="77">
        <f>SUM(tbl_Data[[#This Row],[Adjusted 2025]:[Adjusted 2034]])</f>
        <v>1607.2521780939846</v>
      </c>
      <c r="AT618" s="80">
        <f>AVERAGEIFS('3. Incentive Adjustment'!F:F,'3. Incentive Adjustment'!A:A,tbl_Data[[#This Row],[Trimmed Sector]],'3. Incentive Adjustment'!B:B,tbl_Data[[#This Row],[Trimmed Measure Name]])</f>
        <v>0</v>
      </c>
      <c r="AU618" s="80">
        <f>IFERROR(VLOOKUP(tbl_Data[[#This Row],[All_Meas_Name_Append]],'IRA Tax Credits'!$A$3:$D$46,4,0),0)</f>
        <v>0</v>
      </c>
      <c r="AV618" s="81">
        <f>tbl_Data[[#This Row],[Adj. per unit Incentive ($)]]/tbl_Data[[#This Row],[kWh Savings]]*tbl_Data[[#This Row],[Sum of Annuals]]</f>
        <v>0</v>
      </c>
      <c r="AW618" s="81" t="str">
        <f>IFERROR(VLOOKUP(tbl_Data[[#This Row],[Column1]],'1. Set Program Names'!$B$2:$D$15,3,0)*tbl_Data[[#This Row],[Sum of Annuals]],"")</f>
        <v/>
      </c>
      <c r="AX618" s="81">
        <f>tbl_Data[[#This Row],[per unit IRA tax ($)]]/tbl_Data[[#This Row],[kWh Savings]]*tbl_Data[[#This Row],[Sum of Annuals]]</f>
        <v>0</v>
      </c>
      <c r="AY618" s="81">
        <f>tbl_Data[[#This Row],[Avoided Costs ($/unit)]]/tbl_Data[[#This Row],[kWh Savings]]*tbl_Data[[#This Row],[Sum of Annuals]]</f>
        <v>1475.4314185143678</v>
      </c>
      <c r="AZ618" s="81">
        <f>tbl_Data[[#This Row],[Lost Revenue ($/unit)]]/tbl_Data[[#This Row],[kWh Savings]]*tbl_Data[[#This Row],[Sum of Annuals]]</f>
        <v>1322.0552384574235</v>
      </c>
      <c r="BA618" s="81">
        <f>tbl_Data[[#This Row],[Incremental Cost ($/unit)]]/tbl_Data[[#This Row],[kWh Savings]]*tbl_Data[[#This Row],[Sum of Annuals]]</f>
        <v>439.08333155736602</v>
      </c>
      <c r="BB618" s="77">
        <f>ROUNDUP(tbl_Data[[#This Row],[Adjusted 2025]]/$L618,0)</f>
        <v>1</v>
      </c>
      <c r="BC618" s="77">
        <f>ROUNDUP(tbl_Data[[#This Row],[Adjusted 2026]]/$L618,0)</f>
        <v>1</v>
      </c>
      <c r="BD618" s="77">
        <f>ROUNDUP(tbl_Data[[#This Row],[Adjusted 2027]]/$L618,0)</f>
        <v>1</v>
      </c>
      <c r="BE618" s="77">
        <f>ROUNDUP(tbl_Data[[#This Row],[Adjusted 2028]]/$L618,0)</f>
        <v>1</v>
      </c>
      <c r="BF618" s="77">
        <f>ROUNDUP(tbl_Data[[#This Row],[Adjusted 2029]]/$L618,0)</f>
        <v>1</v>
      </c>
      <c r="BG618" s="77">
        <f>ROUNDUP(tbl_Data[[#This Row],[Adjusted 2030]]/$L618,0)</f>
        <v>1</v>
      </c>
      <c r="BH618" s="77">
        <f>ROUNDUP(tbl_Data[[#This Row],[Adjusted 2031]]/$L618,0)</f>
        <v>1</v>
      </c>
      <c r="BI618" s="77">
        <f>ROUNDUP(tbl_Data[[#This Row],[Adjusted 2032]]/$L618,0)</f>
        <v>1</v>
      </c>
      <c r="BJ618" s="77">
        <f>ROUNDUP(tbl_Data[[#This Row],[Adjusted 2033]]/$L618,0)</f>
        <v>1</v>
      </c>
      <c r="BK618" s="77">
        <f>ROUNDUP(tbl_Data[[#This Row],[Adjusted 2034]]/$L618,0)</f>
        <v>1</v>
      </c>
      <c r="BL618" s="80">
        <f t="shared" si="243"/>
        <v>0</v>
      </c>
      <c r="BM618" s="80">
        <f t="shared" si="244"/>
        <v>0</v>
      </c>
      <c r="BN618" s="80">
        <f t="shared" si="245"/>
        <v>0</v>
      </c>
      <c r="BO618" s="80">
        <f t="shared" si="246"/>
        <v>0</v>
      </c>
      <c r="BP618" s="80">
        <f t="shared" si="247"/>
        <v>0</v>
      </c>
      <c r="BQ618" s="80">
        <f t="shared" si="248"/>
        <v>0</v>
      </c>
      <c r="BR618" s="80">
        <f t="shared" si="249"/>
        <v>0</v>
      </c>
      <c r="BS618" s="80">
        <f t="shared" si="250"/>
        <v>0</v>
      </c>
      <c r="BT618" s="80">
        <f t="shared" si="251"/>
        <v>0</v>
      </c>
      <c r="BU618" s="80">
        <f t="shared" si="252"/>
        <v>0</v>
      </c>
      <c r="BV618" s="80" t="str">
        <f>IFERROR(VLOOKUP($H618,'1. Set Program Names'!$B$2:$D$15,3,0)*V618,"NA")</f>
        <v>NA</v>
      </c>
      <c r="BW618" s="80" t="str">
        <f>IFERROR(VLOOKUP($H618,'1. Set Program Names'!$B$2:$D$15,3,0)*W618,"NA")</f>
        <v>NA</v>
      </c>
      <c r="BX618" s="80" t="str">
        <f>IFERROR(VLOOKUP($H618,'1. Set Program Names'!$B$2:$D$15,3,0)*X618,"NA")</f>
        <v>NA</v>
      </c>
      <c r="BY618" s="80" t="str">
        <f>IFERROR(VLOOKUP($H618,'1. Set Program Names'!$B$2:$D$15,3,0)*Y618,"NA")</f>
        <v>NA</v>
      </c>
      <c r="BZ618" s="80" t="str">
        <f>IFERROR(VLOOKUP($H618,'1. Set Program Names'!$B$2:$D$15,3,0)*Z618,"NA")</f>
        <v>NA</v>
      </c>
      <c r="CA618" s="80" t="str">
        <f>IFERROR(VLOOKUP($H618,'1. Set Program Names'!$B$2:$D$15,3,0)*AA618,"NA")</f>
        <v>NA</v>
      </c>
      <c r="CB618" s="80" t="str">
        <f>IFERROR(VLOOKUP($H618,'1. Set Program Names'!$B$2:$D$15,3,0)*AB618,"NA")</f>
        <v>NA</v>
      </c>
      <c r="CC618" s="80" t="str">
        <f>IFERROR(VLOOKUP($H618,'1. Set Program Names'!$B$2:$D$15,3,0)*AC618,"NA")</f>
        <v>NA</v>
      </c>
      <c r="CD618" s="80" t="str">
        <f>IFERROR(VLOOKUP($H618,'1. Set Program Names'!$B$2:$D$15,3,0)*AD618,"NA")</f>
        <v>NA</v>
      </c>
      <c r="CE618" s="80" t="str">
        <f>IFERROR(VLOOKUP($H618,'1. Set Program Names'!$B$2:$D$15,3,0)*AE618,"NA")</f>
        <v>NA</v>
      </c>
    </row>
    <row r="619" spans="1:83" x14ac:dyDescent="0.25">
      <c r="A619" s="79" t="s">
        <v>115</v>
      </c>
      <c r="B619" s="79" t="s">
        <v>88</v>
      </c>
      <c r="C619" s="79" t="s">
        <v>122</v>
      </c>
      <c r="D619" s="79" t="s">
        <v>90</v>
      </c>
      <c r="E619" s="79" t="s">
        <v>91</v>
      </c>
      <c r="F619" s="79" t="s">
        <v>90</v>
      </c>
      <c r="G619" s="79" t="s">
        <v>92</v>
      </c>
      <c r="H619" s="79" t="s">
        <v>268</v>
      </c>
      <c r="I619" s="79" t="s">
        <v>131</v>
      </c>
      <c r="J619" s="79" t="s">
        <v>132</v>
      </c>
      <c r="K619" s="79" t="s">
        <v>102</v>
      </c>
      <c r="L619" s="79">
        <v>1121.1428571428501</v>
      </c>
      <c r="M619" s="79">
        <v>0</v>
      </c>
      <c r="N619" s="79">
        <v>0.20460408928759399</v>
      </c>
      <c r="O619" s="79">
        <v>313</v>
      </c>
      <c r="P619" s="79">
        <v>104.06901074138401</v>
      </c>
      <c r="Q619" s="79">
        <v>1.1211428571428499</v>
      </c>
      <c r="R619" s="79">
        <v>557.43130076035402</v>
      </c>
      <c r="S619" s="79">
        <v>1217.69575846672</v>
      </c>
      <c r="T619" s="79">
        <v>15</v>
      </c>
      <c r="U619" s="79">
        <v>1</v>
      </c>
      <c r="V619" s="79">
        <f>tbl_Data_old[[#This Row],[2025 ]]*IFERROR(AVERAGEIFS('Participation Adjustment'!$C:$C,'Participation Adjustment'!$A:$A,$H619,'Participation Adjustment'!$B:$B,$I619),1)</f>
        <v>0</v>
      </c>
      <c r="W619" s="79">
        <f>tbl_Data_old[[#This Row],[2026 ]]*IFERROR(AVERAGEIFS('Participation Adjustment'!$C:$C,'Participation Adjustment'!$A:$A,$H619,'Participation Adjustment'!$B:$B,$I619),1)</f>
        <v>0</v>
      </c>
      <c r="X619" s="79">
        <f>tbl_Data_old[[#This Row],[2027 ]]*IFERROR(AVERAGEIFS('Participation Adjustment'!$C:$C,'Participation Adjustment'!$A:$A,$H619,'Participation Adjustment'!$B:$B,$I619),1)</f>
        <v>0</v>
      </c>
      <c r="Y619" s="79">
        <f>tbl_Data_old[[#This Row],[2028 ]]*IFERROR(AVERAGEIFS('Participation Adjustment'!$C:$C,'Participation Adjustment'!$A:$A,$H619,'Participation Adjustment'!$B:$B,$I619),1)</f>
        <v>0</v>
      </c>
      <c r="Z619" s="79">
        <f>tbl_Data_old[[#This Row],[2029 ]]*IFERROR(AVERAGEIFS('Participation Adjustment'!$C:$C,'Participation Adjustment'!$A:$A,$H619,'Participation Adjustment'!$B:$B,$I619),1)</f>
        <v>0</v>
      </c>
      <c r="AA619" s="79">
        <f>tbl_Data_old[[#This Row],[2030 ]]*IFERROR(AVERAGEIFS('Participation Adjustment'!$C:$C,'Participation Adjustment'!$A:$A,$H619,'Participation Adjustment'!$B:$B,$I619),1)</f>
        <v>0</v>
      </c>
      <c r="AB619" s="79">
        <f>tbl_Data_old[[#This Row],[2031 ]]*IFERROR(AVERAGEIFS('Participation Adjustment'!$C:$C,'Participation Adjustment'!$A:$A,$H619,'Participation Adjustment'!$B:$B,$I619),1)</f>
        <v>0</v>
      </c>
      <c r="AC619" s="79">
        <f>tbl_Data_old[[#This Row],[2032 ]]*IFERROR(AVERAGEIFS('Participation Adjustment'!$C:$C,'Participation Adjustment'!$A:$A,$H619,'Participation Adjustment'!$B:$B,$I619),1)</f>
        <v>0</v>
      </c>
      <c r="AD619" s="79">
        <f>tbl_Data_old[[#This Row],[2033 ]]*IFERROR(AVERAGEIFS('Participation Adjustment'!$C:$C,'Participation Adjustment'!$A:$A,$H619,'Participation Adjustment'!$B:$B,$I619),1)</f>
        <v>0</v>
      </c>
      <c r="AE619" s="79">
        <f>tbl_Data_old[[#This Row],[2034 ]]*IFERROR(AVERAGEIFS('Participation Adjustment'!$C:$C,'Participation Adjustment'!$A:$A,$H619,'Participation Adjustment'!$B:$B,$I619),1)</f>
        <v>0</v>
      </c>
      <c r="AF619" s="77" t="str">
        <f t="shared" si="242"/>
        <v>NonResidential</v>
      </c>
      <c r="AG619" s="77" t="str">
        <f>tbl_Data[[#This Row],[All_Meas_Name_Append]]</f>
        <v>ECM Motors on Furnaces</v>
      </c>
      <c r="AH619" s="77">
        <f>AVERAGEIFS('3. Incentive Adjustment'!G:G,'3. Incentive Adjustment'!A:A,tbl_Data[[#This Row],[Trimmed Sector]],'3. Incentive Adjustment'!B:B,tbl_Data[[#This Row],[Trimmed Measure Name]])</f>
        <v>0.7827684764944346</v>
      </c>
      <c r="AI619" s="77">
        <f>$AH619*tbl_Data[[#This Row],[2025 ]]</f>
        <v>0</v>
      </c>
      <c r="AJ619" s="77">
        <f>$AH619*tbl_Data[[#This Row],[2026 ]]</f>
        <v>0</v>
      </c>
      <c r="AK619" s="77">
        <f>$AH619*tbl_Data[[#This Row],[2027 ]]</f>
        <v>0</v>
      </c>
      <c r="AL619" s="77">
        <f>$AH619*tbl_Data[[#This Row],[2028 ]]</f>
        <v>0</v>
      </c>
      <c r="AM619" s="77">
        <f>$AH619*tbl_Data[[#This Row],[2029 ]]</f>
        <v>0</v>
      </c>
      <c r="AN619" s="77">
        <f>$AH619*tbl_Data[[#This Row],[2030 ]]</f>
        <v>0</v>
      </c>
      <c r="AO619" s="77">
        <f>$AH619*tbl_Data[[#This Row],[2031 ]]</f>
        <v>0</v>
      </c>
      <c r="AP619" s="77">
        <f>$AH619*tbl_Data[[#This Row],[2032 ]]</f>
        <v>0</v>
      </c>
      <c r="AQ619" s="77">
        <f>$AH619*tbl_Data[[#This Row],[2033 ]]</f>
        <v>0</v>
      </c>
      <c r="AR619" s="77">
        <f>$AH619*tbl_Data[[#This Row],[2034 ]]</f>
        <v>0</v>
      </c>
      <c r="AS619" s="77">
        <f>SUM(tbl_Data[[#This Row],[Adjusted 2025]:[Adjusted 2034]])</f>
        <v>0</v>
      </c>
      <c r="AT619" s="80">
        <f>AVERAGEIFS('3. Incentive Adjustment'!F:F,'3. Incentive Adjustment'!A:A,tbl_Data[[#This Row],[Trimmed Sector]],'3. Incentive Adjustment'!B:B,tbl_Data[[#This Row],[Trimmed Measure Name]])</f>
        <v>0</v>
      </c>
      <c r="AU619" s="80">
        <f>IFERROR(VLOOKUP(tbl_Data[[#This Row],[All_Meas_Name_Append]],'IRA Tax Credits'!$A$3:$D$46,4,0),0)</f>
        <v>0</v>
      </c>
      <c r="AV619" s="81">
        <f>tbl_Data[[#This Row],[Adj. per unit Incentive ($)]]/tbl_Data[[#This Row],[kWh Savings]]*tbl_Data[[#This Row],[Sum of Annuals]]</f>
        <v>0</v>
      </c>
      <c r="AW619" s="81" t="str">
        <f>IFERROR(VLOOKUP(tbl_Data[[#This Row],[Column1]],'1. Set Program Names'!$B$2:$D$15,3,0)*tbl_Data[[#This Row],[Sum of Annuals]],"")</f>
        <v/>
      </c>
      <c r="AX619" s="81">
        <f>tbl_Data[[#This Row],[per unit IRA tax ($)]]/tbl_Data[[#This Row],[kWh Savings]]*tbl_Data[[#This Row],[Sum of Annuals]]</f>
        <v>0</v>
      </c>
      <c r="AY619" s="81">
        <f>tbl_Data[[#This Row],[Avoided Costs ($/unit)]]/tbl_Data[[#This Row],[kWh Savings]]*tbl_Data[[#This Row],[Sum of Annuals]]</f>
        <v>0</v>
      </c>
      <c r="AZ619" s="81">
        <f>tbl_Data[[#This Row],[Lost Revenue ($/unit)]]/tbl_Data[[#This Row],[kWh Savings]]*tbl_Data[[#This Row],[Sum of Annuals]]</f>
        <v>0</v>
      </c>
      <c r="BA619" s="81">
        <f>tbl_Data[[#This Row],[Incremental Cost ($/unit)]]/tbl_Data[[#This Row],[kWh Savings]]*tbl_Data[[#This Row],[Sum of Annuals]]</f>
        <v>0</v>
      </c>
      <c r="BB619" s="77">
        <f>ROUNDUP(tbl_Data[[#This Row],[Adjusted 2025]]/$L619,0)</f>
        <v>0</v>
      </c>
      <c r="BC619" s="77">
        <f>ROUNDUP(tbl_Data[[#This Row],[Adjusted 2026]]/$L619,0)</f>
        <v>0</v>
      </c>
      <c r="BD619" s="77">
        <f>ROUNDUP(tbl_Data[[#This Row],[Adjusted 2027]]/$L619,0)</f>
        <v>0</v>
      </c>
      <c r="BE619" s="77">
        <f>ROUNDUP(tbl_Data[[#This Row],[Adjusted 2028]]/$L619,0)</f>
        <v>0</v>
      </c>
      <c r="BF619" s="77">
        <f>ROUNDUP(tbl_Data[[#This Row],[Adjusted 2029]]/$L619,0)</f>
        <v>0</v>
      </c>
      <c r="BG619" s="77">
        <f>ROUNDUP(tbl_Data[[#This Row],[Adjusted 2030]]/$L619,0)</f>
        <v>0</v>
      </c>
      <c r="BH619" s="77">
        <f>ROUNDUP(tbl_Data[[#This Row],[Adjusted 2031]]/$L619,0)</f>
        <v>0</v>
      </c>
      <c r="BI619" s="77">
        <f>ROUNDUP(tbl_Data[[#This Row],[Adjusted 2032]]/$L619,0)</f>
        <v>0</v>
      </c>
      <c r="BJ619" s="77">
        <f>ROUNDUP(tbl_Data[[#This Row],[Adjusted 2033]]/$L619,0)</f>
        <v>0</v>
      </c>
      <c r="BK619" s="77">
        <f>ROUNDUP(tbl_Data[[#This Row],[Adjusted 2034]]/$L619,0)</f>
        <v>0</v>
      </c>
      <c r="BL619" s="80">
        <f t="shared" si="243"/>
        <v>0</v>
      </c>
      <c r="BM619" s="80">
        <f t="shared" si="244"/>
        <v>0</v>
      </c>
      <c r="BN619" s="80">
        <f t="shared" si="245"/>
        <v>0</v>
      </c>
      <c r="BO619" s="80">
        <f t="shared" si="246"/>
        <v>0</v>
      </c>
      <c r="BP619" s="80">
        <f t="shared" si="247"/>
        <v>0</v>
      </c>
      <c r="BQ619" s="80">
        <f t="shared" si="248"/>
        <v>0</v>
      </c>
      <c r="BR619" s="80">
        <f t="shared" si="249"/>
        <v>0</v>
      </c>
      <c r="BS619" s="80">
        <f t="shared" si="250"/>
        <v>0</v>
      </c>
      <c r="BT619" s="80">
        <f t="shared" si="251"/>
        <v>0</v>
      </c>
      <c r="BU619" s="80">
        <f t="shared" si="252"/>
        <v>0</v>
      </c>
      <c r="BV619" s="80" t="str">
        <f>IFERROR(VLOOKUP($H619,'1. Set Program Names'!$B$2:$D$15,3,0)*V619,"NA")</f>
        <v>NA</v>
      </c>
      <c r="BW619" s="80" t="str">
        <f>IFERROR(VLOOKUP($H619,'1. Set Program Names'!$B$2:$D$15,3,0)*W619,"NA")</f>
        <v>NA</v>
      </c>
      <c r="BX619" s="80" t="str">
        <f>IFERROR(VLOOKUP($H619,'1. Set Program Names'!$B$2:$D$15,3,0)*X619,"NA")</f>
        <v>NA</v>
      </c>
      <c r="BY619" s="80" t="str">
        <f>IFERROR(VLOOKUP($H619,'1. Set Program Names'!$B$2:$D$15,3,0)*Y619,"NA")</f>
        <v>NA</v>
      </c>
      <c r="BZ619" s="80" t="str">
        <f>IFERROR(VLOOKUP($H619,'1. Set Program Names'!$B$2:$D$15,3,0)*Z619,"NA")</f>
        <v>NA</v>
      </c>
      <c r="CA619" s="80" t="str">
        <f>IFERROR(VLOOKUP($H619,'1. Set Program Names'!$B$2:$D$15,3,0)*AA619,"NA")</f>
        <v>NA</v>
      </c>
      <c r="CB619" s="80" t="str">
        <f>IFERROR(VLOOKUP($H619,'1. Set Program Names'!$B$2:$D$15,3,0)*AB619,"NA")</f>
        <v>NA</v>
      </c>
      <c r="CC619" s="80" t="str">
        <f>IFERROR(VLOOKUP($H619,'1. Set Program Names'!$B$2:$D$15,3,0)*AC619,"NA")</f>
        <v>NA</v>
      </c>
      <c r="CD619" s="80" t="str">
        <f>IFERROR(VLOOKUP($H619,'1. Set Program Names'!$B$2:$D$15,3,0)*AD619,"NA")</f>
        <v>NA</v>
      </c>
      <c r="CE619" s="80" t="str">
        <f>IFERROR(VLOOKUP($H619,'1. Set Program Names'!$B$2:$D$15,3,0)*AE619,"NA")</f>
        <v>NA</v>
      </c>
    </row>
    <row r="620" spans="1:83" x14ac:dyDescent="0.25">
      <c r="A620" s="79" t="s">
        <v>115</v>
      </c>
      <c r="B620" s="79" t="s">
        <v>88</v>
      </c>
      <c r="C620" s="79" t="s">
        <v>122</v>
      </c>
      <c r="D620" s="79" t="s">
        <v>90</v>
      </c>
      <c r="E620" s="79" t="s">
        <v>91</v>
      </c>
      <c r="F620" s="79" t="s">
        <v>90</v>
      </c>
      <c r="G620" s="79" t="s">
        <v>92</v>
      </c>
      <c r="H620" s="79" t="s">
        <v>268</v>
      </c>
      <c r="I620" s="79" t="s">
        <v>307</v>
      </c>
      <c r="J620" s="79" t="s">
        <v>137</v>
      </c>
      <c r="K620" s="79" t="s">
        <v>98</v>
      </c>
      <c r="L620" s="79">
        <v>1111.20999999999</v>
      </c>
      <c r="M620" s="79">
        <v>0.13640668324959701</v>
      </c>
      <c r="N620" s="79">
        <v>0.136388544932499</v>
      </c>
      <c r="O620" s="79">
        <v>412</v>
      </c>
      <c r="P620" s="79">
        <v>183.41637854330401</v>
      </c>
      <c r="Q620" s="79">
        <v>1.11120999999999</v>
      </c>
      <c r="R620" s="79">
        <v>480.86876845961399</v>
      </c>
      <c r="S620" s="79">
        <v>1206.90748297154</v>
      </c>
      <c r="T620" s="79">
        <v>15</v>
      </c>
      <c r="U620" s="79">
        <v>1</v>
      </c>
      <c r="V620" s="79">
        <f>tbl_Data_old[[#This Row],[2025 ]]*IFERROR(AVERAGEIFS('Participation Adjustment'!$C:$C,'Participation Adjustment'!$A:$A,$H620,'Participation Adjustment'!$B:$B,$I620),1)</f>
        <v>5.5835209986078498</v>
      </c>
      <c r="W620" s="79">
        <f>tbl_Data_old[[#This Row],[2026 ]]*IFERROR(AVERAGEIFS('Participation Adjustment'!$C:$C,'Participation Adjustment'!$A:$A,$H620,'Participation Adjustment'!$B:$B,$I620),1)</f>
        <v>13.272817272182101</v>
      </c>
      <c r="X620" s="79">
        <f>tbl_Data_old[[#This Row],[2027 ]]*IFERROR(AVERAGEIFS('Participation Adjustment'!$C:$C,'Participation Adjustment'!$A:$A,$H620,'Participation Adjustment'!$B:$B,$I620),1)</f>
        <v>23.349325986347701</v>
      </c>
      <c r="Y620" s="79">
        <f>tbl_Data_old[[#This Row],[2028 ]]*IFERROR(AVERAGEIFS('Participation Adjustment'!$C:$C,'Participation Adjustment'!$A:$A,$H620,'Participation Adjustment'!$B:$B,$I620),1)</f>
        <v>36.016592129917299</v>
      </c>
      <c r="Z620" s="79">
        <f>tbl_Data_old[[#This Row],[2029 ]]*IFERROR(AVERAGEIFS('Participation Adjustment'!$C:$C,'Participation Adjustment'!$A:$A,$H620,'Participation Adjustment'!$B:$B,$I620),1)</f>
        <v>51.294478688763903</v>
      </c>
      <c r="AA620" s="79">
        <f>tbl_Data_old[[#This Row],[2030 ]]*IFERROR(AVERAGEIFS('Participation Adjustment'!$C:$C,'Participation Adjustment'!$A:$A,$H620,'Participation Adjustment'!$B:$B,$I620),1)</f>
        <v>68.981919444983106</v>
      </c>
      <c r="AB620" s="79">
        <f>tbl_Data_old[[#This Row],[2031 ]]*IFERROR(AVERAGEIFS('Participation Adjustment'!$C:$C,'Participation Adjustment'!$A:$A,$H620,'Participation Adjustment'!$B:$B,$I620),1)</f>
        <v>88.736853027780896</v>
      </c>
      <c r="AC620" s="79">
        <f>tbl_Data_old[[#This Row],[2032 ]]*IFERROR(AVERAGEIFS('Participation Adjustment'!$C:$C,'Participation Adjustment'!$A:$A,$H620,'Participation Adjustment'!$B:$B,$I620),1)</f>
        <v>110.196733540414</v>
      </c>
      <c r="AD620" s="79">
        <f>tbl_Data_old[[#This Row],[2033 ]]*IFERROR(AVERAGEIFS('Participation Adjustment'!$C:$C,'Participation Adjustment'!$A:$A,$H620,'Participation Adjustment'!$B:$B,$I620),1)</f>
        <v>133.02462408413399</v>
      </c>
      <c r="AE620" s="79">
        <f>tbl_Data_old[[#This Row],[2034 ]]*IFERROR(AVERAGEIFS('Participation Adjustment'!$C:$C,'Participation Adjustment'!$A:$A,$H620,'Participation Adjustment'!$B:$B,$I620),1)</f>
        <v>156.939315702279</v>
      </c>
      <c r="AF620" s="77" t="str">
        <f t="shared" si="242"/>
        <v>NonResidential</v>
      </c>
      <c r="AG620" s="77" t="str">
        <f>tbl_Data[[#This Row],[All_Meas_Name_Append]]</f>
        <v>Efficient Battery Charger</v>
      </c>
      <c r="AH620" s="77">
        <f>AVERAGEIFS('3. Incentive Adjustment'!G:G,'3. Incentive Adjustment'!A:A,tbl_Data[[#This Row],[Trimmed Sector]],'3. Incentive Adjustment'!B:B,tbl_Data[[#This Row],[Trimmed Measure Name]])</f>
        <v>0.64693164144446047</v>
      </c>
      <c r="AI620" s="77">
        <f>$AH620*tbl_Data[[#This Row],[2025 ]]</f>
        <v>3.6121564046689891</v>
      </c>
      <c r="AJ620" s="77">
        <f>$AH620*tbl_Data[[#This Row],[2026 ]]</f>
        <v>8.586605464485153</v>
      </c>
      <c r="AK620" s="77">
        <f>$AH620*tbl_Data[[#This Row],[2027 ]]</f>
        <v>15.105417786969713</v>
      </c>
      <c r="AL620" s="77">
        <f>$AH620*tbl_Data[[#This Row],[2028 ]]</f>
        <v>23.300273065843037</v>
      </c>
      <c r="AM620" s="77">
        <f>$AH620*tbl_Data[[#This Row],[2029 ]]</f>
        <v>33.18402129515993</v>
      </c>
      <c r="AN620" s="77">
        <f>$AH620*tbl_Data[[#This Row],[2030 ]]</f>
        <v>44.626586376532465</v>
      </c>
      <c r="AO620" s="77">
        <f>$AH620*tbl_Data[[#This Row],[2031 ]]</f>
        <v>57.40667798587814</v>
      </c>
      <c r="AP620" s="77">
        <f>$AH620*tbl_Data[[#This Row],[2032 ]]</f>
        <v>71.289753711117868</v>
      </c>
      <c r="AQ620" s="77">
        <f>$AH620*tbl_Data[[#This Row],[2033 ]]</f>
        <v>86.057838411281111</v>
      </c>
      <c r="AR620" s="77">
        <f>$AH620*tbl_Data[[#This Row],[2034 ]]</f>
        <v>101.52900911444574</v>
      </c>
      <c r="AS620" s="77">
        <f>SUM(tbl_Data[[#This Row],[Adjusted 2025]:[Adjusted 2034]])</f>
        <v>444.6983396163821</v>
      </c>
      <c r="AT620" s="80">
        <f>AVERAGEIFS('3. Incentive Adjustment'!F:F,'3. Incentive Adjustment'!A:A,tbl_Data[[#This Row],[Trimmed Sector]],'3. Incentive Adjustment'!B:B,tbl_Data[[#This Row],[Trimmed Measure Name]])</f>
        <v>0</v>
      </c>
      <c r="AU620" s="80">
        <f>IFERROR(VLOOKUP(tbl_Data[[#This Row],[All_Meas_Name_Append]],'IRA Tax Credits'!$A$3:$D$46,4,0),0)</f>
        <v>0</v>
      </c>
      <c r="AV620" s="81">
        <f>tbl_Data[[#This Row],[Adj. per unit Incentive ($)]]/tbl_Data[[#This Row],[kWh Savings]]*tbl_Data[[#This Row],[Sum of Annuals]]</f>
        <v>0</v>
      </c>
      <c r="AW620" s="81" t="str">
        <f>IFERROR(VLOOKUP(tbl_Data[[#This Row],[Column1]],'1. Set Program Names'!$B$2:$D$15,3,0)*tbl_Data[[#This Row],[Sum of Annuals]],"")</f>
        <v/>
      </c>
      <c r="AX620" s="81">
        <f>tbl_Data[[#This Row],[per unit IRA tax ($)]]/tbl_Data[[#This Row],[kWh Savings]]*tbl_Data[[#This Row],[Sum of Annuals]]</f>
        <v>0</v>
      </c>
      <c r="AY620" s="81">
        <f>tbl_Data[[#This Row],[Avoided Costs ($/unit)]]/tbl_Data[[#This Row],[kWh Savings]]*tbl_Data[[#This Row],[Sum of Annuals]]</f>
        <v>192.44026143336251</v>
      </c>
      <c r="AZ620" s="81">
        <f>tbl_Data[[#This Row],[Lost Revenue ($/unit)]]/tbl_Data[[#This Row],[kWh Savings]]*tbl_Data[[#This Row],[Sum of Annuals]]</f>
        <v>482.99579174776648</v>
      </c>
      <c r="BA620" s="81">
        <f>tbl_Data[[#This Row],[Incremental Cost ($/unit)]]/tbl_Data[[#This Row],[kWh Savings]]*tbl_Data[[#This Row],[Sum of Annuals]]</f>
        <v>164.87947005692089</v>
      </c>
      <c r="BB620" s="77">
        <f>ROUNDUP(tbl_Data[[#This Row],[Adjusted 2025]]/$L620,0)</f>
        <v>1</v>
      </c>
      <c r="BC620" s="77">
        <f>ROUNDUP(tbl_Data[[#This Row],[Adjusted 2026]]/$L620,0)</f>
        <v>1</v>
      </c>
      <c r="BD620" s="77">
        <f>ROUNDUP(tbl_Data[[#This Row],[Adjusted 2027]]/$L620,0)</f>
        <v>1</v>
      </c>
      <c r="BE620" s="77">
        <f>ROUNDUP(tbl_Data[[#This Row],[Adjusted 2028]]/$L620,0)</f>
        <v>1</v>
      </c>
      <c r="BF620" s="77">
        <f>ROUNDUP(tbl_Data[[#This Row],[Adjusted 2029]]/$L620,0)</f>
        <v>1</v>
      </c>
      <c r="BG620" s="77">
        <f>ROUNDUP(tbl_Data[[#This Row],[Adjusted 2030]]/$L620,0)</f>
        <v>1</v>
      </c>
      <c r="BH620" s="77">
        <f>ROUNDUP(tbl_Data[[#This Row],[Adjusted 2031]]/$L620,0)</f>
        <v>1</v>
      </c>
      <c r="BI620" s="77">
        <f>ROUNDUP(tbl_Data[[#This Row],[Adjusted 2032]]/$L620,0)</f>
        <v>1</v>
      </c>
      <c r="BJ620" s="77">
        <f>ROUNDUP(tbl_Data[[#This Row],[Adjusted 2033]]/$L620,0)</f>
        <v>1</v>
      </c>
      <c r="BK620" s="77">
        <f>ROUNDUP(tbl_Data[[#This Row],[Adjusted 2034]]/$L620,0)</f>
        <v>1</v>
      </c>
      <c r="BL620" s="80">
        <f t="shared" si="243"/>
        <v>0</v>
      </c>
      <c r="BM620" s="80">
        <f t="shared" si="244"/>
        <v>0</v>
      </c>
      <c r="BN620" s="80">
        <f t="shared" si="245"/>
        <v>0</v>
      </c>
      <c r="BO620" s="80">
        <f t="shared" si="246"/>
        <v>0</v>
      </c>
      <c r="BP620" s="80">
        <f t="shared" si="247"/>
        <v>0</v>
      </c>
      <c r="BQ620" s="80">
        <f t="shared" si="248"/>
        <v>0</v>
      </c>
      <c r="BR620" s="80">
        <f t="shared" si="249"/>
        <v>0</v>
      </c>
      <c r="BS620" s="80">
        <f t="shared" si="250"/>
        <v>0</v>
      </c>
      <c r="BT620" s="80">
        <f t="shared" si="251"/>
        <v>0</v>
      </c>
      <c r="BU620" s="80">
        <f t="shared" si="252"/>
        <v>0</v>
      </c>
      <c r="BV620" s="80" t="str">
        <f>IFERROR(VLOOKUP($H620,'1. Set Program Names'!$B$2:$D$15,3,0)*V620,"NA")</f>
        <v>NA</v>
      </c>
      <c r="BW620" s="80" t="str">
        <f>IFERROR(VLOOKUP($H620,'1. Set Program Names'!$B$2:$D$15,3,0)*W620,"NA")</f>
        <v>NA</v>
      </c>
      <c r="BX620" s="80" t="str">
        <f>IFERROR(VLOOKUP($H620,'1. Set Program Names'!$B$2:$D$15,3,0)*X620,"NA")</f>
        <v>NA</v>
      </c>
      <c r="BY620" s="80" t="str">
        <f>IFERROR(VLOOKUP($H620,'1. Set Program Names'!$B$2:$D$15,3,0)*Y620,"NA")</f>
        <v>NA</v>
      </c>
      <c r="BZ620" s="80" t="str">
        <f>IFERROR(VLOOKUP($H620,'1. Set Program Names'!$B$2:$D$15,3,0)*Z620,"NA")</f>
        <v>NA</v>
      </c>
      <c r="CA620" s="80" t="str">
        <f>IFERROR(VLOOKUP($H620,'1. Set Program Names'!$B$2:$D$15,3,0)*AA620,"NA")</f>
        <v>NA</v>
      </c>
      <c r="CB620" s="80" t="str">
        <f>IFERROR(VLOOKUP($H620,'1. Set Program Names'!$B$2:$D$15,3,0)*AB620,"NA")</f>
        <v>NA</v>
      </c>
      <c r="CC620" s="80" t="str">
        <f>IFERROR(VLOOKUP($H620,'1. Set Program Names'!$B$2:$D$15,3,0)*AC620,"NA")</f>
        <v>NA</v>
      </c>
      <c r="CD620" s="80" t="str">
        <f>IFERROR(VLOOKUP($H620,'1. Set Program Names'!$B$2:$D$15,3,0)*AD620,"NA")</f>
        <v>NA</v>
      </c>
      <c r="CE620" s="80" t="str">
        <f>IFERROR(VLOOKUP($H620,'1. Set Program Names'!$B$2:$D$15,3,0)*AE620,"NA")</f>
        <v>NA</v>
      </c>
    </row>
    <row r="621" spans="1:83" x14ac:dyDescent="0.25">
      <c r="A621" s="79" t="s">
        <v>115</v>
      </c>
      <c r="B621" s="79" t="s">
        <v>88</v>
      </c>
      <c r="C621" s="79" t="s">
        <v>122</v>
      </c>
      <c r="D621" s="79" t="s">
        <v>90</v>
      </c>
      <c r="E621" s="79" t="s">
        <v>91</v>
      </c>
      <c r="F621" s="79" t="s">
        <v>90</v>
      </c>
      <c r="G621" s="79" t="s">
        <v>92</v>
      </c>
      <c r="H621" s="79" t="s">
        <v>268</v>
      </c>
      <c r="I621" s="79" t="s">
        <v>135</v>
      </c>
      <c r="J621" s="79" t="s">
        <v>134</v>
      </c>
      <c r="K621" s="79" t="s">
        <v>98</v>
      </c>
      <c r="L621" s="79">
        <v>6368</v>
      </c>
      <c r="M621" s="79">
        <v>0.60494632768604495</v>
      </c>
      <c r="N621" s="79">
        <v>0.53529110623606202</v>
      </c>
      <c r="O621" s="79">
        <v>1580</v>
      </c>
      <c r="P621" s="79">
        <v>270.05813353350197</v>
      </c>
      <c r="Q621" s="79">
        <v>6.3680000000000003</v>
      </c>
      <c r="R621" s="79">
        <v>1963.2041057461399</v>
      </c>
      <c r="S621" s="79">
        <v>5968.19517810463</v>
      </c>
      <c r="T621" s="79">
        <v>12</v>
      </c>
      <c r="U621" s="79">
        <v>1</v>
      </c>
      <c r="V621" s="79">
        <f>tbl_Data_old[[#This Row],[2025 ]]*IFERROR(AVERAGEIFS('Participation Adjustment'!$C:$C,'Participation Adjustment'!$A:$A,$H621,'Participation Adjustment'!$B:$B,$I621),1)</f>
        <v>3.0689218055334302</v>
      </c>
      <c r="W621" s="79">
        <f>tbl_Data_old[[#This Row],[2026 ]]*IFERROR(AVERAGEIFS('Participation Adjustment'!$C:$C,'Participation Adjustment'!$A:$A,$H621,'Participation Adjustment'!$B:$B,$I621),1)</f>
        <v>7.28369724830024</v>
      </c>
      <c r="X621" s="79">
        <f>tbl_Data_old[[#This Row],[2027 ]]*IFERROR(AVERAGEIFS('Participation Adjustment'!$C:$C,'Participation Adjustment'!$A:$A,$H621,'Participation Adjustment'!$B:$B,$I621),1)</f>
        <v>12.7702269433923</v>
      </c>
      <c r="Y621" s="79">
        <f>tbl_Data_old[[#This Row],[2028 ]]*IFERROR(AVERAGEIFS('Participation Adjustment'!$C:$C,'Participation Adjustment'!$A:$A,$H621,'Participation Adjustment'!$B:$B,$I621),1)</f>
        <v>19.597669684425501</v>
      </c>
      <c r="Z621" s="79">
        <f>tbl_Data_old[[#This Row],[2029 ]]*IFERROR(AVERAGEIFS('Participation Adjustment'!$C:$C,'Participation Adjustment'!$A:$A,$H621,'Participation Adjustment'!$B:$B,$I621),1)</f>
        <v>27.725443686191699</v>
      </c>
      <c r="AA621" s="79">
        <f>tbl_Data_old[[#This Row],[2030 ]]*IFERROR(AVERAGEIFS('Participation Adjustment'!$C:$C,'Participation Adjustment'!$A:$A,$H621,'Participation Adjustment'!$B:$B,$I621),1)</f>
        <v>36.999775242691101</v>
      </c>
      <c r="AB621" s="79">
        <f>tbl_Data_old[[#This Row],[2031 ]]*IFERROR(AVERAGEIFS('Participation Adjustment'!$C:$C,'Participation Adjustment'!$A:$A,$H621,'Participation Adjustment'!$B:$B,$I621),1)</f>
        <v>47.198556376450902</v>
      </c>
      <c r="AC621" s="79">
        <f>tbl_Data_old[[#This Row],[2032 ]]*IFERROR(AVERAGEIFS('Participation Adjustment'!$C:$C,'Participation Adjustment'!$A:$A,$H621,'Participation Adjustment'!$B:$B,$I621),1)</f>
        <v>58.104502786895502</v>
      </c>
      <c r="AD621" s="79">
        <f>tbl_Data_old[[#This Row],[2033 ]]*IFERROR(AVERAGEIFS('Participation Adjustment'!$C:$C,'Participation Adjustment'!$A:$A,$H621,'Participation Adjustment'!$B:$B,$I621),1)</f>
        <v>69.534170182220393</v>
      </c>
      <c r="AE621" s="79">
        <f>tbl_Data_old[[#This Row],[2034 ]]*IFERROR(AVERAGEIFS('Participation Adjustment'!$C:$C,'Participation Adjustment'!$A:$A,$H621,'Participation Adjustment'!$B:$B,$I621),1)</f>
        <v>81.335592110822404</v>
      </c>
      <c r="AF621" s="77" t="str">
        <f t="shared" si="242"/>
        <v>NonResidential</v>
      </c>
      <c r="AG621" s="77" t="str">
        <f>tbl_Data[[#This Row],[All_Meas_Name_Append]]</f>
        <v>Energy Star Combination Oven</v>
      </c>
      <c r="AH621" s="77">
        <f>AVERAGEIFS('3. Incentive Adjustment'!G:G,'3. Incentive Adjustment'!A:A,tbl_Data[[#This Row],[Trimmed Sector]],'3. Incentive Adjustment'!B:B,tbl_Data[[#This Row],[Trimmed Measure Name]])</f>
        <v>0.89413714267910538</v>
      </c>
      <c r="AI621" s="77">
        <f>$AH621*tbl_Data[[#This Row],[2025 ]]</f>
        <v>2.7440369743052622</v>
      </c>
      <c r="AJ621" s="77">
        <f>$AH621*tbl_Data[[#This Row],[2026 ]]</f>
        <v>6.5126242457348393</v>
      </c>
      <c r="AK621" s="77">
        <f>$AH621*tbl_Data[[#This Row],[2027 ]]</f>
        <v>11.418334230528517</v>
      </c>
      <c r="AL621" s="77">
        <f>$AH621*tbl_Data[[#This Row],[2028 ]]</f>
        <v>17.523004374801143</v>
      </c>
      <c r="AM621" s="77">
        <f>$AH621*tbl_Data[[#This Row],[2029 ]]</f>
        <v>24.790348997081889</v>
      </c>
      <c r="AN621" s="77">
        <f>$AH621*tbl_Data[[#This Row],[2030 ]]</f>
        <v>33.082873315268927</v>
      </c>
      <c r="AO621" s="77">
        <f>$AH621*tbl_Data[[#This Row],[2031 ]]</f>
        <v>42.201982337018478</v>
      </c>
      <c r="AP621" s="77">
        <f>$AH621*tbl_Data[[#This Row],[2032 ]]</f>
        <v>51.953394098664859</v>
      </c>
      <c r="AQ621" s="77">
        <f>$AH621*tbl_Data[[#This Row],[2033 ]]</f>
        <v>62.17308424529319</v>
      </c>
      <c r="AR621" s="77">
        <f>$AH621*tbl_Data[[#This Row],[2034 ]]</f>
        <v>72.725173928083933</v>
      </c>
      <c r="AS621" s="77">
        <f>SUM(tbl_Data[[#This Row],[Adjusted 2025]:[Adjusted 2034]])</f>
        <v>325.12485674678101</v>
      </c>
      <c r="AT621" s="80">
        <f>AVERAGEIFS('3. Incentive Adjustment'!F:F,'3. Incentive Adjustment'!A:A,tbl_Data[[#This Row],[Trimmed Sector]],'3. Incentive Adjustment'!B:B,tbl_Data[[#This Row],[Trimmed Measure Name]])</f>
        <v>0</v>
      </c>
      <c r="AU621" s="80">
        <f>IFERROR(VLOOKUP(tbl_Data[[#This Row],[All_Meas_Name_Append]],'IRA Tax Credits'!$A$3:$D$46,4,0),0)</f>
        <v>0</v>
      </c>
      <c r="AV621" s="81">
        <f>tbl_Data[[#This Row],[Adj. per unit Incentive ($)]]/tbl_Data[[#This Row],[kWh Savings]]*tbl_Data[[#This Row],[Sum of Annuals]]</f>
        <v>0</v>
      </c>
      <c r="AW621" s="81" t="str">
        <f>IFERROR(VLOOKUP(tbl_Data[[#This Row],[Column1]],'1. Set Program Names'!$B$2:$D$15,3,0)*tbl_Data[[#This Row],[Sum of Annuals]],"")</f>
        <v/>
      </c>
      <c r="AX621" s="81">
        <f>tbl_Data[[#This Row],[per unit IRA tax ($)]]/tbl_Data[[#This Row],[kWh Savings]]*tbl_Data[[#This Row],[Sum of Annuals]]</f>
        <v>0</v>
      </c>
      <c r="AY621" s="81">
        <f>tbl_Data[[#This Row],[Avoided Costs ($/unit)]]/tbl_Data[[#This Row],[kWh Savings]]*tbl_Data[[#This Row],[Sum of Annuals]]</f>
        <v>100.2334255096429</v>
      </c>
      <c r="AZ621" s="81">
        <f>tbl_Data[[#This Row],[Lost Revenue ($/unit)]]/tbl_Data[[#This Row],[kWh Savings]]*tbl_Data[[#This Row],[Sum of Annuals]]</f>
        <v>304.71240614291725</v>
      </c>
      <c r="BA621" s="81">
        <f>tbl_Data[[#This Row],[Incremental Cost ($/unit)]]/tbl_Data[[#This Row],[kWh Savings]]*tbl_Data[[#This Row],[Sum of Annuals]]</f>
        <v>80.668541717951314</v>
      </c>
      <c r="BB621" s="77">
        <f>ROUNDUP(tbl_Data[[#This Row],[Adjusted 2025]]/$L621,0)</f>
        <v>1</v>
      </c>
      <c r="BC621" s="77">
        <f>ROUNDUP(tbl_Data[[#This Row],[Adjusted 2026]]/$L621,0)</f>
        <v>1</v>
      </c>
      <c r="BD621" s="77">
        <f>ROUNDUP(tbl_Data[[#This Row],[Adjusted 2027]]/$L621,0)</f>
        <v>1</v>
      </c>
      <c r="BE621" s="77">
        <f>ROUNDUP(tbl_Data[[#This Row],[Adjusted 2028]]/$L621,0)</f>
        <v>1</v>
      </c>
      <c r="BF621" s="77">
        <f>ROUNDUP(tbl_Data[[#This Row],[Adjusted 2029]]/$L621,0)</f>
        <v>1</v>
      </c>
      <c r="BG621" s="77">
        <f>ROUNDUP(tbl_Data[[#This Row],[Adjusted 2030]]/$L621,0)</f>
        <v>1</v>
      </c>
      <c r="BH621" s="77">
        <f>ROUNDUP(tbl_Data[[#This Row],[Adjusted 2031]]/$L621,0)</f>
        <v>1</v>
      </c>
      <c r="BI621" s="77">
        <f>ROUNDUP(tbl_Data[[#This Row],[Adjusted 2032]]/$L621,0)</f>
        <v>1</v>
      </c>
      <c r="BJ621" s="77">
        <f>ROUNDUP(tbl_Data[[#This Row],[Adjusted 2033]]/$L621,0)</f>
        <v>1</v>
      </c>
      <c r="BK621" s="77">
        <f>ROUNDUP(tbl_Data[[#This Row],[Adjusted 2034]]/$L621,0)</f>
        <v>1</v>
      </c>
      <c r="BL621" s="80">
        <f t="shared" si="243"/>
        <v>0</v>
      </c>
      <c r="BM621" s="80">
        <f t="shared" si="244"/>
        <v>0</v>
      </c>
      <c r="BN621" s="80">
        <f t="shared" si="245"/>
        <v>0</v>
      </c>
      <c r="BO621" s="80">
        <f t="shared" si="246"/>
        <v>0</v>
      </c>
      <c r="BP621" s="80">
        <f t="shared" si="247"/>
        <v>0</v>
      </c>
      <c r="BQ621" s="80">
        <f t="shared" si="248"/>
        <v>0</v>
      </c>
      <c r="BR621" s="80">
        <f t="shared" si="249"/>
        <v>0</v>
      </c>
      <c r="BS621" s="80">
        <f t="shared" si="250"/>
        <v>0</v>
      </c>
      <c r="BT621" s="80">
        <f t="shared" si="251"/>
        <v>0</v>
      </c>
      <c r="BU621" s="80">
        <f t="shared" si="252"/>
        <v>0</v>
      </c>
      <c r="BV621" s="80" t="str">
        <f>IFERROR(VLOOKUP($H621,'1. Set Program Names'!$B$2:$D$15,3,0)*V621,"NA")</f>
        <v>NA</v>
      </c>
      <c r="BW621" s="80" t="str">
        <f>IFERROR(VLOOKUP($H621,'1. Set Program Names'!$B$2:$D$15,3,0)*W621,"NA")</f>
        <v>NA</v>
      </c>
      <c r="BX621" s="80" t="str">
        <f>IFERROR(VLOOKUP($H621,'1. Set Program Names'!$B$2:$D$15,3,0)*X621,"NA")</f>
        <v>NA</v>
      </c>
      <c r="BY621" s="80" t="str">
        <f>IFERROR(VLOOKUP($H621,'1. Set Program Names'!$B$2:$D$15,3,0)*Y621,"NA")</f>
        <v>NA</v>
      </c>
      <c r="BZ621" s="80" t="str">
        <f>IFERROR(VLOOKUP($H621,'1. Set Program Names'!$B$2:$D$15,3,0)*Z621,"NA")</f>
        <v>NA</v>
      </c>
      <c r="CA621" s="80" t="str">
        <f>IFERROR(VLOOKUP($H621,'1. Set Program Names'!$B$2:$D$15,3,0)*AA621,"NA")</f>
        <v>NA</v>
      </c>
      <c r="CB621" s="80" t="str">
        <f>IFERROR(VLOOKUP($H621,'1. Set Program Names'!$B$2:$D$15,3,0)*AB621,"NA")</f>
        <v>NA</v>
      </c>
      <c r="CC621" s="80" t="str">
        <f>IFERROR(VLOOKUP($H621,'1. Set Program Names'!$B$2:$D$15,3,0)*AC621,"NA")</f>
        <v>NA</v>
      </c>
      <c r="CD621" s="80" t="str">
        <f>IFERROR(VLOOKUP($H621,'1. Set Program Names'!$B$2:$D$15,3,0)*AD621,"NA")</f>
        <v>NA</v>
      </c>
      <c r="CE621" s="80" t="str">
        <f>IFERROR(VLOOKUP($H621,'1. Set Program Names'!$B$2:$D$15,3,0)*AE621,"NA")</f>
        <v>NA</v>
      </c>
    </row>
    <row r="622" spans="1:83" x14ac:dyDescent="0.25">
      <c r="A622" s="79" t="s">
        <v>115</v>
      </c>
      <c r="B622" s="79" t="s">
        <v>88</v>
      </c>
      <c r="C622" s="79" t="s">
        <v>122</v>
      </c>
      <c r="D622" s="79" t="s">
        <v>90</v>
      </c>
      <c r="E622" s="79" t="s">
        <v>91</v>
      </c>
      <c r="F622" s="79" t="s">
        <v>90</v>
      </c>
      <c r="G622" s="79" t="s">
        <v>92</v>
      </c>
      <c r="H622" s="79" t="s">
        <v>268</v>
      </c>
      <c r="I622" s="79" t="s">
        <v>136</v>
      </c>
      <c r="J622" s="79" t="s">
        <v>137</v>
      </c>
      <c r="K622" s="79" t="s">
        <v>104</v>
      </c>
      <c r="L622" s="79">
        <v>810.099999999999</v>
      </c>
      <c r="M622" s="79">
        <v>0.128563724196602</v>
      </c>
      <c r="N622" s="79">
        <v>0.13252898089850401</v>
      </c>
      <c r="O622" s="79">
        <v>224</v>
      </c>
      <c r="P622" s="79">
        <v>57.356798677055799</v>
      </c>
      <c r="Q622" s="79">
        <v>0.81009999999999904</v>
      </c>
      <c r="R622" s="79">
        <v>239.61317678792901</v>
      </c>
      <c r="S622" s="79">
        <v>505.19538551625698</v>
      </c>
      <c r="T622" s="79">
        <v>7</v>
      </c>
      <c r="U622" s="79">
        <v>1</v>
      </c>
      <c r="V622" s="79">
        <f>tbl_Data_old[[#This Row],[2025 ]]*IFERROR(AVERAGEIFS('Participation Adjustment'!$C:$C,'Participation Adjustment'!$A:$A,$H622,'Participation Adjustment'!$B:$B,$I622),1)</f>
        <v>3.0482030807525602</v>
      </c>
      <c r="W622" s="79">
        <f>tbl_Data_old[[#This Row],[2026 ]]*IFERROR(AVERAGEIFS('Participation Adjustment'!$C:$C,'Participation Adjustment'!$A:$A,$H622,'Participation Adjustment'!$B:$B,$I622),1)</f>
        <v>7.2875382949295702</v>
      </c>
      <c r="X622" s="79">
        <f>tbl_Data_old[[#This Row],[2027 ]]*IFERROR(AVERAGEIFS('Participation Adjustment'!$C:$C,'Participation Adjustment'!$A:$A,$H622,'Participation Adjustment'!$B:$B,$I622),1)</f>
        <v>12.8675094032939</v>
      </c>
      <c r="Y622" s="79">
        <f>tbl_Data_old[[#This Row],[2028 ]]*IFERROR(AVERAGEIFS('Participation Adjustment'!$C:$C,'Participation Adjustment'!$A:$A,$H622,'Participation Adjustment'!$B:$B,$I622),1)</f>
        <v>19.886547442944501</v>
      </c>
      <c r="Z622" s="79">
        <f>tbl_Data_old[[#This Row],[2029 ]]*IFERROR(AVERAGEIFS('Participation Adjustment'!$C:$C,'Participation Adjustment'!$A:$A,$H622,'Participation Adjustment'!$B:$B,$I622),1)</f>
        <v>28.335039071890201</v>
      </c>
      <c r="AA622" s="79">
        <f>tbl_Data_old[[#This Row],[2030 ]]*IFERROR(AVERAGEIFS('Participation Adjustment'!$C:$C,'Participation Adjustment'!$A:$A,$H622,'Participation Adjustment'!$B:$B,$I622),1)</f>
        <v>38.079855974990203</v>
      </c>
      <c r="AB622" s="79">
        <f>tbl_Data_old[[#This Row],[2031 ]]*IFERROR(AVERAGEIFS('Participation Adjustment'!$C:$C,'Participation Adjustment'!$A:$A,$H622,'Participation Adjustment'!$B:$B,$I622),1)</f>
        <v>48.915270656883102</v>
      </c>
      <c r="AC622" s="79">
        <f>tbl_Data_old[[#This Row],[2032 ]]*IFERROR(AVERAGEIFS('Participation Adjustment'!$C:$C,'Participation Adjustment'!$A:$A,$H622,'Participation Adjustment'!$B:$B,$I622),1)</f>
        <v>57.5851297186327</v>
      </c>
      <c r="AD622" s="79">
        <f>tbl_Data_old[[#This Row],[2033 ]]*IFERROR(AVERAGEIFS('Participation Adjustment'!$C:$C,'Participation Adjustment'!$A:$A,$H622,'Participation Adjustment'!$B:$B,$I622),1)</f>
        <v>65.7612016376589</v>
      </c>
      <c r="AE622" s="79">
        <f>tbl_Data_old[[#This Row],[2034 ]]*IFERROR(AVERAGEIFS('Participation Adjustment'!$C:$C,'Participation Adjustment'!$A:$A,$H622,'Participation Adjustment'!$B:$B,$I622),1)</f>
        <v>73.1447277986899</v>
      </c>
      <c r="AF622" s="77" t="str">
        <f t="shared" si="242"/>
        <v>NonResidential</v>
      </c>
      <c r="AG622" s="77" t="str">
        <f>tbl_Data[[#This Row],[All_Meas_Name_Append]]</f>
        <v>Energy Star Commercial Clothes Washer</v>
      </c>
      <c r="AH622" s="77">
        <f>AVERAGEIFS('3. Incentive Adjustment'!G:G,'3. Incentive Adjustment'!A:A,tbl_Data[[#This Row],[Trimmed Sector]],'3. Incentive Adjustment'!B:B,tbl_Data[[#This Row],[Trimmed Measure Name]])</f>
        <v>0.82959886877160749</v>
      </c>
      <c r="AI622" s="77">
        <f>$AH622*tbl_Data[[#This Row],[2025 ]]</f>
        <v>2.5287858275784529</v>
      </c>
      <c r="AJ622" s="77">
        <f>$AH622*tbl_Data[[#This Row],[2026 ]]</f>
        <v>6.0457335256033407</v>
      </c>
      <c r="AK622" s="77">
        <f>$AH622*tbl_Data[[#This Row],[2027 ]]</f>
        <v>10.674871244880642</v>
      </c>
      <c r="AL622" s="77">
        <f>$AH622*tbl_Data[[#This Row],[2028 ]]</f>
        <v>16.497857262439663</v>
      </c>
      <c r="AM622" s="77">
        <f>$AH622*tbl_Data[[#This Row],[2029 ]]</f>
        <v>23.506716360639409</v>
      </c>
      <c r="AN622" s="77">
        <f>$AH622*tbl_Data[[#This Row],[2030 ]]</f>
        <v>31.591005439837609</v>
      </c>
      <c r="AO622" s="77">
        <f>$AH622*tbl_Data[[#This Row],[2031 ]]</f>
        <v>40.580053202607225</v>
      </c>
      <c r="AP622" s="77">
        <f>$AH622*tbl_Data[[#This Row],[2032 ]]</f>
        <v>47.772558472643965</v>
      </c>
      <c r="AQ622" s="77">
        <f>$AH622*tbl_Data[[#This Row],[2033 ]]</f>
        <v>54.555418487663403</v>
      </c>
      <c r="AR622" s="77">
        <f>$AH622*tbl_Data[[#This Row],[2034 ]]</f>
        <v>60.68078343840029</v>
      </c>
      <c r="AS622" s="77">
        <f>SUM(tbl_Data[[#This Row],[Adjusted 2025]:[Adjusted 2034]])</f>
        <v>294.43378326229401</v>
      </c>
      <c r="AT622" s="80">
        <f>AVERAGEIFS('3. Incentive Adjustment'!F:F,'3. Incentive Adjustment'!A:A,tbl_Data[[#This Row],[Trimmed Sector]],'3. Incentive Adjustment'!B:B,tbl_Data[[#This Row],[Trimmed Measure Name]])</f>
        <v>0</v>
      </c>
      <c r="AU622" s="80">
        <f>IFERROR(VLOOKUP(tbl_Data[[#This Row],[All_Meas_Name_Append]],'IRA Tax Credits'!$A$3:$D$46,4,0),0)</f>
        <v>0</v>
      </c>
      <c r="AV622" s="81">
        <f>tbl_Data[[#This Row],[Adj. per unit Incentive ($)]]/tbl_Data[[#This Row],[kWh Savings]]*tbl_Data[[#This Row],[Sum of Annuals]]</f>
        <v>0</v>
      </c>
      <c r="AW622" s="81" t="str">
        <f>IFERROR(VLOOKUP(tbl_Data[[#This Row],[Column1]],'1. Set Program Names'!$B$2:$D$15,3,0)*tbl_Data[[#This Row],[Sum of Annuals]],"")</f>
        <v/>
      </c>
      <c r="AX622" s="81">
        <f>tbl_Data[[#This Row],[per unit IRA tax ($)]]/tbl_Data[[#This Row],[kWh Savings]]*tbl_Data[[#This Row],[Sum of Annuals]]</f>
        <v>0</v>
      </c>
      <c r="AY622" s="81">
        <f>tbl_Data[[#This Row],[Avoided Costs ($/unit)]]/tbl_Data[[#This Row],[kWh Savings]]*tbl_Data[[#This Row],[Sum of Annuals]]</f>
        <v>87.088278189318501</v>
      </c>
      <c r="AZ622" s="81">
        <f>tbl_Data[[#This Row],[Lost Revenue ($/unit)]]/tbl_Data[[#This Row],[kWh Savings]]*tbl_Data[[#This Row],[Sum of Annuals]]</f>
        <v>183.61509522800253</v>
      </c>
      <c r="BA622" s="81">
        <f>tbl_Data[[#This Row],[Incremental Cost ($/unit)]]/tbl_Data[[#This Row],[kWh Savings]]*tbl_Data[[#This Row],[Sum of Annuals]]</f>
        <v>81.413612456183117</v>
      </c>
      <c r="BB622" s="77">
        <f>ROUNDUP(tbl_Data[[#This Row],[Adjusted 2025]]/$L622,0)</f>
        <v>1</v>
      </c>
      <c r="BC622" s="77">
        <f>ROUNDUP(tbl_Data[[#This Row],[Adjusted 2026]]/$L622,0)</f>
        <v>1</v>
      </c>
      <c r="BD622" s="77">
        <f>ROUNDUP(tbl_Data[[#This Row],[Adjusted 2027]]/$L622,0)</f>
        <v>1</v>
      </c>
      <c r="BE622" s="77">
        <f>ROUNDUP(tbl_Data[[#This Row],[Adjusted 2028]]/$L622,0)</f>
        <v>1</v>
      </c>
      <c r="BF622" s="77">
        <f>ROUNDUP(tbl_Data[[#This Row],[Adjusted 2029]]/$L622,0)</f>
        <v>1</v>
      </c>
      <c r="BG622" s="77">
        <f>ROUNDUP(tbl_Data[[#This Row],[Adjusted 2030]]/$L622,0)</f>
        <v>1</v>
      </c>
      <c r="BH622" s="77">
        <f>ROUNDUP(tbl_Data[[#This Row],[Adjusted 2031]]/$L622,0)</f>
        <v>1</v>
      </c>
      <c r="BI622" s="77">
        <f>ROUNDUP(tbl_Data[[#This Row],[Adjusted 2032]]/$L622,0)</f>
        <v>1</v>
      </c>
      <c r="BJ622" s="77">
        <f>ROUNDUP(tbl_Data[[#This Row],[Adjusted 2033]]/$L622,0)</f>
        <v>1</v>
      </c>
      <c r="BK622" s="77">
        <f>ROUNDUP(tbl_Data[[#This Row],[Adjusted 2034]]/$L622,0)</f>
        <v>1</v>
      </c>
      <c r="BL622" s="80">
        <f t="shared" si="243"/>
        <v>0</v>
      </c>
      <c r="BM622" s="80">
        <f t="shared" si="244"/>
        <v>0</v>
      </c>
      <c r="BN622" s="80">
        <f t="shared" si="245"/>
        <v>0</v>
      </c>
      <c r="BO622" s="80">
        <f t="shared" si="246"/>
        <v>0</v>
      </c>
      <c r="BP622" s="80">
        <f t="shared" si="247"/>
        <v>0</v>
      </c>
      <c r="BQ622" s="80">
        <f t="shared" si="248"/>
        <v>0</v>
      </c>
      <c r="BR622" s="80">
        <f t="shared" si="249"/>
        <v>0</v>
      </c>
      <c r="BS622" s="80">
        <f t="shared" si="250"/>
        <v>0</v>
      </c>
      <c r="BT622" s="80">
        <f t="shared" si="251"/>
        <v>0</v>
      </c>
      <c r="BU622" s="80">
        <f t="shared" si="252"/>
        <v>0</v>
      </c>
      <c r="BV622" s="80" t="str">
        <f>IFERROR(VLOOKUP($H622,'1. Set Program Names'!$B$2:$D$15,3,0)*V622,"NA")</f>
        <v>NA</v>
      </c>
      <c r="BW622" s="80" t="str">
        <f>IFERROR(VLOOKUP($H622,'1. Set Program Names'!$B$2:$D$15,3,0)*W622,"NA")</f>
        <v>NA</v>
      </c>
      <c r="BX622" s="80" t="str">
        <f>IFERROR(VLOOKUP($H622,'1. Set Program Names'!$B$2:$D$15,3,0)*X622,"NA")</f>
        <v>NA</v>
      </c>
      <c r="BY622" s="80" t="str">
        <f>IFERROR(VLOOKUP($H622,'1. Set Program Names'!$B$2:$D$15,3,0)*Y622,"NA")</f>
        <v>NA</v>
      </c>
      <c r="BZ622" s="80" t="str">
        <f>IFERROR(VLOOKUP($H622,'1. Set Program Names'!$B$2:$D$15,3,0)*Z622,"NA")</f>
        <v>NA</v>
      </c>
      <c r="CA622" s="80" t="str">
        <f>IFERROR(VLOOKUP($H622,'1. Set Program Names'!$B$2:$D$15,3,0)*AA622,"NA")</f>
        <v>NA</v>
      </c>
      <c r="CB622" s="80" t="str">
        <f>IFERROR(VLOOKUP($H622,'1. Set Program Names'!$B$2:$D$15,3,0)*AB622,"NA")</f>
        <v>NA</v>
      </c>
      <c r="CC622" s="80" t="str">
        <f>IFERROR(VLOOKUP($H622,'1. Set Program Names'!$B$2:$D$15,3,0)*AC622,"NA")</f>
        <v>NA</v>
      </c>
      <c r="CD622" s="80" t="str">
        <f>IFERROR(VLOOKUP($H622,'1. Set Program Names'!$B$2:$D$15,3,0)*AD622,"NA")</f>
        <v>NA</v>
      </c>
      <c r="CE622" s="80" t="str">
        <f>IFERROR(VLOOKUP($H622,'1. Set Program Names'!$B$2:$D$15,3,0)*AE622,"NA")</f>
        <v>NA</v>
      </c>
    </row>
    <row r="623" spans="1:83" x14ac:dyDescent="0.25">
      <c r="A623" s="79" t="s">
        <v>115</v>
      </c>
      <c r="B623" s="79" t="s">
        <v>88</v>
      </c>
      <c r="C623" s="79" t="s">
        <v>122</v>
      </c>
      <c r="D623" s="79" t="s">
        <v>90</v>
      </c>
      <c r="E623" s="79" t="s">
        <v>91</v>
      </c>
      <c r="F623" s="79" t="s">
        <v>90</v>
      </c>
      <c r="G623" s="79" t="s">
        <v>92</v>
      </c>
      <c r="H623" s="79" t="s">
        <v>268</v>
      </c>
      <c r="I623" s="79" t="s">
        <v>138</v>
      </c>
      <c r="J623" s="79" t="s">
        <v>124</v>
      </c>
      <c r="K623" s="79" t="s">
        <v>98</v>
      </c>
      <c r="L623" s="79">
        <v>4708.5</v>
      </c>
      <c r="M623" s="79">
        <v>0.683430781395169</v>
      </c>
      <c r="N623" s="79">
        <v>0.60632419999120102</v>
      </c>
      <c r="O623" s="79">
        <v>1154.6399999999901</v>
      </c>
      <c r="P623" s="79">
        <v>186.06881936911</v>
      </c>
      <c r="Q623" s="79">
        <v>4.7084999999999999</v>
      </c>
      <c r="R623" s="79">
        <v>1872.3805627056299</v>
      </c>
      <c r="S623" s="79">
        <v>4412.8842644638298</v>
      </c>
      <c r="T623" s="79">
        <v>12</v>
      </c>
      <c r="U623" s="79">
        <v>1</v>
      </c>
      <c r="V623" s="79">
        <f>tbl_Data_old[[#This Row],[2025 ]]*IFERROR(AVERAGEIFS('Participation Adjustment'!$C:$C,'Participation Adjustment'!$A:$A,$H623,'Participation Adjustment'!$B:$B,$I623),1)</f>
        <v>4.47226352881927</v>
      </c>
      <c r="W623" s="79">
        <f>tbl_Data_old[[#This Row],[2026 ]]*IFERROR(AVERAGEIFS('Participation Adjustment'!$C:$C,'Participation Adjustment'!$A:$A,$H623,'Participation Adjustment'!$B:$B,$I623),1)</f>
        <v>10.658862232969399</v>
      </c>
      <c r="X623" s="79">
        <f>tbl_Data_old[[#This Row],[2027 ]]*IFERROR(AVERAGEIFS('Participation Adjustment'!$C:$C,'Participation Adjustment'!$A:$A,$H623,'Participation Adjustment'!$B:$B,$I623),1)</f>
        <v>18.772439479140299</v>
      </c>
      <c r="Y623" s="79">
        <f>tbl_Data_old[[#This Row],[2028 ]]*IFERROR(AVERAGEIFS('Participation Adjustment'!$C:$C,'Participation Adjustment'!$A:$A,$H623,'Participation Adjustment'!$B:$B,$I623),1)</f>
        <v>28.944876637796899</v>
      </c>
      <c r="Z623" s="79">
        <f>tbl_Data_old[[#This Row],[2029 ]]*IFERROR(AVERAGEIFS('Participation Adjustment'!$C:$C,'Participation Adjustment'!$A:$A,$H623,'Participation Adjustment'!$B:$B,$I623),1)</f>
        <v>41.145157848860102</v>
      </c>
      <c r="AA623" s="79">
        <f>tbl_Data_old[[#This Row],[2030 ]]*IFERROR(AVERAGEIFS('Participation Adjustment'!$C:$C,'Participation Adjustment'!$A:$A,$H623,'Participation Adjustment'!$B:$B,$I623),1)</f>
        <v>55.170943194711597</v>
      </c>
      <c r="AB623" s="79">
        <f>tbl_Data_old[[#This Row],[2031 ]]*IFERROR(AVERAGEIFS('Participation Adjustment'!$C:$C,'Participation Adjustment'!$A:$A,$H623,'Participation Adjustment'!$B:$B,$I623),1)</f>
        <v>70.709790629597805</v>
      </c>
      <c r="AC623" s="79">
        <f>tbl_Data_old[[#This Row],[2032 ]]*IFERROR(AVERAGEIFS('Participation Adjustment'!$C:$C,'Participation Adjustment'!$A:$A,$H623,'Participation Adjustment'!$B:$B,$I623),1)</f>
        <v>87.449472232460806</v>
      </c>
      <c r="AD623" s="79">
        <f>tbl_Data_old[[#This Row],[2033 ]]*IFERROR(AVERAGEIFS('Participation Adjustment'!$C:$C,'Participation Adjustment'!$A:$A,$H623,'Participation Adjustment'!$B:$B,$I623),1)</f>
        <v>105.12455425323699</v>
      </c>
      <c r="AE623" s="79">
        <f>tbl_Data_old[[#This Row],[2034 ]]*IFERROR(AVERAGEIFS('Participation Adjustment'!$C:$C,'Participation Adjustment'!$A:$A,$H623,'Participation Adjustment'!$B:$B,$I623),1)</f>
        <v>123.510727433407</v>
      </c>
      <c r="AF623" s="77" t="str">
        <f t="shared" si="242"/>
        <v>NonResidential</v>
      </c>
      <c r="AG623" s="77" t="str">
        <f>tbl_Data[[#This Row],[All_Meas_Name_Append]]</f>
        <v>Energy Star Commercial Glass Door Freezer</v>
      </c>
      <c r="AH623" s="77">
        <f>AVERAGEIFS('3. Incentive Adjustment'!G:G,'3. Incentive Adjustment'!A:A,tbl_Data[[#This Row],[Trimmed Sector]],'3. Incentive Adjustment'!B:B,tbl_Data[[#This Row],[Trimmed Measure Name]])</f>
        <v>0.90098363397891501</v>
      </c>
      <c r="AI623" s="77">
        <f>$AH623*tbl_Data[[#This Row],[2025 ]]</f>
        <v>4.0294362463069522</v>
      </c>
      <c r="AJ623" s="77">
        <f>$AH623*tbl_Data[[#This Row],[2026 ]]</f>
        <v>9.6034604287413821</v>
      </c>
      <c r="AK623" s="77">
        <f>$AH623*tbl_Data[[#This Row],[2027 ]]</f>
        <v>16.913660740565078</v>
      </c>
      <c r="AL623" s="77">
        <f>$AH623*tbl_Data[[#This Row],[2028 ]]</f>
        <v>26.078860138193647</v>
      </c>
      <c r="AM623" s="77">
        <f>$AH623*tbl_Data[[#This Row],[2029 ]]</f>
        <v>37.071113839302051</v>
      </c>
      <c r="AN623" s="77">
        <f>$AH623*tbl_Data[[#This Row],[2030 ]]</f>
        <v>49.708116889615546</v>
      </c>
      <c r="AO623" s="77">
        <f>$AH623*tbl_Data[[#This Row],[2031 ]]</f>
        <v>63.708364119343265</v>
      </c>
      <c r="AP623" s="77">
        <f>$AH623*tbl_Data[[#This Row],[2032 ]]</f>
        <v>78.790543281540764</v>
      </c>
      <c r="AQ623" s="77">
        <f>$AH623*tbl_Data[[#This Row],[2033 ]]</f>
        <v>94.715502911495079</v>
      </c>
      <c r="AR623" s="77">
        <f>$AH623*tbl_Data[[#This Row],[2034 ]]</f>
        <v>111.28114403833031</v>
      </c>
      <c r="AS623" s="77">
        <f>SUM(tbl_Data[[#This Row],[Adjusted 2025]:[Adjusted 2034]])</f>
        <v>491.90020263343405</v>
      </c>
      <c r="AT623" s="80">
        <f>AVERAGEIFS('3. Incentive Adjustment'!F:F,'3. Incentive Adjustment'!A:A,tbl_Data[[#This Row],[Trimmed Sector]],'3. Incentive Adjustment'!B:B,tbl_Data[[#This Row],[Trimmed Measure Name]])</f>
        <v>0</v>
      </c>
      <c r="AU623" s="80">
        <f>IFERROR(VLOOKUP(tbl_Data[[#This Row],[All_Meas_Name_Append]],'IRA Tax Credits'!$A$3:$D$46,4,0),0)</f>
        <v>0</v>
      </c>
      <c r="AV623" s="81">
        <f>tbl_Data[[#This Row],[Adj. per unit Incentive ($)]]/tbl_Data[[#This Row],[kWh Savings]]*tbl_Data[[#This Row],[Sum of Annuals]]</f>
        <v>0</v>
      </c>
      <c r="AW623" s="81" t="str">
        <f>IFERROR(VLOOKUP(tbl_Data[[#This Row],[Column1]],'1. Set Program Names'!$B$2:$D$15,3,0)*tbl_Data[[#This Row],[Sum of Annuals]],"")</f>
        <v/>
      </c>
      <c r="AX623" s="81">
        <f>tbl_Data[[#This Row],[per unit IRA tax ($)]]/tbl_Data[[#This Row],[kWh Savings]]*tbl_Data[[#This Row],[Sum of Annuals]]</f>
        <v>0</v>
      </c>
      <c r="AY623" s="81">
        <f>tbl_Data[[#This Row],[Avoided Costs ($/unit)]]/tbl_Data[[#This Row],[kWh Savings]]*tbl_Data[[#This Row],[Sum of Annuals]]</f>
        <v>195.60887293231445</v>
      </c>
      <c r="AZ623" s="81">
        <f>tbl_Data[[#This Row],[Lost Revenue ($/unit)]]/tbl_Data[[#This Row],[kWh Savings]]*tbl_Data[[#This Row],[Sum of Annuals]]</f>
        <v>461.01702535577158</v>
      </c>
      <c r="BA623" s="81">
        <f>tbl_Data[[#This Row],[Incremental Cost ($/unit)]]/tbl_Data[[#This Row],[kWh Savings]]*tbl_Data[[#This Row],[Sum of Annuals]]</f>
        <v>120.62602739060496</v>
      </c>
      <c r="BB623" s="77">
        <f>ROUNDUP(tbl_Data[[#This Row],[Adjusted 2025]]/$L623,0)</f>
        <v>1</v>
      </c>
      <c r="BC623" s="77">
        <f>ROUNDUP(tbl_Data[[#This Row],[Adjusted 2026]]/$L623,0)</f>
        <v>1</v>
      </c>
      <c r="BD623" s="77">
        <f>ROUNDUP(tbl_Data[[#This Row],[Adjusted 2027]]/$L623,0)</f>
        <v>1</v>
      </c>
      <c r="BE623" s="77">
        <f>ROUNDUP(tbl_Data[[#This Row],[Adjusted 2028]]/$L623,0)</f>
        <v>1</v>
      </c>
      <c r="BF623" s="77">
        <f>ROUNDUP(tbl_Data[[#This Row],[Adjusted 2029]]/$L623,0)</f>
        <v>1</v>
      </c>
      <c r="BG623" s="77">
        <f>ROUNDUP(tbl_Data[[#This Row],[Adjusted 2030]]/$L623,0)</f>
        <v>1</v>
      </c>
      <c r="BH623" s="77">
        <f>ROUNDUP(tbl_Data[[#This Row],[Adjusted 2031]]/$L623,0)</f>
        <v>1</v>
      </c>
      <c r="BI623" s="77">
        <f>ROUNDUP(tbl_Data[[#This Row],[Adjusted 2032]]/$L623,0)</f>
        <v>1</v>
      </c>
      <c r="BJ623" s="77">
        <f>ROUNDUP(tbl_Data[[#This Row],[Adjusted 2033]]/$L623,0)</f>
        <v>1</v>
      </c>
      <c r="BK623" s="77">
        <f>ROUNDUP(tbl_Data[[#This Row],[Adjusted 2034]]/$L623,0)</f>
        <v>1</v>
      </c>
      <c r="BL623" s="80">
        <f t="shared" si="243"/>
        <v>0</v>
      </c>
      <c r="BM623" s="80">
        <f t="shared" si="244"/>
        <v>0</v>
      </c>
      <c r="BN623" s="80">
        <f t="shared" si="245"/>
        <v>0</v>
      </c>
      <c r="BO623" s="80">
        <f t="shared" si="246"/>
        <v>0</v>
      </c>
      <c r="BP623" s="80">
        <f t="shared" si="247"/>
        <v>0</v>
      </c>
      <c r="BQ623" s="80">
        <f t="shared" si="248"/>
        <v>0</v>
      </c>
      <c r="BR623" s="80">
        <f t="shared" si="249"/>
        <v>0</v>
      </c>
      <c r="BS623" s="80">
        <f t="shared" si="250"/>
        <v>0</v>
      </c>
      <c r="BT623" s="80">
        <f t="shared" si="251"/>
        <v>0</v>
      </c>
      <c r="BU623" s="80">
        <f t="shared" si="252"/>
        <v>0</v>
      </c>
      <c r="BV623" s="80" t="str">
        <f>IFERROR(VLOOKUP($H623,'1. Set Program Names'!$B$2:$D$15,3,0)*V623,"NA")</f>
        <v>NA</v>
      </c>
      <c r="BW623" s="80" t="str">
        <f>IFERROR(VLOOKUP($H623,'1. Set Program Names'!$B$2:$D$15,3,0)*W623,"NA")</f>
        <v>NA</v>
      </c>
      <c r="BX623" s="80" t="str">
        <f>IFERROR(VLOOKUP($H623,'1. Set Program Names'!$B$2:$D$15,3,0)*X623,"NA")</f>
        <v>NA</v>
      </c>
      <c r="BY623" s="80" t="str">
        <f>IFERROR(VLOOKUP($H623,'1. Set Program Names'!$B$2:$D$15,3,0)*Y623,"NA")</f>
        <v>NA</v>
      </c>
      <c r="BZ623" s="80" t="str">
        <f>IFERROR(VLOOKUP($H623,'1. Set Program Names'!$B$2:$D$15,3,0)*Z623,"NA")</f>
        <v>NA</v>
      </c>
      <c r="CA623" s="80" t="str">
        <f>IFERROR(VLOOKUP($H623,'1. Set Program Names'!$B$2:$D$15,3,0)*AA623,"NA")</f>
        <v>NA</v>
      </c>
      <c r="CB623" s="80" t="str">
        <f>IFERROR(VLOOKUP($H623,'1. Set Program Names'!$B$2:$D$15,3,0)*AB623,"NA")</f>
        <v>NA</v>
      </c>
      <c r="CC623" s="80" t="str">
        <f>IFERROR(VLOOKUP($H623,'1. Set Program Names'!$B$2:$D$15,3,0)*AC623,"NA")</f>
        <v>NA</v>
      </c>
      <c r="CD623" s="80" t="str">
        <f>IFERROR(VLOOKUP($H623,'1. Set Program Names'!$B$2:$D$15,3,0)*AD623,"NA")</f>
        <v>NA</v>
      </c>
      <c r="CE623" s="80" t="str">
        <f>IFERROR(VLOOKUP($H623,'1. Set Program Names'!$B$2:$D$15,3,0)*AE623,"NA")</f>
        <v>NA</v>
      </c>
    </row>
    <row r="624" spans="1:83" x14ac:dyDescent="0.25">
      <c r="A624" s="79" t="s">
        <v>115</v>
      </c>
      <c r="B624" s="79" t="s">
        <v>88</v>
      </c>
      <c r="C624" s="79" t="s">
        <v>122</v>
      </c>
      <c r="D624" s="79" t="s">
        <v>90</v>
      </c>
      <c r="E624" s="79" t="s">
        <v>91</v>
      </c>
      <c r="F624" s="79" t="s">
        <v>90</v>
      </c>
      <c r="G624" s="79" t="s">
        <v>92</v>
      </c>
      <c r="H624" s="79" t="s">
        <v>268</v>
      </c>
      <c r="I624" s="79" t="s">
        <v>139</v>
      </c>
      <c r="J624" s="79" t="s">
        <v>134</v>
      </c>
      <c r="K624" s="79" t="s">
        <v>98</v>
      </c>
      <c r="L624" s="79">
        <v>1937</v>
      </c>
      <c r="M624" s="79">
        <v>0.24908899441118301</v>
      </c>
      <c r="N624" s="79">
        <v>0.21233623172368499</v>
      </c>
      <c r="O624" s="79">
        <v>631.37</v>
      </c>
      <c r="P624" s="79">
        <v>232.91563515301399</v>
      </c>
      <c r="Q624" s="79">
        <v>1.9370000000000001</v>
      </c>
      <c r="R624" s="79">
        <v>770.86000119756204</v>
      </c>
      <c r="S624" s="79">
        <v>2270.0548686653701</v>
      </c>
      <c r="T624" s="79">
        <v>17</v>
      </c>
      <c r="U624" s="79">
        <v>1</v>
      </c>
      <c r="V624" s="79">
        <f>tbl_Data_old[[#This Row],[2025 ]]*IFERROR(AVERAGEIFS('Participation Adjustment'!$C:$C,'Participation Adjustment'!$A:$A,$H624,'Participation Adjustment'!$B:$B,$I624),1)</f>
        <v>1.3453224027487201</v>
      </c>
      <c r="W624" s="79">
        <f>tbl_Data_old[[#This Row],[2026 ]]*IFERROR(AVERAGEIFS('Participation Adjustment'!$C:$C,'Participation Adjustment'!$A:$A,$H624,'Participation Adjustment'!$B:$B,$I624),1)</f>
        <v>3.17703198471524</v>
      </c>
      <c r="X624" s="79">
        <f>tbl_Data_old[[#This Row],[2027 ]]*IFERROR(AVERAGEIFS('Participation Adjustment'!$C:$C,'Participation Adjustment'!$A:$A,$H624,'Participation Adjustment'!$B:$B,$I624),1)</f>
        <v>5.5381346712311803</v>
      </c>
      <c r="Y624" s="79">
        <f>tbl_Data_old[[#This Row],[2028 ]]*IFERROR(AVERAGEIFS('Participation Adjustment'!$C:$C,'Participation Adjustment'!$A:$A,$H624,'Participation Adjustment'!$B:$B,$I624),1)</f>
        <v>8.4458844746095494</v>
      </c>
      <c r="Z624" s="79">
        <f>tbl_Data_old[[#This Row],[2029 ]]*IFERROR(AVERAGEIFS('Participation Adjustment'!$C:$C,'Participation Adjustment'!$A:$A,$H624,'Participation Adjustment'!$B:$B,$I624),1)</f>
        <v>11.8724421000392</v>
      </c>
      <c r="AA624" s="79">
        <f>tbl_Data_old[[#This Row],[2030 ]]*IFERROR(AVERAGEIFS('Participation Adjustment'!$C:$C,'Participation Adjustment'!$A:$A,$H624,'Participation Adjustment'!$B:$B,$I624),1)</f>
        <v>15.7470750337514</v>
      </c>
      <c r="AB624" s="79">
        <f>tbl_Data_old[[#This Row],[2031 ]]*IFERROR(AVERAGEIFS('Participation Adjustment'!$C:$C,'Participation Adjustment'!$A:$A,$H624,'Participation Adjustment'!$B:$B,$I624),1)</f>
        <v>19.976580071685099</v>
      </c>
      <c r="AC624" s="79">
        <f>tbl_Data_old[[#This Row],[2032 ]]*IFERROR(AVERAGEIFS('Participation Adjustment'!$C:$C,'Participation Adjustment'!$A:$A,$H624,'Participation Adjustment'!$B:$B,$I624),1)</f>
        <v>24.474459586719799</v>
      </c>
      <c r="AD624" s="79">
        <f>tbl_Data_old[[#This Row],[2033 ]]*IFERROR(AVERAGEIFS('Participation Adjustment'!$C:$C,'Participation Adjustment'!$A:$A,$H624,'Participation Adjustment'!$B:$B,$I624),1)</f>
        <v>29.170278824305399</v>
      </c>
      <c r="AE624" s="79">
        <f>tbl_Data_old[[#This Row],[2034 ]]*IFERROR(AVERAGEIFS('Participation Adjustment'!$C:$C,'Participation Adjustment'!$A:$A,$H624,'Participation Adjustment'!$B:$B,$I624),1)</f>
        <v>34.006607292021002</v>
      </c>
      <c r="AF624" s="77" t="str">
        <f t="shared" si="242"/>
        <v>NonResidential</v>
      </c>
      <c r="AG624" s="77" t="str">
        <f>tbl_Data[[#This Row],[All_Meas_Name_Append]]</f>
        <v>Energy Star convection oven</v>
      </c>
      <c r="AH624" s="77">
        <f>AVERAGEIFS('3. Incentive Adjustment'!G:G,'3. Incentive Adjustment'!A:A,tbl_Data[[#This Row],[Trimmed Sector]],'3. Incentive Adjustment'!B:B,tbl_Data[[#This Row],[Trimmed Measure Name]])</f>
        <v>0.72813370493976592</v>
      </c>
      <c r="AI624" s="77">
        <f>$AH624*tbl_Data[[#This Row],[2025 ]]</f>
        <v>0.97957458545189346</v>
      </c>
      <c r="AJ624" s="77">
        <f>$AH624*tbl_Data[[#This Row],[2026 ]]</f>
        <v>2.3133040697428453</v>
      </c>
      <c r="AK624" s="77">
        <f>$AH624*tbl_Data[[#This Row],[2027 ]]</f>
        <v>4.0325025166189317</v>
      </c>
      <c r="AL624" s="77">
        <f>$AH624*tbl_Data[[#This Row],[2028 ]]</f>
        <v>6.1497331539906996</v>
      </c>
      <c r="AM624" s="77">
        <f>$AH624*tbl_Data[[#This Row],[2029 ]]</f>
        <v>8.6447252529843972</v>
      </c>
      <c r="AN624" s="77">
        <f>$AH624*tbl_Data[[#This Row],[2030 ]]</f>
        <v>11.465976086289897</v>
      </c>
      <c r="AO624" s="77">
        <f>$AH624*tbl_Data[[#This Row],[2031 ]]</f>
        <v>14.545621259621965</v>
      </c>
      <c r="AP624" s="77">
        <f>$AH624*tbl_Data[[#This Row],[2032 ]]</f>
        <v>17.82067893527686</v>
      </c>
      <c r="AQ624" s="77">
        <f>$AH624*tbl_Data[[#This Row],[2033 ]]</f>
        <v>21.239863194467489</v>
      </c>
      <c r="AR624" s="77">
        <f>$AH624*tbl_Data[[#This Row],[2034 ]]</f>
        <v>24.761356959970911</v>
      </c>
      <c r="AS624" s="77">
        <f>SUM(tbl_Data[[#This Row],[Adjusted 2025]:[Adjusted 2034]])</f>
        <v>111.95333601441588</v>
      </c>
      <c r="AT624" s="80">
        <f>AVERAGEIFS('3. Incentive Adjustment'!F:F,'3. Incentive Adjustment'!A:A,tbl_Data[[#This Row],[Trimmed Sector]],'3. Incentive Adjustment'!B:B,tbl_Data[[#This Row],[Trimmed Measure Name]])</f>
        <v>0</v>
      </c>
      <c r="AU624" s="80">
        <f>IFERROR(VLOOKUP(tbl_Data[[#This Row],[All_Meas_Name_Append]],'IRA Tax Credits'!$A$3:$D$46,4,0),0)</f>
        <v>0</v>
      </c>
      <c r="AV624" s="81">
        <f>tbl_Data[[#This Row],[Adj. per unit Incentive ($)]]/tbl_Data[[#This Row],[kWh Savings]]*tbl_Data[[#This Row],[Sum of Annuals]]</f>
        <v>0</v>
      </c>
      <c r="AW624" s="81" t="str">
        <f>IFERROR(VLOOKUP(tbl_Data[[#This Row],[Column1]],'1. Set Program Names'!$B$2:$D$15,3,0)*tbl_Data[[#This Row],[Sum of Annuals]],"")</f>
        <v/>
      </c>
      <c r="AX624" s="81">
        <f>tbl_Data[[#This Row],[per unit IRA tax ($)]]/tbl_Data[[#This Row],[kWh Savings]]*tbl_Data[[#This Row],[Sum of Annuals]]</f>
        <v>0</v>
      </c>
      <c r="AY624" s="81">
        <f>tbl_Data[[#This Row],[Avoided Costs ($/unit)]]/tbl_Data[[#This Row],[kWh Savings]]*tbl_Data[[#This Row],[Sum of Annuals]]</f>
        <v>44.553613182314763</v>
      </c>
      <c r="AZ624" s="81">
        <f>tbl_Data[[#This Row],[Lost Revenue ($/unit)]]/tbl_Data[[#This Row],[kWh Savings]]*tbl_Data[[#This Row],[Sum of Annuals]]</f>
        <v>131.20300231432881</v>
      </c>
      <c r="BA624" s="81">
        <f>tbl_Data[[#This Row],[Incremental Cost ($/unit)]]/tbl_Data[[#This Row],[kWh Savings]]*tbl_Data[[#This Row],[Sum of Annuals]]</f>
        <v>36.491470190718509</v>
      </c>
      <c r="BB624" s="77">
        <f>ROUNDUP(tbl_Data[[#This Row],[Adjusted 2025]]/$L624,0)</f>
        <v>1</v>
      </c>
      <c r="BC624" s="77">
        <f>ROUNDUP(tbl_Data[[#This Row],[Adjusted 2026]]/$L624,0)</f>
        <v>1</v>
      </c>
      <c r="BD624" s="77">
        <f>ROUNDUP(tbl_Data[[#This Row],[Adjusted 2027]]/$L624,0)</f>
        <v>1</v>
      </c>
      <c r="BE624" s="77">
        <f>ROUNDUP(tbl_Data[[#This Row],[Adjusted 2028]]/$L624,0)</f>
        <v>1</v>
      </c>
      <c r="BF624" s="77">
        <f>ROUNDUP(tbl_Data[[#This Row],[Adjusted 2029]]/$L624,0)</f>
        <v>1</v>
      </c>
      <c r="BG624" s="77">
        <f>ROUNDUP(tbl_Data[[#This Row],[Adjusted 2030]]/$L624,0)</f>
        <v>1</v>
      </c>
      <c r="BH624" s="77">
        <f>ROUNDUP(tbl_Data[[#This Row],[Adjusted 2031]]/$L624,0)</f>
        <v>1</v>
      </c>
      <c r="BI624" s="77">
        <f>ROUNDUP(tbl_Data[[#This Row],[Adjusted 2032]]/$L624,0)</f>
        <v>1</v>
      </c>
      <c r="BJ624" s="77">
        <f>ROUNDUP(tbl_Data[[#This Row],[Adjusted 2033]]/$L624,0)</f>
        <v>1</v>
      </c>
      <c r="BK624" s="77">
        <f>ROUNDUP(tbl_Data[[#This Row],[Adjusted 2034]]/$L624,0)</f>
        <v>1</v>
      </c>
      <c r="BL624" s="80">
        <f t="shared" si="243"/>
        <v>0</v>
      </c>
      <c r="BM624" s="80">
        <f t="shared" si="244"/>
        <v>0</v>
      </c>
      <c r="BN624" s="80">
        <f t="shared" si="245"/>
        <v>0</v>
      </c>
      <c r="BO624" s="80">
        <f t="shared" si="246"/>
        <v>0</v>
      </c>
      <c r="BP624" s="80">
        <f t="shared" si="247"/>
        <v>0</v>
      </c>
      <c r="BQ624" s="80">
        <f t="shared" si="248"/>
        <v>0</v>
      </c>
      <c r="BR624" s="80">
        <f t="shared" si="249"/>
        <v>0</v>
      </c>
      <c r="BS624" s="80">
        <f t="shared" si="250"/>
        <v>0</v>
      </c>
      <c r="BT624" s="80">
        <f t="shared" si="251"/>
        <v>0</v>
      </c>
      <c r="BU624" s="80">
        <f t="shared" si="252"/>
        <v>0</v>
      </c>
      <c r="BV624" s="80" t="str">
        <f>IFERROR(VLOOKUP($H624,'1. Set Program Names'!$B$2:$D$15,3,0)*V624,"NA")</f>
        <v>NA</v>
      </c>
      <c r="BW624" s="80" t="str">
        <f>IFERROR(VLOOKUP($H624,'1. Set Program Names'!$B$2:$D$15,3,0)*W624,"NA")</f>
        <v>NA</v>
      </c>
      <c r="BX624" s="80" t="str">
        <f>IFERROR(VLOOKUP($H624,'1. Set Program Names'!$B$2:$D$15,3,0)*X624,"NA")</f>
        <v>NA</v>
      </c>
      <c r="BY624" s="80" t="str">
        <f>IFERROR(VLOOKUP($H624,'1. Set Program Names'!$B$2:$D$15,3,0)*Y624,"NA")</f>
        <v>NA</v>
      </c>
      <c r="BZ624" s="80" t="str">
        <f>IFERROR(VLOOKUP($H624,'1. Set Program Names'!$B$2:$D$15,3,0)*Z624,"NA")</f>
        <v>NA</v>
      </c>
      <c r="CA624" s="80" t="str">
        <f>IFERROR(VLOOKUP($H624,'1. Set Program Names'!$B$2:$D$15,3,0)*AA624,"NA")</f>
        <v>NA</v>
      </c>
      <c r="CB624" s="80" t="str">
        <f>IFERROR(VLOOKUP($H624,'1. Set Program Names'!$B$2:$D$15,3,0)*AB624,"NA")</f>
        <v>NA</v>
      </c>
      <c r="CC624" s="80" t="str">
        <f>IFERROR(VLOOKUP($H624,'1. Set Program Names'!$B$2:$D$15,3,0)*AC624,"NA")</f>
        <v>NA</v>
      </c>
      <c r="CD624" s="80" t="str">
        <f>IFERROR(VLOOKUP($H624,'1. Set Program Names'!$B$2:$D$15,3,0)*AD624,"NA")</f>
        <v>NA</v>
      </c>
      <c r="CE624" s="80" t="str">
        <f>IFERROR(VLOOKUP($H624,'1. Set Program Names'!$B$2:$D$15,3,0)*AE624,"NA")</f>
        <v>NA</v>
      </c>
    </row>
    <row r="625" spans="1:83" x14ac:dyDescent="0.25">
      <c r="A625" s="79" t="s">
        <v>115</v>
      </c>
      <c r="B625" s="79" t="s">
        <v>88</v>
      </c>
      <c r="C625" s="79" t="s">
        <v>122</v>
      </c>
      <c r="D625" s="79" t="s">
        <v>90</v>
      </c>
      <c r="E625" s="79" t="s">
        <v>91</v>
      </c>
      <c r="F625" s="79" t="s">
        <v>90</v>
      </c>
      <c r="G625" s="79" t="s">
        <v>92</v>
      </c>
      <c r="H625" s="79" t="s">
        <v>268</v>
      </c>
      <c r="I625" s="79" t="s">
        <v>140</v>
      </c>
      <c r="J625" s="79" t="s">
        <v>129</v>
      </c>
      <c r="K625" s="79" t="s">
        <v>98</v>
      </c>
      <c r="L625" s="79">
        <v>145.64999999999901</v>
      </c>
      <c r="M625" s="79">
        <v>4.8385631271840701E-2</v>
      </c>
      <c r="N625" s="79">
        <v>0</v>
      </c>
      <c r="O625" s="79">
        <v>41.15</v>
      </c>
      <c r="P625" s="79">
        <v>12.5942011456304</v>
      </c>
      <c r="Q625" s="79">
        <v>0.145649999999999</v>
      </c>
      <c r="R625" s="79">
        <v>71.795310497711</v>
      </c>
      <c r="S625" s="79">
        <v>136.505594800712</v>
      </c>
      <c r="T625" s="79">
        <v>12</v>
      </c>
      <c r="U625" s="79">
        <v>1</v>
      </c>
      <c r="V625" s="79">
        <f>tbl_Data_old[[#This Row],[2025 ]]*IFERROR(AVERAGEIFS('Participation Adjustment'!$C:$C,'Participation Adjustment'!$A:$A,$H625,'Participation Adjustment'!$B:$B,$I625),1)</f>
        <v>54.518820451286601</v>
      </c>
      <c r="W625" s="79">
        <f>tbl_Data_old[[#This Row],[2026 ]]*IFERROR(AVERAGEIFS('Participation Adjustment'!$C:$C,'Participation Adjustment'!$A:$A,$H625,'Participation Adjustment'!$B:$B,$I625),1)</f>
        <v>113.340063372347</v>
      </c>
      <c r="X625" s="79">
        <f>tbl_Data_old[[#This Row],[2027 ]]*IFERROR(AVERAGEIFS('Participation Adjustment'!$C:$C,'Participation Adjustment'!$A:$A,$H625,'Participation Adjustment'!$B:$B,$I625),1)</f>
        <v>175.587574446189</v>
      </c>
      <c r="Y625" s="79">
        <f>tbl_Data_old[[#This Row],[2028 ]]*IFERROR(AVERAGEIFS('Participation Adjustment'!$C:$C,'Participation Adjustment'!$A:$A,$H625,'Participation Adjustment'!$B:$B,$I625),1)</f>
        <v>240.82710452161101</v>
      </c>
      <c r="Z625" s="79">
        <f>tbl_Data_old[[#This Row],[2029 ]]*IFERROR(AVERAGEIFS('Participation Adjustment'!$C:$C,'Participation Adjustment'!$A:$A,$H625,'Participation Adjustment'!$B:$B,$I625),1)</f>
        <v>308.66495534193399</v>
      </c>
      <c r="AA625" s="79">
        <f>tbl_Data_old[[#This Row],[2030 ]]*IFERROR(AVERAGEIFS('Participation Adjustment'!$C:$C,'Participation Adjustment'!$A:$A,$H625,'Participation Adjustment'!$B:$B,$I625),1)</f>
        <v>378.723966123737</v>
      </c>
      <c r="AB625" s="79">
        <f>tbl_Data_old[[#This Row],[2031 ]]*IFERROR(AVERAGEIFS('Participation Adjustment'!$C:$C,'Participation Adjustment'!$A:$A,$H625,'Participation Adjustment'!$B:$B,$I625),1)</f>
        <v>450.71744626506398</v>
      </c>
      <c r="AC625" s="79">
        <f>tbl_Data_old[[#This Row],[2032 ]]*IFERROR(AVERAGEIFS('Participation Adjustment'!$C:$C,'Participation Adjustment'!$A:$A,$H625,'Participation Adjustment'!$B:$B,$I625),1)</f>
        <v>524.567172772871</v>
      </c>
      <c r="AD625" s="79">
        <f>tbl_Data_old[[#This Row],[2033 ]]*IFERROR(AVERAGEIFS('Participation Adjustment'!$C:$C,'Participation Adjustment'!$A:$A,$H625,'Participation Adjustment'!$B:$B,$I625),1)</f>
        <v>600.27782834329003</v>
      </c>
      <c r="AE625" s="79">
        <f>tbl_Data_old[[#This Row],[2034 ]]*IFERROR(AVERAGEIFS('Participation Adjustment'!$C:$C,'Participation Adjustment'!$A:$A,$H625,'Participation Adjustment'!$B:$B,$I625),1)</f>
        <v>677.78342723512003</v>
      </c>
      <c r="AF625" s="77" t="str">
        <f t="shared" si="242"/>
        <v>NonResidential</v>
      </c>
      <c r="AG625" s="77" t="str">
        <f>tbl_Data[[#This Row],[All_Meas_Name_Append]]</f>
        <v>Energy Star room AC_137</v>
      </c>
      <c r="AH625" s="77">
        <f>AVERAGEIFS('3. Incentive Adjustment'!G:G,'3. Incentive Adjustment'!A:A,tbl_Data[[#This Row],[Trimmed Sector]],'3. Incentive Adjustment'!B:B,tbl_Data[[#This Row],[Trimmed Measure Name]])</f>
        <v>0.79600466062818009</v>
      </c>
      <c r="AI625" s="77">
        <f>$AH625*tbl_Data[[#This Row],[2025 ]]</f>
        <v>43.397235171175076</v>
      </c>
      <c r="AJ625" s="77">
        <f>$AH625*tbl_Data[[#This Row],[2026 ]]</f>
        <v>90.2192186802815</v>
      </c>
      <c r="AK625" s="77">
        <f>$AH625*tbl_Data[[#This Row],[2027 ]]</f>
        <v>139.76852760756398</v>
      </c>
      <c r="AL625" s="77">
        <f>$AH625*tbl_Data[[#This Row],[2028 ]]</f>
        <v>191.69949760479221</v>
      </c>
      <c r="AM625" s="77">
        <f>$AH625*tbl_Data[[#This Row],[2029 ]]</f>
        <v>245.69874302476853</v>
      </c>
      <c r="AN625" s="77">
        <f>$AH625*tbl_Data[[#This Row],[2030 ]]</f>
        <v>301.46604212608366</v>
      </c>
      <c r="AO625" s="77">
        <f>$AH625*tbl_Data[[#This Row],[2031 ]]</f>
        <v>358.77318785342226</v>
      </c>
      <c r="AP625" s="77">
        <f>$AH625*tbl_Data[[#This Row],[2032 ]]</f>
        <v>417.5579143397531</v>
      </c>
      <c r="AQ625" s="77">
        <f>$AH625*tbl_Data[[#This Row],[2033 ]]</f>
        <v>477.82394903302151</v>
      </c>
      <c r="AR625" s="77">
        <f>$AH625*tbl_Data[[#This Row],[2034 ]]</f>
        <v>539.51876697569651</v>
      </c>
      <c r="AS625" s="77">
        <f>SUM(tbl_Data[[#This Row],[Adjusted 2025]:[Adjusted 2034]])</f>
        <v>2805.9230824165584</v>
      </c>
      <c r="AT625" s="80">
        <f>AVERAGEIFS('3. Incentive Adjustment'!F:F,'3. Incentive Adjustment'!A:A,tbl_Data[[#This Row],[Trimmed Sector]],'3. Incentive Adjustment'!B:B,tbl_Data[[#This Row],[Trimmed Measure Name]])</f>
        <v>0</v>
      </c>
      <c r="AU625" s="80">
        <f>IFERROR(VLOOKUP(tbl_Data[[#This Row],[All_Meas_Name_Append]],'IRA Tax Credits'!$A$3:$D$46,4,0),0)</f>
        <v>0</v>
      </c>
      <c r="AV625" s="81">
        <f>tbl_Data[[#This Row],[Adj. per unit Incentive ($)]]/tbl_Data[[#This Row],[kWh Savings]]*tbl_Data[[#This Row],[Sum of Annuals]]</f>
        <v>0</v>
      </c>
      <c r="AW625" s="81" t="str">
        <f>IFERROR(VLOOKUP(tbl_Data[[#This Row],[Column1]],'1. Set Program Names'!$B$2:$D$15,3,0)*tbl_Data[[#This Row],[Sum of Annuals]],"")</f>
        <v/>
      </c>
      <c r="AX625" s="81">
        <f>tbl_Data[[#This Row],[per unit IRA tax ($)]]/tbl_Data[[#This Row],[kWh Savings]]*tbl_Data[[#This Row],[Sum of Annuals]]</f>
        <v>0</v>
      </c>
      <c r="AY625" s="81">
        <f>tbl_Data[[#This Row],[Avoided Costs ($/unit)]]/tbl_Data[[#This Row],[kWh Savings]]*tbl_Data[[#This Row],[Sum of Annuals]]</f>
        <v>1383.1247438022142</v>
      </c>
      <c r="AZ625" s="81">
        <f>tbl_Data[[#This Row],[Lost Revenue ($/unit)]]/tbl_Data[[#This Row],[kWh Savings]]*tbl_Data[[#This Row],[Sum of Annuals]]</f>
        <v>2629.7576335758472</v>
      </c>
      <c r="BA625" s="81">
        <f>tbl_Data[[#This Row],[Incremental Cost ($/unit)]]/tbl_Data[[#This Row],[kWh Savings]]*tbl_Data[[#This Row],[Sum of Annuals]]</f>
        <v>792.74792201470757</v>
      </c>
      <c r="BB625" s="77">
        <f>ROUNDUP(tbl_Data[[#This Row],[Adjusted 2025]]/$L625,0)</f>
        <v>1</v>
      </c>
      <c r="BC625" s="77">
        <f>ROUNDUP(tbl_Data[[#This Row],[Adjusted 2026]]/$L625,0)</f>
        <v>1</v>
      </c>
      <c r="BD625" s="77">
        <f>ROUNDUP(tbl_Data[[#This Row],[Adjusted 2027]]/$L625,0)</f>
        <v>1</v>
      </c>
      <c r="BE625" s="77">
        <f>ROUNDUP(tbl_Data[[#This Row],[Adjusted 2028]]/$L625,0)</f>
        <v>2</v>
      </c>
      <c r="BF625" s="77">
        <f>ROUNDUP(tbl_Data[[#This Row],[Adjusted 2029]]/$L625,0)</f>
        <v>2</v>
      </c>
      <c r="BG625" s="77">
        <f>ROUNDUP(tbl_Data[[#This Row],[Adjusted 2030]]/$L625,0)</f>
        <v>3</v>
      </c>
      <c r="BH625" s="77">
        <f>ROUNDUP(tbl_Data[[#This Row],[Adjusted 2031]]/$L625,0)</f>
        <v>3</v>
      </c>
      <c r="BI625" s="77">
        <f>ROUNDUP(tbl_Data[[#This Row],[Adjusted 2032]]/$L625,0)</f>
        <v>3</v>
      </c>
      <c r="BJ625" s="77">
        <f>ROUNDUP(tbl_Data[[#This Row],[Adjusted 2033]]/$L625,0)</f>
        <v>4</v>
      </c>
      <c r="BK625" s="77">
        <f>ROUNDUP(tbl_Data[[#This Row],[Adjusted 2034]]/$L625,0)</f>
        <v>4</v>
      </c>
      <c r="BL625" s="80">
        <f t="shared" si="243"/>
        <v>0</v>
      </c>
      <c r="BM625" s="80">
        <f t="shared" si="244"/>
        <v>0</v>
      </c>
      <c r="BN625" s="80">
        <f t="shared" si="245"/>
        <v>0</v>
      </c>
      <c r="BO625" s="80">
        <f t="shared" si="246"/>
        <v>0</v>
      </c>
      <c r="BP625" s="80">
        <f t="shared" si="247"/>
        <v>0</v>
      </c>
      <c r="BQ625" s="80">
        <f t="shared" si="248"/>
        <v>0</v>
      </c>
      <c r="BR625" s="80">
        <f t="shared" si="249"/>
        <v>0</v>
      </c>
      <c r="BS625" s="80">
        <f t="shared" si="250"/>
        <v>0</v>
      </c>
      <c r="BT625" s="80">
        <f t="shared" si="251"/>
        <v>0</v>
      </c>
      <c r="BU625" s="80">
        <f t="shared" si="252"/>
        <v>0</v>
      </c>
      <c r="BV625" s="80" t="str">
        <f>IFERROR(VLOOKUP($H625,'1. Set Program Names'!$B$2:$D$15,3,0)*V625,"NA")</f>
        <v>NA</v>
      </c>
      <c r="BW625" s="80" t="str">
        <f>IFERROR(VLOOKUP($H625,'1. Set Program Names'!$B$2:$D$15,3,0)*W625,"NA")</f>
        <v>NA</v>
      </c>
      <c r="BX625" s="80" t="str">
        <f>IFERROR(VLOOKUP($H625,'1. Set Program Names'!$B$2:$D$15,3,0)*X625,"NA")</f>
        <v>NA</v>
      </c>
      <c r="BY625" s="80" t="str">
        <f>IFERROR(VLOOKUP($H625,'1. Set Program Names'!$B$2:$D$15,3,0)*Y625,"NA")</f>
        <v>NA</v>
      </c>
      <c r="BZ625" s="80" t="str">
        <f>IFERROR(VLOOKUP($H625,'1. Set Program Names'!$B$2:$D$15,3,0)*Z625,"NA")</f>
        <v>NA</v>
      </c>
      <c r="CA625" s="80" t="str">
        <f>IFERROR(VLOOKUP($H625,'1. Set Program Names'!$B$2:$D$15,3,0)*AA625,"NA")</f>
        <v>NA</v>
      </c>
      <c r="CB625" s="80" t="str">
        <f>IFERROR(VLOOKUP($H625,'1. Set Program Names'!$B$2:$D$15,3,0)*AB625,"NA")</f>
        <v>NA</v>
      </c>
      <c r="CC625" s="80" t="str">
        <f>IFERROR(VLOOKUP($H625,'1. Set Program Names'!$B$2:$D$15,3,0)*AC625,"NA")</f>
        <v>NA</v>
      </c>
      <c r="CD625" s="80" t="str">
        <f>IFERROR(VLOOKUP($H625,'1. Set Program Names'!$B$2:$D$15,3,0)*AD625,"NA")</f>
        <v>NA</v>
      </c>
      <c r="CE625" s="80" t="str">
        <f>IFERROR(VLOOKUP($H625,'1. Set Program Names'!$B$2:$D$15,3,0)*AE625,"NA")</f>
        <v>NA</v>
      </c>
    </row>
    <row r="626" spans="1:83" x14ac:dyDescent="0.25">
      <c r="A626" s="79" t="s">
        <v>115</v>
      </c>
      <c r="B626" s="79" t="s">
        <v>88</v>
      </c>
      <c r="C626" s="79" t="s">
        <v>122</v>
      </c>
      <c r="D626" s="79" t="s">
        <v>90</v>
      </c>
      <c r="E626" s="79" t="s">
        <v>91</v>
      </c>
      <c r="F626" s="79" t="s">
        <v>90</v>
      </c>
      <c r="G626" s="79" t="s">
        <v>92</v>
      </c>
      <c r="H626" s="79" t="s">
        <v>268</v>
      </c>
      <c r="I626" s="79" t="s">
        <v>141</v>
      </c>
      <c r="J626" s="79" t="s">
        <v>134</v>
      </c>
      <c r="K626" s="79" t="s">
        <v>98</v>
      </c>
      <c r="L626" s="79">
        <v>12160.5</v>
      </c>
      <c r="M626" s="79">
        <v>1.5637825072468701</v>
      </c>
      <c r="N626" s="79">
        <v>1.33304839745786</v>
      </c>
      <c r="O626" s="79">
        <v>3109.4399999999901</v>
      </c>
      <c r="P626" s="79">
        <v>607.94061759330305</v>
      </c>
      <c r="Q626" s="79">
        <v>12.160500000000001</v>
      </c>
      <c r="R626" s="79">
        <v>4122.3511685728599</v>
      </c>
      <c r="S626" s="79">
        <v>11397.022214720701</v>
      </c>
      <c r="T626" s="79">
        <v>12</v>
      </c>
      <c r="U626" s="79">
        <v>1</v>
      </c>
      <c r="V626" s="79">
        <f>tbl_Data_old[[#This Row],[2025 ]]*IFERROR(AVERAGEIFS('Participation Adjustment'!$C:$C,'Participation Adjustment'!$A:$A,$H626,'Participation Adjustment'!$B:$B,$I626),1)</f>
        <v>2.6518914562809601</v>
      </c>
      <c r="W626" s="79">
        <f>tbl_Data_old[[#This Row],[2026 ]]*IFERROR(AVERAGEIFS('Participation Adjustment'!$C:$C,'Participation Adjustment'!$A:$A,$H626,'Participation Adjustment'!$B:$B,$I626),1)</f>
        <v>6.2939285282790598</v>
      </c>
      <c r="X626" s="79">
        <f>tbl_Data_old[[#This Row],[2027 ]]*IFERROR(AVERAGEIFS('Participation Adjustment'!$C:$C,'Participation Adjustment'!$A:$A,$H626,'Participation Adjustment'!$B:$B,$I626),1)</f>
        <v>11.034903419464801</v>
      </c>
      <c r="Y626" s="79">
        <f>tbl_Data_old[[#This Row],[2028 ]]*IFERROR(AVERAGEIFS('Participation Adjustment'!$C:$C,'Participation Adjustment'!$A:$A,$H626,'Participation Adjustment'!$B:$B,$I626),1)</f>
        <v>16.9345770574662</v>
      </c>
      <c r="Z626" s="79">
        <f>tbl_Data_old[[#This Row],[2029 ]]*IFERROR(AVERAGEIFS('Participation Adjustment'!$C:$C,'Participation Adjustment'!$A:$A,$H626,'Participation Adjustment'!$B:$B,$I626),1)</f>
        <v>23.957882243998998</v>
      </c>
      <c r="AA626" s="79">
        <f>tbl_Data_old[[#This Row],[2030 ]]*IFERROR(AVERAGEIFS('Participation Adjustment'!$C:$C,'Participation Adjustment'!$A:$A,$H626,'Participation Adjustment'!$B:$B,$I626),1)</f>
        <v>31.971941309646201</v>
      </c>
      <c r="AB626" s="79">
        <f>tbl_Data_old[[#This Row],[2031 ]]*IFERROR(AVERAGEIFS('Participation Adjustment'!$C:$C,'Participation Adjustment'!$A:$A,$H626,'Participation Adjustment'!$B:$B,$I626),1)</f>
        <v>40.784828136652301</v>
      </c>
      <c r="AC626" s="79">
        <f>tbl_Data_old[[#This Row],[2032 ]]*IFERROR(AVERAGEIFS('Participation Adjustment'!$C:$C,'Participation Adjustment'!$A:$A,$H626,'Participation Adjustment'!$B:$B,$I626),1)</f>
        <v>50.208784803247497</v>
      </c>
      <c r="AD626" s="79">
        <f>tbl_Data_old[[#This Row],[2033 ]]*IFERROR(AVERAGEIFS('Participation Adjustment'!$C:$C,'Participation Adjustment'!$A:$A,$H626,'Participation Adjustment'!$B:$B,$I626),1)</f>
        <v>60.085294937570197</v>
      </c>
      <c r="AE626" s="79">
        <f>tbl_Data_old[[#This Row],[2034 ]]*IFERROR(AVERAGEIFS('Participation Adjustment'!$C:$C,'Participation Adjustment'!$A:$A,$H626,'Participation Adjustment'!$B:$B,$I626),1)</f>
        <v>70.283042540001105</v>
      </c>
      <c r="AF626" s="77" t="str">
        <f t="shared" si="242"/>
        <v>NonResidential</v>
      </c>
      <c r="AG626" s="77" t="str">
        <f>tbl_Data[[#This Row],[All_Meas_Name_Append]]</f>
        <v>Energy Star Steamer</v>
      </c>
      <c r="AH626" s="77">
        <f>AVERAGEIFS('3. Incentive Adjustment'!G:G,'3. Incentive Adjustment'!A:A,tbl_Data[[#This Row],[Trimmed Sector]],'3. Incentive Adjustment'!B:B,tbl_Data[[#This Row],[Trimmed Measure Name]])</f>
        <v>0.87642178647683033</v>
      </c>
      <c r="AI626" s="77">
        <f>$AH626*tbl_Data[[#This Row],[2025 ]]</f>
        <v>2.3241754476564025</v>
      </c>
      <c r="AJ626" s="77">
        <f>$AH626*tbl_Data[[#This Row],[2026 ]]</f>
        <v>5.516136084711821</v>
      </c>
      <c r="AK626" s="77">
        <f>$AH626*tbl_Data[[#This Row],[2027 ]]</f>
        <v>9.671229768486624</v>
      </c>
      <c r="AL626" s="77">
        <f>$AH626*tbl_Data[[#This Row],[2028 ]]</f>
        <v>14.841832277934072</v>
      </c>
      <c r="AM626" s="77">
        <f>$AH626*tbl_Data[[#This Row],[2029 ]]</f>
        <v>20.997209956487136</v>
      </c>
      <c r="AN626" s="77">
        <f>$AH626*tbl_Data[[#This Row],[2030 ]]</f>
        <v>28.020905919732495</v>
      </c>
      <c r="AO626" s="77">
        <f>$AH626*tbl_Data[[#This Row],[2031 ]]</f>
        <v>35.744711936675309</v>
      </c>
      <c r="AP626" s="77">
        <f>$AH626*tbl_Data[[#This Row],[2032 ]]</f>
        <v>44.004072874092898</v>
      </c>
      <c r="AQ626" s="77">
        <f>$AH626*tbl_Data[[#This Row],[2033 ]]</f>
        <v>52.66006153017252</v>
      </c>
      <c r="AR626" s="77">
        <f>$AH626*tbl_Data[[#This Row],[2034 ]]</f>
        <v>61.59758970193483</v>
      </c>
      <c r="AS626" s="77">
        <f>SUM(tbl_Data[[#This Row],[Adjusted 2025]:[Adjusted 2034]])</f>
        <v>275.37792549788412</v>
      </c>
      <c r="AT626" s="80">
        <f>AVERAGEIFS('3. Incentive Adjustment'!F:F,'3. Incentive Adjustment'!A:A,tbl_Data[[#This Row],[Trimmed Sector]],'3. Incentive Adjustment'!B:B,tbl_Data[[#This Row],[Trimmed Measure Name]])</f>
        <v>0</v>
      </c>
      <c r="AU626" s="80">
        <f>IFERROR(VLOOKUP(tbl_Data[[#This Row],[All_Meas_Name_Append]],'IRA Tax Credits'!$A$3:$D$46,4,0),0)</f>
        <v>0</v>
      </c>
      <c r="AV626" s="81">
        <f>tbl_Data[[#This Row],[Adj. per unit Incentive ($)]]/tbl_Data[[#This Row],[kWh Savings]]*tbl_Data[[#This Row],[Sum of Annuals]]</f>
        <v>0</v>
      </c>
      <c r="AW626" s="81" t="str">
        <f>IFERROR(VLOOKUP(tbl_Data[[#This Row],[Column1]],'1. Set Program Names'!$B$2:$D$15,3,0)*tbl_Data[[#This Row],[Sum of Annuals]],"")</f>
        <v/>
      </c>
      <c r="AX626" s="81">
        <f>tbl_Data[[#This Row],[per unit IRA tax ($)]]/tbl_Data[[#This Row],[kWh Savings]]*tbl_Data[[#This Row],[Sum of Annuals]]</f>
        <v>0</v>
      </c>
      <c r="AY626" s="81">
        <f>tbl_Data[[#This Row],[Avoided Costs ($/unit)]]/tbl_Data[[#This Row],[kWh Savings]]*tbl_Data[[#This Row],[Sum of Annuals]]</f>
        <v>93.351795812291641</v>
      </c>
      <c r="AZ626" s="81">
        <f>tbl_Data[[#This Row],[Lost Revenue ($/unit)]]/tbl_Data[[#This Row],[kWh Savings]]*tbl_Data[[#This Row],[Sum of Annuals]]</f>
        <v>258.0887573983872</v>
      </c>
      <c r="BA626" s="81">
        <f>tbl_Data[[#This Row],[Incremental Cost ($/unit)]]/tbl_Data[[#This Row],[kWh Savings]]*tbl_Data[[#This Row],[Sum of Annuals]]</f>
        <v>70.41413894660073</v>
      </c>
      <c r="BB626" s="77">
        <f>ROUNDUP(tbl_Data[[#This Row],[Adjusted 2025]]/$L626,0)</f>
        <v>1</v>
      </c>
      <c r="BC626" s="77">
        <f>ROUNDUP(tbl_Data[[#This Row],[Adjusted 2026]]/$L626,0)</f>
        <v>1</v>
      </c>
      <c r="BD626" s="77">
        <f>ROUNDUP(tbl_Data[[#This Row],[Adjusted 2027]]/$L626,0)</f>
        <v>1</v>
      </c>
      <c r="BE626" s="77">
        <f>ROUNDUP(tbl_Data[[#This Row],[Adjusted 2028]]/$L626,0)</f>
        <v>1</v>
      </c>
      <c r="BF626" s="77">
        <f>ROUNDUP(tbl_Data[[#This Row],[Adjusted 2029]]/$L626,0)</f>
        <v>1</v>
      </c>
      <c r="BG626" s="77">
        <f>ROUNDUP(tbl_Data[[#This Row],[Adjusted 2030]]/$L626,0)</f>
        <v>1</v>
      </c>
      <c r="BH626" s="77">
        <f>ROUNDUP(tbl_Data[[#This Row],[Adjusted 2031]]/$L626,0)</f>
        <v>1</v>
      </c>
      <c r="BI626" s="77">
        <f>ROUNDUP(tbl_Data[[#This Row],[Adjusted 2032]]/$L626,0)</f>
        <v>1</v>
      </c>
      <c r="BJ626" s="77">
        <f>ROUNDUP(tbl_Data[[#This Row],[Adjusted 2033]]/$L626,0)</f>
        <v>1</v>
      </c>
      <c r="BK626" s="77">
        <f>ROUNDUP(tbl_Data[[#This Row],[Adjusted 2034]]/$L626,0)</f>
        <v>1</v>
      </c>
      <c r="BL626" s="80">
        <f t="shared" si="243"/>
        <v>0</v>
      </c>
      <c r="BM626" s="80">
        <f t="shared" si="244"/>
        <v>0</v>
      </c>
      <c r="BN626" s="80">
        <f t="shared" si="245"/>
        <v>0</v>
      </c>
      <c r="BO626" s="80">
        <f t="shared" si="246"/>
        <v>0</v>
      </c>
      <c r="BP626" s="80">
        <f t="shared" si="247"/>
        <v>0</v>
      </c>
      <c r="BQ626" s="80">
        <f t="shared" si="248"/>
        <v>0</v>
      </c>
      <c r="BR626" s="80">
        <f t="shared" si="249"/>
        <v>0</v>
      </c>
      <c r="BS626" s="80">
        <f t="shared" si="250"/>
        <v>0</v>
      </c>
      <c r="BT626" s="80">
        <f t="shared" si="251"/>
        <v>0</v>
      </c>
      <c r="BU626" s="80">
        <f t="shared" si="252"/>
        <v>0</v>
      </c>
      <c r="BV626" s="80" t="str">
        <f>IFERROR(VLOOKUP($H626,'1. Set Program Names'!$B$2:$D$15,3,0)*V626,"NA")</f>
        <v>NA</v>
      </c>
      <c r="BW626" s="80" t="str">
        <f>IFERROR(VLOOKUP($H626,'1. Set Program Names'!$B$2:$D$15,3,0)*W626,"NA")</f>
        <v>NA</v>
      </c>
      <c r="BX626" s="80" t="str">
        <f>IFERROR(VLOOKUP($H626,'1. Set Program Names'!$B$2:$D$15,3,0)*X626,"NA")</f>
        <v>NA</v>
      </c>
      <c r="BY626" s="80" t="str">
        <f>IFERROR(VLOOKUP($H626,'1. Set Program Names'!$B$2:$D$15,3,0)*Y626,"NA")</f>
        <v>NA</v>
      </c>
      <c r="BZ626" s="80" t="str">
        <f>IFERROR(VLOOKUP($H626,'1. Set Program Names'!$B$2:$D$15,3,0)*Z626,"NA")</f>
        <v>NA</v>
      </c>
      <c r="CA626" s="80" t="str">
        <f>IFERROR(VLOOKUP($H626,'1. Set Program Names'!$B$2:$D$15,3,0)*AA626,"NA")</f>
        <v>NA</v>
      </c>
      <c r="CB626" s="80" t="str">
        <f>IFERROR(VLOOKUP($H626,'1. Set Program Names'!$B$2:$D$15,3,0)*AB626,"NA")</f>
        <v>NA</v>
      </c>
      <c r="CC626" s="80" t="str">
        <f>IFERROR(VLOOKUP($H626,'1. Set Program Names'!$B$2:$D$15,3,0)*AC626,"NA")</f>
        <v>NA</v>
      </c>
      <c r="CD626" s="80" t="str">
        <f>IFERROR(VLOOKUP($H626,'1. Set Program Names'!$B$2:$D$15,3,0)*AD626,"NA")</f>
        <v>NA</v>
      </c>
      <c r="CE626" s="80" t="str">
        <f>IFERROR(VLOOKUP($H626,'1. Set Program Names'!$B$2:$D$15,3,0)*AE626,"NA")</f>
        <v>NA</v>
      </c>
    </row>
    <row r="627" spans="1:83" x14ac:dyDescent="0.25">
      <c r="A627" s="79" t="s">
        <v>115</v>
      </c>
      <c r="B627" s="79" t="s">
        <v>88</v>
      </c>
      <c r="C627" s="79" t="s">
        <v>122</v>
      </c>
      <c r="D627" s="79" t="s">
        <v>90</v>
      </c>
      <c r="E627" s="79" t="s">
        <v>91</v>
      </c>
      <c r="F627" s="79" t="s">
        <v>90</v>
      </c>
      <c r="G627" s="79" t="s">
        <v>92</v>
      </c>
      <c r="H627" s="79" t="s">
        <v>268</v>
      </c>
      <c r="I627" s="79" t="s">
        <v>142</v>
      </c>
      <c r="J627" s="79" t="s">
        <v>137</v>
      </c>
      <c r="K627" s="79" t="s">
        <v>98</v>
      </c>
      <c r="L627" s="79">
        <v>11250</v>
      </c>
      <c r="M627" s="79">
        <v>1.3809947593685901</v>
      </c>
      <c r="N627" s="79">
        <v>1.3808111252514099</v>
      </c>
      <c r="O627" s="79">
        <v>3147</v>
      </c>
      <c r="P627" s="79">
        <v>832.79679683603899</v>
      </c>
      <c r="Q627" s="79">
        <v>11.25</v>
      </c>
      <c r="R627" s="79">
        <v>4868.3629963469202</v>
      </c>
      <c r="S627" s="79">
        <v>12218.8507873668</v>
      </c>
      <c r="T627" s="79">
        <v>15</v>
      </c>
      <c r="U627" s="79">
        <v>1</v>
      </c>
      <c r="V627" s="79">
        <f>tbl_Data_old[[#This Row],[2025 ]]*IFERROR(AVERAGEIFS('Participation Adjustment'!$C:$C,'Participation Adjustment'!$A:$A,$H627,'Participation Adjustment'!$B:$B,$I627),1)</f>
        <v>2.5943906388183402</v>
      </c>
      <c r="W627" s="79">
        <f>tbl_Data_old[[#This Row],[2026 ]]*IFERROR(AVERAGEIFS('Participation Adjustment'!$C:$C,'Participation Adjustment'!$A:$A,$H627,'Participation Adjustment'!$B:$B,$I627),1)</f>
        <v>6.1707240370404799</v>
      </c>
      <c r="X627" s="79">
        <f>tbl_Data_old[[#This Row],[2027 ]]*IFERROR(AVERAGEIFS('Participation Adjustment'!$C:$C,'Participation Adjustment'!$A:$A,$H627,'Participation Adjustment'!$B:$B,$I627),1)</f>
        <v>10.9628175290499</v>
      </c>
      <c r="Y627" s="79">
        <f>tbl_Data_old[[#This Row],[2028 ]]*IFERROR(AVERAGEIFS('Participation Adjustment'!$C:$C,'Participation Adjustment'!$A:$A,$H627,'Participation Adjustment'!$B:$B,$I627),1)</f>
        <v>17.200153305075101</v>
      </c>
      <c r="Z627" s="79">
        <f>tbl_Data_old[[#This Row],[2029 ]]*IFERROR(AVERAGEIFS('Participation Adjustment'!$C:$C,'Participation Adjustment'!$A:$A,$H627,'Participation Adjustment'!$B:$B,$I627),1)</f>
        <v>25.0101050922521</v>
      </c>
      <c r="AA627" s="79">
        <f>tbl_Data_old[[#This Row],[2030 ]]*IFERROR(AVERAGEIFS('Participation Adjustment'!$C:$C,'Participation Adjustment'!$A:$A,$H627,'Participation Adjustment'!$B:$B,$I627),1)</f>
        <v>34.301369082174297</v>
      </c>
      <c r="AB627" s="79">
        <f>tbl_Data_old[[#This Row],[2031 ]]*IFERROR(AVERAGEIFS('Participation Adjustment'!$C:$C,'Participation Adjustment'!$A:$A,$H627,'Participation Adjustment'!$B:$B,$I627),1)</f>
        <v>44.678177495247702</v>
      </c>
      <c r="AC627" s="79">
        <f>tbl_Data_old[[#This Row],[2032 ]]*IFERROR(AVERAGEIFS('Participation Adjustment'!$C:$C,'Participation Adjustment'!$A:$A,$H627,'Participation Adjustment'!$B:$B,$I627),1)</f>
        <v>55.440021609844401</v>
      </c>
      <c r="AD627" s="79">
        <f>tbl_Data_old[[#This Row],[2033 ]]*IFERROR(AVERAGEIFS('Participation Adjustment'!$C:$C,'Participation Adjustment'!$A:$A,$H627,'Participation Adjustment'!$B:$B,$I627),1)</f>
        <v>65.704831473377098</v>
      </c>
      <c r="AE627" s="79">
        <f>tbl_Data_old[[#This Row],[2034 ]]*IFERROR(AVERAGEIFS('Participation Adjustment'!$C:$C,'Participation Adjustment'!$A:$A,$H627,'Participation Adjustment'!$B:$B,$I627),1)</f>
        <v>74.677859090601302</v>
      </c>
      <c r="AF627" s="77" t="str">
        <f t="shared" si="242"/>
        <v>NonResidential</v>
      </c>
      <c r="AG627" s="77" t="str">
        <f>tbl_Data[[#This Row],[All_Meas_Name_Append]]</f>
        <v>Escalator Motor Efficiency Controller</v>
      </c>
      <c r="AH627" s="77">
        <f>AVERAGEIFS('3. Incentive Adjustment'!G:G,'3. Incentive Adjustment'!A:A,tbl_Data[[#This Row],[Trimmed Sector]],'3. Incentive Adjustment'!B:B,tbl_Data[[#This Row],[Trimmed Measure Name]])</f>
        <v>0.82257117184015105</v>
      </c>
      <c r="AI627" s="77">
        <f>$AH627*tbl_Data[[#This Row],[2025 ]]</f>
        <v>2.1340709479839202</v>
      </c>
      <c r="AJ627" s="77">
        <f>$AH627*tbl_Data[[#This Row],[2026 ]]</f>
        <v>5.0758597022505754</v>
      </c>
      <c r="AK627" s="77">
        <f>$AH627*tbl_Data[[#This Row],[2027 ]]</f>
        <v>9.0176976615403248</v>
      </c>
      <c r="AL627" s="77">
        <f>$AH627*tbl_Data[[#This Row],[2028 ]]</f>
        <v>14.148350259985873</v>
      </c>
      <c r="AM627" s="77">
        <f>$AH627*tbl_Data[[#This Row],[2029 ]]</f>
        <v>20.57259145357914</v>
      </c>
      <c r="AN627" s="77">
        <f>$AH627*tbl_Data[[#This Row],[2030 ]]</f>
        <v>28.215317361645639</v>
      </c>
      <c r="AO627" s="77">
        <f>$AH627*tbl_Data[[#This Row],[2031 ]]</f>
        <v>36.750980817948168</v>
      </c>
      <c r="AP627" s="77">
        <f>$AH627*tbl_Data[[#This Row],[2032 ]]</f>
        <v>45.603363542453003</v>
      </c>
      <c r="AQ627" s="77">
        <f>$AH627*tbl_Data[[#This Row],[2033 ]]</f>
        <v>54.046900220615441</v>
      </c>
      <c r="AR627" s="77">
        <f>$AH627*tbl_Data[[#This Row],[2034 ]]</f>
        <v>61.427854062669589</v>
      </c>
      <c r="AS627" s="77">
        <f>SUM(tbl_Data[[#This Row],[Adjusted 2025]:[Adjusted 2034]])</f>
        <v>276.99298603067166</v>
      </c>
      <c r="AT627" s="80">
        <f>AVERAGEIFS('3. Incentive Adjustment'!F:F,'3. Incentive Adjustment'!A:A,tbl_Data[[#This Row],[Trimmed Sector]],'3. Incentive Adjustment'!B:B,tbl_Data[[#This Row],[Trimmed Measure Name]])</f>
        <v>0</v>
      </c>
      <c r="AU627" s="80">
        <f>IFERROR(VLOOKUP(tbl_Data[[#This Row],[All_Meas_Name_Append]],'IRA Tax Credits'!$A$3:$D$46,4,0),0)</f>
        <v>0</v>
      </c>
      <c r="AV627" s="81">
        <f>tbl_Data[[#This Row],[Adj. per unit Incentive ($)]]/tbl_Data[[#This Row],[kWh Savings]]*tbl_Data[[#This Row],[Sum of Annuals]]</f>
        <v>0</v>
      </c>
      <c r="AW627" s="81" t="str">
        <f>IFERROR(VLOOKUP(tbl_Data[[#This Row],[Column1]],'1. Set Program Names'!$B$2:$D$15,3,0)*tbl_Data[[#This Row],[Sum of Annuals]],"")</f>
        <v/>
      </c>
      <c r="AX627" s="81">
        <f>tbl_Data[[#This Row],[per unit IRA tax ($)]]/tbl_Data[[#This Row],[kWh Savings]]*tbl_Data[[#This Row],[Sum of Annuals]]</f>
        <v>0</v>
      </c>
      <c r="AY627" s="81">
        <f>tbl_Data[[#This Row],[Avoided Costs ($/unit)]]/tbl_Data[[#This Row],[kWh Savings]]*tbl_Data[[#This Row],[Sum of Annuals]]</f>
        <v>119.866880305721</v>
      </c>
      <c r="AZ627" s="81">
        <f>tbl_Data[[#This Row],[Lost Revenue ($/unit)]]/tbl_Data[[#This Row],[kWh Savings]]*tbl_Data[[#This Row],[Sum of Annuals]]</f>
        <v>300.84764137386259</v>
      </c>
      <c r="BA627" s="81">
        <f>tbl_Data[[#This Row],[Incremental Cost ($/unit)]]/tbl_Data[[#This Row],[kWh Savings]]*tbl_Data[[#This Row],[Sum of Annuals]]</f>
        <v>77.484171292313221</v>
      </c>
      <c r="BB627" s="77">
        <f>ROUNDUP(tbl_Data[[#This Row],[Adjusted 2025]]/$L627,0)</f>
        <v>1</v>
      </c>
      <c r="BC627" s="77">
        <f>ROUNDUP(tbl_Data[[#This Row],[Adjusted 2026]]/$L627,0)</f>
        <v>1</v>
      </c>
      <c r="BD627" s="77">
        <f>ROUNDUP(tbl_Data[[#This Row],[Adjusted 2027]]/$L627,0)</f>
        <v>1</v>
      </c>
      <c r="BE627" s="77">
        <f>ROUNDUP(tbl_Data[[#This Row],[Adjusted 2028]]/$L627,0)</f>
        <v>1</v>
      </c>
      <c r="BF627" s="77">
        <f>ROUNDUP(tbl_Data[[#This Row],[Adjusted 2029]]/$L627,0)</f>
        <v>1</v>
      </c>
      <c r="BG627" s="77">
        <f>ROUNDUP(tbl_Data[[#This Row],[Adjusted 2030]]/$L627,0)</f>
        <v>1</v>
      </c>
      <c r="BH627" s="77">
        <f>ROUNDUP(tbl_Data[[#This Row],[Adjusted 2031]]/$L627,0)</f>
        <v>1</v>
      </c>
      <c r="BI627" s="77">
        <f>ROUNDUP(tbl_Data[[#This Row],[Adjusted 2032]]/$L627,0)</f>
        <v>1</v>
      </c>
      <c r="BJ627" s="77">
        <f>ROUNDUP(tbl_Data[[#This Row],[Adjusted 2033]]/$L627,0)</f>
        <v>1</v>
      </c>
      <c r="BK627" s="77">
        <f>ROUNDUP(tbl_Data[[#This Row],[Adjusted 2034]]/$L627,0)</f>
        <v>1</v>
      </c>
      <c r="BL627" s="80">
        <f t="shared" si="243"/>
        <v>0</v>
      </c>
      <c r="BM627" s="80">
        <f t="shared" si="244"/>
        <v>0</v>
      </c>
      <c r="BN627" s="80">
        <f t="shared" si="245"/>
        <v>0</v>
      </c>
      <c r="BO627" s="80">
        <f t="shared" si="246"/>
        <v>0</v>
      </c>
      <c r="BP627" s="80">
        <f t="shared" si="247"/>
        <v>0</v>
      </c>
      <c r="BQ627" s="80">
        <f t="shared" si="248"/>
        <v>0</v>
      </c>
      <c r="BR627" s="80">
        <f t="shared" si="249"/>
        <v>0</v>
      </c>
      <c r="BS627" s="80">
        <f t="shared" si="250"/>
        <v>0</v>
      </c>
      <c r="BT627" s="80">
        <f t="shared" si="251"/>
        <v>0</v>
      </c>
      <c r="BU627" s="80">
        <f t="shared" si="252"/>
        <v>0</v>
      </c>
      <c r="BV627" s="80" t="str">
        <f>IFERROR(VLOOKUP($H627,'1. Set Program Names'!$B$2:$D$15,3,0)*V627,"NA")</f>
        <v>NA</v>
      </c>
      <c r="BW627" s="80" t="str">
        <f>IFERROR(VLOOKUP($H627,'1. Set Program Names'!$B$2:$D$15,3,0)*W627,"NA")</f>
        <v>NA</v>
      </c>
      <c r="BX627" s="80" t="str">
        <f>IFERROR(VLOOKUP($H627,'1. Set Program Names'!$B$2:$D$15,3,0)*X627,"NA")</f>
        <v>NA</v>
      </c>
      <c r="BY627" s="80" t="str">
        <f>IFERROR(VLOOKUP($H627,'1. Set Program Names'!$B$2:$D$15,3,0)*Y627,"NA")</f>
        <v>NA</v>
      </c>
      <c r="BZ627" s="80" t="str">
        <f>IFERROR(VLOOKUP($H627,'1. Set Program Names'!$B$2:$D$15,3,0)*Z627,"NA")</f>
        <v>NA</v>
      </c>
      <c r="CA627" s="80" t="str">
        <f>IFERROR(VLOOKUP($H627,'1. Set Program Names'!$B$2:$D$15,3,0)*AA627,"NA")</f>
        <v>NA</v>
      </c>
      <c r="CB627" s="80" t="str">
        <f>IFERROR(VLOOKUP($H627,'1. Set Program Names'!$B$2:$D$15,3,0)*AB627,"NA")</f>
        <v>NA</v>
      </c>
      <c r="CC627" s="80" t="str">
        <f>IFERROR(VLOOKUP($H627,'1. Set Program Names'!$B$2:$D$15,3,0)*AC627,"NA")</f>
        <v>NA</v>
      </c>
      <c r="CD627" s="80" t="str">
        <f>IFERROR(VLOOKUP($H627,'1. Set Program Names'!$B$2:$D$15,3,0)*AD627,"NA")</f>
        <v>NA</v>
      </c>
      <c r="CE627" s="80" t="str">
        <f>IFERROR(VLOOKUP($H627,'1. Set Program Names'!$B$2:$D$15,3,0)*AE627,"NA")</f>
        <v>NA</v>
      </c>
    </row>
    <row r="628" spans="1:83" x14ac:dyDescent="0.25">
      <c r="A628" s="79" t="s">
        <v>115</v>
      </c>
      <c r="B628" s="79" t="s">
        <v>88</v>
      </c>
      <c r="C628" s="79" t="s">
        <v>122</v>
      </c>
      <c r="D628" s="79" t="s">
        <v>90</v>
      </c>
      <c r="E628" s="79" t="s">
        <v>91</v>
      </c>
      <c r="F628" s="79" t="s">
        <v>90</v>
      </c>
      <c r="G628" s="79" t="s">
        <v>92</v>
      </c>
      <c r="H628" s="79" t="s">
        <v>268</v>
      </c>
      <c r="I628" s="79" t="s">
        <v>175</v>
      </c>
      <c r="J628" s="79" t="s">
        <v>144</v>
      </c>
      <c r="K628" s="79" t="s">
        <v>98</v>
      </c>
      <c r="L628" s="79">
        <v>264.02999999999997</v>
      </c>
      <c r="M628" s="79">
        <v>4.1428427039389301E-2</v>
      </c>
      <c r="N628" s="79">
        <v>6.1740637590561503E-2</v>
      </c>
      <c r="O628" s="79">
        <v>74.16</v>
      </c>
      <c r="P628" s="79">
        <v>19.8471936238772</v>
      </c>
      <c r="Q628" s="79">
        <v>0.26402999999999999</v>
      </c>
      <c r="R628" s="79">
        <v>106.11574944735899</v>
      </c>
      <c r="S628" s="79">
        <v>217.179512566509</v>
      </c>
      <c r="T628" s="79">
        <v>10</v>
      </c>
      <c r="U628" s="79">
        <v>1</v>
      </c>
      <c r="V628" s="79">
        <f>tbl_Data_old[[#This Row],[2025 ]]*IFERROR(AVERAGEIFS('Participation Adjustment'!$C:$C,'Participation Adjustment'!$A:$A,$H628,'Participation Adjustment'!$B:$B,$I628),1)</f>
        <v>1.5440019750201199</v>
      </c>
      <c r="W628" s="79">
        <f>tbl_Data_old[[#This Row],[2026 ]]*IFERROR(AVERAGEIFS('Participation Adjustment'!$C:$C,'Participation Adjustment'!$A:$A,$H628,'Participation Adjustment'!$B:$B,$I628),1)</f>
        <v>3.66322068941678</v>
      </c>
      <c r="X628" s="79">
        <f>tbl_Data_old[[#This Row],[2027 ]]*IFERROR(AVERAGEIFS('Participation Adjustment'!$C:$C,'Participation Adjustment'!$A:$A,$H628,'Participation Adjustment'!$B:$B,$I628),1)</f>
        <v>6.48418540241319</v>
      </c>
      <c r="Y628" s="79">
        <f>tbl_Data_old[[#This Row],[2028 ]]*IFERROR(AVERAGEIFS('Participation Adjustment'!$C:$C,'Participation Adjustment'!$A:$A,$H628,'Participation Adjustment'!$B:$B,$I628),1)</f>
        <v>10.1246452668359</v>
      </c>
      <c r="Z628" s="79">
        <f>tbl_Data_old[[#This Row],[2029 ]]*IFERROR(AVERAGEIFS('Participation Adjustment'!$C:$C,'Participation Adjustment'!$A:$A,$H628,'Participation Adjustment'!$B:$B,$I628),1)</f>
        <v>14.6353422383436</v>
      </c>
      <c r="AA628" s="79">
        <f>tbl_Data_old[[#This Row],[2030 ]]*IFERROR(AVERAGEIFS('Participation Adjustment'!$C:$C,'Participation Adjustment'!$A:$A,$H628,'Participation Adjustment'!$B:$B,$I628),1)</f>
        <v>19.932073452780902</v>
      </c>
      <c r="AB628" s="79">
        <f>tbl_Data_old[[#This Row],[2031 ]]*IFERROR(AVERAGEIFS('Participation Adjustment'!$C:$C,'Participation Adjustment'!$A:$A,$H628,'Participation Adjustment'!$B:$B,$I628),1)</f>
        <v>25.754902346361</v>
      </c>
      <c r="AC628" s="79">
        <f>tbl_Data_old[[#This Row],[2032 ]]*IFERROR(AVERAGEIFS('Participation Adjustment'!$C:$C,'Participation Adjustment'!$A:$A,$H628,'Participation Adjustment'!$B:$B,$I628),1)</f>
        <v>31.679124520796599</v>
      </c>
      <c r="AD628" s="79">
        <f>tbl_Data_old[[#This Row],[2033 ]]*IFERROR(AVERAGEIFS('Participation Adjustment'!$C:$C,'Participation Adjustment'!$A:$A,$H628,'Participation Adjustment'!$B:$B,$I628),1)</f>
        <v>37.196705538890399</v>
      </c>
      <c r="AE628" s="79">
        <f>tbl_Data_old[[#This Row],[2034 ]]*IFERROR(AVERAGEIFS('Participation Adjustment'!$C:$C,'Participation Adjustment'!$A:$A,$H628,'Participation Adjustment'!$B:$B,$I628),1)</f>
        <v>41.881800811249299</v>
      </c>
      <c r="AF628" s="77" t="str">
        <f t="shared" si="242"/>
        <v>NonResidential</v>
      </c>
      <c r="AG628" s="77" t="str">
        <f>tbl_Data[[#This Row],[All_Meas_Name_Append]]</f>
        <v>Faucet Aerator</v>
      </c>
      <c r="AH628" s="77">
        <f>AVERAGEIFS('3. Incentive Adjustment'!G:G,'3. Incentive Adjustment'!A:A,tbl_Data[[#This Row],[Trimmed Sector]],'3. Incentive Adjustment'!B:B,tbl_Data[[#This Row],[Trimmed Measure Name]])</f>
        <v>0.82009235606746977</v>
      </c>
      <c r="AI628" s="77">
        <f>$AH628*tbl_Data[[#This Row],[2025 ]]</f>
        <v>1.2662242174670768</v>
      </c>
      <c r="AJ628" s="77">
        <f>$AH628*tbl_Data[[#This Row],[2026 ]]</f>
        <v>3.0041792859789083</v>
      </c>
      <c r="AK628" s="77">
        <f>$AH628*tbl_Data[[#This Row],[2027 ]]</f>
        <v>5.3176308838433277</v>
      </c>
      <c r="AL628" s="77">
        <f>$AH628*tbl_Data[[#This Row],[2028 ]]</f>
        <v>8.30314419122681</v>
      </c>
      <c r="AM628" s="77">
        <f>$AH628*tbl_Data[[#This Row],[2029 ]]</f>
        <v>12.00233229809696</v>
      </c>
      <c r="AN628" s="77">
        <f>$AH628*tbl_Data[[#This Row],[2030 ]]</f>
        <v>16.346141079200958</v>
      </c>
      <c r="AO628" s="77">
        <f>$AH628*tbl_Data[[#This Row],[2031 ]]</f>
        <v>21.121398545514797</v>
      </c>
      <c r="AP628" s="77">
        <f>$AH628*tbl_Data[[#This Row],[2032 ]]</f>
        <v>25.979807866414838</v>
      </c>
      <c r="AQ628" s="77">
        <f>$AH628*tbl_Data[[#This Row],[2033 ]]</f>
        <v>30.504733883336531</v>
      </c>
      <c r="AR628" s="77">
        <f>$AH628*tbl_Data[[#This Row],[2034 ]]</f>
        <v>34.346944703645903</v>
      </c>
      <c r="AS628" s="77">
        <f>SUM(tbl_Data[[#This Row],[Adjusted 2025]:[Adjusted 2034]])</f>
        <v>158.19253695472611</v>
      </c>
      <c r="AT628" s="80">
        <f>AVERAGEIFS('3. Incentive Adjustment'!F:F,'3. Incentive Adjustment'!A:A,tbl_Data[[#This Row],[Trimmed Sector]],'3. Incentive Adjustment'!B:B,tbl_Data[[#This Row],[Trimmed Measure Name]])</f>
        <v>0</v>
      </c>
      <c r="AU628" s="80">
        <f>IFERROR(VLOOKUP(tbl_Data[[#This Row],[All_Meas_Name_Append]],'IRA Tax Credits'!$A$3:$D$46,4,0),0)</f>
        <v>0</v>
      </c>
      <c r="AV628" s="81">
        <f>tbl_Data[[#This Row],[Adj. per unit Incentive ($)]]/tbl_Data[[#This Row],[kWh Savings]]*tbl_Data[[#This Row],[Sum of Annuals]]</f>
        <v>0</v>
      </c>
      <c r="AW628" s="81" t="str">
        <f>IFERROR(VLOOKUP(tbl_Data[[#This Row],[Column1]],'1. Set Program Names'!$B$2:$D$15,3,0)*tbl_Data[[#This Row],[Sum of Annuals]],"")</f>
        <v/>
      </c>
      <c r="AX628" s="81">
        <f>tbl_Data[[#This Row],[per unit IRA tax ($)]]/tbl_Data[[#This Row],[kWh Savings]]*tbl_Data[[#This Row],[Sum of Annuals]]</f>
        <v>0</v>
      </c>
      <c r="AY628" s="81">
        <f>tbl_Data[[#This Row],[Avoided Costs ($/unit)]]/tbl_Data[[#This Row],[kWh Savings]]*tbl_Data[[#This Row],[Sum of Annuals]]</f>
        <v>63.578834283716986</v>
      </c>
      <c r="AZ628" s="81">
        <f>tbl_Data[[#This Row],[Lost Revenue ($/unit)]]/tbl_Data[[#This Row],[kWh Savings]]*tbl_Data[[#This Row],[Sum of Annuals]]</f>
        <v>130.12225151492967</v>
      </c>
      <c r="BA628" s="81">
        <f>tbl_Data[[#This Row],[Incremental Cost ($/unit)]]/tbl_Data[[#This Row],[kWh Savings]]*tbl_Data[[#This Row],[Sum of Annuals]]</f>
        <v>44.432672577216564</v>
      </c>
      <c r="BB628" s="77">
        <f>ROUNDUP(tbl_Data[[#This Row],[Adjusted 2025]]/$L628,0)</f>
        <v>1</v>
      </c>
      <c r="BC628" s="77">
        <f>ROUNDUP(tbl_Data[[#This Row],[Adjusted 2026]]/$L628,0)</f>
        <v>1</v>
      </c>
      <c r="BD628" s="77">
        <f>ROUNDUP(tbl_Data[[#This Row],[Adjusted 2027]]/$L628,0)</f>
        <v>1</v>
      </c>
      <c r="BE628" s="77">
        <f>ROUNDUP(tbl_Data[[#This Row],[Adjusted 2028]]/$L628,0)</f>
        <v>1</v>
      </c>
      <c r="BF628" s="77">
        <f>ROUNDUP(tbl_Data[[#This Row],[Adjusted 2029]]/$L628,0)</f>
        <v>1</v>
      </c>
      <c r="BG628" s="77">
        <f>ROUNDUP(tbl_Data[[#This Row],[Adjusted 2030]]/$L628,0)</f>
        <v>1</v>
      </c>
      <c r="BH628" s="77">
        <f>ROUNDUP(tbl_Data[[#This Row],[Adjusted 2031]]/$L628,0)</f>
        <v>1</v>
      </c>
      <c r="BI628" s="77">
        <f>ROUNDUP(tbl_Data[[#This Row],[Adjusted 2032]]/$L628,0)</f>
        <v>1</v>
      </c>
      <c r="BJ628" s="77">
        <f>ROUNDUP(tbl_Data[[#This Row],[Adjusted 2033]]/$L628,0)</f>
        <v>1</v>
      </c>
      <c r="BK628" s="77">
        <f>ROUNDUP(tbl_Data[[#This Row],[Adjusted 2034]]/$L628,0)</f>
        <v>1</v>
      </c>
      <c r="BL628" s="80">
        <f t="shared" si="243"/>
        <v>0</v>
      </c>
      <c r="BM628" s="80">
        <f t="shared" si="244"/>
        <v>0</v>
      </c>
      <c r="BN628" s="80">
        <f t="shared" si="245"/>
        <v>0</v>
      </c>
      <c r="BO628" s="80">
        <f t="shared" si="246"/>
        <v>0</v>
      </c>
      <c r="BP628" s="80">
        <f t="shared" si="247"/>
        <v>0</v>
      </c>
      <c r="BQ628" s="80">
        <f t="shared" si="248"/>
        <v>0</v>
      </c>
      <c r="BR628" s="80">
        <f t="shared" si="249"/>
        <v>0</v>
      </c>
      <c r="BS628" s="80">
        <f t="shared" si="250"/>
        <v>0</v>
      </c>
      <c r="BT628" s="80">
        <f t="shared" si="251"/>
        <v>0</v>
      </c>
      <c r="BU628" s="80">
        <f t="shared" si="252"/>
        <v>0</v>
      </c>
      <c r="BV628" s="80" t="str">
        <f>IFERROR(VLOOKUP($H628,'1. Set Program Names'!$B$2:$D$15,3,0)*V628,"NA")</f>
        <v>NA</v>
      </c>
      <c r="BW628" s="80" t="str">
        <f>IFERROR(VLOOKUP($H628,'1. Set Program Names'!$B$2:$D$15,3,0)*W628,"NA")</f>
        <v>NA</v>
      </c>
      <c r="BX628" s="80" t="str">
        <f>IFERROR(VLOOKUP($H628,'1. Set Program Names'!$B$2:$D$15,3,0)*X628,"NA")</f>
        <v>NA</v>
      </c>
      <c r="BY628" s="80" t="str">
        <f>IFERROR(VLOOKUP($H628,'1. Set Program Names'!$B$2:$D$15,3,0)*Y628,"NA")</f>
        <v>NA</v>
      </c>
      <c r="BZ628" s="80" t="str">
        <f>IFERROR(VLOOKUP($H628,'1. Set Program Names'!$B$2:$D$15,3,0)*Z628,"NA")</f>
        <v>NA</v>
      </c>
      <c r="CA628" s="80" t="str">
        <f>IFERROR(VLOOKUP($H628,'1. Set Program Names'!$B$2:$D$15,3,0)*AA628,"NA")</f>
        <v>NA</v>
      </c>
      <c r="CB628" s="80" t="str">
        <f>IFERROR(VLOOKUP($H628,'1. Set Program Names'!$B$2:$D$15,3,0)*AB628,"NA")</f>
        <v>NA</v>
      </c>
      <c r="CC628" s="80" t="str">
        <f>IFERROR(VLOOKUP($H628,'1. Set Program Names'!$B$2:$D$15,3,0)*AC628,"NA")</f>
        <v>NA</v>
      </c>
      <c r="CD628" s="80" t="str">
        <f>IFERROR(VLOOKUP($H628,'1. Set Program Names'!$B$2:$D$15,3,0)*AD628,"NA")</f>
        <v>NA</v>
      </c>
      <c r="CE628" s="80" t="str">
        <f>IFERROR(VLOOKUP($H628,'1. Set Program Names'!$B$2:$D$15,3,0)*AE628,"NA")</f>
        <v>NA</v>
      </c>
    </row>
    <row r="629" spans="1:83" x14ac:dyDescent="0.25">
      <c r="A629" s="79" t="s">
        <v>115</v>
      </c>
      <c r="B629" s="79" t="s">
        <v>88</v>
      </c>
      <c r="C629" s="79" t="s">
        <v>122</v>
      </c>
      <c r="D629" s="79" t="s">
        <v>90</v>
      </c>
      <c r="E629" s="79" t="s">
        <v>91</v>
      </c>
      <c r="F629" s="79" t="s">
        <v>90</v>
      </c>
      <c r="G629" s="79" t="s">
        <v>92</v>
      </c>
      <c r="H629" s="79" t="s">
        <v>268</v>
      </c>
      <c r="I629" s="79" t="s">
        <v>150</v>
      </c>
      <c r="J629" s="79" t="s">
        <v>129</v>
      </c>
      <c r="K629" s="79" t="s">
        <v>102</v>
      </c>
      <c r="L629" s="79">
        <v>56016.9549999999</v>
      </c>
      <c r="M629" s="79">
        <v>10.827112325312299</v>
      </c>
      <c r="N629" s="79">
        <v>1.3517775806744601</v>
      </c>
      <c r="O629" s="79">
        <v>17160.122499999899</v>
      </c>
      <c r="P629" s="79">
        <v>8652.3043908691998</v>
      </c>
      <c r="Q629" s="79">
        <v>56.016954999999903</v>
      </c>
      <c r="R629" s="79">
        <v>30291.5576269993</v>
      </c>
      <c r="S629" s="79">
        <v>71892.064971295098</v>
      </c>
      <c r="T629" s="79">
        <v>20</v>
      </c>
      <c r="U629" s="79">
        <v>1</v>
      </c>
      <c r="V629" s="79">
        <f>tbl_Data_old[[#This Row],[2025 ]]*IFERROR(AVERAGEIFS('Participation Adjustment'!$C:$C,'Participation Adjustment'!$A:$A,$H629,'Participation Adjustment'!$B:$B,$I629),1)</f>
        <v>9.0563268509833801</v>
      </c>
      <c r="W629" s="79">
        <f>tbl_Data_old[[#This Row],[2026 ]]*IFERROR(AVERAGEIFS('Participation Adjustment'!$C:$C,'Participation Adjustment'!$A:$A,$H629,'Participation Adjustment'!$B:$B,$I629),1)</f>
        <v>18.011819136970299</v>
      </c>
      <c r="X629" s="79">
        <f>tbl_Data_old[[#This Row],[2027 ]]*IFERROR(AVERAGEIFS('Participation Adjustment'!$C:$C,'Participation Adjustment'!$A:$A,$H629,'Participation Adjustment'!$B:$B,$I629),1)</f>
        <v>26.8220910609421</v>
      </c>
      <c r="Y629" s="79">
        <f>tbl_Data_old[[#This Row],[2028 ]]*IFERROR(AVERAGEIFS('Participation Adjustment'!$C:$C,'Participation Adjustment'!$A:$A,$H629,'Participation Adjustment'!$B:$B,$I629),1)</f>
        <v>35.496098983006199</v>
      </c>
      <c r="Z629" s="79">
        <f>tbl_Data_old[[#This Row],[2029 ]]*IFERROR(AVERAGEIFS('Participation Adjustment'!$C:$C,'Participation Adjustment'!$A:$A,$H629,'Participation Adjustment'!$B:$B,$I629),1)</f>
        <v>44.030987933642102</v>
      </c>
      <c r="AA629" s="79">
        <f>tbl_Data_old[[#This Row],[2030 ]]*IFERROR(AVERAGEIFS('Participation Adjustment'!$C:$C,'Participation Adjustment'!$A:$A,$H629,'Participation Adjustment'!$B:$B,$I629),1)</f>
        <v>52.415904909415197</v>
      </c>
      <c r="AB629" s="79">
        <f>tbl_Data_old[[#This Row],[2031 ]]*IFERROR(AVERAGEIFS('Participation Adjustment'!$C:$C,'Participation Adjustment'!$A:$A,$H629,'Participation Adjustment'!$B:$B,$I629),1)</f>
        <v>60.6411463093931</v>
      </c>
      <c r="AC629" s="79">
        <f>tbl_Data_old[[#This Row],[2032 ]]*IFERROR(AVERAGEIFS('Participation Adjustment'!$C:$C,'Participation Adjustment'!$A:$A,$H629,'Participation Adjustment'!$B:$B,$I629),1)</f>
        <v>68.713852056882502</v>
      </c>
      <c r="AD629" s="79">
        <f>tbl_Data_old[[#This Row],[2033 ]]*IFERROR(AVERAGEIFS('Participation Adjustment'!$C:$C,'Participation Adjustment'!$A:$A,$H629,'Participation Adjustment'!$B:$B,$I629),1)</f>
        <v>76.649879602076894</v>
      </c>
      <c r="AE629" s="79">
        <f>tbl_Data_old[[#This Row],[2034 ]]*IFERROR(AVERAGEIFS('Participation Adjustment'!$C:$C,'Participation Adjustment'!$A:$A,$H629,'Participation Adjustment'!$B:$B,$I629),1)</f>
        <v>84.447125058893207</v>
      </c>
      <c r="AF629" s="77" t="str">
        <f t="shared" si="242"/>
        <v>NonResidential</v>
      </c>
      <c r="AG629" s="77" t="str">
        <f>tbl_Data[[#This Row],[All_Meas_Name_Append]]</f>
        <v>Infiltration Reduction - Air Sealing</v>
      </c>
      <c r="AH629" s="77">
        <f>AVERAGEIFS('3. Incentive Adjustment'!G:G,'3. Incentive Adjustment'!A:A,tbl_Data[[#This Row],[Trimmed Sector]],'3. Incentive Adjustment'!B:B,tbl_Data[[#This Row],[Trimmed Measure Name]])</f>
        <v>0.66528306579610585</v>
      </c>
      <c r="AI629" s="77">
        <f>$AH629*tbl_Data[[#This Row],[2025 ]]</f>
        <v>6.0250208922738162</v>
      </c>
      <c r="AJ629" s="77">
        <f>$AH629*tbl_Data[[#This Row],[2026 ]]</f>
        <v>11.982958256008571</v>
      </c>
      <c r="AK629" s="77">
        <f>$AH629*tbl_Data[[#This Row],[2027 ]]</f>
        <v>17.844282972085885</v>
      </c>
      <c r="AL629" s="77">
        <f>$AH629*tbl_Data[[#This Row],[2028 ]]</f>
        <v>23.614953555216399</v>
      </c>
      <c r="AM629" s="77">
        <f>$AH629*tbl_Data[[#This Row],[2029 ]]</f>
        <v>29.293070642524761</v>
      </c>
      <c r="AN629" s="77">
        <f>$AH629*tbl_Data[[#This Row],[2030 ]]</f>
        <v>34.871413914612901</v>
      </c>
      <c r="AO629" s="77">
        <f>$AH629*tbl_Data[[#This Row],[2031 ]]</f>
        <v>40.343527730103254</v>
      </c>
      <c r="AP629" s="77">
        <f>$AH629*tbl_Data[[#This Row],[2032 ]]</f>
        <v>45.714162159062845</v>
      </c>
      <c r="AQ629" s="77">
        <f>$AH629*tbl_Data[[#This Row],[2033 ]]</f>
        <v>50.993866894572115</v>
      </c>
      <c r="AR629" s="77">
        <f>$AH629*tbl_Data[[#This Row],[2034 ]]</f>
        <v>56.181242256847625</v>
      </c>
      <c r="AS629" s="77">
        <f>SUM(tbl_Data[[#This Row],[Adjusted 2025]:[Adjusted 2034]])</f>
        <v>316.86449927330818</v>
      </c>
      <c r="AT629" s="80">
        <f>AVERAGEIFS('3. Incentive Adjustment'!F:F,'3. Incentive Adjustment'!A:A,tbl_Data[[#This Row],[Trimmed Sector]],'3. Incentive Adjustment'!B:B,tbl_Data[[#This Row],[Trimmed Measure Name]])</f>
        <v>0</v>
      </c>
      <c r="AU629" s="80">
        <f>IFERROR(VLOOKUP(tbl_Data[[#This Row],[All_Meas_Name_Append]],'IRA Tax Credits'!$A$3:$D$46,4,0),0)</f>
        <v>0</v>
      </c>
      <c r="AV629" s="81">
        <f>tbl_Data[[#This Row],[Adj. per unit Incentive ($)]]/tbl_Data[[#This Row],[kWh Savings]]*tbl_Data[[#This Row],[Sum of Annuals]]</f>
        <v>0</v>
      </c>
      <c r="AW629" s="81" t="str">
        <f>IFERROR(VLOOKUP(tbl_Data[[#This Row],[Column1]],'1. Set Program Names'!$B$2:$D$15,3,0)*tbl_Data[[#This Row],[Sum of Annuals]],"")</f>
        <v/>
      </c>
      <c r="AX629" s="81">
        <f>tbl_Data[[#This Row],[per unit IRA tax ($)]]/tbl_Data[[#This Row],[kWh Savings]]*tbl_Data[[#This Row],[Sum of Annuals]]</f>
        <v>0</v>
      </c>
      <c r="AY629" s="81">
        <f>tbl_Data[[#This Row],[Avoided Costs ($/unit)]]/tbl_Data[[#This Row],[kWh Savings]]*tbl_Data[[#This Row],[Sum of Annuals]]</f>
        <v>171.34667958455989</v>
      </c>
      <c r="AZ629" s="81">
        <f>tbl_Data[[#This Row],[Lost Revenue ($/unit)]]/tbl_Data[[#This Row],[kWh Savings]]*tbl_Data[[#This Row],[Sum of Annuals]]</f>
        <v>406.66336056384364</v>
      </c>
      <c r="BA629" s="81">
        <f>tbl_Data[[#This Row],[Incremental Cost ($/unit)]]/tbl_Data[[#This Row],[kWh Savings]]*tbl_Data[[#This Row],[Sum of Annuals]]</f>
        <v>97.067640028471871</v>
      </c>
      <c r="BB629" s="77">
        <f>ROUNDUP(tbl_Data[[#This Row],[Adjusted 2025]]/$L629,0)</f>
        <v>1</v>
      </c>
      <c r="BC629" s="77">
        <f>ROUNDUP(tbl_Data[[#This Row],[Adjusted 2026]]/$L629,0)</f>
        <v>1</v>
      </c>
      <c r="BD629" s="77">
        <f>ROUNDUP(tbl_Data[[#This Row],[Adjusted 2027]]/$L629,0)</f>
        <v>1</v>
      </c>
      <c r="BE629" s="77">
        <f>ROUNDUP(tbl_Data[[#This Row],[Adjusted 2028]]/$L629,0)</f>
        <v>1</v>
      </c>
      <c r="BF629" s="77">
        <f>ROUNDUP(tbl_Data[[#This Row],[Adjusted 2029]]/$L629,0)</f>
        <v>1</v>
      </c>
      <c r="BG629" s="77">
        <f>ROUNDUP(tbl_Data[[#This Row],[Adjusted 2030]]/$L629,0)</f>
        <v>1</v>
      </c>
      <c r="BH629" s="77">
        <f>ROUNDUP(tbl_Data[[#This Row],[Adjusted 2031]]/$L629,0)</f>
        <v>1</v>
      </c>
      <c r="BI629" s="77">
        <f>ROUNDUP(tbl_Data[[#This Row],[Adjusted 2032]]/$L629,0)</f>
        <v>1</v>
      </c>
      <c r="BJ629" s="77">
        <f>ROUNDUP(tbl_Data[[#This Row],[Adjusted 2033]]/$L629,0)</f>
        <v>1</v>
      </c>
      <c r="BK629" s="77">
        <f>ROUNDUP(tbl_Data[[#This Row],[Adjusted 2034]]/$L629,0)</f>
        <v>1</v>
      </c>
      <c r="BL629" s="80">
        <f t="shared" si="243"/>
        <v>0</v>
      </c>
      <c r="BM629" s="80">
        <f t="shared" si="244"/>
        <v>0</v>
      </c>
      <c r="BN629" s="80">
        <f t="shared" si="245"/>
        <v>0</v>
      </c>
      <c r="BO629" s="80">
        <f t="shared" si="246"/>
        <v>0</v>
      </c>
      <c r="BP629" s="80">
        <f t="shared" si="247"/>
        <v>0</v>
      </c>
      <c r="BQ629" s="80">
        <f t="shared" si="248"/>
        <v>0</v>
      </c>
      <c r="BR629" s="80">
        <f t="shared" si="249"/>
        <v>0</v>
      </c>
      <c r="BS629" s="80">
        <f t="shared" si="250"/>
        <v>0</v>
      </c>
      <c r="BT629" s="80">
        <f t="shared" si="251"/>
        <v>0</v>
      </c>
      <c r="BU629" s="80">
        <f t="shared" si="252"/>
        <v>0</v>
      </c>
      <c r="BV629" s="80" t="str">
        <f>IFERROR(VLOOKUP($H629,'1. Set Program Names'!$B$2:$D$15,3,0)*V629,"NA")</f>
        <v>NA</v>
      </c>
      <c r="BW629" s="80" t="str">
        <f>IFERROR(VLOOKUP($H629,'1. Set Program Names'!$B$2:$D$15,3,0)*W629,"NA")</f>
        <v>NA</v>
      </c>
      <c r="BX629" s="80" t="str">
        <f>IFERROR(VLOOKUP($H629,'1. Set Program Names'!$B$2:$D$15,3,0)*X629,"NA")</f>
        <v>NA</v>
      </c>
      <c r="BY629" s="80" t="str">
        <f>IFERROR(VLOOKUP($H629,'1. Set Program Names'!$B$2:$D$15,3,0)*Y629,"NA")</f>
        <v>NA</v>
      </c>
      <c r="BZ629" s="80" t="str">
        <f>IFERROR(VLOOKUP($H629,'1. Set Program Names'!$B$2:$D$15,3,0)*Z629,"NA")</f>
        <v>NA</v>
      </c>
      <c r="CA629" s="80" t="str">
        <f>IFERROR(VLOOKUP($H629,'1. Set Program Names'!$B$2:$D$15,3,0)*AA629,"NA")</f>
        <v>NA</v>
      </c>
      <c r="CB629" s="80" t="str">
        <f>IFERROR(VLOOKUP($H629,'1. Set Program Names'!$B$2:$D$15,3,0)*AB629,"NA")</f>
        <v>NA</v>
      </c>
      <c r="CC629" s="80" t="str">
        <f>IFERROR(VLOOKUP($H629,'1. Set Program Names'!$B$2:$D$15,3,0)*AC629,"NA")</f>
        <v>NA</v>
      </c>
      <c r="CD629" s="80" t="str">
        <f>IFERROR(VLOOKUP($H629,'1. Set Program Names'!$B$2:$D$15,3,0)*AD629,"NA")</f>
        <v>NA</v>
      </c>
      <c r="CE629" s="80" t="str">
        <f>IFERROR(VLOOKUP($H629,'1. Set Program Names'!$B$2:$D$15,3,0)*AE629,"NA")</f>
        <v>NA</v>
      </c>
    </row>
    <row r="630" spans="1:83" x14ac:dyDescent="0.25">
      <c r="A630" s="79" t="s">
        <v>115</v>
      </c>
      <c r="B630" s="79" t="s">
        <v>88</v>
      </c>
      <c r="C630" s="79" t="s">
        <v>122</v>
      </c>
      <c r="D630" s="79" t="s">
        <v>90</v>
      </c>
      <c r="E630" s="79" t="s">
        <v>91</v>
      </c>
      <c r="F630" s="79" t="s">
        <v>90</v>
      </c>
      <c r="G630" s="79" t="s">
        <v>92</v>
      </c>
      <c r="H630" s="79" t="s">
        <v>268</v>
      </c>
      <c r="I630" s="79" t="s">
        <v>269</v>
      </c>
      <c r="J630" s="79" t="s">
        <v>144</v>
      </c>
      <c r="K630" s="79" t="s">
        <v>98</v>
      </c>
      <c r="L630" s="79">
        <v>114.663333333333</v>
      </c>
      <c r="M630" s="79">
        <v>9.9293177507311006E-3</v>
      </c>
      <c r="N630" s="79">
        <v>1.6498275913899602E-2</v>
      </c>
      <c r="O630" s="79">
        <v>32.906666666666602</v>
      </c>
      <c r="P630" s="79">
        <v>12.4845629759592</v>
      </c>
      <c r="Q630" s="79">
        <v>0.11466333333333301</v>
      </c>
      <c r="R630" s="79">
        <v>37.313940517924799</v>
      </c>
      <c r="S630" s="79">
        <v>94.317035346682403</v>
      </c>
      <c r="T630" s="79">
        <v>10</v>
      </c>
      <c r="U630" s="79">
        <v>1</v>
      </c>
      <c r="V630" s="79">
        <f>tbl_Data_old[[#This Row],[2025 ]]*IFERROR(AVERAGEIFS('Participation Adjustment'!$C:$C,'Participation Adjustment'!$A:$A,$H630,'Participation Adjustment'!$B:$B,$I630),1)</f>
        <v>1.5197081248850599</v>
      </c>
      <c r="W630" s="79">
        <f>tbl_Data_old[[#This Row],[2026 ]]*IFERROR(AVERAGEIFS('Participation Adjustment'!$C:$C,'Participation Adjustment'!$A:$A,$H630,'Participation Adjustment'!$B:$B,$I630),1)</f>
        <v>3.6055823341036901</v>
      </c>
      <c r="X630" s="79">
        <f>tbl_Data_old[[#This Row],[2027 ]]*IFERROR(AVERAGEIFS('Participation Adjustment'!$C:$C,'Participation Adjustment'!$A:$A,$H630,'Participation Adjustment'!$B:$B,$I630),1)</f>
        <v>6.3821610326502496</v>
      </c>
      <c r="Y630" s="79">
        <f>tbl_Data_old[[#This Row],[2028 ]]*IFERROR(AVERAGEIFS('Participation Adjustment'!$C:$C,'Participation Adjustment'!$A:$A,$H630,'Participation Adjustment'!$B:$B,$I630),1)</f>
        <v>9.9653406682910504</v>
      </c>
      <c r="Z630" s="79">
        <f>tbl_Data_old[[#This Row],[2029 ]]*IFERROR(AVERAGEIFS('Participation Adjustment'!$C:$C,'Participation Adjustment'!$A:$A,$H630,'Participation Adjustment'!$B:$B,$I630),1)</f>
        <v>14.4050648055644</v>
      </c>
      <c r="AA630" s="79">
        <f>tbl_Data_old[[#This Row],[2030 ]]*IFERROR(AVERAGEIFS('Participation Adjustment'!$C:$C,'Participation Adjustment'!$A:$A,$H630,'Participation Adjustment'!$B:$B,$I630),1)</f>
        <v>19.618455456705099</v>
      </c>
      <c r="AB630" s="79">
        <f>tbl_Data_old[[#This Row],[2031 ]]*IFERROR(AVERAGEIFS('Participation Adjustment'!$C:$C,'Participation Adjustment'!$A:$A,$H630,'Participation Adjustment'!$B:$B,$I630),1)</f>
        <v>25.349665987879298</v>
      </c>
      <c r="AC630" s="79">
        <f>tbl_Data_old[[#This Row],[2032 ]]*IFERROR(AVERAGEIFS('Participation Adjustment'!$C:$C,'Participation Adjustment'!$A:$A,$H630,'Participation Adjustment'!$B:$B,$I630),1)</f>
        <v>31.180674443679301</v>
      </c>
      <c r="AD630" s="79">
        <f>tbl_Data_old[[#This Row],[2033 ]]*IFERROR(AVERAGEIFS('Participation Adjustment'!$C:$C,'Participation Adjustment'!$A:$A,$H630,'Participation Adjustment'!$B:$B,$I630),1)</f>
        <v>36.611439972848601</v>
      </c>
      <c r="AE630" s="79">
        <f>tbl_Data_old[[#This Row],[2034 ]]*IFERROR(AVERAGEIFS('Participation Adjustment'!$C:$C,'Participation Adjustment'!$A:$A,$H630,'Participation Adjustment'!$B:$B,$I630),1)</f>
        <v>41.222818369027003</v>
      </c>
      <c r="AF630" s="77" t="str">
        <f t="shared" ref="AF630:AF661" si="253">IF(C630="Residential","Residential","NonResidential")</f>
        <v>NonResidential</v>
      </c>
      <c r="AG630" s="77" t="str">
        <f>tbl_Data[[#This Row],[All_Meas_Name_Append]]</f>
        <v>Low Flow Shower Head</v>
      </c>
      <c r="AH630" s="77">
        <f>AVERAGEIFS('3. Incentive Adjustment'!G:G,'3. Incentive Adjustment'!A:A,tbl_Data[[#This Row],[Trimmed Sector]],'3. Incentive Adjustment'!B:B,tbl_Data[[#This Row],[Trimmed Measure Name]])</f>
        <v>0.75029954061989002</v>
      </c>
      <c r="AI630" s="77">
        <f>$AH630*tbl_Data[[#This Row],[2025 ]]</f>
        <v>1.1402363079775748</v>
      </c>
      <c r="AJ630" s="77">
        <f>$AH630*tbl_Data[[#This Row],[2026 ]]</f>
        <v>2.7052667689451897</v>
      </c>
      <c r="AK630" s="77">
        <f>$AH630*tbl_Data[[#This Row],[2027 ]]</f>
        <v>4.7885324909596454</v>
      </c>
      <c r="AL630" s="77">
        <f>$AH630*tbl_Data[[#This Row],[2028 ]]</f>
        <v>7.4769905255394828</v>
      </c>
      <c r="AM630" s="77">
        <f>$AH630*tbl_Data[[#This Row],[2029 ]]</f>
        <v>10.808113506214715</v>
      </c>
      <c r="AN630" s="77">
        <f>$AH630*tbl_Data[[#This Row],[2030 ]]</f>
        <v>14.71971811683761</v>
      </c>
      <c r="AO630" s="77">
        <f>$AH630*tbl_Data[[#This Row],[2031 ]]</f>
        <v>19.019842745573488</v>
      </c>
      <c r="AP630" s="77">
        <f>$AH630*tbl_Data[[#This Row],[2032 ]]</f>
        <v>23.394845711310925</v>
      </c>
      <c r="AQ630" s="77">
        <f>$AH630*tbl_Data[[#This Row],[2033 ]]</f>
        <v>27.469546593060983</v>
      </c>
      <c r="AR630" s="77">
        <f>$AH630*tbl_Data[[#This Row],[2034 ]]</f>
        <v>30.929461685338126</v>
      </c>
      <c r="AS630" s="77">
        <f>SUM(tbl_Data[[#This Row],[Adjusted 2025]:[Adjusted 2034]])</f>
        <v>142.45255445175775</v>
      </c>
      <c r="AT630" s="80">
        <f>AVERAGEIFS('3. Incentive Adjustment'!F:F,'3. Incentive Adjustment'!A:A,tbl_Data[[#This Row],[Trimmed Sector]],'3. Incentive Adjustment'!B:B,tbl_Data[[#This Row],[Trimmed Measure Name]])</f>
        <v>0</v>
      </c>
      <c r="AU630" s="80">
        <f>IFERROR(VLOOKUP(tbl_Data[[#This Row],[All_Meas_Name_Append]],'IRA Tax Credits'!$A$3:$D$46,4,0),0)</f>
        <v>0</v>
      </c>
      <c r="AV630" s="81">
        <f>tbl_Data[[#This Row],[Adj. per unit Incentive ($)]]/tbl_Data[[#This Row],[kWh Savings]]*tbl_Data[[#This Row],[Sum of Annuals]]</f>
        <v>0</v>
      </c>
      <c r="AW630" s="81" t="str">
        <f>IFERROR(VLOOKUP(tbl_Data[[#This Row],[Column1]],'1. Set Program Names'!$B$2:$D$15,3,0)*tbl_Data[[#This Row],[Sum of Annuals]],"")</f>
        <v/>
      </c>
      <c r="AX630" s="81">
        <f>tbl_Data[[#This Row],[per unit IRA tax ($)]]/tbl_Data[[#This Row],[kWh Savings]]*tbl_Data[[#This Row],[Sum of Annuals]]</f>
        <v>0</v>
      </c>
      <c r="AY630" s="81">
        <f>tbl_Data[[#This Row],[Avoided Costs ($/unit)]]/tbl_Data[[#This Row],[kWh Savings]]*tbl_Data[[#This Row],[Sum of Annuals]]</f>
        <v>46.357156982232169</v>
      </c>
      <c r="AZ630" s="81">
        <f>tbl_Data[[#This Row],[Lost Revenue ($/unit)]]/tbl_Data[[#This Row],[kWh Savings]]*tbl_Data[[#This Row],[Sum of Annuals]]</f>
        <v>117.1752313740371</v>
      </c>
      <c r="BA630" s="81">
        <f>tbl_Data[[#This Row],[Incremental Cost ($/unit)]]/tbl_Data[[#This Row],[kWh Savings]]*tbl_Data[[#This Row],[Sum of Annuals]]</f>
        <v>40.881758700769034</v>
      </c>
      <c r="BB630" s="77">
        <f>ROUNDUP(tbl_Data[[#This Row],[Adjusted 2025]]/$L630,0)</f>
        <v>1</v>
      </c>
      <c r="BC630" s="77">
        <f>ROUNDUP(tbl_Data[[#This Row],[Adjusted 2026]]/$L630,0)</f>
        <v>1</v>
      </c>
      <c r="BD630" s="77">
        <f>ROUNDUP(tbl_Data[[#This Row],[Adjusted 2027]]/$L630,0)</f>
        <v>1</v>
      </c>
      <c r="BE630" s="77">
        <f>ROUNDUP(tbl_Data[[#This Row],[Adjusted 2028]]/$L630,0)</f>
        <v>1</v>
      </c>
      <c r="BF630" s="77">
        <f>ROUNDUP(tbl_Data[[#This Row],[Adjusted 2029]]/$L630,0)</f>
        <v>1</v>
      </c>
      <c r="BG630" s="77">
        <f>ROUNDUP(tbl_Data[[#This Row],[Adjusted 2030]]/$L630,0)</f>
        <v>1</v>
      </c>
      <c r="BH630" s="77">
        <f>ROUNDUP(tbl_Data[[#This Row],[Adjusted 2031]]/$L630,0)</f>
        <v>1</v>
      </c>
      <c r="BI630" s="77">
        <f>ROUNDUP(tbl_Data[[#This Row],[Adjusted 2032]]/$L630,0)</f>
        <v>1</v>
      </c>
      <c r="BJ630" s="77">
        <f>ROUNDUP(tbl_Data[[#This Row],[Adjusted 2033]]/$L630,0)</f>
        <v>1</v>
      </c>
      <c r="BK630" s="77">
        <f>ROUNDUP(tbl_Data[[#This Row],[Adjusted 2034]]/$L630,0)</f>
        <v>1</v>
      </c>
      <c r="BL630" s="80">
        <f t="shared" ref="BL630:BL661" si="254">$AT630/$L630*V630</f>
        <v>0</v>
      </c>
      <c r="BM630" s="80">
        <f t="shared" ref="BM630:BM661" si="255">$AT630/$L630*W630</f>
        <v>0</v>
      </c>
      <c r="BN630" s="80">
        <f t="shared" ref="BN630:BN661" si="256">$AT630/$L630*X630</f>
        <v>0</v>
      </c>
      <c r="BO630" s="80">
        <f t="shared" ref="BO630:BO661" si="257">$AT630/$L630*Y630</f>
        <v>0</v>
      </c>
      <c r="BP630" s="80">
        <f t="shared" ref="BP630:BP661" si="258">$AT630/$L630*Z630</f>
        <v>0</v>
      </c>
      <c r="BQ630" s="80">
        <f t="shared" ref="BQ630:BQ661" si="259">$AT630/$L630*AA630</f>
        <v>0</v>
      </c>
      <c r="BR630" s="80">
        <f t="shared" ref="BR630:BR661" si="260">$AT630/$L630*AB630</f>
        <v>0</v>
      </c>
      <c r="BS630" s="80">
        <f t="shared" ref="BS630:BS661" si="261">$AT630/$L630*AC630</f>
        <v>0</v>
      </c>
      <c r="BT630" s="80">
        <f t="shared" ref="BT630:BT661" si="262">$AT630/$L630*AD630</f>
        <v>0</v>
      </c>
      <c r="BU630" s="80">
        <f t="shared" ref="BU630:BU661" si="263">$AT630/$L630*AE630</f>
        <v>0</v>
      </c>
      <c r="BV630" s="80" t="str">
        <f>IFERROR(VLOOKUP($H630,'1. Set Program Names'!$B$2:$D$15,3,0)*V630,"NA")</f>
        <v>NA</v>
      </c>
      <c r="BW630" s="80" t="str">
        <f>IFERROR(VLOOKUP($H630,'1. Set Program Names'!$B$2:$D$15,3,0)*W630,"NA")</f>
        <v>NA</v>
      </c>
      <c r="BX630" s="80" t="str">
        <f>IFERROR(VLOOKUP($H630,'1. Set Program Names'!$B$2:$D$15,3,0)*X630,"NA")</f>
        <v>NA</v>
      </c>
      <c r="BY630" s="80" t="str">
        <f>IFERROR(VLOOKUP($H630,'1. Set Program Names'!$B$2:$D$15,3,0)*Y630,"NA")</f>
        <v>NA</v>
      </c>
      <c r="BZ630" s="80" t="str">
        <f>IFERROR(VLOOKUP($H630,'1. Set Program Names'!$B$2:$D$15,3,0)*Z630,"NA")</f>
        <v>NA</v>
      </c>
      <c r="CA630" s="80" t="str">
        <f>IFERROR(VLOOKUP($H630,'1. Set Program Names'!$B$2:$D$15,3,0)*AA630,"NA")</f>
        <v>NA</v>
      </c>
      <c r="CB630" s="80" t="str">
        <f>IFERROR(VLOOKUP($H630,'1. Set Program Names'!$B$2:$D$15,3,0)*AB630,"NA")</f>
        <v>NA</v>
      </c>
      <c r="CC630" s="80" t="str">
        <f>IFERROR(VLOOKUP($H630,'1. Set Program Names'!$B$2:$D$15,3,0)*AC630,"NA")</f>
        <v>NA</v>
      </c>
      <c r="CD630" s="80" t="str">
        <f>IFERROR(VLOOKUP($H630,'1. Set Program Names'!$B$2:$D$15,3,0)*AD630,"NA")</f>
        <v>NA</v>
      </c>
      <c r="CE630" s="80" t="str">
        <f>IFERROR(VLOOKUP($H630,'1. Set Program Names'!$B$2:$D$15,3,0)*AE630,"NA")</f>
        <v>NA</v>
      </c>
    </row>
    <row r="631" spans="1:83" x14ac:dyDescent="0.25">
      <c r="A631" s="79" t="s">
        <v>115</v>
      </c>
      <c r="B631" s="79" t="s">
        <v>88</v>
      </c>
      <c r="C631" s="79" t="s">
        <v>122</v>
      </c>
      <c r="D631" s="79" t="s">
        <v>90</v>
      </c>
      <c r="E631" s="79" t="s">
        <v>91</v>
      </c>
      <c r="F631" s="79" t="s">
        <v>90</v>
      </c>
      <c r="G631" s="79" t="s">
        <v>92</v>
      </c>
      <c r="H631" s="79" t="s">
        <v>268</v>
      </c>
      <c r="I631" s="79" t="s">
        <v>151</v>
      </c>
      <c r="J631" s="79" t="s">
        <v>137</v>
      </c>
      <c r="K631" s="79" t="s">
        <v>152</v>
      </c>
      <c r="L631" s="79">
        <v>746</v>
      </c>
      <c r="M631" s="79">
        <v>0.118390986607413</v>
      </c>
      <c r="N631" s="79">
        <v>0.122042488273403</v>
      </c>
      <c r="O631" s="79">
        <v>233.28</v>
      </c>
      <c r="P631" s="79">
        <v>79.822614261305304</v>
      </c>
      <c r="Q631" s="79">
        <v>0.746</v>
      </c>
      <c r="R631" s="79">
        <v>287.47532526616499</v>
      </c>
      <c r="S631" s="79">
        <v>613.62692260203801</v>
      </c>
      <c r="T631" s="79">
        <v>10</v>
      </c>
      <c r="U631" s="79">
        <v>1</v>
      </c>
      <c r="V631" s="79">
        <f>tbl_Data_old[[#This Row],[2025 ]]*IFERROR(AVERAGEIFS('Participation Adjustment'!$C:$C,'Participation Adjustment'!$A:$A,$H631,'Participation Adjustment'!$B:$B,$I631),1)</f>
        <v>3.7860818242195502</v>
      </c>
      <c r="W631" s="79">
        <f>tbl_Data_old[[#This Row],[2026 ]]*IFERROR(AVERAGEIFS('Participation Adjustment'!$C:$C,'Participation Adjustment'!$A:$A,$H631,'Participation Adjustment'!$B:$B,$I631),1)</f>
        <v>8.3099666087040394</v>
      </c>
      <c r="X631" s="79">
        <f>tbl_Data_old[[#This Row],[2027 ]]*IFERROR(AVERAGEIFS('Participation Adjustment'!$C:$C,'Participation Adjustment'!$A:$A,$H631,'Participation Adjustment'!$B:$B,$I631),1)</f>
        <v>13.6249727377574</v>
      </c>
      <c r="Y631" s="79">
        <f>tbl_Data_old[[#This Row],[2028 ]]*IFERROR(AVERAGEIFS('Participation Adjustment'!$C:$C,'Participation Adjustment'!$A:$A,$H631,'Participation Adjustment'!$B:$B,$I631),1)</f>
        <v>19.805035519749001</v>
      </c>
      <c r="Z631" s="79">
        <f>tbl_Data_old[[#This Row],[2029 ]]*IFERROR(AVERAGEIFS('Participation Adjustment'!$C:$C,'Participation Adjustment'!$A:$A,$H631,'Participation Adjustment'!$B:$B,$I631),1)</f>
        <v>26.911741029762499</v>
      </c>
      <c r="AA631" s="79">
        <f>tbl_Data_old[[#This Row],[2030 ]]*IFERROR(AVERAGEIFS('Participation Adjustment'!$C:$C,'Participation Adjustment'!$A:$A,$H631,'Participation Adjustment'!$B:$B,$I631),1)</f>
        <v>34.981552098279302</v>
      </c>
      <c r="AB631" s="79">
        <f>tbl_Data_old[[#This Row],[2031 ]]*IFERROR(AVERAGEIFS('Participation Adjustment'!$C:$C,'Participation Adjustment'!$A:$A,$H631,'Participation Adjustment'!$B:$B,$I631),1)</f>
        <v>44.038518905786503</v>
      </c>
      <c r="AC631" s="79">
        <f>tbl_Data_old[[#This Row],[2032 ]]*IFERROR(AVERAGEIFS('Participation Adjustment'!$C:$C,'Participation Adjustment'!$A:$A,$H631,'Participation Adjustment'!$B:$B,$I631),1)</f>
        <v>54.107463319001297</v>
      </c>
      <c r="AD631" s="79">
        <f>tbl_Data_old[[#This Row],[2033 ]]*IFERROR(AVERAGEIFS('Participation Adjustment'!$C:$C,'Participation Adjustment'!$A:$A,$H631,'Participation Adjustment'!$B:$B,$I631),1)</f>
        <v>65.197656694132604</v>
      </c>
      <c r="AE631" s="79">
        <f>tbl_Data_old[[#This Row],[2034 ]]*IFERROR(AVERAGEIFS('Participation Adjustment'!$C:$C,'Participation Adjustment'!$A:$A,$H631,'Participation Adjustment'!$B:$B,$I631),1)</f>
        <v>77.295542180774007</v>
      </c>
      <c r="AF631" s="77" t="str">
        <f t="shared" si="253"/>
        <v>NonResidential</v>
      </c>
      <c r="AG631" s="77" t="str">
        <f>tbl_Data[[#This Row],[All_Meas_Name_Append]]</f>
        <v>Ozone Laundry Commercial</v>
      </c>
      <c r="AH631" s="77">
        <f>AVERAGEIFS('3. Incentive Adjustment'!G:G,'3. Incentive Adjustment'!A:A,tbl_Data[[#This Row],[Trimmed Sector]],'3. Incentive Adjustment'!B:B,tbl_Data[[#This Row],[Trimmed Measure Name]])</f>
        <v>0.75402928491932286</v>
      </c>
      <c r="AI631" s="77">
        <f>$AH631*tbl_Data[[#This Row],[2025 ]]</f>
        <v>2.854816570562313</v>
      </c>
      <c r="AJ631" s="77">
        <f>$AH631*tbl_Data[[#This Row],[2026 ]]</f>
        <v>6.2659581796645574</v>
      </c>
      <c r="AK631" s="77">
        <f>$AH631*tbl_Data[[#This Row],[2027 ]]</f>
        <v>10.273628450496481</v>
      </c>
      <c r="AL631" s="77">
        <f>$AH631*tbl_Data[[#This Row],[2028 ]]</f>
        <v>14.93357677075813</v>
      </c>
      <c r="AM631" s="77">
        <f>$AH631*tbl_Data[[#This Row],[2029 ]]</f>
        <v>20.292240844605818</v>
      </c>
      <c r="AN631" s="77">
        <f>$AH631*tbl_Data[[#This Row],[2030 ]]</f>
        <v>26.377114714033581</v>
      </c>
      <c r="AO631" s="77">
        <f>$AH631*tbl_Data[[#This Row],[2031 ]]</f>
        <v>33.206332919436278</v>
      </c>
      <c r="AP631" s="77">
        <f>$AH631*tbl_Data[[#This Row],[2032 ]]</f>
        <v>40.798611875225042</v>
      </c>
      <c r="AQ631" s="77">
        <f>$AH631*tbl_Data[[#This Row],[2033 ]]</f>
        <v>49.160942455492311</v>
      </c>
      <c r="AR631" s="77">
        <f>$AH631*tbl_Data[[#This Row],[2034 ]]</f>
        <v>58.283102398020382</v>
      </c>
      <c r="AS631" s="77">
        <f>SUM(tbl_Data[[#This Row],[Adjusted 2025]:[Adjusted 2034]])</f>
        <v>262.4463251782949</v>
      </c>
      <c r="AT631" s="80">
        <f>AVERAGEIFS('3. Incentive Adjustment'!F:F,'3. Incentive Adjustment'!A:A,tbl_Data[[#This Row],[Trimmed Sector]],'3. Incentive Adjustment'!B:B,tbl_Data[[#This Row],[Trimmed Measure Name]])</f>
        <v>0</v>
      </c>
      <c r="AU631" s="80">
        <f>IFERROR(VLOOKUP(tbl_Data[[#This Row],[All_Meas_Name_Append]],'IRA Tax Credits'!$A$3:$D$46,4,0),0)</f>
        <v>0</v>
      </c>
      <c r="AV631" s="81">
        <f>tbl_Data[[#This Row],[Adj. per unit Incentive ($)]]/tbl_Data[[#This Row],[kWh Savings]]*tbl_Data[[#This Row],[Sum of Annuals]]</f>
        <v>0</v>
      </c>
      <c r="AW631" s="81" t="str">
        <f>IFERROR(VLOOKUP(tbl_Data[[#This Row],[Column1]],'1. Set Program Names'!$B$2:$D$15,3,0)*tbl_Data[[#This Row],[Sum of Annuals]],"")</f>
        <v/>
      </c>
      <c r="AX631" s="81">
        <f>tbl_Data[[#This Row],[per unit IRA tax ($)]]/tbl_Data[[#This Row],[kWh Savings]]*tbl_Data[[#This Row],[Sum of Annuals]]</f>
        <v>0</v>
      </c>
      <c r="AY631" s="81">
        <f>tbl_Data[[#This Row],[Avoided Costs ($/unit)]]/tbl_Data[[#This Row],[kWh Savings]]*tbl_Data[[#This Row],[Sum of Annuals]]</f>
        <v>101.13517787605902</v>
      </c>
      <c r="AZ631" s="81">
        <f>tbl_Data[[#This Row],[Lost Revenue ($/unit)]]/tbl_Data[[#This Row],[kWh Savings]]*tbl_Data[[#This Row],[Sum of Annuals]]</f>
        <v>215.87685102864728</v>
      </c>
      <c r="BA631" s="81">
        <f>tbl_Data[[#This Row],[Incremental Cost ($/unit)]]/tbl_Data[[#This Row],[kWh Savings]]*tbl_Data[[#This Row],[Sum of Annuals]]</f>
        <v>82.069006350660374</v>
      </c>
      <c r="BB631" s="77">
        <f>ROUNDUP(tbl_Data[[#This Row],[Adjusted 2025]]/$L631,0)</f>
        <v>1</v>
      </c>
      <c r="BC631" s="77">
        <f>ROUNDUP(tbl_Data[[#This Row],[Adjusted 2026]]/$L631,0)</f>
        <v>1</v>
      </c>
      <c r="BD631" s="77">
        <f>ROUNDUP(tbl_Data[[#This Row],[Adjusted 2027]]/$L631,0)</f>
        <v>1</v>
      </c>
      <c r="BE631" s="77">
        <f>ROUNDUP(tbl_Data[[#This Row],[Adjusted 2028]]/$L631,0)</f>
        <v>1</v>
      </c>
      <c r="BF631" s="77">
        <f>ROUNDUP(tbl_Data[[#This Row],[Adjusted 2029]]/$L631,0)</f>
        <v>1</v>
      </c>
      <c r="BG631" s="77">
        <f>ROUNDUP(tbl_Data[[#This Row],[Adjusted 2030]]/$L631,0)</f>
        <v>1</v>
      </c>
      <c r="BH631" s="77">
        <f>ROUNDUP(tbl_Data[[#This Row],[Adjusted 2031]]/$L631,0)</f>
        <v>1</v>
      </c>
      <c r="BI631" s="77">
        <f>ROUNDUP(tbl_Data[[#This Row],[Adjusted 2032]]/$L631,0)</f>
        <v>1</v>
      </c>
      <c r="BJ631" s="77">
        <f>ROUNDUP(tbl_Data[[#This Row],[Adjusted 2033]]/$L631,0)</f>
        <v>1</v>
      </c>
      <c r="BK631" s="77">
        <f>ROUNDUP(tbl_Data[[#This Row],[Adjusted 2034]]/$L631,0)</f>
        <v>1</v>
      </c>
      <c r="BL631" s="80">
        <f t="shared" si="254"/>
        <v>0</v>
      </c>
      <c r="BM631" s="80">
        <f t="shared" si="255"/>
        <v>0</v>
      </c>
      <c r="BN631" s="80">
        <f t="shared" si="256"/>
        <v>0</v>
      </c>
      <c r="BO631" s="80">
        <f t="shared" si="257"/>
        <v>0</v>
      </c>
      <c r="BP631" s="80">
        <f t="shared" si="258"/>
        <v>0</v>
      </c>
      <c r="BQ631" s="80">
        <f t="shared" si="259"/>
        <v>0</v>
      </c>
      <c r="BR631" s="80">
        <f t="shared" si="260"/>
        <v>0</v>
      </c>
      <c r="BS631" s="80">
        <f t="shared" si="261"/>
        <v>0</v>
      </c>
      <c r="BT631" s="80">
        <f t="shared" si="262"/>
        <v>0</v>
      </c>
      <c r="BU631" s="80">
        <f t="shared" si="263"/>
        <v>0</v>
      </c>
      <c r="BV631" s="80" t="str">
        <f>IFERROR(VLOOKUP($H631,'1. Set Program Names'!$B$2:$D$15,3,0)*V631,"NA")</f>
        <v>NA</v>
      </c>
      <c r="BW631" s="80" t="str">
        <f>IFERROR(VLOOKUP($H631,'1. Set Program Names'!$B$2:$D$15,3,0)*W631,"NA")</f>
        <v>NA</v>
      </c>
      <c r="BX631" s="80" t="str">
        <f>IFERROR(VLOOKUP($H631,'1. Set Program Names'!$B$2:$D$15,3,0)*X631,"NA")</f>
        <v>NA</v>
      </c>
      <c r="BY631" s="80" t="str">
        <f>IFERROR(VLOOKUP($H631,'1. Set Program Names'!$B$2:$D$15,3,0)*Y631,"NA")</f>
        <v>NA</v>
      </c>
      <c r="BZ631" s="80" t="str">
        <f>IFERROR(VLOOKUP($H631,'1. Set Program Names'!$B$2:$D$15,3,0)*Z631,"NA")</f>
        <v>NA</v>
      </c>
      <c r="CA631" s="80" t="str">
        <f>IFERROR(VLOOKUP($H631,'1. Set Program Names'!$B$2:$D$15,3,0)*AA631,"NA")</f>
        <v>NA</v>
      </c>
      <c r="CB631" s="80" t="str">
        <f>IFERROR(VLOOKUP($H631,'1. Set Program Names'!$B$2:$D$15,3,0)*AB631,"NA")</f>
        <v>NA</v>
      </c>
      <c r="CC631" s="80" t="str">
        <f>IFERROR(VLOOKUP($H631,'1. Set Program Names'!$B$2:$D$15,3,0)*AC631,"NA")</f>
        <v>NA</v>
      </c>
      <c r="CD631" s="80" t="str">
        <f>IFERROR(VLOOKUP($H631,'1. Set Program Names'!$B$2:$D$15,3,0)*AD631,"NA")</f>
        <v>NA</v>
      </c>
      <c r="CE631" s="80" t="str">
        <f>IFERROR(VLOOKUP($H631,'1. Set Program Names'!$B$2:$D$15,3,0)*AE631,"NA")</f>
        <v>NA</v>
      </c>
    </row>
    <row r="632" spans="1:83" x14ac:dyDescent="0.25">
      <c r="A632" s="79" t="s">
        <v>115</v>
      </c>
      <c r="B632" s="79" t="s">
        <v>88</v>
      </c>
      <c r="C632" s="79" t="s">
        <v>122</v>
      </c>
      <c r="D632" s="79" t="s">
        <v>90</v>
      </c>
      <c r="E632" s="79" t="s">
        <v>91</v>
      </c>
      <c r="F632" s="79" t="s">
        <v>90</v>
      </c>
      <c r="G632" s="79" t="s">
        <v>92</v>
      </c>
      <c r="H632" s="79" t="s">
        <v>268</v>
      </c>
      <c r="I632" s="79" t="s">
        <v>153</v>
      </c>
      <c r="J632" s="79" t="s">
        <v>129</v>
      </c>
      <c r="K632" s="79" t="s">
        <v>102</v>
      </c>
      <c r="L632" s="79">
        <v>1285.73999999999</v>
      </c>
      <c r="M632" s="79">
        <v>0.191067583335012</v>
      </c>
      <c r="N632" s="79">
        <v>3.6175165669598698E-2</v>
      </c>
      <c r="O632" s="79">
        <v>304.38999999999902</v>
      </c>
      <c r="P632" s="79">
        <v>39.904344316796902</v>
      </c>
      <c r="Q632" s="79">
        <v>1.2857399999999899</v>
      </c>
      <c r="R632" s="79">
        <v>497.118469789904</v>
      </c>
      <c r="S632" s="79">
        <v>1133.43981342083</v>
      </c>
      <c r="T632" s="79">
        <v>11</v>
      </c>
      <c r="U632" s="79">
        <v>1</v>
      </c>
      <c r="V632" s="79">
        <f>tbl_Data_old[[#This Row],[2025 ]]*IFERROR(AVERAGEIFS('Participation Adjustment'!$C:$C,'Participation Adjustment'!$A:$A,$H632,'Participation Adjustment'!$B:$B,$I632),1)</f>
        <v>0.17955454679170299</v>
      </c>
      <c r="W632" s="79">
        <f>tbl_Data_old[[#This Row],[2026 ]]*IFERROR(AVERAGEIFS('Participation Adjustment'!$C:$C,'Participation Adjustment'!$A:$A,$H632,'Participation Adjustment'!$B:$B,$I632),1)</f>
        <v>0.329493381303535</v>
      </c>
      <c r="X632" s="79">
        <f>tbl_Data_old[[#This Row],[2027 ]]*IFERROR(AVERAGEIFS('Participation Adjustment'!$C:$C,'Participation Adjustment'!$A:$A,$H632,'Participation Adjustment'!$B:$B,$I632),1)</f>
        <v>0.45380777265364097</v>
      </c>
      <c r="Y632" s="79">
        <f>tbl_Data_old[[#This Row],[2028 ]]*IFERROR(AVERAGEIFS('Participation Adjustment'!$C:$C,'Participation Adjustment'!$A:$A,$H632,'Participation Adjustment'!$B:$B,$I632),1)</f>
        <v>0.55711218116664796</v>
      </c>
      <c r="Z632" s="79">
        <f>tbl_Data_old[[#This Row],[2029 ]]*IFERROR(AVERAGEIFS('Participation Adjustment'!$C:$C,'Participation Adjustment'!$A:$A,$H632,'Participation Adjustment'!$B:$B,$I632),1)</f>
        <v>0.64321000196185496</v>
      </c>
      <c r="AA632" s="79">
        <f>tbl_Data_old[[#This Row],[2030 ]]*IFERROR(AVERAGEIFS('Participation Adjustment'!$C:$C,'Participation Adjustment'!$A:$A,$H632,'Participation Adjustment'!$B:$B,$I632),1)</f>
        <v>0.71517527836384998</v>
      </c>
      <c r="AB632" s="79">
        <f>tbl_Data_old[[#This Row],[2031 ]]*IFERROR(AVERAGEIFS('Participation Adjustment'!$C:$C,'Participation Adjustment'!$A:$A,$H632,'Participation Adjustment'!$B:$B,$I632),1)</f>
        <v>0.77559889269280002</v>
      </c>
      <c r="AC632" s="79">
        <f>tbl_Data_old[[#This Row],[2032 ]]*IFERROR(AVERAGEIFS('Participation Adjustment'!$C:$C,'Participation Adjustment'!$A:$A,$H632,'Participation Adjustment'!$B:$B,$I632),1)</f>
        <v>0.82670928496389695</v>
      </c>
      <c r="AD632" s="79">
        <f>tbl_Data_old[[#This Row],[2033 ]]*IFERROR(AVERAGEIFS('Participation Adjustment'!$C:$C,'Participation Adjustment'!$A:$A,$H632,'Participation Adjustment'!$B:$B,$I632),1)</f>
        <v>0.87039630951444802</v>
      </c>
      <c r="AE632" s="79">
        <f>tbl_Data_old[[#This Row],[2034 ]]*IFERROR(AVERAGEIFS('Participation Adjustment'!$C:$C,'Participation Adjustment'!$A:$A,$H632,'Participation Adjustment'!$B:$B,$I632),1)</f>
        <v>0.90806680938316597</v>
      </c>
      <c r="AF632" s="77" t="str">
        <f t="shared" si="253"/>
        <v>NonResidential</v>
      </c>
      <c r="AG632" s="77" t="str">
        <f>tbl_Data[[#This Row],[All_Meas_Name_Append]]</f>
        <v>Programmable thermostat</v>
      </c>
      <c r="AH632" s="77">
        <f>AVERAGEIFS('3. Incentive Adjustment'!G:G,'3. Incentive Adjustment'!A:A,tbl_Data[[#This Row],[Trimmed Sector]],'3. Incentive Adjustment'!B:B,tbl_Data[[#This Row],[Trimmed Measure Name]])</f>
        <v>0.92137383531364503</v>
      </c>
      <c r="AI632" s="77">
        <f>$AH632*tbl_Data[[#This Row],[2025 ]]</f>
        <v>0.16543686142547473</v>
      </c>
      <c r="AJ632" s="77">
        <f>$AH632*tbl_Data[[#This Row],[2026 ]]</f>
        <v>0.3035865804420993</v>
      </c>
      <c r="AK632" s="77">
        <f>$AH632*tbl_Data[[#This Row],[2027 ]]</f>
        <v>0.41812660798502788</v>
      </c>
      <c r="AL632" s="77">
        <f>$AH632*tbl_Data[[#This Row],[2028 ]]</f>
        <v>0.51330858706146465</v>
      </c>
      <c r="AM632" s="77">
        <f>$AH632*tbl_Data[[#This Row],[2029 ]]</f>
        <v>0.59263686641969149</v>
      </c>
      <c r="AN632" s="77">
        <f>$AH632*tbl_Data[[#This Row],[2030 ]]</f>
        <v>0.6589437891476041</v>
      </c>
      <c r="AO632" s="77">
        <f>$AH632*tbl_Data[[#This Row],[2031 ]]</f>
        <v>0.71461652642538143</v>
      </c>
      <c r="AP632" s="77">
        <f>$AH632*tbl_Data[[#This Row],[2032 ]]</f>
        <v>0.76170830457658678</v>
      </c>
      <c r="AQ632" s="77">
        <f>$AH632*tbl_Data[[#This Row],[2033 ]]</f>
        <v>0.80196038594016938</v>
      </c>
      <c r="AR632" s="77">
        <f>$AH632*tbl_Data[[#This Row],[2034 ]]</f>
        <v>0.83666899888239221</v>
      </c>
      <c r="AS632" s="77">
        <f>SUM(tbl_Data[[#This Row],[Adjusted 2025]:[Adjusted 2034]])</f>
        <v>5.7669935083058919</v>
      </c>
      <c r="AT632" s="80">
        <f>AVERAGEIFS('3. Incentive Adjustment'!F:F,'3. Incentive Adjustment'!A:A,tbl_Data[[#This Row],[Trimmed Sector]],'3. Incentive Adjustment'!B:B,tbl_Data[[#This Row],[Trimmed Measure Name]])</f>
        <v>0</v>
      </c>
      <c r="AU632" s="80">
        <f>IFERROR(VLOOKUP(tbl_Data[[#This Row],[All_Meas_Name_Append]],'IRA Tax Credits'!$A$3:$D$46,4,0),0)</f>
        <v>0</v>
      </c>
      <c r="AV632" s="81">
        <f>tbl_Data[[#This Row],[Adj. per unit Incentive ($)]]/tbl_Data[[#This Row],[kWh Savings]]*tbl_Data[[#This Row],[Sum of Annuals]]</f>
        <v>0</v>
      </c>
      <c r="AW632" s="81" t="str">
        <f>IFERROR(VLOOKUP(tbl_Data[[#This Row],[Column1]],'1. Set Program Names'!$B$2:$D$15,3,0)*tbl_Data[[#This Row],[Sum of Annuals]],"")</f>
        <v/>
      </c>
      <c r="AX632" s="81">
        <f>tbl_Data[[#This Row],[per unit IRA tax ($)]]/tbl_Data[[#This Row],[kWh Savings]]*tbl_Data[[#This Row],[Sum of Annuals]]</f>
        <v>0</v>
      </c>
      <c r="AY632" s="81">
        <f>tbl_Data[[#This Row],[Avoided Costs ($/unit)]]/tbl_Data[[#This Row],[kWh Savings]]*tbl_Data[[#This Row],[Sum of Annuals]]</f>
        <v>2.2297501735478069</v>
      </c>
      <c r="AZ632" s="81">
        <f>tbl_Data[[#This Row],[Lost Revenue ($/unit)]]/tbl_Data[[#This Row],[kWh Savings]]*tbl_Data[[#This Row],[Sum of Annuals]]</f>
        <v>5.0838739138966025</v>
      </c>
      <c r="BA632" s="81">
        <f>tbl_Data[[#This Row],[Incremental Cost ($/unit)]]/tbl_Data[[#This Row],[kWh Savings]]*tbl_Data[[#This Row],[Sum of Annuals]]</f>
        <v>1.3652955916384639</v>
      </c>
      <c r="BB632" s="77">
        <f>ROUNDUP(tbl_Data[[#This Row],[Adjusted 2025]]/$L632,0)</f>
        <v>1</v>
      </c>
      <c r="BC632" s="77">
        <f>ROUNDUP(tbl_Data[[#This Row],[Adjusted 2026]]/$L632,0)</f>
        <v>1</v>
      </c>
      <c r="BD632" s="77">
        <f>ROUNDUP(tbl_Data[[#This Row],[Adjusted 2027]]/$L632,0)</f>
        <v>1</v>
      </c>
      <c r="BE632" s="77">
        <f>ROUNDUP(tbl_Data[[#This Row],[Adjusted 2028]]/$L632,0)</f>
        <v>1</v>
      </c>
      <c r="BF632" s="77">
        <f>ROUNDUP(tbl_Data[[#This Row],[Adjusted 2029]]/$L632,0)</f>
        <v>1</v>
      </c>
      <c r="BG632" s="77">
        <f>ROUNDUP(tbl_Data[[#This Row],[Adjusted 2030]]/$L632,0)</f>
        <v>1</v>
      </c>
      <c r="BH632" s="77">
        <f>ROUNDUP(tbl_Data[[#This Row],[Adjusted 2031]]/$L632,0)</f>
        <v>1</v>
      </c>
      <c r="BI632" s="77">
        <f>ROUNDUP(tbl_Data[[#This Row],[Adjusted 2032]]/$L632,0)</f>
        <v>1</v>
      </c>
      <c r="BJ632" s="77">
        <f>ROUNDUP(tbl_Data[[#This Row],[Adjusted 2033]]/$L632,0)</f>
        <v>1</v>
      </c>
      <c r="BK632" s="77">
        <f>ROUNDUP(tbl_Data[[#This Row],[Adjusted 2034]]/$L632,0)</f>
        <v>1</v>
      </c>
      <c r="BL632" s="80">
        <f t="shared" si="254"/>
        <v>0</v>
      </c>
      <c r="BM632" s="80">
        <f t="shared" si="255"/>
        <v>0</v>
      </c>
      <c r="BN632" s="80">
        <f t="shared" si="256"/>
        <v>0</v>
      </c>
      <c r="BO632" s="80">
        <f t="shared" si="257"/>
        <v>0</v>
      </c>
      <c r="BP632" s="80">
        <f t="shared" si="258"/>
        <v>0</v>
      </c>
      <c r="BQ632" s="80">
        <f t="shared" si="259"/>
        <v>0</v>
      </c>
      <c r="BR632" s="80">
        <f t="shared" si="260"/>
        <v>0</v>
      </c>
      <c r="BS632" s="80">
        <f t="shared" si="261"/>
        <v>0</v>
      </c>
      <c r="BT632" s="80">
        <f t="shared" si="262"/>
        <v>0</v>
      </c>
      <c r="BU632" s="80">
        <f t="shared" si="263"/>
        <v>0</v>
      </c>
      <c r="BV632" s="80" t="str">
        <f>IFERROR(VLOOKUP($H632,'1. Set Program Names'!$B$2:$D$15,3,0)*V632,"NA")</f>
        <v>NA</v>
      </c>
      <c r="BW632" s="80" t="str">
        <f>IFERROR(VLOOKUP($H632,'1. Set Program Names'!$B$2:$D$15,3,0)*W632,"NA")</f>
        <v>NA</v>
      </c>
      <c r="BX632" s="80" t="str">
        <f>IFERROR(VLOOKUP($H632,'1. Set Program Names'!$B$2:$D$15,3,0)*X632,"NA")</f>
        <v>NA</v>
      </c>
      <c r="BY632" s="80" t="str">
        <f>IFERROR(VLOOKUP($H632,'1. Set Program Names'!$B$2:$D$15,3,0)*Y632,"NA")</f>
        <v>NA</v>
      </c>
      <c r="BZ632" s="80" t="str">
        <f>IFERROR(VLOOKUP($H632,'1. Set Program Names'!$B$2:$D$15,3,0)*Z632,"NA")</f>
        <v>NA</v>
      </c>
      <c r="CA632" s="80" t="str">
        <f>IFERROR(VLOOKUP($H632,'1. Set Program Names'!$B$2:$D$15,3,0)*AA632,"NA")</f>
        <v>NA</v>
      </c>
      <c r="CB632" s="80" t="str">
        <f>IFERROR(VLOOKUP($H632,'1. Set Program Names'!$B$2:$D$15,3,0)*AB632,"NA")</f>
        <v>NA</v>
      </c>
      <c r="CC632" s="80" t="str">
        <f>IFERROR(VLOOKUP($H632,'1. Set Program Names'!$B$2:$D$15,3,0)*AC632,"NA")</f>
        <v>NA</v>
      </c>
      <c r="CD632" s="80" t="str">
        <f>IFERROR(VLOOKUP($H632,'1. Set Program Names'!$B$2:$D$15,3,0)*AD632,"NA")</f>
        <v>NA</v>
      </c>
      <c r="CE632" s="80" t="str">
        <f>IFERROR(VLOOKUP($H632,'1. Set Program Names'!$B$2:$D$15,3,0)*AE632,"NA")</f>
        <v>NA</v>
      </c>
    </row>
    <row r="633" spans="1:83" x14ac:dyDescent="0.25">
      <c r="A633" s="79" t="s">
        <v>115</v>
      </c>
      <c r="B633" s="79" t="s">
        <v>88</v>
      </c>
      <c r="C633" s="79" t="s">
        <v>122</v>
      </c>
      <c r="D633" s="79" t="s">
        <v>90</v>
      </c>
      <c r="E633" s="79" t="s">
        <v>91</v>
      </c>
      <c r="F633" s="79" t="s">
        <v>90</v>
      </c>
      <c r="G633" s="79" t="s">
        <v>92</v>
      </c>
      <c r="H633" s="79" t="s">
        <v>268</v>
      </c>
      <c r="I633" s="79" t="s">
        <v>156</v>
      </c>
      <c r="J633" s="79" t="s">
        <v>129</v>
      </c>
      <c r="K633" s="79" t="s">
        <v>102</v>
      </c>
      <c r="L633" s="79">
        <v>1074.99714285714</v>
      </c>
      <c r="M633" s="79">
        <v>0.35483647389159401</v>
      </c>
      <c r="N633" s="79">
        <v>2.1679791501885101E-3</v>
      </c>
      <c r="O633" s="79">
        <v>322.49999999999898</v>
      </c>
      <c r="P633" s="79">
        <v>112.47094868606101</v>
      </c>
      <c r="Q633" s="79">
        <v>1.0749971428571401</v>
      </c>
      <c r="R633" s="79">
        <v>593.31352847936103</v>
      </c>
      <c r="S633" s="79">
        <v>1167.57597203707</v>
      </c>
      <c r="T633" s="79">
        <v>15</v>
      </c>
      <c r="U633" s="79">
        <v>1</v>
      </c>
      <c r="V633" s="79">
        <f>tbl_Data_old[[#This Row],[2025 ]]*IFERROR(AVERAGEIFS('Participation Adjustment'!$C:$C,'Participation Adjustment'!$A:$A,$H633,'Participation Adjustment'!$B:$B,$I633),1)</f>
        <v>37.903333630167303</v>
      </c>
      <c r="W633" s="79">
        <f>tbl_Data_old[[#This Row],[2026 ]]*IFERROR(AVERAGEIFS('Participation Adjustment'!$C:$C,'Participation Adjustment'!$A:$A,$H633,'Participation Adjustment'!$B:$B,$I633),1)</f>
        <v>80.522939147866495</v>
      </c>
      <c r="X633" s="79">
        <f>tbl_Data_old[[#This Row],[2027 ]]*IFERROR(AVERAGEIFS('Participation Adjustment'!$C:$C,'Participation Adjustment'!$A:$A,$H633,'Participation Adjustment'!$B:$B,$I633),1)</f>
        <v>127.384624330826</v>
      </c>
      <c r="Y633" s="79">
        <f>tbl_Data_old[[#This Row],[2028 ]]*IFERROR(AVERAGEIFS('Participation Adjustment'!$C:$C,'Participation Adjustment'!$A:$A,$H633,'Participation Adjustment'!$B:$B,$I633),1)</f>
        <v>178.245412776552</v>
      </c>
      <c r="Z633" s="79">
        <f>tbl_Data_old[[#This Row],[2029 ]]*IFERROR(AVERAGEIFS('Participation Adjustment'!$C:$C,'Participation Adjustment'!$A:$A,$H633,'Participation Adjustment'!$B:$B,$I633),1)</f>
        <v>232.83065017347801</v>
      </c>
      <c r="AA633" s="79">
        <f>tbl_Data_old[[#This Row],[2030 ]]*IFERROR(AVERAGEIFS('Participation Adjustment'!$C:$C,'Participation Adjustment'!$A:$A,$H633,'Participation Adjustment'!$B:$B,$I633),1)</f>
        <v>290.840276928403</v>
      </c>
      <c r="AB633" s="79">
        <f>tbl_Data_old[[#This Row],[2031 ]]*IFERROR(AVERAGEIFS('Participation Adjustment'!$C:$C,'Participation Adjustment'!$A:$A,$H633,'Participation Adjustment'!$B:$B,$I633),1)</f>
        <v>352.00297846404499</v>
      </c>
      <c r="AC633" s="79">
        <f>tbl_Data_old[[#This Row],[2032 ]]*IFERROR(AVERAGEIFS('Participation Adjustment'!$C:$C,'Participation Adjustment'!$A:$A,$H633,'Participation Adjustment'!$B:$B,$I633),1)</f>
        <v>416.20224451603502</v>
      </c>
      <c r="AD633" s="79">
        <f>tbl_Data_old[[#This Row],[2033 ]]*IFERROR(AVERAGEIFS('Participation Adjustment'!$C:$C,'Participation Adjustment'!$A:$A,$H633,'Participation Adjustment'!$B:$B,$I633),1)</f>
        <v>483.39577918009002</v>
      </c>
      <c r="AE633" s="79">
        <f>tbl_Data_old[[#This Row],[2034 ]]*IFERROR(AVERAGEIFS('Participation Adjustment'!$C:$C,'Participation Adjustment'!$A:$A,$H633,'Participation Adjustment'!$B:$B,$I633),1)</f>
        <v>553.46064536452695</v>
      </c>
      <c r="AF633" s="77" t="str">
        <f t="shared" si="253"/>
        <v>NonResidential</v>
      </c>
      <c r="AG633" s="77" t="str">
        <f>tbl_Data[[#This Row],[All_Meas_Name_Append]]</f>
        <v>Water source heat pump</v>
      </c>
      <c r="AH633" s="77">
        <f>AVERAGEIFS('3. Incentive Adjustment'!G:G,'3. Incentive Adjustment'!A:A,tbl_Data[[#This Row],[Trimmed Sector]],'3. Incentive Adjustment'!B:B,tbl_Data[[#This Row],[Trimmed Measure Name]])</f>
        <v>0.75877205530206748</v>
      </c>
      <c r="AI633" s="77">
        <f>$AH633*tbl_Data[[#This Row],[2025 ]]</f>
        <v>28.759990361362018</v>
      </c>
      <c r="AJ633" s="77">
        <f>$AH633*tbl_Data[[#This Row],[2026 ]]</f>
        <v>61.098556036189969</v>
      </c>
      <c r="AK633" s="77">
        <f>$AH633*tbl_Data[[#This Row],[2027 ]]</f>
        <v>96.655893217382598</v>
      </c>
      <c r="AL633" s="77">
        <f>$AH633*tbl_Data[[#This Row],[2028 ]]</f>
        <v>135.24763820062975</v>
      </c>
      <c r="AM633" s="77">
        <f>$AH633*tbl_Data[[#This Row],[2029 ]]</f>
        <v>176.66539096944658</v>
      </c>
      <c r="AN633" s="77">
        <f>$AH633*tbl_Data[[#This Row],[2030 ]]</f>
        <v>220.68147468958682</v>
      </c>
      <c r="AO633" s="77">
        <f>$AH633*tbl_Data[[#This Row],[2031 ]]</f>
        <v>267.0900234416128</v>
      </c>
      <c r="AP633" s="77">
        <f>$AH633*tbl_Data[[#This Row],[2032 ]]</f>
        <v>315.80263249276555</v>
      </c>
      <c r="AQ633" s="77">
        <f>$AH633*tbl_Data[[#This Row],[2033 ]]</f>
        <v>366.78720889282124</v>
      </c>
      <c r="AR633" s="77">
        <f>$AH633*tbl_Data[[#This Row],[2034 ]]</f>
        <v>419.95047141205083</v>
      </c>
      <c r="AS633" s="77">
        <f>SUM(tbl_Data[[#This Row],[Adjusted 2025]:[Adjusted 2034]])</f>
        <v>2088.7392797138482</v>
      </c>
      <c r="AT633" s="80">
        <f>AVERAGEIFS('3. Incentive Adjustment'!F:F,'3. Incentive Adjustment'!A:A,tbl_Data[[#This Row],[Trimmed Sector]],'3. Incentive Adjustment'!B:B,tbl_Data[[#This Row],[Trimmed Measure Name]])</f>
        <v>0</v>
      </c>
      <c r="AU633" s="80">
        <f>IFERROR(VLOOKUP(tbl_Data[[#This Row],[All_Meas_Name_Append]],'IRA Tax Credits'!$A$3:$D$46,4,0),0)</f>
        <v>0</v>
      </c>
      <c r="AV633" s="81">
        <f>tbl_Data[[#This Row],[Adj. per unit Incentive ($)]]/tbl_Data[[#This Row],[kWh Savings]]*tbl_Data[[#This Row],[Sum of Annuals]]</f>
        <v>0</v>
      </c>
      <c r="AW633" s="81" t="str">
        <f>IFERROR(VLOOKUP(tbl_Data[[#This Row],[Column1]],'1. Set Program Names'!$B$2:$D$15,3,0)*tbl_Data[[#This Row],[Sum of Annuals]],"")</f>
        <v/>
      </c>
      <c r="AX633" s="81">
        <f>tbl_Data[[#This Row],[per unit IRA tax ($)]]/tbl_Data[[#This Row],[kWh Savings]]*tbl_Data[[#This Row],[Sum of Annuals]]</f>
        <v>0</v>
      </c>
      <c r="AY633" s="81">
        <f>tbl_Data[[#This Row],[Avoided Costs ($/unit)]]/tbl_Data[[#This Row],[kWh Savings]]*tbl_Data[[#This Row],[Sum of Annuals]]</f>
        <v>1152.8191310599177</v>
      </c>
      <c r="AZ633" s="81">
        <f>tbl_Data[[#This Row],[Lost Revenue ($/unit)]]/tbl_Data[[#This Row],[kWh Savings]]*tbl_Data[[#This Row],[Sum of Annuals]]</f>
        <v>2268.6216526698258</v>
      </c>
      <c r="BA633" s="81">
        <f>tbl_Data[[#This Row],[Incremental Cost ($/unit)]]/tbl_Data[[#This Row],[kWh Savings]]*tbl_Data[[#This Row],[Sum of Annuals]]</f>
        <v>626.62344935853787</v>
      </c>
      <c r="BB633" s="77">
        <f>ROUNDUP(tbl_Data[[#This Row],[Adjusted 2025]]/$L633,0)</f>
        <v>1</v>
      </c>
      <c r="BC633" s="77">
        <f>ROUNDUP(tbl_Data[[#This Row],[Adjusted 2026]]/$L633,0)</f>
        <v>1</v>
      </c>
      <c r="BD633" s="77">
        <f>ROUNDUP(tbl_Data[[#This Row],[Adjusted 2027]]/$L633,0)</f>
        <v>1</v>
      </c>
      <c r="BE633" s="77">
        <f>ROUNDUP(tbl_Data[[#This Row],[Adjusted 2028]]/$L633,0)</f>
        <v>1</v>
      </c>
      <c r="BF633" s="77">
        <f>ROUNDUP(tbl_Data[[#This Row],[Adjusted 2029]]/$L633,0)</f>
        <v>1</v>
      </c>
      <c r="BG633" s="77">
        <f>ROUNDUP(tbl_Data[[#This Row],[Adjusted 2030]]/$L633,0)</f>
        <v>1</v>
      </c>
      <c r="BH633" s="77">
        <f>ROUNDUP(tbl_Data[[#This Row],[Adjusted 2031]]/$L633,0)</f>
        <v>1</v>
      </c>
      <c r="BI633" s="77">
        <f>ROUNDUP(tbl_Data[[#This Row],[Adjusted 2032]]/$L633,0)</f>
        <v>1</v>
      </c>
      <c r="BJ633" s="77">
        <f>ROUNDUP(tbl_Data[[#This Row],[Adjusted 2033]]/$L633,0)</f>
        <v>1</v>
      </c>
      <c r="BK633" s="77">
        <f>ROUNDUP(tbl_Data[[#This Row],[Adjusted 2034]]/$L633,0)</f>
        <v>1</v>
      </c>
      <c r="BL633" s="80">
        <f t="shared" si="254"/>
        <v>0</v>
      </c>
      <c r="BM633" s="80">
        <f t="shared" si="255"/>
        <v>0</v>
      </c>
      <c r="BN633" s="80">
        <f t="shared" si="256"/>
        <v>0</v>
      </c>
      <c r="BO633" s="80">
        <f t="shared" si="257"/>
        <v>0</v>
      </c>
      <c r="BP633" s="80">
        <f t="shared" si="258"/>
        <v>0</v>
      </c>
      <c r="BQ633" s="80">
        <f t="shared" si="259"/>
        <v>0</v>
      </c>
      <c r="BR633" s="80">
        <f t="shared" si="260"/>
        <v>0</v>
      </c>
      <c r="BS633" s="80">
        <f t="shared" si="261"/>
        <v>0</v>
      </c>
      <c r="BT633" s="80">
        <f t="shared" si="262"/>
        <v>0</v>
      </c>
      <c r="BU633" s="80">
        <f t="shared" si="263"/>
        <v>0</v>
      </c>
      <c r="BV633" s="80" t="str">
        <f>IFERROR(VLOOKUP($H633,'1. Set Program Names'!$B$2:$D$15,3,0)*V633,"NA")</f>
        <v>NA</v>
      </c>
      <c r="BW633" s="80" t="str">
        <f>IFERROR(VLOOKUP($H633,'1. Set Program Names'!$B$2:$D$15,3,0)*W633,"NA")</f>
        <v>NA</v>
      </c>
      <c r="BX633" s="80" t="str">
        <f>IFERROR(VLOOKUP($H633,'1. Set Program Names'!$B$2:$D$15,3,0)*X633,"NA")</f>
        <v>NA</v>
      </c>
      <c r="BY633" s="80" t="str">
        <f>IFERROR(VLOOKUP($H633,'1. Set Program Names'!$B$2:$D$15,3,0)*Y633,"NA")</f>
        <v>NA</v>
      </c>
      <c r="BZ633" s="80" t="str">
        <f>IFERROR(VLOOKUP($H633,'1. Set Program Names'!$B$2:$D$15,3,0)*Z633,"NA")</f>
        <v>NA</v>
      </c>
      <c r="CA633" s="80" t="str">
        <f>IFERROR(VLOOKUP($H633,'1. Set Program Names'!$B$2:$D$15,3,0)*AA633,"NA")</f>
        <v>NA</v>
      </c>
      <c r="CB633" s="80" t="str">
        <f>IFERROR(VLOOKUP($H633,'1. Set Program Names'!$B$2:$D$15,3,0)*AB633,"NA")</f>
        <v>NA</v>
      </c>
      <c r="CC633" s="80" t="str">
        <f>IFERROR(VLOOKUP($H633,'1. Set Program Names'!$B$2:$D$15,3,0)*AC633,"NA")</f>
        <v>NA</v>
      </c>
      <c r="CD633" s="80" t="str">
        <f>IFERROR(VLOOKUP($H633,'1. Set Program Names'!$B$2:$D$15,3,0)*AD633,"NA")</f>
        <v>NA</v>
      </c>
      <c r="CE633" s="80" t="str">
        <f>IFERROR(VLOOKUP($H633,'1. Set Program Names'!$B$2:$D$15,3,0)*AE633,"NA")</f>
        <v>NA</v>
      </c>
    </row>
    <row r="634" spans="1:83" x14ac:dyDescent="0.25">
      <c r="A634" s="79" t="s">
        <v>116</v>
      </c>
      <c r="B634" s="79" t="s">
        <v>88</v>
      </c>
      <c r="C634" s="79" t="s">
        <v>122</v>
      </c>
      <c r="D634" s="79" t="s">
        <v>90</v>
      </c>
      <c r="E634" s="79" t="s">
        <v>91</v>
      </c>
      <c r="F634" s="79" t="s">
        <v>90</v>
      </c>
      <c r="G634" s="79" t="s">
        <v>92</v>
      </c>
      <c r="H634" s="79" t="s">
        <v>268</v>
      </c>
      <c r="I634" s="79" t="s">
        <v>123</v>
      </c>
      <c r="J634" s="79" t="s">
        <v>124</v>
      </c>
      <c r="K634" s="79" t="s">
        <v>125</v>
      </c>
      <c r="L634" s="79">
        <v>276.38000000000102</v>
      </c>
      <c r="M634" s="79">
        <v>4.0116087790590997E-2</v>
      </c>
      <c r="N634" s="79">
        <v>3.5590078027730399E-2</v>
      </c>
      <c r="O634" s="79">
        <v>71</v>
      </c>
      <c r="P634" s="79">
        <v>14.1467127741815</v>
      </c>
      <c r="Q634" s="79">
        <v>0.27638000000000101</v>
      </c>
      <c r="R634" s="79">
        <v>109.905179976762</v>
      </c>
      <c r="S634" s="79">
        <v>259.02791823564098</v>
      </c>
      <c r="T634" s="79">
        <v>12</v>
      </c>
      <c r="U634" s="79">
        <v>1</v>
      </c>
      <c r="V634" s="79">
        <f>tbl_Data_old[[#This Row],[2025 ]]*IFERROR(AVERAGEIFS('Participation Adjustment'!$C:$C,'Participation Adjustment'!$A:$A,$H634,'Participation Adjustment'!$B:$B,$I634),1)</f>
        <v>0.33887342469540699</v>
      </c>
      <c r="W634" s="79">
        <f>tbl_Data_old[[#This Row],[2026 ]]*IFERROR(AVERAGEIFS('Participation Adjustment'!$C:$C,'Participation Adjustment'!$A:$A,$H634,'Participation Adjustment'!$B:$B,$I634),1)</f>
        <v>0.46299490533391502</v>
      </c>
      <c r="X634" s="79">
        <f>tbl_Data_old[[#This Row],[2027 ]]*IFERROR(AVERAGEIFS('Participation Adjustment'!$C:$C,'Participation Adjustment'!$A:$A,$H634,'Participation Adjustment'!$B:$B,$I634),1)</f>
        <v>0.61487308591108802</v>
      </c>
      <c r="Y634" s="79">
        <f>tbl_Data_old[[#This Row],[2028 ]]*IFERROR(AVERAGEIFS('Participation Adjustment'!$C:$C,'Participation Adjustment'!$A:$A,$H634,'Participation Adjustment'!$B:$B,$I634),1)</f>
        <v>0.79183142023786302</v>
      </c>
      <c r="Z634" s="79">
        <f>tbl_Data_old[[#This Row],[2029 ]]*IFERROR(AVERAGEIFS('Participation Adjustment'!$C:$C,'Participation Adjustment'!$A:$A,$H634,'Participation Adjustment'!$B:$B,$I634),1)</f>
        <v>0.97987695529738195</v>
      </c>
      <c r="AA634" s="79">
        <f>tbl_Data_old[[#This Row],[2030 ]]*IFERROR(AVERAGEIFS('Participation Adjustment'!$C:$C,'Participation Adjustment'!$A:$A,$H634,'Participation Adjustment'!$B:$B,$I634),1)</f>
        <v>1.1547998437571301</v>
      </c>
      <c r="AB634" s="79">
        <f>tbl_Data_old[[#This Row],[2031 ]]*IFERROR(AVERAGEIFS('Participation Adjustment'!$C:$C,'Participation Adjustment'!$A:$A,$H634,'Participation Adjustment'!$B:$B,$I634),1)</f>
        <v>1.28153834751472</v>
      </c>
      <c r="AC634" s="79">
        <f>tbl_Data_old[[#This Row],[2032 ]]*IFERROR(AVERAGEIFS('Participation Adjustment'!$C:$C,'Participation Adjustment'!$A:$A,$H634,'Participation Adjustment'!$B:$B,$I634),1)</f>
        <v>1.3277869806856999</v>
      </c>
      <c r="AD634" s="79">
        <f>tbl_Data_old[[#This Row],[2033 ]]*IFERROR(AVERAGEIFS('Participation Adjustment'!$C:$C,'Participation Adjustment'!$A:$A,$H634,'Participation Adjustment'!$B:$B,$I634),1)</f>
        <v>1.27669131535483</v>
      </c>
      <c r="AE634" s="79">
        <f>tbl_Data_old[[#This Row],[2034 ]]*IFERROR(AVERAGEIFS('Participation Adjustment'!$C:$C,'Participation Adjustment'!$A:$A,$H634,'Participation Adjustment'!$B:$B,$I634),1)</f>
        <v>1.1368881519542</v>
      </c>
      <c r="AF634" s="77" t="str">
        <f t="shared" si="253"/>
        <v>NonResidential</v>
      </c>
      <c r="AG634" s="77" t="str">
        <f>tbl_Data[[#This Row],[All_Meas_Name_Append]]</f>
        <v>Anti-Sweat Controls</v>
      </c>
      <c r="AH634" s="77">
        <f>AVERAGEIFS('3. Incentive Adjustment'!G:G,'3. Incentive Adjustment'!A:A,tbl_Data[[#This Row],[Trimmed Sector]],'3. Incentive Adjustment'!B:B,tbl_Data[[#This Row],[Trimmed Measure Name]])</f>
        <v>0.87366811775307662</v>
      </c>
      <c r="AI634" s="77">
        <f>$AH634*tbl_Data[[#This Row],[2025 ]]</f>
        <v>0.29606290711017519</v>
      </c>
      <c r="AJ634" s="77">
        <f>$AH634*tbl_Data[[#This Row],[2026 ]]</f>
        <v>0.40450388747234545</v>
      </c>
      <c r="AK634" s="77">
        <f>$AH634*tbl_Data[[#This Row],[2027 ]]</f>
        <v>0.53719501162496608</v>
      </c>
      <c r="AL634" s="77">
        <f>$AH634*tbl_Data[[#This Row],[2028 ]]</f>
        <v>0.69179786649695918</v>
      </c>
      <c r="AM634" s="77">
        <f>$AH634*tbl_Data[[#This Row],[2029 ]]</f>
        <v>0.8560872551642793</v>
      </c>
      <c r="AN634" s="77">
        <f>$AH634*tbl_Data[[#This Row],[2030 ]]</f>
        <v>1.0089118058768387</v>
      </c>
      <c r="AO634" s="77">
        <f>$AH634*tbl_Data[[#This Row],[2031 ]]</f>
        <v>1.1196391959015737</v>
      </c>
      <c r="AP634" s="77">
        <f>$AH634*tbl_Data[[#This Row],[2032 ]]</f>
        <v>1.1600451521927162</v>
      </c>
      <c r="AQ634" s="77">
        <f>$AH634*tbl_Data[[#This Row],[2033 ]]</f>
        <v>1.115404498437754</v>
      </c>
      <c r="AR634" s="77">
        <f>$AH634*tbl_Data[[#This Row],[2034 ]]</f>
        <v>0.9932629318135997</v>
      </c>
      <c r="AS634" s="77">
        <f>SUM(tbl_Data[[#This Row],[Adjusted 2025]:[Adjusted 2034]])</f>
        <v>8.1829105120912082</v>
      </c>
      <c r="AT634" s="80">
        <f>AVERAGEIFS('3. Incentive Adjustment'!F:F,'3. Incentive Adjustment'!A:A,tbl_Data[[#This Row],[Trimmed Sector]],'3. Incentive Adjustment'!B:B,tbl_Data[[#This Row],[Trimmed Measure Name]])</f>
        <v>0</v>
      </c>
      <c r="AU634" s="80">
        <f>IFERROR(VLOOKUP(tbl_Data[[#This Row],[All_Meas_Name_Append]],'IRA Tax Credits'!$A$3:$D$46,4,0),0)</f>
        <v>0</v>
      </c>
      <c r="AV634" s="81">
        <f>tbl_Data[[#This Row],[Adj. per unit Incentive ($)]]/tbl_Data[[#This Row],[kWh Savings]]*tbl_Data[[#This Row],[Sum of Annuals]]</f>
        <v>0</v>
      </c>
      <c r="AW634" s="81" t="str">
        <f>IFERROR(VLOOKUP(tbl_Data[[#This Row],[Column1]],'1. Set Program Names'!$B$2:$D$15,3,0)*tbl_Data[[#This Row],[Sum of Annuals]],"")</f>
        <v/>
      </c>
      <c r="AX634" s="81">
        <f>tbl_Data[[#This Row],[per unit IRA tax ($)]]/tbl_Data[[#This Row],[kWh Savings]]*tbl_Data[[#This Row],[Sum of Annuals]]</f>
        <v>0</v>
      </c>
      <c r="AY634" s="81">
        <f>tbl_Data[[#This Row],[Avoided Costs ($/unit)]]/tbl_Data[[#This Row],[kWh Savings]]*tbl_Data[[#This Row],[Sum of Annuals]]</f>
        <v>3.2540135051925558</v>
      </c>
      <c r="AZ634" s="81">
        <f>tbl_Data[[#This Row],[Lost Revenue ($/unit)]]/tbl_Data[[#This Row],[kWh Savings]]*tbl_Data[[#This Row],[Sum of Annuals]]</f>
        <v>7.6691594003021955</v>
      </c>
      <c r="BA634" s="81">
        <f>tbl_Data[[#This Row],[Incremental Cost ($/unit)]]/tbl_Data[[#This Row],[kWh Savings]]*tbl_Data[[#This Row],[Sum of Annuals]]</f>
        <v>2.1021298442668557</v>
      </c>
      <c r="BB634" s="77">
        <f>ROUNDUP(tbl_Data[[#This Row],[Adjusted 2025]]/$L634,0)</f>
        <v>1</v>
      </c>
      <c r="BC634" s="77">
        <f>ROUNDUP(tbl_Data[[#This Row],[Adjusted 2026]]/$L634,0)</f>
        <v>1</v>
      </c>
      <c r="BD634" s="77">
        <f>ROUNDUP(tbl_Data[[#This Row],[Adjusted 2027]]/$L634,0)</f>
        <v>1</v>
      </c>
      <c r="BE634" s="77">
        <f>ROUNDUP(tbl_Data[[#This Row],[Adjusted 2028]]/$L634,0)</f>
        <v>1</v>
      </c>
      <c r="BF634" s="77">
        <f>ROUNDUP(tbl_Data[[#This Row],[Adjusted 2029]]/$L634,0)</f>
        <v>1</v>
      </c>
      <c r="BG634" s="77">
        <f>ROUNDUP(tbl_Data[[#This Row],[Adjusted 2030]]/$L634,0)</f>
        <v>1</v>
      </c>
      <c r="BH634" s="77">
        <f>ROUNDUP(tbl_Data[[#This Row],[Adjusted 2031]]/$L634,0)</f>
        <v>1</v>
      </c>
      <c r="BI634" s="77">
        <f>ROUNDUP(tbl_Data[[#This Row],[Adjusted 2032]]/$L634,0)</f>
        <v>1</v>
      </c>
      <c r="BJ634" s="77">
        <f>ROUNDUP(tbl_Data[[#This Row],[Adjusted 2033]]/$L634,0)</f>
        <v>1</v>
      </c>
      <c r="BK634" s="77">
        <f>ROUNDUP(tbl_Data[[#This Row],[Adjusted 2034]]/$L634,0)</f>
        <v>1</v>
      </c>
      <c r="BL634" s="80">
        <f t="shared" si="254"/>
        <v>0</v>
      </c>
      <c r="BM634" s="80">
        <f t="shared" si="255"/>
        <v>0</v>
      </c>
      <c r="BN634" s="80">
        <f t="shared" si="256"/>
        <v>0</v>
      </c>
      <c r="BO634" s="80">
        <f t="shared" si="257"/>
        <v>0</v>
      </c>
      <c r="BP634" s="80">
        <f t="shared" si="258"/>
        <v>0</v>
      </c>
      <c r="BQ634" s="80">
        <f t="shared" si="259"/>
        <v>0</v>
      </c>
      <c r="BR634" s="80">
        <f t="shared" si="260"/>
        <v>0</v>
      </c>
      <c r="BS634" s="80">
        <f t="shared" si="261"/>
        <v>0</v>
      </c>
      <c r="BT634" s="80">
        <f t="shared" si="262"/>
        <v>0</v>
      </c>
      <c r="BU634" s="80">
        <f t="shared" si="263"/>
        <v>0</v>
      </c>
      <c r="BV634" s="80" t="str">
        <f>IFERROR(VLOOKUP($H634,'1. Set Program Names'!$B$2:$D$15,3,0)*V634,"NA")</f>
        <v>NA</v>
      </c>
      <c r="BW634" s="80" t="str">
        <f>IFERROR(VLOOKUP($H634,'1. Set Program Names'!$B$2:$D$15,3,0)*W634,"NA")</f>
        <v>NA</v>
      </c>
      <c r="BX634" s="80" t="str">
        <f>IFERROR(VLOOKUP($H634,'1. Set Program Names'!$B$2:$D$15,3,0)*X634,"NA")</f>
        <v>NA</v>
      </c>
      <c r="BY634" s="80" t="str">
        <f>IFERROR(VLOOKUP($H634,'1. Set Program Names'!$B$2:$D$15,3,0)*Y634,"NA")</f>
        <v>NA</v>
      </c>
      <c r="BZ634" s="80" t="str">
        <f>IFERROR(VLOOKUP($H634,'1. Set Program Names'!$B$2:$D$15,3,0)*Z634,"NA")</f>
        <v>NA</v>
      </c>
      <c r="CA634" s="80" t="str">
        <f>IFERROR(VLOOKUP($H634,'1. Set Program Names'!$B$2:$D$15,3,0)*AA634,"NA")</f>
        <v>NA</v>
      </c>
      <c r="CB634" s="80" t="str">
        <f>IFERROR(VLOOKUP($H634,'1. Set Program Names'!$B$2:$D$15,3,0)*AB634,"NA")</f>
        <v>NA</v>
      </c>
      <c r="CC634" s="80" t="str">
        <f>IFERROR(VLOOKUP($H634,'1. Set Program Names'!$B$2:$D$15,3,0)*AC634,"NA")</f>
        <v>NA</v>
      </c>
      <c r="CD634" s="80" t="str">
        <f>IFERROR(VLOOKUP($H634,'1. Set Program Names'!$B$2:$D$15,3,0)*AD634,"NA")</f>
        <v>NA</v>
      </c>
      <c r="CE634" s="80" t="str">
        <f>IFERROR(VLOOKUP($H634,'1. Set Program Names'!$B$2:$D$15,3,0)*AE634,"NA")</f>
        <v>NA</v>
      </c>
    </row>
    <row r="635" spans="1:83" x14ac:dyDescent="0.25">
      <c r="A635" s="79" t="s">
        <v>116</v>
      </c>
      <c r="B635" s="79" t="s">
        <v>88</v>
      </c>
      <c r="C635" s="79" t="s">
        <v>122</v>
      </c>
      <c r="D635" s="79" t="s">
        <v>90</v>
      </c>
      <c r="E635" s="79" t="s">
        <v>91</v>
      </c>
      <c r="F635" s="79" t="s">
        <v>90</v>
      </c>
      <c r="G635" s="79" t="s">
        <v>92</v>
      </c>
      <c r="H635" s="79" t="s">
        <v>268</v>
      </c>
      <c r="I635" s="79" t="s">
        <v>126</v>
      </c>
      <c r="J635" s="79" t="s">
        <v>127</v>
      </c>
      <c r="K635" s="79" t="s">
        <v>102</v>
      </c>
      <c r="L635" s="79">
        <v>10474.513428571399</v>
      </c>
      <c r="M635" s="79">
        <v>11.987030831722899</v>
      </c>
      <c r="N635" s="79">
        <v>6.5774989692018102E-2</v>
      </c>
      <c r="O635" s="79">
        <v>2861.52</v>
      </c>
      <c r="P635" s="79">
        <v>706.838432647388</v>
      </c>
      <c r="Q635" s="79">
        <v>10.474513428571401</v>
      </c>
      <c r="R635" s="79">
        <v>9615.4333568812199</v>
      </c>
      <c r="S635" s="79">
        <v>8615.8759261769592</v>
      </c>
      <c r="T635" s="79">
        <v>10</v>
      </c>
      <c r="U635" s="79">
        <v>1</v>
      </c>
      <c r="V635" s="79">
        <f>tbl_Data_old[[#This Row],[2025 ]]*IFERROR(AVERAGEIFS('Participation Adjustment'!$C:$C,'Participation Adjustment'!$A:$A,$H635,'Participation Adjustment'!$B:$B,$I635),1)</f>
        <v>7.9906602774018301E-2</v>
      </c>
      <c r="W635" s="79">
        <f>tbl_Data_old[[#This Row],[2026 ]]*IFERROR(AVERAGEIFS('Participation Adjustment'!$C:$C,'Participation Adjustment'!$A:$A,$H635,'Participation Adjustment'!$B:$B,$I635),1)</f>
        <v>0.11061617349904899</v>
      </c>
      <c r="X635" s="79">
        <f>tbl_Data_old[[#This Row],[2027 ]]*IFERROR(AVERAGEIFS('Participation Adjustment'!$C:$C,'Participation Adjustment'!$A:$A,$H635,'Participation Adjustment'!$B:$B,$I635),1)</f>
        <v>0.148806967469852</v>
      </c>
      <c r="Y635" s="79">
        <f>tbl_Data_old[[#This Row],[2028 ]]*IFERROR(AVERAGEIFS('Participation Adjustment'!$C:$C,'Participation Adjustment'!$A:$A,$H635,'Participation Adjustment'!$B:$B,$I635),1)</f>
        <v>0.19474943624820401</v>
      </c>
      <c r="Z635" s="79">
        <f>tbl_Data_old[[#This Row],[2029 ]]*IFERROR(AVERAGEIFS('Participation Adjustment'!$C:$C,'Participation Adjustment'!$A:$A,$H635,'Participation Adjustment'!$B:$B,$I635),1)</f>
        <v>0.24550279202348699</v>
      </c>
      <c r="AA635" s="79">
        <f>tbl_Data_old[[#This Row],[2030 ]]*IFERROR(AVERAGEIFS('Participation Adjustment'!$C:$C,'Participation Adjustment'!$A:$A,$H635,'Participation Adjustment'!$B:$B,$I635),1)</f>
        <v>0.29351846387983899</v>
      </c>
      <c r="AB635" s="79">
        <f>tbl_Data_old[[#This Row],[2031 ]]*IFERROR(AVERAGEIFS('Participation Adjustment'!$C:$C,'Participation Adjustment'!$A:$A,$H635,'Participation Adjustment'!$B:$B,$I635),1)</f>
        <v>0.32863601260972902</v>
      </c>
      <c r="AC635" s="79">
        <f>tbl_Data_old[[#This Row],[2032 ]]*IFERROR(AVERAGEIFS('Participation Adjustment'!$C:$C,'Participation Adjustment'!$A:$A,$H635,'Participation Adjustment'!$B:$B,$I635),1)</f>
        <v>0.34002617182273898</v>
      </c>
      <c r="AD635" s="79">
        <f>tbl_Data_old[[#This Row],[2033 ]]*IFERROR(AVERAGEIFS('Participation Adjustment'!$C:$C,'Participation Adjustment'!$A:$A,$H635,'Participation Adjustment'!$B:$B,$I635),1)</f>
        <v>0.32049208046946098</v>
      </c>
      <c r="AE635" s="79">
        <f>tbl_Data_old[[#This Row],[2034 ]]*IFERROR(AVERAGEIFS('Participation Adjustment'!$C:$C,'Participation Adjustment'!$A:$A,$H635,'Participation Adjustment'!$B:$B,$I635),1)</f>
        <v>0.27352025308412098</v>
      </c>
      <c r="AF635" s="77" t="str">
        <f t="shared" si="253"/>
        <v>NonResidential</v>
      </c>
      <c r="AG635" s="77" t="str">
        <f>tbl_Data[[#This Row],[All_Meas_Name_Append]]</f>
        <v>Chiller maintenance</v>
      </c>
      <c r="AH635" s="77">
        <f>AVERAGEIFS('3. Incentive Adjustment'!G:G,'3. Incentive Adjustment'!A:A,tbl_Data[[#This Row],[Trimmed Sector]],'3. Incentive Adjustment'!B:B,tbl_Data[[#This Row],[Trimmed Measure Name]])</f>
        <v>0.83689882434423457</v>
      </c>
      <c r="AI635" s="77">
        <f>$AH635*tbl_Data[[#This Row],[2025 ]]</f>
        <v>6.6873741918917665E-2</v>
      </c>
      <c r="AJ635" s="77">
        <f>$AH635*tbl_Data[[#This Row],[2026 ]]</f>
        <v>9.2574545554811982E-2</v>
      </c>
      <c r="AK635" s="77">
        <f>$AH635*tbl_Data[[#This Row],[2027 ]]</f>
        <v>0.1245363761297499</v>
      </c>
      <c r="AL635" s="77">
        <f>$AH635*tbl_Data[[#This Row],[2028 ]]</f>
        <v>0.16298557423782439</v>
      </c>
      <c r="AM635" s="77">
        <f>$AH635*tbl_Data[[#This Row],[2029 ]]</f>
        <v>0.20546099801768339</v>
      </c>
      <c r="AN635" s="77">
        <f>$AH635*tbl_Data[[#This Row],[2030 ]]</f>
        <v>0.24564525734436293</v>
      </c>
      <c r="AO635" s="77">
        <f>$AH635*tbl_Data[[#This Row],[2031 ]]</f>
        <v>0.27503509259025927</v>
      </c>
      <c r="AP635" s="77">
        <f>$AH635*tbl_Data[[#This Row],[2032 ]]</f>
        <v>0.28456750344472093</v>
      </c>
      <c r="AQ635" s="77">
        <f>$AH635*tbl_Data[[#This Row],[2033 ]]</f>
        <v>0.2682194453565297</v>
      </c>
      <c r="AR635" s="77">
        <f>$AH635*tbl_Data[[#This Row],[2034 ]]</f>
        <v>0.22890877824043834</v>
      </c>
      <c r="AS635" s="77">
        <f>SUM(tbl_Data[[#This Row],[Adjusted 2025]:[Adjusted 2034]])</f>
        <v>1.9548073128352987</v>
      </c>
      <c r="AT635" s="80">
        <f>AVERAGEIFS('3. Incentive Adjustment'!F:F,'3. Incentive Adjustment'!A:A,tbl_Data[[#This Row],[Trimmed Sector]],'3. Incentive Adjustment'!B:B,tbl_Data[[#This Row],[Trimmed Measure Name]])</f>
        <v>0</v>
      </c>
      <c r="AU635" s="80">
        <f>IFERROR(VLOOKUP(tbl_Data[[#This Row],[All_Meas_Name_Append]],'IRA Tax Credits'!$A$3:$D$46,4,0),0)</f>
        <v>0</v>
      </c>
      <c r="AV635" s="81">
        <f>tbl_Data[[#This Row],[Adj. per unit Incentive ($)]]/tbl_Data[[#This Row],[kWh Savings]]*tbl_Data[[#This Row],[Sum of Annuals]]</f>
        <v>0</v>
      </c>
      <c r="AW635" s="81" t="str">
        <f>IFERROR(VLOOKUP(tbl_Data[[#This Row],[Column1]],'1. Set Program Names'!$B$2:$D$15,3,0)*tbl_Data[[#This Row],[Sum of Annuals]],"")</f>
        <v/>
      </c>
      <c r="AX635" s="81">
        <f>tbl_Data[[#This Row],[per unit IRA tax ($)]]/tbl_Data[[#This Row],[kWh Savings]]*tbl_Data[[#This Row],[Sum of Annuals]]</f>
        <v>0</v>
      </c>
      <c r="AY635" s="81">
        <f>tbl_Data[[#This Row],[Avoided Costs ($/unit)]]/tbl_Data[[#This Row],[kWh Savings]]*tbl_Data[[#This Row],[Sum of Annuals]]</f>
        <v>1.7944813924092196</v>
      </c>
      <c r="AZ635" s="81">
        <f>tbl_Data[[#This Row],[Lost Revenue ($/unit)]]/tbl_Data[[#This Row],[kWh Savings]]*tbl_Data[[#This Row],[Sum of Annuals]]</f>
        <v>1.607938868170359</v>
      </c>
      <c r="BA635" s="81">
        <f>tbl_Data[[#This Row],[Incremental Cost ($/unit)]]/tbl_Data[[#This Row],[kWh Savings]]*tbl_Data[[#This Row],[Sum of Annuals]]</f>
        <v>0.53403150990922743</v>
      </c>
      <c r="BB635" s="77">
        <f>ROUNDUP(tbl_Data[[#This Row],[Adjusted 2025]]/$L635,0)</f>
        <v>1</v>
      </c>
      <c r="BC635" s="77">
        <f>ROUNDUP(tbl_Data[[#This Row],[Adjusted 2026]]/$L635,0)</f>
        <v>1</v>
      </c>
      <c r="BD635" s="77">
        <f>ROUNDUP(tbl_Data[[#This Row],[Adjusted 2027]]/$L635,0)</f>
        <v>1</v>
      </c>
      <c r="BE635" s="77">
        <f>ROUNDUP(tbl_Data[[#This Row],[Adjusted 2028]]/$L635,0)</f>
        <v>1</v>
      </c>
      <c r="BF635" s="77">
        <f>ROUNDUP(tbl_Data[[#This Row],[Adjusted 2029]]/$L635,0)</f>
        <v>1</v>
      </c>
      <c r="BG635" s="77">
        <f>ROUNDUP(tbl_Data[[#This Row],[Adjusted 2030]]/$L635,0)</f>
        <v>1</v>
      </c>
      <c r="BH635" s="77">
        <f>ROUNDUP(tbl_Data[[#This Row],[Adjusted 2031]]/$L635,0)</f>
        <v>1</v>
      </c>
      <c r="BI635" s="77">
        <f>ROUNDUP(tbl_Data[[#This Row],[Adjusted 2032]]/$L635,0)</f>
        <v>1</v>
      </c>
      <c r="BJ635" s="77">
        <f>ROUNDUP(tbl_Data[[#This Row],[Adjusted 2033]]/$L635,0)</f>
        <v>1</v>
      </c>
      <c r="BK635" s="77">
        <f>ROUNDUP(tbl_Data[[#This Row],[Adjusted 2034]]/$L635,0)</f>
        <v>1</v>
      </c>
      <c r="BL635" s="80">
        <f t="shared" si="254"/>
        <v>0</v>
      </c>
      <c r="BM635" s="80">
        <f t="shared" si="255"/>
        <v>0</v>
      </c>
      <c r="BN635" s="80">
        <f t="shared" si="256"/>
        <v>0</v>
      </c>
      <c r="BO635" s="80">
        <f t="shared" si="257"/>
        <v>0</v>
      </c>
      <c r="BP635" s="80">
        <f t="shared" si="258"/>
        <v>0</v>
      </c>
      <c r="BQ635" s="80">
        <f t="shared" si="259"/>
        <v>0</v>
      </c>
      <c r="BR635" s="80">
        <f t="shared" si="260"/>
        <v>0</v>
      </c>
      <c r="BS635" s="80">
        <f t="shared" si="261"/>
        <v>0</v>
      </c>
      <c r="BT635" s="80">
        <f t="shared" si="262"/>
        <v>0</v>
      </c>
      <c r="BU635" s="80">
        <f t="shared" si="263"/>
        <v>0</v>
      </c>
      <c r="BV635" s="80" t="str">
        <f>IFERROR(VLOOKUP($H635,'1. Set Program Names'!$B$2:$D$15,3,0)*V635,"NA")</f>
        <v>NA</v>
      </c>
      <c r="BW635" s="80" t="str">
        <f>IFERROR(VLOOKUP($H635,'1. Set Program Names'!$B$2:$D$15,3,0)*W635,"NA")</f>
        <v>NA</v>
      </c>
      <c r="BX635" s="80" t="str">
        <f>IFERROR(VLOOKUP($H635,'1. Set Program Names'!$B$2:$D$15,3,0)*X635,"NA")</f>
        <v>NA</v>
      </c>
      <c r="BY635" s="80" t="str">
        <f>IFERROR(VLOOKUP($H635,'1. Set Program Names'!$B$2:$D$15,3,0)*Y635,"NA")</f>
        <v>NA</v>
      </c>
      <c r="BZ635" s="80" t="str">
        <f>IFERROR(VLOOKUP($H635,'1. Set Program Names'!$B$2:$D$15,3,0)*Z635,"NA")</f>
        <v>NA</v>
      </c>
      <c r="CA635" s="80" t="str">
        <f>IFERROR(VLOOKUP($H635,'1. Set Program Names'!$B$2:$D$15,3,0)*AA635,"NA")</f>
        <v>NA</v>
      </c>
      <c r="CB635" s="80" t="str">
        <f>IFERROR(VLOOKUP($H635,'1. Set Program Names'!$B$2:$D$15,3,0)*AB635,"NA")</f>
        <v>NA</v>
      </c>
      <c r="CC635" s="80" t="str">
        <f>IFERROR(VLOOKUP($H635,'1. Set Program Names'!$B$2:$D$15,3,0)*AC635,"NA")</f>
        <v>NA</v>
      </c>
      <c r="CD635" s="80" t="str">
        <f>IFERROR(VLOOKUP($H635,'1. Set Program Names'!$B$2:$D$15,3,0)*AD635,"NA")</f>
        <v>NA</v>
      </c>
      <c r="CE635" s="80" t="str">
        <f>IFERROR(VLOOKUP($H635,'1. Set Program Names'!$B$2:$D$15,3,0)*AE635,"NA")</f>
        <v>NA</v>
      </c>
    </row>
    <row r="636" spans="1:83" x14ac:dyDescent="0.25">
      <c r="A636" s="79" t="s">
        <v>116</v>
      </c>
      <c r="B636" s="79" t="s">
        <v>88</v>
      </c>
      <c r="C636" s="79" t="s">
        <v>122</v>
      </c>
      <c r="D636" s="79" t="s">
        <v>90</v>
      </c>
      <c r="E636" s="79" t="s">
        <v>91</v>
      </c>
      <c r="F636" s="79" t="s">
        <v>90</v>
      </c>
      <c r="G636" s="79" t="s">
        <v>92</v>
      </c>
      <c r="H636" s="79" t="s">
        <v>268</v>
      </c>
      <c r="I636" s="79" t="s">
        <v>131</v>
      </c>
      <c r="J636" s="79" t="s">
        <v>132</v>
      </c>
      <c r="K636" s="79" t="s">
        <v>102</v>
      </c>
      <c r="L636" s="79">
        <v>1121.1428571428501</v>
      </c>
      <c r="M636" s="79">
        <v>0</v>
      </c>
      <c r="N636" s="79">
        <v>0.20460408928759399</v>
      </c>
      <c r="O636" s="79">
        <v>313</v>
      </c>
      <c r="P636" s="79">
        <v>104.06901074138401</v>
      </c>
      <c r="Q636" s="79">
        <v>1.1211428571428499</v>
      </c>
      <c r="R636" s="79">
        <v>557.43130076035402</v>
      </c>
      <c r="S636" s="79">
        <v>1217.69575846672</v>
      </c>
      <c r="T636" s="79">
        <v>15</v>
      </c>
      <c r="U636" s="79">
        <v>1</v>
      </c>
      <c r="V636" s="79">
        <f>tbl_Data_old[[#This Row],[2025 ]]*IFERROR(AVERAGEIFS('Participation Adjustment'!$C:$C,'Participation Adjustment'!$A:$A,$H636,'Participation Adjustment'!$B:$B,$I636),1)</f>
        <v>1.88641092068154</v>
      </c>
      <c r="W636" s="79">
        <f>tbl_Data_old[[#This Row],[2026 ]]*IFERROR(AVERAGEIFS('Participation Adjustment'!$C:$C,'Participation Adjustment'!$A:$A,$H636,'Participation Adjustment'!$B:$B,$I636),1)</f>
        <v>1.7934270432180199</v>
      </c>
      <c r="X636" s="79">
        <f>tbl_Data_old[[#This Row],[2027 ]]*IFERROR(AVERAGEIFS('Participation Adjustment'!$C:$C,'Participation Adjustment'!$A:$A,$H636,'Participation Adjustment'!$B:$B,$I636),1)</f>
        <v>1.6836488299989401</v>
      </c>
      <c r="Y636" s="79">
        <f>tbl_Data_old[[#This Row],[2028 ]]*IFERROR(AVERAGEIFS('Participation Adjustment'!$C:$C,'Participation Adjustment'!$A:$A,$H636,'Participation Adjustment'!$B:$B,$I636),1)</f>
        <v>1.57339337450738</v>
      </c>
      <c r="Z636" s="79">
        <f>tbl_Data_old[[#This Row],[2029 ]]*IFERROR(AVERAGEIFS('Participation Adjustment'!$C:$C,'Participation Adjustment'!$A:$A,$H636,'Participation Adjustment'!$B:$B,$I636),1)</f>
        <v>1.46344767127222</v>
      </c>
      <c r="AA636" s="79">
        <f>tbl_Data_old[[#This Row],[2030 ]]*IFERROR(AVERAGEIFS('Participation Adjustment'!$C:$C,'Participation Adjustment'!$A:$A,$H636,'Participation Adjustment'!$B:$B,$I636),1)</f>
        <v>1.3534635125811301</v>
      </c>
      <c r="AB636" s="79">
        <f>tbl_Data_old[[#This Row],[2031 ]]*IFERROR(AVERAGEIFS('Participation Adjustment'!$C:$C,'Participation Adjustment'!$A:$A,$H636,'Participation Adjustment'!$B:$B,$I636),1)</f>
        <v>1.24608500604047</v>
      </c>
      <c r="AC636" s="79">
        <f>tbl_Data_old[[#This Row],[2032 ]]*IFERROR(AVERAGEIFS('Participation Adjustment'!$C:$C,'Participation Adjustment'!$A:$A,$H636,'Participation Adjustment'!$B:$B,$I636),1)</f>
        <v>1.1447617127505301</v>
      </c>
      <c r="AD636" s="79">
        <f>tbl_Data_old[[#This Row],[2033 ]]*IFERROR(AVERAGEIFS('Participation Adjustment'!$C:$C,'Participation Adjustment'!$A:$A,$H636,'Participation Adjustment'!$B:$B,$I636),1)</f>
        <v>1.0506491829921101</v>
      </c>
      <c r="AE636" s="79">
        <f>tbl_Data_old[[#This Row],[2034 ]]*IFERROR(AVERAGEIFS('Participation Adjustment'!$C:$C,'Participation Adjustment'!$A:$A,$H636,'Participation Adjustment'!$B:$B,$I636),1)</f>
        <v>0.96219824457039305</v>
      </c>
      <c r="AF636" s="77" t="str">
        <f t="shared" si="253"/>
        <v>NonResidential</v>
      </c>
      <c r="AG636" s="77" t="str">
        <f>tbl_Data[[#This Row],[All_Meas_Name_Append]]</f>
        <v>ECM Motors on Furnaces</v>
      </c>
      <c r="AH636" s="77">
        <f>AVERAGEIFS('3. Incentive Adjustment'!G:G,'3. Incentive Adjustment'!A:A,tbl_Data[[#This Row],[Trimmed Sector]],'3. Incentive Adjustment'!B:B,tbl_Data[[#This Row],[Trimmed Measure Name]])</f>
        <v>0.7827684764944346</v>
      </c>
      <c r="AI636" s="77">
        <f>$AH636*tbl_Data[[#This Row],[2025 ]]</f>
        <v>1.4766230024243527</v>
      </c>
      <c r="AJ636" s="77">
        <f>$AH636*tbl_Data[[#This Row],[2026 ]]</f>
        <v>1.403838154323688</v>
      </c>
      <c r="AK636" s="77">
        <f>$AH636*tbl_Data[[#This Row],[2027 ]]</f>
        <v>1.3179072296099077</v>
      </c>
      <c r="AL636" s="77">
        <f>$AH636*tbl_Data[[#This Row],[2028 ]]</f>
        <v>1.2316027346895793</v>
      </c>
      <c r="AM636" s="77">
        <f>$AH636*tbl_Data[[#This Row],[2029 ]]</f>
        <v>1.1455407040710837</v>
      </c>
      <c r="AN636" s="77">
        <f>$AH636*tbl_Data[[#This Row],[2030 ]]</f>
        <v>1.0594485717339372</v>
      </c>
      <c r="AO636" s="77">
        <f>$AH636*tbl_Data[[#This Row],[2031 ]]</f>
        <v>0.97539606176085702</v>
      </c>
      <c r="AP636" s="77">
        <f>$AH636*tbl_Data[[#This Row],[2032 ]]</f>
        <v>0.89608338183889202</v>
      </c>
      <c r="AQ636" s="77">
        <f>$AH636*tbl_Data[[#This Row],[2033 ]]</f>
        <v>0.82241506030085643</v>
      </c>
      <c r="AR636" s="77">
        <f>$AH636*tbl_Data[[#This Row],[2034 ]]</f>
        <v>0.75317845398798589</v>
      </c>
      <c r="AS636" s="77">
        <f>SUM(tbl_Data[[#This Row],[Adjusted 2025]:[Adjusted 2034]])</f>
        <v>11.08203335474114</v>
      </c>
      <c r="AT636" s="80">
        <f>AVERAGEIFS('3. Incentive Adjustment'!F:F,'3. Incentive Adjustment'!A:A,tbl_Data[[#This Row],[Trimmed Sector]],'3. Incentive Adjustment'!B:B,tbl_Data[[#This Row],[Trimmed Measure Name]])</f>
        <v>0</v>
      </c>
      <c r="AU636" s="80">
        <f>IFERROR(VLOOKUP(tbl_Data[[#This Row],[All_Meas_Name_Append]],'IRA Tax Credits'!$A$3:$D$46,4,0),0)</f>
        <v>0</v>
      </c>
      <c r="AV636" s="81">
        <f>tbl_Data[[#This Row],[Adj. per unit Incentive ($)]]/tbl_Data[[#This Row],[kWh Savings]]*tbl_Data[[#This Row],[Sum of Annuals]]</f>
        <v>0</v>
      </c>
      <c r="AW636" s="81" t="str">
        <f>IFERROR(VLOOKUP(tbl_Data[[#This Row],[Column1]],'1. Set Program Names'!$B$2:$D$15,3,0)*tbl_Data[[#This Row],[Sum of Annuals]],"")</f>
        <v/>
      </c>
      <c r="AX636" s="81">
        <f>tbl_Data[[#This Row],[per unit IRA tax ($)]]/tbl_Data[[#This Row],[kWh Savings]]*tbl_Data[[#This Row],[Sum of Annuals]]</f>
        <v>0</v>
      </c>
      <c r="AY636" s="81">
        <f>tbl_Data[[#This Row],[Avoided Costs ($/unit)]]/tbl_Data[[#This Row],[kWh Savings]]*tbl_Data[[#This Row],[Sum of Annuals]]</f>
        <v>5.5099778129486694</v>
      </c>
      <c r="AZ636" s="81">
        <f>tbl_Data[[#This Row],[Lost Revenue ($/unit)]]/tbl_Data[[#This Row],[kWh Savings]]*tbl_Data[[#This Row],[Sum of Annuals]]</f>
        <v>12.036418842862592</v>
      </c>
      <c r="BA636" s="81">
        <f>tbl_Data[[#This Row],[Incremental Cost ($/unit)]]/tbl_Data[[#This Row],[kWh Savings]]*tbl_Data[[#This Row],[Sum of Annuals]]</f>
        <v>3.0938755199080012</v>
      </c>
      <c r="BB636" s="77">
        <f>ROUNDUP(tbl_Data[[#This Row],[Adjusted 2025]]/$L636,0)</f>
        <v>1</v>
      </c>
      <c r="BC636" s="77">
        <f>ROUNDUP(tbl_Data[[#This Row],[Adjusted 2026]]/$L636,0)</f>
        <v>1</v>
      </c>
      <c r="BD636" s="77">
        <f>ROUNDUP(tbl_Data[[#This Row],[Adjusted 2027]]/$L636,0)</f>
        <v>1</v>
      </c>
      <c r="BE636" s="77">
        <f>ROUNDUP(tbl_Data[[#This Row],[Adjusted 2028]]/$L636,0)</f>
        <v>1</v>
      </c>
      <c r="BF636" s="77">
        <f>ROUNDUP(tbl_Data[[#This Row],[Adjusted 2029]]/$L636,0)</f>
        <v>1</v>
      </c>
      <c r="BG636" s="77">
        <f>ROUNDUP(tbl_Data[[#This Row],[Adjusted 2030]]/$L636,0)</f>
        <v>1</v>
      </c>
      <c r="BH636" s="77">
        <f>ROUNDUP(tbl_Data[[#This Row],[Adjusted 2031]]/$L636,0)</f>
        <v>1</v>
      </c>
      <c r="BI636" s="77">
        <f>ROUNDUP(tbl_Data[[#This Row],[Adjusted 2032]]/$L636,0)</f>
        <v>1</v>
      </c>
      <c r="BJ636" s="77">
        <f>ROUNDUP(tbl_Data[[#This Row],[Adjusted 2033]]/$L636,0)</f>
        <v>1</v>
      </c>
      <c r="BK636" s="77">
        <f>ROUNDUP(tbl_Data[[#This Row],[Adjusted 2034]]/$L636,0)</f>
        <v>1</v>
      </c>
      <c r="BL636" s="80">
        <f t="shared" si="254"/>
        <v>0</v>
      </c>
      <c r="BM636" s="80">
        <f t="shared" si="255"/>
        <v>0</v>
      </c>
      <c r="BN636" s="80">
        <f t="shared" si="256"/>
        <v>0</v>
      </c>
      <c r="BO636" s="80">
        <f t="shared" si="257"/>
        <v>0</v>
      </c>
      <c r="BP636" s="80">
        <f t="shared" si="258"/>
        <v>0</v>
      </c>
      <c r="BQ636" s="80">
        <f t="shared" si="259"/>
        <v>0</v>
      </c>
      <c r="BR636" s="80">
        <f t="shared" si="260"/>
        <v>0</v>
      </c>
      <c r="BS636" s="80">
        <f t="shared" si="261"/>
        <v>0</v>
      </c>
      <c r="BT636" s="80">
        <f t="shared" si="262"/>
        <v>0</v>
      </c>
      <c r="BU636" s="80">
        <f t="shared" si="263"/>
        <v>0</v>
      </c>
      <c r="BV636" s="80" t="str">
        <f>IFERROR(VLOOKUP($H636,'1. Set Program Names'!$B$2:$D$15,3,0)*V636,"NA")</f>
        <v>NA</v>
      </c>
      <c r="BW636" s="80" t="str">
        <f>IFERROR(VLOOKUP($H636,'1. Set Program Names'!$B$2:$D$15,3,0)*W636,"NA")</f>
        <v>NA</v>
      </c>
      <c r="BX636" s="80" t="str">
        <f>IFERROR(VLOOKUP($H636,'1. Set Program Names'!$B$2:$D$15,3,0)*X636,"NA")</f>
        <v>NA</v>
      </c>
      <c r="BY636" s="80" t="str">
        <f>IFERROR(VLOOKUP($H636,'1. Set Program Names'!$B$2:$D$15,3,0)*Y636,"NA")</f>
        <v>NA</v>
      </c>
      <c r="BZ636" s="80" t="str">
        <f>IFERROR(VLOOKUP($H636,'1. Set Program Names'!$B$2:$D$15,3,0)*Z636,"NA")</f>
        <v>NA</v>
      </c>
      <c r="CA636" s="80" t="str">
        <f>IFERROR(VLOOKUP($H636,'1. Set Program Names'!$B$2:$D$15,3,0)*AA636,"NA")</f>
        <v>NA</v>
      </c>
      <c r="CB636" s="80" t="str">
        <f>IFERROR(VLOOKUP($H636,'1. Set Program Names'!$B$2:$D$15,3,0)*AB636,"NA")</f>
        <v>NA</v>
      </c>
      <c r="CC636" s="80" t="str">
        <f>IFERROR(VLOOKUP($H636,'1. Set Program Names'!$B$2:$D$15,3,0)*AC636,"NA")</f>
        <v>NA</v>
      </c>
      <c r="CD636" s="80" t="str">
        <f>IFERROR(VLOOKUP($H636,'1. Set Program Names'!$B$2:$D$15,3,0)*AD636,"NA")</f>
        <v>NA</v>
      </c>
      <c r="CE636" s="80" t="str">
        <f>IFERROR(VLOOKUP($H636,'1. Set Program Names'!$B$2:$D$15,3,0)*AE636,"NA")</f>
        <v>NA</v>
      </c>
    </row>
    <row r="637" spans="1:83" x14ac:dyDescent="0.25">
      <c r="A637" s="79" t="s">
        <v>116</v>
      </c>
      <c r="B637" s="79" t="s">
        <v>88</v>
      </c>
      <c r="C637" s="79" t="s">
        <v>122</v>
      </c>
      <c r="D637" s="79" t="s">
        <v>90</v>
      </c>
      <c r="E637" s="79" t="s">
        <v>91</v>
      </c>
      <c r="F637" s="79" t="s">
        <v>90</v>
      </c>
      <c r="G637" s="79" t="s">
        <v>92</v>
      </c>
      <c r="H637" s="79" t="s">
        <v>268</v>
      </c>
      <c r="I637" s="79" t="s">
        <v>307</v>
      </c>
      <c r="J637" s="79" t="s">
        <v>137</v>
      </c>
      <c r="K637" s="79" t="s">
        <v>98</v>
      </c>
      <c r="L637" s="79">
        <v>1111.20999999999</v>
      </c>
      <c r="M637" s="79">
        <v>0.13640668324959701</v>
      </c>
      <c r="N637" s="79">
        <v>0.136388544932499</v>
      </c>
      <c r="O637" s="79">
        <v>412</v>
      </c>
      <c r="P637" s="79">
        <v>183.41637854330401</v>
      </c>
      <c r="Q637" s="79">
        <v>1.11120999999999</v>
      </c>
      <c r="R637" s="79">
        <v>480.86876845961399</v>
      </c>
      <c r="S637" s="79">
        <v>1206.90748297154</v>
      </c>
      <c r="T637" s="79">
        <v>15</v>
      </c>
      <c r="U637" s="79">
        <v>1</v>
      </c>
      <c r="V637" s="79">
        <f>tbl_Data_old[[#This Row],[2025 ]]*IFERROR(AVERAGEIFS('Participation Adjustment'!$C:$C,'Participation Adjustment'!$A:$A,$H637,'Participation Adjustment'!$B:$B,$I637),1)</f>
        <v>4.9449788373649497</v>
      </c>
      <c r="W637" s="79">
        <f>tbl_Data_old[[#This Row],[2026 ]]*IFERROR(AVERAGEIFS('Participation Adjustment'!$C:$C,'Participation Adjustment'!$A:$A,$H637,'Participation Adjustment'!$B:$B,$I637),1)</f>
        <v>6.8099336165359903</v>
      </c>
      <c r="X637" s="79">
        <f>tbl_Data_old[[#This Row],[2027 ]]*IFERROR(AVERAGEIFS('Participation Adjustment'!$C:$C,'Participation Adjustment'!$A:$A,$H637,'Participation Adjustment'!$B:$B,$I637),1)</f>
        <v>8.9241398677458097</v>
      </c>
      <c r="Y637" s="79">
        <f>tbl_Data_old[[#This Row],[2028 ]]*IFERROR(AVERAGEIFS('Participation Adjustment'!$C:$C,'Participation Adjustment'!$A:$A,$H637,'Participation Adjustment'!$B:$B,$I637),1)</f>
        <v>11.218613312789399</v>
      </c>
      <c r="Z637" s="79">
        <f>tbl_Data_old[[#This Row],[2029 ]]*IFERROR(AVERAGEIFS('Participation Adjustment'!$C:$C,'Participation Adjustment'!$A:$A,$H637,'Participation Adjustment'!$B:$B,$I637),1)</f>
        <v>13.5306781745776</v>
      </c>
      <c r="AA637" s="79">
        <f>tbl_Data_old[[#This Row],[2030 ]]*IFERROR(AVERAGEIFS('Participation Adjustment'!$C:$C,'Participation Adjustment'!$A:$A,$H637,'Participation Adjustment'!$B:$B,$I637),1)</f>
        <v>15.664671136449099</v>
      </c>
      <c r="AB637" s="79">
        <f>tbl_Data_old[[#This Row],[2031 ]]*IFERROR(AVERAGEIFS('Participation Adjustment'!$C:$C,'Participation Adjustment'!$A:$A,$H637,'Participation Adjustment'!$B:$B,$I637),1)</f>
        <v>17.495721521391498</v>
      </c>
      <c r="AC637" s="79">
        <f>tbl_Data_old[[#This Row],[2032 ]]*IFERROR(AVERAGEIFS('Participation Adjustment'!$C:$C,'Participation Adjustment'!$A:$A,$H637,'Participation Adjustment'!$B:$B,$I637),1)</f>
        <v>19.005687453098702</v>
      </c>
      <c r="AD637" s="79">
        <f>tbl_Data_old[[#This Row],[2033 ]]*IFERROR(AVERAGEIFS('Participation Adjustment'!$C:$C,'Participation Adjustment'!$A:$A,$H637,'Participation Adjustment'!$B:$B,$I637),1)</f>
        <v>20.2172492354774</v>
      </c>
      <c r="AE637" s="79">
        <f>tbl_Data_old[[#This Row],[2034 ]]*IFERROR(AVERAGEIFS('Participation Adjustment'!$C:$C,'Participation Adjustment'!$A:$A,$H637,'Participation Adjustment'!$B:$B,$I637),1)</f>
        <v>21.179761656367099</v>
      </c>
      <c r="AF637" s="77" t="str">
        <f t="shared" si="253"/>
        <v>NonResidential</v>
      </c>
      <c r="AG637" s="77" t="str">
        <f>tbl_Data[[#This Row],[All_Meas_Name_Append]]</f>
        <v>Efficient Battery Charger</v>
      </c>
      <c r="AH637" s="77">
        <f>AVERAGEIFS('3. Incentive Adjustment'!G:G,'3. Incentive Adjustment'!A:A,tbl_Data[[#This Row],[Trimmed Sector]],'3. Incentive Adjustment'!B:B,tbl_Data[[#This Row],[Trimmed Measure Name]])</f>
        <v>0.64693164144446047</v>
      </c>
      <c r="AI637" s="77">
        <f>$AH637*tbl_Data[[#This Row],[2025 ]]</f>
        <v>3.1990632761646265</v>
      </c>
      <c r="AJ637" s="77">
        <f>$AH637*tbl_Data[[#This Row],[2026 ]]</f>
        <v>4.4055615326734392</v>
      </c>
      <c r="AK637" s="77">
        <f>$AH637*tbl_Data[[#This Row],[2027 ]]</f>
        <v>5.7733084531207473</v>
      </c>
      <c r="AL637" s="77">
        <f>$AH637*tbl_Data[[#This Row],[2028 ]]</f>
        <v>7.2576759251735226</v>
      </c>
      <c r="AM637" s="77">
        <f>$AH637*tbl_Data[[#This Row],[2029 ]]</f>
        <v>8.7534238413362235</v>
      </c>
      <c r="AN637" s="77">
        <f>$AH637*tbl_Data[[#This Row],[2030 ]]</f>
        <v>10.133971410990679</v>
      </c>
      <c r="AO637" s="77">
        <f>$AH637*tbl_Data[[#This Row],[2031 ]]</f>
        <v>11.318535842088975</v>
      </c>
      <c r="AP637" s="77">
        <f>$AH637*tbl_Data[[#This Row],[2032 ]]</f>
        <v>12.29538058081353</v>
      </c>
      <c r="AQ637" s="77">
        <f>$AH637*tbl_Data[[#This Row],[2033 ]]</f>
        <v>13.079178233399158</v>
      </c>
      <c r="AR637" s="77">
        <f>$AH637*tbl_Data[[#This Row],[2034 ]]</f>
        <v>13.701857973756011</v>
      </c>
      <c r="AS637" s="77">
        <f>SUM(tbl_Data[[#This Row],[Adjusted 2025]:[Adjusted 2034]])</f>
        <v>89.917957069516916</v>
      </c>
      <c r="AT637" s="80">
        <f>AVERAGEIFS('3. Incentive Adjustment'!F:F,'3. Incentive Adjustment'!A:A,tbl_Data[[#This Row],[Trimmed Sector]],'3. Incentive Adjustment'!B:B,tbl_Data[[#This Row],[Trimmed Measure Name]])</f>
        <v>0</v>
      </c>
      <c r="AU637" s="80">
        <f>IFERROR(VLOOKUP(tbl_Data[[#This Row],[All_Meas_Name_Append]],'IRA Tax Credits'!$A$3:$D$46,4,0),0)</f>
        <v>0</v>
      </c>
      <c r="AV637" s="81">
        <f>tbl_Data[[#This Row],[Adj. per unit Incentive ($)]]/tbl_Data[[#This Row],[kWh Savings]]*tbl_Data[[#This Row],[Sum of Annuals]]</f>
        <v>0</v>
      </c>
      <c r="AW637" s="81" t="str">
        <f>IFERROR(VLOOKUP(tbl_Data[[#This Row],[Column1]],'1. Set Program Names'!$B$2:$D$15,3,0)*tbl_Data[[#This Row],[Sum of Annuals]],"")</f>
        <v/>
      </c>
      <c r="AX637" s="81">
        <f>tbl_Data[[#This Row],[per unit IRA tax ($)]]/tbl_Data[[#This Row],[kWh Savings]]*tbl_Data[[#This Row],[Sum of Annuals]]</f>
        <v>0</v>
      </c>
      <c r="AY637" s="81">
        <f>tbl_Data[[#This Row],[Avoided Costs ($/unit)]]/tbl_Data[[#This Row],[kWh Savings]]*tbl_Data[[#This Row],[Sum of Annuals]]</f>
        <v>38.911400435942284</v>
      </c>
      <c r="AZ637" s="81">
        <f>tbl_Data[[#This Row],[Lost Revenue ($/unit)]]/tbl_Data[[#This Row],[kWh Savings]]*tbl_Data[[#This Row],[Sum of Annuals]]</f>
        <v>97.661697825536692</v>
      </c>
      <c r="BA637" s="81">
        <f>tbl_Data[[#This Row],[Incremental Cost ($/unit)]]/tbl_Data[[#This Row],[kWh Savings]]*tbl_Data[[#This Row],[Sum of Annuals]]</f>
        <v>33.338611344967468</v>
      </c>
      <c r="BB637" s="77">
        <f>ROUNDUP(tbl_Data[[#This Row],[Adjusted 2025]]/$L637,0)</f>
        <v>1</v>
      </c>
      <c r="BC637" s="77">
        <f>ROUNDUP(tbl_Data[[#This Row],[Adjusted 2026]]/$L637,0)</f>
        <v>1</v>
      </c>
      <c r="BD637" s="77">
        <f>ROUNDUP(tbl_Data[[#This Row],[Adjusted 2027]]/$L637,0)</f>
        <v>1</v>
      </c>
      <c r="BE637" s="77">
        <f>ROUNDUP(tbl_Data[[#This Row],[Adjusted 2028]]/$L637,0)</f>
        <v>1</v>
      </c>
      <c r="BF637" s="77">
        <f>ROUNDUP(tbl_Data[[#This Row],[Adjusted 2029]]/$L637,0)</f>
        <v>1</v>
      </c>
      <c r="BG637" s="77">
        <f>ROUNDUP(tbl_Data[[#This Row],[Adjusted 2030]]/$L637,0)</f>
        <v>1</v>
      </c>
      <c r="BH637" s="77">
        <f>ROUNDUP(tbl_Data[[#This Row],[Adjusted 2031]]/$L637,0)</f>
        <v>1</v>
      </c>
      <c r="BI637" s="77">
        <f>ROUNDUP(tbl_Data[[#This Row],[Adjusted 2032]]/$L637,0)</f>
        <v>1</v>
      </c>
      <c r="BJ637" s="77">
        <f>ROUNDUP(tbl_Data[[#This Row],[Adjusted 2033]]/$L637,0)</f>
        <v>1</v>
      </c>
      <c r="BK637" s="77">
        <f>ROUNDUP(tbl_Data[[#This Row],[Adjusted 2034]]/$L637,0)</f>
        <v>1</v>
      </c>
      <c r="BL637" s="80">
        <f t="shared" si="254"/>
        <v>0</v>
      </c>
      <c r="BM637" s="80">
        <f t="shared" si="255"/>
        <v>0</v>
      </c>
      <c r="BN637" s="80">
        <f t="shared" si="256"/>
        <v>0</v>
      </c>
      <c r="BO637" s="80">
        <f t="shared" si="257"/>
        <v>0</v>
      </c>
      <c r="BP637" s="80">
        <f t="shared" si="258"/>
        <v>0</v>
      </c>
      <c r="BQ637" s="80">
        <f t="shared" si="259"/>
        <v>0</v>
      </c>
      <c r="BR637" s="80">
        <f t="shared" si="260"/>
        <v>0</v>
      </c>
      <c r="BS637" s="80">
        <f t="shared" si="261"/>
        <v>0</v>
      </c>
      <c r="BT637" s="80">
        <f t="shared" si="262"/>
        <v>0</v>
      </c>
      <c r="BU637" s="80">
        <f t="shared" si="263"/>
        <v>0</v>
      </c>
      <c r="BV637" s="80" t="str">
        <f>IFERROR(VLOOKUP($H637,'1. Set Program Names'!$B$2:$D$15,3,0)*V637,"NA")</f>
        <v>NA</v>
      </c>
      <c r="BW637" s="80" t="str">
        <f>IFERROR(VLOOKUP($H637,'1. Set Program Names'!$B$2:$D$15,3,0)*W637,"NA")</f>
        <v>NA</v>
      </c>
      <c r="BX637" s="80" t="str">
        <f>IFERROR(VLOOKUP($H637,'1. Set Program Names'!$B$2:$D$15,3,0)*X637,"NA")</f>
        <v>NA</v>
      </c>
      <c r="BY637" s="80" t="str">
        <f>IFERROR(VLOOKUP($H637,'1. Set Program Names'!$B$2:$D$15,3,0)*Y637,"NA")</f>
        <v>NA</v>
      </c>
      <c r="BZ637" s="80" t="str">
        <f>IFERROR(VLOOKUP($H637,'1. Set Program Names'!$B$2:$D$15,3,0)*Z637,"NA")</f>
        <v>NA</v>
      </c>
      <c r="CA637" s="80" t="str">
        <f>IFERROR(VLOOKUP($H637,'1. Set Program Names'!$B$2:$D$15,3,0)*AA637,"NA")</f>
        <v>NA</v>
      </c>
      <c r="CB637" s="80" t="str">
        <f>IFERROR(VLOOKUP($H637,'1. Set Program Names'!$B$2:$D$15,3,0)*AB637,"NA")</f>
        <v>NA</v>
      </c>
      <c r="CC637" s="80" t="str">
        <f>IFERROR(VLOOKUP($H637,'1. Set Program Names'!$B$2:$D$15,3,0)*AC637,"NA")</f>
        <v>NA</v>
      </c>
      <c r="CD637" s="80" t="str">
        <f>IFERROR(VLOOKUP($H637,'1. Set Program Names'!$B$2:$D$15,3,0)*AD637,"NA")</f>
        <v>NA</v>
      </c>
      <c r="CE637" s="80" t="str">
        <f>IFERROR(VLOOKUP($H637,'1. Set Program Names'!$B$2:$D$15,3,0)*AE637,"NA")</f>
        <v>NA</v>
      </c>
    </row>
    <row r="638" spans="1:83" x14ac:dyDescent="0.25">
      <c r="A638" s="79" t="s">
        <v>116</v>
      </c>
      <c r="B638" s="79" t="s">
        <v>88</v>
      </c>
      <c r="C638" s="79" t="s">
        <v>122</v>
      </c>
      <c r="D638" s="79" t="s">
        <v>90</v>
      </c>
      <c r="E638" s="79" t="s">
        <v>91</v>
      </c>
      <c r="F638" s="79" t="s">
        <v>90</v>
      </c>
      <c r="G638" s="79" t="s">
        <v>92</v>
      </c>
      <c r="H638" s="79" t="s">
        <v>268</v>
      </c>
      <c r="I638" s="79" t="s">
        <v>135</v>
      </c>
      <c r="J638" s="79" t="s">
        <v>134</v>
      </c>
      <c r="K638" s="79" t="s">
        <v>98</v>
      </c>
      <c r="L638" s="79">
        <v>6368</v>
      </c>
      <c r="M638" s="79">
        <v>0.60494632768604495</v>
      </c>
      <c r="N638" s="79">
        <v>0.53529110623606202</v>
      </c>
      <c r="O638" s="79">
        <v>1580</v>
      </c>
      <c r="P638" s="79">
        <v>270.05813353350197</v>
      </c>
      <c r="Q638" s="79">
        <v>6.3680000000000003</v>
      </c>
      <c r="R638" s="79">
        <v>1963.2041057461399</v>
      </c>
      <c r="S638" s="79">
        <v>5968.19517810463</v>
      </c>
      <c r="T638" s="79">
        <v>12</v>
      </c>
      <c r="U638" s="79">
        <v>1</v>
      </c>
      <c r="V638" s="79">
        <f>tbl_Data_old[[#This Row],[2025 ]]*IFERROR(AVERAGEIFS('Participation Adjustment'!$C:$C,'Participation Adjustment'!$A:$A,$H638,'Participation Adjustment'!$B:$B,$I638),1)</f>
        <v>2.8004904000227402</v>
      </c>
      <c r="W638" s="79">
        <f>tbl_Data_old[[#This Row],[2026 ]]*IFERROR(AVERAGEIFS('Participation Adjustment'!$C:$C,'Participation Adjustment'!$A:$A,$H638,'Participation Adjustment'!$B:$B,$I638),1)</f>
        <v>3.84611890222742</v>
      </c>
      <c r="X638" s="79">
        <f>tbl_Data_old[[#This Row],[2027 ]]*IFERROR(AVERAGEIFS('Participation Adjustment'!$C:$C,'Participation Adjustment'!$A:$A,$H638,'Participation Adjustment'!$B:$B,$I638),1)</f>
        <v>5.0066357874746501</v>
      </c>
      <c r="Y638" s="79">
        <f>tbl_Data_old[[#This Row],[2028 ]]*IFERROR(AVERAGEIFS('Participation Adjustment'!$C:$C,'Participation Adjustment'!$A:$A,$H638,'Participation Adjustment'!$B:$B,$I638),1)</f>
        <v>6.2302623085715902</v>
      </c>
      <c r="Z638" s="79">
        <f>tbl_Data_old[[#This Row],[2029 ]]*IFERROR(AVERAGEIFS('Participation Adjustment'!$C:$C,'Participation Adjustment'!$A:$A,$H638,'Participation Adjustment'!$B:$B,$I638),1)</f>
        <v>7.4168566382044103</v>
      </c>
      <c r="AA638" s="79">
        <f>tbl_Data_old[[#This Row],[2030 ]]*IFERROR(AVERAGEIFS('Participation Adjustment'!$C:$C,'Participation Adjustment'!$A:$A,$H638,'Participation Adjustment'!$B:$B,$I638),1)</f>
        <v>8.4631274878930505</v>
      </c>
      <c r="AB638" s="79">
        <f>tbl_Data_old[[#This Row],[2031 ]]*IFERROR(AVERAGEIFS('Participation Adjustment'!$C:$C,'Participation Adjustment'!$A:$A,$H638,'Participation Adjustment'!$B:$B,$I638),1)</f>
        <v>9.30671762490962</v>
      </c>
      <c r="AC638" s="79">
        <f>tbl_Data_old[[#This Row],[2032 ]]*IFERROR(AVERAGEIFS('Participation Adjustment'!$C:$C,'Participation Adjustment'!$A:$A,$H638,'Participation Adjustment'!$B:$B,$I638),1)</f>
        <v>9.9520288104257801</v>
      </c>
      <c r="AD638" s="79">
        <f>tbl_Data_old[[#This Row],[2033 ]]*IFERROR(AVERAGEIFS('Participation Adjustment'!$C:$C,'Participation Adjustment'!$A:$A,$H638,'Participation Adjustment'!$B:$B,$I638),1)</f>
        <v>10.4299411468701</v>
      </c>
      <c r="AE638" s="79">
        <f>tbl_Data_old[[#This Row],[2034 ]]*IFERROR(AVERAGEIFS('Participation Adjustment'!$C:$C,'Participation Adjustment'!$A:$A,$H638,'Participation Adjustment'!$B:$B,$I638),1)</f>
        <v>10.769179181456201</v>
      </c>
      <c r="AF638" s="77" t="str">
        <f t="shared" si="253"/>
        <v>NonResidential</v>
      </c>
      <c r="AG638" s="77" t="str">
        <f>tbl_Data[[#This Row],[All_Meas_Name_Append]]</f>
        <v>Energy Star Combination Oven</v>
      </c>
      <c r="AH638" s="77">
        <f>AVERAGEIFS('3. Incentive Adjustment'!G:G,'3. Incentive Adjustment'!A:A,tbl_Data[[#This Row],[Trimmed Sector]],'3. Incentive Adjustment'!B:B,tbl_Data[[#This Row],[Trimmed Measure Name]])</f>
        <v>0.89413714267910538</v>
      </c>
      <c r="AI638" s="77">
        <f>$AH638*tbl_Data[[#This Row],[2025 ]]</f>
        <v>2.5040224843765979</v>
      </c>
      <c r="AJ638" s="77">
        <f>$AH638*tbl_Data[[#This Row],[2026 ]]</f>
        <v>3.4389577656417227</v>
      </c>
      <c r="AK638" s="77">
        <f>$AH638*tbl_Data[[#This Row],[2027 ]]</f>
        <v>4.4766190174475362</v>
      </c>
      <c r="AL638" s="77">
        <f>$AH638*tbl_Data[[#This Row],[2028 ]]</f>
        <v>5.5707089387275284</v>
      </c>
      <c r="AM638" s="77">
        <f>$AH638*tbl_Data[[#This Row],[2029 ]]</f>
        <v>6.6316870021446466</v>
      </c>
      <c r="AN638" s="77">
        <f>$AH638*tbl_Data[[#This Row],[2030 ]]</f>
        <v>7.5671966301536875</v>
      </c>
      <c r="AO638" s="77">
        <f>$AH638*tbl_Data[[#This Row],[2031 ]]</f>
        <v>8.3214819048579578</v>
      </c>
      <c r="AP638" s="77">
        <f>$AH638*tbl_Data[[#This Row],[2032 ]]</f>
        <v>8.8984786044142439</v>
      </c>
      <c r="AQ638" s="77">
        <f>$AH638*tbl_Data[[#This Row],[2033 ]]</f>
        <v>9.3257977753736618</v>
      </c>
      <c r="AR638" s="77">
        <f>$AH638*tbl_Data[[#This Row],[2034 ]]</f>
        <v>9.6291231023065542</v>
      </c>
      <c r="AS638" s="77">
        <f>SUM(tbl_Data[[#This Row],[Adjusted 2025]:[Adjusted 2034]])</f>
        <v>66.364073225444145</v>
      </c>
      <c r="AT638" s="80">
        <f>AVERAGEIFS('3. Incentive Adjustment'!F:F,'3. Incentive Adjustment'!A:A,tbl_Data[[#This Row],[Trimmed Sector]],'3. Incentive Adjustment'!B:B,tbl_Data[[#This Row],[Trimmed Measure Name]])</f>
        <v>0</v>
      </c>
      <c r="AU638" s="80">
        <f>IFERROR(VLOOKUP(tbl_Data[[#This Row],[All_Meas_Name_Append]],'IRA Tax Credits'!$A$3:$D$46,4,0),0)</f>
        <v>0</v>
      </c>
      <c r="AV638" s="81">
        <f>tbl_Data[[#This Row],[Adj. per unit Incentive ($)]]/tbl_Data[[#This Row],[kWh Savings]]*tbl_Data[[#This Row],[Sum of Annuals]]</f>
        <v>0</v>
      </c>
      <c r="AW638" s="81" t="str">
        <f>IFERROR(VLOOKUP(tbl_Data[[#This Row],[Column1]],'1. Set Program Names'!$B$2:$D$15,3,0)*tbl_Data[[#This Row],[Sum of Annuals]],"")</f>
        <v/>
      </c>
      <c r="AX638" s="81">
        <f>tbl_Data[[#This Row],[per unit IRA tax ($)]]/tbl_Data[[#This Row],[kWh Savings]]*tbl_Data[[#This Row],[Sum of Annuals]]</f>
        <v>0</v>
      </c>
      <c r="AY638" s="81">
        <f>tbl_Data[[#This Row],[Avoided Costs ($/unit)]]/tbl_Data[[#This Row],[kWh Savings]]*tbl_Data[[#This Row],[Sum of Annuals]]</f>
        <v>20.459519634144065</v>
      </c>
      <c r="AZ638" s="81">
        <f>tbl_Data[[#This Row],[Lost Revenue ($/unit)]]/tbl_Data[[#This Row],[kWh Savings]]*tbl_Data[[#This Row],[Sum of Annuals]]</f>
        <v>62.197509708460792</v>
      </c>
      <c r="BA638" s="81">
        <f>tbl_Data[[#This Row],[Incremental Cost ($/unit)]]/tbl_Data[[#This Row],[kWh Savings]]*tbl_Data[[#This Row],[Sum of Annuals]]</f>
        <v>16.465960379428665</v>
      </c>
      <c r="BB638" s="77">
        <f>ROUNDUP(tbl_Data[[#This Row],[Adjusted 2025]]/$L638,0)</f>
        <v>1</v>
      </c>
      <c r="BC638" s="77">
        <f>ROUNDUP(tbl_Data[[#This Row],[Adjusted 2026]]/$L638,0)</f>
        <v>1</v>
      </c>
      <c r="BD638" s="77">
        <f>ROUNDUP(tbl_Data[[#This Row],[Adjusted 2027]]/$L638,0)</f>
        <v>1</v>
      </c>
      <c r="BE638" s="77">
        <f>ROUNDUP(tbl_Data[[#This Row],[Adjusted 2028]]/$L638,0)</f>
        <v>1</v>
      </c>
      <c r="BF638" s="77">
        <f>ROUNDUP(tbl_Data[[#This Row],[Adjusted 2029]]/$L638,0)</f>
        <v>1</v>
      </c>
      <c r="BG638" s="77">
        <f>ROUNDUP(tbl_Data[[#This Row],[Adjusted 2030]]/$L638,0)</f>
        <v>1</v>
      </c>
      <c r="BH638" s="77">
        <f>ROUNDUP(tbl_Data[[#This Row],[Adjusted 2031]]/$L638,0)</f>
        <v>1</v>
      </c>
      <c r="BI638" s="77">
        <f>ROUNDUP(tbl_Data[[#This Row],[Adjusted 2032]]/$L638,0)</f>
        <v>1</v>
      </c>
      <c r="BJ638" s="77">
        <f>ROUNDUP(tbl_Data[[#This Row],[Adjusted 2033]]/$L638,0)</f>
        <v>1</v>
      </c>
      <c r="BK638" s="77">
        <f>ROUNDUP(tbl_Data[[#This Row],[Adjusted 2034]]/$L638,0)</f>
        <v>1</v>
      </c>
      <c r="BL638" s="80">
        <f t="shared" si="254"/>
        <v>0</v>
      </c>
      <c r="BM638" s="80">
        <f t="shared" si="255"/>
        <v>0</v>
      </c>
      <c r="BN638" s="80">
        <f t="shared" si="256"/>
        <v>0</v>
      </c>
      <c r="BO638" s="80">
        <f t="shared" si="257"/>
        <v>0</v>
      </c>
      <c r="BP638" s="80">
        <f t="shared" si="258"/>
        <v>0</v>
      </c>
      <c r="BQ638" s="80">
        <f t="shared" si="259"/>
        <v>0</v>
      </c>
      <c r="BR638" s="80">
        <f t="shared" si="260"/>
        <v>0</v>
      </c>
      <c r="BS638" s="80">
        <f t="shared" si="261"/>
        <v>0</v>
      </c>
      <c r="BT638" s="80">
        <f t="shared" si="262"/>
        <v>0</v>
      </c>
      <c r="BU638" s="80">
        <f t="shared" si="263"/>
        <v>0</v>
      </c>
      <c r="BV638" s="80" t="str">
        <f>IFERROR(VLOOKUP($H638,'1. Set Program Names'!$B$2:$D$15,3,0)*V638,"NA")</f>
        <v>NA</v>
      </c>
      <c r="BW638" s="80" t="str">
        <f>IFERROR(VLOOKUP($H638,'1. Set Program Names'!$B$2:$D$15,3,0)*W638,"NA")</f>
        <v>NA</v>
      </c>
      <c r="BX638" s="80" t="str">
        <f>IFERROR(VLOOKUP($H638,'1. Set Program Names'!$B$2:$D$15,3,0)*X638,"NA")</f>
        <v>NA</v>
      </c>
      <c r="BY638" s="80" t="str">
        <f>IFERROR(VLOOKUP($H638,'1. Set Program Names'!$B$2:$D$15,3,0)*Y638,"NA")</f>
        <v>NA</v>
      </c>
      <c r="BZ638" s="80" t="str">
        <f>IFERROR(VLOOKUP($H638,'1. Set Program Names'!$B$2:$D$15,3,0)*Z638,"NA")</f>
        <v>NA</v>
      </c>
      <c r="CA638" s="80" t="str">
        <f>IFERROR(VLOOKUP($H638,'1. Set Program Names'!$B$2:$D$15,3,0)*AA638,"NA")</f>
        <v>NA</v>
      </c>
      <c r="CB638" s="80" t="str">
        <f>IFERROR(VLOOKUP($H638,'1. Set Program Names'!$B$2:$D$15,3,0)*AB638,"NA")</f>
        <v>NA</v>
      </c>
      <c r="CC638" s="80" t="str">
        <f>IFERROR(VLOOKUP($H638,'1. Set Program Names'!$B$2:$D$15,3,0)*AC638,"NA")</f>
        <v>NA</v>
      </c>
      <c r="CD638" s="80" t="str">
        <f>IFERROR(VLOOKUP($H638,'1. Set Program Names'!$B$2:$D$15,3,0)*AD638,"NA")</f>
        <v>NA</v>
      </c>
      <c r="CE638" s="80" t="str">
        <f>IFERROR(VLOOKUP($H638,'1. Set Program Names'!$B$2:$D$15,3,0)*AE638,"NA")</f>
        <v>NA</v>
      </c>
    </row>
    <row r="639" spans="1:83" x14ac:dyDescent="0.25">
      <c r="A639" s="79" t="s">
        <v>116</v>
      </c>
      <c r="B639" s="79" t="s">
        <v>88</v>
      </c>
      <c r="C639" s="79" t="s">
        <v>122</v>
      </c>
      <c r="D639" s="79" t="s">
        <v>90</v>
      </c>
      <c r="E639" s="79" t="s">
        <v>91</v>
      </c>
      <c r="F639" s="79" t="s">
        <v>90</v>
      </c>
      <c r="G639" s="79" t="s">
        <v>92</v>
      </c>
      <c r="H639" s="79" t="s">
        <v>268</v>
      </c>
      <c r="I639" s="79" t="s">
        <v>136</v>
      </c>
      <c r="J639" s="79" t="s">
        <v>137</v>
      </c>
      <c r="K639" s="79" t="s">
        <v>104</v>
      </c>
      <c r="L639" s="79">
        <v>810.099999999999</v>
      </c>
      <c r="M639" s="79">
        <v>0.128563724196602</v>
      </c>
      <c r="N639" s="79">
        <v>0.13252898089850401</v>
      </c>
      <c r="O639" s="79">
        <v>224</v>
      </c>
      <c r="P639" s="79">
        <v>57.356798677055799</v>
      </c>
      <c r="Q639" s="79">
        <v>0.81009999999999904</v>
      </c>
      <c r="R639" s="79">
        <v>239.61317678792901</v>
      </c>
      <c r="S639" s="79">
        <v>505.19538551625698</v>
      </c>
      <c r="T639" s="79">
        <v>7</v>
      </c>
      <c r="U639" s="79">
        <v>1</v>
      </c>
      <c r="V639" s="79">
        <f>tbl_Data_old[[#This Row],[2025 ]]*IFERROR(AVERAGEIFS('Participation Adjustment'!$C:$C,'Participation Adjustment'!$A:$A,$H639,'Participation Adjustment'!$B:$B,$I639),1)</f>
        <v>3.3245875363255002</v>
      </c>
      <c r="W639" s="79">
        <f>tbl_Data_old[[#This Row],[2026 ]]*IFERROR(AVERAGEIFS('Participation Adjustment'!$C:$C,'Participation Adjustment'!$A:$A,$H639,'Participation Adjustment'!$B:$B,$I639),1)</f>
        <v>4.62372113733284</v>
      </c>
      <c r="X639" s="79">
        <f>tbl_Data_old[[#This Row],[2027 ]]*IFERROR(AVERAGEIFS('Participation Adjustment'!$C:$C,'Participation Adjustment'!$A:$A,$H639,'Participation Adjustment'!$B:$B,$I639),1)</f>
        <v>6.0859141955018998</v>
      </c>
      <c r="Y639" s="79">
        <f>tbl_Data_old[[#This Row],[2028 ]]*IFERROR(AVERAGEIFS('Participation Adjustment'!$C:$C,'Participation Adjustment'!$A:$A,$H639,'Participation Adjustment'!$B:$B,$I639),1)</f>
        <v>7.6554631582668602</v>
      </c>
      <c r="Z639" s="79">
        <f>tbl_Data_old[[#This Row],[2029 ]]*IFERROR(AVERAGEIFS('Participation Adjustment'!$C:$C,'Participation Adjustment'!$A:$A,$H639,'Participation Adjustment'!$B:$B,$I639),1)</f>
        <v>9.2145271250788596</v>
      </c>
      <c r="AA639" s="79">
        <f>tbl_Data_old[[#This Row],[2030 ]]*IFERROR(AVERAGEIFS('Participation Adjustment'!$C:$C,'Participation Adjustment'!$A:$A,$H639,'Participation Adjustment'!$B:$B,$I639),1)</f>
        <v>10.6283918628615</v>
      </c>
      <c r="AB639" s="79">
        <f>tbl_Data_old[[#This Row],[2031 ]]*IFERROR(AVERAGEIFS('Participation Adjustment'!$C:$C,'Participation Adjustment'!$A:$A,$H639,'Participation Adjustment'!$B:$B,$I639),1)</f>
        <v>11.8178755312608</v>
      </c>
      <c r="AC639" s="79">
        <f>tbl_Data_old[[#This Row],[2032 ]]*IFERROR(AVERAGEIFS('Participation Adjustment'!$C:$C,'Participation Adjustment'!$A:$A,$H639,'Participation Adjustment'!$B:$B,$I639),1)</f>
        <v>12.7805537612776</v>
      </c>
      <c r="AD639" s="79">
        <f>tbl_Data_old[[#This Row],[2033 ]]*IFERROR(AVERAGEIFS('Participation Adjustment'!$C:$C,'Participation Adjustment'!$A:$A,$H639,'Participation Adjustment'!$B:$B,$I639),1)</f>
        <v>13.541127910435501</v>
      </c>
      <c r="AE639" s="79">
        <f>tbl_Data_old[[#This Row],[2034 ]]*IFERROR(AVERAGEIFS('Participation Adjustment'!$C:$C,'Participation Adjustment'!$A:$A,$H639,'Participation Adjustment'!$B:$B,$I639),1)</f>
        <v>14.138914077332799</v>
      </c>
      <c r="AF639" s="77" t="str">
        <f t="shared" si="253"/>
        <v>NonResidential</v>
      </c>
      <c r="AG639" s="77" t="str">
        <f>tbl_Data[[#This Row],[All_Meas_Name_Append]]</f>
        <v>Energy Star Commercial Clothes Washer</v>
      </c>
      <c r="AH639" s="77">
        <f>AVERAGEIFS('3. Incentive Adjustment'!G:G,'3. Incentive Adjustment'!A:A,tbl_Data[[#This Row],[Trimmed Sector]],'3. Incentive Adjustment'!B:B,tbl_Data[[#This Row],[Trimmed Measure Name]])</f>
        <v>0.82959886877160749</v>
      </c>
      <c r="AI639" s="77">
        <f>$AH639*tbl_Data[[#This Row],[2025 ]]</f>
        <v>2.7580740592678206</v>
      </c>
      <c r="AJ639" s="77">
        <f>$AH639*tbl_Data[[#This Row],[2026 ]]</f>
        <v>3.8358338250466946</v>
      </c>
      <c r="AK639" s="77">
        <f>$AH639*tbl_Data[[#This Row],[2027 ]]</f>
        <v>5.048867532029444</v>
      </c>
      <c r="AL639" s="77">
        <f>$AH639*tbl_Data[[#This Row],[2028 ]]</f>
        <v>6.3509635760209049</v>
      </c>
      <c r="AM639" s="77">
        <f>$AH639*tbl_Data[[#This Row],[2029 ]]</f>
        <v>7.6443612792307141</v>
      </c>
      <c r="AN639" s="77">
        <f>$AH639*tbl_Data[[#This Row],[2030 ]]</f>
        <v>8.8173018662912579</v>
      </c>
      <c r="AO639" s="77">
        <f>$AH639*tbl_Data[[#This Row],[2031 ]]</f>
        <v>9.8040961720176192</v>
      </c>
      <c r="AP639" s="77">
        <f>$AH639*tbl_Data[[#This Row],[2032 ]]</f>
        <v>10.60273294263061</v>
      </c>
      <c r="AQ639" s="77">
        <f>$AH639*tbl_Data[[#This Row],[2033 ]]</f>
        <v>11.233704396388932</v>
      </c>
      <c r="AR639" s="77">
        <f>$AH639*tbl_Data[[#This Row],[2034 ]]</f>
        <v>11.729627124214247</v>
      </c>
      <c r="AS639" s="77">
        <f>SUM(tbl_Data[[#This Row],[Adjusted 2025]:[Adjusted 2034]])</f>
        <v>77.825562773138245</v>
      </c>
      <c r="AT639" s="80">
        <f>AVERAGEIFS('3. Incentive Adjustment'!F:F,'3. Incentive Adjustment'!A:A,tbl_Data[[#This Row],[Trimmed Sector]],'3. Incentive Adjustment'!B:B,tbl_Data[[#This Row],[Trimmed Measure Name]])</f>
        <v>0</v>
      </c>
      <c r="AU639" s="80">
        <f>IFERROR(VLOOKUP(tbl_Data[[#This Row],[All_Meas_Name_Append]],'IRA Tax Credits'!$A$3:$D$46,4,0),0)</f>
        <v>0</v>
      </c>
      <c r="AV639" s="81">
        <f>tbl_Data[[#This Row],[Adj. per unit Incentive ($)]]/tbl_Data[[#This Row],[kWh Savings]]*tbl_Data[[#This Row],[Sum of Annuals]]</f>
        <v>0</v>
      </c>
      <c r="AW639" s="81" t="str">
        <f>IFERROR(VLOOKUP(tbl_Data[[#This Row],[Column1]],'1. Set Program Names'!$B$2:$D$15,3,0)*tbl_Data[[#This Row],[Sum of Annuals]],"")</f>
        <v/>
      </c>
      <c r="AX639" s="81">
        <f>tbl_Data[[#This Row],[per unit IRA tax ($)]]/tbl_Data[[#This Row],[kWh Savings]]*tbl_Data[[#This Row],[Sum of Annuals]]</f>
        <v>0</v>
      </c>
      <c r="AY639" s="81">
        <f>tbl_Data[[#This Row],[Avoided Costs ($/unit)]]/tbl_Data[[#This Row],[kWh Savings]]*tbl_Data[[#This Row],[Sum of Annuals]]</f>
        <v>23.019417764942681</v>
      </c>
      <c r="AZ639" s="81">
        <f>tbl_Data[[#This Row],[Lost Revenue ($/unit)]]/tbl_Data[[#This Row],[kWh Savings]]*tbl_Data[[#This Row],[Sum of Annuals]]</f>
        <v>48.533656571034783</v>
      </c>
      <c r="BA639" s="81">
        <f>tbl_Data[[#This Row],[Incremental Cost ($/unit)]]/tbl_Data[[#This Row],[kWh Savings]]*tbl_Data[[#This Row],[Sum of Annuals]]</f>
        <v>21.519474214520418</v>
      </c>
      <c r="BB639" s="77">
        <f>ROUNDUP(tbl_Data[[#This Row],[Adjusted 2025]]/$L639,0)</f>
        <v>1</v>
      </c>
      <c r="BC639" s="77">
        <f>ROUNDUP(tbl_Data[[#This Row],[Adjusted 2026]]/$L639,0)</f>
        <v>1</v>
      </c>
      <c r="BD639" s="77">
        <f>ROUNDUP(tbl_Data[[#This Row],[Adjusted 2027]]/$L639,0)</f>
        <v>1</v>
      </c>
      <c r="BE639" s="77">
        <f>ROUNDUP(tbl_Data[[#This Row],[Adjusted 2028]]/$L639,0)</f>
        <v>1</v>
      </c>
      <c r="BF639" s="77">
        <f>ROUNDUP(tbl_Data[[#This Row],[Adjusted 2029]]/$L639,0)</f>
        <v>1</v>
      </c>
      <c r="BG639" s="77">
        <f>ROUNDUP(tbl_Data[[#This Row],[Adjusted 2030]]/$L639,0)</f>
        <v>1</v>
      </c>
      <c r="BH639" s="77">
        <f>ROUNDUP(tbl_Data[[#This Row],[Adjusted 2031]]/$L639,0)</f>
        <v>1</v>
      </c>
      <c r="BI639" s="77">
        <f>ROUNDUP(tbl_Data[[#This Row],[Adjusted 2032]]/$L639,0)</f>
        <v>1</v>
      </c>
      <c r="BJ639" s="77">
        <f>ROUNDUP(tbl_Data[[#This Row],[Adjusted 2033]]/$L639,0)</f>
        <v>1</v>
      </c>
      <c r="BK639" s="77">
        <f>ROUNDUP(tbl_Data[[#This Row],[Adjusted 2034]]/$L639,0)</f>
        <v>1</v>
      </c>
      <c r="BL639" s="80">
        <f t="shared" si="254"/>
        <v>0</v>
      </c>
      <c r="BM639" s="80">
        <f t="shared" si="255"/>
        <v>0</v>
      </c>
      <c r="BN639" s="80">
        <f t="shared" si="256"/>
        <v>0</v>
      </c>
      <c r="BO639" s="80">
        <f t="shared" si="257"/>
        <v>0</v>
      </c>
      <c r="BP639" s="80">
        <f t="shared" si="258"/>
        <v>0</v>
      </c>
      <c r="BQ639" s="80">
        <f t="shared" si="259"/>
        <v>0</v>
      </c>
      <c r="BR639" s="80">
        <f t="shared" si="260"/>
        <v>0</v>
      </c>
      <c r="BS639" s="80">
        <f t="shared" si="261"/>
        <v>0</v>
      </c>
      <c r="BT639" s="80">
        <f t="shared" si="262"/>
        <v>0</v>
      </c>
      <c r="BU639" s="80">
        <f t="shared" si="263"/>
        <v>0</v>
      </c>
      <c r="BV639" s="80" t="str">
        <f>IFERROR(VLOOKUP($H639,'1. Set Program Names'!$B$2:$D$15,3,0)*V639,"NA")</f>
        <v>NA</v>
      </c>
      <c r="BW639" s="80" t="str">
        <f>IFERROR(VLOOKUP($H639,'1. Set Program Names'!$B$2:$D$15,3,0)*W639,"NA")</f>
        <v>NA</v>
      </c>
      <c r="BX639" s="80" t="str">
        <f>IFERROR(VLOOKUP($H639,'1. Set Program Names'!$B$2:$D$15,3,0)*X639,"NA")</f>
        <v>NA</v>
      </c>
      <c r="BY639" s="80" t="str">
        <f>IFERROR(VLOOKUP($H639,'1. Set Program Names'!$B$2:$D$15,3,0)*Y639,"NA")</f>
        <v>NA</v>
      </c>
      <c r="BZ639" s="80" t="str">
        <f>IFERROR(VLOOKUP($H639,'1. Set Program Names'!$B$2:$D$15,3,0)*Z639,"NA")</f>
        <v>NA</v>
      </c>
      <c r="CA639" s="80" t="str">
        <f>IFERROR(VLOOKUP($H639,'1. Set Program Names'!$B$2:$D$15,3,0)*AA639,"NA")</f>
        <v>NA</v>
      </c>
      <c r="CB639" s="80" t="str">
        <f>IFERROR(VLOOKUP($H639,'1. Set Program Names'!$B$2:$D$15,3,0)*AB639,"NA")</f>
        <v>NA</v>
      </c>
      <c r="CC639" s="80" t="str">
        <f>IFERROR(VLOOKUP($H639,'1. Set Program Names'!$B$2:$D$15,3,0)*AC639,"NA")</f>
        <v>NA</v>
      </c>
      <c r="CD639" s="80" t="str">
        <f>IFERROR(VLOOKUP($H639,'1. Set Program Names'!$B$2:$D$15,3,0)*AD639,"NA")</f>
        <v>NA</v>
      </c>
      <c r="CE639" s="80" t="str">
        <f>IFERROR(VLOOKUP($H639,'1. Set Program Names'!$B$2:$D$15,3,0)*AE639,"NA")</f>
        <v>NA</v>
      </c>
    </row>
    <row r="640" spans="1:83" x14ac:dyDescent="0.25">
      <c r="A640" s="79" t="s">
        <v>116</v>
      </c>
      <c r="B640" s="79" t="s">
        <v>88</v>
      </c>
      <c r="C640" s="79" t="s">
        <v>122</v>
      </c>
      <c r="D640" s="79" t="s">
        <v>90</v>
      </c>
      <c r="E640" s="79" t="s">
        <v>91</v>
      </c>
      <c r="F640" s="79" t="s">
        <v>90</v>
      </c>
      <c r="G640" s="79" t="s">
        <v>92</v>
      </c>
      <c r="H640" s="79" t="s">
        <v>268</v>
      </c>
      <c r="I640" s="79" t="s">
        <v>138</v>
      </c>
      <c r="J640" s="79" t="s">
        <v>124</v>
      </c>
      <c r="K640" s="79" t="s">
        <v>98</v>
      </c>
      <c r="L640" s="79">
        <v>4708.5</v>
      </c>
      <c r="M640" s="79">
        <v>0.683430781395169</v>
      </c>
      <c r="N640" s="79">
        <v>0.60632419999120102</v>
      </c>
      <c r="O640" s="79">
        <v>1154.6399999999901</v>
      </c>
      <c r="P640" s="79">
        <v>186.06881936911</v>
      </c>
      <c r="Q640" s="79">
        <v>4.7084999999999999</v>
      </c>
      <c r="R640" s="79">
        <v>1872.3805627056299</v>
      </c>
      <c r="S640" s="79">
        <v>4412.8842644638298</v>
      </c>
      <c r="T640" s="79">
        <v>12</v>
      </c>
      <c r="U640" s="79">
        <v>1</v>
      </c>
      <c r="V640" s="79">
        <f>tbl_Data_old[[#This Row],[2025 ]]*IFERROR(AVERAGEIFS('Participation Adjustment'!$C:$C,'Participation Adjustment'!$A:$A,$H640,'Participation Adjustment'!$B:$B,$I640),1)</f>
        <v>3.9961486146743499</v>
      </c>
      <c r="W640" s="79">
        <f>tbl_Data_old[[#This Row],[2026 ]]*IFERROR(AVERAGEIFS('Participation Adjustment'!$C:$C,'Participation Adjustment'!$A:$A,$H640,'Participation Adjustment'!$B:$B,$I640),1)</f>
        <v>5.5279765339907696</v>
      </c>
      <c r="X640" s="79">
        <f>tbl_Data_old[[#This Row],[2027 ]]*IFERROR(AVERAGEIFS('Participation Adjustment'!$C:$C,'Participation Adjustment'!$A:$A,$H640,'Participation Adjustment'!$B:$B,$I640),1)</f>
        <v>7.2498099146897204</v>
      </c>
      <c r="Y640" s="79">
        <f>tbl_Data_old[[#This Row],[2028 ]]*IFERROR(AVERAGEIFS('Participation Adjustment'!$C:$C,'Participation Adjustment'!$A:$A,$H640,'Participation Adjustment'!$B:$B,$I640),1)</f>
        <v>9.0894846418318807</v>
      </c>
      <c r="Z640" s="79">
        <f>tbl_Data_old[[#This Row],[2029 ]]*IFERROR(AVERAGEIFS('Participation Adjustment'!$C:$C,'Participation Adjustment'!$A:$A,$H640,'Participation Adjustment'!$B:$B,$I640),1)</f>
        <v>10.901445441677501</v>
      </c>
      <c r="AA640" s="79">
        <f>tbl_Data_old[[#This Row],[2030 ]]*IFERROR(AVERAGEIFS('Participation Adjustment'!$C:$C,'Participation Adjustment'!$A:$A,$H640,'Participation Adjustment'!$B:$B,$I640),1)</f>
        <v>12.5326073292335</v>
      </c>
      <c r="AB640" s="79">
        <f>tbl_Data_old[[#This Row],[2031 ]]*IFERROR(AVERAGEIFS('Participation Adjustment'!$C:$C,'Participation Adjustment'!$A:$A,$H640,'Participation Adjustment'!$B:$B,$I640),1)</f>
        <v>13.8845895932592</v>
      </c>
      <c r="AC640" s="79">
        <f>tbl_Data_old[[#This Row],[2032 ]]*IFERROR(AVERAGEIFS('Participation Adjustment'!$C:$C,'Participation Adjustment'!$A:$A,$H640,'Participation Adjustment'!$B:$B,$I640),1)</f>
        <v>14.957583562843199</v>
      </c>
      <c r="AD640" s="79">
        <f>tbl_Data_old[[#This Row],[2033 ]]*IFERROR(AVERAGEIFS('Participation Adjustment'!$C:$C,'Participation Adjustment'!$A:$A,$H640,'Participation Adjustment'!$B:$B,$I640),1)</f>
        <v>15.793401725195499</v>
      </c>
      <c r="AE640" s="79">
        <f>tbl_Data_old[[#This Row],[2034 ]]*IFERROR(AVERAGEIFS('Participation Adjustment'!$C:$C,'Participation Adjustment'!$A:$A,$H640,'Participation Adjustment'!$B:$B,$I640),1)</f>
        <v>16.42879047928</v>
      </c>
      <c r="AF640" s="77" t="str">
        <f t="shared" si="253"/>
        <v>NonResidential</v>
      </c>
      <c r="AG640" s="77" t="str">
        <f>tbl_Data[[#This Row],[All_Meas_Name_Append]]</f>
        <v>Energy Star Commercial Glass Door Freezer</v>
      </c>
      <c r="AH640" s="77">
        <f>AVERAGEIFS('3. Incentive Adjustment'!G:G,'3. Incentive Adjustment'!A:A,tbl_Data[[#This Row],[Trimmed Sector]],'3. Incentive Adjustment'!B:B,tbl_Data[[#This Row],[Trimmed Measure Name]])</f>
        <v>0.90098363397891501</v>
      </c>
      <c r="AI640" s="77">
        <f>$AH640*tbl_Data[[#This Row],[2025 ]]</f>
        <v>3.6004645007691027</v>
      </c>
      <c r="AJ640" s="77">
        <f>$AH640*tbl_Data[[#This Row],[2026 ]]</f>
        <v>4.9806163861451704</v>
      </c>
      <c r="AK640" s="77">
        <f>$AH640*tbl_Data[[#This Row],[2027 ]]</f>
        <v>6.5319600825935122</v>
      </c>
      <c r="AL640" s="77">
        <f>$AH640*tbl_Data[[#This Row],[2028 ]]</f>
        <v>8.1894769035932242</v>
      </c>
      <c r="AM640" s="77">
        <f>$AH640*tbl_Data[[#This Row],[2029 ]]</f>
        <v>9.8220239296654732</v>
      </c>
      <c r="AN640" s="77">
        <f>$AH640*tbl_Data[[#This Row],[2030 ]]</f>
        <v>11.291674094723582</v>
      </c>
      <c r="AO640" s="77">
        <f>$AH640*tbl_Data[[#This Row],[2031 ]]</f>
        <v>12.5097879880405</v>
      </c>
      <c r="AP640" s="77">
        <f>$AH640*tbl_Data[[#This Row],[2032 ]]</f>
        <v>13.476537993993752</v>
      </c>
      <c r="AQ640" s="77">
        <f>$AH640*tbl_Data[[#This Row],[2033 ]]</f>
        <v>14.229596479255507</v>
      </c>
      <c r="AR640" s="77">
        <f>$AH640*tbl_Data[[#This Row],[2034 ]]</f>
        <v>14.802071347899895</v>
      </c>
      <c r="AS640" s="77">
        <f>SUM(tbl_Data[[#This Row],[Adjusted 2025]:[Adjusted 2034]])</f>
        <v>99.434209706679724</v>
      </c>
      <c r="AT640" s="80">
        <f>AVERAGEIFS('3. Incentive Adjustment'!F:F,'3. Incentive Adjustment'!A:A,tbl_Data[[#This Row],[Trimmed Sector]],'3. Incentive Adjustment'!B:B,tbl_Data[[#This Row],[Trimmed Measure Name]])</f>
        <v>0</v>
      </c>
      <c r="AU640" s="80">
        <f>IFERROR(VLOOKUP(tbl_Data[[#This Row],[All_Meas_Name_Append]],'IRA Tax Credits'!$A$3:$D$46,4,0),0)</f>
        <v>0</v>
      </c>
      <c r="AV640" s="81">
        <f>tbl_Data[[#This Row],[Adj. per unit Incentive ($)]]/tbl_Data[[#This Row],[kWh Savings]]*tbl_Data[[#This Row],[Sum of Annuals]]</f>
        <v>0</v>
      </c>
      <c r="AW640" s="81" t="str">
        <f>IFERROR(VLOOKUP(tbl_Data[[#This Row],[Column1]],'1. Set Program Names'!$B$2:$D$15,3,0)*tbl_Data[[#This Row],[Sum of Annuals]],"")</f>
        <v/>
      </c>
      <c r="AX640" s="81">
        <f>tbl_Data[[#This Row],[per unit IRA tax ($)]]/tbl_Data[[#This Row],[kWh Savings]]*tbl_Data[[#This Row],[Sum of Annuals]]</f>
        <v>0</v>
      </c>
      <c r="AY640" s="81">
        <f>tbl_Data[[#This Row],[Avoided Costs ($/unit)]]/tbl_Data[[#This Row],[kWh Savings]]*tbl_Data[[#This Row],[Sum of Annuals]]</f>
        <v>39.540975156160684</v>
      </c>
      <c r="AZ640" s="81">
        <f>tbl_Data[[#This Row],[Lost Revenue ($/unit)]]/tbl_Data[[#This Row],[kWh Savings]]*tbl_Data[[#This Row],[Sum of Annuals]]</f>
        <v>93.191389904216535</v>
      </c>
      <c r="BA640" s="81">
        <f>tbl_Data[[#This Row],[Incremental Cost ($/unit)]]/tbl_Data[[#This Row],[kWh Savings]]*tbl_Data[[#This Row],[Sum of Annuals]]</f>
        <v>24.383713687101984</v>
      </c>
      <c r="BB640" s="77">
        <f>ROUNDUP(tbl_Data[[#This Row],[Adjusted 2025]]/$L640,0)</f>
        <v>1</v>
      </c>
      <c r="BC640" s="77">
        <f>ROUNDUP(tbl_Data[[#This Row],[Adjusted 2026]]/$L640,0)</f>
        <v>1</v>
      </c>
      <c r="BD640" s="77">
        <f>ROUNDUP(tbl_Data[[#This Row],[Adjusted 2027]]/$L640,0)</f>
        <v>1</v>
      </c>
      <c r="BE640" s="77">
        <f>ROUNDUP(tbl_Data[[#This Row],[Adjusted 2028]]/$L640,0)</f>
        <v>1</v>
      </c>
      <c r="BF640" s="77">
        <f>ROUNDUP(tbl_Data[[#This Row],[Adjusted 2029]]/$L640,0)</f>
        <v>1</v>
      </c>
      <c r="BG640" s="77">
        <f>ROUNDUP(tbl_Data[[#This Row],[Adjusted 2030]]/$L640,0)</f>
        <v>1</v>
      </c>
      <c r="BH640" s="77">
        <f>ROUNDUP(tbl_Data[[#This Row],[Adjusted 2031]]/$L640,0)</f>
        <v>1</v>
      </c>
      <c r="BI640" s="77">
        <f>ROUNDUP(tbl_Data[[#This Row],[Adjusted 2032]]/$L640,0)</f>
        <v>1</v>
      </c>
      <c r="BJ640" s="77">
        <f>ROUNDUP(tbl_Data[[#This Row],[Adjusted 2033]]/$L640,0)</f>
        <v>1</v>
      </c>
      <c r="BK640" s="77">
        <f>ROUNDUP(tbl_Data[[#This Row],[Adjusted 2034]]/$L640,0)</f>
        <v>1</v>
      </c>
      <c r="BL640" s="80">
        <f t="shared" si="254"/>
        <v>0</v>
      </c>
      <c r="BM640" s="80">
        <f t="shared" si="255"/>
        <v>0</v>
      </c>
      <c r="BN640" s="80">
        <f t="shared" si="256"/>
        <v>0</v>
      </c>
      <c r="BO640" s="80">
        <f t="shared" si="257"/>
        <v>0</v>
      </c>
      <c r="BP640" s="80">
        <f t="shared" si="258"/>
        <v>0</v>
      </c>
      <c r="BQ640" s="80">
        <f t="shared" si="259"/>
        <v>0</v>
      </c>
      <c r="BR640" s="80">
        <f t="shared" si="260"/>
        <v>0</v>
      </c>
      <c r="BS640" s="80">
        <f t="shared" si="261"/>
        <v>0</v>
      </c>
      <c r="BT640" s="80">
        <f t="shared" si="262"/>
        <v>0</v>
      </c>
      <c r="BU640" s="80">
        <f t="shared" si="263"/>
        <v>0</v>
      </c>
      <c r="BV640" s="80" t="str">
        <f>IFERROR(VLOOKUP($H640,'1. Set Program Names'!$B$2:$D$15,3,0)*V640,"NA")</f>
        <v>NA</v>
      </c>
      <c r="BW640" s="80" t="str">
        <f>IFERROR(VLOOKUP($H640,'1. Set Program Names'!$B$2:$D$15,3,0)*W640,"NA")</f>
        <v>NA</v>
      </c>
      <c r="BX640" s="80" t="str">
        <f>IFERROR(VLOOKUP($H640,'1. Set Program Names'!$B$2:$D$15,3,0)*X640,"NA")</f>
        <v>NA</v>
      </c>
      <c r="BY640" s="80" t="str">
        <f>IFERROR(VLOOKUP($H640,'1. Set Program Names'!$B$2:$D$15,3,0)*Y640,"NA")</f>
        <v>NA</v>
      </c>
      <c r="BZ640" s="80" t="str">
        <f>IFERROR(VLOOKUP($H640,'1. Set Program Names'!$B$2:$D$15,3,0)*Z640,"NA")</f>
        <v>NA</v>
      </c>
      <c r="CA640" s="80" t="str">
        <f>IFERROR(VLOOKUP($H640,'1. Set Program Names'!$B$2:$D$15,3,0)*AA640,"NA")</f>
        <v>NA</v>
      </c>
      <c r="CB640" s="80" t="str">
        <f>IFERROR(VLOOKUP($H640,'1. Set Program Names'!$B$2:$D$15,3,0)*AB640,"NA")</f>
        <v>NA</v>
      </c>
      <c r="CC640" s="80" t="str">
        <f>IFERROR(VLOOKUP($H640,'1. Set Program Names'!$B$2:$D$15,3,0)*AC640,"NA")</f>
        <v>NA</v>
      </c>
      <c r="CD640" s="80" t="str">
        <f>IFERROR(VLOOKUP($H640,'1. Set Program Names'!$B$2:$D$15,3,0)*AD640,"NA")</f>
        <v>NA</v>
      </c>
      <c r="CE640" s="80" t="str">
        <f>IFERROR(VLOOKUP($H640,'1. Set Program Names'!$B$2:$D$15,3,0)*AE640,"NA")</f>
        <v>NA</v>
      </c>
    </row>
    <row r="641" spans="1:83" x14ac:dyDescent="0.25">
      <c r="A641" s="79" t="s">
        <v>116</v>
      </c>
      <c r="B641" s="79" t="s">
        <v>88</v>
      </c>
      <c r="C641" s="79" t="s">
        <v>122</v>
      </c>
      <c r="D641" s="79" t="s">
        <v>90</v>
      </c>
      <c r="E641" s="79" t="s">
        <v>91</v>
      </c>
      <c r="F641" s="79" t="s">
        <v>90</v>
      </c>
      <c r="G641" s="79" t="s">
        <v>92</v>
      </c>
      <c r="H641" s="79" t="s">
        <v>268</v>
      </c>
      <c r="I641" s="79" t="s">
        <v>139</v>
      </c>
      <c r="J641" s="79" t="s">
        <v>134</v>
      </c>
      <c r="K641" s="79" t="s">
        <v>98</v>
      </c>
      <c r="L641" s="79">
        <v>1937</v>
      </c>
      <c r="M641" s="79">
        <v>0.24908899441118301</v>
      </c>
      <c r="N641" s="79">
        <v>0.21233623172368499</v>
      </c>
      <c r="O641" s="79">
        <v>631.37</v>
      </c>
      <c r="P641" s="79">
        <v>232.91563515301399</v>
      </c>
      <c r="Q641" s="79">
        <v>1.9370000000000001</v>
      </c>
      <c r="R641" s="79">
        <v>770.86000119756204</v>
      </c>
      <c r="S641" s="79">
        <v>2270.0548686653701</v>
      </c>
      <c r="T641" s="79">
        <v>17</v>
      </c>
      <c r="U641" s="79">
        <v>1</v>
      </c>
      <c r="V641" s="79">
        <f>tbl_Data_old[[#This Row],[2025 ]]*IFERROR(AVERAGEIFS('Participation Adjustment'!$C:$C,'Participation Adjustment'!$A:$A,$H641,'Participation Adjustment'!$B:$B,$I641),1)</f>
        <v>1.22448667173535</v>
      </c>
      <c r="W641" s="79">
        <f>tbl_Data_old[[#This Row],[2026 ]]*IFERROR(AVERAGEIFS('Participation Adjustment'!$C:$C,'Participation Adjustment'!$A:$A,$H641,'Participation Adjustment'!$B:$B,$I641),1)</f>
        <v>1.6671869620436699</v>
      </c>
      <c r="X641" s="79">
        <f>tbl_Data_old[[#This Row],[2027 ]]*IFERROR(AVERAGEIFS('Participation Adjustment'!$C:$C,'Participation Adjustment'!$A:$A,$H641,'Participation Adjustment'!$B:$B,$I641),1)</f>
        <v>2.1490304215035798</v>
      </c>
      <c r="Y641" s="79">
        <f>tbl_Data_old[[#This Row],[2028 ]]*IFERROR(AVERAGEIFS('Participation Adjustment'!$C:$C,'Participation Adjustment'!$A:$A,$H641,'Participation Adjustment'!$B:$B,$I641),1)</f>
        <v>2.6465781523471201</v>
      </c>
      <c r="Z641" s="79">
        <f>tbl_Data_old[[#This Row],[2029 ]]*IFERROR(AVERAGEIFS('Participation Adjustment'!$C:$C,'Participation Adjustment'!$A:$A,$H641,'Participation Adjustment'!$B:$B,$I641),1)</f>
        <v>3.1187870905138899</v>
      </c>
      <c r="AA641" s="79">
        <f>tbl_Data_old[[#This Row],[2030 ]]*IFERROR(AVERAGEIFS('Participation Adjustment'!$C:$C,'Participation Adjustment'!$A:$A,$H641,'Participation Adjustment'!$B:$B,$I641),1)</f>
        <v>3.5266166500340299</v>
      </c>
      <c r="AB641" s="79">
        <f>tbl_Data_old[[#This Row],[2031 ]]*IFERROR(AVERAGEIFS('Participation Adjustment'!$C:$C,'Participation Adjustment'!$A:$A,$H641,'Participation Adjustment'!$B:$B,$I641),1)</f>
        <v>3.84961443919001</v>
      </c>
      <c r="AC641" s="79">
        <f>tbl_Data_old[[#This Row],[2032 ]]*IFERROR(AVERAGEIFS('Participation Adjustment'!$C:$C,'Participation Adjustment'!$A:$A,$H641,'Participation Adjustment'!$B:$B,$I641),1)</f>
        <v>4.0938837456200003</v>
      </c>
      <c r="AD641" s="79">
        <f>tbl_Data_old[[#This Row],[2033 ]]*IFERROR(AVERAGEIFS('Participation Adjustment'!$C:$C,'Participation Adjustment'!$A:$A,$H641,'Participation Adjustment'!$B:$B,$I641),1)</f>
        <v>4.27404468813861</v>
      </c>
      <c r="AE641" s="79">
        <f>tbl_Data_old[[#This Row],[2034 ]]*IFERROR(AVERAGEIFS('Participation Adjustment'!$C:$C,'Participation Adjustment'!$A:$A,$H641,'Participation Adjustment'!$B:$B,$I641),1)</f>
        <v>4.4019334969464099</v>
      </c>
      <c r="AF641" s="77" t="str">
        <f t="shared" si="253"/>
        <v>NonResidential</v>
      </c>
      <c r="AG641" s="77" t="str">
        <f>tbl_Data[[#This Row],[All_Meas_Name_Append]]</f>
        <v>Energy Star convection oven</v>
      </c>
      <c r="AH641" s="77">
        <f>AVERAGEIFS('3. Incentive Adjustment'!G:G,'3. Incentive Adjustment'!A:A,tbl_Data[[#This Row],[Trimmed Sector]],'3. Incentive Adjustment'!B:B,tbl_Data[[#This Row],[Trimmed Measure Name]])</f>
        <v>0.72813370493976592</v>
      </c>
      <c r="AI641" s="77">
        <f>$AH641*tbl_Data[[#This Row],[2025 ]]</f>
        <v>0.89159001694002338</v>
      </c>
      <c r="AJ641" s="77">
        <f>$AH641*tbl_Data[[#This Row],[2026 ]]</f>
        <v>1.2139350195001302</v>
      </c>
      <c r="AK641" s="77">
        <f>$AH641*tbl_Data[[#This Row],[2027 ]]</f>
        <v>1.5647814828376683</v>
      </c>
      <c r="AL641" s="77">
        <f>$AH641*tbl_Data[[#This Row],[2028 ]]</f>
        <v>1.9270627554811488</v>
      </c>
      <c r="AM641" s="77">
        <f>$AH641*tbl_Data[[#This Row],[2029 ]]</f>
        <v>2.2708939991341919</v>
      </c>
      <c r="AN641" s="77">
        <f>$AH641*tbl_Data[[#This Row],[2030 ]]</f>
        <v>2.5678484472915439</v>
      </c>
      <c r="AO641" s="77">
        <f>$AH641*tbl_Data[[#This Row],[2031 ]]</f>
        <v>2.8030340241970411</v>
      </c>
      <c r="AP641" s="77">
        <f>$AH641*tbl_Data[[#This Row],[2032 ]]</f>
        <v>2.980894739290977</v>
      </c>
      <c r="AQ641" s="77">
        <f>$AH641*tbl_Data[[#This Row],[2033 ]]</f>
        <v>3.1120759938524927</v>
      </c>
      <c r="AR641" s="77">
        <f>$AH641*tbl_Data[[#This Row],[2034 ]]</f>
        <v>3.2051961460300493</v>
      </c>
      <c r="AS641" s="77">
        <f>SUM(tbl_Data[[#This Row],[Adjusted 2025]:[Adjusted 2034]])</f>
        <v>22.53731262455527</v>
      </c>
      <c r="AT641" s="80">
        <f>AVERAGEIFS('3. Incentive Adjustment'!F:F,'3. Incentive Adjustment'!A:A,tbl_Data[[#This Row],[Trimmed Sector]],'3. Incentive Adjustment'!B:B,tbl_Data[[#This Row],[Trimmed Measure Name]])</f>
        <v>0</v>
      </c>
      <c r="AU641" s="80">
        <f>IFERROR(VLOOKUP(tbl_Data[[#This Row],[All_Meas_Name_Append]],'IRA Tax Credits'!$A$3:$D$46,4,0),0)</f>
        <v>0</v>
      </c>
      <c r="AV641" s="81">
        <f>tbl_Data[[#This Row],[Adj. per unit Incentive ($)]]/tbl_Data[[#This Row],[kWh Savings]]*tbl_Data[[#This Row],[Sum of Annuals]]</f>
        <v>0</v>
      </c>
      <c r="AW641" s="81" t="str">
        <f>IFERROR(VLOOKUP(tbl_Data[[#This Row],[Column1]],'1. Set Program Names'!$B$2:$D$15,3,0)*tbl_Data[[#This Row],[Sum of Annuals]],"")</f>
        <v/>
      </c>
      <c r="AX641" s="81">
        <f>tbl_Data[[#This Row],[per unit IRA tax ($)]]/tbl_Data[[#This Row],[kWh Savings]]*tbl_Data[[#This Row],[Sum of Annuals]]</f>
        <v>0</v>
      </c>
      <c r="AY641" s="81">
        <f>tbl_Data[[#This Row],[Avoided Costs ($/unit)]]/tbl_Data[[#This Row],[kWh Savings]]*tbl_Data[[#This Row],[Sum of Annuals]]</f>
        <v>8.9690825176843081</v>
      </c>
      <c r="AZ641" s="81">
        <f>tbl_Data[[#This Row],[Lost Revenue ($/unit)]]/tbl_Data[[#This Row],[kWh Savings]]*tbl_Data[[#This Row],[Sum of Annuals]]</f>
        <v>26.412460635005267</v>
      </c>
      <c r="BA641" s="81">
        <f>tbl_Data[[#This Row],[Incremental Cost ($/unit)]]/tbl_Data[[#This Row],[kWh Savings]]*tbl_Data[[#This Row],[Sum of Annuals]]</f>
        <v>7.3460934805190812</v>
      </c>
      <c r="BB641" s="77">
        <f>ROUNDUP(tbl_Data[[#This Row],[Adjusted 2025]]/$L641,0)</f>
        <v>1</v>
      </c>
      <c r="BC641" s="77">
        <f>ROUNDUP(tbl_Data[[#This Row],[Adjusted 2026]]/$L641,0)</f>
        <v>1</v>
      </c>
      <c r="BD641" s="77">
        <f>ROUNDUP(tbl_Data[[#This Row],[Adjusted 2027]]/$L641,0)</f>
        <v>1</v>
      </c>
      <c r="BE641" s="77">
        <f>ROUNDUP(tbl_Data[[#This Row],[Adjusted 2028]]/$L641,0)</f>
        <v>1</v>
      </c>
      <c r="BF641" s="77">
        <f>ROUNDUP(tbl_Data[[#This Row],[Adjusted 2029]]/$L641,0)</f>
        <v>1</v>
      </c>
      <c r="BG641" s="77">
        <f>ROUNDUP(tbl_Data[[#This Row],[Adjusted 2030]]/$L641,0)</f>
        <v>1</v>
      </c>
      <c r="BH641" s="77">
        <f>ROUNDUP(tbl_Data[[#This Row],[Adjusted 2031]]/$L641,0)</f>
        <v>1</v>
      </c>
      <c r="BI641" s="77">
        <f>ROUNDUP(tbl_Data[[#This Row],[Adjusted 2032]]/$L641,0)</f>
        <v>1</v>
      </c>
      <c r="BJ641" s="77">
        <f>ROUNDUP(tbl_Data[[#This Row],[Adjusted 2033]]/$L641,0)</f>
        <v>1</v>
      </c>
      <c r="BK641" s="77">
        <f>ROUNDUP(tbl_Data[[#This Row],[Adjusted 2034]]/$L641,0)</f>
        <v>1</v>
      </c>
      <c r="BL641" s="80">
        <f t="shared" si="254"/>
        <v>0</v>
      </c>
      <c r="BM641" s="80">
        <f t="shared" si="255"/>
        <v>0</v>
      </c>
      <c r="BN641" s="80">
        <f t="shared" si="256"/>
        <v>0</v>
      </c>
      <c r="BO641" s="80">
        <f t="shared" si="257"/>
        <v>0</v>
      </c>
      <c r="BP641" s="80">
        <f t="shared" si="258"/>
        <v>0</v>
      </c>
      <c r="BQ641" s="80">
        <f t="shared" si="259"/>
        <v>0</v>
      </c>
      <c r="BR641" s="80">
        <f t="shared" si="260"/>
        <v>0</v>
      </c>
      <c r="BS641" s="80">
        <f t="shared" si="261"/>
        <v>0</v>
      </c>
      <c r="BT641" s="80">
        <f t="shared" si="262"/>
        <v>0</v>
      </c>
      <c r="BU641" s="80">
        <f t="shared" si="263"/>
        <v>0</v>
      </c>
      <c r="BV641" s="80" t="str">
        <f>IFERROR(VLOOKUP($H641,'1. Set Program Names'!$B$2:$D$15,3,0)*V641,"NA")</f>
        <v>NA</v>
      </c>
      <c r="BW641" s="80" t="str">
        <f>IFERROR(VLOOKUP($H641,'1. Set Program Names'!$B$2:$D$15,3,0)*W641,"NA")</f>
        <v>NA</v>
      </c>
      <c r="BX641" s="80" t="str">
        <f>IFERROR(VLOOKUP($H641,'1. Set Program Names'!$B$2:$D$15,3,0)*X641,"NA")</f>
        <v>NA</v>
      </c>
      <c r="BY641" s="80" t="str">
        <f>IFERROR(VLOOKUP($H641,'1. Set Program Names'!$B$2:$D$15,3,0)*Y641,"NA")</f>
        <v>NA</v>
      </c>
      <c r="BZ641" s="80" t="str">
        <f>IFERROR(VLOOKUP($H641,'1. Set Program Names'!$B$2:$D$15,3,0)*Z641,"NA")</f>
        <v>NA</v>
      </c>
      <c r="CA641" s="80" t="str">
        <f>IFERROR(VLOOKUP($H641,'1. Set Program Names'!$B$2:$D$15,3,0)*AA641,"NA")</f>
        <v>NA</v>
      </c>
      <c r="CB641" s="80" t="str">
        <f>IFERROR(VLOOKUP($H641,'1. Set Program Names'!$B$2:$D$15,3,0)*AB641,"NA")</f>
        <v>NA</v>
      </c>
      <c r="CC641" s="80" t="str">
        <f>IFERROR(VLOOKUP($H641,'1. Set Program Names'!$B$2:$D$15,3,0)*AC641,"NA")</f>
        <v>NA</v>
      </c>
      <c r="CD641" s="80" t="str">
        <f>IFERROR(VLOOKUP($H641,'1. Set Program Names'!$B$2:$D$15,3,0)*AD641,"NA")</f>
        <v>NA</v>
      </c>
      <c r="CE641" s="80" t="str">
        <f>IFERROR(VLOOKUP($H641,'1. Set Program Names'!$B$2:$D$15,3,0)*AE641,"NA")</f>
        <v>NA</v>
      </c>
    </row>
    <row r="642" spans="1:83" x14ac:dyDescent="0.25">
      <c r="A642" s="79" t="s">
        <v>116</v>
      </c>
      <c r="B642" s="79" t="s">
        <v>88</v>
      </c>
      <c r="C642" s="79" t="s">
        <v>122</v>
      </c>
      <c r="D642" s="79" t="s">
        <v>90</v>
      </c>
      <c r="E642" s="79" t="s">
        <v>91</v>
      </c>
      <c r="F642" s="79" t="s">
        <v>90</v>
      </c>
      <c r="G642" s="79" t="s">
        <v>92</v>
      </c>
      <c r="H642" s="79" t="s">
        <v>268</v>
      </c>
      <c r="I642" s="79" t="s">
        <v>140</v>
      </c>
      <c r="J642" s="79" t="s">
        <v>129</v>
      </c>
      <c r="K642" s="79" t="s">
        <v>98</v>
      </c>
      <c r="L642" s="79">
        <v>145.64999999999901</v>
      </c>
      <c r="M642" s="79">
        <v>4.8385631271840701E-2</v>
      </c>
      <c r="N642" s="79">
        <v>0</v>
      </c>
      <c r="O642" s="79">
        <v>41.15</v>
      </c>
      <c r="P642" s="79">
        <v>12.5942011456304</v>
      </c>
      <c r="Q642" s="79">
        <v>0.145649999999999</v>
      </c>
      <c r="R642" s="79">
        <v>71.795310497711</v>
      </c>
      <c r="S642" s="79">
        <v>136.505594800712</v>
      </c>
      <c r="T642" s="79">
        <v>12</v>
      </c>
      <c r="U642" s="79">
        <v>1</v>
      </c>
      <c r="V642" s="79">
        <f>tbl_Data_old[[#This Row],[2025 ]]*IFERROR(AVERAGEIFS('Participation Adjustment'!$C:$C,'Participation Adjustment'!$A:$A,$H642,'Participation Adjustment'!$B:$B,$I642),1)</f>
        <v>0</v>
      </c>
      <c r="W642" s="79">
        <f>tbl_Data_old[[#This Row],[2026 ]]*IFERROR(AVERAGEIFS('Participation Adjustment'!$C:$C,'Participation Adjustment'!$A:$A,$H642,'Participation Adjustment'!$B:$B,$I642),1)</f>
        <v>0</v>
      </c>
      <c r="X642" s="79">
        <f>tbl_Data_old[[#This Row],[2027 ]]*IFERROR(AVERAGEIFS('Participation Adjustment'!$C:$C,'Participation Adjustment'!$A:$A,$H642,'Participation Adjustment'!$B:$B,$I642),1)</f>
        <v>0</v>
      </c>
      <c r="Y642" s="79">
        <f>tbl_Data_old[[#This Row],[2028 ]]*IFERROR(AVERAGEIFS('Participation Adjustment'!$C:$C,'Participation Adjustment'!$A:$A,$H642,'Participation Adjustment'!$B:$B,$I642),1)</f>
        <v>0</v>
      </c>
      <c r="Z642" s="79">
        <f>tbl_Data_old[[#This Row],[2029 ]]*IFERROR(AVERAGEIFS('Participation Adjustment'!$C:$C,'Participation Adjustment'!$A:$A,$H642,'Participation Adjustment'!$B:$B,$I642),1)</f>
        <v>0</v>
      </c>
      <c r="AA642" s="79">
        <f>tbl_Data_old[[#This Row],[2030 ]]*IFERROR(AVERAGEIFS('Participation Adjustment'!$C:$C,'Participation Adjustment'!$A:$A,$H642,'Participation Adjustment'!$B:$B,$I642),1)</f>
        <v>0</v>
      </c>
      <c r="AB642" s="79">
        <f>tbl_Data_old[[#This Row],[2031 ]]*IFERROR(AVERAGEIFS('Participation Adjustment'!$C:$C,'Participation Adjustment'!$A:$A,$H642,'Participation Adjustment'!$B:$B,$I642),1)</f>
        <v>0</v>
      </c>
      <c r="AC642" s="79">
        <f>tbl_Data_old[[#This Row],[2032 ]]*IFERROR(AVERAGEIFS('Participation Adjustment'!$C:$C,'Participation Adjustment'!$A:$A,$H642,'Participation Adjustment'!$B:$B,$I642),1)</f>
        <v>0</v>
      </c>
      <c r="AD642" s="79">
        <f>tbl_Data_old[[#This Row],[2033 ]]*IFERROR(AVERAGEIFS('Participation Adjustment'!$C:$C,'Participation Adjustment'!$A:$A,$H642,'Participation Adjustment'!$B:$B,$I642),1)</f>
        <v>0</v>
      </c>
      <c r="AE642" s="79">
        <f>tbl_Data_old[[#This Row],[2034 ]]*IFERROR(AVERAGEIFS('Participation Adjustment'!$C:$C,'Participation Adjustment'!$A:$A,$H642,'Participation Adjustment'!$B:$B,$I642),1)</f>
        <v>0</v>
      </c>
      <c r="AF642" s="77" t="str">
        <f t="shared" si="253"/>
        <v>NonResidential</v>
      </c>
      <c r="AG642" s="77" t="str">
        <f>tbl_Data[[#This Row],[All_Meas_Name_Append]]</f>
        <v>Energy Star room AC_137</v>
      </c>
      <c r="AH642" s="77">
        <f>AVERAGEIFS('3. Incentive Adjustment'!G:G,'3. Incentive Adjustment'!A:A,tbl_Data[[#This Row],[Trimmed Sector]],'3. Incentive Adjustment'!B:B,tbl_Data[[#This Row],[Trimmed Measure Name]])</f>
        <v>0.79600466062818009</v>
      </c>
      <c r="AI642" s="77">
        <f>$AH642*tbl_Data[[#This Row],[2025 ]]</f>
        <v>0</v>
      </c>
      <c r="AJ642" s="77">
        <f>$AH642*tbl_Data[[#This Row],[2026 ]]</f>
        <v>0</v>
      </c>
      <c r="AK642" s="77">
        <f>$AH642*tbl_Data[[#This Row],[2027 ]]</f>
        <v>0</v>
      </c>
      <c r="AL642" s="77">
        <f>$AH642*tbl_Data[[#This Row],[2028 ]]</f>
        <v>0</v>
      </c>
      <c r="AM642" s="77">
        <f>$AH642*tbl_Data[[#This Row],[2029 ]]</f>
        <v>0</v>
      </c>
      <c r="AN642" s="77">
        <f>$AH642*tbl_Data[[#This Row],[2030 ]]</f>
        <v>0</v>
      </c>
      <c r="AO642" s="77">
        <f>$AH642*tbl_Data[[#This Row],[2031 ]]</f>
        <v>0</v>
      </c>
      <c r="AP642" s="77">
        <f>$AH642*tbl_Data[[#This Row],[2032 ]]</f>
        <v>0</v>
      </c>
      <c r="AQ642" s="77">
        <f>$AH642*tbl_Data[[#This Row],[2033 ]]</f>
        <v>0</v>
      </c>
      <c r="AR642" s="77">
        <f>$AH642*tbl_Data[[#This Row],[2034 ]]</f>
        <v>0</v>
      </c>
      <c r="AS642" s="77">
        <f>SUM(tbl_Data[[#This Row],[Adjusted 2025]:[Adjusted 2034]])</f>
        <v>0</v>
      </c>
      <c r="AT642" s="80">
        <f>AVERAGEIFS('3. Incentive Adjustment'!F:F,'3. Incentive Adjustment'!A:A,tbl_Data[[#This Row],[Trimmed Sector]],'3. Incentive Adjustment'!B:B,tbl_Data[[#This Row],[Trimmed Measure Name]])</f>
        <v>0</v>
      </c>
      <c r="AU642" s="80">
        <f>IFERROR(VLOOKUP(tbl_Data[[#This Row],[All_Meas_Name_Append]],'IRA Tax Credits'!$A$3:$D$46,4,0),0)</f>
        <v>0</v>
      </c>
      <c r="AV642" s="81">
        <f>tbl_Data[[#This Row],[Adj. per unit Incentive ($)]]/tbl_Data[[#This Row],[kWh Savings]]*tbl_Data[[#This Row],[Sum of Annuals]]</f>
        <v>0</v>
      </c>
      <c r="AW642" s="81" t="str">
        <f>IFERROR(VLOOKUP(tbl_Data[[#This Row],[Column1]],'1. Set Program Names'!$B$2:$D$15,3,0)*tbl_Data[[#This Row],[Sum of Annuals]],"")</f>
        <v/>
      </c>
      <c r="AX642" s="81">
        <f>tbl_Data[[#This Row],[per unit IRA tax ($)]]/tbl_Data[[#This Row],[kWh Savings]]*tbl_Data[[#This Row],[Sum of Annuals]]</f>
        <v>0</v>
      </c>
      <c r="AY642" s="81">
        <f>tbl_Data[[#This Row],[Avoided Costs ($/unit)]]/tbl_Data[[#This Row],[kWh Savings]]*tbl_Data[[#This Row],[Sum of Annuals]]</f>
        <v>0</v>
      </c>
      <c r="AZ642" s="81">
        <f>tbl_Data[[#This Row],[Lost Revenue ($/unit)]]/tbl_Data[[#This Row],[kWh Savings]]*tbl_Data[[#This Row],[Sum of Annuals]]</f>
        <v>0</v>
      </c>
      <c r="BA642" s="81">
        <f>tbl_Data[[#This Row],[Incremental Cost ($/unit)]]/tbl_Data[[#This Row],[kWh Savings]]*tbl_Data[[#This Row],[Sum of Annuals]]</f>
        <v>0</v>
      </c>
      <c r="BB642" s="77">
        <f>ROUNDUP(tbl_Data[[#This Row],[Adjusted 2025]]/$L642,0)</f>
        <v>0</v>
      </c>
      <c r="BC642" s="77">
        <f>ROUNDUP(tbl_Data[[#This Row],[Adjusted 2026]]/$L642,0)</f>
        <v>0</v>
      </c>
      <c r="BD642" s="77">
        <f>ROUNDUP(tbl_Data[[#This Row],[Adjusted 2027]]/$L642,0)</f>
        <v>0</v>
      </c>
      <c r="BE642" s="77">
        <f>ROUNDUP(tbl_Data[[#This Row],[Adjusted 2028]]/$L642,0)</f>
        <v>0</v>
      </c>
      <c r="BF642" s="77">
        <f>ROUNDUP(tbl_Data[[#This Row],[Adjusted 2029]]/$L642,0)</f>
        <v>0</v>
      </c>
      <c r="BG642" s="77">
        <f>ROUNDUP(tbl_Data[[#This Row],[Adjusted 2030]]/$L642,0)</f>
        <v>0</v>
      </c>
      <c r="BH642" s="77">
        <f>ROUNDUP(tbl_Data[[#This Row],[Adjusted 2031]]/$L642,0)</f>
        <v>0</v>
      </c>
      <c r="BI642" s="77">
        <f>ROUNDUP(tbl_Data[[#This Row],[Adjusted 2032]]/$L642,0)</f>
        <v>0</v>
      </c>
      <c r="BJ642" s="77">
        <f>ROUNDUP(tbl_Data[[#This Row],[Adjusted 2033]]/$L642,0)</f>
        <v>0</v>
      </c>
      <c r="BK642" s="77">
        <f>ROUNDUP(tbl_Data[[#This Row],[Adjusted 2034]]/$L642,0)</f>
        <v>0</v>
      </c>
      <c r="BL642" s="80">
        <f t="shared" si="254"/>
        <v>0</v>
      </c>
      <c r="BM642" s="80">
        <f t="shared" si="255"/>
        <v>0</v>
      </c>
      <c r="BN642" s="80">
        <f t="shared" si="256"/>
        <v>0</v>
      </c>
      <c r="BO642" s="80">
        <f t="shared" si="257"/>
        <v>0</v>
      </c>
      <c r="BP642" s="80">
        <f t="shared" si="258"/>
        <v>0</v>
      </c>
      <c r="BQ642" s="80">
        <f t="shared" si="259"/>
        <v>0</v>
      </c>
      <c r="BR642" s="80">
        <f t="shared" si="260"/>
        <v>0</v>
      </c>
      <c r="BS642" s="80">
        <f t="shared" si="261"/>
        <v>0</v>
      </c>
      <c r="BT642" s="80">
        <f t="shared" si="262"/>
        <v>0</v>
      </c>
      <c r="BU642" s="80">
        <f t="shared" si="263"/>
        <v>0</v>
      </c>
      <c r="BV642" s="80" t="str">
        <f>IFERROR(VLOOKUP($H642,'1. Set Program Names'!$B$2:$D$15,3,0)*V642,"NA")</f>
        <v>NA</v>
      </c>
      <c r="BW642" s="80" t="str">
        <f>IFERROR(VLOOKUP($H642,'1. Set Program Names'!$B$2:$D$15,3,0)*W642,"NA")</f>
        <v>NA</v>
      </c>
      <c r="BX642" s="80" t="str">
        <f>IFERROR(VLOOKUP($H642,'1. Set Program Names'!$B$2:$D$15,3,0)*X642,"NA")</f>
        <v>NA</v>
      </c>
      <c r="BY642" s="80" t="str">
        <f>IFERROR(VLOOKUP($H642,'1. Set Program Names'!$B$2:$D$15,3,0)*Y642,"NA")</f>
        <v>NA</v>
      </c>
      <c r="BZ642" s="80" t="str">
        <f>IFERROR(VLOOKUP($H642,'1. Set Program Names'!$B$2:$D$15,3,0)*Z642,"NA")</f>
        <v>NA</v>
      </c>
      <c r="CA642" s="80" t="str">
        <f>IFERROR(VLOOKUP($H642,'1. Set Program Names'!$B$2:$D$15,3,0)*AA642,"NA")</f>
        <v>NA</v>
      </c>
      <c r="CB642" s="80" t="str">
        <f>IFERROR(VLOOKUP($H642,'1. Set Program Names'!$B$2:$D$15,3,0)*AB642,"NA")</f>
        <v>NA</v>
      </c>
      <c r="CC642" s="80" t="str">
        <f>IFERROR(VLOOKUP($H642,'1. Set Program Names'!$B$2:$D$15,3,0)*AC642,"NA")</f>
        <v>NA</v>
      </c>
      <c r="CD642" s="80" t="str">
        <f>IFERROR(VLOOKUP($H642,'1. Set Program Names'!$B$2:$D$15,3,0)*AD642,"NA")</f>
        <v>NA</v>
      </c>
      <c r="CE642" s="80" t="str">
        <f>IFERROR(VLOOKUP($H642,'1. Set Program Names'!$B$2:$D$15,3,0)*AE642,"NA")</f>
        <v>NA</v>
      </c>
    </row>
    <row r="643" spans="1:83" x14ac:dyDescent="0.25">
      <c r="A643" s="79" t="s">
        <v>116</v>
      </c>
      <c r="B643" s="79" t="s">
        <v>88</v>
      </c>
      <c r="C643" s="79" t="s">
        <v>122</v>
      </c>
      <c r="D643" s="79" t="s">
        <v>90</v>
      </c>
      <c r="E643" s="79" t="s">
        <v>91</v>
      </c>
      <c r="F643" s="79" t="s">
        <v>90</v>
      </c>
      <c r="G643" s="79" t="s">
        <v>92</v>
      </c>
      <c r="H643" s="79" t="s">
        <v>268</v>
      </c>
      <c r="I643" s="79" t="s">
        <v>141</v>
      </c>
      <c r="J643" s="79" t="s">
        <v>134</v>
      </c>
      <c r="K643" s="79" t="s">
        <v>98</v>
      </c>
      <c r="L643" s="79">
        <v>12160.5</v>
      </c>
      <c r="M643" s="79">
        <v>1.5637825072468701</v>
      </c>
      <c r="N643" s="79">
        <v>1.33304839745786</v>
      </c>
      <c r="O643" s="79">
        <v>3109.4399999999901</v>
      </c>
      <c r="P643" s="79">
        <v>607.94061759330305</v>
      </c>
      <c r="Q643" s="79">
        <v>12.160500000000001</v>
      </c>
      <c r="R643" s="79">
        <v>4122.3511685728599</v>
      </c>
      <c r="S643" s="79">
        <v>11397.022214720701</v>
      </c>
      <c r="T643" s="79">
        <v>12</v>
      </c>
      <c r="U643" s="79">
        <v>1</v>
      </c>
      <c r="V643" s="79">
        <f>tbl_Data_old[[#This Row],[2025 ]]*IFERROR(AVERAGEIFS('Participation Adjustment'!$C:$C,'Participation Adjustment'!$A:$A,$H643,'Participation Adjustment'!$B:$B,$I643),1)</f>
        <v>2.47517213312705</v>
      </c>
      <c r="W643" s="79">
        <f>tbl_Data_old[[#This Row],[2026 ]]*IFERROR(AVERAGEIFS('Participation Adjustment'!$C:$C,'Participation Adjustment'!$A:$A,$H643,'Participation Adjustment'!$B:$B,$I643),1)</f>
        <v>3.3993354618923899</v>
      </c>
      <c r="X643" s="79">
        <f>tbl_Data_old[[#This Row],[2027 ]]*IFERROR(AVERAGEIFS('Participation Adjustment'!$C:$C,'Participation Adjustment'!$A:$A,$H643,'Participation Adjustment'!$B:$B,$I643),1)</f>
        <v>4.4250411934185596</v>
      </c>
      <c r="Y643" s="79">
        <f>tbl_Data_old[[#This Row],[2028 ]]*IFERROR(AVERAGEIFS('Participation Adjustment'!$C:$C,'Participation Adjustment'!$A:$A,$H643,'Participation Adjustment'!$B:$B,$I643),1)</f>
        <v>5.50652544573017</v>
      </c>
      <c r="Z643" s="79">
        <f>tbl_Data_old[[#This Row],[2029 ]]*IFERROR(AVERAGEIFS('Participation Adjustment'!$C:$C,'Participation Adjustment'!$A:$A,$H643,'Participation Adjustment'!$B:$B,$I643),1)</f>
        <v>6.5552793418370197</v>
      </c>
      <c r="AA643" s="79">
        <f>tbl_Data_old[[#This Row],[2030 ]]*IFERROR(AVERAGEIFS('Participation Adjustment'!$C:$C,'Participation Adjustment'!$A:$A,$H643,'Participation Adjustment'!$B:$B,$I643),1)</f>
        <v>7.4800103999515004</v>
      </c>
      <c r="AB643" s="79">
        <f>tbl_Data_old[[#This Row],[2031 ]]*IFERROR(AVERAGEIFS('Participation Adjustment'!$C:$C,'Participation Adjustment'!$A:$A,$H643,'Participation Adjustment'!$B:$B,$I643),1)</f>
        <v>8.2256050996895596</v>
      </c>
      <c r="AC643" s="79">
        <f>tbl_Data_old[[#This Row],[2032 ]]*IFERROR(AVERAGEIFS('Participation Adjustment'!$C:$C,'Participation Adjustment'!$A:$A,$H643,'Participation Adjustment'!$B:$B,$I643),1)</f>
        <v>8.7959538727372397</v>
      </c>
      <c r="AD643" s="79">
        <f>tbl_Data_old[[#This Row],[2033 ]]*IFERROR(AVERAGEIFS('Participation Adjustment'!$C:$C,'Participation Adjustment'!$A:$A,$H643,'Participation Adjustment'!$B:$B,$I643),1)</f>
        <v>9.2183496421478797</v>
      </c>
      <c r="AE643" s="79">
        <f>tbl_Data_old[[#This Row],[2034 ]]*IFERROR(AVERAGEIFS('Participation Adjustment'!$C:$C,'Participation Adjustment'!$A:$A,$H643,'Participation Adjustment'!$B:$B,$I643),1)</f>
        <v>9.5181801752921693</v>
      </c>
      <c r="AF643" s="77" t="str">
        <f t="shared" si="253"/>
        <v>NonResidential</v>
      </c>
      <c r="AG643" s="77" t="str">
        <f>tbl_Data[[#This Row],[All_Meas_Name_Append]]</f>
        <v>Energy Star Steamer</v>
      </c>
      <c r="AH643" s="77">
        <f>AVERAGEIFS('3. Incentive Adjustment'!G:G,'3. Incentive Adjustment'!A:A,tbl_Data[[#This Row],[Trimmed Sector]],'3. Incentive Adjustment'!B:B,tbl_Data[[#This Row],[Trimmed Measure Name]])</f>
        <v>0.87642178647683033</v>
      </c>
      <c r="AI643" s="77">
        <f>$AH643*tbl_Data[[#This Row],[2025 ]]</f>
        <v>2.1692947827528761</v>
      </c>
      <c r="AJ643" s="77">
        <f>$AH643*tbl_Data[[#This Row],[2026 ]]</f>
        <v>2.9792516583457695</v>
      </c>
      <c r="AK643" s="77">
        <f>$AH643*tbl_Data[[#This Row],[2027 ]]</f>
        <v>3.8782025079694593</v>
      </c>
      <c r="AL643" s="77">
        <f>$AH643*tbl_Data[[#This Row],[2028 ]]</f>
        <v>4.8260388684269602</v>
      </c>
      <c r="AM643" s="77">
        <f>$AH643*tbl_Data[[#This Row],[2029 ]]</f>
        <v>5.7451896316274613</v>
      </c>
      <c r="AN643" s="77">
        <f>$AH643*tbl_Data[[#This Row],[2030 ]]</f>
        <v>6.5556440775907641</v>
      </c>
      <c r="AO643" s="77">
        <f>$AH643*tbl_Data[[#This Row],[2031 ]]</f>
        <v>7.2090995163228495</v>
      </c>
      <c r="AP643" s="77">
        <f>$AH643*tbl_Data[[#This Row],[2032 ]]</f>
        <v>7.7089656069121659</v>
      </c>
      <c r="AQ643" s="77">
        <f>$AH643*tbl_Data[[#This Row],[2033 ]]</f>
        <v>8.0791624617392941</v>
      </c>
      <c r="AR643" s="77">
        <f>$AH643*tbl_Data[[#This Row],[2034 ]]</f>
        <v>8.3419404732379139</v>
      </c>
      <c r="AS643" s="77">
        <f>SUM(tbl_Data[[#This Row],[Adjusted 2025]:[Adjusted 2034]])</f>
        <v>57.492789584925511</v>
      </c>
      <c r="AT643" s="80">
        <f>AVERAGEIFS('3. Incentive Adjustment'!F:F,'3. Incentive Adjustment'!A:A,tbl_Data[[#This Row],[Trimmed Sector]],'3. Incentive Adjustment'!B:B,tbl_Data[[#This Row],[Trimmed Measure Name]])</f>
        <v>0</v>
      </c>
      <c r="AU643" s="80">
        <f>IFERROR(VLOOKUP(tbl_Data[[#This Row],[All_Meas_Name_Append]],'IRA Tax Credits'!$A$3:$D$46,4,0),0)</f>
        <v>0</v>
      </c>
      <c r="AV643" s="81">
        <f>tbl_Data[[#This Row],[Adj. per unit Incentive ($)]]/tbl_Data[[#This Row],[kWh Savings]]*tbl_Data[[#This Row],[Sum of Annuals]]</f>
        <v>0</v>
      </c>
      <c r="AW643" s="81" t="str">
        <f>IFERROR(VLOOKUP(tbl_Data[[#This Row],[Column1]],'1. Set Program Names'!$B$2:$D$15,3,0)*tbl_Data[[#This Row],[Sum of Annuals]],"")</f>
        <v/>
      </c>
      <c r="AX643" s="81">
        <f>tbl_Data[[#This Row],[per unit IRA tax ($)]]/tbl_Data[[#This Row],[kWh Savings]]*tbl_Data[[#This Row],[Sum of Annuals]]</f>
        <v>0</v>
      </c>
      <c r="AY643" s="81">
        <f>tbl_Data[[#This Row],[Avoided Costs ($/unit)]]/tbl_Data[[#This Row],[kWh Savings]]*tbl_Data[[#This Row],[Sum of Annuals]]</f>
        <v>19.489779888156839</v>
      </c>
      <c r="AZ643" s="81">
        <f>tbl_Data[[#This Row],[Lost Revenue ($/unit)]]/tbl_Data[[#This Row],[kWh Savings]]*tbl_Data[[#This Row],[Sum of Annuals]]</f>
        <v>53.883195599330534</v>
      </c>
      <c r="BA643" s="81">
        <f>tbl_Data[[#This Row],[Incremental Cost ($/unit)]]/tbl_Data[[#This Row],[kWh Savings]]*tbl_Data[[#This Row],[Sum of Annuals]]</f>
        <v>14.700907006040065</v>
      </c>
      <c r="BB643" s="77">
        <f>ROUNDUP(tbl_Data[[#This Row],[Adjusted 2025]]/$L643,0)</f>
        <v>1</v>
      </c>
      <c r="BC643" s="77">
        <f>ROUNDUP(tbl_Data[[#This Row],[Adjusted 2026]]/$L643,0)</f>
        <v>1</v>
      </c>
      <c r="BD643" s="77">
        <f>ROUNDUP(tbl_Data[[#This Row],[Adjusted 2027]]/$L643,0)</f>
        <v>1</v>
      </c>
      <c r="BE643" s="77">
        <f>ROUNDUP(tbl_Data[[#This Row],[Adjusted 2028]]/$L643,0)</f>
        <v>1</v>
      </c>
      <c r="BF643" s="77">
        <f>ROUNDUP(tbl_Data[[#This Row],[Adjusted 2029]]/$L643,0)</f>
        <v>1</v>
      </c>
      <c r="BG643" s="77">
        <f>ROUNDUP(tbl_Data[[#This Row],[Adjusted 2030]]/$L643,0)</f>
        <v>1</v>
      </c>
      <c r="BH643" s="77">
        <f>ROUNDUP(tbl_Data[[#This Row],[Adjusted 2031]]/$L643,0)</f>
        <v>1</v>
      </c>
      <c r="BI643" s="77">
        <f>ROUNDUP(tbl_Data[[#This Row],[Adjusted 2032]]/$L643,0)</f>
        <v>1</v>
      </c>
      <c r="BJ643" s="77">
        <f>ROUNDUP(tbl_Data[[#This Row],[Adjusted 2033]]/$L643,0)</f>
        <v>1</v>
      </c>
      <c r="BK643" s="77">
        <f>ROUNDUP(tbl_Data[[#This Row],[Adjusted 2034]]/$L643,0)</f>
        <v>1</v>
      </c>
      <c r="BL643" s="80">
        <f t="shared" si="254"/>
        <v>0</v>
      </c>
      <c r="BM643" s="80">
        <f t="shared" si="255"/>
        <v>0</v>
      </c>
      <c r="BN643" s="80">
        <f t="shared" si="256"/>
        <v>0</v>
      </c>
      <c r="BO643" s="80">
        <f t="shared" si="257"/>
        <v>0</v>
      </c>
      <c r="BP643" s="80">
        <f t="shared" si="258"/>
        <v>0</v>
      </c>
      <c r="BQ643" s="80">
        <f t="shared" si="259"/>
        <v>0</v>
      </c>
      <c r="BR643" s="80">
        <f t="shared" si="260"/>
        <v>0</v>
      </c>
      <c r="BS643" s="80">
        <f t="shared" si="261"/>
        <v>0</v>
      </c>
      <c r="BT643" s="80">
        <f t="shared" si="262"/>
        <v>0</v>
      </c>
      <c r="BU643" s="80">
        <f t="shared" si="263"/>
        <v>0</v>
      </c>
      <c r="BV643" s="80" t="str">
        <f>IFERROR(VLOOKUP($H643,'1. Set Program Names'!$B$2:$D$15,3,0)*V643,"NA")</f>
        <v>NA</v>
      </c>
      <c r="BW643" s="80" t="str">
        <f>IFERROR(VLOOKUP($H643,'1. Set Program Names'!$B$2:$D$15,3,0)*W643,"NA")</f>
        <v>NA</v>
      </c>
      <c r="BX643" s="80" t="str">
        <f>IFERROR(VLOOKUP($H643,'1. Set Program Names'!$B$2:$D$15,3,0)*X643,"NA")</f>
        <v>NA</v>
      </c>
      <c r="BY643" s="80" t="str">
        <f>IFERROR(VLOOKUP($H643,'1. Set Program Names'!$B$2:$D$15,3,0)*Y643,"NA")</f>
        <v>NA</v>
      </c>
      <c r="BZ643" s="80" t="str">
        <f>IFERROR(VLOOKUP($H643,'1. Set Program Names'!$B$2:$D$15,3,0)*Z643,"NA")</f>
        <v>NA</v>
      </c>
      <c r="CA643" s="80" t="str">
        <f>IFERROR(VLOOKUP($H643,'1. Set Program Names'!$B$2:$D$15,3,0)*AA643,"NA")</f>
        <v>NA</v>
      </c>
      <c r="CB643" s="80" t="str">
        <f>IFERROR(VLOOKUP($H643,'1. Set Program Names'!$B$2:$D$15,3,0)*AB643,"NA")</f>
        <v>NA</v>
      </c>
      <c r="CC643" s="80" t="str">
        <f>IFERROR(VLOOKUP($H643,'1. Set Program Names'!$B$2:$D$15,3,0)*AC643,"NA")</f>
        <v>NA</v>
      </c>
      <c r="CD643" s="80" t="str">
        <f>IFERROR(VLOOKUP($H643,'1. Set Program Names'!$B$2:$D$15,3,0)*AD643,"NA")</f>
        <v>NA</v>
      </c>
      <c r="CE643" s="80" t="str">
        <f>IFERROR(VLOOKUP($H643,'1. Set Program Names'!$B$2:$D$15,3,0)*AE643,"NA")</f>
        <v>NA</v>
      </c>
    </row>
    <row r="644" spans="1:83" x14ac:dyDescent="0.25">
      <c r="A644" s="79" t="s">
        <v>116</v>
      </c>
      <c r="B644" s="79" t="s">
        <v>88</v>
      </c>
      <c r="C644" s="79" t="s">
        <v>122</v>
      </c>
      <c r="D644" s="79" t="s">
        <v>90</v>
      </c>
      <c r="E644" s="79" t="s">
        <v>91</v>
      </c>
      <c r="F644" s="79" t="s">
        <v>90</v>
      </c>
      <c r="G644" s="79" t="s">
        <v>92</v>
      </c>
      <c r="H644" s="79" t="s">
        <v>268</v>
      </c>
      <c r="I644" s="79" t="s">
        <v>142</v>
      </c>
      <c r="J644" s="79" t="s">
        <v>137</v>
      </c>
      <c r="K644" s="79" t="s">
        <v>98</v>
      </c>
      <c r="L644" s="79">
        <v>11250</v>
      </c>
      <c r="M644" s="79">
        <v>1.3809947593685901</v>
      </c>
      <c r="N644" s="79">
        <v>1.3808111252514099</v>
      </c>
      <c r="O644" s="79">
        <v>3147</v>
      </c>
      <c r="P644" s="79">
        <v>832.79679683603899</v>
      </c>
      <c r="Q644" s="79">
        <v>11.25</v>
      </c>
      <c r="R644" s="79">
        <v>4868.3629963469202</v>
      </c>
      <c r="S644" s="79">
        <v>12218.8507873668</v>
      </c>
      <c r="T644" s="79">
        <v>15</v>
      </c>
      <c r="U644" s="79">
        <v>1</v>
      </c>
      <c r="V644" s="79">
        <f>tbl_Data_old[[#This Row],[2025 ]]*IFERROR(AVERAGEIFS('Participation Adjustment'!$C:$C,'Participation Adjustment'!$A:$A,$H644,'Participation Adjustment'!$B:$B,$I644),1)</f>
        <v>2.6160074814145</v>
      </c>
      <c r="W644" s="79">
        <f>tbl_Data_old[[#This Row],[2026 ]]*IFERROR(AVERAGEIFS('Participation Adjustment'!$C:$C,'Participation Adjustment'!$A:$A,$H644,'Participation Adjustment'!$B:$B,$I644),1)</f>
        <v>3.60624275042656</v>
      </c>
      <c r="X644" s="79">
        <f>tbl_Data_old[[#This Row],[2027 ]]*IFERROR(AVERAGEIFS('Participation Adjustment'!$C:$C,'Participation Adjustment'!$A:$A,$H644,'Participation Adjustment'!$B:$B,$I644),1)</f>
        <v>4.8323070974573001</v>
      </c>
      <c r="Y644" s="79">
        <f>tbl_Data_old[[#This Row],[2028 ]]*IFERROR(AVERAGEIFS('Participation Adjustment'!$C:$C,'Participation Adjustment'!$A:$A,$H644,'Participation Adjustment'!$B:$B,$I644),1)</f>
        <v>6.2899245353575397</v>
      </c>
      <c r="Z644" s="79">
        <f>tbl_Data_old[[#This Row],[2029 ]]*IFERROR(AVERAGEIFS('Participation Adjustment'!$C:$C,'Participation Adjustment'!$A:$A,$H644,'Participation Adjustment'!$B:$B,$I644),1)</f>
        <v>7.87618220279652</v>
      </c>
      <c r="AA644" s="79">
        <f>tbl_Data_old[[#This Row],[2030 ]]*IFERROR(AVERAGEIFS('Participation Adjustment'!$C:$C,'Participation Adjustment'!$A:$A,$H644,'Participation Adjustment'!$B:$B,$I644),1)</f>
        <v>9.3703807864311699</v>
      </c>
      <c r="AB644" s="79">
        <f>tbl_Data_old[[#This Row],[2031 ]]*IFERROR(AVERAGEIFS('Participation Adjustment'!$C:$C,'Participation Adjustment'!$A:$A,$H644,'Participation Adjustment'!$B:$B,$I644),1)</f>
        <v>10.4653312342777</v>
      </c>
      <c r="AC644" s="79">
        <f>tbl_Data_old[[#This Row],[2032 ]]*IFERROR(AVERAGEIFS('Participation Adjustment'!$C:$C,'Participation Adjustment'!$A:$A,$H644,'Participation Adjustment'!$B:$B,$I644),1)</f>
        <v>10.8534104535547</v>
      </c>
      <c r="AD644" s="79">
        <f>tbl_Data_old[[#This Row],[2033 ]]*IFERROR(AVERAGEIFS('Participation Adjustment'!$C:$C,'Participation Adjustment'!$A:$A,$H644,'Participation Adjustment'!$B:$B,$I644),1)</f>
        <v>10.3511903244901</v>
      </c>
      <c r="AE644" s="79">
        <f>tbl_Data_old[[#This Row],[2034 ]]*IFERROR(AVERAGEIFS('Participation Adjustment'!$C:$C,'Participation Adjustment'!$A:$A,$H644,'Participation Adjustment'!$B:$B,$I644),1)</f>
        <v>9.0469166137092696</v>
      </c>
      <c r="AF644" s="77" t="str">
        <f t="shared" si="253"/>
        <v>NonResidential</v>
      </c>
      <c r="AG644" s="77" t="str">
        <f>tbl_Data[[#This Row],[All_Meas_Name_Append]]</f>
        <v>Escalator Motor Efficiency Controller</v>
      </c>
      <c r="AH644" s="77">
        <f>AVERAGEIFS('3. Incentive Adjustment'!G:G,'3. Incentive Adjustment'!A:A,tbl_Data[[#This Row],[Trimmed Sector]],'3. Incentive Adjustment'!B:B,tbl_Data[[#This Row],[Trimmed Measure Name]])</f>
        <v>0.82257117184015105</v>
      </c>
      <c r="AI644" s="77">
        <f>$AH644*tbl_Data[[#This Row],[2025 ]]</f>
        <v>2.1518523395297273</v>
      </c>
      <c r="AJ644" s="77">
        <f>$AH644*tbl_Data[[#This Row],[2026 ]]</f>
        <v>2.9663913251584249</v>
      </c>
      <c r="AK644" s="77">
        <f>$AH644*tbl_Data[[#This Row],[2027 ]]</f>
        <v>3.9749165118469305</v>
      </c>
      <c r="AL644" s="77">
        <f>$AH644*tbl_Data[[#This Row],[2028 ]]</f>
        <v>5.173910595835169</v>
      </c>
      <c r="AM644" s="77">
        <f>$AH644*tbl_Data[[#This Row],[2029 ]]</f>
        <v>6.4787204241808753</v>
      </c>
      <c r="AN644" s="77">
        <f>$AH644*tbl_Data[[#This Row],[2030 ]]</f>
        <v>7.7078051040831239</v>
      </c>
      <c r="AO644" s="77">
        <f>$AH644*tbl_Data[[#This Row],[2031 ]]</f>
        <v>8.6084797770751429</v>
      </c>
      <c r="AP644" s="77">
        <f>$AH644*tbl_Data[[#This Row],[2032 ]]</f>
        <v>8.9277025552426341</v>
      </c>
      <c r="AQ644" s="77">
        <f>$AH644*tbl_Data[[#This Row],[2033 ]]</f>
        <v>8.5145907551562541</v>
      </c>
      <c r="AR644" s="77">
        <f>$AH644*tbl_Data[[#This Row],[2034 ]]</f>
        <v>7.4417328004789649</v>
      </c>
      <c r="AS644" s="77">
        <f>SUM(tbl_Data[[#This Row],[Adjusted 2025]:[Adjusted 2034]])</f>
        <v>61.946102188587247</v>
      </c>
      <c r="AT644" s="80">
        <f>AVERAGEIFS('3. Incentive Adjustment'!F:F,'3. Incentive Adjustment'!A:A,tbl_Data[[#This Row],[Trimmed Sector]],'3. Incentive Adjustment'!B:B,tbl_Data[[#This Row],[Trimmed Measure Name]])</f>
        <v>0</v>
      </c>
      <c r="AU644" s="80">
        <f>IFERROR(VLOOKUP(tbl_Data[[#This Row],[All_Meas_Name_Append]],'IRA Tax Credits'!$A$3:$D$46,4,0),0)</f>
        <v>0</v>
      </c>
      <c r="AV644" s="81">
        <f>tbl_Data[[#This Row],[Adj. per unit Incentive ($)]]/tbl_Data[[#This Row],[kWh Savings]]*tbl_Data[[#This Row],[Sum of Annuals]]</f>
        <v>0</v>
      </c>
      <c r="AW644" s="81" t="str">
        <f>IFERROR(VLOOKUP(tbl_Data[[#This Row],[Column1]],'1. Set Program Names'!$B$2:$D$15,3,0)*tbl_Data[[#This Row],[Sum of Annuals]],"")</f>
        <v/>
      </c>
      <c r="AX644" s="81">
        <f>tbl_Data[[#This Row],[per unit IRA tax ($)]]/tbl_Data[[#This Row],[kWh Savings]]*tbl_Data[[#This Row],[Sum of Annuals]]</f>
        <v>0</v>
      </c>
      <c r="AY644" s="81">
        <f>tbl_Data[[#This Row],[Avoided Costs ($/unit)]]/tbl_Data[[#This Row],[kWh Savings]]*tbl_Data[[#This Row],[Sum of Annuals]]</f>
        <v>26.806765481141611</v>
      </c>
      <c r="AZ644" s="81">
        <f>tbl_Data[[#This Row],[Lost Revenue ($/unit)]]/tbl_Data[[#This Row],[kWh Savings]]*tbl_Data[[#This Row],[Sum of Annuals]]</f>
        <v>67.280904844562102</v>
      </c>
      <c r="BA644" s="81">
        <f>tbl_Data[[#This Row],[Incremental Cost ($/unit)]]/tbl_Data[[#This Row],[kWh Savings]]*tbl_Data[[#This Row],[Sum of Annuals]]</f>
        <v>17.328389652220807</v>
      </c>
      <c r="BB644" s="77">
        <f>ROUNDUP(tbl_Data[[#This Row],[Adjusted 2025]]/$L644,0)</f>
        <v>1</v>
      </c>
      <c r="BC644" s="77">
        <f>ROUNDUP(tbl_Data[[#This Row],[Adjusted 2026]]/$L644,0)</f>
        <v>1</v>
      </c>
      <c r="BD644" s="77">
        <f>ROUNDUP(tbl_Data[[#This Row],[Adjusted 2027]]/$L644,0)</f>
        <v>1</v>
      </c>
      <c r="BE644" s="77">
        <f>ROUNDUP(tbl_Data[[#This Row],[Adjusted 2028]]/$L644,0)</f>
        <v>1</v>
      </c>
      <c r="BF644" s="77">
        <f>ROUNDUP(tbl_Data[[#This Row],[Adjusted 2029]]/$L644,0)</f>
        <v>1</v>
      </c>
      <c r="BG644" s="77">
        <f>ROUNDUP(tbl_Data[[#This Row],[Adjusted 2030]]/$L644,0)</f>
        <v>1</v>
      </c>
      <c r="BH644" s="77">
        <f>ROUNDUP(tbl_Data[[#This Row],[Adjusted 2031]]/$L644,0)</f>
        <v>1</v>
      </c>
      <c r="BI644" s="77">
        <f>ROUNDUP(tbl_Data[[#This Row],[Adjusted 2032]]/$L644,0)</f>
        <v>1</v>
      </c>
      <c r="BJ644" s="77">
        <f>ROUNDUP(tbl_Data[[#This Row],[Adjusted 2033]]/$L644,0)</f>
        <v>1</v>
      </c>
      <c r="BK644" s="77">
        <f>ROUNDUP(tbl_Data[[#This Row],[Adjusted 2034]]/$L644,0)</f>
        <v>1</v>
      </c>
      <c r="BL644" s="80">
        <f t="shared" si="254"/>
        <v>0</v>
      </c>
      <c r="BM644" s="80">
        <f t="shared" si="255"/>
        <v>0</v>
      </c>
      <c r="BN644" s="80">
        <f t="shared" si="256"/>
        <v>0</v>
      </c>
      <c r="BO644" s="80">
        <f t="shared" si="257"/>
        <v>0</v>
      </c>
      <c r="BP644" s="80">
        <f t="shared" si="258"/>
        <v>0</v>
      </c>
      <c r="BQ644" s="80">
        <f t="shared" si="259"/>
        <v>0</v>
      </c>
      <c r="BR644" s="80">
        <f t="shared" si="260"/>
        <v>0</v>
      </c>
      <c r="BS644" s="80">
        <f t="shared" si="261"/>
        <v>0</v>
      </c>
      <c r="BT644" s="80">
        <f t="shared" si="262"/>
        <v>0</v>
      </c>
      <c r="BU644" s="80">
        <f t="shared" si="263"/>
        <v>0</v>
      </c>
      <c r="BV644" s="80" t="str">
        <f>IFERROR(VLOOKUP($H644,'1. Set Program Names'!$B$2:$D$15,3,0)*V644,"NA")</f>
        <v>NA</v>
      </c>
      <c r="BW644" s="80" t="str">
        <f>IFERROR(VLOOKUP($H644,'1. Set Program Names'!$B$2:$D$15,3,0)*W644,"NA")</f>
        <v>NA</v>
      </c>
      <c r="BX644" s="80" t="str">
        <f>IFERROR(VLOOKUP($H644,'1. Set Program Names'!$B$2:$D$15,3,0)*X644,"NA")</f>
        <v>NA</v>
      </c>
      <c r="BY644" s="80" t="str">
        <f>IFERROR(VLOOKUP($H644,'1. Set Program Names'!$B$2:$D$15,3,0)*Y644,"NA")</f>
        <v>NA</v>
      </c>
      <c r="BZ644" s="80" t="str">
        <f>IFERROR(VLOOKUP($H644,'1. Set Program Names'!$B$2:$D$15,3,0)*Z644,"NA")</f>
        <v>NA</v>
      </c>
      <c r="CA644" s="80" t="str">
        <f>IFERROR(VLOOKUP($H644,'1. Set Program Names'!$B$2:$D$15,3,0)*AA644,"NA")</f>
        <v>NA</v>
      </c>
      <c r="CB644" s="80" t="str">
        <f>IFERROR(VLOOKUP($H644,'1. Set Program Names'!$B$2:$D$15,3,0)*AB644,"NA")</f>
        <v>NA</v>
      </c>
      <c r="CC644" s="80" t="str">
        <f>IFERROR(VLOOKUP($H644,'1. Set Program Names'!$B$2:$D$15,3,0)*AC644,"NA")</f>
        <v>NA</v>
      </c>
      <c r="CD644" s="80" t="str">
        <f>IFERROR(VLOOKUP($H644,'1. Set Program Names'!$B$2:$D$15,3,0)*AD644,"NA")</f>
        <v>NA</v>
      </c>
      <c r="CE644" s="80" t="str">
        <f>IFERROR(VLOOKUP($H644,'1. Set Program Names'!$B$2:$D$15,3,0)*AE644,"NA")</f>
        <v>NA</v>
      </c>
    </row>
    <row r="645" spans="1:83" x14ac:dyDescent="0.25">
      <c r="A645" s="79" t="s">
        <v>116</v>
      </c>
      <c r="B645" s="79" t="s">
        <v>88</v>
      </c>
      <c r="C645" s="79" t="s">
        <v>122</v>
      </c>
      <c r="D645" s="79" t="s">
        <v>90</v>
      </c>
      <c r="E645" s="79" t="s">
        <v>91</v>
      </c>
      <c r="F645" s="79" t="s">
        <v>90</v>
      </c>
      <c r="G645" s="79" t="s">
        <v>92</v>
      </c>
      <c r="H645" s="79" t="s">
        <v>268</v>
      </c>
      <c r="I645" s="79" t="s">
        <v>175</v>
      </c>
      <c r="J645" s="79" t="s">
        <v>144</v>
      </c>
      <c r="K645" s="79" t="s">
        <v>98</v>
      </c>
      <c r="L645" s="79">
        <v>264.02999999999997</v>
      </c>
      <c r="M645" s="79">
        <v>4.1428427039389301E-2</v>
      </c>
      <c r="N645" s="79">
        <v>6.1740637590561503E-2</v>
      </c>
      <c r="O645" s="79">
        <v>74.16</v>
      </c>
      <c r="P645" s="79">
        <v>19.8471936238772</v>
      </c>
      <c r="Q645" s="79">
        <v>0.26402999999999999</v>
      </c>
      <c r="R645" s="79">
        <v>106.11574944735899</v>
      </c>
      <c r="S645" s="79">
        <v>217.179512566509</v>
      </c>
      <c r="T645" s="79">
        <v>10</v>
      </c>
      <c r="U645" s="79">
        <v>1</v>
      </c>
      <c r="V645" s="79">
        <f>tbl_Data_old[[#This Row],[2025 ]]*IFERROR(AVERAGEIFS('Participation Adjustment'!$C:$C,'Participation Adjustment'!$A:$A,$H645,'Participation Adjustment'!$B:$B,$I645),1)</f>
        <v>2.30102065637666</v>
      </c>
      <c r="W645" s="79">
        <f>tbl_Data_old[[#This Row],[2026 ]]*IFERROR(AVERAGEIFS('Participation Adjustment'!$C:$C,'Participation Adjustment'!$A:$A,$H645,'Participation Adjustment'!$B:$B,$I645),1)</f>
        <v>3.1582641188934799</v>
      </c>
      <c r="X645" s="79">
        <f>tbl_Data_old[[#This Row],[2027 ]]*IFERROR(AVERAGEIFS('Participation Adjustment'!$C:$C,'Participation Adjustment'!$A:$A,$H645,'Participation Adjustment'!$B:$B,$I645),1)</f>
        <v>4.20407368677738</v>
      </c>
      <c r="Y645" s="79">
        <f>tbl_Data_old[[#This Row],[2028 ]]*IFERROR(AVERAGEIFS('Participation Adjustment'!$C:$C,'Participation Adjustment'!$A:$A,$H645,'Participation Adjustment'!$B:$B,$I645),1)</f>
        <v>5.4253643986678703</v>
      </c>
      <c r="Z645" s="79">
        <f>tbl_Data_old[[#This Row],[2029 ]]*IFERROR(AVERAGEIFS('Participation Adjustment'!$C:$C,'Participation Adjustment'!$A:$A,$H645,'Participation Adjustment'!$B:$B,$I645),1)</f>
        <v>6.7222756667519503</v>
      </c>
      <c r="AA645" s="79">
        <f>tbl_Data_old[[#This Row],[2030 ]]*IFERROR(AVERAGEIFS('Participation Adjustment'!$C:$C,'Participation Adjustment'!$A:$A,$H645,'Participation Adjustment'!$B:$B,$I645),1)</f>
        <v>7.8936997056214704</v>
      </c>
      <c r="AB645" s="79">
        <f>tbl_Data_old[[#This Row],[2031 ]]*IFERROR(AVERAGEIFS('Participation Adjustment'!$C:$C,'Participation Adjustment'!$A:$A,$H645,'Participation Adjustment'!$B:$B,$I645),1)</f>
        <v>8.6777412072287294</v>
      </c>
      <c r="AC645" s="79">
        <f>tbl_Data_old[[#This Row],[2032 ]]*IFERROR(AVERAGEIFS('Participation Adjustment'!$C:$C,'Participation Adjustment'!$A:$A,$H645,'Participation Adjustment'!$B:$B,$I645),1)</f>
        <v>8.8288472533615092</v>
      </c>
      <c r="AD645" s="79">
        <f>tbl_Data_old[[#This Row],[2033 ]]*IFERROR(AVERAGEIFS('Participation Adjustment'!$C:$C,'Participation Adjustment'!$A:$A,$H645,'Participation Adjustment'!$B:$B,$I645),1)</f>
        <v>8.2228313831658397</v>
      </c>
      <c r="AE645" s="79">
        <f>tbl_Data_old[[#This Row],[2034 ]]*IFERROR(AVERAGEIFS('Participation Adjustment'!$C:$C,'Participation Adjustment'!$A:$A,$H645,'Participation Adjustment'!$B:$B,$I645),1)</f>
        <v>6.9821808347428398</v>
      </c>
      <c r="AF645" s="77" t="str">
        <f t="shared" si="253"/>
        <v>NonResidential</v>
      </c>
      <c r="AG645" s="77" t="str">
        <f>tbl_Data[[#This Row],[All_Meas_Name_Append]]</f>
        <v>Faucet Aerator</v>
      </c>
      <c r="AH645" s="77">
        <f>AVERAGEIFS('3. Incentive Adjustment'!G:G,'3. Incentive Adjustment'!A:A,tbl_Data[[#This Row],[Trimmed Sector]],'3. Incentive Adjustment'!B:B,tbl_Data[[#This Row],[Trimmed Measure Name]])</f>
        <v>0.82009235606746977</v>
      </c>
      <c r="AI645" s="77">
        <f>$AH645*tbl_Data[[#This Row],[2025 ]]</f>
        <v>1.8870494514478509</v>
      </c>
      <c r="AJ645" s="77">
        <f>$AH645*tbl_Data[[#This Row],[2026 ]]</f>
        <v>2.5900682623467053</v>
      </c>
      <c r="AK645" s="77">
        <f>$AH645*tbl_Data[[#This Row],[2027 ]]</f>
        <v>3.4477286948705155</v>
      </c>
      <c r="AL645" s="77">
        <f>$AH645*tbl_Data[[#This Row],[2028 ]]</f>
        <v>4.4492998722281047</v>
      </c>
      <c r="AM645" s="77">
        <f>$AH645*tbl_Data[[#This Row],[2029 ]]</f>
        <v>5.5128868896816279</v>
      </c>
      <c r="AN645" s="77">
        <f>$AH645*tbl_Data[[#This Row],[2030 ]]</f>
        <v>6.4735627896722043</v>
      </c>
      <c r="AO645" s="77">
        <f>$AH645*tbl_Data[[#This Row],[2031 ]]</f>
        <v>7.1165492319799784</v>
      </c>
      <c r="AP645" s="77">
        <f>$AH645*tbl_Data[[#This Row],[2032 ]]</f>
        <v>7.2404701453690494</v>
      </c>
      <c r="AQ645" s="77">
        <f>$AH645*tbl_Data[[#This Row],[2033 ]]</f>
        <v>6.7434811625660052</v>
      </c>
      <c r="AR645" s="77">
        <f>$AH645*tbl_Data[[#This Row],[2034 ]]</f>
        <v>5.7260331312533879</v>
      </c>
      <c r="AS645" s="77">
        <f>SUM(tbl_Data[[#This Row],[Adjusted 2025]:[Adjusted 2034]])</f>
        <v>51.187129631415431</v>
      </c>
      <c r="AT645" s="80">
        <f>AVERAGEIFS('3. Incentive Adjustment'!F:F,'3. Incentive Adjustment'!A:A,tbl_Data[[#This Row],[Trimmed Sector]],'3. Incentive Adjustment'!B:B,tbl_Data[[#This Row],[Trimmed Measure Name]])</f>
        <v>0</v>
      </c>
      <c r="AU645" s="80">
        <f>IFERROR(VLOOKUP(tbl_Data[[#This Row],[All_Meas_Name_Append]],'IRA Tax Credits'!$A$3:$D$46,4,0),0)</f>
        <v>0</v>
      </c>
      <c r="AV645" s="81">
        <f>tbl_Data[[#This Row],[Adj. per unit Incentive ($)]]/tbl_Data[[#This Row],[kWh Savings]]*tbl_Data[[#This Row],[Sum of Annuals]]</f>
        <v>0</v>
      </c>
      <c r="AW645" s="81" t="str">
        <f>IFERROR(VLOOKUP(tbl_Data[[#This Row],[Column1]],'1. Set Program Names'!$B$2:$D$15,3,0)*tbl_Data[[#This Row],[Sum of Annuals]],"")</f>
        <v/>
      </c>
      <c r="AX645" s="81">
        <f>tbl_Data[[#This Row],[per unit IRA tax ($)]]/tbl_Data[[#This Row],[kWh Savings]]*tbl_Data[[#This Row],[Sum of Annuals]]</f>
        <v>0</v>
      </c>
      <c r="AY645" s="81">
        <f>tbl_Data[[#This Row],[Avoided Costs ($/unit)]]/tbl_Data[[#This Row],[kWh Savings]]*tbl_Data[[#This Row],[Sum of Annuals]]</f>
        <v>20.572513058731076</v>
      </c>
      <c r="AZ645" s="81">
        <f>tbl_Data[[#This Row],[Lost Revenue ($/unit)]]/tbl_Data[[#This Row],[kWh Savings]]*tbl_Data[[#This Row],[Sum of Annuals]]</f>
        <v>42.104290660264034</v>
      </c>
      <c r="BA645" s="81">
        <f>tbl_Data[[#This Row],[Incremental Cost ($/unit)]]/tbl_Data[[#This Row],[kWh Savings]]*tbl_Data[[#This Row],[Sum of Annuals]]</f>
        <v>14.377296267339956</v>
      </c>
      <c r="BB645" s="77">
        <f>ROUNDUP(tbl_Data[[#This Row],[Adjusted 2025]]/$L645,0)</f>
        <v>1</v>
      </c>
      <c r="BC645" s="77">
        <f>ROUNDUP(tbl_Data[[#This Row],[Adjusted 2026]]/$L645,0)</f>
        <v>1</v>
      </c>
      <c r="BD645" s="77">
        <f>ROUNDUP(tbl_Data[[#This Row],[Adjusted 2027]]/$L645,0)</f>
        <v>1</v>
      </c>
      <c r="BE645" s="77">
        <f>ROUNDUP(tbl_Data[[#This Row],[Adjusted 2028]]/$L645,0)</f>
        <v>1</v>
      </c>
      <c r="BF645" s="77">
        <f>ROUNDUP(tbl_Data[[#This Row],[Adjusted 2029]]/$L645,0)</f>
        <v>1</v>
      </c>
      <c r="BG645" s="77">
        <f>ROUNDUP(tbl_Data[[#This Row],[Adjusted 2030]]/$L645,0)</f>
        <v>1</v>
      </c>
      <c r="BH645" s="77">
        <f>ROUNDUP(tbl_Data[[#This Row],[Adjusted 2031]]/$L645,0)</f>
        <v>1</v>
      </c>
      <c r="BI645" s="77">
        <f>ROUNDUP(tbl_Data[[#This Row],[Adjusted 2032]]/$L645,0)</f>
        <v>1</v>
      </c>
      <c r="BJ645" s="77">
        <f>ROUNDUP(tbl_Data[[#This Row],[Adjusted 2033]]/$L645,0)</f>
        <v>1</v>
      </c>
      <c r="BK645" s="77">
        <f>ROUNDUP(tbl_Data[[#This Row],[Adjusted 2034]]/$L645,0)</f>
        <v>1</v>
      </c>
      <c r="BL645" s="80">
        <f t="shared" si="254"/>
        <v>0</v>
      </c>
      <c r="BM645" s="80">
        <f t="shared" si="255"/>
        <v>0</v>
      </c>
      <c r="BN645" s="80">
        <f t="shared" si="256"/>
        <v>0</v>
      </c>
      <c r="BO645" s="80">
        <f t="shared" si="257"/>
        <v>0</v>
      </c>
      <c r="BP645" s="80">
        <f t="shared" si="258"/>
        <v>0</v>
      </c>
      <c r="BQ645" s="80">
        <f t="shared" si="259"/>
        <v>0</v>
      </c>
      <c r="BR645" s="80">
        <f t="shared" si="260"/>
        <v>0</v>
      </c>
      <c r="BS645" s="80">
        <f t="shared" si="261"/>
        <v>0</v>
      </c>
      <c r="BT645" s="80">
        <f t="shared" si="262"/>
        <v>0</v>
      </c>
      <c r="BU645" s="80">
        <f t="shared" si="263"/>
        <v>0</v>
      </c>
      <c r="BV645" s="80" t="str">
        <f>IFERROR(VLOOKUP($H645,'1. Set Program Names'!$B$2:$D$15,3,0)*V645,"NA")</f>
        <v>NA</v>
      </c>
      <c r="BW645" s="80" t="str">
        <f>IFERROR(VLOOKUP($H645,'1. Set Program Names'!$B$2:$D$15,3,0)*W645,"NA")</f>
        <v>NA</v>
      </c>
      <c r="BX645" s="80" t="str">
        <f>IFERROR(VLOOKUP($H645,'1. Set Program Names'!$B$2:$D$15,3,0)*X645,"NA")</f>
        <v>NA</v>
      </c>
      <c r="BY645" s="80" t="str">
        <f>IFERROR(VLOOKUP($H645,'1. Set Program Names'!$B$2:$D$15,3,0)*Y645,"NA")</f>
        <v>NA</v>
      </c>
      <c r="BZ645" s="80" t="str">
        <f>IFERROR(VLOOKUP($H645,'1. Set Program Names'!$B$2:$D$15,3,0)*Z645,"NA")</f>
        <v>NA</v>
      </c>
      <c r="CA645" s="80" t="str">
        <f>IFERROR(VLOOKUP($H645,'1. Set Program Names'!$B$2:$D$15,3,0)*AA645,"NA")</f>
        <v>NA</v>
      </c>
      <c r="CB645" s="80" t="str">
        <f>IFERROR(VLOOKUP($H645,'1. Set Program Names'!$B$2:$D$15,3,0)*AB645,"NA")</f>
        <v>NA</v>
      </c>
      <c r="CC645" s="80" t="str">
        <f>IFERROR(VLOOKUP($H645,'1. Set Program Names'!$B$2:$D$15,3,0)*AC645,"NA")</f>
        <v>NA</v>
      </c>
      <c r="CD645" s="80" t="str">
        <f>IFERROR(VLOOKUP($H645,'1. Set Program Names'!$B$2:$D$15,3,0)*AD645,"NA")</f>
        <v>NA</v>
      </c>
      <c r="CE645" s="80" t="str">
        <f>IFERROR(VLOOKUP($H645,'1. Set Program Names'!$B$2:$D$15,3,0)*AE645,"NA")</f>
        <v>NA</v>
      </c>
    </row>
    <row r="646" spans="1:83" x14ac:dyDescent="0.25">
      <c r="A646" s="79" t="s">
        <v>116</v>
      </c>
      <c r="B646" s="79" t="s">
        <v>88</v>
      </c>
      <c r="C646" s="79" t="s">
        <v>122</v>
      </c>
      <c r="D646" s="79" t="s">
        <v>90</v>
      </c>
      <c r="E646" s="79" t="s">
        <v>91</v>
      </c>
      <c r="F646" s="79" t="s">
        <v>90</v>
      </c>
      <c r="G646" s="79" t="s">
        <v>92</v>
      </c>
      <c r="H646" s="79" t="s">
        <v>268</v>
      </c>
      <c r="I646" s="79" t="s">
        <v>150</v>
      </c>
      <c r="J646" s="79" t="s">
        <v>129</v>
      </c>
      <c r="K646" s="79" t="s">
        <v>102</v>
      </c>
      <c r="L646" s="79">
        <v>56016.9549999999</v>
      </c>
      <c r="M646" s="79">
        <v>10.827112325312299</v>
      </c>
      <c r="N646" s="79">
        <v>1.3517775806744601</v>
      </c>
      <c r="O646" s="79">
        <v>17160.122499999899</v>
      </c>
      <c r="P646" s="79">
        <v>8652.3043908691998</v>
      </c>
      <c r="Q646" s="79">
        <v>56.016954999999903</v>
      </c>
      <c r="R646" s="79">
        <v>30291.5576269993</v>
      </c>
      <c r="S646" s="79">
        <v>71892.064971295098</v>
      </c>
      <c r="T646" s="79">
        <v>20</v>
      </c>
      <c r="U646" s="79">
        <v>1</v>
      </c>
      <c r="V646" s="79">
        <f>tbl_Data_old[[#This Row],[2025 ]]*IFERROR(AVERAGEIFS('Participation Adjustment'!$C:$C,'Participation Adjustment'!$A:$A,$H646,'Participation Adjustment'!$B:$B,$I646),1)</f>
        <v>13.513299407399099</v>
      </c>
      <c r="W646" s="79">
        <f>tbl_Data_old[[#This Row],[2026 ]]*IFERROR(AVERAGEIFS('Participation Adjustment'!$C:$C,'Participation Adjustment'!$A:$A,$H646,'Participation Adjustment'!$B:$B,$I646),1)</f>
        <v>13.324375748014401</v>
      </c>
      <c r="X646" s="79">
        <f>tbl_Data_old[[#This Row],[2027 ]]*IFERROR(AVERAGEIFS('Participation Adjustment'!$C:$C,'Participation Adjustment'!$A:$A,$H646,'Participation Adjustment'!$B:$B,$I646),1)</f>
        <v>13.052038623783</v>
      </c>
      <c r="Y646" s="79">
        <f>tbl_Data_old[[#This Row],[2028 ]]*IFERROR(AVERAGEIFS('Participation Adjustment'!$C:$C,'Participation Adjustment'!$A:$A,$H646,'Participation Adjustment'!$B:$B,$I646),1)</f>
        <v>12.776290045055999</v>
      </c>
      <c r="Z646" s="79">
        <f>tbl_Data_old[[#This Row],[2029 ]]*IFERROR(AVERAGEIFS('Participation Adjustment'!$C:$C,'Participation Adjustment'!$A:$A,$H646,'Participation Adjustment'!$B:$B,$I646),1)</f>
        <v>12.481629365718501</v>
      </c>
      <c r="AA646" s="79">
        <f>tbl_Data_old[[#This Row],[2030 ]]*IFERROR(AVERAGEIFS('Participation Adjustment'!$C:$C,'Participation Adjustment'!$A:$A,$H646,'Participation Adjustment'!$B:$B,$I646),1)</f>
        <v>12.158224909143099</v>
      </c>
      <c r="AB646" s="79">
        <f>tbl_Data_old[[#This Row],[2031 ]]*IFERROR(AVERAGEIFS('Participation Adjustment'!$C:$C,'Participation Adjustment'!$A:$A,$H646,'Participation Adjustment'!$B:$B,$I646),1)</f>
        <v>11.810347623401</v>
      </c>
      <c r="AC646" s="79">
        <f>tbl_Data_old[[#This Row],[2032 ]]*IFERROR(AVERAGEIFS('Participation Adjustment'!$C:$C,'Participation Adjustment'!$A:$A,$H646,'Participation Adjustment'!$B:$B,$I646),1)</f>
        <v>11.464191942319401</v>
      </c>
      <c r="AD646" s="79">
        <f>tbl_Data_old[[#This Row],[2033 ]]*IFERROR(AVERAGEIFS('Participation Adjustment'!$C:$C,'Participation Adjustment'!$A:$A,$H646,'Participation Adjustment'!$B:$B,$I646),1)</f>
        <v>11.1320667098485</v>
      </c>
      <c r="AE646" s="79">
        <f>tbl_Data_old[[#This Row],[2034 ]]*IFERROR(AVERAGEIFS('Participation Adjustment'!$C:$C,'Participation Adjustment'!$A:$A,$H646,'Participation Adjustment'!$B:$B,$I646),1)</f>
        <v>10.790724612418501</v>
      </c>
      <c r="AF646" s="77" t="str">
        <f t="shared" si="253"/>
        <v>NonResidential</v>
      </c>
      <c r="AG646" s="77" t="str">
        <f>tbl_Data[[#This Row],[All_Meas_Name_Append]]</f>
        <v>Infiltration Reduction - Air Sealing</v>
      </c>
      <c r="AH646" s="77">
        <f>AVERAGEIFS('3. Incentive Adjustment'!G:G,'3. Incentive Adjustment'!A:A,tbl_Data[[#This Row],[Trimmed Sector]],'3. Incentive Adjustment'!B:B,tbl_Data[[#This Row],[Trimmed Measure Name]])</f>
        <v>0.66528306579610585</v>
      </c>
      <c r="AI646" s="77">
        <f>$AH646*tbl_Data[[#This Row],[2025 ]]</f>
        <v>8.9901692587751736</v>
      </c>
      <c r="AJ646" s="77">
        <f>$AH646*tbl_Data[[#This Row],[2026 ]]</f>
        <v>8.8644815474583023</v>
      </c>
      <c r="AK646" s="77">
        <f>$AH646*tbl_Data[[#This Row],[2027 ]]</f>
        <v>8.6833002705195401</v>
      </c>
      <c r="AL646" s="77">
        <f>$AH646*tbl_Data[[#This Row],[2028 ]]</f>
        <v>8.4998494106751235</v>
      </c>
      <c r="AM646" s="77">
        <f>$AH646*tbl_Data[[#This Row],[2029 ]]</f>
        <v>8.303816650555909</v>
      </c>
      <c r="AN646" s="77">
        <f>$AH646*tbl_Data[[#This Row],[2030 ]]</f>
        <v>8.0886611421933008</v>
      </c>
      <c r="AO646" s="77">
        <f>$AH646*tbl_Data[[#This Row],[2031 ]]</f>
        <v>7.8572242750139702</v>
      </c>
      <c r="AP646" s="77">
        <f>$AH646*tbl_Data[[#This Row],[2032 ]]</f>
        <v>7.6269327622612648</v>
      </c>
      <c r="AQ646" s="77">
        <f>$AH646*tbl_Data[[#This Row],[2033 ]]</f>
        <v>7.4059754693747797</v>
      </c>
      <c r="AR646" s="77">
        <f>$AH646*tbl_Data[[#This Row],[2034 ]]</f>
        <v>7.1788863523112765</v>
      </c>
      <c r="AS646" s="77">
        <f>SUM(tbl_Data[[#This Row],[Adjusted 2025]:[Adjusted 2034]])</f>
        <v>81.499297139138648</v>
      </c>
      <c r="AT646" s="80">
        <f>AVERAGEIFS('3. Incentive Adjustment'!F:F,'3. Incentive Adjustment'!A:A,tbl_Data[[#This Row],[Trimmed Sector]],'3. Incentive Adjustment'!B:B,tbl_Data[[#This Row],[Trimmed Measure Name]])</f>
        <v>0</v>
      </c>
      <c r="AU646" s="80">
        <f>IFERROR(VLOOKUP(tbl_Data[[#This Row],[All_Meas_Name_Append]],'IRA Tax Credits'!$A$3:$D$46,4,0),0)</f>
        <v>0</v>
      </c>
      <c r="AV646" s="81">
        <f>tbl_Data[[#This Row],[Adj. per unit Incentive ($)]]/tbl_Data[[#This Row],[kWh Savings]]*tbl_Data[[#This Row],[Sum of Annuals]]</f>
        <v>0</v>
      </c>
      <c r="AW646" s="81" t="str">
        <f>IFERROR(VLOOKUP(tbl_Data[[#This Row],[Column1]],'1. Set Program Names'!$B$2:$D$15,3,0)*tbl_Data[[#This Row],[Sum of Annuals]],"")</f>
        <v/>
      </c>
      <c r="AX646" s="81">
        <f>tbl_Data[[#This Row],[per unit IRA tax ($)]]/tbl_Data[[#This Row],[kWh Savings]]*tbl_Data[[#This Row],[Sum of Annuals]]</f>
        <v>0</v>
      </c>
      <c r="AY646" s="81">
        <f>tbl_Data[[#This Row],[Avoided Costs ($/unit)]]/tbl_Data[[#This Row],[kWh Savings]]*tbl_Data[[#This Row],[Sum of Annuals]]</f>
        <v>44.071311192301728</v>
      </c>
      <c r="AZ646" s="81">
        <f>tbl_Data[[#This Row],[Lost Revenue ($/unit)]]/tbl_Data[[#This Row],[kWh Savings]]*tbl_Data[[#This Row],[Sum of Annuals]]</f>
        <v>104.59605962233847</v>
      </c>
      <c r="BA646" s="81">
        <f>tbl_Data[[#This Row],[Incremental Cost ($/unit)]]/tbl_Data[[#This Row],[kWh Savings]]*tbl_Data[[#This Row],[Sum of Annuals]]</f>
        <v>24.966332471508188</v>
      </c>
      <c r="BB646" s="77">
        <f>ROUNDUP(tbl_Data[[#This Row],[Adjusted 2025]]/$L646,0)</f>
        <v>1</v>
      </c>
      <c r="BC646" s="77">
        <f>ROUNDUP(tbl_Data[[#This Row],[Adjusted 2026]]/$L646,0)</f>
        <v>1</v>
      </c>
      <c r="BD646" s="77">
        <f>ROUNDUP(tbl_Data[[#This Row],[Adjusted 2027]]/$L646,0)</f>
        <v>1</v>
      </c>
      <c r="BE646" s="77">
        <f>ROUNDUP(tbl_Data[[#This Row],[Adjusted 2028]]/$L646,0)</f>
        <v>1</v>
      </c>
      <c r="BF646" s="77">
        <f>ROUNDUP(tbl_Data[[#This Row],[Adjusted 2029]]/$L646,0)</f>
        <v>1</v>
      </c>
      <c r="BG646" s="77">
        <f>ROUNDUP(tbl_Data[[#This Row],[Adjusted 2030]]/$L646,0)</f>
        <v>1</v>
      </c>
      <c r="BH646" s="77">
        <f>ROUNDUP(tbl_Data[[#This Row],[Adjusted 2031]]/$L646,0)</f>
        <v>1</v>
      </c>
      <c r="BI646" s="77">
        <f>ROUNDUP(tbl_Data[[#This Row],[Adjusted 2032]]/$L646,0)</f>
        <v>1</v>
      </c>
      <c r="BJ646" s="77">
        <f>ROUNDUP(tbl_Data[[#This Row],[Adjusted 2033]]/$L646,0)</f>
        <v>1</v>
      </c>
      <c r="BK646" s="77">
        <f>ROUNDUP(tbl_Data[[#This Row],[Adjusted 2034]]/$L646,0)</f>
        <v>1</v>
      </c>
      <c r="BL646" s="80">
        <f t="shared" si="254"/>
        <v>0</v>
      </c>
      <c r="BM646" s="80">
        <f t="shared" si="255"/>
        <v>0</v>
      </c>
      <c r="BN646" s="80">
        <f t="shared" si="256"/>
        <v>0</v>
      </c>
      <c r="BO646" s="80">
        <f t="shared" si="257"/>
        <v>0</v>
      </c>
      <c r="BP646" s="80">
        <f t="shared" si="258"/>
        <v>0</v>
      </c>
      <c r="BQ646" s="80">
        <f t="shared" si="259"/>
        <v>0</v>
      </c>
      <c r="BR646" s="80">
        <f t="shared" si="260"/>
        <v>0</v>
      </c>
      <c r="BS646" s="80">
        <f t="shared" si="261"/>
        <v>0</v>
      </c>
      <c r="BT646" s="80">
        <f t="shared" si="262"/>
        <v>0</v>
      </c>
      <c r="BU646" s="80">
        <f t="shared" si="263"/>
        <v>0</v>
      </c>
      <c r="BV646" s="80" t="str">
        <f>IFERROR(VLOOKUP($H646,'1. Set Program Names'!$B$2:$D$15,3,0)*V646,"NA")</f>
        <v>NA</v>
      </c>
      <c r="BW646" s="80" t="str">
        <f>IFERROR(VLOOKUP($H646,'1. Set Program Names'!$B$2:$D$15,3,0)*W646,"NA")</f>
        <v>NA</v>
      </c>
      <c r="BX646" s="80" t="str">
        <f>IFERROR(VLOOKUP($H646,'1. Set Program Names'!$B$2:$D$15,3,0)*X646,"NA")</f>
        <v>NA</v>
      </c>
      <c r="BY646" s="80" t="str">
        <f>IFERROR(VLOOKUP($H646,'1. Set Program Names'!$B$2:$D$15,3,0)*Y646,"NA")</f>
        <v>NA</v>
      </c>
      <c r="BZ646" s="80" t="str">
        <f>IFERROR(VLOOKUP($H646,'1. Set Program Names'!$B$2:$D$15,3,0)*Z646,"NA")</f>
        <v>NA</v>
      </c>
      <c r="CA646" s="80" t="str">
        <f>IFERROR(VLOOKUP($H646,'1. Set Program Names'!$B$2:$D$15,3,0)*AA646,"NA")</f>
        <v>NA</v>
      </c>
      <c r="CB646" s="80" t="str">
        <f>IFERROR(VLOOKUP($H646,'1. Set Program Names'!$B$2:$D$15,3,0)*AB646,"NA")</f>
        <v>NA</v>
      </c>
      <c r="CC646" s="80" t="str">
        <f>IFERROR(VLOOKUP($H646,'1. Set Program Names'!$B$2:$D$15,3,0)*AC646,"NA")</f>
        <v>NA</v>
      </c>
      <c r="CD646" s="80" t="str">
        <f>IFERROR(VLOOKUP($H646,'1. Set Program Names'!$B$2:$D$15,3,0)*AD646,"NA")</f>
        <v>NA</v>
      </c>
      <c r="CE646" s="80" t="str">
        <f>IFERROR(VLOOKUP($H646,'1. Set Program Names'!$B$2:$D$15,3,0)*AE646,"NA")</f>
        <v>NA</v>
      </c>
    </row>
    <row r="647" spans="1:83" x14ac:dyDescent="0.25">
      <c r="A647" s="79" t="s">
        <v>116</v>
      </c>
      <c r="B647" s="79" t="s">
        <v>88</v>
      </c>
      <c r="C647" s="79" t="s">
        <v>122</v>
      </c>
      <c r="D647" s="79" t="s">
        <v>90</v>
      </c>
      <c r="E647" s="79" t="s">
        <v>91</v>
      </c>
      <c r="F647" s="79" t="s">
        <v>90</v>
      </c>
      <c r="G647" s="79" t="s">
        <v>92</v>
      </c>
      <c r="H647" s="79" t="s">
        <v>268</v>
      </c>
      <c r="I647" s="79" t="s">
        <v>269</v>
      </c>
      <c r="J647" s="79" t="s">
        <v>144</v>
      </c>
      <c r="K647" s="79" t="s">
        <v>98</v>
      </c>
      <c r="L647" s="79">
        <v>114.663333333333</v>
      </c>
      <c r="M647" s="79">
        <v>9.9293177507311006E-3</v>
      </c>
      <c r="N647" s="79">
        <v>1.6498275913899602E-2</v>
      </c>
      <c r="O647" s="79">
        <v>32.906666666666602</v>
      </c>
      <c r="P647" s="79">
        <v>12.4845629759592</v>
      </c>
      <c r="Q647" s="79">
        <v>0.11466333333333301</v>
      </c>
      <c r="R647" s="79">
        <v>37.313940517924799</v>
      </c>
      <c r="S647" s="79">
        <v>94.317035346682403</v>
      </c>
      <c r="T647" s="79">
        <v>10</v>
      </c>
      <c r="U647" s="79">
        <v>1</v>
      </c>
      <c r="V647" s="79">
        <f>tbl_Data_old[[#This Row],[2025 ]]*IFERROR(AVERAGEIFS('Participation Adjustment'!$C:$C,'Participation Adjustment'!$A:$A,$H647,'Participation Adjustment'!$B:$B,$I647),1)</f>
        <v>2.7888619302372102</v>
      </c>
      <c r="W647" s="79">
        <f>tbl_Data_old[[#This Row],[2026 ]]*IFERROR(AVERAGEIFS('Participation Adjustment'!$C:$C,'Participation Adjustment'!$A:$A,$H647,'Participation Adjustment'!$B:$B,$I647),1)</f>
        <v>3.8278502813120499</v>
      </c>
      <c r="X647" s="79">
        <f>tbl_Data_old[[#This Row],[2027 ]]*IFERROR(AVERAGEIFS('Participation Adjustment'!$C:$C,'Participation Adjustment'!$A:$A,$H647,'Participation Adjustment'!$B:$B,$I647),1)</f>
        <v>5.09538279218566</v>
      </c>
      <c r="Y647" s="79">
        <f>tbl_Data_old[[#This Row],[2028 ]]*IFERROR(AVERAGEIFS('Participation Adjustment'!$C:$C,'Participation Adjustment'!$A:$A,$H647,'Participation Adjustment'!$B:$B,$I647),1)</f>
        <v>6.5756003481232002</v>
      </c>
      <c r="Z647" s="79">
        <f>tbl_Data_old[[#This Row],[2029 ]]*IFERROR(AVERAGEIFS('Participation Adjustment'!$C:$C,'Participation Adjustment'!$A:$A,$H647,'Participation Adjustment'!$B:$B,$I647),1)</f>
        <v>8.1474708363051107</v>
      </c>
      <c r="AA647" s="79">
        <f>tbl_Data_old[[#This Row],[2030 ]]*IFERROR(AVERAGEIFS('Participation Adjustment'!$C:$C,'Participation Adjustment'!$A:$A,$H647,'Participation Adjustment'!$B:$B,$I647),1)</f>
        <v>9.5672494450344505</v>
      </c>
      <c r="AB647" s="79">
        <f>tbl_Data_old[[#This Row],[2031 ]]*IFERROR(AVERAGEIFS('Participation Adjustment'!$C:$C,'Participation Adjustment'!$A:$A,$H647,'Participation Adjustment'!$B:$B,$I647),1)</f>
        <v>10.5175162275159</v>
      </c>
      <c r="AC647" s="79">
        <f>tbl_Data_old[[#This Row],[2032 ]]*IFERROR(AVERAGEIFS('Participation Adjustment'!$C:$C,'Participation Adjustment'!$A:$A,$H647,'Participation Adjustment'!$B:$B,$I647),1)</f>
        <v>10.7006583902429</v>
      </c>
      <c r="AD647" s="79">
        <f>tbl_Data_old[[#This Row],[2033 ]]*IFERROR(AVERAGEIFS('Participation Adjustment'!$C:$C,'Participation Adjustment'!$A:$A,$H647,'Participation Adjustment'!$B:$B,$I647),1)</f>
        <v>9.9661605990889903</v>
      </c>
      <c r="AE647" s="79">
        <f>tbl_Data_old[[#This Row],[2034 ]]*IFERROR(AVERAGEIFS('Participation Adjustment'!$C:$C,'Participation Adjustment'!$A:$A,$H647,'Participation Adjustment'!$B:$B,$I647),1)</f>
        <v>8.4624787118202498</v>
      </c>
      <c r="AF647" s="77" t="str">
        <f t="shared" si="253"/>
        <v>NonResidential</v>
      </c>
      <c r="AG647" s="77" t="str">
        <f>tbl_Data[[#This Row],[All_Meas_Name_Append]]</f>
        <v>Low Flow Shower Head</v>
      </c>
      <c r="AH647" s="77">
        <f>AVERAGEIFS('3. Incentive Adjustment'!G:G,'3. Incentive Adjustment'!A:A,tbl_Data[[#This Row],[Trimmed Sector]],'3. Incentive Adjustment'!B:B,tbl_Data[[#This Row],[Trimmed Measure Name]])</f>
        <v>0.75029954061989002</v>
      </c>
      <c r="AI647" s="77">
        <f>$AH647*tbl_Data[[#This Row],[2025 ]]</f>
        <v>2.0924818251092785</v>
      </c>
      <c r="AJ647" s="77">
        <f>$AH647*tbl_Data[[#This Row],[2026 ]]</f>
        <v>2.8720343076301478</v>
      </c>
      <c r="AK647" s="77">
        <f>$AH647*tbl_Data[[#This Row],[2027 ]]</f>
        <v>3.8230633682593931</v>
      </c>
      <c r="AL647" s="77">
        <f>$AH647*tbl_Data[[#This Row],[2028 ]]</f>
        <v>4.9336699204968255</v>
      </c>
      <c r="AM647" s="77">
        <f>$AH647*tbl_Data[[#This Row],[2029 ]]</f>
        <v>6.1130436256936758</v>
      </c>
      <c r="AN647" s="77">
        <f>$AH647*tbl_Data[[#This Row],[2030 ]]</f>
        <v>7.1783028636052455</v>
      </c>
      <c r="AO647" s="77">
        <f>$AH647*tbl_Data[[#This Row],[2031 ]]</f>
        <v>7.8912875939674185</v>
      </c>
      <c r="AP647" s="77">
        <f>$AH647*tbl_Data[[#This Row],[2032 ]]</f>
        <v>8.0286990745296194</v>
      </c>
      <c r="AQ647" s="77">
        <f>$AH647*tbl_Data[[#This Row],[2033 ]]</f>
        <v>7.4776057192405174</v>
      </c>
      <c r="AR647" s="77">
        <f>$AH647*tbl_Data[[#This Row],[2034 ]]</f>
        <v>6.3493938899843316</v>
      </c>
      <c r="AS647" s="77">
        <f>SUM(tbl_Data[[#This Row],[Adjusted 2025]:[Adjusted 2034]])</f>
        <v>56.759582188516454</v>
      </c>
      <c r="AT647" s="80">
        <f>AVERAGEIFS('3. Incentive Adjustment'!F:F,'3. Incentive Adjustment'!A:A,tbl_Data[[#This Row],[Trimmed Sector]],'3. Incentive Adjustment'!B:B,tbl_Data[[#This Row],[Trimmed Measure Name]])</f>
        <v>0</v>
      </c>
      <c r="AU647" s="80">
        <f>IFERROR(VLOOKUP(tbl_Data[[#This Row],[All_Meas_Name_Append]],'IRA Tax Credits'!$A$3:$D$46,4,0),0)</f>
        <v>0</v>
      </c>
      <c r="AV647" s="81">
        <f>tbl_Data[[#This Row],[Adj. per unit Incentive ($)]]/tbl_Data[[#This Row],[kWh Savings]]*tbl_Data[[#This Row],[Sum of Annuals]]</f>
        <v>0</v>
      </c>
      <c r="AW647" s="81" t="str">
        <f>IFERROR(VLOOKUP(tbl_Data[[#This Row],[Column1]],'1. Set Program Names'!$B$2:$D$15,3,0)*tbl_Data[[#This Row],[Sum of Annuals]],"")</f>
        <v/>
      </c>
      <c r="AX647" s="81">
        <f>tbl_Data[[#This Row],[per unit IRA tax ($)]]/tbl_Data[[#This Row],[kWh Savings]]*tbl_Data[[#This Row],[Sum of Annuals]]</f>
        <v>0</v>
      </c>
      <c r="AY647" s="81">
        <f>tbl_Data[[#This Row],[Avoided Costs ($/unit)]]/tbl_Data[[#This Row],[kWh Savings]]*tbl_Data[[#This Row],[Sum of Annuals]]</f>
        <v>18.470801537293873</v>
      </c>
      <c r="AZ647" s="81">
        <f>tbl_Data[[#This Row],[Lost Revenue ($/unit)]]/tbl_Data[[#This Row],[kWh Savings]]*tbl_Data[[#This Row],[Sum of Annuals]]</f>
        <v>46.687946040907413</v>
      </c>
      <c r="BA647" s="81">
        <f>tbl_Data[[#This Row],[Incremental Cost ($/unit)]]/tbl_Data[[#This Row],[kWh Savings]]*tbl_Data[[#This Row],[Sum of Annuals]]</f>
        <v>16.289153619728335</v>
      </c>
      <c r="BB647" s="77">
        <f>ROUNDUP(tbl_Data[[#This Row],[Adjusted 2025]]/$L647,0)</f>
        <v>1</v>
      </c>
      <c r="BC647" s="77">
        <f>ROUNDUP(tbl_Data[[#This Row],[Adjusted 2026]]/$L647,0)</f>
        <v>1</v>
      </c>
      <c r="BD647" s="77">
        <f>ROUNDUP(tbl_Data[[#This Row],[Adjusted 2027]]/$L647,0)</f>
        <v>1</v>
      </c>
      <c r="BE647" s="77">
        <f>ROUNDUP(tbl_Data[[#This Row],[Adjusted 2028]]/$L647,0)</f>
        <v>1</v>
      </c>
      <c r="BF647" s="77">
        <f>ROUNDUP(tbl_Data[[#This Row],[Adjusted 2029]]/$L647,0)</f>
        <v>1</v>
      </c>
      <c r="BG647" s="77">
        <f>ROUNDUP(tbl_Data[[#This Row],[Adjusted 2030]]/$L647,0)</f>
        <v>1</v>
      </c>
      <c r="BH647" s="77">
        <f>ROUNDUP(tbl_Data[[#This Row],[Adjusted 2031]]/$L647,0)</f>
        <v>1</v>
      </c>
      <c r="BI647" s="77">
        <f>ROUNDUP(tbl_Data[[#This Row],[Adjusted 2032]]/$L647,0)</f>
        <v>1</v>
      </c>
      <c r="BJ647" s="77">
        <f>ROUNDUP(tbl_Data[[#This Row],[Adjusted 2033]]/$L647,0)</f>
        <v>1</v>
      </c>
      <c r="BK647" s="77">
        <f>ROUNDUP(tbl_Data[[#This Row],[Adjusted 2034]]/$L647,0)</f>
        <v>1</v>
      </c>
      <c r="BL647" s="80">
        <f t="shared" si="254"/>
        <v>0</v>
      </c>
      <c r="BM647" s="80">
        <f t="shared" si="255"/>
        <v>0</v>
      </c>
      <c r="BN647" s="80">
        <f t="shared" si="256"/>
        <v>0</v>
      </c>
      <c r="BO647" s="80">
        <f t="shared" si="257"/>
        <v>0</v>
      </c>
      <c r="BP647" s="80">
        <f t="shared" si="258"/>
        <v>0</v>
      </c>
      <c r="BQ647" s="80">
        <f t="shared" si="259"/>
        <v>0</v>
      </c>
      <c r="BR647" s="80">
        <f t="shared" si="260"/>
        <v>0</v>
      </c>
      <c r="BS647" s="80">
        <f t="shared" si="261"/>
        <v>0</v>
      </c>
      <c r="BT647" s="80">
        <f t="shared" si="262"/>
        <v>0</v>
      </c>
      <c r="BU647" s="80">
        <f t="shared" si="263"/>
        <v>0</v>
      </c>
      <c r="BV647" s="80" t="str">
        <f>IFERROR(VLOOKUP($H647,'1. Set Program Names'!$B$2:$D$15,3,0)*V647,"NA")</f>
        <v>NA</v>
      </c>
      <c r="BW647" s="80" t="str">
        <f>IFERROR(VLOOKUP($H647,'1. Set Program Names'!$B$2:$D$15,3,0)*W647,"NA")</f>
        <v>NA</v>
      </c>
      <c r="BX647" s="80" t="str">
        <f>IFERROR(VLOOKUP($H647,'1. Set Program Names'!$B$2:$D$15,3,0)*X647,"NA")</f>
        <v>NA</v>
      </c>
      <c r="BY647" s="80" t="str">
        <f>IFERROR(VLOOKUP($H647,'1. Set Program Names'!$B$2:$D$15,3,0)*Y647,"NA")</f>
        <v>NA</v>
      </c>
      <c r="BZ647" s="80" t="str">
        <f>IFERROR(VLOOKUP($H647,'1. Set Program Names'!$B$2:$D$15,3,0)*Z647,"NA")</f>
        <v>NA</v>
      </c>
      <c r="CA647" s="80" t="str">
        <f>IFERROR(VLOOKUP($H647,'1. Set Program Names'!$B$2:$D$15,3,0)*AA647,"NA")</f>
        <v>NA</v>
      </c>
      <c r="CB647" s="80" t="str">
        <f>IFERROR(VLOOKUP($H647,'1. Set Program Names'!$B$2:$D$15,3,0)*AB647,"NA")</f>
        <v>NA</v>
      </c>
      <c r="CC647" s="80" t="str">
        <f>IFERROR(VLOOKUP($H647,'1. Set Program Names'!$B$2:$D$15,3,0)*AC647,"NA")</f>
        <v>NA</v>
      </c>
      <c r="CD647" s="80" t="str">
        <f>IFERROR(VLOOKUP($H647,'1. Set Program Names'!$B$2:$D$15,3,0)*AD647,"NA")</f>
        <v>NA</v>
      </c>
      <c r="CE647" s="80" t="str">
        <f>IFERROR(VLOOKUP($H647,'1. Set Program Names'!$B$2:$D$15,3,0)*AE647,"NA")</f>
        <v>NA</v>
      </c>
    </row>
    <row r="648" spans="1:83" x14ac:dyDescent="0.25">
      <c r="A648" s="79" t="s">
        <v>116</v>
      </c>
      <c r="B648" s="79" t="s">
        <v>88</v>
      </c>
      <c r="C648" s="79" t="s">
        <v>122</v>
      </c>
      <c r="D648" s="79" t="s">
        <v>90</v>
      </c>
      <c r="E648" s="79" t="s">
        <v>91</v>
      </c>
      <c r="F648" s="79" t="s">
        <v>90</v>
      </c>
      <c r="G648" s="79" t="s">
        <v>92</v>
      </c>
      <c r="H648" s="79" t="s">
        <v>268</v>
      </c>
      <c r="I648" s="79" t="s">
        <v>151</v>
      </c>
      <c r="J648" s="79" t="s">
        <v>137</v>
      </c>
      <c r="K648" s="79" t="s">
        <v>152</v>
      </c>
      <c r="L648" s="79">
        <v>746</v>
      </c>
      <c r="M648" s="79">
        <v>0.118390986607413</v>
      </c>
      <c r="N648" s="79">
        <v>0.122042488273403</v>
      </c>
      <c r="O648" s="79">
        <v>233.28</v>
      </c>
      <c r="P648" s="79">
        <v>79.822614261305304</v>
      </c>
      <c r="Q648" s="79">
        <v>0.746</v>
      </c>
      <c r="R648" s="79">
        <v>287.47532526616499</v>
      </c>
      <c r="S648" s="79">
        <v>613.62692260203801</v>
      </c>
      <c r="T648" s="79">
        <v>10</v>
      </c>
      <c r="U648" s="79">
        <v>1</v>
      </c>
      <c r="V648" s="79">
        <f>tbl_Data_old[[#This Row],[2025 ]]*IFERROR(AVERAGEIFS('Participation Adjustment'!$C:$C,'Participation Adjustment'!$A:$A,$H648,'Participation Adjustment'!$B:$B,$I648),1)</f>
        <v>4.1293706852370304</v>
      </c>
      <c r="W648" s="79">
        <f>tbl_Data_old[[#This Row],[2026 ]]*IFERROR(AVERAGEIFS('Participation Adjustment'!$C:$C,'Participation Adjustment'!$A:$A,$H648,'Participation Adjustment'!$B:$B,$I648),1)</f>
        <v>4.93407117958707</v>
      </c>
      <c r="X648" s="79">
        <f>tbl_Data_old[[#This Row],[2027 ]]*IFERROR(AVERAGEIFS('Participation Adjustment'!$C:$C,'Participation Adjustment'!$A:$A,$H648,'Participation Adjustment'!$B:$B,$I648),1)</f>
        <v>5.7969245040530302</v>
      </c>
      <c r="Y648" s="79">
        <f>tbl_Data_old[[#This Row],[2028 ]]*IFERROR(AVERAGEIFS('Participation Adjustment'!$C:$C,'Participation Adjustment'!$A:$A,$H648,'Participation Adjustment'!$B:$B,$I648),1)</f>
        <v>6.7404169454634504</v>
      </c>
      <c r="Z648" s="79">
        <f>tbl_Data_old[[#This Row],[2029 ]]*IFERROR(AVERAGEIFS('Participation Adjustment'!$C:$C,'Participation Adjustment'!$A:$A,$H648,'Participation Adjustment'!$B:$B,$I648),1)</f>
        <v>7.7510795498222897</v>
      </c>
      <c r="AA648" s="79">
        <f>tbl_Data_old[[#This Row],[2030 ]]*IFERROR(AVERAGEIFS('Participation Adjustment'!$C:$C,'Participation Adjustment'!$A:$A,$H648,'Participation Adjustment'!$B:$B,$I648),1)</f>
        <v>8.8015111159421497</v>
      </c>
      <c r="AB648" s="79">
        <f>tbl_Data_old[[#This Row],[2031 ]]*IFERROR(AVERAGEIFS('Participation Adjustment'!$C:$C,'Participation Adjustment'!$A:$A,$H648,'Participation Adjustment'!$B:$B,$I648),1)</f>
        <v>9.8781735230443797</v>
      </c>
      <c r="AC648" s="79">
        <f>tbl_Data_old[[#This Row],[2032 ]]*IFERROR(AVERAGEIFS('Participation Adjustment'!$C:$C,'Participation Adjustment'!$A:$A,$H648,'Participation Adjustment'!$B:$B,$I648),1)</f>
        <v>10.981908427132501</v>
      </c>
      <c r="AD648" s="79">
        <f>tbl_Data_old[[#This Row],[2033 ]]*IFERROR(AVERAGEIFS('Participation Adjustment'!$C:$C,'Participation Adjustment'!$A:$A,$H648,'Participation Adjustment'!$B:$B,$I648),1)</f>
        <v>12.0957553331054</v>
      </c>
      <c r="AE648" s="79">
        <f>tbl_Data_old[[#This Row],[2034 ]]*IFERROR(AVERAGEIFS('Participation Adjustment'!$C:$C,'Participation Adjustment'!$A:$A,$H648,'Participation Adjustment'!$B:$B,$I648),1)</f>
        <v>13.1948161717792</v>
      </c>
      <c r="AF648" s="77" t="str">
        <f t="shared" si="253"/>
        <v>NonResidential</v>
      </c>
      <c r="AG648" s="77" t="str">
        <f>tbl_Data[[#This Row],[All_Meas_Name_Append]]</f>
        <v>Ozone Laundry Commercial</v>
      </c>
      <c r="AH648" s="77">
        <f>AVERAGEIFS('3. Incentive Adjustment'!G:G,'3. Incentive Adjustment'!A:A,tbl_Data[[#This Row],[Trimmed Sector]],'3. Incentive Adjustment'!B:B,tbl_Data[[#This Row],[Trimmed Measure Name]])</f>
        <v>0.75402928491932286</v>
      </c>
      <c r="AI648" s="77">
        <f>$AH648*tbl_Data[[#This Row],[2025 ]]</f>
        <v>3.1136664249560924</v>
      </c>
      <c r="AJ648" s="77">
        <f>$AH648*tbl_Data[[#This Row],[2026 ]]</f>
        <v>3.7204341632850784</v>
      </c>
      <c r="AK648" s="77">
        <f>$AH648*tbl_Data[[#This Row],[2027 ]]</f>
        <v>4.3710508385224065</v>
      </c>
      <c r="AL648" s="77">
        <f>$AH648*tbl_Data[[#This Row],[2028 ]]</f>
        <v>5.0824717694458919</v>
      </c>
      <c r="AM648" s="77">
        <f>$AH648*tbl_Data[[#This Row],[2029 ]]</f>
        <v>5.844540970305288</v>
      </c>
      <c r="AN648" s="77">
        <f>$AH648*tbl_Data[[#This Row],[2030 ]]</f>
        <v>6.6365971329633302</v>
      </c>
      <c r="AO648" s="77">
        <f>$AH648*tbl_Data[[#This Row],[2031 ]]</f>
        <v>7.4484321178901416</v>
      </c>
      <c r="AP648" s="77">
        <f>$AH648*tbl_Data[[#This Row],[2032 ]]</f>
        <v>8.2806805583602046</v>
      </c>
      <c r="AQ648" s="77">
        <f>$AH648*tbl_Data[[#This Row],[2033 ]]</f>
        <v>9.1205537443805511</v>
      </c>
      <c r="AR648" s="77">
        <f>$AH648*tbl_Data[[#This Row],[2034 ]]</f>
        <v>9.949277802648588</v>
      </c>
      <c r="AS648" s="77">
        <f>SUM(tbl_Data[[#This Row],[Adjusted 2025]:[Adjusted 2034]])</f>
        <v>63.567705522757571</v>
      </c>
      <c r="AT648" s="80">
        <f>AVERAGEIFS('3. Incentive Adjustment'!F:F,'3. Incentive Adjustment'!A:A,tbl_Data[[#This Row],[Trimmed Sector]],'3. Incentive Adjustment'!B:B,tbl_Data[[#This Row],[Trimmed Measure Name]])</f>
        <v>0</v>
      </c>
      <c r="AU648" s="80">
        <f>IFERROR(VLOOKUP(tbl_Data[[#This Row],[All_Meas_Name_Append]],'IRA Tax Credits'!$A$3:$D$46,4,0),0)</f>
        <v>0</v>
      </c>
      <c r="AV648" s="81">
        <f>tbl_Data[[#This Row],[Adj. per unit Incentive ($)]]/tbl_Data[[#This Row],[kWh Savings]]*tbl_Data[[#This Row],[Sum of Annuals]]</f>
        <v>0</v>
      </c>
      <c r="AW648" s="81" t="str">
        <f>IFERROR(VLOOKUP(tbl_Data[[#This Row],[Column1]],'1. Set Program Names'!$B$2:$D$15,3,0)*tbl_Data[[#This Row],[Sum of Annuals]],"")</f>
        <v/>
      </c>
      <c r="AX648" s="81">
        <f>tbl_Data[[#This Row],[per unit IRA tax ($)]]/tbl_Data[[#This Row],[kWh Savings]]*tbl_Data[[#This Row],[Sum of Annuals]]</f>
        <v>0</v>
      </c>
      <c r="AY648" s="81">
        <f>tbl_Data[[#This Row],[Avoided Costs ($/unit)]]/tbl_Data[[#This Row],[kWh Savings]]*tbl_Data[[#This Row],[Sum of Annuals]]</f>
        <v>24.49617536404628</v>
      </c>
      <c r="AZ648" s="81">
        <f>tbl_Data[[#This Row],[Lost Revenue ($/unit)]]/tbl_Data[[#This Row],[kWh Savings]]*tbl_Data[[#This Row],[Sum of Annuals]]</f>
        <v>52.288010076142498</v>
      </c>
      <c r="BA648" s="81">
        <f>tbl_Data[[#This Row],[Incremental Cost ($/unit)]]/tbl_Data[[#This Row],[kWh Savings]]*tbl_Data[[#This Row],[Sum of Annuals]]</f>
        <v>19.878115743095023</v>
      </c>
      <c r="BB648" s="77">
        <f>ROUNDUP(tbl_Data[[#This Row],[Adjusted 2025]]/$L648,0)</f>
        <v>1</v>
      </c>
      <c r="BC648" s="77">
        <f>ROUNDUP(tbl_Data[[#This Row],[Adjusted 2026]]/$L648,0)</f>
        <v>1</v>
      </c>
      <c r="BD648" s="77">
        <f>ROUNDUP(tbl_Data[[#This Row],[Adjusted 2027]]/$L648,0)</f>
        <v>1</v>
      </c>
      <c r="BE648" s="77">
        <f>ROUNDUP(tbl_Data[[#This Row],[Adjusted 2028]]/$L648,0)</f>
        <v>1</v>
      </c>
      <c r="BF648" s="77">
        <f>ROUNDUP(tbl_Data[[#This Row],[Adjusted 2029]]/$L648,0)</f>
        <v>1</v>
      </c>
      <c r="BG648" s="77">
        <f>ROUNDUP(tbl_Data[[#This Row],[Adjusted 2030]]/$L648,0)</f>
        <v>1</v>
      </c>
      <c r="BH648" s="77">
        <f>ROUNDUP(tbl_Data[[#This Row],[Adjusted 2031]]/$L648,0)</f>
        <v>1</v>
      </c>
      <c r="BI648" s="77">
        <f>ROUNDUP(tbl_Data[[#This Row],[Adjusted 2032]]/$L648,0)</f>
        <v>1</v>
      </c>
      <c r="BJ648" s="77">
        <f>ROUNDUP(tbl_Data[[#This Row],[Adjusted 2033]]/$L648,0)</f>
        <v>1</v>
      </c>
      <c r="BK648" s="77">
        <f>ROUNDUP(tbl_Data[[#This Row],[Adjusted 2034]]/$L648,0)</f>
        <v>1</v>
      </c>
      <c r="BL648" s="80">
        <f t="shared" si="254"/>
        <v>0</v>
      </c>
      <c r="BM648" s="80">
        <f t="shared" si="255"/>
        <v>0</v>
      </c>
      <c r="BN648" s="80">
        <f t="shared" si="256"/>
        <v>0</v>
      </c>
      <c r="BO648" s="80">
        <f t="shared" si="257"/>
        <v>0</v>
      </c>
      <c r="BP648" s="80">
        <f t="shared" si="258"/>
        <v>0</v>
      </c>
      <c r="BQ648" s="80">
        <f t="shared" si="259"/>
        <v>0</v>
      </c>
      <c r="BR648" s="80">
        <f t="shared" si="260"/>
        <v>0</v>
      </c>
      <c r="BS648" s="80">
        <f t="shared" si="261"/>
        <v>0</v>
      </c>
      <c r="BT648" s="80">
        <f t="shared" si="262"/>
        <v>0</v>
      </c>
      <c r="BU648" s="80">
        <f t="shared" si="263"/>
        <v>0</v>
      </c>
      <c r="BV648" s="80" t="str">
        <f>IFERROR(VLOOKUP($H648,'1. Set Program Names'!$B$2:$D$15,3,0)*V648,"NA")</f>
        <v>NA</v>
      </c>
      <c r="BW648" s="80" t="str">
        <f>IFERROR(VLOOKUP($H648,'1. Set Program Names'!$B$2:$D$15,3,0)*W648,"NA")</f>
        <v>NA</v>
      </c>
      <c r="BX648" s="80" t="str">
        <f>IFERROR(VLOOKUP($H648,'1. Set Program Names'!$B$2:$D$15,3,0)*X648,"NA")</f>
        <v>NA</v>
      </c>
      <c r="BY648" s="80" t="str">
        <f>IFERROR(VLOOKUP($H648,'1. Set Program Names'!$B$2:$D$15,3,0)*Y648,"NA")</f>
        <v>NA</v>
      </c>
      <c r="BZ648" s="80" t="str">
        <f>IFERROR(VLOOKUP($H648,'1. Set Program Names'!$B$2:$D$15,3,0)*Z648,"NA")</f>
        <v>NA</v>
      </c>
      <c r="CA648" s="80" t="str">
        <f>IFERROR(VLOOKUP($H648,'1. Set Program Names'!$B$2:$D$15,3,0)*AA648,"NA")</f>
        <v>NA</v>
      </c>
      <c r="CB648" s="80" t="str">
        <f>IFERROR(VLOOKUP($H648,'1. Set Program Names'!$B$2:$D$15,3,0)*AB648,"NA")</f>
        <v>NA</v>
      </c>
      <c r="CC648" s="80" t="str">
        <f>IFERROR(VLOOKUP($H648,'1. Set Program Names'!$B$2:$D$15,3,0)*AC648,"NA")</f>
        <v>NA</v>
      </c>
      <c r="CD648" s="80" t="str">
        <f>IFERROR(VLOOKUP($H648,'1. Set Program Names'!$B$2:$D$15,3,0)*AD648,"NA")</f>
        <v>NA</v>
      </c>
      <c r="CE648" s="80" t="str">
        <f>IFERROR(VLOOKUP($H648,'1. Set Program Names'!$B$2:$D$15,3,0)*AE648,"NA")</f>
        <v>NA</v>
      </c>
    </row>
    <row r="649" spans="1:83" x14ac:dyDescent="0.25">
      <c r="A649" s="79" t="s">
        <v>116</v>
      </c>
      <c r="B649" s="79" t="s">
        <v>88</v>
      </c>
      <c r="C649" s="79" t="s">
        <v>122</v>
      </c>
      <c r="D649" s="79" t="s">
        <v>90</v>
      </c>
      <c r="E649" s="79" t="s">
        <v>91</v>
      </c>
      <c r="F649" s="79" t="s">
        <v>90</v>
      </c>
      <c r="G649" s="79" t="s">
        <v>92</v>
      </c>
      <c r="H649" s="79" t="s">
        <v>268</v>
      </c>
      <c r="I649" s="79" t="s">
        <v>153</v>
      </c>
      <c r="J649" s="79" t="s">
        <v>129</v>
      </c>
      <c r="K649" s="79" t="s">
        <v>102</v>
      </c>
      <c r="L649" s="79">
        <v>1285.73999999999</v>
      </c>
      <c r="M649" s="79">
        <v>0.191067583335012</v>
      </c>
      <c r="N649" s="79">
        <v>3.6175165669598698E-2</v>
      </c>
      <c r="O649" s="79">
        <v>304.38999999999902</v>
      </c>
      <c r="P649" s="79">
        <v>39.904344316796902</v>
      </c>
      <c r="Q649" s="79">
        <v>1.2857399999999899</v>
      </c>
      <c r="R649" s="79">
        <v>497.118469789904</v>
      </c>
      <c r="S649" s="79">
        <v>1133.43981342083</v>
      </c>
      <c r="T649" s="79">
        <v>11</v>
      </c>
      <c r="U649" s="79">
        <v>1</v>
      </c>
      <c r="V649" s="79">
        <f>tbl_Data_old[[#This Row],[2025 ]]*IFERROR(AVERAGEIFS('Participation Adjustment'!$C:$C,'Participation Adjustment'!$A:$A,$H649,'Participation Adjustment'!$B:$B,$I649),1)</f>
        <v>6.2140055386725901E-2</v>
      </c>
      <c r="W649" s="79">
        <f>tbl_Data_old[[#This Row],[2026 ]]*IFERROR(AVERAGEIFS('Participation Adjustment'!$C:$C,'Participation Adjustment'!$A:$A,$H649,'Participation Adjustment'!$B:$B,$I649),1)</f>
        <v>5.1766527072284498E-2</v>
      </c>
      <c r="X649" s="79">
        <f>tbl_Data_old[[#This Row],[2027 ]]*IFERROR(AVERAGEIFS('Participation Adjustment'!$C:$C,'Participation Adjustment'!$A:$A,$H649,'Participation Adjustment'!$B:$B,$I649),1)</f>
        <v>4.2734658380451498E-2</v>
      </c>
      <c r="Y649" s="79">
        <f>tbl_Data_old[[#This Row],[2028 ]]*IFERROR(AVERAGEIFS('Participation Adjustment'!$C:$C,'Participation Adjustment'!$A:$A,$H649,'Participation Adjustment'!$B:$B,$I649),1)</f>
        <v>3.5289120251729103E-2</v>
      </c>
      <c r="Z649" s="79">
        <f>tbl_Data_old[[#This Row],[2029 ]]*IFERROR(AVERAGEIFS('Participation Adjustment'!$C:$C,'Participation Adjustment'!$A:$A,$H649,'Participation Adjustment'!$B:$B,$I649),1)</f>
        <v>2.9168419385877199E-2</v>
      </c>
      <c r="AA649" s="79">
        <f>tbl_Data_old[[#This Row],[2030 ]]*IFERROR(AVERAGEIFS('Participation Adjustment'!$C:$C,'Participation Adjustment'!$A:$A,$H649,'Participation Adjustment'!$B:$B,$I649),1)</f>
        <v>2.4128329077046401E-2</v>
      </c>
      <c r="AB649" s="79">
        <f>tbl_Data_old[[#This Row],[2031 ]]*IFERROR(AVERAGEIFS('Participation Adjustment'!$C:$C,'Participation Adjustment'!$A:$A,$H649,'Participation Adjustment'!$B:$B,$I649),1)</f>
        <v>2.0007854961234198E-2</v>
      </c>
      <c r="AC649" s="79">
        <f>tbl_Data_old[[#This Row],[2032 ]]*IFERROR(AVERAGEIFS('Participation Adjustment'!$C:$C,'Participation Adjustment'!$A:$A,$H649,'Participation Adjustment'!$B:$B,$I649),1)</f>
        <v>1.6680116861710802E-2</v>
      </c>
      <c r="AD649" s="79">
        <f>tbl_Data_old[[#This Row],[2033 ]]*IFERROR(AVERAGEIFS('Participation Adjustment'!$C:$C,'Participation Adjustment'!$A:$A,$H649,'Participation Adjustment'!$B:$B,$I649),1)</f>
        <v>1.4019818142755399E-2</v>
      </c>
      <c r="AE649" s="79">
        <f>tbl_Data_old[[#This Row],[2034 ]]*IFERROR(AVERAGEIFS('Participation Adjustment'!$C:$C,'Participation Adjustment'!$A:$A,$H649,'Participation Adjustment'!$B:$B,$I649),1)</f>
        <v>1.1863827876103E-2</v>
      </c>
      <c r="AF649" s="77" t="str">
        <f t="shared" si="253"/>
        <v>NonResidential</v>
      </c>
      <c r="AG649" s="77" t="str">
        <f>tbl_Data[[#This Row],[All_Meas_Name_Append]]</f>
        <v>Programmable thermostat</v>
      </c>
      <c r="AH649" s="77">
        <f>AVERAGEIFS('3. Incentive Adjustment'!G:G,'3. Incentive Adjustment'!A:A,tbl_Data[[#This Row],[Trimmed Sector]],'3. Incentive Adjustment'!B:B,tbl_Data[[#This Row],[Trimmed Measure Name]])</f>
        <v>0.92137383531364503</v>
      </c>
      <c r="AI649" s="77">
        <f>$AH649*tbl_Data[[#This Row],[2025 ]]</f>
        <v>5.7254221158269968E-2</v>
      </c>
      <c r="AJ649" s="77">
        <f>$AH649*tbl_Data[[#This Row],[2026 ]]</f>
        <v>4.7696323589458405E-2</v>
      </c>
      <c r="AK649" s="77">
        <f>$AH649*tbl_Data[[#This Row],[2027 ]]</f>
        <v>3.9374596092814997E-2</v>
      </c>
      <c r="AL649" s="77">
        <f>$AH649*tbl_Data[[#This Row],[2028 ]]</f>
        <v>3.2514472071180064E-2</v>
      </c>
      <c r="AM649" s="77">
        <f>$AH649*tbl_Data[[#This Row],[2029 ]]</f>
        <v>2.6875018439602549E-2</v>
      </c>
      <c r="AN649" s="77">
        <f>$AH649*tbl_Data[[#This Row],[2030 ]]</f>
        <v>2.2231211101427985E-2</v>
      </c>
      <c r="AO649" s="77">
        <f>$AH649*tbl_Data[[#This Row],[2031 ]]</f>
        <v>1.8434714062031492E-2</v>
      </c>
      <c r="AP649" s="77">
        <f>$AH649*tbl_Data[[#This Row],[2032 ]]</f>
        <v>1.5368623246354282E-2</v>
      </c>
      <c r="AQ649" s="77">
        <f>$AH649*tbl_Data[[#This Row],[2033 ]]</f>
        <v>1.2917493612590366E-2</v>
      </c>
      <c r="AR649" s="77">
        <f>$AH649*tbl_Data[[#This Row],[2034 ]]</f>
        <v>1.0931020591705956E-2</v>
      </c>
      <c r="AS649" s="77">
        <f>SUM(tbl_Data[[#This Row],[Adjusted 2025]:[Adjusted 2034]])</f>
        <v>0.2835976939654361</v>
      </c>
      <c r="AT649" s="80">
        <f>AVERAGEIFS('3. Incentive Adjustment'!F:F,'3. Incentive Adjustment'!A:A,tbl_Data[[#This Row],[Trimmed Sector]],'3. Incentive Adjustment'!B:B,tbl_Data[[#This Row],[Trimmed Measure Name]])</f>
        <v>0</v>
      </c>
      <c r="AU649" s="80">
        <f>IFERROR(VLOOKUP(tbl_Data[[#This Row],[All_Meas_Name_Append]],'IRA Tax Credits'!$A$3:$D$46,4,0),0)</f>
        <v>0</v>
      </c>
      <c r="AV649" s="81">
        <f>tbl_Data[[#This Row],[Adj. per unit Incentive ($)]]/tbl_Data[[#This Row],[kWh Savings]]*tbl_Data[[#This Row],[Sum of Annuals]]</f>
        <v>0</v>
      </c>
      <c r="AW649" s="81" t="str">
        <f>IFERROR(VLOOKUP(tbl_Data[[#This Row],[Column1]],'1. Set Program Names'!$B$2:$D$15,3,0)*tbl_Data[[#This Row],[Sum of Annuals]],"")</f>
        <v/>
      </c>
      <c r="AX649" s="81">
        <f>tbl_Data[[#This Row],[per unit IRA tax ($)]]/tbl_Data[[#This Row],[kWh Savings]]*tbl_Data[[#This Row],[Sum of Annuals]]</f>
        <v>0</v>
      </c>
      <c r="AY649" s="81">
        <f>tbl_Data[[#This Row],[Avoided Costs ($/unit)]]/tbl_Data[[#This Row],[kWh Savings]]*tbl_Data[[#This Row],[Sum of Annuals]]</f>
        <v>0.10965020273153529</v>
      </c>
      <c r="AZ649" s="81">
        <f>tbl_Data[[#This Row],[Lost Revenue ($/unit)]]/tbl_Data[[#This Row],[kWh Savings]]*tbl_Data[[#This Row],[Sum of Annuals]]</f>
        <v>0.25000460227943755</v>
      </c>
      <c r="BA649" s="81">
        <f>tbl_Data[[#This Row],[Incremental Cost ($/unit)]]/tbl_Data[[#This Row],[kWh Savings]]*tbl_Data[[#This Row],[Sum of Annuals]]</f>
        <v>6.7139781033598939E-2</v>
      </c>
      <c r="BB649" s="77">
        <f>ROUNDUP(tbl_Data[[#This Row],[Adjusted 2025]]/$L649,0)</f>
        <v>1</v>
      </c>
      <c r="BC649" s="77">
        <f>ROUNDUP(tbl_Data[[#This Row],[Adjusted 2026]]/$L649,0)</f>
        <v>1</v>
      </c>
      <c r="BD649" s="77">
        <f>ROUNDUP(tbl_Data[[#This Row],[Adjusted 2027]]/$L649,0)</f>
        <v>1</v>
      </c>
      <c r="BE649" s="77">
        <f>ROUNDUP(tbl_Data[[#This Row],[Adjusted 2028]]/$L649,0)</f>
        <v>1</v>
      </c>
      <c r="BF649" s="77">
        <f>ROUNDUP(tbl_Data[[#This Row],[Adjusted 2029]]/$L649,0)</f>
        <v>1</v>
      </c>
      <c r="BG649" s="77">
        <f>ROUNDUP(tbl_Data[[#This Row],[Adjusted 2030]]/$L649,0)</f>
        <v>1</v>
      </c>
      <c r="BH649" s="77">
        <f>ROUNDUP(tbl_Data[[#This Row],[Adjusted 2031]]/$L649,0)</f>
        <v>1</v>
      </c>
      <c r="BI649" s="77">
        <f>ROUNDUP(tbl_Data[[#This Row],[Adjusted 2032]]/$L649,0)</f>
        <v>1</v>
      </c>
      <c r="BJ649" s="77">
        <f>ROUNDUP(tbl_Data[[#This Row],[Adjusted 2033]]/$L649,0)</f>
        <v>1</v>
      </c>
      <c r="BK649" s="77">
        <f>ROUNDUP(tbl_Data[[#This Row],[Adjusted 2034]]/$L649,0)</f>
        <v>1</v>
      </c>
      <c r="BL649" s="80">
        <f t="shared" si="254"/>
        <v>0</v>
      </c>
      <c r="BM649" s="80">
        <f t="shared" si="255"/>
        <v>0</v>
      </c>
      <c r="BN649" s="80">
        <f t="shared" si="256"/>
        <v>0</v>
      </c>
      <c r="BO649" s="80">
        <f t="shared" si="257"/>
        <v>0</v>
      </c>
      <c r="BP649" s="80">
        <f t="shared" si="258"/>
        <v>0</v>
      </c>
      <c r="BQ649" s="80">
        <f t="shared" si="259"/>
        <v>0</v>
      </c>
      <c r="BR649" s="80">
        <f t="shared" si="260"/>
        <v>0</v>
      </c>
      <c r="BS649" s="80">
        <f t="shared" si="261"/>
        <v>0</v>
      </c>
      <c r="BT649" s="80">
        <f t="shared" si="262"/>
        <v>0</v>
      </c>
      <c r="BU649" s="80">
        <f t="shared" si="263"/>
        <v>0</v>
      </c>
      <c r="BV649" s="80" t="str">
        <f>IFERROR(VLOOKUP($H649,'1. Set Program Names'!$B$2:$D$15,3,0)*V649,"NA")</f>
        <v>NA</v>
      </c>
      <c r="BW649" s="80" t="str">
        <f>IFERROR(VLOOKUP($H649,'1. Set Program Names'!$B$2:$D$15,3,0)*W649,"NA")</f>
        <v>NA</v>
      </c>
      <c r="BX649" s="80" t="str">
        <f>IFERROR(VLOOKUP($H649,'1. Set Program Names'!$B$2:$D$15,3,0)*X649,"NA")</f>
        <v>NA</v>
      </c>
      <c r="BY649" s="80" t="str">
        <f>IFERROR(VLOOKUP($H649,'1. Set Program Names'!$B$2:$D$15,3,0)*Y649,"NA")</f>
        <v>NA</v>
      </c>
      <c r="BZ649" s="80" t="str">
        <f>IFERROR(VLOOKUP($H649,'1. Set Program Names'!$B$2:$D$15,3,0)*Z649,"NA")</f>
        <v>NA</v>
      </c>
      <c r="CA649" s="80" t="str">
        <f>IFERROR(VLOOKUP($H649,'1. Set Program Names'!$B$2:$D$15,3,0)*AA649,"NA")</f>
        <v>NA</v>
      </c>
      <c r="CB649" s="80" t="str">
        <f>IFERROR(VLOOKUP($H649,'1. Set Program Names'!$B$2:$D$15,3,0)*AB649,"NA")</f>
        <v>NA</v>
      </c>
      <c r="CC649" s="80" t="str">
        <f>IFERROR(VLOOKUP($H649,'1. Set Program Names'!$B$2:$D$15,3,0)*AC649,"NA")</f>
        <v>NA</v>
      </c>
      <c r="CD649" s="80" t="str">
        <f>IFERROR(VLOOKUP($H649,'1. Set Program Names'!$B$2:$D$15,3,0)*AD649,"NA")</f>
        <v>NA</v>
      </c>
      <c r="CE649" s="80" t="str">
        <f>IFERROR(VLOOKUP($H649,'1. Set Program Names'!$B$2:$D$15,3,0)*AE649,"NA")</f>
        <v>NA</v>
      </c>
    </row>
    <row r="650" spans="1:83" x14ac:dyDescent="0.25">
      <c r="A650" s="79" t="s">
        <v>116</v>
      </c>
      <c r="B650" s="79" t="s">
        <v>88</v>
      </c>
      <c r="C650" s="79" t="s">
        <v>122</v>
      </c>
      <c r="D650" s="79" t="s">
        <v>90</v>
      </c>
      <c r="E650" s="79" t="s">
        <v>91</v>
      </c>
      <c r="F650" s="79" t="s">
        <v>90</v>
      </c>
      <c r="G650" s="79" t="s">
        <v>92</v>
      </c>
      <c r="H650" s="79" t="s">
        <v>268</v>
      </c>
      <c r="I650" s="79" t="s">
        <v>156</v>
      </c>
      <c r="J650" s="79" t="s">
        <v>129</v>
      </c>
      <c r="K650" s="79" t="s">
        <v>102</v>
      </c>
      <c r="L650" s="79">
        <v>1074.99714285714</v>
      </c>
      <c r="M650" s="79">
        <v>0.35483647389159401</v>
      </c>
      <c r="N650" s="79">
        <v>2.1679791501885101E-3</v>
      </c>
      <c r="O650" s="79">
        <v>322.49999999999898</v>
      </c>
      <c r="P650" s="79">
        <v>112.47094868606101</v>
      </c>
      <c r="Q650" s="79">
        <v>1.0749971428571401</v>
      </c>
      <c r="R650" s="79">
        <v>593.31352847936103</v>
      </c>
      <c r="S650" s="79">
        <v>1167.57597203707</v>
      </c>
      <c r="T650" s="79">
        <v>15</v>
      </c>
      <c r="U650" s="79">
        <v>1</v>
      </c>
      <c r="V650" s="79">
        <f>tbl_Data_old[[#This Row],[2025 ]]*IFERROR(AVERAGEIFS('Participation Adjustment'!$C:$C,'Participation Adjustment'!$A:$A,$H650,'Participation Adjustment'!$B:$B,$I650),1)</f>
        <v>1.31110049126515</v>
      </c>
      <c r="W650" s="79">
        <f>tbl_Data_old[[#This Row],[2026 ]]*IFERROR(AVERAGEIFS('Participation Adjustment'!$C:$C,'Participation Adjustment'!$A:$A,$H650,'Participation Adjustment'!$B:$B,$I650),1)</f>
        <v>1.4464206424644299</v>
      </c>
      <c r="X650" s="79">
        <f>tbl_Data_old[[#This Row],[2027 ]]*IFERROR(AVERAGEIFS('Participation Adjustment'!$C:$C,'Participation Adjustment'!$A:$A,$H650,'Participation Adjustment'!$B:$B,$I650),1)</f>
        <v>1.5604067758368301</v>
      </c>
      <c r="Y650" s="79">
        <f>tbl_Data_old[[#This Row],[2028 ]]*IFERROR(AVERAGEIFS('Participation Adjustment'!$C:$C,'Participation Adjustment'!$A:$A,$H650,'Participation Adjustment'!$B:$B,$I650),1)</f>
        <v>1.6616418773893</v>
      </c>
      <c r="Z650" s="79">
        <f>tbl_Data_old[[#This Row],[2029 ]]*IFERROR(AVERAGEIFS('Participation Adjustment'!$C:$C,'Participation Adjustment'!$A:$A,$H650,'Participation Adjustment'!$B:$B,$I650),1)</f>
        <v>1.7496832423306601</v>
      </c>
      <c r="AA650" s="79">
        <f>tbl_Data_old[[#This Row],[2030 ]]*IFERROR(AVERAGEIFS('Participation Adjustment'!$C:$C,'Participation Adjustment'!$A:$A,$H650,'Participation Adjustment'!$B:$B,$I650),1)</f>
        <v>1.82437596397541</v>
      </c>
      <c r="AB650" s="79">
        <f>tbl_Data_old[[#This Row],[2031 ]]*IFERROR(AVERAGEIFS('Participation Adjustment'!$C:$C,'Participation Adjustment'!$A:$A,$H650,'Participation Adjustment'!$B:$B,$I650),1)</f>
        <v>1.8872376662096899</v>
      </c>
      <c r="AC650" s="79">
        <f>tbl_Data_old[[#This Row],[2032 ]]*IFERROR(AVERAGEIFS('Participation Adjustment'!$C:$C,'Participation Adjustment'!$A:$A,$H650,'Participation Adjustment'!$B:$B,$I650),1)</f>
        <v>1.94353451876827</v>
      </c>
      <c r="AD650" s="79">
        <f>tbl_Data_old[[#This Row],[2033 ]]*IFERROR(AVERAGEIFS('Participation Adjustment'!$C:$C,'Participation Adjustment'!$A:$A,$H650,'Participation Adjustment'!$B:$B,$I650),1)</f>
        <v>1.9957901654444301</v>
      </c>
      <c r="AE650" s="79">
        <f>tbl_Data_old[[#This Row],[2034 ]]*IFERROR(AVERAGEIFS('Participation Adjustment'!$C:$C,'Participation Adjustment'!$A:$A,$H650,'Participation Adjustment'!$B:$B,$I650),1)</f>
        <v>2.04178233863091</v>
      </c>
      <c r="AF650" s="77" t="str">
        <f t="shared" si="253"/>
        <v>NonResidential</v>
      </c>
      <c r="AG650" s="77" t="str">
        <f>tbl_Data[[#This Row],[All_Meas_Name_Append]]</f>
        <v>Water source heat pump</v>
      </c>
      <c r="AH650" s="77">
        <f>AVERAGEIFS('3. Incentive Adjustment'!G:G,'3. Incentive Adjustment'!A:A,tbl_Data[[#This Row],[Trimmed Sector]],'3. Incentive Adjustment'!B:B,tbl_Data[[#This Row],[Trimmed Measure Name]])</f>
        <v>0.75877205530206748</v>
      </c>
      <c r="AI650" s="77">
        <f>$AH650*tbl_Data[[#This Row],[2025 ]]</f>
        <v>0.99482641446480824</v>
      </c>
      <c r="AJ650" s="77">
        <f>$AH650*tbl_Data[[#This Row],[2026 ]]</f>
        <v>1.0975035637140724</v>
      </c>
      <c r="AK650" s="77">
        <f>$AH650*tbl_Data[[#This Row],[2027 ]]</f>
        <v>1.183993056408984</v>
      </c>
      <c r="AL650" s="77">
        <f>$AH650*tbl_Data[[#This Row],[2028 ]]</f>
        <v>1.2608074224826651</v>
      </c>
      <c r="AM650" s="77">
        <f>$AH650*tbl_Data[[#This Row],[2029 ]]</f>
        <v>1.3276107499108203</v>
      </c>
      <c r="AN650" s="77">
        <f>$AH650*tbl_Data[[#This Row],[2030 ]]</f>
        <v>1.3842854998293126</v>
      </c>
      <c r="AO650" s="77">
        <f>$AH650*tbl_Data[[#This Row],[2031 ]]</f>
        <v>1.4319832028334036</v>
      </c>
      <c r="AP650" s="77">
        <f>$AH650*tbl_Data[[#This Row],[2032 ]]</f>
        <v>1.4746996813563149</v>
      </c>
      <c r="AQ650" s="77">
        <f>$AH650*tbl_Data[[#This Row],[2033 ]]</f>
        <v>1.5143498057859235</v>
      </c>
      <c r="AR650" s="77">
        <f>$AH650*tbl_Data[[#This Row],[2034 ]]</f>
        <v>1.5492473815624375</v>
      </c>
      <c r="AS650" s="77">
        <f>SUM(tbl_Data[[#This Row],[Adjusted 2025]:[Adjusted 2034]])</f>
        <v>13.219306778348741</v>
      </c>
      <c r="AT650" s="80">
        <f>AVERAGEIFS('3. Incentive Adjustment'!F:F,'3. Incentive Adjustment'!A:A,tbl_Data[[#This Row],[Trimmed Sector]],'3. Incentive Adjustment'!B:B,tbl_Data[[#This Row],[Trimmed Measure Name]])</f>
        <v>0</v>
      </c>
      <c r="AU650" s="80">
        <f>IFERROR(VLOOKUP(tbl_Data[[#This Row],[All_Meas_Name_Append]],'IRA Tax Credits'!$A$3:$D$46,4,0),0)</f>
        <v>0</v>
      </c>
      <c r="AV650" s="81">
        <f>tbl_Data[[#This Row],[Adj. per unit Incentive ($)]]/tbl_Data[[#This Row],[kWh Savings]]*tbl_Data[[#This Row],[Sum of Annuals]]</f>
        <v>0</v>
      </c>
      <c r="AW650" s="81" t="str">
        <f>IFERROR(VLOOKUP(tbl_Data[[#This Row],[Column1]],'1. Set Program Names'!$B$2:$D$15,3,0)*tbl_Data[[#This Row],[Sum of Annuals]],"")</f>
        <v/>
      </c>
      <c r="AX650" s="81">
        <f>tbl_Data[[#This Row],[per unit IRA tax ($)]]/tbl_Data[[#This Row],[kWh Savings]]*tbl_Data[[#This Row],[Sum of Annuals]]</f>
        <v>0</v>
      </c>
      <c r="AY650" s="81">
        <f>tbl_Data[[#This Row],[Avoided Costs ($/unit)]]/tbl_Data[[#This Row],[kWh Savings]]*tbl_Data[[#This Row],[Sum of Annuals]]</f>
        <v>7.2960133902007351</v>
      </c>
      <c r="AZ650" s="81">
        <f>tbl_Data[[#This Row],[Lost Revenue ($/unit)]]/tbl_Data[[#This Row],[kWh Savings]]*tbl_Data[[#This Row],[Sum of Annuals]]</f>
        <v>14.357754403295106</v>
      </c>
      <c r="BA650" s="81">
        <f>tbl_Data[[#This Row],[Incremental Cost ($/unit)]]/tbl_Data[[#This Row],[kWh Savings]]*tbl_Data[[#This Row],[Sum of Annuals]]</f>
        <v>3.9658025738436873</v>
      </c>
      <c r="BB650" s="77">
        <f>ROUNDUP(tbl_Data[[#This Row],[Adjusted 2025]]/$L650,0)</f>
        <v>1</v>
      </c>
      <c r="BC650" s="77">
        <f>ROUNDUP(tbl_Data[[#This Row],[Adjusted 2026]]/$L650,0)</f>
        <v>1</v>
      </c>
      <c r="BD650" s="77">
        <f>ROUNDUP(tbl_Data[[#This Row],[Adjusted 2027]]/$L650,0)</f>
        <v>1</v>
      </c>
      <c r="BE650" s="77">
        <f>ROUNDUP(tbl_Data[[#This Row],[Adjusted 2028]]/$L650,0)</f>
        <v>1</v>
      </c>
      <c r="BF650" s="77">
        <f>ROUNDUP(tbl_Data[[#This Row],[Adjusted 2029]]/$L650,0)</f>
        <v>1</v>
      </c>
      <c r="BG650" s="77">
        <f>ROUNDUP(tbl_Data[[#This Row],[Adjusted 2030]]/$L650,0)</f>
        <v>1</v>
      </c>
      <c r="BH650" s="77">
        <f>ROUNDUP(tbl_Data[[#This Row],[Adjusted 2031]]/$L650,0)</f>
        <v>1</v>
      </c>
      <c r="BI650" s="77">
        <f>ROUNDUP(tbl_Data[[#This Row],[Adjusted 2032]]/$L650,0)</f>
        <v>1</v>
      </c>
      <c r="BJ650" s="77">
        <f>ROUNDUP(tbl_Data[[#This Row],[Adjusted 2033]]/$L650,0)</f>
        <v>1</v>
      </c>
      <c r="BK650" s="77">
        <f>ROUNDUP(tbl_Data[[#This Row],[Adjusted 2034]]/$L650,0)</f>
        <v>1</v>
      </c>
      <c r="BL650" s="80">
        <f t="shared" si="254"/>
        <v>0</v>
      </c>
      <c r="BM650" s="80">
        <f t="shared" si="255"/>
        <v>0</v>
      </c>
      <c r="BN650" s="80">
        <f t="shared" si="256"/>
        <v>0</v>
      </c>
      <c r="BO650" s="80">
        <f t="shared" si="257"/>
        <v>0</v>
      </c>
      <c r="BP650" s="80">
        <f t="shared" si="258"/>
        <v>0</v>
      </c>
      <c r="BQ650" s="80">
        <f t="shared" si="259"/>
        <v>0</v>
      </c>
      <c r="BR650" s="80">
        <f t="shared" si="260"/>
        <v>0</v>
      </c>
      <c r="BS650" s="80">
        <f t="shared" si="261"/>
        <v>0</v>
      </c>
      <c r="BT650" s="80">
        <f t="shared" si="262"/>
        <v>0</v>
      </c>
      <c r="BU650" s="80">
        <f t="shared" si="263"/>
        <v>0</v>
      </c>
      <c r="BV650" s="80" t="str">
        <f>IFERROR(VLOOKUP($H650,'1. Set Program Names'!$B$2:$D$15,3,0)*V650,"NA")</f>
        <v>NA</v>
      </c>
      <c r="BW650" s="80" t="str">
        <f>IFERROR(VLOOKUP($H650,'1. Set Program Names'!$B$2:$D$15,3,0)*W650,"NA")</f>
        <v>NA</v>
      </c>
      <c r="BX650" s="80" t="str">
        <f>IFERROR(VLOOKUP($H650,'1. Set Program Names'!$B$2:$D$15,3,0)*X650,"NA")</f>
        <v>NA</v>
      </c>
      <c r="BY650" s="80" t="str">
        <f>IFERROR(VLOOKUP($H650,'1. Set Program Names'!$B$2:$D$15,3,0)*Y650,"NA")</f>
        <v>NA</v>
      </c>
      <c r="BZ650" s="80" t="str">
        <f>IFERROR(VLOOKUP($H650,'1. Set Program Names'!$B$2:$D$15,3,0)*Z650,"NA")</f>
        <v>NA</v>
      </c>
      <c r="CA650" s="80" t="str">
        <f>IFERROR(VLOOKUP($H650,'1. Set Program Names'!$B$2:$D$15,3,0)*AA650,"NA")</f>
        <v>NA</v>
      </c>
      <c r="CB650" s="80" t="str">
        <f>IFERROR(VLOOKUP($H650,'1. Set Program Names'!$B$2:$D$15,3,0)*AB650,"NA")</f>
        <v>NA</v>
      </c>
      <c r="CC650" s="80" t="str">
        <f>IFERROR(VLOOKUP($H650,'1. Set Program Names'!$B$2:$D$15,3,0)*AC650,"NA")</f>
        <v>NA</v>
      </c>
      <c r="CD650" s="80" t="str">
        <f>IFERROR(VLOOKUP($H650,'1. Set Program Names'!$B$2:$D$15,3,0)*AD650,"NA")</f>
        <v>NA</v>
      </c>
      <c r="CE650" s="80" t="str">
        <f>IFERROR(VLOOKUP($H650,'1. Set Program Names'!$B$2:$D$15,3,0)*AE650,"NA")</f>
        <v>NA</v>
      </c>
    </row>
    <row r="651" spans="1:83" x14ac:dyDescent="0.25">
      <c r="A651" s="79" t="s">
        <v>117</v>
      </c>
      <c r="B651" s="79" t="s">
        <v>88</v>
      </c>
      <c r="C651" s="79" t="s">
        <v>122</v>
      </c>
      <c r="D651" s="79" t="s">
        <v>90</v>
      </c>
      <c r="E651" s="79" t="s">
        <v>91</v>
      </c>
      <c r="F651" s="79" t="s">
        <v>90</v>
      </c>
      <c r="G651" s="79" t="s">
        <v>92</v>
      </c>
      <c r="H651" s="79" t="s">
        <v>268</v>
      </c>
      <c r="I651" s="79" t="s">
        <v>123</v>
      </c>
      <c r="J651" s="79" t="s">
        <v>124</v>
      </c>
      <c r="K651" s="79" t="s">
        <v>125</v>
      </c>
      <c r="L651" s="79">
        <v>276.38000000000102</v>
      </c>
      <c r="M651" s="79">
        <v>4.0116087790590997E-2</v>
      </c>
      <c r="N651" s="79">
        <v>3.5590078027730399E-2</v>
      </c>
      <c r="O651" s="79">
        <v>71</v>
      </c>
      <c r="P651" s="79">
        <v>14.1467127741815</v>
      </c>
      <c r="Q651" s="79">
        <v>0.27638000000000101</v>
      </c>
      <c r="R651" s="79">
        <v>109.905179976762</v>
      </c>
      <c r="S651" s="79">
        <v>259.02791823564098</v>
      </c>
      <c r="T651" s="79">
        <v>12</v>
      </c>
      <c r="U651" s="79">
        <v>1</v>
      </c>
      <c r="V651" s="79">
        <f>tbl_Data_old[[#This Row],[2025 ]]*IFERROR(AVERAGEIFS('Participation Adjustment'!$C:$C,'Participation Adjustment'!$A:$A,$H651,'Participation Adjustment'!$B:$B,$I651),1)</f>
        <v>0.33887342469540699</v>
      </c>
      <c r="W651" s="79">
        <f>tbl_Data_old[[#This Row],[2026 ]]*IFERROR(AVERAGEIFS('Participation Adjustment'!$C:$C,'Participation Adjustment'!$A:$A,$H651,'Participation Adjustment'!$B:$B,$I651),1)</f>
        <v>0.80186833002932301</v>
      </c>
      <c r="X651" s="79">
        <f>tbl_Data_old[[#This Row],[2027 ]]*IFERROR(AVERAGEIFS('Participation Adjustment'!$C:$C,'Participation Adjustment'!$A:$A,$H651,'Participation Adjustment'!$B:$B,$I651),1)</f>
        <v>1.4167414159404099</v>
      </c>
      <c r="Y651" s="79">
        <f>tbl_Data_old[[#This Row],[2028 ]]*IFERROR(AVERAGEIFS('Participation Adjustment'!$C:$C,'Participation Adjustment'!$A:$A,$H651,'Participation Adjustment'!$B:$B,$I651),1)</f>
        <v>2.2085728361782699</v>
      </c>
      <c r="Z651" s="79">
        <f>tbl_Data_old[[#This Row],[2029 ]]*IFERROR(AVERAGEIFS('Participation Adjustment'!$C:$C,'Participation Adjustment'!$A:$A,$H651,'Participation Adjustment'!$B:$B,$I651),1)</f>
        <v>3.1884497914756502</v>
      </c>
      <c r="AA651" s="79">
        <f>tbl_Data_old[[#This Row],[2030 ]]*IFERROR(AVERAGEIFS('Participation Adjustment'!$C:$C,'Participation Adjustment'!$A:$A,$H651,'Participation Adjustment'!$B:$B,$I651),1)</f>
        <v>4.3432496352327901</v>
      </c>
      <c r="AB651" s="79">
        <f>tbl_Data_old[[#This Row],[2031 ]]*IFERROR(AVERAGEIFS('Participation Adjustment'!$C:$C,'Participation Adjustment'!$A:$A,$H651,'Participation Adjustment'!$B:$B,$I651),1)</f>
        <v>5.6247879827475096</v>
      </c>
      <c r="AC651" s="79">
        <f>tbl_Data_old[[#This Row],[2032 ]]*IFERROR(AVERAGEIFS('Participation Adjustment'!$C:$C,'Participation Adjustment'!$A:$A,$H651,'Participation Adjustment'!$B:$B,$I651),1)</f>
        <v>6.9525749634332197</v>
      </c>
      <c r="AD651" s="79">
        <f>tbl_Data_old[[#This Row],[2033 ]]*IFERROR(AVERAGEIFS('Participation Adjustment'!$C:$C,'Participation Adjustment'!$A:$A,$H651,'Participation Adjustment'!$B:$B,$I651),1)</f>
        <v>8.2292662787880495</v>
      </c>
      <c r="AE651" s="79">
        <f>tbl_Data_old[[#This Row],[2034 ]]*IFERROR(AVERAGEIFS('Participation Adjustment'!$C:$C,'Participation Adjustment'!$A:$A,$H651,'Participation Adjustment'!$B:$B,$I651),1)</f>
        <v>9.3661544307422595</v>
      </c>
      <c r="AF651" s="77" t="str">
        <f t="shared" si="253"/>
        <v>NonResidential</v>
      </c>
      <c r="AG651" s="77" t="str">
        <f>tbl_Data[[#This Row],[All_Meas_Name_Append]]</f>
        <v>Anti-Sweat Controls</v>
      </c>
      <c r="AH651" s="77">
        <f>AVERAGEIFS('3. Incentive Adjustment'!G:G,'3. Incentive Adjustment'!A:A,tbl_Data[[#This Row],[Trimmed Sector]],'3. Incentive Adjustment'!B:B,tbl_Data[[#This Row],[Trimmed Measure Name]])</f>
        <v>0.87366811775307662</v>
      </c>
      <c r="AI651" s="77">
        <f>$AH651*tbl_Data[[#This Row],[2025 ]]</f>
        <v>0.29606290711017519</v>
      </c>
      <c r="AJ651" s="77">
        <f>$AH651*tbl_Data[[#This Row],[2026 ]]</f>
        <v>0.70056679458252147</v>
      </c>
      <c r="AK651" s="77">
        <f>$AH651*tbl_Data[[#This Row],[2027 ]]</f>
        <v>1.2377618062074867</v>
      </c>
      <c r="AL651" s="77">
        <f>$AH651*tbl_Data[[#This Row],[2028 ]]</f>
        <v>1.9295596727044431</v>
      </c>
      <c r="AM651" s="77">
        <f>$AH651*tbl_Data[[#This Row],[2029 ]]</f>
        <v>2.7856469278687208</v>
      </c>
      <c r="AN651" s="77">
        <f>$AH651*tbl_Data[[#This Row],[2030 ]]</f>
        <v>3.7945587337455682</v>
      </c>
      <c r="AO651" s="77">
        <f>$AH651*tbl_Data[[#This Row],[2031 ]]</f>
        <v>4.9141979296471412</v>
      </c>
      <c r="AP651" s="77">
        <f>$AH651*tbl_Data[[#This Row],[2032 ]]</f>
        <v>6.0742430818398665</v>
      </c>
      <c r="AQ651" s="77">
        <f>$AH651*tbl_Data[[#This Row],[2033 ]]</f>
        <v>7.1896475802776205</v>
      </c>
      <c r="AR651" s="77">
        <f>$AH651*tbl_Data[[#This Row],[2034 ]]</f>
        <v>8.1829105120912295</v>
      </c>
      <c r="AS651" s="77">
        <f>SUM(tbl_Data[[#This Row],[Adjusted 2025]:[Adjusted 2034]])</f>
        <v>37.105155946074774</v>
      </c>
      <c r="AT651" s="80">
        <f>AVERAGEIFS('3. Incentive Adjustment'!F:F,'3. Incentive Adjustment'!A:A,tbl_Data[[#This Row],[Trimmed Sector]],'3. Incentive Adjustment'!B:B,tbl_Data[[#This Row],[Trimmed Measure Name]])</f>
        <v>0</v>
      </c>
      <c r="AU651" s="80">
        <f>IFERROR(VLOOKUP(tbl_Data[[#This Row],[All_Meas_Name_Append]],'IRA Tax Credits'!$A$3:$D$46,4,0),0)</f>
        <v>0</v>
      </c>
      <c r="AV651" s="81">
        <f>tbl_Data[[#This Row],[Adj. per unit Incentive ($)]]/tbl_Data[[#This Row],[kWh Savings]]*tbl_Data[[#This Row],[Sum of Annuals]]</f>
        <v>0</v>
      </c>
      <c r="AW651" s="81" t="str">
        <f>IFERROR(VLOOKUP(tbl_Data[[#This Row],[Column1]],'1. Set Program Names'!$B$2:$D$15,3,0)*tbl_Data[[#This Row],[Sum of Annuals]],"")</f>
        <v/>
      </c>
      <c r="AX651" s="81">
        <f>tbl_Data[[#This Row],[per unit IRA tax ($)]]/tbl_Data[[#This Row],[kWh Savings]]*tbl_Data[[#This Row],[Sum of Annuals]]</f>
        <v>0</v>
      </c>
      <c r="AY651" s="81">
        <f>tbl_Data[[#This Row],[Avoided Costs ($/unit)]]/tbl_Data[[#This Row],[kWh Savings]]*tbl_Data[[#This Row],[Sum of Annuals]]</f>
        <v>14.755224120121403</v>
      </c>
      <c r="AZ651" s="81">
        <f>tbl_Data[[#This Row],[Lost Revenue ($/unit)]]/tbl_Data[[#This Row],[kWh Savings]]*tbl_Data[[#This Row],[Sum of Annuals]]</f>
        <v>34.775567336712243</v>
      </c>
      <c r="BA651" s="81">
        <f>tbl_Data[[#This Row],[Incremental Cost ($/unit)]]/tbl_Data[[#This Row],[kWh Savings]]*tbl_Data[[#This Row],[Sum of Annuals]]</f>
        <v>9.5320431006993953</v>
      </c>
      <c r="BB651" s="77">
        <f>ROUNDUP(tbl_Data[[#This Row],[Adjusted 2025]]/$L651,0)</f>
        <v>1</v>
      </c>
      <c r="BC651" s="77">
        <f>ROUNDUP(tbl_Data[[#This Row],[Adjusted 2026]]/$L651,0)</f>
        <v>1</v>
      </c>
      <c r="BD651" s="77">
        <f>ROUNDUP(tbl_Data[[#This Row],[Adjusted 2027]]/$L651,0)</f>
        <v>1</v>
      </c>
      <c r="BE651" s="77">
        <f>ROUNDUP(tbl_Data[[#This Row],[Adjusted 2028]]/$L651,0)</f>
        <v>1</v>
      </c>
      <c r="BF651" s="77">
        <f>ROUNDUP(tbl_Data[[#This Row],[Adjusted 2029]]/$L651,0)</f>
        <v>1</v>
      </c>
      <c r="BG651" s="77">
        <f>ROUNDUP(tbl_Data[[#This Row],[Adjusted 2030]]/$L651,0)</f>
        <v>1</v>
      </c>
      <c r="BH651" s="77">
        <f>ROUNDUP(tbl_Data[[#This Row],[Adjusted 2031]]/$L651,0)</f>
        <v>1</v>
      </c>
      <c r="BI651" s="77">
        <f>ROUNDUP(tbl_Data[[#This Row],[Adjusted 2032]]/$L651,0)</f>
        <v>1</v>
      </c>
      <c r="BJ651" s="77">
        <f>ROUNDUP(tbl_Data[[#This Row],[Adjusted 2033]]/$L651,0)</f>
        <v>1</v>
      </c>
      <c r="BK651" s="77">
        <f>ROUNDUP(tbl_Data[[#This Row],[Adjusted 2034]]/$L651,0)</f>
        <v>1</v>
      </c>
      <c r="BL651" s="80">
        <f t="shared" si="254"/>
        <v>0</v>
      </c>
      <c r="BM651" s="80">
        <f t="shared" si="255"/>
        <v>0</v>
      </c>
      <c r="BN651" s="80">
        <f t="shared" si="256"/>
        <v>0</v>
      </c>
      <c r="BO651" s="80">
        <f t="shared" si="257"/>
        <v>0</v>
      </c>
      <c r="BP651" s="80">
        <f t="shared" si="258"/>
        <v>0</v>
      </c>
      <c r="BQ651" s="80">
        <f t="shared" si="259"/>
        <v>0</v>
      </c>
      <c r="BR651" s="80">
        <f t="shared" si="260"/>
        <v>0</v>
      </c>
      <c r="BS651" s="80">
        <f t="shared" si="261"/>
        <v>0</v>
      </c>
      <c r="BT651" s="80">
        <f t="shared" si="262"/>
        <v>0</v>
      </c>
      <c r="BU651" s="80">
        <f t="shared" si="263"/>
        <v>0</v>
      </c>
      <c r="BV651" s="80" t="str">
        <f>IFERROR(VLOOKUP($H651,'1. Set Program Names'!$B$2:$D$15,3,0)*V651,"NA")</f>
        <v>NA</v>
      </c>
      <c r="BW651" s="80" t="str">
        <f>IFERROR(VLOOKUP($H651,'1. Set Program Names'!$B$2:$D$15,3,0)*W651,"NA")</f>
        <v>NA</v>
      </c>
      <c r="BX651" s="80" t="str">
        <f>IFERROR(VLOOKUP($H651,'1. Set Program Names'!$B$2:$D$15,3,0)*X651,"NA")</f>
        <v>NA</v>
      </c>
      <c r="BY651" s="80" t="str">
        <f>IFERROR(VLOOKUP($H651,'1. Set Program Names'!$B$2:$D$15,3,0)*Y651,"NA")</f>
        <v>NA</v>
      </c>
      <c r="BZ651" s="80" t="str">
        <f>IFERROR(VLOOKUP($H651,'1. Set Program Names'!$B$2:$D$15,3,0)*Z651,"NA")</f>
        <v>NA</v>
      </c>
      <c r="CA651" s="80" t="str">
        <f>IFERROR(VLOOKUP($H651,'1. Set Program Names'!$B$2:$D$15,3,0)*AA651,"NA")</f>
        <v>NA</v>
      </c>
      <c r="CB651" s="80" t="str">
        <f>IFERROR(VLOOKUP($H651,'1. Set Program Names'!$B$2:$D$15,3,0)*AB651,"NA")</f>
        <v>NA</v>
      </c>
      <c r="CC651" s="80" t="str">
        <f>IFERROR(VLOOKUP($H651,'1. Set Program Names'!$B$2:$D$15,3,0)*AC651,"NA")</f>
        <v>NA</v>
      </c>
      <c r="CD651" s="80" t="str">
        <f>IFERROR(VLOOKUP($H651,'1. Set Program Names'!$B$2:$D$15,3,0)*AD651,"NA")</f>
        <v>NA</v>
      </c>
      <c r="CE651" s="80" t="str">
        <f>IFERROR(VLOOKUP($H651,'1. Set Program Names'!$B$2:$D$15,3,0)*AE651,"NA")</f>
        <v>NA</v>
      </c>
    </row>
    <row r="652" spans="1:83" x14ac:dyDescent="0.25">
      <c r="A652" s="79" t="s">
        <v>117</v>
      </c>
      <c r="B652" s="79" t="s">
        <v>88</v>
      </c>
      <c r="C652" s="79" t="s">
        <v>122</v>
      </c>
      <c r="D652" s="79" t="s">
        <v>90</v>
      </c>
      <c r="E652" s="79" t="s">
        <v>91</v>
      </c>
      <c r="F652" s="79" t="s">
        <v>90</v>
      </c>
      <c r="G652" s="79" t="s">
        <v>92</v>
      </c>
      <c r="H652" s="79" t="s">
        <v>268</v>
      </c>
      <c r="I652" s="79" t="s">
        <v>126</v>
      </c>
      <c r="J652" s="79" t="s">
        <v>127</v>
      </c>
      <c r="K652" s="79" t="s">
        <v>102</v>
      </c>
      <c r="L652" s="79">
        <v>10474.513428571399</v>
      </c>
      <c r="M652" s="79">
        <v>11.987030831722899</v>
      </c>
      <c r="N652" s="79">
        <v>6.5774989692018102E-2</v>
      </c>
      <c r="O652" s="79">
        <v>2861.52</v>
      </c>
      <c r="P652" s="79">
        <v>706.838432647388</v>
      </c>
      <c r="Q652" s="79">
        <v>10.474513428571401</v>
      </c>
      <c r="R652" s="79">
        <v>9615.4333568812199</v>
      </c>
      <c r="S652" s="79">
        <v>8615.8759261769592</v>
      </c>
      <c r="T652" s="79">
        <v>10</v>
      </c>
      <c r="U652" s="79">
        <v>1</v>
      </c>
      <c r="V652" s="79">
        <f>tbl_Data_old[[#This Row],[2025 ]]*IFERROR(AVERAGEIFS('Participation Adjustment'!$C:$C,'Participation Adjustment'!$A:$A,$H652,'Participation Adjustment'!$B:$B,$I652),1)</f>
        <v>7.9906602774018301E-2</v>
      </c>
      <c r="W652" s="79">
        <f>tbl_Data_old[[#This Row],[2026 ]]*IFERROR(AVERAGEIFS('Participation Adjustment'!$C:$C,'Participation Adjustment'!$A:$A,$H652,'Participation Adjustment'!$B:$B,$I652),1)</f>
        <v>0.19052277627306699</v>
      </c>
      <c r="X652" s="79">
        <f>tbl_Data_old[[#This Row],[2027 ]]*IFERROR(AVERAGEIFS('Participation Adjustment'!$C:$C,'Participation Adjustment'!$A:$A,$H652,'Participation Adjustment'!$B:$B,$I652),1)</f>
        <v>0.33932974374291902</v>
      </c>
      <c r="Y652" s="79">
        <f>tbl_Data_old[[#This Row],[2028 ]]*IFERROR(AVERAGEIFS('Participation Adjustment'!$C:$C,'Participation Adjustment'!$A:$A,$H652,'Participation Adjustment'!$B:$B,$I652),1)</f>
        <v>0.53407917999112298</v>
      </c>
      <c r="Z652" s="79">
        <f>tbl_Data_old[[#This Row],[2029 ]]*IFERROR(AVERAGEIFS('Participation Adjustment'!$C:$C,'Participation Adjustment'!$A:$A,$H652,'Participation Adjustment'!$B:$B,$I652),1)</f>
        <v>0.77958197201460999</v>
      </c>
      <c r="AA652" s="79">
        <f>tbl_Data_old[[#This Row],[2030 ]]*IFERROR(AVERAGEIFS('Participation Adjustment'!$C:$C,'Participation Adjustment'!$A:$A,$H652,'Participation Adjustment'!$B:$B,$I652),1)</f>
        <v>1.07310043589445</v>
      </c>
      <c r="AB652" s="79">
        <f>tbl_Data_old[[#This Row],[2031 ]]*IFERROR(AVERAGEIFS('Participation Adjustment'!$C:$C,'Participation Adjustment'!$A:$A,$H652,'Participation Adjustment'!$B:$B,$I652),1)</f>
        <v>1.4017364485041699</v>
      </c>
      <c r="AC652" s="79">
        <f>tbl_Data_old[[#This Row],[2032 ]]*IFERROR(AVERAGEIFS('Participation Adjustment'!$C:$C,'Participation Adjustment'!$A:$A,$H652,'Participation Adjustment'!$B:$B,$I652),1)</f>
        <v>1.7417626203269101</v>
      </c>
      <c r="AD652" s="79">
        <f>tbl_Data_old[[#This Row],[2033 ]]*IFERROR(AVERAGEIFS('Participation Adjustment'!$C:$C,'Participation Adjustment'!$A:$A,$H652,'Participation Adjustment'!$B:$B,$I652),1)</f>
        <v>2.0622547007963798</v>
      </c>
      <c r="AE652" s="79">
        <f>tbl_Data_old[[#This Row],[2034 ]]*IFERROR(AVERAGEIFS('Participation Adjustment'!$C:$C,'Participation Adjustment'!$A:$A,$H652,'Participation Adjustment'!$B:$B,$I652),1)</f>
        <v>2.3357749538805002</v>
      </c>
      <c r="AF652" s="77" t="str">
        <f t="shared" si="253"/>
        <v>NonResidential</v>
      </c>
      <c r="AG652" s="77" t="str">
        <f>tbl_Data[[#This Row],[All_Meas_Name_Append]]</f>
        <v>Chiller maintenance</v>
      </c>
      <c r="AH652" s="77">
        <f>AVERAGEIFS('3. Incentive Adjustment'!G:G,'3. Incentive Adjustment'!A:A,tbl_Data[[#This Row],[Trimmed Sector]],'3. Incentive Adjustment'!B:B,tbl_Data[[#This Row],[Trimmed Measure Name]])</f>
        <v>0.83689882434423457</v>
      </c>
      <c r="AI652" s="77">
        <f>$AH652*tbl_Data[[#This Row],[2025 ]]</f>
        <v>6.6873741918917665E-2</v>
      </c>
      <c r="AJ652" s="77">
        <f>$AH652*tbl_Data[[#This Row],[2026 ]]</f>
        <v>0.15944828747372938</v>
      </c>
      <c r="AK652" s="77">
        <f>$AH652*tbl_Data[[#This Row],[2027 ]]</f>
        <v>0.28398466360347929</v>
      </c>
      <c r="AL652" s="77">
        <f>$AH652*tbl_Data[[#This Row],[2028 ]]</f>
        <v>0.44697023784130369</v>
      </c>
      <c r="AM652" s="77">
        <f>$AH652*tbl_Data[[#This Row],[2029 ]]</f>
        <v>0.6524312358589871</v>
      </c>
      <c r="AN652" s="77">
        <f>$AH652*tbl_Data[[#This Row],[2030 ]]</f>
        <v>0.89807649320335092</v>
      </c>
      <c r="AO652" s="77">
        <f>$AH652*tbl_Data[[#This Row],[2031 ]]</f>
        <v>1.1731115857936025</v>
      </c>
      <c r="AP652" s="77">
        <f>$AH652*tbl_Data[[#This Row],[2032 ]]</f>
        <v>1.4576790892383245</v>
      </c>
      <c r="AQ652" s="77">
        <f>$AH652*tbl_Data[[#This Row],[2033 ]]</f>
        <v>1.7258985345948614</v>
      </c>
      <c r="AR652" s="77">
        <f>$AH652*tbl_Data[[#This Row],[2034 ]]</f>
        <v>1.9548073128352994</v>
      </c>
      <c r="AS652" s="77">
        <f>SUM(tbl_Data[[#This Row],[Adjusted 2025]:[Adjusted 2034]])</f>
        <v>8.8192811823618555</v>
      </c>
      <c r="AT652" s="80">
        <f>AVERAGEIFS('3. Incentive Adjustment'!F:F,'3. Incentive Adjustment'!A:A,tbl_Data[[#This Row],[Trimmed Sector]],'3. Incentive Adjustment'!B:B,tbl_Data[[#This Row],[Trimmed Measure Name]])</f>
        <v>0</v>
      </c>
      <c r="AU652" s="80">
        <f>IFERROR(VLOOKUP(tbl_Data[[#This Row],[All_Meas_Name_Append]],'IRA Tax Credits'!$A$3:$D$46,4,0),0)</f>
        <v>0</v>
      </c>
      <c r="AV652" s="81">
        <f>tbl_Data[[#This Row],[Adj. per unit Incentive ($)]]/tbl_Data[[#This Row],[kWh Savings]]*tbl_Data[[#This Row],[Sum of Annuals]]</f>
        <v>0</v>
      </c>
      <c r="AW652" s="81" t="str">
        <f>IFERROR(VLOOKUP(tbl_Data[[#This Row],[Column1]],'1. Set Program Names'!$B$2:$D$15,3,0)*tbl_Data[[#This Row],[Sum of Annuals]],"")</f>
        <v/>
      </c>
      <c r="AX652" s="81">
        <f>tbl_Data[[#This Row],[per unit IRA tax ($)]]/tbl_Data[[#This Row],[kWh Savings]]*tbl_Data[[#This Row],[Sum of Annuals]]</f>
        <v>0</v>
      </c>
      <c r="AY652" s="81">
        <f>tbl_Data[[#This Row],[Avoided Costs ($/unit)]]/tbl_Data[[#This Row],[kWh Savings]]*tbl_Data[[#This Row],[Sum of Annuals]]</f>
        <v>8.0959570144121642</v>
      </c>
      <c r="AZ652" s="81">
        <f>tbl_Data[[#This Row],[Lost Revenue ($/unit)]]/tbl_Data[[#This Row],[kWh Savings]]*tbl_Data[[#This Row],[Sum of Annuals]]</f>
        <v>7.2543543853817516</v>
      </c>
      <c r="BA652" s="81">
        <f>tbl_Data[[#This Row],[Incremental Cost ($/unit)]]/tbl_Data[[#This Row],[kWh Savings]]*tbl_Data[[#This Row],[Sum of Annuals]]</f>
        <v>2.4093290500840059</v>
      </c>
      <c r="BB652" s="77">
        <f>ROUNDUP(tbl_Data[[#This Row],[Adjusted 2025]]/$L652,0)</f>
        <v>1</v>
      </c>
      <c r="BC652" s="77">
        <f>ROUNDUP(tbl_Data[[#This Row],[Adjusted 2026]]/$L652,0)</f>
        <v>1</v>
      </c>
      <c r="BD652" s="77">
        <f>ROUNDUP(tbl_Data[[#This Row],[Adjusted 2027]]/$L652,0)</f>
        <v>1</v>
      </c>
      <c r="BE652" s="77">
        <f>ROUNDUP(tbl_Data[[#This Row],[Adjusted 2028]]/$L652,0)</f>
        <v>1</v>
      </c>
      <c r="BF652" s="77">
        <f>ROUNDUP(tbl_Data[[#This Row],[Adjusted 2029]]/$L652,0)</f>
        <v>1</v>
      </c>
      <c r="BG652" s="77">
        <f>ROUNDUP(tbl_Data[[#This Row],[Adjusted 2030]]/$L652,0)</f>
        <v>1</v>
      </c>
      <c r="BH652" s="77">
        <f>ROUNDUP(tbl_Data[[#This Row],[Adjusted 2031]]/$L652,0)</f>
        <v>1</v>
      </c>
      <c r="BI652" s="77">
        <f>ROUNDUP(tbl_Data[[#This Row],[Adjusted 2032]]/$L652,0)</f>
        <v>1</v>
      </c>
      <c r="BJ652" s="77">
        <f>ROUNDUP(tbl_Data[[#This Row],[Adjusted 2033]]/$L652,0)</f>
        <v>1</v>
      </c>
      <c r="BK652" s="77">
        <f>ROUNDUP(tbl_Data[[#This Row],[Adjusted 2034]]/$L652,0)</f>
        <v>1</v>
      </c>
      <c r="BL652" s="80">
        <f t="shared" si="254"/>
        <v>0</v>
      </c>
      <c r="BM652" s="80">
        <f t="shared" si="255"/>
        <v>0</v>
      </c>
      <c r="BN652" s="80">
        <f t="shared" si="256"/>
        <v>0</v>
      </c>
      <c r="BO652" s="80">
        <f t="shared" si="257"/>
        <v>0</v>
      </c>
      <c r="BP652" s="80">
        <f t="shared" si="258"/>
        <v>0</v>
      </c>
      <c r="BQ652" s="80">
        <f t="shared" si="259"/>
        <v>0</v>
      </c>
      <c r="BR652" s="80">
        <f t="shared" si="260"/>
        <v>0</v>
      </c>
      <c r="BS652" s="80">
        <f t="shared" si="261"/>
        <v>0</v>
      </c>
      <c r="BT652" s="80">
        <f t="shared" si="262"/>
        <v>0</v>
      </c>
      <c r="BU652" s="80">
        <f t="shared" si="263"/>
        <v>0</v>
      </c>
      <c r="BV652" s="80" t="str">
        <f>IFERROR(VLOOKUP($H652,'1. Set Program Names'!$B$2:$D$15,3,0)*V652,"NA")</f>
        <v>NA</v>
      </c>
      <c r="BW652" s="80" t="str">
        <f>IFERROR(VLOOKUP($H652,'1. Set Program Names'!$B$2:$D$15,3,0)*W652,"NA")</f>
        <v>NA</v>
      </c>
      <c r="BX652" s="80" t="str">
        <f>IFERROR(VLOOKUP($H652,'1. Set Program Names'!$B$2:$D$15,3,0)*X652,"NA")</f>
        <v>NA</v>
      </c>
      <c r="BY652" s="80" t="str">
        <f>IFERROR(VLOOKUP($H652,'1. Set Program Names'!$B$2:$D$15,3,0)*Y652,"NA")</f>
        <v>NA</v>
      </c>
      <c r="BZ652" s="80" t="str">
        <f>IFERROR(VLOOKUP($H652,'1. Set Program Names'!$B$2:$D$15,3,0)*Z652,"NA")</f>
        <v>NA</v>
      </c>
      <c r="CA652" s="80" t="str">
        <f>IFERROR(VLOOKUP($H652,'1. Set Program Names'!$B$2:$D$15,3,0)*AA652,"NA")</f>
        <v>NA</v>
      </c>
      <c r="CB652" s="80" t="str">
        <f>IFERROR(VLOOKUP($H652,'1. Set Program Names'!$B$2:$D$15,3,0)*AB652,"NA")</f>
        <v>NA</v>
      </c>
      <c r="CC652" s="80" t="str">
        <f>IFERROR(VLOOKUP($H652,'1. Set Program Names'!$B$2:$D$15,3,0)*AC652,"NA")</f>
        <v>NA</v>
      </c>
      <c r="CD652" s="80" t="str">
        <f>IFERROR(VLOOKUP($H652,'1. Set Program Names'!$B$2:$D$15,3,0)*AD652,"NA")</f>
        <v>NA</v>
      </c>
      <c r="CE652" s="80" t="str">
        <f>IFERROR(VLOOKUP($H652,'1. Set Program Names'!$B$2:$D$15,3,0)*AE652,"NA")</f>
        <v>NA</v>
      </c>
    </row>
    <row r="653" spans="1:83" x14ac:dyDescent="0.25">
      <c r="A653" s="79" t="s">
        <v>117</v>
      </c>
      <c r="B653" s="79" t="s">
        <v>88</v>
      </c>
      <c r="C653" s="79" t="s">
        <v>122</v>
      </c>
      <c r="D653" s="79" t="s">
        <v>90</v>
      </c>
      <c r="E653" s="79" t="s">
        <v>91</v>
      </c>
      <c r="F653" s="79" t="s">
        <v>90</v>
      </c>
      <c r="G653" s="79" t="s">
        <v>92</v>
      </c>
      <c r="H653" s="79" t="s">
        <v>268</v>
      </c>
      <c r="I653" s="79" t="s">
        <v>131</v>
      </c>
      <c r="J653" s="79" t="s">
        <v>132</v>
      </c>
      <c r="K653" s="79" t="s">
        <v>102</v>
      </c>
      <c r="L653" s="79">
        <v>1121.1428571428501</v>
      </c>
      <c r="M653" s="79">
        <v>0</v>
      </c>
      <c r="N653" s="79">
        <v>0.20460408928759399</v>
      </c>
      <c r="O653" s="79">
        <v>313</v>
      </c>
      <c r="P653" s="79">
        <v>104.06901074138401</v>
      </c>
      <c r="Q653" s="79">
        <v>1.1211428571428499</v>
      </c>
      <c r="R653" s="79">
        <v>557.43130076035402</v>
      </c>
      <c r="S653" s="79">
        <v>1217.69575846672</v>
      </c>
      <c r="T653" s="79">
        <v>15</v>
      </c>
      <c r="U653" s="79">
        <v>1</v>
      </c>
      <c r="V653" s="79">
        <f>tbl_Data_old[[#This Row],[2025 ]]*IFERROR(AVERAGEIFS('Participation Adjustment'!$C:$C,'Participation Adjustment'!$A:$A,$H653,'Participation Adjustment'!$B:$B,$I653),1)</f>
        <v>1.88641092068154</v>
      </c>
      <c r="W653" s="79">
        <f>tbl_Data_old[[#This Row],[2026 ]]*IFERROR(AVERAGEIFS('Participation Adjustment'!$C:$C,'Participation Adjustment'!$A:$A,$H653,'Participation Adjustment'!$B:$B,$I653),1)</f>
        <v>3.67983796389957</v>
      </c>
      <c r="X653" s="79">
        <f>tbl_Data_old[[#This Row],[2027 ]]*IFERROR(AVERAGEIFS('Participation Adjustment'!$C:$C,'Participation Adjustment'!$A:$A,$H653,'Participation Adjustment'!$B:$B,$I653),1)</f>
        <v>5.3634867938985096</v>
      </c>
      <c r="Y653" s="79">
        <f>tbl_Data_old[[#This Row],[2028 ]]*IFERROR(AVERAGEIFS('Participation Adjustment'!$C:$C,'Participation Adjustment'!$A:$A,$H653,'Participation Adjustment'!$B:$B,$I653),1)</f>
        <v>6.9368801684059003</v>
      </c>
      <c r="Z653" s="79">
        <f>tbl_Data_old[[#This Row],[2029 ]]*IFERROR(AVERAGEIFS('Participation Adjustment'!$C:$C,'Participation Adjustment'!$A:$A,$H653,'Participation Adjustment'!$B:$B,$I653),1)</f>
        <v>8.4003278396781198</v>
      </c>
      <c r="AA653" s="79">
        <f>tbl_Data_old[[#This Row],[2030 ]]*IFERROR(AVERAGEIFS('Participation Adjustment'!$C:$C,'Participation Adjustment'!$A:$A,$H653,'Participation Adjustment'!$B:$B,$I653),1)</f>
        <v>9.7537913522592596</v>
      </c>
      <c r="AB653" s="79">
        <f>tbl_Data_old[[#This Row],[2031 ]]*IFERROR(AVERAGEIFS('Participation Adjustment'!$C:$C,'Participation Adjustment'!$A:$A,$H653,'Participation Adjustment'!$B:$B,$I653),1)</f>
        <v>10.9998763582997</v>
      </c>
      <c r="AC653" s="79">
        <f>tbl_Data_old[[#This Row],[2032 ]]*IFERROR(AVERAGEIFS('Participation Adjustment'!$C:$C,'Participation Adjustment'!$A:$A,$H653,'Participation Adjustment'!$B:$B,$I653),1)</f>
        <v>12.144638071050201</v>
      </c>
      <c r="AD653" s="79">
        <f>tbl_Data_old[[#This Row],[2033 ]]*IFERROR(AVERAGEIFS('Participation Adjustment'!$C:$C,'Participation Adjustment'!$A:$A,$H653,'Participation Adjustment'!$B:$B,$I653),1)</f>
        <v>13.195287254042301</v>
      </c>
      <c r="AE653" s="79">
        <f>tbl_Data_old[[#This Row],[2034 ]]*IFERROR(AVERAGEIFS('Participation Adjustment'!$C:$C,'Participation Adjustment'!$A:$A,$H653,'Participation Adjustment'!$B:$B,$I653),1)</f>
        <v>14.157485498612701</v>
      </c>
      <c r="AF653" s="77" t="str">
        <f t="shared" si="253"/>
        <v>NonResidential</v>
      </c>
      <c r="AG653" s="77" t="str">
        <f>tbl_Data[[#This Row],[All_Meas_Name_Append]]</f>
        <v>ECM Motors on Furnaces</v>
      </c>
      <c r="AH653" s="77">
        <f>AVERAGEIFS('3. Incentive Adjustment'!G:G,'3. Incentive Adjustment'!A:A,tbl_Data[[#This Row],[Trimmed Sector]],'3. Incentive Adjustment'!B:B,tbl_Data[[#This Row],[Trimmed Measure Name]])</f>
        <v>0.7827684764944346</v>
      </c>
      <c r="AI653" s="77">
        <f>$AH653*tbl_Data[[#This Row],[2025 ]]</f>
        <v>1.4766230024243527</v>
      </c>
      <c r="AJ653" s="77">
        <f>$AH653*tbl_Data[[#This Row],[2026 ]]</f>
        <v>2.8804611567480487</v>
      </c>
      <c r="AK653" s="77">
        <f>$AH653*tbl_Data[[#This Row],[2027 ]]</f>
        <v>4.1983683863579557</v>
      </c>
      <c r="AL653" s="77">
        <f>$AH653*tbl_Data[[#This Row],[2028 ]]</f>
        <v>5.4299711210475436</v>
      </c>
      <c r="AM653" s="77">
        <f>$AH653*tbl_Data[[#This Row],[2029 ]]</f>
        <v>6.5755118251186264</v>
      </c>
      <c r="AN653" s="77">
        <f>$AH653*tbl_Data[[#This Row],[2030 ]]</f>
        <v>7.6349603968525717</v>
      </c>
      <c r="AO653" s="77">
        <f>$AH653*tbl_Data[[#This Row],[2031 ]]</f>
        <v>8.6103564586134045</v>
      </c>
      <c r="AP653" s="77">
        <f>$AH653*tbl_Data[[#This Row],[2032 ]]</f>
        <v>9.5064398404522752</v>
      </c>
      <c r="AQ653" s="77">
        <f>$AH653*tbl_Data[[#This Row],[2033 ]]</f>
        <v>10.328854900753123</v>
      </c>
      <c r="AR653" s="77">
        <f>$AH653*tbl_Data[[#This Row],[2034 ]]</f>
        <v>11.082033354741114</v>
      </c>
      <c r="AS653" s="77">
        <f>SUM(tbl_Data[[#This Row],[Adjusted 2025]:[Adjusted 2034]])</f>
        <v>67.723580443109</v>
      </c>
      <c r="AT653" s="80">
        <f>AVERAGEIFS('3. Incentive Adjustment'!F:F,'3. Incentive Adjustment'!A:A,tbl_Data[[#This Row],[Trimmed Sector]],'3. Incentive Adjustment'!B:B,tbl_Data[[#This Row],[Trimmed Measure Name]])</f>
        <v>0</v>
      </c>
      <c r="AU653" s="80">
        <f>IFERROR(VLOOKUP(tbl_Data[[#This Row],[All_Meas_Name_Append]],'IRA Tax Credits'!$A$3:$D$46,4,0),0)</f>
        <v>0</v>
      </c>
      <c r="AV653" s="81">
        <f>tbl_Data[[#This Row],[Adj. per unit Incentive ($)]]/tbl_Data[[#This Row],[kWh Savings]]*tbl_Data[[#This Row],[Sum of Annuals]]</f>
        <v>0</v>
      </c>
      <c r="AW653" s="81" t="str">
        <f>IFERROR(VLOOKUP(tbl_Data[[#This Row],[Column1]],'1. Set Program Names'!$B$2:$D$15,3,0)*tbl_Data[[#This Row],[Sum of Annuals]],"")</f>
        <v/>
      </c>
      <c r="AX653" s="81">
        <f>tbl_Data[[#This Row],[per unit IRA tax ($)]]/tbl_Data[[#This Row],[kWh Savings]]*tbl_Data[[#This Row],[Sum of Annuals]]</f>
        <v>0</v>
      </c>
      <c r="AY653" s="81">
        <f>tbl_Data[[#This Row],[Avoided Costs ($/unit)]]/tbl_Data[[#This Row],[kWh Savings]]*tbl_Data[[#This Row],[Sum of Annuals]]</f>
        <v>33.672108151103046</v>
      </c>
      <c r="AZ653" s="81">
        <f>tbl_Data[[#This Row],[Lost Revenue ($/unit)]]/tbl_Data[[#This Row],[kWh Savings]]*tbl_Data[[#This Row],[Sum of Annuals]]</f>
        <v>73.555939930718466</v>
      </c>
      <c r="BA653" s="81">
        <f>tbl_Data[[#This Row],[Incremental Cost ($/unit)]]/tbl_Data[[#This Row],[kWh Savings]]*tbl_Data[[#This Row],[Sum of Annuals]]</f>
        <v>18.907029147662175</v>
      </c>
      <c r="BB653" s="77">
        <f>ROUNDUP(tbl_Data[[#This Row],[Adjusted 2025]]/$L653,0)</f>
        <v>1</v>
      </c>
      <c r="BC653" s="77">
        <f>ROUNDUP(tbl_Data[[#This Row],[Adjusted 2026]]/$L653,0)</f>
        <v>1</v>
      </c>
      <c r="BD653" s="77">
        <f>ROUNDUP(tbl_Data[[#This Row],[Adjusted 2027]]/$L653,0)</f>
        <v>1</v>
      </c>
      <c r="BE653" s="77">
        <f>ROUNDUP(tbl_Data[[#This Row],[Adjusted 2028]]/$L653,0)</f>
        <v>1</v>
      </c>
      <c r="BF653" s="77">
        <f>ROUNDUP(tbl_Data[[#This Row],[Adjusted 2029]]/$L653,0)</f>
        <v>1</v>
      </c>
      <c r="BG653" s="77">
        <f>ROUNDUP(tbl_Data[[#This Row],[Adjusted 2030]]/$L653,0)</f>
        <v>1</v>
      </c>
      <c r="BH653" s="77">
        <f>ROUNDUP(tbl_Data[[#This Row],[Adjusted 2031]]/$L653,0)</f>
        <v>1</v>
      </c>
      <c r="BI653" s="77">
        <f>ROUNDUP(tbl_Data[[#This Row],[Adjusted 2032]]/$L653,0)</f>
        <v>1</v>
      </c>
      <c r="BJ653" s="77">
        <f>ROUNDUP(tbl_Data[[#This Row],[Adjusted 2033]]/$L653,0)</f>
        <v>1</v>
      </c>
      <c r="BK653" s="77">
        <f>ROUNDUP(tbl_Data[[#This Row],[Adjusted 2034]]/$L653,0)</f>
        <v>1</v>
      </c>
      <c r="BL653" s="80">
        <f t="shared" si="254"/>
        <v>0</v>
      </c>
      <c r="BM653" s="80">
        <f t="shared" si="255"/>
        <v>0</v>
      </c>
      <c r="BN653" s="80">
        <f t="shared" si="256"/>
        <v>0</v>
      </c>
      <c r="BO653" s="80">
        <f t="shared" si="257"/>
        <v>0</v>
      </c>
      <c r="BP653" s="80">
        <f t="shared" si="258"/>
        <v>0</v>
      </c>
      <c r="BQ653" s="80">
        <f t="shared" si="259"/>
        <v>0</v>
      </c>
      <c r="BR653" s="80">
        <f t="shared" si="260"/>
        <v>0</v>
      </c>
      <c r="BS653" s="80">
        <f t="shared" si="261"/>
        <v>0</v>
      </c>
      <c r="BT653" s="80">
        <f t="shared" si="262"/>
        <v>0</v>
      </c>
      <c r="BU653" s="80">
        <f t="shared" si="263"/>
        <v>0</v>
      </c>
      <c r="BV653" s="80" t="str">
        <f>IFERROR(VLOOKUP($H653,'1. Set Program Names'!$B$2:$D$15,3,0)*V653,"NA")</f>
        <v>NA</v>
      </c>
      <c r="BW653" s="80" t="str">
        <f>IFERROR(VLOOKUP($H653,'1. Set Program Names'!$B$2:$D$15,3,0)*W653,"NA")</f>
        <v>NA</v>
      </c>
      <c r="BX653" s="80" t="str">
        <f>IFERROR(VLOOKUP($H653,'1. Set Program Names'!$B$2:$D$15,3,0)*X653,"NA")</f>
        <v>NA</v>
      </c>
      <c r="BY653" s="80" t="str">
        <f>IFERROR(VLOOKUP($H653,'1. Set Program Names'!$B$2:$D$15,3,0)*Y653,"NA")</f>
        <v>NA</v>
      </c>
      <c r="BZ653" s="80" t="str">
        <f>IFERROR(VLOOKUP($H653,'1. Set Program Names'!$B$2:$D$15,3,0)*Z653,"NA")</f>
        <v>NA</v>
      </c>
      <c r="CA653" s="80" t="str">
        <f>IFERROR(VLOOKUP($H653,'1. Set Program Names'!$B$2:$D$15,3,0)*AA653,"NA")</f>
        <v>NA</v>
      </c>
      <c r="CB653" s="80" t="str">
        <f>IFERROR(VLOOKUP($H653,'1. Set Program Names'!$B$2:$D$15,3,0)*AB653,"NA")</f>
        <v>NA</v>
      </c>
      <c r="CC653" s="80" t="str">
        <f>IFERROR(VLOOKUP($H653,'1. Set Program Names'!$B$2:$D$15,3,0)*AC653,"NA")</f>
        <v>NA</v>
      </c>
      <c r="CD653" s="80" t="str">
        <f>IFERROR(VLOOKUP($H653,'1. Set Program Names'!$B$2:$D$15,3,0)*AD653,"NA")</f>
        <v>NA</v>
      </c>
      <c r="CE653" s="80" t="str">
        <f>IFERROR(VLOOKUP($H653,'1. Set Program Names'!$B$2:$D$15,3,0)*AE653,"NA")</f>
        <v>NA</v>
      </c>
    </row>
    <row r="654" spans="1:83" x14ac:dyDescent="0.25">
      <c r="A654" s="79" t="s">
        <v>117</v>
      </c>
      <c r="B654" s="79" t="s">
        <v>88</v>
      </c>
      <c r="C654" s="79" t="s">
        <v>122</v>
      </c>
      <c r="D654" s="79" t="s">
        <v>90</v>
      </c>
      <c r="E654" s="79" t="s">
        <v>91</v>
      </c>
      <c r="F654" s="79" t="s">
        <v>90</v>
      </c>
      <c r="G654" s="79" t="s">
        <v>92</v>
      </c>
      <c r="H654" s="79" t="s">
        <v>268</v>
      </c>
      <c r="I654" s="79" t="s">
        <v>307</v>
      </c>
      <c r="J654" s="79" t="s">
        <v>137</v>
      </c>
      <c r="K654" s="79" t="s">
        <v>98</v>
      </c>
      <c r="L654" s="79">
        <v>1111.20999999999</v>
      </c>
      <c r="M654" s="79">
        <v>0.13640668324959701</v>
      </c>
      <c r="N654" s="79">
        <v>0.136388544932499</v>
      </c>
      <c r="O654" s="79">
        <v>412</v>
      </c>
      <c r="P654" s="79">
        <v>183.41637854330401</v>
      </c>
      <c r="Q654" s="79">
        <v>1.11120999999999</v>
      </c>
      <c r="R654" s="79">
        <v>480.86876845961399</v>
      </c>
      <c r="S654" s="79">
        <v>1206.90748297154</v>
      </c>
      <c r="T654" s="79">
        <v>15</v>
      </c>
      <c r="U654" s="79">
        <v>1</v>
      </c>
      <c r="V654" s="79">
        <f>tbl_Data_old[[#This Row],[2025 ]]*IFERROR(AVERAGEIFS('Participation Adjustment'!$C:$C,'Participation Adjustment'!$A:$A,$H654,'Participation Adjustment'!$B:$B,$I654),1)</f>
        <v>4.9449788373649497</v>
      </c>
      <c r="W654" s="79">
        <f>tbl_Data_old[[#This Row],[2026 ]]*IFERROR(AVERAGEIFS('Participation Adjustment'!$C:$C,'Participation Adjustment'!$A:$A,$H654,'Participation Adjustment'!$B:$B,$I654),1)</f>
        <v>11.7549124539009</v>
      </c>
      <c r="X654" s="79">
        <f>tbl_Data_old[[#This Row],[2027 ]]*IFERROR(AVERAGEIFS('Participation Adjustment'!$C:$C,'Participation Adjustment'!$A:$A,$H654,'Participation Adjustment'!$B:$B,$I654),1)</f>
        <v>20.679052321646701</v>
      </c>
      <c r="Y654" s="79">
        <f>tbl_Data_old[[#This Row],[2028 ]]*IFERROR(AVERAGEIFS('Participation Adjustment'!$C:$C,'Participation Adjustment'!$A:$A,$H654,'Participation Adjustment'!$B:$B,$I654),1)</f>
        <v>31.897665634436098</v>
      </c>
      <c r="Z654" s="79">
        <f>tbl_Data_old[[#This Row],[2029 ]]*IFERROR(AVERAGEIFS('Participation Adjustment'!$C:$C,'Participation Adjustment'!$A:$A,$H654,'Participation Adjustment'!$B:$B,$I654),1)</f>
        <v>45.428343809013803</v>
      </c>
      <c r="AA654" s="79">
        <f>tbl_Data_old[[#This Row],[2030 ]]*IFERROR(AVERAGEIFS('Participation Adjustment'!$C:$C,'Participation Adjustment'!$A:$A,$H654,'Participation Adjustment'!$B:$B,$I654),1)</f>
        <v>61.093014945462897</v>
      </c>
      <c r="AB654" s="79">
        <f>tbl_Data_old[[#This Row],[2031 ]]*IFERROR(AVERAGEIFS('Participation Adjustment'!$C:$C,'Participation Adjustment'!$A:$A,$H654,'Participation Adjustment'!$B:$B,$I654),1)</f>
        <v>78.588736466854499</v>
      </c>
      <c r="AC654" s="79">
        <f>tbl_Data_old[[#This Row],[2032 ]]*IFERROR(AVERAGEIFS('Participation Adjustment'!$C:$C,'Participation Adjustment'!$A:$A,$H654,'Participation Adjustment'!$B:$B,$I654),1)</f>
        <v>97.594423919953201</v>
      </c>
      <c r="AD654" s="79">
        <f>tbl_Data_old[[#This Row],[2033 ]]*IFERROR(AVERAGEIFS('Participation Adjustment'!$C:$C,'Participation Adjustment'!$A:$A,$H654,'Participation Adjustment'!$B:$B,$I654),1)</f>
        <v>117.81167315543</v>
      </c>
      <c r="AE654" s="79">
        <f>tbl_Data_old[[#This Row],[2034 ]]*IFERROR(AVERAGEIFS('Participation Adjustment'!$C:$C,'Participation Adjustment'!$A:$A,$H654,'Participation Adjustment'!$B:$B,$I654),1)</f>
        <v>138.99143481179701</v>
      </c>
      <c r="AF654" s="77" t="str">
        <f t="shared" si="253"/>
        <v>NonResidential</v>
      </c>
      <c r="AG654" s="77" t="str">
        <f>tbl_Data[[#This Row],[All_Meas_Name_Append]]</f>
        <v>Efficient Battery Charger</v>
      </c>
      <c r="AH654" s="77">
        <f>AVERAGEIFS('3. Incentive Adjustment'!G:G,'3. Incentive Adjustment'!A:A,tbl_Data[[#This Row],[Trimmed Sector]],'3. Incentive Adjustment'!B:B,tbl_Data[[#This Row],[Trimmed Measure Name]])</f>
        <v>0.64693164144446047</v>
      </c>
      <c r="AI654" s="77">
        <f>$AH654*tbl_Data[[#This Row],[2025 ]]</f>
        <v>3.1990632761646265</v>
      </c>
      <c r="AJ654" s="77">
        <f>$AH654*tbl_Data[[#This Row],[2026 ]]</f>
        <v>7.6046248088380404</v>
      </c>
      <c r="AK654" s="77">
        <f>$AH654*tbl_Data[[#This Row],[2027 ]]</f>
        <v>13.377933261958781</v>
      </c>
      <c r="AL654" s="77">
        <f>$AH654*tbl_Data[[#This Row],[2028 ]]</f>
        <v>20.635609187132303</v>
      </c>
      <c r="AM654" s="77">
        <f>$AH654*tbl_Data[[#This Row],[2029 ]]</f>
        <v>29.389033028468592</v>
      </c>
      <c r="AN654" s="77">
        <f>$AH654*tbl_Data[[#This Row],[2030 ]]</f>
        <v>39.523004439459271</v>
      </c>
      <c r="AO654" s="77">
        <f>$AH654*tbl_Data[[#This Row],[2031 ]]</f>
        <v>50.841540281548312</v>
      </c>
      <c r="AP654" s="77">
        <f>$AH654*tbl_Data[[#This Row],[2032 ]]</f>
        <v>63.136920862361841</v>
      </c>
      <c r="AQ654" s="77">
        <f>$AH654*tbl_Data[[#This Row],[2033 ]]</f>
        <v>76.216099095760612</v>
      </c>
      <c r="AR654" s="77">
        <f>$AH654*tbl_Data[[#This Row],[2034 ]]</f>
        <v>89.917957069516561</v>
      </c>
      <c r="AS654" s="77">
        <f>SUM(tbl_Data[[#This Row],[Adjusted 2025]:[Adjusted 2034]])</f>
        <v>393.84178531120892</v>
      </c>
      <c r="AT654" s="80">
        <f>AVERAGEIFS('3. Incentive Adjustment'!F:F,'3. Incentive Adjustment'!A:A,tbl_Data[[#This Row],[Trimmed Sector]],'3. Incentive Adjustment'!B:B,tbl_Data[[#This Row],[Trimmed Measure Name]])</f>
        <v>0</v>
      </c>
      <c r="AU654" s="80">
        <f>IFERROR(VLOOKUP(tbl_Data[[#This Row],[All_Meas_Name_Append]],'IRA Tax Credits'!$A$3:$D$46,4,0),0)</f>
        <v>0</v>
      </c>
      <c r="AV654" s="81">
        <f>tbl_Data[[#This Row],[Adj. per unit Incentive ($)]]/tbl_Data[[#This Row],[kWh Savings]]*tbl_Data[[#This Row],[Sum of Annuals]]</f>
        <v>0</v>
      </c>
      <c r="AW654" s="81" t="str">
        <f>IFERROR(VLOOKUP(tbl_Data[[#This Row],[Column1]],'1. Set Program Names'!$B$2:$D$15,3,0)*tbl_Data[[#This Row],[Sum of Annuals]],"")</f>
        <v/>
      </c>
      <c r="AX654" s="81">
        <f>tbl_Data[[#This Row],[per unit IRA tax ($)]]/tbl_Data[[#This Row],[kWh Savings]]*tbl_Data[[#This Row],[Sum of Annuals]]</f>
        <v>0</v>
      </c>
      <c r="AY654" s="81">
        <f>tbl_Data[[#This Row],[Avoided Costs ($/unit)]]/tbl_Data[[#This Row],[kWh Savings]]*tbl_Data[[#This Row],[Sum of Annuals]]</f>
        <v>170.43242435771674</v>
      </c>
      <c r="AZ654" s="81">
        <f>tbl_Data[[#This Row],[Lost Revenue ($/unit)]]/tbl_Data[[#This Row],[kWh Savings]]*tbl_Data[[#This Row],[Sum of Annuals]]</f>
        <v>427.75946742647477</v>
      </c>
      <c r="BA654" s="81">
        <f>tbl_Data[[#This Row],[Incremental Cost ($/unit)]]/tbl_Data[[#This Row],[kWh Savings]]*tbl_Data[[#This Row],[Sum of Annuals]]</f>
        <v>146.02353789852461</v>
      </c>
      <c r="BB654" s="77">
        <f>ROUNDUP(tbl_Data[[#This Row],[Adjusted 2025]]/$L654,0)</f>
        <v>1</v>
      </c>
      <c r="BC654" s="77">
        <f>ROUNDUP(tbl_Data[[#This Row],[Adjusted 2026]]/$L654,0)</f>
        <v>1</v>
      </c>
      <c r="BD654" s="77">
        <f>ROUNDUP(tbl_Data[[#This Row],[Adjusted 2027]]/$L654,0)</f>
        <v>1</v>
      </c>
      <c r="BE654" s="77">
        <f>ROUNDUP(tbl_Data[[#This Row],[Adjusted 2028]]/$L654,0)</f>
        <v>1</v>
      </c>
      <c r="BF654" s="77">
        <f>ROUNDUP(tbl_Data[[#This Row],[Adjusted 2029]]/$L654,0)</f>
        <v>1</v>
      </c>
      <c r="BG654" s="77">
        <f>ROUNDUP(tbl_Data[[#This Row],[Adjusted 2030]]/$L654,0)</f>
        <v>1</v>
      </c>
      <c r="BH654" s="77">
        <f>ROUNDUP(tbl_Data[[#This Row],[Adjusted 2031]]/$L654,0)</f>
        <v>1</v>
      </c>
      <c r="BI654" s="77">
        <f>ROUNDUP(tbl_Data[[#This Row],[Adjusted 2032]]/$L654,0)</f>
        <v>1</v>
      </c>
      <c r="BJ654" s="77">
        <f>ROUNDUP(tbl_Data[[#This Row],[Adjusted 2033]]/$L654,0)</f>
        <v>1</v>
      </c>
      <c r="BK654" s="77">
        <f>ROUNDUP(tbl_Data[[#This Row],[Adjusted 2034]]/$L654,0)</f>
        <v>1</v>
      </c>
      <c r="BL654" s="80">
        <f t="shared" si="254"/>
        <v>0</v>
      </c>
      <c r="BM654" s="80">
        <f t="shared" si="255"/>
        <v>0</v>
      </c>
      <c r="BN654" s="80">
        <f t="shared" si="256"/>
        <v>0</v>
      </c>
      <c r="BO654" s="80">
        <f t="shared" si="257"/>
        <v>0</v>
      </c>
      <c r="BP654" s="80">
        <f t="shared" si="258"/>
        <v>0</v>
      </c>
      <c r="BQ654" s="80">
        <f t="shared" si="259"/>
        <v>0</v>
      </c>
      <c r="BR654" s="80">
        <f t="shared" si="260"/>
        <v>0</v>
      </c>
      <c r="BS654" s="80">
        <f t="shared" si="261"/>
        <v>0</v>
      </c>
      <c r="BT654" s="80">
        <f t="shared" si="262"/>
        <v>0</v>
      </c>
      <c r="BU654" s="80">
        <f t="shared" si="263"/>
        <v>0</v>
      </c>
      <c r="BV654" s="80" t="str">
        <f>IFERROR(VLOOKUP($H654,'1. Set Program Names'!$B$2:$D$15,3,0)*V654,"NA")</f>
        <v>NA</v>
      </c>
      <c r="BW654" s="80" t="str">
        <f>IFERROR(VLOOKUP($H654,'1. Set Program Names'!$B$2:$D$15,3,0)*W654,"NA")</f>
        <v>NA</v>
      </c>
      <c r="BX654" s="80" t="str">
        <f>IFERROR(VLOOKUP($H654,'1. Set Program Names'!$B$2:$D$15,3,0)*X654,"NA")</f>
        <v>NA</v>
      </c>
      <c r="BY654" s="80" t="str">
        <f>IFERROR(VLOOKUP($H654,'1. Set Program Names'!$B$2:$D$15,3,0)*Y654,"NA")</f>
        <v>NA</v>
      </c>
      <c r="BZ654" s="80" t="str">
        <f>IFERROR(VLOOKUP($H654,'1. Set Program Names'!$B$2:$D$15,3,0)*Z654,"NA")</f>
        <v>NA</v>
      </c>
      <c r="CA654" s="80" t="str">
        <f>IFERROR(VLOOKUP($H654,'1. Set Program Names'!$B$2:$D$15,3,0)*AA654,"NA")</f>
        <v>NA</v>
      </c>
      <c r="CB654" s="80" t="str">
        <f>IFERROR(VLOOKUP($H654,'1. Set Program Names'!$B$2:$D$15,3,0)*AB654,"NA")</f>
        <v>NA</v>
      </c>
      <c r="CC654" s="80" t="str">
        <f>IFERROR(VLOOKUP($H654,'1. Set Program Names'!$B$2:$D$15,3,0)*AC654,"NA")</f>
        <v>NA</v>
      </c>
      <c r="CD654" s="80" t="str">
        <f>IFERROR(VLOOKUP($H654,'1. Set Program Names'!$B$2:$D$15,3,0)*AD654,"NA")</f>
        <v>NA</v>
      </c>
      <c r="CE654" s="80" t="str">
        <f>IFERROR(VLOOKUP($H654,'1. Set Program Names'!$B$2:$D$15,3,0)*AE654,"NA")</f>
        <v>NA</v>
      </c>
    </row>
    <row r="655" spans="1:83" x14ac:dyDescent="0.25">
      <c r="A655" s="79" t="s">
        <v>117</v>
      </c>
      <c r="B655" s="79" t="s">
        <v>88</v>
      </c>
      <c r="C655" s="79" t="s">
        <v>122</v>
      </c>
      <c r="D655" s="79" t="s">
        <v>90</v>
      </c>
      <c r="E655" s="79" t="s">
        <v>91</v>
      </c>
      <c r="F655" s="79" t="s">
        <v>90</v>
      </c>
      <c r="G655" s="79" t="s">
        <v>92</v>
      </c>
      <c r="H655" s="79" t="s">
        <v>268</v>
      </c>
      <c r="I655" s="79" t="s">
        <v>135</v>
      </c>
      <c r="J655" s="79" t="s">
        <v>134</v>
      </c>
      <c r="K655" s="79" t="s">
        <v>98</v>
      </c>
      <c r="L655" s="79">
        <v>6368</v>
      </c>
      <c r="M655" s="79">
        <v>0.60494632768604495</v>
      </c>
      <c r="N655" s="79">
        <v>0.53529110623606202</v>
      </c>
      <c r="O655" s="79">
        <v>1580</v>
      </c>
      <c r="P655" s="79">
        <v>270.05813353350197</v>
      </c>
      <c r="Q655" s="79">
        <v>6.3680000000000003</v>
      </c>
      <c r="R655" s="79">
        <v>1963.2041057461399</v>
      </c>
      <c r="S655" s="79">
        <v>5968.19517810463</v>
      </c>
      <c r="T655" s="79">
        <v>12</v>
      </c>
      <c r="U655" s="79">
        <v>1</v>
      </c>
      <c r="V655" s="79">
        <f>tbl_Data_old[[#This Row],[2025 ]]*IFERROR(AVERAGEIFS('Participation Adjustment'!$C:$C,'Participation Adjustment'!$A:$A,$H655,'Participation Adjustment'!$B:$B,$I655),1)</f>
        <v>2.8004904000227402</v>
      </c>
      <c r="W655" s="79">
        <f>tbl_Data_old[[#This Row],[2026 ]]*IFERROR(AVERAGEIFS('Participation Adjustment'!$C:$C,'Participation Adjustment'!$A:$A,$H655,'Participation Adjustment'!$B:$B,$I655),1)</f>
        <v>6.6466093022501704</v>
      </c>
      <c r="X655" s="79">
        <f>tbl_Data_old[[#This Row],[2027 ]]*IFERROR(AVERAGEIFS('Participation Adjustment'!$C:$C,'Participation Adjustment'!$A:$A,$H655,'Participation Adjustment'!$B:$B,$I655),1)</f>
        <v>11.6532450897248</v>
      </c>
      <c r="Y655" s="79">
        <f>tbl_Data_old[[#This Row],[2028 ]]*IFERROR(AVERAGEIFS('Participation Adjustment'!$C:$C,'Participation Adjustment'!$A:$A,$H655,'Participation Adjustment'!$B:$B,$I655),1)</f>
        <v>17.883507398296398</v>
      </c>
      <c r="Z655" s="79">
        <f>tbl_Data_old[[#This Row],[2029 ]]*IFERROR(AVERAGEIFS('Participation Adjustment'!$C:$C,'Participation Adjustment'!$A:$A,$H655,'Participation Adjustment'!$B:$B,$I655),1)</f>
        <v>25.300364036500799</v>
      </c>
      <c r="AA655" s="79">
        <f>tbl_Data_old[[#This Row],[2030 ]]*IFERROR(AVERAGEIFS('Participation Adjustment'!$C:$C,'Participation Adjustment'!$A:$A,$H655,'Participation Adjustment'!$B:$B,$I655),1)</f>
        <v>33.7634915243938</v>
      </c>
      <c r="AB655" s="79">
        <f>tbl_Data_old[[#This Row],[2031 ]]*IFERROR(AVERAGEIFS('Participation Adjustment'!$C:$C,'Participation Adjustment'!$A:$A,$H655,'Participation Adjustment'!$B:$B,$I655),1)</f>
        <v>43.070209149303501</v>
      </c>
      <c r="AC655" s="79">
        <f>tbl_Data_old[[#This Row],[2032 ]]*IFERROR(AVERAGEIFS('Participation Adjustment'!$C:$C,'Participation Adjustment'!$A:$A,$H655,'Participation Adjustment'!$B:$B,$I655),1)</f>
        <v>53.022237959729303</v>
      </c>
      <c r="AD655" s="79">
        <f>tbl_Data_old[[#This Row],[2033 ]]*IFERROR(AVERAGEIFS('Participation Adjustment'!$C:$C,'Participation Adjustment'!$A:$A,$H655,'Participation Adjustment'!$B:$B,$I655),1)</f>
        <v>63.452179106599402</v>
      </c>
      <c r="AE655" s="79">
        <f>tbl_Data_old[[#This Row],[2034 ]]*IFERROR(AVERAGEIFS('Participation Adjustment'!$C:$C,'Participation Adjustment'!$A:$A,$H655,'Participation Adjustment'!$B:$B,$I655),1)</f>
        <v>74.221358288055598</v>
      </c>
      <c r="AF655" s="77" t="str">
        <f t="shared" si="253"/>
        <v>NonResidential</v>
      </c>
      <c r="AG655" s="77" t="str">
        <f>tbl_Data[[#This Row],[All_Meas_Name_Append]]</f>
        <v>Energy Star Combination Oven</v>
      </c>
      <c r="AH655" s="77">
        <f>AVERAGEIFS('3. Incentive Adjustment'!G:G,'3. Incentive Adjustment'!A:A,tbl_Data[[#This Row],[Trimmed Sector]],'3. Incentive Adjustment'!B:B,tbl_Data[[#This Row],[Trimmed Measure Name]])</f>
        <v>0.89413714267910538</v>
      </c>
      <c r="AI655" s="77">
        <f>$AH655*tbl_Data[[#This Row],[2025 ]]</f>
        <v>2.5040224843765979</v>
      </c>
      <c r="AJ655" s="77">
        <f>$AH655*tbl_Data[[#This Row],[2026 ]]</f>
        <v>5.94298025001833</v>
      </c>
      <c r="AK655" s="77">
        <f>$AH655*tbl_Data[[#This Row],[2027 ]]</f>
        <v>10.419599267465848</v>
      </c>
      <c r="AL655" s="77">
        <f>$AH655*tbl_Data[[#This Row],[2028 ]]</f>
        <v>15.990308206193383</v>
      </c>
      <c r="AM655" s="77">
        <f>$AH655*tbl_Data[[#This Row],[2029 ]]</f>
        <v>22.621995208338021</v>
      </c>
      <c r="AN655" s="77">
        <f>$AH655*tbl_Data[[#This Row],[2030 ]]</f>
        <v>30.189191838491663</v>
      </c>
      <c r="AO655" s="77">
        <f>$AH655*tbl_Data[[#This Row],[2031 ]]</f>
        <v>38.510673743349692</v>
      </c>
      <c r="AP655" s="77">
        <f>$AH655*tbl_Data[[#This Row],[2032 ]]</f>
        <v>47.409152347763957</v>
      </c>
      <c r="AQ655" s="77">
        <f>$AH655*tbl_Data[[#This Row],[2033 ]]</f>
        <v>56.734950123137622</v>
      </c>
      <c r="AR655" s="77">
        <f>$AH655*tbl_Data[[#This Row],[2034 ]]</f>
        <v>66.364073225444173</v>
      </c>
      <c r="AS655" s="77">
        <f>SUM(tbl_Data[[#This Row],[Adjusted 2025]:[Adjusted 2034]])</f>
        <v>296.68694669457932</v>
      </c>
      <c r="AT655" s="80">
        <f>AVERAGEIFS('3. Incentive Adjustment'!F:F,'3. Incentive Adjustment'!A:A,tbl_Data[[#This Row],[Trimmed Sector]],'3. Incentive Adjustment'!B:B,tbl_Data[[#This Row],[Trimmed Measure Name]])</f>
        <v>0</v>
      </c>
      <c r="AU655" s="80">
        <f>IFERROR(VLOOKUP(tbl_Data[[#This Row],[All_Meas_Name_Append]],'IRA Tax Credits'!$A$3:$D$46,4,0),0)</f>
        <v>0</v>
      </c>
      <c r="AV655" s="81">
        <f>tbl_Data[[#This Row],[Adj. per unit Incentive ($)]]/tbl_Data[[#This Row],[kWh Savings]]*tbl_Data[[#This Row],[Sum of Annuals]]</f>
        <v>0</v>
      </c>
      <c r="AW655" s="81" t="str">
        <f>IFERROR(VLOOKUP(tbl_Data[[#This Row],[Column1]],'1. Set Program Names'!$B$2:$D$15,3,0)*tbl_Data[[#This Row],[Sum of Annuals]],"")</f>
        <v/>
      </c>
      <c r="AX655" s="81">
        <f>tbl_Data[[#This Row],[per unit IRA tax ($)]]/tbl_Data[[#This Row],[kWh Savings]]*tbl_Data[[#This Row],[Sum of Annuals]]</f>
        <v>0</v>
      </c>
      <c r="AY655" s="81">
        <f>tbl_Data[[#This Row],[Avoided Costs ($/unit)]]/tbl_Data[[#This Row],[kWh Savings]]*tbl_Data[[#This Row],[Sum of Annuals]]</f>
        <v>91.466242442224285</v>
      </c>
      <c r="AZ655" s="81">
        <f>tbl_Data[[#This Row],[Lost Revenue ($/unit)]]/tbl_Data[[#This Row],[kWh Savings]]*tbl_Data[[#This Row],[Sum of Annuals]]</f>
        <v>278.0599253563401</v>
      </c>
      <c r="BA655" s="81">
        <f>tbl_Data[[#This Row],[Incremental Cost ($/unit)]]/tbl_Data[[#This Row],[kWh Savings]]*tbl_Data[[#This Row],[Sum of Annuals]]</f>
        <v>73.612653231381174</v>
      </c>
      <c r="BB655" s="77">
        <f>ROUNDUP(tbl_Data[[#This Row],[Adjusted 2025]]/$L655,0)</f>
        <v>1</v>
      </c>
      <c r="BC655" s="77">
        <f>ROUNDUP(tbl_Data[[#This Row],[Adjusted 2026]]/$L655,0)</f>
        <v>1</v>
      </c>
      <c r="BD655" s="77">
        <f>ROUNDUP(tbl_Data[[#This Row],[Adjusted 2027]]/$L655,0)</f>
        <v>1</v>
      </c>
      <c r="BE655" s="77">
        <f>ROUNDUP(tbl_Data[[#This Row],[Adjusted 2028]]/$L655,0)</f>
        <v>1</v>
      </c>
      <c r="BF655" s="77">
        <f>ROUNDUP(tbl_Data[[#This Row],[Adjusted 2029]]/$L655,0)</f>
        <v>1</v>
      </c>
      <c r="BG655" s="77">
        <f>ROUNDUP(tbl_Data[[#This Row],[Adjusted 2030]]/$L655,0)</f>
        <v>1</v>
      </c>
      <c r="BH655" s="77">
        <f>ROUNDUP(tbl_Data[[#This Row],[Adjusted 2031]]/$L655,0)</f>
        <v>1</v>
      </c>
      <c r="BI655" s="77">
        <f>ROUNDUP(tbl_Data[[#This Row],[Adjusted 2032]]/$L655,0)</f>
        <v>1</v>
      </c>
      <c r="BJ655" s="77">
        <f>ROUNDUP(tbl_Data[[#This Row],[Adjusted 2033]]/$L655,0)</f>
        <v>1</v>
      </c>
      <c r="BK655" s="77">
        <f>ROUNDUP(tbl_Data[[#This Row],[Adjusted 2034]]/$L655,0)</f>
        <v>1</v>
      </c>
      <c r="BL655" s="80">
        <f t="shared" si="254"/>
        <v>0</v>
      </c>
      <c r="BM655" s="80">
        <f t="shared" si="255"/>
        <v>0</v>
      </c>
      <c r="BN655" s="80">
        <f t="shared" si="256"/>
        <v>0</v>
      </c>
      <c r="BO655" s="80">
        <f t="shared" si="257"/>
        <v>0</v>
      </c>
      <c r="BP655" s="80">
        <f t="shared" si="258"/>
        <v>0</v>
      </c>
      <c r="BQ655" s="80">
        <f t="shared" si="259"/>
        <v>0</v>
      </c>
      <c r="BR655" s="80">
        <f t="shared" si="260"/>
        <v>0</v>
      </c>
      <c r="BS655" s="80">
        <f t="shared" si="261"/>
        <v>0</v>
      </c>
      <c r="BT655" s="80">
        <f t="shared" si="262"/>
        <v>0</v>
      </c>
      <c r="BU655" s="80">
        <f t="shared" si="263"/>
        <v>0</v>
      </c>
      <c r="BV655" s="80" t="str">
        <f>IFERROR(VLOOKUP($H655,'1. Set Program Names'!$B$2:$D$15,3,0)*V655,"NA")</f>
        <v>NA</v>
      </c>
      <c r="BW655" s="80" t="str">
        <f>IFERROR(VLOOKUP($H655,'1. Set Program Names'!$B$2:$D$15,3,0)*W655,"NA")</f>
        <v>NA</v>
      </c>
      <c r="BX655" s="80" t="str">
        <f>IFERROR(VLOOKUP($H655,'1. Set Program Names'!$B$2:$D$15,3,0)*X655,"NA")</f>
        <v>NA</v>
      </c>
      <c r="BY655" s="80" t="str">
        <f>IFERROR(VLOOKUP($H655,'1. Set Program Names'!$B$2:$D$15,3,0)*Y655,"NA")</f>
        <v>NA</v>
      </c>
      <c r="BZ655" s="80" t="str">
        <f>IFERROR(VLOOKUP($H655,'1. Set Program Names'!$B$2:$D$15,3,0)*Z655,"NA")</f>
        <v>NA</v>
      </c>
      <c r="CA655" s="80" t="str">
        <f>IFERROR(VLOOKUP($H655,'1. Set Program Names'!$B$2:$D$15,3,0)*AA655,"NA")</f>
        <v>NA</v>
      </c>
      <c r="CB655" s="80" t="str">
        <f>IFERROR(VLOOKUP($H655,'1. Set Program Names'!$B$2:$D$15,3,0)*AB655,"NA")</f>
        <v>NA</v>
      </c>
      <c r="CC655" s="80" t="str">
        <f>IFERROR(VLOOKUP($H655,'1. Set Program Names'!$B$2:$D$15,3,0)*AC655,"NA")</f>
        <v>NA</v>
      </c>
      <c r="CD655" s="80" t="str">
        <f>IFERROR(VLOOKUP($H655,'1. Set Program Names'!$B$2:$D$15,3,0)*AD655,"NA")</f>
        <v>NA</v>
      </c>
      <c r="CE655" s="80" t="str">
        <f>IFERROR(VLOOKUP($H655,'1. Set Program Names'!$B$2:$D$15,3,0)*AE655,"NA")</f>
        <v>NA</v>
      </c>
    </row>
    <row r="656" spans="1:83" x14ac:dyDescent="0.25">
      <c r="A656" s="79" t="s">
        <v>117</v>
      </c>
      <c r="B656" s="79" t="s">
        <v>88</v>
      </c>
      <c r="C656" s="79" t="s">
        <v>122</v>
      </c>
      <c r="D656" s="79" t="s">
        <v>90</v>
      </c>
      <c r="E656" s="79" t="s">
        <v>91</v>
      </c>
      <c r="F656" s="79" t="s">
        <v>90</v>
      </c>
      <c r="G656" s="79" t="s">
        <v>92</v>
      </c>
      <c r="H656" s="79" t="s">
        <v>268</v>
      </c>
      <c r="I656" s="79" t="s">
        <v>136</v>
      </c>
      <c r="J656" s="79" t="s">
        <v>137</v>
      </c>
      <c r="K656" s="79" t="s">
        <v>104</v>
      </c>
      <c r="L656" s="79">
        <v>810.099999999999</v>
      </c>
      <c r="M656" s="79">
        <v>0.128563724196602</v>
      </c>
      <c r="N656" s="79">
        <v>0.13252898089850401</v>
      </c>
      <c r="O656" s="79">
        <v>224</v>
      </c>
      <c r="P656" s="79">
        <v>57.356798677055799</v>
      </c>
      <c r="Q656" s="79">
        <v>0.81009999999999904</v>
      </c>
      <c r="R656" s="79">
        <v>239.61317678792901</v>
      </c>
      <c r="S656" s="79">
        <v>505.19538551625698</v>
      </c>
      <c r="T656" s="79">
        <v>7</v>
      </c>
      <c r="U656" s="79">
        <v>1</v>
      </c>
      <c r="V656" s="79">
        <f>tbl_Data_old[[#This Row],[2025 ]]*IFERROR(AVERAGEIFS('Participation Adjustment'!$C:$C,'Participation Adjustment'!$A:$A,$H656,'Participation Adjustment'!$B:$B,$I656),1)</f>
        <v>3.3245875363255002</v>
      </c>
      <c r="W656" s="79">
        <f>tbl_Data_old[[#This Row],[2026 ]]*IFERROR(AVERAGEIFS('Participation Adjustment'!$C:$C,'Participation Adjustment'!$A:$A,$H656,'Participation Adjustment'!$B:$B,$I656),1)</f>
        <v>7.9483086736583397</v>
      </c>
      <c r="X656" s="79">
        <f>tbl_Data_old[[#This Row],[2027 ]]*IFERROR(AVERAGEIFS('Participation Adjustment'!$C:$C,'Participation Adjustment'!$A:$A,$H656,'Participation Adjustment'!$B:$B,$I656),1)</f>
        <v>14.0342228691602</v>
      </c>
      <c r="Y656" s="79">
        <f>tbl_Data_old[[#This Row],[2028 ]]*IFERROR(AVERAGEIFS('Participation Adjustment'!$C:$C,'Participation Adjustment'!$A:$A,$H656,'Participation Adjustment'!$B:$B,$I656),1)</f>
        <v>21.689686027427101</v>
      </c>
      <c r="Z656" s="79">
        <f>tbl_Data_old[[#This Row],[2029 ]]*IFERROR(AVERAGEIFS('Participation Adjustment'!$C:$C,'Participation Adjustment'!$A:$A,$H656,'Participation Adjustment'!$B:$B,$I656),1)</f>
        <v>30.9042131525059</v>
      </c>
      <c r="AA656" s="79">
        <f>tbl_Data_old[[#This Row],[2030 ]]*IFERROR(AVERAGEIFS('Participation Adjustment'!$C:$C,'Participation Adjustment'!$A:$A,$H656,'Participation Adjustment'!$B:$B,$I656),1)</f>
        <v>41.532605015367501</v>
      </c>
      <c r="AB656" s="79">
        <f>tbl_Data_old[[#This Row],[2031 ]]*IFERROR(AVERAGEIFS('Participation Adjustment'!$C:$C,'Participation Adjustment'!$A:$A,$H656,'Participation Adjustment'!$B:$B,$I656),1)</f>
        <v>53.350480546628397</v>
      </c>
      <c r="AC656" s="79">
        <f>tbl_Data_old[[#This Row],[2032 ]]*IFERROR(AVERAGEIFS('Participation Adjustment'!$C:$C,'Participation Adjustment'!$A:$A,$H656,'Participation Adjustment'!$B:$B,$I656),1)</f>
        <v>62.806446771580497</v>
      </c>
      <c r="AD656" s="79">
        <f>tbl_Data_old[[#This Row],[2033 ]]*IFERROR(AVERAGEIFS('Participation Adjustment'!$C:$C,'Participation Adjustment'!$A:$A,$H656,'Participation Adjustment'!$B:$B,$I656),1)</f>
        <v>71.723853544683195</v>
      </c>
      <c r="AE656" s="79">
        <f>tbl_Data_old[[#This Row],[2034 ]]*IFERROR(AVERAGEIFS('Participation Adjustment'!$C:$C,'Participation Adjustment'!$A:$A,$H656,'Participation Adjustment'!$B:$B,$I656),1)</f>
        <v>79.776853426514194</v>
      </c>
      <c r="AF656" s="77" t="str">
        <f t="shared" si="253"/>
        <v>NonResidential</v>
      </c>
      <c r="AG656" s="77" t="str">
        <f>tbl_Data[[#This Row],[All_Meas_Name_Append]]</f>
        <v>Energy Star Commercial Clothes Washer</v>
      </c>
      <c r="AH656" s="77">
        <f>AVERAGEIFS('3. Incentive Adjustment'!G:G,'3. Incentive Adjustment'!A:A,tbl_Data[[#This Row],[Trimmed Sector]],'3. Incentive Adjustment'!B:B,tbl_Data[[#This Row],[Trimmed Measure Name]])</f>
        <v>0.82959886877160749</v>
      </c>
      <c r="AI656" s="77">
        <f>$AH656*tbl_Data[[#This Row],[2025 ]]</f>
        <v>2.7580740592678206</v>
      </c>
      <c r="AJ656" s="77">
        <f>$AH656*tbl_Data[[#This Row],[2026 ]]</f>
        <v>6.5939078843145147</v>
      </c>
      <c r="AK656" s="77">
        <f>$AH656*tbl_Data[[#This Row],[2027 ]]</f>
        <v>11.642775416343925</v>
      </c>
      <c r="AL656" s="77">
        <f>$AH656*tbl_Data[[#This Row],[2028 ]]</f>
        <v>17.993738992364865</v>
      </c>
      <c r="AM656" s="77">
        <f>$AH656*tbl_Data[[#This Row],[2029 ]]</f>
        <v>25.63810027159553</v>
      </c>
      <c r="AN656" s="77">
        <f>$AH656*tbl_Data[[#This Row],[2030 ]]</f>
        <v>34.455402137886871</v>
      </c>
      <c r="AO656" s="77">
        <f>$AH656*tbl_Data[[#This Row],[2031 ]]</f>
        <v>44.259498309904572</v>
      </c>
      <c r="AP656" s="77">
        <f>$AH656*tbl_Data[[#This Row],[2032 ]]</f>
        <v>52.104157193267362</v>
      </c>
      <c r="AQ656" s="77">
        <f>$AH656*tbl_Data[[#This Row],[2033 ]]</f>
        <v>59.502027764609629</v>
      </c>
      <c r="AR656" s="77">
        <f>$AH656*tbl_Data[[#This Row],[2034 ]]</f>
        <v>66.18278735679452</v>
      </c>
      <c r="AS656" s="77">
        <f>SUM(tbl_Data[[#This Row],[Adjusted 2025]:[Adjusted 2034]])</f>
        <v>321.1304693863496</v>
      </c>
      <c r="AT656" s="80">
        <f>AVERAGEIFS('3. Incentive Adjustment'!F:F,'3. Incentive Adjustment'!A:A,tbl_Data[[#This Row],[Trimmed Sector]],'3. Incentive Adjustment'!B:B,tbl_Data[[#This Row],[Trimmed Measure Name]])</f>
        <v>0</v>
      </c>
      <c r="AU656" s="80">
        <f>IFERROR(VLOOKUP(tbl_Data[[#This Row],[All_Meas_Name_Append]],'IRA Tax Credits'!$A$3:$D$46,4,0),0)</f>
        <v>0</v>
      </c>
      <c r="AV656" s="81">
        <f>tbl_Data[[#This Row],[Adj. per unit Incentive ($)]]/tbl_Data[[#This Row],[kWh Savings]]*tbl_Data[[#This Row],[Sum of Annuals]]</f>
        <v>0</v>
      </c>
      <c r="AW656" s="81" t="str">
        <f>IFERROR(VLOOKUP(tbl_Data[[#This Row],[Column1]],'1. Set Program Names'!$B$2:$D$15,3,0)*tbl_Data[[#This Row],[Sum of Annuals]],"")</f>
        <v/>
      </c>
      <c r="AX656" s="81">
        <f>tbl_Data[[#This Row],[per unit IRA tax ($)]]/tbl_Data[[#This Row],[kWh Savings]]*tbl_Data[[#This Row],[Sum of Annuals]]</f>
        <v>0</v>
      </c>
      <c r="AY656" s="81">
        <f>tbl_Data[[#This Row],[Avoided Costs ($/unit)]]/tbl_Data[[#This Row],[kWh Savings]]*tbl_Data[[#This Row],[Sum of Annuals]]</f>
        <v>94.984683289793992</v>
      </c>
      <c r="AZ656" s="81">
        <f>tbl_Data[[#This Row],[Lost Revenue ($/unit)]]/tbl_Data[[#This Row],[kWh Savings]]*tbl_Data[[#This Row],[Sum of Annuals]]</f>
        <v>200.26370976750232</v>
      </c>
      <c r="BA656" s="81">
        <f>tbl_Data[[#This Row],[Incremental Cost ($/unit)]]/tbl_Data[[#This Row],[kWh Savings]]*tbl_Data[[#This Row],[Sum of Annuals]]</f>
        <v>88.795488387288486</v>
      </c>
      <c r="BB656" s="77">
        <f>ROUNDUP(tbl_Data[[#This Row],[Adjusted 2025]]/$L656,0)</f>
        <v>1</v>
      </c>
      <c r="BC656" s="77">
        <f>ROUNDUP(tbl_Data[[#This Row],[Adjusted 2026]]/$L656,0)</f>
        <v>1</v>
      </c>
      <c r="BD656" s="77">
        <f>ROUNDUP(tbl_Data[[#This Row],[Adjusted 2027]]/$L656,0)</f>
        <v>1</v>
      </c>
      <c r="BE656" s="77">
        <f>ROUNDUP(tbl_Data[[#This Row],[Adjusted 2028]]/$L656,0)</f>
        <v>1</v>
      </c>
      <c r="BF656" s="77">
        <f>ROUNDUP(tbl_Data[[#This Row],[Adjusted 2029]]/$L656,0)</f>
        <v>1</v>
      </c>
      <c r="BG656" s="77">
        <f>ROUNDUP(tbl_Data[[#This Row],[Adjusted 2030]]/$L656,0)</f>
        <v>1</v>
      </c>
      <c r="BH656" s="77">
        <f>ROUNDUP(tbl_Data[[#This Row],[Adjusted 2031]]/$L656,0)</f>
        <v>1</v>
      </c>
      <c r="BI656" s="77">
        <f>ROUNDUP(tbl_Data[[#This Row],[Adjusted 2032]]/$L656,0)</f>
        <v>1</v>
      </c>
      <c r="BJ656" s="77">
        <f>ROUNDUP(tbl_Data[[#This Row],[Adjusted 2033]]/$L656,0)</f>
        <v>1</v>
      </c>
      <c r="BK656" s="77">
        <f>ROUNDUP(tbl_Data[[#This Row],[Adjusted 2034]]/$L656,0)</f>
        <v>1</v>
      </c>
      <c r="BL656" s="80">
        <f t="shared" si="254"/>
        <v>0</v>
      </c>
      <c r="BM656" s="80">
        <f t="shared" si="255"/>
        <v>0</v>
      </c>
      <c r="BN656" s="80">
        <f t="shared" si="256"/>
        <v>0</v>
      </c>
      <c r="BO656" s="80">
        <f t="shared" si="257"/>
        <v>0</v>
      </c>
      <c r="BP656" s="80">
        <f t="shared" si="258"/>
        <v>0</v>
      </c>
      <c r="BQ656" s="80">
        <f t="shared" si="259"/>
        <v>0</v>
      </c>
      <c r="BR656" s="80">
        <f t="shared" si="260"/>
        <v>0</v>
      </c>
      <c r="BS656" s="80">
        <f t="shared" si="261"/>
        <v>0</v>
      </c>
      <c r="BT656" s="80">
        <f t="shared" si="262"/>
        <v>0</v>
      </c>
      <c r="BU656" s="80">
        <f t="shared" si="263"/>
        <v>0</v>
      </c>
      <c r="BV656" s="80" t="str">
        <f>IFERROR(VLOOKUP($H656,'1. Set Program Names'!$B$2:$D$15,3,0)*V656,"NA")</f>
        <v>NA</v>
      </c>
      <c r="BW656" s="80" t="str">
        <f>IFERROR(VLOOKUP($H656,'1. Set Program Names'!$B$2:$D$15,3,0)*W656,"NA")</f>
        <v>NA</v>
      </c>
      <c r="BX656" s="80" t="str">
        <f>IFERROR(VLOOKUP($H656,'1. Set Program Names'!$B$2:$D$15,3,0)*X656,"NA")</f>
        <v>NA</v>
      </c>
      <c r="BY656" s="80" t="str">
        <f>IFERROR(VLOOKUP($H656,'1. Set Program Names'!$B$2:$D$15,3,0)*Y656,"NA")</f>
        <v>NA</v>
      </c>
      <c r="BZ656" s="80" t="str">
        <f>IFERROR(VLOOKUP($H656,'1. Set Program Names'!$B$2:$D$15,3,0)*Z656,"NA")</f>
        <v>NA</v>
      </c>
      <c r="CA656" s="80" t="str">
        <f>IFERROR(VLOOKUP($H656,'1. Set Program Names'!$B$2:$D$15,3,0)*AA656,"NA")</f>
        <v>NA</v>
      </c>
      <c r="CB656" s="80" t="str">
        <f>IFERROR(VLOOKUP($H656,'1. Set Program Names'!$B$2:$D$15,3,0)*AB656,"NA")</f>
        <v>NA</v>
      </c>
      <c r="CC656" s="80" t="str">
        <f>IFERROR(VLOOKUP($H656,'1. Set Program Names'!$B$2:$D$15,3,0)*AC656,"NA")</f>
        <v>NA</v>
      </c>
      <c r="CD656" s="80" t="str">
        <f>IFERROR(VLOOKUP($H656,'1. Set Program Names'!$B$2:$D$15,3,0)*AD656,"NA")</f>
        <v>NA</v>
      </c>
      <c r="CE656" s="80" t="str">
        <f>IFERROR(VLOOKUP($H656,'1. Set Program Names'!$B$2:$D$15,3,0)*AE656,"NA")</f>
        <v>NA</v>
      </c>
    </row>
    <row r="657" spans="1:83" x14ac:dyDescent="0.25">
      <c r="A657" s="79" t="s">
        <v>117</v>
      </c>
      <c r="B657" s="79" t="s">
        <v>88</v>
      </c>
      <c r="C657" s="79" t="s">
        <v>122</v>
      </c>
      <c r="D657" s="79" t="s">
        <v>90</v>
      </c>
      <c r="E657" s="79" t="s">
        <v>91</v>
      </c>
      <c r="F657" s="79" t="s">
        <v>90</v>
      </c>
      <c r="G657" s="79" t="s">
        <v>92</v>
      </c>
      <c r="H657" s="79" t="s">
        <v>268</v>
      </c>
      <c r="I657" s="79" t="s">
        <v>138</v>
      </c>
      <c r="J657" s="79" t="s">
        <v>124</v>
      </c>
      <c r="K657" s="79" t="s">
        <v>98</v>
      </c>
      <c r="L657" s="79">
        <v>4708.5</v>
      </c>
      <c r="M657" s="79">
        <v>0.683430781395169</v>
      </c>
      <c r="N657" s="79">
        <v>0.60632419999120102</v>
      </c>
      <c r="O657" s="79">
        <v>1154.6399999999901</v>
      </c>
      <c r="P657" s="79">
        <v>186.06881936911</v>
      </c>
      <c r="Q657" s="79">
        <v>4.7084999999999999</v>
      </c>
      <c r="R657" s="79">
        <v>1872.3805627056299</v>
      </c>
      <c r="S657" s="79">
        <v>4412.8842644638298</v>
      </c>
      <c r="T657" s="79">
        <v>12</v>
      </c>
      <c r="U657" s="79">
        <v>1</v>
      </c>
      <c r="V657" s="79">
        <f>tbl_Data_old[[#This Row],[2025 ]]*IFERROR(AVERAGEIFS('Participation Adjustment'!$C:$C,'Participation Adjustment'!$A:$A,$H657,'Participation Adjustment'!$B:$B,$I657),1)</f>
        <v>3.9961486146743499</v>
      </c>
      <c r="W657" s="79">
        <f>tbl_Data_old[[#This Row],[2026 ]]*IFERROR(AVERAGEIFS('Participation Adjustment'!$C:$C,'Participation Adjustment'!$A:$A,$H657,'Participation Adjustment'!$B:$B,$I657),1)</f>
        <v>9.5241251486651208</v>
      </c>
      <c r="X657" s="79">
        <f>tbl_Data_old[[#This Row],[2027 ]]*IFERROR(AVERAGEIFS('Participation Adjustment'!$C:$C,'Participation Adjustment'!$A:$A,$H657,'Participation Adjustment'!$B:$B,$I657),1)</f>
        <v>16.773935063354799</v>
      </c>
      <c r="Y657" s="79">
        <f>tbl_Data_old[[#This Row],[2028 ]]*IFERROR(AVERAGEIFS('Participation Adjustment'!$C:$C,'Participation Adjustment'!$A:$A,$H657,'Participation Adjustment'!$B:$B,$I657),1)</f>
        <v>25.863419705186701</v>
      </c>
      <c r="Z657" s="79">
        <f>tbl_Data_old[[#This Row],[2029 ]]*IFERROR(AVERAGEIFS('Participation Adjustment'!$C:$C,'Participation Adjustment'!$A:$A,$H657,'Participation Adjustment'!$B:$B,$I657),1)</f>
        <v>36.764865146864203</v>
      </c>
      <c r="AA657" s="79">
        <f>tbl_Data_old[[#This Row],[2030 ]]*IFERROR(AVERAGEIFS('Participation Adjustment'!$C:$C,'Participation Adjustment'!$A:$A,$H657,'Participation Adjustment'!$B:$B,$I657),1)</f>
        <v>49.297472476097802</v>
      </c>
      <c r="AB657" s="79">
        <f>tbl_Data_old[[#This Row],[2031 ]]*IFERROR(AVERAGEIFS('Participation Adjustment'!$C:$C,'Participation Adjustment'!$A:$A,$H657,'Participation Adjustment'!$B:$B,$I657),1)</f>
        <v>63.182062069357002</v>
      </c>
      <c r="AC657" s="79">
        <f>tbl_Data_old[[#This Row],[2032 ]]*IFERROR(AVERAGEIFS('Participation Adjustment'!$C:$C,'Participation Adjustment'!$A:$A,$H657,'Participation Adjustment'!$B:$B,$I657),1)</f>
        <v>78.1396456322002</v>
      </c>
      <c r="AD657" s="79">
        <f>tbl_Data_old[[#This Row],[2033 ]]*IFERROR(AVERAGEIFS('Participation Adjustment'!$C:$C,'Participation Adjustment'!$A:$A,$H657,'Participation Adjustment'!$B:$B,$I657),1)</f>
        <v>93.933047357395793</v>
      </c>
      <c r="AE657" s="79">
        <f>tbl_Data_old[[#This Row],[2034 ]]*IFERROR(AVERAGEIFS('Participation Adjustment'!$C:$C,'Participation Adjustment'!$A:$A,$H657,'Participation Adjustment'!$B:$B,$I657),1)</f>
        <v>110.36183783667499</v>
      </c>
      <c r="AF657" s="77" t="str">
        <f t="shared" si="253"/>
        <v>NonResidential</v>
      </c>
      <c r="AG657" s="77" t="str">
        <f>tbl_Data[[#This Row],[All_Meas_Name_Append]]</f>
        <v>Energy Star Commercial Glass Door Freezer</v>
      </c>
      <c r="AH657" s="77">
        <f>AVERAGEIFS('3. Incentive Adjustment'!G:G,'3. Incentive Adjustment'!A:A,tbl_Data[[#This Row],[Trimmed Sector]],'3. Incentive Adjustment'!B:B,tbl_Data[[#This Row],[Trimmed Measure Name]])</f>
        <v>0.90098363397891501</v>
      </c>
      <c r="AI657" s="77">
        <f>$AH657*tbl_Data[[#This Row],[2025 ]]</f>
        <v>3.6004645007691027</v>
      </c>
      <c r="AJ657" s="77">
        <f>$AH657*tbl_Data[[#This Row],[2026 ]]</f>
        <v>8.5810808869142754</v>
      </c>
      <c r="AK657" s="77">
        <f>$AH657*tbl_Data[[#This Row],[2027 ]]</f>
        <v>15.113040969507749</v>
      </c>
      <c r="AL657" s="77">
        <f>$AH657*tbl_Data[[#This Row],[2028 ]]</f>
        <v>23.302517873100992</v>
      </c>
      <c r="AM657" s="77">
        <f>$AH657*tbl_Data[[#This Row],[2029 ]]</f>
        <v>33.124541802766466</v>
      </c>
      <c r="AN657" s="77">
        <f>$AH657*tbl_Data[[#This Row],[2030 ]]</f>
        <v>44.41621589749014</v>
      </c>
      <c r="AO657" s="77">
        <f>$AH657*tbl_Data[[#This Row],[2031 ]]</f>
        <v>56.926003885530641</v>
      </c>
      <c r="AP657" s="77">
        <f>$AH657*tbl_Data[[#This Row],[2032 ]]</f>
        <v>70.402541879524392</v>
      </c>
      <c r="AQ657" s="77">
        <f>$AH657*tbl_Data[[#This Row],[2033 ]]</f>
        <v>84.632138358779983</v>
      </c>
      <c r="AR657" s="77">
        <f>$AH657*tbl_Data[[#This Row],[2034 ]]</f>
        <v>99.434209706679155</v>
      </c>
      <c r="AS657" s="77">
        <f>SUM(tbl_Data[[#This Row],[Adjusted 2025]:[Adjusted 2034]])</f>
        <v>439.5327557610629</v>
      </c>
      <c r="AT657" s="80">
        <f>AVERAGEIFS('3. Incentive Adjustment'!F:F,'3. Incentive Adjustment'!A:A,tbl_Data[[#This Row],[Trimmed Sector]],'3. Incentive Adjustment'!B:B,tbl_Data[[#This Row],[Trimmed Measure Name]])</f>
        <v>0</v>
      </c>
      <c r="AU657" s="80">
        <f>IFERROR(VLOOKUP(tbl_Data[[#This Row],[All_Meas_Name_Append]],'IRA Tax Credits'!$A$3:$D$46,4,0),0)</f>
        <v>0</v>
      </c>
      <c r="AV657" s="81">
        <f>tbl_Data[[#This Row],[Adj. per unit Incentive ($)]]/tbl_Data[[#This Row],[kWh Savings]]*tbl_Data[[#This Row],[Sum of Annuals]]</f>
        <v>0</v>
      </c>
      <c r="AW657" s="81" t="str">
        <f>IFERROR(VLOOKUP(tbl_Data[[#This Row],[Column1]],'1. Set Program Names'!$B$2:$D$15,3,0)*tbl_Data[[#This Row],[Sum of Annuals]],"")</f>
        <v/>
      </c>
      <c r="AX657" s="81">
        <f>tbl_Data[[#This Row],[per unit IRA tax ($)]]/tbl_Data[[#This Row],[kWh Savings]]*tbl_Data[[#This Row],[Sum of Annuals]]</f>
        <v>0</v>
      </c>
      <c r="AY657" s="81">
        <f>tbl_Data[[#This Row],[Avoided Costs ($/unit)]]/tbl_Data[[#This Row],[kWh Savings]]*tbl_Data[[#This Row],[Sum of Annuals]]</f>
        <v>174.78445121789429</v>
      </c>
      <c r="AZ657" s="81">
        <f>tbl_Data[[#This Row],[Lost Revenue ($/unit)]]/tbl_Data[[#This Row],[kWh Savings]]*tbl_Data[[#This Row],[Sum of Annuals]]</f>
        <v>411.93738592214464</v>
      </c>
      <c r="BA657" s="81">
        <f>tbl_Data[[#This Row],[Incremental Cost ($/unit)]]/tbl_Data[[#This Row],[kWh Savings]]*tbl_Data[[#This Row],[Sum of Annuals]]</f>
        <v>107.78424150195377</v>
      </c>
      <c r="BB657" s="77">
        <f>ROUNDUP(tbl_Data[[#This Row],[Adjusted 2025]]/$L657,0)</f>
        <v>1</v>
      </c>
      <c r="BC657" s="77">
        <f>ROUNDUP(tbl_Data[[#This Row],[Adjusted 2026]]/$L657,0)</f>
        <v>1</v>
      </c>
      <c r="BD657" s="77">
        <f>ROUNDUP(tbl_Data[[#This Row],[Adjusted 2027]]/$L657,0)</f>
        <v>1</v>
      </c>
      <c r="BE657" s="77">
        <f>ROUNDUP(tbl_Data[[#This Row],[Adjusted 2028]]/$L657,0)</f>
        <v>1</v>
      </c>
      <c r="BF657" s="77">
        <f>ROUNDUP(tbl_Data[[#This Row],[Adjusted 2029]]/$L657,0)</f>
        <v>1</v>
      </c>
      <c r="BG657" s="77">
        <f>ROUNDUP(tbl_Data[[#This Row],[Adjusted 2030]]/$L657,0)</f>
        <v>1</v>
      </c>
      <c r="BH657" s="77">
        <f>ROUNDUP(tbl_Data[[#This Row],[Adjusted 2031]]/$L657,0)</f>
        <v>1</v>
      </c>
      <c r="BI657" s="77">
        <f>ROUNDUP(tbl_Data[[#This Row],[Adjusted 2032]]/$L657,0)</f>
        <v>1</v>
      </c>
      <c r="BJ657" s="77">
        <f>ROUNDUP(tbl_Data[[#This Row],[Adjusted 2033]]/$L657,0)</f>
        <v>1</v>
      </c>
      <c r="BK657" s="77">
        <f>ROUNDUP(tbl_Data[[#This Row],[Adjusted 2034]]/$L657,0)</f>
        <v>1</v>
      </c>
      <c r="BL657" s="80">
        <f t="shared" si="254"/>
        <v>0</v>
      </c>
      <c r="BM657" s="80">
        <f t="shared" si="255"/>
        <v>0</v>
      </c>
      <c r="BN657" s="80">
        <f t="shared" si="256"/>
        <v>0</v>
      </c>
      <c r="BO657" s="80">
        <f t="shared" si="257"/>
        <v>0</v>
      </c>
      <c r="BP657" s="80">
        <f t="shared" si="258"/>
        <v>0</v>
      </c>
      <c r="BQ657" s="80">
        <f t="shared" si="259"/>
        <v>0</v>
      </c>
      <c r="BR657" s="80">
        <f t="shared" si="260"/>
        <v>0</v>
      </c>
      <c r="BS657" s="80">
        <f t="shared" si="261"/>
        <v>0</v>
      </c>
      <c r="BT657" s="80">
        <f t="shared" si="262"/>
        <v>0</v>
      </c>
      <c r="BU657" s="80">
        <f t="shared" si="263"/>
        <v>0</v>
      </c>
      <c r="BV657" s="80" t="str">
        <f>IFERROR(VLOOKUP($H657,'1. Set Program Names'!$B$2:$D$15,3,0)*V657,"NA")</f>
        <v>NA</v>
      </c>
      <c r="BW657" s="80" t="str">
        <f>IFERROR(VLOOKUP($H657,'1. Set Program Names'!$B$2:$D$15,3,0)*W657,"NA")</f>
        <v>NA</v>
      </c>
      <c r="BX657" s="80" t="str">
        <f>IFERROR(VLOOKUP($H657,'1. Set Program Names'!$B$2:$D$15,3,0)*X657,"NA")</f>
        <v>NA</v>
      </c>
      <c r="BY657" s="80" t="str">
        <f>IFERROR(VLOOKUP($H657,'1. Set Program Names'!$B$2:$D$15,3,0)*Y657,"NA")</f>
        <v>NA</v>
      </c>
      <c r="BZ657" s="80" t="str">
        <f>IFERROR(VLOOKUP($H657,'1. Set Program Names'!$B$2:$D$15,3,0)*Z657,"NA")</f>
        <v>NA</v>
      </c>
      <c r="CA657" s="80" t="str">
        <f>IFERROR(VLOOKUP($H657,'1. Set Program Names'!$B$2:$D$15,3,0)*AA657,"NA")</f>
        <v>NA</v>
      </c>
      <c r="CB657" s="80" t="str">
        <f>IFERROR(VLOOKUP($H657,'1. Set Program Names'!$B$2:$D$15,3,0)*AB657,"NA")</f>
        <v>NA</v>
      </c>
      <c r="CC657" s="80" t="str">
        <f>IFERROR(VLOOKUP($H657,'1. Set Program Names'!$B$2:$D$15,3,0)*AC657,"NA")</f>
        <v>NA</v>
      </c>
      <c r="CD657" s="80" t="str">
        <f>IFERROR(VLOOKUP($H657,'1. Set Program Names'!$B$2:$D$15,3,0)*AD657,"NA")</f>
        <v>NA</v>
      </c>
      <c r="CE657" s="80" t="str">
        <f>IFERROR(VLOOKUP($H657,'1. Set Program Names'!$B$2:$D$15,3,0)*AE657,"NA")</f>
        <v>NA</v>
      </c>
    </row>
    <row r="658" spans="1:83" x14ac:dyDescent="0.25">
      <c r="A658" s="79" t="s">
        <v>117</v>
      </c>
      <c r="B658" s="79" t="s">
        <v>88</v>
      </c>
      <c r="C658" s="79" t="s">
        <v>122</v>
      </c>
      <c r="D658" s="79" t="s">
        <v>90</v>
      </c>
      <c r="E658" s="79" t="s">
        <v>91</v>
      </c>
      <c r="F658" s="79" t="s">
        <v>90</v>
      </c>
      <c r="G658" s="79" t="s">
        <v>92</v>
      </c>
      <c r="H658" s="79" t="s">
        <v>268</v>
      </c>
      <c r="I658" s="79" t="s">
        <v>139</v>
      </c>
      <c r="J658" s="79" t="s">
        <v>134</v>
      </c>
      <c r="K658" s="79" t="s">
        <v>98</v>
      </c>
      <c r="L658" s="79">
        <v>1937</v>
      </c>
      <c r="M658" s="79">
        <v>0.24908899441118301</v>
      </c>
      <c r="N658" s="79">
        <v>0.21233623172368499</v>
      </c>
      <c r="O658" s="79">
        <v>631.37</v>
      </c>
      <c r="P658" s="79">
        <v>232.91563515301399</v>
      </c>
      <c r="Q658" s="79">
        <v>1.9370000000000001</v>
      </c>
      <c r="R658" s="79">
        <v>770.86000119756204</v>
      </c>
      <c r="S658" s="79">
        <v>2270.0548686653701</v>
      </c>
      <c r="T658" s="79">
        <v>17</v>
      </c>
      <c r="U658" s="79">
        <v>1</v>
      </c>
      <c r="V658" s="79">
        <f>tbl_Data_old[[#This Row],[2025 ]]*IFERROR(AVERAGEIFS('Participation Adjustment'!$C:$C,'Participation Adjustment'!$A:$A,$H658,'Participation Adjustment'!$B:$B,$I658),1)</f>
        <v>1.22448667173535</v>
      </c>
      <c r="W658" s="79">
        <f>tbl_Data_old[[#This Row],[2026 ]]*IFERROR(AVERAGEIFS('Participation Adjustment'!$C:$C,'Participation Adjustment'!$A:$A,$H658,'Participation Adjustment'!$B:$B,$I658),1)</f>
        <v>2.8916736337790301</v>
      </c>
      <c r="X658" s="79">
        <f>tbl_Data_old[[#This Row],[2027 ]]*IFERROR(AVERAGEIFS('Participation Adjustment'!$C:$C,'Participation Adjustment'!$A:$A,$H658,'Participation Adjustment'!$B:$B,$I658),1)</f>
        <v>5.0407040552826103</v>
      </c>
      <c r="Y658" s="79">
        <f>tbl_Data_old[[#This Row],[2028 ]]*IFERROR(AVERAGEIFS('Participation Adjustment'!$C:$C,'Participation Adjustment'!$A:$A,$H658,'Participation Adjustment'!$B:$B,$I658),1)</f>
        <v>7.6872822076297398</v>
      </c>
      <c r="Z658" s="79">
        <f>tbl_Data_old[[#This Row],[2029 ]]*IFERROR(AVERAGEIFS('Participation Adjustment'!$C:$C,'Participation Adjustment'!$A:$A,$H658,'Participation Adjustment'!$B:$B,$I658),1)</f>
        <v>10.8060692981436</v>
      </c>
      <c r="AA658" s="79">
        <f>tbl_Data_old[[#This Row],[2030 ]]*IFERROR(AVERAGEIFS('Participation Adjustment'!$C:$C,'Participation Adjustment'!$A:$A,$H658,'Participation Adjustment'!$B:$B,$I658),1)</f>
        <v>14.3326859481776</v>
      </c>
      <c r="AB658" s="79">
        <f>tbl_Data_old[[#This Row],[2031 ]]*IFERROR(AVERAGEIFS('Participation Adjustment'!$C:$C,'Participation Adjustment'!$A:$A,$H658,'Participation Adjustment'!$B:$B,$I658),1)</f>
        <v>18.182300387367601</v>
      </c>
      <c r="AC658" s="79">
        <f>tbl_Data_old[[#This Row],[2032 ]]*IFERROR(AVERAGEIFS('Participation Adjustment'!$C:$C,'Participation Adjustment'!$A:$A,$H658,'Participation Adjustment'!$B:$B,$I658),1)</f>
        <v>22.276184132987598</v>
      </c>
      <c r="AD658" s="79">
        <f>tbl_Data_old[[#This Row],[2033 ]]*IFERROR(AVERAGEIFS('Participation Adjustment'!$C:$C,'Participation Adjustment'!$A:$A,$H658,'Participation Adjustment'!$B:$B,$I658),1)</f>
        <v>26.5502288211263</v>
      </c>
      <c r="AE658" s="79">
        <f>tbl_Data_old[[#This Row],[2034 ]]*IFERROR(AVERAGEIFS('Participation Adjustment'!$C:$C,'Participation Adjustment'!$A:$A,$H658,'Participation Adjustment'!$B:$B,$I658),1)</f>
        <v>30.952162318072698</v>
      </c>
      <c r="AF658" s="77" t="str">
        <f t="shared" si="253"/>
        <v>NonResidential</v>
      </c>
      <c r="AG658" s="77" t="str">
        <f>tbl_Data[[#This Row],[All_Meas_Name_Append]]</f>
        <v>Energy Star convection oven</v>
      </c>
      <c r="AH658" s="77">
        <f>AVERAGEIFS('3. Incentive Adjustment'!G:G,'3. Incentive Adjustment'!A:A,tbl_Data[[#This Row],[Trimmed Sector]],'3. Incentive Adjustment'!B:B,tbl_Data[[#This Row],[Trimmed Measure Name]])</f>
        <v>0.72813370493976592</v>
      </c>
      <c r="AI658" s="77">
        <f>$AH658*tbl_Data[[#This Row],[2025 ]]</f>
        <v>0.89159001694002338</v>
      </c>
      <c r="AJ658" s="77">
        <f>$AH658*tbl_Data[[#This Row],[2026 ]]</f>
        <v>2.1055250364401612</v>
      </c>
      <c r="AK658" s="77">
        <f>$AH658*tbl_Data[[#This Row],[2027 ]]</f>
        <v>3.6703065192778297</v>
      </c>
      <c r="AL658" s="77">
        <f>$AH658*tbl_Data[[#This Row],[2028 ]]</f>
        <v>5.5973692747589849</v>
      </c>
      <c r="AM658" s="77">
        <f>$AH658*tbl_Data[[#This Row],[2029 ]]</f>
        <v>7.8682632738931551</v>
      </c>
      <c r="AN658" s="77">
        <f>$AH658*tbl_Data[[#This Row],[2030 ]]</f>
        <v>10.436111721184679</v>
      </c>
      <c r="AO658" s="77">
        <f>$AH658*tbl_Data[[#This Row],[2031 ]]</f>
        <v>13.239145745381713</v>
      </c>
      <c r="AP658" s="77">
        <f>$AH658*tbl_Data[[#This Row],[2032 ]]</f>
        <v>16.220040484672687</v>
      </c>
      <c r="AQ658" s="77">
        <f>$AH658*tbl_Data[[#This Row],[2033 ]]</f>
        <v>19.332116478525247</v>
      </c>
      <c r="AR658" s="77">
        <f>$AH658*tbl_Data[[#This Row],[2034 ]]</f>
        <v>22.537312624555287</v>
      </c>
      <c r="AS658" s="77">
        <f>SUM(tbl_Data[[#This Row],[Adjusted 2025]:[Adjusted 2034]])</f>
        <v>101.89778117562976</v>
      </c>
      <c r="AT658" s="80">
        <f>AVERAGEIFS('3. Incentive Adjustment'!F:F,'3. Incentive Adjustment'!A:A,tbl_Data[[#This Row],[Trimmed Sector]],'3. Incentive Adjustment'!B:B,tbl_Data[[#This Row],[Trimmed Measure Name]])</f>
        <v>0</v>
      </c>
      <c r="AU658" s="80">
        <f>IFERROR(VLOOKUP(tbl_Data[[#This Row],[All_Meas_Name_Append]],'IRA Tax Credits'!$A$3:$D$46,4,0),0)</f>
        <v>0</v>
      </c>
      <c r="AV658" s="81">
        <f>tbl_Data[[#This Row],[Adj. per unit Incentive ($)]]/tbl_Data[[#This Row],[kWh Savings]]*tbl_Data[[#This Row],[Sum of Annuals]]</f>
        <v>0</v>
      </c>
      <c r="AW658" s="81" t="str">
        <f>IFERROR(VLOOKUP(tbl_Data[[#This Row],[Column1]],'1. Set Program Names'!$B$2:$D$15,3,0)*tbl_Data[[#This Row],[Sum of Annuals]],"")</f>
        <v/>
      </c>
      <c r="AX658" s="81">
        <f>tbl_Data[[#This Row],[per unit IRA tax ($)]]/tbl_Data[[#This Row],[kWh Savings]]*tbl_Data[[#This Row],[Sum of Annuals]]</f>
        <v>0</v>
      </c>
      <c r="AY658" s="81">
        <f>tbl_Data[[#This Row],[Avoided Costs ($/unit)]]/tbl_Data[[#This Row],[kWh Savings]]*tbl_Data[[#This Row],[Sum of Annuals]]</f>
        <v>40.551844976290589</v>
      </c>
      <c r="AZ658" s="81">
        <f>tbl_Data[[#This Row],[Lost Revenue ($/unit)]]/tbl_Data[[#This Row],[kWh Savings]]*tbl_Data[[#This Row],[Sum of Annuals]]</f>
        <v>119.41845857714861</v>
      </c>
      <c r="BA658" s="81">
        <f>tbl_Data[[#This Row],[Incremental Cost ($/unit)]]/tbl_Data[[#This Row],[kWh Savings]]*tbl_Data[[#This Row],[Sum of Annuals]]</f>
        <v>33.213836913194299</v>
      </c>
      <c r="BB658" s="77">
        <f>ROUNDUP(tbl_Data[[#This Row],[Adjusted 2025]]/$L658,0)</f>
        <v>1</v>
      </c>
      <c r="BC658" s="77">
        <f>ROUNDUP(tbl_Data[[#This Row],[Adjusted 2026]]/$L658,0)</f>
        <v>1</v>
      </c>
      <c r="BD658" s="77">
        <f>ROUNDUP(tbl_Data[[#This Row],[Adjusted 2027]]/$L658,0)</f>
        <v>1</v>
      </c>
      <c r="BE658" s="77">
        <f>ROUNDUP(tbl_Data[[#This Row],[Adjusted 2028]]/$L658,0)</f>
        <v>1</v>
      </c>
      <c r="BF658" s="77">
        <f>ROUNDUP(tbl_Data[[#This Row],[Adjusted 2029]]/$L658,0)</f>
        <v>1</v>
      </c>
      <c r="BG658" s="77">
        <f>ROUNDUP(tbl_Data[[#This Row],[Adjusted 2030]]/$L658,0)</f>
        <v>1</v>
      </c>
      <c r="BH658" s="77">
        <f>ROUNDUP(tbl_Data[[#This Row],[Adjusted 2031]]/$L658,0)</f>
        <v>1</v>
      </c>
      <c r="BI658" s="77">
        <f>ROUNDUP(tbl_Data[[#This Row],[Adjusted 2032]]/$L658,0)</f>
        <v>1</v>
      </c>
      <c r="BJ658" s="77">
        <f>ROUNDUP(tbl_Data[[#This Row],[Adjusted 2033]]/$L658,0)</f>
        <v>1</v>
      </c>
      <c r="BK658" s="77">
        <f>ROUNDUP(tbl_Data[[#This Row],[Adjusted 2034]]/$L658,0)</f>
        <v>1</v>
      </c>
      <c r="BL658" s="80">
        <f t="shared" si="254"/>
        <v>0</v>
      </c>
      <c r="BM658" s="80">
        <f t="shared" si="255"/>
        <v>0</v>
      </c>
      <c r="BN658" s="80">
        <f t="shared" si="256"/>
        <v>0</v>
      </c>
      <c r="BO658" s="80">
        <f t="shared" si="257"/>
        <v>0</v>
      </c>
      <c r="BP658" s="80">
        <f t="shared" si="258"/>
        <v>0</v>
      </c>
      <c r="BQ658" s="80">
        <f t="shared" si="259"/>
        <v>0</v>
      </c>
      <c r="BR658" s="80">
        <f t="shared" si="260"/>
        <v>0</v>
      </c>
      <c r="BS658" s="80">
        <f t="shared" si="261"/>
        <v>0</v>
      </c>
      <c r="BT658" s="80">
        <f t="shared" si="262"/>
        <v>0</v>
      </c>
      <c r="BU658" s="80">
        <f t="shared" si="263"/>
        <v>0</v>
      </c>
      <c r="BV658" s="80" t="str">
        <f>IFERROR(VLOOKUP($H658,'1. Set Program Names'!$B$2:$D$15,3,0)*V658,"NA")</f>
        <v>NA</v>
      </c>
      <c r="BW658" s="80" t="str">
        <f>IFERROR(VLOOKUP($H658,'1. Set Program Names'!$B$2:$D$15,3,0)*W658,"NA")</f>
        <v>NA</v>
      </c>
      <c r="BX658" s="80" t="str">
        <f>IFERROR(VLOOKUP($H658,'1. Set Program Names'!$B$2:$D$15,3,0)*X658,"NA")</f>
        <v>NA</v>
      </c>
      <c r="BY658" s="80" t="str">
        <f>IFERROR(VLOOKUP($H658,'1. Set Program Names'!$B$2:$D$15,3,0)*Y658,"NA")</f>
        <v>NA</v>
      </c>
      <c r="BZ658" s="80" t="str">
        <f>IFERROR(VLOOKUP($H658,'1. Set Program Names'!$B$2:$D$15,3,0)*Z658,"NA")</f>
        <v>NA</v>
      </c>
      <c r="CA658" s="80" t="str">
        <f>IFERROR(VLOOKUP($H658,'1. Set Program Names'!$B$2:$D$15,3,0)*AA658,"NA")</f>
        <v>NA</v>
      </c>
      <c r="CB658" s="80" t="str">
        <f>IFERROR(VLOOKUP($H658,'1. Set Program Names'!$B$2:$D$15,3,0)*AB658,"NA")</f>
        <v>NA</v>
      </c>
      <c r="CC658" s="80" t="str">
        <f>IFERROR(VLOOKUP($H658,'1. Set Program Names'!$B$2:$D$15,3,0)*AC658,"NA")</f>
        <v>NA</v>
      </c>
      <c r="CD658" s="80" t="str">
        <f>IFERROR(VLOOKUP($H658,'1. Set Program Names'!$B$2:$D$15,3,0)*AD658,"NA")</f>
        <v>NA</v>
      </c>
      <c r="CE658" s="80" t="str">
        <f>IFERROR(VLOOKUP($H658,'1. Set Program Names'!$B$2:$D$15,3,0)*AE658,"NA")</f>
        <v>NA</v>
      </c>
    </row>
    <row r="659" spans="1:83" x14ac:dyDescent="0.25">
      <c r="A659" s="79" t="s">
        <v>117</v>
      </c>
      <c r="B659" s="79" t="s">
        <v>88</v>
      </c>
      <c r="C659" s="79" t="s">
        <v>122</v>
      </c>
      <c r="D659" s="79" t="s">
        <v>90</v>
      </c>
      <c r="E659" s="79" t="s">
        <v>91</v>
      </c>
      <c r="F659" s="79" t="s">
        <v>90</v>
      </c>
      <c r="G659" s="79" t="s">
        <v>92</v>
      </c>
      <c r="H659" s="79" t="s">
        <v>268</v>
      </c>
      <c r="I659" s="79" t="s">
        <v>140</v>
      </c>
      <c r="J659" s="79" t="s">
        <v>129</v>
      </c>
      <c r="K659" s="79" t="s">
        <v>98</v>
      </c>
      <c r="L659" s="79">
        <v>145.64999999999901</v>
      </c>
      <c r="M659" s="79">
        <v>4.8385631271840701E-2</v>
      </c>
      <c r="N659" s="79">
        <v>0</v>
      </c>
      <c r="O659" s="79">
        <v>41.15</v>
      </c>
      <c r="P659" s="79">
        <v>12.5942011456304</v>
      </c>
      <c r="Q659" s="79">
        <v>0.145649999999999</v>
      </c>
      <c r="R659" s="79">
        <v>71.795310497711</v>
      </c>
      <c r="S659" s="79">
        <v>136.505594800712</v>
      </c>
      <c r="T659" s="79">
        <v>12</v>
      </c>
      <c r="U659" s="79">
        <v>1</v>
      </c>
      <c r="V659" s="79">
        <f>tbl_Data_old[[#This Row],[2025 ]]*IFERROR(AVERAGEIFS('Participation Adjustment'!$C:$C,'Participation Adjustment'!$A:$A,$H659,'Participation Adjustment'!$B:$B,$I659),1)</f>
        <v>0</v>
      </c>
      <c r="W659" s="79">
        <f>tbl_Data_old[[#This Row],[2026 ]]*IFERROR(AVERAGEIFS('Participation Adjustment'!$C:$C,'Participation Adjustment'!$A:$A,$H659,'Participation Adjustment'!$B:$B,$I659),1)</f>
        <v>0</v>
      </c>
      <c r="X659" s="79">
        <f>tbl_Data_old[[#This Row],[2027 ]]*IFERROR(AVERAGEIFS('Participation Adjustment'!$C:$C,'Participation Adjustment'!$A:$A,$H659,'Participation Adjustment'!$B:$B,$I659),1)</f>
        <v>0</v>
      </c>
      <c r="Y659" s="79">
        <f>tbl_Data_old[[#This Row],[2028 ]]*IFERROR(AVERAGEIFS('Participation Adjustment'!$C:$C,'Participation Adjustment'!$A:$A,$H659,'Participation Adjustment'!$B:$B,$I659),1)</f>
        <v>0</v>
      </c>
      <c r="Z659" s="79">
        <f>tbl_Data_old[[#This Row],[2029 ]]*IFERROR(AVERAGEIFS('Participation Adjustment'!$C:$C,'Participation Adjustment'!$A:$A,$H659,'Participation Adjustment'!$B:$B,$I659),1)</f>
        <v>0</v>
      </c>
      <c r="AA659" s="79">
        <f>tbl_Data_old[[#This Row],[2030 ]]*IFERROR(AVERAGEIFS('Participation Adjustment'!$C:$C,'Participation Adjustment'!$A:$A,$H659,'Participation Adjustment'!$B:$B,$I659),1)</f>
        <v>0</v>
      </c>
      <c r="AB659" s="79">
        <f>tbl_Data_old[[#This Row],[2031 ]]*IFERROR(AVERAGEIFS('Participation Adjustment'!$C:$C,'Participation Adjustment'!$A:$A,$H659,'Participation Adjustment'!$B:$B,$I659),1)</f>
        <v>0</v>
      </c>
      <c r="AC659" s="79">
        <f>tbl_Data_old[[#This Row],[2032 ]]*IFERROR(AVERAGEIFS('Participation Adjustment'!$C:$C,'Participation Adjustment'!$A:$A,$H659,'Participation Adjustment'!$B:$B,$I659),1)</f>
        <v>0</v>
      </c>
      <c r="AD659" s="79">
        <f>tbl_Data_old[[#This Row],[2033 ]]*IFERROR(AVERAGEIFS('Participation Adjustment'!$C:$C,'Participation Adjustment'!$A:$A,$H659,'Participation Adjustment'!$B:$B,$I659),1)</f>
        <v>0</v>
      </c>
      <c r="AE659" s="79">
        <f>tbl_Data_old[[#This Row],[2034 ]]*IFERROR(AVERAGEIFS('Participation Adjustment'!$C:$C,'Participation Adjustment'!$A:$A,$H659,'Participation Adjustment'!$B:$B,$I659),1)</f>
        <v>0</v>
      </c>
      <c r="AF659" s="77" t="str">
        <f t="shared" si="253"/>
        <v>NonResidential</v>
      </c>
      <c r="AG659" s="77" t="str">
        <f>tbl_Data[[#This Row],[All_Meas_Name_Append]]</f>
        <v>Energy Star room AC_137</v>
      </c>
      <c r="AH659" s="77">
        <f>AVERAGEIFS('3. Incentive Adjustment'!G:G,'3. Incentive Adjustment'!A:A,tbl_Data[[#This Row],[Trimmed Sector]],'3. Incentive Adjustment'!B:B,tbl_Data[[#This Row],[Trimmed Measure Name]])</f>
        <v>0.79600466062818009</v>
      </c>
      <c r="AI659" s="77">
        <f>$AH659*tbl_Data[[#This Row],[2025 ]]</f>
        <v>0</v>
      </c>
      <c r="AJ659" s="77">
        <f>$AH659*tbl_Data[[#This Row],[2026 ]]</f>
        <v>0</v>
      </c>
      <c r="AK659" s="77">
        <f>$AH659*tbl_Data[[#This Row],[2027 ]]</f>
        <v>0</v>
      </c>
      <c r="AL659" s="77">
        <f>$AH659*tbl_Data[[#This Row],[2028 ]]</f>
        <v>0</v>
      </c>
      <c r="AM659" s="77">
        <f>$AH659*tbl_Data[[#This Row],[2029 ]]</f>
        <v>0</v>
      </c>
      <c r="AN659" s="77">
        <f>$AH659*tbl_Data[[#This Row],[2030 ]]</f>
        <v>0</v>
      </c>
      <c r="AO659" s="77">
        <f>$AH659*tbl_Data[[#This Row],[2031 ]]</f>
        <v>0</v>
      </c>
      <c r="AP659" s="77">
        <f>$AH659*tbl_Data[[#This Row],[2032 ]]</f>
        <v>0</v>
      </c>
      <c r="AQ659" s="77">
        <f>$AH659*tbl_Data[[#This Row],[2033 ]]</f>
        <v>0</v>
      </c>
      <c r="AR659" s="77">
        <f>$AH659*tbl_Data[[#This Row],[2034 ]]</f>
        <v>0</v>
      </c>
      <c r="AS659" s="77">
        <f>SUM(tbl_Data[[#This Row],[Adjusted 2025]:[Adjusted 2034]])</f>
        <v>0</v>
      </c>
      <c r="AT659" s="80">
        <f>AVERAGEIFS('3. Incentive Adjustment'!F:F,'3. Incentive Adjustment'!A:A,tbl_Data[[#This Row],[Trimmed Sector]],'3. Incentive Adjustment'!B:B,tbl_Data[[#This Row],[Trimmed Measure Name]])</f>
        <v>0</v>
      </c>
      <c r="AU659" s="80">
        <f>IFERROR(VLOOKUP(tbl_Data[[#This Row],[All_Meas_Name_Append]],'IRA Tax Credits'!$A$3:$D$46,4,0),0)</f>
        <v>0</v>
      </c>
      <c r="AV659" s="81">
        <f>tbl_Data[[#This Row],[Adj. per unit Incentive ($)]]/tbl_Data[[#This Row],[kWh Savings]]*tbl_Data[[#This Row],[Sum of Annuals]]</f>
        <v>0</v>
      </c>
      <c r="AW659" s="81" t="str">
        <f>IFERROR(VLOOKUP(tbl_Data[[#This Row],[Column1]],'1. Set Program Names'!$B$2:$D$15,3,0)*tbl_Data[[#This Row],[Sum of Annuals]],"")</f>
        <v/>
      </c>
      <c r="AX659" s="81">
        <f>tbl_Data[[#This Row],[per unit IRA tax ($)]]/tbl_Data[[#This Row],[kWh Savings]]*tbl_Data[[#This Row],[Sum of Annuals]]</f>
        <v>0</v>
      </c>
      <c r="AY659" s="81">
        <f>tbl_Data[[#This Row],[Avoided Costs ($/unit)]]/tbl_Data[[#This Row],[kWh Savings]]*tbl_Data[[#This Row],[Sum of Annuals]]</f>
        <v>0</v>
      </c>
      <c r="AZ659" s="81">
        <f>tbl_Data[[#This Row],[Lost Revenue ($/unit)]]/tbl_Data[[#This Row],[kWh Savings]]*tbl_Data[[#This Row],[Sum of Annuals]]</f>
        <v>0</v>
      </c>
      <c r="BA659" s="81">
        <f>tbl_Data[[#This Row],[Incremental Cost ($/unit)]]/tbl_Data[[#This Row],[kWh Savings]]*tbl_Data[[#This Row],[Sum of Annuals]]</f>
        <v>0</v>
      </c>
      <c r="BB659" s="77">
        <f>ROUNDUP(tbl_Data[[#This Row],[Adjusted 2025]]/$L659,0)</f>
        <v>0</v>
      </c>
      <c r="BC659" s="77">
        <f>ROUNDUP(tbl_Data[[#This Row],[Adjusted 2026]]/$L659,0)</f>
        <v>0</v>
      </c>
      <c r="BD659" s="77">
        <f>ROUNDUP(tbl_Data[[#This Row],[Adjusted 2027]]/$L659,0)</f>
        <v>0</v>
      </c>
      <c r="BE659" s="77">
        <f>ROUNDUP(tbl_Data[[#This Row],[Adjusted 2028]]/$L659,0)</f>
        <v>0</v>
      </c>
      <c r="BF659" s="77">
        <f>ROUNDUP(tbl_Data[[#This Row],[Adjusted 2029]]/$L659,0)</f>
        <v>0</v>
      </c>
      <c r="BG659" s="77">
        <f>ROUNDUP(tbl_Data[[#This Row],[Adjusted 2030]]/$L659,0)</f>
        <v>0</v>
      </c>
      <c r="BH659" s="77">
        <f>ROUNDUP(tbl_Data[[#This Row],[Adjusted 2031]]/$L659,0)</f>
        <v>0</v>
      </c>
      <c r="BI659" s="77">
        <f>ROUNDUP(tbl_Data[[#This Row],[Adjusted 2032]]/$L659,0)</f>
        <v>0</v>
      </c>
      <c r="BJ659" s="77">
        <f>ROUNDUP(tbl_Data[[#This Row],[Adjusted 2033]]/$L659,0)</f>
        <v>0</v>
      </c>
      <c r="BK659" s="77">
        <f>ROUNDUP(tbl_Data[[#This Row],[Adjusted 2034]]/$L659,0)</f>
        <v>0</v>
      </c>
      <c r="BL659" s="80">
        <f t="shared" si="254"/>
        <v>0</v>
      </c>
      <c r="BM659" s="80">
        <f t="shared" si="255"/>
        <v>0</v>
      </c>
      <c r="BN659" s="80">
        <f t="shared" si="256"/>
        <v>0</v>
      </c>
      <c r="BO659" s="80">
        <f t="shared" si="257"/>
        <v>0</v>
      </c>
      <c r="BP659" s="80">
        <f t="shared" si="258"/>
        <v>0</v>
      </c>
      <c r="BQ659" s="80">
        <f t="shared" si="259"/>
        <v>0</v>
      </c>
      <c r="BR659" s="80">
        <f t="shared" si="260"/>
        <v>0</v>
      </c>
      <c r="BS659" s="80">
        <f t="shared" si="261"/>
        <v>0</v>
      </c>
      <c r="BT659" s="80">
        <f t="shared" si="262"/>
        <v>0</v>
      </c>
      <c r="BU659" s="80">
        <f t="shared" si="263"/>
        <v>0</v>
      </c>
      <c r="BV659" s="80" t="str">
        <f>IFERROR(VLOOKUP($H659,'1. Set Program Names'!$B$2:$D$15,3,0)*V659,"NA")</f>
        <v>NA</v>
      </c>
      <c r="BW659" s="80" t="str">
        <f>IFERROR(VLOOKUP($H659,'1. Set Program Names'!$B$2:$D$15,3,0)*W659,"NA")</f>
        <v>NA</v>
      </c>
      <c r="BX659" s="80" t="str">
        <f>IFERROR(VLOOKUP($H659,'1. Set Program Names'!$B$2:$D$15,3,0)*X659,"NA")</f>
        <v>NA</v>
      </c>
      <c r="BY659" s="80" t="str">
        <f>IFERROR(VLOOKUP($H659,'1. Set Program Names'!$B$2:$D$15,3,0)*Y659,"NA")</f>
        <v>NA</v>
      </c>
      <c r="BZ659" s="80" t="str">
        <f>IFERROR(VLOOKUP($H659,'1. Set Program Names'!$B$2:$D$15,3,0)*Z659,"NA")</f>
        <v>NA</v>
      </c>
      <c r="CA659" s="80" t="str">
        <f>IFERROR(VLOOKUP($H659,'1. Set Program Names'!$B$2:$D$15,3,0)*AA659,"NA")</f>
        <v>NA</v>
      </c>
      <c r="CB659" s="80" t="str">
        <f>IFERROR(VLOOKUP($H659,'1. Set Program Names'!$B$2:$D$15,3,0)*AB659,"NA")</f>
        <v>NA</v>
      </c>
      <c r="CC659" s="80" t="str">
        <f>IFERROR(VLOOKUP($H659,'1. Set Program Names'!$B$2:$D$15,3,0)*AC659,"NA")</f>
        <v>NA</v>
      </c>
      <c r="CD659" s="80" t="str">
        <f>IFERROR(VLOOKUP($H659,'1. Set Program Names'!$B$2:$D$15,3,0)*AD659,"NA")</f>
        <v>NA</v>
      </c>
      <c r="CE659" s="80" t="str">
        <f>IFERROR(VLOOKUP($H659,'1. Set Program Names'!$B$2:$D$15,3,0)*AE659,"NA")</f>
        <v>NA</v>
      </c>
    </row>
    <row r="660" spans="1:83" x14ac:dyDescent="0.25">
      <c r="A660" s="79" t="s">
        <v>117</v>
      </c>
      <c r="B660" s="79" t="s">
        <v>88</v>
      </c>
      <c r="C660" s="79" t="s">
        <v>122</v>
      </c>
      <c r="D660" s="79" t="s">
        <v>90</v>
      </c>
      <c r="E660" s="79" t="s">
        <v>91</v>
      </c>
      <c r="F660" s="79" t="s">
        <v>90</v>
      </c>
      <c r="G660" s="79" t="s">
        <v>92</v>
      </c>
      <c r="H660" s="79" t="s">
        <v>268</v>
      </c>
      <c r="I660" s="79" t="s">
        <v>141</v>
      </c>
      <c r="J660" s="79" t="s">
        <v>134</v>
      </c>
      <c r="K660" s="79" t="s">
        <v>98</v>
      </c>
      <c r="L660" s="79">
        <v>12160.5</v>
      </c>
      <c r="M660" s="79">
        <v>1.5637825072468701</v>
      </c>
      <c r="N660" s="79">
        <v>1.33304839745786</v>
      </c>
      <c r="O660" s="79">
        <v>3109.4399999999901</v>
      </c>
      <c r="P660" s="79">
        <v>607.94061759330305</v>
      </c>
      <c r="Q660" s="79">
        <v>12.160500000000001</v>
      </c>
      <c r="R660" s="79">
        <v>4122.3511685728599</v>
      </c>
      <c r="S660" s="79">
        <v>11397.022214720701</v>
      </c>
      <c r="T660" s="79">
        <v>12</v>
      </c>
      <c r="U660" s="79">
        <v>1</v>
      </c>
      <c r="V660" s="79">
        <f>tbl_Data_old[[#This Row],[2025 ]]*IFERROR(AVERAGEIFS('Participation Adjustment'!$C:$C,'Participation Adjustment'!$A:$A,$H660,'Participation Adjustment'!$B:$B,$I660),1)</f>
        <v>2.47517213312705</v>
      </c>
      <c r="W660" s="79">
        <f>tbl_Data_old[[#This Row],[2026 ]]*IFERROR(AVERAGEIFS('Participation Adjustment'!$C:$C,'Participation Adjustment'!$A:$A,$H660,'Participation Adjustment'!$B:$B,$I660),1)</f>
        <v>5.8745075950194403</v>
      </c>
      <c r="X660" s="79">
        <f>tbl_Data_old[[#This Row],[2027 ]]*IFERROR(AVERAGEIFS('Participation Adjustment'!$C:$C,'Participation Adjustment'!$A:$A,$H660,'Participation Adjustment'!$B:$B,$I660),1)</f>
        <v>10.299548788438001</v>
      </c>
      <c r="Y660" s="79">
        <f>tbl_Data_old[[#This Row],[2028 ]]*IFERROR(AVERAGEIFS('Participation Adjustment'!$C:$C,'Participation Adjustment'!$A:$A,$H660,'Participation Adjustment'!$B:$B,$I660),1)</f>
        <v>15.806074234168101</v>
      </c>
      <c r="Z660" s="79">
        <f>tbl_Data_old[[#This Row],[2029 ]]*IFERROR(AVERAGEIFS('Participation Adjustment'!$C:$C,'Participation Adjustment'!$A:$A,$H660,'Participation Adjustment'!$B:$B,$I660),1)</f>
        <v>22.3613535760052</v>
      </c>
      <c r="AA660" s="79">
        <f>tbl_Data_old[[#This Row],[2030 ]]*IFERROR(AVERAGEIFS('Participation Adjustment'!$C:$C,'Participation Adjustment'!$A:$A,$H660,'Participation Adjustment'!$B:$B,$I660),1)</f>
        <v>29.8413639759567</v>
      </c>
      <c r="AB660" s="79">
        <f>tbl_Data_old[[#This Row],[2031 ]]*IFERROR(AVERAGEIFS('Participation Adjustment'!$C:$C,'Participation Adjustment'!$A:$A,$H660,'Participation Adjustment'!$B:$B,$I660),1)</f>
        <v>38.066969075646199</v>
      </c>
      <c r="AC660" s="79">
        <f>tbl_Data_old[[#This Row],[2032 ]]*IFERROR(AVERAGEIFS('Participation Adjustment'!$C:$C,'Participation Adjustment'!$A:$A,$H660,'Participation Adjustment'!$B:$B,$I660),1)</f>
        <v>46.862922948383499</v>
      </c>
      <c r="AD660" s="79">
        <f>tbl_Data_old[[#This Row],[2033 ]]*IFERROR(AVERAGEIFS('Participation Adjustment'!$C:$C,'Participation Adjustment'!$A:$A,$H660,'Participation Adjustment'!$B:$B,$I660),1)</f>
        <v>56.081272590531398</v>
      </c>
      <c r="AE660" s="79">
        <f>tbl_Data_old[[#This Row],[2034 ]]*IFERROR(AVERAGEIFS('Participation Adjustment'!$C:$C,'Participation Adjustment'!$A:$A,$H660,'Participation Adjustment'!$B:$B,$I660),1)</f>
        <v>65.5994527658235</v>
      </c>
      <c r="AF660" s="77" t="str">
        <f t="shared" si="253"/>
        <v>NonResidential</v>
      </c>
      <c r="AG660" s="77" t="str">
        <f>tbl_Data[[#This Row],[All_Meas_Name_Append]]</f>
        <v>Energy Star Steamer</v>
      </c>
      <c r="AH660" s="77">
        <f>AVERAGEIFS('3. Incentive Adjustment'!G:G,'3. Incentive Adjustment'!A:A,tbl_Data[[#This Row],[Trimmed Sector]],'3. Incentive Adjustment'!B:B,tbl_Data[[#This Row],[Trimmed Measure Name]])</f>
        <v>0.87642178647683033</v>
      </c>
      <c r="AI660" s="77">
        <f>$AH660*tbl_Data[[#This Row],[2025 ]]</f>
        <v>2.1692947827528761</v>
      </c>
      <c r="AJ660" s="77">
        <f>$AH660*tbl_Data[[#This Row],[2026 ]]</f>
        <v>5.1485464410986461</v>
      </c>
      <c r="AK660" s="77">
        <f>$AH660*tbl_Data[[#This Row],[2027 ]]</f>
        <v>9.0267489490681054</v>
      </c>
      <c r="AL660" s="77">
        <f>$AH660*tbl_Data[[#This Row],[2028 ]]</f>
        <v>13.852787817495004</v>
      </c>
      <c r="AM660" s="77">
        <f>$AH660*tbl_Data[[#This Row],[2029 ]]</f>
        <v>19.597977449122535</v>
      </c>
      <c r="AN660" s="77">
        <f>$AH660*tbl_Data[[#This Row],[2030 ]]</f>
        <v>26.153621526713298</v>
      </c>
      <c r="AO660" s="77">
        <f>$AH660*tbl_Data[[#This Row],[2031 ]]</f>
        <v>33.362721043036096</v>
      </c>
      <c r="AP660" s="77">
        <f>$AH660*tbl_Data[[#This Row],[2032 ]]</f>
        <v>41.071686649948312</v>
      </c>
      <c r="AQ660" s="77">
        <f>$AH660*tbl_Data[[#This Row],[2033 ]]</f>
        <v>49.150849111687627</v>
      </c>
      <c r="AR660" s="77">
        <f>$AH660*tbl_Data[[#This Row],[2034 ]]</f>
        <v>57.492789584925482</v>
      </c>
      <c r="AS660" s="77">
        <f>SUM(tbl_Data[[#This Row],[Adjusted 2025]:[Adjusted 2034]])</f>
        <v>257.02702335584797</v>
      </c>
      <c r="AT660" s="80">
        <f>AVERAGEIFS('3. Incentive Adjustment'!F:F,'3. Incentive Adjustment'!A:A,tbl_Data[[#This Row],[Trimmed Sector]],'3. Incentive Adjustment'!B:B,tbl_Data[[#This Row],[Trimmed Measure Name]])</f>
        <v>0</v>
      </c>
      <c r="AU660" s="80">
        <f>IFERROR(VLOOKUP(tbl_Data[[#This Row],[All_Meas_Name_Append]],'IRA Tax Credits'!$A$3:$D$46,4,0),0)</f>
        <v>0</v>
      </c>
      <c r="AV660" s="81">
        <f>tbl_Data[[#This Row],[Adj. per unit Incentive ($)]]/tbl_Data[[#This Row],[kWh Savings]]*tbl_Data[[#This Row],[Sum of Annuals]]</f>
        <v>0</v>
      </c>
      <c r="AW660" s="81" t="str">
        <f>IFERROR(VLOOKUP(tbl_Data[[#This Row],[Column1]],'1. Set Program Names'!$B$2:$D$15,3,0)*tbl_Data[[#This Row],[Sum of Annuals]],"")</f>
        <v/>
      </c>
      <c r="AX660" s="81">
        <f>tbl_Data[[#This Row],[per unit IRA tax ($)]]/tbl_Data[[#This Row],[kWh Savings]]*tbl_Data[[#This Row],[Sum of Annuals]]</f>
        <v>0</v>
      </c>
      <c r="AY660" s="81">
        <f>tbl_Data[[#This Row],[Avoided Costs ($/unit)]]/tbl_Data[[#This Row],[kWh Savings]]*tbl_Data[[#This Row],[Sum of Annuals]]</f>
        <v>87.130928011659364</v>
      </c>
      <c r="AZ660" s="81">
        <f>tbl_Data[[#This Row],[Lost Revenue ($/unit)]]/tbl_Data[[#This Row],[kWh Savings]]*tbl_Data[[#This Row],[Sum of Annuals]]</f>
        <v>240.88998766252504</v>
      </c>
      <c r="BA660" s="81">
        <f>tbl_Data[[#This Row],[Incremental Cost ($/unit)]]/tbl_Data[[#This Row],[kWh Savings]]*tbl_Data[[#This Row],[Sum of Annuals]]</f>
        <v>65.721813042523365</v>
      </c>
      <c r="BB660" s="77">
        <f>ROUNDUP(tbl_Data[[#This Row],[Adjusted 2025]]/$L660,0)</f>
        <v>1</v>
      </c>
      <c r="BC660" s="77">
        <f>ROUNDUP(tbl_Data[[#This Row],[Adjusted 2026]]/$L660,0)</f>
        <v>1</v>
      </c>
      <c r="BD660" s="77">
        <f>ROUNDUP(tbl_Data[[#This Row],[Adjusted 2027]]/$L660,0)</f>
        <v>1</v>
      </c>
      <c r="BE660" s="77">
        <f>ROUNDUP(tbl_Data[[#This Row],[Adjusted 2028]]/$L660,0)</f>
        <v>1</v>
      </c>
      <c r="BF660" s="77">
        <f>ROUNDUP(tbl_Data[[#This Row],[Adjusted 2029]]/$L660,0)</f>
        <v>1</v>
      </c>
      <c r="BG660" s="77">
        <f>ROUNDUP(tbl_Data[[#This Row],[Adjusted 2030]]/$L660,0)</f>
        <v>1</v>
      </c>
      <c r="BH660" s="77">
        <f>ROUNDUP(tbl_Data[[#This Row],[Adjusted 2031]]/$L660,0)</f>
        <v>1</v>
      </c>
      <c r="BI660" s="77">
        <f>ROUNDUP(tbl_Data[[#This Row],[Adjusted 2032]]/$L660,0)</f>
        <v>1</v>
      </c>
      <c r="BJ660" s="77">
        <f>ROUNDUP(tbl_Data[[#This Row],[Adjusted 2033]]/$L660,0)</f>
        <v>1</v>
      </c>
      <c r="BK660" s="77">
        <f>ROUNDUP(tbl_Data[[#This Row],[Adjusted 2034]]/$L660,0)</f>
        <v>1</v>
      </c>
      <c r="BL660" s="80">
        <f t="shared" si="254"/>
        <v>0</v>
      </c>
      <c r="BM660" s="80">
        <f t="shared" si="255"/>
        <v>0</v>
      </c>
      <c r="BN660" s="80">
        <f t="shared" si="256"/>
        <v>0</v>
      </c>
      <c r="BO660" s="80">
        <f t="shared" si="257"/>
        <v>0</v>
      </c>
      <c r="BP660" s="80">
        <f t="shared" si="258"/>
        <v>0</v>
      </c>
      <c r="BQ660" s="80">
        <f t="shared" si="259"/>
        <v>0</v>
      </c>
      <c r="BR660" s="80">
        <f t="shared" si="260"/>
        <v>0</v>
      </c>
      <c r="BS660" s="80">
        <f t="shared" si="261"/>
        <v>0</v>
      </c>
      <c r="BT660" s="80">
        <f t="shared" si="262"/>
        <v>0</v>
      </c>
      <c r="BU660" s="80">
        <f t="shared" si="263"/>
        <v>0</v>
      </c>
      <c r="BV660" s="80" t="str">
        <f>IFERROR(VLOOKUP($H660,'1. Set Program Names'!$B$2:$D$15,3,0)*V660,"NA")</f>
        <v>NA</v>
      </c>
      <c r="BW660" s="80" t="str">
        <f>IFERROR(VLOOKUP($H660,'1. Set Program Names'!$B$2:$D$15,3,0)*W660,"NA")</f>
        <v>NA</v>
      </c>
      <c r="BX660" s="80" t="str">
        <f>IFERROR(VLOOKUP($H660,'1. Set Program Names'!$B$2:$D$15,3,0)*X660,"NA")</f>
        <v>NA</v>
      </c>
      <c r="BY660" s="80" t="str">
        <f>IFERROR(VLOOKUP($H660,'1. Set Program Names'!$B$2:$D$15,3,0)*Y660,"NA")</f>
        <v>NA</v>
      </c>
      <c r="BZ660" s="80" t="str">
        <f>IFERROR(VLOOKUP($H660,'1. Set Program Names'!$B$2:$D$15,3,0)*Z660,"NA")</f>
        <v>NA</v>
      </c>
      <c r="CA660" s="80" t="str">
        <f>IFERROR(VLOOKUP($H660,'1. Set Program Names'!$B$2:$D$15,3,0)*AA660,"NA")</f>
        <v>NA</v>
      </c>
      <c r="CB660" s="80" t="str">
        <f>IFERROR(VLOOKUP($H660,'1. Set Program Names'!$B$2:$D$15,3,0)*AB660,"NA")</f>
        <v>NA</v>
      </c>
      <c r="CC660" s="80" t="str">
        <f>IFERROR(VLOOKUP($H660,'1. Set Program Names'!$B$2:$D$15,3,0)*AC660,"NA")</f>
        <v>NA</v>
      </c>
      <c r="CD660" s="80" t="str">
        <f>IFERROR(VLOOKUP($H660,'1. Set Program Names'!$B$2:$D$15,3,0)*AD660,"NA")</f>
        <v>NA</v>
      </c>
      <c r="CE660" s="80" t="str">
        <f>IFERROR(VLOOKUP($H660,'1. Set Program Names'!$B$2:$D$15,3,0)*AE660,"NA")</f>
        <v>NA</v>
      </c>
    </row>
    <row r="661" spans="1:83" x14ac:dyDescent="0.25">
      <c r="A661" s="79" t="s">
        <v>117</v>
      </c>
      <c r="B661" s="79" t="s">
        <v>88</v>
      </c>
      <c r="C661" s="79" t="s">
        <v>122</v>
      </c>
      <c r="D661" s="79" t="s">
        <v>90</v>
      </c>
      <c r="E661" s="79" t="s">
        <v>91</v>
      </c>
      <c r="F661" s="79" t="s">
        <v>90</v>
      </c>
      <c r="G661" s="79" t="s">
        <v>92</v>
      </c>
      <c r="H661" s="79" t="s">
        <v>268</v>
      </c>
      <c r="I661" s="79" t="s">
        <v>142</v>
      </c>
      <c r="J661" s="79" t="s">
        <v>137</v>
      </c>
      <c r="K661" s="79" t="s">
        <v>98</v>
      </c>
      <c r="L661" s="79">
        <v>11250</v>
      </c>
      <c r="M661" s="79">
        <v>1.3809947593685901</v>
      </c>
      <c r="N661" s="79">
        <v>1.3808111252514099</v>
      </c>
      <c r="O661" s="79">
        <v>3147</v>
      </c>
      <c r="P661" s="79">
        <v>832.79679683603899</v>
      </c>
      <c r="Q661" s="79">
        <v>11.25</v>
      </c>
      <c r="R661" s="79">
        <v>4868.3629963469202</v>
      </c>
      <c r="S661" s="79">
        <v>12218.8507873668</v>
      </c>
      <c r="T661" s="79">
        <v>15</v>
      </c>
      <c r="U661" s="79">
        <v>1</v>
      </c>
      <c r="V661" s="79">
        <f>tbl_Data_old[[#This Row],[2025 ]]*IFERROR(AVERAGEIFS('Participation Adjustment'!$C:$C,'Participation Adjustment'!$A:$A,$H661,'Participation Adjustment'!$B:$B,$I661),1)</f>
        <v>2.6160074814145</v>
      </c>
      <c r="W661" s="79">
        <f>tbl_Data_old[[#This Row],[2026 ]]*IFERROR(AVERAGEIFS('Participation Adjustment'!$C:$C,'Participation Adjustment'!$A:$A,$H661,'Participation Adjustment'!$B:$B,$I661),1)</f>
        <v>6.22225023184106</v>
      </c>
      <c r="X661" s="79">
        <f>tbl_Data_old[[#This Row],[2027 ]]*IFERROR(AVERAGEIFS('Participation Adjustment'!$C:$C,'Participation Adjustment'!$A:$A,$H661,'Participation Adjustment'!$B:$B,$I661),1)</f>
        <v>11.0545573292983</v>
      </c>
      <c r="Y661" s="79">
        <f>tbl_Data_old[[#This Row],[2028 ]]*IFERROR(AVERAGEIFS('Participation Adjustment'!$C:$C,'Participation Adjustment'!$A:$A,$H661,'Participation Adjustment'!$B:$B,$I661),1)</f>
        <v>17.344481864655901</v>
      </c>
      <c r="Z661" s="79">
        <f>tbl_Data_old[[#This Row],[2029 ]]*IFERROR(AVERAGEIFS('Participation Adjustment'!$C:$C,'Participation Adjustment'!$A:$A,$H661,'Participation Adjustment'!$B:$B,$I661),1)</f>
        <v>25.2206640674524</v>
      </c>
      <c r="AA661" s="79">
        <f>tbl_Data_old[[#This Row],[2030 ]]*IFERROR(AVERAGEIFS('Participation Adjustment'!$C:$C,'Participation Adjustment'!$A:$A,$H661,'Participation Adjustment'!$B:$B,$I661),1)</f>
        <v>34.591044853883602</v>
      </c>
      <c r="AB661" s="79">
        <f>tbl_Data_old[[#This Row],[2031 ]]*IFERROR(AVERAGEIFS('Participation Adjustment'!$C:$C,'Participation Adjustment'!$A:$A,$H661,'Participation Adjustment'!$B:$B,$I661),1)</f>
        <v>45.056376088161301</v>
      </c>
      <c r="AC661" s="79">
        <f>tbl_Data_old[[#This Row],[2032 ]]*IFERROR(AVERAGEIFS('Participation Adjustment'!$C:$C,'Participation Adjustment'!$A:$A,$H661,'Participation Adjustment'!$B:$B,$I661),1)</f>
        <v>55.909786541716102</v>
      </c>
      <c r="AD661" s="79">
        <f>tbl_Data_old[[#This Row],[2033 ]]*IFERROR(AVERAGEIFS('Participation Adjustment'!$C:$C,'Participation Adjustment'!$A:$A,$H661,'Participation Adjustment'!$B:$B,$I661),1)</f>
        <v>66.260976866206207</v>
      </c>
      <c r="AE661" s="79">
        <f>tbl_Data_old[[#This Row],[2034 ]]*IFERROR(AVERAGEIFS('Participation Adjustment'!$C:$C,'Participation Adjustment'!$A:$A,$H661,'Participation Adjustment'!$B:$B,$I661),1)</f>
        <v>75.307893479915506</v>
      </c>
      <c r="AF661" s="77" t="str">
        <f t="shared" si="253"/>
        <v>NonResidential</v>
      </c>
      <c r="AG661" s="77" t="str">
        <f>tbl_Data[[#This Row],[All_Meas_Name_Append]]</f>
        <v>Escalator Motor Efficiency Controller</v>
      </c>
      <c r="AH661" s="77">
        <f>AVERAGEIFS('3. Incentive Adjustment'!G:G,'3. Incentive Adjustment'!A:A,tbl_Data[[#This Row],[Trimmed Sector]],'3. Incentive Adjustment'!B:B,tbl_Data[[#This Row],[Trimmed Measure Name]])</f>
        <v>0.82257117184015105</v>
      </c>
      <c r="AI661" s="77">
        <f>$AH661*tbl_Data[[#This Row],[2025 ]]</f>
        <v>2.1518523395297273</v>
      </c>
      <c r="AJ661" s="77">
        <f>$AH661*tbl_Data[[#This Row],[2026 ]]</f>
        <v>5.1182436646881522</v>
      </c>
      <c r="AK661" s="77">
        <f>$AH661*tbl_Data[[#This Row],[2027 ]]</f>
        <v>9.0931601765350329</v>
      </c>
      <c r="AL661" s="77">
        <f>$AH661*tbl_Data[[#This Row],[2028 ]]</f>
        <v>14.267070772370252</v>
      </c>
      <c r="AM661" s="77">
        <f>$AH661*tbl_Data[[#This Row],[2029 ]]</f>
        <v>20.74579119655111</v>
      </c>
      <c r="AN661" s="77">
        <f>$AH661*tbl_Data[[#This Row],[2030 ]]</f>
        <v>28.45359630063426</v>
      </c>
      <c r="AO661" s="77">
        <f>$AH661*tbl_Data[[#This Row],[2031 ]]</f>
        <v>37.062076077709399</v>
      </c>
      <c r="AP661" s="77">
        <f>$AH661*tbl_Data[[#This Row],[2032 ]]</f>
        <v>45.989778632952117</v>
      </c>
      <c r="AQ661" s="77">
        <f>$AH661*tbl_Data[[#This Row],[2033 ]]</f>
        <v>54.50436938810838</v>
      </c>
      <c r="AR661" s="77">
        <f>$AH661*tbl_Data[[#This Row],[2034 ]]</f>
        <v>61.946102188587368</v>
      </c>
      <c r="AS661" s="77">
        <f>SUM(tbl_Data[[#This Row],[Adjusted 2025]:[Adjusted 2034]])</f>
        <v>279.33204073766581</v>
      </c>
      <c r="AT661" s="80">
        <f>AVERAGEIFS('3. Incentive Adjustment'!F:F,'3. Incentive Adjustment'!A:A,tbl_Data[[#This Row],[Trimmed Sector]],'3. Incentive Adjustment'!B:B,tbl_Data[[#This Row],[Trimmed Measure Name]])</f>
        <v>0</v>
      </c>
      <c r="AU661" s="80">
        <f>IFERROR(VLOOKUP(tbl_Data[[#This Row],[All_Meas_Name_Append]],'IRA Tax Credits'!$A$3:$D$46,4,0),0)</f>
        <v>0</v>
      </c>
      <c r="AV661" s="81">
        <f>tbl_Data[[#This Row],[Adj. per unit Incentive ($)]]/tbl_Data[[#This Row],[kWh Savings]]*tbl_Data[[#This Row],[Sum of Annuals]]</f>
        <v>0</v>
      </c>
      <c r="AW661" s="81" t="str">
        <f>IFERROR(VLOOKUP(tbl_Data[[#This Row],[Column1]],'1. Set Program Names'!$B$2:$D$15,3,0)*tbl_Data[[#This Row],[Sum of Annuals]],"")</f>
        <v/>
      </c>
      <c r="AX661" s="81">
        <f>tbl_Data[[#This Row],[per unit IRA tax ($)]]/tbl_Data[[#This Row],[kWh Savings]]*tbl_Data[[#This Row],[Sum of Annuals]]</f>
        <v>0</v>
      </c>
      <c r="AY661" s="81">
        <f>tbl_Data[[#This Row],[Avoided Costs ($/unit)]]/tbl_Data[[#This Row],[kWh Savings]]*tbl_Data[[#This Row],[Sum of Annuals]]</f>
        <v>120.87909073967313</v>
      </c>
      <c r="AZ661" s="81">
        <f>tbl_Data[[#This Row],[Lost Revenue ($/unit)]]/tbl_Data[[#This Row],[kWh Savings]]*tbl_Data[[#This Row],[Sum of Annuals]]</f>
        <v>303.38813563592919</v>
      </c>
      <c r="BA661" s="81">
        <f>tbl_Data[[#This Row],[Incremental Cost ($/unit)]]/tbl_Data[[#This Row],[kWh Savings]]*tbl_Data[[#This Row],[Sum of Annuals]]</f>
        <v>78.138482862349719</v>
      </c>
      <c r="BB661" s="77">
        <f>ROUNDUP(tbl_Data[[#This Row],[Adjusted 2025]]/$L661,0)</f>
        <v>1</v>
      </c>
      <c r="BC661" s="77">
        <f>ROUNDUP(tbl_Data[[#This Row],[Adjusted 2026]]/$L661,0)</f>
        <v>1</v>
      </c>
      <c r="BD661" s="77">
        <f>ROUNDUP(tbl_Data[[#This Row],[Adjusted 2027]]/$L661,0)</f>
        <v>1</v>
      </c>
      <c r="BE661" s="77">
        <f>ROUNDUP(tbl_Data[[#This Row],[Adjusted 2028]]/$L661,0)</f>
        <v>1</v>
      </c>
      <c r="BF661" s="77">
        <f>ROUNDUP(tbl_Data[[#This Row],[Adjusted 2029]]/$L661,0)</f>
        <v>1</v>
      </c>
      <c r="BG661" s="77">
        <f>ROUNDUP(tbl_Data[[#This Row],[Adjusted 2030]]/$L661,0)</f>
        <v>1</v>
      </c>
      <c r="BH661" s="77">
        <f>ROUNDUP(tbl_Data[[#This Row],[Adjusted 2031]]/$L661,0)</f>
        <v>1</v>
      </c>
      <c r="BI661" s="77">
        <f>ROUNDUP(tbl_Data[[#This Row],[Adjusted 2032]]/$L661,0)</f>
        <v>1</v>
      </c>
      <c r="BJ661" s="77">
        <f>ROUNDUP(tbl_Data[[#This Row],[Adjusted 2033]]/$L661,0)</f>
        <v>1</v>
      </c>
      <c r="BK661" s="77">
        <f>ROUNDUP(tbl_Data[[#This Row],[Adjusted 2034]]/$L661,0)</f>
        <v>1</v>
      </c>
      <c r="BL661" s="80">
        <f t="shared" si="254"/>
        <v>0</v>
      </c>
      <c r="BM661" s="80">
        <f t="shared" si="255"/>
        <v>0</v>
      </c>
      <c r="BN661" s="80">
        <f t="shared" si="256"/>
        <v>0</v>
      </c>
      <c r="BO661" s="80">
        <f t="shared" si="257"/>
        <v>0</v>
      </c>
      <c r="BP661" s="80">
        <f t="shared" si="258"/>
        <v>0</v>
      </c>
      <c r="BQ661" s="80">
        <f t="shared" si="259"/>
        <v>0</v>
      </c>
      <c r="BR661" s="80">
        <f t="shared" si="260"/>
        <v>0</v>
      </c>
      <c r="BS661" s="80">
        <f t="shared" si="261"/>
        <v>0</v>
      </c>
      <c r="BT661" s="80">
        <f t="shared" si="262"/>
        <v>0</v>
      </c>
      <c r="BU661" s="80">
        <f t="shared" si="263"/>
        <v>0</v>
      </c>
      <c r="BV661" s="80" t="str">
        <f>IFERROR(VLOOKUP($H661,'1. Set Program Names'!$B$2:$D$15,3,0)*V661,"NA")</f>
        <v>NA</v>
      </c>
      <c r="BW661" s="80" t="str">
        <f>IFERROR(VLOOKUP($H661,'1. Set Program Names'!$B$2:$D$15,3,0)*W661,"NA")</f>
        <v>NA</v>
      </c>
      <c r="BX661" s="80" t="str">
        <f>IFERROR(VLOOKUP($H661,'1. Set Program Names'!$B$2:$D$15,3,0)*X661,"NA")</f>
        <v>NA</v>
      </c>
      <c r="BY661" s="80" t="str">
        <f>IFERROR(VLOOKUP($H661,'1. Set Program Names'!$B$2:$D$15,3,0)*Y661,"NA")</f>
        <v>NA</v>
      </c>
      <c r="BZ661" s="80" t="str">
        <f>IFERROR(VLOOKUP($H661,'1. Set Program Names'!$B$2:$D$15,3,0)*Z661,"NA")</f>
        <v>NA</v>
      </c>
      <c r="CA661" s="80" t="str">
        <f>IFERROR(VLOOKUP($H661,'1. Set Program Names'!$B$2:$D$15,3,0)*AA661,"NA")</f>
        <v>NA</v>
      </c>
      <c r="CB661" s="80" t="str">
        <f>IFERROR(VLOOKUP($H661,'1. Set Program Names'!$B$2:$D$15,3,0)*AB661,"NA")</f>
        <v>NA</v>
      </c>
      <c r="CC661" s="80" t="str">
        <f>IFERROR(VLOOKUP($H661,'1. Set Program Names'!$B$2:$D$15,3,0)*AC661,"NA")</f>
        <v>NA</v>
      </c>
      <c r="CD661" s="80" t="str">
        <f>IFERROR(VLOOKUP($H661,'1. Set Program Names'!$B$2:$D$15,3,0)*AD661,"NA")</f>
        <v>NA</v>
      </c>
      <c r="CE661" s="80" t="str">
        <f>IFERROR(VLOOKUP($H661,'1. Set Program Names'!$B$2:$D$15,3,0)*AE661,"NA")</f>
        <v>NA</v>
      </c>
    </row>
    <row r="662" spans="1:83" x14ac:dyDescent="0.25">
      <c r="A662" s="79" t="s">
        <v>117</v>
      </c>
      <c r="B662" s="79" t="s">
        <v>88</v>
      </c>
      <c r="C662" s="79" t="s">
        <v>122</v>
      </c>
      <c r="D662" s="79" t="s">
        <v>90</v>
      </c>
      <c r="E662" s="79" t="s">
        <v>91</v>
      </c>
      <c r="F662" s="79" t="s">
        <v>90</v>
      </c>
      <c r="G662" s="79" t="s">
        <v>92</v>
      </c>
      <c r="H662" s="79" t="s">
        <v>268</v>
      </c>
      <c r="I662" s="79" t="s">
        <v>175</v>
      </c>
      <c r="J662" s="79" t="s">
        <v>144</v>
      </c>
      <c r="K662" s="79" t="s">
        <v>98</v>
      </c>
      <c r="L662" s="79">
        <v>264.02999999999997</v>
      </c>
      <c r="M662" s="79">
        <v>4.1428427039389301E-2</v>
      </c>
      <c r="N662" s="79">
        <v>6.1740637590561503E-2</v>
      </c>
      <c r="O662" s="79">
        <v>74.16</v>
      </c>
      <c r="P662" s="79">
        <v>19.8471936238772</v>
      </c>
      <c r="Q662" s="79">
        <v>0.26402999999999999</v>
      </c>
      <c r="R662" s="79">
        <v>106.11574944735899</v>
      </c>
      <c r="S662" s="79">
        <v>217.179512566509</v>
      </c>
      <c r="T662" s="79">
        <v>10</v>
      </c>
      <c r="U662" s="79">
        <v>1</v>
      </c>
      <c r="V662" s="79">
        <f>tbl_Data_old[[#This Row],[2025 ]]*IFERROR(AVERAGEIFS('Participation Adjustment'!$C:$C,'Participation Adjustment'!$A:$A,$H662,'Participation Adjustment'!$B:$B,$I662),1)</f>
        <v>2.30102065637666</v>
      </c>
      <c r="W662" s="79">
        <f>tbl_Data_old[[#This Row],[2026 ]]*IFERROR(AVERAGEIFS('Participation Adjustment'!$C:$C,'Participation Adjustment'!$A:$A,$H662,'Participation Adjustment'!$B:$B,$I662),1)</f>
        <v>5.4592847752701497</v>
      </c>
      <c r="X662" s="79">
        <f>tbl_Data_old[[#This Row],[2027 ]]*IFERROR(AVERAGEIFS('Participation Adjustment'!$C:$C,'Participation Adjustment'!$A:$A,$H662,'Participation Adjustment'!$B:$B,$I662),1)</f>
        <v>9.6633584620475297</v>
      </c>
      <c r="Y662" s="79">
        <f>tbl_Data_old[[#This Row],[2028 ]]*IFERROR(AVERAGEIFS('Participation Adjustment'!$C:$C,'Participation Adjustment'!$A:$A,$H662,'Participation Adjustment'!$B:$B,$I662),1)</f>
        <v>15.0887228607154</v>
      </c>
      <c r="Z662" s="79">
        <f>tbl_Data_old[[#This Row],[2029 ]]*IFERROR(AVERAGEIFS('Participation Adjustment'!$C:$C,'Participation Adjustment'!$A:$A,$H662,'Participation Adjustment'!$B:$B,$I662),1)</f>
        <v>21.810998527467301</v>
      </c>
      <c r="AA662" s="79">
        <f>tbl_Data_old[[#This Row],[2030 ]]*IFERROR(AVERAGEIFS('Participation Adjustment'!$C:$C,'Participation Adjustment'!$A:$A,$H662,'Participation Adjustment'!$B:$B,$I662),1)</f>
        <v>29.704698233088799</v>
      </c>
      <c r="AB662" s="79">
        <f>tbl_Data_old[[#This Row],[2031 ]]*IFERROR(AVERAGEIFS('Participation Adjustment'!$C:$C,'Participation Adjustment'!$A:$A,$H662,'Participation Adjustment'!$B:$B,$I662),1)</f>
        <v>38.382439440317498</v>
      </c>
      <c r="AC662" s="79">
        <f>tbl_Data_old[[#This Row],[2032 ]]*IFERROR(AVERAGEIFS('Participation Adjustment'!$C:$C,'Participation Adjustment'!$A:$A,$H662,'Participation Adjustment'!$B:$B,$I662),1)</f>
        <v>47.211286693679</v>
      </c>
      <c r="AD662" s="79">
        <f>tbl_Data_old[[#This Row],[2033 ]]*IFERROR(AVERAGEIFS('Participation Adjustment'!$C:$C,'Participation Adjustment'!$A:$A,$H662,'Participation Adjustment'!$B:$B,$I662),1)</f>
        <v>55.434118076844896</v>
      </c>
      <c r="AE662" s="79">
        <f>tbl_Data_old[[#This Row],[2034 ]]*IFERROR(AVERAGEIFS('Participation Adjustment'!$C:$C,'Participation Adjustment'!$A:$A,$H662,'Participation Adjustment'!$B:$B,$I662),1)</f>
        <v>62.416298911587702</v>
      </c>
      <c r="AF662" s="77" t="str">
        <f t="shared" ref="AF662:AF667" si="264">IF(C662="Residential","Residential","NonResidential")</f>
        <v>NonResidential</v>
      </c>
      <c r="AG662" s="77" t="str">
        <f>tbl_Data[[#This Row],[All_Meas_Name_Append]]</f>
        <v>Faucet Aerator</v>
      </c>
      <c r="AH662" s="77">
        <f>AVERAGEIFS('3. Incentive Adjustment'!G:G,'3. Incentive Adjustment'!A:A,tbl_Data[[#This Row],[Trimmed Sector]],'3. Incentive Adjustment'!B:B,tbl_Data[[#This Row],[Trimmed Measure Name]])</f>
        <v>0.82009235606746977</v>
      </c>
      <c r="AI662" s="77">
        <f>$AH662*tbl_Data[[#This Row],[2025 ]]</f>
        <v>1.8870494514478509</v>
      </c>
      <c r="AJ662" s="77">
        <f>$AH662*tbl_Data[[#This Row],[2026 ]]</f>
        <v>4.4771177137945646</v>
      </c>
      <c r="AK662" s="77">
        <f>$AH662*tbl_Data[[#This Row],[2027 ]]</f>
        <v>7.9248464086650801</v>
      </c>
      <c r="AL662" s="77">
        <f>$AH662*tbl_Data[[#This Row],[2028 ]]</f>
        <v>12.374146280893186</v>
      </c>
      <c r="AM662" s="77">
        <f>$AH662*tbl_Data[[#This Row],[2029 ]]</f>
        <v>17.887033170574774</v>
      </c>
      <c r="AN662" s="77">
        <f>$AH662*tbl_Data[[#This Row],[2030 ]]</f>
        <v>24.360595960247</v>
      </c>
      <c r="AO662" s="77">
        <f>$AH662*tbl_Data[[#This Row],[2031 ]]</f>
        <v>31.477145192226953</v>
      </c>
      <c r="AP662" s="77">
        <f>$AH662*tbl_Data[[#This Row],[2032 ]]</f>
        <v>38.717615337595994</v>
      </c>
      <c r="AQ662" s="77">
        <f>$AH662*tbl_Data[[#This Row],[2033 ]]</f>
        <v>45.46109650016205</v>
      </c>
      <c r="AR662" s="77">
        <f>$AH662*tbl_Data[[#This Row],[2034 ]]</f>
        <v>51.187129631415409</v>
      </c>
      <c r="AS662" s="77">
        <f>SUM(tbl_Data[[#This Row],[Adjusted 2025]:[Adjusted 2034]])</f>
        <v>235.75377564702288</v>
      </c>
      <c r="AT662" s="80">
        <f>AVERAGEIFS('3. Incentive Adjustment'!F:F,'3. Incentive Adjustment'!A:A,tbl_Data[[#This Row],[Trimmed Sector]],'3. Incentive Adjustment'!B:B,tbl_Data[[#This Row],[Trimmed Measure Name]])</f>
        <v>0</v>
      </c>
      <c r="AU662" s="80">
        <f>IFERROR(VLOOKUP(tbl_Data[[#This Row],[All_Meas_Name_Append]],'IRA Tax Credits'!$A$3:$D$46,4,0),0)</f>
        <v>0</v>
      </c>
      <c r="AV662" s="81">
        <f>tbl_Data[[#This Row],[Adj. per unit Incentive ($)]]/tbl_Data[[#This Row],[kWh Savings]]*tbl_Data[[#This Row],[Sum of Annuals]]</f>
        <v>0</v>
      </c>
      <c r="AW662" s="81" t="str">
        <f>IFERROR(VLOOKUP(tbl_Data[[#This Row],[Column1]],'1. Set Program Names'!$B$2:$D$15,3,0)*tbl_Data[[#This Row],[Sum of Annuals]],"")</f>
        <v/>
      </c>
      <c r="AX662" s="81">
        <f>tbl_Data[[#This Row],[per unit IRA tax ($)]]/tbl_Data[[#This Row],[kWh Savings]]*tbl_Data[[#This Row],[Sum of Annuals]]</f>
        <v>0</v>
      </c>
      <c r="AY662" s="81">
        <f>tbl_Data[[#This Row],[Avoided Costs ($/unit)]]/tbl_Data[[#This Row],[kWh Savings]]*tbl_Data[[#This Row],[Sum of Annuals]]</f>
        <v>94.751310789790423</v>
      </c>
      <c r="AZ662" s="81">
        <f>tbl_Data[[#This Row],[Lost Revenue ($/unit)]]/tbl_Data[[#This Row],[kWh Savings]]*tbl_Data[[#This Row],[Sum of Annuals]]</f>
        <v>193.92072901084936</v>
      </c>
      <c r="BA662" s="81">
        <f>tbl_Data[[#This Row],[Incremental Cost ($/unit)]]/tbl_Data[[#This Row],[kWh Savings]]*tbl_Data[[#This Row],[Sum of Annuals]]</f>
        <v>66.217854039250156</v>
      </c>
      <c r="BB662" s="77">
        <f>ROUNDUP(tbl_Data[[#This Row],[Adjusted 2025]]/$L662,0)</f>
        <v>1</v>
      </c>
      <c r="BC662" s="77">
        <f>ROUNDUP(tbl_Data[[#This Row],[Adjusted 2026]]/$L662,0)</f>
        <v>1</v>
      </c>
      <c r="BD662" s="77">
        <f>ROUNDUP(tbl_Data[[#This Row],[Adjusted 2027]]/$L662,0)</f>
        <v>1</v>
      </c>
      <c r="BE662" s="77">
        <f>ROUNDUP(tbl_Data[[#This Row],[Adjusted 2028]]/$L662,0)</f>
        <v>1</v>
      </c>
      <c r="BF662" s="77">
        <f>ROUNDUP(tbl_Data[[#This Row],[Adjusted 2029]]/$L662,0)</f>
        <v>1</v>
      </c>
      <c r="BG662" s="77">
        <f>ROUNDUP(tbl_Data[[#This Row],[Adjusted 2030]]/$L662,0)</f>
        <v>1</v>
      </c>
      <c r="BH662" s="77">
        <f>ROUNDUP(tbl_Data[[#This Row],[Adjusted 2031]]/$L662,0)</f>
        <v>1</v>
      </c>
      <c r="BI662" s="77">
        <f>ROUNDUP(tbl_Data[[#This Row],[Adjusted 2032]]/$L662,0)</f>
        <v>1</v>
      </c>
      <c r="BJ662" s="77">
        <f>ROUNDUP(tbl_Data[[#This Row],[Adjusted 2033]]/$L662,0)</f>
        <v>1</v>
      </c>
      <c r="BK662" s="77">
        <f>ROUNDUP(tbl_Data[[#This Row],[Adjusted 2034]]/$L662,0)</f>
        <v>1</v>
      </c>
      <c r="BL662" s="80">
        <f t="shared" ref="BL662:BL667" si="265">$AT662/$L662*V662</f>
        <v>0</v>
      </c>
      <c r="BM662" s="80">
        <f t="shared" ref="BM662:BM667" si="266">$AT662/$L662*W662</f>
        <v>0</v>
      </c>
      <c r="BN662" s="80">
        <f t="shared" ref="BN662:BN667" si="267">$AT662/$L662*X662</f>
        <v>0</v>
      </c>
      <c r="BO662" s="80">
        <f t="shared" ref="BO662:BO667" si="268">$AT662/$L662*Y662</f>
        <v>0</v>
      </c>
      <c r="BP662" s="80">
        <f t="shared" ref="BP662:BP667" si="269">$AT662/$L662*Z662</f>
        <v>0</v>
      </c>
      <c r="BQ662" s="80">
        <f t="shared" ref="BQ662:BQ667" si="270">$AT662/$L662*AA662</f>
        <v>0</v>
      </c>
      <c r="BR662" s="80">
        <f t="shared" ref="BR662:BR667" si="271">$AT662/$L662*AB662</f>
        <v>0</v>
      </c>
      <c r="BS662" s="80">
        <f t="shared" ref="BS662:BS667" si="272">$AT662/$L662*AC662</f>
        <v>0</v>
      </c>
      <c r="BT662" s="80">
        <f t="shared" ref="BT662:BT667" si="273">$AT662/$L662*AD662</f>
        <v>0</v>
      </c>
      <c r="BU662" s="80">
        <f t="shared" ref="BU662:BU667" si="274">$AT662/$L662*AE662</f>
        <v>0</v>
      </c>
      <c r="BV662" s="80" t="str">
        <f>IFERROR(VLOOKUP($H662,'1. Set Program Names'!$B$2:$D$15,3,0)*V662,"NA")</f>
        <v>NA</v>
      </c>
      <c r="BW662" s="80" t="str">
        <f>IFERROR(VLOOKUP($H662,'1. Set Program Names'!$B$2:$D$15,3,0)*W662,"NA")</f>
        <v>NA</v>
      </c>
      <c r="BX662" s="80" t="str">
        <f>IFERROR(VLOOKUP($H662,'1. Set Program Names'!$B$2:$D$15,3,0)*X662,"NA")</f>
        <v>NA</v>
      </c>
      <c r="BY662" s="80" t="str">
        <f>IFERROR(VLOOKUP($H662,'1. Set Program Names'!$B$2:$D$15,3,0)*Y662,"NA")</f>
        <v>NA</v>
      </c>
      <c r="BZ662" s="80" t="str">
        <f>IFERROR(VLOOKUP($H662,'1. Set Program Names'!$B$2:$D$15,3,0)*Z662,"NA")</f>
        <v>NA</v>
      </c>
      <c r="CA662" s="80" t="str">
        <f>IFERROR(VLOOKUP($H662,'1. Set Program Names'!$B$2:$D$15,3,0)*AA662,"NA")</f>
        <v>NA</v>
      </c>
      <c r="CB662" s="80" t="str">
        <f>IFERROR(VLOOKUP($H662,'1. Set Program Names'!$B$2:$D$15,3,0)*AB662,"NA")</f>
        <v>NA</v>
      </c>
      <c r="CC662" s="80" t="str">
        <f>IFERROR(VLOOKUP($H662,'1. Set Program Names'!$B$2:$D$15,3,0)*AC662,"NA")</f>
        <v>NA</v>
      </c>
      <c r="CD662" s="80" t="str">
        <f>IFERROR(VLOOKUP($H662,'1. Set Program Names'!$B$2:$D$15,3,0)*AD662,"NA")</f>
        <v>NA</v>
      </c>
      <c r="CE662" s="80" t="str">
        <f>IFERROR(VLOOKUP($H662,'1. Set Program Names'!$B$2:$D$15,3,0)*AE662,"NA")</f>
        <v>NA</v>
      </c>
    </row>
    <row r="663" spans="1:83" x14ac:dyDescent="0.25">
      <c r="A663" s="79" t="s">
        <v>117</v>
      </c>
      <c r="B663" s="79" t="s">
        <v>88</v>
      </c>
      <c r="C663" s="79" t="s">
        <v>122</v>
      </c>
      <c r="D663" s="79" t="s">
        <v>90</v>
      </c>
      <c r="E663" s="79" t="s">
        <v>91</v>
      </c>
      <c r="F663" s="79" t="s">
        <v>90</v>
      </c>
      <c r="G663" s="79" t="s">
        <v>92</v>
      </c>
      <c r="H663" s="79" t="s">
        <v>268</v>
      </c>
      <c r="I663" s="79" t="s">
        <v>150</v>
      </c>
      <c r="J663" s="79" t="s">
        <v>129</v>
      </c>
      <c r="K663" s="79" t="s">
        <v>102</v>
      </c>
      <c r="L663" s="79">
        <v>56016.9549999999</v>
      </c>
      <c r="M663" s="79">
        <v>10.827112325312299</v>
      </c>
      <c r="N663" s="79">
        <v>1.3517775806744601</v>
      </c>
      <c r="O663" s="79">
        <v>17160.122499999899</v>
      </c>
      <c r="P663" s="79">
        <v>8652.3043908691998</v>
      </c>
      <c r="Q663" s="79">
        <v>56.016954999999903</v>
      </c>
      <c r="R663" s="79">
        <v>30291.5576269993</v>
      </c>
      <c r="S663" s="79">
        <v>71892.064971295098</v>
      </c>
      <c r="T663" s="79">
        <v>20</v>
      </c>
      <c r="U663" s="79">
        <v>1</v>
      </c>
      <c r="V663" s="79">
        <f>tbl_Data_old[[#This Row],[2025 ]]*IFERROR(AVERAGEIFS('Participation Adjustment'!$C:$C,'Participation Adjustment'!$A:$A,$H663,'Participation Adjustment'!$B:$B,$I663),1)</f>
        <v>13.513299407399099</v>
      </c>
      <c r="W663" s="79">
        <f>tbl_Data_old[[#This Row],[2026 ]]*IFERROR(AVERAGEIFS('Participation Adjustment'!$C:$C,'Participation Adjustment'!$A:$A,$H663,'Participation Adjustment'!$B:$B,$I663),1)</f>
        <v>26.837675155413599</v>
      </c>
      <c r="X663" s="79">
        <f>tbl_Data_old[[#This Row],[2027 ]]*IFERROR(AVERAGEIFS('Participation Adjustment'!$C:$C,'Participation Adjustment'!$A:$A,$H663,'Participation Adjustment'!$B:$B,$I663),1)</f>
        <v>39.889713779196697</v>
      </c>
      <c r="Y663" s="79">
        <f>tbl_Data_old[[#This Row],[2028 ]]*IFERROR(AVERAGEIFS('Participation Adjustment'!$C:$C,'Participation Adjustment'!$A:$A,$H663,'Participation Adjustment'!$B:$B,$I663),1)</f>
        <v>52.666003824252698</v>
      </c>
      <c r="Z663" s="79">
        <f>tbl_Data_old[[#This Row],[2029 ]]*IFERROR(AVERAGEIFS('Participation Adjustment'!$C:$C,'Participation Adjustment'!$A:$A,$H663,'Participation Adjustment'!$B:$B,$I663),1)</f>
        <v>65.147633189971202</v>
      </c>
      <c r="AA663" s="79">
        <f>tbl_Data_old[[#This Row],[2030 ]]*IFERROR(AVERAGEIFS('Participation Adjustment'!$C:$C,'Participation Adjustment'!$A:$A,$H663,'Participation Adjustment'!$B:$B,$I663),1)</f>
        <v>77.305858099114403</v>
      </c>
      <c r="AB663" s="79">
        <f>tbl_Data_old[[#This Row],[2031 ]]*IFERROR(AVERAGEIFS('Participation Adjustment'!$C:$C,'Participation Adjustment'!$A:$A,$H663,'Participation Adjustment'!$B:$B,$I663),1)</f>
        <v>89.116205722515502</v>
      </c>
      <c r="AC663" s="79">
        <f>tbl_Data_old[[#This Row],[2032 ]]*IFERROR(AVERAGEIFS('Participation Adjustment'!$C:$C,'Participation Adjustment'!$A:$A,$H663,'Participation Adjustment'!$B:$B,$I663),1)</f>
        <v>100.580397664835</v>
      </c>
      <c r="AD663" s="79">
        <f>tbl_Data_old[[#This Row],[2033 ]]*IFERROR(AVERAGEIFS('Participation Adjustment'!$C:$C,'Participation Adjustment'!$A:$A,$H663,'Participation Adjustment'!$B:$B,$I663),1)</f>
        <v>111.71246437468299</v>
      </c>
      <c r="AE663" s="79">
        <f>tbl_Data_old[[#This Row],[2034 ]]*IFERROR(AVERAGEIFS('Participation Adjustment'!$C:$C,'Participation Adjustment'!$A:$A,$H663,'Participation Adjustment'!$B:$B,$I663),1)</f>
        <v>122.50318898710201</v>
      </c>
      <c r="AF663" s="77" t="str">
        <f t="shared" si="264"/>
        <v>NonResidential</v>
      </c>
      <c r="AG663" s="77" t="str">
        <f>tbl_Data[[#This Row],[All_Meas_Name_Append]]</f>
        <v>Infiltration Reduction - Air Sealing</v>
      </c>
      <c r="AH663" s="77">
        <f>AVERAGEIFS('3. Incentive Adjustment'!G:G,'3. Incentive Adjustment'!A:A,tbl_Data[[#This Row],[Trimmed Sector]],'3. Incentive Adjustment'!B:B,tbl_Data[[#This Row],[Trimmed Measure Name]])</f>
        <v>0.66528306579610585</v>
      </c>
      <c r="AI663" s="77">
        <f>$AH663*tbl_Data[[#This Row],[2025 ]]</f>
        <v>8.9901692587751736</v>
      </c>
      <c r="AJ663" s="77">
        <f>$AH663*tbl_Data[[#This Row],[2026 ]]</f>
        <v>17.85465080623354</v>
      </c>
      <c r="AK663" s="77">
        <f>$AH663*tbl_Data[[#This Row],[2027 ]]</f>
        <v>26.537951076753146</v>
      </c>
      <c r="AL663" s="77">
        <f>$AH663*tbl_Data[[#This Row],[2028 ]]</f>
        <v>35.037800487428271</v>
      </c>
      <c r="AM663" s="77">
        <f>$AH663*tbl_Data[[#This Row],[2029 ]]</f>
        <v>43.34161713798418</v>
      </c>
      <c r="AN663" s="77">
        <f>$AH663*tbl_Data[[#This Row],[2030 ]]</f>
        <v>51.430278280177546</v>
      </c>
      <c r="AO663" s="77">
        <f>$AH663*tbl_Data[[#This Row],[2031 ]]</f>
        <v>59.287502555191587</v>
      </c>
      <c r="AP663" s="77">
        <f>$AH663*tbl_Data[[#This Row],[2032 ]]</f>
        <v>66.914435317452913</v>
      </c>
      <c r="AQ663" s="77">
        <f>$AH663*tbl_Data[[#This Row],[2033 ]]</f>
        <v>74.320410786827352</v>
      </c>
      <c r="AR663" s="77">
        <f>$AH663*tbl_Data[[#This Row],[2034 ]]</f>
        <v>81.499297139138974</v>
      </c>
      <c r="AS663" s="77">
        <f>SUM(tbl_Data[[#This Row],[Adjusted 2025]:[Adjusted 2034]])</f>
        <v>465.21411284596275</v>
      </c>
      <c r="AT663" s="80">
        <f>AVERAGEIFS('3. Incentive Adjustment'!F:F,'3. Incentive Adjustment'!A:A,tbl_Data[[#This Row],[Trimmed Sector]],'3. Incentive Adjustment'!B:B,tbl_Data[[#This Row],[Trimmed Measure Name]])</f>
        <v>0</v>
      </c>
      <c r="AU663" s="80">
        <f>IFERROR(VLOOKUP(tbl_Data[[#This Row],[All_Meas_Name_Append]],'IRA Tax Credits'!$A$3:$D$46,4,0),0)</f>
        <v>0</v>
      </c>
      <c r="AV663" s="81">
        <f>tbl_Data[[#This Row],[Adj. per unit Incentive ($)]]/tbl_Data[[#This Row],[kWh Savings]]*tbl_Data[[#This Row],[Sum of Annuals]]</f>
        <v>0</v>
      </c>
      <c r="AW663" s="81" t="str">
        <f>IFERROR(VLOOKUP(tbl_Data[[#This Row],[Column1]],'1. Set Program Names'!$B$2:$D$15,3,0)*tbl_Data[[#This Row],[Sum of Annuals]],"")</f>
        <v/>
      </c>
      <c r="AX663" s="81">
        <f>tbl_Data[[#This Row],[per unit IRA tax ($)]]/tbl_Data[[#This Row],[kWh Savings]]*tbl_Data[[#This Row],[Sum of Annuals]]</f>
        <v>0</v>
      </c>
      <c r="AY663" s="81">
        <f>tbl_Data[[#This Row],[Avoided Costs ($/unit)]]/tbl_Data[[#This Row],[kWh Savings]]*tbl_Data[[#This Row],[Sum of Annuals]]</f>
        <v>251.5677638701865</v>
      </c>
      <c r="AZ663" s="81">
        <f>tbl_Data[[#This Row],[Lost Revenue ($/unit)]]/tbl_Data[[#This Row],[kWh Savings]]*tbl_Data[[#This Row],[Sum of Annuals]]</f>
        <v>597.05500283414949</v>
      </c>
      <c r="BA663" s="81">
        <f>tbl_Data[[#This Row],[Incremental Cost ($/unit)]]/tbl_Data[[#This Row],[kWh Savings]]*tbl_Data[[#This Row],[Sum of Annuals]]</f>
        <v>142.51276537908052</v>
      </c>
      <c r="BB663" s="77">
        <f>ROUNDUP(tbl_Data[[#This Row],[Adjusted 2025]]/$L663,0)</f>
        <v>1</v>
      </c>
      <c r="BC663" s="77">
        <f>ROUNDUP(tbl_Data[[#This Row],[Adjusted 2026]]/$L663,0)</f>
        <v>1</v>
      </c>
      <c r="BD663" s="77">
        <f>ROUNDUP(tbl_Data[[#This Row],[Adjusted 2027]]/$L663,0)</f>
        <v>1</v>
      </c>
      <c r="BE663" s="77">
        <f>ROUNDUP(tbl_Data[[#This Row],[Adjusted 2028]]/$L663,0)</f>
        <v>1</v>
      </c>
      <c r="BF663" s="77">
        <f>ROUNDUP(tbl_Data[[#This Row],[Adjusted 2029]]/$L663,0)</f>
        <v>1</v>
      </c>
      <c r="BG663" s="77">
        <f>ROUNDUP(tbl_Data[[#This Row],[Adjusted 2030]]/$L663,0)</f>
        <v>1</v>
      </c>
      <c r="BH663" s="77">
        <f>ROUNDUP(tbl_Data[[#This Row],[Adjusted 2031]]/$L663,0)</f>
        <v>1</v>
      </c>
      <c r="BI663" s="77">
        <f>ROUNDUP(tbl_Data[[#This Row],[Adjusted 2032]]/$L663,0)</f>
        <v>1</v>
      </c>
      <c r="BJ663" s="77">
        <f>ROUNDUP(tbl_Data[[#This Row],[Adjusted 2033]]/$L663,0)</f>
        <v>1</v>
      </c>
      <c r="BK663" s="77">
        <f>ROUNDUP(tbl_Data[[#This Row],[Adjusted 2034]]/$L663,0)</f>
        <v>1</v>
      </c>
      <c r="BL663" s="80">
        <f t="shared" si="265"/>
        <v>0</v>
      </c>
      <c r="BM663" s="80">
        <f t="shared" si="266"/>
        <v>0</v>
      </c>
      <c r="BN663" s="80">
        <f t="shared" si="267"/>
        <v>0</v>
      </c>
      <c r="BO663" s="80">
        <f t="shared" si="268"/>
        <v>0</v>
      </c>
      <c r="BP663" s="80">
        <f t="shared" si="269"/>
        <v>0</v>
      </c>
      <c r="BQ663" s="80">
        <f t="shared" si="270"/>
        <v>0</v>
      </c>
      <c r="BR663" s="80">
        <f t="shared" si="271"/>
        <v>0</v>
      </c>
      <c r="BS663" s="80">
        <f t="shared" si="272"/>
        <v>0</v>
      </c>
      <c r="BT663" s="80">
        <f t="shared" si="273"/>
        <v>0</v>
      </c>
      <c r="BU663" s="80">
        <f t="shared" si="274"/>
        <v>0</v>
      </c>
      <c r="BV663" s="80" t="str">
        <f>IFERROR(VLOOKUP($H663,'1. Set Program Names'!$B$2:$D$15,3,0)*V663,"NA")</f>
        <v>NA</v>
      </c>
      <c r="BW663" s="80" t="str">
        <f>IFERROR(VLOOKUP($H663,'1. Set Program Names'!$B$2:$D$15,3,0)*W663,"NA")</f>
        <v>NA</v>
      </c>
      <c r="BX663" s="80" t="str">
        <f>IFERROR(VLOOKUP($H663,'1. Set Program Names'!$B$2:$D$15,3,0)*X663,"NA")</f>
        <v>NA</v>
      </c>
      <c r="BY663" s="80" t="str">
        <f>IFERROR(VLOOKUP($H663,'1. Set Program Names'!$B$2:$D$15,3,0)*Y663,"NA")</f>
        <v>NA</v>
      </c>
      <c r="BZ663" s="80" t="str">
        <f>IFERROR(VLOOKUP($H663,'1. Set Program Names'!$B$2:$D$15,3,0)*Z663,"NA")</f>
        <v>NA</v>
      </c>
      <c r="CA663" s="80" t="str">
        <f>IFERROR(VLOOKUP($H663,'1. Set Program Names'!$B$2:$D$15,3,0)*AA663,"NA")</f>
        <v>NA</v>
      </c>
      <c r="CB663" s="80" t="str">
        <f>IFERROR(VLOOKUP($H663,'1. Set Program Names'!$B$2:$D$15,3,0)*AB663,"NA")</f>
        <v>NA</v>
      </c>
      <c r="CC663" s="80" t="str">
        <f>IFERROR(VLOOKUP($H663,'1. Set Program Names'!$B$2:$D$15,3,0)*AC663,"NA")</f>
        <v>NA</v>
      </c>
      <c r="CD663" s="80" t="str">
        <f>IFERROR(VLOOKUP($H663,'1. Set Program Names'!$B$2:$D$15,3,0)*AD663,"NA")</f>
        <v>NA</v>
      </c>
      <c r="CE663" s="80" t="str">
        <f>IFERROR(VLOOKUP($H663,'1. Set Program Names'!$B$2:$D$15,3,0)*AE663,"NA")</f>
        <v>NA</v>
      </c>
    </row>
    <row r="664" spans="1:83" x14ac:dyDescent="0.25">
      <c r="A664" s="79" t="s">
        <v>117</v>
      </c>
      <c r="B664" s="79" t="s">
        <v>88</v>
      </c>
      <c r="C664" s="79" t="s">
        <v>122</v>
      </c>
      <c r="D664" s="79" t="s">
        <v>90</v>
      </c>
      <c r="E664" s="79" t="s">
        <v>91</v>
      </c>
      <c r="F664" s="79" t="s">
        <v>90</v>
      </c>
      <c r="G664" s="79" t="s">
        <v>92</v>
      </c>
      <c r="H664" s="79" t="s">
        <v>268</v>
      </c>
      <c r="I664" s="79" t="s">
        <v>269</v>
      </c>
      <c r="J664" s="79" t="s">
        <v>144</v>
      </c>
      <c r="K664" s="79" t="s">
        <v>98</v>
      </c>
      <c r="L664" s="79">
        <v>114.663333333333</v>
      </c>
      <c r="M664" s="79">
        <v>9.9293177507311006E-3</v>
      </c>
      <c r="N664" s="79">
        <v>1.6498275913899602E-2</v>
      </c>
      <c r="O664" s="79">
        <v>32.906666666666602</v>
      </c>
      <c r="P664" s="79">
        <v>12.4845629759592</v>
      </c>
      <c r="Q664" s="79">
        <v>0.11466333333333301</v>
      </c>
      <c r="R664" s="79">
        <v>37.313940517924799</v>
      </c>
      <c r="S664" s="79">
        <v>94.317035346682403</v>
      </c>
      <c r="T664" s="79">
        <v>10</v>
      </c>
      <c r="U664" s="79">
        <v>1</v>
      </c>
      <c r="V664" s="79">
        <f>tbl_Data_old[[#This Row],[2025 ]]*IFERROR(AVERAGEIFS('Participation Adjustment'!$C:$C,'Participation Adjustment'!$A:$A,$H664,'Participation Adjustment'!$B:$B,$I664),1)</f>
        <v>2.7888619302372102</v>
      </c>
      <c r="W664" s="79">
        <f>tbl_Data_old[[#This Row],[2026 ]]*IFERROR(AVERAGEIFS('Participation Adjustment'!$C:$C,'Participation Adjustment'!$A:$A,$H664,'Participation Adjustment'!$B:$B,$I664),1)</f>
        <v>6.6167122115492703</v>
      </c>
      <c r="X664" s="79">
        <f>tbl_Data_old[[#This Row],[2027 ]]*IFERROR(AVERAGEIFS('Participation Adjustment'!$C:$C,'Participation Adjustment'!$A:$A,$H664,'Participation Adjustment'!$B:$B,$I664),1)</f>
        <v>11.7120950037349</v>
      </c>
      <c r="Y664" s="79">
        <f>tbl_Data_old[[#This Row],[2028 ]]*IFERROR(AVERAGEIFS('Participation Adjustment'!$C:$C,'Participation Adjustment'!$A:$A,$H664,'Participation Adjustment'!$B:$B,$I664),1)</f>
        <v>18.287695351858101</v>
      </c>
      <c r="Z664" s="79">
        <f>tbl_Data_old[[#This Row],[2029 ]]*IFERROR(AVERAGEIFS('Participation Adjustment'!$C:$C,'Participation Adjustment'!$A:$A,$H664,'Participation Adjustment'!$B:$B,$I664),1)</f>
        <v>26.435166188163201</v>
      </c>
      <c r="AA664" s="79">
        <f>tbl_Data_old[[#This Row],[2030 ]]*IFERROR(AVERAGEIFS('Participation Adjustment'!$C:$C,'Participation Adjustment'!$A:$A,$H664,'Participation Adjustment'!$B:$B,$I664),1)</f>
        <v>36.0024156331977</v>
      </c>
      <c r="AB664" s="79">
        <f>tbl_Data_old[[#This Row],[2031 ]]*IFERROR(AVERAGEIFS('Participation Adjustment'!$C:$C,'Participation Adjustment'!$A:$A,$H664,'Participation Adjustment'!$B:$B,$I664),1)</f>
        <v>46.519931860713598</v>
      </c>
      <c r="AC664" s="79">
        <f>tbl_Data_old[[#This Row],[2032 ]]*IFERROR(AVERAGEIFS('Participation Adjustment'!$C:$C,'Participation Adjustment'!$A:$A,$H664,'Participation Adjustment'!$B:$B,$I664),1)</f>
        <v>57.220590250956597</v>
      </c>
      <c r="AD664" s="79">
        <f>tbl_Data_old[[#This Row],[2033 ]]*IFERROR(AVERAGEIFS('Participation Adjustment'!$C:$C,'Participation Adjustment'!$A:$A,$H664,'Participation Adjustment'!$B:$B,$I664),1)</f>
        <v>67.186750850045499</v>
      </c>
      <c r="AE664" s="79">
        <f>tbl_Data_old[[#This Row],[2034 ]]*IFERROR(AVERAGEIFS('Participation Adjustment'!$C:$C,'Participation Adjustment'!$A:$A,$H664,'Participation Adjustment'!$B:$B,$I664),1)</f>
        <v>75.649229561865795</v>
      </c>
      <c r="AF664" s="77" t="str">
        <f t="shared" si="264"/>
        <v>NonResidential</v>
      </c>
      <c r="AG664" s="77" t="str">
        <f>tbl_Data[[#This Row],[All_Meas_Name_Append]]</f>
        <v>Low Flow Shower Head</v>
      </c>
      <c r="AH664" s="77">
        <f>AVERAGEIFS('3. Incentive Adjustment'!G:G,'3. Incentive Adjustment'!A:A,tbl_Data[[#This Row],[Trimmed Sector]],'3. Incentive Adjustment'!B:B,tbl_Data[[#This Row],[Trimmed Measure Name]])</f>
        <v>0.75029954061989002</v>
      </c>
      <c r="AI664" s="77">
        <f>$AH664*tbl_Data[[#This Row],[2025 ]]</f>
        <v>2.0924818251092785</v>
      </c>
      <c r="AJ664" s="77">
        <f>$AH664*tbl_Data[[#This Row],[2026 ]]</f>
        <v>4.9645161327394343</v>
      </c>
      <c r="AK664" s="77">
        <f>$AH664*tbl_Data[[#This Row],[2027 ]]</f>
        <v>8.7875795009988042</v>
      </c>
      <c r="AL664" s="77">
        <f>$AH664*tbl_Data[[#This Row],[2028 ]]</f>
        <v>13.721249421495632</v>
      </c>
      <c r="AM664" s="77">
        <f>$AH664*tbl_Data[[#This Row],[2029 ]]</f>
        <v>19.834293047189298</v>
      </c>
      <c r="AN664" s="77">
        <f>$AH664*tbl_Data[[#This Row],[2030 ]]</f>
        <v>27.01259591079458</v>
      </c>
      <c r="AO664" s="77">
        <f>$AH664*tbl_Data[[#This Row],[2031 ]]</f>
        <v>34.903883504762</v>
      </c>
      <c r="AP664" s="77">
        <f>$AH664*tbl_Data[[#This Row],[2032 ]]</f>
        <v>42.93258257929169</v>
      </c>
      <c r="AQ664" s="77">
        <f>$AH664*tbl_Data[[#This Row],[2033 ]]</f>
        <v>50.410188298532141</v>
      </c>
      <c r="AR664" s="77">
        <f>$AH664*tbl_Data[[#This Row],[2034 ]]</f>
        <v>56.759582188516511</v>
      </c>
      <c r="AS664" s="77">
        <f>SUM(tbl_Data[[#This Row],[Adjusted 2025]:[Adjusted 2034]])</f>
        <v>261.41895240942938</v>
      </c>
      <c r="AT664" s="80">
        <f>AVERAGEIFS('3. Incentive Adjustment'!F:F,'3. Incentive Adjustment'!A:A,tbl_Data[[#This Row],[Trimmed Sector]],'3. Incentive Adjustment'!B:B,tbl_Data[[#This Row],[Trimmed Measure Name]])</f>
        <v>0</v>
      </c>
      <c r="AU664" s="80">
        <f>IFERROR(VLOOKUP(tbl_Data[[#This Row],[All_Meas_Name_Append]],'IRA Tax Credits'!$A$3:$D$46,4,0),0)</f>
        <v>0</v>
      </c>
      <c r="AV664" s="81">
        <f>tbl_Data[[#This Row],[Adj. per unit Incentive ($)]]/tbl_Data[[#This Row],[kWh Savings]]*tbl_Data[[#This Row],[Sum of Annuals]]</f>
        <v>0</v>
      </c>
      <c r="AW664" s="81" t="str">
        <f>IFERROR(VLOOKUP(tbl_Data[[#This Row],[Column1]],'1. Set Program Names'!$B$2:$D$15,3,0)*tbl_Data[[#This Row],[Sum of Annuals]],"")</f>
        <v/>
      </c>
      <c r="AX664" s="81">
        <f>tbl_Data[[#This Row],[per unit IRA tax ($)]]/tbl_Data[[#This Row],[kWh Savings]]*tbl_Data[[#This Row],[Sum of Annuals]]</f>
        <v>0</v>
      </c>
      <c r="AY664" s="81">
        <f>tbl_Data[[#This Row],[Avoided Costs ($/unit)]]/tbl_Data[[#This Row],[kWh Savings]]*tbl_Data[[#This Row],[Sum of Annuals]]</f>
        <v>85.071408242655522</v>
      </c>
      <c r="AZ664" s="81">
        <f>tbl_Data[[#This Row],[Lost Revenue ($/unit)]]/tbl_Data[[#This Row],[kWh Savings]]*tbl_Data[[#This Row],[Sum of Annuals]]</f>
        <v>215.03177919148442</v>
      </c>
      <c r="BA664" s="81">
        <f>tbl_Data[[#This Row],[Incremental Cost ($/unit)]]/tbl_Data[[#This Row],[kWh Savings]]*tbl_Data[[#This Row],[Sum of Annuals]]</f>
        <v>75.02334074205325</v>
      </c>
      <c r="BB664" s="77">
        <f>ROUNDUP(tbl_Data[[#This Row],[Adjusted 2025]]/$L664,0)</f>
        <v>1</v>
      </c>
      <c r="BC664" s="77">
        <f>ROUNDUP(tbl_Data[[#This Row],[Adjusted 2026]]/$L664,0)</f>
        <v>1</v>
      </c>
      <c r="BD664" s="77">
        <f>ROUNDUP(tbl_Data[[#This Row],[Adjusted 2027]]/$L664,0)</f>
        <v>1</v>
      </c>
      <c r="BE664" s="77">
        <f>ROUNDUP(tbl_Data[[#This Row],[Adjusted 2028]]/$L664,0)</f>
        <v>1</v>
      </c>
      <c r="BF664" s="77">
        <f>ROUNDUP(tbl_Data[[#This Row],[Adjusted 2029]]/$L664,0)</f>
        <v>1</v>
      </c>
      <c r="BG664" s="77">
        <f>ROUNDUP(tbl_Data[[#This Row],[Adjusted 2030]]/$L664,0)</f>
        <v>1</v>
      </c>
      <c r="BH664" s="77">
        <f>ROUNDUP(tbl_Data[[#This Row],[Adjusted 2031]]/$L664,0)</f>
        <v>1</v>
      </c>
      <c r="BI664" s="77">
        <f>ROUNDUP(tbl_Data[[#This Row],[Adjusted 2032]]/$L664,0)</f>
        <v>1</v>
      </c>
      <c r="BJ664" s="77">
        <f>ROUNDUP(tbl_Data[[#This Row],[Adjusted 2033]]/$L664,0)</f>
        <v>1</v>
      </c>
      <c r="BK664" s="77">
        <f>ROUNDUP(tbl_Data[[#This Row],[Adjusted 2034]]/$L664,0)</f>
        <v>1</v>
      </c>
      <c r="BL664" s="80">
        <f t="shared" si="265"/>
        <v>0</v>
      </c>
      <c r="BM664" s="80">
        <f t="shared" si="266"/>
        <v>0</v>
      </c>
      <c r="BN664" s="80">
        <f t="shared" si="267"/>
        <v>0</v>
      </c>
      <c r="BO664" s="80">
        <f t="shared" si="268"/>
        <v>0</v>
      </c>
      <c r="BP664" s="80">
        <f t="shared" si="269"/>
        <v>0</v>
      </c>
      <c r="BQ664" s="80">
        <f t="shared" si="270"/>
        <v>0</v>
      </c>
      <c r="BR664" s="80">
        <f t="shared" si="271"/>
        <v>0</v>
      </c>
      <c r="BS664" s="80">
        <f t="shared" si="272"/>
        <v>0</v>
      </c>
      <c r="BT664" s="80">
        <f t="shared" si="273"/>
        <v>0</v>
      </c>
      <c r="BU664" s="80">
        <f t="shared" si="274"/>
        <v>0</v>
      </c>
      <c r="BV664" s="80" t="str">
        <f>IFERROR(VLOOKUP($H664,'1. Set Program Names'!$B$2:$D$15,3,0)*V664,"NA")</f>
        <v>NA</v>
      </c>
      <c r="BW664" s="80" t="str">
        <f>IFERROR(VLOOKUP($H664,'1. Set Program Names'!$B$2:$D$15,3,0)*W664,"NA")</f>
        <v>NA</v>
      </c>
      <c r="BX664" s="80" t="str">
        <f>IFERROR(VLOOKUP($H664,'1. Set Program Names'!$B$2:$D$15,3,0)*X664,"NA")</f>
        <v>NA</v>
      </c>
      <c r="BY664" s="80" t="str">
        <f>IFERROR(VLOOKUP($H664,'1. Set Program Names'!$B$2:$D$15,3,0)*Y664,"NA")</f>
        <v>NA</v>
      </c>
      <c r="BZ664" s="80" t="str">
        <f>IFERROR(VLOOKUP($H664,'1. Set Program Names'!$B$2:$D$15,3,0)*Z664,"NA")</f>
        <v>NA</v>
      </c>
      <c r="CA664" s="80" t="str">
        <f>IFERROR(VLOOKUP($H664,'1. Set Program Names'!$B$2:$D$15,3,0)*AA664,"NA")</f>
        <v>NA</v>
      </c>
      <c r="CB664" s="80" t="str">
        <f>IFERROR(VLOOKUP($H664,'1. Set Program Names'!$B$2:$D$15,3,0)*AB664,"NA")</f>
        <v>NA</v>
      </c>
      <c r="CC664" s="80" t="str">
        <f>IFERROR(VLOOKUP($H664,'1. Set Program Names'!$B$2:$D$15,3,0)*AC664,"NA")</f>
        <v>NA</v>
      </c>
      <c r="CD664" s="80" t="str">
        <f>IFERROR(VLOOKUP($H664,'1. Set Program Names'!$B$2:$D$15,3,0)*AD664,"NA")</f>
        <v>NA</v>
      </c>
      <c r="CE664" s="80" t="str">
        <f>IFERROR(VLOOKUP($H664,'1. Set Program Names'!$B$2:$D$15,3,0)*AE664,"NA")</f>
        <v>NA</v>
      </c>
    </row>
    <row r="665" spans="1:83" x14ac:dyDescent="0.25">
      <c r="A665" s="79" t="s">
        <v>117</v>
      </c>
      <c r="B665" s="79" t="s">
        <v>88</v>
      </c>
      <c r="C665" s="79" t="s">
        <v>122</v>
      </c>
      <c r="D665" s="79" t="s">
        <v>90</v>
      </c>
      <c r="E665" s="79" t="s">
        <v>91</v>
      </c>
      <c r="F665" s="79" t="s">
        <v>90</v>
      </c>
      <c r="G665" s="79" t="s">
        <v>92</v>
      </c>
      <c r="H665" s="79" t="s">
        <v>268</v>
      </c>
      <c r="I665" s="79" t="s">
        <v>151</v>
      </c>
      <c r="J665" s="79" t="s">
        <v>137</v>
      </c>
      <c r="K665" s="79" t="s">
        <v>152</v>
      </c>
      <c r="L665" s="79">
        <v>746</v>
      </c>
      <c r="M665" s="79">
        <v>0.118390986607413</v>
      </c>
      <c r="N665" s="79">
        <v>0.122042488273403</v>
      </c>
      <c r="O665" s="79">
        <v>233.28</v>
      </c>
      <c r="P665" s="79">
        <v>79.822614261305304</v>
      </c>
      <c r="Q665" s="79">
        <v>0.746</v>
      </c>
      <c r="R665" s="79">
        <v>287.47532526616499</v>
      </c>
      <c r="S665" s="79">
        <v>613.62692260203801</v>
      </c>
      <c r="T665" s="79">
        <v>10</v>
      </c>
      <c r="U665" s="79">
        <v>1</v>
      </c>
      <c r="V665" s="79">
        <f>tbl_Data_old[[#This Row],[2025 ]]*IFERROR(AVERAGEIFS('Participation Adjustment'!$C:$C,'Participation Adjustment'!$A:$A,$H665,'Participation Adjustment'!$B:$B,$I665),1)</f>
        <v>4.1293706852370304</v>
      </c>
      <c r="W665" s="79">
        <f>tbl_Data_old[[#This Row],[2026 ]]*IFERROR(AVERAGEIFS('Participation Adjustment'!$C:$C,'Participation Adjustment'!$A:$A,$H665,'Participation Adjustment'!$B:$B,$I665),1)</f>
        <v>9.0634418648240995</v>
      </c>
      <c r="X665" s="79">
        <f>tbl_Data_old[[#This Row],[2027 ]]*IFERROR(AVERAGEIFS('Participation Adjustment'!$C:$C,'Participation Adjustment'!$A:$A,$H665,'Participation Adjustment'!$B:$B,$I665),1)</f>
        <v>14.8603663688771</v>
      </c>
      <c r="Y665" s="79">
        <f>tbl_Data_old[[#This Row],[2028 ]]*IFERROR(AVERAGEIFS('Participation Adjustment'!$C:$C,'Participation Adjustment'!$A:$A,$H665,'Participation Adjustment'!$B:$B,$I665),1)</f>
        <v>21.6007833143405</v>
      </c>
      <c r="Z665" s="79">
        <f>tbl_Data_old[[#This Row],[2029 ]]*IFERROR(AVERAGEIFS('Participation Adjustment'!$C:$C,'Participation Adjustment'!$A:$A,$H665,'Participation Adjustment'!$B:$B,$I665),1)</f>
        <v>29.351862864162801</v>
      </c>
      <c r="AA665" s="79">
        <f>tbl_Data_old[[#This Row],[2030 ]]*IFERROR(AVERAGEIFS('Participation Adjustment'!$C:$C,'Participation Adjustment'!$A:$A,$H665,'Participation Adjustment'!$B:$B,$I665),1)</f>
        <v>38.153373980105002</v>
      </c>
      <c r="AB665" s="79">
        <f>tbl_Data_old[[#This Row],[2031 ]]*IFERROR(AVERAGEIFS('Participation Adjustment'!$C:$C,'Participation Adjustment'!$A:$A,$H665,'Participation Adjustment'!$B:$B,$I665),1)</f>
        <v>48.031547503149397</v>
      </c>
      <c r="AC665" s="79">
        <f>tbl_Data_old[[#This Row],[2032 ]]*IFERROR(AVERAGEIFS('Participation Adjustment'!$C:$C,'Participation Adjustment'!$A:$A,$H665,'Participation Adjustment'!$B:$B,$I665),1)</f>
        <v>59.0134559302819</v>
      </c>
      <c r="AD665" s="79">
        <f>tbl_Data_old[[#This Row],[2033 ]]*IFERROR(AVERAGEIFS('Participation Adjustment'!$C:$C,'Participation Adjustment'!$A:$A,$H665,'Participation Adjustment'!$B:$B,$I665),1)</f>
        <v>71.109211263387394</v>
      </c>
      <c r="AE665" s="79">
        <f>tbl_Data_old[[#This Row],[2034 ]]*IFERROR(AVERAGEIFS('Participation Adjustment'!$C:$C,'Participation Adjustment'!$A:$A,$H665,'Participation Adjustment'!$B:$B,$I665),1)</f>
        <v>84.304027435166603</v>
      </c>
      <c r="AF665" s="77" t="str">
        <f t="shared" si="264"/>
        <v>NonResidential</v>
      </c>
      <c r="AG665" s="77" t="str">
        <f>tbl_Data[[#This Row],[All_Meas_Name_Append]]</f>
        <v>Ozone Laundry Commercial</v>
      </c>
      <c r="AH665" s="77">
        <f>AVERAGEIFS('3. Incentive Adjustment'!G:G,'3. Incentive Adjustment'!A:A,tbl_Data[[#This Row],[Trimmed Sector]],'3. Incentive Adjustment'!B:B,tbl_Data[[#This Row],[Trimmed Measure Name]])</f>
        <v>0.75402928491932286</v>
      </c>
      <c r="AI665" s="77">
        <f>$AH665*tbl_Data[[#This Row],[2025 ]]</f>
        <v>3.1136664249560924</v>
      </c>
      <c r="AJ665" s="77">
        <f>$AH665*tbl_Data[[#This Row],[2026 ]]</f>
        <v>6.8341005882411698</v>
      </c>
      <c r="AK665" s="77">
        <f>$AH665*tbl_Data[[#This Row],[2027 ]]</f>
        <v>11.205151426763555</v>
      </c>
      <c r="AL665" s="77">
        <f>$AH665*tbl_Data[[#This Row],[2028 ]]</f>
        <v>16.28762319620941</v>
      </c>
      <c r="AM665" s="77">
        <f>$AH665*tbl_Data[[#This Row],[2029 ]]</f>
        <v>22.132164166514706</v>
      </c>
      <c r="AN665" s="77">
        <f>$AH665*tbl_Data[[#This Row],[2030 ]]</f>
        <v>28.768761299478072</v>
      </c>
      <c r="AO665" s="77">
        <f>$AH665*tbl_Data[[#This Row],[2031 ]]</f>
        <v>36.217193417368229</v>
      </c>
      <c r="AP665" s="77">
        <f>$AH665*tbl_Data[[#This Row],[2032 ]]</f>
        <v>44.497873975728432</v>
      </c>
      <c r="AQ665" s="77">
        <f>$AH665*tbl_Data[[#This Row],[2033 ]]</f>
        <v>53.618427720109054</v>
      </c>
      <c r="AR665" s="77">
        <f>$AH665*tbl_Data[[#This Row],[2034 ]]</f>
        <v>63.567705522757649</v>
      </c>
      <c r="AS665" s="77">
        <f>SUM(tbl_Data[[#This Row],[Adjusted 2025]:[Adjusted 2034]])</f>
        <v>286.24266773812633</v>
      </c>
      <c r="AT665" s="80">
        <f>AVERAGEIFS('3. Incentive Adjustment'!F:F,'3. Incentive Adjustment'!A:A,tbl_Data[[#This Row],[Trimmed Sector]],'3. Incentive Adjustment'!B:B,tbl_Data[[#This Row],[Trimmed Measure Name]])</f>
        <v>0</v>
      </c>
      <c r="AU665" s="80">
        <f>IFERROR(VLOOKUP(tbl_Data[[#This Row],[All_Meas_Name_Append]],'IRA Tax Credits'!$A$3:$D$46,4,0),0)</f>
        <v>0</v>
      </c>
      <c r="AV665" s="81">
        <f>tbl_Data[[#This Row],[Adj. per unit Incentive ($)]]/tbl_Data[[#This Row],[kWh Savings]]*tbl_Data[[#This Row],[Sum of Annuals]]</f>
        <v>0</v>
      </c>
      <c r="AW665" s="81" t="str">
        <f>IFERROR(VLOOKUP(tbl_Data[[#This Row],[Column1]],'1. Set Program Names'!$B$2:$D$15,3,0)*tbl_Data[[#This Row],[Sum of Annuals]],"")</f>
        <v/>
      </c>
      <c r="AX665" s="81">
        <f>tbl_Data[[#This Row],[per unit IRA tax ($)]]/tbl_Data[[#This Row],[kWh Savings]]*tbl_Data[[#This Row],[Sum of Annuals]]</f>
        <v>0</v>
      </c>
      <c r="AY665" s="81">
        <f>tbl_Data[[#This Row],[Avoided Costs ($/unit)]]/tbl_Data[[#This Row],[kWh Savings]]*tbl_Data[[#This Row],[Sum of Annuals]]</f>
        <v>110.30523326149149</v>
      </c>
      <c r="AZ665" s="81">
        <f>tbl_Data[[#This Row],[Lost Revenue ($/unit)]]/tbl_Data[[#This Row],[kWh Savings]]*tbl_Data[[#This Row],[Sum of Annuals]]</f>
        <v>235.45068005568919</v>
      </c>
      <c r="BA665" s="81">
        <f>tbl_Data[[#This Row],[Incremental Cost ($/unit)]]/tbl_Data[[#This Row],[kWh Savings]]*tbl_Data[[#This Row],[Sum of Annuals]]</f>
        <v>89.510307680898279</v>
      </c>
      <c r="BB665" s="77">
        <f>ROUNDUP(tbl_Data[[#This Row],[Adjusted 2025]]/$L665,0)</f>
        <v>1</v>
      </c>
      <c r="BC665" s="77">
        <f>ROUNDUP(tbl_Data[[#This Row],[Adjusted 2026]]/$L665,0)</f>
        <v>1</v>
      </c>
      <c r="BD665" s="77">
        <f>ROUNDUP(tbl_Data[[#This Row],[Adjusted 2027]]/$L665,0)</f>
        <v>1</v>
      </c>
      <c r="BE665" s="77">
        <f>ROUNDUP(tbl_Data[[#This Row],[Adjusted 2028]]/$L665,0)</f>
        <v>1</v>
      </c>
      <c r="BF665" s="77">
        <f>ROUNDUP(tbl_Data[[#This Row],[Adjusted 2029]]/$L665,0)</f>
        <v>1</v>
      </c>
      <c r="BG665" s="77">
        <f>ROUNDUP(tbl_Data[[#This Row],[Adjusted 2030]]/$L665,0)</f>
        <v>1</v>
      </c>
      <c r="BH665" s="77">
        <f>ROUNDUP(tbl_Data[[#This Row],[Adjusted 2031]]/$L665,0)</f>
        <v>1</v>
      </c>
      <c r="BI665" s="77">
        <f>ROUNDUP(tbl_Data[[#This Row],[Adjusted 2032]]/$L665,0)</f>
        <v>1</v>
      </c>
      <c r="BJ665" s="77">
        <f>ROUNDUP(tbl_Data[[#This Row],[Adjusted 2033]]/$L665,0)</f>
        <v>1</v>
      </c>
      <c r="BK665" s="77">
        <f>ROUNDUP(tbl_Data[[#This Row],[Adjusted 2034]]/$L665,0)</f>
        <v>1</v>
      </c>
      <c r="BL665" s="80">
        <f t="shared" si="265"/>
        <v>0</v>
      </c>
      <c r="BM665" s="80">
        <f t="shared" si="266"/>
        <v>0</v>
      </c>
      <c r="BN665" s="80">
        <f t="shared" si="267"/>
        <v>0</v>
      </c>
      <c r="BO665" s="80">
        <f t="shared" si="268"/>
        <v>0</v>
      </c>
      <c r="BP665" s="80">
        <f t="shared" si="269"/>
        <v>0</v>
      </c>
      <c r="BQ665" s="80">
        <f t="shared" si="270"/>
        <v>0</v>
      </c>
      <c r="BR665" s="80">
        <f t="shared" si="271"/>
        <v>0</v>
      </c>
      <c r="BS665" s="80">
        <f t="shared" si="272"/>
        <v>0</v>
      </c>
      <c r="BT665" s="80">
        <f t="shared" si="273"/>
        <v>0</v>
      </c>
      <c r="BU665" s="80">
        <f t="shared" si="274"/>
        <v>0</v>
      </c>
      <c r="BV665" s="80" t="str">
        <f>IFERROR(VLOOKUP($H665,'1. Set Program Names'!$B$2:$D$15,3,0)*V665,"NA")</f>
        <v>NA</v>
      </c>
      <c r="BW665" s="80" t="str">
        <f>IFERROR(VLOOKUP($H665,'1. Set Program Names'!$B$2:$D$15,3,0)*W665,"NA")</f>
        <v>NA</v>
      </c>
      <c r="BX665" s="80" t="str">
        <f>IFERROR(VLOOKUP($H665,'1. Set Program Names'!$B$2:$D$15,3,0)*X665,"NA")</f>
        <v>NA</v>
      </c>
      <c r="BY665" s="80" t="str">
        <f>IFERROR(VLOOKUP($H665,'1. Set Program Names'!$B$2:$D$15,3,0)*Y665,"NA")</f>
        <v>NA</v>
      </c>
      <c r="BZ665" s="80" t="str">
        <f>IFERROR(VLOOKUP($H665,'1. Set Program Names'!$B$2:$D$15,3,0)*Z665,"NA")</f>
        <v>NA</v>
      </c>
      <c r="CA665" s="80" t="str">
        <f>IFERROR(VLOOKUP($H665,'1. Set Program Names'!$B$2:$D$15,3,0)*AA665,"NA")</f>
        <v>NA</v>
      </c>
      <c r="CB665" s="80" t="str">
        <f>IFERROR(VLOOKUP($H665,'1. Set Program Names'!$B$2:$D$15,3,0)*AB665,"NA")</f>
        <v>NA</v>
      </c>
      <c r="CC665" s="80" t="str">
        <f>IFERROR(VLOOKUP($H665,'1. Set Program Names'!$B$2:$D$15,3,0)*AC665,"NA")</f>
        <v>NA</v>
      </c>
      <c r="CD665" s="80" t="str">
        <f>IFERROR(VLOOKUP($H665,'1. Set Program Names'!$B$2:$D$15,3,0)*AD665,"NA")</f>
        <v>NA</v>
      </c>
      <c r="CE665" s="80" t="str">
        <f>IFERROR(VLOOKUP($H665,'1. Set Program Names'!$B$2:$D$15,3,0)*AE665,"NA")</f>
        <v>NA</v>
      </c>
    </row>
    <row r="666" spans="1:83" x14ac:dyDescent="0.25">
      <c r="A666" s="79" t="s">
        <v>117</v>
      </c>
      <c r="B666" s="79" t="s">
        <v>88</v>
      </c>
      <c r="C666" s="79" t="s">
        <v>122</v>
      </c>
      <c r="D666" s="79" t="s">
        <v>90</v>
      </c>
      <c r="E666" s="79" t="s">
        <v>91</v>
      </c>
      <c r="F666" s="79" t="s">
        <v>90</v>
      </c>
      <c r="G666" s="79" t="s">
        <v>92</v>
      </c>
      <c r="H666" s="79" t="s">
        <v>268</v>
      </c>
      <c r="I666" s="79" t="s">
        <v>153</v>
      </c>
      <c r="J666" s="79" t="s">
        <v>129</v>
      </c>
      <c r="K666" s="79" t="s">
        <v>102</v>
      </c>
      <c r="L666" s="79">
        <v>1285.73999999999</v>
      </c>
      <c r="M666" s="79">
        <v>0.191067583335012</v>
      </c>
      <c r="N666" s="79">
        <v>3.6175165669598698E-2</v>
      </c>
      <c r="O666" s="79">
        <v>304.38999999999902</v>
      </c>
      <c r="P666" s="79">
        <v>39.904344316796902</v>
      </c>
      <c r="Q666" s="79">
        <v>1.2857399999999899</v>
      </c>
      <c r="R666" s="79">
        <v>497.118469789904</v>
      </c>
      <c r="S666" s="79">
        <v>1133.43981342083</v>
      </c>
      <c r="T666" s="79">
        <v>11</v>
      </c>
      <c r="U666" s="79">
        <v>1</v>
      </c>
      <c r="V666" s="79">
        <f>tbl_Data_old[[#This Row],[2025 ]]*IFERROR(AVERAGEIFS('Participation Adjustment'!$C:$C,'Participation Adjustment'!$A:$A,$H666,'Participation Adjustment'!$B:$B,$I666),1)</f>
        <v>6.2140055386725901E-2</v>
      </c>
      <c r="W666" s="79">
        <f>tbl_Data_old[[#This Row],[2026 ]]*IFERROR(AVERAGEIFS('Participation Adjustment'!$C:$C,'Participation Adjustment'!$A:$A,$H666,'Participation Adjustment'!$B:$B,$I666),1)</f>
        <v>0.11390658245901</v>
      </c>
      <c r="X666" s="79">
        <f>tbl_Data_old[[#This Row],[2027 ]]*IFERROR(AVERAGEIFS('Participation Adjustment'!$C:$C,'Participation Adjustment'!$A:$A,$H666,'Participation Adjustment'!$B:$B,$I666),1)</f>
        <v>0.15664124083946199</v>
      </c>
      <c r="Y666" s="79">
        <f>tbl_Data_old[[#This Row],[2028 ]]*IFERROR(AVERAGEIFS('Participation Adjustment'!$C:$C,'Participation Adjustment'!$A:$A,$H666,'Participation Adjustment'!$B:$B,$I666),1)</f>
        <v>0.19193036109119099</v>
      </c>
      <c r="Z666" s="79">
        <f>tbl_Data_old[[#This Row],[2029 ]]*IFERROR(AVERAGEIFS('Participation Adjustment'!$C:$C,'Participation Adjustment'!$A:$A,$H666,'Participation Adjustment'!$B:$B,$I666),1)</f>
        <v>0.22109878047706799</v>
      </c>
      <c r="AA666" s="79">
        <f>tbl_Data_old[[#This Row],[2030 ]]*IFERROR(AVERAGEIFS('Participation Adjustment'!$C:$C,'Participation Adjustment'!$A:$A,$H666,'Participation Adjustment'!$B:$B,$I666),1)</f>
        <v>0.245227109554114</v>
      </c>
      <c r="AB666" s="79">
        <f>tbl_Data_old[[#This Row],[2031 ]]*IFERROR(AVERAGEIFS('Participation Adjustment'!$C:$C,'Participation Adjustment'!$A:$A,$H666,'Participation Adjustment'!$B:$B,$I666),1)</f>
        <v>0.265234964515349</v>
      </c>
      <c r="AC666" s="79">
        <f>tbl_Data_old[[#This Row],[2032 ]]*IFERROR(AVERAGEIFS('Participation Adjustment'!$C:$C,'Participation Adjustment'!$A:$A,$H666,'Participation Adjustment'!$B:$B,$I666),1)</f>
        <v>0.28191508137705901</v>
      </c>
      <c r="AD666" s="79">
        <f>tbl_Data_old[[#This Row],[2033 ]]*IFERROR(AVERAGEIFS('Participation Adjustment'!$C:$C,'Participation Adjustment'!$A:$A,$H666,'Participation Adjustment'!$B:$B,$I666),1)</f>
        <v>0.295934899519815</v>
      </c>
      <c r="AE666" s="79">
        <f>tbl_Data_old[[#This Row],[2034 ]]*IFERROR(AVERAGEIFS('Participation Adjustment'!$C:$C,'Participation Adjustment'!$A:$A,$H666,'Participation Adjustment'!$B:$B,$I666),1)</f>
        <v>0.30779872739591801</v>
      </c>
      <c r="AF666" s="77" t="str">
        <f t="shared" si="264"/>
        <v>NonResidential</v>
      </c>
      <c r="AG666" s="77" t="str">
        <f>tbl_Data[[#This Row],[All_Meas_Name_Append]]</f>
        <v>Programmable thermostat</v>
      </c>
      <c r="AH666" s="77">
        <f>AVERAGEIFS('3. Incentive Adjustment'!G:G,'3. Incentive Adjustment'!A:A,tbl_Data[[#This Row],[Trimmed Sector]],'3. Incentive Adjustment'!B:B,tbl_Data[[#This Row],[Trimmed Measure Name]])</f>
        <v>0.92137383531364503</v>
      </c>
      <c r="AI666" s="77">
        <f>$AH666*tbl_Data[[#This Row],[2025 ]]</f>
        <v>5.7254221158269968E-2</v>
      </c>
      <c r="AJ666" s="77">
        <f>$AH666*tbl_Data[[#This Row],[2026 ]]</f>
        <v>0.10495054474772801</v>
      </c>
      <c r="AK666" s="77">
        <f>$AH666*tbl_Data[[#This Row],[2027 ]]</f>
        <v>0.14432514084054346</v>
      </c>
      <c r="AL666" s="77">
        <f>$AH666*tbl_Data[[#This Row],[2028 ]]</f>
        <v>0.17683961291172343</v>
      </c>
      <c r="AM666" s="77">
        <f>$AH666*tbl_Data[[#This Row],[2029 ]]</f>
        <v>0.20371463135132581</v>
      </c>
      <c r="AN666" s="77">
        <f>$AH666*tbl_Data[[#This Row],[2030 ]]</f>
        <v>0.22594584245275343</v>
      </c>
      <c r="AO666" s="77">
        <f>$AH666*tbl_Data[[#This Row],[2031 ]]</f>
        <v>0.24438055651478566</v>
      </c>
      <c r="AP666" s="77">
        <f>$AH666*tbl_Data[[#This Row],[2032 ]]</f>
        <v>0.2597491797611392</v>
      </c>
      <c r="AQ666" s="77">
        <f>$AH666*tbl_Data[[#This Row],[2033 ]]</f>
        <v>0.27266667337373013</v>
      </c>
      <c r="AR666" s="77">
        <f>$AH666*tbl_Data[[#This Row],[2034 ]]</f>
        <v>0.2835976939654361</v>
      </c>
      <c r="AS666" s="77">
        <f>SUM(tbl_Data[[#This Row],[Adjusted 2025]:[Adjusted 2034]])</f>
        <v>1.9734240970774355</v>
      </c>
      <c r="AT666" s="80">
        <f>AVERAGEIFS('3. Incentive Adjustment'!F:F,'3. Incentive Adjustment'!A:A,tbl_Data[[#This Row],[Trimmed Sector]],'3. Incentive Adjustment'!B:B,tbl_Data[[#This Row],[Trimmed Measure Name]])</f>
        <v>0</v>
      </c>
      <c r="AU666" s="80">
        <f>IFERROR(VLOOKUP(tbl_Data[[#This Row],[All_Meas_Name_Append]],'IRA Tax Credits'!$A$3:$D$46,4,0),0)</f>
        <v>0</v>
      </c>
      <c r="AV666" s="81">
        <f>tbl_Data[[#This Row],[Adj. per unit Incentive ($)]]/tbl_Data[[#This Row],[kWh Savings]]*tbl_Data[[#This Row],[Sum of Annuals]]</f>
        <v>0</v>
      </c>
      <c r="AW666" s="81" t="str">
        <f>IFERROR(VLOOKUP(tbl_Data[[#This Row],[Column1]],'1. Set Program Names'!$B$2:$D$15,3,0)*tbl_Data[[#This Row],[Sum of Annuals]],"")</f>
        <v/>
      </c>
      <c r="AX666" s="81">
        <f>tbl_Data[[#This Row],[per unit IRA tax ($)]]/tbl_Data[[#This Row],[kWh Savings]]*tbl_Data[[#This Row],[Sum of Annuals]]</f>
        <v>0</v>
      </c>
      <c r="AY666" s="81">
        <f>tbl_Data[[#This Row],[Avoided Costs ($/unit)]]/tbl_Data[[#This Row],[kWh Savings]]*tbl_Data[[#This Row],[Sum of Annuals]]</f>
        <v>0.76300462565189342</v>
      </c>
      <c r="AZ666" s="81">
        <f>tbl_Data[[#This Row],[Lost Revenue ($/unit)]]/tbl_Data[[#This Row],[kWh Savings]]*tbl_Data[[#This Row],[Sum of Annuals]]</f>
        <v>1.7396654381069545</v>
      </c>
      <c r="BA666" s="81">
        <f>tbl_Data[[#This Row],[Incremental Cost ($/unit)]]/tbl_Data[[#This Row],[kWh Savings]]*tbl_Data[[#This Row],[Sum of Annuals]]</f>
        <v>0.46719442570768843</v>
      </c>
      <c r="BB666" s="77">
        <f>ROUNDUP(tbl_Data[[#This Row],[Adjusted 2025]]/$L666,0)</f>
        <v>1</v>
      </c>
      <c r="BC666" s="77">
        <f>ROUNDUP(tbl_Data[[#This Row],[Adjusted 2026]]/$L666,0)</f>
        <v>1</v>
      </c>
      <c r="BD666" s="77">
        <f>ROUNDUP(tbl_Data[[#This Row],[Adjusted 2027]]/$L666,0)</f>
        <v>1</v>
      </c>
      <c r="BE666" s="77">
        <f>ROUNDUP(tbl_Data[[#This Row],[Adjusted 2028]]/$L666,0)</f>
        <v>1</v>
      </c>
      <c r="BF666" s="77">
        <f>ROUNDUP(tbl_Data[[#This Row],[Adjusted 2029]]/$L666,0)</f>
        <v>1</v>
      </c>
      <c r="BG666" s="77">
        <f>ROUNDUP(tbl_Data[[#This Row],[Adjusted 2030]]/$L666,0)</f>
        <v>1</v>
      </c>
      <c r="BH666" s="77">
        <f>ROUNDUP(tbl_Data[[#This Row],[Adjusted 2031]]/$L666,0)</f>
        <v>1</v>
      </c>
      <c r="BI666" s="77">
        <f>ROUNDUP(tbl_Data[[#This Row],[Adjusted 2032]]/$L666,0)</f>
        <v>1</v>
      </c>
      <c r="BJ666" s="77">
        <f>ROUNDUP(tbl_Data[[#This Row],[Adjusted 2033]]/$L666,0)</f>
        <v>1</v>
      </c>
      <c r="BK666" s="77">
        <f>ROUNDUP(tbl_Data[[#This Row],[Adjusted 2034]]/$L666,0)</f>
        <v>1</v>
      </c>
      <c r="BL666" s="80">
        <f t="shared" si="265"/>
        <v>0</v>
      </c>
      <c r="BM666" s="80">
        <f t="shared" si="266"/>
        <v>0</v>
      </c>
      <c r="BN666" s="80">
        <f t="shared" si="267"/>
        <v>0</v>
      </c>
      <c r="BO666" s="80">
        <f t="shared" si="268"/>
        <v>0</v>
      </c>
      <c r="BP666" s="80">
        <f t="shared" si="269"/>
        <v>0</v>
      </c>
      <c r="BQ666" s="80">
        <f t="shared" si="270"/>
        <v>0</v>
      </c>
      <c r="BR666" s="80">
        <f t="shared" si="271"/>
        <v>0</v>
      </c>
      <c r="BS666" s="80">
        <f t="shared" si="272"/>
        <v>0</v>
      </c>
      <c r="BT666" s="80">
        <f t="shared" si="273"/>
        <v>0</v>
      </c>
      <c r="BU666" s="80">
        <f t="shared" si="274"/>
        <v>0</v>
      </c>
      <c r="BV666" s="80" t="str">
        <f>IFERROR(VLOOKUP($H666,'1. Set Program Names'!$B$2:$D$15,3,0)*V666,"NA")</f>
        <v>NA</v>
      </c>
      <c r="BW666" s="80" t="str">
        <f>IFERROR(VLOOKUP($H666,'1. Set Program Names'!$B$2:$D$15,3,0)*W666,"NA")</f>
        <v>NA</v>
      </c>
      <c r="BX666" s="80" t="str">
        <f>IFERROR(VLOOKUP($H666,'1. Set Program Names'!$B$2:$D$15,3,0)*X666,"NA")</f>
        <v>NA</v>
      </c>
      <c r="BY666" s="80" t="str">
        <f>IFERROR(VLOOKUP($H666,'1. Set Program Names'!$B$2:$D$15,3,0)*Y666,"NA")</f>
        <v>NA</v>
      </c>
      <c r="BZ666" s="80" t="str">
        <f>IFERROR(VLOOKUP($H666,'1. Set Program Names'!$B$2:$D$15,3,0)*Z666,"NA")</f>
        <v>NA</v>
      </c>
      <c r="CA666" s="80" t="str">
        <f>IFERROR(VLOOKUP($H666,'1. Set Program Names'!$B$2:$D$15,3,0)*AA666,"NA")</f>
        <v>NA</v>
      </c>
      <c r="CB666" s="80" t="str">
        <f>IFERROR(VLOOKUP($H666,'1. Set Program Names'!$B$2:$D$15,3,0)*AB666,"NA")</f>
        <v>NA</v>
      </c>
      <c r="CC666" s="80" t="str">
        <f>IFERROR(VLOOKUP($H666,'1. Set Program Names'!$B$2:$D$15,3,0)*AC666,"NA")</f>
        <v>NA</v>
      </c>
      <c r="CD666" s="80" t="str">
        <f>IFERROR(VLOOKUP($H666,'1. Set Program Names'!$B$2:$D$15,3,0)*AD666,"NA")</f>
        <v>NA</v>
      </c>
      <c r="CE666" s="80" t="str">
        <f>IFERROR(VLOOKUP($H666,'1. Set Program Names'!$B$2:$D$15,3,0)*AE666,"NA")</f>
        <v>NA</v>
      </c>
    </row>
    <row r="667" spans="1:83" x14ac:dyDescent="0.25">
      <c r="A667" s="79" t="s">
        <v>117</v>
      </c>
      <c r="B667" s="79" t="s">
        <v>88</v>
      </c>
      <c r="C667" s="79" t="s">
        <v>122</v>
      </c>
      <c r="D667" s="79" t="s">
        <v>90</v>
      </c>
      <c r="E667" s="79" t="s">
        <v>91</v>
      </c>
      <c r="F667" s="79" t="s">
        <v>90</v>
      </c>
      <c r="G667" s="79" t="s">
        <v>92</v>
      </c>
      <c r="H667" s="79" t="s">
        <v>268</v>
      </c>
      <c r="I667" s="79" t="s">
        <v>156</v>
      </c>
      <c r="J667" s="79" t="s">
        <v>129</v>
      </c>
      <c r="K667" s="79" t="s">
        <v>102</v>
      </c>
      <c r="L667" s="79">
        <v>1074.99714285714</v>
      </c>
      <c r="M667" s="79">
        <v>0.35483647389159401</v>
      </c>
      <c r="N667" s="79">
        <v>2.1679791501885101E-3</v>
      </c>
      <c r="O667" s="79">
        <v>322.49999999999898</v>
      </c>
      <c r="P667" s="79">
        <v>112.47094868606101</v>
      </c>
      <c r="Q667" s="79">
        <v>1.0749971428571401</v>
      </c>
      <c r="R667" s="79">
        <v>593.31352847936103</v>
      </c>
      <c r="S667" s="79">
        <v>1167.57597203707</v>
      </c>
      <c r="T667" s="79">
        <v>15</v>
      </c>
      <c r="U667" s="79">
        <v>1</v>
      </c>
      <c r="V667" s="79">
        <f>tbl_Data_old[[#This Row],[2025 ]]*IFERROR(AVERAGEIFS('Participation Adjustment'!$C:$C,'Participation Adjustment'!$A:$A,$H667,'Participation Adjustment'!$B:$B,$I667),1)</f>
        <v>1.31110049126515</v>
      </c>
      <c r="W667" s="79">
        <f>tbl_Data_old[[#This Row],[2026 ]]*IFERROR(AVERAGEIFS('Participation Adjustment'!$C:$C,'Participation Adjustment'!$A:$A,$H667,'Participation Adjustment'!$B:$B,$I667),1)</f>
        <v>2.7575211337295902</v>
      </c>
      <c r="X667" s="79">
        <f>tbl_Data_old[[#This Row],[2027 ]]*IFERROR(AVERAGEIFS('Participation Adjustment'!$C:$C,'Participation Adjustment'!$A:$A,$H667,'Participation Adjustment'!$B:$B,$I667),1)</f>
        <v>4.3179279095664302</v>
      </c>
      <c r="Y667" s="79">
        <f>tbl_Data_old[[#This Row],[2028 ]]*IFERROR(AVERAGEIFS('Participation Adjustment'!$C:$C,'Participation Adjustment'!$A:$A,$H667,'Participation Adjustment'!$B:$B,$I667),1)</f>
        <v>5.9795697869557296</v>
      </c>
      <c r="Z667" s="79">
        <f>tbl_Data_old[[#This Row],[2029 ]]*IFERROR(AVERAGEIFS('Participation Adjustment'!$C:$C,'Participation Adjustment'!$A:$A,$H667,'Participation Adjustment'!$B:$B,$I667),1)</f>
        <v>7.7292530292863999</v>
      </c>
      <c r="AA667" s="79">
        <f>tbl_Data_old[[#This Row],[2030 ]]*IFERROR(AVERAGEIFS('Participation Adjustment'!$C:$C,'Participation Adjustment'!$A:$A,$H667,'Participation Adjustment'!$B:$B,$I667),1)</f>
        <v>9.5536289932618104</v>
      </c>
      <c r="AB667" s="79">
        <f>tbl_Data_old[[#This Row],[2031 ]]*IFERROR(AVERAGEIFS('Participation Adjustment'!$C:$C,'Participation Adjustment'!$A:$A,$H667,'Participation Adjustment'!$B:$B,$I667),1)</f>
        <v>11.440866659471499</v>
      </c>
      <c r="AC667" s="79">
        <f>tbl_Data_old[[#This Row],[2032 ]]*IFERROR(AVERAGEIFS('Participation Adjustment'!$C:$C,'Participation Adjustment'!$A:$A,$H667,'Participation Adjustment'!$B:$B,$I667),1)</f>
        <v>13.384401178239701</v>
      </c>
      <c r="AD667" s="79">
        <f>tbl_Data_old[[#This Row],[2033 ]]*IFERROR(AVERAGEIFS('Participation Adjustment'!$C:$C,'Participation Adjustment'!$A:$A,$H667,'Participation Adjustment'!$B:$B,$I667),1)</f>
        <v>15.380191343684199</v>
      </c>
      <c r="AE667" s="79">
        <f>tbl_Data_old[[#This Row],[2034 ]]*IFERROR(AVERAGEIFS('Participation Adjustment'!$C:$C,'Participation Adjustment'!$A:$A,$H667,'Participation Adjustment'!$B:$B,$I667),1)</f>
        <v>17.421973682315102</v>
      </c>
      <c r="AF667" s="77" t="str">
        <f t="shared" si="264"/>
        <v>NonResidential</v>
      </c>
      <c r="AG667" s="77" t="str">
        <f>tbl_Data[[#This Row],[All_Meas_Name_Append]]</f>
        <v>Water source heat pump</v>
      </c>
      <c r="AH667" s="77">
        <f>AVERAGEIFS('3. Incentive Adjustment'!G:G,'3. Incentive Adjustment'!A:A,tbl_Data[[#This Row],[Trimmed Sector]],'3. Incentive Adjustment'!B:B,tbl_Data[[#This Row],[Trimmed Measure Name]])</f>
        <v>0.75877205530206748</v>
      </c>
      <c r="AI667" s="77">
        <f>$AH667*tbl_Data[[#This Row],[2025 ]]</f>
        <v>0.99482641446480824</v>
      </c>
      <c r="AJ667" s="77">
        <f>$AH667*tbl_Data[[#This Row],[2026 ]]</f>
        <v>2.0923299781788884</v>
      </c>
      <c r="AK667" s="77">
        <f>$AH667*tbl_Data[[#This Row],[2027 ]]</f>
        <v>3.2763230345878802</v>
      </c>
      <c r="AL667" s="77">
        <f>$AH667*tbl_Data[[#This Row],[2028 ]]</f>
        <v>4.5371304570705444</v>
      </c>
      <c r="AM667" s="77">
        <f>$AH667*tbl_Data[[#This Row],[2029 ]]</f>
        <v>5.8647412069813729</v>
      </c>
      <c r="AN667" s="77">
        <f>$AH667*tbl_Data[[#This Row],[2030 ]]</f>
        <v>7.2490267068106853</v>
      </c>
      <c r="AO667" s="77">
        <f>$AH667*tbl_Data[[#This Row],[2031 ]]</f>
        <v>8.6810099096440894</v>
      </c>
      <c r="AP667" s="77">
        <f>$AH667*tbl_Data[[#This Row],[2032 ]]</f>
        <v>10.155709591000351</v>
      </c>
      <c r="AQ667" s="77">
        <f>$AH667*tbl_Data[[#This Row],[2033 ]]</f>
        <v>11.670059396786327</v>
      </c>
      <c r="AR667" s="77">
        <f>$AH667*tbl_Data[[#This Row],[2034 ]]</f>
        <v>13.219306778348759</v>
      </c>
      <c r="AS667" s="77">
        <f>SUM(tbl_Data[[#This Row],[Adjusted 2025]:[Adjusted 2034]])</f>
        <v>67.740463473873703</v>
      </c>
      <c r="AT667" s="80">
        <f>AVERAGEIFS('3. Incentive Adjustment'!F:F,'3. Incentive Adjustment'!A:A,tbl_Data[[#This Row],[Trimmed Sector]],'3. Incentive Adjustment'!B:B,tbl_Data[[#This Row],[Trimmed Measure Name]])</f>
        <v>0</v>
      </c>
      <c r="AU667" s="80">
        <f>IFERROR(VLOOKUP(tbl_Data[[#This Row],[All_Meas_Name_Append]],'IRA Tax Credits'!$A$3:$D$46,4,0),0)</f>
        <v>0</v>
      </c>
      <c r="AV667" s="81">
        <f>tbl_Data[[#This Row],[Adj. per unit Incentive ($)]]/tbl_Data[[#This Row],[kWh Savings]]*tbl_Data[[#This Row],[Sum of Annuals]]</f>
        <v>0</v>
      </c>
      <c r="AW667" s="81" t="str">
        <f>IFERROR(VLOOKUP(tbl_Data[[#This Row],[Column1]],'1. Set Program Names'!$B$2:$D$15,3,0)*tbl_Data[[#This Row],[Sum of Annuals]],"")</f>
        <v/>
      </c>
      <c r="AX667" s="81">
        <f>tbl_Data[[#This Row],[per unit IRA tax ($)]]/tbl_Data[[#This Row],[kWh Savings]]*tbl_Data[[#This Row],[Sum of Annuals]]</f>
        <v>0</v>
      </c>
      <c r="AY667" s="81">
        <f>tbl_Data[[#This Row],[Avoided Costs ($/unit)]]/tbl_Data[[#This Row],[kWh Savings]]*tbl_Data[[#This Row],[Sum of Annuals]]</f>
        <v>37.387386256386023</v>
      </c>
      <c r="AZ667" s="81">
        <f>tbl_Data[[#This Row],[Lost Revenue ($/unit)]]/tbl_Data[[#This Row],[kWh Savings]]*tbl_Data[[#This Row],[Sum of Annuals]]</f>
        <v>73.574276929274177</v>
      </c>
      <c r="BA667" s="81">
        <f>tbl_Data[[#This Row],[Incremental Cost ($/unit)]]/tbl_Data[[#This Row],[kWh Savings]]*tbl_Data[[#This Row],[Sum of Annuals]]</f>
        <v>20.322193054635335</v>
      </c>
      <c r="BB667" s="77">
        <f>ROUNDUP(tbl_Data[[#This Row],[Adjusted 2025]]/$L667,0)</f>
        <v>1</v>
      </c>
      <c r="BC667" s="77">
        <f>ROUNDUP(tbl_Data[[#This Row],[Adjusted 2026]]/$L667,0)</f>
        <v>1</v>
      </c>
      <c r="BD667" s="77">
        <f>ROUNDUP(tbl_Data[[#This Row],[Adjusted 2027]]/$L667,0)</f>
        <v>1</v>
      </c>
      <c r="BE667" s="77">
        <f>ROUNDUP(tbl_Data[[#This Row],[Adjusted 2028]]/$L667,0)</f>
        <v>1</v>
      </c>
      <c r="BF667" s="77">
        <f>ROUNDUP(tbl_Data[[#This Row],[Adjusted 2029]]/$L667,0)</f>
        <v>1</v>
      </c>
      <c r="BG667" s="77">
        <f>ROUNDUP(tbl_Data[[#This Row],[Adjusted 2030]]/$L667,0)</f>
        <v>1</v>
      </c>
      <c r="BH667" s="77">
        <f>ROUNDUP(tbl_Data[[#This Row],[Adjusted 2031]]/$L667,0)</f>
        <v>1</v>
      </c>
      <c r="BI667" s="77">
        <f>ROUNDUP(tbl_Data[[#This Row],[Adjusted 2032]]/$L667,0)</f>
        <v>1</v>
      </c>
      <c r="BJ667" s="77">
        <f>ROUNDUP(tbl_Data[[#This Row],[Adjusted 2033]]/$L667,0)</f>
        <v>1</v>
      </c>
      <c r="BK667" s="77">
        <f>ROUNDUP(tbl_Data[[#This Row],[Adjusted 2034]]/$L667,0)</f>
        <v>1</v>
      </c>
      <c r="BL667" s="80">
        <f t="shared" si="265"/>
        <v>0</v>
      </c>
      <c r="BM667" s="80">
        <f t="shared" si="266"/>
        <v>0</v>
      </c>
      <c r="BN667" s="80">
        <f t="shared" si="267"/>
        <v>0</v>
      </c>
      <c r="BO667" s="80">
        <f t="shared" si="268"/>
        <v>0</v>
      </c>
      <c r="BP667" s="80">
        <f t="shared" si="269"/>
        <v>0</v>
      </c>
      <c r="BQ667" s="80">
        <f t="shared" si="270"/>
        <v>0</v>
      </c>
      <c r="BR667" s="80">
        <f t="shared" si="271"/>
        <v>0</v>
      </c>
      <c r="BS667" s="80">
        <f t="shared" si="272"/>
        <v>0</v>
      </c>
      <c r="BT667" s="80">
        <f t="shared" si="273"/>
        <v>0</v>
      </c>
      <c r="BU667" s="80">
        <f t="shared" si="274"/>
        <v>0</v>
      </c>
      <c r="BV667" s="80" t="str">
        <f>IFERROR(VLOOKUP($H667,'1. Set Program Names'!$B$2:$D$15,3,0)*V667,"NA")</f>
        <v>NA</v>
      </c>
      <c r="BW667" s="80" t="str">
        <f>IFERROR(VLOOKUP($H667,'1. Set Program Names'!$B$2:$D$15,3,0)*W667,"NA")</f>
        <v>NA</v>
      </c>
      <c r="BX667" s="80" t="str">
        <f>IFERROR(VLOOKUP($H667,'1. Set Program Names'!$B$2:$D$15,3,0)*X667,"NA")</f>
        <v>NA</v>
      </c>
      <c r="BY667" s="80" t="str">
        <f>IFERROR(VLOOKUP($H667,'1. Set Program Names'!$B$2:$D$15,3,0)*Y667,"NA")</f>
        <v>NA</v>
      </c>
      <c r="BZ667" s="80" t="str">
        <f>IFERROR(VLOOKUP($H667,'1. Set Program Names'!$B$2:$D$15,3,0)*Z667,"NA")</f>
        <v>NA</v>
      </c>
      <c r="CA667" s="80" t="str">
        <f>IFERROR(VLOOKUP($H667,'1. Set Program Names'!$B$2:$D$15,3,0)*AA667,"NA")</f>
        <v>NA</v>
      </c>
      <c r="CB667" s="80" t="str">
        <f>IFERROR(VLOOKUP($H667,'1. Set Program Names'!$B$2:$D$15,3,0)*AB667,"NA")</f>
        <v>NA</v>
      </c>
      <c r="CC667" s="80" t="str">
        <f>IFERROR(VLOOKUP($H667,'1. Set Program Names'!$B$2:$D$15,3,0)*AC667,"NA")</f>
        <v>NA</v>
      </c>
      <c r="CD667" s="80" t="str">
        <f>IFERROR(VLOOKUP($H667,'1. Set Program Names'!$B$2:$D$15,3,0)*AD667,"NA")</f>
        <v>NA</v>
      </c>
      <c r="CE667" s="80" t="str">
        <f>IFERROR(VLOOKUP($H667,'1. Set Program Names'!$B$2:$D$15,3,0)*AE667,"NA")</f>
        <v>NA</v>
      </c>
    </row>
    <row r="668" spans="1:83" x14ac:dyDescent="0.25">
      <c r="A668" s="79" t="s">
        <v>87</v>
      </c>
      <c r="B668" s="79" t="s">
        <v>88</v>
      </c>
      <c r="C668" s="79" t="s">
        <v>176</v>
      </c>
      <c r="D668" s="79" t="s">
        <v>90</v>
      </c>
      <c r="E668" s="79" t="s">
        <v>91</v>
      </c>
      <c r="F668" s="79" t="s">
        <v>90</v>
      </c>
      <c r="G668" s="79" t="s">
        <v>92</v>
      </c>
      <c r="H668" s="79" t="s">
        <v>14</v>
      </c>
      <c r="I668" s="79" t="s">
        <v>157</v>
      </c>
      <c r="J668" s="79" t="s">
        <v>158</v>
      </c>
      <c r="K668" s="79" t="s">
        <v>159</v>
      </c>
      <c r="L668" s="79">
        <v>562.52</v>
      </c>
      <c r="M668" s="79">
        <v>6.7473359330379998E-2</v>
      </c>
      <c r="N668" s="79">
        <v>6.4973258375617293E-2</v>
      </c>
      <c r="O668" s="79">
        <v>169</v>
      </c>
      <c r="P668" s="79">
        <v>55.847956108163899</v>
      </c>
      <c r="Q668" s="79">
        <v>20.025540405413601</v>
      </c>
      <c r="R668" s="79">
        <v>240.47921618074301</v>
      </c>
      <c r="S668" s="79">
        <v>597.43584258705596</v>
      </c>
      <c r="T668" s="79">
        <v>15</v>
      </c>
      <c r="U668" s="79">
        <v>0.2</v>
      </c>
      <c r="V668" s="79">
        <f>tbl_Data_old[[#This Row],[2025 ]]*IFERROR(AVERAGEIFS('Participation Adjustment'!$C:$C,'Participation Adjustment'!$A:$A,$H668,'Participation Adjustment'!$B:$B,$I668),1)</f>
        <v>6084.1479809683296</v>
      </c>
      <c r="W668" s="79">
        <f>tbl_Data_old[[#This Row],[2026 ]]*IFERROR(AVERAGEIFS('Participation Adjustment'!$C:$C,'Participation Adjustment'!$A:$A,$H668,'Participation Adjustment'!$B:$B,$I668),1)</f>
        <v>6921.7356987637004</v>
      </c>
      <c r="X668" s="79">
        <f>tbl_Data_old[[#This Row],[2027 ]]*IFERROR(AVERAGEIFS('Participation Adjustment'!$C:$C,'Participation Adjustment'!$A:$A,$H668,'Participation Adjustment'!$B:$B,$I668),1)</f>
        <v>7651.6343038608202</v>
      </c>
      <c r="Y668" s="79">
        <f>tbl_Data_old[[#This Row],[2028 ]]*IFERROR(AVERAGEIFS('Participation Adjustment'!$C:$C,'Participation Adjustment'!$A:$A,$H668,'Participation Adjustment'!$B:$B,$I668),1)</f>
        <v>8384.2551856543305</v>
      </c>
      <c r="Z668" s="79">
        <f>tbl_Data_old[[#This Row],[2029 ]]*IFERROR(AVERAGEIFS('Participation Adjustment'!$C:$C,'Participation Adjustment'!$A:$A,$H668,'Participation Adjustment'!$B:$B,$I668),1)</f>
        <v>9008.267546687619</v>
      </c>
      <c r="AA668" s="79">
        <f>tbl_Data_old[[#This Row],[2030 ]]*IFERROR(AVERAGEIFS('Participation Adjustment'!$C:$C,'Participation Adjustment'!$A:$A,$H668,'Participation Adjustment'!$B:$B,$I668),1)</f>
        <v>9594.0179057310797</v>
      </c>
      <c r="AB668" s="79">
        <f>tbl_Data_old[[#This Row],[2031 ]]*IFERROR(AVERAGEIFS('Participation Adjustment'!$C:$C,'Participation Adjustment'!$A:$A,$H668,'Participation Adjustment'!$B:$B,$I668),1)</f>
        <v>10147.9140599242</v>
      </c>
      <c r="AC668" s="79">
        <f>tbl_Data_old[[#This Row],[2032 ]]*IFERROR(AVERAGEIFS('Participation Adjustment'!$C:$C,'Participation Adjustment'!$A:$A,$H668,'Participation Adjustment'!$B:$B,$I668),1)</f>
        <v>10644.758613080101</v>
      </c>
      <c r="AD668" s="79">
        <f>tbl_Data_old[[#This Row],[2033 ]]*IFERROR(AVERAGEIFS('Participation Adjustment'!$C:$C,'Participation Adjustment'!$A:$A,$H668,'Participation Adjustment'!$B:$B,$I668),1)</f>
        <v>11137.416487628099</v>
      </c>
      <c r="AE668" s="79">
        <f>tbl_Data_old[[#This Row],[2034 ]]*IFERROR(AVERAGEIFS('Participation Adjustment'!$C:$C,'Participation Adjustment'!$A:$A,$H668,'Participation Adjustment'!$B:$B,$I668),1)</f>
        <v>11604.084200634999</v>
      </c>
      <c r="AF668" s="77" t="str">
        <f t="shared" ref="AF668:AF691" si="275">IF(C668="Residential","Residential","NonResidential")</f>
        <v>NonResidential</v>
      </c>
      <c r="AG668" s="77" t="str">
        <f>tbl_Data[[#This Row],[All_Meas_Name_Append]]</f>
        <v>LED Exterior Wall Packs</v>
      </c>
      <c r="AH668" s="77">
        <f>AVERAGEIFS('3. Incentive Adjustment'!G:G,'3. Incentive Adjustment'!A:A,tbl_Data[[#This Row],[Trimmed Sector]],'3. Incentive Adjustment'!B:B,tbl_Data[[#This Row],[Trimmed Measure Name]])</f>
        <v>0.80637708305213962</v>
      </c>
      <c r="AI668" s="77">
        <f>$AH668*tbl_Data[[#This Row],[2025 ]]</f>
        <v>4906.1175017508067</v>
      </c>
      <c r="AJ668" s="77">
        <f>$AH668*tbl_Data[[#This Row],[2026 ]]</f>
        <v>5581.529042426936</v>
      </c>
      <c r="AK668" s="77">
        <f>$AH668*tbl_Data[[#This Row],[2027 ]]</f>
        <v>6170.1025505289772</v>
      </c>
      <c r="AL668" s="77">
        <f>$AH668*tbl_Data[[#This Row],[2028 ]]</f>
        <v>6760.8712401727144</v>
      </c>
      <c r="AM668" s="77">
        <f>$AH668*tbl_Data[[#This Row],[2029 ]]</f>
        <v>7264.0605076512165</v>
      </c>
      <c r="AN668" s="77">
        <f>$AH668*tbl_Data[[#This Row],[2030 ]]</f>
        <v>7736.3961735734256</v>
      </c>
      <c r="AO668" s="77">
        <f>$AH668*tbl_Data[[#This Row],[2031 ]]</f>
        <v>8183.0453387054722</v>
      </c>
      <c r="AP668" s="77">
        <f>$AH668*tbl_Data[[#This Row],[2032 ]]</f>
        <v>8583.6894002096706</v>
      </c>
      <c r="AQ668" s="77">
        <f>$AH668*tbl_Data[[#This Row],[2033 ]]</f>
        <v>8980.9574200303523</v>
      </c>
      <c r="AR668" s="77">
        <f>$AH668*tbl_Data[[#This Row],[2034 ]]</f>
        <v>9357.26756919947</v>
      </c>
      <c r="AS668" s="77">
        <f>SUM(tbl_Data[[#This Row],[Adjusted 2025]:[Adjusted 2034]])</f>
        <v>73524.036744249053</v>
      </c>
      <c r="AT668" s="80">
        <f>AVERAGEIFS('3. Incentive Adjustment'!F:F,'3. Incentive Adjustment'!A:A,tbl_Data[[#This Row],[Trimmed Sector]],'3. Incentive Adjustment'!B:B,tbl_Data[[#This Row],[Trimmed Measure Name]])</f>
        <v>8.6864493556481861</v>
      </c>
      <c r="AU668" s="80">
        <f>IFERROR(VLOOKUP(tbl_Data[[#This Row],[All_Meas_Name_Append]],'IRA Tax Credits'!$A$3:$D$46,4,0),0)</f>
        <v>0</v>
      </c>
      <c r="AV668" s="81">
        <f>tbl_Data[[#This Row],[Adj. per unit Incentive ($)]]/tbl_Data[[#This Row],[kWh Savings]]*tbl_Data[[#This Row],[Sum of Annuals]]</f>
        <v>1135.3602033736324</v>
      </c>
      <c r="AW668" s="81">
        <f>IFERROR(VLOOKUP(tbl_Data[[#This Row],[Column1]],'1. Set Program Names'!$B$2:$D$15,3,0)*tbl_Data[[#This Row],[Sum of Annuals]],"")</f>
        <v>2617.4332798675246</v>
      </c>
      <c r="AX668" s="81">
        <f>tbl_Data[[#This Row],[per unit IRA tax ($)]]/tbl_Data[[#This Row],[kWh Savings]]*tbl_Data[[#This Row],[Sum of Annuals]]</f>
        <v>0</v>
      </c>
      <c r="AY668" s="81">
        <f>tbl_Data[[#This Row],[Avoided Costs ($/unit)]]/tbl_Data[[#This Row],[kWh Savings]]*tbl_Data[[#This Row],[Sum of Annuals]]</f>
        <v>31431.77616209408</v>
      </c>
      <c r="AZ668" s="81">
        <f>tbl_Data[[#This Row],[Lost Revenue ($/unit)]]/tbl_Data[[#This Row],[kWh Savings]]*tbl_Data[[#This Row],[Sum of Annuals]]</f>
        <v>78087.703268687503</v>
      </c>
      <c r="BA668" s="81">
        <f>tbl_Data[[#This Row],[Incremental Cost ($/unit)]]/tbl_Data[[#This Row],[kWh Savings]]*tbl_Data[[#This Row],[Sum of Annuals]]</f>
        <v>22089.102982610555</v>
      </c>
      <c r="BB668" s="77">
        <f>ROUNDUP(tbl_Data[[#This Row],[Adjusted 2025]]/$L668,0)</f>
        <v>9</v>
      </c>
      <c r="BC668" s="77">
        <f>ROUNDUP(tbl_Data[[#This Row],[Adjusted 2026]]/$L668,0)</f>
        <v>10</v>
      </c>
      <c r="BD668" s="77">
        <f>ROUNDUP(tbl_Data[[#This Row],[Adjusted 2027]]/$L668,0)</f>
        <v>11</v>
      </c>
      <c r="BE668" s="77">
        <f>ROUNDUP(tbl_Data[[#This Row],[Adjusted 2028]]/$L668,0)</f>
        <v>13</v>
      </c>
      <c r="BF668" s="77">
        <f>ROUNDUP(tbl_Data[[#This Row],[Adjusted 2029]]/$L668,0)</f>
        <v>13</v>
      </c>
      <c r="BG668" s="77">
        <f>ROUNDUP(tbl_Data[[#This Row],[Adjusted 2030]]/$L668,0)</f>
        <v>14</v>
      </c>
      <c r="BH668" s="77">
        <f>ROUNDUP(tbl_Data[[#This Row],[Adjusted 2031]]/$L668,0)</f>
        <v>15</v>
      </c>
      <c r="BI668" s="77">
        <f>ROUNDUP(tbl_Data[[#This Row],[Adjusted 2032]]/$L668,0)</f>
        <v>16</v>
      </c>
      <c r="BJ668" s="77">
        <f>ROUNDUP(tbl_Data[[#This Row],[Adjusted 2033]]/$L668,0)</f>
        <v>16</v>
      </c>
      <c r="BK668" s="77">
        <f>ROUNDUP(tbl_Data[[#This Row],[Adjusted 2034]]/$L668,0)</f>
        <v>17</v>
      </c>
      <c r="BL668" s="80">
        <f t="shared" ref="BL668:BL691" si="276">$AT668/$L668*V668</f>
        <v>93.951580937478766</v>
      </c>
      <c r="BM668" s="80">
        <f t="shared" ref="BM668:BM691" si="277">$AT668/$L668*W668</f>
        <v>106.8856335783492</v>
      </c>
      <c r="BN668" s="80">
        <f t="shared" ref="BN668:BN691" si="278">$AT668/$L668*X668</f>
        <v>118.15674797060971</v>
      </c>
      <c r="BO668" s="80">
        <f t="shared" ref="BO668:BO691" si="279">$AT668/$L668*Y668</f>
        <v>129.4698998347028</v>
      </c>
      <c r="BP668" s="80">
        <f t="shared" ref="BP668:BP691" si="280">$AT668/$L668*Z668</f>
        <v>139.10591592553354</v>
      </c>
      <c r="BQ668" s="80">
        <f t="shared" ref="BQ668:BQ691" si="281">$AT668/$L668*AA668</f>
        <v>148.15108912627977</v>
      </c>
      <c r="BR668" s="80">
        <f t="shared" ref="BR668:BR691" si="282">$AT668/$L668*AB668</f>
        <v>156.7043688171118</v>
      </c>
      <c r="BS668" s="80">
        <f t="shared" ref="BS668:BS691" si="283">$AT668/$L668*AC668</f>
        <v>164.37665611110737</v>
      </c>
      <c r="BT668" s="80">
        <f t="shared" ref="BT668:BT691" si="284">$AT668/$L668*AD668</f>
        <v>171.9842925985611</v>
      </c>
      <c r="BU668" s="80">
        <f t="shared" ref="BU668:BU691" si="285">$AT668/$L668*AE668</f>
        <v>179.19058829462631</v>
      </c>
      <c r="BV668" s="80">
        <f>IFERROR(VLOOKUP($H668,'1. Set Program Names'!$B$2:$D$15,3,0)*V668,"NA")</f>
        <v>216.59381217627353</v>
      </c>
      <c r="BW668" s="80">
        <f>IFERROR(VLOOKUP($H668,'1. Set Program Names'!$B$2:$D$15,3,0)*W668,"NA")</f>
        <v>246.4116794268414</v>
      </c>
      <c r="BX668" s="80">
        <f>IFERROR(VLOOKUP($H668,'1. Set Program Names'!$B$2:$D$15,3,0)*X668,"NA")</f>
        <v>272.39584711550572</v>
      </c>
      <c r="BY668" s="80">
        <f>IFERROR(VLOOKUP($H668,'1. Set Program Names'!$B$2:$D$15,3,0)*Y668,"NA")</f>
        <v>298.47692702414139</v>
      </c>
      <c r="BZ668" s="80">
        <f>IFERROR(VLOOKUP($H668,'1. Set Program Names'!$B$2:$D$15,3,0)*Z668,"NA")</f>
        <v>320.69157672432937</v>
      </c>
      <c r="CA668" s="80">
        <f>IFERROR(VLOOKUP($H668,'1. Set Program Names'!$B$2:$D$15,3,0)*AA668,"NA")</f>
        <v>341.54411082535756</v>
      </c>
      <c r="CB668" s="80">
        <f>IFERROR(VLOOKUP($H668,'1. Set Program Names'!$B$2:$D$15,3,0)*AB668,"NA")</f>
        <v>361.26264495071769</v>
      </c>
      <c r="CC668" s="80">
        <f>IFERROR(VLOOKUP($H668,'1. Set Program Names'!$B$2:$D$15,3,0)*AC668,"NA")</f>
        <v>378.95015948252671</v>
      </c>
      <c r="CD668" s="80">
        <f>IFERROR(VLOOKUP($H668,'1. Set Program Names'!$B$2:$D$15,3,0)*AD668,"NA")</f>
        <v>396.48862953302478</v>
      </c>
      <c r="CE668" s="80">
        <f>IFERROR(VLOOKUP($H668,'1. Set Program Names'!$B$2:$D$15,3,0)*AE668,"NA")</f>
        <v>413.10185776085962</v>
      </c>
    </row>
    <row r="669" spans="1:83" x14ac:dyDescent="0.25">
      <c r="A669" s="79" t="s">
        <v>87</v>
      </c>
      <c r="B669" s="79" t="s">
        <v>88</v>
      </c>
      <c r="C669" s="79" t="s">
        <v>176</v>
      </c>
      <c r="D669" s="79" t="s">
        <v>90</v>
      </c>
      <c r="E669" s="79" t="s">
        <v>91</v>
      </c>
      <c r="F669" s="79" t="s">
        <v>90</v>
      </c>
      <c r="G669" s="79" t="s">
        <v>92</v>
      </c>
      <c r="H669" s="79" t="s">
        <v>14</v>
      </c>
      <c r="I669" s="79" t="s">
        <v>162</v>
      </c>
      <c r="J669" s="79" t="s">
        <v>161</v>
      </c>
      <c r="K669" s="79" t="s">
        <v>159</v>
      </c>
      <c r="L669" s="79">
        <v>725.58416666666596</v>
      </c>
      <c r="M669" s="79">
        <v>8.6917804178563804E-2</v>
      </c>
      <c r="N669" s="79">
        <v>8.3795205289933394E-2</v>
      </c>
      <c r="O669" s="79">
        <v>179</v>
      </c>
      <c r="P669" s="79">
        <v>33.0790753554421</v>
      </c>
      <c r="Q669" s="79">
        <v>25.8305749966432</v>
      </c>
      <c r="R669" s="79">
        <v>310.45187974046598</v>
      </c>
      <c r="S669" s="79">
        <v>770.62146764617603</v>
      </c>
      <c r="T669" s="79">
        <v>15</v>
      </c>
      <c r="U669" s="79">
        <v>0.2</v>
      </c>
      <c r="V669" s="79">
        <f>tbl_Data_old[[#This Row],[2025 ]]*IFERROR(AVERAGEIFS('Participation Adjustment'!$C:$C,'Participation Adjustment'!$A:$A,$H669,'Participation Adjustment'!$B:$B,$I669),1)</f>
        <v>46889.923332145954</v>
      </c>
      <c r="W669" s="79">
        <f>tbl_Data_old[[#This Row],[2026 ]]*IFERROR(AVERAGEIFS('Participation Adjustment'!$C:$C,'Participation Adjustment'!$A:$A,$H669,'Participation Adjustment'!$B:$B,$I669),1)</f>
        <v>53345.128562890648</v>
      </c>
      <c r="X669" s="79">
        <f>tbl_Data_old[[#This Row],[2027 ]]*IFERROR(AVERAGEIFS('Participation Adjustment'!$C:$C,'Participation Adjustment'!$A:$A,$H669,'Participation Adjustment'!$B:$B,$I669),1)</f>
        <v>58970.384513321551</v>
      </c>
      <c r="Y669" s="79">
        <f>tbl_Data_old[[#This Row],[2028 ]]*IFERROR(AVERAGEIFS('Participation Adjustment'!$C:$C,'Participation Adjustment'!$A:$A,$H669,'Participation Adjustment'!$B:$B,$I669),1)</f>
        <v>64616.620779481353</v>
      </c>
      <c r="Z669" s="79">
        <f>tbl_Data_old[[#This Row],[2029 ]]*IFERROR(AVERAGEIFS('Participation Adjustment'!$C:$C,'Participation Adjustment'!$A:$A,$H669,'Participation Adjustment'!$B:$B,$I669),1)</f>
        <v>69425.821978842301</v>
      </c>
      <c r="AA669" s="79">
        <f>tbl_Data_old[[#This Row],[2030 ]]*IFERROR(AVERAGEIFS('Participation Adjustment'!$C:$C,'Participation Adjustment'!$A:$A,$H669,'Participation Adjustment'!$B:$B,$I669),1)</f>
        <v>73940.141734581295</v>
      </c>
      <c r="AB669" s="79">
        <f>tbl_Data_old[[#This Row],[2031 ]]*IFERROR(AVERAGEIFS('Participation Adjustment'!$C:$C,'Participation Adjustment'!$A:$A,$H669,'Participation Adjustment'!$B:$B,$I669),1)</f>
        <v>78208.964301903892</v>
      </c>
      <c r="AC669" s="79">
        <f>tbl_Data_old[[#This Row],[2032 ]]*IFERROR(AVERAGEIFS('Participation Adjustment'!$C:$C,'Participation Adjustment'!$A:$A,$H669,'Participation Adjustment'!$B:$B,$I669),1)</f>
        <v>82038.095854645799</v>
      </c>
      <c r="AD669" s="79">
        <f>tbl_Data_old[[#This Row],[2033 ]]*IFERROR(AVERAGEIFS('Participation Adjustment'!$C:$C,'Participation Adjustment'!$A:$A,$H669,'Participation Adjustment'!$B:$B,$I669),1)</f>
        <v>85834.961091782243</v>
      </c>
      <c r="AE669" s="79">
        <f>tbl_Data_old[[#This Row],[2034 ]]*IFERROR(AVERAGEIFS('Participation Adjustment'!$C:$C,'Participation Adjustment'!$A:$A,$H669,'Participation Adjustment'!$B:$B,$I669),1)</f>
        <v>89431.522739021704</v>
      </c>
      <c r="AF669" s="77" t="str">
        <f t="shared" si="275"/>
        <v>NonResidential</v>
      </c>
      <c r="AG669" s="77" t="str">
        <f>tbl_Data[[#This Row],[All_Meas_Name_Append]]</f>
        <v>LED High Bay_LF Baseline</v>
      </c>
      <c r="AH669" s="77">
        <f>AVERAGEIFS('3. Incentive Adjustment'!G:G,'3. Incentive Adjustment'!A:A,tbl_Data[[#This Row],[Trimmed Sector]],'3. Incentive Adjustment'!B:B,tbl_Data[[#This Row],[Trimmed Measure Name]])</f>
        <v>0.93017466414143679</v>
      </c>
      <c r="AI669" s="77">
        <f>$AH669*tbl_Data[[#This Row],[2025 ]]</f>
        <v>43615.81868709658</v>
      </c>
      <c r="AJ669" s="77">
        <f>$AH669*tbl_Data[[#This Row],[2026 ]]</f>
        <v>49620.287044568577</v>
      </c>
      <c r="AK669" s="77">
        <f>$AH669*tbl_Data[[#This Row],[2027 ]]</f>
        <v>54852.757608970256</v>
      </c>
      <c r="AL669" s="77">
        <f>$AH669*tbl_Data[[#This Row],[2028 ]]</f>
        <v>60104.743531508655</v>
      </c>
      <c r="AM669" s="77">
        <f>$AH669*tbl_Data[[#This Row],[2029 ]]</f>
        <v>64578.140641912818</v>
      </c>
      <c r="AN669" s="77">
        <f>$AH669*tbl_Data[[#This Row],[2030 ]]</f>
        <v>68777.246504534385</v>
      </c>
      <c r="AO669" s="77">
        <f>$AH669*tbl_Data[[#This Row],[2031 ]]</f>
        <v>72747.997102373076</v>
      </c>
      <c r="AP669" s="77">
        <f>$AH669*tbl_Data[[#This Row],[2032 ]]</f>
        <v>76309.758258398157</v>
      </c>
      <c r="AQ669" s="77">
        <f>$AH669*tbl_Data[[#This Row],[2033 ]]</f>
        <v>79841.506105141845</v>
      </c>
      <c r="AR669" s="77">
        <f>$AH669*tbl_Data[[#This Row],[2034 ]]</f>
        <v>83186.936627426781</v>
      </c>
      <c r="AS669" s="77">
        <f>SUM(tbl_Data[[#This Row],[Adjusted 2025]:[Adjusted 2034]])</f>
        <v>653635.19211193104</v>
      </c>
      <c r="AT669" s="80">
        <f>AVERAGEIFS('3. Incentive Adjustment'!F:F,'3. Incentive Adjustment'!A:A,tbl_Data[[#This Row],[Trimmed Sector]],'3. Incentive Adjustment'!B:B,tbl_Data[[#This Row],[Trimmed Measure Name]])</f>
        <v>23.858858929800434</v>
      </c>
      <c r="AU669" s="80">
        <f>IFERROR(VLOOKUP(tbl_Data[[#This Row],[All_Meas_Name_Append]],'IRA Tax Credits'!$A$3:$D$46,4,0),0)</f>
        <v>0</v>
      </c>
      <c r="AV669" s="81">
        <f>tbl_Data[[#This Row],[Adj. per unit Incentive ($)]]/tbl_Data[[#This Row],[kWh Savings]]*tbl_Data[[#This Row],[Sum of Annuals]]</f>
        <v>21493.012880635142</v>
      </c>
      <c r="AW669" s="81">
        <f>IFERROR(VLOOKUP(tbl_Data[[#This Row],[Column1]],'1. Set Program Names'!$B$2:$D$15,3,0)*tbl_Data[[#This Row],[Sum of Annuals]],"")</f>
        <v>23269.213450255658</v>
      </c>
      <c r="AX669" s="81">
        <f>tbl_Data[[#This Row],[per unit IRA tax ($)]]/tbl_Data[[#This Row],[kWh Savings]]*tbl_Data[[#This Row],[Sum of Annuals]]</f>
        <v>0</v>
      </c>
      <c r="AY669" s="81">
        <f>tbl_Data[[#This Row],[Avoided Costs ($/unit)]]/tbl_Data[[#This Row],[kWh Savings]]*tbl_Data[[#This Row],[Sum of Annuals]]</f>
        <v>279667.45055628021</v>
      </c>
      <c r="AZ669" s="81">
        <f>tbl_Data[[#This Row],[Lost Revenue ($/unit)]]/tbl_Data[[#This Row],[kWh Savings]]*tbl_Data[[#This Row],[Sum of Annuals]]</f>
        <v>694206.59131043206</v>
      </c>
      <c r="BA669" s="81">
        <f>tbl_Data[[#This Row],[Incremental Cost ($/unit)]]/tbl_Data[[#This Row],[kWh Savings]]*tbl_Data[[#This Row],[Sum of Annuals]]</f>
        <v>161250.34801343162</v>
      </c>
      <c r="BB669" s="77">
        <f>ROUNDUP(tbl_Data[[#This Row],[Adjusted 2025]]/$L669,0)</f>
        <v>61</v>
      </c>
      <c r="BC669" s="77">
        <f>ROUNDUP(tbl_Data[[#This Row],[Adjusted 2026]]/$L669,0)</f>
        <v>69</v>
      </c>
      <c r="BD669" s="77">
        <f>ROUNDUP(tbl_Data[[#This Row],[Adjusted 2027]]/$L669,0)</f>
        <v>76</v>
      </c>
      <c r="BE669" s="77">
        <f>ROUNDUP(tbl_Data[[#This Row],[Adjusted 2028]]/$L669,0)</f>
        <v>83</v>
      </c>
      <c r="BF669" s="77">
        <f>ROUNDUP(tbl_Data[[#This Row],[Adjusted 2029]]/$L669,0)</f>
        <v>90</v>
      </c>
      <c r="BG669" s="77">
        <f>ROUNDUP(tbl_Data[[#This Row],[Adjusted 2030]]/$L669,0)</f>
        <v>95</v>
      </c>
      <c r="BH669" s="77">
        <f>ROUNDUP(tbl_Data[[#This Row],[Adjusted 2031]]/$L669,0)</f>
        <v>101</v>
      </c>
      <c r="BI669" s="77">
        <f>ROUNDUP(tbl_Data[[#This Row],[Adjusted 2032]]/$L669,0)</f>
        <v>106</v>
      </c>
      <c r="BJ669" s="77">
        <f>ROUNDUP(tbl_Data[[#This Row],[Adjusted 2033]]/$L669,0)</f>
        <v>111</v>
      </c>
      <c r="BK669" s="77">
        <f>ROUNDUP(tbl_Data[[#This Row],[Adjusted 2034]]/$L669,0)</f>
        <v>115</v>
      </c>
      <c r="BL669" s="80">
        <f t="shared" si="276"/>
        <v>1541.8474071041553</v>
      </c>
      <c r="BM669" s="80">
        <f t="shared" si="277"/>
        <v>1754.1092480299119</v>
      </c>
      <c r="BN669" s="80">
        <f t="shared" si="278"/>
        <v>1939.0804675397342</v>
      </c>
      <c r="BO669" s="80">
        <f t="shared" si="279"/>
        <v>2124.7415675848197</v>
      </c>
      <c r="BP669" s="80">
        <f t="shared" si="280"/>
        <v>2282.8790494261129</v>
      </c>
      <c r="BQ669" s="80">
        <f t="shared" si="281"/>
        <v>2431.3201582102138</v>
      </c>
      <c r="BR669" s="80">
        <f t="shared" si="282"/>
        <v>2571.6887606536684</v>
      </c>
      <c r="BS669" s="80">
        <f t="shared" si="283"/>
        <v>2697.5993217402183</v>
      </c>
      <c r="BT669" s="80">
        <f t="shared" si="284"/>
        <v>2822.4488929270692</v>
      </c>
      <c r="BU669" s="80">
        <f t="shared" si="285"/>
        <v>2940.712026159465</v>
      </c>
      <c r="BV669" s="80">
        <f>IFERROR(VLOOKUP($H669,'1. Set Program Names'!$B$2:$D$15,3,0)*V669,"NA")</f>
        <v>1669.2669670316411</v>
      </c>
      <c r="BW669" s="80">
        <f>IFERROR(VLOOKUP($H669,'1. Set Program Names'!$B$2:$D$15,3,0)*W669,"NA")</f>
        <v>1899.0703041103507</v>
      </c>
      <c r="BX669" s="80">
        <f>IFERROR(VLOOKUP($H669,'1. Set Program Names'!$B$2:$D$15,3,0)*X669,"NA")</f>
        <v>2099.3276999827604</v>
      </c>
      <c r="BY669" s="80">
        <f>IFERROR(VLOOKUP($H669,'1. Set Program Names'!$B$2:$D$15,3,0)*Y669,"NA")</f>
        <v>2300.3319886951531</v>
      </c>
      <c r="BZ669" s="80">
        <f>IFERROR(VLOOKUP($H669,'1. Set Program Names'!$B$2:$D$15,3,0)*Z669,"NA")</f>
        <v>2471.53808436387</v>
      </c>
      <c r="CA669" s="80">
        <f>IFERROR(VLOOKUP($H669,'1. Set Program Names'!$B$2:$D$15,3,0)*AA669,"NA")</f>
        <v>2632.2464905921079</v>
      </c>
      <c r="CB669" s="80">
        <f>IFERROR(VLOOKUP($H669,'1. Set Program Names'!$B$2:$D$15,3,0)*AB669,"NA")</f>
        <v>2784.215271800706</v>
      </c>
      <c r="CC669" s="80">
        <f>IFERROR(VLOOKUP($H669,'1. Set Program Names'!$B$2:$D$15,3,0)*AC669,"NA")</f>
        <v>2920.5311870163027</v>
      </c>
      <c r="CD669" s="80">
        <f>IFERROR(VLOOKUP($H669,'1. Set Program Names'!$B$2:$D$15,3,0)*AD669,"NA")</f>
        <v>3055.6984312390618</v>
      </c>
      <c r="CE669" s="80">
        <f>IFERROR(VLOOKUP($H669,'1. Set Program Names'!$B$2:$D$15,3,0)*AE669,"NA")</f>
        <v>3183.7349287633365</v>
      </c>
    </row>
    <row r="670" spans="1:83" x14ac:dyDescent="0.25">
      <c r="A670" s="79" t="s">
        <v>87</v>
      </c>
      <c r="B670" s="79" t="s">
        <v>88</v>
      </c>
      <c r="C670" s="79" t="s">
        <v>176</v>
      </c>
      <c r="D670" s="79" t="s">
        <v>90</v>
      </c>
      <c r="E670" s="79" t="s">
        <v>91</v>
      </c>
      <c r="F670" s="79" t="s">
        <v>90</v>
      </c>
      <c r="G670" s="79" t="s">
        <v>92</v>
      </c>
      <c r="H670" s="79" t="s">
        <v>14</v>
      </c>
      <c r="I670" s="79" t="s">
        <v>165</v>
      </c>
      <c r="J670" s="79" t="s">
        <v>161</v>
      </c>
      <c r="K670" s="79" t="s">
        <v>166</v>
      </c>
      <c r="L670" s="79">
        <v>565.38999999999896</v>
      </c>
      <c r="M670" s="79">
        <v>6.7728127941350899E-2</v>
      </c>
      <c r="N670" s="79">
        <v>6.5294935157718198E-2</v>
      </c>
      <c r="O670" s="79">
        <v>129</v>
      </c>
      <c r="P670" s="79">
        <v>15.293574707506</v>
      </c>
      <c r="Q670" s="79">
        <v>20.127711529930998</v>
      </c>
      <c r="R670" s="79">
        <v>190.6779313312</v>
      </c>
      <c r="S670" s="79">
        <v>454.767236260907</v>
      </c>
      <c r="T670" s="79">
        <v>10</v>
      </c>
      <c r="U670" s="79">
        <v>0.2</v>
      </c>
      <c r="V670" s="79">
        <f>tbl_Data_old[[#This Row],[2025 ]]*IFERROR(AVERAGEIFS('Participation Adjustment'!$C:$C,'Participation Adjustment'!$A:$A,$H670,'Participation Adjustment'!$B:$B,$I670),1)</f>
        <v>374.02055050201699</v>
      </c>
      <c r="W670" s="79">
        <f>tbl_Data_old[[#This Row],[2026 ]]*IFERROR(AVERAGEIFS('Participation Adjustment'!$C:$C,'Participation Adjustment'!$A:$A,$H670,'Participation Adjustment'!$B:$B,$I670),1)</f>
        <v>516.43414479511205</v>
      </c>
      <c r="X670" s="79">
        <f>tbl_Data_old[[#This Row],[2027 ]]*IFERROR(AVERAGEIFS('Participation Adjustment'!$C:$C,'Participation Adjustment'!$A:$A,$H670,'Participation Adjustment'!$B:$B,$I670),1)</f>
        <v>690.88788086350803</v>
      </c>
      <c r="Y670" s="79">
        <f>tbl_Data_old[[#This Row],[2028 ]]*IFERROR(AVERAGEIFS('Participation Adjustment'!$C:$C,'Participation Adjustment'!$A:$A,$H670,'Participation Adjustment'!$B:$B,$I670),1)</f>
        <v>901.24020805595501</v>
      </c>
      <c r="Z670" s="79">
        <f>tbl_Data_old[[#This Row],[2029 ]]*IFERROR(AVERAGEIFS('Participation Adjustment'!$C:$C,'Participation Adjustment'!$A:$A,$H670,'Participation Adjustment'!$B:$B,$I670),1)</f>
        <v>1125.12725728687</v>
      </c>
      <c r="AA670" s="79">
        <f>tbl_Data_old[[#This Row],[2030 ]]*IFERROR(AVERAGEIFS('Participation Adjustment'!$C:$C,'Participation Adjustment'!$A:$A,$H670,'Participation Adjustment'!$B:$B,$I670),1)</f>
        <v>1335.5489803155699</v>
      </c>
      <c r="AB670" s="79">
        <f>tbl_Data_old[[#This Row],[2031 ]]*IFERROR(AVERAGEIFS('Participation Adjustment'!$C:$C,'Participation Adjustment'!$A:$A,$H670,'Participation Adjustment'!$B:$B,$I670),1)</f>
        <v>1488.4575412803599</v>
      </c>
      <c r="AC670" s="79">
        <f>tbl_Data_old[[#This Row],[2032 ]]*IFERROR(AVERAGEIFS('Participation Adjustment'!$C:$C,'Participation Adjustment'!$A:$A,$H670,'Participation Adjustment'!$B:$B,$I670),1)</f>
        <v>1535.1359898072001</v>
      </c>
      <c r="AD670" s="79">
        <f>tbl_Data_old[[#This Row],[2033 ]]*IFERROR(AVERAGEIFS('Participation Adjustment'!$C:$C,'Participation Adjustment'!$A:$A,$H670,'Participation Adjustment'!$B:$B,$I670),1)</f>
        <v>1453.49078996717</v>
      </c>
      <c r="AE670" s="79">
        <f>tbl_Data_old[[#This Row],[2034 ]]*IFERROR(AVERAGEIFS('Participation Adjustment'!$C:$C,'Participation Adjustment'!$A:$A,$H670,'Participation Adjustment'!$B:$B,$I670),1)</f>
        <v>1257.82232186741</v>
      </c>
      <c r="AF670" s="77" t="str">
        <f t="shared" si="275"/>
        <v>NonResidential</v>
      </c>
      <c r="AG670" s="77" t="str">
        <f>tbl_Data[[#This Row],[All_Meas_Name_Append]]</f>
        <v>Occupancy Sensors_ Ceiling Mounted</v>
      </c>
      <c r="AH670" s="77">
        <f>AVERAGEIFS('3. Incentive Adjustment'!G:G,'3. Incentive Adjustment'!A:A,tbl_Data[[#This Row],[Trimmed Sector]],'3. Incentive Adjustment'!B:B,tbl_Data[[#This Row],[Trimmed Measure Name]])</f>
        <v>0.99348124042467356</v>
      </c>
      <c r="AI670" s="77">
        <f>$AH670*tbl_Data[[#This Row],[2025 ]]</f>
        <v>371.5824004570631</v>
      </c>
      <c r="AJ670" s="77">
        <f>$AH670*tbl_Data[[#This Row],[2026 ]]</f>
        <v>513.06763476870344</v>
      </c>
      <c r="AK670" s="77">
        <f>$AH670*tbl_Data[[#This Row],[2027 ]]</f>
        <v>686.38414887465206</v>
      </c>
      <c r="AL670" s="77">
        <f>$AH670*tbl_Data[[#This Row],[2028 ]]</f>
        <v>895.36523982002109</v>
      </c>
      <c r="AM670" s="77">
        <f>$AH670*tbl_Data[[#This Row],[2029 ]]</f>
        <v>1117.7928232049703</v>
      </c>
      <c r="AN670" s="77">
        <f>$AH670*tbl_Data[[#This Row],[2030 ]]</f>
        <v>1326.8428576118204</v>
      </c>
      <c r="AO670" s="77">
        <f>$AH670*tbl_Data[[#This Row],[2031 ]]</f>
        <v>1478.7546444306718</v>
      </c>
      <c r="AP670" s="77">
        <f>$AH670*tbl_Data[[#This Row],[2032 ]]</f>
        <v>1525.1288073742162</v>
      </c>
      <c r="AQ670" s="77">
        <f>$AH670*tbl_Data[[#This Row],[2033 ]]</f>
        <v>1444.0158329624228</v>
      </c>
      <c r="AR670" s="77">
        <f>$AH670*tbl_Data[[#This Row],[2034 ]]</f>
        <v>1249.6228805626774</v>
      </c>
      <c r="AS670" s="77">
        <f>SUM(tbl_Data[[#This Row],[Adjusted 2025]:[Adjusted 2034]])</f>
        <v>10608.557270067218</v>
      </c>
      <c r="AT670" s="80">
        <f>AVERAGEIFS('3. Incentive Adjustment'!F:F,'3. Incentive Adjustment'!A:A,tbl_Data[[#This Row],[Trimmed Sector]],'3. Incentive Adjustment'!B:B,tbl_Data[[#This Row],[Trimmed Measure Name]])</f>
        <v>19.547634357270656</v>
      </c>
      <c r="AU670" s="80">
        <f>IFERROR(VLOOKUP(tbl_Data[[#This Row],[All_Meas_Name_Append]],'IRA Tax Credits'!$A$3:$D$46,4,0),0)</f>
        <v>0</v>
      </c>
      <c r="AV670" s="81">
        <f>tbl_Data[[#This Row],[Adj. per unit Incentive ($)]]/tbl_Data[[#This Row],[kWh Savings]]*tbl_Data[[#This Row],[Sum of Annuals]]</f>
        <v>366.77726626477249</v>
      </c>
      <c r="AW670" s="81">
        <f>IFERROR(VLOOKUP(tbl_Data[[#This Row],[Column1]],'1. Set Program Names'!$B$2:$D$15,3,0)*tbl_Data[[#This Row],[Sum of Annuals]],"")</f>
        <v>377.66140271435006</v>
      </c>
      <c r="AX670" s="81">
        <f>tbl_Data[[#This Row],[per unit IRA tax ($)]]/tbl_Data[[#This Row],[kWh Savings]]*tbl_Data[[#This Row],[Sum of Annuals]]</f>
        <v>0</v>
      </c>
      <c r="AY670" s="81">
        <f>tbl_Data[[#This Row],[Avoided Costs ($/unit)]]/tbl_Data[[#This Row],[kWh Savings]]*tbl_Data[[#This Row],[Sum of Annuals]]</f>
        <v>3577.7388257043517</v>
      </c>
      <c r="AZ670" s="81">
        <f>tbl_Data[[#This Row],[Lost Revenue ($/unit)]]/tbl_Data[[#This Row],[kWh Savings]]*tbl_Data[[#This Row],[Sum of Annuals]]</f>
        <v>8532.9140423849567</v>
      </c>
      <c r="BA670" s="81">
        <f>tbl_Data[[#This Row],[Incremental Cost ($/unit)]]/tbl_Data[[#This Row],[kWh Savings]]*tbl_Data[[#This Row],[Sum of Annuals]]</f>
        <v>2420.4600149254029</v>
      </c>
      <c r="BB670" s="77">
        <f>ROUNDUP(tbl_Data[[#This Row],[Adjusted 2025]]/$L670,0)</f>
        <v>1</v>
      </c>
      <c r="BC670" s="77">
        <f>ROUNDUP(tbl_Data[[#This Row],[Adjusted 2026]]/$L670,0)</f>
        <v>1</v>
      </c>
      <c r="BD670" s="77">
        <f>ROUNDUP(tbl_Data[[#This Row],[Adjusted 2027]]/$L670,0)</f>
        <v>2</v>
      </c>
      <c r="BE670" s="77">
        <f>ROUNDUP(tbl_Data[[#This Row],[Adjusted 2028]]/$L670,0)</f>
        <v>2</v>
      </c>
      <c r="BF670" s="77">
        <f>ROUNDUP(tbl_Data[[#This Row],[Adjusted 2029]]/$L670,0)</f>
        <v>2</v>
      </c>
      <c r="BG670" s="77">
        <f>ROUNDUP(tbl_Data[[#This Row],[Adjusted 2030]]/$L670,0)</f>
        <v>3</v>
      </c>
      <c r="BH670" s="77">
        <f>ROUNDUP(tbl_Data[[#This Row],[Adjusted 2031]]/$L670,0)</f>
        <v>3</v>
      </c>
      <c r="BI670" s="77">
        <f>ROUNDUP(tbl_Data[[#This Row],[Adjusted 2032]]/$L670,0)</f>
        <v>3</v>
      </c>
      <c r="BJ670" s="77">
        <f>ROUNDUP(tbl_Data[[#This Row],[Adjusted 2033]]/$L670,0)</f>
        <v>3</v>
      </c>
      <c r="BK670" s="77">
        <f>ROUNDUP(tbl_Data[[#This Row],[Adjusted 2034]]/$L670,0)</f>
        <v>3</v>
      </c>
      <c r="BL670" s="80">
        <f t="shared" si="276"/>
        <v>12.931280997751154</v>
      </c>
      <c r="BM670" s="80">
        <f t="shared" si="277"/>
        <v>17.855048430401386</v>
      </c>
      <c r="BN670" s="80">
        <f t="shared" si="278"/>
        <v>23.886562685914942</v>
      </c>
      <c r="BO670" s="80">
        <f t="shared" si="279"/>
        <v>31.159224703564572</v>
      </c>
      <c r="BP670" s="80">
        <f t="shared" si="280"/>
        <v>38.899832382678433</v>
      </c>
      <c r="BQ670" s="80">
        <f t="shared" si="281"/>
        <v>46.174893672393345</v>
      </c>
      <c r="BR670" s="80">
        <f t="shared" si="282"/>
        <v>51.461511122005383</v>
      </c>
      <c r="BS670" s="80">
        <f t="shared" si="283"/>
        <v>53.075358632869303</v>
      </c>
      <c r="BT670" s="80">
        <f t="shared" si="284"/>
        <v>50.25258052660778</v>
      </c>
      <c r="BU670" s="80">
        <f t="shared" si="285"/>
        <v>43.48759411075077</v>
      </c>
      <c r="BV670" s="80">
        <f>IFERROR(VLOOKUP($H670,'1. Set Program Names'!$B$2:$D$15,3,0)*V670,"NA")</f>
        <v>13.315017504325557</v>
      </c>
      <c r="BW670" s="80">
        <f>IFERROR(VLOOKUP($H670,'1. Set Program Names'!$B$2:$D$15,3,0)*W670,"NA")</f>
        <v>18.384898018434505</v>
      </c>
      <c r="BX670" s="80">
        <f>IFERROR(VLOOKUP($H670,'1. Set Program Names'!$B$2:$D$15,3,0)*X670,"NA")</f>
        <v>24.595397806020795</v>
      </c>
      <c r="BY670" s="80">
        <f>IFERROR(VLOOKUP($H670,'1. Set Program Names'!$B$2:$D$15,3,0)*Y670,"NA")</f>
        <v>32.083876486894624</v>
      </c>
      <c r="BZ670" s="80">
        <f>IFERROR(VLOOKUP($H670,'1. Set Program Names'!$B$2:$D$15,3,0)*Z670,"NA")</f>
        <v>40.054187143622443</v>
      </c>
      <c r="CA670" s="80">
        <f>IFERROR(VLOOKUP($H670,'1. Set Program Names'!$B$2:$D$15,3,0)*AA670,"NA")</f>
        <v>47.54513629509794</v>
      </c>
      <c r="CB670" s="80">
        <f>IFERROR(VLOOKUP($H670,'1. Set Program Names'!$B$2:$D$15,3,0)*AB670,"NA")</f>
        <v>52.988634421269566</v>
      </c>
      <c r="CC670" s="80">
        <f>IFERROR(VLOOKUP($H670,'1. Set Program Names'!$B$2:$D$15,3,0)*AC670,"NA")</f>
        <v>54.650372949741907</v>
      </c>
      <c r="CD670" s="80">
        <f>IFERROR(VLOOKUP($H670,'1. Set Program Names'!$B$2:$D$15,3,0)*AD670,"NA")</f>
        <v>51.743828740994495</v>
      </c>
      <c r="CE670" s="80">
        <f>IFERROR(VLOOKUP($H670,'1. Set Program Names'!$B$2:$D$15,3,0)*AE670,"NA")</f>
        <v>44.778090964564953</v>
      </c>
    </row>
    <row r="671" spans="1:83" x14ac:dyDescent="0.25">
      <c r="A671" s="79" t="s">
        <v>87</v>
      </c>
      <c r="B671" s="79" t="s">
        <v>88</v>
      </c>
      <c r="C671" s="79" t="s">
        <v>176</v>
      </c>
      <c r="D671" s="79" t="s">
        <v>90</v>
      </c>
      <c r="E671" s="79" t="s">
        <v>91</v>
      </c>
      <c r="F671" s="79" t="s">
        <v>90</v>
      </c>
      <c r="G671" s="79" t="s">
        <v>92</v>
      </c>
      <c r="H671" s="79" t="s">
        <v>14</v>
      </c>
      <c r="I671" s="79" t="s">
        <v>155</v>
      </c>
      <c r="J671" s="79" t="s">
        <v>129</v>
      </c>
      <c r="K671" s="79" t="s">
        <v>102</v>
      </c>
      <c r="L671" s="79">
        <v>47228.7699999998</v>
      </c>
      <c r="M671" s="79">
        <v>5.6581998938837703</v>
      </c>
      <c r="N671" s="79">
        <v>5.4505995734426298</v>
      </c>
      <c r="O671" s="79">
        <v>11124</v>
      </c>
      <c r="P671" s="79">
        <v>2435.8852359673701</v>
      </c>
      <c r="Q671" s="79">
        <v>1681.32980504335</v>
      </c>
      <c r="R671" s="79">
        <v>16918.542729362998</v>
      </c>
      <c r="S671" s="79">
        <v>40712.4661763408</v>
      </c>
      <c r="T671" s="79">
        <v>11</v>
      </c>
      <c r="U671" s="79">
        <v>0.94999999999999896</v>
      </c>
      <c r="V671" s="79">
        <f>tbl_Data_old[[#This Row],[2025 ]]*IFERROR(AVERAGEIFS('Participation Adjustment'!$C:$C,'Participation Adjustment'!$A:$A,$H671,'Participation Adjustment'!$B:$B,$I671),1)</f>
        <v>1522.294415434425</v>
      </c>
      <c r="W671" s="79">
        <f>tbl_Data_old[[#This Row],[2026 ]]*IFERROR(AVERAGEIFS('Participation Adjustment'!$C:$C,'Participation Adjustment'!$A:$A,$H671,'Participation Adjustment'!$B:$B,$I671),1)</f>
        <v>1272.466017343995</v>
      </c>
      <c r="X671" s="79">
        <f>tbl_Data_old[[#This Row],[2027 ]]*IFERROR(AVERAGEIFS('Participation Adjustment'!$C:$C,'Participation Adjustment'!$A:$A,$H671,'Participation Adjustment'!$B:$B,$I671),1)</f>
        <v>1053.9219913981799</v>
      </c>
      <c r="Y671" s="79">
        <f>tbl_Data_old[[#This Row],[2028 ]]*IFERROR(AVERAGEIFS('Participation Adjustment'!$C:$C,'Participation Adjustment'!$A:$A,$H671,'Participation Adjustment'!$B:$B,$I671),1)</f>
        <v>878.76218117081498</v>
      </c>
      <c r="Z671" s="79">
        <f>tbl_Data_old[[#This Row],[2029 ]]*IFERROR(AVERAGEIFS('Participation Adjustment'!$C:$C,'Participation Adjustment'!$A:$A,$H671,'Participation Adjustment'!$B:$B,$I671),1)</f>
        <v>730.16315166751497</v>
      </c>
      <c r="AA671" s="79">
        <f>tbl_Data_old[[#This Row],[2030 ]]*IFERROR(AVERAGEIFS('Participation Adjustment'!$C:$C,'Participation Adjustment'!$A:$A,$H671,'Participation Adjustment'!$B:$B,$I671),1)</f>
        <v>609.75467244187996</v>
      </c>
      <c r="AB671" s="79">
        <f>tbl_Data_old[[#This Row],[2031 ]]*IFERROR(AVERAGEIFS('Participation Adjustment'!$C:$C,'Participation Adjustment'!$A:$A,$H671,'Participation Adjustment'!$B:$B,$I671),1)</f>
        <v>513.38896021918504</v>
      </c>
      <c r="AC671" s="79">
        <f>tbl_Data_old[[#This Row],[2032 ]]*IFERROR(AVERAGEIFS('Participation Adjustment'!$C:$C,'Participation Adjustment'!$A:$A,$H671,'Participation Adjustment'!$B:$B,$I671),1)</f>
        <v>433.56247733245351</v>
      </c>
      <c r="AD671" s="79">
        <f>tbl_Data_old[[#This Row],[2033 ]]*IFERROR(AVERAGEIFS('Participation Adjustment'!$C:$C,'Participation Adjustment'!$A:$A,$H671,'Participation Adjustment'!$B:$B,$I671),1)</f>
        <v>371.78015188478599</v>
      </c>
      <c r="AE671" s="79">
        <f>tbl_Data_old[[#This Row],[2034 ]]*IFERROR(AVERAGEIFS('Participation Adjustment'!$C:$C,'Participation Adjustment'!$A:$A,$H671,'Participation Adjustment'!$B:$B,$I671),1)</f>
        <v>322.36815764037749</v>
      </c>
      <c r="AF671" s="77" t="str">
        <f t="shared" si="275"/>
        <v>NonResidential</v>
      </c>
      <c r="AG671" s="77" t="str">
        <f>tbl_Data[[#This Row],[All_Meas_Name_Append]]</f>
        <v>Smart thermostat</v>
      </c>
      <c r="AH671" s="77">
        <f>AVERAGEIFS('3. Incentive Adjustment'!G:G,'3. Incentive Adjustment'!A:A,tbl_Data[[#This Row],[Trimmed Sector]],'3. Incentive Adjustment'!B:B,tbl_Data[[#This Row],[Trimmed Measure Name]])</f>
        <v>0.87546479230069263</v>
      </c>
      <c r="AI671" s="77">
        <f>$AH671*tbl_Data[[#This Row],[2025 ]]</f>
        <v>1332.7151642288031</v>
      </c>
      <c r="AJ671" s="77">
        <f>$AH671*tbl_Data[[#This Row],[2026 ]]</f>
        <v>1113.9991975837502</v>
      </c>
      <c r="AK671" s="77">
        <f>$AH671*tbl_Data[[#This Row],[2027 ]]</f>
        <v>922.67159730053993</v>
      </c>
      <c r="AL671" s="77">
        <f>$AH671*tbl_Data[[#This Row],[2028 ]]</f>
        <v>769.32535042041116</v>
      </c>
      <c r="AM671" s="77">
        <f>$AH671*tbl_Data[[#This Row],[2029 ]]</f>
        <v>639.23213192022013</v>
      </c>
      <c r="AN671" s="77">
        <f>$AH671*tbl_Data[[#This Row],[2030 ]]</f>
        <v>533.81874766370731</v>
      </c>
      <c r="AO671" s="77">
        <f>$AH671*tbl_Data[[#This Row],[2031 ]]</f>
        <v>449.45395942775735</v>
      </c>
      <c r="AP671" s="77">
        <f>$AH671*tbl_Data[[#This Row],[2032 ]]</f>
        <v>379.56868416723017</v>
      </c>
      <c r="AQ671" s="77">
        <f>$AH671*tbl_Data[[#This Row],[2033 ]]</f>
        <v>325.48043345133414</v>
      </c>
      <c r="AR671" s="77">
        <f>$AH671*tbl_Data[[#This Row],[2034 ]]</f>
        <v>282.22197217299004</v>
      </c>
      <c r="AS671" s="77">
        <f>SUM(tbl_Data[[#This Row],[Adjusted 2025]:[Adjusted 2034]])</f>
        <v>6748.4872383367438</v>
      </c>
      <c r="AT671" s="80">
        <f>AVERAGEIFS('3. Incentive Adjustment'!F:F,'3. Incentive Adjustment'!A:A,tbl_Data[[#This Row],[Trimmed Sector]],'3. Incentive Adjustment'!B:B,tbl_Data[[#This Row],[Trimmed Measure Name]])</f>
        <v>50</v>
      </c>
      <c r="AU671" s="80">
        <f>IFERROR(VLOOKUP(tbl_Data[[#This Row],[All_Meas_Name_Append]],'IRA Tax Credits'!$A$3:$D$46,4,0),0)</f>
        <v>0</v>
      </c>
      <c r="AV671" s="81">
        <f>tbl_Data[[#This Row],[Adj. per unit Incentive ($)]]/tbl_Data[[#This Row],[kWh Savings]]*tbl_Data[[#This Row],[Sum of Annuals]]</f>
        <v>7.1444664325757081</v>
      </c>
      <c r="AW671" s="81">
        <f>IFERROR(VLOOKUP(tbl_Data[[#This Row],[Column1]],'1. Set Program Names'!$B$2:$D$15,3,0)*tbl_Data[[#This Row],[Sum of Annuals]],"")</f>
        <v>240.24408708442559</v>
      </c>
      <c r="AX671" s="81">
        <f>tbl_Data[[#This Row],[per unit IRA tax ($)]]/tbl_Data[[#This Row],[kWh Savings]]*tbl_Data[[#This Row],[Sum of Annuals]]</f>
        <v>0</v>
      </c>
      <c r="AY671" s="81">
        <f>tbl_Data[[#This Row],[Avoided Costs ($/unit)]]/tbl_Data[[#This Row],[kWh Savings]]*tbl_Data[[#This Row],[Sum of Annuals]]</f>
        <v>2417.4792123606348</v>
      </c>
      <c r="AZ671" s="81">
        <f>tbl_Data[[#This Row],[Lost Revenue ($/unit)]]/tbl_Data[[#This Row],[kWh Savings]]*tbl_Data[[#This Row],[Sum of Annuals]]</f>
        <v>5817.3769596848142</v>
      </c>
      <c r="BA671" s="81">
        <f>tbl_Data[[#This Row],[Incremental Cost ($/unit)]]/tbl_Data[[#This Row],[kWh Savings]]*tbl_Data[[#This Row],[Sum of Annuals]]</f>
        <v>1589.5008919194433</v>
      </c>
      <c r="BB671" s="77">
        <f>ROUNDUP(tbl_Data[[#This Row],[Adjusted 2025]]/$L671,0)</f>
        <v>1</v>
      </c>
      <c r="BC671" s="77">
        <f>ROUNDUP(tbl_Data[[#This Row],[Adjusted 2026]]/$L671,0)</f>
        <v>1</v>
      </c>
      <c r="BD671" s="77">
        <f>ROUNDUP(tbl_Data[[#This Row],[Adjusted 2027]]/$L671,0)</f>
        <v>1</v>
      </c>
      <c r="BE671" s="77">
        <f>ROUNDUP(tbl_Data[[#This Row],[Adjusted 2028]]/$L671,0)</f>
        <v>1</v>
      </c>
      <c r="BF671" s="77">
        <f>ROUNDUP(tbl_Data[[#This Row],[Adjusted 2029]]/$L671,0)</f>
        <v>1</v>
      </c>
      <c r="BG671" s="77">
        <f>ROUNDUP(tbl_Data[[#This Row],[Adjusted 2030]]/$L671,0)</f>
        <v>1</v>
      </c>
      <c r="BH671" s="77">
        <f>ROUNDUP(tbl_Data[[#This Row],[Adjusted 2031]]/$L671,0)</f>
        <v>1</v>
      </c>
      <c r="BI671" s="77">
        <f>ROUNDUP(tbl_Data[[#This Row],[Adjusted 2032]]/$L671,0)</f>
        <v>1</v>
      </c>
      <c r="BJ671" s="77">
        <f>ROUNDUP(tbl_Data[[#This Row],[Adjusted 2033]]/$L671,0)</f>
        <v>1</v>
      </c>
      <c r="BK671" s="77">
        <f>ROUNDUP(tbl_Data[[#This Row],[Adjusted 2034]]/$L671,0)</f>
        <v>1</v>
      </c>
      <c r="BL671" s="80">
        <f t="shared" si="276"/>
        <v>1.6116176807425129</v>
      </c>
      <c r="BM671" s="80">
        <f t="shared" si="277"/>
        <v>1.3471301680564627</v>
      </c>
      <c r="BN671" s="80">
        <f t="shared" si="278"/>
        <v>1.1157626923146469</v>
      </c>
      <c r="BO671" s="80">
        <f t="shared" si="279"/>
        <v>0.93032507640027329</v>
      </c>
      <c r="BP671" s="80">
        <f t="shared" si="280"/>
        <v>0.77300674108971934</v>
      </c>
      <c r="BQ671" s="80">
        <f t="shared" si="281"/>
        <v>0.64553308549204491</v>
      </c>
      <c r="BR671" s="80">
        <f t="shared" si="282"/>
        <v>0.54351294795437954</v>
      </c>
      <c r="BS671" s="80">
        <f t="shared" si="283"/>
        <v>0.45900250772194084</v>
      </c>
      <c r="BT671" s="80">
        <f t="shared" si="284"/>
        <v>0.3935949971646388</v>
      </c>
      <c r="BU671" s="80">
        <f t="shared" si="285"/>
        <v>0.34128366845079688</v>
      </c>
      <c r="BV671" s="80">
        <f>IFERROR(VLOOKUP($H671,'1. Set Program Names'!$B$2:$D$15,3,0)*V671,"NA")</f>
        <v>54.193216819344535</v>
      </c>
      <c r="BW671" s="80">
        <f>IFERROR(VLOOKUP($H671,'1. Set Program Names'!$B$2:$D$15,3,0)*W671,"NA")</f>
        <v>45.299402056527775</v>
      </c>
      <c r="BX671" s="80">
        <f>IFERROR(VLOOKUP($H671,'1. Set Program Names'!$B$2:$D$15,3,0)*X671,"NA")</f>
        <v>37.519301398880586</v>
      </c>
      <c r="BY671" s="80">
        <f>IFERROR(VLOOKUP($H671,'1. Set Program Names'!$B$2:$D$15,3,0)*Y671,"NA")</f>
        <v>31.283665586620241</v>
      </c>
      <c r="BZ671" s="80">
        <f>IFERROR(VLOOKUP($H671,'1. Set Program Names'!$B$2:$D$15,3,0)*Z671,"NA")</f>
        <v>25.993585465871476</v>
      </c>
      <c r="CA671" s="80">
        <f>IFERROR(VLOOKUP($H671,'1. Set Program Names'!$B$2:$D$15,3,0)*AA671,"NA")</f>
        <v>21.707080335587452</v>
      </c>
      <c r="CB671" s="80">
        <f>IFERROR(VLOOKUP($H671,'1. Set Program Names'!$B$2:$D$15,3,0)*AB671,"NA")</f>
        <v>18.276490376453477</v>
      </c>
      <c r="CC671" s="80">
        <f>IFERROR(VLOOKUP($H671,'1. Set Program Names'!$B$2:$D$15,3,0)*AC671,"NA")</f>
        <v>15.434691936450799</v>
      </c>
      <c r="CD671" s="80">
        <f>IFERROR(VLOOKUP($H671,'1. Set Program Names'!$B$2:$D$15,3,0)*AD671,"NA")</f>
        <v>13.235259996977209</v>
      </c>
      <c r="CE671" s="80">
        <f>IFERROR(VLOOKUP($H671,'1. Set Program Names'!$B$2:$D$15,3,0)*AE671,"NA")</f>
        <v>11.476208074817158</v>
      </c>
    </row>
    <row r="672" spans="1:83" x14ac:dyDescent="0.25">
      <c r="A672" s="79" t="s">
        <v>113</v>
      </c>
      <c r="B672" s="79" t="s">
        <v>88</v>
      </c>
      <c r="C672" s="79" t="s">
        <v>176</v>
      </c>
      <c r="D672" s="79" t="s">
        <v>90</v>
      </c>
      <c r="E672" s="79" t="s">
        <v>91</v>
      </c>
      <c r="F672" s="79" t="s">
        <v>90</v>
      </c>
      <c r="G672" s="79" t="s">
        <v>92</v>
      </c>
      <c r="H672" s="79" t="s">
        <v>14</v>
      </c>
      <c r="I672" s="79" t="s">
        <v>157</v>
      </c>
      <c r="J672" s="79" t="s">
        <v>158</v>
      </c>
      <c r="K672" s="79" t="s">
        <v>159</v>
      </c>
      <c r="L672" s="79">
        <v>562.52</v>
      </c>
      <c r="M672" s="79">
        <v>6.7473359330379998E-2</v>
      </c>
      <c r="N672" s="79">
        <v>6.4973258375617293E-2</v>
      </c>
      <c r="O672" s="79">
        <v>169</v>
      </c>
      <c r="P672" s="79">
        <v>55.847956108163899</v>
      </c>
      <c r="Q672" s="79">
        <v>20.025540405413601</v>
      </c>
      <c r="R672" s="79">
        <v>240.47921618074301</v>
      </c>
      <c r="S672" s="79">
        <v>597.43584258705596</v>
      </c>
      <c r="T672" s="79">
        <v>15</v>
      </c>
      <c r="U672" s="79">
        <v>0.2</v>
      </c>
      <c r="V672" s="79">
        <f>tbl_Data_old[[#This Row],[2025 ]]*IFERROR(AVERAGEIFS('Participation Adjustment'!$C:$C,'Participation Adjustment'!$A:$A,$H672,'Participation Adjustment'!$B:$B,$I672),1)</f>
        <v>6084.1479809683296</v>
      </c>
      <c r="W672" s="79">
        <f>tbl_Data_old[[#This Row],[2026 ]]*IFERROR(AVERAGEIFS('Participation Adjustment'!$C:$C,'Participation Adjustment'!$A:$A,$H672,'Participation Adjustment'!$B:$B,$I672),1)</f>
        <v>13005.883679732</v>
      </c>
      <c r="X672" s="79">
        <f>tbl_Data_old[[#This Row],[2027 ]]*IFERROR(AVERAGEIFS('Participation Adjustment'!$C:$C,'Participation Adjustment'!$A:$A,$H672,'Participation Adjustment'!$B:$B,$I672),1)</f>
        <v>20657.517983592803</v>
      </c>
      <c r="Y672" s="79">
        <f>tbl_Data_old[[#This Row],[2028 ]]*IFERROR(AVERAGEIFS('Participation Adjustment'!$C:$C,'Participation Adjustment'!$A:$A,$H672,'Participation Adjustment'!$B:$B,$I672),1)</f>
        <v>29041.773169247099</v>
      </c>
      <c r="Z672" s="79">
        <f>tbl_Data_old[[#This Row],[2029 ]]*IFERROR(AVERAGEIFS('Participation Adjustment'!$C:$C,'Participation Adjustment'!$A:$A,$H672,'Participation Adjustment'!$B:$B,$I672),1)</f>
        <v>38050.040715934803</v>
      </c>
      <c r="AA672" s="79">
        <f>tbl_Data_old[[#This Row],[2030 ]]*IFERROR(AVERAGEIFS('Participation Adjustment'!$C:$C,'Participation Adjustment'!$A:$A,$H672,'Participation Adjustment'!$B:$B,$I672),1)</f>
        <v>47644.058621665899</v>
      </c>
      <c r="AB672" s="79">
        <f>tbl_Data_old[[#This Row],[2031 ]]*IFERROR(AVERAGEIFS('Participation Adjustment'!$C:$C,'Participation Adjustment'!$A:$A,$H672,'Participation Adjustment'!$B:$B,$I672),1)</f>
        <v>57791.972681590094</v>
      </c>
      <c r="AC672" s="79">
        <f>tbl_Data_old[[#This Row],[2032 ]]*IFERROR(AVERAGEIFS('Participation Adjustment'!$C:$C,'Participation Adjustment'!$A:$A,$H672,'Participation Adjustment'!$B:$B,$I672),1)</f>
        <v>68436.731294670302</v>
      </c>
      <c r="AD672" s="79">
        <f>tbl_Data_old[[#This Row],[2033 ]]*IFERROR(AVERAGEIFS('Participation Adjustment'!$C:$C,'Participation Adjustment'!$A:$A,$H672,'Participation Adjustment'!$B:$B,$I672),1)</f>
        <v>79574.147782298503</v>
      </c>
      <c r="AE672" s="79">
        <f>tbl_Data_old[[#This Row],[2034 ]]*IFERROR(AVERAGEIFS('Participation Adjustment'!$C:$C,'Participation Adjustment'!$A:$A,$H672,'Participation Adjustment'!$B:$B,$I672),1)</f>
        <v>91178.231982933503</v>
      </c>
      <c r="AF672" s="77" t="str">
        <f t="shared" si="275"/>
        <v>NonResidential</v>
      </c>
      <c r="AG672" s="77" t="str">
        <f>tbl_Data[[#This Row],[All_Meas_Name_Append]]</f>
        <v>LED Exterior Wall Packs</v>
      </c>
      <c r="AH672" s="77">
        <f>AVERAGEIFS('3. Incentive Adjustment'!G:G,'3. Incentive Adjustment'!A:A,tbl_Data[[#This Row],[Trimmed Sector]],'3. Incentive Adjustment'!B:B,tbl_Data[[#This Row],[Trimmed Measure Name]])</f>
        <v>0.80637708305213962</v>
      </c>
      <c r="AI672" s="77">
        <f>$AH672*tbl_Data[[#This Row],[2025 ]]</f>
        <v>4906.1175017508067</v>
      </c>
      <c r="AJ672" s="77">
        <f>$AH672*tbl_Data[[#This Row],[2026 ]]</f>
        <v>10487.646544177718</v>
      </c>
      <c r="AK672" s="77">
        <f>$AH672*tbl_Data[[#This Row],[2027 ]]</f>
        <v>16657.74909470668</v>
      </c>
      <c r="AL672" s="77">
        <f>$AH672*tbl_Data[[#This Row],[2028 ]]</f>
        <v>23418.620334879368</v>
      </c>
      <c r="AM672" s="77">
        <f>$AH672*tbl_Data[[#This Row],[2029 ]]</f>
        <v>30682.680842530652</v>
      </c>
      <c r="AN672" s="77">
        <f>$AH672*tbl_Data[[#This Row],[2030 ]]</f>
        <v>38419.077016104093</v>
      </c>
      <c r="AO672" s="77">
        <f>$AH672*tbl_Data[[#This Row],[2031 ]]</f>
        <v>46602.122354809559</v>
      </c>
      <c r="AP672" s="77">
        <f>$AH672*tbl_Data[[#This Row],[2032 ]]</f>
        <v>55185.81175501932</v>
      </c>
      <c r="AQ672" s="77">
        <f>$AH672*tbl_Data[[#This Row],[2033 ]]</f>
        <v>64166.769175049754</v>
      </c>
      <c r="AR672" s="77">
        <f>$AH672*tbl_Data[[#This Row],[2034 ]]</f>
        <v>73524.036744249228</v>
      </c>
      <c r="AS672" s="77">
        <f>SUM(tbl_Data[[#This Row],[Adjusted 2025]:[Adjusted 2034]])</f>
        <v>364050.63136327721</v>
      </c>
      <c r="AT672" s="80">
        <f>AVERAGEIFS('3. Incentive Adjustment'!F:F,'3. Incentive Adjustment'!A:A,tbl_Data[[#This Row],[Trimmed Sector]],'3. Incentive Adjustment'!B:B,tbl_Data[[#This Row],[Trimmed Measure Name]])</f>
        <v>8.6864493556481861</v>
      </c>
      <c r="AU672" s="80">
        <f>IFERROR(VLOOKUP(tbl_Data[[#This Row],[All_Meas_Name_Append]],'IRA Tax Credits'!$A$3:$D$46,4,0),0)</f>
        <v>0</v>
      </c>
      <c r="AV672" s="81">
        <f>tbl_Data[[#This Row],[Adj. per unit Incentive ($)]]/tbl_Data[[#This Row],[kWh Savings]]*tbl_Data[[#This Row],[Sum of Annuals]]</f>
        <v>5621.6798908996207</v>
      </c>
      <c r="AW672" s="81">
        <f>IFERROR(VLOOKUP(tbl_Data[[#This Row],[Column1]],'1. Set Program Names'!$B$2:$D$15,3,0)*tbl_Data[[#This Row],[Sum of Annuals]],"")</f>
        <v>12960.09142427233</v>
      </c>
      <c r="AX672" s="81">
        <f>tbl_Data[[#This Row],[per unit IRA tax ($)]]/tbl_Data[[#This Row],[kWh Savings]]*tbl_Data[[#This Row],[Sum of Annuals]]</f>
        <v>0</v>
      </c>
      <c r="AY672" s="81">
        <f>tbl_Data[[#This Row],[Avoided Costs ($/unit)]]/tbl_Data[[#This Row],[kWh Savings]]*tbl_Data[[#This Row],[Sum of Annuals]]</f>
        <v>155632.88501803586</v>
      </c>
      <c r="AZ672" s="81">
        <f>tbl_Data[[#This Row],[Lost Revenue ($/unit)]]/tbl_Data[[#This Row],[kWh Savings]]*tbl_Data[[#This Row],[Sum of Annuals]]</f>
        <v>386647.40043530759</v>
      </c>
      <c r="BA672" s="81">
        <f>tbl_Data[[#This Row],[Incremental Cost ($/unit)]]/tbl_Data[[#This Row],[kWh Savings]]*tbl_Data[[#This Row],[Sum of Annuals]]</f>
        <v>109373.10086822486</v>
      </c>
      <c r="BB672" s="77">
        <f>ROUNDUP(tbl_Data[[#This Row],[Adjusted 2025]]/$L672,0)</f>
        <v>9</v>
      </c>
      <c r="BC672" s="77">
        <f>ROUNDUP(tbl_Data[[#This Row],[Adjusted 2026]]/$L672,0)</f>
        <v>19</v>
      </c>
      <c r="BD672" s="77">
        <f>ROUNDUP(tbl_Data[[#This Row],[Adjusted 2027]]/$L672,0)</f>
        <v>30</v>
      </c>
      <c r="BE672" s="77">
        <f>ROUNDUP(tbl_Data[[#This Row],[Adjusted 2028]]/$L672,0)</f>
        <v>42</v>
      </c>
      <c r="BF672" s="77">
        <f>ROUNDUP(tbl_Data[[#This Row],[Adjusted 2029]]/$L672,0)</f>
        <v>55</v>
      </c>
      <c r="BG672" s="77">
        <f>ROUNDUP(tbl_Data[[#This Row],[Adjusted 2030]]/$L672,0)</f>
        <v>69</v>
      </c>
      <c r="BH672" s="77">
        <f>ROUNDUP(tbl_Data[[#This Row],[Adjusted 2031]]/$L672,0)</f>
        <v>83</v>
      </c>
      <c r="BI672" s="77">
        <f>ROUNDUP(tbl_Data[[#This Row],[Adjusted 2032]]/$L672,0)</f>
        <v>99</v>
      </c>
      <c r="BJ672" s="77">
        <f>ROUNDUP(tbl_Data[[#This Row],[Adjusted 2033]]/$L672,0)</f>
        <v>115</v>
      </c>
      <c r="BK672" s="77">
        <f>ROUNDUP(tbl_Data[[#This Row],[Adjusted 2034]]/$L672,0)</f>
        <v>131</v>
      </c>
      <c r="BL672" s="80">
        <f t="shared" si="276"/>
        <v>93.951580937478766</v>
      </c>
      <c r="BM672" s="80">
        <f t="shared" si="277"/>
        <v>200.8372145158275</v>
      </c>
      <c r="BN672" s="80">
        <f t="shared" si="278"/>
        <v>318.99396248643694</v>
      </c>
      <c r="BO672" s="80">
        <f t="shared" si="279"/>
        <v>448.46386232113923</v>
      </c>
      <c r="BP672" s="80">
        <f t="shared" si="280"/>
        <v>587.5697782466741</v>
      </c>
      <c r="BQ672" s="80">
        <f t="shared" si="281"/>
        <v>735.7208673729541</v>
      </c>
      <c r="BR672" s="80">
        <f t="shared" si="282"/>
        <v>892.42523619006579</v>
      </c>
      <c r="BS672" s="80">
        <f t="shared" si="283"/>
        <v>1056.8018923011748</v>
      </c>
      <c r="BT672" s="80">
        <f t="shared" si="284"/>
        <v>1228.7861848997375</v>
      </c>
      <c r="BU672" s="80">
        <f t="shared" si="285"/>
        <v>1407.9767731943639</v>
      </c>
      <c r="BV672" s="80">
        <f>IFERROR(VLOOKUP($H672,'1. Set Program Names'!$B$2:$D$15,3,0)*V672,"NA")</f>
        <v>216.59381217627353</v>
      </c>
      <c r="BW672" s="80">
        <f>IFERROR(VLOOKUP($H672,'1. Set Program Names'!$B$2:$D$15,3,0)*W672,"NA")</f>
        <v>463.00549160311385</v>
      </c>
      <c r="BX672" s="80">
        <f>IFERROR(VLOOKUP($H672,'1. Set Program Names'!$B$2:$D$15,3,0)*X672,"NA")</f>
        <v>735.40133871861894</v>
      </c>
      <c r="BY672" s="80">
        <f>IFERROR(VLOOKUP($H672,'1. Set Program Names'!$B$2:$D$15,3,0)*Y672,"NA")</f>
        <v>1033.8782657427591</v>
      </c>
      <c r="BZ672" s="80">
        <f>IFERROR(VLOOKUP($H672,'1. Set Program Names'!$B$2:$D$15,3,0)*Z672,"NA")</f>
        <v>1354.5698424670916</v>
      </c>
      <c r="CA672" s="80">
        <f>IFERROR(VLOOKUP($H672,'1. Set Program Names'!$B$2:$D$15,3,0)*AA672,"NA")</f>
        <v>1696.1139532924497</v>
      </c>
      <c r="CB672" s="80">
        <f>IFERROR(VLOOKUP($H672,'1. Set Program Names'!$B$2:$D$15,3,0)*AB672,"NA")</f>
        <v>2057.3765982431673</v>
      </c>
      <c r="CC672" s="80">
        <f>IFERROR(VLOOKUP($H672,'1. Set Program Names'!$B$2:$D$15,3,0)*AC672,"NA")</f>
        <v>2436.3267577256979</v>
      </c>
      <c r="CD672" s="80">
        <f>IFERROR(VLOOKUP($H672,'1. Set Program Names'!$B$2:$D$15,3,0)*AD672,"NA")</f>
        <v>2832.8153872587259</v>
      </c>
      <c r="CE672" s="80">
        <f>IFERROR(VLOOKUP($H672,'1. Set Program Names'!$B$2:$D$15,3,0)*AE672,"NA")</f>
        <v>3245.9172450195856</v>
      </c>
    </row>
    <row r="673" spans="1:83" x14ac:dyDescent="0.25">
      <c r="A673" s="79" t="s">
        <v>113</v>
      </c>
      <c r="B673" s="79" t="s">
        <v>88</v>
      </c>
      <c r="C673" s="79" t="s">
        <v>176</v>
      </c>
      <c r="D673" s="79" t="s">
        <v>90</v>
      </c>
      <c r="E673" s="79" t="s">
        <v>91</v>
      </c>
      <c r="F673" s="79" t="s">
        <v>90</v>
      </c>
      <c r="G673" s="79" t="s">
        <v>92</v>
      </c>
      <c r="H673" s="79" t="s">
        <v>14</v>
      </c>
      <c r="I673" s="79" t="s">
        <v>162</v>
      </c>
      <c r="J673" s="79" t="s">
        <v>161</v>
      </c>
      <c r="K673" s="79" t="s">
        <v>159</v>
      </c>
      <c r="L673" s="79">
        <v>725.58416666666596</v>
      </c>
      <c r="M673" s="79">
        <v>8.6917804178563804E-2</v>
      </c>
      <c r="N673" s="79">
        <v>8.3795205289933394E-2</v>
      </c>
      <c r="O673" s="79">
        <v>179</v>
      </c>
      <c r="P673" s="79">
        <v>33.0790753554421</v>
      </c>
      <c r="Q673" s="79">
        <v>25.8305749966432</v>
      </c>
      <c r="R673" s="79">
        <v>310.45187974046598</v>
      </c>
      <c r="S673" s="79">
        <v>770.62146764617603</v>
      </c>
      <c r="T673" s="79">
        <v>15</v>
      </c>
      <c r="U673" s="79">
        <v>0.2</v>
      </c>
      <c r="V673" s="79">
        <f>tbl_Data_old[[#This Row],[2025 ]]*IFERROR(AVERAGEIFS('Participation Adjustment'!$C:$C,'Participation Adjustment'!$A:$A,$H673,'Participation Adjustment'!$B:$B,$I673),1)</f>
        <v>46889.923332145954</v>
      </c>
      <c r="W673" s="79">
        <f>tbl_Data_old[[#This Row],[2026 ]]*IFERROR(AVERAGEIFS('Participation Adjustment'!$C:$C,'Participation Adjustment'!$A:$A,$H673,'Participation Adjustment'!$B:$B,$I673),1)</f>
        <v>100235.05189503659</v>
      </c>
      <c r="X673" s="79">
        <f>tbl_Data_old[[#This Row],[2027 ]]*IFERROR(AVERAGEIFS('Participation Adjustment'!$C:$C,'Participation Adjustment'!$A:$A,$H673,'Participation Adjustment'!$B:$B,$I673),1)</f>
        <v>159205.43640835801</v>
      </c>
      <c r="Y673" s="79">
        <f>tbl_Data_old[[#This Row],[2028 ]]*IFERROR(AVERAGEIFS('Participation Adjustment'!$C:$C,'Participation Adjustment'!$A:$A,$H673,'Participation Adjustment'!$B:$B,$I673),1)</f>
        <v>223822.0571878395</v>
      </c>
      <c r="Z673" s="79">
        <f>tbl_Data_old[[#This Row],[2029 ]]*IFERROR(AVERAGEIFS('Participation Adjustment'!$C:$C,'Participation Adjustment'!$A:$A,$H673,'Participation Adjustment'!$B:$B,$I673),1)</f>
        <v>293247.87916668149</v>
      </c>
      <c r="AA673" s="79">
        <f>tbl_Data_old[[#This Row],[2030 ]]*IFERROR(AVERAGEIFS('Participation Adjustment'!$C:$C,'Participation Adjustment'!$A:$A,$H673,'Participation Adjustment'!$B:$B,$I673),1)</f>
        <v>367188.02090126253</v>
      </c>
      <c r="AB673" s="79">
        <f>tbl_Data_old[[#This Row],[2031 ]]*IFERROR(AVERAGEIFS('Participation Adjustment'!$C:$C,'Participation Adjustment'!$A:$A,$H673,'Participation Adjustment'!$B:$B,$I673),1)</f>
        <v>445396.98520316696</v>
      </c>
      <c r="AC673" s="79">
        <f>tbl_Data_old[[#This Row],[2032 ]]*IFERROR(AVERAGEIFS('Participation Adjustment'!$C:$C,'Participation Adjustment'!$A:$A,$H673,'Participation Adjustment'!$B:$B,$I673),1)</f>
        <v>527435.08105781255</v>
      </c>
      <c r="AD673" s="79">
        <f>tbl_Data_old[[#This Row],[2033 ]]*IFERROR(AVERAGEIFS('Participation Adjustment'!$C:$C,'Participation Adjustment'!$A:$A,$H673,'Participation Adjustment'!$B:$B,$I673),1)</f>
        <v>613270.04214959545</v>
      </c>
      <c r="AE673" s="79">
        <f>tbl_Data_old[[#This Row],[2034 ]]*IFERROR(AVERAGEIFS('Participation Adjustment'!$C:$C,'Participation Adjustment'!$A:$A,$H673,'Participation Adjustment'!$B:$B,$I673),1)</f>
        <v>702701.56488861598</v>
      </c>
      <c r="AF673" s="77" t="str">
        <f t="shared" si="275"/>
        <v>NonResidential</v>
      </c>
      <c r="AG673" s="77" t="str">
        <f>tbl_Data[[#This Row],[All_Meas_Name_Append]]</f>
        <v>LED High Bay_LF Baseline</v>
      </c>
      <c r="AH673" s="77">
        <f>AVERAGEIFS('3. Incentive Adjustment'!G:G,'3. Incentive Adjustment'!A:A,tbl_Data[[#This Row],[Trimmed Sector]],'3. Incentive Adjustment'!B:B,tbl_Data[[#This Row],[Trimmed Measure Name]])</f>
        <v>0.93017466414143679</v>
      </c>
      <c r="AI673" s="77">
        <f>$AH673*tbl_Data[[#This Row],[2025 ]]</f>
        <v>43615.81868709658</v>
      </c>
      <c r="AJ673" s="77">
        <f>$AH673*tbl_Data[[#This Row],[2026 ]]</f>
        <v>93236.105731665157</v>
      </c>
      <c r="AK673" s="77">
        <f>$AH673*tbl_Data[[#This Row],[2027 ]]</f>
        <v>148088.86334063529</v>
      </c>
      <c r="AL673" s="77">
        <f>$AH673*tbl_Data[[#This Row],[2028 ]]</f>
        <v>208193.60687214407</v>
      </c>
      <c r="AM673" s="77">
        <f>$AH673*tbl_Data[[#This Row],[2029 ]]</f>
        <v>272771.74751405662</v>
      </c>
      <c r="AN673" s="77">
        <f>$AH673*tbl_Data[[#This Row],[2030 ]]</f>
        <v>341548.99401859072</v>
      </c>
      <c r="AO673" s="77">
        <f>$AH673*tbl_Data[[#This Row],[2031 ]]</f>
        <v>414296.99112096429</v>
      </c>
      <c r="AP673" s="77">
        <f>$AH673*tbl_Data[[#This Row],[2032 ]]</f>
        <v>490606.74937936227</v>
      </c>
      <c r="AQ673" s="77">
        <f>$AH673*tbl_Data[[#This Row],[2033 ]]</f>
        <v>570448.25548450474</v>
      </c>
      <c r="AR673" s="77">
        <f>$AH673*tbl_Data[[#This Row],[2034 ]]</f>
        <v>653635.19211193046</v>
      </c>
      <c r="AS673" s="77">
        <f>SUM(tbl_Data[[#This Row],[Adjusted 2025]:[Adjusted 2034]])</f>
        <v>3236442.3242609501</v>
      </c>
      <c r="AT673" s="80">
        <f>AVERAGEIFS('3. Incentive Adjustment'!F:F,'3. Incentive Adjustment'!A:A,tbl_Data[[#This Row],[Trimmed Sector]],'3. Incentive Adjustment'!B:B,tbl_Data[[#This Row],[Trimmed Measure Name]])</f>
        <v>23.858858929800434</v>
      </c>
      <c r="AU673" s="80">
        <f>IFERROR(VLOOKUP(tbl_Data[[#This Row],[All_Meas_Name_Append]],'IRA Tax Credits'!$A$3:$D$46,4,0),0)</f>
        <v>0</v>
      </c>
      <c r="AV673" s="81">
        <f>tbl_Data[[#This Row],[Adj. per unit Incentive ($)]]/tbl_Data[[#This Row],[kWh Savings]]*tbl_Data[[#This Row],[Sum of Annuals]]</f>
        <v>106421.59021153417</v>
      </c>
      <c r="AW673" s="81">
        <f>IFERROR(VLOOKUP(tbl_Data[[#This Row],[Column1]],'1. Set Program Names'!$B$2:$D$15,3,0)*tbl_Data[[#This Row],[Sum of Annuals]],"")</f>
        <v>115216.35947926943</v>
      </c>
      <c r="AX673" s="81">
        <f>tbl_Data[[#This Row],[per unit IRA tax ($)]]/tbl_Data[[#This Row],[kWh Savings]]*tbl_Data[[#This Row],[Sum of Annuals]]</f>
        <v>0</v>
      </c>
      <c r="AY673" s="81">
        <f>tbl_Data[[#This Row],[Avoided Costs ($/unit)]]/tbl_Data[[#This Row],[kWh Savings]]*tbl_Data[[#This Row],[Sum of Annuals]]</f>
        <v>1384759.5487843689</v>
      </c>
      <c r="AZ673" s="81">
        <f>tbl_Data[[#This Row],[Lost Revenue ($/unit)]]/tbl_Data[[#This Row],[kWh Savings]]*tbl_Data[[#This Row],[Sum of Annuals]]</f>
        <v>3437329.6006884254</v>
      </c>
      <c r="BA673" s="81">
        <f>tbl_Data[[#This Row],[Incremental Cost ($/unit)]]/tbl_Data[[#This Row],[kWh Savings]]*tbl_Data[[#This Row],[Sum of Annuals]]</f>
        <v>798423.12257738621</v>
      </c>
      <c r="BB673" s="77">
        <f>ROUNDUP(tbl_Data[[#This Row],[Adjusted 2025]]/$L673,0)</f>
        <v>61</v>
      </c>
      <c r="BC673" s="77">
        <f>ROUNDUP(tbl_Data[[#This Row],[Adjusted 2026]]/$L673,0)</f>
        <v>129</v>
      </c>
      <c r="BD673" s="77">
        <f>ROUNDUP(tbl_Data[[#This Row],[Adjusted 2027]]/$L673,0)</f>
        <v>205</v>
      </c>
      <c r="BE673" s="77">
        <f>ROUNDUP(tbl_Data[[#This Row],[Adjusted 2028]]/$L673,0)</f>
        <v>287</v>
      </c>
      <c r="BF673" s="77">
        <f>ROUNDUP(tbl_Data[[#This Row],[Adjusted 2029]]/$L673,0)</f>
        <v>376</v>
      </c>
      <c r="BG673" s="77">
        <f>ROUNDUP(tbl_Data[[#This Row],[Adjusted 2030]]/$L673,0)</f>
        <v>471</v>
      </c>
      <c r="BH673" s="77">
        <f>ROUNDUP(tbl_Data[[#This Row],[Adjusted 2031]]/$L673,0)</f>
        <v>571</v>
      </c>
      <c r="BI673" s="77">
        <f>ROUNDUP(tbl_Data[[#This Row],[Adjusted 2032]]/$L673,0)</f>
        <v>677</v>
      </c>
      <c r="BJ673" s="77">
        <f>ROUNDUP(tbl_Data[[#This Row],[Adjusted 2033]]/$L673,0)</f>
        <v>787</v>
      </c>
      <c r="BK673" s="77">
        <f>ROUNDUP(tbl_Data[[#This Row],[Adjusted 2034]]/$L673,0)</f>
        <v>901</v>
      </c>
      <c r="BL673" s="80">
        <f t="shared" si="276"/>
        <v>1541.8474071041553</v>
      </c>
      <c r="BM673" s="80">
        <f t="shared" si="277"/>
        <v>3295.9566551340668</v>
      </c>
      <c r="BN673" s="80">
        <f t="shared" si="278"/>
        <v>5235.0371226737961</v>
      </c>
      <c r="BO673" s="80">
        <f t="shared" si="279"/>
        <v>7359.7786902586204</v>
      </c>
      <c r="BP673" s="80">
        <f t="shared" si="280"/>
        <v>9642.6577396847242</v>
      </c>
      <c r="BQ673" s="80">
        <f t="shared" si="281"/>
        <v>12073.977897894929</v>
      </c>
      <c r="BR673" s="80">
        <f t="shared" si="282"/>
        <v>14645.666658548615</v>
      </c>
      <c r="BS673" s="80">
        <f t="shared" si="283"/>
        <v>17343.265980288827</v>
      </c>
      <c r="BT673" s="80">
        <f t="shared" si="284"/>
        <v>20165.714873215918</v>
      </c>
      <c r="BU673" s="80">
        <f t="shared" si="285"/>
        <v>23106.426899375343</v>
      </c>
      <c r="BV673" s="80">
        <f>IFERROR(VLOOKUP($H673,'1. Set Program Names'!$B$2:$D$15,3,0)*V673,"NA")</f>
        <v>1669.2669670316411</v>
      </c>
      <c r="BW673" s="80">
        <f>IFERROR(VLOOKUP($H673,'1. Set Program Names'!$B$2:$D$15,3,0)*W673,"NA")</f>
        <v>3568.3372711419916</v>
      </c>
      <c r="BX673" s="80">
        <f>IFERROR(VLOOKUP($H673,'1. Set Program Names'!$B$2:$D$15,3,0)*X673,"NA")</f>
        <v>5667.6649711247474</v>
      </c>
      <c r="BY673" s="80">
        <f>IFERROR(VLOOKUP($H673,'1. Set Program Names'!$B$2:$D$15,3,0)*Y673,"NA")</f>
        <v>7967.996959819905</v>
      </c>
      <c r="BZ673" s="80">
        <f>IFERROR(VLOOKUP($H673,'1. Set Program Names'!$B$2:$D$15,3,0)*Z673,"NA")</f>
        <v>10439.535044183764</v>
      </c>
      <c r="CA673" s="80">
        <f>IFERROR(VLOOKUP($H673,'1. Set Program Names'!$B$2:$D$15,3,0)*AA673,"NA")</f>
        <v>13071.781534775862</v>
      </c>
      <c r="CB673" s="80">
        <f>IFERROR(VLOOKUP($H673,'1. Set Program Names'!$B$2:$D$15,3,0)*AB673,"NA")</f>
        <v>15855.996806576588</v>
      </c>
      <c r="CC673" s="80">
        <f>IFERROR(VLOOKUP($H673,'1. Set Program Names'!$B$2:$D$15,3,0)*AC673,"NA")</f>
        <v>18776.527993592881</v>
      </c>
      <c r="CD673" s="80">
        <f>IFERROR(VLOOKUP($H673,'1. Set Program Names'!$B$2:$D$15,3,0)*AD673,"NA")</f>
        <v>21832.226424831966</v>
      </c>
      <c r="CE673" s="80">
        <f>IFERROR(VLOOKUP($H673,'1. Set Program Names'!$B$2:$D$15,3,0)*AE673,"NA")</f>
        <v>25015.961353595263</v>
      </c>
    </row>
    <row r="674" spans="1:83" x14ac:dyDescent="0.25">
      <c r="A674" s="79" t="s">
        <v>113</v>
      </c>
      <c r="B674" s="79" t="s">
        <v>88</v>
      </c>
      <c r="C674" s="79" t="s">
        <v>176</v>
      </c>
      <c r="D674" s="79" t="s">
        <v>90</v>
      </c>
      <c r="E674" s="79" t="s">
        <v>91</v>
      </c>
      <c r="F674" s="79" t="s">
        <v>90</v>
      </c>
      <c r="G674" s="79" t="s">
        <v>92</v>
      </c>
      <c r="H674" s="79" t="s">
        <v>14</v>
      </c>
      <c r="I674" s="79" t="s">
        <v>165</v>
      </c>
      <c r="J674" s="79" t="s">
        <v>161</v>
      </c>
      <c r="K674" s="79" t="s">
        <v>166</v>
      </c>
      <c r="L674" s="79">
        <v>565.38999999999896</v>
      </c>
      <c r="M674" s="79">
        <v>6.7728127941350899E-2</v>
      </c>
      <c r="N674" s="79">
        <v>6.5294935157718198E-2</v>
      </c>
      <c r="O674" s="79">
        <v>129</v>
      </c>
      <c r="P674" s="79">
        <v>15.293574707506</v>
      </c>
      <c r="Q674" s="79">
        <v>20.127711529930998</v>
      </c>
      <c r="R674" s="79">
        <v>190.6779313312</v>
      </c>
      <c r="S674" s="79">
        <v>454.767236260907</v>
      </c>
      <c r="T674" s="79">
        <v>10</v>
      </c>
      <c r="U674" s="79">
        <v>0.2</v>
      </c>
      <c r="V674" s="79">
        <f>tbl_Data_old[[#This Row],[2025 ]]*IFERROR(AVERAGEIFS('Participation Adjustment'!$C:$C,'Participation Adjustment'!$A:$A,$H674,'Participation Adjustment'!$B:$B,$I674),1)</f>
        <v>374.02055050201699</v>
      </c>
      <c r="W674" s="79">
        <f>tbl_Data_old[[#This Row],[2026 ]]*IFERROR(AVERAGEIFS('Participation Adjustment'!$C:$C,'Participation Adjustment'!$A:$A,$H674,'Participation Adjustment'!$B:$B,$I674),1)</f>
        <v>890.45469529712898</v>
      </c>
      <c r="X674" s="79">
        <f>tbl_Data_old[[#This Row],[2027 ]]*IFERROR(AVERAGEIFS('Participation Adjustment'!$C:$C,'Participation Adjustment'!$A:$A,$H674,'Participation Adjustment'!$B:$B,$I674),1)</f>
        <v>1581.34257616063</v>
      </c>
      <c r="Y674" s="79">
        <f>tbl_Data_old[[#This Row],[2028 ]]*IFERROR(AVERAGEIFS('Participation Adjustment'!$C:$C,'Participation Adjustment'!$A:$A,$H674,'Participation Adjustment'!$B:$B,$I674),1)</f>
        <v>2482.58278421659</v>
      </c>
      <c r="Z674" s="79">
        <f>tbl_Data_old[[#This Row],[2029 ]]*IFERROR(AVERAGEIFS('Participation Adjustment'!$C:$C,'Participation Adjustment'!$A:$A,$H674,'Participation Adjustment'!$B:$B,$I674),1)</f>
        <v>3607.7100415034702</v>
      </c>
      <c r="AA674" s="79">
        <f>tbl_Data_old[[#This Row],[2030 ]]*IFERROR(AVERAGEIFS('Participation Adjustment'!$C:$C,'Participation Adjustment'!$A:$A,$H674,'Participation Adjustment'!$B:$B,$I674),1)</f>
        <v>4943.2590218190398</v>
      </c>
      <c r="AB674" s="79">
        <f>tbl_Data_old[[#This Row],[2031 ]]*IFERROR(AVERAGEIFS('Participation Adjustment'!$C:$C,'Participation Adjustment'!$A:$A,$H674,'Participation Adjustment'!$B:$B,$I674),1)</f>
        <v>6431.7165630994004</v>
      </c>
      <c r="AC674" s="79">
        <f>tbl_Data_old[[#This Row],[2032 ]]*IFERROR(AVERAGEIFS('Participation Adjustment'!$C:$C,'Participation Adjustment'!$A:$A,$H674,'Participation Adjustment'!$B:$B,$I674),1)</f>
        <v>7966.8525529066101</v>
      </c>
      <c r="AD674" s="79">
        <f>tbl_Data_old[[#This Row],[2033 ]]*IFERROR(AVERAGEIFS('Participation Adjustment'!$C:$C,'Participation Adjustment'!$A:$A,$H674,'Participation Adjustment'!$B:$B,$I674),1)</f>
        <v>9420.3433428737699</v>
      </c>
      <c r="AE674" s="79">
        <f>tbl_Data_old[[#This Row],[2034 ]]*IFERROR(AVERAGEIFS('Participation Adjustment'!$C:$C,'Participation Adjustment'!$A:$A,$H674,'Participation Adjustment'!$B:$B,$I674),1)</f>
        <v>10678.1656647411</v>
      </c>
      <c r="AF674" s="77" t="str">
        <f t="shared" si="275"/>
        <v>NonResidential</v>
      </c>
      <c r="AG674" s="77" t="str">
        <f>tbl_Data[[#This Row],[All_Meas_Name_Append]]</f>
        <v>Occupancy Sensors_ Ceiling Mounted</v>
      </c>
      <c r="AH674" s="77">
        <f>AVERAGEIFS('3. Incentive Adjustment'!G:G,'3. Incentive Adjustment'!A:A,tbl_Data[[#This Row],[Trimmed Sector]],'3. Incentive Adjustment'!B:B,tbl_Data[[#This Row],[Trimmed Measure Name]])</f>
        <v>0.99348124042467356</v>
      </c>
      <c r="AI674" s="77">
        <f>$AH674*tbl_Data[[#This Row],[2025 ]]</f>
        <v>371.5824004570631</v>
      </c>
      <c r="AJ674" s="77">
        <f>$AH674*tbl_Data[[#This Row],[2026 ]]</f>
        <v>884.65003522576649</v>
      </c>
      <c r="AK674" s="77">
        <f>$AH674*tbl_Data[[#This Row],[2027 ]]</f>
        <v>1571.0341841004115</v>
      </c>
      <c r="AL674" s="77">
        <f>$AH674*tbl_Data[[#This Row],[2028 ]]</f>
        <v>2466.3994239204376</v>
      </c>
      <c r="AM674" s="77">
        <f>$AH674*tbl_Data[[#This Row],[2029 ]]</f>
        <v>3584.1922471254179</v>
      </c>
      <c r="AN674" s="77">
        <f>$AH674*tbl_Data[[#This Row],[2030 ]]</f>
        <v>4911.0351047372378</v>
      </c>
      <c r="AO674" s="77">
        <f>$AH674*tbl_Data[[#This Row],[2031 ]]</f>
        <v>6389.7897491679105</v>
      </c>
      <c r="AP674" s="77">
        <f>$AH674*tbl_Data[[#This Row],[2032 ]]</f>
        <v>7914.9185565421358</v>
      </c>
      <c r="AQ674" s="77">
        <f>$AH674*tbl_Data[[#This Row],[2033 ]]</f>
        <v>9358.9343895045495</v>
      </c>
      <c r="AR674" s="77">
        <f>$AH674*tbl_Data[[#This Row],[2034 ]]</f>
        <v>10608.557270067147</v>
      </c>
      <c r="AS674" s="77">
        <f>SUM(tbl_Data[[#This Row],[Adjusted 2025]:[Adjusted 2034]])</f>
        <v>48061.093360848077</v>
      </c>
      <c r="AT674" s="80">
        <f>AVERAGEIFS('3. Incentive Adjustment'!F:F,'3. Incentive Adjustment'!A:A,tbl_Data[[#This Row],[Trimmed Sector]],'3. Incentive Adjustment'!B:B,tbl_Data[[#This Row],[Trimmed Measure Name]])</f>
        <v>19.547634357270656</v>
      </c>
      <c r="AU674" s="80">
        <f>IFERROR(VLOOKUP(tbl_Data[[#This Row],[All_Meas_Name_Append]],'IRA Tax Credits'!$A$3:$D$46,4,0),0)</f>
        <v>0</v>
      </c>
      <c r="AV674" s="81">
        <f>tbl_Data[[#This Row],[Adj. per unit Incentive ($)]]/tbl_Data[[#This Row],[kWh Savings]]*tbl_Data[[#This Row],[Sum of Annuals]]</f>
        <v>1661.6506832956159</v>
      </c>
      <c r="AW674" s="81">
        <f>IFERROR(VLOOKUP(tbl_Data[[#This Row],[Column1]],'1. Set Program Names'!$B$2:$D$15,3,0)*tbl_Data[[#This Row],[Sum of Annuals]],"")</f>
        <v>1710.9602627924744</v>
      </c>
      <c r="AX674" s="81">
        <f>tbl_Data[[#This Row],[per unit IRA tax ($)]]/tbl_Data[[#This Row],[kWh Savings]]*tbl_Data[[#This Row],[Sum of Annuals]]</f>
        <v>0</v>
      </c>
      <c r="AY674" s="81">
        <f>tbl_Data[[#This Row],[Avoided Costs ($/unit)]]/tbl_Data[[#This Row],[kWh Savings]]*tbl_Data[[#This Row],[Sum of Annuals]]</f>
        <v>16208.616812398874</v>
      </c>
      <c r="AZ674" s="81">
        <f>tbl_Data[[#This Row],[Lost Revenue ($/unit)]]/tbl_Data[[#This Row],[kWh Savings]]*tbl_Data[[#This Row],[Sum of Annuals]]</f>
        <v>38657.582552557258</v>
      </c>
      <c r="BA674" s="81">
        <f>tbl_Data[[#This Row],[Incremental Cost ($/unit)]]/tbl_Data[[#This Row],[kWh Savings]]*tbl_Data[[#This Row],[Sum of Annuals]]</f>
        <v>10965.671560426277</v>
      </c>
      <c r="BB674" s="77">
        <f>ROUNDUP(tbl_Data[[#This Row],[Adjusted 2025]]/$L674,0)</f>
        <v>1</v>
      </c>
      <c r="BC674" s="77">
        <f>ROUNDUP(tbl_Data[[#This Row],[Adjusted 2026]]/$L674,0)</f>
        <v>2</v>
      </c>
      <c r="BD674" s="77">
        <f>ROUNDUP(tbl_Data[[#This Row],[Adjusted 2027]]/$L674,0)</f>
        <v>3</v>
      </c>
      <c r="BE674" s="77">
        <f>ROUNDUP(tbl_Data[[#This Row],[Adjusted 2028]]/$L674,0)</f>
        <v>5</v>
      </c>
      <c r="BF674" s="77">
        <f>ROUNDUP(tbl_Data[[#This Row],[Adjusted 2029]]/$L674,0)</f>
        <v>7</v>
      </c>
      <c r="BG674" s="77">
        <f>ROUNDUP(tbl_Data[[#This Row],[Adjusted 2030]]/$L674,0)</f>
        <v>9</v>
      </c>
      <c r="BH674" s="77">
        <f>ROUNDUP(tbl_Data[[#This Row],[Adjusted 2031]]/$L674,0)</f>
        <v>12</v>
      </c>
      <c r="BI674" s="77">
        <f>ROUNDUP(tbl_Data[[#This Row],[Adjusted 2032]]/$L674,0)</f>
        <v>14</v>
      </c>
      <c r="BJ674" s="77">
        <f>ROUNDUP(tbl_Data[[#This Row],[Adjusted 2033]]/$L674,0)</f>
        <v>17</v>
      </c>
      <c r="BK674" s="77">
        <f>ROUNDUP(tbl_Data[[#This Row],[Adjusted 2034]]/$L674,0)</f>
        <v>19</v>
      </c>
      <c r="BL674" s="80">
        <f t="shared" si="276"/>
        <v>12.931280997751154</v>
      </c>
      <c r="BM674" s="80">
        <f t="shared" si="277"/>
        <v>30.786329428152538</v>
      </c>
      <c r="BN674" s="80">
        <f t="shared" si="278"/>
        <v>54.672892114067238</v>
      </c>
      <c r="BO674" s="80">
        <f t="shared" si="279"/>
        <v>85.832116817631984</v>
      </c>
      <c r="BP674" s="80">
        <f t="shared" si="280"/>
        <v>124.73194920031077</v>
      </c>
      <c r="BQ674" s="80">
        <f t="shared" si="281"/>
        <v>170.90684287270412</v>
      </c>
      <c r="BR674" s="80">
        <f t="shared" si="282"/>
        <v>222.36835399470951</v>
      </c>
      <c r="BS674" s="80">
        <f t="shared" si="283"/>
        <v>275.44371262757915</v>
      </c>
      <c r="BT674" s="80">
        <f t="shared" si="284"/>
        <v>325.69629315418655</v>
      </c>
      <c r="BU674" s="80">
        <f t="shared" si="285"/>
        <v>369.18388726493458</v>
      </c>
      <c r="BV674" s="80">
        <f>IFERROR(VLOOKUP($H674,'1. Set Program Names'!$B$2:$D$15,3,0)*V674,"NA")</f>
        <v>13.315017504325557</v>
      </c>
      <c r="BW674" s="80">
        <f>IFERROR(VLOOKUP($H674,'1. Set Program Names'!$B$2:$D$15,3,0)*W674,"NA")</f>
        <v>31.699915522760062</v>
      </c>
      <c r="BX674" s="80">
        <f>IFERROR(VLOOKUP($H674,'1. Set Program Names'!$B$2:$D$15,3,0)*X674,"NA")</f>
        <v>56.295313328780601</v>
      </c>
      <c r="BY674" s="80">
        <f>IFERROR(VLOOKUP($H674,'1. Set Program Names'!$B$2:$D$15,3,0)*Y674,"NA")</f>
        <v>88.379189815675403</v>
      </c>
      <c r="BZ674" s="80">
        <f>IFERROR(VLOOKUP($H674,'1. Set Program Names'!$B$2:$D$15,3,0)*Z674,"NA")</f>
        <v>128.43337695929822</v>
      </c>
      <c r="CA674" s="80">
        <f>IFERROR(VLOOKUP($H674,'1. Set Program Names'!$B$2:$D$15,3,0)*AA674,"NA")</f>
        <v>175.97851325439615</v>
      </c>
      <c r="CB674" s="80">
        <f>IFERROR(VLOOKUP($H674,'1. Set Program Names'!$B$2:$D$15,3,0)*AB674,"NA")</f>
        <v>228.96714767566573</v>
      </c>
      <c r="CC674" s="80">
        <f>IFERROR(VLOOKUP($H674,'1. Set Program Names'!$B$2:$D$15,3,0)*AC674,"NA")</f>
        <v>283.61752062540796</v>
      </c>
      <c r="CD674" s="80">
        <f>IFERROR(VLOOKUP($H674,'1. Set Program Names'!$B$2:$D$15,3,0)*AD674,"NA")</f>
        <v>335.36134936640212</v>
      </c>
      <c r="CE674" s="80">
        <f>IFERROR(VLOOKUP($H674,'1. Set Program Names'!$B$2:$D$15,3,0)*AE674,"NA")</f>
        <v>380.13944033096425</v>
      </c>
    </row>
    <row r="675" spans="1:83" x14ac:dyDescent="0.25">
      <c r="A675" s="79" t="s">
        <v>113</v>
      </c>
      <c r="B675" s="79" t="s">
        <v>88</v>
      </c>
      <c r="C675" s="79" t="s">
        <v>176</v>
      </c>
      <c r="D675" s="79" t="s">
        <v>90</v>
      </c>
      <c r="E675" s="79" t="s">
        <v>91</v>
      </c>
      <c r="F675" s="79" t="s">
        <v>90</v>
      </c>
      <c r="G675" s="79" t="s">
        <v>92</v>
      </c>
      <c r="H675" s="79" t="s">
        <v>14</v>
      </c>
      <c r="I675" s="79" t="s">
        <v>155</v>
      </c>
      <c r="J675" s="79" t="s">
        <v>129</v>
      </c>
      <c r="K675" s="79" t="s">
        <v>102</v>
      </c>
      <c r="L675" s="79">
        <v>47228.7699999998</v>
      </c>
      <c r="M675" s="79">
        <v>5.6581998938837703</v>
      </c>
      <c r="N675" s="79">
        <v>5.4505995734426298</v>
      </c>
      <c r="O675" s="79">
        <v>11124</v>
      </c>
      <c r="P675" s="79">
        <v>2435.8852359673701</v>
      </c>
      <c r="Q675" s="79">
        <v>1681.32980504335</v>
      </c>
      <c r="R675" s="79">
        <v>16918.542729362998</v>
      </c>
      <c r="S675" s="79">
        <v>40712.4661763408</v>
      </c>
      <c r="T675" s="79">
        <v>11</v>
      </c>
      <c r="U675" s="79">
        <v>0.94999999999999896</v>
      </c>
      <c r="V675" s="79">
        <f>tbl_Data_old[[#This Row],[2025 ]]*IFERROR(AVERAGEIFS('Participation Adjustment'!$C:$C,'Participation Adjustment'!$A:$A,$H675,'Participation Adjustment'!$B:$B,$I675),1)</f>
        <v>1522.294415434425</v>
      </c>
      <c r="W675" s="79">
        <f>tbl_Data_old[[#This Row],[2026 ]]*IFERROR(AVERAGEIFS('Participation Adjustment'!$C:$C,'Participation Adjustment'!$A:$A,$H675,'Participation Adjustment'!$B:$B,$I675),1)</f>
        <v>2794.7604327784252</v>
      </c>
      <c r="X675" s="79">
        <f>tbl_Data_old[[#This Row],[2027 ]]*IFERROR(AVERAGEIFS('Participation Adjustment'!$C:$C,'Participation Adjustment'!$A:$A,$H675,'Participation Adjustment'!$B:$B,$I675),1)</f>
        <v>3848.6824241766049</v>
      </c>
      <c r="Y675" s="79">
        <f>tbl_Data_old[[#This Row],[2028 ]]*IFERROR(AVERAGEIFS('Participation Adjustment'!$C:$C,'Participation Adjustment'!$A:$A,$H675,'Participation Adjustment'!$B:$B,$I675),1)</f>
        <v>4727.4446053474248</v>
      </c>
      <c r="Z675" s="79">
        <f>tbl_Data_old[[#This Row],[2029 ]]*IFERROR(AVERAGEIFS('Participation Adjustment'!$C:$C,'Participation Adjustment'!$A:$A,$H675,'Participation Adjustment'!$B:$B,$I675),1)</f>
        <v>5457.6077570149</v>
      </c>
      <c r="AA675" s="79">
        <f>tbl_Data_old[[#This Row],[2030 ]]*IFERROR(AVERAGEIFS('Participation Adjustment'!$C:$C,'Participation Adjustment'!$A:$A,$H675,'Participation Adjustment'!$B:$B,$I675),1)</f>
        <v>6067.3624294567999</v>
      </c>
      <c r="AB675" s="79">
        <f>tbl_Data_old[[#This Row],[2031 ]]*IFERROR(AVERAGEIFS('Participation Adjustment'!$C:$C,'Participation Adjustment'!$A:$A,$H675,'Participation Adjustment'!$B:$B,$I675),1)</f>
        <v>6580.7513896760001</v>
      </c>
      <c r="AC675" s="79">
        <f>tbl_Data_old[[#This Row],[2032 ]]*IFERROR(AVERAGEIFS('Participation Adjustment'!$C:$C,'Participation Adjustment'!$A:$A,$H675,'Participation Adjustment'!$B:$B,$I675),1)</f>
        <v>7014.31386700845</v>
      </c>
      <c r="AD675" s="79">
        <f>tbl_Data_old[[#This Row],[2033 ]]*IFERROR(AVERAGEIFS('Participation Adjustment'!$C:$C,'Participation Adjustment'!$A:$A,$H675,'Participation Adjustment'!$B:$B,$I675),1)</f>
        <v>7386.09401889325</v>
      </c>
      <c r="AE675" s="79">
        <f>tbl_Data_old[[#This Row],[2034 ]]*IFERROR(AVERAGEIFS('Participation Adjustment'!$C:$C,'Participation Adjustment'!$A:$A,$H675,'Participation Adjustment'!$B:$B,$I675),1)</f>
        <v>7708.4621765335996</v>
      </c>
      <c r="AF675" s="77" t="str">
        <f t="shared" si="275"/>
        <v>NonResidential</v>
      </c>
      <c r="AG675" s="77" t="str">
        <f>tbl_Data[[#This Row],[All_Meas_Name_Append]]</f>
        <v>Smart thermostat</v>
      </c>
      <c r="AH675" s="77">
        <f>AVERAGEIFS('3. Incentive Adjustment'!G:G,'3. Incentive Adjustment'!A:A,tbl_Data[[#This Row],[Trimmed Sector]],'3. Incentive Adjustment'!B:B,tbl_Data[[#This Row],[Trimmed Measure Name]])</f>
        <v>0.87546479230069263</v>
      </c>
      <c r="AI675" s="77">
        <f>$AH675*tbl_Data[[#This Row],[2025 ]]</f>
        <v>1332.7151642288031</v>
      </c>
      <c r="AJ675" s="77">
        <f>$AH675*tbl_Data[[#This Row],[2026 ]]</f>
        <v>2446.7143618125579</v>
      </c>
      <c r="AK675" s="77">
        <f>$AH675*tbl_Data[[#This Row],[2027 ]]</f>
        <v>3369.3859591130977</v>
      </c>
      <c r="AL675" s="77">
        <f>$AH675*tbl_Data[[#This Row],[2028 ]]</f>
        <v>4138.7113095335135</v>
      </c>
      <c r="AM675" s="77">
        <f>$AH675*tbl_Data[[#This Row],[2029 ]]</f>
        <v>4777.9434414536981</v>
      </c>
      <c r="AN675" s="77">
        <f>$AH675*tbl_Data[[#This Row],[2030 ]]</f>
        <v>5311.7621891174231</v>
      </c>
      <c r="AO675" s="77">
        <f>$AH675*tbl_Data[[#This Row],[2031 ]]</f>
        <v>5761.2161485451943</v>
      </c>
      <c r="AP675" s="77">
        <f>$AH675*tbl_Data[[#This Row],[2032 ]]</f>
        <v>6140.7848327124211</v>
      </c>
      <c r="AQ675" s="77">
        <f>$AH675*tbl_Data[[#This Row],[2033 ]]</f>
        <v>6466.2652661637676</v>
      </c>
      <c r="AR675" s="77">
        <f>$AH675*tbl_Data[[#This Row],[2034 ]]</f>
        <v>6748.4872383367328</v>
      </c>
      <c r="AS675" s="77">
        <f>SUM(tbl_Data[[#This Row],[Adjusted 2025]:[Adjusted 2034]])</f>
        <v>46493.985911017211</v>
      </c>
      <c r="AT675" s="80">
        <f>AVERAGEIFS('3. Incentive Adjustment'!F:F,'3. Incentive Adjustment'!A:A,tbl_Data[[#This Row],[Trimmed Sector]],'3. Incentive Adjustment'!B:B,tbl_Data[[#This Row],[Trimmed Measure Name]])</f>
        <v>50</v>
      </c>
      <c r="AU675" s="80">
        <f>IFERROR(VLOOKUP(tbl_Data[[#This Row],[All_Meas_Name_Append]],'IRA Tax Credits'!$A$3:$D$46,4,0),0)</f>
        <v>0</v>
      </c>
      <c r="AV675" s="81">
        <f>tbl_Data[[#This Row],[Adj. per unit Incentive ($)]]/tbl_Data[[#This Row],[kWh Savings]]*tbl_Data[[#This Row],[Sum of Annuals]]</f>
        <v>49.222101180083037</v>
      </c>
      <c r="AW675" s="81">
        <f>IFERROR(VLOOKUP(tbl_Data[[#This Row],[Column1]],'1. Set Program Names'!$B$2:$D$15,3,0)*tbl_Data[[#This Row],[Sum of Annuals]],"")</f>
        <v>1655.1717156186621</v>
      </c>
      <c r="AX675" s="81">
        <f>tbl_Data[[#This Row],[per unit IRA tax ($)]]/tbl_Data[[#This Row],[kWh Savings]]*tbl_Data[[#This Row],[Sum of Annuals]]</f>
        <v>0</v>
      </c>
      <c r="AY675" s="81">
        <f>tbl_Data[[#This Row],[Avoided Costs ($/unit)]]/tbl_Data[[#This Row],[kWh Savings]]*tbl_Data[[#This Row],[Sum of Annuals]]</f>
        <v>16655.324440885273</v>
      </c>
      <c r="AZ675" s="81">
        <f>tbl_Data[[#This Row],[Lost Revenue ($/unit)]]/tbl_Data[[#This Row],[kWh Savings]]*tbl_Data[[#This Row],[Sum of Annuals]]</f>
        <v>40079.062588451103</v>
      </c>
      <c r="BA675" s="81">
        <f>tbl_Data[[#This Row],[Incremental Cost ($/unit)]]/tbl_Data[[#This Row],[kWh Savings]]*tbl_Data[[#This Row],[Sum of Annuals]]</f>
        <v>10950.933070544874</v>
      </c>
      <c r="BB675" s="77">
        <f>ROUNDUP(tbl_Data[[#This Row],[Adjusted 2025]]/$L675,0)</f>
        <v>1</v>
      </c>
      <c r="BC675" s="77">
        <f>ROUNDUP(tbl_Data[[#This Row],[Adjusted 2026]]/$L675,0)</f>
        <v>1</v>
      </c>
      <c r="BD675" s="77">
        <f>ROUNDUP(tbl_Data[[#This Row],[Adjusted 2027]]/$L675,0)</f>
        <v>1</v>
      </c>
      <c r="BE675" s="77">
        <f>ROUNDUP(tbl_Data[[#This Row],[Adjusted 2028]]/$L675,0)</f>
        <v>1</v>
      </c>
      <c r="BF675" s="77">
        <f>ROUNDUP(tbl_Data[[#This Row],[Adjusted 2029]]/$L675,0)</f>
        <v>1</v>
      </c>
      <c r="BG675" s="77">
        <f>ROUNDUP(tbl_Data[[#This Row],[Adjusted 2030]]/$L675,0)</f>
        <v>1</v>
      </c>
      <c r="BH675" s="77">
        <f>ROUNDUP(tbl_Data[[#This Row],[Adjusted 2031]]/$L675,0)</f>
        <v>1</v>
      </c>
      <c r="BI675" s="77">
        <f>ROUNDUP(tbl_Data[[#This Row],[Adjusted 2032]]/$L675,0)</f>
        <v>1</v>
      </c>
      <c r="BJ675" s="77">
        <f>ROUNDUP(tbl_Data[[#This Row],[Adjusted 2033]]/$L675,0)</f>
        <v>1</v>
      </c>
      <c r="BK675" s="77">
        <f>ROUNDUP(tbl_Data[[#This Row],[Adjusted 2034]]/$L675,0)</f>
        <v>1</v>
      </c>
      <c r="BL675" s="80">
        <f t="shared" si="276"/>
        <v>1.6116176807425129</v>
      </c>
      <c r="BM675" s="80">
        <f t="shared" si="277"/>
        <v>2.9587478487989811</v>
      </c>
      <c r="BN675" s="80">
        <f t="shared" si="278"/>
        <v>4.0745105411136278</v>
      </c>
      <c r="BO675" s="80">
        <f t="shared" si="279"/>
        <v>5.0048356175139066</v>
      </c>
      <c r="BP675" s="80">
        <f t="shared" si="280"/>
        <v>5.7778423586035839</v>
      </c>
      <c r="BQ675" s="80">
        <f t="shared" si="281"/>
        <v>6.4233754440956492</v>
      </c>
      <c r="BR675" s="80">
        <f t="shared" si="282"/>
        <v>6.9668883920500448</v>
      </c>
      <c r="BS675" s="80">
        <f t="shared" si="283"/>
        <v>7.4258908997719821</v>
      </c>
      <c r="BT675" s="80">
        <f t="shared" si="284"/>
        <v>7.8194858969366354</v>
      </c>
      <c r="BU675" s="80">
        <f t="shared" si="285"/>
        <v>8.1607695653874028</v>
      </c>
      <c r="BV675" s="80">
        <f>IFERROR(VLOOKUP($H675,'1. Set Program Names'!$B$2:$D$15,3,0)*V675,"NA")</f>
        <v>54.193216819344535</v>
      </c>
      <c r="BW675" s="80">
        <f>IFERROR(VLOOKUP($H675,'1. Set Program Names'!$B$2:$D$15,3,0)*W675,"NA")</f>
        <v>99.492618875872495</v>
      </c>
      <c r="BX675" s="80">
        <f>IFERROR(VLOOKUP($H675,'1. Set Program Names'!$B$2:$D$15,3,0)*X675,"NA")</f>
        <v>137.01192027475307</v>
      </c>
      <c r="BY675" s="80">
        <f>IFERROR(VLOOKUP($H675,'1. Set Program Names'!$B$2:$D$15,3,0)*Y675,"NA")</f>
        <v>168.2955858613735</v>
      </c>
      <c r="BZ675" s="80">
        <f>IFERROR(VLOOKUP($H675,'1. Set Program Names'!$B$2:$D$15,3,0)*Z675,"NA")</f>
        <v>194.28917132724357</v>
      </c>
      <c r="CA675" s="80">
        <f>IFERROR(VLOOKUP($H675,'1. Set Program Names'!$B$2:$D$15,3,0)*AA675,"NA")</f>
        <v>215.99625166283172</v>
      </c>
      <c r="CB675" s="80">
        <f>IFERROR(VLOOKUP($H675,'1. Set Program Names'!$B$2:$D$15,3,0)*AB675,"NA")</f>
        <v>234.27274203928573</v>
      </c>
      <c r="CC675" s="80">
        <f>IFERROR(VLOOKUP($H675,'1. Set Program Names'!$B$2:$D$15,3,0)*AC675,"NA")</f>
        <v>249.70743397573639</v>
      </c>
      <c r="CD675" s="80">
        <f>IFERROR(VLOOKUP($H675,'1. Set Program Names'!$B$2:$D$15,3,0)*AD675,"NA")</f>
        <v>262.9426939727141</v>
      </c>
      <c r="CE675" s="80">
        <f>IFERROR(VLOOKUP($H675,'1. Set Program Names'!$B$2:$D$15,3,0)*AE675,"NA")</f>
        <v>274.41890204753025</v>
      </c>
    </row>
    <row r="676" spans="1:83" x14ac:dyDescent="0.25">
      <c r="A676" s="79" t="s">
        <v>114</v>
      </c>
      <c r="B676" s="79" t="s">
        <v>88</v>
      </c>
      <c r="C676" s="79" t="s">
        <v>176</v>
      </c>
      <c r="D676" s="79" t="s">
        <v>90</v>
      </c>
      <c r="E676" s="79" t="s">
        <v>91</v>
      </c>
      <c r="F676" s="79" t="s">
        <v>90</v>
      </c>
      <c r="G676" s="79" t="s">
        <v>92</v>
      </c>
      <c r="H676" s="79" t="s">
        <v>14</v>
      </c>
      <c r="I676" s="79" t="s">
        <v>157</v>
      </c>
      <c r="J676" s="79" t="s">
        <v>158</v>
      </c>
      <c r="K676" s="79" t="s">
        <v>159</v>
      </c>
      <c r="L676" s="79">
        <v>562.52</v>
      </c>
      <c r="M676" s="79">
        <v>6.7473359330379998E-2</v>
      </c>
      <c r="N676" s="79">
        <v>6.4973258375617293E-2</v>
      </c>
      <c r="O676" s="79">
        <v>169</v>
      </c>
      <c r="P676" s="79">
        <v>55.847956108163899</v>
      </c>
      <c r="Q676" s="79">
        <v>20.025540405413601</v>
      </c>
      <c r="R676" s="79">
        <v>240.47921618074301</v>
      </c>
      <c r="S676" s="79">
        <v>597.43584258705596</v>
      </c>
      <c r="T676" s="79">
        <v>15</v>
      </c>
      <c r="U676" s="79">
        <v>0.2</v>
      </c>
      <c r="V676" s="79">
        <f>tbl_Data_old[[#This Row],[2025 ]]*IFERROR(AVERAGEIFS('Participation Adjustment'!$C:$C,'Participation Adjustment'!$A:$A,$H676,'Participation Adjustment'!$B:$B,$I676),1)</f>
        <v>0.72954904704315704</v>
      </c>
      <c r="W676" s="79">
        <f>tbl_Data_old[[#This Row],[2026 ]]*IFERROR(AVERAGEIFS('Participation Adjustment'!$C:$C,'Participation Adjustment'!$A:$A,$H676,'Participation Adjustment'!$B:$B,$I676),1)</f>
        <v>0.82998403370753604</v>
      </c>
      <c r="X676" s="79">
        <f>tbl_Data_old[[#This Row],[2027 ]]*IFERROR(AVERAGEIFS('Participation Adjustment'!$C:$C,'Participation Adjustment'!$A:$A,$H676,'Participation Adjustment'!$B:$B,$I676),1)</f>
        <v>0.91750603899938998</v>
      </c>
      <c r="Y676" s="79">
        <f>tbl_Data_old[[#This Row],[2028 ]]*IFERROR(AVERAGEIFS('Participation Adjustment'!$C:$C,'Participation Adjustment'!$A:$A,$H676,'Participation Adjustment'!$B:$B,$I676),1)</f>
        <v>1.0053544719810099</v>
      </c>
      <c r="Z676" s="79">
        <f>tbl_Data_old[[#This Row],[2029 ]]*IFERROR(AVERAGEIFS('Participation Adjustment'!$C:$C,'Participation Adjustment'!$A:$A,$H676,'Participation Adjustment'!$B:$B,$I676),1)</f>
        <v>1.08017967754127</v>
      </c>
      <c r="AA676" s="79">
        <f>tbl_Data_old[[#This Row],[2030 ]]*IFERROR(AVERAGEIFS('Participation Adjustment'!$C:$C,'Participation Adjustment'!$A:$A,$H676,'Participation Adjustment'!$B:$B,$I676),1)</f>
        <v>1.1504168935955201</v>
      </c>
      <c r="AB676" s="79">
        <f>tbl_Data_old[[#This Row],[2031 ]]*IFERROR(AVERAGEIFS('Participation Adjustment'!$C:$C,'Participation Adjustment'!$A:$A,$H676,'Participation Adjustment'!$B:$B,$I676),1)</f>
        <v>1.2168344779009201</v>
      </c>
      <c r="AC676" s="79">
        <f>tbl_Data_old[[#This Row],[2032 ]]*IFERROR(AVERAGEIFS('Participation Adjustment'!$C:$C,'Participation Adjustment'!$A:$A,$H676,'Participation Adjustment'!$B:$B,$I676),1)</f>
        <v>1.27641101539103</v>
      </c>
      <c r="AD676" s="79">
        <f>tbl_Data_old[[#This Row],[2033 ]]*IFERROR(AVERAGEIFS('Participation Adjustment'!$C:$C,'Participation Adjustment'!$A:$A,$H676,'Participation Adjustment'!$B:$B,$I676),1)</f>
        <v>1.3354855290319001</v>
      </c>
      <c r="AE676" s="79">
        <f>tbl_Data_old[[#This Row],[2034 ]]*IFERROR(AVERAGEIFS('Participation Adjustment'!$C:$C,'Participation Adjustment'!$A:$A,$H676,'Participation Adjustment'!$B:$B,$I676),1)</f>
        <v>1.39144356726091</v>
      </c>
      <c r="AF676" s="77" t="str">
        <f t="shared" si="275"/>
        <v>NonResidential</v>
      </c>
      <c r="AG676" s="77" t="str">
        <f>tbl_Data[[#This Row],[All_Meas_Name_Append]]</f>
        <v>LED Exterior Wall Packs</v>
      </c>
      <c r="AH676" s="77">
        <f>AVERAGEIFS('3. Incentive Adjustment'!G:G,'3. Incentive Adjustment'!A:A,tbl_Data[[#This Row],[Trimmed Sector]],'3. Incentive Adjustment'!B:B,tbl_Data[[#This Row],[Trimmed Measure Name]])</f>
        <v>0.80637708305213962</v>
      </c>
      <c r="AI676" s="77">
        <f>$AH676*tbl_Data[[#This Row],[2025 ]]</f>
        <v>0.58829163249812921</v>
      </c>
      <c r="AJ676" s="77">
        <f>$AH676*tbl_Data[[#This Row],[2026 ]]</f>
        <v>0.66928010408093164</v>
      </c>
      <c r="AK676" s="77">
        <f>$AH676*tbl_Data[[#This Row],[2027 ]]</f>
        <v>0.73985584341105071</v>
      </c>
      <c r="AL676" s="77">
        <f>$AH676*tbl_Data[[#This Row],[2028 ]]</f>
        <v>0.81069480654947079</v>
      </c>
      <c r="AM676" s="77">
        <f>$AH676*tbl_Data[[#This Row],[2029 ]]</f>
        <v>0.87103213754793007</v>
      </c>
      <c r="AN676" s="77">
        <f>$AH676*tbl_Data[[#This Row],[2030 ]]</f>
        <v>0.92766981895145917</v>
      </c>
      <c r="AO676" s="77">
        <f>$AH676*tbl_Data[[#This Row],[2031 ]]</f>
        <v>0.98122743684701719</v>
      </c>
      <c r="AP676" s="77">
        <f>$AH676*tbl_Data[[#This Row],[2032 ]]</f>
        <v>1.0292685913666384</v>
      </c>
      <c r="AQ676" s="77">
        <f>$AH676*tbl_Data[[#This Row],[2033 ]]</f>
        <v>1.0769049253590872</v>
      </c>
      <c r="AR676" s="77">
        <f>$AH676*tbl_Data[[#This Row],[2034 ]]</f>
        <v>1.1220282049995163</v>
      </c>
      <c r="AS676" s="77">
        <f>SUM(tbl_Data[[#This Row],[Adjusted 2025]:[Adjusted 2034]])</f>
        <v>8.8162535016112304</v>
      </c>
      <c r="AT676" s="80">
        <f>AVERAGEIFS('3. Incentive Adjustment'!F:F,'3. Incentive Adjustment'!A:A,tbl_Data[[#This Row],[Trimmed Sector]],'3. Incentive Adjustment'!B:B,tbl_Data[[#This Row],[Trimmed Measure Name]])</f>
        <v>8.6864493556481861</v>
      </c>
      <c r="AU676" s="80">
        <f>IFERROR(VLOOKUP(tbl_Data[[#This Row],[All_Meas_Name_Append]],'IRA Tax Credits'!$A$3:$D$46,4,0),0)</f>
        <v>0</v>
      </c>
      <c r="AV676" s="81">
        <f>tbl_Data[[#This Row],[Adj. per unit Incentive ($)]]/tbl_Data[[#This Row],[kWh Savings]]*tbl_Data[[#This Row],[Sum of Annuals]]</f>
        <v>0.13614082974525693</v>
      </c>
      <c r="AW676" s="81">
        <f>IFERROR(VLOOKUP(tbl_Data[[#This Row],[Column1]],'1. Set Program Names'!$B$2:$D$15,3,0)*tbl_Data[[#This Row],[Sum of Annuals]],"")</f>
        <v>0.31385593529276401</v>
      </c>
      <c r="AX676" s="81">
        <f>tbl_Data[[#This Row],[per unit IRA tax ($)]]/tbl_Data[[#This Row],[kWh Savings]]*tbl_Data[[#This Row],[Sum of Annuals]]</f>
        <v>0</v>
      </c>
      <c r="AY676" s="81">
        <f>tbl_Data[[#This Row],[Avoided Costs ($/unit)]]/tbl_Data[[#This Row],[kWh Savings]]*tbl_Data[[#This Row],[Sum of Annuals]]</f>
        <v>3.7689784038224414</v>
      </c>
      <c r="AZ676" s="81">
        <f>tbl_Data[[#This Row],[Lost Revenue ($/unit)]]/tbl_Data[[#This Row],[kWh Savings]]*tbl_Data[[#This Row],[Sum of Annuals]]</f>
        <v>9.3634819014367281</v>
      </c>
      <c r="BA676" s="81">
        <f>tbl_Data[[#This Row],[Incremental Cost ($/unit)]]/tbl_Data[[#This Row],[kWh Savings]]*tbl_Data[[#This Row],[Sum of Annuals]]</f>
        <v>2.6487002093655301</v>
      </c>
      <c r="BB676" s="77">
        <f>ROUNDUP(tbl_Data[[#This Row],[Adjusted 2025]]/$L676,0)</f>
        <v>1</v>
      </c>
      <c r="BC676" s="77">
        <f>ROUNDUP(tbl_Data[[#This Row],[Adjusted 2026]]/$L676,0)</f>
        <v>1</v>
      </c>
      <c r="BD676" s="77">
        <f>ROUNDUP(tbl_Data[[#This Row],[Adjusted 2027]]/$L676,0)</f>
        <v>1</v>
      </c>
      <c r="BE676" s="77">
        <f>ROUNDUP(tbl_Data[[#This Row],[Adjusted 2028]]/$L676,0)</f>
        <v>1</v>
      </c>
      <c r="BF676" s="77">
        <f>ROUNDUP(tbl_Data[[#This Row],[Adjusted 2029]]/$L676,0)</f>
        <v>1</v>
      </c>
      <c r="BG676" s="77">
        <f>ROUNDUP(tbl_Data[[#This Row],[Adjusted 2030]]/$L676,0)</f>
        <v>1</v>
      </c>
      <c r="BH676" s="77">
        <f>ROUNDUP(tbl_Data[[#This Row],[Adjusted 2031]]/$L676,0)</f>
        <v>1</v>
      </c>
      <c r="BI676" s="77">
        <f>ROUNDUP(tbl_Data[[#This Row],[Adjusted 2032]]/$L676,0)</f>
        <v>1</v>
      </c>
      <c r="BJ676" s="77">
        <f>ROUNDUP(tbl_Data[[#This Row],[Adjusted 2033]]/$L676,0)</f>
        <v>1</v>
      </c>
      <c r="BK676" s="77">
        <f>ROUNDUP(tbl_Data[[#This Row],[Adjusted 2034]]/$L676,0)</f>
        <v>1</v>
      </c>
      <c r="BL676" s="80">
        <f t="shared" si="276"/>
        <v>1.1265716507149576E-2</v>
      </c>
      <c r="BM676" s="80">
        <f t="shared" si="277"/>
        <v>1.2816636341458274E-2</v>
      </c>
      <c r="BN676" s="80">
        <f t="shared" si="278"/>
        <v>1.4168153561241504E-2</v>
      </c>
      <c r="BO676" s="80">
        <f t="shared" si="279"/>
        <v>1.5524711486413755E-2</v>
      </c>
      <c r="BP676" s="80">
        <f t="shared" si="280"/>
        <v>1.6680164374533582E-2</v>
      </c>
      <c r="BQ676" s="80">
        <f t="shared" si="281"/>
        <v>1.7764769402153869E-2</v>
      </c>
      <c r="BR676" s="80">
        <f t="shared" si="282"/>
        <v>1.8790391570953822E-2</v>
      </c>
      <c r="BS676" s="80">
        <f t="shared" si="283"/>
        <v>1.9710374106139621E-2</v>
      </c>
      <c r="BT676" s="80">
        <f t="shared" si="284"/>
        <v>2.0622604375198438E-2</v>
      </c>
      <c r="BU676" s="80">
        <f t="shared" si="285"/>
        <v>2.1486709944987459E-2</v>
      </c>
      <c r="BV676" s="80">
        <f>IFERROR(VLOOKUP($H676,'1. Set Program Names'!$B$2:$D$15,3,0)*V676,"NA")</f>
        <v>2.5971723528574613E-2</v>
      </c>
      <c r="BW676" s="80">
        <f>IFERROR(VLOOKUP($H676,'1. Set Program Names'!$B$2:$D$15,3,0)*W676,"NA")</f>
        <v>2.9547178416515853E-2</v>
      </c>
      <c r="BX676" s="80">
        <f>IFERROR(VLOOKUP($H676,'1. Set Program Names'!$B$2:$D$15,3,0)*X676,"NA")</f>
        <v>3.2662935106651053E-2</v>
      </c>
      <c r="BY676" s="80">
        <f>IFERROR(VLOOKUP($H676,'1. Set Program Names'!$B$2:$D$15,3,0)*Y676,"NA")</f>
        <v>3.5790312522966397E-2</v>
      </c>
      <c r="BZ676" s="80">
        <f>IFERROR(VLOOKUP($H676,'1. Set Program Names'!$B$2:$D$15,3,0)*Z676,"NA")</f>
        <v>3.8454067015767313E-2</v>
      </c>
      <c r="CA676" s="80">
        <f>IFERROR(VLOOKUP($H676,'1. Set Program Names'!$B$2:$D$15,3,0)*AA676,"NA")</f>
        <v>4.0954490481703028E-2</v>
      </c>
      <c r="CB676" s="80">
        <f>IFERROR(VLOOKUP($H676,'1. Set Program Names'!$B$2:$D$15,3,0)*AB676,"NA")</f>
        <v>4.3318936222543812E-2</v>
      </c>
      <c r="CC676" s="80">
        <f>IFERROR(VLOOKUP($H676,'1. Set Program Names'!$B$2:$D$15,3,0)*AC676,"NA")</f>
        <v>4.5439842783595571E-2</v>
      </c>
      <c r="CD676" s="80">
        <f>IFERROR(VLOOKUP($H676,'1. Set Program Names'!$B$2:$D$15,3,0)*AD676,"NA")</f>
        <v>4.7542877448754871E-2</v>
      </c>
      <c r="CE676" s="80">
        <f>IFERROR(VLOOKUP($H676,'1. Set Program Names'!$B$2:$D$15,3,0)*AE676,"NA")</f>
        <v>4.9534966539920913E-2</v>
      </c>
    </row>
    <row r="677" spans="1:83" x14ac:dyDescent="0.25">
      <c r="A677" s="79" t="s">
        <v>114</v>
      </c>
      <c r="B677" s="79" t="s">
        <v>88</v>
      </c>
      <c r="C677" s="79" t="s">
        <v>176</v>
      </c>
      <c r="D677" s="79" t="s">
        <v>90</v>
      </c>
      <c r="E677" s="79" t="s">
        <v>91</v>
      </c>
      <c r="F677" s="79" t="s">
        <v>90</v>
      </c>
      <c r="G677" s="79" t="s">
        <v>92</v>
      </c>
      <c r="H677" s="79" t="s">
        <v>14</v>
      </c>
      <c r="I677" s="79" t="s">
        <v>162</v>
      </c>
      <c r="J677" s="79" t="s">
        <v>161</v>
      </c>
      <c r="K677" s="79" t="s">
        <v>159</v>
      </c>
      <c r="L677" s="79">
        <v>725.58416666666596</v>
      </c>
      <c r="M677" s="79">
        <v>8.6917804178563804E-2</v>
      </c>
      <c r="N677" s="79">
        <v>8.3795205289933394E-2</v>
      </c>
      <c r="O677" s="79">
        <v>179</v>
      </c>
      <c r="P677" s="79">
        <v>33.0790753554421</v>
      </c>
      <c r="Q677" s="79">
        <v>25.8305749966432</v>
      </c>
      <c r="R677" s="79">
        <v>310.45187974046598</v>
      </c>
      <c r="S677" s="79">
        <v>770.62146764617603</v>
      </c>
      <c r="T677" s="79">
        <v>15</v>
      </c>
      <c r="U677" s="79">
        <v>0.2</v>
      </c>
      <c r="V677" s="79">
        <f>tbl_Data_old[[#This Row],[2025 ]]*IFERROR(AVERAGEIFS('Participation Adjustment'!$C:$C,'Participation Adjustment'!$A:$A,$H677,'Participation Adjustment'!$B:$B,$I677),1)</f>
        <v>5.6044677685021345</v>
      </c>
      <c r="W677" s="79">
        <f>tbl_Data_old[[#This Row],[2026 ]]*IFERROR(AVERAGEIFS('Participation Adjustment'!$C:$C,'Participation Adjustment'!$A:$A,$H677,'Participation Adjustment'!$B:$B,$I677),1)</f>
        <v>6.3760192465992001</v>
      </c>
      <c r="X677" s="79">
        <f>tbl_Data_old[[#This Row],[2027 ]]*IFERROR(AVERAGEIFS('Participation Adjustment'!$C:$C,'Participation Adjustment'!$A:$A,$H677,'Participation Adjustment'!$B:$B,$I677),1)</f>
        <v>7.0483719275887955</v>
      </c>
      <c r="Y677" s="79">
        <f>tbl_Data_old[[#This Row],[2028 ]]*IFERROR(AVERAGEIFS('Participation Adjustment'!$C:$C,'Participation Adjustment'!$A:$A,$H677,'Participation Adjustment'!$B:$B,$I677),1)</f>
        <v>7.7232322583018247</v>
      </c>
      <c r="Z677" s="79">
        <f>tbl_Data_old[[#This Row],[2029 ]]*IFERROR(AVERAGEIFS('Participation Adjustment'!$C:$C,'Participation Adjustment'!$A:$A,$H677,'Participation Adjustment'!$B:$B,$I677),1)</f>
        <v>8.2980468708815547</v>
      </c>
      <c r="AA677" s="79">
        <f>tbl_Data_old[[#This Row],[2030 ]]*IFERROR(AVERAGEIFS('Participation Adjustment'!$C:$C,'Participation Adjustment'!$A:$A,$H677,'Participation Adjustment'!$B:$B,$I677),1)</f>
        <v>8.8376160953508602</v>
      </c>
      <c r="AB677" s="79">
        <f>tbl_Data_old[[#This Row],[2031 ]]*IFERROR(AVERAGEIFS('Participation Adjustment'!$C:$C,'Participation Adjustment'!$A:$A,$H677,'Participation Adjustment'!$B:$B,$I677),1)</f>
        <v>9.347842531818781</v>
      </c>
      <c r="AC677" s="79">
        <f>tbl_Data_old[[#This Row],[2032 ]]*IFERROR(AVERAGEIFS('Participation Adjustment'!$C:$C,'Participation Adjustment'!$A:$A,$H677,'Participation Adjustment'!$B:$B,$I677),1)</f>
        <v>9.8055153716031889</v>
      </c>
      <c r="AD677" s="79">
        <f>tbl_Data_old[[#This Row],[2033 ]]*IFERROR(AVERAGEIFS('Participation Adjustment'!$C:$C,'Participation Adjustment'!$A:$A,$H677,'Participation Adjustment'!$B:$B,$I677),1)</f>
        <v>10.25933161463997</v>
      </c>
      <c r="AE677" s="79">
        <f>tbl_Data_old[[#This Row],[2034 ]]*IFERROR(AVERAGEIFS('Participation Adjustment'!$C:$C,'Participation Adjustment'!$A:$A,$H677,'Participation Adjustment'!$B:$B,$I677),1)</f>
        <v>10.689206786040931</v>
      </c>
      <c r="AF677" s="77" t="str">
        <f t="shared" si="275"/>
        <v>NonResidential</v>
      </c>
      <c r="AG677" s="77" t="str">
        <f>tbl_Data[[#This Row],[All_Meas_Name_Append]]</f>
        <v>LED High Bay_LF Baseline</v>
      </c>
      <c r="AH677" s="77">
        <f>AVERAGEIFS('3. Incentive Adjustment'!G:G,'3. Incentive Adjustment'!A:A,tbl_Data[[#This Row],[Trimmed Sector]],'3. Incentive Adjustment'!B:B,tbl_Data[[#This Row],[Trimmed Measure Name]])</f>
        <v>0.93017466414143679</v>
      </c>
      <c r="AI677" s="77">
        <f>$AH677*tbl_Data[[#This Row],[2025 ]]</f>
        <v>5.2131339242579804</v>
      </c>
      <c r="AJ677" s="77">
        <f>$AH677*tbl_Data[[#This Row],[2026 ]]</f>
        <v>5.9308115612647478</v>
      </c>
      <c r="AK677" s="77">
        <f>$AH677*tbl_Data[[#This Row],[2027 ]]</f>
        <v>6.5562169904888394</v>
      </c>
      <c r="AL677" s="77">
        <f>$AH677*tbl_Data[[#This Row],[2028 ]]</f>
        <v>7.1839549719522102</v>
      </c>
      <c r="AM677" s="77">
        <f>$AH677*tbl_Data[[#This Row],[2029 ]]</f>
        <v>7.7186329611521503</v>
      </c>
      <c r="AN677" s="77">
        <f>$AH677*tbl_Data[[#This Row],[2030 ]]</f>
        <v>8.2205265833039416</v>
      </c>
      <c r="AO677" s="77">
        <f>$AH677*tbl_Data[[#This Row],[2031 ]]</f>
        <v>8.6951262874815729</v>
      </c>
      <c r="AP677" s="77">
        <f>$AH677*tbl_Data[[#This Row],[2032 ]]</f>
        <v>9.1208419675146928</v>
      </c>
      <c r="AQ677" s="77">
        <f>$AH677*tbl_Data[[#This Row],[2033 ]]</f>
        <v>9.5429703389633591</v>
      </c>
      <c r="AR677" s="77">
        <f>$AH677*tbl_Data[[#This Row],[2034 ]]</f>
        <v>9.9428293321439902</v>
      </c>
      <c r="AS677" s="77">
        <f>SUM(tbl_Data[[#This Row],[Adjusted 2025]:[Adjusted 2034]])</f>
        <v>78.125044918523486</v>
      </c>
      <c r="AT677" s="80">
        <f>AVERAGEIFS('3. Incentive Adjustment'!F:F,'3. Incentive Adjustment'!A:A,tbl_Data[[#This Row],[Trimmed Sector]],'3. Incentive Adjustment'!B:B,tbl_Data[[#This Row],[Trimmed Measure Name]])</f>
        <v>23.858858929800434</v>
      </c>
      <c r="AU677" s="80">
        <f>IFERROR(VLOOKUP(tbl_Data[[#This Row],[All_Meas_Name_Append]],'IRA Tax Credits'!$A$3:$D$46,4,0),0)</f>
        <v>0</v>
      </c>
      <c r="AV677" s="81">
        <f>tbl_Data[[#This Row],[Adj. per unit Incentive ($)]]/tbl_Data[[#This Row],[kWh Savings]]*tbl_Data[[#This Row],[Sum of Annuals]]</f>
        <v>2.568929300316011</v>
      </c>
      <c r="AW677" s="81">
        <f>IFERROR(VLOOKUP(tbl_Data[[#This Row],[Column1]],'1. Set Program Names'!$B$2:$D$15,3,0)*tbl_Data[[#This Row],[Sum of Annuals]],"")</f>
        <v>2.7812277673516519</v>
      </c>
      <c r="AX677" s="81">
        <f>tbl_Data[[#This Row],[per unit IRA tax ($)]]/tbl_Data[[#This Row],[kWh Savings]]*tbl_Data[[#This Row],[Sum of Annuals]]</f>
        <v>0</v>
      </c>
      <c r="AY677" s="81">
        <f>tbl_Data[[#This Row],[Avoided Costs ($/unit)]]/tbl_Data[[#This Row],[kWh Savings]]*tbl_Data[[#This Row],[Sum of Annuals]]</f>
        <v>33.426951915429953</v>
      </c>
      <c r="AZ677" s="81">
        <f>tbl_Data[[#This Row],[Lost Revenue ($/unit)]]/tbl_Data[[#This Row],[kWh Savings]]*tbl_Data[[#This Row],[Sum of Annuals]]</f>
        <v>82.974297870386351</v>
      </c>
      <c r="BA677" s="81">
        <f>tbl_Data[[#This Row],[Incremental Cost ($/unit)]]/tbl_Data[[#This Row],[kWh Savings]]*tbl_Data[[#This Row],[Sum of Annuals]]</f>
        <v>19.273274807883372</v>
      </c>
      <c r="BB677" s="77">
        <f>ROUNDUP(tbl_Data[[#This Row],[Adjusted 2025]]/$L677,0)</f>
        <v>1</v>
      </c>
      <c r="BC677" s="77">
        <f>ROUNDUP(tbl_Data[[#This Row],[Adjusted 2026]]/$L677,0)</f>
        <v>1</v>
      </c>
      <c r="BD677" s="77">
        <f>ROUNDUP(tbl_Data[[#This Row],[Adjusted 2027]]/$L677,0)</f>
        <v>1</v>
      </c>
      <c r="BE677" s="77">
        <f>ROUNDUP(tbl_Data[[#This Row],[Adjusted 2028]]/$L677,0)</f>
        <v>1</v>
      </c>
      <c r="BF677" s="77">
        <f>ROUNDUP(tbl_Data[[#This Row],[Adjusted 2029]]/$L677,0)</f>
        <v>1</v>
      </c>
      <c r="BG677" s="77">
        <f>ROUNDUP(tbl_Data[[#This Row],[Adjusted 2030]]/$L677,0)</f>
        <v>1</v>
      </c>
      <c r="BH677" s="77">
        <f>ROUNDUP(tbl_Data[[#This Row],[Adjusted 2031]]/$L677,0)</f>
        <v>1</v>
      </c>
      <c r="BI677" s="77">
        <f>ROUNDUP(tbl_Data[[#This Row],[Adjusted 2032]]/$L677,0)</f>
        <v>1</v>
      </c>
      <c r="BJ677" s="77">
        <f>ROUNDUP(tbl_Data[[#This Row],[Adjusted 2033]]/$L677,0)</f>
        <v>1</v>
      </c>
      <c r="BK677" s="77">
        <f>ROUNDUP(tbl_Data[[#This Row],[Adjusted 2034]]/$L677,0)</f>
        <v>1</v>
      </c>
      <c r="BL677" s="80">
        <f t="shared" si="276"/>
        <v>0.18428765677123052</v>
      </c>
      <c r="BM677" s="80">
        <f t="shared" si="277"/>
        <v>0.20965802552881355</v>
      </c>
      <c r="BN677" s="80">
        <f t="shared" si="278"/>
        <v>0.23176651204733673</v>
      </c>
      <c r="BO677" s="80">
        <f t="shared" si="279"/>
        <v>0.25395745579652362</v>
      </c>
      <c r="BP677" s="80">
        <f t="shared" si="280"/>
        <v>0.27285866861561214</v>
      </c>
      <c r="BQ677" s="80">
        <f t="shared" si="281"/>
        <v>0.29060093285025757</v>
      </c>
      <c r="BR677" s="80">
        <f t="shared" si="282"/>
        <v>0.30737833942717835</v>
      </c>
      <c r="BS677" s="80">
        <f t="shared" si="283"/>
        <v>0.32242766412589907</v>
      </c>
      <c r="BT677" s="80">
        <f t="shared" si="284"/>
        <v>0.33735017514541088</v>
      </c>
      <c r="BU677" s="80">
        <f t="shared" si="285"/>
        <v>0.35148544923635039</v>
      </c>
      <c r="BV677" s="80">
        <f>IFERROR(VLOOKUP($H677,'1. Set Program Names'!$B$2:$D$15,3,0)*V677,"NA")</f>
        <v>0.19951734293710122</v>
      </c>
      <c r="BW677" s="80">
        <f>IFERROR(VLOOKUP($H677,'1. Set Program Names'!$B$2:$D$15,3,0)*W677,"NA")</f>
        <v>0.22698434019851316</v>
      </c>
      <c r="BX677" s="80">
        <f>IFERROR(VLOOKUP($H677,'1. Set Program Names'!$B$2:$D$15,3,0)*X677,"NA")</f>
        <v>0.25091989054311487</v>
      </c>
      <c r="BY677" s="80">
        <f>IFERROR(VLOOKUP($H677,'1. Set Program Names'!$B$2:$D$15,3,0)*Y677,"NA")</f>
        <v>0.27494471245292185</v>
      </c>
      <c r="BZ677" s="80">
        <f>IFERROR(VLOOKUP($H677,'1. Set Program Names'!$B$2:$D$15,3,0)*Z677,"NA")</f>
        <v>0.2954079373157491</v>
      </c>
      <c r="CA677" s="80">
        <f>IFERROR(VLOOKUP($H677,'1. Set Program Names'!$B$2:$D$15,3,0)*AA677,"NA")</f>
        <v>0.31461643711331683</v>
      </c>
      <c r="CB677" s="80">
        <f>IFERROR(VLOOKUP($H677,'1. Set Program Names'!$B$2:$D$15,3,0)*AB677,"NA")</f>
        <v>0.33278034260894113</v>
      </c>
      <c r="CC677" s="80">
        <f>IFERROR(VLOOKUP($H677,'1. Set Program Names'!$B$2:$D$15,3,0)*AC677,"NA")</f>
        <v>0.34907335609390716</v>
      </c>
      <c r="CD677" s="80">
        <f>IFERROR(VLOOKUP($H677,'1. Set Program Names'!$B$2:$D$15,3,0)*AD677,"NA")</f>
        <v>0.36522907591109788</v>
      </c>
      <c r="CE677" s="80">
        <f>IFERROR(VLOOKUP($H677,'1. Set Program Names'!$B$2:$D$15,3,0)*AE677,"NA")</f>
        <v>0.38053250088118612</v>
      </c>
    </row>
    <row r="678" spans="1:83" x14ac:dyDescent="0.25">
      <c r="A678" s="79" t="s">
        <v>114</v>
      </c>
      <c r="B678" s="79" t="s">
        <v>88</v>
      </c>
      <c r="C678" s="79" t="s">
        <v>176</v>
      </c>
      <c r="D678" s="79" t="s">
        <v>90</v>
      </c>
      <c r="E678" s="79" t="s">
        <v>91</v>
      </c>
      <c r="F678" s="79" t="s">
        <v>90</v>
      </c>
      <c r="G678" s="79" t="s">
        <v>92</v>
      </c>
      <c r="H678" s="79" t="s">
        <v>14</v>
      </c>
      <c r="I678" s="79" t="s">
        <v>165</v>
      </c>
      <c r="J678" s="79" t="s">
        <v>161</v>
      </c>
      <c r="K678" s="79" t="s">
        <v>166</v>
      </c>
      <c r="L678" s="79">
        <v>565.38999999999896</v>
      </c>
      <c r="M678" s="79">
        <v>6.7728127941350899E-2</v>
      </c>
      <c r="N678" s="79">
        <v>6.5294935157718198E-2</v>
      </c>
      <c r="O678" s="79">
        <v>129</v>
      </c>
      <c r="P678" s="79">
        <v>15.293574707506</v>
      </c>
      <c r="Q678" s="79">
        <v>20.127711529930998</v>
      </c>
      <c r="R678" s="79">
        <v>190.6779313312</v>
      </c>
      <c r="S678" s="79">
        <v>454.767236260907</v>
      </c>
      <c r="T678" s="79">
        <v>10</v>
      </c>
      <c r="U678" s="79">
        <v>0.2</v>
      </c>
      <c r="V678" s="79">
        <f>tbl_Data_old[[#This Row],[2025 ]]*IFERROR(AVERAGEIFS('Participation Adjustment'!$C:$C,'Participation Adjustment'!$A:$A,$H678,'Participation Adjustment'!$B:$B,$I678),1)</f>
        <v>4.4706726755555898E-2</v>
      </c>
      <c r="W678" s="79">
        <f>tbl_Data_old[[#This Row],[2026 ]]*IFERROR(AVERAGEIFS('Participation Adjustment'!$C:$C,'Participation Adjustment'!$A:$A,$H678,'Participation Adjustment'!$B:$B,$I678),1)</f>
        <v>6.1729444876680702E-2</v>
      </c>
      <c r="X678" s="79">
        <f>tbl_Data_old[[#This Row],[2027 ]]*IFERROR(AVERAGEIFS('Participation Adjustment'!$C:$C,'Participation Adjustment'!$A:$A,$H678,'Participation Adjustment'!$B:$B,$I678),1)</f>
        <v>8.2581925626129496E-2</v>
      </c>
      <c r="Y678" s="79">
        <f>tbl_Data_old[[#This Row],[2028 ]]*IFERROR(AVERAGEIFS('Participation Adjustment'!$C:$C,'Participation Adjustment'!$A:$A,$H678,'Participation Adjustment'!$B:$B,$I678),1)</f>
        <v>0.10772537179080501</v>
      </c>
      <c r="Z678" s="79">
        <f>tbl_Data_old[[#This Row],[2029 ]]*IFERROR(AVERAGEIFS('Participation Adjustment'!$C:$C,'Participation Adjustment'!$A:$A,$H678,'Participation Adjustment'!$B:$B,$I678),1)</f>
        <v>0.13448662241143</v>
      </c>
      <c r="AA678" s="79">
        <f>tbl_Data_old[[#This Row],[2030 ]]*IFERROR(AVERAGEIFS('Participation Adjustment'!$C:$C,'Participation Adjustment'!$A:$A,$H678,'Participation Adjustment'!$B:$B,$I678),1)</f>
        <v>0.1596383619484</v>
      </c>
      <c r="AB678" s="79">
        <f>tbl_Data_old[[#This Row],[2031 ]]*IFERROR(AVERAGEIFS('Participation Adjustment'!$C:$C,'Participation Adjustment'!$A:$A,$H678,'Participation Adjustment'!$B:$B,$I678),1)</f>
        <v>0.17791554742068399</v>
      </c>
      <c r="AC678" s="79">
        <f>tbl_Data_old[[#This Row],[2032 ]]*IFERROR(AVERAGEIFS('Participation Adjustment'!$C:$C,'Participation Adjustment'!$A:$A,$H678,'Participation Adjustment'!$B:$B,$I678),1)</f>
        <v>0.183495033661316</v>
      </c>
      <c r="AD678" s="79">
        <f>tbl_Data_old[[#This Row],[2033 ]]*IFERROR(AVERAGEIFS('Participation Adjustment'!$C:$C,'Participation Adjustment'!$A:$A,$H678,'Participation Adjustment'!$B:$B,$I678),1)</f>
        <v>0.17373598227959999</v>
      </c>
      <c r="AE678" s="79">
        <f>tbl_Data_old[[#This Row],[2034 ]]*IFERROR(AVERAGEIFS('Participation Adjustment'!$C:$C,'Participation Adjustment'!$A:$A,$H678,'Participation Adjustment'!$B:$B,$I678),1)</f>
        <v>0.150347717101561</v>
      </c>
      <c r="AF678" s="77" t="str">
        <f t="shared" si="275"/>
        <v>NonResidential</v>
      </c>
      <c r="AG678" s="77" t="str">
        <f>tbl_Data[[#This Row],[All_Meas_Name_Append]]</f>
        <v>Occupancy Sensors_ Ceiling Mounted</v>
      </c>
      <c r="AH678" s="77">
        <f>AVERAGEIFS('3. Incentive Adjustment'!G:G,'3. Incentive Adjustment'!A:A,tbl_Data[[#This Row],[Trimmed Sector]],'3. Incentive Adjustment'!B:B,tbl_Data[[#This Row],[Trimmed Measure Name]])</f>
        <v>0.99348124042467356</v>
      </c>
      <c r="AI678" s="77">
        <f>$AH678*tbl_Data[[#This Row],[2025 ]]</f>
        <v>4.4415294352436616E-2</v>
      </c>
      <c r="AJ678" s="77">
        <f>$AH678*tbl_Data[[#This Row],[2026 ]]</f>
        <v>6.1327045466811253E-2</v>
      </c>
      <c r="AK678" s="77">
        <f>$AH678*tbl_Data[[#This Row],[2027 ]]</f>
        <v>8.204359390770527E-2</v>
      </c>
      <c r="AL678" s="77">
        <f>$AH678*tbl_Data[[#This Row],[2028 ]]</f>
        <v>0.10702313599193809</v>
      </c>
      <c r="AM678" s="77">
        <f>$AH678*tbl_Data[[#This Row],[2029 ]]</f>
        <v>0.13360993645383218</v>
      </c>
      <c r="AN678" s="77">
        <f>$AH678*tbl_Data[[#This Row],[2030 ]]</f>
        <v>0.15859771784785945</v>
      </c>
      <c r="AO678" s="77">
        <f>$AH678*tbl_Data[[#This Row],[2031 ]]</f>
        <v>0.17675575874233596</v>
      </c>
      <c r="AP678" s="77">
        <f>$AH678*tbl_Data[[#This Row],[2032 ]]</f>
        <v>0.18229887365361144</v>
      </c>
      <c r="AQ678" s="77">
        <f>$AH678*tbl_Data[[#This Row],[2033 ]]</f>
        <v>0.17260343918153612</v>
      </c>
      <c r="AR678" s="77">
        <f>$AH678*tbl_Data[[#This Row],[2034 ]]</f>
        <v>0.14936763648107673</v>
      </c>
      <c r="AS678" s="77">
        <f>SUM(tbl_Data[[#This Row],[Adjusted 2025]:[Adjusted 2034]])</f>
        <v>1.268042432079143</v>
      </c>
      <c r="AT678" s="80">
        <f>AVERAGEIFS('3. Incentive Adjustment'!F:F,'3. Incentive Adjustment'!A:A,tbl_Data[[#This Row],[Trimmed Sector]],'3. Incentive Adjustment'!B:B,tbl_Data[[#This Row],[Trimmed Measure Name]])</f>
        <v>19.547634357270656</v>
      </c>
      <c r="AU678" s="80">
        <f>IFERROR(VLOOKUP(tbl_Data[[#This Row],[All_Meas_Name_Append]],'IRA Tax Credits'!$A$3:$D$46,4,0),0)</f>
        <v>0</v>
      </c>
      <c r="AV678" s="81">
        <f>tbl_Data[[#This Row],[Adj. per unit Incentive ($)]]/tbl_Data[[#This Row],[kWh Savings]]*tbl_Data[[#This Row],[Sum of Annuals]]</f>
        <v>4.384094131800588E-2</v>
      </c>
      <c r="AW678" s="81">
        <f>IFERROR(VLOOKUP(tbl_Data[[#This Row],[Column1]],'1. Set Program Names'!$B$2:$D$15,3,0)*tbl_Data[[#This Row],[Sum of Annuals]],"")</f>
        <v>4.5141923770496903E-2</v>
      </c>
      <c r="AX678" s="81">
        <f>tbl_Data[[#This Row],[per unit IRA tax ($)]]/tbl_Data[[#This Row],[kWh Savings]]*tbl_Data[[#This Row],[Sum of Annuals]]</f>
        <v>0</v>
      </c>
      <c r="AY678" s="81">
        <f>tbl_Data[[#This Row],[Avoided Costs ($/unit)]]/tbl_Data[[#This Row],[kWh Savings]]*tbl_Data[[#This Row],[Sum of Annuals]]</f>
        <v>0.42764765522742731</v>
      </c>
      <c r="AZ678" s="81">
        <f>tbl_Data[[#This Row],[Lost Revenue ($/unit)]]/tbl_Data[[#This Row],[kWh Savings]]*tbl_Data[[#This Row],[Sum of Annuals]]</f>
        <v>1.0199404876248108</v>
      </c>
      <c r="BA678" s="81">
        <f>tbl_Data[[#This Row],[Incremental Cost ($/unit)]]/tbl_Data[[#This Row],[kWh Savings]]*tbl_Data[[#This Row],[Sum of Annuals]]</f>
        <v>0.28931794644088105</v>
      </c>
      <c r="BB678" s="77">
        <f>ROUNDUP(tbl_Data[[#This Row],[Adjusted 2025]]/$L678,0)</f>
        <v>1</v>
      </c>
      <c r="BC678" s="77">
        <f>ROUNDUP(tbl_Data[[#This Row],[Adjusted 2026]]/$L678,0)</f>
        <v>1</v>
      </c>
      <c r="BD678" s="77">
        <f>ROUNDUP(tbl_Data[[#This Row],[Adjusted 2027]]/$L678,0)</f>
        <v>1</v>
      </c>
      <c r="BE678" s="77">
        <f>ROUNDUP(tbl_Data[[#This Row],[Adjusted 2028]]/$L678,0)</f>
        <v>1</v>
      </c>
      <c r="BF678" s="77">
        <f>ROUNDUP(tbl_Data[[#This Row],[Adjusted 2029]]/$L678,0)</f>
        <v>1</v>
      </c>
      <c r="BG678" s="77">
        <f>ROUNDUP(tbl_Data[[#This Row],[Adjusted 2030]]/$L678,0)</f>
        <v>1</v>
      </c>
      <c r="BH678" s="77">
        <f>ROUNDUP(tbl_Data[[#This Row],[Adjusted 2031]]/$L678,0)</f>
        <v>1</v>
      </c>
      <c r="BI678" s="77">
        <f>ROUNDUP(tbl_Data[[#This Row],[Adjusted 2032]]/$L678,0)</f>
        <v>1</v>
      </c>
      <c r="BJ678" s="77">
        <f>ROUNDUP(tbl_Data[[#This Row],[Adjusted 2033]]/$L678,0)</f>
        <v>1</v>
      </c>
      <c r="BK678" s="77">
        <f>ROUNDUP(tbl_Data[[#This Row],[Adjusted 2034]]/$L678,0)</f>
        <v>1</v>
      </c>
      <c r="BL678" s="80">
        <f t="shared" si="276"/>
        <v>1.5456777585879081E-3</v>
      </c>
      <c r="BM678" s="80">
        <f t="shared" si="277"/>
        <v>2.1342164126119155E-3</v>
      </c>
      <c r="BN678" s="80">
        <f t="shared" si="278"/>
        <v>2.8551641993294929E-3</v>
      </c>
      <c r="BO678" s="80">
        <f t="shared" si="279"/>
        <v>3.7244666137846421E-3</v>
      </c>
      <c r="BP678" s="80">
        <f t="shared" si="280"/>
        <v>4.6497025430993818E-3</v>
      </c>
      <c r="BQ678" s="80">
        <f t="shared" si="281"/>
        <v>5.5192916902685896E-3</v>
      </c>
      <c r="BR678" s="80">
        <f t="shared" si="282"/>
        <v>6.1512019445925563E-3</v>
      </c>
      <c r="BS678" s="80">
        <f t="shared" si="283"/>
        <v>6.3441055278418128E-3</v>
      </c>
      <c r="BT678" s="80">
        <f t="shared" si="284"/>
        <v>6.0066988385059535E-3</v>
      </c>
      <c r="BU678" s="80">
        <f t="shared" si="285"/>
        <v>5.1980795563269389E-3</v>
      </c>
      <c r="BV678" s="80">
        <f>IFERROR(VLOOKUP($H678,'1. Set Program Names'!$B$2:$D$15,3,0)*V678,"NA")</f>
        <v>1.5915458348808465E-3</v>
      </c>
      <c r="BW678" s="80">
        <f>IFERROR(VLOOKUP($H678,'1. Set Program Names'!$B$2:$D$15,3,0)*W678,"NA")</f>
        <v>2.197549407277477E-3</v>
      </c>
      <c r="BX678" s="80">
        <f>IFERROR(VLOOKUP($H678,'1. Set Program Names'!$B$2:$D$15,3,0)*X678,"NA")</f>
        <v>2.9398913609879188E-3</v>
      </c>
      <c r="BY678" s="80">
        <f>IFERROR(VLOOKUP($H678,'1. Set Program Names'!$B$2:$D$15,3,0)*Y678,"NA")</f>
        <v>3.834990374537754E-3</v>
      </c>
      <c r="BZ678" s="80">
        <f>IFERROR(VLOOKUP($H678,'1. Set Program Names'!$B$2:$D$15,3,0)*Z678,"NA")</f>
        <v>4.7876827332142954E-3</v>
      </c>
      <c r="CA678" s="80">
        <f>IFERROR(VLOOKUP($H678,'1. Set Program Names'!$B$2:$D$15,3,0)*AA678,"NA")</f>
        <v>5.6830769882879528E-3</v>
      </c>
      <c r="CB678" s="80">
        <f>IFERROR(VLOOKUP($H678,'1. Set Program Names'!$B$2:$D$15,3,0)*AB678,"NA")</f>
        <v>6.3337392157153559E-3</v>
      </c>
      <c r="CC678" s="80">
        <f>IFERROR(VLOOKUP($H678,'1. Set Program Names'!$B$2:$D$15,3,0)*AC678,"NA")</f>
        <v>6.5323672238808009E-3</v>
      </c>
      <c r="CD678" s="80">
        <f>IFERROR(VLOOKUP($H678,'1. Set Program Names'!$B$2:$D$15,3,0)*AD678,"NA")</f>
        <v>6.1849479716532142E-3</v>
      </c>
      <c r="CE678" s="80">
        <f>IFERROR(VLOOKUP($H678,'1. Set Program Names'!$B$2:$D$15,3,0)*AE678,"NA")</f>
        <v>5.3523328658163557E-3</v>
      </c>
    </row>
    <row r="679" spans="1:83" x14ac:dyDescent="0.25">
      <c r="A679" s="79" t="s">
        <v>114</v>
      </c>
      <c r="B679" s="79" t="s">
        <v>88</v>
      </c>
      <c r="C679" s="79" t="s">
        <v>176</v>
      </c>
      <c r="D679" s="79" t="s">
        <v>90</v>
      </c>
      <c r="E679" s="79" t="s">
        <v>91</v>
      </c>
      <c r="F679" s="79" t="s">
        <v>90</v>
      </c>
      <c r="G679" s="79" t="s">
        <v>92</v>
      </c>
      <c r="H679" s="79" t="s">
        <v>14</v>
      </c>
      <c r="I679" s="79" t="s">
        <v>155</v>
      </c>
      <c r="J679" s="79" t="s">
        <v>129</v>
      </c>
      <c r="K679" s="79" t="s">
        <v>102</v>
      </c>
      <c r="L679" s="79">
        <v>47228.7699999998</v>
      </c>
      <c r="M679" s="79">
        <v>5.6581998938837703</v>
      </c>
      <c r="N679" s="79">
        <v>5.4505995734426298</v>
      </c>
      <c r="O679" s="79">
        <v>11124</v>
      </c>
      <c r="P679" s="79">
        <v>2435.8852359673701</v>
      </c>
      <c r="Q679" s="79">
        <v>1681.32980504335</v>
      </c>
      <c r="R679" s="79">
        <v>16918.542729362998</v>
      </c>
      <c r="S679" s="79">
        <v>40712.4661763408</v>
      </c>
      <c r="T679" s="79">
        <v>11</v>
      </c>
      <c r="U679" s="79">
        <v>0.94999999999999896</v>
      </c>
      <c r="V679" s="79">
        <f>tbl_Data_old[[#This Row],[2025 ]]*IFERROR(AVERAGEIFS('Participation Adjustment'!$C:$C,'Participation Adjustment'!$A:$A,$H679,'Participation Adjustment'!$B:$B,$I679),1)</f>
        <v>0.18237709980316999</v>
      </c>
      <c r="W679" s="79">
        <f>tbl_Data_old[[#This Row],[2026 ]]*IFERROR(AVERAGEIFS('Participation Adjustment'!$C:$C,'Participation Adjustment'!$A:$A,$H679,'Participation Adjustment'!$B:$B,$I679),1)</f>
        <v>0.1524466354788945</v>
      </c>
      <c r="X679" s="79">
        <f>tbl_Data_old[[#This Row],[2027 ]]*IFERROR(AVERAGEIFS('Participation Adjustment'!$C:$C,'Participation Adjustment'!$A:$A,$H679,'Participation Adjustment'!$B:$B,$I679),1)</f>
        <v>0.12626416694508399</v>
      </c>
      <c r="Y679" s="79">
        <f>tbl_Data_old[[#This Row],[2028 ]]*IFERROR(AVERAGEIFS('Participation Adjustment'!$C:$C,'Participation Adjustment'!$A:$A,$H679,'Participation Adjustment'!$B:$B,$I679),1)</f>
        <v>0.105279304971309</v>
      </c>
      <c r="Z679" s="79">
        <f>tbl_Data_old[[#This Row],[2029 ]]*IFERROR(AVERAGEIFS('Participation Adjustment'!$C:$C,'Participation Adjustment'!$A:$A,$H679,'Participation Adjustment'!$B:$B,$I679),1)</f>
        <v>8.7476533208106E-2</v>
      </c>
      <c r="AA679" s="79">
        <f>tbl_Data_old[[#This Row],[2030 ]]*IFERROR(AVERAGEIFS('Participation Adjustment'!$C:$C,'Participation Adjustment'!$A:$A,$H679,'Participation Adjustment'!$B:$B,$I679),1)</f>
        <v>7.30511047165915E-2</v>
      </c>
      <c r="AB679" s="79">
        <f>tbl_Data_old[[#This Row],[2031 ]]*IFERROR(AVERAGEIFS('Participation Adjustment'!$C:$C,'Participation Adjustment'!$A:$A,$H679,'Participation Adjustment'!$B:$B,$I679),1)</f>
        <v>6.1506098088798998E-2</v>
      </c>
      <c r="AC679" s="79">
        <f>tbl_Data_old[[#This Row],[2032 ]]*IFERROR(AVERAGEIFS('Participation Adjustment'!$C:$C,'Participation Adjustment'!$A:$A,$H679,'Participation Adjustment'!$B:$B,$I679),1)</f>
        <v>5.1942558809693E-2</v>
      </c>
      <c r="AD679" s="79">
        <f>tbl_Data_old[[#This Row],[2033 ]]*IFERROR(AVERAGEIFS('Participation Adjustment'!$C:$C,'Participation Adjustment'!$A:$A,$H679,'Participation Adjustment'!$B:$B,$I679),1)</f>
        <v>4.4540783423802952E-2</v>
      </c>
      <c r="AE679" s="79">
        <f>tbl_Data_old[[#This Row],[2034 ]]*IFERROR(AVERAGEIFS('Participation Adjustment'!$C:$C,'Participation Adjustment'!$A:$A,$H679,'Participation Adjustment'!$B:$B,$I679),1)</f>
        <v>3.86210243322513E-2</v>
      </c>
      <c r="AF679" s="77" t="str">
        <f t="shared" si="275"/>
        <v>NonResidential</v>
      </c>
      <c r="AG679" s="77" t="str">
        <f>tbl_Data[[#This Row],[All_Meas_Name_Append]]</f>
        <v>Smart thermostat</v>
      </c>
      <c r="AH679" s="77">
        <f>AVERAGEIFS('3. Incentive Adjustment'!G:G,'3. Incentive Adjustment'!A:A,tbl_Data[[#This Row],[Trimmed Sector]],'3. Incentive Adjustment'!B:B,tbl_Data[[#This Row],[Trimmed Measure Name]])</f>
        <v>0.87546479230069263</v>
      </c>
      <c r="AI679" s="77">
        <f>$AH679*tbl_Data[[#This Row],[2025 ]]</f>
        <v>0.1596647297995849</v>
      </c>
      <c r="AJ679" s="77">
        <f>$AH679*tbl_Data[[#This Row],[2026 ]]</f>
        <v>0.13346166206646978</v>
      </c>
      <c r="AK679" s="77">
        <f>$AH679*tbl_Data[[#This Row],[2027 ]]</f>
        <v>0.11053983268959794</v>
      </c>
      <c r="AL679" s="77">
        <f>$AH679*tbl_Data[[#This Row],[2028 ]]</f>
        <v>9.2168324860268311E-2</v>
      </c>
      <c r="AM679" s="77">
        <f>$AH679*tbl_Data[[#This Row],[2029 ]]</f>
        <v>7.6582624976219163E-2</v>
      </c>
      <c r="AN679" s="77">
        <f>$AH679*tbl_Data[[#This Row],[2030 ]]</f>
        <v>6.3953670218046932E-2</v>
      </c>
      <c r="AO679" s="77">
        <f>$AH679*tbl_Data[[#This Row],[2031 ]]</f>
        <v>5.3846423388536443E-2</v>
      </c>
      <c r="AP679" s="77">
        <f>$AH679*tbl_Data[[#This Row],[2032 ]]</f>
        <v>4.5473881459894394E-2</v>
      </c>
      <c r="AQ679" s="77">
        <f>$AH679*tbl_Data[[#This Row],[2033 ]]</f>
        <v>3.8993887709029784E-2</v>
      </c>
      <c r="AR679" s="77">
        <f>$AH679*tbl_Data[[#This Row],[2034 ]]</f>
        <v>3.381134704547438E-2</v>
      </c>
      <c r="AS679" s="77">
        <f>SUM(tbl_Data[[#This Row],[Adjusted 2025]:[Adjusted 2034]])</f>
        <v>0.80849638421312198</v>
      </c>
      <c r="AT679" s="80">
        <f>AVERAGEIFS('3. Incentive Adjustment'!F:F,'3. Incentive Adjustment'!A:A,tbl_Data[[#This Row],[Trimmed Sector]],'3. Incentive Adjustment'!B:B,tbl_Data[[#This Row],[Trimmed Measure Name]])</f>
        <v>50</v>
      </c>
      <c r="AU679" s="80">
        <f>IFERROR(VLOOKUP(tbl_Data[[#This Row],[All_Meas_Name_Append]],'IRA Tax Credits'!$A$3:$D$46,4,0),0)</f>
        <v>0</v>
      </c>
      <c r="AV679" s="81">
        <f>tbl_Data[[#This Row],[Adj. per unit Incentive ($)]]/tbl_Data[[#This Row],[kWh Savings]]*tbl_Data[[#This Row],[Sum of Annuals]]</f>
        <v>8.5593631192716374E-4</v>
      </c>
      <c r="AW679" s="81">
        <f>IFERROR(VLOOKUP(tbl_Data[[#This Row],[Column1]],'1. Set Program Names'!$B$2:$D$15,3,0)*tbl_Data[[#This Row],[Sum of Annuals]],"")</f>
        <v>2.8782224649240459E-2</v>
      </c>
      <c r="AX679" s="81">
        <f>tbl_Data[[#This Row],[per unit IRA tax ($)]]/tbl_Data[[#This Row],[kWh Savings]]*tbl_Data[[#This Row],[Sum of Annuals]]</f>
        <v>0</v>
      </c>
      <c r="AY679" s="81">
        <f>tbl_Data[[#This Row],[Avoided Costs ($/unit)]]/tbl_Data[[#This Row],[kWh Savings]]*tbl_Data[[#This Row],[Sum of Annuals]]</f>
        <v>0.28962390133906185</v>
      </c>
      <c r="AZ679" s="81">
        <f>tbl_Data[[#This Row],[Lost Revenue ($/unit)]]/tbl_Data[[#This Row],[kWh Savings]]*tbl_Data[[#This Row],[Sum of Annuals]]</f>
        <v>0.69694556296873078</v>
      </c>
      <c r="BA679" s="81">
        <f>tbl_Data[[#This Row],[Incremental Cost ($/unit)]]/tbl_Data[[#This Row],[kWh Savings]]*tbl_Data[[#This Row],[Sum of Annuals]]</f>
        <v>0.19042871067755537</v>
      </c>
      <c r="BB679" s="77">
        <f>ROUNDUP(tbl_Data[[#This Row],[Adjusted 2025]]/$L679,0)</f>
        <v>1</v>
      </c>
      <c r="BC679" s="77">
        <f>ROUNDUP(tbl_Data[[#This Row],[Adjusted 2026]]/$L679,0)</f>
        <v>1</v>
      </c>
      <c r="BD679" s="77">
        <f>ROUNDUP(tbl_Data[[#This Row],[Adjusted 2027]]/$L679,0)</f>
        <v>1</v>
      </c>
      <c r="BE679" s="77">
        <f>ROUNDUP(tbl_Data[[#This Row],[Adjusted 2028]]/$L679,0)</f>
        <v>1</v>
      </c>
      <c r="BF679" s="77">
        <f>ROUNDUP(tbl_Data[[#This Row],[Adjusted 2029]]/$L679,0)</f>
        <v>1</v>
      </c>
      <c r="BG679" s="77">
        <f>ROUNDUP(tbl_Data[[#This Row],[Adjusted 2030]]/$L679,0)</f>
        <v>1</v>
      </c>
      <c r="BH679" s="77">
        <f>ROUNDUP(tbl_Data[[#This Row],[Adjusted 2031]]/$L679,0)</f>
        <v>1</v>
      </c>
      <c r="BI679" s="77">
        <f>ROUNDUP(tbl_Data[[#This Row],[Adjusted 2032]]/$L679,0)</f>
        <v>1</v>
      </c>
      <c r="BJ679" s="77">
        <f>ROUNDUP(tbl_Data[[#This Row],[Adjusted 2033]]/$L679,0)</f>
        <v>1</v>
      </c>
      <c r="BK679" s="77">
        <f>ROUNDUP(tbl_Data[[#This Row],[Adjusted 2034]]/$L679,0)</f>
        <v>1</v>
      </c>
      <c r="BL679" s="80">
        <f t="shared" si="276"/>
        <v>1.9307839247472545E-4</v>
      </c>
      <c r="BM679" s="80">
        <f t="shared" si="277"/>
        <v>1.6139170624059778E-4</v>
      </c>
      <c r="BN679" s="80">
        <f t="shared" si="278"/>
        <v>1.33672935950994E-4</v>
      </c>
      <c r="BO679" s="80">
        <f t="shared" si="279"/>
        <v>1.1145675080179882E-4</v>
      </c>
      <c r="BP679" s="80">
        <f t="shared" si="280"/>
        <v>9.2609370525747732E-5</v>
      </c>
      <c r="BQ679" s="80">
        <f t="shared" si="281"/>
        <v>7.7337504995992704E-5</v>
      </c>
      <c r="BR679" s="80">
        <f t="shared" si="282"/>
        <v>6.5115075079024136E-5</v>
      </c>
      <c r="BS679" s="80">
        <f t="shared" si="283"/>
        <v>5.4990378544363133E-5</v>
      </c>
      <c r="BT679" s="80">
        <f t="shared" si="284"/>
        <v>4.7154291149021182E-5</v>
      </c>
      <c r="BU679" s="80">
        <f t="shared" si="285"/>
        <v>4.0887179924706343E-5</v>
      </c>
      <c r="BV679" s="80">
        <f>IFERROR(VLOOKUP($H679,'1. Set Program Names'!$B$2:$D$15,3,0)*V679,"NA")</f>
        <v>6.4925691195522736E-3</v>
      </c>
      <c r="BW679" s="80">
        <f>IFERROR(VLOOKUP($H679,'1. Set Program Names'!$B$2:$D$15,3,0)*W679,"NA")</f>
        <v>5.4270537197823607E-3</v>
      </c>
      <c r="BX679" s="80">
        <f>IFERROR(VLOOKUP($H679,'1. Set Program Names'!$B$2:$D$15,3,0)*X679,"NA")</f>
        <v>4.4949658268411416E-3</v>
      </c>
      <c r="BY679" s="80">
        <f>IFERROR(VLOOKUP($H679,'1. Set Program Names'!$B$2:$D$15,3,0)*Y679,"NA")</f>
        <v>3.7479111419270752E-3</v>
      </c>
      <c r="BZ679" s="80">
        <f>IFERROR(VLOOKUP($H679,'1. Set Program Names'!$B$2:$D$15,3,0)*Z679,"NA")</f>
        <v>3.1141378978248573E-3</v>
      </c>
      <c r="CA679" s="80">
        <f>IFERROR(VLOOKUP($H679,'1. Set Program Names'!$B$2:$D$15,3,0)*AA679,"NA")</f>
        <v>2.600597043949032E-3</v>
      </c>
      <c r="CB679" s="80">
        <f>IFERROR(VLOOKUP($H679,'1. Set Program Names'!$B$2:$D$15,3,0)*AB679,"NA")</f>
        <v>2.1895983297599763E-3</v>
      </c>
      <c r="CC679" s="80">
        <f>IFERROR(VLOOKUP($H679,'1. Set Program Names'!$B$2:$D$15,3,0)*AC679,"NA")</f>
        <v>1.8491392487450826E-3</v>
      </c>
      <c r="CD679" s="80">
        <f>IFERROR(VLOOKUP($H679,'1. Set Program Names'!$B$2:$D$15,3,0)*AD679,"NA")</f>
        <v>1.5856383028908239E-3</v>
      </c>
      <c r="CE679" s="80">
        <f>IFERROR(VLOOKUP($H679,'1. Set Program Names'!$B$2:$D$15,3,0)*AE679,"NA")</f>
        <v>1.3748966850315786E-3</v>
      </c>
    </row>
    <row r="680" spans="1:83" x14ac:dyDescent="0.25">
      <c r="A680" s="79" t="s">
        <v>115</v>
      </c>
      <c r="B680" s="79" t="s">
        <v>88</v>
      </c>
      <c r="C680" s="79" t="s">
        <v>176</v>
      </c>
      <c r="D680" s="79" t="s">
        <v>90</v>
      </c>
      <c r="E680" s="79" t="s">
        <v>91</v>
      </c>
      <c r="F680" s="79" t="s">
        <v>90</v>
      </c>
      <c r="G680" s="79" t="s">
        <v>92</v>
      </c>
      <c r="H680" s="79" t="s">
        <v>14</v>
      </c>
      <c r="I680" s="79" t="s">
        <v>157</v>
      </c>
      <c r="J680" s="79" t="s">
        <v>158</v>
      </c>
      <c r="K680" s="79" t="s">
        <v>159</v>
      </c>
      <c r="L680" s="79">
        <v>562.52</v>
      </c>
      <c r="M680" s="79">
        <v>6.7473359330379998E-2</v>
      </c>
      <c r="N680" s="79">
        <v>6.4973258375617293E-2</v>
      </c>
      <c r="O680" s="79">
        <v>169</v>
      </c>
      <c r="P680" s="79">
        <v>55.847956108163899</v>
      </c>
      <c r="Q680" s="79">
        <v>20.025540405413601</v>
      </c>
      <c r="R680" s="79">
        <v>240.47921618074301</v>
      </c>
      <c r="S680" s="79">
        <v>597.43584258705596</v>
      </c>
      <c r="T680" s="79">
        <v>15</v>
      </c>
      <c r="U680" s="79">
        <v>0.2</v>
      </c>
      <c r="V680" s="79">
        <f>tbl_Data_old[[#This Row],[2025 ]]*IFERROR(AVERAGEIFS('Participation Adjustment'!$C:$C,'Participation Adjustment'!$A:$A,$H680,'Participation Adjustment'!$B:$B,$I680),1)</f>
        <v>0.72954904704315704</v>
      </c>
      <c r="W680" s="79">
        <f>tbl_Data_old[[#This Row],[2026 ]]*IFERROR(AVERAGEIFS('Participation Adjustment'!$C:$C,'Participation Adjustment'!$A:$A,$H680,'Participation Adjustment'!$B:$B,$I680),1)</f>
        <v>1.55953308075069</v>
      </c>
      <c r="X680" s="79">
        <f>tbl_Data_old[[#This Row],[2027 ]]*IFERROR(AVERAGEIFS('Participation Adjustment'!$C:$C,'Participation Adjustment'!$A:$A,$H680,'Participation Adjustment'!$B:$B,$I680),1)</f>
        <v>2.4770391197500801</v>
      </c>
      <c r="Y680" s="79">
        <f>tbl_Data_old[[#This Row],[2028 ]]*IFERROR(AVERAGEIFS('Participation Adjustment'!$C:$C,'Participation Adjustment'!$A:$A,$H680,'Participation Adjustment'!$B:$B,$I680),1)</f>
        <v>3.48239359173109</v>
      </c>
      <c r="Z680" s="79">
        <f>tbl_Data_old[[#This Row],[2029 ]]*IFERROR(AVERAGEIFS('Participation Adjustment'!$C:$C,'Participation Adjustment'!$A:$A,$H680,'Participation Adjustment'!$B:$B,$I680),1)</f>
        <v>4.5625732692723702</v>
      </c>
      <c r="AA680" s="79">
        <f>tbl_Data_old[[#This Row],[2030 ]]*IFERROR(AVERAGEIFS('Participation Adjustment'!$C:$C,'Participation Adjustment'!$A:$A,$H680,'Participation Adjustment'!$B:$B,$I680),1)</f>
        <v>5.7129901628678903</v>
      </c>
      <c r="AB680" s="79">
        <f>tbl_Data_old[[#This Row],[2031 ]]*IFERROR(AVERAGEIFS('Participation Adjustment'!$C:$C,'Participation Adjustment'!$A:$A,$H680,'Participation Adjustment'!$B:$B,$I680),1)</f>
        <v>6.9298246407688202</v>
      </c>
      <c r="AC680" s="79">
        <f>tbl_Data_old[[#This Row],[2032 ]]*IFERROR(AVERAGEIFS('Participation Adjustment'!$C:$C,'Participation Adjustment'!$A:$A,$H680,'Participation Adjustment'!$B:$B,$I680),1)</f>
        <v>8.2062356561598513</v>
      </c>
      <c r="AD680" s="79">
        <f>tbl_Data_old[[#This Row],[2033 ]]*IFERROR(AVERAGEIFS('Participation Adjustment'!$C:$C,'Participation Adjustment'!$A:$A,$H680,'Participation Adjustment'!$B:$B,$I680),1)</f>
        <v>9.5417211851917614</v>
      </c>
      <c r="AE680" s="79">
        <f>tbl_Data_old[[#This Row],[2034 ]]*IFERROR(AVERAGEIFS('Participation Adjustment'!$C:$C,'Participation Adjustment'!$A:$A,$H680,'Participation Adjustment'!$B:$B,$I680),1)</f>
        <v>10.933164752452599</v>
      </c>
      <c r="AF680" s="77" t="str">
        <f t="shared" si="275"/>
        <v>NonResidential</v>
      </c>
      <c r="AG680" s="77" t="str">
        <f>tbl_Data[[#This Row],[All_Meas_Name_Append]]</f>
        <v>LED Exterior Wall Packs</v>
      </c>
      <c r="AH680" s="77">
        <f>AVERAGEIFS('3. Incentive Adjustment'!G:G,'3. Incentive Adjustment'!A:A,tbl_Data[[#This Row],[Trimmed Sector]],'3. Incentive Adjustment'!B:B,tbl_Data[[#This Row],[Trimmed Measure Name]])</f>
        <v>0.80637708305213962</v>
      </c>
      <c r="AI680" s="77">
        <f>$AH680*tbl_Data[[#This Row],[2025 ]]</f>
        <v>0.58829163249812921</v>
      </c>
      <c r="AJ680" s="77">
        <f>$AH680*tbl_Data[[#This Row],[2026 ]]</f>
        <v>1.2575717365790582</v>
      </c>
      <c r="AK680" s="77">
        <f>$AH680*tbl_Data[[#This Row],[2027 ]]</f>
        <v>1.9974275799901091</v>
      </c>
      <c r="AL680" s="77">
        <f>$AH680*tbl_Data[[#This Row],[2028 ]]</f>
        <v>2.8081223865395799</v>
      </c>
      <c r="AM680" s="77">
        <f>$AH680*tbl_Data[[#This Row],[2029 ]]</f>
        <v>3.6791545240875183</v>
      </c>
      <c r="AN680" s="77">
        <f>$AH680*tbl_Data[[#This Row],[2030 ]]</f>
        <v>4.6068243430389773</v>
      </c>
      <c r="AO680" s="77">
        <f>$AH680*tbl_Data[[#This Row],[2031 ]]</f>
        <v>5.5880517798860021</v>
      </c>
      <c r="AP680" s="77">
        <f>$AH680*tbl_Data[[#This Row],[2032 ]]</f>
        <v>6.6173203712526423</v>
      </c>
      <c r="AQ680" s="77">
        <f>$AH680*tbl_Data[[#This Row],[2033 ]]</f>
        <v>7.6942252966117373</v>
      </c>
      <c r="AR680" s="77">
        <f>$AH680*tbl_Data[[#This Row],[2034 ]]</f>
        <v>8.8162535016111949</v>
      </c>
      <c r="AS680" s="77">
        <f>SUM(tbl_Data[[#This Row],[Adjusted 2025]:[Adjusted 2034]])</f>
        <v>43.653243152094944</v>
      </c>
      <c r="AT680" s="80">
        <f>AVERAGEIFS('3. Incentive Adjustment'!F:F,'3. Incentive Adjustment'!A:A,tbl_Data[[#This Row],[Trimmed Sector]],'3. Incentive Adjustment'!B:B,tbl_Data[[#This Row],[Trimmed Measure Name]])</f>
        <v>8.6864493556481861</v>
      </c>
      <c r="AU680" s="80">
        <f>IFERROR(VLOOKUP(tbl_Data[[#This Row],[All_Meas_Name_Append]],'IRA Tax Credits'!$A$3:$D$46,4,0),0)</f>
        <v>0</v>
      </c>
      <c r="AV680" s="81">
        <f>tbl_Data[[#This Row],[Adj. per unit Incentive ($)]]/tbl_Data[[#This Row],[kWh Savings]]*tbl_Data[[#This Row],[Sum of Annuals]]</f>
        <v>0.67409458481559537</v>
      </c>
      <c r="AW680" s="81">
        <f>IFERROR(VLOOKUP(tbl_Data[[#This Row],[Column1]],'1. Set Program Names'!$B$2:$D$15,3,0)*tbl_Data[[#This Row],[Sum of Annuals]],"")</f>
        <v>1.5540421399588027</v>
      </c>
      <c r="AX680" s="81">
        <f>tbl_Data[[#This Row],[per unit IRA tax ($)]]/tbl_Data[[#This Row],[kWh Savings]]*tbl_Data[[#This Row],[Sum of Annuals]]</f>
        <v>0</v>
      </c>
      <c r="AY680" s="81">
        <f>tbl_Data[[#This Row],[Avoided Costs ($/unit)]]/tbl_Data[[#This Row],[kWh Savings]]*tbl_Data[[#This Row],[Sum of Annuals]]</f>
        <v>18.661910148907026</v>
      </c>
      <c r="AZ680" s="81">
        <f>tbl_Data[[#This Row],[Lost Revenue ($/unit)]]/tbl_Data[[#This Row],[kWh Savings]]*tbl_Data[[#This Row],[Sum of Annuals]]</f>
        <v>46.362817507341028</v>
      </c>
      <c r="BA680" s="81">
        <f>tbl_Data[[#This Row],[Incremental Cost ($/unit)]]/tbl_Data[[#This Row],[kWh Savings]]*tbl_Data[[#This Row],[Sum of Annuals]]</f>
        <v>13.114908079186598</v>
      </c>
      <c r="BB680" s="77">
        <f>ROUNDUP(tbl_Data[[#This Row],[Adjusted 2025]]/$L680,0)</f>
        <v>1</v>
      </c>
      <c r="BC680" s="77">
        <f>ROUNDUP(tbl_Data[[#This Row],[Adjusted 2026]]/$L680,0)</f>
        <v>1</v>
      </c>
      <c r="BD680" s="77">
        <f>ROUNDUP(tbl_Data[[#This Row],[Adjusted 2027]]/$L680,0)</f>
        <v>1</v>
      </c>
      <c r="BE680" s="77">
        <f>ROUNDUP(tbl_Data[[#This Row],[Adjusted 2028]]/$L680,0)</f>
        <v>1</v>
      </c>
      <c r="BF680" s="77">
        <f>ROUNDUP(tbl_Data[[#This Row],[Adjusted 2029]]/$L680,0)</f>
        <v>1</v>
      </c>
      <c r="BG680" s="77">
        <f>ROUNDUP(tbl_Data[[#This Row],[Adjusted 2030]]/$L680,0)</f>
        <v>1</v>
      </c>
      <c r="BH680" s="77">
        <f>ROUNDUP(tbl_Data[[#This Row],[Adjusted 2031]]/$L680,0)</f>
        <v>1</v>
      </c>
      <c r="BI680" s="77">
        <f>ROUNDUP(tbl_Data[[#This Row],[Adjusted 2032]]/$L680,0)</f>
        <v>1</v>
      </c>
      <c r="BJ680" s="77">
        <f>ROUNDUP(tbl_Data[[#This Row],[Adjusted 2033]]/$L680,0)</f>
        <v>1</v>
      </c>
      <c r="BK680" s="77">
        <f>ROUNDUP(tbl_Data[[#This Row],[Adjusted 2034]]/$L680,0)</f>
        <v>1</v>
      </c>
      <c r="BL680" s="80">
        <f t="shared" si="276"/>
        <v>1.1265716507149576E-2</v>
      </c>
      <c r="BM680" s="80">
        <f t="shared" si="277"/>
        <v>2.4082352848607803E-2</v>
      </c>
      <c r="BN680" s="80">
        <f t="shared" si="278"/>
        <v>3.8250506409849311E-2</v>
      </c>
      <c r="BO680" s="80">
        <f t="shared" si="279"/>
        <v>5.3775217896263064E-2</v>
      </c>
      <c r="BP680" s="80">
        <f t="shared" si="280"/>
        <v>7.0455382270796799E-2</v>
      </c>
      <c r="BQ680" s="80">
        <f t="shared" si="281"/>
        <v>8.8220151672950664E-2</v>
      </c>
      <c r="BR680" s="80">
        <f t="shared" si="282"/>
        <v>0.10701054324390465</v>
      </c>
      <c r="BS680" s="80">
        <f t="shared" si="283"/>
        <v>0.12672091735004429</v>
      </c>
      <c r="BT680" s="80">
        <f t="shared" si="284"/>
        <v>0.14734352172524287</v>
      </c>
      <c r="BU680" s="80">
        <f t="shared" si="285"/>
        <v>0.16883023167022923</v>
      </c>
      <c r="BV680" s="80">
        <f>IFERROR(VLOOKUP($H680,'1. Set Program Names'!$B$2:$D$15,3,0)*V680,"NA")</f>
        <v>2.5971723528574613E-2</v>
      </c>
      <c r="BW680" s="80">
        <f>IFERROR(VLOOKUP($H680,'1. Set Program Names'!$B$2:$D$15,3,0)*W680,"NA")</f>
        <v>5.5518901945090356E-2</v>
      </c>
      <c r="BX680" s="80">
        <f>IFERROR(VLOOKUP($H680,'1. Set Program Names'!$B$2:$D$15,3,0)*X680,"NA")</f>
        <v>8.8181837051741416E-2</v>
      </c>
      <c r="BY680" s="80">
        <f>IFERROR(VLOOKUP($H680,'1. Set Program Names'!$B$2:$D$15,3,0)*Y680,"NA")</f>
        <v>0.12397214957470781</v>
      </c>
      <c r="BZ680" s="80">
        <f>IFERROR(VLOOKUP($H680,'1. Set Program Names'!$B$2:$D$15,3,0)*Z680,"NA")</f>
        <v>0.16242621659047549</v>
      </c>
      <c r="CA680" s="80">
        <f>IFERROR(VLOOKUP($H680,'1. Set Program Names'!$B$2:$D$15,3,0)*AA680,"NA")</f>
        <v>0.20338070707217851</v>
      </c>
      <c r="CB680" s="80">
        <f>IFERROR(VLOOKUP($H680,'1. Set Program Names'!$B$2:$D$15,3,0)*AB680,"NA")</f>
        <v>0.24669964329472266</v>
      </c>
      <c r="CC680" s="80">
        <f>IFERROR(VLOOKUP($H680,'1. Set Program Names'!$B$2:$D$15,3,0)*AC680,"NA")</f>
        <v>0.2921394860783183</v>
      </c>
      <c r="CD680" s="80">
        <f>IFERROR(VLOOKUP($H680,'1. Set Program Names'!$B$2:$D$15,3,0)*AD680,"NA")</f>
        <v>0.33968236352707348</v>
      </c>
      <c r="CE680" s="80">
        <f>IFERROR(VLOOKUP($H680,'1. Set Program Names'!$B$2:$D$15,3,0)*AE680,"NA")</f>
        <v>0.38921733006699183</v>
      </c>
    </row>
    <row r="681" spans="1:83" x14ac:dyDescent="0.25">
      <c r="A681" s="79" t="s">
        <v>115</v>
      </c>
      <c r="B681" s="79" t="s">
        <v>88</v>
      </c>
      <c r="C681" s="79" t="s">
        <v>176</v>
      </c>
      <c r="D681" s="79" t="s">
        <v>90</v>
      </c>
      <c r="E681" s="79" t="s">
        <v>91</v>
      </c>
      <c r="F681" s="79" t="s">
        <v>90</v>
      </c>
      <c r="G681" s="79" t="s">
        <v>92</v>
      </c>
      <c r="H681" s="79" t="s">
        <v>14</v>
      </c>
      <c r="I681" s="79" t="s">
        <v>162</v>
      </c>
      <c r="J681" s="79" t="s">
        <v>161</v>
      </c>
      <c r="K681" s="79" t="s">
        <v>159</v>
      </c>
      <c r="L681" s="79">
        <v>725.58416666666596</v>
      </c>
      <c r="M681" s="79">
        <v>8.6917804178563804E-2</v>
      </c>
      <c r="N681" s="79">
        <v>8.3795205289933394E-2</v>
      </c>
      <c r="O681" s="79">
        <v>179</v>
      </c>
      <c r="P681" s="79">
        <v>33.0790753554421</v>
      </c>
      <c r="Q681" s="79">
        <v>25.8305749966432</v>
      </c>
      <c r="R681" s="79">
        <v>310.45187974046598</v>
      </c>
      <c r="S681" s="79">
        <v>770.62146764617603</v>
      </c>
      <c r="T681" s="79">
        <v>15</v>
      </c>
      <c r="U681" s="79">
        <v>0.2</v>
      </c>
      <c r="V681" s="79">
        <f>tbl_Data_old[[#This Row],[2025 ]]*IFERROR(AVERAGEIFS('Participation Adjustment'!$C:$C,'Participation Adjustment'!$A:$A,$H681,'Participation Adjustment'!$B:$B,$I681),1)</f>
        <v>5.6044677685021345</v>
      </c>
      <c r="W681" s="79">
        <f>tbl_Data_old[[#This Row],[2026 ]]*IFERROR(AVERAGEIFS('Participation Adjustment'!$C:$C,'Participation Adjustment'!$A:$A,$H681,'Participation Adjustment'!$B:$B,$I681),1)</f>
        <v>11.98048701510135</v>
      </c>
      <c r="X681" s="79">
        <f>tbl_Data_old[[#This Row],[2027 ]]*IFERROR(AVERAGEIFS('Participation Adjustment'!$C:$C,'Participation Adjustment'!$A:$A,$H681,'Participation Adjustment'!$B:$B,$I681),1)</f>
        <v>19.0288589426901</v>
      </c>
      <c r="Y681" s="79">
        <f>tbl_Data_old[[#This Row],[2028 ]]*IFERROR(AVERAGEIFS('Participation Adjustment'!$C:$C,'Participation Adjustment'!$A:$A,$H681,'Participation Adjustment'!$B:$B,$I681),1)</f>
        <v>26.752091200991998</v>
      </c>
      <c r="Z681" s="79">
        <f>tbl_Data_old[[#This Row],[2029 ]]*IFERROR(AVERAGEIFS('Participation Adjustment'!$C:$C,'Participation Adjustment'!$A:$A,$H681,'Participation Adjustment'!$B:$B,$I681),1)</f>
        <v>35.050138071873448</v>
      </c>
      <c r="AA681" s="79">
        <f>tbl_Data_old[[#This Row],[2030 ]]*IFERROR(AVERAGEIFS('Participation Adjustment'!$C:$C,'Participation Adjustment'!$A:$A,$H681,'Participation Adjustment'!$B:$B,$I681),1)</f>
        <v>43.887754167224401</v>
      </c>
      <c r="AB681" s="79">
        <f>tbl_Data_old[[#This Row],[2031 ]]*IFERROR(AVERAGEIFS('Participation Adjustment'!$C:$C,'Participation Adjustment'!$A:$A,$H681,'Participation Adjustment'!$B:$B,$I681),1)</f>
        <v>53.23559669904315</v>
      </c>
      <c r="AC681" s="79">
        <f>tbl_Data_old[[#This Row],[2032 ]]*IFERROR(AVERAGEIFS('Participation Adjustment'!$C:$C,'Participation Adjustment'!$A:$A,$H681,'Participation Adjustment'!$B:$B,$I681),1)</f>
        <v>63.041112070646392</v>
      </c>
      <c r="AD681" s="79">
        <f>tbl_Data_old[[#This Row],[2033 ]]*IFERROR(AVERAGEIFS('Participation Adjustment'!$C:$C,'Participation Adjustment'!$A:$A,$H681,'Participation Adjustment'!$B:$B,$I681),1)</f>
        <v>73.30044368528624</v>
      </c>
      <c r="AE681" s="79">
        <f>tbl_Data_old[[#This Row],[2034 ]]*IFERROR(AVERAGEIFS('Participation Adjustment'!$C:$C,'Participation Adjustment'!$A:$A,$H681,'Participation Adjustment'!$B:$B,$I681),1)</f>
        <v>83.989650471327295</v>
      </c>
      <c r="AF681" s="77" t="str">
        <f t="shared" si="275"/>
        <v>NonResidential</v>
      </c>
      <c r="AG681" s="77" t="str">
        <f>tbl_Data[[#This Row],[All_Meas_Name_Append]]</f>
        <v>LED High Bay_LF Baseline</v>
      </c>
      <c r="AH681" s="77">
        <f>AVERAGEIFS('3. Incentive Adjustment'!G:G,'3. Incentive Adjustment'!A:A,tbl_Data[[#This Row],[Trimmed Sector]],'3. Incentive Adjustment'!B:B,tbl_Data[[#This Row],[Trimmed Measure Name]])</f>
        <v>0.93017466414143679</v>
      </c>
      <c r="AI681" s="77">
        <f>$AH681*tbl_Data[[#This Row],[2025 ]]</f>
        <v>5.2131339242579804</v>
      </c>
      <c r="AJ681" s="77">
        <f>$AH681*tbl_Data[[#This Row],[2026 ]]</f>
        <v>11.143945485522742</v>
      </c>
      <c r="AK681" s="77">
        <f>$AH681*tbl_Data[[#This Row],[2027 ]]</f>
        <v>17.700162476011538</v>
      </c>
      <c r="AL681" s="77">
        <f>$AH681*tbl_Data[[#This Row],[2028 ]]</f>
        <v>24.884117447963817</v>
      </c>
      <c r="AM681" s="77">
        <f>$AH681*tbl_Data[[#This Row],[2029 ]]</f>
        <v>32.60275040911587</v>
      </c>
      <c r="AN681" s="77">
        <f>$AH681*tbl_Data[[#This Row],[2030 ]]</f>
        <v>40.823276992419899</v>
      </c>
      <c r="AO681" s="77">
        <f>$AH681*tbl_Data[[#This Row],[2031 ]]</f>
        <v>49.518403279901442</v>
      </c>
      <c r="AP681" s="77">
        <f>$AH681*tbl_Data[[#This Row],[2032 ]]</f>
        <v>58.639245247416184</v>
      </c>
      <c r="AQ681" s="77">
        <f>$AH681*tbl_Data[[#This Row],[2033 ]]</f>
        <v>68.182215586379428</v>
      </c>
      <c r="AR681" s="77">
        <f>$AH681*tbl_Data[[#This Row],[2034 ]]</f>
        <v>78.125044918523528</v>
      </c>
      <c r="AS681" s="77">
        <f>SUM(tbl_Data[[#This Row],[Adjusted 2025]:[Adjusted 2034]])</f>
        <v>386.83229576751245</v>
      </c>
      <c r="AT681" s="80">
        <f>AVERAGEIFS('3. Incentive Adjustment'!F:F,'3. Incentive Adjustment'!A:A,tbl_Data[[#This Row],[Trimmed Sector]],'3. Incentive Adjustment'!B:B,tbl_Data[[#This Row],[Trimmed Measure Name]])</f>
        <v>23.858858929800434</v>
      </c>
      <c r="AU681" s="80">
        <f>IFERROR(VLOOKUP(tbl_Data[[#This Row],[All_Meas_Name_Append]],'IRA Tax Credits'!$A$3:$D$46,4,0),0)</f>
        <v>0</v>
      </c>
      <c r="AV681" s="81">
        <f>tbl_Data[[#This Row],[Adj. per unit Incentive ($)]]/tbl_Data[[#This Row],[kWh Savings]]*tbl_Data[[#This Row],[Sum of Annuals]]</f>
        <v>12.719926368580616</v>
      </c>
      <c r="AW681" s="81">
        <f>IFERROR(VLOOKUP(tbl_Data[[#This Row],[Column1]],'1. Set Program Names'!$B$2:$D$15,3,0)*tbl_Data[[#This Row],[Sum of Annuals]],"")</f>
        <v>13.771111727603033</v>
      </c>
      <c r="AX681" s="81">
        <f>tbl_Data[[#This Row],[per unit IRA tax ($)]]/tbl_Data[[#This Row],[kWh Savings]]*tbl_Data[[#This Row],[Sum of Annuals]]</f>
        <v>0</v>
      </c>
      <c r="AY681" s="81">
        <f>tbl_Data[[#This Row],[Avoided Costs ($/unit)]]/tbl_Data[[#This Row],[kWh Savings]]*tbl_Data[[#This Row],[Sum of Annuals]]</f>
        <v>165.51189907719541</v>
      </c>
      <c r="AZ681" s="81">
        <f>tbl_Data[[#This Row],[Lost Revenue ($/unit)]]/tbl_Data[[#This Row],[kWh Savings]]*tbl_Data[[#This Row],[Sum of Annuals]]</f>
        <v>410.84313190953094</v>
      </c>
      <c r="BA681" s="81">
        <f>tbl_Data[[#This Row],[Incremental Cost ($/unit)]]/tbl_Data[[#This Row],[kWh Savings]]*tbl_Data[[#This Row],[Sum of Annuals]]</f>
        <v>95.430666934874026</v>
      </c>
      <c r="BB681" s="77">
        <f>ROUNDUP(tbl_Data[[#This Row],[Adjusted 2025]]/$L681,0)</f>
        <v>1</v>
      </c>
      <c r="BC681" s="77">
        <f>ROUNDUP(tbl_Data[[#This Row],[Adjusted 2026]]/$L681,0)</f>
        <v>1</v>
      </c>
      <c r="BD681" s="77">
        <f>ROUNDUP(tbl_Data[[#This Row],[Adjusted 2027]]/$L681,0)</f>
        <v>1</v>
      </c>
      <c r="BE681" s="77">
        <f>ROUNDUP(tbl_Data[[#This Row],[Adjusted 2028]]/$L681,0)</f>
        <v>1</v>
      </c>
      <c r="BF681" s="77">
        <f>ROUNDUP(tbl_Data[[#This Row],[Adjusted 2029]]/$L681,0)</f>
        <v>1</v>
      </c>
      <c r="BG681" s="77">
        <f>ROUNDUP(tbl_Data[[#This Row],[Adjusted 2030]]/$L681,0)</f>
        <v>1</v>
      </c>
      <c r="BH681" s="77">
        <f>ROUNDUP(tbl_Data[[#This Row],[Adjusted 2031]]/$L681,0)</f>
        <v>1</v>
      </c>
      <c r="BI681" s="77">
        <f>ROUNDUP(tbl_Data[[#This Row],[Adjusted 2032]]/$L681,0)</f>
        <v>1</v>
      </c>
      <c r="BJ681" s="77">
        <f>ROUNDUP(tbl_Data[[#This Row],[Adjusted 2033]]/$L681,0)</f>
        <v>1</v>
      </c>
      <c r="BK681" s="77">
        <f>ROUNDUP(tbl_Data[[#This Row],[Adjusted 2034]]/$L681,0)</f>
        <v>1</v>
      </c>
      <c r="BL681" s="80">
        <f t="shared" si="276"/>
        <v>0.18428765677123052</v>
      </c>
      <c r="BM681" s="80">
        <f t="shared" si="277"/>
        <v>0.39394568230004456</v>
      </c>
      <c r="BN681" s="80">
        <f t="shared" si="278"/>
        <v>0.62571219434737979</v>
      </c>
      <c r="BO681" s="80">
        <f t="shared" si="279"/>
        <v>0.87966965014390586</v>
      </c>
      <c r="BP681" s="80">
        <f t="shared" si="280"/>
        <v>1.1525283187595146</v>
      </c>
      <c r="BQ681" s="80">
        <f t="shared" si="281"/>
        <v>1.4431292516097751</v>
      </c>
      <c r="BR681" s="80">
        <f t="shared" si="282"/>
        <v>1.7505075910369525</v>
      </c>
      <c r="BS681" s="80">
        <f t="shared" si="283"/>
        <v>2.0729352551628533</v>
      </c>
      <c r="BT681" s="80">
        <f t="shared" si="284"/>
        <v>2.4102854303082601</v>
      </c>
      <c r="BU681" s="80">
        <f t="shared" si="285"/>
        <v>2.7617708795446148</v>
      </c>
      <c r="BV681" s="80">
        <f>IFERROR(VLOOKUP($H681,'1. Set Program Names'!$B$2:$D$15,3,0)*V681,"NA")</f>
        <v>0.19951734293710122</v>
      </c>
      <c r="BW681" s="80">
        <f>IFERROR(VLOOKUP($H681,'1. Set Program Names'!$B$2:$D$15,3,0)*W681,"NA")</f>
        <v>0.42650168313561487</v>
      </c>
      <c r="BX681" s="80">
        <f>IFERROR(VLOOKUP($H681,'1. Set Program Names'!$B$2:$D$15,3,0)*X681,"NA")</f>
        <v>0.67742157367872813</v>
      </c>
      <c r="BY681" s="80">
        <f>IFERROR(VLOOKUP($H681,'1. Set Program Names'!$B$2:$D$15,3,0)*Y681,"NA")</f>
        <v>0.95236628613165264</v>
      </c>
      <c r="BZ681" s="80">
        <f>IFERROR(VLOOKUP($H681,'1. Set Program Names'!$B$2:$D$15,3,0)*Z681,"NA")</f>
        <v>1.2477742234473981</v>
      </c>
      <c r="CA681" s="80">
        <f>IFERROR(VLOOKUP($H681,'1. Set Program Names'!$B$2:$D$15,3,0)*AA681,"NA")</f>
        <v>1.5623906605607181</v>
      </c>
      <c r="CB681" s="80">
        <f>IFERROR(VLOOKUP($H681,'1. Set Program Names'!$B$2:$D$15,3,0)*AB681,"NA")</f>
        <v>1.895171003169658</v>
      </c>
      <c r="CC681" s="80">
        <f>IFERROR(VLOOKUP($H681,'1. Set Program Names'!$B$2:$D$15,3,0)*AC681,"NA")</f>
        <v>2.244244359263567</v>
      </c>
      <c r="CD681" s="80">
        <f>IFERROR(VLOOKUP($H681,'1. Set Program Names'!$B$2:$D$15,3,0)*AD681,"NA")</f>
        <v>2.6094734351746607</v>
      </c>
      <c r="CE681" s="80">
        <f>IFERROR(VLOOKUP($H681,'1. Set Program Names'!$B$2:$D$15,3,0)*AE681,"NA")</f>
        <v>2.9900059360558511</v>
      </c>
    </row>
    <row r="682" spans="1:83" x14ac:dyDescent="0.25">
      <c r="A682" s="79" t="s">
        <v>115</v>
      </c>
      <c r="B682" s="79" t="s">
        <v>88</v>
      </c>
      <c r="C682" s="79" t="s">
        <v>176</v>
      </c>
      <c r="D682" s="79" t="s">
        <v>90</v>
      </c>
      <c r="E682" s="79" t="s">
        <v>91</v>
      </c>
      <c r="F682" s="79" t="s">
        <v>90</v>
      </c>
      <c r="G682" s="79" t="s">
        <v>92</v>
      </c>
      <c r="H682" s="79" t="s">
        <v>14</v>
      </c>
      <c r="I682" s="79" t="s">
        <v>165</v>
      </c>
      <c r="J682" s="79" t="s">
        <v>161</v>
      </c>
      <c r="K682" s="79" t="s">
        <v>166</v>
      </c>
      <c r="L682" s="79">
        <v>565.38999999999896</v>
      </c>
      <c r="M682" s="79">
        <v>6.7728127941350899E-2</v>
      </c>
      <c r="N682" s="79">
        <v>6.5294935157718198E-2</v>
      </c>
      <c r="O682" s="79">
        <v>129</v>
      </c>
      <c r="P682" s="79">
        <v>15.293574707506</v>
      </c>
      <c r="Q682" s="79">
        <v>20.127711529930998</v>
      </c>
      <c r="R682" s="79">
        <v>190.6779313312</v>
      </c>
      <c r="S682" s="79">
        <v>454.767236260907</v>
      </c>
      <c r="T682" s="79">
        <v>10</v>
      </c>
      <c r="U682" s="79">
        <v>0.2</v>
      </c>
      <c r="V682" s="79">
        <f>tbl_Data_old[[#This Row],[2025 ]]*IFERROR(AVERAGEIFS('Participation Adjustment'!$C:$C,'Participation Adjustment'!$A:$A,$H682,'Participation Adjustment'!$B:$B,$I682),1)</f>
        <v>4.4706726755555898E-2</v>
      </c>
      <c r="W682" s="79">
        <f>tbl_Data_old[[#This Row],[2026 ]]*IFERROR(AVERAGEIFS('Participation Adjustment'!$C:$C,'Participation Adjustment'!$A:$A,$H682,'Participation Adjustment'!$B:$B,$I682),1)</f>
        <v>0.106436171632236</v>
      </c>
      <c r="X682" s="79">
        <f>tbl_Data_old[[#This Row],[2027 ]]*IFERROR(AVERAGEIFS('Participation Adjustment'!$C:$C,'Participation Adjustment'!$A:$A,$H682,'Participation Adjustment'!$B:$B,$I682),1)</f>
        <v>0.18901809725836599</v>
      </c>
      <c r="Y682" s="79">
        <f>tbl_Data_old[[#This Row],[2028 ]]*IFERROR(AVERAGEIFS('Participation Adjustment'!$C:$C,'Participation Adjustment'!$A:$A,$H682,'Participation Adjustment'!$B:$B,$I682),1)</f>
        <v>0.29674346904917198</v>
      </c>
      <c r="Z682" s="79">
        <f>tbl_Data_old[[#This Row],[2029 ]]*IFERROR(AVERAGEIFS('Participation Adjustment'!$C:$C,'Participation Adjustment'!$A:$A,$H682,'Participation Adjustment'!$B:$B,$I682),1)</f>
        <v>0.43123009146060198</v>
      </c>
      <c r="AA682" s="79">
        <f>tbl_Data_old[[#This Row],[2030 ]]*IFERROR(AVERAGEIFS('Participation Adjustment'!$C:$C,'Participation Adjustment'!$A:$A,$H682,'Participation Adjustment'!$B:$B,$I682),1)</f>
        <v>0.59086845340900296</v>
      </c>
      <c r="AB682" s="79">
        <f>tbl_Data_old[[#This Row],[2031 ]]*IFERROR(AVERAGEIFS('Participation Adjustment'!$C:$C,'Participation Adjustment'!$A:$A,$H682,'Participation Adjustment'!$B:$B,$I682),1)</f>
        <v>0.76878400082968801</v>
      </c>
      <c r="AC682" s="79">
        <f>tbl_Data_old[[#This Row],[2032 ]]*IFERROR(AVERAGEIFS('Participation Adjustment'!$C:$C,'Participation Adjustment'!$A:$A,$H682,'Participation Adjustment'!$B:$B,$I682),1)</f>
        <v>0.95227903449100404</v>
      </c>
      <c r="AD682" s="79">
        <f>tbl_Data_old[[#This Row],[2033 ]]*IFERROR(AVERAGEIFS('Participation Adjustment'!$C:$C,'Participation Adjustment'!$A:$A,$H682,'Participation Adjustment'!$B:$B,$I682),1)</f>
        <v>1.1260150167706</v>
      </c>
      <c r="AE682" s="79">
        <f>tbl_Data_old[[#This Row],[2034 ]]*IFERROR(AVERAGEIFS('Participation Adjustment'!$C:$C,'Participation Adjustment'!$A:$A,$H682,'Participation Adjustment'!$B:$B,$I682),1)</f>
        <v>1.2763627338721599</v>
      </c>
      <c r="AF682" s="77" t="str">
        <f t="shared" si="275"/>
        <v>NonResidential</v>
      </c>
      <c r="AG682" s="77" t="str">
        <f>tbl_Data[[#This Row],[All_Meas_Name_Append]]</f>
        <v>Occupancy Sensors_ Ceiling Mounted</v>
      </c>
      <c r="AH682" s="77">
        <f>AVERAGEIFS('3. Incentive Adjustment'!G:G,'3. Incentive Adjustment'!A:A,tbl_Data[[#This Row],[Trimmed Sector]],'3. Incentive Adjustment'!B:B,tbl_Data[[#This Row],[Trimmed Measure Name]])</f>
        <v>0.99348124042467356</v>
      </c>
      <c r="AI682" s="77">
        <f>$AH682*tbl_Data[[#This Row],[2025 ]]</f>
        <v>4.4415294352436616E-2</v>
      </c>
      <c r="AJ682" s="77">
        <f>$AH682*tbl_Data[[#This Row],[2026 ]]</f>
        <v>0.10574233981924727</v>
      </c>
      <c r="AK682" s="77">
        <f>$AH682*tbl_Data[[#This Row],[2027 ]]</f>
        <v>0.18778593372695304</v>
      </c>
      <c r="AL682" s="77">
        <f>$AH682*tbl_Data[[#This Row],[2028 ]]</f>
        <v>0.29480906971889209</v>
      </c>
      <c r="AM682" s="77">
        <f>$AH682*tbl_Data[[#This Row],[2029 ]]</f>
        <v>0.42841900617272427</v>
      </c>
      <c r="AN682" s="77">
        <f>$AH682*tbl_Data[[#This Row],[2030 ]]</f>
        <v>0.58701672402058469</v>
      </c>
      <c r="AO682" s="77">
        <f>$AH682*tbl_Data[[#This Row],[2031 ]]</f>
        <v>0.76377248276292176</v>
      </c>
      <c r="AP682" s="77">
        <f>$AH682*tbl_Data[[#This Row],[2032 ]]</f>
        <v>0.94607135641653317</v>
      </c>
      <c r="AQ682" s="77">
        <f>$AH682*tbl_Data[[#This Row],[2033 ]]</f>
        <v>1.1186747955980654</v>
      </c>
      <c r="AR682" s="77">
        <f>$AH682*tbl_Data[[#This Row],[2034 ]]</f>
        <v>1.268042432079141</v>
      </c>
      <c r="AS682" s="77">
        <f>SUM(tbl_Data[[#This Row],[Adjusted 2025]:[Adjusted 2034]])</f>
        <v>5.744749434667499</v>
      </c>
      <c r="AT682" s="80">
        <f>AVERAGEIFS('3. Incentive Adjustment'!F:F,'3. Incentive Adjustment'!A:A,tbl_Data[[#This Row],[Trimmed Sector]],'3. Incentive Adjustment'!B:B,tbl_Data[[#This Row],[Trimmed Measure Name]])</f>
        <v>19.547634357270656</v>
      </c>
      <c r="AU682" s="80">
        <f>IFERROR(VLOOKUP(tbl_Data[[#This Row],[All_Meas_Name_Append]],'IRA Tax Credits'!$A$3:$D$46,4,0),0)</f>
        <v>0</v>
      </c>
      <c r="AV682" s="81">
        <f>tbl_Data[[#This Row],[Adj. per unit Incentive ($)]]/tbl_Data[[#This Row],[kWh Savings]]*tbl_Data[[#This Row],[Sum of Annuals]]</f>
        <v>0.19861734629727759</v>
      </c>
      <c r="AW682" s="81">
        <f>IFERROR(VLOOKUP(tbl_Data[[#This Row],[Column1]],'1. Set Program Names'!$B$2:$D$15,3,0)*tbl_Data[[#This Row],[Sum of Annuals]],"")</f>
        <v>0.20451132746019951</v>
      </c>
      <c r="AX682" s="81">
        <f>tbl_Data[[#This Row],[per unit IRA tax ($)]]/tbl_Data[[#This Row],[kWh Savings]]*tbl_Data[[#This Row],[Sum of Annuals]]</f>
        <v>0</v>
      </c>
      <c r="AY682" s="81">
        <f>tbl_Data[[#This Row],[Avoided Costs ($/unit)]]/tbl_Data[[#This Row],[kWh Savings]]*tbl_Data[[#This Row],[Sum of Annuals]]</f>
        <v>1.937418309871914</v>
      </c>
      <c r="AZ682" s="81">
        <f>tbl_Data[[#This Row],[Lost Revenue ($/unit)]]/tbl_Data[[#This Row],[kWh Savings]]*tbl_Data[[#This Row],[Sum of Annuals]]</f>
        <v>4.62074642886353</v>
      </c>
      <c r="BA682" s="81">
        <f>tbl_Data[[#This Row],[Incremental Cost ($/unit)]]/tbl_Data[[#This Row],[kWh Savings]]*tbl_Data[[#This Row],[Sum of Annuals]]</f>
        <v>1.3107283062525137</v>
      </c>
      <c r="BB682" s="77">
        <f>ROUNDUP(tbl_Data[[#This Row],[Adjusted 2025]]/$L682,0)</f>
        <v>1</v>
      </c>
      <c r="BC682" s="77">
        <f>ROUNDUP(tbl_Data[[#This Row],[Adjusted 2026]]/$L682,0)</f>
        <v>1</v>
      </c>
      <c r="BD682" s="77">
        <f>ROUNDUP(tbl_Data[[#This Row],[Adjusted 2027]]/$L682,0)</f>
        <v>1</v>
      </c>
      <c r="BE682" s="77">
        <f>ROUNDUP(tbl_Data[[#This Row],[Adjusted 2028]]/$L682,0)</f>
        <v>1</v>
      </c>
      <c r="BF682" s="77">
        <f>ROUNDUP(tbl_Data[[#This Row],[Adjusted 2029]]/$L682,0)</f>
        <v>1</v>
      </c>
      <c r="BG682" s="77">
        <f>ROUNDUP(tbl_Data[[#This Row],[Adjusted 2030]]/$L682,0)</f>
        <v>1</v>
      </c>
      <c r="BH682" s="77">
        <f>ROUNDUP(tbl_Data[[#This Row],[Adjusted 2031]]/$L682,0)</f>
        <v>1</v>
      </c>
      <c r="BI682" s="77">
        <f>ROUNDUP(tbl_Data[[#This Row],[Adjusted 2032]]/$L682,0)</f>
        <v>1</v>
      </c>
      <c r="BJ682" s="77">
        <f>ROUNDUP(tbl_Data[[#This Row],[Adjusted 2033]]/$L682,0)</f>
        <v>1</v>
      </c>
      <c r="BK682" s="77">
        <f>ROUNDUP(tbl_Data[[#This Row],[Adjusted 2034]]/$L682,0)</f>
        <v>1</v>
      </c>
      <c r="BL682" s="80">
        <f t="shared" si="276"/>
        <v>1.5456777585879081E-3</v>
      </c>
      <c r="BM682" s="80">
        <f t="shared" si="277"/>
        <v>3.6798941711998026E-3</v>
      </c>
      <c r="BN682" s="80">
        <f t="shared" si="278"/>
        <v>6.5350583705293128E-3</v>
      </c>
      <c r="BO682" s="80">
        <f t="shared" si="279"/>
        <v>1.0259524984313989E-2</v>
      </c>
      <c r="BP682" s="80">
        <f t="shared" si="280"/>
        <v>1.4909227527413371E-2</v>
      </c>
      <c r="BQ682" s="80">
        <f t="shared" si="281"/>
        <v>2.0428519217681997E-2</v>
      </c>
      <c r="BR682" s="80">
        <f t="shared" si="282"/>
        <v>2.6579721162274587E-2</v>
      </c>
      <c r="BS682" s="80">
        <f t="shared" si="283"/>
        <v>3.2923826690116405E-2</v>
      </c>
      <c r="BT682" s="80">
        <f t="shared" si="284"/>
        <v>3.8930525528622216E-2</v>
      </c>
      <c r="BU682" s="80">
        <f t="shared" si="285"/>
        <v>4.4128605084949118E-2</v>
      </c>
      <c r="BV682" s="80">
        <f>IFERROR(VLOOKUP($H682,'1. Set Program Names'!$B$2:$D$15,3,0)*V682,"NA")</f>
        <v>1.5915458348808465E-3</v>
      </c>
      <c r="BW682" s="80">
        <f>IFERROR(VLOOKUP($H682,'1. Set Program Names'!$B$2:$D$15,3,0)*W682,"NA")</f>
        <v>3.7890952421583018E-3</v>
      </c>
      <c r="BX682" s="80">
        <f>IFERROR(VLOOKUP($H682,'1. Set Program Names'!$B$2:$D$15,3,0)*X682,"NA")</f>
        <v>6.7289866031462389E-3</v>
      </c>
      <c r="BY682" s="80">
        <f>IFERROR(VLOOKUP($H682,'1. Set Program Names'!$B$2:$D$15,3,0)*Y682,"NA")</f>
        <v>1.0563976977684028E-2</v>
      </c>
      <c r="BZ682" s="80">
        <f>IFERROR(VLOOKUP($H682,'1. Set Program Names'!$B$2:$D$15,3,0)*Z682,"NA")</f>
        <v>1.5351659710898323E-2</v>
      </c>
      <c r="CA682" s="80">
        <f>IFERROR(VLOOKUP($H682,'1. Set Program Names'!$B$2:$D$15,3,0)*AA682,"NA")</f>
        <v>2.1034736699186311E-2</v>
      </c>
      <c r="CB682" s="80">
        <f>IFERROR(VLOOKUP($H682,'1. Set Program Names'!$B$2:$D$15,3,0)*AB682,"NA")</f>
        <v>2.7368475914901703E-2</v>
      </c>
      <c r="CC682" s="80">
        <f>IFERROR(VLOOKUP($H682,'1. Set Program Names'!$B$2:$D$15,3,0)*AC682,"NA")</f>
        <v>3.3900843138782506E-2</v>
      </c>
      <c r="CD682" s="80">
        <f>IFERROR(VLOOKUP($H682,'1. Set Program Names'!$B$2:$D$15,3,0)*AD682,"NA")</f>
        <v>4.008579111043558E-2</v>
      </c>
      <c r="CE682" s="80">
        <f>IFERROR(VLOOKUP($H682,'1. Set Program Names'!$B$2:$D$15,3,0)*AE682,"NA")</f>
        <v>4.5438123976251896E-2</v>
      </c>
    </row>
    <row r="683" spans="1:83" x14ac:dyDescent="0.25">
      <c r="A683" s="79" t="s">
        <v>115</v>
      </c>
      <c r="B683" s="79" t="s">
        <v>88</v>
      </c>
      <c r="C683" s="79" t="s">
        <v>176</v>
      </c>
      <c r="D683" s="79" t="s">
        <v>90</v>
      </c>
      <c r="E683" s="79" t="s">
        <v>91</v>
      </c>
      <c r="F683" s="79" t="s">
        <v>90</v>
      </c>
      <c r="G683" s="79" t="s">
        <v>92</v>
      </c>
      <c r="H683" s="79" t="s">
        <v>14</v>
      </c>
      <c r="I683" s="79" t="s">
        <v>155</v>
      </c>
      <c r="J683" s="79" t="s">
        <v>129</v>
      </c>
      <c r="K683" s="79" t="s">
        <v>102</v>
      </c>
      <c r="L683" s="79">
        <v>47228.7699999998</v>
      </c>
      <c r="M683" s="79">
        <v>5.6581998938837703</v>
      </c>
      <c r="N683" s="79">
        <v>5.4505995734426298</v>
      </c>
      <c r="O683" s="79">
        <v>11124</v>
      </c>
      <c r="P683" s="79">
        <v>2435.8852359673701</v>
      </c>
      <c r="Q683" s="79">
        <v>1681.32980504335</v>
      </c>
      <c r="R683" s="79">
        <v>16918.542729362998</v>
      </c>
      <c r="S683" s="79">
        <v>40712.4661763408</v>
      </c>
      <c r="T683" s="79">
        <v>11</v>
      </c>
      <c r="U683" s="79">
        <v>0.94999999999999896</v>
      </c>
      <c r="V683" s="79">
        <f>tbl_Data_old[[#This Row],[2025 ]]*IFERROR(AVERAGEIFS('Participation Adjustment'!$C:$C,'Participation Adjustment'!$A:$A,$H683,'Participation Adjustment'!$B:$B,$I683),1)</f>
        <v>0.18237709980316999</v>
      </c>
      <c r="W683" s="79">
        <f>tbl_Data_old[[#This Row],[2026 ]]*IFERROR(AVERAGEIFS('Participation Adjustment'!$C:$C,'Participation Adjustment'!$A:$A,$H683,'Participation Adjustment'!$B:$B,$I683),1)</f>
        <v>0.33482373528206499</v>
      </c>
      <c r="X683" s="79">
        <f>tbl_Data_old[[#This Row],[2027 ]]*IFERROR(AVERAGEIFS('Participation Adjustment'!$C:$C,'Participation Adjustment'!$A:$A,$H683,'Participation Adjustment'!$B:$B,$I683),1)</f>
        <v>0.46108790222714952</v>
      </c>
      <c r="Y683" s="79">
        <f>tbl_Data_old[[#This Row],[2028 ]]*IFERROR(AVERAGEIFS('Participation Adjustment'!$C:$C,'Participation Adjustment'!$A:$A,$H683,'Participation Adjustment'!$B:$B,$I683),1)</f>
        <v>0.56636720719845501</v>
      </c>
      <c r="Z683" s="79">
        <f>tbl_Data_old[[#This Row],[2029 ]]*IFERROR(AVERAGEIFS('Participation Adjustment'!$C:$C,'Participation Adjustment'!$A:$A,$H683,'Participation Adjustment'!$B:$B,$I683),1)</f>
        <v>0.65384374040656501</v>
      </c>
      <c r="AA683" s="79">
        <f>tbl_Data_old[[#This Row],[2030 ]]*IFERROR(AVERAGEIFS('Participation Adjustment'!$C:$C,'Participation Adjustment'!$A:$A,$H683,'Participation Adjustment'!$B:$B,$I683),1)</f>
        <v>0.72689484512315505</v>
      </c>
      <c r="AB683" s="79">
        <f>tbl_Data_old[[#This Row],[2031 ]]*IFERROR(AVERAGEIFS('Participation Adjustment'!$C:$C,'Participation Adjustment'!$A:$A,$H683,'Participation Adjustment'!$B:$B,$I683),1)</f>
        <v>0.78840094321195497</v>
      </c>
      <c r="AC683" s="79">
        <f>tbl_Data_old[[#This Row],[2032 ]]*IFERROR(AVERAGEIFS('Participation Adjustment'!$C:$C,'Participation Adjustment'!$A:$A,$H683,'Participation Adjustment'!$B:$B,$I683),1)</f>
        <v>0.84034350202164498</v>
      </c>
      <c r="AD683" s="79">
        <f>tbl_Data_old[[#This Row],[2033 ]]*IFERROR(AVERAGEIFS('Participation Adjustment'!$C:$C,'Participation Adjustment'!$A:$A,$H683,'Participation Adjustment'!$B:$B,$I683),1)</f>
        <v>0.88488428544544995</v>
      </c>
      <c r="AE683" s="79">
        <f>tbl_Data_old[[#This Row],[2034 ]]*IFERROR(AVERAGEIFS('Participation Adjustment'!$C:$C,'Participation Adjustment'!$A:$A,$H683,'Participation Adjustment'!$B:$B,$I683),1)</f>
        <v>0.92350530977769996</v>
      </c>
      <c r="AF683" s="77" t="str">
        <f t="shared" si="275"/>
        <v>NonResidential</v>
      </c>
      <c r="AG683" s="77" t="str">
        <f>tbl_Data[[#This Row],[All_Meas_Name_Append]]</f>
        <v>Smart thermostat</v>
      </c>
      <c r="AH683" s="77">
        <f>AVERAGEIFS('3. Incentive Adjustment'!G:G,'3. Incentive Adjustment'!A:A,tbl_Data[[#This Row],[Trimmed Sector]],'3. Incentive Adjustment'!B:B,tbl_Data[[#This Row],[Trimmed Measure Name]])</f>
        <v>0.87546479230069263</v>
      </c>
      <c r="AI683" s="77">
        <f>$AH683*tbl_Data[[#This Row],[2025 ]]</f>
        <v>0.1596647297995849</v>
      </c>
      <c r="AJ683" s="77">
        <f>$AH683*tbl_Data[[#This Row],[2026 ]]</f>
        <v>0.2931263918660551</v>
      </c>
      <c r="AK683" s="77">
        <f>$AH683*tbl_Data[[#This Row],[2027 ]]</f>
        <v>0.40366622455565354</v>
      </c>
      <c r="AL683" s="77">
        <f>$AH683*tbl_Data[[#This Row],[2028 ]]</f>
        <v>0.49583454941591876</v>
      </c>
      <c r="AM683" s="77">
        <f>$AH683*tbl_Data[[#This Row],[2029 ]]</f>
        <v>0.57241717439214146</v>
      </c>
      <c r="AN683" s="77">
        <f>$AH683*tbl_Data[[#This Row],[2030 ]]</f>
        <v>0.63637084461018711</v>
      </c>
      <c r="AO683" s="77">
        <f>$AH683*tbl_Data[[#This Row],[2031 ]]</f>
        <v>0.69021726799872429</v>
      </c>
      <c r="AP683" s="77">
        <f>$AH683*tbl_Data[[#This Row],[2032 ]]</f>
        <v>0.73569114945861613</v>
      </c>
      <c r="AQ683" s="77">
        <f>$AH683*tbl_Data[[#This Row],[2033 ]]</f>
        <v>0.77468503716764769</v>
      </c>
      <c r="AR683" s="77">
        <f>$AH683*tbl_Data[[#This Row],[2034 ]]</f>
        <v>0.80849638421312087</v>
      </c>
      <c r="AS683" s="77">
        <f>SUM(tbl_Data[[#This Row],[Adjusted 2025]:[Adjusted 2034]])</f>
        <v>5.57016975347765</v>
      </c>
      <c r="AT683" s="80">
        <f>AVERAGEIFS('3. Incentive Adjustment'!F:F,'3. Incentive Adjustment'!A:A,tbl_Data[[#This Row],[Trimmed Sector]],'3. Incentive Adjustment'!B:B,tbl_Data[[#This Row],[Trimmed Measure Name]])</f>
        <v>50</v>
      </c>
      <c r="AU683" s="80">
        <f>IFERROR(VLOOKUP(tbl_Data[[#This Row],[All_Meas_Name_Append]],'IRA Tax Credits'!$A$3:$D$46,4,0),0)</f>
        <v>0</v>
      </c>
      <c r="AV683" s="81">
        <f>tbl_Data[[#This Row],[Adj. per unit Incentive ($)]]/tbl_Data[[#This Row],[kWh Savings]]*tbl_Data[[#This Row],[Sum of Annuals]]</f>
        <v>5.8970091254522128E-3</v>
      </c>
      <c r="AW683" s="81">
        <f>IFERROR(VLOOKUP(tbl_Data[[#This Row],[Column1]],'1. Set Program Names'!$B$2:$D$15,3,0)*tbl_Data[[#This Row],[Sum of Annuals]],"")</f>
        <v>0.19829634406470859</v>
      </c>
      <c r="AX683" s="81">
        <f>tbl_Data[[#This Row],[per unit IRA tax ($)]]/tbl_Data[[#This Row],[kWh Savings]]*tbl_Data[[#This Row],[Sum of Annuals]]</f>
        <v>0</v>
      </c>
      <c r="AY683" s="81">
        <f>tbl_Data[[#This Row],[Avoided Costs ($/unit)]]/tbl_Data[[#This Row],[kWh Savings]]*tbl_Data[[#This Row],[Sum of Annuals]]</f>
        <v>1.9953760172881354</v>
      </c>
      <c r="AZ683" s="81">
        <f>tbl_Data[[#This Row],[Lost Revenue ($/unit)]]/tbl_Data[[#This Row],[kWh Savings]]*tbl_Data[[#This Row],[Sum of Annuals]]</f>
        <v>4.8016356912309242</v>
      </c>
      <c r="BA683" s="81">
        <f>tbl_Data[[#This Row],[Incremental Cost ($/unit)]]/tbl_Data[[#This Row],[kWh Savings]]*tbl_Data[[#This Row],[Sum of Annuals]]</f>
        <v>1.3119665902306081</v>
      </c>
      <c r="BB683" s="77">
        <f>ROUNDUP(tbl_Data[[#This Row],[Adjusted 2025]]/$L683,0)</f>
        <v>1</v>
      </c>
      <c r="BC683" s="77">
        <f>ROUNDUP(tbl_Data[[#This Row],[Adjusted 2026]]/$L683,0)</f>
        <v>1</v>
      </c>
      <c r="BD683" s="77">
        <f>ROUNDUP(tbl_Data[[#This Row],[Adjusted 2027]]/$L683,0)</f>
        <v>1</v>
      </c>
      <c r="BE683" s="77">
        <f>ROUNDUP(tbl_Data[[#This Row],[Adjusted 2028]]/$L683,0)</f>
        <v>1</v>
      </c>
      <c r="BF683" s="77">
        <f>ROUNDUP(tbl_Data[[#This Row],[Adjusted 2029]]/$L683,0)</f>
        <v>1</v>
      </c>
      <c r="BG683" s="77">
        <f>ROUNDUP(tbl_Data[[#This Row],[Adjusted 2030]]/$L683,0)</f>
        <v>1</v>
      </c>
      <c r="BH683" s="77">
        <f>ROUNDUP(tbl_Data[[#This Row],[Adjusted 2031]]/$L683,0)</f>
        <v>1</v>
      </c>
      <c r="BI683" s="77">
        <f>ROUNDUP(tbl_Data[[#This Row],[Adjusted 2032]]/$L683,0)</f>
        <v>1</v>
      </c>
      <c r="BJ683" s="77">
        <f>ROUNDUP(tbl_Data[[#This Row],[Adjusted 2033]]/$L683,0)</f>
        <v>1</v>
      </c>
      <c r="BK683" s="77">
        <f>ROUNDUP(tbl_Data[[#This Row],[Adjusted 2034]]/$L683,0)</f>
        <v>1</v>
      </c>
      <c r="BL683" s="80">
        <f t="shared" si="276"/>
        <v>1.9307839247472545E-4</v>
      </c>
      <c r="BM683" s="80">
        <f t="shared" si="277"/>
        <v>3.5447009871532374E-4</v>
      </c>
      <c r="BN683" s="80">
        <f t="shared" si="278"/>
        <v>4.8814303466631834E-4</v>
      </c>
      <c r="BO683" s="80">
        <f t="shared" si="279"/>
        <v>5.9959978546811343E-4</v>
      </c>
      <c r="BP683" s="80">
        <f t="shared" si="280"/>
        <v>6.9220915599386545E-4</v>
      </c>
      <c r="BQ683" s="80">
        <f t="shared" si="281"/>
        <v>7.6954666098985657E-4</v>
      </c>
      <c r="BR683" s="80">
        <f t="shared" si="282"/>
        <v>8.3466173606888173E-4</v>
      </c>
      <c r="BS683" s="80">
        <f t="shared" si="283"/>
        <v>8.8965211461324164E-4</v>
      </c>
      <c r="BT683" s="80">
        <f t="shared" si="284"/>
        <v>9.3680640576226492E-4</v>
      </c>
      <c r="BU683" s="80">
        <f t="shared" si="285"/>
        <v>9.7769358568697002E-4</v>
      </c>
      <c r="BV683" s="80">
        <f>IFERROR(VLOOKUP($H683,'1. Set Program Names'!$B$2:$D$15,3,0)*V683,"NA")</f>
        <v>6.4925691195522736E-3</v>
      </c>
      <c r="BW683" s="80">
        <f>IFERROR(VLOOKUP($H683,'1. Set Program Names'!$B$2:$D$15,3,0)*W683,"NA")</f>
        <v>1.1919622839334653E-2</v>
      </c>
      <c r="BX683" s="80">
        <f>IFERROR(VLOOKUP($H683,'1. Set Program Names'!$B$2:$D$15,3,0)*X683,"NA")</f>
        <v>1.6414588666175813E-2</v>
      </c>
      <c r="BY683" s="80">
        <f>IFERROR(VLOOKUP($H683,'1. Set Program Names'!$B$2:$D$15,3,0)*Y683,"NA")</f>
        <v>2.0162499808102762E-2</v>
      </c>
      <c r="BZ683" s="80">
        <f>IFERROR(VLOOKUP($H683,'1. Set Program Names'!$B$2:$D$15,3,0)*Z683,"NA")</f>
        <v>2.3276637705927763E-2</v>
      </c>
      <c r="CA683" s="80">
        <f>IFERROR(VLOOKUP($H683,'1. Set Program Names'!$B$2:$D$15,3,0)*AA683,"NA")</f>
        <v>2.5877234749876743E-2</v>
      </c>
      <c r="CB683" s="80">
        <f>IFERROR(VLOOKUP($H683,'1. Set Program Names'!$B$2:$D$15,3,0)*AB683,"NA")</f>
        <v>2.8066833079636751E-2</v>
      </c>
      <c r="CC683" s="80">
        <f>IFERROR(VLOOKUP($H683,'1. Set Program Names'!$B$2:$D$15,3,0)*AC683,"NA")</f>
        <v>2.9915972328381727E-2</v>
      </c>
      <c r="CD683" s="80">
        <f>IFERROR(VLOOKUP($H683,'1. Set Program Names'!$B$2:$D$15,3,0)*AD683,"NA")</f>
        <v>3.1501610631272624E-2</v>
      </c>
      <c r="CE683" s="80">
        <f>IFERROR(VLOOKUP($H683,'1. Set Program Names'!$B$2:$D$15,3,0)*AE683,"NA")</f>
        <v>3.2876507316304156E-2</v>
      </c>
    </row>
    <row r="684" spans="1:83" x14ac:dyDescent="0.25">
      <c r="A684" s="79" t="s">
        <v>116</v>
      </c>
      <c r="B684" s="79" t="s">
        <v>88</v>
      </c>
      <c r="C684" s="79" t="s">
        <v>176</v>
      </c>
      <c r="D684" s="79" t="s">
        <v>90</v>
      </c>
      <c r="E684" s="79" t="s">
        <v>91</v>
      </c>
      <c r="F684" s="79" t="s">
        <v>90</v>
      </c>
      <c r="G684" s="79" t="s">
        <v>92</v>
      </c>
      <c r="H684" s="79" t="s">
        <v>14</v>
      </c>
      <c r="I684" s="79" t="s">
        <v>157</v>
      </c>
      <c r="J684" s="79" t="s">
        <v>158</v>
      </c>
      <c r="K684" s="79" t="s">
        <v>159</v>
      </c>
      <c r="L684" s="79">
        <v>562.52</v>
      </c>
      <c r="M684" s="79">
        <v>6.7473359330379998E-2</v>
      </c>
      <c r="N684" s="79">
        <v>6.4973258375617293E-2</v>
      </c>
      <c r="O684" s="79">
        <v>169</v>
      </c>
      <c r="P684" s="79">
        <v>55.847956108163899</v>
      </c>
      <c r="Q684" s="79">
        <v>20.025540405413601</v>
      </c>
      <c r="R684" s="79">
        <v>240.47921618074301</v>
      </c>
      <c r="S684" s="79">
        <v>597.43584258705596</v>
      </c>
      <c r="T684" s="79">
        <v>15</v>
      </c>
      <c r="U684" s="79">
        <v>0.2</v>
      </c>
      <c r="V684" s="79">
        <f>tbl_Data_old[[#This Row],[2025 ]]*IFERROR(AVERAGEIFS('Participation Adjustment'!$C:$C,'Participation Adjustment'!$A:$A,$H684,'Participation Adjustment'!$B:$B,$I684),1)</f>
        <v>0.70258766430940511</v>
      </c>
      <c r="W684" s="79">
        <f>tbl_Data_old[[#This Row],[2026 ]]*IFERROR(AVERAGEIFS('Participation Adjustment'!$C:$C,'Participation Adjustment'!$A:$A,$H684,'Participation Adjustment'!$B:$B,$I684),1)</f>
        <v>0.799310952457704</v>
      </c>
      <c r="X684" s="79">
        <f>tbl_Data_old[[#This Row],[2027 ]]*IFERROR(AVERAGEIFS('Participation Adjustment'!$C:$C,'Participation Adjustment'!$A:$A,$H684,'Participation Adjustment'!$B:$B,$I684),1)</f>
        <v>0.88359847434934902</v>
      </c>
      <c r="Y684" s="79">
        <f>tbl_Data_old[[#This Row],[2028 ]]*IFERROR(AVERAGEIFS('Participation Adjustment'!$C:$C,'Participation Adjustment'!$A:$A,$H684,'Participation Adjustment'!$B:$B,$I684),1)</f>
        <v>0.96820036039382296</v>
      </c>
      <c r="Z684" s="79">
        <f>tbl_Data_old[[#This Row],[2029 ]]*IFERROR(AVERAGEIFS('Participation Adjustment'!$C:$C,'Participation Adjustment'!$A:$A,$H684,'Participation Adjustment'!$B:$B,$I684),1)</f>
        <v>1.0402603084111899</v>
      </c>
      <c r="AA684" s="79">
        <f>tbl_Data_old[[#This Row],[2030 ]]*IFERROR(AVERAGEIFS('Participation Adjustment'!$C:$C,'Participation Adjustment'!$A:$A,$H684,'Participation Adjustment'!$B:$B,$I684),1)</f>
        <v>1.1079018217202099</v>
      </c>
      <c r="AB684" s="79">
        <f>tbl_Data_old[[#This Row],[2031 ]]*IFERROR(AVERAGEIFS('Participation Adjustment'!$C:$C,'Participation Adjustment'!$A:$A,$H684,'Participation Adjustment'!$B:$B,$I684),1)</f>
        <v>1.1718648624716601</v>
      </c>
      <c r="AC684" s="79">
        <f>tbl_Data_old[[#This Row],[2032 ]]*IFERROR(AVERAGEIFS('Participation Adjustment'!$C:$C,'Participation Adjustment'!$A:$A,$H684,'Participation Adjustment'!$B:$B,$I684),1)</f>
        <v>1.2292396757107</v>
      </c>
      <c r="AD684" s="79">
        <f>tbl_Data_old[[#This Row],[2033 ]]*IFERROR(AVERAGEIFS('Participation Adjustment'!$C:$C,'Participation Adjustment'!$A:$A,$H684,'Participation Adjustment'!$B:$B,$I684),1)</f>
        <v>1.28613101800957</v>
      </c>
      <c r="AE684" s="79">
        <f>tbl_Data_old[[#This Row],[2034 ]]*IFERROR(AVERAGEIFS('Participation Adjustment'!$C:$C,'Participation Adjustment'!$A:$A,$H684,'Participation Adjustment'!$B:$B,$I684),1)</f>
        <v>1.3400210580802199</v>
      </c>
      <c r="AF684" s="77" t="str">
        <f t="shared" si="275"/>
        <v>NonResidential</v>
      </c>
      <c r="AG684" s="77" t="str">
        <f>tbl_Data[[#This Row],[All_Meas_Name_Append]]</f>
        <v>LED Exterior Wall Packs</v>
      </c>
      <c r="AH684" s="77">
        <f>AVERAGEIFS('3. Incentive Adjustment'!G:G,'3. Incentive Adjustment'!A:A,tbl_Data[[#This Row],[Trimmed Sector]],'3. Incentive Adjustment'!B:B,tbl_Data[[#This Row],[Trimmed Measure Name]])</f>
        <v>0.80637708305213962</v>
      </c>
      <c r="AI684" s="77">
        <f>$AH684*tbl_Data[[#This Row],[2025 ]]</f>
        <v>0.56655059133423391</v>
      </c>
      <c r="AJ684" s="77">
        <f>$AH684*tbl_Data[[#This Row],[2026 ]]</f>
        <v>0.64454603429447077</v>
      </c>
      <c r="AK684" s="77">
        <f>$AH684*tbl_Data[[#This Row],[2027 ]]</f>
        <v>0.7125135603351489</v>
      </c>
      <c r="AL684" s="77">
        <f>$AH684*tbl_Data[[#This Row],[2028 ]]</f>
        <v>0.7807345824244013</v>
      </c>
      <c r="AM684" s="77">
        <f>$AH684*tbl_Data[[#This Row],[2029 ]]</f>
        <v>0.83884207311153447</v>
      </c>
      <c r="AN684" s="77">
        <f>$AH684*tbl_Data[[#This Row],[2030 ]]</f>
        <v>0.89338663930689444</v>
      </c>
      <c r="AO684" s="77">
        <f>$AH684*tbl_Data[[#This Row],[2031 ]]</f>
        <v>0.94496496953119402</v>
      </c>
      <c r="AP684" s="77">
        <f>$AH684*tbl_Data[[#This Row],[2032 ]]</f>
        <v>0.99123070407155234</v>
      </c>
      <c r="AQ684" s="77">
        <f>$AH684*tbl_Data[[#This Row],[2033 ]]</f>
        <v>1.0371065787254359</v>
      </c>
      <c r="AR684" s="77">
        <f>$AH684*tbl_Data[[#This Row],[2034 ]]</f>
        <v>1.0805622720431696</v>
      </c>
      <c r="AS684" s="77">
        <f>SUM(tbl_Data[[#This Row],[Adjusted 2025]:[Adjusted 2034]])</f>
        <v>8.490438005178035</v>
      </c>
      <c r="AT684" s="80">
        <f>AVERAGEIFS('3. Incentive Adjustment'!F:F,'3. Incentive Adjustment'!A:A,tbl_Data[[#This Row],[Trimmed Sector]],'3. Incentive Adjustment'!B:B,tbl_Data[[#This Row],[Trimmed Measure Name]])</f>
        <v>8.6864493556481861</v>
      </c>
      <c r="AU684" s="80">
        <f>IFERROR(VLOOKUP(tbl_Data[[#This Row],[All_Meas_Name_Append]],'IRA Tax Credits'!$A$3:$D$46,4,0),0)</f>
        <v>0</v>
      </c>
      <c r="AV684" s="81">
        <f>tbl_Data[[#This Row],[Adj. per unit Incentive ($)]]/tbl_Data[[#This Row],[kWh Savings]]*tbl_Data[[#This Row],[Sum of Annuals]]</f>
        <v>0.13110957786256419</v>
      </c>
      <c r="AW684" s="81">
        <f>IFERROR(VLOOKUP(tbl_Data[[#This Row],[Column1]],'1. Set Program Names'!$B$2:$D$15,3,0)*tbl_Data[[#This Row],[Sum of Annuals]],"")</f>
        <v>0.3022570030085201</v>
      </c>
      <c r="AX684" s="81">
        <f>tbl_Data[[#This Row],[per unit IRA tax ($)]]/tbl_Data[[#This Row],[kWh Savings]]*tbl_Data[[#This Row],[Sum of Annuals]]</f>
        <v>0</v>
      </c>
      <c r="AY684" s="81">
        <f>tbl_Data[[#This Row],[Avoided Costs ($/unit)]]/tbl_Data[[#This Row],[kWh Savings]]*tbl_Data[[#This Row],[Sum of Annuals]]</f>
        <v>3.6296911692320366</v>
      </c>
      <c r="AZ684" s="81">
        <f>tbl_Data[[#This Row],[Lost Revenue ($/unit)]]/tbl_Data[[#This Row],[kWh Savings]]*tbl_Data[[#This Row],[Sum of Annuals]]</f>
        <v>9.0174429061308086</v>
      </c>
      <c r="BA684" s="81">
        <f>tbl_Data[[#This Row],[Incremental Cost ($/unit)]]/tbl_Data[[#This Row],[kWh Savings]]*tbl_Data[[#This Row],[Sum of Annuals]]</f>
        <v>2.5508142339385054</v>
      </c>
      <c r="BB684" s="77">
        <f>ROUNDUP(tbl_Data[[#This Row],[Adjusted 2025]]/$L684,0)</f>
        <v>1</v>
      </c>
      <c r="BC684" s="77">
        <f>ROUNDUP(tbl_Data[[#This Row],[Adjusted 2026]]/$L684,0)</f>
        <v>1</v>
      </c>
      <c r="BD684" s="77">
        <f>ROUNDUP(tbl_Data[[#This Row],[Adjusted 2027]]/$L684,0)</f>
        <v>1</v>
      </c>
      <c r="BE684" s="77">
        <f>ROUNDUP(tbl_Data[[#This Row],[Adjusted 2028]]/$L684,0)</f>
        <v>1</v>
      </c>
      <c r="BF684" s="77">
        <f>ROUNDUP(tbl_Data[[#This Row],[Adjusted 2029]]/$L684,0)</f>
        <v>1</v>
      </c>
      <c r="BG684" s="77">
        <f>ROUNDUP(tbl_Data[[#This Row],[Adjusted 2030]]/$L684,0)</f>
        <v>1</v>
      </c>
      <c r="BH684" s="77">
        <f>ROUNDUP(tbl_Data[[#This Row],[Adjusted 2031]]/$L684,0)</f>
        <v>1</v>
      </c>
      <c r="BI684" s="77">
        <f>ROUNDUP(tbl_Data[[#This Row],[Adjusted 2032]]/$L684,0)</f>
        <v>1</v>
      </c>
      <c r="BJ684" s="77">
        <f>ROUNDUP(tbl_Data[[#This Row],[Adjusted 2033]]/$L684,0)</f>
        <v>1</v>
      </c>
      <c r="BK684" s="77">
        <f>ROUNDUP(tbl_Data[[#This Row],[Adjusted 2034]]/$L684,0)</f>
        <v>1</v>
      </c>
      <c r="BL684" s="80">
        <f t="shared" si="276"/>
        <v>1.0849378091315502E-2</v>
      </c>
      <c r="BM684" s="80">
        <f t="shared" si="277"/>
        <v>1.234298177476136E-2</v>
      </c>
      <c r="BN684" s="80">
        <f t="shared" si="278"/>
        <v>1.3644552012663768E-2</v>
      </c>
      <c r="BO684" s="80">
        <f t="shared" si="279"/>
        <v>1.4950976670485075E-2</v>
      </c>
      <c r="BP684" s="80">
        <f t="shared" si="280"/>
        <v>1.6063728375355121E-2</v>
      </c>
      <c r="BQ684" s="80">
        <f t="shared" si="281"/>
        <v>1.7108250489587869E-2</v>
      </c>
      <c r="BR684" s="80">
        <f t="shared" si="282"/>
        <v>1.8095969529125545E-2</v>
      </c>
      <c r="BS684" s="80">
        <f t="shared" si="283"/>
        <v>1.8981952977697496E-2</v>
      </c>
      <c r="BT684" s="80">
        <f t="shared" si="284"/>
        <v>1.9860470654676055E-2</v>
      </c>
      <c r="BU684" s="80">
        <f t="shared" si="285"/>
        <v>2.069264213986334E-2</v>
      </c>
      <c r="BV684" s="80">
        <f>IFERROR(VLOOKUP($H684,'1. Set Program Names'!$B$2:$D$15,3,0)*V684,"NA")</f>
        <v>2.5011906527720295E-2</v>
      </c>
      <c r="BW684" s="80">
        <f>IFERROR(VLOOKUP($H684,'1. Set Program Names'!$B$2:$D$15,3,0)*W684,"NA")</f>
        <v>2.8455226080728598E-2</v>
      </c>
      <c r="BX684" s="80">
        <f>IFERROR(VLOOKUP($H684,'1. Set Program Names'!$B$2:$D$15,3,0)*X684,"NA")</f>
        <v>3.1455836148483213E-2</v>
      </c>
      <c r="BY684" s="80">
        <f>IFERROR(VLOOKUP($H684,'1. Set Program Names'!$B$2:$D$15,3,0)*Y684,"NA")</f>
        <v>3.4467637484182953E-2</v>
      </c>
      <c r="BZ684" s="80">
        <f>IFERROR(VLOOKUP($H684,'1. Set Program Names'!$B$2:$D$15,3,0)*Z684,"NA")</f>
        <v>3.7032949651988174E-2</v>
      </c>
      <c r="CA684" s="80">
        <f>IFERROR(VLOOKUP($H684,'1. Set Program Names'!$B$2:$D$15,3,0)*AA684,"NA")</f>
        <v>3.9440966892002938E-2</v>
      </c>
      <c r="CB684" s="80">
        <f>IFERROR(VLOOKUP($H684,'1. Set Program Names'!$B$2:$D$15,3,0)*AB684,"NA")</f>
        <v>4.1718031631072287E-2</v>
      </c>
      <c r="CC684" s="80">
        <f>IFERROR(VLOOKUP($H684,'1. Set Program Names'!$B$2:$D$15,3,0)*AC684,"NA")</f>
        <v>4.3760557480413569E-2</v>
      </c>
      <c r="CD684" s="80">
        <f>IFERROR(VLOOKUP($H684,'1. Set Program Names'!$B$2:$D$15,3,0)*AD684,"NA")</f>
        <v>4.5785871911765773E-2</v>
      </c>
      <c r="CE684" s="80">
        <f>IFERROR(VLOOKUP($H684,'1. Set Program Names'!$B$2:$D$15,3,0)*AE684,"NA")</f>
        <v>4.7704340899329171E-2</v>
      </c>
    </row>
    <row r="685" spans="1:83" x14ac:dyDescent="0.25">
      <c r="A685" s="79" t="s">
        <v>116</v>
      </c>
      <c r="B685" s="79" t="s">
        <v>88</v>
      </c>
      <c r="C685" s="79" t="s">
        <v>176</v>
      </c>
      <c r="D685" s="79" t="s">
        <v>90</v>
      </c>
      <c r="E685" s="79" t="s">
        <v>91</v>
      </c>
      <c r="F685" s="79" t="s">
        <v>90</v>
      </c>
      <c r="G685" s="79" t="s">
        <v>92</v>
      </c>
      <c r="H685" s="79" t="s">
        <v>14</v>
      </c>
      <c r="I685" s="79" t="s">
        <v>162</v>
      </c>
      <c r="J685" s="79" t="s">
        <v>161</v>
      </c>
      <c r="K685" s="79" t="s">
        <v>159</v>
      </c>
      <c r="L685" s="79">
        <v>725.58416666666596</v>
      </c>
      <c r="M685" s="79">
        <v>8.6917804178563804E-2</v>
      </c>
      <c r="N685" s="79">
        <v>8.3795205289933394E-2</v>
      </c>
      <c r="O685" s="79">
        <v>179</v>
      </c>
      <c r="P685" s="79">
        <v>33.0790753554421</v>
      </c>
      <c r="Q685" s="79">
        <v>25.8305749966432</v>
      </c>
      <c r="R685" s="79">
        <v>310.45187974046598</v>
      </c>
      <c r="S685" s="79">
        <v>770.62146764617603</v>
      </c>
      <c r="T685" s="79">
        <v>15</v>
      </c>
      <c r="U685" s="79">
        <v>0.2</v>
      </c>
      <c r="V685" s="79">
        <f>tbl_Data_old[[#This Row],[2025 ]]*IFERROR(AVERAGEIFS('Participation Adjustment'!$C:$C,'Participation Adjustment'!$A:$A,$H685,'Participation Adjustment'!$B:$B,$I685),1)</f>
        <v>5.4132583225570805</v>
      </c>
      <c r="W685" s="79">
        <f>tbl_Data_old[[#This Row],[2026 ]]*IFERROR(AVERAGEIFS('Participation Adjustment'!$C:$C,'Participation Adjustment'!$A:$A,$H685,'Participation Adjustment'!$B:$B,$I685),1)</f>
        <v>6.1584865284472503</v>
      </c>
      <c r="X685" s="79">
        <f>tbl_Data_old[[#This Row],[2027 ]]*IFERROR(AVERAGEIFS('Participation Adjustment'!$C:$C,'Participation Adjustment'!$A:$A,$H685,'Participation Adjustment'!$B:$B,$I685),1)</f>
        <v>6.8079003347886147</v>
      </c>
      <c r="Y685" s="79">
        <f>tbl_Data_old[[#This Row],[2028 ]]*IFERROR(AVERAGEIFS('Participation Adjustment'!$C:$C,'Participation Adjustment'!$A:$A,$H685,'Participation Adjustment'!$B:$B,$I685),1)</f>
        <v>7.45973623655388</v>
      </c>
      <c r="Z685" s="79">
        <f>tbl_Data_old[[#This Row],[2029 ]]*IFERROR(AVERAGEIFS('Participation Adjustment'!$C:$C,'Participation Adjustment'!$A:$A,$H685,'Participation Adjustment'!$B:$B,$I685),1)</f>
        <v>8.0149397124240309</v>
      </c>
      <c r="AA685" s="79">
        <f>tbl_Data_old[[#This Row],[2030 ]]*IFERROR(AVERAGEIFS('Participation Adjustment'!$C:$C,'Participation Adjustment'!$A:$A,$H685,'Participation Adjustment'!$B:$B,$I685),1)</f>
        <v>8.5361002785298048</v>
      </c>
      <c r="AB685" s="79">
        <f>tbl_Data_old[[#This Row],[2031 ]]*IFERROR(AVERAGEIFS('Participation Adjustment'!$C:$C,'Participation Adjustment'!$A:$A,$H685,'Participation Adjustment'!$B:$B,$I685),1)</f>
        <v>9.028919154056446</v>
      </c>
      <c r="AC685" s="79">
        <f>tbl_Data_old[[#This Row],[2032 ]]*IFERROR(AVERAGEIFS('Participation Adjustment'!$C:$C,'Participation Adjustment'!$A:$A,$H685,'Participation Adjustment'!$B:$B,$I685),1)</f>
        <v>9.4709774210153856</v>
      </c>
      <c r="AD685" s="79">
        <f>tbl_Data_old[[#This Row],[2033 ]]*IFERROR(AVERAGEIFS('Participation Adjustment'!$C:$C,'Participation Adjustment'!$A:$A,$H685,'Participation Adjustment'!$B:$B,$I685),1)</f>
        <v>9.9093106679897094</v>
      </c>
      <c r="AE685" s="79">
        <f>tbl_Data_old[[#This Row],[2034 ]]*IFERROR(AVERAGEIFS('Participation Adjustment'!$C:$C,'Participation Adjustment'!$A:$A,$H685,'Participation Adjustment'!$B:$B,$I685),1)</f>
        <v>10.324519648639951</v>
      </c>
      <c r="AF685" s="77" t="str">
        <f t="shared" si="275"/>
        <v>NonResidential</v>
      </c>
      <c r="AG685" s="77" t="str">
        <f>tbl_Data[[#This Row],[All_Meas_Name_Append]]</f>
        <v>LED High Bay_LF Baseline</v>
      </c>
      <c r="AH685" s="77">
        <f>AVERAGEIFS('3. Incentive Adjustment'!G:G,'3. Incentive Adjustment'!A:A,tbl_Data[[#This Row],[Trimmed Sector]],'3. Incentive Adjustment'!B:B,tbl_Data[[#This Row],[Trimmed Measure Name]])</f>
        <v>0.93017466414143679</v>
      </c>
      <c r="AI685" s="77">
        <f>$AH685*tbl_Data[[#This Row],[2025 ]]</f>
        <v>5.0352757420953695</v>
      </c>
      <c r="AJ685" s="77">
        <f>$AH685*tbl_Data[[#This Row],[2026 ]]</f>
        <v>5.7284681382179841</v>
      </c>
      <c r="AK685" s="77">
        <f>$AH685*tbl_Data[[#This Row],[2027 ]]</f>
        <v>6.3325364074203749</v>
      </c>
      <c r="AL685" s="77">
        <f>$AH685*tbl_Data[[#This Row],[2028 ]]</f>
        <v>6.9388576484202114</v>
      </c>
      <c r="AM685" s="77">
        <f>$AH685*tbl_Data[[#This Row],[2029 ]]</f>
        <v>7.4552938551178869</v>
      </c>
      <c r="AN685" s="77">
        <f>$AH685*tbl_Data[[#This Row],[2030 ]]</f>
        <v>7.9400642096590861</v>
      </c>
      <c r="AO685" s="77">
        <f>$AH685*tbl_Data[[#This Row],[2031 ]]</f>
        <v>8.3984718416846409</v>
      </c>
      <c r="AP685" s="77">
        <f>$AH685*tbl_Data[[#This Row],[2032 ]]</f>
        <v>8.8096632416841167</v>
      </c>
      <c r="AQ685" s="77">
        <f>$AH685*tbl_Data[[#This Row],[2033 ]]</f>
        <v>9.2173897224704842</v>
      </c>
      <c r="AR685" s="77">
        <f>$AH685*tbl_Data[[#This Row],[2034 ]]</f>
        <v>9.6036065965953323</v>
      </c>
      <c r="AS685" s="77">
        <f>SUM(tbl_Data[[#This Row],[Adjusted 2025]:[Adjusted 2034]])</f>
        <v>75.459627403365474</v>
      </c>
      <c r="AT685" s="80">
        <f>AVERAGEIFS('3. Incentive Adjustment'!F:F,'3. Incentive Adjustment'!A:A,tbl_Data[[#This Row],[Trimmed Sector]],'3. Incentive Adjustment'!B:B,tbl_Data[[#This Row],[Trimmed Measure Name]])</f>
        <v>23.858858929800434</v>
      </c>
      <c r="AU685" s="80">
        <f>IFERROR(VLOOKUP(tbl_Data[[#This Row],[All_Meas_Name_Append]],'IRA Tax Credits'!$A$3:$D$46,4,0),0)</f>
        <v>0</v>
      </c>
      <c r="AV685" s="81">
        <f>tbl_Data[[#This Row],[Adj. per unit Incentive ($)]]/tbl_Data[[#This Row],[kWh Savings]]*tbl_Data[[#This Row],[Sum of Annuals]]</f>
        <v>2.4812843055591318</v>
      </c>
      <c r="AW685" s="81">
        <f>IFERROR(VLOOKUP(tbl_Data[[#This Row],[Column1]],'1. Set Program Names'!$B$2:$D$15,3,0)*tbl_Data[[#This Row],[Sum of Annuals]],"")</f>
        <v>2.6863397168875012</v>
      </c>
      <c r="AX685" s="81">
        <f>tbl_Data[[#This Row],[per unit IRA tax ($)]]/tbl_Data[[#This Row],[kWh Savings]]*tbl_Data[[#This Row],[Sum of Annuals]]</f>
        <v>0</v>
      </c>
      <c r="AY685" s="81">
        <f>tbl_Data[[#This Row],[Avoided Costs ($/unit)]]/tbl_Data[[#This Row],[kWh Savings]]*tbl_Data[[#This Row],[Sum of Annuals]]</f>
        <v>32.286513747277212</v>
      </c>
      <c r="AZ685" s="81">
        <f>tbl_Data[[#This Row],[Lost Revenue ($/unit)]]/tbl_Data[[#This Row],[kWh Savings]]*tbl_Data[[#This Row],[Sum of Annuals]]</f>
        <v>80.1434368183087</v>
      </c>
      <c r="BA685" s="81">
        <f>tbl_Data[[#This Row],[Incremental Cost ($/unit)]]/tbl_Data[[#This Row],[kWh Savings]]*tbl_Data[[#This Row],[Sum of Annuals]]</f>
        <v>18.615722235581352</v>
      </c>
      <c r="BB685" s="77">
        <f>ROUNDUP(tbl_Data[[#This Row],[Adjusted 2025]]/$L685,0)</f>
        <v>1</v>
      </c>
      <c r="BC685" s="77">
        <f>ROUNDUP(tbl_Data[[#This Row],[Adjusted 2026]]/$L685,0)</f>
        <v>1</v>
      </c>
      <c r="BD685" s="77">
        <f>ROUNDUP(tbl_Data[[#This Row],[Adjusted 2027]]/$L685,0)</f>
        <v>1</v>
      </c>
      <c r="BE685" s="77">
        <f>ROUNDUP(tbl_Data[[#This Row],[Adjusted 2028]]/$L685,0)</f>
        <v>1</v>
      </c>
      <c r="BF685" s="77">
        <f>ROUNDUP(tbl_Data[[#This Row],[Adjusted 2029]]/$L685,0)</f>
        <v>1</v>
      </c>
      <c r="BG685" s="77">
        <f>ROUNDUP(tbl_Data[[#This Row],[Adjusted 2030]]/$L685,0)</f>
        <v>1</v>
      </c>
      <c r="BH685" s="77">
        <f>ROUNDUP(tbl_Data[[#This Row],[Adjusted 2031]]/$L685,0)</f>
        <v>1</v>
      </c>
      <c r="BI685" s="77">
        <f>ROUNDUP(tbl_Data[[#This Row],[Adjusted 2032]]/$L685,0)</f>
        <v>1</v>
      </c>
      <c r="BJ685" s="77">
        <f>ROUNDUP(tbl_Data[[#This Row],[Adjusted 2033]]/$L685,0)</f>
        <v>1</v>
      </c>
      <c r="BK685" s="77">
        <f>ROUNDUP(tbl_Data[[#This Row],[Adjusted 2034]]/$L685,0)</f>
        <v>1</v>
      </c>
      <c r="BL685" s="80">
        <f t="shared" si="276"/>
        <v>0.17800025496944319</v>
      </c>
      <c r="BM685" s="80">
        <f t="shared" si="277"/>
        <v>0.20250505462145946</v>
      </c>
      <c r="BN685" s="80">
        <f t="shared" si="278"/>
        <v>0.22385925872950119</v>
      </c>
      <c r="BO685" s="80">
        <f t="shared" si="279"/>
        <v>0.24529310684810457</v>
      </c>
      <c r="BP685" s="80">
        <f t="shared" si="280"/>
        <v>0.2635494608545258</v>
      </c>
      <c r="BQ685" s="80">
        <f t="shared" si="281"/>
        <v>0.28068640650152876</v>
      </c>
      <c r="BR685" s="80">
        <f t="shared" si="282"/>
        <v>0.29689141285268678</v>
      </c>
      <c r="BS685" s="80">
        <f t="shared" si="283"/>
        <v>0.3114272948559812</v>
      </c>
      <c r="BT685" s="80">
        <f t="shared" si="284"/>
        <v>0.32584068972352143</v>
      </c>
      <c r="BU685" s="80">
        <f t="shared" si="285"/>
        <v>0.33949370608030111</v>
      </c>
      <c r="BV685" s="80">
        <f>IFERROR(VLOOKUP($H685,'1. Set Program Names'!$B$2:$D$15,3,0)*V685,"NA")</f>
        <v>0.19271034498917147</v>
      </c>
      <c r="BW685" s="80">
        <f>IFERROR(VLOOKUP($H685,'1. Set Program Names'!$B$2:$D$15,3,0)*W685,"NA")</f>
        <v>0.21924024178983198</v>
      </c>
      <c r="BX685" s="80">
        <f>IFERROR(VLOOKUP($H685,'1. Set Program Names'!$B$2:$D$15,3,0)*X685,"NA")</f>
        <v>0.24235917519437311</v>
      </c>
      <c r="BY685" s="80">
        <f>IFERROR(VLOOKUP($H685,'1. Set Program Names'!$B$2:$D$15,3,0)*Y685,"NA")</f>
        <v>0.26556433445715416</v>
      </c>
      <c r="BZ685" s="80">
        <f>IFERROR(VLOOKUP($H685,'1. Set Program Names'!$B$2:$D$15,3,0)*Z685,"NA")</f>
        <v>0.28532940883542307</v>
      </c>
      <c r="CA685" s="80">
        <f>IFERROR(VLOOKUP($H685,'1. Set Program Names'!$B$2:$D$15,3,0)*AA685,"NA")</f>
        <v>0.30388256601074032</v>
      </c>
      <c r="CB685" s="80">
        <f>IFERROR(VLOOKUP($H685,'1. Set Program Names'!$B$2:$D$15,3,0)*AB685,"NA")</f>
        <v>0.32142676764696532</v>
      </c>
      <c r="CC685" s="80">
        <f>IFERROR(VLOOKUP($H685,'1. Set Program Names'!$B$2:$D$15,3,0)*AC685,"NA")</f>
        <v>0.33716390710251071</v>
      </c>
      <c r="CD685" s="80">
        <f>IFERROR(VLOOKUP($H685,'1. Set Program Names'!$B$2:$D$15,3,0)*AD685,"NA")</f>
        <v>0.35276843698290694</v>
      </c>
      <c r="CE685" s="80">
        <f>IFERROR(VLOOKUP($H685,'1. Set Program Names'!$B$2:$D$15,3,0)*AE685,"NA")</f>
        <v>0.36754975003613538</v>
      </c>
    </row>
    <row r="686" spans="1:83" x14ac:dyDescent="0.25">
      <c r="A686" s="79" t="s">
        <v>116</v>
      </c>
      <c r="B686" s="79" t="s">
        <v>88</v>
      </c>
      <c r="C686" s="79" t="s">
        <v>176</v>
      </c>
      <c r="D686" s="79" t="s">
        <v>90</v>
      </c>
      <c r="E686" s="79" t="s">
        <v>91</v>
      </c>
      <c r="F686" s="79" t="s">
        <v>90</v>
      </c>
      <c r="G686" s="79" t="s">
        <v>92</v>
      </c>
      <c r="H686" s="79" t="s">
        <v>14</v>
      </c>
      <c r="I686" s="79" t="s">
        <v>165</v>
      </c>
      <c r="J686" s="79" t="s">
        <v>161</v>
      </c>
      <c r="K686" s="79" t="s">
        <v>166</v>
      </c>
      <c r="L686" s="79">
        <v>565.38999999999896</v>
      </c>
      <c r="M686" s="79">
        <v>6.7728127941350899E-2</v>
      </c>
      <c r="N686" s="79">
        <v>6.5294935157718198E-2</v>
      </c>
      <c r="O686" s="79">
        <v>129</v>
      </c>
      <c r="P686" s="79">
        <v>15.293574707506</v>
      </c>
      <c r="Q686" s="79">
        <v>20.127711529930998</v>
      </c>
      <c r="R686" s="79">
        <v>190.6779313312</v>
      </c>
      <c r="S686" s="79">
        <v>454.767236260907</v>
      </c>
      <c r="T686" s="79">
        <v>10</v>
      </c>
      <c r="U686" s="79">
        <v>0.2</v>
      </c>
      <c r="V686" s="79">
        <f>tbl_Data_old[[#This Row],[2025 ]]*IFERROR(AVERAGEIFS('Participation Adjustment'!$C:$C,'Participation Adjustment'!$A:$A,$H686,'Participation Adjustment'!$B:$B,$I686),1)</f>
        <v>4.3179563081078301E-2</v>
      </c>
      <c r="W686" s="79">
        <f>tbl_Data_old[[#This Row],[2026 ]]*IFERROR(AVERAGEIFS('Participation Adjustment'!$C:$C,'Participation Adjustment'!$A:$A,$H686,'Participation Adjustment'!$B:$B,$I686),1)</f>
        <v>5.9620790401529497E-2</v>
      </c>
      <c r="X686" s="79">
        <f>tbl_Data_old[[#This Row],[2027 ]]*IFERROR(AVERAGEIFS('Participation Adjustment'!$C:$C,'Participation Adjustment'!$A:$A,$H686,'Participation Adjustment'!$B:$B,$I686),1)</f>
        <v>7.9760957073380698E-2</v>
      </c>
      <c r="Y686" s="79">
        <f>tbl_Data_old[[#This Row],[2028 ]]*IFERROR(AVERAGEIFS('Participation Adjustment'!$C:$C,'Participation Adjustment'!$A:$A,$H686,'Participation Adjustment'!$B:$B,$I686),1)</f>
        <v>0.10404550990453899</v>
      </c>
      <c r="Z686" s="79">
        <f>tbl_Data_old[[#This Row],[2029 ]]*IFERROR(AVERAGEIFS('Participation Adjustment'!$C:$C,'Participation Adjustment'!$A:$A,$H686,'Participation Adjustment'!$B:$B,$I686),1)</f>
        <v>0.12989260583735701</v>
      </c>
      <c r="AA686" s="79">
        <f>tbl_Data_old[[#This Row],[2030 ]]*IFERROR(AVERAGEIFS('Participation Adjustment'!$C:$C,'Participation Adjustment'!$A:$A,$H686,'Participation Adjustment'!$B:$B,$I686),1)</f>
        <v>0.15418516998076301</v>
      </c>
      <c r="AB686" s="79">
        <f>tbl_Data_old[[#This Row],[2031 ]]*IFERROR(AVERAGEIFS('Participation Adjustment'!$C:$C,'Participation Adjustment'!$A:$A,$H686,'Participation Adjustment'!$B:$B,$I686),1)</f>
        <v>0.17183801046261099</v>
      </c>
      <c r="AC686" s="79">
        <f>tbl_Data_old[[#This Row],[2032 ]]*IFERROR(AVERAGEIFS('Participation Adjustment'!$C:$C,'Participation Adjustment'!$A:$A,$H686,'Participation Adjustment'!$B:$B,$I686),1)</f>
        <v>0.177226899641035</v>
      </c>
      <c r="AD686" s="79">
        <f>tbl_Data_old[[#This Row],[2033 ]]*IFERROR(AVERAGEIFS('Participation Adjustment'!$C:$C,'Participation Adjustment'!$A:$A,$H686,'Participation Adjustment'!$B:$B,$I686),1)</f>
        <v>0.167801205079812</v>
      </c>
      <c r="AE686" s="79">
        <f>tbl_Data_old[[#This Row],[2034 ]]*IFERROR(AVERAGEIFS('Participation Adjustment'!$C:$C,'Participation Adjustment'!$A:$A,$H686,'Participation Adjustment'!$B:$B,$I686),1)</f>
        <v>0.145211862857442</v>
      </c>
      <c r="AF686" s="77" t="str">
        <f t="shared" si="275"/>
        <v>NonResidential</v>
      </c>
      <c r="AG686" s="77" t="str">
        <f>tbl_Data[[#This Row],[All_Meas_Name_Append]]</f>
        <v>Occupancy Sensors_ Ceiling Mounted</v>
      </c>
      <c r="AH686" s="77">
        <f>AVERAGEIFS('3. Incentive Adjustment'!G:G,'3. Incentive Adjustment'!A:A,tbl_Data[[#This Row],[Trimmed Sector]],'3. Incentive Adjustment'!B:B,tbl_Data[[#This Row],[Trimmed Measure Name]])</f>
        <v>0.99348124042467356</v>
      </c>
      <c r="AI686" s="77">
        <f>$AH686*tbl_Data[[#This Row],[2025 ]]</f>
        <v>4.2898085890785108E-2</v>
      </c>
      <c r="AJ686" s="77">
        <f>$AH686*tbl_Data[[#This Row],[2026 ]]</f>
        <v>5.9232136803210995E-2</v>
      </c>
      <c r="AK686" s="77">
        <f>$AH686*tbl_Data[[#This Row],[2027 ]]</f>
        <v>7.9241014570721399E-2</v>
      </c>
      <c r="AL686" s="77">
        <f>$AH686*tbl_Data[[#This Row],[2028 ]]</f>
        <v>0.10336726224057906</v>
      </c>
      <c r="AM686" s="77">
        <f>$AH686*tbl_Data[[#This Row],[2029 ]]</f>
        <v>0.12904586716929065</v>
      </c>
      <c r="AN686" s="77">
        <f>$AH686*tbl_Data[[#This Row],[2030 ]]</f>
        <v>0.15318007392757757</v>
      </c>
      <c r="AO686" s="77">
        <f>$AH686*tbl_Data[[#This Row],[2031 ]]</f>
        <v>0.17071783978650279</v>
      </c>
      <c r="AP686" s="77">
        <f>$AH686*tbl_Data[[#This Row],[2032 ]]</f>
        <v>0.17607160009199457</v>
      </c>
      <c r="AQ686" s="77">
        <f>$AH686*tbl_Data[[#This Row],[2033 ]]</f>
        <v>0.16670734936744666</v>
      </c>
      <c r="AR686" s="77">
        <f>$AH686*tbl_Data[[#This Row],[2034 ]]</f>
        <v>0.14426526163598907</v>
      </c>
      <c r="AS686" s="77">
        <f>SUM(tbl_Data[[#This Row],[Adjusted 2025]:[Adjusted 2034]])</f>
        <v>1.2247264914840978</v>
      </c>
      <c r="AT686" s="80">
        <f>AVERAGEIFS('3. Incentive Adjustment'!F:F,'3. Incentive Adjustment'!A:A,tbl_Data[[#This Row],[Trimmed Sector]],'3. Incentive Adjustment'!B:B,tbl_Data[[#This Row],[Trimmed Measure Name]])</f>
        <v>19.547634357270656</v>
      </c>
      <c r="AU686" s="80">
        <f>IFERROR(VLOOKUP(tbl_Data[[#This Row],[All_Meas_Name_Append]],'IRA Tax Credits'!$A$3:$D$46,4,0),0)</f>
        <v>0</v>
      </c>
      <c r="AV686" s="81">
        <f>tbl_Data[[#This Row],[Adj. per unit Incentive ($)]]/tbl_Data[[#This Row],[kWh Savings]]*tbl_Data[[#This Row],[Sum of Annuals]]</f>
        <v>4.2343348207775418E-2</v>
      </c>
      <c r="AW686" s="81">
        <f>IFERROR(VLOOKUP(tbl_Data[[#This Row],[Column1]],'1. Set Program Names'!$B$2:$D$15,3,0)*tbl_Data[[#This Row],[Sum of Annuals]],"")</f>
        <v>4.3599889498676214E-2</v>
      </c>
      <c r="AX686" s="81">
        <f>tbl_Data[[#This Row],[per unit IRA tax ($)]]/tbl_Data[[#This Row],[kWh Savings]]*tbl_Data[[#This Row],[Sum of Annuals]]</f>
        <v>0</v>
      </c>
      <c r="AY686" s="81">
        <f>tbl_Data[[#This Row],[Avoided Costs ($/unit)]]/tbl_Data[[#This Row],[kWh Savings]]*tbl_Data[[#This Row],[Sum of Annuals]]</f>
        <v>0.41303934247635571</v>
      </c>
      <c r="AZ686" s="81">
        <f>tbl_Data[[#This Row],[Lost Revenue ($/unit)]]/tbl_Data[[#This Row],[kWh Savings]]*tbl_Data[[#This Row],[Sum of Annuals]]</f>
        <v>0.98509963336412298</v>
      </c>
      <c r="BA686" s="81">
        <f>tbl_Data[[#This Row],[Incremental Cost ($/unit)]]/tbl_Data[[#This Row],[kWh Savings]]*tbl_Data[[#This Row],[Sum of Annuals]]</f>
        <v>0.27943493411883641</v>
      </c>
      <c r="BB686" s="77">
        <f>ROUNDUP(tbl_Data[[#This Row],[Adjusted 2025]]/$L686,0)</f>
        <v>1</v>
      </c>
      <c r="BC686" s="77">
        <f>ROUNDUP(tbl_Data[[#This Row],[Adjusted 2026]]/$L686,0)</f>
        <v>1</v>
      </c>
      <c r="BD686" s="77">
        <f>ROUNDUP(tbl_Data[[#This Row],[Adjusted 2027]]/$L686,0)</f>
        <v>1</v>
      </c>
      <c r="BE686" s="77">
        <f>ROUNDUP(tbl_Data[[#This Row],[Adjusted 2028]]/$L686,0)</f>
        <v>1</v>
      </c>
      <c r="BF686" s="77">
        <f>ROUNDUP(tbl_Data[[#This Row],[Adjusted 2029]]/$L686,0)</f>
        <v>1</v>
      </c>
      <c r="BG686" s="77">
        <f>ROUNDUP(tbl_Data[[#This Row],[Adjusted 2030]]/$L686,0)</f>
        <v>1</v>
      </c>
      <c r="BH686" s="77">
        <f>ROUNDUP(tbl_Data[[#This Row],[Adjusted 2031]]/$L686,0)</f>
        <v>1</v>
      </c>
      <c r="BI686" s="77">
        <f>ROUNDUP(tbl_Data[[#This Row],[Adjusted 2032]]/$L686,0)</f>
        <v>1</v>
      </c>
      <c r="BJ686" s="77">
        <f>ROUNDUP(tbl_Data[[#This Row],[Adjusted 2033]]/$L686,0)</f>
        <v>1</v>
      </c>
      <c r="BK686" s="77">
        <f>ROUNDUP(tbl_Data[[#This Row],[Adjusted 2034]]/$L686,0)</f>
        <v>1</v>
      </c>
      <c r="BL686" s="80">
        <f t="shared" si="276"/>
        <v>1.4928780325361667E-3</v>
      </c>
      <c r="BM686" s="80">
        <f t="shared" si="277"/>
        <v>2.0613123876626269E-3</v>
      </c>
      <c r="BN686" s="80">
        <f t="shared" si="278"/>
        <v>2.7576328284129705E-3</v>
      </c>
      <c r="BO686" s="80">
        <f t="shared" si="279"/>
        <v>3.5972401070583394E-3</v>
      </c>
      <c r="BP686" s="80">
        <f t="shared" si="280"/>
        <v>4.4908703100899191E-3</v>
      </c>
      <c r="BQ686" s="80">
        <f t="shared" si="281"/>
        <v>5.3307545695848611E-3</v>
      </c>
      <c r="BR686" s="80">
        <f t="shared" si="282"/>
        <v>5.9410788963440726E-3</v>
      </c>
      <c r="BS686" s="80">
        <f t="shared" si="283"/>
        <v>6.1273928305340744E-3</v>
      </c>
      <c r="BT686" s="80">
        <f t="shared" si="284"/>
        <v>5.8015115258663198E-3</v>
      </c>
      <c r="BU686" s="80">
        <f t="shared" si="285"/>
        <v>5.0205139805716637E-3</v>
      </c>
      <c r="BV686" s="80">
        <f>IFERROR(VLOOKUP($H686,'1. Set Program Names'!$B$2:$D$15,3,0)*V686,"NA")</f>
        <v>1.5371792739249141E-3</v>
      </c>
      <c r="BW686" s="80">
        <f>IFERROR(VLOOKUP($H686,'1. Set Program Names'!$B$2:$D$15,3,0)*W686,"NA")</f>
        <v>2.1224819511991206E-3</v>
      </c>
      <c r="BX686" s="80">
        <f>IFERROR(VLOOKUP($H686,'1. Set Program Names'!$B$2:$D$15,3,0)*X686,"NA")</f>
        <v>2.8394657410357885E-3</v>
      </c>
      <c r="BY686" s="80">
        <f>IFERROR(VLOOKUP($H686,'1. Set Program Names'!$B$2:$D$15,3,0)*Y686,"NA")</f>
        <v>3.703988413914555E-3</v>
      </c>
      <c r="BZ686" s="80">
        <f>IFERROR(VLOOKUP($H686,'1. Set Program Names'!$B$2:$D$15,3,0)*Z686,"NA")</f>
        <v>4.6241371445645786E-3</v>
      </c>
      <c r="CA686" s="80">
        <f>IFERROR(VLOOKUP($H686,'1. Set Program Names'!$B$2:$D$15,3,0)*AA686,"NA")</f>
        <v>5.4889450177155429E-3</v>
      </c>
      <c r="CB686" s="80">
        <f>IFERROR(VLOOKUP($H686,'1. Set Program Names'!$B$2:$D$15,3,0)*AB686,"NA")</f>
        <v>6.1173807539374892E-3</v>
      </c>
      <c r="CC686" s="80">
        <f>IFERROR(VLOOKUP($H686,'1. Set Program Names'!$B$2:$D$15,3,0)*AC686,"NA")</f>
        <v>6.3092235648292373E-3</v>
      </c>
      <c r="CD686" s="80">
        <f>IFERROR(VLOOKUP($H686,'1. Set Program Names'!$B$2:$D$15,3,0)*AD686,"NA")</f>
        <v>5.973671713721972E-3</v>
      </c>
      <c r="CE686" s="80">
        <f>IFERROR(VLOOKUP($H686,'1. Set Program Names'!$B$2:$D$15,3,0)*AE686,"NA")</f>
        <v>5.1694980213985208E-3</v>
      </c>
    </row>
    <row r="687" spans="1:83" x14ac:dyDescent="0.25">
      <c r="A687" s="79" t="s">
        <v>116</v>
      </c>
      <c r="B687" s="79" t="s">
        <v>88</v>
      </c>
      <c r="C687" s="79" t="s">
        <v>176</v>
      </c>
      <c r="D687" s="79" t="s">
        <v>90</v>
      </c>
      <c r="E687" s="79" t="s">
        <v>91</v>
      </c>
      <c r="F687" s="79" t="s">
        <v>90</v>
      </c>
      <c r="G687" s="79" t="s">
        <v>92</v>
      </c>
      <c r="H687" s="79" t="s">
        <v>14</v>
      </c>
      <c r="I687" s="79" t="s">
        <v>155</v>
      </c>
      <c r="J687" s="79" t="s">
        <v>129</v>
      </c>
      <c r="K687" s="79" t="s">
        <v>102</v>
      </c>
      <c r="L687" s="79">
        <v>47228.7699999998</v>
      </c>
      <c r="M687" s="79">
        <v>5.6581998938837703</v>
      </c>
      <c r="N687" s="79">
        <v>5.4505995734426298</v>
      </c>
      <c r="O687" s="79">
        <v>11124</v>
      </c>
      <c r="P687" s="79">
        <v>2435.8852359673701</v>
      </c>
      <c r="Q687" s="79">
        <v>1681.32980504335</v>
      </c>
      <c r="R687" s="79">
        <v>16918.542729362998</v>
      </c>
      <c r="S687" s="79">
        <v>40712.4661763408</v>
      </c>
      <c r="T687" s="79">
        <v>11</v>
      </c>
      <c r="U687" s="79">
        <v>0.94999999999999896</v>
      </c>
      <c r="V687" s="79">
        <f>tbl_Data_old[[#This Row],[2025 ]]*IFERROR(AVERAGEIFS('Participation Adjustment'!$C:$C,'Participation Adjustment'!$A:$A,$H687,'Participation Adjustment'!$B:$B,$I687),1)</f>
        <v>0.175685652864155</v>
      </c>
      <c r="W687" s="79">
        <f>tbl_Data_old[[#This Row],[2026 ]]*IFERROR(AVERAGEIFS('Participation Adjustment'!$C:$C,'Participation Adjustment'!$A:$A,$H687,'Participation Adjustment'!$B:$B,$I687),1)</f>
        <v>0.146853342387605</v>
      </c>
      <c r="X687" s="79">
        <f>tbl_Data_old[[#This Row],[2027 ]]*IFERROR(AVERAGEIFS('Participation Adjustment'!$C:$C,'Participation Adjustment'!$A:$A,$H687,'Participation Adjustment'!$B:$B,$I687),1)</f>
        <v>0.1216315130958685</v>
      </c>
      <c r="Y687" s="79">
        <f>tbl_Data_old[[#This Row],[2028 ]]*IFERROR(AVERAGEIFS('Participation Adjustment'!$C:$C,'Participation Adjustment'!$A:$A,$H687,'Participation Adjustment'!$B:$B,$I687),1)</f>
        <v>0.1014165892918065</v>
      </c>
      <c r="Z687" s="79">
        <f>tbl_Data_old[[#This Row],[2029 ]]*IFERROR(AVERAGEIFS('Participation Adjustment'!$C:$C,'Participation Adjustment'!$A:$A,$H687,'Participation Adjustment'!$B:$B,$I687),1)</f>
        <v>8.4267004265037998E-2</v>
      </c>
      <c r="AA687" s="79">
        <f>tbl_Data_old[[#This Row],[2030 ]]*IFERROR(AVERAGEIFS('Participation Adjustment'!$C:$C,'Participation Adjustment'!$A:$A,$H687,'Participation Adjustment'!$B:$B,$I687),1)</f>
        <v>7.0370847208521506E-2</v>
      </c>
      <c r="AB687" s="79">
        <f>tbl_Data_old[[#This Row],[2031 ]]*IFERROR(AVERAGEIFS('Participation Adjustment'!$C:$C,'Participation Adjustment'!$A:$A,$H687,'Participation Adjustment'!$B:$B,$I687),1)</f>
        <v>5.9249428845614002E-2</v>
      </c>
      <c r="AC687" s="79">
        <f>tbl_Data_old[[#This Row],[2032 ]]*IFERROR(AVERAGEIFS('Participation Adjustment'!$C:$C,'Participation Adjustment'!$A:$A,$H687,'Participation Adjustment'!$B:$B,$I687),1)</f>
        <v>5.0036777455965999E-2</v>
      </c>
      <c r="AD687" s="79">
        <f>tbl_Data_old[[#This Row],[2033 ]]*IFERROR(AVERAGEIFS('Participation Adjustment'!$C:$C,'Participation Adjustment'!$A:$A,$H687,'Participation Adjustment'!$B:$B,$I687),1)</f>
        <v>4.2906574473094698E-2</v>
      </c>
      <c r="AE687" s="79">
        <f>tbl_Data_old[[#This Row],[2034 ]]*IFERROR(AVERAGEIFS('Participation Adjustment'!$C:$C,'Participation Adjustment'!$A:$A,$H687,'Participation Adjustment'!$B:$B,$I687),1)</f>
        <v>3.7204012353616998E-2</v>
      </c>
      <c r="AF687" s="77" t="str">
        <f t="shared" si="275"/>
        <v>NonResidential</v>
      </c>
      <c r="AG687" s="77" t="str">
        <f>tbl_Data[[#This Row],[All_Meas_Name_Append]]</f>
        <v>Smart thermostat</v>
      </c>
      <c r="AH687" s="77">
        <f>AVERAGEIFS('3. Incentive Adjustment'!G:G,'3. Incentive Adjustment'!A:A,tbl_Data[[#This Row],[Trimmed Sector]],'3. Incentive Adjustment'!B:B,tbl_Data[[#This Row],[Trimmed Measure Name]])</f>
        <v>0.87546479230069263</v>
      </c>
      <c r="AI687" s="77">
        <f>$AH687*tbl_Data[[#This Row],[2025 ]]</f>
        <v>0.15380660359492904</v>
      </c>
      <c r="AJ687" s="77">
        <f>$AH687*tbl_Data[[#This Row],[2026 ]]</f>
        <v>0.12856493089202711</v>
      </c>
      <c r="AK687" s="77">
        <f>$AH687*tbl_Data[[#This Row],[2027 ]]</f>
        <v>0.10648410734969349</v>
      </c>
      <c r="AL687" s="77">
        <f>$AH687*tbl_Data[[#This Row],[2028 ]]</f>
        <v>8.8786653280196026E-2</v>
      </c>
      <c r="AM687" s="77">
        <f>$AH687*tbl_Data[[#This Row],[2029 ]]</f>
        <v>7.3772795386693069E-2</v>
      </c>
      <c r="AN687" s="77">
        <f>$AH687*tbl_Data[[#This Row],[2030 ]]</f>
        <v>6.1607199135432056E-2</v>
      </c>
      <c r="AO687" s="77">
        <f>$AH687*tbl_Data[[#This Row],[2031 ]]</f>
        <v>5.1870788918260129E-2</v>
      </c>
      <c r="AP687" s="77">
        <f>$AH687*tbl_Data[[#This Row],[2032 ]]</f>
        <v>4.380543698288325E-2</v>
      </c>
      <c r="AQ687" s="77">
        <f>$AH687*tbl_Data[[#This Row],[2033 ]]</f>
        <v>3.7563195309422051E-2</v>
      </c>
      <c r="AR687" s="77">
        <f>$AH687*tbl_Data[[#This Row],[2034 ]]</f>
        <v>3.257080294791171E-2</v>
      </c>
      <c r="AS687" s="77">
        <f>SUM(tbl_Data[[#This Row],[Adjusted 2025]:[Adjusted 2034]])</f>
        <v>0.778832513797448</v>
      </c>
      <c r="AT687" s="80">
        <f>AVERAGEIFS('3. Incentive Adjustment'!F:F,'3. Incentive Adjustment'!A:A,tbl_Data[[#This Row],[Trimmed Sector]],'3. Incentive Adjustment'!B:B,tbl_Data[[#This Row],[Trimmed Measure Name]])</f>
        <v>50</v>
      </c>
      <c r="AU687" s="80">
        <f>IFERROR(VLOOKUP(tbl_Data[[#This Row],[All_Meas_Name_Append]],'IRA Tax Credits'!$A$3:$D$46,4,0),0)</f>
        <v>0</v>
      </c>
      <c r="AV687" s="81">
        <f>tbl_Data[[#This Row],[Adj. per unit Incentive ($)]]/tbl_Data[[#This Row],[kWh Savings]]*tbl_Data[[#This Row],[Sum of Annuals]]</f>
        <v>8.2453186246164289E-4</v>
      </c>
      <c r="AW687" s="81">
        <f>IFERROR(VLOOKUP(tbl_Data[[#This Row],[Column1]],'1. Set Program Names'!$B$2:$D$15,3,0)*tbl_Data[[#This Row],[Sum of Annuals]],"")</f>
        <v>2.7726199911293301E-2</v>
      </c>
      <c r="AX687" s="81">
        <f>tbl_Data[[#This Row],[per unit IRA tax ($)]]/tbl_Data[[#This Row],[kWh Savings]]*tbl_Data[[#This Row],[Sum of Annuals]]</f>
        <v>0</v>
      </c>
      <c r="AY687" s="81">
        <f>tbl_Data[[#This Row],[Avoided Costs ($/unit)]]/tbl_Data[[#This Row],[kWh Savings]]*tbl_Data[[#This Row],[Sum of Annuals]]</f>
        <v>0.27899755093557116</v>
      </c>
      <c r="AZ687" s="81">
        <f>tbl_Data[[#This Row],[Lost Revenue ($/unit)]]/tbl_Data[[#This Row],[kWh Savings]]*tbl_Data[[#This Row],[Sum of Annuals]]</f>
        <v>0.67137451123569836</v>
      </c>
      <c r="BA687" s="81">
        <f>tbl_Data[[#This Row],[Incremental Cost ($/unit)]]/tbl_Data[[#This Row],[kWh Savings]]*tbl_Data[[#This Row],[Sum of Annuals]]</f>
        <v>0.18344184876046629</v>
      </c>
      <c r="BB687" s="77">
        <f>ROUNDUP(tbl_Data[[#This Row],[Adjusted 2025]]/$L687,0)</f>
        <v>1</v>
      </c>
      <c r="BC687" s="77">
        <f>ROUNDUP(tbl_Data[[#This Row],[Adjusted 2026]]/$L687,0)</f>
        <v>1</v>
      </c>
      <c r="BD687" s="77">
        <f>ROUNDUP(tbl_Data[[#This Row],[Adjusted 2027]]/$L687,0)</f>
        <v>1</v>
      </c>
      <c r="BE687" s="77">
        <f>ROUNDUP(tbl_Data[[#This Row],[Adjusted 2028]]/$L687,0)</f>
        <v>1</v>
      </c>
      <c r="BF687" s="77">
        <f>ROUNDUP(tbl_Data[[#This Row],[Adjusted 2029]]/$L687,0)</f>
        <v>1</v>
      </c>
      <c r="BG687" s="77">
        <f>ROUNDUP(tbl_Data[[#This Row],[Adjusted 2030]]/$L687,0)</f>
        <v>1</v>
      </c>
      <c r="BH687" s="77">
        <f>ROUNDUP(tbl_Data[[#This Row],[Adjusted 2031]]/$L687,0)</f>
        <v>1</v>
      </c>
      <c r="BI687" s="77">
        <f>ROUNDUP(tbl_Data[[#This Row],[Adjusted 2032]]/$L687,0)</f>
        <v>1</v>
      </c>
      <c r="BJ687" s="77">
        <f>ROUNDUP(tbl_Data[[#This Row],[Adjusted 2033]]/$L687,0)</f>
        <v>1</v>
      </c>
      <c r="BK687" s="77">
        <f>ROUNDUP(tbl_Data[[#This Row],[Adjusted 2034]]/$L687,0)</f>
        <v>1</v>
      </c>
      <c r="BL687" s="80">
        <f t="shared" si="276"/>
        <v>1.8599431327997294E-4</v>
      </c>
      <c r="BM687" s="80">
        <f t="shared" si="277"/>
        <v>1.5547021697537923E-4</v>
      </c>
      <c r="BN687" s="80">
        <f t="shared" si="278"/>
        <v>1.2876845310164653E-4</v>
      </c>
      <c r="BO687" s="80">
        <f t="shared" si="279"/>
        <v>1.073673835797618E-4</v>
      </c>
      <c r="BP687" s="80">
        <f t="shared" si="280"/>
        <v>8.9211516904884832E-5</v>
      </c>
      <c r="BQ687" s="80">
        <f t="shared" si="281"/>
        <v>7.4499978729619478E-5</v>
      </c>
      <c r="BR687" s="80">
        <f t="shared" si="282"/>
        <v>6.272599185370936E-5</v>
      </c>
      <c r="BS687" s="80">
        <f t="shared" si="283"/>
        <v>5.297277216404981E-5</v>
      </c>
      <c r="BT687" s="80">
        <f t="shared" si="284"/>
        <v>4.5424192153527272E-5</v>
      </c>
      <c r="BU687" s="80">
        <f t="shared" si="285"/>
        <v>3.9387022310359934E-5</v>
      </c>
      <c r="BV687" s="80">
        <f>IFERROR(VLOOKUP($H687,'1. Set Program Names'!$B$2:$D$15,3,0)*V687,"NA")</f>
        <v>6.2543556497237762E-3</v>
      </c>
      <c r="BW687" s="80">
        <f>IFERROR(VLOOKUP($H687,'1. Set Program Names'!$B$2:$D$15,3,0)*W687,"NA")</f>
        <v>5.2279341919452367E-3</v>
      </c>
      <c r="BX687" s="80">
        <f>IFERROR(VLOOKUP($H687,'1. Set Program Names'!$B$2:$D$15,3,0)*X687,"NA")</f>
        <v>4.3300447629825052E-3</v>
      </c>
      <c r="BY687" s="80">
        <f>IFERROR(VLOOKUP($H687,'1. Set Program Names'!$B$2:$D$15,3,0)*Y687,"NA")</f>
        <v>3.6103996420435115E-3</v>
      </c>
      <c r="BZ687" s="80">
        <f>IFERROR(VLOOKUP($H687,'1. Set Program Names'!$B$2:$D$15,3,0)*Z687,"NA")</f>
        <v>2.9998796465062327E-3</v>
      </c>
      <c r="CA687" s="80">
        <f>IFERROR(VLOOKUP($H687,'1. Set Program Names'!$B$2:$D$15,3,0)*AA687,"NA")</f>
        <v>2.5051806942640981E-3</v>
      </c>
      <c r="CB687" s="80">
        <f>IFERROR(VLOOKUP($H687,'1. Set Program Names'!$B$2:$D$15,3,0)*AB687,"NA")</f>
        <v>2.1092615930909595E-3</v>
      </c>
      <c r="CC687" s="80">
        <f>IFERROR(VLOOKUP($H687,'1. Set Program Names'!$B$2:$D$15,3,0)*AC687,"NA")</f>
        <v>1.7812940139037541E-3</v>
      </c>
      <c r="CD687" s="80">
        <f>IFERROR(VLOOKUP($H687,'1. Set Program Names'!$B$2:$D$15,3,0)*AD687,"NA")</f>
        <v>1.5274609627548342E-3</v>
      </c>
      <c r="CE687" s="80">
        <f>IFERROR(VLOOKUP($H687,'1. Set Program Names'!$B$2:$D$15,3,0)*AE687,"NA")</f>
        <v>1.3244514908463114E-3</v>
      </c>
    </row>
    <row r="688" spans="1:83" x14ac:dyDescent="0.25">
      <c r="A688" s="79" t="s">
        <v>117</v>
      </c>
      <c r="B688" s="79" t="s">
        <v>88</v>
      </c>
      <c r="C688" s="79" t="s">
        <v>176</v>
      </c>
      <c r="D688" s="79" t="s">
        <v>90</v>
      </c>
      <c r="E688" s="79" t="s">
        <v>91</v>
      </c>
      <c r="F688" s="79" t="s">
        <v>90</v>
      </c>
      <c r="G688" s="79" t="s">
        <v>92</v>
      </c>
      <c r="H688" s="79" t="s">
        <v>14</v>
      </c>
      <c r="I688" s="79" t="s">
        <v>157</v>
      </c>
      <c r="J688" s="79" t="s">
        <v>158</v>
      </c>
      <c r="K688" s="79" t="s">
        <v>159</v>
      </c>
      <c r="L688" s="79">
        <v>562.52</v>
      </c>
      <c r="M688" s="79">
        <v>6.7473359330379998E-2</v>
      </c>
      <c r="N688" s="79">
        <v>6.4973258375617293E-2</v>
      </c>
      <c r="O688" s="79">
        <v>169</v>
      </c>
      <c r="P688" s="79">
        <v>55.847956108163899</v>
      </c>
      <c r="Q688" s="79">
        <v>20.025540405413601</v>
      </c>
      <c r="R688" s="79">
        <v>240.47921618074301</v>
      </c>
      <c r="S688" s="79">
        <v>597.43584258705596</v>
      </c>
      <c r="T688" s="79">
        <v>15</v>
      </c>
      <c r="U688" s="79">
        <v>0.2</v>
      </c>
      <c r="V688" s="79">
        <f>tbl_Data_old[[#This Row],[2025 ]]*IFERROR(AVERAGEIFS('Participation Adjustment'!$C:$C,'Participation Adjustment'!$A:$A,$H688,'Participation Adjustment'!$B:$B,$I688),1)</f>
        <v>0.70258766430940511</v>
      </c>
      <c r="W688" s="79">
        <f>tbl_Data_old[[#This Row],[2026 ]]*IFERROR(AVERAGEIFS('Participation Adjustment'!$C:$C,'Participation Adjustment'!$A:$A,$H688,'Participation Adjustment'!$B:$B,$I688),1)</f>
        <v>1.5018986167671</v>
      </c>
      <c r="X688" s="79">
        <f>tbl_Data_old[[#This Row],[2027 ]]*IFERROR(AVERAGEIFS('Participation Adjustment'!$C:$C,'Participation Adjustment'!$A:$A,$H688,'Participation Adjustment'!$B:$B,$I688),1)</f>
        <v>2.3854970911164499</v>
      </c>
      <c r="Y688" s="79">
        <f>tbl_Data_old[[#This Row],[2028 ]]*IFERROR(AVERAGEIFS('Participation Adjustment'!$C:$C,'Participation Adjustment'!$A:$A,$H688,'Participation Adjustment'!$B:$B,$I688),1)</f>
        <v>3.3536974515102802</v>
      </c>
      <c r="Z688" s="79">
        <f>tbl_Data_old[[#This Row],[2029 ]]*IFERROR(AVERAGEIFS('Participation Adjustment'!$C:$C,'Participation Adjustment'!$A:$A,$H688,'Participation Adjustment'!$B:$B,$I688),1)</f>
        <v>4.3939577599214701</v>
      </c>
      <c r="AA688" s="79">
        <f>tbl_Data_old[[#This Row],[2030 ]]*IFERROR(AVERAGEIFS('Participation Adjustment'!$C:$C,'Participation Adjustment'!$A:$A,$H688,'Participation Adjustment'!$B:$B,$I688),1)</f>
        <v>5.5018595816416909</v>
      </c>
      <c r="AB688" s="79">
        <f>tbl_Data_old[[#This Row],[2031 ]]*IFERROR(AVERAGEIFS('Participation Adjustment'!$C:$C,'Participation Adjustment'!$A:$A,$H688,'Participation Adjustment'!$B:$B,$I688),1)</f>
        <v>6.6737244441133603</v>
      </c>
      <c r="AC688" s="79">
        <f>tbl_Data_old[[#This Row],[2032 ]]*IFERROR(AVERAGEIFS('Participation Adjustment'!$C:$C,'Participation Adjustment'!$A:$A,$H688,'Participation Adjustment'!$B:$B,$I688),1)</f>
        <v>7.9029641198240599</v>
      </c>
      <c r="AD688" s="79">
        <f>tbl_Data_old[[#This Row],[2033 ]]*IFERROR(AVERAGEIFS('Participation Adjustment'!$C:$C,'Participation Adjustment'!$A:$A,$H688,'Participation Adjustment'!$B:$B,$I688),1)</f>
        <v>9.1890951378336396</v>
      </c>
      <c r="AE688" s="79">
        <f>tbl_Data_old[[#This Row],[2034 ]]*IFERROR(AVERAGEIFS('Participation Adjustment'!$C:$C,'Participation Adjustment'!$A:$A,$H688,'Participation Adjustment'!$B:$B,$I688),1)</f>
        <v>10.529116195913799</v>
      </c>
      <c r="AF688" s="77" t="str">
        <f t="shared" si="275"/>
        <v>NonResidential</v>
      </c>
      <c r="AG688" s="77" t="str">
        <f>tbl_Data[[#This Row],[All_Meas_Name_Append]]</f>
        <v>LED Exterior Wall Packs</v>
      </c>
      <c r="AH688" s="77">
        <f>AVERAGEIFS('3. Incentive Adjustment'!G:G,'3. Incentive Adjustment'!A:A,tbl_Data[[#This Row],[Trimmed Sector]],'3. Incentive Adjustment'!B:B,tbl_Data[[#This Row],[Trimmed Measure Name]])</f>
        <v>0.80637708305213962</v>
      </c>
      <c r="AI688" s="77">
        <f>$AH688*tbl_Data[[#This Row],[2025 ]]</f>
        <v>0.56655059133423391</v>
      </c>
      <c r="AJ688" s="77">
        <f>$AH688*tbl_Data[[#This Row],[2026 ]]</f>
        <v>1.2110966256286975</v>
      </c>
      <c r="AK688" s="77">
        <f>$AH688*tbl_Data[[#This Row],[2027 ]]</f>
        <v>1.923610185963847</v>
      </c>
      <c r="AL688" s="77">
        <f>$AH688*tbl_Data[[#This Row],[2028 ]]</f>
        <v>2.7043447683882542</v>
      </c>
      <c r="AM688" s="77">
        <f>$AH688*tbl_Data[[#This Row],[2029 ]]</f>
        <v>3.5431868414997885</v>
      </c>
      <c r="AN688" s="77">
        <f>$AH688*tbl_Data[[#This Row],[2030 ]]</f>
        <v>4.4365734808066923</v>
      </c>
      <c r="AO688" s="77">
        <f>$AH688*tbl_Data[[#This Row],[2031 ]]</f>
        <v>5.3815384503378931</v>
      </c>
      <c r="AP688" s="77">
        <f>$AH688*tbl_Data[[#This Row],[2032 ]]</f>
        <v>6.3727691544094451</v>
      </c>
      <c r="AQ688" s="77">
        <f>$AH688*tbl_Data[[#This Row],[2033 ]]</f>
        <v>7.4098757331348892</v>
      </c>
      <c r="AR688" s="77">
        <f>$AH688*tbl_Data[[#This Row],[2034 ]]</f>
        <v>8.4904380051780102</v>
      </c>
      <c r="AS688" s="77">
        <f>SUM(tbl_Data[[#This Row],[Adjusted 2025]:[Adjusted 2034]])</f>
        <v>42.039983836681756</v>
      </c>
      <c r="AT688" s="80">
        <f>AVERAGEIFS('3. Incentive Adjustment'!F:F,'3. Incentive Adjustment'!A:A,tbl_Data[[#This Row],[Trimmed Sector]],'3. Incentive Adjustment'!B:B,tbl_Data[[#This Row],[Trimmed Measure Name]])</f>
        <v>8.6864493556481861</v>
      </c>
      <c r="AU688" s="80">
        <f>IFERROR(VLOOKUP(tbl_Data[[#This Row],[All_Meas_Name_Append]],'IRA Tax Credits'!$A$3:$D$46,4,0),0)</f>
        <v>0</v>
      </c>
      <c r="AV688" s="81">
        <f>tbl_Data[[#This Row],[Adj. per unit Incentive ($)]]/tbl_Data[[#This Row],[kWh Savings]]*tbl_Data[[#This Row],[Sum of Annuals]]</f>
        <v>0.64918258996943112</v>
      </c>
      <c r="AW688" s="81">
        <f>IFERROR(VLOOKUP(tbl_Data[[#This Row],[Column1]],'1. Set Program Names'!$B$2:$D$15,3,0)*tbl_Data[[#This Row],[Sum of Annuals]],"")</f>
        <v>1.4966106004487107</v>
      </c>
      <c r="AX688" s="81">
        <f>tbl_Data[[#This Row],[per unit IRA tax ($)]]/tbl_Data[[#This Row],[kWh Savings]]*tbl_Data[[#This Row],[Sum of Annuals]]</f>
        <v>0</v>
      </c>
      <c r="AY688" s="81">
        <f>tbl_Data[[#This Row],[Avoided Costs ($/unit)]]/tbl_Data[[#This Row],[kWh Savings]]*tbl_Data[[#This Row],[Sum of Annuals]]</f>
        <v>17.972236296125178</v>
      </c>
      <c r="AZ688" s="81">
        <f>tbl_Data[[#This Row],[Lost Revenue ($/unit)]]/tbl_Data[[#This Row],[kWh Savings]]*tbl_Data[[#This Row],[Sum of Annuals]]</f>
        <v>44.649422537534981</v>
      </c>
      <c r="BA688" s="81">
        <f>tbl_Data[[#This Row],[Incremental Cost ($/unit)]]/tbl_Data[[#This Row],[kWh Savings]]*tbl_Data[[#This Row],[Sum of Annuals]]</f>
        <v>12.630230513402575</v>
      </c>
      <c r="BB688" s="77">
        <f>ROUNDUP(tbl_Data[[#This Row],[Adjusted 2025]]/$L688,0)</f>
        <v>1</v>
      </c>
      <c r="BC688" s="77">
        <f>ROUNDUP(tbl_Data[[#This Row],[Adjusted 2026]]/$L688,0)</f>
        <v>1</v>
      </c>
      <c r="BD688" s="77">
        <f>ROUNDUP(tbl_Data[[#This Row],[Adjusted 2027]]/$L688,0)</f>
        <v>1</v>
      </c>
      <c r="BE688" s="77">
        <f>ROUNDUP(tbl_Data[[#This Row],[Adjusted 2028]]/$L688,0)</f>
        <v>1</v>
      </c>
      <c r="BF688" s="77">
        <f>ROUNDUP(tbl_Data[[#This Row],[Adjusted 2029]]/$L688,0)</f>
        <v>1</v>
      </c>
      <c r="BG688" s="77">
        <f>ROUNDUP(tbl_Data[[#This Row],[Adjusted 2030]]/$L688,0)</f>
        <v>1</v>
      </c>
      <c r="BH688" s="77">
        <f>ROUNDUP(tbl_Data[[#This Row],[Adjusted 2031]]/$L688,0)</f>
        <v>1</v>
      </c>
      <c r="BI688" s="77">
        <f>ROUNDUP(tbl_Data[[#This Row],[Adjusted 2032]]/$L688,0)</f>
        <v>1</v>
      </c>
      <c r="BJ688" s="77">
        <f>ROUNDUP(tbl_Data[[#This Row],[Adjusted 2033]]/$L688,0)</f>
        <v>1</v>
      </c>
      <c r="BK688" s="77">
        <f>ROUNDUP(tbl_Data[[#This Row],[Adjusted 2034]]/$L688,0)</f>
        <v>1</v>
      </c>
      <c r="BL688" s="80">
        <f t="shared" si="276"/>
        <v>1.0849378091315502E-2</v>
      </c>
      <c r="BM688" s="80">
        <f t="shared" si="277"/>
        <v>2.3192359866076723E-2</v>
      </c>
      <c r="BN688" s="80">
        <f t="shared" si="278"/>
        <v>3.6836911878740504E-2</v>
      </c>
      <c r="BO688" s="80">
        <f t="shared" si="279"/>
        <v>5.178788854922569E-2</v>
      </c>
      <c r="BP688" s="80">
        <f t="shared" si="280"/>
        <v>6.7851616924580818E-2</v>
      </c>
      <c r="BQ688" s="80">
        <f t="shared" si="281"/>
        <v>8.495986741416886E-2</v>
      </c>
      <c r="BR688" s="80">
        <f t="shared" si="282"/>
        <v>0.10305583694329454</v>
      </c>
      <c r="BS688" s="80">
        <f t="shared" si="283"/>
        <v>0.12203778992099203</v>
      </c>
      <c r="BT688" s="80">
        <f t="shared" si="284"/>
        <v>0.14189826057566823</v>
      </c>
      <c r="BU688" s="80">
        <f t="shared" si="285"/>
        <v>0.16259090271553064</v>
      </c>
      <c r="BV688" s="80">
        <f>IFERROR(VLOOKUP($H688,'1. Set Program Names'!$B$2:$D$15,3,0)*V688,"NA")</f>
        <v>2.5011906527720295E-2</v>
      </c>
      <c r="BW688" s="80">
        <f>IFERROR(VLOOKUP($H688,'1. Set Program Names'!$B$2:$D$15,3,0)*W688,"NA")</f>
        <v>5.3467132608448563E-2</v>
      </c>
      <c r="BX688" s="80">
        <f>IFERROR(VLOOKUP($H688,'1. Set Program Names'!$B$2:$D$15,3,0)*X688,"NA")</f>
        <v>8.492296875693181E-2</v>
      </c>
      <c r="BY688" s="80">
        <f>IFERROR(VLOOKUP($H688,'1. Set Program Names'!$B$2:$D$15,3,0)*Y688,"NA")</f>
        <v>0.11939060624111503</v>
      </c>
      <c r="BZ688" s="80">
        <f>IFERROR(VLOOKUP($H688,'1. Set Program Names'!$B$2:$D$15,3,0)*Z688,"NA")</f>
        <v>0.15642355589310319</v>
      </c>
      <c r="CA688" s="80">
        <f>IFERROR(VLOOKUP($H688,'1. Set Program Names'!$B$2:$D$15,3,0)*AA688,"NA")</f>
        <v>0.19586452278510652</v>
      </c>
      <c r="CB688" s="80">
        <f>IFERROR(VLOOKUP($H688,'1. Set Program Names'!$B$2:$D$15,3,0)*AB688,"NA")</f>
        <v>0.23758255441617915</v>
      </c>
      <c r="CC688" s="80">
        <f>IFERROR(VLOOKUP($H688,'1. Set Program Names'!$B$2:$D$15,3,0)*AC688,"NA")</f>
        <v>0.28134311189659272</v>
      </c>
      <c r="CD688" s="80">
        <f>IFERROR(VLOOKUP($H688,'1. Set Program Names'!$B$2:$D$15,3,0)*AD688,"NA")</f>
        <v>0.32712898380835881</v>
      </c>
      <c r="CE688" s="80">
        <f>IFERROR(VLOOKUP($H688,'1. Set Program Names'!$B$2:$D$15,3,0)*AE688,"NA")</f>
        <v>0.37483332470768582</v>
      </c>
    </row>
    <row r="689" spans="1:83" x14ac:dyDescent="0.25">
      <c r="A689" s="79" t="s">
        <v>117</v>
      </c>
      <c r="B689" s="79" t="s">
        <v>88</v>
      </c>
      <c r="C689" s="79" t="s">
        <v>176</v>
      </c>
      <c r="D689" s="79" t="s">
        <v>90</v>
      </c>
      <c r="E689" s="79" t="s">
        <v>91</v>
      </c>
      <c r="F689" s="79" t="s">
        <v>90</v>
      </c>
      <c r="G689" s="79" t="s">
        <v>92</v>
      </c>
      <c r="H689" s="79" t="s">
        <v>14</v>
      </c>
      <c r="I689" s="79" t="s">
        <v>162</v>
      </c>
      <c r="J689" s="79" t="s">
        <v>161</v>
      </c>
      <c r="K689" s="79" t="s">
        <v>159</v>
      </c>
      <c r="L689" s="79">
        <v>725.58416666666596</v>
      </c>
      <c r="M689" s="79">
        <v>8.6917804178563804E-2</v>
      </c>
      <c r="N689" s="79">
        <v>8.3795205289933394E-2</v>
      </c>
      <c r="O689" s="79">
        <v>179</v>
      </c>
      <c r="P689" s="79">
        <v>33.0790753554421</v>
      </c>
      <c r="Q689" s="79">
        <v>25.8305749966432</v>
      </c>
      <c r="R689" s="79">
        <v>310.45187974046598</v>
      </c>
      <c r="S689" s="79">
        <v>770.62146764617603</v>
      </c>
      <c r="T689" s="79">
        <v>15</v>
      </c>
      <c r="U689" s="79">
        <v>0.2</v>
      </c>
      <c r="V689" s="79">
        <f>tbl_Data_old[[#This Row],[2025 ]]*IFERROR(AVERAGEIFS('Participation Adjustment'!$C:$C,'Participation Adjustment'!$A:$A,$H689,'Participation Adjustment'!$B:$B,$I689),1)</f>
        <v>5.4132583225570805</v>
      </c>
      <c r="W689" s="79">
        <f>tbl_Data_old[[#This Row],[2026 ]]*IFERROR(AVERAGEIFS('Participation Adjustment'!$C:$C,'Participation Adjustment'!$A:$A,$H689,'Participation Adjustment'!$B:$B,$I689),1)</f>
        <v>11.571744851004329</v>
      </c>
      <c r="X689" s="79">
        <f>tbl_Data_old[[#This Row],[2027 ]]*IFERROR(AVERAGEIFS('Participation Adjustment'!$C:$C,'Participation Adjustment'!$A:$A,$H689,'Participation Adjustment'!$B:$B,$I689),1)</f>
        <v>18.379645185792899</v>
      </c>
      <c r="Y689" s="79">
        <f>tbl_Data_old[[#This Row],[2028 ]]*IFERROR(AVERAGEIFS('Participation Adjustment'!$C:$C,'Participation Adjustment'!$A:$A,$H689,'Participation Adjustment'!$B:$B,$I689),1)</f>
        <v>25.839381422346747</v>
      </c>
      <c r="Z689" s="79">
        <f>tbl_Data_old[[#This Row],[2029 ]]*IFERROR(AVERAGEIFS('Participation Adjustment'!$C:$C,'Participation Adjustment'!$A:$A,$H689,'Participation Adjustment'!$B:$B,$I689),1)</f>
        <v>33.85432113477075</v>
      </c>
      <c r="AA689" s="79">
        <f>tbl_Data_old[[#This Row],[2030 ]]*IFERROR(AVERAGEIFS('Participation Adjustment'!$C:$C,'Participation Adjustment'!$A:$A,$H689,'Participation Adjustment'!$B:$B,$I689),1)</f>
        <v>42.390421413300601</v>
      </c>
      <c r="AB689" s="79">
        <f>tbl_Data_old[[#This Row],[2031 ]]*IFERROR(AVERAGEIFS('Participation Adjustment'!$C:$C,'Participation Adjustment'!$A:$A,$H689,'Participation Adjustment'!$B:$B,$I689),1)</f>
        <v>51.419340567357004</v>
      </c>
      <c r="AC689" s="79">
        <f>tbl_Data_old[[#This Row],[2032 ]]*IFERROR(AVERAGEIFS('Participation Adjustment'!$C:$C,'Participation Adjustment'!$A:$A,$H689,'Participation Adjustment'!$B:$B,$I689),1)</f>
        <v>60.890317988372402</v>
      </c>
      <c r="AD689" s="79">
        <f>tbl_Data_old[[#This Row],[2033 ]]*IFERROR(AVERAGEIFS('Participation Adjustment'!$C:$C,'Participation Adjustment'!$A:$A,$H689,'Participation Adjustment'!$B:$B,$I689),1)</f>
        <v>70.799628656362202</v>
      </c>
      <c r="AE689" s="79">
        <f>tbl_Data_old[[#This Row],[2034 ]]*IFERROR(AVERAGEIFS('Participation Adjustment'!$C:$C,'Participation Adjustment'!$A:$A,$H689,'Participation Adjustment'!$B:$B,$I689),1)</f>
        <v>81.124148305002151</v>
      </c>
      <c r="AF689" s="77" t="str">
        <f t="shared" si="275"/>
        <v>NonResidential</v>
      </c>
      <c r="AG689" s="77" t="str">
        <f>tbl_Data[[#This Row],[All_Meas_Name_Append]]</f>
        <v>LED High Bay_LF Baseline</v>
      </c>
      <c r="AH689" s="77">
        <f>AVERAGEIFS('3. Incentive Adjustment'!G:G,'3. Incentive Adjustment'!A:A,tbl_Data[[#This Row],[Trimmed Sector]],'3. Incentive Adjustment'!B:B,tbl_Data[[#This Row],[Trimmed Measure Name]])</f>
        <v>0.93017466414143679</v>
      </c>
      <c r="AI689" s="77">
        <f>$AH689*tbl_Data[[#This Row],[2025 ]]</f>
        <v>5.0352757420953695</v>
      </c>
      <c r="AJ689" s="77">
        <f>$AH689*tbl_Data[[#This Row],[2026 ]]</f>
        <v>10.763743880313353</v>
      </c>
      <c r="AK689" s="77">
        <f>$AH689*tbl_Data[[#This Row],[2027 ]]</f>
        <v>17.096280287733684</v>
      </c>
      <c r="AL689" s="77">
        <f>$AH689*tbl_Data[[#This Row],[2028 ]]</f>
        <v>24.035137936153866</v>
      </c>
      <c r="AM689" s="77">
        <f>$AH689*tbl_Data[[#This Row],[2029 ]]</f>
        <v>31.490431791271728</v>
      </c>
      <c r="AN689" s="77">
        <f>$AH689*tbl_Data[[#This Row],[2030 ]]</f>
        <v>39.430496000930859</v>
      </c>
      <c r="AO689" s="77">
        <f>$AH689*tbl_Data[[#This Row],[2031 ]]</f>
        <v>47.828967842615455</v>
      </c>
      <c r="AP689" s="77">
        <f>$AH689*tbl_Data[[#This Row],[2032 ]]</f>
        <v>56.63863108429959</v>
      </c>
      <c r="AQ689" s="77">
        <f>$AH689*tbl_Data[[#This Row],[2033 ]]</f>
        <v>65.856020806770161</v>
      </c>
      <c r="AR689" s="77">
        <f>$AH689*tbl_Data[[#This Row],[2034 ]]</f>
        <v>75.459627403365488</v>
      </c>
      <c r="AS689" s="77">
        <f>SUM(tbl_Data[[#This Row],[Adjusted 2025]:[Adjusted 2034]])</f>
        <v>373.6346127755495</v>
      </c>
      <c r="AT689" s="80">
        <f>AVERAGEIFS('3. Incentive Adjustment'!F:F,'3. Incentive Adjustment'!A:A,tbl_Data[[#This Row],[Trimmed Sector]],'3. Incentive Adjustment'!B:B,tbl_Data[[#This Row],[Trimmed Measure Name]])</f>
        <v>23.858858929800434</v>
      </c>
      <c r="AU689" s="80">
        <f>IFERROR(VLOOKUP(tbl_Data[[#This Row],[All_Meas_Name_Append]],'IRA Tax Credits'!$A$3:$D$46,4,0),0)</f>
        <v>0</v>
      </c>
      <c r="AV689" s="81">
        <f>tbl_Data[[#This Row],[Adj. per unit Incentive ($)]]/tbl_Data[[#This Row],[kWh Savings]]*tbl_Data[[#This Row],[Sum of Annuals]]</f>
        <v>12.285956512055167</v>
      </c>
      <c r="AW689" s="81">
        <f>IFERROR(VLOOKUP(tbl_Data[[#This Row],[Column1]],'1. Set Program Names'!$B$2:$D$15,3,0)*tbl_Data[[#This Row],[Sum of Annuals]],"")</f>
        <v>13.301278238992149</v>
      </c>
      <c r="AX689" s="81">
        <f>tbl_Data[[#This Row],[per unit IRA tax ($)]]/tbl_Data[[#This Row],[kWh Savings]]*tbl_Data[[#This Row],[Sum of Annuals]]</f>
        <v>0</v>
      </c>
      <c r="AY689" s="81">
        <f>tbl_Data[[#This Row],[Avoided Costs ($/unit)]]/tbl_Data[[#This Row],[kWh Savings]]*tbl_Data[[#This Row],[Sum of Annuals]]</f>
        <v>159.86507589485333</v>
      </c>
      <c r="AZ689" s="81">
        <f>tbl_Data[[#This Row],[Lost Revenue ($/unit)]]/tbl_Data[[#This Row],[kWh Savings]]*tbl_Data[[#This Row],[Sum of Annuals]]</f>
        <v>396.82626342752093</v>
      </c>
      <c r="BA689" s="81">
        <f>tbl_Data[[#This Row],[Incremental Cost ($/unit)]]/tbl_Data[[#This Row],[kWh Savings]]*tbl_Data[[#This Row],[Sum of Annuals]]</f>
        <v>92.174827896359488</v>
      </c>
      <c r="BB689" s="77">
        <f>ROUNDUP(tbl_Data[[#This Row],[Adjusted 2025]]/$L689,0)</f>
        <v>1</v>
      </c>
      <c r="BC689" s="77">
        <f>ROUNDUP(tbl_Data[[#This Row],[Adjusted 2026]]/$L689,0)</f>
        <v>1</v>
      </c>
      <c r="BD689" s="77">
        <f>ROUNDUP(tbl_Data[[#This Row],[Adjusted 2027]]/$L689,0)</f>
        <v>1</v>
      </c>
      <c r="BE689" s="77">
        <f>ROUNDUP(tbl_Data[[#This Row],[Adjusted 2028]]/$L689,0)</f>
        <v>1</v>
      </c>
      <c r="BF689" s="77">
        <f>ROUNDUP(tbl_Data[[#This Row],[Adjusted 2029]]/$L689,0)</f>
        <v>1</v>
      </c>
      <c r="BG689" s="77">
        <f>ROUNDUP(tbl_Data[[#This Row],[Adjusted 2030]]/$L689,0)</f>
        <v>1</v>
      </c>
      <c r="BH689" s="77">
        <f>ROUNDUP(tbl_Data[[#This Row],[Adjusted 2031]]/$L689,0)</f>
        <v>1</v>
      </c>
      <c r="BI689" s="77">
        <f>ROUNDUP(tbl_Data[[#This Row],[Adjusted 2032]]/$L689,0)</f>
        <v>1</v>
      </c>
      <c r="BJ689" s="77">
        <f>ROUNDUP(tbl_Data[[#This Row],[Adjusted 2033]]/$L689,0)</f>
        <v>1</v>
      </c>
      <c r="BK689" s="77">
        <f>ROUNDUP(tbl_Data[[#This Row],[Adjusted 2034]]/$L689,0)</f>
        <v>1</v>
      </c>
      <c r="BL689" s="80">
        <f t="shared" si="276"/>
        <v>0.17800025496944319</v>
      </c>
      <c r="BM689" s="80">
        <f t="shared" si="277"/>
        <v>0.38050530959090262</v>
      </c>
      <c r="BN689" s="80">
        <f t="shared" si="278"/>
        <v>0.60436456832040231</v>
      </c>
      <c r="BO689" s="80">
        <f t="shared" si="279"/>
        <v>0.84965767516850588</v>
      </c>
      <c r="BP689" s="80">
        <f t="shared" si="280"/>
        <v>1.1132071360230307</v>
      </c>
      <c r="BQ689" s="80">
        <f t="shared" si="281"/>
        <v>1.3938935425245609</v>
      </c>
      <c r="BR689" s="80">
        <f t="shared" si="282"/>
        <v>1.6907849553772463</v>
      </c>
      <c r="BS689" s="80">
        <f t="shared" si="283"/>
        <v>2.002212250233228</v>
      </c>
      <c r="BT689" s="80">
        <f t="shared" si="284"/>
        <v>2.3280529399567524</v>
      </c>
      <c r="BU689" s="80">
        <f t="shared" si="285"/>
        <v>2.6675466460370534</v>
      </c>
      <c r="BV689" s="80">
        <f>IFERROR(VLOOKUP($H689,'1. Set Program Names'!$B$2:$D$15,3,0)*V689,"NA")</f>
        <v>0.19271034498917147</v>
      </c>
      <c r="BW689" s="80">
        <f>IFERROR(VLOOKUP($H689,'1. Set Program Names'!$B$2:$D$15,3,0)*W689,"NA")</f>
        <v>0.41195058677900337</v>
      </c>
      <c r="BX689" s="80">
        <f>IFERROR(VLOOKUP($H689,'1. Set Program Names'!$B$2:$D$15,3,0)*X689,"NA")</f>
        <v>0.65430976197337487</v>
      </c>
      <c r="BY689" s="80">
        <f>IFERROR(VLOOKUP($H689,'1. Set Program Names'!$B$2:$D$15,3,0)*Y689,"NA")</f>
        <v>0.91987409643052798</v>
      </c>
      <c r="BZ689" s="80">
        <f>IFERROR(VLOOKUP($H689,'1. Set Program Names'!$B$2:$D$15,3,0)*Z689,"NA")</f>
        <v>1.20520350526595</v>
      </c>
      <c r="CA689" s="80">
        <f>IFERROR(VLOOKUP($H689,'1. Set Program Names'!$B$2:$D$15,3,0)*AA689,"NA")</f>
        <v>1.509086071276692</v>
      </c>
      <c r="CB689" s="80">
        <f>IFERROR(VLOOKUP($H689,'1. Set Program Names'!$B$2:$D$15,3,0)*AB689,"NA")</f>
        <v>1.8305128389236558</v>
      </c>
      <c r="CC689" s="80">
        <f>IFERROR(VLOOKUP($H689,'1. Set Program Names'!$B$2:$D$15,3,0)*AC689,"NA")</f>
        <v>2.1676767460261668</v>
      </c>
      <c r="CD689" s="80">
        <f>IFERROR(VLOOKUP($H689,'1. Set Program Names'!$B$2:$D$15,3,0)*AD689,"NA")</f>
        <v>2.5204451830090768</v>
      </c>
      <c r="CE689" s="80">
        <f>IFERROR(VLOOKUP($H689,'1. Set Program Names'!$B$2:$D$15,3,0)*AE689,"NA")</f>
        <v>2.8879949330452122</v>
      </c>
    </row>
    <row r="690" spans="1:83" x14ac:dyDescent="0.25">
      <c r="A690" s="79" t="s">
        <v>117</v>
      </c>
      <c r="B690" s="79" t="s">
        <v>88</v>
      </c>
      <c r="C690" s="79" t="s">
        <v>176</v>
      </c>
      <c r="D690" s="79" t="s">
        <v>90</v>
      </c>
      <c r="E690" s="79" t="s">
        <v>91</v>
      </c>
      <c r="F690" s="79" t="s">
        <v>90</v>
      </c>
      <c r="G690" s="79" t="s">
        <v>92</v>
      </c>
      <c r="H690" s="79" t="s">
        <v>14</v>
      </c>
      <c r="I690" s="79" t="s">
        <v>165</v>
      </c>
      <c r="J690" s="79" t="s">
        <v>161</v>
      </c>
      <c r="K690" s="79" t="s">
        <v>166</v>
      </c>
      <c r="L690" s="79">
        <v>565.38999999999896</v>
      </c>
      <c r="M690" s="79">
        <v>6.7728127941350899E-2</v>
      </c>
      <c r="N690" s="79">
        <v>6.5294935157718198E-2</v>
      </c>
      <c r="O690" s="79">
        <v>129</v>
      </c>
      <c r="P690" s="79">
        <v>15.293574707506</v>
      </c>
      <c r="Q690" s="79">
        <v>20.127711529930998</v>
      </c>
      <c r="R690" s="79">
        <v>190.6779313312</v>
      </c>
      <c r="S690" s="79">
        <v>454.767236260907</v>
      </c>
      <c r="T690" s="79">
        <v>10</v>
      </c>
      <c r="U690" s="79">
        <v>0.2</v>
      </c>
      <c r="V690" s="79">
        <f>tbl_Data_old[[#This Row],[2025 ]]*IFERROR(AVERAGEIFS('Participation Adjustment'!$C:$C,'Participation Adjustment'!$A:$A,$H690,'Participation Adjustment'!$B:$B,$I690),1)</f>
        <v>4.3179563081078301E-2</v>
      </c>
      <c r="W690" s="79">
        <f>tbl_Data_old[[#This Row],[2026 ]]*IFERROR(AVERAGEIFS('Participation Adjustment'!$C:$C,'Participation Adjustment'!$A:$A,$H690,'Participation Adjustment'!$B:$B,$I690),1)</f>
        <v>0.10280035348260699</v>
      </c>
      <c r="X690" s="79">
        <f>tbl_Data_old[[#This Row],[2027 ]]*IFERROR(AVERAGEIFS('Participation Adjustment'!$C:$C,'Participation Adjustment'!$A:$A,$H690,'Participation Adjustment'!$B:$B,$I690),1)</f>
        <v>0.18256131055598801</v>
      </c>
      <c r="Y690" s="79">
        <f>tbl_Data_old[[#This Row],[2028 ]]*IFERROR(AVERAGEIFS('Participation Adjustment'!$C:$C,'Participation Adjustment'!$A:$A,$H690,'Participation Adjustment'!$B:$B,$I690),1)</f>
        <v>0.28660682046052799</v>
      </c>
      <c r="Z690" s="79">
        <f>tbl_Data_old[[#This Row],[2029 ]]*IFERROR(AVERAGEIFS('Participation Adjustment'!$C:$C,'Participation Adjustment'!$A:$A,$H690,'Participation Adjustment'!$B:$B,$I690),1)</f>
        <v>0.416499426297885</v>
      </c>
      <c r="AA690" s="79">
        <f>tbl_Data_old[[#This Row],[2030 ]]*IFERROR(AVERAGEIFS('Participation Adjustment'!$C:$C,'Participation Adjustment'!$A:$A,$H690,'Participation Adjustment'!$B:$B,$I690),1)</f>
        <v>0.57068459627864898</v>
      </c>
      <c r="AB690" s="79">
        <f>tbl_Data_old[[#This Row],[2031 ]]*IFERROR(AVERAGEIFS('Participation Adjustment'!$C:$C,'Participation Adjustment'!$A:$A,$H690,'Participation Adjustment'!$B:$B,$I690),1)</f>
        <v>0.74252260674126103</v>
      </c>
      <c r="AC690" s="79">
        <f>tbl_Data_old[[#This Row],[2032 ]]*IFERROR(AVERAGEIFS('Participation Adjustment'!$C:$C,'Participation Adjustment'!$A:$A,$H690,'Participation Adjustment'!$B:$B,$I690),1)</f>
        <v>0.91974950638229602</v>
      </c>
      <c r="AD690" s="79">
        <f>tbl_Data_old[[#This Row],[2033 ]]*IFERROR(AVERAGEIFS('Participation Adjustment'!$C:$C,'Participation Adjustment'!$A:$A,$H690,'Participation Adjustment'!$B:$B,$I690),1)</f>
        <v>1.0875507114620999</v>
      </c>
      <c r="AE690" s="79">
        <f>tbl_Data_old[[#This Row],[2034 ]]*IFERROR(AVERAGEIFS('Participation Adjustment'!$C:$C,'Participation Adjustment'!$A:$A,$H690,'Participation Adjustment'!$B:$B,$I690),1)</f>
        <v>1.2327625743195501</v>
      </c>
      <c r="AF690" s="77" t="str">
        <f t="shared" si="275"/>
        <v>NonResidential</v>
      </c>
      <c r="AG690" s="77" t="str">
        <f>tbl_Data[[#This Row],[All_Meas_Name_Append]]</f>
        <v>Occupancy Sensors_ Ceiling Mounted</v>
      </c>
      <c r="AH690" s="77">
        <f>AVERAGEIFS('3. Incentive Adjustment'!G:G,'3. Incentive Adjustment'!A:A,tbl_Data[[#This Row],[Trimmed Sector]],'3. Incentive Adjustment'!B:B,tbl_Data[[#This Row],[Trimmed Measure Name]])</f>
        <v>0.99348124042467356</v>
      </c>
      <c r="AI690" s="77">
        <f>$AH690*tbl_Data[[#This Row],[2025 ]]</f>
        <v>4.2898085890785108E-2</v>
      </c>
      <c r="AJ690" s="77">
        <f>$AH690*tbl_Data[[#This Row],[2026 ]]</f>
        <v>0.10213022269399531</v>
      </c>
      <c r="AK690" s="77">
        <f>$AH690*tbl_Data[[#This Row],[2027 ]]</f>
        <v>0.18137123726471702</v>
      </c>
      <c r="AL690" s="77">
        <f>$AH690*tbl_Data[[#This Row],[2028 ]]</f>
        <v>0.28473849950529706</v>
      </c>
      <c r="AM690" s="77">
        <f>$AH690*tbl_Data[[#This Row],[2029 ]]</f>
        <v>0.41378436667458768</v>
      </c>
      <c r="AN690" s="77">
        <f>$AH690*tbl_Data[[#This Row],[2030 ]]</f>
        <v>0.56696444060216622</v>
      </c>
      <c r="AO690" s="77">
        <f>$AH690*tbl_Data[[#This Row],[2031 ]]</f>
        <v>0.73768228038867012</v>
      </c>
      <c r="AP690" s="77">
        <f>$AH690*tbl_Data[[#This Row],[2032 ]]</f>
        <v>0.91375388048066464</v>
      </c>
      <c r="AQ690" s="77">
        <f>$AH690*tbl_Data[[#This Row],[2033 ]]</f>
        <v>1.0804612298481033</v>
      </c>
      <c r="AR690" s="77">
        <f>$AH690*tbl_Data[[#This Row],[2034 ]]</f>
        <v>1.2247264914841005</v>
      </c>
      <c r="AS690" s="77">
        <f>SUM(tbl_Data[[#This Row],[Adjusted 2025]:[Adjusted 2034]])</f>
        <v>5.5485107348330871</v>
      </c>
      <c r="AT690" s="80">
        <f>AVERAGEIFS('3. Incentive Adjustment'!F:F,'3. Incentive Adjustment'!A:A,tbl_Data[[#This Row],[Trimmed Sector]],'3. Incentive Adjustment'!B:B,tbl_Data[[#This Row],[Trimmed Measure Name]])</f>
        <v>19.547634357270656</v>
      </c>
      <c r="AU690" s="80">
        <f>IFERROR(VLOOKUP(tbl_Data[[#This Row],[All_Meas_Name_Append]],'IRA Tax Credits'!$A$3:$D$46,4,0),0)</f>
        <v>0</v>
      </c>
      <c r="AV690" s="81">
        <f>tbl_Data[[#This Row],[Adj. per unit Incentive ($)]]/tbl_Data[[#This Row],[kWh Savings]]*tbl_Data[[#This Row],[Sum of Annuals]]</f>
        <v>0.19183264485029539</v>
      </c>
      <c r="AW690" s="81">
        <f>IFERROR(VLOOKUP(tbl_Data[[#This Row],[Column1]],'1. Set Program Names'!$B$2:$D$15,3,0)*tbl_Data[[#This Row],[Sum of Annuals]],"")</f>
        <v>0.19752528960796339</v>
      </c>
      <c r="AX690" s="81">
        <f>tbl_Data[[#This Row],[per unit IRA tax ($)]]/tbl_Data[[#This Row],[kWh Savings]]*tbl_Data[[#This Row],[Sum of Annuals]]</f>
        <v>0</v>
      </c>
      <c r="AY690" s="81">
        <f>tbl_Data[[#This Row],[Avoided Costs ($/unit)]]/tbl_Data[[#This Row],[kWh Savings]]*tbl_Data[[#This Row],[Sum of Annuals]]</f>
        <v>1.8712367549601716</v>
      </c>
      <c r="AZ690" s="81">
        <f>tbl_Data[[#This Row],[Lost Revenue ($/unit)]]/tbl_Data[[#This Row],[kWh Savings]]*tbl_Data[[#This Row],[Sum of Annuals]]</f>
        <v>4.462903291964877</v>
      </c>
      <c r="BA690" s="81">
        <f>tbl_Data[[#This Row],[Incremental Cost ($/unit)]]/tbl_Data[[#This Row],[kWh Savings]]*tbl_Data[[#This Row],[Sum of Annuals]]</f>
        <v>1.2659542701382578</v>
      </c>
      <c r="BB690" s="77">
        <f>ROUNDUP(tbl_Data[[#This Row],[Adjusted 2025]]/$L690,0)</f>
        <v>1</v>
      </c>
      <c r="BC690" s="77">
        <f>ROUNDUP(tbl_Data[[#This Row],[Adjusted 2026]]/$L690,0)</f>
        <v>1</v>
      </c>
      <c r="BD690" s="77">
        <f>ROUNDUP(tbl_Data[[#This Row],[Adjusted 2027]]/$L690,0)</f>
        <v>1</v>
      </c>
      <c r="BE690" s="77">
        <f>ROUNDUP(tbl_Data[[#This Row],[Adjusted 2028]]/$L690,0)</f>
        <v>1</v>
      </c>
      <c r="BF690" s="77">
        <f>ROUNDUP(tbl_Data[[#This Row],[Adjusted 2029]]/$L690,0)</f>
        <v>1</v>
      </c>
      <c r="BG690" s="77">
        <f>ROUNDUP(tbl_Data[[#This Row],[Adjusted 2030]]/$L690,0)</f>
        <v>1</v>
      </c>
      <c r="BH690" s="77">
        <f>ROUNDUP(tbl_Data[[#This Row],[Adjusted 2031]]/$L690,0)</f>
        <v>1</v>
      </c>
      <c r="BI690" s="77">
        <f>ROUNDUP(tbl_Data[[#This Row],[Adjusted 2032]]/$L690,0)</f>
        <v>1</v>
      </c>
      <c r="BJ690" s="77">
        <f>ROUNDUP(tbl_Data[[#This Row],[Adjusted 2033]]/$L690,0)</f>
        <v>1</v>
      </c>
      <c r="BK690" s="77">
        <f>ROUNDUP(tbl_Data[[#This Row],[Adjusted 2034]]/$L690,0)</f>
        <v>1</v>
      </c>
      <c r="BL690" s="80">
        <f t="shared" si="276"/>
        <v>1.4928780325361667E-3</v>
      </c>
      <c r="BM690" s="80">
        <f t="shared" si="277"/>
        <v>3.554190420198766E-3</v>
      </c>
      <c r="BN690" s="80">
        <f t="shared" si="278"/>
        <v>6.3118232486117469E-3</v>
      </c>
      <c r="BO690" s="80">
        <f t="shared" si="279"/>
        <v>9.909063355670121E-3</v>
      </c>
      <c r="BP690" s="80">
        <f t="shared" si="280"/>
        <v>1.4399933665760039E-2</v>
      </c>
      <c r="BQ690" s="80">
        <f t="shared" si="281"/>
        <v>1.9730688235344934E-2</v>
      </c>
      <c r="BR690" s="80">
        <f t="shared" si="282"/>
        <v>2.5671767131689043E-2</v>
      </c>
      <c r="BS690" s="80">
        <f t="shared" si="283"/>
        <v>3.1799159962223121E-2</v>
      </c>
      <c r="BT690" s="80">
        <f t="shared" si="284"/>
        <v>3.7600671488089155E-2</v>
      </c>
      <c r="BU690" s="80">
        <f t="shared" si="285"/>
        <v>4.2621185468661102E-2</v>
      </c>
      <c r="BV690" s="80">
        <f>IFERROR(VLOOKUP($H690,'1. Set Program Names'!$B$2:$D$15,3,0)*V690,"NA")</f>
        <v>1.5371792739249141E-3</v>
      </c>
      <c r="BW690" s="80">
        <f>IFERROR(VLOOKUP($H690,'1. Set Program Names'!$B$2:$D$15,3,0)*W690,"NA")</f>
        <v>3.6596612251240061E-3</v>
      </c>
      <c r="BX690" s="80">
        <f>IFERROR(VLOOKUP($H690,'1. Set Program Names'!$B$2:$D$15,3,0)*X690,"NA")</f>
        <v>6.4991269661598058E-3</v>
      </c>
      <c r="BY690" s="80">
        <f>IFERROR(VLOOKUP($H690,'1. Set Program Names'!$B$2:$D$15,3,0)*Y690,"NA")</f>
        <v>1.0203115380074396E-2</v>
      </c>
      <c r="BZ690" s="80">
        <f>IFERROR(VLOOKUP($H690,'1. Set Program Names'!$B$2:$D$15,3,0)*Z690,"NA")</f>
        <v>1.4827252524638974E-2</v>
      </c>
      <c r="CA690" s="80">
        <f>IFERROR(VLOOKUP($H690,'1. Set Program Names'!$B$2:$D$15,3,0)*AA690,"NA")</f>
        <v>2.0316197542354551E-2</v>
      </c>
      <c r="CB690" s="80">
        <f>IFERROR(VLOOKUP($H690,'1. Set Program Names'!$B$2:$D$15,3,0)*AB690,"NA")</f>
        <v>2.6433578296292077E-2</v>
      </c>
      <c r="CC690" s="80">
        <f>IFERROR(VLOOKUP($H690,'1. Set Program Names'!$B$2:$D$15,3,0)*AC690,"NA")</f>
        <v>3.2742801861121315E-2</v>
      </c>
      <c r="CD690" s="80">
        <f>IFERROR(VLOOKUP($H690,'1. Set Program Names'!$B$2:$D$15,3,0)*AD690,"NA")</f>
        <v>3.8716473574843001E-2</v>
      </c>
      <c r="CE690" s="80">
        <f>IFERROR(VLOOKUP($H690,'1. Set Program Names'!$B$2:$D$15,3,0)*AE690,"NA")</f>
        <v>4.3885971596241809E-2</v>
      </c>
    </row>
    <row r="691" spans="1:83" x14ac:dyDescent="0.25">
      <c r="A691" s="79" t="s">
        <v>117</v>
      </c>
      <c r="B691" s="79" t="s">
        <v>88</v>
      </c>
      <c r="C691" s="79" t="s">
        <v>176</v>
      </c>
      <c r="D691" s="79" t="s">
        <v>90</v>
      </c>
      <c r="E691" s="79" t="s">
        <v>91</v>
      </c>
      <c r="F691" s="79" t="s">
        <v>90</v>
      </c>
      <c r="G691" s="79" t="s">
        <v>92</v>
      </c>
      <c r="H691" s="79" t="s">
        <v>14</v>
      </c>
      <c r="I691" s="79" t="s">
        <v>155</v>
      </c>
      <c r="J691" s="79" t="s">
        <v>129</v>
      </c>
      <c r="K691" s="79" t="s">
        <v>102</v>
      </c>
      <c r="L691" s="79">
        <v>47228.7699999998</v>
      </c>
      <c r="M691" s="79">
        <v>5.6581998938837703</v>
      </c>
      <c r="N691" s="79">
        <v>5.4505995734426298</v>
      </c>
      <c r="O691" s="79">
        <v>11124</v>
      </c>
      <c r="P691" s="79">
        <v>2435.8852359673701</v>
      </c>
      <c r="Q691" s="79">
        <v>1681.32980504335</v>
      </c>
      <c r="R691" s="79">
        <v>16918.542729362998</v>
      </c>
      <c r="S691" s="79">
        <v>40712.4661763408</v>
      </c>
      <c r="T691" s="79">
        <v>11</v>
      </c>
      <c r="U691" s="79">
        <v>0.94999999999999896</v>
      </c>
      <c r="V691" s="79">
        <f>tbl_Data_old[[#This Row],[2025 ]]*IFERROR(AVERAGEIFS('Participation Adjustment'!$C:$C,'Participation Adjustment'!$A:$A,$H691,'Participation Adjustment'!$B:$B,$I691),1)</f>
        <v>0.175685652864155</v>
      </c>
      <c r="W691" s="79">
        <f>tbl_Data_old[[#This Row],[2026 ]]*IFERROR(AVERAGEIFS('Participation Adjustment'!$C:$C,'Participation Adjustment'!$A:$A,$H691,'Participation Adjustment'!$B:$B,$I691),1)</f>
        <v>0.3225389952517605</v>
      </c>
      <c r="X691" s="79">
        <f>tbl_Data_old[[#This Row],[2027 ]]*IFERROR(AVERAGEIFS('Participation Adjustment'!$C:$C,'Participation Adjustment'!$A:$A,$H691,'Participation Adjustment'!$B:$B,$I691),1)</f>
        <v>0.444170508347629</v>
      </c>
      <c r="Y691" s="79">
        <f>tbl_Data_old[[#This Row],[2028 ]]*IFERROR(AVERAGEIFS('Participation Adjustment'!$C:$C,'Participation Adjustment'!$A:$A,$H691,'Participation Adjustment'!$B:$B,$I691),1)</f>
        <v>0.54558709763943503</v>
      </c>
      <c r="Z691" s="79">
        <f>tbl_Data_old[[#This Row],[2029 ]]*IFERROR(AVERAGEIFS('Participation Adjustment'!$C:$C,'Participation Adjustment'!$A:$A,$H691,'Participation Adjustment'!$B:$B,$I691),1)</f>
        <v>0.62985410190447</v>
      </c>
      <c r="AA691" s="79">
        <f>tbl_Data_old[[#This Row],[2030 ]]*IFERROR(AVERAGEIFS('Participation Adjustment'!$C:$C,'Participation Adjustment'!$A:$A,$H691,'Participation Adjustment'!$B:$B,$I691),1)</f>
        <v>0.70022494911299504</v>
      </c>
      <c r="AB691" s="79">
        <f>tbl_Data_old[[#This Row],[2031 ]]*IFERROR(AVERAGEIFS('Participation Adjustment'!$C:$C,'Participation Adjustment'!$A:$A,$H691,'Participation Adjustment'!$B:$B,$I691),1)</f>
        <v>0.75947437795860995</v>
      </c>
      <c r="AC691" s="79">
        <f>tbl_Data_old[[#This Row],[2032 ]]*IFERROR(AVERAGEIFS('Participation Adjustment'!$C:$C,'Participation Adjustment'!$A:$A,$H691,'Participation Adjustment'!$B:$B,$I691),1)</f>
        <v>0.80951115541457497</v>
      </c>
      <c r="AD691" s="79">
        <f>tbl_Data_old[[#This Row],[2033 ]]*IFERROR(AVERAGEIFS('Participation Adjustment'!$C:$C,'Participation Adjustment'!$A:$A,$H691,'Participation Adjustment'!$B:$B,$I691),1)</f>
        <v>0.85241772988766995</v>
      </c>
      <c r="AE691" s="79">
        <f>tbl_Data_old[[#This Row],[2034 ]]*IFERROR(AVERAGEIFS('Participation Adjustment'!$C:$C,'Participation Adjustment'!$A:$A,$H691,'Participation Adjustment'!$B:$B,$I691),1)</f>
        <v>0.88962174224128499</v>
      </c>
      <c r="AF691" s="77" t="str">
        <f t="shared" si="275"/>
        <v>NonResidential</v>
      </c>
      <c r="AG691" s="77" t="str">
        <f>tbl_Data[[#This Row],[All_Meas_Name_Append]]</f>
        <v>Smart thermostat</v>
      </c>
      <c r="AH691" s="77">
        <f>AVERAGEIFS('3. Incentive Adjustment'!G:G,'3. Incentive Adjustment'!A:A,tbl_Data[[#This Row],[Trimmed Sector]],'3. Incentive Adjustment'!B:B,tbl_Data[[#This Row],[Trimmed Measure Name]])</f>
        <v>0.87546479230069263</v>
      </c>
      <c r="AI691" s="77">
        <f>$AH691*tbl_Data[[#This Row],[2025 ]]</f>
        <v>0.15380660359492904</v>
      </c>
      <c r="AJ691" s="77">
        <f>$AH691*tbl_Data[[#This Row],[2026 ]]</f>
        <v>0.28237153448695657</v>
      </c>
      <c r="AK691" s="77">
        <f>$AH691*tbl_Data[[#This Row],[2027 ]]</f>
        <v>0.38885564183665011</v>
      </c>
      <c r="AL691" s="77">
        <f>$AH691*tbl_Data[[#This Row],[2028 ]]</f>
        <v>0.47764229511684569</v>
      </c>
      <c r="AM691" s="77">
        <f>$AH691*tbl_Data[[#This Row],[2029 ]]</f>
        <v>0.5514150905035361</v>
      </c>
      <c r="AN691" s="77">
        <f>$AH691*tbl_Data[[#This Row],[2030 ]]</f>
        <v>0.61302228963897132</v>
      </c>
      <c r="AO691" s="77">
        <f>$AH691*tbl_Data[[#This Row],[2031 ]]</f>
        <v>0.66489307855723223</v>
      </c>
      <c r="AP691" s="77">
        <f>$AH691*tbl_Data[[#This Row],[2032 ]]</f>
        <v>0.70869851554011454</v>
      </c>
      <c r="AQ691" s="77">
        <f>$AH691*tbl_Data[[#This Row],[2033 ]]</f>
        <v>0.74626171084953685</v>
      </c>
      <c r="AR691" s="77">
        <f>$AH691*tbl_Data[[#This Row],[2034 ]]</f>
        <v>0.77883251379744689</v>
      </c>
      <c r="AS691" s="77">
        <f>SUM(tbl_Data[[#This Row],[Adjusted 2025]:[Adjusted 2034]])</f>
        <v>5.36579927392222</v>
      </c>
      <c r="AT691" s="80">
        <f>AVERAGEIFS('3. Incentive Adjustment'!F:F,'3. Incentive Adjustment'!A:A,tbl_Data[[#This Row],[Trimmed Sector]],'3. Incentive Adjustment'!B:B,tbl_Data[[#This Row],[Trimmed Measure Name]])</f>
        <v>50</v>
      </c>
      <c r="AU691" s="80">
        <f>IFERROR(VLOOKUP(tbl_Data[[#This Row],[All_Meas_Name_Append]],'IRA Tax Credits'!$A$3:$D$46,4,0),0)</f>
        <v>0</v>
      </c>
      <c r="AV691" s="81">
        <f>tbl_Data[[#This Row],[Adj. per unit Incentive ($)]]/tbl_Data[[#This Row],[kWh Savings]]*tbl_Data[[#This Row],[Sum of Annuals]]</f>
        <v>5.6806468535198383E-3</v>
      </c>
      <c r="AW691" s="81">
        <f>IFERROR(VLOOKUP(tbl_Data[[#This Row],[Column1]],'1. Set Program Names'!$B$2:$D$15,3,0)*tbl_Data[[#This Row],[Sum of Annuals]],"")</f>
        <v>0.1910208173349727</v>
      </c>
      <c r="AX691" s="81">
        <f>tbl_Data[[#This Row],[per unit IRA tax ($)]]/tbl_Data[[#This Row],[kWh Savings]]*tbl_Data[[#This Row],[Sum of Annuals]]</f>
        <v>0</v>
      </c>
      <c r="AY691" s="81">
        <f>tbl_Data[[#This Row],[Avoided Costs ($/unit)]]/tbl_Data[[#This Row],[kWh Savings]]*tbl_Data[[#This Row],[Sum of Annuals]]</f>
        <v>1.922165330433937</v>
      </c>
      <c r="AZ691" s="81">
        <f>tbl_Data[[#This Row],[Lost Revenue ($/unit)]]/tbl_Data[[#This Row],[kWh Savings]]*tbl_Data[[#This Row],[Sum of Annuals]]</f>
        <v>4.6254628576732637</v>
      </c>
      <c r="BA691" s="81">
        <f>tbl_Data[[#This Row],[Incremental Cost ($/unit)]]/tbl_Data[[#This Row],[kWh Savings]]*tbl_Data[[#This Row],[Sum of Annuals]]</f>
        <v>1.2638303119710936</v>
      </c>
      <c r="BB691" s="77">
        <f>ROUNDUP(tbl_Data[[#This Row],[Adjusted 2025]]/$L691,0)</f>
        <v>1</v>
      </c>
      <c r="BC691" s="77">
        <f>ROUNDUP(tbl_Data[[#This Row],[Adjusted 2026]]/$L691,0)</f>
        <v>1</v>
      </c>
      <c r="BD691" s="77">
        <f>ROUNDUP(tbl_Data[[#This Row],[Adjusted 2027]]/$L691,0)</f>
        <v>1</v>
      </c>
      <c r="BE691" s="77">
        <f>ROUNDUP(tbl_Data[[#This Row],[Adjusted 2028]]/$L691,0)</f>
        <v>1</v>
      </c>
      <c r="BF691" s="77">
        <f>ROUNDUP(tbl_Data[[#This Row],[Adjusted 2029]]/$L691,0)</f>
        <v>1</v>
      </c>
      <c r="BG691" s="77">
        <f>ROUNDUP(tbl_Data[[#This Row],[Adjusted 2030]]/$L691,0)</f>
        <v>1</v>
      </c>
      <c r="BH691" s="77">
        <f>ROUNDUP(tbl_Data[[#This Row],[Adjusted 2031]]/$L691,0)</f>
        <v>1</v>
      </c>
      <c r="BI691" s="77">
        <f>ROUNDUP(tbl_Data[[#This Row],[Adjusted 2032]]/$L691,0)</f>
        <v>1</v>
      </c>
      <c r="BJ691" s="77">
        <f>ROUNDUP(tbl_Data[[#This Row],[Adjusted 2033]]/$L691,0)</f>
        <v>1</v>
      </c>
      <c r="BK691" s="77">
        <f>ROUNDUP(tbl_Data[[#This Row],[Adjusted 2034]]/$L691,0)</f>
        <v>1</v>
      </c>
      <c r="BL691" s="80">
        <f t="shared" si="276"/>
        <v>1.8599431327997294E-4</v>
      </c>
      <c r="BM691" s="80">
        <f t="shared" si="277"/>
        <v>3.4146453025535268E-4</v>
      </c>
      <c r="BN691" s="80">
        <f t="shared" si="278"/>
        <v>4.7023298335699924E-4</v>
      </c>
      <c r="BO691" s="80">
        <f t="shared" si="279"/>
        <v>5.7760036693676054E-4</v>
      </c>
      <c r="BP691" s="80">
        <f t="shared" si="280"/>
        <v>6.6681188384164214E-4</v>
      </c>
      <c r="BQ691" s="80">
        <f t="shared" si="281"/>
        <v>7.4131186257126542E-4</v>
      </c>
      <c r="BR691" s="80">
        <f t="shared" si="282"/>
        <v>8.0403785442497572E-4</v>
      </c>
      <c r="BS691" s="80">
        <f t="shared" si="283"/>
        <v>8.5701062658902444E-4</v>
      </c>
      <c r="BT691" s="80">
        <f t="shared" si="284"/>
        <v>9.0243481874255208E-4</v>
      </c>
      <c r="BU691" s="80">
        <f t="shared" si="285"/>
        <v>9.4182184105290985E-4</v>
      </c>
      <c r="BV691" s="80">
        <f>IFERROR(VLOOKUP($H691,'1. Set Program Names'!$B$2:$D$15,3,0)*V691,"NA")</f>
        <v>6.2543556497237762E-3</v>
      </c>
      <c r="BW691" s="80">
        <f>IFERROR(VLOOKUP($H691,'1. Set Program Names'!$B$2:$D$15,3,0)*W691,"NA")</f>
        <v>1.1482289841669031E-2</v>
      </c>
      <c r="BX691" s="80">
        <f>IFERROR(VLOOKUP($H691,'1. Set Program Names'!$B$2:$D$15,3,0)*X691,"NA")</f>
        <v>1.5812334604651535E-2</v>
      </c>
      <c r="BY691" s="80">
        <f>IFERROR(VLOOKUP($H691,'1. Set Program Names'!$B$2:$D$15,3,0)*Y691,"NA")</f>
        <v>1.942273424669503E-2</v>
      </c>
      <c r="BZ691" s="80">
        <f>IFERROR(VLOOKUP($H691,'1. Set Program Names'!$B$2:$D$15,3,0)*Z691,"NA")</f>
        <v>2.2422613893201156E-2</v>
      </c>
      <c r="CA691" s="80">
        <f>IFERROR(VLOOKUP($H691,'1. Set Program Names'!$B$2:$D$15,3,0)*AA691,"NA")</f>
        <v>2.4927794587465378E-2</v>
      </c>
      <c r="CB691" s="80">
        <f>IFERROR(VLOOKUP($H691,'1. Set Program Names'!$B$2:$D$15,3,0)*AB691,"NA")</f>
        <v>2.7037056180556369E-2</v>
      </c>
      <c r="CC691" s="80">
        <f>IFERROR(VLOOKUP($H691,'1. Set Program Names'!$B$2:$D$15,3,0)*AC691,"NA")</f>
        <v>2.881835019446009E-2</v>
      </c>
      <c r="CD691" s="80">
        <f>IFERROR(VLOOKUP($H691,'1. Set Program Names'!$B$2:$D$15,3,0)*AD691,"NA")</f>
        <v>3.0345811157214932E-2</v>
      </c>
      <c r="CE691" s="80">
        <f>IFERROR(VLOOKUP($H691,'1. Set Program Names'!$B$2:$D$15,3,0)*AE691,"NA")</f>
        <v>3.1670262648061179E-2</v>
      </c>
    </row>
    <row r="692" spans="1:83" x14ac:dyDescent="0.25">
      <c r="A692" s="79" t="s">
        <v>87</v>
      </c>
      <c r="B692" s="79" t="s">
        <v>88</v>
      </c>
      <c r="C692" s="79" t="s">
        <v>176</v>
      </c>
      <c r="D692" s="79" t="s">
        <v>90</v>
      </c>
      <c r="E692" s="79" t="s">
        <v>91</v>
      </c>
      <c r="F692" s="79" t="s">
        <v>90</v>
      </c>
      <c r="G692" s="79" t="s">
        <v>92</v>
      </c>
      <c r="H692" s="79" t="s">
        <v>16</v>
      </c>
      <c r="I692" s="79" t="s">
        <v>157</v>
      </c>
      <c r="J692" s="79" t="s">
        <v>158</v>
      </c>
      <c r="K692" s="79" t="s">
        <v>159</v>
      </c>
      <c r="L692" s="79">
        <v>562.52</v>
      </c>
      <c r="M692" s="79">
        <v>6.7473359330379998E-2</v>
      </c>
      <c r="N692" s="79">
        <v>6.4973258375617293E-2</v>
      </c>
      <c r="O692" s="79">
        <v>169</v>
      </c>
      <c r="P692" s="79">
        <v>55.847956108163899</v>
      </c>
      <c r="Q692" s="79">
        <v>20.491212633056499</v>
      </c>
      <c r="R692" s="79">
        <v>240.47921618074301</v>
      </c>
      <c r="S692" s="79">
        <v>597.43584258705596</v>
      </c>
      <c r="T692" s="79">
        <v>15</v>
      </c>
      <c r="U692" s="79">
        <v>0.59999999999999898</v>
      </c>
      <c r="V692" s="79">
        <f>tbl_Data_old[[#This Row],[2025 ]]*IFERROR(AVERAGEIFS('Participation Adjustment'!$C:$C,'Participation Adjustment'!$A:$A,$H692,'Participation Adjustment'!$B:$B,$I692),1)</f>
        <v>18252.443942905</v>
      </c>
      <c r="W692" s="79">
        <f>tbl_Data_old[[#This Row],[2026 ]]*IFERROR(AVERAGEIFS('Participation Adjustment'!$C:$C,'Participation Adjustment'!$A:$A,$H692,'Participation Adjustment'!$B:$B,$I692),1)</f>
        <v>20765.207096291102</v>
      </c>
      <c r="X692" s="79">
        <f>tbl_Data_old[[#This Row],[2027 ]]*IFERROR(AVERAGEIFS('Participation Adjustment'!$C:$C,'Participation Adjustment'!$A:$A,$H692,'Participation Adjustment'!$B:$B,$I692),1)</f>
        <v>22954.902911582398</v>
      </c>
      <c r="Y692" s="79">
        <f>tbl_Data_old[[#This Row],[2028 ]]*IFERROR(AVERAGEIFS('Participation Adjustment'!$C:$C,'Participation Adjustment'!$A:$A,$H692,'Participation Adjustment'!$B:$B,$I692),1)</f>
        <v>25152.765556962899</v>
      </c>
      <c r="Z692" s="79">
        <f>tbl_Data_old[[#This Row],[2029 ]]*IFERROR(AVERAGEIFS('Participation Adjustment'!$C:$C,'Participation Adjustment'!$A:$A,$H692,'Participation Adjustment'!$B:$B,$I692),1)</f>
        <v>27024.8026400628</v>
      </c>
      <c r="AA692" s="79">
        <f>tbl_Data_old[[#This Row],[2030 ]]*IFERROR(AVERAGEIFS('Participation Adjustment'!$C:$C,'Participation Adjustment'!$A:$A,$H692,'Participation Adjustment'!$B:$B,$I692),1)</f>
        <v>28782.053717193197</v>
      </c>
      <c r="AB692" s="79">
        <f>tbl_Data_old[[#This Row],[2031 ]]*IFERROR(AVERAGEIFS('Participation Adjustment'!$C:$C,'Participation Adjustment'!$A:$A,$H692,'Participation Adjustment'!$B:$B,$I692),1)</f>
        <v>30443.7421797727</v>
      </c>
      <c r="AC692" s="79">
        <f>tbl_Data_old[[#This Row],[2032 ]]*IFERROR(AVERAGEIFS('Participation Adjustment'!$C:$C,'Participation Adjustment'!$A:$A,$H692,'Participation Adjustment'!$B:$B,$I692),1)</f>
        <v>31934.275839240501</v>
      </c>
      <c r="AD692" s="79">
        <f>tbl_Data_old[[#This Row],[2033 ]]*IFERROR(AVERAGEIFS('Participation Adjustment'!$C:$C,'Participation Adjustment'!$A:$A,$H692,'Participation Adjustment'!$B:$B,$I692),1)</f>
        <v>33412.2494628844</v>
      </c>
      <c r="AE692" s="79">
        <f>tbl_Data_old[[#This Row],[2034 ]]*IFERROR(AVERAGEIFS('Participation Adjustment'!$C:$C,'Participation Adjustment'!$A:$A,$H692,'Participation Adjustment'!$B:$B,$I692),1)</f>
        <v>34812.2526019051</v>
      </c>
      <c r="AF692" s="77" t="str">
        <f t="shared" ref="AF692:AF709" si="286">IF(C692="Residential","Residential","NonResidential")</f>
        <v>NonResidential</v>
      </c>
      <c r="AG692" s="77" t="str">
        <f>tbl_Data[[#This Row],[All_Meas_Name_Append]]</f>
        <v>LED Exterior Wall Packs</v>
      </c>
      <c r="AH692" s="77">
        <f>AVERAGEIFS('3. Incentive Adjustment'!G:G,'3. Incentive Adjustment'!A:A,tbl_Data[[#This Row],[Trimmed Sector]],'3. Incentive Adjustment'!B:B,tbl_Data[[#This Row],[Trimmed Measure Name]])</f>
        <v>0.80637708305213962</v>
      </c>
      <c r="AI692" s="77">
        <f>$AH692*tbl_Data[[#This Row],[2025 ]]</f>
        <v>14718.352505252427</v>
      </c>
      <c r="AJ692" s="77">
        <f>$AH692*tbl_Data[[#This Row],[2026 ]]</f>
        <v>16744.587127280811</v>
      </c>
      <c r="AK692" s="77">
        <f>$AH692*tbl_Data[[#This Row],[2027 ]]</f>
        <v>18510.307651586882</v>
      </c>
      <c r="AL692" s="77">
        <f>$AH692*tbl_Data[[#This Row],[2028 ]]</f>
        <v>20282.613720518068</v>
      </c>
      <c r="AM692" s="77">
        <f>$AH692*tbl_Data[[#This Row],[2029 ]]</f>
        <v>21792.181522953604</v>
      </c>
      <c r="AN692" s="77">
        <f>$AH692*tbl_Data[[#This Row],[2030 ]]</f>
        <v>23209.188520720243</v>
      </c>
      <c r="AO692" s="77">
        <f>$AH692*tbl_Data[[#This Row],[2031 ]]</f>
        <v>24549.136016116496</v>
      </c>
      <c r="AP692" s="77">
        <f>$AH692*tbl_Data[[#This Row],[2032 ]]</f>
        <v>25751.068200629172</v>
      </c>
      <c r="AQ692" s="77">
        <f>$AH692*tbl_Data[[#This Row],[2033 ]]</f>
        <v>26942.872260091142</v>
      </c>
      <c r="AR692" s="77">
        <f>$AH692*tbl_Data[[#This Row],[2034 ]]</f>
        <v>28071.802707598494</v>
      </c>
      <c r="AS692" s="77">
        <f>SUM(tbl_Data[[#This Row],[Adjusted 2025]:[Adjusted 2034]])</f>
        <v>220572.11023274733</v>
      </c>
      <c r="AT692" s="80">
        <f>AVERAGEIFS('3. Incentive Adjustment'!F:F,'3. Incentive Adjustment'!A:A,tbl_Data[[#This Row],[Trimmed Sector]],'3. Incentive Adjustment'!B:B,tbl_Data[[#This Row],[Trimmed Measure Name]])</f>
        <v>8.6864493556481861</v>
      </c>
      <c r="AU692" s="80">
        <f>IFERROR(VLOOKUP(tbl_Data[[#This Row],[All_Meas_Name_Append]],'IRA Tax Credits'!$A$3:$D$46,4,0),0)</f>
        <v>0</v>
      </c>
      <c r="AV692" s="81">
        <f>tbl_Data[[#This Row],[Adj. per unit Incentive ($)]]/tbl_Data[[#This Row],[kWh Savings]]*tbl_Data[[#This Row],[Sum of Annuals]]</f>
        <v>3406.0806101209</v>
      </c>
      <c r="AW692" s="81">
        <f>IFERROR(VLOOKUP(tbl_Data[[#This Row],[Column1]],'1. Set Program Names'!$B$2:$D$15,3,0)*tbl_Data[[#This Row],[Sum of Annuals]],"")</f>
        <v>8034.8965578134221</v>
      </c>
      <c r="AX692" s="81">
        <f>tbl_Data[[#This Row],[per unit IRA tax ($)]]/tbl_Data[[#This Row],[kWh Savings]]*tbl_Data[[#This Row],[Sum of Annuals]]</f>
        <v>0</v>
      </c>
      <c r="AY692" s="81">
        <f>tbl_Data[[#This Row],[Avoided Costs ($/unit)]]/tbl_Data[[#This Row],[kWh Savings]]*tbl_Data[[#This Row],[Sum of Annuals]]</f>
        <v>94295.328486282306</v>
      </c>
      <c r="AZ692" s="81">
        <f>tbl_Data[[#This Row],[Lost Revenue ($/unit)]]/tbl_Data[[#This Row],[kWh Savings]]*tbl_Data[[#This Row],[Sum of Annuals]]</f>
        <v>234263.10980606271</v>
      </c>
      <c r="BA692" s="81">
        <f>tbl_Data[[#This Row],[Incremental Cost ($/unit)]]/tbl_Data[[#This Row],[kWh Savings]]*tbl_Data[[#This Row],[Sum of Annuals]]</f>
        <v>66267.308947831727</v>
      </c>
      <c r="BB692" s="77">
        <f>ROUNDUP(tbl_Data[[#This Row],[Adjusted 2025]]/$L692,0)</f>
        <v>27</v>
      </c>
      <c r="BC692" s="77">
        <f>ROUNDUP(tbl_Data[[#This Row],[Adjusted 2026]]/$L692,0)</f>
        <v>30</v>
      </c>
      <c r="BD692" s="77">
        <f>ROUNDUP(tbl_Data[[#This Row],[Adjusted 2027]]/$L692,0)</f>
        <v>33</v>
      </c>
      <c r="BE692" s="77">
        <f>ROUNDUP(tbl_Data[[#This Row],[Adjusted 2028]]/$L692,0)</f>
        <v>37</v>
      </c>
      <c r="BF692" s="77">
        <f>ROUNDUP(tbl_Data[[#This Row],[Adjusted 2029]]/$L692,0)</f>
        <v>39</v>
      </c>
      <c r="BG692" s="77">
        <f>ROUNDUP(tbl_Data[[#This Row],[Adjusted 2030]]/$L692,0)</f>
        <v>42</v>
      </c>
      <c r="BH692" s="77">
        <f>ROUNDUP(tbl_Data[[#This Row],[Adjusted 2031]]/$L692,0)</f>
        <v>44</v>
      </c>
      <c r="BI692" s="77">
        <f>ROUNDUP(tbl_Data[[#This Row],[Adjusted 2032]]/$L692,0)</f>
        <v>46</v>
      </c>
      <c r="BJ692" s="77">
        <f>ROUNDUP(tbl_Data[[#This Row],[Adjusted 2033]]/$L692,0)</f>
        <v>48</v>
      </c>
      <c r="BK692" s="77">
        <f>ROUNDUP(tbl_Data[[#This Row],[Adjusted 2034]]/$L692,0)</f>
        <v>50</v>
      </c>
      <c r="BL692" s="80">
        <f t="shared" ref="BL692:BL709" si="287">$AT692/$L692*V692</f>
        <v>281.85474281243648</v>
      </c>
      <c r="BM692" s="80">
        <f t="shared" ref="BM692:BM709" si="288">$AT692/$L692*W692</f>
        <v>320.6569007350476</v>
      </c>
      <c r="BN692" s="80">
        <f t="shared" ref="BN692:BN709" si="289">$AT692/$L692*X692</f>
        <v>354.47024391182816</v>
      </c>
      <c r="BO692" s="80">
        <f t="shared" ref="BO692:BO709" si="290">$AT692/$L692*Y692</f>
        <v>388.40969950410698</v>
      </c>
      <c r="BP692" s="80">
        <f t="shared" ref="BP692:BP709" si="291">$AT692/$L692*Z692</f>
        <v>417.31774777659979</v>
      </c>
      <c r="BQ692" s="80">
        <f t="shared" ref="BQ692:BQ709" si="292">$AT692/$L692*AA692</f>
        <v>444.45326737883869</v>
      </c>
      <c r="BR692" s="80">
        <f t="shared" ref="BR692:BR709" si="293">$AT692/$L692*AB692</f>
        <v>470.11310645133699</v>
      </c>
      <c r="BS692" s="80">
        <f t="shared" ref="BS692:BS709" si="294">$AT692/$L692*AC692</f>
        <v>493.12996833332517</v>
      </c>
      <c r="BT692" s="80">
        <f t="shared" ref="BT692:BT709" si="295">$AT692/$L692*AD692</f>
        <v>515.9528777956848</v>
      </c>
      <c r="BU692" s="80">
        <f t="shared" ref="BU692:BU709" si="296">$AT692/$L692*AE692</f>
        <v>537.57176488388052</v>
      </c>
      <c r="BV692" s="80">
        <f>IFERROR(VLOOKUP($H692,'1. Set Program Names'!$B$2:$D$15,3,0)*V692,"NA")</f>
        <v>664.89139925160134</v>
      </c>
      <c r="BW692" s="80">
        <f>IFERROR(VLOOKUP($H692,'1. Set Program Names'!$B$2:$D$15,3,0)*W692,"NA")</f>
        <v>756.42514751396402</v>
      </c>
      <c r="BX692" s="80">
        <f>IFERROR(VLOOKUP($H692,'1. Set Program Names'!$B$2:$D$15,3,0)*X692,"NA")</f>
        <v>836.19035151177377</v>
      </c>
      <c r="BY692" s="80">
        <f>IFERROR(VLOOKUP($H692,'1. Set Program Names'!$B$2:$D$15,3,0)*Y692,"NA")</f>
        <v>916.25305293526799</v>
      </c>
      <c r="BZ692" s="80">
        <f>IFERROR(VLOOKUP($H692,'1. Set Program Names'!$B$2:$D$15,3,0)*Z692,"NA")</f>
        <v>984.44673480749827</v>
      </c>
      <c r="CA692" s="80">
        <f>IFERROR(VLOOKUP($H692,'1. Set Program Names'!$B$2:$D$15,3,0)*AA692,"NA")</f>
        <v>1048.4590463184607</v>
      </c>
      <c r="CB692" s="80">
        <f>IFERROR(VLOOKUP($H692,'1. Set Program Names'!$B$2:$D$15,3,0)*AB692,"NA")</f>
        <v>1108.990248083044</v>
      </c>
      <c r="CC692" s="80">
        <f>IFERROR(VLOOKUP($H692,'1. Set Program Names'!$B$2:$D$15,3,0)*AC692,"NA")</f>
        <v>1163.2867035919726</v>
      </c>
      <c r="CD692" s="80">
        <f>IFERROR(VLOOKUP($H692,'1. Set Program Names'!$B$2:$D$15,3,0)*AD692,"NA")</f>
        <v>1217.1256280535672</v>
      </c>
      <c r="CE692" s="80">
        <f>IFERROR(VLOOKUP($H692,'1. Set Program Names'!$B$2:$D$15,3,0)*AE692,"NA")</f>
        <v>1268.1242805612465</v>
      </c>
    </row>
    <row r="693" spans="1:83" x14ac:dyDescent="0.25">
      <c r="A693" s="79" t="s">
        <v>87</v>
      </c>
      <c r="B693" s="79" t="s">
        <v>88</v>
      </c>
      <c r="C693" s="79" t="s">
        <v>176</v>
      </c>
      <c r="D693" s="79" t="s">
        <v>90</v>
      </c>
      <c r="E693" s="79" t="s">
        <v>91</v>
      </c>
      <c r="F693" s="79" t="s">
        <v>90</v>
      </c>
      <c r="G693" s="79" t="s">
        <v>92</v>
      </c>
      <c r="H693" s="79" t="s">
        <v>16</v>
      </c>
      <c r="I693" s="79" t="s">
        <v>162</v>
      </c>
      <c r="J693" s="79" t="s">
        <v>161</v>
      </c>
      <c r="K693" s="79" t="s">
        <v>159</v>
      </c>
      <c r="L693" s="79">
        <v>725.58416666666596</v>
      </c>
      <c r="M693" s="79">
        <v>8.6917804178563804E-2</v>
      </c>
      <c r="N693" s="79">
        <v>8.3795205289933394E-2</v>
      </c>
      <c r="O693" s="79">
        <v>179</v>
      </c>
      <c r="P693" s="79">
        <v>33.0790753554421</v>
      </c>
      <c r="Q693" s="79">
        <v>26.4312370090766</v>
      </c>
      <c r="R693" s="79">
        <v>310.45187974046598</v>
      </c>
      <c r="S693" s="79">
        <v>770.62146764617603</v>
      </c>
      <c r="T693" s="79">
        <v>15</v>
      </c>
      <c r="U693" s="79">
        <v>0.59999999999999898</v>
      </c>
      <c r="V693" s="79">
        <f>tbl_Data_old[[#This Row],[2025 ]]*IFERROR(AVERAGEIFS('Participation Adjustment'!$C:$C,'Participation Adjustment'!$A:$A,$H693,'Participation Adjustment'!$B:$B,$I693),1)</f>
        <v>140669.76999643786</v>
      </c>
      <c r="W693" s="79">
        <f>tbl_Data_old[[#This Row],[2026 ]]*IFERROR(AVERAGEIFS('Participation Adjustment'!$C:$C,'Participation Adjustment'!$A:$A,$H693,'Participation Adjustment'!$B:$B,$I693),1)</f>
        <v>160035.38568867152</v>
      </c>
      <c r="X693" s="79">
        <f>tbl_Data_old[[#This Row],[2027 ]]*IFERROR(AVERAGEIFS('Participation Adjustment'!$C:$C,'Participation Adjustment'!$A:$A,$H693,'Participation Adjustment'!$B:$B,$I693),1)</f>
        <v>176911.15353996449</v>
      </c>
      <c r="Y693" s="79">
        <f>tbl_Data_old[[#This Row],[2028 ]]*IFERROR(AVERAGEIFS('Participation Adjustment'!$C:$C,'Participation Adjustment'!$A:$A,$H693,'Participation Adjustment'!$B:$B,$I693),1)</f>
        <v>193849.862338443</v>
      </c>
      <c r="Z693" s="79">
        <f>tbl_Data_old[[#This Row],[2029 ]]*IFERROR(AVERAGEIFS('Participation Adjustment'!$C:$C,'Participation Adjustment'!$A:$A,$H693,'Participation Adjustment'!$B:$B,$I693),1)</f>
        <v>208277.46593652599</v>
      </c>
      <c r="AA693" s="79">
        <f>tbl_Data_old[[#This Row],[2030 ]]*IFERROR(AVERAGEIFS('Participation Adjustment'!$C:$C,'Participation Adjustment'!$A:$A,$H693,'Participation Adjustment'!$B:$B,$I693),1)</f>
        <v>221820.42520374301</v>
      </c>
      <c r="AB693" s="79">
        <f>tbl_Data_old[[#This Row],[2031 ]]*IFERROR(AVERAGEIFS('Participation Adjustment'!$C:$C,'Participation Adjustment'!$A:$A,$H693,'Participation Adjustment'!$B:$B,$I693),1)</f>
        <v>234626.8929057105</v>
      </c>
      <c r="AC693" s="79">
        <f>tbl_Data_old[[#This Row],[2032 ]]*IFERROR(AVERAGEIFS('Participation Adjustment'!$C:$C,'Participation Adjustment'!$A:$A,$H693,'Participation Adjustment'!$B:$B,$I693),1)</f>
        <v>246114.28756393652</v>
      </c>
      <c r="AD693" s="79">
        <f>tbl_Data_old[[#This Row],[2033 ]]*IFERROR(AVERAGEIFS('Participation Adjustment'!$C:$C,'Participation Adjustment'!$A:$A,$H693,'Participation Adjustment'!$B:$B,$I693),1)</f>
        <v>257504.88327534602</v>
      </c>
      <c r="AE693" s="79">
        <f>tbl_Data_old[[#This Row],[2034 ]]*IFERROR(AVERAGEIFS('Participation Adjustment'!$C:$C,'Participation Adjustment'!$A:$A,$H693,'Participation Adjustment'!$B:$B,$I693),1)</f>
        <v>268294.56821706449</v>
      </c>
      <c r="AF693" s="77" t="str">
        <f t="shared" si="286"/>
        <v>NonResidential</v>
      </c>
      <c r="AG693" s="77" t="str">
        <f>tbl_Data[[#This Row],[All_Meas_Name_Append]]</f>
        <v>LED High Bay_LF Baseline</v>
      </c>
      <c r="AH693" s="77">
        <f>AVERAGEIFS('3. Incentive Adjustment'!G:G,'3. Incentive Adjustment'!A:A,tbl_Data[[#This Row],[Trimmed Sector]],'3. Incentive Adjustment'!B:B,tbl_Data[[#This Row],[Trimmed Measure Name]])</f>
        <v>0.93017466414143679</v>
      </c>
      <c r="AI693" s="77">
        <f>$AH693*tbl_Data[[#This Row],[2025 ]]</f>
        <v>130847.45606128975</v>
      </c>
      <c r="AJ693" s="77">
        <f>$AH693*tbl_Data[[#This Row],[2026 ]]</f>
        <v>148860.86113370533</v>
      </c>
      <c r="AK693" s="77">
        <f>$AH693*tbl_Data[[#This Row],[2027 ]]</f>
        <v>164558.27282691063</v>
      </c>
      <c r="AL693" s="77">
        <f>$AH693*tbl_Data[[#This Row],[2028 ]]</f>
        <v>180314.23059452497</v>
      </c>
      <c r="AM693" s="77">
        <f>$AH693*tbl_Data[[#This Row],[2029 ]]</f>
        <v>193734.42192573761</v>
      </c>
      <c r="AN693" s="77">
        <f>$AH693*tbl_Data[[#This Row],[2030 ]]</f>
        <v>206331.73951360237</v>
      </c>
      <c r="AO693" s="77">
        <f>$AH693*tbl_Data[[#This Row],[2031 ]]</f>
        <v>218243.99130711812</v>
      </c>
      <c r="AP693" s="77">
        <f>$AH693*tbl_Data[[#This Row],[2032 ]]</f>
        <v>228929.27477519365</v>
      </c>
      <c r="AQ693" s="77">
        <f>$AH693*tbl_Data[[#This Row],[2033 ]]</f>
        <v>239524.51831542485</v>
      </c>
      <c r="AR693" s="77">
        <f>$AH693*tbl_Data[[#This Row],[2034 ]]</f>
        <v>249560.80988227975</v>
      </c>
      <c r="AS693" s="77">
        <f>SUM(tbl_Data[[#This Row],[Adjusted 2025]:[Adjusted 2034]])</f>
        <v>1960905.5763357873</v>
      </c>
      <c r="AT693" s="80">
        <f>AVERAGEIFS('3. Incentive Adjustment'!F:F,'3. Incentive Adjustment'!A:A,tbl_Data[[#This Row],[Trimmed Sector]],'3. Incentive Adjustment'!B:B,tbl_Data[[#This Row],[Trimmed Measure Name]])</f>
        <v>23.858858929800434</v>
      </c>
      <c r="AU693" s="80">
        <f>IFERROR(VLOOKUP(tbl_Data[[#This Row],[All_Meas_Name_Append]],'IRA Tax Credits'!$A$3:$D$46,4,0),0)</f>
        <v>0</v>
      </c>
      <c r="AV693" s="81">
        <f>tbl_Data[[#This Row],[Adj. per unit Incentive ($)]]/tbl_Data[[#This Row],[kWh Savings]]*tbl_Data[[#This Row],[Sum of Annuals]]</f>
        <v>64479.03864190523</v>
      </c>
      <c r="AW693" s="81">
        <f>IFERROR(VLOOKUP(tbl_Data[[#This Row],[Column1]],'1. Set Program Names'!$B$2:$D$15,3,0)*tbl_Data[[#This Row],[Sum of Annuals]],"")</f>
        <v>71430.941331939932</v>
      </c>
      <c r="AX693" s="81">
        <f>tbl_Data[[#This Row],[per unit IRA tax ($)]]/tbl_Data[[#This Row],[kWh Savings]]*tbl_Data[[#This Row],[Sum of Annuals]]</f>
        <v>0</v>
      </c>
      <c r="AY693" s="81">
        <f>tbl_Data[[#This Row],[Avoided Costs ($/unit)]]/tbl_Data[[#This Row],[kWh Savings]]*tbl_Data[[#This Row],[Sum of Annuals]]</f>
        <v>839002.35166883818</v>
      </c>
      <c r="AZ693" s="81">
        <f>tbl_Data[[#This Row],[Lost Revenue ($/unit)]]/tbl_Data[[#This Row],[kWh Savings]]*tbl_Data[[#This Row],[Sum of Annuals]]</f>
        <v>2082619.7739312898</v>
      </c>
      <c r="BA693" s="81">
        <f>tbl_Data[[#This Row],[Incremental Cost ($/unit)]]/tbl_Data[[#This Row],[kWh Savings]]*tbl_Data[[#This Row],[Sum of Annuals]]</f>
        <v>483751.04404029337</v>
      </c>
      <c r="BB693" s="77">
        <f>ROUNDUP(tbl_Data[[#This Row],[Adjusted 2025]]/$L693,0)</f>
        <v>181</v>
      </c>
      <c r="BC693" s="77">
        <f>ROUNDUP(tbl_Data[[#This Row],[Adjusted 2026]]/$L693,0)</f>
        <v>206</v>
      </c>
      <c r="BD693" s="77">
        <f>ROUNDUP(tbl_Data[[#This Row],[Adjusted 2027]]/$L693,0)</f>
        <v>227</v>
      </c>
      <c r="BE693" s="77">
        <f>ROUNDUP(tbl_Data[[#This Row],[Adjusted 2028]]/$L693,0)</f>
        <v>249</v>
      </c>
      <c r="BF693" s="77">
        <f>ROUNDUP(tbl_Data[[#This Row],[Adjusted 2029]]/$L693,0)</f>
        <v>268</v>
      </c>
      <c r="BG693" s="77">
        <f>ROUNDUP(tbl_Data[[#This Row],[Adjusted 2030]]/$L693,0)</f>
        <v>285</v>
      </c>
      <c r="BH693" s="77">
        <f>ROUNDUP(tbl_Data[[#This Row],[Adjusted 2031]]/$L693,0)</f>
        <v>301</v>
      </c>
      <c r="BI693" s="77">
        <f>ROUNDUP(tbl_Data[[#This Row],[Adjusted 2032]]/$L693,0)</f>
        <v>316</v>
      </c>
      <c r="BJ693" s="77">
        <f>ROUNDUP(tbl_Data[[#This Row],[Adjusted 2033]]/$L693,0)</f>
        <v>331</v>
      </c>
      <c r="BK693" s="77">
        <f>ROUNDUP(tbl_Data[[#This Row],[Adjusted 2034]]/$L693,0)</f>
        <v>344</v>
      </c>
      <c r="BL693" s="80">
        <f t="shared" si="287"/>
        <v>4625.5422213124657</v>
      </c>
      <c r="BM693" s="80">
        <f t="shared" si="288"/>
        <v>5262.3277440897218</v>
      </c>
      <c r="BN693" s="80">
        <f t="shared" si="289"/>
        <v>5817.2414026191973</v>
      </c>
      <c r="BO693" s="80">
        <f t="shared" si="290"/>
        <v>6374.2247027544236</v>
      </c>
      <c r="BP693" s="80">
        <f t="shared" si="291"/>
        <v>6848.6371482783088</v>
      </c>
      <c r="BQ693" s="80">
        <f t="shared" si="292"/>
        <v>7293.9604746306131</v>
      </c>
      <c r="BR693" s="80">
        <f t="shared" si="293"/>
        <v>7715.0662819609661</v>
      </c>
      <c r="BS693" s="80">
        <f t="shared" si="294"/>
        <v>8092.7979652206268</v>
      </c>
      <c r="BT693" s="80">
        <f t="shared" si="295"/>
        <v>8467.3466787811849</v>
      </c>
      <c r="BU693" s="80">
        <f t="shared" si="296"/>
        <v>8822.1360784783756</v>
      </c>
      <c r="BV693" s="80">
        <f>IFERROR(VLOOKUP($H693,'1. Set Program Names'!$B$2:$D$15,3,0)*V693,"NA")</f>
        <v>5124.251880893411</v>
      </c>
      <c r="BW693" s="80">
        <f>IFERROR(VLOOKUP($H693,'1. Set Program Names'!$B$2:$D$15,3,0)*W693,"NA")</f>
        <v>5829.6933743862937</v>
      </c>
      <c r="BX693" s="80">
        <f>IFERROR(VLOOKUP($H693,'1. Set Program Names'!$B$2:$D$15,3,0)*X693,"NA")</f>
        <v>6444.4358677855389</v>
      </c>
      <c r="BY693" s="80">
        <f>IFERROR(VLOOKUP($H693,'1. Set Program Names'!$B$2:$D$15,3,0)*Y693,"NA")</f>
        <v>7061.4711442540165</v>
      </c>
      <c r="BZ693" s="80">
        <f>IFERROR(VLOOKUP($H693,'1. Set Program Names'!$B$2:$D$15,3,0)*Z693,"NA")</f>
        <v>7587.0330675878886</v>
      </c>
      <c r="CA693" s="80">
        <f>IFERROR(VLOOKUP($H693,'1. Set Program Names'!$B$2:$D$15,3,0)*AA693,"NA")</f>
        <v>8080.3695854456846</v>
      </c>
      <c r="CB693" s="80">
        <f>IFERROR(VLOOKUP($H693,'1. Set Program Names'!$B$2:$D$15,3,0)*AB693,"NA")</f>
        <v>8546.8775367352155</v>
      </c>
      <c r="CC693" s="80">
        <f>IFERROR(VLOOKUP($H693,'1. Set Program Names'!$B$2:$D$15,3,0)*AC693,"NA")</f>
        <v>8965.3349187688254</v>
      </c>
      <c r="CD693" s="80">
        <f>IFERROR(VLOOKUP($H693,'1. Set Program Names'!$B$2:$D$15,3,0)*AD693,"NA")</f>
        <v>9380.2661545287519</v>
      </c>
      <c r="CE693" s="80">
        <f>IFERROR(VLOOKUP($H693,'1. Set Program Names'!$B$2:$D$15,3,0)*AE693,"NA")</f>
        <v>9773.3076968462537</v>
      </c>
    </row>
    <row r="694" spans="1:83" x14ac:dyDescent="0.25">
      <c r="A694" s="79" t="s">
        <v>87</v>
      </c>
      <c r="B694" s="79" t="s">
        <v>88</v>
      </c>
      <c r="C694" s="79" t="s">
        <v>176</v>
      </c>
      <c r="D694" s="79" t="s">
        <v>90</v>
      </c>
      <c r="E694" s="79" t="s">
        <v>91</v>
      </c>
      <c r="F694" s="79" t="s">
        <v>90</v>
      </c>
      <c r="G694" s="79" t="s">
        <v>92</v>
      </c>
      <c r="H694" s="79" t="s">
        <v>16</v>
      </c>
      <c r="I694" s="79" t="s">
        <v>165</v>
      </c>
      <c r="J694" s="79" t="s">
        <v>161</v>
      </c>
      <c r="K694" s="79" t="s">
        <v>166</v>
      </c>
      <c r="L694" s="79">
        <v>565.38999999999896</v>
      </c>
      <c r="M694" s="79">
        <v>6.7728127941350899E-2</v>
      </c>
      <c r="N694" s="79">
        <v>6.5294935157718198E-2</v>
      </c>
      <c r="O694" s="79">
        <v>129</v>
      </c>
      <c r="P694" s="79">
        <v>15.293574707506</v>
      </c>
      <c r="Q694" s="79">
        <v>20.595759636286299</v>
      </c>
      <c r="R694" s="79">
        <v>190.6779313312</v>
      </c>
      <c r="S694" s="79">
        <v>454.767236260907</v>
      </c>
      <c r="T694" s="79">
        <v>10</v>
      </c>
      <c r="U694" s="79">
        <v>0.59999999999999898</v>
      </c>
      <c r="V694" s="79">
        <f>tbl_Data_old[[#This Row],[2025 ]]*IFERROR(AVERAGEIFS('Participation Adjustment'!$C:$C,'Participation Adjustment'!$A:$A,$H694,'Participation Adjustment'!$B:$B,$I694),1)</f>
        <v>1122.0616515060501</v>
      </c>
      <c r="W694" s="79">
        <f>tbl_Data_old[[#This Row],[2026 ]]*IFERROR(AVERAGEIFS('Participation Adjustment'!$C:$C,'Participation Adjustment'!$A:$A,$H694,'Participation Adjustment'!$B:$B,$I694),1)</f>
        <v>1549.3024343853299</v>
      </c>
      <c r="X694" s="79">
        <f>tbl_Data_old[[#This Row],[2027 ]]*IFERROR(AVERAGEIFS('Participation Adjustment'!$C:$C,'Participation Adjustment'!$A:$A,$H694,'Participation Adjustment'!$B:$B,$I694),1)</f>
        <v>2072.6636425905199</v>
      </c>
      <c r="Y694" s="79">
        <f>tbl_Data_old[[#This Row],[2028 ]]*IFERROR(AVERAGEIFS('Participation Adjustment'!$C:$C,'Participation Adjustment'!$A:$A,$H694,'Participation Adjustment'!$B:$B,$I694),1)</f>
        <v>2703.72062416786</v>
      </c>
      <c r="Z694" s="79">
        <f>tbl_Data_old[[#This Row],[2029 ]]*IFERROR(AVERAGEIFS('Participation Adjustment'!$C:$C,'Participation Adjustment'!$A:$A,$H694,'Participation Adjustment'!$B:$B,$I694),1)</f>
        <v>3375.3817718606301</v>
      </c>
      <c r="AA694" s="79">
        <f>tbl_Data_old[[#This Row],[2030 ]]*IFERROR(AVERAGEIFS('Participation Adjustment'!$C:$C,'Participation Adjustment'!$A:$A,$H694,'Participation Adjustment'!$B:$B,$I694),1)</f>
        <v>4006.6469409467099</v>
      </c>
      <c r="AB694" s="79">
        <f>tbl_Data_old[[#This Row],[2031 ]]*IFERROR(AVERAGEIFS('Participation Adjustment'!$C:$C,'Participation Adjustment'!$A:$A,$H694,'Participation Adjustment'!$B:$B,$I694),1)</f>
        <v>4465.37262384109</v>
      </c>
      <c r="AC694" s="79">
        <f>tbl_Data_old[[#This Row],[2032 ]]*IFERROR(AVERAGEIFS('Participation Adjustment'!$C:$C,'Participation Adjustment'!$A:$A,$H694,'Participation Adjustment'!$B:$B,$I694),1)</f>
        <v>4605.4079694215998</v>
      </c>
      <c r="AD694" s="79">
        <f>tbl_Data_old[[#This Row],[2033 ]]*IFERROR(AVERAGEIFS('Participation Adjustment'!$C:$C,'Participation Adjustment'!$A:$A,$H694,'Participation Adjustment'!$B:$B,$I694),1)</f>
        <v>4360.4723699015003</v>
      </c>
      <c r="AE694" s="79">
        <f>tbl_Data_old[[#This Row],[2034 ]]*IFERROR(AVERAGEIFS('Participation Adjustment'!$C:$C,'Participation Adjustment'!$A:$A,$H694,'Participation Adjustment'!$B:$B,$I694),1)</f>
        <v>3773.4669656022502</v>
      </c>
      <c r="AF694" s="77" t="str">
        <f t="shared" si="286"/>
        <v>NonResidential</v>
      </c>
      <c r="AG694" s="77" t="str">
        <f>tbl_Data[[#This Row],[All_Meas_Name_Append]]</f>
        <v>Occupancy Sensors_ Ceiling Mounted</v>
      </c>
      <c r="AH694" s="77">
        <f>AVERAGEIFS('3. Incentive Adjustment'!G:G,'3. Incentive Adjustment'!A:A,tbl_Data[[#This Row],[Trimmed Sector]],'3. Incentive Adjustment'!B:B,tbl_Data[[#This Row],[Trimmed Measure Name]])</f>
        <v>0.99348124042467356</v>
      </c>
      <c r="AI694" s="77">
        <f>$AH694*tbl_Data[[#This Row],[2025 ]]</f>
        <v>1114.7472013711883</v>
      </c>
      <c r="AJ694" s="77">
        <f>$AH694*tbl_Data[[#This Row],[2026 ]]</f>
        <v>1539.2029043061038</v>
      </c>
      <c r="AK694" s="77">
        <f>$AH694*tbl_Data[[#This Row],[2027 ]]</f>
        <v>2059.1524466239521</v>
      </c>
      <c r="AL694" s="77">
        <f>$AH694*tbl_Data[[#This Row],[2028 ]]</f>
        <v>2686.0957194600583</v>
      </c>
      <c r="AM694" s="77">
        <f>$AH694*tbl_Data[[#This Row],[2029 ]]</f>
        <v>3353.3784696149314</v>
      </c>
      <c r="AN694" s="77">
        <f>$AH694*tbl_Data[[#This Row],[2030 ]]</f>
        <v>3980.5285728354611</v>
      </c>
      <c r="AO694" s="77">
        <f>$AH694*tbl_Data[[#This Row],[2031 ]]</f>
        <v>4436.2639332920253</v>
      </c>
      <c r="AP694" s="77">
        <f>$AH694*tbl_Data[[#This Row],[2032 ]]</f>
        <v>4575.3864221226477</v>
      </c>
      <c r="AQ694" s="77">
        <f>$AH694*tbl_Data[[#This Row],[2033 ]]</f>
        <v>4332.0474988872584</v>
      </c>
      <c r="AR694" s="77">
        <f>$AH694*tbl_Data[[#This Row],[2034 ]]</f>
        <v>3748.8686416880523</v>
      </c>
      <c r="AS694" s="77">
        <f>SUM(tbl_Data[[#This Row],[Adjusted 2025]:[Adjusted 2034]])</f>
        <v>31825.671810201678</v>
      </c>
      <c r="AT694" s="80">
        <f>AVERAGEIFS('3. Incentive Adjustment'!F:F,'3. Incentive Adjustment'!A:A,tbl_Data[[#This Row],[Trimmed Sector]],'3. Incentive Adjustment'!B:B,tbl_Data[[#This Row],[Trimmed Measure Name]])</f>
        <v>19.547634357270656</v>
      </c>
      <c r="AU694" s="80">
        <f>IFERROR(VLOOKUP(tbl_Data[[#This Row],[All_Meas_Name_Append]],'IRA Tax Credits'!$A$3:$D$46,4,0),0)</f>
        <v>0</v>
      </c>
      <c r="AV694" s="81">
        <f>tbl_Data[[#This Row],[Adj. per unit Incentive ($)]]/tbl_Data[[#This Row],[kWh Savings]]*tbl_Data[[#This Row],[Sum of Annuals]]</f>
        <v>1100.3317987943183</v>
      </c>
      <c r="AW694" s="81">
        <f>IFERROR(VLOOKUP(tbl_Data[[#This Row],[Column1]],'1. Set Program Names'!$B$2:$D$15,3,0)*tbl_Data[[#This Row],[Sum of Annuals]],"")</f>
        <v>1159.3305273638541</v>
      </c>
      <c r="AX694" s="81">
        <f>tbl_Data[[#This Row],[per unit IRA tax ($)]]/tbl_Data[[#This Row],[kWh Savings]]*tbl_Data[[#This Row],[Sum of Annuals]]</f>
        <v>0</v>
      </c>
      <c r="AY694" s="81">
        <f>tbl_Data[[#This Row],[Avoided Costs ($/unit)]]/tbl_Data[[#This Row],[kWh Savings]]*tbl_Data[[#This Row],[Sum of Annuals]]</f>
        <v>10733.216477113063</v>
      </c>
      <c r="AZ694" s="81">
        <f>tbl_Data[[#This Row],[Lost Revenue ($/unit)]]/tbl_Data[[#This Row],[kWh Savings]]*tbl_Data[[#This Row],[Sum of Annuals]]</f>
        <v>25598.742127154888</v>
      </c>
      <c r="BA694" s="81">
        <f>tbl_Data[[#This Row],[Incremental Cost ($/unit)]]/tbl_Data[[#This Row],[kWh Savings]]*tbl_Data[[#This Row],[Sum of Annuals]]</f>
        <v>7261.3800447762151</v>
      </c>
      <c r="BB694" s="77">
        <f>ROUNDUP(tbl_Data[[#This Row],[Adjusted 2025]]/$L694,0)</f>
        <v>2</v>
      </c>
      <c r="BC694" s="77">
        <f>ROUNDUP(tbl_Data[[#This Row],[Adjusted 2026]]/$L694,0)</f>
        <v>3</v>
      </c>
      <c r="BD694" s="77">
        <f>ROUNDUP(tbl_Data[[#This Row],[Adjusted 2027]]/$L694,0)</f>
        <v>4</v>
      </c>
      <c r="BE694" s="77">
        <f>ROUNDUP(tbl_Data[[#This Row],[Adjusted 2028]]/$L694,0)</f>
        <v>5</v>
      </c>
      <c r="BF694" s="77">
        <f>ROUNDUP(tbl_Data[[#This Row],[Adjusted 2029]]/$L694,0)</f>
        <v>6</v>
      </c>
      <c r="BG694" s="77">
        <f>ROUNDUP(tbl_Data[[#This Row],[Adjusted 2030]]/$L694,0)</f>
        <v>8</v>
      </c>
      <c r="BH694" s="77">
        <f>ROUNDUP(tbl_Data[[#This Row],[Adjusted 2031]]/$L694,0)</f>
        <v>8</v>
      </c>
      <c r="BI694" s="77">
        <f>ROUNDUP(tbl_Data[[#This Row],[Adjusted 2032]]/$L694,0)</f>
        <v>9</v>
      </c>
      <c r="BJ694" s="77">
        <f>ROUNDUP(tbl_Data[[#This Row],[Adjusted 2033]]/$L694,0)</f>
        <v>8</v>
      </c>
      <c r="BK694" s="77">
        <f>ROUNDUP(tbl_Data[[#This Row],[Adjusted 2034]]/$L694,0)</f>
        <v>7</v>
      </c>
      <c r="BL694" s="80">
        <f t="shared" si="287"/>
        <v>38.793842993253435</v>
      </c>
      <c r="BM694" s="80">
        <f t="shared" si="288"/>
        <v>53.56514529120394</v>
      </c>
      <c r="BN694" s="80">
        <f t="shared" si="289"/>
        <v>71.659688057744688</v>
      </c>
      <c r="BO694" s="80">
        <f t="shared" si="290"/>
        <v>93.477674110693542</v>
      </c>
      <c r="BP694" s="80">
        <f t="shared" si="291"/>
        <v>116.699497148036</v>
      </c>
      <c r="BQ694" s="80">
        <f t="shared" si="292"/>
        <v>138.52468101718003</v>
      </c>
      <c r="BR694" s="80">
        <f t="shared" si="293"/>
        <v>154.38453336601648</v>
      </c>
      <c r="BS694" s="80">
        <f t="shared" si="294"/>
        <v>159.22607589860789</v>
      </c>
      <c r="BT694" s="80">
        <f t="shared" si="295"/>
        <v>150.757741579823</v>
      </c>
      <c r="BU694" s="80">
        <f t="shared" si="296"/>
        <v>130.462782332253</v>
      </c>
      <c r="BV694" s="80">
        <f>IFERROR(VLOOKUP($H694,'1. Set Program Names'!$B$2:$D$15,3,0)*V694,"NA")</f>
        <v>40.873931395166451</v>
      </c>
      <c r="BW694" s="80">
        <f>IFERROR(VLOOKUP($H694,'1. Set Program Names'!$B$2:$D$15,3,0)*W694,"NA")</f>
        <v>56.43725665914436</v>
      </c>
      <c r="BX694" s="80">
        <f>IFERROR(VLOOKUP($H694,'1. Set Program Names'!$B$2:$D$15,3,0)*X694,"NA")</f>
        <v>75.502011336712997</v>
      </c>
      <c r="BY694" s="80">
        <f>IFERROR(VLOOKUP($H694,'1. Set Program Names'!$B$2:$D$15,3,0)*Y694,"NA")</f>
        <v>98.489856734345267</v>
      </c>
      <c r="BZ694" s="80">
        <f>IFERROR(VLOOKUP($H694,'1. Set Program Names'!$B$2:$D$15,3,0)*Z694,"NA")</f>
        <v>122.95681149992753</v>
      </c>
      <c r="CA694" s="80">
        <f>IFERROR(VLOOKUP($H694,'1. Set Program Names'!$B$2:$D$15,3,0)*AA694,"NA")</f>
        <v>145.95224065370914</v>
      </c>
      <c r="CB694" s="80">
        <f>IFERROR(VLOOKUP($H694,'1. Set Program Names'!$B$2:$D$15,3,0)*AB694,"NA")</f>
        <v>162.66248297119614</v>
      </c>
      <c r="CC694" s="80">
        <f>IFERROR(VLOOKUP($H694,'1. Set Program Names'!$B$2:$D$15,3,0)*AC694,"NA")</f>
        <v>167.76362433938533</v>
      </c>
      <c r="CD694" s="80">
        <f>IFERROR(VLOOKUP($H694,'1. Set Program Names'!$B$2:$D$15,3,0)*AD694,"NA")</f>
        <v>158.84122611146182</v>
      </c>
      <c r="CE694" s="80">
        <f>IFERROR(VLOOKUP($H694,'1. Set Program Names'!$B$2:$D$15,3,0)*AE694,"NA")</f>
        <v>137.45807074587617</v>
      </c>
    </row>
    <row r="695" spans="1:83" x14ac:dyDescent="0.25">
      <c r="A695" s="79" t="s">
        <v>113</v>
      </c>
      <c r="B695" s="79" t="s">
        <v>88</v>
      </c>
      <c r="C695" s="79" t="s">
        <v>176</v>
      </c>
      <c r="D695" s="79" t="s">
        <v>90</v>
      </c>
      <c r="E695" s="79" t="s">
        <v>91</v>
      </c>
      <c r="F695" s="79" t="s">
        <v>90</v>
      </c>
      <c r="G695" s="79" t="s">
        <v>92</v>
      </c>
      <c r="H695" s="79" t="s">
        <v>16</v>
      </c>
      <c r="I695" s="79" t="s">
        <v>157</v>
      </c>
      <c r="J695" s="79" t="s">
        <v>158</v>
      </c>
      <c r="K695" s="79" t="s">
        <v>159</v>
      </c>
      <c r="L695" s="79">
        <v>562.52</v>
      </c>
      <c r="M695" s="79">
        <v>6.7473359330379998E-2</v>
      </c>
      <c r="N695" s="79">
        <v>6.4973258375617293E-2</v>
      </c>
      <c r="O695" s="79">
        <v>169</v>
      </c>
      <c r="P695" s="79">
        <v>55.847956108163899</v>
      </c>
      <c r="Q695" s="79">
        <v>20.491212633056499</v>
      </c>
      <c r="R695" s="79">
        <v>240.47921618074301</v>
      </c>
      <c r="S695" s="79">
        <v>597.43584258705596</v>
      </c>
      <c r="T695" s="79">
        <v>15</v>
      </c>
      <c r="U695" s="79">
        <v>0.59999999999999898</v>
      </c>
      <c r="V695" s="79">
        <f>tbl_Data_old[[#This Row],[2025 ]]*IFERROR(AVERAGEIFS('Participation Adjustment'!$C:$C,'Participation Adjustment'!$A:$A,$H695,'Participation Adjustment'!$B:$B,$I695),1)</f>
        <v>18252.443942905</v>
      </c>
      <c r="W695" s="79">
        <f>tbl_Data_old[[#This Row],[2026 ]]*IFERROR(AVERAGEIFS('Participation Adjustment'!$C:$C,'Participation Adjustment'!$A:$A,$H695,'Participation Adjustment'!$B:$B,$I695),1)</f>
        <v>39017.651039196098</v>
      </c>
      <c r="X695" s="79">
        <f>tbl_Data_old[[#This Row],[2027 ]]*IFERROR(AVERAGEIFS('Participation Adjustment'!$C:$C,'Participation Adjustment'!$A:$A,$H695,'Participation Adjustment'!$B:$B,$I695),1)</f>
        <v>61972.5539507785</v>
      </c>
      <c r="Y695" s="79">
        <f>tbl_Data_old[[#This Row],[2028 ]]*IFERROR(AVERAGEIFS('Participation Adjustment'!$C:$C,'Participation Adjustment'!$A:$A,$H695,'Participation Adjustment'!$B:$B,$I695),1)</f>
        <v>87125.3195077415</v>
      </c>
      <c r="Z695" s="79">
        <f>tbl_Data_old[[#This Row],[2029 ]]*IFERROR(AVERAGEIFS('Participation Adjustment'!$C:$C,'Participation Adjustment'!$A:$A,$H695,'Participation Adjustment'!$B:$B,$I695),1)</f>
        <v>114150.122147804</v>
      </c>
      <c r="AA695" s="79">
        <f>tbl_Data_old[[#This Row],[2030 ]]*IFERROR(AVERAGEIFS('Participation Adjustment'!$C:$C,'Participation Adjustment'!$A:$A,$H695,'Participation Adjustment'!$B:$B,$I695),1)</f>
        <v>142932.175864997</v>
      </c>
      <c r="AB695" s="79">
        <f>tbl_Data_old[[#This Row],[2031 ]]*IFERROR(AVERAGEIFS('Participation Adjustment'!$C:$C,'Participation Adjustment'!$A:$A,$H695,'Participation Adjustment'!$B:$B,$I695),1)</f>
        <v>173375.91804477002</v>
      </c>
      <c r="AC695" s="79">
        <f>tbl_Data_old[[#This Row],[2032 ]]*IFERROR(AVERAGEIFS('Participation Adjustment'!$C:$C,'Participation Adjustment'!$A:$A,$H695,'Participation Adjustment'!$B:$B,$I695),1)</f>
        <v>205310.19388401002</v>
      </c>
      <c r="AD695" s="79">
        <f>tbl_Data_old[[#This Row],[2033 ]]*IFERROR(AVERAGEIFS('Participation Adjustment'!$C:$C,'Participation Adjustment'!$A:$A,$H695,'Participation Adjustment'!$B:$B,$I695),1)</f>
        <v>238722.44334689502</v>
      </c>
      <c r="AE695" s="79">
        <f>tbl_Data_old[[#This Row],[2034 ]]*IFERROR(AVERAGEIFS('Participation Adjustment'!$C:$C,'Participation Adjustment'!$A:$A,$H695,'Participation Adjustment'!$B:$B,$I695),1)</f>
        <v>273534.69594880001</v>
      </c>
      <c r="AF695" s="77" t="str">
        <f t="shared" si="286"/>
        <v>NonResidential</v>
      </c>
      <c r="AG695" s="77" t="str">
        <f>tbl_Data[[#This Row],[All_Meas_Name_Append]]</f>
        <v>LED Exterior Wall Packs</v>
      </c>
      <c r="AH695" s="77">
        <f>AVERAGEIFS('3. Incentive Adjustment'!G:G,'3. Incentive Adjustment'!A:A,tbl_Data[[#This Row],[Trimmed Sector]],'3. Incentive Adjustment'!B:B,tbl_Data[[#This Row],[Trimmed Measure Name]])</f>
        <v>0.80637708305213962</v>
      </c>
      <c r="AI695" s="77">
        <f>$AH695*tbl_Data[[#This Row],[2025 ]]</f>
        <v>14718.352505252427</v>
      </c>
      <c r="AJ695" s="77">
        <f>$AH695*tbl_Data[[#This Row],[2026 ]]</f>
        <v>31462.939632533235</v>
      </c>
      <c r="AK695" s="77">
        <f>$AH695*tbl_Data[[#This Row],[2027 ]]</f>
        <v>49973.247284120116</v>
      </c>
      <c r="AL695" s="77">
        <f>$AH695*tbl_Data[[#This Row],[2028 ]]</f>
        <v>70255.861004638267</v>
      </c>
      <c r="AM695" s="77">
        <f>$AH695*tbl_Data[[#This Row],[2029 ]]</f>
        <v>92048.04252759162</v>
      </c>
      <c r="AN695" s="77">
        <f>$AH695*tbl_Data[[#This Row],[2030 ]]</f>
        <v>115257.23104831172</v>
      </c>
      <c r="AO695" s="77">
        <f>$AH695*tbl_Data[[#This Row],[2031 ]]</f>
        <v>139806.36706442846</v>
      </c>
      <c r="AP695" s="77">
        <f>$AH695*tbl_Data[[#This Row],[2032 ]]</f>
        <v>165557.43526505723</v>
      </c>
      <c r="AQ695" s="77">
        <f>$AH695*tbl_Data[[#This Row],[2033 ]]</f>
        <v>192500.30752514885</v>
      </c>
      <c r="AR695" s="77">
        <f>$AH695*tbl_Data[[#This Row],[2034 ]]</f>
        <v>220572.11023274728</v>
      </c>
      <c r="AS695" s="77">
        <f>SUM(tbl_Data[[#This Row],[Adjusted 2025]:[Adjusted 2034]])</f>
        <v>1092151.8940898292</v>
      </c>
      <c r="AT695" s="80">
        <f>AVERAGEIFS('3. Incentive Adjustment'!F:F,'3. Incentive Adjustment'!A:A,tbl_Data[[#This Row],[Trimmed Sector]],'3. Incentive Adjustment'!B:B,tbl_Data[[#This Row],[Trimmed Measure Name]])</f>
        <v>8.6864493556481861</v>
      </c>
      <c r="AU695" s="80">
        <f>IFERROR(VLOOKUP(tbl_Data[[#This Row],[All_Meas_Name_Append]],'IRA Tax Credits'!$A$3:$D$46,4,0),0)</f>
        <v>0</v>
      </c>
      <c r="AV695" s="81">
        <f>tbl_Data[[#This Row],[Adj. per unit Incentive ($)]]/tbl_Data[[#This Row],[kWh Savings]]*tbl_Data[[#This Row],[Sum of Annuals]]</f>
        <v>16865.039672698826</v>
      </c>
      <c r="AW695" s="81">
        <f>IFERROR(VLOOKUP(tbl_Data[[#This Row],[Column1]],'1. Set Program Names'!$B$2:$D$15,3,0)*tbl_Data[[#This Row],[Sum of Annuals]],"")</f>
        <v>39784.392891612937</v>
      </c>
      <c r="AX695" s="81">
        <f>tbl_Data[[#This Row],[per unit IRA tax ($)]]/tbl_Data[[#This Row],[kWh Savings]]*tbl_Data[[#This Row],[Sum of Annuals]]</f>
        <v>0</v>
      </c>
      <c r="AY695" s="81">
        <f>tbl_Data[[#This Row],[Avoided Costs ($/unit)]]/tbl_Data[[#This Row],[kWh Savings]]*tbl_Data[[#This Row],[Sum of Annuals]]</f>
        <v>466898.65505410649</v>
      </c>
      <c r="AZ695" s="81">
        <f>tbl_Data[[#This Row],[Lost Revenue ($/unit)]]/tbl_Data[[#This Row],[kWh Savings]]*tbl_Data[[#This Row],[Sum of Annuals]]</f>
        <v>1159942.2013059203</v>
      </c>
      <c r="BA695" s="81">
        <f>tbl_Data[[#This Row],[Incremental Cost ($/unit)]]/tbl_Data[[#This Row],[kWh Savings]]*tbl_Data[[#This Row],[Sum of Annuals]]</f>
        <v>328119.30260467384</v>
      </c>
      <c r="BB695" s="77">
        <f>ROUNDUP(tbl_Data[[#This Row],[Adjusted 2025]]/$L695,0)</f>
        <v>27</v>
      </c>
      <c r="BC695" s="77">
        <f>ROUNDUP(tbl_Data[[#This Row],[Adjusted 2026]]/$L695,0)</f>
        <v>56</v>
      </c>
      <c r="BD695" s="77">
        <f>ROUNDUP(tbl_Data[[#This Row],[Adjusted 2027]]/$L695,0)</f>
        <v>89</v>
      </c>
      <c r="BE695" s="77">
        <f>ROUNDUP(tbl_Data[[#This Row],[Adjusted 2028]]/$L695,0)</f>
        <v>125</v>
      </c>
      <c r="BF695" s="77">
        <f>ROUNDUP(tbl_Data[[#This Row],[Adjusted 2029]]/$L695,0)</f>
        <v>164</v>
      </c>
      <c r="BG695" s="77">
        <f>ROUNDUP(tbl_Data[[#This Row],[Adjusted 2030]]/$L695,0)</f>
        <v>205</v>
      </c>
      <c r="BH695" s="77">
        <f>ROUNDUP(tbl_Data[[#This Row],[Adjusted 2031]]/$L695,0)</f>
        <v>249</v>
      </c>
      <c r="BI695" s="77">
        <f>ROUNDUP(tbl_Data[[#This Row],[Adjusted 2032]]/$L695,0)</f>
        <v>295</v>
      </c>
      <c r="BJ695" s="77">
        <f>ROUNDUP(tbl_Data[[#This Row],[Adjusted 2033]]/$L695,0)</f>
        <v>343</v>
      </c>
      <c r="BK695" s="77">
        <f>ROUNDUP(tbl_Data[[#This Row],[Adjusted 2034]]/$L695,0)</f>
        <v>393</v>
      </c>
      <c r="BL695" s="80">
        <f t="shared" si="287"/>
        <v>281.85474281243648</v>
      </c>
      <c r="BM695" s="80">
        <f t="shared" si="288"/>
        <v>602.51164354748403</v>
      </c>
      <c r="BN695" s="80">
        <f t="shared" si="289"/>
        <v>956.98188745931225</v>
      </c>
      <c r="BO695" s="80">
        <f t="shared" si="290"/>
        <v>1345.3915869634209</v>
      </c>
      <c r="BP695" s="80">
        <f t="shared" si="291"/>
        <v>1762.7093347400159</v>
      </c>
      <c r="BQ695" s="80">
        <f t="shared" si="292"/>
        <v>2207.1626021188517</v>
      </c>
      <c r="BR695" s="80">
        <f t="shared" si="293"/>
        <v>2677.2757085701933</v>
      </c>
      <c r="BS695" s="80">
        <f t="shared" si="294"/>
        <v>3170.405676903511</v>
      </c>
      <c r="BT695" s="80">
        <f t="shared" si="295"/>
        <v>3686.3585546992049</v>
      </c>
      <c r="BU695" s="80">
        <f t="shared" si="296"/>
        <v>4223.9303195830835</v>
      </c>
      <c r="BV695" s="80">
        <f>IFERROR(VLOOKUP($H695,'1. Set Program Names'!$B$2:$D$15,3,0)*V695,"NA")</f>
        <v>664.89139925160134</v>
      </c>
      <c r="BW695" s="80">
        <f>IFERROR(VLOOKUP($H695,'1. Set Program Names'!$B$2:$D$15,3,0)*W695,"NA")</f>
        <v>1421.3165467655651</v>
      </c>
      <c r="BX695" s="80">
        <f>IFERROR(VLOOKUP($H695,'1. Set Program Names'!$B$2:$D$15,3,0)*X695,"NA")</f>
        <v>2257.5068982773391</v>
      </c>
      <c r="BY695" s="80">
        <f>IFERROR(VLOOKUP($H695,'1. Set Program Names'!$B$2:$D$15,3,0)*Y695,"NA")</f>
        <v>3173.7599512126108</v>
      </c>
      <c r="BZ695" s="80">
        <f>IFERROR(VLOOKUP($H695,'1. Set Program Names'!$B$2:$D$15,3,0)*Z695,"NA")</f>
        <v>4158.2066860200975</v>
      </c>
      <c r="CA695" s="80">
        <f>IFERROR(VLOOKUP($H695,'1. Set Program Names'!$B$2:$D$15,3,0)*AA695,"NA")</f>
        <v>5206.6657323385516</v>
      </c>
      <c r="CB695" s="80">
        <f>IFERROR(VLOOKUP($H695,'1. Set Program Names'!$B$2:$D$15,3,0)*AB695,"NA")</f>
        <v>6315.6559804216067</v>
      </c>
      <c r="CC695" s="80">
        <f>IFERROR(VLOOKUP($H695,'1. Set Program Names'!$B$2:$D$15,3,0)*AC695,"NA")</f>
        <v>7478.9426840135611</v>
      </c>
      <c r="CD695" s="80">
        <f>IFERROR(VLOOKUP($H695,'1. Set Program Names'!$B$2:$D$15,3,0)*AD695,"NA")</f>
        <v>8696.0683120671511</v>
      </c>
      <c r="CE695" s="80">
        <f>IFERROR(VLOOKUP($H695,'1. Set Program Names'!$B$2:$D$15,3,0)*AE695,"NA")</f>
        <v>9964.192592628393</v>
      </c>
    </row>
    <row r="696" spans="1:83" x14ac:dyDescent="0.25">
      <c r="A696" s="79" t="s">
        <v>113</v>
      </c>
      <c r="B696" s="79" t="s">
        <v>88</v>
      </c>
      <c r="C696" s="79" t="s">
        <v>176</v>
      </c>
      <c r="D696" s="79" t="s">
        <v>90</v>
      </c>
      <c r="E696" s="79" t="s">
        <v>91</v>
      </c>
      <c r="F696" s="79" t="s">
        <v>90</v>
      </c>
      <c r="G696" s="79" t="s">
        <v>92</v>
      </c>
      <c r="H696" s="79" t="s">
        <v>16</v>
      </c>
      <c r="I696" s="79" t="s">
        <v>162</v>
      </c>
      <c r="J696" s="79" t="s">
        <v>161</v>
      </c>
      <c r="K696" s="79" t="s">
        <v>159</v>
      </c>
      <c r="L696" s="79">
        <v>725.58416666666596</v>
      </c>
      <c r="M696" s="79">
        <v>8.6917804178563804E-2</v>
      </c>
      <c r="N696" s="79">
        <v>8.3795205289933394E-2</v>
      </c>
      <c r="O696" s="79">
        <v>179</v>
      </c>
      <c r="P696" s="79">
        <v>33.0790753554421</v>
      </c>
      <c r="Q696" s="79">
        <v>26.4312370090766</v>
      </c>
      <c r="R696" s="79">
        <v>310.45187974046598</v>
      </c>
      <c r="S696" s="79">
        <v>770.62146764617603</v>
      </c>
      <c r="T696" s="79">
        <v>15</v>
      </c>
      <c r="U696" s="79">
        <v>0.59999999999999898</v>
      </c>
      <c r="V696" s="79">
        <f>tbl_Data_old[[#This Row],[2025 ]]*IFERROR(AVERAGEIFS('Participation Adjustment'!$C:$C,'Participation Adjustment'!$A:$A,$H696,'Participation Adjustment'!$B:$B,$I696),1)</f>
        <v>140669.76999643786</v>
      </c>
      <c r="W696" s="79">
        <f>tbl_Data_old[[#This Row],[2026 ]]*IFERROR(AVERAGEIFS('Participation Adjustment'!$C:$C,'Participation Adjustment'!$A:$A,$H696,'Participation Adjustment'!$B:$B,$I696),1)</f>
        <v>300705.15568510949</v>
      </c>
      <c r="X696" s="79">
        <f>tbl_Data_old[[#This Row],[2027 ]]*IFERROR(AVERAGEIFS('Participation Adjustment'!$C:$C,'Participation Adjustment'!$A:$A,$H696,'Participation Adjustment'!$B:$B,$I696),1)</f>
        <v>477616.30922507402</v>
      </c>
      <c r="Y696" s="79">
        <f>tbl_Data_old[[#This Row],[2028 ]]*IFERROR(AVERAGEIFS('Participation Adjustment'!$C:$C,'Participation Adjustment'!$A:$A,$H696,'Participation Adjustment'!$B:$B,$I696),1)</f>
        <v>671466.17156351847</v>
      </c>
      <c r="Z696" s="79">
        <f>tbl_Data_old[[#This Row],[2029 ]]*IFERROR(AVERAGEIFS('Participation Adjustment'!$C:$C,'Participation Adjustment'!$A:$A,$H696,'Participation Adjustment'!$B:$B,$I696),1)</f>
        <v>879743.63750004594</v>
      </c>
      <c r="AA696" s="79">
        <f>tbl_Data_old[[#This Row],[2030 ]]*IFERROR(AVERAGEIFS('Participation Adjustment'!$C:$C,'Participation Adjustment'!$A:$A,$H696,'Participation Adjustment'!$B:$B,$I696),1)</f>
        <v>1101564.062703789</v>
      </c>
      <c r="AB696" s="79">
        <f>tbl_Data_old[[#This Row],[2031 ]]*IFERROR(AVERAGEIFS('Participation Adjustment'!$C:$C,'Participation Adjustment'!$A:$A,$H696,'Participation Adjustment'!$B:$B,$I696),1)</f>
        <v>1336190.9556095009</v>
      </c>
      <c r="AC696" s="79">
        <f>tbl_Data_old[[#This Row],[2032 ]]*IFERROR(AVERAGEIFS('Participation Adjustment'!$C:$C,'Participation Adjustment'!$A:$A,$H696,'Participation Adjustment'!$B:$B,$I696),1)</f>
        <v>1582305.24317343</v>
      </c>
      <c r="AD696" s="79">
        <f>tbl_Data_old[[#This Row],[2033 ]]*IFERROR(AVERAGEIFS('Participation Adjustment'!$C:$C,'Participation Adjustment'!$A:$A,$H696,'Participation Adjustment'!$B:$B,$I696),1)</f>
        <v>1839810.1264487852</v>
      </c>
      <c r="AE696" s="79">
        <f>tbl_Data_old[[#This Row],[2034 ]]*IFERROR(AVERAGEIFS('Participation Adjustment'!$C:$C,'Participation Adjustment'!$A:$A,$H696,'Participation Adjustment'!$B:$B,$I696),1)</f>
        <v>2108104.694665845</v>
      </c>
      <c r="AF696" s="77" t="str">
        <f t="shared" si="286"/>
        <v>NonResidential</v>
      </c>
      <c r="AG696" s="77" t="str">
        <f>tbl_Data[[#This Row],[All_Meas_Name_Append]]</f>
        <v>LED High Bay_LF Baseline</v>
      </c>
      <c r="AH696" s="77">
        <f>AVERAGEIFS('3. Incentive Adjustment'!G:G,'3. Incentive Adjustment'!A:A,tbl_Data[[#This Row],[Trimmed Sector]],'3. Incentive Adjustment'!B:B,tbl_Data[[#This Row],[Trimmed Measure Name]])</f>
        <v>0.93017466414143679</v>
      </c>
      <c r="AI696" s="77">
        <f>$AH696*tbl_Data[[#This Row],[2025 ]]</f>
        <v>130847.45606128975</v>
      </c>
      <c r="AJ696" s="77">
        <f>$AH696*tbl_Data[[#This Row],[2026 ]]</f>
        <v>279708.31719499518</v>
      </c>
      <c r="AK696" s="77">
        <f>$AH696*tbl_Data[[#This Row],[2027 ]]</f>
        <v>444266.59002190584</v>
      </c>
      <c r="AL696" s="77">
        <f>$AH696*tbl_Data[[#This Row],[2028 ]]</f>
        <v>624580.82061643212</v>
      </c>
      <c r="AM696" s="77">
        <f>$AH696*tbl_Data[[#This Row],[2029 ]]</f>
        <v>818315.24254217115</v>
      </c>
      <c r="AN696" s="77">
        <f>$AH696*tbl_Data[[#This Row],[2030 ]]</f>
        <v>1024646.9820557735</v>
      </c>
      <c r="AO696" s="77">
        <f>$AH696*tbl_Data[[#This Row],[2031 ]]</f>
        <v>1242890.9733628929</v>
      </c>
      <c r="AP696" s="77">
        <f>$AH696*tbl_Data[[#This Row],[2032 ]]</f>
        <v>1471820.2481380797</v>
      </c>
      <c r="AQ696" s="77">
        <f>$AH696*tbl_Data[[#This Row],[2033 ]]</f>
        <v>1711344.7664535132</v>
      </c>
      <c r="AR696" s="77">
        <f>$AH696*tbl_Data[[#This Row],[2034 ]]</f>
        <v>1960905.5763357885</v>
      </c>
      <c r="AS696" s="77">
        <f>SUM(tbl_Data[[#This Row],[Adjusted 2025]:[Adjusted 2034]])</f>
        <v>9709326.972782841</v>
      </c>
      <c r="AT696" s="80">
        <f>AVERAGEIFS('3. Incentive Adjustment'!F:F,'3. Incentive Adjustment'!A:A,tbl_Data[[#This Row],[Trimmed Sector]],'3. Incentive Adjustment'!B:B,tbl_Data[[#This Row],[Trimmed Measure Name]])</f>
        <v>23.858858929800434</v>
      </c>
      <c r="AU696" s="80">
        <f>IFERROR(VLOOKUP(tbl_Data[[#This Row],[All_Meas_Name_Append]],'IRA Tax Credits'!$A$3:$D$46,4,0),0)</f>
        <v>0</v>
      </c>
      <c r="AV696" s="81">
        <f>tbl_Data[[#This Row],[Adj. per unit Incentive ($)]]/tbl_Data[[#This Row],[kWh Savings]]*tbl_Data[[#This Row],[Sum of Annuals]]</f>
        <v>319264.77063460217</v>
      </c>
      <c r="AW696" s="81">
        <f>IFERROR(VLOOKUP(tbl_Data[[#This Row],[Column1]],'1. Set Program Names'!$B$2:$D$15,3,0)*tbl_Data[[#This Row],[Sum of Annuals]],"")</f>
        <v>353686.77295592002</v>
      </c>
      <c r="AX696" s="81">
        <f>tbl_Data[[#This Row],[per unit IRA tax ($)]]/tbl_Data[[#This Row],[kWh Savings]]*tbl_Data[[#This Row],[Sum of Annuals]]</f>
        <v>0</v>
      </c>
      <c r="AY696" s="81">
        <f>tbl_Data[[#This Row],[Avoided Costs ($/unit)]]/tbl_Data[[#This Row],[kWh Savings]]*tbl_Data[[#This Row],[Sum of Annuals]]</f>
        <v>4154278.6463531028</v>
      </c>
      <c r="AZ696" s="81">
        <f>tbl_Data[[#This Row],[Lost Revenue ($/unit)]]/tbl_Data[[#This Row],[kWh Savings]]*tbl_Data[[#This Row],[Sum of Annuals]]</f>
        <v>10311988.802065266</v>
      </c>
      <c r="BA696" s="81">
        <f>tbl_Data[[#This Row],[Incremental Cost ($/unit)]]/tbl_Data[[#This Row],[kWh Savings]]*tbl_Data[[#This Row],[Sum of Annuals]]</f>
        <v>2395269.3677321561</v>
      </c>
      <c r="BB696" s="77">
        <f>ROUNDUP(tbl_Data[[#This Row],[Adjusted 2025]]/$L696,0)</f>
        <v>181</v>
      </c>
      <c r="BC696" s="77">
        <f>ROUNDUP(tbl_Data[[#This Row],[Adjusted 2026]]/$L696,0)</f>
        <v>386</v>
      </c>
      <c r="BD696" s="77">
        <f>ROUNDUP(tbl_Data[[#This Row],[Adjusted 2027]]/$L696,0)</f>
        <v>613</v>
      </c>
      <c r="BE696" s="77">
        <f>ROUNDUP(tbl_Data[[#This Row],[Adjusted 2028]]/$L696,0)</f>
        <v>861</v>
      </c>
      <c r="BF696" s="77">
        <f>ROUNDUP(tbl_Data[[#This Row],[Adjusted 2029]]/$L696,0)</f>
        <v>1128</v>
      </c>
      <c r="BG696" s="77">
        <f>ROUNDUP(tbl_Data[[#This Row],[Adjusted 2030]]/$L696,0)</f>
        <v>1413</v>
      </c>
      <c r="BH696" s="77">
        <f>ROUNDUP(tbl_Data[[#This Row],[Adjusted 2031]]/$L696,0)</f>
        <v>1713</v>
      </c>
      <c r="BI696" s="77">
        <f>ROUNDUP(tbl_Data[[#This Row],[Adjusted 2032]]/$L696,0)</f>
        <v>2029</v>
      </c>
      <c r="BJ696" s="77">
        <f>ROUNDUP(tbl_Data[[#This Row],[Adjusted 2033]]/$L696,0)</f>
        <v>2359</v>
      </c>
      <c r="BK696" s="77">
        <f>ROUNDUP(tbl_Data[[#This Row],[Adjusted 2034]]/$L696,0)</f>
        <v>2703</v>
      </c>
      <c r="BL696" s="80">
        <f t="shared" si="287"/>
        <v>4625.5422213124657</v>
      </c>
      <c r="BM696" s="80">
        <f t="shared" si="288"/>
        <v>9887.8699654021912</v>
      </c>
      <c r="BN696" s="80">
        <f t="shared" si="289"/>
        <v>15705.111368021389</v>
      </c>
      <c r="BO696" s="80">
        <f t="shared" si="290"/>
        <v>22079.336070775862</v>
      </c>
      <c r="BP696" s="80">
        <f t="shared" si="291"/>
        <v>28927.973219054216</v>
      </c>
      <c r="BQ696" s="80">
        <f t="shared" si="292"/>
        <v>36221.933693684834</v>
      </c>
      <c r="BR696" s="80">
        <f t="shared" si="293"/>
        <v>43936.999975645842</v>
      </c>
      <c r="BS696" s="80">
        <f t="shared" si="294"/>
        <v>52029.797940866229</v>
      </c>
      <c r="BT696" s="80">
        <f t="shared" si="295"/>
        <v>60497.144619647712</v>
      </c>
      <c r="BU696" s="80">
        <f t="shared" si="296"/>
        <v>69319.280698125935</v>
      </c>
      <c r="BV696" s="80">
        <f>IFERROR(VLOOKUP($H696,'1. Set Program Names'!$B$2:$D$15,3,0)*V696,"NA")</f>
        <v>5124.251880893411</v>
      </c>
      <c r="BW696" s="80">
        <f>IFERROR(VLOOKUP($H696,'1. Set Program Names'!$B$2:$D$15,3,0)*W696,"NA")</f>
        <v>10953.945255279708</v>
      </c>
      <c r="BX696" s="80">
        <f>IFERROR(VLOOKUP($H696,'1. Set Program Names'!$B$2:$D$15,3,0)*X696,"NA")</f>
        <v>17398.38112306525</v>
      </c>
      <c r="BY696" s="80">
        <f>IFERROR(VLOOKUP($H696,'1. Set Program Names'!$B$2:$D$15,3,0)*Y696,"NA")</f>
        <v>24459.852267319318</v>
      </c>
      <c r="BZ696" s="80">
        <f>IFERROR(VLOOKUP($H696,'1. Set Program Names'!$B$2:$D$15,3,0)*Z696,"NA")</f>
        <v>32046.88533490726</v>
      </c>
      <c r="CA696" s="80">
        <f>IFERROR(VLOOKUP($H696,'1. Set Program Names'!$B$2:$D$15,3,0)*AA696,"NA")</f>
        <v>40127.254920352949</v>
      </c>
      <c r="CB696" s="80">
        <f>IFERROR(VLOOKUP($H696,'1. Set Program Names'!$B$2:$D$15,3,0)*AB696,"NA")</f>
        <v>48674.132457088213</v>
      </c>
      <c r="CC696" s="80">
        <f>IFERROR(VLOOKUP($H696,'1. Set Program Names'!$B$2:$D$15,3,0)*AC696,"NA")</f>
        <v>57639.467375856766</v>
      </c>
      <c r="CD696" s="80">
        <f>IFERROR(VLOOKUP($H696,'1. Set Program Names'!$B$2:$D$15,3,0)*AD696,"NA")</f>
        <v>67019.733530385856</v>
      </c>
      <c r="CE696" s="80">
        <f>IFERROR(VLOOKUP($H696,'1. Set Program Names'!$B$2:$D$15,3,0)*AE696,"NA")</f>
        <v>76793.041227231937</v>
      </c>
    </row>
    <row r="697" spans="1:83" x14ac:dyDescent="0.25">
      <c r="A697" s="79" t="s">
        <v>113</v>
      </c>
      <c r="B697" s="79" t="s">
        <v>88</v>
      </c>
      <c r="C697" s="79" t="s">
        <v>176</v>
      </c>
      <c r="D697" s="79" t="s">
        <v>90</v>
      </c>
      <c r="E697" s="79" t="s">
        <v>91</v>
      </c>
      <c r="F697" s="79" t="s">
        <v>90</v>
      </c>
      <c r="G697" s="79" t="s">
        <v>92</v>
      </c>
      <c r="H697" s="79" t="s">
        <v>16</v>
      </c>
      <c r="I697" s="79" t="s">
        <v>165</v>
      </c>
      <c r="J697" s="79" t="s">
        <v>161</v>
      </c>
      <c r="K697" s="79" t="s">
        <v>166</v>
      </c>
      <c r="L697" s="79">
        <v>565.38999999999896</v>
      </c>
      <c r="M697" s="79">
        <v>6.7728127941350899E-2</v>
      </c>
      <c r="N697" s="79">
        <v>6.5294935157718198E-2</v>
      </c>
      <c r="O697" s="79">
        <v>129</v>
      </c>
      <c r="P697" s="79">
        <v>15.293574707506</v>
      </c>
      <c r="Q697" s="79">
        <v>20.595759636286299</v>
      </c>
      <c r="R697" s="79">
        <v>190.6779313312</v>
      </c>
      <c r="S697" s="79">
        <v>454.767236260907</v>
      </c>
      <c r="T697" s="79">
        <v>10</v>
      </c>
      <c r="U697" s="79">
        <v>0.59999999999999898</v>
      </c>
      <c r="V697" s="79">
        <f>tbl_Data_old[[#This Row],[2025 ]]*IFERROR(AVERAGEIFS('Participation Adjustment'!$C:$C,'Participation Adjustment'!$A:$A,$H697,'Participation Adjustment'!$B:$B,$I697),1)</f>
        <v>1122.0616515060501</v>
      </c>
      <c r="W697" s="79">
        <f>tbl_Data_old[[#This Row],[2026 ]]*IFERROR(AVERAGEIFS('Participation Adjustment'!$C:$C,'Participation Adjustment'!$A:$A,$H697,'Participation Adjustment'!$B:$B,$I697),1)</f>
        <v>2671.36408589138</v>
      </c>
      <c r="X697" s="79">
        <f>tbl_Data_old[[#This Row],[2027 ]]*IFERROR(AVERAGEIFS('Participation Adjustment'!$C:$C,'Participation Adjustment'!$A:$A,$H697,'Participation Adjustment'!$B:$B,$I697),1)</f>
        <v>4744.0277284819103</v>
      </c>
      <c r="Y697" s="79">
        <f>tbl_Data_old[[#This Row],[2028 ]]*IFERROR(AVERAGEIFS('Participation Adjustment'!$C:$C,'Participation Adjustment'!$A:$A,$H697,'Participation Adjustment'!$B:$B,$I697),1)</f>
        <v>7447.7483526497699</v>
      </c>
      <c r="Z697" s="79">
        <f>tbl_Data_old[[#This Row],[2029 ]]*IFERROR(AVERAGEIFS('Participation Adjustment'!$C:$C,'Participation Adjustment'!$A:$A,$H697,'Participation Adjustment'!$B:$B,$I697),1)</f>
        <v>10823.1301245104</v>
      </c>
      <c r="AA697" s="79">
        <f>tbl_Data_old[[#This Row],[2030 ]]*IFERROR(AVERAGEIFS('Participation Adjustment'!$C:$C,'Participation Adjustment'!$A:$A,$H697,'Participation Adjustment'!$B:$B,$I697),1)</f>
        <v>14829.7770654571</v>
      </c>
      <c r="AB697" s="79">
        <f>tbl_Data_old[[#This Row],[2031 ]]*IFERROR(AVERAGEIFS('Participation Adjustment'!$C:$C,'Participation Adjustment'!$A:$A,$H697,'Participation Adjustment'!$B:$B,$I697),1)</f>
        <v>19295.1496892982</v>
      </c>
      <c r="AC697" s="79">
        <f>tbl_Data_old[[#This Row],[2032 ]]*IFERROR(AVERAGEIFS('Participation Adjustment'!$C:$C,'Participation Adjustment'!$A:$A,$H697,'Participation Adjustment'!$B:$B,$I697),1)</f>
        <v>23900.557658719801</v>
      </c>
      <c r="AD697" s="79">
        <f>tbl_Data_old[[#This Row],[2033 ]]*IFERROR(AVERAGEIFS('Participation Adjustment'!$C:$C,'Participation Adjustment'!$A:$A,$H697,'Participation Adjustment'!$B:$B,$I697),1)</f>
        <v>28261.030028621299</v>
      </c>
      <c r="AE697" s="79">
        <f>tbl_Data_old[[#This Row],[2034 ]]*IFERROR(AVERAGEIFS('Participation Adjustment'!$C:$C,'Participation Adjustment'!$A:$A,$H697,'Participation Adjustment'!$B:$B,$I697),1)</f>
        <v>32034.4969942235</v>
      </c>
      <c r="AF697" s="77" t="str">
        <f t="shared" si="286"/>
        <v>NonResidential</v>
      </c>
      <c r="AG697" s="77" t="str">
        <f>tbl_Data[[#This Row],[All_Meas_Name_Append]]</f>
        <v>Occupancy Sensors_ Ceiling Mounted</v>
      </c>
      <c r="AH697" s="77">
        <f>AVERAGEIFS('3. Incentive Adjustment'!G:G,'3. Incentive Adjustment'!A:A,tbl_Data[[#This Row],[Trimmed Sector]],'3. Incentive Adjustment'!B:B,tbl_Data[[#This Row],[Trimmed Measure Name]])</f>
        <v>0.99348124042467356</v>
      </c>
      <c r="AI697" s="77">
        <f>$AH697*tbl_Data[[#This Row],[2025 ]]</f>
        <v>1114.7472013711883</v>
      </c>
      <c r="AJ697" s="77">
        <f>$AH697*tbl_Data[[#This Row],[2026 ]]</f>
        <v>2653.9501056772924</v>
      </c>
      <c r="AK697" s="77">
        <f>$AH697*tbl_Data[[#This Row],[2027 ]]</f>
        <v>4713.1025523012549</v>
      </c>
      <c r="AL697" s="77">
        <f>$AH697*tbl_Data[[#This Row],[2028 ]]</f>
        <v>7399.1982717613128</v>
      </c>
      <c r="AM697" s="77">
        <f>$AH697*tbl_Data[[#This Row],[2029 ]]</f>
        <v>10752.576741376244</v>
      </c>
      <c r="AN697" s="77">
        <f>$AH697*tbl_Data[[#This Row],[2030 ]]</f>
        <v>14733.105314211694</v>
      </c>
      <c r="AO697" s="77">
        <f>$AH697*tbl_Data[[#This Row],[2031 ]]</f>
        <v>19169.369247503731</v>
      </c>
      <c r="AP697" s="77">
        <f>$AH697*tbl_Data[[#This Row],[2032 ]]</f>
        <v>23744.755669626378</v>
      </c>
      <c r="AQ697" s="77">
        <f>$AH697*tbl_Data[[#This Row],[2033 ]]</f>
        <v>28076.803168513634</v>
      </c>
      <c r="AR697" s="77">
        <f>$AH697*tbl_Data[[#This Row],[2034 ]]</f>
        <v>31825.671810201638</v>
      </c>
      <c r="AS697" s="77">
        <f>SUM(tbl_Data[[#This Row],[Adjusted 2025]:[Adjusted 2034]])</f>
        <v>144183.28008254437</v>
      </c>
      <c r="AT697" s="80">
        <f>AVERAGEIFS('3. Incentive Adjustment'!F:F,'3. Incentive Adjustment'!A:A,tbl_Data[[#This Row],[Trimmed Sector]],'3. Incentive Adjustment'!B:B,tbl_Data[[#This Row],[Trimmed Measure Name]])</f>
        <v>19.547634357270656</v>
      </c>
      <c r="AU697" s="80">
        <f>IFERROR(VLOOKUP(tbl_Data[[#This Row],[All_Meas_Name_Append]],'IRA Tax Credits'!$A$3:$D$46,4,0),0)</f>
        <v>0</v>
      </c>
      <c r="AV697" s="81">
        <f>tbl_Data[[#This Row],[Adj. per unit Incentive ($)]]/tbl_Data[[#This Row],[kWh Savings]]*tbl_Data[[#This Row],[Sum of Annuals]]</f>
        <v>4984.9520498868524</v>
      </c>
      <c r="AW697" s="81">
        <f>IFERROR(VLOOKUP(tbl_Data[[#This Row],[Column1]],'1. Set Program Names'!$B$2:$D$15,3,0)*tbl_Data[[#This Row],[Sum of Annuals]],"")</f>
        <v>5252.2403653256042</v>
      </c>
      <c r="AX697" s="81">
        <f>tbl_Data[[#This Row],[per unit IRA tax ($)]]/tbl_Data[[#This Row],[kWh Savings]]*tbl_Data[[#This Row],[Sum of Annuals]]</f>
        <v>0</v>
      </c>
      <c r="AY697" s="81">
        <f>tbl_Data[[#This Row],[Avoided Costs ($/unit)]]/tbl_Data[[#This Row],[kWh Savings]]*tbl_Data[[#This Row],[Sum of Annuals]]</f>
        <v>48625.85043719667</v>
      </c>
      <c r="AZ697" s="81">
        <f>tbl_Data[[#This Row],[Lost Revenue ($/unit)]]/tbl_Data[[#This Row],[kWh Savings]]*tbl_Data[[#This Row],[Sum of Annuals]]</f>
        <v>115972.74765767189</v>
      </c>
      <c r="BA697" s="81">
        <f>tbl_Data[[#This Row],[Incremental Cost ($/unit)]]/tbl_Data[[#This Row],[kWh Savings]]*tbl_Data[[#This Row],[Sum of Annuals]]</f>
        <v>32897.014681278866</v>
      </c>
      <c r="BB697" s="77">
        <f>ROUNDUP(tbl_Data[[#This Row],[Adjusted 2025]]/$L697,0)</f>
        <v>2</v>
      </c>
      <c r="BC697" s="77">
        <f>ROUNDUP(tbl_Data[[#This Row],[Adjusted 2026]]/$L697,0)</f>
        <v>5</v>
      </c>
      <c r="BD697" s="77">
        <f>ROUNDUP(tbl_Data[[#This Row],[Adjusted 2027]]/$L697,0)</f>
        <v>9</v>
      </c>
      <c r="BE697" s="77">
        <f>ROUNDUP(tbl_Data[[#This Row],[Adjusted 2028]]/$L697,0)</f>
        <v>14</v>
      </c>
      <c r="BF697" s="77">
        <f>ROUNDUP(tbl_Data[[#This Row],[Adjusted 2029]]/$L697,0)</f>
        <v>20</v>
      </c>
      <c r="BG697" s="77">
        <f>ROUNDUP(tbl_Data[[#This Row],[Adjusted 2030]]/$L697,0)</f>
        <v>27</v>
      </c>
      <c r="BH697" s="77">
        <f>ROUNDUP(tbl_Data[[#This Row],[Adjusted 2031]]/$L697,0)</f>
        <v>34</v>
      </c>
      <c r="BI697" s="77">
        <f>ROUNDUP(tbl_Data[[#This Row],[Adjusted 2032]]/$L697,0)</f>
        <v>42</v>
      </c>
      <c r="BJ697" s="77">
        <f>ROUNDUP(tbl_Data[[#This Row],[Adjusted 2033]]/$L697,0)</f>
        <v>50</v>
      </c>
      <c r="BK697" s="77">
        <f>ROUNDUP(tbl_Data[[#This Row],[Adjusted 2034]]/$L697,0)</f>
        <v>57</v>
      </c>
      <c r="BL697" s="80">
        <f t="shared" si="287"/>
        <v>38.793842993253435</v>
      </c>
      <c r="BM697" s="80">
        <f t="shared" si="288"/>
        <v>92.358988284457368</v>
      </c>
      <c r="BN697" s="80">
        <f t="shared" si="289"/>
        <v>164.01867634220241</v>
      </c>
      <c r="BO697" s="80">
        <f t="shared" si="290"/>
        <v>257.49635045289597</v>
      </c>
      <c r="BP697" s="80">
        <f t="shared" si="291"/>
        <v>374.19584760093198</v>
      </c>
      <c r="BQ697" s="80">
        <f t="shared" si="292"/>
        <v>512.72052861811164</v>
      </c>
      <c r="BR697" s="80">
        <f t="shared" si="293"/>
        <v>667.1050619841285</v>
      </c>
      <c r="BS697" s="80">
        <f t="shared" si="294"/>
        <v>826.33113788273647</v>
      </c>
      <c r="BT697" s="80">
        <f t="shared" si="295"/>
        <v>977.08887946255936</v>
      </c>
      <c r="BU697" s="80">
        <f t="shared" si="296"/>
        <v>1107.5516617948106</v>
      </c>
      <c r="BV697" s="80">
        <f>IFERROR(VLOOKUP($H697,'1. Set Program Names'!$B$2:$D$15,3,0)*V697,"NA")</f>
        <v>40.873931395166451</v>
      </c>
      <c r="BW697" s="80">
        <f>IFERROR(VLOOKUP($H697,'1. Set Program Names'!$B$2:$D$15,3,0)*W697,"NA")</f>
        <v>97.311188054310804</v>
      </c>
      <c r="BX697" s="80">
        <f>IFERROR(VLOOKUP($H697,'1. Set Program Names'!$B$2:$D$15,3,0)*X697,"NA")</f>
        <v>172.81319939102417</v>
      </c>
      <c r="BY697" s="80">
        <f>IFERROR(VLOOKUP($H697,'1. Set Program Names'!$B$2:$D$15,3,0)*Y697,"NA")</f>
        <v>271.30305612536944</v>
      </c>
      <c r="BZ697" s="80">
        <f>IFERROR(VLOOKUP($H697,'1. Set Program Names'!$B$2:$D$15,3,0)*Z697,"NA")</f>
        <v>394.25986762529698</v>
      </c>
      <c r="CA697" s="80">
        <f>IFERROR(VLOOKUP($H697,'1. Set Program Names'!$B$2:$D$15,3,0)*AA697,"NA")</f>
        <v>540.21210827900575</v>
      </c>
      <c r="CB697" s="80">
        <f>IFERROR(VLOOKUP($H697,'1. Set Program Names'!$B$2:$D$15,3,0)*AB697,"NA")</f>
        <v>702.87459125020223</v>
      </c>
      <c r="CC697" s="80">
        <f>IFERROR(VLOOKUP($H697,'1. Set Program Names'!$B$2:$D$15,3,0)*AC697,"NA")</f>
        <v>870.63821558958762</v>
      </c>
      <c r="CD697" s="80">
        <f>IFERROR(VLOOKUP($H697,'1. Set Program Names'!$B$2:$D$15,3,0)*AD697,"NA")</f>
        <v>1029.4794417010494</v>
      </c>
      <c r="CE697" s="80">
        <f>IFERROR(VLOOKUP($H697,'1. Set Program Names'!$B$2:$D$15,3,0)*AE697,"NA")</f>
        <v>1166.9375124469238</v>
      </c>
    </row>
    <row r="698" spans="1:83" x14ac:dyDescent="0.25">
      <c r="A698" s="79" t="s">
        <v>114</v>
      </c>
      <c r="B698" s="79" t="s">
        <v>88</v>
      </c>
      <c r="C698" s="79" t="s">
        <v>176</v>
      </c>
      <c r="D698" s="79" t="s">
        <v>90</v>
      </c>
      <c r="E698" s="79" t="s">
        <v>91</v>
      </c>
      <c r="F698" s="79" t="s">
        <v>90</v>
      </c>
      <c r="G698" s="79" t="s">
        <v>92</v>
      </c>
      <c r="H698" s="79" t="s">
        <v>16</v>
      </c>
      <c r="I698" s="79" t="s">
        <v>157</v>
      </c>
      <c r="J698" s="79" t="s">
        <v>158</v>
      </c>
      <c r="K698" s="79" t="s">
        <v>159</v>
      </c>
      <c r="L698" s="79">
        <v>562.52</v>
      </c>
      <c r="M698" s="79">
        <v>6.7473359330379998E-2</v>
      </c>
      <c r="N698" s="79">
        <v>6.4973258375617293E-2</v>
      </c>
      <c r="O698" s="79">
        <v>169</v>
      </c>
      <c r="P698" s="79">
        <v>55.847956108163899</v>
      </c>
      <c r="Q698" s="79">
        <v>20.491212633056499</v>
      </c>
      <c r="R698" s="79">
        <v>240.47921618074301</v>
      </c>
      <c r="S698" s="79">
        <v>597.43584258705596</v>
      </c>
      <c r="T698" s="79">
        <v>15</v>
      </c>
      <c r="U698" s="79">
        <v>0.59999999999999898</v>
      </c>
      <c r="V698" s="79">
        <f>tbl_Data_old[[#This Row],[2025 ]]*IFERROR(AVERAGEIFS('Participation Adjustment'!$C:$C,'Participation Adjustment'!$A:$A,$H698,'Participation Adjustment'!$B:$B,$I698),1)</f>
        <v>2.1886471411294699</v>
      </c>
      <c r="W698" s="79">
        <f>tbl_Data_old[[#This Row],[2026 ]]*IFERROR(AVERAGEIFS('Participation Adjustment'!$C:$C,'Participation Adjustment'!$A:$A,$H698,'Participation Adjustment'!$B:$B,$I698),1)</f>
        <v>2.4899521011225998</v>
      </c>
      <c r="X698" s="79">
        <f>tbl_Data_old[[#This Row],[2027 ]]*IFERROR(AVERAGEIFS('Participation Adjustment'!$C:$C,'Participation Adjustment'!$A:$A,$H698,'Participation Adjustment'!$B:$B,$I698),1)</f>
        <v>2.7525181169981701</v>
      </c>
      <c r="Y698" s="79">
        <f>tbl_Data_old[[#This Row],[2028 ]]*IFERROR(AVERAGEIFS('Participation Adjustment'!$C:$C,'Participation Adjustment'!$A:$A,$H698,'Participation Adjustment'!$B:$B,$I698),1)</f>
        <v>3.0160634159430302</v>
      </c>
      <c r="Z698" s="79">
        <f>tbl_Data_old[[#This Row],[2029 ]]*IFERROR(AVERAGEIFS('Participation Adjustment'!$C:$C,'Participation Adjustment'!$A:$A,$H698,'Participation Adjustment'!$B:$B,$I698),1)</f>
        <v>3.2405390326238099</v>
      </c>
      <c r="AA698" s="79">
        <f>tbl_Data_old[[#This Row],[2030 ]]*IFERROR(AVERAGEIFS('Participation Adjustment'!$C:$C,'Participation Adjustment'!$A:$A,$H698,'Participation Adjustment'!$B:$B,$I698),1)</f>
        <v>3.4512506807865799</v>
      </c>
      <c r="AB698" s="79">
        <f>tbl_Data_old[[#This Row],[2031 ]]*IFERROR(AVERAGEIFS('Participation Adjustment'!$C:$C,'Participation Adjustment'!$A:$A,$H698,'Participation Adjustment'!$B:$B,$I698),1)</f>
        <v>3.65050343370278</v>
      </c>
      <c r="AC698" s="79">
        <f>tbl_Data_old[[#This Row],[2032 ]]*IFERROR(AVERAGEIFS('Participation Adjustment'!$C:$C,'Participation Adjustment'!$A:$A,$H698,'Participation Adjustment'!$B:$B,$I698),1)</f>
        <v>3.8292330461730901</v>
      </c>
      <c r="AD698" s="79">
        <f>tbl_Data_old[[#This Row],[2033 ]]*IFERROR(AVERAGEIFS('Participation Adjustment'!$C:$C,'Participation Adjustment'!$A:$A,$H698,'Participation Adjustment'!$B:$B,$I698),1)</f>
        <v>4.0064565870957001</v>
      </c>
      <c r="AE698" s="79">
        <f>tbl_Data_old[[#This Row],[2034 ]]*IFERROR(AVERAGEIFS('Participation Adjustment'!$C:$C,'Participation Adjustment'!$A:$A,$H698,'Participation Adjustment'!$B:$B,$I698),1)</f>
        <v>4.17433070178273</v>
      </c>
      <c r="AF698" s="77" t="str">
        <f t="shared" si="286"/>
        <v>NonResidential</v>
      </c>
      <c r="AG698" s="77" t="str">
        <f>tbl_Data[[#This Row],[All_Meas_Name_Append]]</f>
        <v>LED Exterior Wall Packs</v>
      </c>
      <c r="AH698" s="77">
        <f>AVERAGEIFS('3. Incentive Adjustment'!G:G,'3. Incentive Adjustment'!A:A,tbl_Data[[#This Row],[Trimmed Sector]],'3. Incentive Adjustment'!B:B,tbl_Data[[#This Row],[Trimmed Measure Name]])</f>
        <v>0.80637708305213962</v>
      </c>
      <c r="AI698" s="77">
        <f>$AH698*tbl_Data[[#This Row],[2025 ]]</f>
        <v>1.7648748974943864</v>
      </c>
      <c r="AJ698" s="77">
        <f>$AH698*tbl_Data[[#This Row],[2026 ]]</f>
        <v>2.0078403122427884</v>
      </c>
      <c r="AK698" s="77">
        <f>$AH698*tbl_Data[[#This Row],[2027 ]]</f>
        <v>2.2195675302331521</v>
      </c>
      <c r="AL698" s="77">
        <f>$AH698*tbl_Data[[#This Row],[2028 ]]</f>
        <v>2.4320844196484126</v>
      </c>
      <c r="AM698" s="77">
        <f>$AH698*tbl_Data[[#This Row],[2029 ]]</f>
        <v>2.6130964126437903</v>
      </c>
      <c r="AN698" s="77">
        <f>$AH698*tbl_Data[[#This Row],[2030 ]]</f>
        <v>2.7830094568543933</v>
      </c>
      <c r="AO698" s="77">
        <f>$AH698*tbl_Data[[#This Row],[2031 ]]</f>
        <v>2.9436823105410674</v>
      </c>
      <c r="AP698" s="77">
        <f>$AH698*tbl_Data[[#This Row],[2032 ]]</f>
        <v>3.0878057740999156</v>
      </c>
      <c r="AQ698" s="77">
        <f>$AH698*tbl_Data[[#This Row],[2033 ]]</f>
        <v>3.230714776077261</v>
      </c>
      <c r="AR698" s="77">
        <f>$AH698*tbl_Data[[#This Row],[2034 ]]</f>
        <v>3.3660846149985488</v>
      </c>
      <c r="AS698" s="77">
        <f>SUM(tbl_Data[[#This Row],[Adjusted 2025]:[Adjusted 2034]])</f>
        <v>26.448760504833714</v>
      </c>
      <c r="AT698" s="80">
        <f>AVERAGEIFS('3. Incentive Adjustment'!F:F,'3. Incentive Adjustment'!A:A,tbl_Data[[#This Row],[Trimmed Sector]],'3. Incentive Adjustment'!B:B,tbl_Data[[#This Row],[Trimmed Measure Name]])</f>
        <v>8.6864493556481861</v>
      </c>
      <c r="AU698" s="80">
        <f>IFERROR(VLOOKUP(tbl_Data[[#This Row],[All_Meas_Name_Append]],'IRA Tax Credits'!$A$3:$D$46,4,0),0)</f>
        <v>0</v>
      </c>
      <c r="AV698" s="81">
        <f>tbl_Data[[#This Row],[Adj. per unit Incentive ($)]]/tbl_Data[[#This Row],[kWh Savings]]*tbl_Data[[#This Row],[Sum of Annuals]]</f>
        <v>0.40842248923577118</v>
      </c>
      <c r="AW698" s="81">
        <f>IFERROR(VLOOKUP(tbl_Data[[#This Row],[Column1]],'1. Set Program Names'!$B$2:$D$15,3,0)*tbl_Data[[#This Row],[Sum of Annuals]],"")</f>
        <v>0.96346294422480061</v>
      </c>
      <c r="AX698" s="81">
        <f>tbl_Data[[#This Row],[per unit IRA tax ($)]]/tbl_Data[[#This Row],[kWh Savings]]*tbl_Data[[#This Row],[Sum of Annuals]]</f>
        <v>0</v>
      </c>
      <c r="AY698" s="81">
        <f>tbl_Data[[#This Row],[Avoided Costs ($/unit)]]/tbl_Data[[#This Row],[kWh Savings]]*tbl_Data[[#This Row],[Sum of Annuals]]</f>
        <v>11.306935211467334</v>
      </c>
      <c r="AZ698" s="81">
        <f>tbl_Data[[#This Row],[Lost Revenue ($/unit)]]/tbl_Data[[#This Row],[kWh Savings]]*tbl_Data[[#This Row],[Sum of Annuals]]</f>
        <v>28.090445704310209</v>
      </c>
      <c r="BA698" s="81">
        <f>tbl_Data[[#This Row],[Incremental Cost ($/unit)]]/tbl_Data[[#This Row],[kWh Savings]]*tbl_Data[[#This Row],[Sum of Annuals]]</f>
        <v>7.9461006280965973</v>
      </c>
      <c r="BB698" s="77">
        <f>ROUNDUP(tbl_Data[[#This Row],[Adjusted 2025]]/$L698,0)</f>
        <v>1</v>
      </c>
      <c r="BC698" s="77">
        <f>ROUNDUP(tbl_Data[[#This Row],[Adjusted 2026]]/$L698,0)</f>
        <v>1</v>
      </c>
      <c r="BD698" s="77">
        <f>ROUNDUP(tbl_Data[[#This Row],[Adjusted 2027]]/$L698,0)</f>
        <v>1</v>
      </c>
      <c r="BE698" s="77">
        <f>ROUNDUP(tbl_Data[[#This Row],[Adjusted 2028]]/$L698,0)</f>
        <v>1</v>
      </c>
      <c r="BF698" s="77">
        <f>ROUNDUP(tbl_Data[[#This Row],[Adjusted 2029]]/$L698,0)</f>
        <v>1</v>
      </c>
      <c r="BG698" s="77">
        <f>ROUNDUP(tbl_Data[[#This Row],[Adjusted 2030]]/$L698,0)</f>
        <v>1</v>
      </c>
      <c r="BH698" s="77">
        <f>ROUNDUP(tbl_Data[[#This Row],[Adjusted 2031]]/$L698,0)</f>
        <v>1</v>
      </c>
      <c r="BI698" s="77">
        <f>ROUNDUP(tbl_Data[[#This Row],[Adjusted 2032]]/$L698,0)</f>
        <v>1</v>
      </c>
      <c r="BJ698" s="77">
        <f>ROUNDUP(tbl_Data[[#This Row],[Adjusted 2033]]/$L698,0)</f>
        <v>1</v>
      </c>
      <c r="BK698" s="77">
        <f>ROUNDUP(tbl_Data[[#This Row],[Adjusted 2034]]/$L698,0)</f>
        <v>1</v>
      </c>
      <c r="BL698" s="80">
        <f t="shared" si="287"/>
        <v>3.3797149521448709E-2</v>
      </c>
      <c r="BM698" s="80">
        <f t="shared" si="288"/>
        <v>3.8449909024374694E-2</v>
      </c>
      <c r="BN698" s="80">
        <f t="shared" si="289"/>
        <v>4.2504460683724515E-2</v>
      </c>
      <c r="BO698" s="80">
        <f t="shared" si="290"/>
        <v>4.6574134459241273E-2</v>
      </c>
      <c r="BP698" s="80">
        <f t="shared" si="291"/>
        <v>5.0040493123600739E-2</v>
      </c>
      <c r="BQ698" s="80">
        <f t="shared" si="292"/>
        <v>5.3294308206461902E-2</v>
      </c>
      <c r="BR698" s="80">
        <f t="shared" si="293"/>
        <v>5.6371174712861773E-2</v>
      </c>
      <c r="BS698" s="80">
        <f t="shared" si="294"/>
        <v>5.9131122318418862E-2</v>
      </c>
      <c r="BT698" s="80">
        <f t="shared" si="295"/>
        <v>6.1867813125595313E-2</v>
      </c>
      <c r="BU698" s="80">
        <f t="shared" si="296"/>
        <v>6.4460129834962368E-2</v>
      </c>
      <c r="BV698" s="80">
        <f>IFERROR(VLOOKUP($H698,'1. Set Program Names'!$B$2:$D$15,3,0)*V698,"NA")</f>
        <v>7.9727003391195372E-2</v>
      </c>
      <c r="BW698" s="80">
        <f>IFERROR(VLOOKUP($H698,'1. Set Program Names'!$B$2:$D$15,3,0)*W698,"NA")</f>
        <v>9.0702798034254836E-2</v>
      </c>
      <c r="BX698" s="80">
        <f>IFERROR(VLOOKUP($H698,'1. Set Program Names'!$B$2:$D$15,3,0)*X698,"NA")</f>
        <v>0.10026742873453359</v>
      </c>
      <c r="BY698" s="80">
        <f>IFERROR(VLOOKUP($H698,'1. Set Program Names'!$B$2:$D$15,3,0)*Y698,"NA")</f>
        <v>0.109867732295512</v>
      </c>
      <c r="BZ698" s="80">
        <f>IFERROR(VLOOKUP($H698,'1. Set Program Names'!$B$2:$D$15,3,0)*Z698,"NA")</f>
        <v>0.1180448239408621</v>
      </c>
      <c r="CA698" s="80">
        <f>IFERROR(VLOOKUP($H698,'1. Set Program Names'!$B$2:$D$15,3,0)*AA698,"NA")</f>
        <v>0.12572052824784694</v>
      </c>
      <c r="CB698" s="80">
        <f>IFERROR(VLOOKUP($H698,'1. Set Program Names'!$B$2:$D$15,3,0)*AB698,"NA")</f>
        <v>0.13297881333589312</v>
      </c>
      <c r="CC698" s="80">
        <f>IFERROR(VLOOKUP($H698,'1. Set Program Names'!$B$2:$D$15,3,0)*AC698,"NA")</f>
        <v>0.13948949116593101</v>
      </c>
      <c r="CD698" s="80">
        <f>IFERROR(VLOOKUP($H698,'1. Set Program Names'!$B$2:$D$15,3,0)*AD698,"NA")</f>
        <v>0.14594530653361285</v>
      </c>
      <c r="CE698" s="80">
        <f>IFERROR(VLOOKUP($H698,'1. Set Program Names'!$B$2:$D$15,3,0)*AE698,"NA")</f>
        <v>0.15206054542225333</v>
      </c>
    </row>
    <row r="699" spans="1:83" x14ac:dyDescent="0.25">
      <c r="A699" s="79" t="s">
        <v>114</v>
      </c>
      <c r="B699" s="79" t="s">
        <v>88</v>
      </c>
      <c r="C699" s="79" t="s">
        <v>176</v>
      </c>
      <c r="D699" s="79" t="s">
        <v>90</v>
      </c>
      <c r="E699" s="79" t="s">
        <v>91</v>
      </c>
      <c r="F699" s="79" t="s">
        <v>90</v>
      </c>
      <c r="G699" s="79" t="s">
        <v>92</v>
      </c>
      <c r="H699" s="79" t="s">
        <v>16</v>
      </c>
      <c r="I699" s="79" t="s">
        <v>162</v>
      </c>
      <c r="J699" s="79" t="s">
        <v>161</v>
      </c>
      <c r="K699" s="79" t="s">
        <v>159</v>
      </c>
      <c r="L699" s="79">
        <v>725.58416666666596</v>
      </c>
      <c r="M699" s="79">
        <v>8.6917804178563804E-2</v>
      </c>
      <c r="N699" s="79">
        <v>8.3795205289933394E-2</v>
      </c>
      <c r="O699" s="79">
        <v>179</v>
      </c>
      <c r="P699" s="79">
        <v>33.0790753554421</v>
      </c>
      <c r="Q699" s="79">
        <v>26.4312370090766</v>
      </c>
      <c r="R699" s="79">
        <v>310.45187974046598</v>
      </c>
      <c r="S699" s="79">
        <v>770.62146764617603</v>
      </c>
      <c r="T699" s="79">
        <v>15</v>
      </c>
      <c r="U699" s="79">
        <v>0.59999999999999898</v>
      </c>
      <c r="V699" s="79">
        <f>tbl_Data_old[[#This Row],[2025 ]]*IFERROR(AVERAGEIFS('Participation Adjustment'!$C:$C,'Participation Adjustment'!$A:$A,$H699,'Participation Adjustment'!$B:$B,$I699),1)</f>
        <v>16.813403305506302</v>
      </c>
      <c r="W699" s="79">
        <f>tbl_Data_old[[#This Row],[2026 ]]*IFERROR(AVERAGEIFS('Participation Adjustment'!$C:$C,'Participation Adjustment'!$A:$A,$H699,'Participation Adjustment'!$B:$B,$I699),1)</f>
        <v>19.128057739797601</v>
      </c>
      <c r="X699" s="79">
        <f>tbl_Data_old[[#This Row],[2027 ]]*IFERROR(AVERAGEIFS('Participation Adjustment'!$C:$C,'Participation Adjustment'!$A:$A,$H699,'Participation Adjustment'!$B:$B,$I699),1)</f>
        <v>21.1451157827664</v>
      </c>
      <c r="Y699" s="79">
        <f>tbl_Data_old[[#This Row],[2028 ]]*IFERROR(AVERAGEIFS('Participation Adjustment'!$C:$C,'Participation Adjustment'!$A:$A,$H699,'Participation Adjustment'!$B:$B,$I699),1)</f>
        <v>23.1696967749054</v>
      </c>
      <c r="Z699" s="79">
        <f>tbl_Data_old[[#This Row],[2029 ]]*IFERROR(AVERAGEIFS('Participation Adjustment'!$C:$C,'Participation Adjustment'!$A:$A,$H699,'Participation Adjustment'!$B:$B,$I699),1)</f>
        <v>24.894140612644652</v>
      </c>
      <c r="AA699" s="79">
        <f>tbl_Data_old[[#This Row],[2030 ]]*IFERROR(AVERAGEIFS('Participation Adjustment'!$C:$C,'Participation Adjustment'!$A:$A,$H699,'Participation Adjustment'!$B:$B,$I699),1)</f>
        <v>26.512848286052549</v>
      </c>
      <c r="AB699" s="79">
        <f>tbl_Data_old[[#This Row],[2031 ]]*IFERROR(AVERAGEIFS('Participation Adjustment'!$C:$C,'Participation Adjustment'!$A:$A,$H699,'Participation Adjustment'!$B:$B,$I699),1)</f>
        <v>28.043527595456251</v>
      </c>
      <c r="AC699" s="79">
        <f>tbl_Data_old[[#This Row],[2032 ]]*IFERROR(AVERAGEIFS('Participation Adjustment'!$C:$C,'Participation Adjustment'!$A:$A,$H699,'Participation Adjustment'!$B:$B,$I699),1)</f>
        <v>29.416546114809449</v>
      </c>
      <c r="AD699" s="79">
        <f>tbl_Data_old[[#This Row],[2033 ]]*IFERROR(AVERAGEIFS('Participation Adjustment'!$C:$C,'Participation Adjustment'!$A:$A,$H699,'Participation Adjustment'!$B:$B,$I699),1)</f>
        <v>30.777994843919853</v>
      </c>
      <c r="AE699" s="79">
        <f>tbl_Data_old[[#This Row],[2034 ]]*IFERROR(AVERAGEIFS('Participation Adjustment'!$C:$C,'Participation Adjustment'!$A:$A,$H699,'Participation Adjustment'!$B:$B,$I699),1)</f>
        <v>32.067620358122696</v>
      </c>
      <c r="AF699" s="77" t="str">
        <f t="shared" si="286"/>
        <v>NonResidential</v>
      </c>
      <c r="AG699" s="77" t="str">
        <f>tbl_Data[[#This Row],[All_Meas_Name_Append]]</f>
        <v>LED High Bay_LF Baseline</v>
      </c>
      <c r="AH699" s="77">
        <f>AVERAGEIFS('3. Incentive Adjustment'!G:G,'3. Incentive Adjustment'!A:A,tbl_Data[[#This Row],[Trimmed Sector]],'3. Incentive Adjustment'!B:B,tbl_Data[[#This Row],[Trimmed Measure Name]])</f>
        <v>0.93017466414143679</v>
      </c>
      <c r="AI699" s="77">
        <f>$AH699*tbl_Data[[#This Row],[2025 ]]</f>
        <v>15.639401772773848</v>
      </c>
      <c r="AJ699" s="77">
        <f>$AH699*tbl_Data[[#This Row],[2026 ]]</f>
        <v>17.792434683794244</v>
      </c>
      <c r="AK699" s="77">
        <f>$AH699*tbl_Data[[#This Row],[2027 ]]</f>
        <v>19.66865097146653</v>
      </c>
      <c r="AL699" s="77">
        <f>$AH699*tbl_Data[[#This Row],[2028 ]]</f>
        <v>21.551864915856562</v>
      </c>
      <c r="AM699" s="77">
        <f>$AH699*tbl_Data[[#This Row],[2029 ]]</f>
        <v>23.155898883456441</v>
      </c>
      <c r="AN699" s="77">
        <f>$AH699*tbl_Data[[#This Row],[2030 ]]</f>
        <v>24.661579749911798</v>
      </c>
      <c r="AO699" s="77">
        <f>$AH699*tbl_Data[[#This Row],[2031 ]]</f>
        <v>26.085378862444632</v>
      </c>
      <c r="AP699" s="77">
        <f>$AH699*tbl_Data[[#This Row],[2032 ]]</f>
        <v>27.362525902543968</v>
      </c>
      <c r="AQ699" s="77">
        <f>$AH699*tbl_Data[[#This Row],[2033 ]]</f>
        <v>28.628911016890022</v>
      </c>
      <c r="AR699" s="77">
        <f>$AH699*tbl_Data[[#This Row],[2034 ]]</f>
        <v>29.828487996431878</v>
      </c>
      <c r="AS699" s="77">
        <f>SUM(tbl_Data[[#This Row],[Adjusted 2025]:[Adjusted 2034]])</f>
        <v>234.37513475556992</v>
      </c>
      <c r="AT699" s="80">
        <f>AVERAGEIFS('3. Incentive Adjustment'!F:F,'3. Incentive Adjustment'!A:A,tbl_Data[[#This Row],[Trimmed Sector]],'3. Incentive Adjustment'!B:B,tbl_Data[[#This Row],[Trimmed Measure Name]])</f>
        <v>23.858858929800434</v>
      </c>
      <c r="AU699" s="80">
        <f>IFERROR(VLOOKUP(tbl_Data[[#This Row],[All_Meas_Name_Append]],'IRA Tax Credits'!$A$3:$D$46,4,0),0)</f>
        <v>0</v>
      </c>
      <c r="AV699" s="81">
        <f>tbl_Data[[#This Row],[Adj. per unit Incentive ($)]]/tbl_Data[[#This Row],[kWh Savings]]*tbl_Data[[#This Row],[Sum of Annuals]]</f>
        <v>7.7067879009480142</v>
      </c>
      <c r="AW699" s="81">
        <f>IFERROR(VLOOKUP(tbl_Data[[#This Row],[Column1]],'1. Set Program Names'!$B$2:$D$15,3,0)*tbl_Data[[#This Row],[Sum of Annuals]],"")</f>
        <v>8.5377066098585956</v>
      </c>
      <c r="AX699" s="81">
        <f>tbl_Data[[#This Row],[per unit IRA tax ($)]]/tbl_Data[[#This Row],[kWh Savings]]*tbl_Data[[#This Row],[Sum of Annuals]]</f>
        <v>0</v>
      </c>
      <c r="AY699" s="81">
        <f>tbl_Data[[#This Row],[Avoided Costs ($/unit)]]/tbl_Data[[#This Row],[kWh Savings]]*tbl_Data[[#This Row],[Sum of Annuals]]</f>
        <v>100.28085574628963</v>
      </c>
      <c r="AZ699" s="81">
        <f>tbl_Data[[#This Row],[Lost Revenue ($/unit)]]/tbl_Data[[#This Row],[kWh Savings]]*tbl_Data[[#This Row],[Sum of Annuals]]</f>
        <v>248.92289361115849</v>
      </c>
      <c r="BA699" s="81">
        <f>tbl_Data[[#This Row],[Incremental Cost ($/unit)]]/tbl_Data[[#This Row],[kWh Savings]]*tbl_Data[[#This Row],[Sum of Annuals]]</f>
        <v>57.819824423649983</v>
      </c>
      <c r="BB699" s="77">
        <f>ROUNDUP(tbl_Data[[#This Row],[Adjusted 2025]]/$L699,0)</f>
        <v>1</v>
      </c>
      <c r="BC699" s="77">
        <f>ROUNDUP(tbl_Data[[#This Row],[Adjusted 2026]]/$L699,0)</f>
        <v>1</v>
      </c>
      <c r="BD699" s="77">
        <f>ROUNDUP(tbl_Data[[#This Row],[Adjusted 2027]]/$L699,0)</f>
        <v>1</v>
      </c>
      <c r="BE699" s="77">
        <f>ROUNDUP(tbl_Data[[#This Row],[Adjusted 2028]]/$L699,0)</f>
        <v>1</v>
      </c>
      <c r="BF699" s="77">
        <f>ROUNDUP(tbl_Data[[#This Row],[Adjusted 2029]]/$L699,0)</f>
        <v>1</v>
      </c>
      <c r="BG699" s="77">
        <f>ROUNDUP(tbl_Data[[#This Row],[Adjusted 2030]]/$L699,0)</f>
        <v>1</v>
      </c>
      <c r="BH699" s="77">
        <f>ROUNDUP(tbl_Data[[#This Row],[Adjusted 2031]]/$L699,0)</f>
        <v>1</v>
      </c>
      <c r="BI699" s="77">
        <f>ROUNDUP(tbl_Data[[#This Row],[Adjusted 2032]]/$L699,0)</f>
        <v>1</v>
      </c>
      <c r="BJ699" s="77">
        <f>ROUNDUP(tbl_Data[[#This Row],[Adjusted 2033]]/$L699,0)</f>
        <v>1</v>
      </c>
      <c r="BK699" s="77">
        <f>ROUNDUP(tbl_Data[[#This Row],[Adjusted 2034]]/$L699,0)</f>
        <v>1</v>
      </c>
      <c r="BL699" s="80">
        <f t="shared" si="287"/>
        <v>0.55286297031368825</v>
      </c>
      <c r="BM699" s="80">
        <f t="shared" si="288"/>
        <v>0.62897407658644067</v>
      </c>
      <c r="BN699" s="80">
        <f t="shared" si="289"/>
        <v>0.69529953614201057</v>
      </c>
      <c r="BO699" s="80">
        <f t="shared" si="290"/>
        <v>0.76187236738956843</v>
      </c>
      <c r="BP699" s="80">
        <f t="shared" si="291"/>
        <v>0.8185760058468361</v>
      </c>
      <c r="BQ699" s="80">
        <f t="shared" si="292"/>
        <v>0.8718027985507717</v>
      </c>
      <c r="BR699" s="80">
        <f t="shared" si="293"/>
        <v>0.92213501828153199</v>
      </c>
      <c r="BS699" s="80">
        <f t="shared" si="294"/>
        <v>0.96728299237769333</v>
      </c>
      <c r="BT699" s="80">
        <f t="shared" si="295"/>
        <v>1.0120505254362306</v>
      </c>
      <c r="BU699" s="80">
        <f t="shared" si="296"/>
        <v>1.0544563477090481</v>
      </c>
      <c r="BV699" s="80">
        <f>IFERROR(VLOOKUP($H699,'1. Set Program Names'!$B$2:$D$15,3,0)*V699,"NA")</f>
        <v>0.61247070720768138</v>
      </c>
      <c r="BW699" s="80">
        <f>IFERROR(VLOOKUP($H699,'1. Set Program Names'!$B$2:$D$15,3,0)*W699,"NA")</f>
        <v>0.6967878447052106</v>
      </c>
      <c r="BX699" s="80">
        <f>IFERROR(VLOOKUP($H699,'1. Set Program Names'!$B$2:$D$15,3,0)*X699,"NA")</f>
        <v>0.77026428154601712</v>
      </c>
      <c r="BY699" s="80">
        <f>IFERROR(VLOOKUP($H699,'1. Set Program Names'!$B$2:$D$15,3,0)*Y699,"NA")</f>
        <v>0.84401476082278026</v>
      </c>
      <c r="BZ699" s="80">
        <f>IFERROR(VLOOKUP($H699,'1. Set Program Names'!$B$2:$D$15,3,0)*Z699,"NA")</f>
        <v>0.90683198572656853</v>
      </c>
      <c r="CA699" s="80">
        <f>IFERROR(VLOOKUP($H699,'1. Set Program Names'!$B$2:$D$15,3,0)*AA699,"NA")</f>
        <v>0.96579750362204142</v>
      </c>
      <c r="CB699" s="80">
        <f>IFERROR(VLOOKUP($H699,'1. Set Program Names'!$B$2:$D$15,3,0)*AB699,"NA")</f>
        <v>1.0215563658882922</v>
      </c>
      <c r="CC699" s="80">
        <f>IFERROR(VLOOKUP($H699,'1. Set Program Names'!$B$2:$D$15,3,0)*AC699,"NA")</f>
        <v>1.0715720354274922</v>
      </c>
      <c r="CD699" s="80">
        <f>IFERROR(VLOOKUP($H699,'1. Set Program Names'!$B$2:$D$15,3,0)*AD699,"NA")</f>
        <v>1.1211662461172558</v>
      </c>
      <c r="CE699" s="80">
        <f>IFERROR(VLOOKUP($H699,'1. Set Program Names'!$B$2:$D$15,3,0)*AE699,"NA")</f>
        <v>1.1681441146882316</v>
      </c>
    </row>
    <row r="700" spans="1:83" x14ac:dyDescent="0.25">
      <c r="A700" s="79" t="s">
        <v>114</v>
      </c>
      <c r="B700" s="79" t="s">
        <v>88</v>
      </c>
      <c r="C700" s="79" t="s">
        <v>176</v>
      </c>
      <c r="D700" s="79" t="s">
        <v>90</v>
      </c>
      <c r="E700" s="79" t="s">
        <v>91</v>
      </c>
      <c r="F700" s="79" t="s">
        <v>90</v>
      </c>
      <c r="G700" s="79" t="s">
        <v>92</v>
      </c>
      <c r="H700" s="79" t="s">
        <v>16</v>
      </c>
      <c r="I700" s="79" t="s">
        <v>165</v>
      </c>
      <c r="J700" s="79" t="s">
        <v>161</v>
      </c>
      <c r="K700" s="79" t="s">
        <v>166</v>
      </c>
      <c r="L700" s="79">
        <v>565.38999999999896</v>
      </c>
      <c r="M700" s="79">
        <v>6.7728127941350899E-2</v>
      </c>
      <c r="N700" s="79">
        <v>6.5294935157718198E-2</v>
      </c>
      <c r="O700" s="79">
        <v>129</v>
      </c>
      <c r="P700" s="79">
        <v>15.293574707506</v>
      </c>
      <c r="Q700" s="79">
        <v>20.595759636286299</v>
      </c>
      <c r="R700" s="79">
        <v>190.6779313312</v>
      </c>
      <c r="S700" s="79">
        <v>454.767236260907</v>
      </c>
      <c r="T700" s="79">
        <v>10</v>
      </c>
      <c r="U700" s="79">
        <v>0.59999999999999898</v>
      </c>
      <c r="V700" s="79">
        <f>tbl_Data_old[[#This Row],[2025 ]]*IFERROR(AVERAGEIFS('Participation Adjustment'!$C:$C,'Participation Adjustment'!$A:$A,$H700,'Participation Adjustment'!$B:$B,$I700),1)</f>
        <v>0.134120180266667</v>
      </c>
      <c r="W700" s="79">
        <f>tbl_Data_old[[#This Row],[2026 ]]*IFERROR(AVERAGEIFS('Participation Adjustment'!$C:$C,'Participation Adjustment'!$A:$A,$H700,'Participation Adjustment'!$B:$B,$I700),1)</f>
        <v>0.185188334630042</v>
      </c>
      <c r="X700" s="79">
        <f>tbl_Data_old[[#This Row],[2027 ]]*IFERROR(AVERAGEIFS('Participation Adjustment'!$C:$C,'Participation Adjustment'!$A:$A,$H700,'Participation Adjustment'!$B:$B,$I700),1)</f>
        <v>0.247745776878388</v>
      </c>
      <c r="Y700" s="79">
        <f>tbl_Data_old[[#This Row],[2028 ]]*IFERROR(AVERAGEIFS('Participation Adjustment'!$C:$C,'Participation Adjustment'!$A:$A,$H700,'Participation Adjustment'!$B:$B,$I700),1)</f>
        <v>0.32317611537241703</v>
      </c>
      <c r="Z700" s="79">
        <f>tbl_Data_old[[#This Row],[2029 ]]*IFERROR(AVERAGEIFS('Participation Adjustment'!$C:$C,'Participation Adjustment'!$A:$A,$H700,'Participation Adjustment'!$B:$B,$I700),1)</f>
        <v>0.403459867234292</v>
      </c>
      <c r="AA700" s="79">
        <f>tbl_Data_old[[#This Row],[2030 ]]*IFERROR(AVERAGEIFS('Participation Adjustment'!$C:$C,'Participation Adjustment'!$A:$A,$H700,'Participation Adjustment'!$B:$B,$I700),1)</f>
        <v>0.47891508584519998</v>
      </c>
      <c r="AB700" s="79">
        <f>tbl_Data_old[[#This Row],[2031 ]]*IFERROR(AVERAGEIFS('Participation Adjustment'!$C:$C,'Participation Adjustment'!$A:$A,$H700,'Participation Adjustment'!$B:$B,$I700),1)</f>
        <v>0.53374664226205404</v>
      </c>
      <c r="AC700" s="79">
        <f>tbl_Data_old[[#This Row],[2032 ]]*IFERROR(AVERAGEIFS('Participation Adjustment'!$C:$C,'Participation Adjustment'!$A:$A,$H700,'Participation Adjustment'!$B:$B,$I700),1)</f>
        <v>0.55048510098394898</v>
      </c>
      <c r="AD700" s="79">
        <f>tbl_Data_old[[#This Row],[2033 ]]*IFERROR(AVERAGEIFS('Participation Adjustment'!$C:$C,'Participation Adjustment'!$A:$A,$H700,'Participation Adjustment'!$B:$B,$I700),1)</f>
        <v>0.52120794683880101</v>
      </c>
      <c r="AE700" s="79">
        <f>tbl_Data_old[[#This Row],[2034 ]]*IFERROR(AVERAGEIFS('Participation Adjustment'!$C:$C,'Participation Adjustment'!$A:$A,$H700,'Participation Adjustment'!$B:$B,$I700),1)</f>
        <v>0.45104315130468398</v>
      </c>
      <c r="AF700" s="77" t="str">
        <f t="shared" si="286"/>
        <v>NonResidential</v>
      </c>
      <c r="AG700" s="77" t="str">
        <f>tbl_Data[[#This Row],[All_Meas_Name_Append]]</f>
        <v>Occupancy Sensors_ Ceiling Mounted</v>
      </c>
      <c r="AH700" s="77">
        <f>AVERAGEIFS('3. Incentive Adjustment'!G:G,'3. Incentive Adjustment'!A:A,tbl_Data[[#This Row],[Trimmed Sector]],'3. Incentive Adjustment'!B:B,tbl_Data[[#This Row],[Trimmed Measure Name]])</f>
        <v>0.99348124042467356</v>
      </c>
      <c r="AI700" s="77">
        <f>$AH700*tbl_Data[[#This Row],[2025 ]]</f>
        <v>0.13324588305730917</v>
      </c>
      <c r="AJ700" s="77">
        <f>$AH700*tbl_Data[[#This Row],[2026 ]]</f>
        <v>0.18398113640043365</v>
      </c>
      <c r="AK700" s="77">
        <f>$AH700*tbl_Data[[#This Row],[2027 ]]</f>
        <v>0.24613078172311531</v>
      </c>
      <c r="AL700" s="77">
        <f>$AH700*tbl_Data[[#This Row],[2028 ]]</f>
        <v>0.32106940797581629</v>
      </c>
      <c r="AM700" s="77">
        <f>$AH700*tbl_Data[[#This Row],[2029 ]]</f>
        <v>0.40082980936149853</v>
      </c>
      <c r="AN700" s="77">
        <f>$AH700*tbl_Data[[#This Row],[2030 ]]</f>
        <v>0.47579315354357832</v>
      </c>
      <c r="AO700" s="77">
        <f>$AH700*tbl_Data[[#This Row],[2031 ]]</f>
        <v>0.53026727622700998</v>
      </c>
      <c r="AP700" s="77">
        <f>$AH700*tbl_Data[[#This Row],[2032 ]]</f>
        <v>0.54689662096083536</v>
      </c>
      <c r="AQ700" s="77">
        <f>$AH700*tbl_Data[[#This Row],[2033 ]]</f>
        <v>0.51781031754460938</v>
      </c>
      <c r="AR700" s="77">
        <f>$AH700*tbl_Data[[#This Row],[2034 ]]</f>
        <v>0.44810290944323117</v>
      </c>
      <c r="AS700" s="77">
        <f>SUM(tbl_Data[[#This Row],[Adjusted 2025]:[Adjusted 2034]])</f>
        <v>3.8041272962374375</v>
      </c>
      <c r="AT700" s="80">
        <f>AVERAGEIFS('3. Incentive Adjustment'!F:F,'3. Incentive Adjustment'!A:A,tbl_Data[[#This Row],[Trimmed Sector]],'3. Incentive Adjustment'!B:B,tbl_Data[[#This Row],[Trimmed Measure Name]])</f>
        <v>19.547634357270656</v>
      </c>
      <c r="AU700" s="80">
        <f>IFERROR(VLOOKUP(tbl_Data[[#This Row],[All_Meas_Name_Append]],'IRA Tax Credits'!$A$3:$D$46,4,0),0)</f>
        <v>0</v>
      </c>
      <c r="AV700" s="81">
        <f>tbl_Data[[#This Row],[Adj. per unit Incentive ($)]]/tbl_Data[[#This Row],[kWh Savings]]*tbl_Data[[#This Row],[Sum of Annuals]]</f>
        <v>0.13152282395401793</v>
      </c>
      <c r="AW700" s="81">
        <f>IFERROR(VLOOKUP(tbl_Data[[#This Row],[Column1]],'1. Set Program Names'!$B$2:$D$15,3,0)*tbl_Data[[#This Row],[Sum of Annuals]],"")</f>
        <v>0.13857495077582255</v>
      </c>
      <c r="AX700" s="81">
        <f>tbl_Data[[#This Row],[per unit IRA tax ($)]]/tbl_Data[[#This Row],[kWh Savings]]*tbl_Data[[#This Row],[Sum of Annuals]]</f>
        <v>0</v>
      </c>
      <c r="AY700" s="81">
        <f>tbl_Data[[#This Row],[Avoided Costs ($/unit)]]/tbl_Data[[#This Row],[kWh Savings]]*tbl_Data[[#This Row],[Sum of Annuals]]</f>
        <v>1.2829429656822848</v>
      </c>
      <c r="AZ700" s="81">
        <f>tbl_Data[[#This Row],[Lost Revenue ($/unit)]]/tbl_Data[[#This Row],[kWh Savings]]*tbl_Data[[#This Row],[Sum of Annuals]]</f>
        <v>3.0598214628744396</v>
      </c>
      <c r="BA700" s="81">
        <f>tbl_Data[[#This Row],[Incremental Cost ($/unit)]]/tbl_Data[[#This Row],[kWh Savings]]*tbl_Data[[#This Row],[Sum of Annuals]]</f>
        <v>0.86795383932264514</v>
      </c>
      <c r="BB700" s="77">
        <f>ROUNDUP(tbl_Data[[#This Row],[Adjusted 2025]]/$L700,0)</f>
        <v>1</v>
      </c>
      <c r="BC700" s="77">
        <f>ROUNDUP(tbl_Data[[#This Row],[Adjusted 2026]]/$L700,0)</f>
        <v>1</v>
      </c>
      <c r="BD700" s="77">
        <f>ROUNDUP(tbl_Data[[#This Row],[Adjusted 2027]]/$L700,0)</f>
        <v>1</v>
      </c>
      <c r="BE700" s="77">
        <f>ROUNDUP(tbl_Data[[#This Row],[Adjusted 2028]]/$L700,0)</f>
        <v>1</v>
      </c>
      <c r="BF700" s="77">
        <f>ROUNDUP(tbl_Data[[#This Row],[Adjusted 2029]]/$L700,0)</f>
        <v>1</v>
      </c>
      <c r="BG700" s="77">
        <f>ROUNDUP(tbl_Data[[#This Row],[Adjusted 2030]]/$L700,0)</f>
        <v>1</v>
      </c>
      <c r="BH700" s="77">
        <f>ROUNDUP(tbl_Data[[#This Row],[Adjusted 2031]]/$L700,0)</f>
        <v>1</v>
      </c>
      <c r="BI700" s="77">
        <f>ROUNDUP(tbl_Data[[#This Row],[Adjusted 2032]]/$L700,0)</f>
        <v>1</v>
      </c>
      <c r="BJ700" s="77">
        <f>ROUNDUP(tbl_Data[[#This Row],[Adjusted 2033]]/$L700,0)</f>
        <v>1</v>
      </c>
      <c r="BK700" s="77">
        <f>ROUNDUP(tbl_Data[[#This Row],[Adjusted 2034]]/$L700,0)</f>
        <v>1</v>
      </c>
      <c r="BL700" s="80">
        <f t="shared" si="287"/>
        <v>4.6370332757637005E-3</v>
      </c>
      <c r="BM700" s="80">
        <f t="shared" si="288"/>
        <v>6.4026492378357431E-3</v>
      </c>
      <c r="BN700" s="80">
        <f t="shared" si="289"/>
        <v>8.5654925979884618E-3</v>
      </c>
      <c r="BO700" s="80">
        <f t="shared" si="290"/>
        <v>1.1173399841353996E-2</v>
      </c>
      <c r="BP700" s="80">
        <f t="shared" si="291"/>
        <v>1.3949107629298215E-2</v>
      </c>
      <c r="BQ700" s="80">
        <f t="shared" si="292"/>
        <v>1.6557875070805771E-2</v>
      </c>
      <c r="BR700" s="80">
        <f t="shared" si="293"/>
        <v>1.8453605833777739E-2</v>
      </c>
      <c r="BS700" s="80">
        <f t="shared" si="294"/>
        <v>1.9032316583525472E-2</v>
      </c>
      <c r="BT700" s="80">
        <f t="shared" si="295"/>
        <v>1.8020096515517895E-2</v>
      </c>
      <c r="BU700" s="80">
        <f t="shared" si="296"/>
        <v>1.5594238668980851E-2</v>
      </c>
      <c r="BV700" s="80">
        <f>IFERROR(VLOOKUP($H700,'1. Set Program Names'!$B$2:$D$15,3,0)*V700,"NA")</f>
        <v>4.8856665224847901E-3</v>
      </c>
      <c r="BW700" s="80">
        <f>IFERROR(VLOOKUP($H700,'1. Set Program Names'!$B$2:$D$15,3,0)*W700,"NA")</f>
        <v>6.7459531075620667E-3</v>
      </c>
      <c r="BX700" s="80">
        <f>IFERROR(VLOOKUP($H700,'1. Set Program Names'!$B$2:$D$15,3,0)*X700,"NA")</f>
        <v>9.0247660402418134E-3</v>
      </c>
      <c r="BY700" s="80">
        <f>IFERROR(VLOOKUP($H700,'1. Set Program Names'!$B$2:$D$15,3,0)*Y700,"NA")</f>
        <v>1.1772506751797984E-2</v>
      </c>
      <c r="BZ700" s="80">
        <f>IFERROR(VLOOKUP($H700,'1. Set Program Names'!$B$2:$D$15,3,0)*Z700,"NA")</f>
        <v>1.4697045311104722E-2</v>
      </c>
      <c r="CA700" s="80">
        <f>IFERROR(VLOOKUP($H700,'1. Set Program Names'!$B$2:$D$15,3,0)*AA700,"NA")</f>
        <v>1.7445692343796677E-2</v>
      </c>
      <c r="CB700" s="80">
        <f>IFERROR(VLOOKUP($H700,'1. Set Program Names'!$B$2:$D$15,3,0)*AB700,"NA")</f>
        <v>1.9443070359759115E-2</v>
      </c>
      <c r="CC700" s="80">
        <f>IFERROR(VLOOKUP($H700,'1. Set Program Names'!$B$2:$D$15,3,0)*AC700,"NA")</f>
        <v>2.0052811021104469E-2</v>
      </c>
      <c r="CD700" s="80">
        <f>IFERROR(VLOOKUP($H700,'1. Set Program Names'!$B$2:$D$15,3,0)*AD700,"NA")</f>
        <v>1.8986316690451342E-2</v>
      </c>
      <c r="CE700" s="80">
        <f>IFERROR(VLOOKUP($H700,'1. Set Program Names'!$B$2:$D$15,3,0)*AE700,"NA")</f>
        <v>1.6430386688594471E-2</v>
      </c>
    </row>
    <row r="701" spans="1:83" x14ac:dyDescent="0.25">
      <c r="A701" s="79" t="s">
        <v>115</v>
      </c>
      <c r="B701" s="79" t="s">
        <v>88</v>
      </c>
      <c r="C701" s="79" t="s">
        <v>176</v>
      </c>
      <c r="D701" s="79" t="s">
        <v>90</v>
      </c>
      <c r="E701" s="79" t="s">
        <v>91</v>
      </c>
      <c r="F701" s="79" t="s">
        <v>90</v>
      </c>
      <c r="G701" s="79" t="s">
        <v>92</v>
      </c>
      <c r="H701" s="79" t="s">
        <v>16</v>
      </c>
      <c r="I701" s="79" t="s">
        <v>157</v>
      </c>
      <c r="J701" s="79" t="s">
        <v>158</v>
      </c>
      <c r="K701" s="79" t="s">
        <v>159</v>
      </c>
      <c r="L701" s="79">
        <v>562.52</v>
      </c>
      <c r="M701" s="79">
        <v>6.7473359330379998E-2</v>
      </c>
      <c r="N701" s="79">
        <v>6.4973258375617293E-2</v>
      </c>
      <c r="O701" s="79">
        <v>169</v>
      </c>
      <c r="P701" s="79">
        <v>55.847956108163899</v>
      </c>
      <c r="Q701" s="79">
        <v>20.491212633056499</v>
      </c>
      <c r="R701" s="79">
        <v>240.47921618074301</v>
      </c>
      <c r="S701" s="79">
        <v>597.43584258705596</v>
      </c>
      <c r="T701" s="79">
        <v>15</v>
      </c>
      <c r="U701" s="79">
        <v>0.59999999999999898</v>
      </c>
      <c r="V701" s="79">
        <f>tbl_Data_old[[#This Row],[2025 ]]*IFERROR(AVERAGEIFS('Participation Adjustment'!$C:$C,'Participation Adjustment'!$A:$A,$H701,'Participation Adjustment'!$B:$B,$I701),1)</f>
        <v>2.1886471411294699</v>
      </c>
      <c r="W701" s="79">
        <f>tbl_Data_old[[#This Row],[2026 ]]*IFERROR(AVERAGEIFS('Participation Adjustment'!$C:$C,'Participation Adjustment'!$A:$A,$H701,'Participation Adjustment'!$B:$B,$I701),1)</f>
        <v>4.6785992422520799</v>
      </c>
      <c r="X701" s="79">
        <f>tbl_Data_old[[#This Row],[2027 ]]*IFERROR(AVERAGEIFS('Participation Adjustment'!$C:$C,'Participation Adjustment'!$A:$A,$H701,'Participation Adjustment'!$B:$B,$I701),1)</f>
        <v>7.4311173592502495</v>
      </c>
      <c r="Y701" s="79">
        <f>tbl_Data_old[[#This Row],[2028 ]]*IFERROR(AVERAGEIFS('Participation Adjustment'!$C:$C,'Participation Adjustment'!$A:$A,$H701,'Participation Adjustment'!$B:$B,$I701),1)</f>
        <v>10.447180775193202</v>
      </c>
      <c r="Z701" s="79">
        <f>tbl_Data_old[[#This Row],[2029 ]]*IFERROR(AVERAGEIFS('Participation Adjustment'!$C:$C,'Participation Adjustment'!$A:$A,$H701,'Participation Adjustment'!$B:$B,$I701),1)</f>
        <v>13.6877198078171</v>
      </c>
      <c r="AA701" s="79">
        <f>tbl_Data_old[[#This Row],[2030 ]]*IFERROR(AVERAGEIFS('Participation Adjustment'!$C:$C,'Participation Adjustment'!$A:$A,$H701,'Participation Adjustment'!$B:$B,$I701),1)</f>
        <v>17.138970488603601</v>
      </c>
      <c r="AB701" s="79">
        <f>tbl_Data_old[[#This Row],[2031 ]]*IFERROR(AVERAGEIFS('Participation Adjustment'!$C:$C,'Participation Adjustment'!$A:$A,$H701,'Participation Adjustment'!$B:$B,$I701),1)</f>
        <v>20.789473922306399</v>
      </c>
      <c r="AC701" s="79">
        <f>tbl_Data_old[[#This Row],[2032 ]]*IFERROR(AVERAGEIFS('Participation Adjustment'!$C:$C,'Participation Adjustment'!$A:$A,$H701,'Participation Adjustment'!$B:$B,$I701),1)</f>
        <v>24.618706968479497</v>
      </c>
      <c r="AD701" s="79">
        <f>tbl_Data_old[[#This Row],[2033 ]]*IFERROR(AVERAGEIFS('Participation Adjustment'!$C:$C,'Participation Adjustment'!$A:$A,$H701,'Participation Adjustment'!$B:$B,$I701),1)</f>
        <v>28.625163555575202</v>
      </c>
      <c r="AE701" s="79">
        <f>tbl_Data_old[[#This Row],[2034 ]]*IFERROR(AVERAGEIFS('Participation Adjustment'!$C:$C,'Participation Adjustment'!$A:$A,$H701,'Participation Adjustment'!$B:$B,$I701),1)</f>
        <v>32.799494257357999</v>
      </c>
      <c r="AF701" s="77" t="str">
        <f t="shared" si="286"/>
        <v>NonResidential</v>
      </c>
      <c r="AG701" s="77" t="str">
        <f>tbl_Data[[#This Row],[All_Meas_Name_Append]]</f>
        <v>LED Exterior Wall Packs</v>
      </c>
      <c r="AH701" s="77">
        <f>AVERAGEIFS('3. Incentive Adjustment'!G:G,'3. Incentive Adjustment'!A:A,tbl_Data[[#This Row],[Trimmed Sector]],'3. Incentive Adjustment'!B:B,tbl_Data[[#This Row],[Trimmed Measure Name]])</f>
        <v>0.80637708305213962</v>
      </c>
      <c r="AI701" s="77">
        <f>$AH701*tbl_Data[[#This Row],[2025 ]]</f>
        <v>1.7648748974943864</v>
      </c>
      <c r="AJ701" s="77">
        <f>$AH701*tbl_Data[[#This Row],[2026 ]]</f>
        <v>3.772715209737183</v>
      </c>
      <c r="AK701" s="77">
        <f>$AH701*tbl_Data[[#This Row],[2027 ]]</f>
        <v>5.9922827399703351</v>
      </c>
      <c r="AL701" s="77">
        <f>$AH701*tbl_Data[[#This Row],[2028 ]]</f>
        <v>8.4243671596186847</v>
      </c>
      <c r="AM701" s="77">
        <f>$AH701*tbl_Data[[#This Row],[2029 ]]</f>
        <v>11.037463572262546</v>
      </c>
      <c r="AN701" s="77">
        <f>$AH701*tbl_Data[[#This Row],[2030 ]]</f>
        <v>13.820473029116876</v>
      </c>
      <c r="AO701" s="77">
        <f>$AH701*tbl_Data[[#This Row],[2031 ]]</f>
        <v>16.764155339657957</v>
      </c>
      <c r="AP701" s="77">
        <f>$AH701*tbl_Data[[#This Row],[2032 ]]</f>
        <v>19.851961113757881</v>
      </c>
      <c r="AQ701" s="77">
        <f>$AH701*tbl_Data[[#This Row],[2033 ]]</f>
        <v>23.082675889835144</v>
      </c>
      <c r="AR701" s="77">
        <f>$AH701*tbl_Data[[#This Row],[2034 ]]</f>
        <v>26.448760504833746</v>
      </c>
      <c r="AS701" s="77">
        <f>SUM(tbl_Data[[#This Row],[Adjusted 2025]:[Adjusted 2034]])</f>
        <v>130.95972945628475</v>
      </c>
      <c r="AT701" s="80">
        <f>AVERAGEIFS('3. Incentive Adjustment'!F:F,'3. Incentive Adjustment'!A:A,tbl_Data[[#This Row],[Trimmed Sector]],'3. Incentive Adjustment'!B:B,tbl_Data[[#This Row],[Trimmed Measure Name]])</f>
        <v>8.6864493556481861</v>
      </c>
      <c r="AU701" s="80">
        <f>IFERROR(VLOOKUP(tbl_Data[[#This Row],[All_Meas_Name_Append]],'IRA Tax Credits'!$A$3:$D$46,4,0),0)</f>
        <v>0</v>
      </c>
      <c r="AV701" s="81">
        <f>tbl_Data[[#This Row],[Adj. per unit Incentive ($)]]/tbl_Data[[#This Row],[kWh Savings]]*tbl_Data[[#This Row],[Sum of Annuals]]</f>
        <v>2.0222837544467849</v>
      </c>
      <c r="AW701" s="81">
        <f>IFERROR(VLOOKUP(tbl_Data[[#This Row],[Column1]],'1. Set Program Names'!$B$2:$D$15,3,0)*tbl_Data[[#This Row],[Sum of Annuals]],"")</f>
        <v>4.770539114442661</v>
      </c>
      <c r="AX701" s="81">
        <f>tbl_Data[[#This Row],[per unit IRA tax ($)]]/tbl_Data[[#This Row],[kWh Savings]]*tbl_Data[[#This Row],[Sum of Annuals]]</f>
        <v>0</v>
      </c>
      <c r="AY701" s="81">
        <f>tbl_Data[[#This Row],[Avoided Costs ($/unit)]]/tbl_Data[[#This Row],[kWh Savings]]*tbl_Data[[#This Row],[Sum of Annuals]]</f>
        <v>55.985730446721043</v>
      </c>
      <c r="AZ701" s="81">
        <f>tbl_Data[[#This Row],[Lost Revenue ($/unit)]]/tbl_Data[[#This Row],[kWh Savings]]*tbl_Data[[#This Row],[Sum of Annuals]]</f>
        <v>139.088452522023</v>
      </c>
      <c r="BA701" s="81">
        <f>tbl_Data[[#This Row],[Incremental Cost ($/unit)]]/tbl_Data[[#This Row],[kWh Savings]]*tbl_Data[[#This Row],[Sum of Annuals]]</f>
        <v>39.344724237559774</v>
      </c>
      <c r="BB701" s="77">
        <f>ROUNDUP(tbl_Data[[#This Row],[Adjusted 2025]]/$L701,0)</f>
        <v>1</v>
      </c>
      <c r="BC701" s="77">
        <f>ROUNDUP(tbl_Data[[#This Row],[Adjusted 2026]]/$L701,0)</f>
        <v>1</v>
      </c>
      <c r="BD701" s="77">
        <f>ROUNDUP(tbl_Data[[#This Row],[Adjusted 2027]]/$L701,0)</f>
        <v>1</v>
      </c>
      <c r="BE701" s="77">
        <f>ROUNDUP(tbl_Data[[#This Row],[Adjusted 2028]]/$L701,0)</f>
        <v>1</v>
      </c>
      <c r="BF701" s="77">
        <f>ROUNDUP(tbl_Data[[#This Row],[Adjusted 2029]]/$L701,0)</f>
        <v>1</v>
      </c>
      <c r="BG701" s="77">
        <f>ROUNDUP(tbl_Data[[#This Row],[Adjusted 2030]]/$L701,0)</f>
        <v>1</v>
      </c>
      <c r="BH701" s="77">
        <f>ROUNDUP(tbl_Data[[#This Row],[Adjusted 2031]]/$L701,0)</f>
        <v>1</v>
      </c>
      <c r="BI701" s="77">
        <f>ROUNDUP(tbl_Data[[#This Row],[Adjusted 2032]]/$L701,0)</f>
        <v>1</v>
      </c>
      <c r="BJ701" s="77">
        <f>ROUNDUP(tbl_Data[[#This Row],[Adjusted 2033]]/$L701,0)</f>
        <v>1</v>
      </c>
      <c r="BK701" s="77">
        <f>ROUNDUP(tbl_Data[[#This Row],[Adjusted 2034]]/$L701,0)</f>
        <v>1</v>
      </c>
      <c r="BL701" s="80">
        <f t="shared" si="287"/>
        <v>3.3797149521448709E-2</v>
      </c>
      <c r="BM701" s="80">
        <f t="shared" si="288"/>
        <v>7.224705854582357E-2</v>
      </c>
      <c r="BN701" s="80">
        <f t="shared" si="289"/>
        <v>0.11475151922954807</v>
      </c>
      <c r="BO701" s="80">
        <f t="shared" si="290"/>
        <v>0.16132565368878812</v>
      </c>
      <c r="BP701" s="80">
        <f t="shared" si="291"/>
        <v>0.21136614681239024</v>
      </c>
      <c r="BQ701" s="80">
        <f t="shared" si="292"/>
        <v>0.26466045501885094</v>
      </c>
      <c r="BR701" s="80">
        <f t="shared" si="293"/>
        <v>0.32103162973171301</v>
      </c>
      <c r="BS701" s="80">
        <f t="shared" si="294"/>
        <v>0.38016275205013195</v>
      </c>
      <c r="BT701" s="80">
        <f t="shared" si="295"/>
        <v>0.44203056517572736</v>
      </c>
      <c r="BU701" s="80">
        <f t="shared" si="296"/>
        <v>0.50649069501069077</v>
      </c>
      <c r="BV701" s="80">
        <f>IFERROR(VLOOKUP($H701,'1. Set Program Names'!$B$2:$D$15,3,0)*V701,"NA")</f>
        <v>7.9727003391195372E-2</v>
      </c>
      <c r="BW701" s="80">
        <f>IFERROR(VLOOKUP($H701,'1. Set Program Names'!$B$2:$D$15,3,0)*W701,"NA")</f>
        <v>0.17042980142545058</v>
      </c>
      <c r="BX701" s="80">
        <f>IFERROR(VLOOKUP($H701,'1. Set Program Names'!$B$2:$D$15,3,0)*X701,"NA")</f>
        <v>0.27069723015998415</v>
      </c>
      <c r="BY701" s="80">
        <f>IFERROR(VLOOKUP($H701,'1. Set Program Names'!$B$2:$D$15,3,0)*Y701,"NA")</f>
        <v>0.38056496245549332</v>
      </c>
      <c r="BZ701" s="80">
        <f>IFERROR(VLOOKUP($H701,'1. Set Program Names'!$B$2:$D$15,3,0)*Z701,"NA")</f>
        <v>0.49860978639635861</v>
      </c>
      <c r="CA701" s="80">
        <f>IFERROR(VLOOKUP($H701,'1. Set Program Names'!$B$2:$D$15,3,0)*AA701,"NA")</f>
        <v>0.62433031464420263</v>
      </c>
      <c r="CB701" s="80">
        <f>IFERROR(VLOOKUP($H701,'1. Set Program Names'!$B$2:$D$15,3,0)*AB701,"NA")</f>
        <v>0.75730912798009642</v>
      </c>
      <c r="CC701" s="80">
        <f>IFERROR(VLOOKUP($H701,'1. Set Program Names'!$B$2:$D$15,3,0)*AC701,"NA")</f>
        <v>0.89679861914602776</v>
      </c>
      <c r="CD701" s="80">
        <f>IFERROR(VLOOKUP($H701,'1. Set Program Names'!$B$2:$D$15,3,0)*AD701,"NA")</f>
        <v>1.0427439256796407</v>
      </c>
      <c r="CE701" s="80">
        <f>IFERROR(VLOOKUP($H701,'1. Set Program Names'!$B$2:$D$15,3,0)*AE701,"NA")</f>
        <v>1.1948044711018966</v>
      </c>
    </row>
    <row r="702" spans="1:83" x14ac:dyDescent="0.25">
      <c r="A702" s="79" t="s">
        <v>115</v>
      </c>
      <c r="B702" s="79" t="s">
        <v>88</v>
      </c>
      <c r="C702" s="79" t="s">
        <v>176</v>
      </c>
      <c r="D702" s="79" t="s">
        <v>90</v>
      </c>
      <c r="E702" s="79" t="s">
        <v>91</v>
      </c>
      <c r="F702" s="79" t="s">
        <v>90</v>
      </c>
      <c r="G702" s="79" t="s">
        <v>92</v>
      </c>
      <c r="H702" s="79" t="s">
        <v>16</v>
      </c>
      <c r="I702" s="79" t="s">
        <v>162</v>
      </c>
      <c r="J702" s="79" t="s">
        <v>161</v>
      </c>
      <c r="K702" s="79" t="s">
        <v>159</v>
      </c>
      <c r="L702" s="79">
        <v>725.58416666666596</v>
      </c>
      <c r="M702" s="79">
        <v>8.6917804178563804E-2</v>
      </c>
      <c r="N702" s="79">
        <v>8.3795205289933394E-2</v>
      </c>
      <c r="O702" s="79">
        <v>179</v>
      </c>
      <c r="P702" s="79">
        <v>33.0790753554421</v>
      </c>
      <c r="Q702" s="79">
        <v>26.4312370090766</v>
      </c>
      <c r="R702" s="79">
        <v>310.45187974046598</v>
      </c>
      <c r="S702" s="79">
        <v>770.62146764617603</v>
      </c>
      <c r="T702" s="79">
        <v>15</v>
      </c>
      <c r="U702" s="79">
        <v>0.59999999999999898</v>
      </c>
      <c r="V702" s="79">
        <f>tbl_Data_old[[#This Row],[2025 ]]*IFERROR(AVERAGEIFS('Participation Adjustment'!$C:$C,'Participation Adjustment'!$A:$A,$H702,'Participation Adjustment'!$B:$B,$I702),1)</f>
        <v>16.813403305506302</v>
      </c>
      <c r="W702" s="79">
        <f>tbl_Data_old[[#This Row],[2026 ]]*IFERROR(AVERAGEIFS('Participation Adjustment'!$C:$C,'Participation Adjustment'!$A:$A,$H702,'Participation Adjustment'!$B:$B,$I702),1)</f>
        <v>35.941461045304052</v>
      </c>
      <c r="X702" s="79">
        <f>tbl_Data_old[[#This Row],[2027 ]]*IFERROR(AVERAGEIFS('Participation Adjustment'!$C:$C,'Participation Adjustment'!$A:$A,$H702,'Participation Adjustment'!$B:$B,$I702),1)</f>
        <v>57.086576828070449</v>
      </c>
      <c r="Y702" s="79">
        <f>tbl_Data_old[[#This Row],[2028 ]]*IFERROR(AVERAGEIFS('Participation Adjustment'!$C:$C,'Participation Adjustment'!$A:$A,$H702,'Participation Adjustment'!$B:$B,$I702),1)</f>
        <v>80.256273602976009</v>
      </c>
      <c r="Z702" s="79">
        <f>tbl_Data_old[[#This Row],[2029 ]]*IFERROR(AVERAGEIFS('Participation Adjustment'!$C:$C,'Participation Adjustment'!$A:$A,$H702,'Participation Adjustment'!$B:$B,$I702),1)</f>
        <v>105.15041421562066</v>
      </c>
      <c r="AA702" s="79">
        <f>tbl_Data_old[[#This Row],[2030 ]]*IFERROR(AVERAGEIFS('Participation Adjustment'!$C:$C,'Participation Adjustment'!$A:$A,$H702,'Participation Adjustment'!$B:$B,$I702),1)</f>
        <v>131.66326250167322</v>
      </c>
      <c r="AB702" s="79">
        <f>tbl_Data_old[[#This Row],[2031 ]]*IFERROR(AVERAGEIFS('Participation Adjustment'!$C:$C,'Participation Adjustment'!$A:$A,$H702,'Participation Adjustment'!$B:$B,$I702),1)</f>
        <v>159.70679009712902</v>
      </c>
      <c r="AC702" s="79">
        <f>tbl_Data_old[[#This Row],[2032 ]]*IFERROR(AVERAGEIFS('Participation Adjustment'!$C:$C,'Participation Adjustment'!$A:$A,$H702,'Participation Adjustment'!$B:$B,$I702),1)</f>
        <v>189.12333621193801</v>
      </c>
      <c r="AD702" s="79">
        <f>tbl_Data_old[[#This Row],[2033 ]]*IFERROR(AVERAGEIFS('Participation Adjustment'!$C:$C,'Participation Adjustment'!$A:$A,$H702,'Participation Adjustment'!$B:$B,$I702),1)</f>
        <v>219.90133105585798</v>
      </c>
      <c r="AE702" s="79">
        <f>tbl_Data_old[[#This Row],[2034 ]]*IFERROR(AVERAGEIFS('Participation Adjustment'!$C:$C,'Participation Adjustment'!$A:$A,$H702,'Participation Adjustment'!$B:$B,$I702),1)</f>
        <v>251.96895141398099</v>
      </c>
      <c r="AF702" s="77" t="str">
        <f t="shared" si="286"/>
        <v>NonResidential</v>
      </c>
      <c r="AG702" s="77" t="str">
        <f>tbl_Data[[#This Row],[All_Meas_Name_Append]]</f>
        <v>LED High Bay_LF Baseline</v>
      </c>
      <c r="AH702" s="77">
        <f>AVERAGEIFS('3. Incentive Adjustment'!G:G,'3. Incentive Adjustment'!A:A,tbl_Data[[#This Row],[Trimmed Sector]],'3. Incentive Adjustment'!B:B,tbl_Data[[#This Row],[Trimmed Measure Name]])</f>
        <v>0.93017466414143679</v>
      </c>
      <c r="AI702" s="77">
        <f>$AH702*tbl_Data[[#This Row],[2025 ]]</f>
        <v>15.639401772773848</v>
      </c>
      <c r="AJ702" s="77">
        <f>$AH702*tbl_Data[[#This Row],[2026 ]]</f>
        <v>33.431836456568227</v>
      </c>
      <c r="AK702" s="77">
        <f>$AH702*tbl_Data[[#This Row],[2027 ]]</f>
        <v>53.100487428034761</v>
      </c>
      <c r="AL702" s="77">
        <f>$AH702*tbl_Data[[#This Row],[2028 ]]</f>
        <v>74.652352343891465</v>
      </c>
      <c r="AM702" s="77">
        <f>$AH702*tbl_Data[[#This Row],[2029 ]]</f>
        <v>97.80825122734791</v>
      </c>
      <c r="AN702" s="77">
        <f>$AH702*tbl_Data[[#This Row],[2030 ]]</f>
        <v>122.46983097725972</v>
      </c>
      <c r="AO702" s="77">
        <f>$AH702*tbl_Data[[#This Row],[2031 ]]</f>
        <v>148.55520983970393</v>
      </c>
      <c r="AP702" s="77">
        <f>$AH702*tbl_Data[[#This Row],[2032 ]]</f>
        <v>175.91773574224746</v>
      </c>
      <c r="AQ702" s="77">
        <f>$AH702*tbl_Data[[#This Row],[2033 ]]</f>
        <v>204.54664675913759</v>
      </c>
      <c r="AR702" s="77">
        <f>$AH702*tbl_Data[[#This Row],[2034 ]]</f>
        <v>234.37513475556977</v>
      </c>
      <c r="AS702" s="77">
        <f>SUM(tbl_Data[[#This Row],[Adjusted 2025]:[Adjusted 2034]])</f>
        <v>1160.4968873025348</v>
      </c>
      <c r="AT702" s="80">
        <f>AVERAGEIFS('3. Incentive Adjustment'!F:F,'3. Incentive Adjustment'!A:A,tbl_Data[[#This Row],[Trimmed Sector]],'3. Incentive Adjustment'!B:B,tbl_Data[[#This Row],[Trimmed Measure Name]])</f>
        <v>23.858858929800434</v>
      </c>
      <c r="AU702" s="80">
        <f>IFERROR(VLOOKUP(tbl_Data[[#This Row],[All_Meas_Name_Append]],'IRA Tax Credits'!$A$3:$D$46,4,0),0)</f>
        <v>0</v>
      </c>
      <c r="AV702" s="81">
        <f>tbl_Data[[#This Row],[Adj. per unit Incentive ($)]]/tbl_Data[[#This Row],[kWh Savings]]*tbl_Data[[#This Row],[Sum of Annuals]]</f>
        <v>38.159779105741762</v>
      </c>
      <c r="AW702" s="81">
        <f>IFERROR(VLOOKUP(tbl_Data[[#This Row],[Column1]],'1. Set Program Names'!$B$2:$D$15,3,0)*tbl_Data[[#This Row],[Sum of Annuals]],"")</f>
        <v>42.27403199480279</v>
      </c>
      <c r="AX702" s="81">
        <f>tbl_Data[[#This Row],[per unit IRA tax ($)]]/tbl_Data[[#This Row],[kWh Savings]]*tbl_Data[[#This Row],[Sum of Annuals]]</f>
        <v>0</v>
      </c>
      <c r="AY702" s="81">
        <f>tbl_Data[[#This Row],[Avoided Costs ($/unit)]]/tbl_Data[[#This Row],[kWh Savings]]*tbl_Data[[#This Row],[Sum of Annuals]]</f>
        <v>496.53569723158512</v>
      </c>
      <c r="AZ702" s="81">
        <f>tbl_Data[[#This Row],[Lost Revenue ($/unit)]]/tbl_Data[[#This Row],[kWh Savings]]*tbl_Data[[#This Row],[Sum of Annuals]]</f>
        <v>1232.5293957285901</v>
      </c>
      <c r="BA702" s="81">
        <f>tbl_Data[[#This Row],[Incremental Cost ($/unit)]]/tbl_Data[[#This Row],[kWh Savings]]*tbl_Data[[#This Row],[Sum of Annuals]]</f>
        <v>286.29200080462147</v>
      </c>
      <c r="BB702" s="77">
        <f>ROUNDUP(tbl_Data[[#This Row],[Adjusted 2025]]/$L702,0)</f>
        <v>1</v>
      </c>
      <c r="BC702" s="77">
        <f>ROUNDUP(tbl_Data[[#This Row],[Adjusted 2026]]/$L702,0)</f>
        <v>1</v>
      </c>
      <c r="BD702" s="77">
        <f>ROUNDUP(tbl_Data[[#This Row],[Adjusted 2027]]/$L702,0)</f>
        <v>1</v>
      </c>
      <c r="BE702" s="77">
        <f>ROUNDUP(tbl_Data[[#This Row],[Adjusted 2028]]/$L702,0)</f>
        <v>1</v>
      </c>
      <c r="BF702" s="77">
        <f>ROUNDUP(tbl_Data[[#This Row],[Adjusted 2029]]/$L702,0)</f>
        <v>1</v>
      </c>
      <c r="BG702" s="77">
        <f>ROUNDUP(tbl_Data[[#This Row],[Adjusted 2030]]/$L702,0)</f>
        <v>1</v>
      </c>
      <c r="BH702" s="77">
        <f>ROUNDUP(tbl_Data[[#This Row],[Adjusted 2031]]/$L702,0)</f>
        <v>1</v>
      </c>
      <c r="BI702" s="77">
        <f>ROUNDUP(tbl_Data[[#This Row],[Adjusted 2032]]/$L702,0)</f>
        <v>1</v>
      </c>
      <c r="BJ702" s="77">
        <f>ROUNDUP(tbl_Data[[#This Row],[Adjusted 2033]]/$L702,0)</f>
        <v>1</v>
      </c>
      <c r="BK702" s="77">
        <f>ROUNDUP(tbl_Data[[#This Row],[Adjusted 2034]]/$L702,0)</f>
        <v>1</v>
      </c>
      <c r="BL702" s="80">
        <f t="shared" si="287"/>
        <v>0.55286297031368825</v>
      </c>
      <c r="BM702" s="80">
        <f t="shared" si="288"/>
        <v>1.1818370469001338</v>
      </c>
      <c r="BN702" s="80">
        <f t="shared" si="289"/>
        <v>1.8771365830421443</v>
      </c>
      <c r="BO702" s="80">
        <f t="shared" si="290"/>
        <v>2.6390089504317178</v>
      </c>
      <c r="BP702" s="80">
        <f t="shared" si="291"/>
        <v>3.4575849562785539</v>
      </c>
      <c r="BQ702" s="80">
        <f t="shared" si="292"/>
        <v>4.3293877548293258</v>
      </c>
      <c r="BR702" s="80">
        <f t="shared" si="293"/>
        <v>5.2515227731108434</v>
      </c>
      <c r="BS702" s="80">
        <f t="shared" si="294"/>
        <v>6.2188057654885212</v>
      </c>
      <c r="BT702" s="80">
        <f t="shared" si="295"/>
        <v>7.2308562909247556</v>
      </c>
      <c r="BU702" s="80">
        <f t="shared" si="296"/>
        <v>8.2853126386338136</v>
      </c>
      <c r="BV702" s="80">
        <f>IFERROR(VLOOKUP($H702,'1. Set Program Names'!$B$2:$D$15,3,0)*V702,"NA")</f>
        <v>0.61247070720768138</v>
      </c>
      <c r="BW702" s="80">
        <f>IFERROR(VLOOKUP($H702,'1. Set Program Names'!$B$2:$D$15,3,0)*W702,"NA")</f>
        <v>1.3092585519128974</v>
      </c>
      <c r="BX702" s="80">
        <f>IFERROR(VLOOKUP($H702,'1. Set Program Names'!$B$2:$D$15,3,0)*X702,"NA")</f>
        <v>2.0795228334589142</v>
      </c>
      <c r="BY702" s="80">
        <f>IFERROR(VLOOKUP($H702,'1. Set Program Names'!$B$2:$D$15,3,0)*Y702,"NA")</f>
        <v>2.9235375942817003</v>
      </c>
      <c r="BZ702" s="80">
        <f>IFERROR(VLOOKUP($H702,'1. Set Program Names'!$B$2:$D$15,3,0)*Z702,"NA")</f>
        <v>3.8303695800082687</v>
      </c>
      <c r="CA702" s="80">
        <f>IFERROR(VLOOKUP($H702,'1. Set Program Names'!$B$2:$D$15,3,0)*AA702,"NA")</f>
        <v>4.7961670836303103</v>
      </c>
      <c r="CB702" s="80">
        <f>IFERROR(VLOOKUP($H702,'1. Set Program Names'!$B$2:$D$15,3,0)*AB702,"NA")</f>
        <v>5.8177234495185868</v>
      </c>
      <c r="CC702" s="80">
        <f>IFERROR(VLOOKUP($H702,'1. Set Program Names'!$B$2:$D$15,3,0)*AC702,"NA")</f>
        <v>6.8892954849460617</v>
      </c>
      <c r="CD702" s="80">
        <f>IFERROR(VLOOKUP($H702,'1. Set Program Names'!$B$2:$D$15,3,0)*AD702,"NA")</f>
        <v>8.010461731063323</v>
      </c>
      <c r="CE702" s="80">
        <f>IFERROR(VLOOKUP($H702,'1. Set Program Names'!$B$2:$D$15,3,0)*AE702,"NA")</f>
        <v>9.1786058457515658</v>
      </c>
    </row>
    <row r="703" spans="1:83" x14ac:dyDescent="0.25">
      <c r="A703" s="79" t="s">
        <v>115</v>
      </c>
      <c r="B703" s="79" t="s">
        <v>88</v>
      </c>
      <c r="C703" s="79" t="s">
        <v>176</v>
      </c>
      <c r="D703" s="79" t="s">
        <v>90</v>
      </c>
      <c r="E703" s="79" t="s">
        <v>91</v>
      </c>
      <c r="F703" s="79" t="s">
        <v>90</v>
      </c>
      <c r="G703" s="79" t="s">
        <v>92</v>
      </c>
      <c r="H703" s="79" t="s">
        <v>16</v>
      </c>
      <c r="I703" s="79" t="s">
        <v>165</v>
      </c>
      <c r="J703" s="79" t="s">
        <v>161</v>
      </c>
      <c r="K703" s="79" t="s">
        <v>166</v>
      </c>
      <c r="L703" s="79">
        <v>565.38999999999896</v>
      </c>
      <c r="M703" s="79">
        <v>6.7728127941350899E-2</v>
      </c>
      <c r="N703" s="79">
        <v>6.5294935157718198E-2</v>
      </c>
      <c r="O703" s="79">
        <v>129</v>
      </c>
      <c r="P703" s="79">
        <v>15.293574707506</v>
      </c>
      <c r="Q703" s="79">
        <v>20.595759636286299</v>
      </c>
      <c r="R703" s="79">
        <v>190.6779313312</v>
      </c>
      <c r="S703" s="79">
        <v>454.767236260907</v>
      </c>
      <c r="T703" s="79">
        <v>10</v>
      </c>
      <c r="U703" s="79">
        <v>0.59999999999999898</v>
      </c>
      <c r="V703" s="79">
        <f>tbl_Data_old[[#This Row],[2025 ]]*IFERROR(AVERAGEIFS('Participation Adjustment'!$C:$C,'Participation Adjustment'!$A:$A,$H703,'Participation Adjustment'!$B:$B,$I703),1)</f>
        <v>0.134120180266667</v>
      </c>
      <c r="W703" s="79">
        <f>tbl_Data_old[[#This Row],[2026 ]]*IFERROR(AVERAGEIFS('Participation Adjustment'!$C:$C,'Participation Adjustment'!$A:$A,$H703,'Participation Adjustment'!$B:$B,$I703),1)</f>
        <v>0.31930851489670897</v>
      </c>
      <c r="X703" s="79">
        <f>tbl_Data_old[[#This Row],[2027 ]]*IFERROR(AVERAGEIFS('Participation Adjustment'!$C:$C,'Participation Adjustment'!$A:$A,$H703,'Participation Adjustment'!$B:$B,$I703),1)</f>
        <v>0.56705429177509803</v>
      </c>
      <c r="Y703" s="79">
        <f>tbl_Data_old[[#This Row],[2028 ]]*IFERROR(AVERAGEIFS('Participation Adjustment'!$C:$C,'Participation Adjustment'!$A:$A,$H703,'Participation Adjustment'!$B:$B,$I703),1)</f>
        <v>0.890230407147516</v>
      </c>
      <c r="Z703" s="79">
        <f>tbl_Data_old[[#This Row],[2029 ]]*IFERROR(AVERAGEIFS('Participation Adjustment'!$C:$C,'Participation Adjustment'!$A:$A,$H703,'Participation Adjustment'!$B:$B,$I703),1)</f>
        <v>1.2936902743818</v>
      </c>
      <c r="AA703" s="79">
        <f>tbl_Data_old[[#This Row],[2030 ]]*IFERROR(AVERAGEIFS('Participation Adjustment'!$C:$C,'Participation Adjustment'!$A:$A,$H703,'Participation Adjustment'!$B:$B,$I703),1)</f>
        <v>1.772605360227</v>
      </c>
      <c r="AB703" s="79">
        <f>tbl_Data_old[[#This Row],[2031 ]]*IFERROR(AVERAGEIFS('Participation Adjustment'!$C:$C,'Participation Adjustment'!$A:$A,$H703,'Participation Adjustment'!$B:$B,$I703),1)</f>
        <v>2.30635200248906</v>
      </c>
      <c r="AC703" s="79">
        <f>tbl_Data_old[[#This Row],[2032 ]]*IFERROR(AVERAGEIFS('Participation Adjustment'!$C:$C,'Participation Adjustment'!$A:$A,$H703,'Participation Adjustment'!$B:$B,$I703),1)</f>
        <v>2.8568371034730098</v>
      </c>
      <c r="AD703" s="79">
        <f>tbl_Data_old[[#This Row],[2033 ]]*IFERROR(AVERAGEIFS('Participation Adjustment'!$C:$C,'Participation Adjustment'!$A:$A,$H703,'Participation Adjustment'!$B:$B,$I703),1)</f>
        <v>3.37804505031181</v>
      </c>
      <c r="AE703" s="79">
        <f>tbl_Data_old[[#This Row],[2034 ]]*IFERROR(AVERAGEIFS('Participation Adjustment'!$C:$C,'Participation Adjustment'!$A:$A,$H703,'Participation Adjustment'!$B:$B,$I703),1)</f>
        <v>3.8290882016164902</v>
      </c>
      <c r="AF703" s="77" t="str">
        <f t="shared" si="286"/>
        <v>NonResidential</v>
      </c>
      <c r="AG703" s="77" t="str">
        <f>tbl_Data[[#This Row],[All_Meas_Name_Append]]</f>
        <v>Occupancy Sensors_ Ceiling Mounted</v>
      </c>
      <c r="AH703" s="77">
        <f>AVERAGEIFS('3. Incentive Adjustment'!G:G,'3. Incentive Adjustment'!A:A,tbl_Data[[#This Row],[Trimmed Sector]],'3. Incentive Adjustment'!B:B,tbl_Data[[#This Row],[Trimmed Measure Name]])</f>
        <v>0.99348124042467356</v>
      </c>
      <c r="AI703" s="77">
        <f>$AH703*tbl_Data[[#This Row],[2025 ]]</f>
        <v>0.13324588305730917</v>
      </c>
      <c r="AJ703" s="77">
        <f>$AH703*tbl_Data[[#This Row],[2026 ]]</f>
        <v>0.31722701945774279</v>
      </c>
      <c r="AK703" s="77">
        <f>$AH703*tbl_Data[[#This Row],[2027 ]]</f>
        <v>0.56335780118085921</v>
      </c>
      <c r="AL703" s="77">
        <f>$AH703*tbl_Data[[#This Row],[2028 ]]</f>
        <v>0.88442720915667639</v>
      </c>
      <c r="AM703" s="77">
        <f>$AH703*tbl_Data[[#This Row],[2029 ]]</f>
        <v>1.2852570185181669</v>
      </c>
      <c r="AN703" s="77">
        <f>$AH703*tbl_Data[[#This Row],[2030 ]]</f>
        <v>1.7610501720617453</v>
      </c>
      <c r="AO703" s="77">
        <f>$AH703*tbl_Data[[#This Row],[2031 ]]</f>
        <v>2.291317448288761</v>
      </c>
      <c r="AP703" s="77">
        <f>$AH703*tbl_Data[[#This Row],[2032 ]]</f>
        <v>2.8382140692495974</v>
      </c>
      <c r="AQ703" s="77">
        <f>$AH703*tbl_Data[[#This Row],[2033 ]]</f>
        <v>3.3560243867942057</v>
      </c>
      <c r="AR703" s="77">
        <f>$AH703*tbl_Data[[#This Row],[2034 ]]</f>
        <v>3.8041272962374331</v>
      </c>
      <c r="AS703" s="77">
        <f>SUM(tbl_Data[[#This Row],[Adjusted 2025]:[Adjusted 2034]])</f>
        <v>17.234248304002495</v>
      </c>
      <c r="AT703" s="80">
        <f>AVERAGEIFS('3. Incentive Adjustment'!F:F,'3. Incentive Adjustment'!A:A,tbl_Data[[#This Row],[Trimmed Sector]],'3. Incentive Adjustment'!B:B,tbl_Data[[#This Row],[Trimmed Measure Name]])</f>
        <v>19.547634357270656</v>
      </c>
      <c r="AU703" s="80">
        <f>IFERROR(VLOOKUP(tbl_Data[[#This Row],[All_Meas_Name_Append]],'IRA Tax Credits'!$A$3:$D$46,4,0),0)</f>
        <v>0</v>
      </c>
      <c r="AV703" s="81">
        <f>tbl_Data[[#This Row],[Adj. per unit Incentive ($)]]/tbl_Data[[#This Row],[kWh Savings]]*tbl_Data[[#This Row],[Sum of Annuals]]</f>
        <v>0.5958520388918328</v>
      </c>
      <c r="AW703" s="81">
        <f>IFERROR(VLOOKUP(tbl_Data[[#This Row],[Column1]],'1. Set Program Names'!$B$2:$D$15,3,0)*tbl_Data[[#This Row],[Sum of Annuals]],"")</f>
        <v>0.62780104986170937</v>
      </c>
      <c r="AX703" s="81">
        <f>tbl_Data[[#This Row],[per unit IRA tax ($)]]/tbl_Data[[#This Row],[kWh Savings]]*tbl_Data[[#This Row],[Sum of Annuals]]</f>
        <v>0</v>
      </c>
      <c r="AY703" s="81">
        <f>tbl_Data[[#This Row],[Avoided Costs ($/unit)]]/tbl_Data[[#This Row],[kWh Savings]]*tbl_Data[[#This Row],[Sum of Annuals]]</f>
        <v>5.8122549296157411</v>
      </c>
      <c r="AZ703" s="81">
        <f>tbl_Data[[#This Row],[Lost Revenue ($/unit)]]/tbl_Data[[#This Row],[kWh Savings]]*tbl_Data[[#This Row],[Sum of Annuals]]</f>
        <v>13.86223928659059</v>
      </c>
      <c r="BA703" s="81">
        <f>tbl_Data[[#This Row],[Incremental Cost ($/unit)]]/tbl_Data[[#This Row],[kWh Savings]]*tbl_Data[[#This Row],[Sum of Annuals]]</f>
        <v>3.9321849187575406</v>
      </c>
      <c r="BB703" s="77">
        <f>ROUNDUP(tbl_Data[[#This Row],[Adjusted 2025]]/$L703,0)</f>
        <v>1</v>
      </c>
      <c r="BC703" s="77">
        <f>ROUNDUP(tbl_Data[[#This Row],[Adjusted 2026]]/$L703,0)</f>
        <v>1</v>
      </c>
      <c r="BD703" s="77">
        <f>ROUNDUP(tbl_Data[[#This Row],[Adjusted 2027]]/$L703,0)</f>
        <v>1</v>
      </c>
      <c r="BE703" s="77">
        <f>ROUNDUP(tbl_Data[[#This Row],[Adjusted 2028]]/$L703,0)</f>
        <v>1</v>
      </c>
      <c r="BF703" s="77">
        <f>ROUNDUP(tbl_Data[[#This Row],[Adjusted 2029]]/$L703,0)</f>
        <v>1</v>
      </c>
      <c r="BG703" s="77">
        <f>ROUNDUP(tbl_Data[[#This Row],[Adjusted 2030]]/$L703,0)</f>
        <v>1</v>
      </c>
      <c r="BH703" s="77">
        <f>ROUNDUP(tbl_Data[[#This Row],[Adjusted 2031]]/$L703,0)</f>
        <v>1</v>
      </c>
      <c r="BI703" s="77">
        <f>ROUNDUP(tbl_Data[[#This Row],[Adjusted 2032]]/$L703,0)</f>
        <v>1</v>
      </c>
      <c r="BJ703" s="77">
        <f>ROUNDUP(tbl_Data[[#This Row],[Adjusted 2033]]/$L703,0)</f>
        <v>1</v>
      </c>
      <c r="BK703" s="77">
        <f>ROUNDUP(tbl_Data[[#This Row],[Adjusted 2034]]/$L703,0)</f>
        <v>1</v>
      </c>
      <c r="BL703" s="80">
        <f t="shared" si="287"/>
        <v>4.6370332757637005E-3</v>
      </c>
      <c r="BM703" s="80">
        <f t="shared" si="288"/>
        <v>1.1039682513599443E-2</v>
      </c>
      <c r="BN703" s="80">
        <f t="shared" si="289"/>
        <v>1.9605175111587939E-2</v>
      </c>
      <c r="BO703" s="80">
        <f t="shared" si="290"/>
        <v>3.0778574952941968E-2</v>
      </c>
      <c r="BP703" s="80">
        <f t="shared" si="291"/>
        <v>4.4727682582239907E-2</v>
      </c>
      <c r="BQ703" s="80">
        <f t="shared" si="292"/>
        <v>6.1285557653045677E-2</v>
      </c>
      <c r="BR703" s="80">
        <f t="shared" si="293"/>
        <v>7.9739163486823625E-2</v>
      </c>
      <c r="BS703" s="80">
        <f t="shared" si="294"/>
        <v>9.8771480070349124E-2</v>
      </c>
      <c r="BT703" s="80">
        <f t="shared" si="295"/>
        <v>0.11679157658586699</v>
      </c>
      <c r="BU703" s="80">
        <f t="shared" si="296"/>
        <v>0.13238581525484772</v>
      </c>
      <c r="BV703" s="80">
        <f>IFERROR(VLOOKUP($H703,'1. Set Program Names'!$B$2:$D$15,3,0)*V703,"NA")</f>
        <v>4.8856665224847901E-3</v>
      </c>
      <c r="BW703" s="80">
        <f>IFERROR(VLOOKUP($H703,'1. Set Program Names'!$B$2:$D$15,3,0)*W703,"NA")</f>
        <v>1.1631619630046856E-2</v>
      </c>
      <c r="BX703" s="80">
        <f>IFERROR(VLOOKUP($H703,'1. Set Program Names'!$B$2:$D$15,3,0)*X703,"NA")</f>
        <v>2.0656385670288709E-2</v>
      </c>
      <c r="BY703" s="80">
        <f>IFERROR(VLOOKUP($H703,'1. Set Program Names'!$B$2:$D$15,3,0)*Y703,"NA")</f>
        <v>3.2428892422086728E-2</v>
      </c>
      <c r="BZ703" s="80">
        <f>IFERROR(VLOOKUP($H703,'1. Set Program Names'!$B$2:$D$15,3,0)*Z703,"NA")</f>
        <v>4.7125937733191153E-2</v>
      </c>
      <c r="CA703" s="80">
        <f>IFERROR(VLOOKUP($H703,'1. Set Program Names'!$B$2:$D$15,3,0)*AA703,"NA")</f>
        <v>6.4571630076987838E-2</v>
      </c>
      <c r="CB703" s="80">
        <f>IFERROR(VLOOKUP($H703,'1. Set Program Names'!$B$2:$D$15,3,0)*AB703,"NA")</f>
        <v>8.4014700436747164E-2</v>
      </c>
      <c r="CC703" s="80">
        <f>IFERROR(VLOOKUP($H703,'1. Set Program Names'!$B$2:$D$15,3,0)*AC703,"NA")</f>
        <v>0.10406751145785167</v>
      </c>
      <c r="CD703" s="80">
        <f>IFERROR(VLOOKUP($H703,'1. Set Program Names'!$B$2:$D$15,3,0)*AD703,"NA")</f>
        <v>0.12305382814830298</v>
      </c>
      <c r="CE703" s="80">
        <f>IFERROR(VLOOKUP($H703,'1. Set Program Names'!$B$2:$D$15,3,0)*AE703,"NA")</f>
        <v>0.13948421483689732</v>
      </c>
    </row>
    <row r="704" spans="1:83" x14ac:dyDescent="0.25">
      <c r="A704" s="79" t="s">
        <v>116</v>
      </c>
      <c r="B704" s="79" t="s">
        <v>88</v>
      </c>
      <c r="C704" s="79" t="s">
        <v>176</v>
      </c>
      <c r="D704" s="79" t="s">
        <v>90</v>
      </c>
      <c r="E704" s="79" t="s">
        <v>91</v>
      </c>
      <c r="F704" s="79" t="s">
        <v>90</v>
      </c>
      <c r="G704" s="79" t="s">
        <v>92</v>
      </c>
      <c r="H704" s="79" t="s">
        <v>16</v>
      </c>
      <c r="I704" s="79" t="s">
        <v>157</v>
      </c>
      <c r="J704" s="79" t="s">
        <v>158</v>
      </c>
      <c r="K704" s="79" t="s">
        <v>159</v>
      </c>
      <c r="L704" s="79">
        <v>562.52</v>
      </c>
      <c r="M704" s="79">
        <v>6.7473359330379998E-2</v>
      </c>
      <c r="N704" s="79">
        <v>6.4973258375617293E-2</v>
      </c>
      <c r="O704" s="79">
        <v>169</v>
      </c>
      <c r="P704" s="79">
        <v>55.847956108163899</v>
      </c>
      <c r="Q704" s="79">
        <v>20.491212633056499</v>
      </c>
      <c r="R704" s="79">
        <v>240.47921618074301</v>
      </c>
      <c r="S704" s="79">
        <v>597.43584258705596</v>
      </c>
      <c r="T704" s="79">
        <v>15</v>
      </c>
      <c r="U704" s="79">
        <v>0.59999999999999898</v>
      </c>
      <c r="V704" s="79">
        <f>tbl_Data_old[[#This Row],[2025 ]]*IFERROR(AVERAGEIFS('Participation Adjustment'!$C:$C,'Participation Adjustment'!$A:$A,$H704,'Participation Adjustment'!$B:$B,$I704),1)</f>
        <v>2.10776299292821</v>
      </c>
      <c r="W704" s="79">
        <f>tbl_Data_old[[#This Row],[2026 ]]*IFERROR(AVERAGEIFS('Participation Adjustment'!$C:$C,'Participation Adjustment'!$A:$A,$H704,'Participation Adjustment'!$B:$B,$I704),1)</f>
        <v>2.3979328573731102</v>
      </c>
      <c r="X704" s="79">
        <f>tbl_Data_old[[#This Row],[2027 ]]*IFERROR(AVERAGEIFS('Participation Adjustment'!$C:$C,'Participation Adjustment'!$A:$A,$H704,'Participation Adjustment'!$B:$B,$I704),1)</f>
        <v>2.6507954230480402</v>
      </c>
      <c r="Y704" s="79">
        <f>tbl_Data_old[[#This Row],[2028 ]]*IFERROR(AVERAGEIFS('Participation Adjustment'!$C:$C,'Participation Adjustment'!$A:$A,$H704,'Participation Adjustment'!$B:$B,$I704),1)</f>
        <v>2.90460108118147</v>
      </c>
      <c r="Z704" s="79">
        <f>tbl_Data_old[[#This Row],[2029 ]]*IFERROR(AVERAGEIFS('Participation Adjustment'!$C:$C,'Participation Adjustment'!$A:$A,$H704,'Participation Adjustment'!$B:$B,$I704),1)</f>
        <v>3.1207809252335799</v>
      </c>
      <c r="AA704" s="79">
        <f>tbl_Data_old[[#This Row],[2030 ]]*IFERROR(AVERAGEIFS('Participation Adjustment'!$C:$C,'Participation Adjustment'!$A:$A,$H704,'Participation Adjustment'!$B:$B,$I704),1)</f>
        <v>3.3237054651606499</v>
      </c>
      <c r="AB704" s="79">
        <f>tbl_Data_old[[#This Row],[2031 ]]*IFERROR(AVERAGEIFS('Participation Adjustment'!$C:$C,'Participation Adjustment'!$A:$A,$H704,'Participation Adjustment'!$B:$B,$I704),1)</f>
        <v>3.5155945874150003</v>
      </c>
      <c r="AC704" s="79">
        <f>tbl_Data_old[[#This Row],[2032 ]]*IFERROR(AVERAGEIFS('Participation Adjustment'!$C:$C,'Participation Adjustment'!$A:$A,$H704,'Participation Adjustment'!$B:$B,$I704),1)</f>
        <v>3.6877190271320996</v>
      </c>
      <c r="AD704" s="79">
        <f>tbl_Data_old[[#This Row],[2033 ]]*IFERROR(AVERAGEIFS('Participation Adjustment'!$C:$C,'Participation Adjustment'!$A:$A,$H704,'Participation Adjustment'!$B:$B,$I704),1)</f>
        <v>3.8583930540287299</v>
      </c>
      <c r="AE704" s="79">
        <f>tbl_Data_old[[#This Row],[2034 ]]*IFERROR(AVERAGEIFS('Participation Adjustment'!$C:$C,'Participation Adjustment'!$A:$A,$H704,'Participation Adjustment'!$B:$B,$I704),1)</f>
        <v>4.0200631742406596</v>
      </c>
      <c r="AF704" s="77" t="str">
        <f t="shared" si="286"/>
        <v>NonResidential</v>
      </c>
      <c r="AG704" s="77" t="str">
        <f>tbl_Data[[#This Row],[All_Meas_Name_Append]]</f>
        <v>LED Exterior Wall Packs</v>
      </c>
      <c r="AH704" s="77">
        <f>AVERAGEIFS('3. Incentive Adjustment'!G:G,'3. Incentive Adjustment'!A:A,tbl_Data[[#This Row],[Trimmed Sector]],'3. Incentive Adjustment'!B:B,tbl_Data[[#This Row],[Trimmed Measure Name]])</f>
        <v>0.80637708305213962</v>
      </c>
      <c r="AI704" s="77">
        <f>$AH704*tbl_Data[[#This Row],[2025 ]]</f>
        <v>1.6996517740026975</v>
      </c>
      <c r="AJ704" s="77">
        <f>$AH704*tbl_Data[[#This Row],[2026 ]]</f>
        <v>1.9336381028834111</v>
      </c>
      <c r="AK704" s="77">
        <f>$AH704*tbl_Data[[#This Row],[2027 ]]</f>
        <v>2.1375406810054409</v>
      </c>
      <c r="AL704" s="77">
        <f>$AH704*tbl_Data[[#This Row],[2028 ]]</f>
        <v>2.3422037472732047</v>
      </c>
      <c r="AM704" s="77">
        <f>$AH704*tbl_Data[[#This Row],[2029 ]]</f>
        <v>2.5165262193346116</v>
      </c>
      <c r="AN704" s="77">
        <f>$AH704*tbl_Data[[#This Row],[2030 ]]</f>
        <v>2.6801599179206996</v>
      </c>
      <c r="AO704" s="77">
        <f>$AH704*tbl_Data[[#This Row],[2031 ]]</f>
        <v>2.8348949085935984</v>
      </c>
      <c r="AP704" s="77">
        <f>$AH704*tbl_Data[[#This Row],[2032 ]]</f>
        <v>2.9736921122146565</v>
      </c>
      <c r="AQ704" s="77">
        <f>$AH704*tbl_Data[[#This Row],[2033 ]]</f>
        <v>3.1113197361763238</v>
      </c>
      <c r="AR704" s="77">
        <f>$AH704*tbl_Data[[#This Row],[2034 ]]</f>
        <v>3.2416868161295085</v>
      </c>
      <c r="AS704" s="77">
        <f>SUM(tbl_Data[[#This Row],[Adjusted 2025]:[Adjusted 2034]])</f>
        <v>25.471314015534151</v>
      </c>
      <c r="AT704" s="80">
        <f>AVERAGEIFS('3. Incentive Adjustment'!F:F,'3. Incentive Adjustment'!A:A,tbl_Data[[#This Row],[Trimmed Sector]],'3. Incentive Adjustment'!B:B,tbl_Data[[#This Row],[Trimmed Measure Name]])</f>
        <v>8.6864493556481861</v>
      </c>
      <c r="AU704" s="80">
        <f>IFERROR(VLOOKUP(tbl_Data[[#This Row],[All_Meas_Name_Append]],'IRA Tax Credits'!$A$3:$D$46,4,0),0)</f>
        <v>0</v>
      </c>
      <c r="AV704" s="81">
        <f>tbl_Data[[#This Row],[Adj. per unit Incentive ($)]]/tbl_Data[[#This Row],[kWh Savings]]*tbl_Data[[#This Row],[Sum of Annuals]]</f>
        <v>0.39332873358769332</v>
      </c>
      <c r="AW704" s="81">
        <f>IFERROR(VLOOKUP(tbl_Data[[#This Row],[Column1]],'1. Set Program Names'!$B$2:$D$15,3,0)*tbl_Data[[#This Row],[Sum of Annuals]],"")</f>
        <v>0.92785698559280183</v>
      </c>
      <c r="AX704" s="81">
        <f>tbl_Data[[#This Row],[per unit IRA tax ($)]]/tbl_Data[[#This Row],[kWh Savings]]*tbl_Data[[#This Row],[Sum of Annuals]]</f>
        <v>0</v>
      </c>
      <c r="AY704" s="81">
        <f>tbl_Data[[#This Row],[Avoided Costs ($/unit)]]/tbl_Data[[#This Row],[kWh Savings]]*tbl_Data[[#This Row],[Sum of Annuals]]</f>
        <v>10.88907350769613</v>
      </c>
      <c r="AZ704" s="81">
        <f>tbl_Data[[#This Row],[Lost Revenue ($/unit)]]/tbl_Data[[#This Row],[kWh Savings]]*tbl_Data[[#This Row],[Sum of Annuals]]</f>
        <v>27.052328718392474</v>
      </c>
      <c r="BA704" s="81">
        <f>tbl_Data[[#This Row],[Incremental Cost ($/unit)]]/tbl_Data[[#This Row],[kWh Savings]]*tbl_Data[[#This Row],[Sum of Annuals]]</f>
        <v>7.652442701815529</v>
      </c>
      <c r="BB704" s="77">
        <f>ROUNDUP(tbl_Data[[#This Row],[Adjusted 2025]]/$L704,0)</f>
        <v>1</v>
      </c>
      <c r="BC704" s="77">
        <f>ROUNDUP(tbl_Data[[#This Row],[Adjusted 2026]]/$L704,0)</f>
        <v>1</v>
      </c>
      <c r="BD704" s="77">
        <f>ROUNDUP(tbl_Data[[#This Row],[Adjusted 2027]]/$L704,0)</f>
        <v>1</v>
      </c>
      <c r="BE704" s="77">
        <f>ROUNDUP(tbl_Data[[#This Row],[Adjusted 2028]]/$L704,0)</f>
        <v>1</v>
      </c>
      <c r="BF704" s="77">
        <f>ROUNDUP(tbl_Data[[#This Row],[Adjusted 2029]]/$L704,0)</f>
        <v>1</v>
      </c>
      <c r="BG704" s="77">
        <f>ROUNDUP(tbl_Data[[#This Row],[Adjusted 2030]]/$L704,0)</f>
        <v>1</v>
      </c>
      <c r="BH704" s="77">
        <f>ROUNDUP(tbl_Data[[#This Row],[Adjusted 2031]]/$L704,0)</f>
        <v>1</v>
      </c>
      <c r="BI704" s="77">
        <f>ROUNDUP(tbl_Data[[#This Row],[Adjusted 2032]]/$L704,0)</f>
        <v>1</v>
      </c>
      <c r="BJ704" s="77">
        <f>ROUNDUP(tbl_Data[[#This Row],[Adjusted 2033]]/$L704,0)</f>
        <v>1</v>
      </c>
      <c r="BK704" s="77">
        <f>ROUNDUP(tbl_Data[[#This Row],[Adjusted 2034]]/$L704,0)</f>
        <v>1</v>
      </c>
      <c r="BL704" s="80">
        <f t="shared" si="287"/>
        <v>3.2548134273946421E-2</v>
      </c>
      <c r="BM704" s="80">
        <f t="shared" si="288"/>
        <v>3.7028945324284059E-2</v>
      </c>
      <c r="BN704" s="80">
        <f t="shared" si="289"/>
        <v>4.0933656037991199E-2</v>
      </c>
      <c r="BO704" s="80">
        <f t="shared" si="290"/>
        <v>4.4852930011455246E-2</v>
      </c>
      <c r="BP704" s="80">
        <f t="shared" si="291"/>
        <v>4.8191185126065524E-2</v>
      </c>
      <c r="BQ704" s="80">
        <f t="shared" si="292"/>
        <v>5.1324751468763925E-2</v>
      </c>
      <c r="BR704" s="80">
        <f t="shared" si="293"/>
        <v>5.4287908587376948E-2</v>
      </c>
      <c r="BS704" s="80">
        <f t="shared" si="294"/>
        <v>5.694585893309248E-2</v>
      </c>
      <c r="BT704" s="80">
        <f t="shared" si="295"/>
        <v>5.9581411964028476E-2</v>
      </c>
      <c r="BU704" s="80">
        <f t="shared" si="296"/>
        <v>6.2077926419590021E-2</v>
      </c>
      <c r="BV704" s="80">
        <f>IFERROR(VLOOKUP($H704,'1. Set Program Names'!$B$2:$D$15,3,0)*V704,"NA")</f>
        <v>7.6780593877870201E-2</v>
      </c>
      <c r="BW704" s="80">
        <f>IFERROR(VLOOKUP($H704,'1. Set Program Names'!$B$2:$D$15,3,0)*W704,"NA")</f>
        <v>8.7350764524328356E-2</v>
      </c>
      <c r="BX704" s="80">
        <f>IFERROR(VLOOKUP($H704,'1. Set Program Names'!$B$2:$D$15,3,0)*X704,"NA")</f>
        <v>9.6561922527928584E-2</v>
      </c>
      <c r="BY704" s="80">
        <f>IFERROR(VLOOKUP($H704,'1. Set Program Names'!$B$2:$D$15,3,0)*Y704,"NA")</f>
        <v>0.10580743505776746</v>
      </c>
      <c r="BZ704" s="80">
        <f>IFERROR(VLOOKUP($H704,'1. Set Program Names'!$B$2:$D$15,3,0)*Z704,"NA")</f>
        <v>0.1136823322195622</v>
      </c>
      <c r="CA704" s="80">
        <f>IFERROR(VLOOKUP($H704,'1. Set Program Names'!$B$2:$D$15,3,0)*AA704,"NA")</f>
        <v>0.12107437142903166</v>
      </c>
      <c r="CB704" s="80">
        <f>IFERROR(VLOOKUP($H704,'1. Set Program Names'!$B$2:$D$15,3,0)*AB704,"NA")</f>
        <v>0.12806441766042695</v>
      </c>
      <c r="CC704" s="80">
        <f>IFERROR(VLOOKUP($H704,'1. Set Program Names'!$B$2:$D$15,3,0)*AC704,"NA")</f>
        <v>0.13433448537995477</v>
      </c>
      <c r="CD704" s="80">
        <f>IFERROR(VLOOKUP($H704,'1. Set Program Names'!$B$2:$D$15,3,0)*AD704,"NA")</f>
        <v>0.14055171814692993</v>
      </c>
      <c r="CE704" s="80">
        <f>IFERROR(VLOOKUP($H704,'1. Set Program Names'!$B$2:$D$15,3,0)*AE704,"NA")</f>
        <v>0.14644096085772146</v>
      </c>
    </row>
    <row r="705" spans="1:83" x14ac:dyDescent="0.25">
      <c r="A705" s="79" t="s">
        <v>116</v>
      </c>
      <c r="B705" s="79" t="s">
        <v>88</v>
      </c>
      <c r="C705" s="79" t="s">
        <v>176</v>
      </c>
      <c r="D705" s="79" t="s">
        <v>90</v>
      </c>
      <c r="E705" s="79" t="s">
        <v>91</v>
      </c>
      <c r="F705" s="79" t="s">
        <v>90</v>
      </c>
      <c r="G705" s="79" t="s">
        <v>92</v>
      </c>
      <c r="H705" s="79" t="s">
        <v>16</v>
      </c>
      <c r="I705" s="79" t="s">
        <v>162</v>
      </c>
      <c r="J705" s="79" t="s">
        <v>161</v>
      </c>
      <c r="K705" s="79" t="s">
        <v>159</v>
      </c>
      <c r="L705" s="79">
        <v>725.58416666666596</v>
      </c>
      <c r="M705" s="79">
        <v>8.6917804178563804E-2</v>
      </c>
      <c r="N705" s="79">
        <v>8.3795205289933394E-2</v>
      </c>
      <c r="O705" s="79">
        <v>179</v>
      </c>
      <c r="P705" s="79">
        <v>33.0790753554421</v>
      </c>
      <c r="Q705" s="79">
        <v>26.4312370090766</v>
      </c>
      <c r="R705" s="79">
        <v>310.45187974046598</v>
      </c>
      <c r="S705" s="79">
        <v>770.62146764617603</v>
      </c>
      <c r="T705" s="79">
        <v>15</v>
      </c>
      <c r="U705" s="79">
        <v>0.59999999999999898</v>
      </c>
      <c r="V705" s="79">
        <f>tbl_Data_old[[#This Row],[2025 ]]*IFERROR(AVERAGEIFS('Participation Adjustment'!$C:$C,'Participation Adjustment'!$A:$A,$H705,'Participation Adjustment'!$B:$B,$I705),1)</f>
        <v>16.239774967671149</v>
      </c>
      <c r="W705" s="79">
        <f>tbl_Data_old[[#This Row],[2026 ]]*IFERROR(AVERAGEIFS('Participation Adjustment'!$C:$C,'Participation Adjustment'!$A:$A,$H705,'Participation Adjustment'!$B:$B,$I705),1)</f>
        <v>18.475459585341749</v>
      </c>
      <c r="X705" s="79">
        <f>tbl_Data_old[[#This Row],[2027 ]]*IFERROR(AVERAGEIFS('Participation Adjustment'!$C:$C,'Participation Adjustment'!$A:$A,$H705,'Participation Adjustment'!$B:$B,$I705),1)</f>
        <v>20.4237010043658</v>
      </c>
      <c r="Y705" s="79">
        <f>tbl_Data_old[[#This Row],[2028 ]]*IFERROR(AVERAGEIFS('Participation Adjustment'!$C:$C,'Participation Adjustment'!$A:$A,$H705,'Participation Adjustment'!$B:$B,$I705),1)</f>
        <v>22.379208709661551</v>
      </c>
      <c r="Z705" s="79">
        <f>tbl_Data_old[[#This Row],[2029 ]]*IFERROR(AVERAGEIFS('Participation Adjustment'!$C:$C,'Participation Adjustment'!$A:$A,$H705,'Participation Adjustment'!$B:$B,$I705),1)</f>
        <v>24.044819137272</v>
      </c>
      <c r="AA705" s="79">
        <f>tbl_Data_old[[#This Row],[2030 ]]*IFERROR(AVERAGEIFS('Participation Adjustment'!$C:$C,'Participation Adjustment'!$A:$A,$H705,'Participation Adjustment'!$B:$B,$I705),1)</f>
        <v>25.6083008355894</v>
      </c>
      <c r="AB705" s="79">
        <f>tbl_Data_old[[#This Row],[2031 ]]*IFERROR(AVERAGEIFS('Participation Adjustment'!$C:$C,'Participation Adjustment'!$A:$A,$H705,'Participation Adjustment'!$B:$B,$I705),1)</f>
        <v>27.086757462169349</v>
      </c>
      <c r="AC705" s="79">
        <f>tbl_Data_old[[#This Row],[2032 ]]*IFERROR(AVERAGEIFS('Participation Adjustment'!$C:$C,'Participation Adjustment'!$A:$A,$H705,'Participation Adjustment'!$B:$B,$I705),1)</f>
        <v>28.412932263046049</v>
      </c>
      <c r="AD705" s="79">
        <f>tbl_Data_old[[#This Row],[2033 ]]*IFERROR(AVERAGEIFS('Participation Adjustment'!$C:$C,'Participation Adjustment'!$A:$A,$H705,'Participation Adjustment'!$B:$B,$I705),1)</f>
        <v>29.727932003969102</v>
      </c>
      <c r="AE705" s="79">
        <f>tbl_Data_old[[#This Row],[2034 ]]*IFERROR(AVERAGEIFS('Participation Adjustment'!$C:$C,'Participation Adjustment'!$A:$A,$H705,'Participation Adjustment'!$B:$B,$I705),1)</f>
        <v>30.973558945919848</v>
      </c>
      <c r="AF705" s="77" t="str">
        <f t="shared" si="286"/>
        <v>NonResidential</v>
      </c>
      <c r="AG705" s="77" t="str">
        <f>tbl_Data[[#This Row],[All_Meas_Name_Append]]</f>
        <v>LED High Bay_LF Baseline</v>
      </c>
      <c r="AH705" s="77">
        <f>AVERAGEIFS('3. Incentive Adjustment'!G:G,'3. Incentive Adjustment'!A:A,tbl_Data[[#This Row],[Trimmed Sector]],'3. Incentive Adjustment'!B:B,tbl_Data[[#This Row],[Trimmed Measure Name]])</f>
        <v>0.93017466414143679</v>
      </c>
      <c r="AI705" s="77">
        <f>$AH705*tbl_Data[[#This Row],[2025 ]]</f>
        <v>15.105827226286024</v>
      </c>
      <c r="AJ705" s="77">
        <f>$AH705*tbl_Data[[#This Row],[2026 ]]</f>
        <v>17.185404414653952</v>
      </c>
      <c r="AK705" s="77">
        <f>$AH705*tbl_Data[[#This Row],[2027 ]]</f>
        <v>18.997609222261083</v>
      </c>
      <c r="AL705" s="77">
        <f>$AH705*tbl_Data[[#This Row],[2028 ]]</f>
        <v>20.81657294526055</v>
      </c>
      <c r="AM705" s="77">
        <f>$AH705*tbl_Data[[#This Row],[2029 ]]</f>
        <v>22.365881565353575</v>
      </c>
      <c r="AN705" s="77">
        <f>$AH705*tbl_Data[[#This Row],[2030 ]]</f>
        <v>23.820192628977246</v>
      </c>
      <c r="AO705" s="77">
        <f>$AH705*tbl_Data[[#This Row],[2031 ]]</f>
        <v>25.195415525053932</v>
      </c>
      <c r="AP705" s="77">
        <f>$AH705*tbl_Data[[#This Row],[2032 ]]</f>
        <v>26.428989725052251</v>
      </c>
      <c r="AQ705" s="77">
        <f>$AH705*tbl_Data[[#This Row],[2033 ]]</f>
        <v>27.652169167411429</v>
      </c>
      <c r="AR705" s="77">
        <f>$AH705*tbl_Data[[#This Row],[2034 ]]</f>
        <v>28.810819789785988</v>
      </c>
      <c r="AS705" s="77">
        <f>SUM(tbl_Data[[#This Row],[Adjusted 2025]:[Adjusted 2034]])</f>
        <v>226.37888221009601</v>
      </c>
      <c r="AT705" s="80">
        <f>AVERAGEIFS('3. Incentive Adjustment'!F:F,'3. Incentive Adjustment'!A:A,tbl_Data[[#This Row],[Trimmed Sector]],'3. Incentive Adjustment'!B:B,tbl_Data[[#This Row],[Trimmed Measure Name]])</f>
        <v>23.858858929800434</v>
      </c>
      <c r="AU705" s="80">
        <f>IFERROR(VLOOKUP(tbl_Data[[#This Row],[All_Meas_Name_Append]],'IRA Tax Credits'!$A$3:$D$46,4,0),0)</f>
        <v>0</v>
      </c>
      <c r="AV705" s="81">
        <f>tbl_Data[[#This Row],[Adj. per unit Incentive ($)]]/tbl_Data[[#This Row],[kWh Savings]]*tbl_Data[[#This Row],[Sum of Annuals]]</f>
        <v>7.4438529166773826</v>
      </c>
      <c r="AW705" s="81">
        <f>IFERROR(VLOOKUP(tbl_Data[[#This Row],[Column1]],'1. Set Program Names'!$B$2:$D$15,3,0)*tbl_Data[[#This Row],[Sum of Annuals]],"")</f>
        <v>8.246422902298109</v>
      </c>
      <c r="AX705" s="81">
        <f>tbl_Data[[#This Row],[per unit IRA tax ($)]]/tbl_Data[[#This Row],[kWh Savings]]*tbl_Data[[#This Row],[Sum of Annuals]]</f>
        <v>0</v>
      </c>
      <c r="AY705" s="81">
        <f>tbl_Data[[#This Row],[Avoided Costs ($/unit)]]/tbl_Data[[#This Row],[kWh Savings]]*tbl_Data[[#This Row],[Sum of Annuals]]</f>
        <v>96.859541241831451</v>
      </c>
      <c r="AZ705" s="81">
        <f>tbl_Data[[#This Row],[Lost Revenue ($/unit)]]/tbl_Data[[#This Row],[kWh Savings]]*tbl_Data[[#This Row],[Sum of Annuals]]</f>
        <v>240.43031045492566</v>
      </c>
      <c r="BA705" s="81">
        <f>tbl_Data[[#This Row],[Incremental Cost ($/unit)]]/tbl_Data[[#This Row],[kWh Savings]]*tbl_Data[[#This Row],[Sum of Annuals]]</f>
        <v>55.847166706743955</v>
      </c>
      <c r="BB705" s="77">
        <f>ROUNDUP(tbl_Data[[#This Row],[Adjusted 2025]]/$L705,0)</f>
        <v>1</v>
      </c>
      <c r="BC705" s="77">
        <f>ROUNDUP(tbl_Data[[#This Row],[Adjusted 2026]]/$L705,0)</f>
        <v>1</v>
      </c>
      <c r="BD705" s="77">
        <f>ROUNDUP(tbl_Data[[#This Row],[Adjusted 2027]]/$L705,0)</f>
        <v>1</v>
      </c>
      <c r="BE705" s="77">
        <f>ROUNDUP(tbl_Data[[#This Row],[Adjusted 2028]]/$L705,0)</f>
        <v>1</v>
      </c>
      <c r="BF705" s="77">
        <f>ROUNDUP(tbl_Data[[#This Row],[Adjusted 2029]]/$L705,0)</f>
        <v>1</v>
      </c>
      <c r="BG705" s="77">
        <f>ROUNDUP(tbl_Data[[#This Row],[Adjusted 2030]]/$L705,0)</f>
        <v>1</v>
      </c>
      <c r="BH705" s="77">
        <f>ROUNDUP(tbl_Data[[#This Row],[Adjusted 2031]]/$L705,0)</f>
        <v>1</v>
      </c>
      <c r="BI705" s="77">
        <f>ROUNDUP(tbl_Data[[#This Row],[Adjusted 2032]]/$L705,0)</f>
        <v>1</v>
      </c>
      <c r="BJ705" s="77">
        <f>ROUNDUP(tbl_Data[[#This Row],[Adjusted 2033]]/$L705,0)</f>
        <v>1</v>
      </c>
      <c r="BK705" s="77">
        <f>ROUNDUP(tbl_Data[[#This Row],[Adjusted 2034]]/$L705,0)</f>
        <v>1</v>
      </c>
      <c r="BL705" s="80">
        <f t="shared" si="287"/>
        <v>0.5340007649083266</v>
      </c>
      <c r="BM705" s="80">
        <f t="shared" si="288"/>
        <v>0.60751516386437832</v>
      </c>
      <c r="BN705" s="80">
        <f t="shared" si="289"/>
        <v>0.67157777618850212</v>
      </c>
      <c r="BO705" s="80">
        <f t="shared" si="290"/>
        <v>0.73587932054431082</v>
      </c>
      <c r="BP705" s="80">
        <f t="shared" si="291"/>
        <v>0.79064838256357428</v>
      </c>
      <c r="BQ705" s="80">
        <f t="shared" si="292"/>
        <v>0.84205921950458573</v>
      </c>
      <c r="BR705" s="80">
        <f t="shared" si="293"/>
        <v>0.8906742385580606</v>
      </c>
      <c r="BS705" s="80">
        <f t="shared" si="294"/>
        <v>0.93428188456794004</v>
      </c>
      <c r="BT705" s="80">
        <f t="shared" si="295"/>
        <v>0.97752206917056339</v>
      </c>
      <c r="BU705" s="80">
        <f t="shared" si="296"/>
        <v>1.0184811182409033</v>
      </c>
      <c r="BV705" s="80">
        <f>IFERROR(VLOOKUP($H705,'1. Set Program Names'!$B$2:$D$15,3,0)*V705,"NA")</f>
        <v>0.59157484529534599</v>
      </c>
      <c r="BW705" s="80">
        <f>IFERROR(VLOOKUP($H705,'1. Set Program Names'!$B$2:$D$15,3,0)*W705,"NA")</f>
        <v>0.67301530764538142</v>
      </c>
      <c r="BX705" s="80">
        <f>IFERROR(VLOOKUP($H705,'1. Set Program Names'!$B$2:$D$15,3,0)*X705,"NA")</f>
        <v>0.74398492504165092</v>
      </c>
      <c r="BY705" s="80">
        <f>IFERROR(VLOOKUP($H705,'1. Set Program Names'!$B$2:$D$15,3,0)*Y705,"NA")</f>
        <v>0.81521923527914597</v>
      </c>
      <c r="BZ705" s="80">
        <f>IFERROR(VLOOKUP($H705,'1. Set Program Names'!$B$2:$D$15,3,0)*Z705,"NA")</f>
        <v>0.87589330453179814</v>
      </c>
      <c r="CA705" s="80">
        <f>IFERROR(VLOOKUP($H705,'1. Set Program Names'!$B$2:$D$15,3,0)*AA705,"NA")</f>
        <v>0.93284707671432343</v>
      </c>
      <c r="CB705" s="80">
        <f>IFERROR(VLOOKUP($H705,'1. Set Program Names'!$B$2:$D$15,3,0)*AB705,"NA")</f>
        <v>0.9867035957785365</v>
      </c>
      <c r="CC705" s="80">
        <f>IFERROR(VLOOKUP($H705,'1. Set Program Names'!$B$2:$D$15,3,0)*AC705,"NA")</f>
        <v>1.0350128644860774</v>
      </c>
      <c r="CD705" s="80">
        <f>IFERROR(VLOOKUP($H705,'1. Set Program Names'!$B$2:$D$15,3,0)*AD705,"NA")</f>
        <v>1.0829150533925491</v>
      </c>
      <c r="CE705" s="80">
        <f>IFERROR(VLOOKUP($H705,'1. Set Program Names'!$B$2:$D$15,3,0)*AE705,"NA")</f>
        <v>1.1282901627735076</v>
      </c>
    </row>
    <row r="706" spans="1:83" x14ac:dyDescent="0.25">
      <c r="A706" s="79" t="s">
        <v>116</v>
      </c>
      <c r="B706" s="79" t="s">
        <v>88</v>
      </c>
      <c r="C706" s="79" t="s">
        <v>176</v>
      </c>
      <c r="D706" s="79" t="s">
        <v>90</v>
      </c>
      <c r="E706" s="79" t="s">
        <v>91</v>
      </c>
      <c r="F706" s="79" t="s">
        <v>90</v>
      </c>
      <c r="G706" s="79" t="s">
        <v>92</v>
      </c>
      <c r="H706" s="79" t="s">
        <v>16</v>
      </c>
      <c r="I706" s="79" t="s">
        <v>165</v>
      </c>
      <c r="J706" s="79" t="s">
        <v>161</v>
      </c>
      <c r="K706" s="79" t="s">
        <v>166</v>
      </c>
      <c r="L706" s="79">
        <v>565.38999999999896</v>
      </c>
      <c r="M706" s="79">
        <v>6.7728127941350899E-2</v>
      </c>
      <c r="N706" s="79">
        <v>6.5294935157718198E-2</v>
      </c>
      <c r="O706" s="79">
        <v>129</v>
      </c>
      <c r="P706" s="79">
        <v>15.293574707506</v>
      </c>
      <c r="Q706" s="79">
        <v>20.595759636286299</v>
      </c>
      <c r="R706" s="79">
        <v>190.6779313312</v>
      </c>
      <c r="S706" s="79">
        <v>454.767236260907</v>
      </c>
      <c r="T706" s="79">
        <v>10</v>
      </c>
      <c r="U706" s="79">
        <v>0.59999999999999898</v>
      </c>
      <c r="V706" s="79">
        <f>tbl_Data_old[[#This Row],[2025 ]]*IFERROR(AVERAGEIFS('Participation Adjustment'!$C:$C,'Participation Adjustment'!$A:$A,$H706,'Participation Adjustment'!$B:$B,$I706),1)</f>
        <v>0.129538689243234</v>
      </c>
      <c r="W706" s="79">
        <f>tbl_Data_old[[#This Row],[2026 ]]*IFERROR(AVERAGEIFS('Participation Adjustment'!$C:$C,'Participation Adjustment'!$A:$A,$H706,'Participation Adjustment'!$B:$B,$I706),1)</f>
        <v>0.17886237120458801</v>
      </c>
      <c r="X706" s="79">
        <f>tbl_Data_old[[#This Row],[2027 ]]*IFERROR(AVERAGEIFS('Participation Adjustment'!$C:$C,'Participation Adjustment'!$A:$A,$H706,'Participation Adjustment'!$B:$B,$I706),1)</f>
        <v>0.239282871220142</v>
      </c>
      <c r="Y706" s="79">
        <f>tbl_Data_old[[#This Row],[2028 ]]*IFERROR(AVERAGEIFS('Participation Adjustment'!$C:$C,'Participation Adjustment'!$A:$A,$H706,'Participation Adjustment'!$B:$B,$I706),1)</f>
        <v>0.31213652971361799</v>
      </c>
      <c r="Z706" s="79">
        <f>tbl_Data_old[[#This Row],[2029 ]]*IFERROR(AVERAGEIFS('Participation Adjustment'!$C:$C,'Participation Adjustment'!$A:$A,$H706,'Participation Adjustment'!$B:$B,$I706),1)</f>
        <v>0.38967781751207198</v>
      </c>
      <c r="AA706" s="79">
        <f>tbl_Data_old[[#This Row],[2030 ]]*IFERROR(AVERAGEIFS('Participation Adjustment'!$C:$C,'Participation Adjustment'!$A:$A,$H706,'Participation Adjustment'!$B:$B,$I706),1)</f>
        <v>0.462555509942291</v>
      </c>
      <c r="AB706" s="79">
        <f>tbl_Data_old[[#This Row],[2031 ]]*IFERROR(AVERAGEIFS('Participation Adjustment'!$C:$C,'Participation Adjustment'!$A:$A,$H706,'Participation Adjustment'!$B:$B,$I706),1)</f>
        <v>0.51551403138783503</v>
      </c>
      <c r="AC706" s="79">
        <f>tbl_Data_old[[#This Row],[2032 ]]*IFERROR(AVERAGEIFS('Participation Adjustment'!$C:$C,'Participation Adjustment'!$A:$A,$H706,'Participation Adjustment'!$B:$B,$I706),1)</f>
        <v>0.53168069892310499</v>
      </c>
      <c r="AD706" s="79">
        <f>tbl_Data_old[[#This Row],[2033 ]]*IFERROR(AVERAGEIFS('Participation Adjustment'!$C:$C,'Participation Adjustment'!$A:$A,$H706,'Participation Adjustment'!$B:$B,$I706),1)</f>
        <v>0.503403615239437</v>
      </c>
      <c r="AE706" s="79">
        <f>tbl_Data_old[[#This Row],[2034 ]]*IFERROR(AVERAGEIFS('Participation Adjustment'!$C:$C,'Participation Adjustment'!$A:$A,$H706,'Participation Adjustment'!$B:$B,$I706),1)</f>
        <v>0.43563558857232698</v>
      </c>
      <c r="AF706" s="77" t="str">
        <f t="shared" si="286"/>
        <v>NonResidential</v>
      </c>
      <c r="AG706" s="77" t="str">
        <f>tbl_Data[[#This Row],[All_Meas_Name_Append]]</f>
        <v>Occupancy Sensors_ Ceiling Mounted</v>
      </c>
      <c r="AH706" s="77">
        <f>AVERAGEIFS('3. Incentive Adjustment'!G:G,'3. Incentive Adjustment'!A:A,tbl_Data[[#This Row],[Trimmed Sector]],'3. Incentive Adjustment'!B:B,tbl_Data[[#This Row],[Trimmed Measure Name]])</f>
        <v>0.99348124042467356</v>
      </c>
      <c r="AI706" s="77">
        <f>$AH706*tbl_Data[[#This Row],[2025 ]]</f>
        <v>0.12869425767235443</v>
      </c>
      <c r="AJ706" s="77">
        <f>$AH706*tbl_Data[[#This Row],[2026 ]]</f>
        <v>0.17769641040963249</v>
      </c>
      <c r="AK706" s="77">
        <f>$AH706*tbl_Data[[#This Row],[2027 ]]</f>
        <v>0.2377230437121641</v>
      </c>
      <c r="AL706" s="77">
        <f>$AH706*tbl_Data[[#This Row],[2028 ]]</f>
        <v>0.31010178672173816</v>
      </c>
      <c r="AM706" s="77">
        <f>$AH706*tbl_Data[[#This Row],[2029 ]]</f>
        <v>0.38713760150787285</v>
      </c>
      <c r="AN706" s="77">
        <f>$AH706*tbl_Data[[#This Row],[2030 ]]</f>
        <v>0.45954022178273468</v>
      </c>
      <c r="AO706" s="77">
        <f>$AH706*tbl_Data[[#This Row],[2031 ]]</f>
        <v>0.51215351935951048</v>
      </c>
      <c r="AP706" s="77">
        <f>$AH706*tbl_Data[[#This Row],[2032 ]]</f>
        <v>0.52821480027598378</v>
      </c>
      <c r="AQ706" s="77">
        <f>$AH706*tbl_Data[[#This Row],[2033 ]]</f>
        <v>0.50012204810234095</v>
      </c>
      <c r="AR706" s="77">
        <f>$AH706*tbl_Data[[#This Row],[2034 ]]</f>
        <v>0.43279578490796816</v>
      </c>
      <c r="AS706" s="77">
        <f>SUM(tbl_Data[[#This Row],[Adjusted 2025]:[Adjusted 2034]])</f>
        <v>3.6741794744523002</v>
      </c>
      <c r="AT706" s="80">
        <f>AVERAGEIFS('3. Incentive Adjustment'!F:F,'3. Incentive Adjustment'!A:A,tbl_Data[[#This Row],[Trimmed Sector]],'3. Incentive Adjustment'!B:B,tbl_Data[[#This Row],[Trimmed Measure Name]])</f>
        <v>19.547634357270656</v>
      </c>
      <c r="AU706" s="80">
        <f>IFERROR(VLOOKUP(tbl_Data[[#This Row],[All_Meas_Name_Append]],'IRA Tax Credits'!$A$3:$D$46,4,0),0)</f>
        <v>0</v>
      </c>
      <c r="AV706" s="81">
        <f>tbl_Data[[#This Row],[Adj. per unit Incentive ($)]]/tbl_Data[[#This Row],[kWh Savings]]*tbl_Data[[#This Row],[Sum of Annuals]]</f>
        <v>0.12703004462332648</v>
      </c>
      <c r="AW706" s="81">
        <f>IFERROR(VLOOKUP(tbl_Data[[#This Row],[Column1]],'1. Set Program Names'!$B$2:$D$15,3,0)*tbl_Data[[#This Row],[Sum of Annuals]],"")</f>
        <v>0.13384127295565298</v>
      </c>
      <c r="AX706" s="81">
        <f>tbl_Data[[#This Row],[per unit IRA tax ($)]]/tbl_Data[[#This Row],[kWh Savings]]*tbl_Data[[#This Row],[Sum of Annuals]]</f>
        <v>0</v>
      </c>
      <c r="AY706" s="81">
        <f>tbl_Data[[#This Row],[Avoided Costs ($/unit)]]/tbl_Data[[#This Row],[kWh Savings]]*tbl_Data[[#This Row],[Sum of Annuals]]</f>
        <v>1.2391180274290694</v>
      </c>
      <c r="AZ706" s="81">
        <f>tbl_Data[[#This Row],[Lost Revenue ($/unit)]]/tbl_Data[[#This Row],[kWh Savings]]*tbl_Data[[#This Row],[Sum of Annuals]]</f>
        <v>2.9552989000923744</v>
      </c>
      <c r="BA706" s="81">
        <f>tbl_Data[[#This Row],[Incremental Cost ($/unit)]]/tbl_Data[[#This Row],[kWh Savings]]*tbl_Data[[#This Row],[Sum of Annuals]]</f>
        <v>0.83830480235651073</v>
      </c>
      <c r="BB706" s="77">
        <f>ROUNDUP(tbl_Data[[#This Row],[Adjusted 2025]]/$L706,0)</f>
        <v>1</v>
      </c>
      <c r="BC706" s="77">
        <f>ROUNDUP(tbl_Data[[#This Row],[Adjusted 2026]]/$L706,0)</f>
        <v>1</v>
      </c>
      <c r="BD706" s="77">
        <f>ROUNDUP(tbl_Data[[#This Row],[Adjusted 2027]]/$L706,0)</f>
        <v>1</v>
      </c>
      <c r="BE706" s="77">
        <f>ROUNDUP(tbl_Data[[#This Row],[Adjusted 2028]]/$L706,0)</f>
        <v>1</v>
      </c>
      <c r="BF706" s="77">
        <f>ROUNDUP(tbl_Data[[#This Row],[Adjusted 2029]]/$L706,0)</f>
        <v>1</v>
      </c>
      <c r="BG706" s="77">
        <f>ROUNDUP(tbl_Data[[#This Row],[Adjusted 2030]]/$L706,0)</f>
        <v>1</v>
      </c>
      <c r="BH706" s="77">
        <f>ROUNDUP(tbl_Data[[#This Row],[Adjusted 2031]]/$L706,0)</f>
        <v>1</v>
      </c>
      <c r="BI706" s="77">
        <f>ROUNDUP(tbl_Data[[#This Row],[Adjusted 2032]]/$L706,0)</f>
        <v>1</v>
      </c>
      <c r="BJ706" s="77">
        <f>ROUNDUP(tbl_Data[[#This Row],[Adjusted 2033]]/$L706,0)</f>
        <v>1</v>
      </c>
      <c r="BK706" s="77">
        <f>ROUNDUP(tbl_Data[[#This Row],[Adjusted 2034]]/$L706,0)</f>
        <v>1</v>
      </c>
      <c r="BL706" s="80">
        <f t="shared" si="287"/>
        <v>4.4786340976084686E-3</v>
      </c>
      <c r="BM706" s="80">
        <f t="shared" si="288"/>
        <v>6.1839371629878641E-3</v>
      </c>
      <c r="BN706" s="80">
        <f t="shared" si="289"/>
        <v>8.2728984852389071E-3</v>
      </c>
      <c r="BO706" s="80">
        <f t="shared" si="290"/>
        <v>1.0791720321175053E-2</v>
      </c>
      <c r="BP706" s="80">
        <f t="shared" si="291"/>
        <v>1.3472610930269791E-2</v>
      </c>
      <c r="BQ706" s="80">
        <f t="shared" si="292"/>
        <v>1.5992263708754652E-2</v>
      </c>
      <c r="BR706" s="80">
        <f t="shared" si="293"/>
        <v>1.7823236689032289E-2</v>
      </c>
      <c r="BS706" s="80">
        <f t="shared" si="294"/>
        <v>1.8382178491602223E-2</v>
      </c>
      <c r="BT706" s="80">
        <f t="shared" si="295"/>
        <v>1.7404534577598992E-2</v>
      </c>
      <c r="BU706" s="80">
        <f t="shared" si="296"/>
        <v>1.5061541941715025E-2</v>
      </c>
      <c r="BV706" s="80">
        <f>IFERROR(VLOOKUP($H706,'1. Set Program Names'!$B$2:$D$15,3,0)*V706,"NA")</f>
        <v>4.7187741333473273E-3</v>
      </c>
      <c r="BW706" s="80">
        <f>IFERROR(VLOOKUP($H706,'1. Set Program Names'!$B$2:$D$15,3,0)*W706,"NA")</f>
        <v>6.5155139024495089E-3</v>
      </c>
      <c r="BX706" s="80">
        <f>IFERROR(VLOOKUP($H706,'1. Set Program Names'!$B$2:$D$15,3,0)*X706,"NA")</f>
        <v>8.7164833136958841E-3</v>
      </c>
      <c r="BY706" s="80">
        <f>IFERROR(VLOOKUP($H706,'1. Set Program Names'!$B$2:$D$15,3,0)*Y706,"NA")</f>
        <v>1.1370361944297285E-2</v>
      </c>
      <c r="BZ706" s="80">
        <f>IFERROR(VLOOKUP($H706,'1. Set Program Names'!$B$2:$D$15,3,0)*Z706,"NA")</f>
        <v>1.4194999319180225E-2</v>
      </c>
      <c r="CA706" s="80">
        <f>IFERROR(VLOOKUP($H706,'1. Set Program Names'!$B$2:$D$15,3,0)*AA706,"NA")</f>
        <v>1.6849753446667445E-2</v>
      </c>
      <c r="CB706" s="80">
        <f>IFERROR(VLOOKUP($H706,'1. Set Program Names'!$B$2:$D$15,3,0)*AB706,"NA")</f>
        <v>1.8778901430157681E-2</v>
      </c>
      <c r="CC706" s="80">
        <f>IFERROR(VLOOKUP($H706,'1. Set Program Names'!$B$2:$D$15,3,0)*AC706,"NA")</f>
        <v>1.9367813152466485E-2</v>
      </c>
      <c r="CD706" s="80">
        <f>IFERROR(VLOOKUP($H706,'1. Set Program Names'!$B$2:$D$15,3,0)*AD706,"NA")</f>
        <v>1.8337748915808635E-2</v>
      </c>
      <c r="CE706" s="80">
        <f>IFERROR(VLOOKUP($H706,'1. Set Program Names'!$B$2:$D$15,3,0)*AE706,"NA")</f>
        <v>1.5869127277185303E-2</v>
      </c>
    </row>
    <row r="707" spans="1:83" x14ac:dyDescent="0.25">
      <c r="A707" s="79" t="s">
        <v>117</v>
      </c>
      <c r="B707" s="79" t="s">
        <v>88</v>
      </c>
      <c r="C707" s="79" t="s">
        <v>176</v>
      </c>
      <c r="D707" s="79" t="s">
        <v>90</v>
      </c>
      <c r="E707" s="79" t="s">
        <v>91</v>
      </c>
      <c r="F707" s="79" t="s">
        <v>90</v>
      </c>
      <c r="G707" s="79" t="s">
        <v>92</v>
      </c>
      <c r="H707" s="79" t="s">
        <v>16</v>
      </c>
      <c r="I707" s="79" t="s">
        <v>157</v>
      </c>
      <c r="J707" s="79" t="s">
        <v>158</v>
      </c>
      <c r="K707" s="79" t="s">
        <v>159</v>
      </c>
      <c r="L707" s="79">
        <v>562.52</v>
      </c>
      <c r="M707" s="79">
        <v>6.7473359330379998E-2</v>
      </c>
      <c r="N707" s="79">
        <v>6.4973258375617293E-2</v>
      </c>
      <c r="O707" s="79">
        <v>169</v>
      </c>
      <c r="P707" s="79">
        <v>55.847956108163899</v>
      </c>
      <c r="Q707" s="79">
        <v>20.491212633056499</v>
      </c>
      <c r="R707" s="79">
        <v>240.47921618074301</v>
      </c>
      <c r="S707" s="79">
        <v>597.43584258705596</v>
      </c>
      <c r="T707" s="79">
        <v>15</v>
      </c>
      <c r="U707" s="79">
        <v>0.59999999999999898</v>
      </c>
      <c r="V707" s="79">
        <f>tbl_Data_old[[#This Row],[2025 ]]*IFERROR(AVERAGEIFS('Participation Adjustment'!$C:$C,'Participation Adjustment'!$A:$A,$H707,'Participation Adjustment'!$B:$B,$I707),1)</f>
        <v>2.10776299292821</v>
      </c>
      <c r="W707" s="79">
        <f>tbl_Data_old[[#This Row],[2026 ]]*IFERROR(AVERAGEIFS('Participation Adjustment'!$C:$C,'Participation Adjustment'!$A:$A,$H707,'Participation Adjustment'!$B:$B,$I707),1)</f>
        <v>4.5056958503013202</v>
      </c>
      <c r="X707" s="79">
        <f>tbl_Data_old[[#This Row],[2027 ]]*IFERROR(AVERAGEIFS('Participation Adjustment'!$C:$C,'Participation Adjustment'!$A:$A,$H707,'Participation Adjustment'!$B:$B,$I707),1)</f>
        <v>7.1564912733493706</v>
      </c>
      <c r="Y707" s="79">
        <f>tbl_Data_old[[#This Row],[2028 ]]*IFERROR(AVERAGEIFS('Participation Adjustment'!$C:$C,'Participation Adjustment'!$A:$A,$H707,'Participation Adjustment'!$B:$B,$I707),1)</f>
        <v>10.0610923545308</v>
      </c>
      <c r="Z707" s="79">
        <f>tbl_Data_old[[#This Row],[2029 ]]*IFERROR(AVERAGEIFS('Participation Adjustment'!$C:$C,'Participation Adjustment'!$A:$A,$H707,'Participation Adjustment'!$B:$B,$I707),1)</f>
        <v>13.1818732797644</v>
      </c>
      <c r="AA707" s="79">
        <f>tbl_Data_old[[#This Row],[2030 ]]*IFERROR(AVERAGEIFS('Participation Adjustment'!$C:$C,'Participation Adjustment'!$A:$A,$H707,'Participation Adjustment'!$B:$B,$I707),1)</f>
        <v>16.505578744925</v>
      </c>
      <c r="AB707" s="79">
        <f>tbl_Data_old[[#This Row],[2031 ]]*IFERROR(AVERAGEIFS('Participation Adjustment'!$C:$C,'Participation Adjustment'!$A:$A,$H707,'Participation Adjustment'!$B:$B,$I707),1)</f>
        <v>20.021173332340002</v>
      </c>
      <c r="AC707" s="79">
        <f>tbl_Data_old[[#This Row],[2032 ]]*IFERROR(AVERAGEIFS('Participation Adjustment'!$C:$C,'Participation Adjustment'!$A:$A,$H707,'Participation Adjustment'!$B:$B,$I707),1)</f>
        <v>23.708892359472202</v>
      </c>
      <c r="AD707" s="79">
        <f>tbl_Data_old[[#This Row],[2033 ]]*IFERROR(AVERAGEIFS('Participation Adjustment'!$C:$C,'Participation Adjustment'!$A:$A,$H707,'Participation Adjustment'!$B:$B,$I707),1)</f>
        <v>27.567285413500898</v>
      </c>
      <c r="AE707" s="79">
        <f>tbl_Data_old[[#This Row],[2034 ]]*IFERROR(AVERAGEIFS('Participation Adjustment'!$C:$C,'Participation Adjustment'!$A:$A,$H707,'Participation Adjustment'!$B:$B,$I707),1)</f>
        <v>31.587348587741602</v>
      </c>
      <c r="AF707" s="77" t="str">
        <f t="shared" si="286"/>
        <v>NonResidential</v>
      </c>
      <c r="AG707" s="77" t="str">
        <f>tbl_Data[[#This Row],[All_Meas_Name_Append]]</f>
        <v>LED Exterior Wall Packs</v>
      </c>
      <c r="AH707" s="77">
        <f>AVERAGEIFS('3. Incentive Adjustment'!G:G,'3. Incentive Adjustment'!A:A,tbl_Data[[#This Row],[Trimmed Sector]],'3. Incentive Adjustment'!B:B,tbl_Data[[#This Row],[Trimmed Measure Name]])</f>
        <v>0.80637708305213962</v>
      </c>
      <c r="AI707" s="77">
        <f>$AH707*tbl_Data[[#This Row],[2025 ]]</f>
        <v>1.6996517740026975</v>
      </c>
      <c r="AJ707" s="77">
        <f>$AH707*tbl_Data[[#This Row],[2026 ]]</f>
        <v>3.6332898768861086</v>
      </c>
      <c r="AK707" s="77">
        <f>$AH707*tbl_Data[[#This Row],[2027 ]]</f>
        <v>5.770830557891558</v>
      </c>
      <c r="AL707" s="77">
        <f>$AH707*tbl_Data[[#This Row],[2028 ]]</f>
        <v>8.1130343051647298</v>
      </c>
      <c r="AM707" s="77">
        <f>$AH707*tbl_Data[[#This Row],[2029 ]]</f>
        <v>10.629560524499357</v>
      </c>
      <c r="AN707" s="77">
        <f>$AH707*tbl_Data[[#This Row],[2030 ]]</f>
        <v>13.309720442420018</v>
      </c>
      <c r="AO707" s="77">
        <f>$AH707*tbl_Data[[#This Row],[2031 ]]</f>
        <v>16.144615351013616</v>
      </c>
      <c r="AP707" s="77">
        <f>$AH707*tbl_Data[[#This Row],[2032 ]]</f>
        <v>19.118307463228355</v>
      </c>
      <c r="AQ707" s="77">
        <f>$AH707*tbl_Data[[#This Row],[2033 ]]</f>
        <v>22.22962719940465</v>
      </c>
      <c r="AR707" s="77">
        <f>$AH707*tbl_Data[[#This Row],[2034 ]]</f>
        <v>25.471314015534194</v>
      </c>
      <c r="AS707" s="77">
        <f>SUM(tbl_Data[[#This Row],[Adjusted 2025]:[Adjusted 2034]])</f>
        <v>126.11995151004527</v>
      </c>
      <c r="AT707" s="80">
        <f>AVERAGEIFS('3. Incentive Adjustment'!F:F,'3. Incentive Adjustment'!A:A,tbl_Data[[#This Row],[Trimmed Sector]],'3. Incentive Adjustment'!B:B,tbl_Data[[#This Row],[Trimmed Measure Name]])</f>
        <v>8.6864493556481861</v>
      </c>
      <c r="AU707" s="80">
        <f>IFERROR(VLOOKUP(tbl_Data[[#This Row],[All_Meas_Name_Append]],'IRA Tax Credits'!$A$3:$D$46,4,0),0)</f>
        <v>0</v>
      </c>
      <c r="AV707" s="81">
        <f>tbl_Data[[#This Row],[Adj. per unit Incentive ($)]]/tbl_Data[[#This Row],[kWh Savings]]*tbl_Data[[#This Row],[Sum of Annuals]]</f>
        <v>1.9475477699082933</v>
      </c>
      <c r="AW707" s="81">
        <f>IFERROR(VLOOKUP(tbl_Data[[#This Row],[Column1]],'1. Set Program Names'!$B$2:$D$15,3,0)*tbl_Data[[#This Row],[Sum of Annuals]],"")</f>
        <v>4.5942379713843327</v>
      </c>
      <c r="AX707" s="81">
        <f>tbl_Data[[#This Row],[per unit IRA tax ($)]]/tbl_Data[[#This Row],[kWh Savings]]*tbl_Data[[#This Row],[Sum of Annuals]]</f>
        <v>0</v>
      </c>
      <c r="AY707" s="81">
        <f>tbl_Data[[#This Row],[Avoided Costs ($/unit)]]/tbl_Data[[#This Row],[kWh Savings]]*tbl_Data[[#This Row],[Sum of Annuals]]</f>
        <v>53.916708888375531</v>
      </c>
      <c r="AZ707" s="81">
        <f>tbl_Data[[#This Row],[Lost Revenue ($/unit)]]/tbl_Data[[#This Row],[kWh Savings]]*tbl_Data[[#This Row],[Sum of Annuals]]</f>
        <v>133.94826761260495</v>
      </c>
      <c r="BA707" s="81">
        <f>tbl_Data[[#This Row],[Incremental Cost ($/unit)]]/tbl_Data[[#This Row],[kWh Savings]]*tbl_Data[[#This Row],[Sum of Annuals]]</f>
        <v>37.890691540207726</v>
      </c>
      <c r="BB707" s="77">
        <f>ROUNDUP(tbl_Data[[#This Row],[Adjusted 2025]]/$L707,0)</f>
        <v>1</v>
      </c>
      <c r="BC707" s="77">
        <f>ROUNDUP(tbl_Data[[#This Row],[Adjusted 2026]]/$L707,0)</f>
        <v>1</v>
      </c>
      <c r="BD707" s="77">
        <f>ROUNDUP(tbl_Data[[#This Row],[Adjusted 2027]]/$L707,0)</f>
        <v>1</v>
      </c>
      <c r="BE707" s="77">
        <f>ROUNDUP(tbl_Data[[#This Row],[Adjusted 2028]]/$L707,0)</f>
        <v>1</v>
      </c>
      <c r="BF707" s="77">
        <f>ROUNDUP(tbl_Data[[#This Row],[Adjusted 2029]]/$L707,0)</f>
        <v>1</v>
      </c>
      <c r="BG707" s="77">
        <f>ROUNDUP(tbl_Data[[#This Row],[Adjusted 2030]]/$L707,0)</f>
        <v>1</v>
      </c>
      <c r="BH707" s="77">
        <f>ROUNDUP(tbl_Data[[#This Row],[Adjusted 2031]]/$L707,0)</f>
        <v>1</v>
      </c>
      <c r="BI707" s="77">
        <f>ROUNDUP(tbl_Data[[#This Row],[Adjusted 2032]]/$L707,0)</f>
        <v>1</v>
      </c>
      <c r="BJ707" s="77">
        <f>ROUNDUP(tbl_Data[[#This Row],[Adjusted 2033]]/$L707,0)</f>
        <v>1</v>
      </c>
      <c r="BK707" s="77">
        <f>ROUNDUP(tbl_Data[[#This Row],[Adjusted 2034]]/$L707,0)</f>
        <v>1</v>
      </c>
      <c r="BL707" s="80">
        <f t="shared" si="287"/>
        <v>3.2548134273946421E-2</v>
      </c>
      <c r="BM707" s="80">
        <f t="shared" si="288"/>
        <v>6.9577079598230479E-2</v>
      </c>
      <c r="BN707" s="80">
        <f t="shared" si="289"/>
        <v>0.11051073563622184</v>
      </c>
      <c r="BO707" s="80">
        <f t="shared" si="290"/>
        <v>0.15536366564767645</v>
      </c>
      <c r="BP707" s="80">
        <f t="shared" si="291"/>
        <v>0.20355485077374227</v>
      </c>
      <c r="BQ707" s="80">
        <f t="shared" si="292"/>
        <v>0.25487960224250544</v>
      </c>
      <c r="BR707" s="80">
        <f t="shared" si="293"/>
        <v>0.30916751082988242</v>
      </c>
      <c r="BS707" s="80">
        <f t="shared" si="294"/>
        <v>0.36611336976297643</v>
      </c>
      <c r="BT707" s="80">
        <f t="shared" si="295"/>
        <v>0.42569478172700437</v>
      </c>
      <c r="BU707" s="80">
        <f t="shared" si="296"/>
        <v>0.48777270814659507</v>
      </c>
      <c r="BV707" s="80">
        <f>IFERROR(VLOOKUP($H707,'1. Set Program Names'!$B$2:$D$15,3,0)*V707,"NA")</f>
        <v>7.6780593877870201E-2</v>
      </c>
      <c r="BW707" s="80">
        <f>IFERROR(VLOOKUP($H707,'1. Set Program Names'!$B$2:$D$15,3,0)*W707,"NA")</f>
        <v>0.16413135840219856</v>
      </c>
      <c r="BX707" s="80">
        <f>IFERROR(VLOOKUP($H707,'1. Set Program Names'!$B$2:$D$15,3,0)*X707,"NA")</f>
        <v>0.2606932809301275</v>
      </c>
      <c r="BY707" s="80">
        <f>IFERROR(VLOOKUP($H707,'1. Set Program Names'!$B$2:$D$15,3,0)*Y707,"NA")</f>
        <v>0.36650071598789347</v>
      </c>
      <c r="BZ707" s="80">
        <f>IFERROR(VLOOKUP($H707,'1. Set Program Names'!$B$2:$D$15,3,0)*Z707,"NA")</f>
        <v>0.48018304820745644</v>
      </c>
      <c r="CA707" s="80">
        <f>IFERROR(VLOOKUP($H707,'1. Set Program Names'!$B$2:$D$15,3,0)*AA707,"NA")</f>
        <v>0.60125741963648627</v>
      </c>
      <c r="CB707" s="80">
        <f>IFERROR(VLOOKUP($H707,'1. Set Program Names'!$B$2:$D$15,3,0)*AB707,"NA")</f>
        <v>0.72932183729691324</v>
      </c>
      <c r="CC707" s="80">
        <f>IFERROR(VLOOKUP($H707,'1. Set Program Names'!$B$2:$D$15,3,0)*AC707,"NA")</f>
        <v>0.86365632267687165</v>
      </c>
      <c r="CD707" s="80">
        <f>IFERROR(VLOOKUP($H707,'1. Set Program Names'!$B$2:$D$15,3,0)*AD707,"NA")</f>
        <v>1.0042080408238003</v>
      </c>
      <c r="CE707" s="80">
        <f>IFERROR(VLOOKUP($H707,'1. Set Program Names'!$B$2:$D$15,3,0)*AE707,"NA")</f>
        <v>1.1506490016815234</v>
      </c>
    </row>
    <row r="708" spans="1:83" x14ac:dyDescent="0.25">
      <c r="A708" s="79" t="s">
        <v>117</v>
      </c>
      <c r="B708" s="79" t="s">
        <v>88</v>
      </c>
      <c r="C708" s="79" t="s">
        <v>176</v>
      </c>
      <c r="D708" s="79" t="s">
        <v>90</v>
      </c>
      <c r="E708" s="79" t="s">
        <v>91</v>
      </c>
      <c r="F708" s="79" t="s">
        <v>90</v>
      </c>
      <c r="G708" s="79" t="s">
        <v>92</v>
      </c>
      <c r="H708" s="79" t="s">
        <v>16</v>
      </c>
      <c r="I708" s="79" t="s">
        <v>162</v>
      </c>
      <c r="J708" s="79" t="s">
        <v>161</v>
      </c>
      <c r="K708" s="79" t="s">
        <v>159</v>
      </c>
      <c r="L708" s="79">
        <v>725.58416666666596</v>
      </c>
      <c r="M708" s="79">
        <v>8.6917804178563804E-2</v>
      </c>
      <c r="N708" s="79">
        <v>8.3795205289933394E-2</v>
      </c>
      <c r="O708" s="79">
        <v>179</v>
      </c>
      <c r="P708" s="79">
        <v>33.0790753554421</v>
      </c>
      <c r="Q708" s="79">
        <v>26.4312370090766</v>
      </c>
      <c r="R708" s="79">
        <v>310.45187974046598</v>
      </c>
      <c r="S708" s="79">
        <v>770.62146764617603</v>
      </c>
      <c r="T708" s="79">
        <v>15</v>
      </c>
      <c r="U708" s="79">
        <v>0.59999999999999898</v>
      </c>
      <c r="V708" s="79">
        <f>tbl_Data_old[[#This Row],[2025 ]]*IFERROR(AVERAGEIFS('Participation Adjustment'!$C:$C,'Participation Adjustment'!$A:$A,$H708,'Participation Adjustment'!$B:$B,$I708),1)</f>
        <v>16.239774967671149</v>
      </c>
      <c r="W708" s="79">
        <f>tbl_Data_old[[#This Row],[2026 ]]*IFERROR(AVERAGEIFS('Participation Adjustment'!$C:$C,'Participation Adjustment'!$A:$A,$H708,'Participation Adjustment'!$B:$B,$I708),1)</f>
        <v>34.715234553012898</v>
      </c>
      <c r="X708" s="79">
        <f>tbl_Data_old[[#This Row],[2027 ]]*IFERROR(AVERAGEIFS('Participation Adjustment'!$C:$C,'Participation Adjustment'!$A:$A,$H708,'Participation Adjustment'!$B:$B,$I708),1)</f>
        <v>55.138935557378851</v>
      </c>
      <c r="Y708" s="79">
        <f>tbl_Data_old[[#This Row],[2028 ]]*IFERROR(AVERAGEIFS('Participation Adjustment'!$C:$C,'Participation Adjustment'!$A:$A,$H708,'Participation Adjustment'!$B:$B,$I708),1)</f>
        <v>77.518144267040398</v>
      </c>
      <c r="Z708" s="79">
        <f>tbl_Data_old[[#This Row],[2029 ]]*IFERROR(AVERAGEIFS('Participation Adjustment'!$C:$C,'Participation Adjustment'!$A:$A,$H708,'Participation Adjustment'!$B:$B,$I708),1)</f>
        <v>101.56296340431254</v>
      </c>
      <c r="AA708" s="79">
        <f>tbl_Data_old[[#This Row],[2030 ]]*IFERROR(AVERAGEIFS('Participation Adjustment'!$C:$C,'Participation Adjustment'!$A:$A,$H708,'Participation Adjustment'!$B:$B,$I708),1)</f>
        <v>127.17126423990196</v>
      </c>
      <c r="AB708" s="79">
        <f>tbl_Data_old[[#This Row],[2031 ]]*IFERROR(AVERAGEIFS('Participation Adjustment'!$C:$C,'Participation Adjustment'!$A:$A,$H708,'Participation Adjustment'!$B:$B,$I708),1)</f>
        <v>154.25802170207101</v>
      </c>
      <c r="AC708" s="79">
        <f>tbl_Data_old[[#This Row],[2032 ]]*IFERROR(AVERAGEIFS('Participation Adjustment'!$C:$C,'Participation Adjustment'!$A:$A,$H708,'Participation Adjustment'!$B:$B,$I708),1)</f>
        <v>182.67095396511749</v>
      </c>
      <c r="AD708" s="79">
        <f>tbl_Data_old[[#This Row],[2033 ]]*IFERROR(AVERAGEIFS('Participation Adjustment'!$C:$C,'Participation Adjustment'!$A:$A,$H708,'Participation Adjustment'!$B:$B,$I708),1)</f>
        <v>212.398885969086</v>
      </c>
      <c r="AE708" s="79">
        <f>tbl_Data_old[[#This Row],[2034 ]]*IFERROR(AVERAGEIFS('Participation Adjustment'!$C:$C,'Participation Adjustment'!$A:$A,$H708,'Participation Adjustment'!$B:$B,$I708),1)</f>
        <v>243.37244491500599</v>
      </c>
      <c r="AF708" s="77" t="str">
        <f t="shared" si="286"/>
        <v>NonResidential</v>
      </c>
      <c r="AG708" s="77" t="str">
        <f>tbl_Data[[#This Row],[All_Meas_Name_Append]]</f>
        <v>LED High Bay_LF Baseline</v>
      </c>
      <c r="AH708" s="77">
        <f>AVERAGEIFS('3. Incentive Adjustment'!G:G,'3. Incentive Adjustment'!A:A,tbl_Data[[#This Row],[Trimmed Sector]],'3. Incentive Adjustment'!B:B,tbl_Data[[#This Row],[Trimmed Measure Name]])</f>
        <v>0.93017466414143679</v>
      </c>
      <c r="AI708" s="77">
        <f>$AH708*tbl_Data[[#This Row],[2025 ]]</f>
        <v>15.105827226286024</v>
      </c>
      <c r="AJ708" s="77">
        <f>$AH708*tbl_Data[[#This Row],[2026 ]]</f>
        <v>32.291231640939976</v>
      </c>
      <c r="AK708" s="77">
        <f>$AH708*tbl_Data[[#This Row],[2027 ]]</f>
        <v>51.288840863201202</v>
      </c>
      <c r="AL708" s="77">
        <f>$AH708*tbl_Data[[#This Row],[2028 ]]</f>
        <v>72.105413808461748</v>
      </c>
      <c r="AM708" s="77">
        <f>$AH708*tbl_Data[[#This Row],[2029 ]]</f>
        <v>94.471295373815451</v>
      </c>
      <c r="AN708" s="77">
        <f>$AH708*tbl_Data[[#This Row],[2030 ]]</f>
        <v>118.29148800279272</v>
      </c>
      <c r="AO708" s="77">
        <f>$AH708*tbl_Data[[#This Row],[2031 ]]</f>
        <v>143.48690352784635</v>
      </c>
      <c r="AP708" s="77">
        <f>$AH708*tbl_Data[[#This Row],[2032 ]]</f>
        <v>169.91589325289902</v>
      </c>
      <c r="AQ708" s="77">
        <f>$AH708*tbl_Data[[#This Row],[2033 ]]</f>
        <v>197.5680624203099</v>
      </c>
      <c r="AR708" s="77">
        <f>$AH708*tbl_Data[[#This Row],[2034 ]]</f>
        <v>226.37888221009601</v>
      </c>
      <c r="AS708" s="77">
        <f>SUM(tbl_Data[[#This Row],[Adjusted 2025]:[Adjusted 2034]])</f>
        <v>1120.9038383266484</v>
      </c>
      <c r="AT708" s="80">
        <f>AVERAGEIFS('3. Incentive Adjustment'!F:F,'3. Incentive Adjustment'!A:A,tbl_Data[[#This Row],[Trimmed Sector]],'3. Incentive Adjustment'!B:B,tbl_Data[[#This Row],[Trimmed Measure Name]])</f>
        <v>23.858858929800434</v>
      </c>
      <c r="AU708" s="80">
        <f>IFERROR(VLOOKUP(tbl_Data[[#This Row],[All_Meas_Name_Append]],'IRA Tax Credits'!$A$3:$D$46,4,0),0)</f>
        <v>0</v>
      </c>
      <c r="AV708" s="81">
        <f>tbl_Data[[#This Row],[Adj. per unit Incentive ($)]]/tbl_Data[[#This Row],[kWh Savings]]*tbl_Data[[#This Row],[Sum of Annuals]]</f>
        <v>36.857869536165495</v>
      </c>
      <c r="AW708" s="81">
        <f>IFERROR(VLOOKUP(tbl_Data[[#This Row],[Column1]],'1. Set Program Names'!$B$2:$D$15,3,0)*tbl_Data[[#This Row],[Sum of Annuals]],"")</f>
        <v>40.831755124014357</v>
      </c>
      <c r="AX708" s="81">
        <f>tbl_Data[[#This Row],[per unit IRA tax ($)]]/tbl_Data[[#This Row],[kWh Savings]]*tbl_Data[[#This Row],[Sum of Annuals]]</f>
        <v>0</v>
      </c>
      <c r="AY708" s="81">
        <f>tbl_Data[[#This Row],[Avoided Costs ($/unit)]]/tbl_Data[[#This Row],[kWh Savings]]*tbl_Data[[#This Row],[Sum of Annuals]]</f>
        <v>479.59522768455997</v>
      </c>
      <c r="AZ708" s="81">
        <f>tbl_Data[[#This Row],[Lost Revenue ($/unit)]]/tbl_Data[[#This Row],[kWh Savings]]*tbl_Data[[#This Row],[Sum of Annuals]]</f>
        <v>1190.4787902825628</v>
      </c>
      <c r="BA708" s="81">
        <f>tbl_Data[[#This Row],[Incremental Cost ($/unit)]]/tbl_Data[[#This Row],[kWh Savings]]*tbl_Data[[#This Row],[Sum of Annuals]]</f>
        <v>276.52448368907847</v>
      </c>
      <c r="BB708" s="77">
        <f>ROUNDUP(tbl_Data[[#This Row],[Adjusted 2025]]/$L708,0)</f>
        <v>1</v>
      </c>
      <c r="BC708" s="77">
        <f>ROUNDUP(tbl_Data[[#This Row],[Adjusted 2026]]/$L708,0)</f>
        <v>1</v>
      </c>
      <c r="BD708" s="77">
        <f>ROUNDUP(tbl_Data[[#This Row],[Adjusted 2027]]/$L708,0)</f>
        <v>1</v>
      </c>
      <c r="BE708" s="77">
        <f>ROUNDUP(tbl_Data[[#This Row],[Adjusted 2028]]/$L708,0)</f>
        <v>1</v>
      </c>
      <c r="BF708" s="77">
        <f>ROUNDUP(tbl_Data[[#This Row],[Adjusted 2029]]/$L708,0)</f>
        <v>1</v>
      </c>
      <c r="BG708" s="77">
        <f>ROUNDUP(tbl_Data[[#This Row],[Adjusted 2030]]/$L708,0)</f>
        <v>1</v>
      </c>
      <c r="BH708" s="77">
        <f>ROUNDUP(tbl_Data[[#This Row],[Adjusted 2031]]/$L708,0)</f>
        <v>1</v>
      </c>
      <c r="BI708" s="77">
        <f>ROUNDUP(tbl_Data[[#This Row],[Adjusted 2032]]/$L708,0)</f>
        <v>1</v>
      </c>
      <c r="BJ708" s="77">
        <f>ROUNDUP(tbl_Data[[#This Row],[Adjusted 2033]]/$L708,0)</f>
        <v>1</v>
      </c>
      <c r="BK708" s="77">
        <f>ROUNDUP(tbl_Data[[#This Row],[Adjusted 2034]]/$L708,0)</f>
        <v>1</v>
      </c>
      <c r="BL708" s="80">
        <f t="shared" si="287"/>
        <v>0.5340007649083266</v>
      </c>
      <c r="BM708" s="80">
        <f t="shared" si="288"/>
        <v>1.1415159287727048</v>
      </c>
      <c r="BN708" s="80">
        <f t="shared" si="289"/>
        <v>1.8130937049612119</v>
      </c>
      <c r="BO708" s="80">
        <f t="shared" si="290"/>
        <v>2.5489730255055227</v>
      </c>
      <c r="BP708" s="80">
        <f t="shared" si="291"/>
        <v>3.3396214080691018</v>
      </c>
      <c r="BQ708" s="80">
        <f t="shared" si="292"/>
        <v>4.1816806275736882</v>
      </c>
      <c r="BR708" s="80">
        <f t="shared" si="293"/>
        <v>5.0723548661317386</v>
      </c>
      <c r="BS708" s="80">
        <f t="shared" si="294"/>
        <v>6.0066367506996929</v>
      </c>
      <c r="BT708" s="80">
        <f t="shared" si="295"/>
        <v>6.9841588198702373</v>
      </c>
      <c r="BU708" s="80">
        <f t="shared" si="296"/>
        <v>8.0026399381111446</v>
      </c>
      <c r="BV708" s="80">
        <f>IFERROR(VLOOKUP($H708,'1. Set Program Names'!$B$2:$D$15,3,0)*V708,"NA")</f>
        <v>0.59157484529534599</v>
      </c>
      <c r="BW708" s="80">
        <f>IFERROR(VLOOKUP($H708,'1. Set Program Names'!$B$2:$D$15,3,0)*W708,"NA")</f>
        <v>1.2645901529407273</v>
      </c>
      <c r="BX708" s="80">
        <f>IFERROR(VLOOKUP($H708,'1. Set Program Names'!$B$2:$D$15,3,0)*X708,"NA")</f>
        <v>2.0085750779823837</v>
      </c>
      <c r="BY708" s="80">
        <f>IFERROR(VLOOKUP($H708,'1. Set Program Names'!$B$2:$D$15,3,0)*Y708,"NA")</f>
        <v>2.8237943132615295</v>
      </c>
      <c r="BZ708" s="80">
        <f>IFERROR(VLOOKUP($H708,'1. Set Program Names'!$B$2:$D$15,3,0)*Z708,"NA")</f>
        <v>3.6996876177933329</v>
      </c>
      <c r="CA708" s="80">
        <f>IFERROR(VLOOKUP($H708,'1. Set Program Names'!$B$2:$D$15,3,0)*AA708,"NA")</f>
        <v>4.6325346945076573</v>
      </c>
      <c r="CB708" s="80">
        <f>IFERROR(VLOOKUP($H708,'1. Set Program Names'!$B$2:$D$15,3,0)*AB708,"NA")</f>
        <v>5.6192382902861828</v>
      </c>
      <c r="CC708" s="80">
        <f>IFERROR(VLOOKUP($H708,'1. Set Program Names'!$B$2:$D$15,3,0)*AC708,"NA")</f>
        <v>6.6542511547722762</v>
      </c>
      <c r="CD708" s="80">
        <f>IFERROR(VLOOKUP($H708,'1. Set Program Names'!$B$2:$D$15,3,0)*AD708,"NA")</f>
        <v>7.7371662081648029</v>
      </c>
      <c r="CE708" s="80">
        <f>IFERROR(VLOOKUP($H708,'1. Set Program Names'!$B$2:$D$15,3,0)*AE708,"NA")</f>
        <v>8.8654563709383165</v>
      </c>
    </row>
    <row r="709" spans="1:83" x14ac:dyDescent="0.25">
      <c r="A709" s="79" t="s">
        <v>117</v>
      </c>
      <c r="B709" s="79" t="s">
        <v>88</v>
      </c>
      <c r="C709" s="79" t="s">
        <v>176</v>
      </c>
      <c r="D709" s="79" t="s">
        <v>90</v>
      </c>
      <c r="E709" s="79" t="s">
        <v>91</v>
      </c>
      <c r="F709" s="79" t="s">
        <v>90</v>
      </c>
      <c r="G709" s="79" t="s">
        <v>92</v>
      </c>
      <c r="H709" s="79" t="s">
        <v>16</v>
      </c>
      <c r="I709" s="79" t="s">
        <v>165</v>
      </c>
      <c r="J709" s="79" t="s">
        <v>161</v>
      </c>
      <c r="K709" s="79" t="s">
        <v>166</v>
      </c>
      <c r="L709" s="79">
        <v>565.38999999999896</v>
      </c>
      <c r="M709" s="79">
        <v>6.7728127941350899E-2</v>
      </c>
      <c r="N709" s="79">
        <v>6.5294935157718198E-2</v>
      </c>
      <c r="O709" s="79">
        <v>129</v>
      </c>
      <c r="P709" s="79">
        <v>15.293574707506</v>
      </c>
      <c r="Q709" s="79">
        <v>20.595759636286299</v>
      </c>
      <c r="R709" s="79">
        <v>190.6779313312</v>
      </c>
      <c r="S709" s="79">
        <v>454.767236260907</v>
      </c>
      <c r="T709" s="79">
        <v>10</v>
      </c>
      <c r="U709" s="79">
        <v>0.59999999999999898</v>
      </c>
      <c r="V709" s="79">
        <f>tbl_Data_old[[#This Row],[2025 ]]*IFERROR(AVERAGEIFS('Participation Adjustment'!$C:$C,'Participation Adjustment'!$A:$A,$H709,'Participation Adjustment'!$B:$B,$I709),1)</f>
        <v>0.129538689243234</v>
      </c>
      <c r="W709" s="79">
        <f>tbl_Data_old[[#This Row],[2026 ]]*IFERROR(AVERAGEIFS('Participation Adjustment'!$C:$C,'Participation Adjustment'!$A:$A,$H709,'Participation Adjustment'!$B:$B,$I709),1)</f>
        <v>0.30840106044782301</v>
      </c>
      <c r="X709" s="79">
        <f>tbl_Data_old[[#This Row],[2027 ]]*IFERROR(AVERAGEIFS('Participation Adjustment'!$C:$C,'Participation Adjustment'!$A:$A,$H709,'Participation Adjustment'!$B:$B,$I709),1)</f>
        <v>0.54768393166796503</v>
      </c>
      <c r="Y709" s="79">
        <f>tbl_Data_old[[#This Row],[2028 ]]*IFERROR(AVERAGEIFS('Participation Adjustment'!$C:$C,'Participation Adjustment'!$A:$A,$H709,'Participation Adjustment'!$B:$B,$I709),1)</f>
        <v>0.85982046138158397</v>
      </c>
      <c r="Z709" s="79">
        <f>tbl_Data_old[[#This Row],[2029 ]]*IFERROR(AVERAGEIFS('Participation Adjustment'!$C:$C,'Participation Adjustment'!$A:$A,$H709,'Participation Adjustment'!$B:$B,$I709),1)</f>
        <v>1.2494982788936499</v>
      </c>
      <c r="AA709" s="79">
        <f>tbl_Data_old[[#This Row],[2030 ]]*IFERROR(AVERAGEIFS('Participation Adjustment'!$C:$C,'Participation Adjustment'!$A:$A,$H709,'Participation Adjustment'!$B:$B,$I709),1)</f>
        <v>1.7120537888359399</v>
      </c>
      <c r="AB709" s="79">
        <f>tbl_Data_old[[#This Row],[2031 ]]*IFERROR(AVERAGEIFS('Participation Adjustment'!$C:$C,'Participation Adjustment'!$A:$A,$H709,'Participation Adjustment'!$B:$B,$I709),1)</f>
        <v>2.2275678202237801</v>
      </c>
      <c r="AC709" s="79">
        <f>tbl_Data_old[[#This Row],[2032 ]]*IFERROR(AVERAGEIFS('Participation Adjustment'!$C:$C,'Participation Adjustment'!$A:$A,$H709,'Participation Adjustment'!$B:$B,$I709),1)</f>
        <v>2.7592485191468801</v>
      </c>
      <c r="AD709" s="79">
        <f>tbl_Data_old[[#This Row],[2033 ]]*IFERROR(AVERAGEIFS('Participation Adjustment'!$C:$C,'Participation Adjustment'!$A:$A,$H709,'Participation Adjustment'!$B:$B,$I709),1)</f>
        <v>3.26265213438632</v>
      </c>
      <c r="AE709" s="79">
        <f>tbl_Data_old[[#This Row],[2034 ]]*IFERROR(AVERAGEIFS('Participation Adjustment'!$C:$C,'Participation Adjustment'!$A:$A,$H709,'Participation Adjustment'!$B:$B,$I709),1)</f>
        <v>3.6982877229586499</v>
      </c>
      <c r="AF709" s="77" t="str">
        <f t="shared" si="286"/>
        <v>NonResidential</v>
      </c>
      <c r="AG709" s="77" t="str">
        <f>tbl_Data[[#This Row],[All_Meas_Name_Append]]</f>
        <v>Occupancy Sensors_ Ceiling Mounted</v>
      </c>
      <c r="AH709" s="77">
        <f>AVERAGEIFS('3. Incentive Adjustment'!G:G,'3. Incentive Adjustment'!A:A,tbl_Data[[#This Row],[Trimmed Sector]],'3. Incentive Adjustment'!B:B,tbl_Data[[#This Row],[Trimmed Measure Name]])</f>
        <v>0.99348124042467356</v>
      </c>
      <c r="AI709" s="77">
        <f>$AH709*tbl_Data[[#This Row],[2025 ]]</f>
        <v>0.12869425767235443</v>
      </c>
      <c r="AJ709" s="77">
        <f>$AH709*tbl_Data[[#This Row],[2026 ]]</f>
        <v>0.30639066808198795</v>
      </c>
      <c r="AK709" s="77">
        <f>$AH709*tbl_Data[[#This Row],[2027 ]]</f>
        <v>0.54411371179415202</v>
      </c>
      <c r="AL709" s="77">
        <f>$AH709*tbl_Data[[#This Row],[2028 ]]</f>
        <v>0.85421549851589118</v>
      </c>
      <c r="AM709" s="77">
        <f>$AH709*tbl_Data[[#This Row],[2029 ]]</f>
        <v>1.2413531000237581</v>
      </c>
      <c r="AN709" s="77">
        <f>$AH709*tbl_Data[[#This Row],[2030 ]]</f>
        <v>1.7008933218064917</v>
      </c>
      <c r="AO709" s="77">
        <f>$AH709*tbl_Data[[#This Row],[2031 ]]</f>
        <v>2.2130468411660074</v>
      </c>
      <c r="AP709" s="77">
        <f>$AH709*tbl_Data[[#This Row],[2032 ]]</f>
        <v>2.7412616414419859</v>
      </c>
      <c r="AQ709" s="77">
        <f>$AH709*tbl_Data[[#This Row],[2033 ]]</f>
        <v>3.24138368954433</v>
      </c>
      <c r="AR709" s="77">
        <f>$AH709*tbl_Data[[#This Row],[2034 ]]</f>
        <v>3.6741794744523011</v>
      </c>
      <c r="AS709" s="77">
        <f>SUM(tbl_Data[[#This Row],[Adjusted 2025]:[Adjusted 2034]])</f>
        <v>16.645532204499261</v>
      </c>
      <c r="AT709" s="80">
        <f>AVERAGEIFS('3. Incentive Adjustment'!F:F,'3. Incentive Adjustment'!A:A,tbl_Data[[#This Row],[Trimmed Sector]],'3. Incentive Adjustment'!B:B,tbl_Data[[#This Row],[Trimmed Measure Name]])</f>
        <v>19.547634357270656</v>
      </c>
      <c r="AU709" s="80">
        <f>IFERROR(VLOOKUP(tbl_Data[[#This Row],[All_Meas_Name_Append]],'IRA Tax Credits'!$A$3:$D$46,4,0),0)</f>
        <v>0</v>
      </c>
      <c r="AV709" s="81">
        <f>tbl_Data[[#This Row],[Adj. per unit Incentive ($)]]/tbl_Data[[#This Row],[kWh Savings]]*tbl_Data[[#This Row],[Sum of Annuals]]</f>
        <v>0.57549793455088616</v>
      </c>
      <c r="AW709" s="81">
        <f>IFERROR(VLOOKUP(tbl_Data[[#This Row],[Column1]],'1. Set Program Names'!$B$2:$D$15,3,0)*tbl_Data[[#This Row],[Sum of Annuals]],"")</f>
        <v>0.60635557809995078</v>
      </c>
      <c r="AX709" s="81">
        <f>tbl_Data[[#This Row],[per unit IRA tax ($)]]/tbl_Data[[#This Row],[kWh Savings]]*tbl_Data[[#This Row],[Sum of Annuals]]</f>
        <v>0</v>
      </c>
      <c r="AY709" s="81">
        <f>tbl_Data[[#This Row],[Avoided Costs ($/unit)]]/tbl_Data[[#This Row],[kWh Savings]]*tbl_Data[[#This Row],[Sum of Annuals]]</f>
        <v>5.6137102648805151</v>
      </c>
      <c r="AZ709" s="81">
        <f>tbl_Data[[#This Row],[Lost Revenue ($/unit)]]/tbl_Data[[#This Row],[kWh Savings]]*tbl_Data[[#This Row],[Sum of Annuals]]</f>
        <v>13.388709875894632</v>
      </c>
      <c r="BA709" s="81">
        <f>tbl_Data[[#This Row],[Incremental Cost ($/unit)]]/tbl_Data[[#This Row],[kWh Savings]]*tbl_Data[[#This Row],[Sum of Annuals]]</f>
        <v>3.7978628104147734</v>
      </c>
      <c r="BB709" s="77">
        <f>ROUNDUP(tbl_Data[[#This Row],[Adjusted 2025]]/$L709,0)</f>
        <v>1</v>
      </c>
      <c r="BC709" s="77">
        <f>ROUNDUP(tbl_Data[[#This Row],[Adjusted 2026]]/$L709,0)</f>
        <v>1</v>
      </c>
      <c r="BD709" s="77">
        <f>ROUNDUP(tbl_Data[[#This Row],[Adjusted 2027]]/$L709,0)</f>
        <v>1</v>
      </c>
      <c r="BE709" s="77">
        <f>ROUNDUP(tbl_Data[[#This Row],[Adjusted 2028]]/$L709,0)</f>
        <v>1</v>
      </c>
      <c r="BF709" s="77">
        <f>ROUNDUP(tbl_Data[[#This Row],[Adjusted 2029]]/$L709,0)</f>
        <v>1</v>
      </c>
      <c r="BG709" s="77">
        <f>ROUNDUP(tbl_Data[[#This Row],[Adjusted 2030]]/$L709,0)</f>
        <v>1</v>
      </c>
      <c r="BH709" s="77">
        <f>ROUNDUP(tbl_Data[[#This Row],[Adjusted 2031]]/$L709,0)</f>
        <v>1</v>
      </c>
      <c r="BI709" s="77">
        <f>ROUNDUP(tbl_Data[[#This Row],[Adjusted 2032]]/$L709,0)</f>
        <v>1</v>
      </c>
      <c r="BJ709" s="77">
        <f>ROUNDUP(tbl_Data[[#This Row],[Adjusted 2033]]/$L709,0)</f>
        <v>1</v>
      </c>
      <c r="BK709" s="77">
        <f>ROUNDUP(tbl_Data[[#This Row],[Adjusted 2034]]/$L709,0)</f>
        <v>1</v>
      </c>
      <c r="BL709" s="80">
        <f t="shared" si="287"/>
        <v>4.4786340976084686E-3</v>
      </c>
      <c r="BM709" s="80">
        <f t="shared" si="288"/>
        <v>1.0662571260596368E-2</v>
      </c>
      <c r="BN709" s="80">
        <f t="shared" si="289"/>
        <v>1.8935469745835275E-2</v>
      </c>
      <c r="BO709" s="80">
        <f t="shared" si="290"/>
        <v>2.9727190067010363E-2</v>
      </c>
      <c r="BP709" s="80">
        <f t="shared" si="291"/>
        <v>4.3199800997279943E-2</v>
      </c>
      <c r="BQ709" s="80">
        <f t="shared" si="292"/>
        <v>5.919206470603456E-2</v>
      </c>
      <c r="BR709" s="80">
        <f t="shared" si="293"/>
        <v>7.7015301395067029E-2</v>
      </c>
      <c r="BS709" s="80">
        <f t="shared" si="294"/>
        <v>9.5397479886669079E-2</v>
      </c>
      <c r="BT709" s="80">
        <f t="shared" si="295"/>
        <v>0.11280201446426817</v>
      </c>
      <c r="BU709" s="80">
        <f t="shared" si="296"/>
        <v>0.12786355640598329</v>
      </c>
      <c r="BV709" s="80">
        <f>IFERROR(VLOOKUP($H709,'1. Set Program Names'!$B$2:$D$15,3,0)*V709,"NA")</f>
        <v>4.7187741333473273E-3</v>
      </c>
      <c r="BW709" s="80">
        <f>IFERROR(VLOOKUP($H709,'1. Set Program Names'!$B$2:$D$15,3,0)*W709,"NA")</f>
        <v>1.1234288035796873E-2</v>
      </c>
      <c r="BX709" s="80">
        <f>IFERROR(VLOOKUP($H709,'1. Set Program Names'!$B$2:$D$15,3,0)*X709,"NA")</f>
        <v>1.9950771349492757E-2</v>
      </c>
      <c r="BY709" s="80">
        <f>IFERROR(VLOOKUP($H709,'1. Set Program Names'!$B$2:$D$15,3,0)*Y709,"NA")</f>
        <v>3.1321133293790077E-2</v>
      </c>
      <c r="BZ709" s="80">
        <f>IFERROR(VLOOKUP($H709,'1. Set Program Names'!$B$2:$D$15,3,0)*Z709,"NA")</f>
        <v>4.5516132612970085E-2</v>
      </c>
      <c r="CA709" s="80">
        <f>IFERROR(VLOOKUP($H709,'1. Set Program Names'!$B$2:$D$15,3,0)*AA709,"NA")</f>
        <v>6.2365886059637499E-2</v>
      </c>
      <c r="CB709" s="80">
        <f>IFERROR(VLOOKUP($H709,'1. Set Program Names'!$B$2:$D$15,3,0)*AB709,"NA")</f>
        <v>8.1144787489795367E-2</v>
      </c>
      <c r="CC709" s="80">
        <f>IFERROR(VLOOKUP($H709,'1. Set Program Names'!$B$2:$D$15,3,0)*AC709,"NA")</f>
        <v>0.10051260064226167</v>
      </c>
      <c r="CD709" s="80">
        <f>IFERROR(VLOOKUP($H709,'1. Set Program Names'!$B$2:$D$15,3,0)*AD709,"NA")</f>
        <v>0.1188503495580704</v>
      </c>
      <c r="CE709" s="80">
        <f>IFERROR(VLOOKUP($H709,'1. Set Program Names'!$B$2:$D$15,3,0)*AE709,"NA")</f>
        <v>0.13471947683525581</v>
      </c>
    </row>
    <row r="710" spans="1:83" x14ac:dyDescent="0.25">
      <c r="A710" s="79" t="s">
        <v>87</v>
      </c>
      <c r="B710" s="79" t="s">
        <v>88</v>
      </c>
      <c r="C710" s="79" t="s">
        <v>176</v>
      </c>
      <c r="D710" s="79" t="s">
        <v>90</v>
      </c>
      <c r="E710" s="79" t="s">
        <v>91</v>
      </c>
      <c r="F710" s="79" t="s">
        <v>90</v>
      </c>
      <c r="G710" s="79" t="s">
        <v>92</v>
      </c>
      <c r="H710" s="79" t="s">
        <v>18</v>
      </c>
      <c r="I710" s="79" t="s">
        <v>177</v>
      </c>
      <c r="J710" s="79" t="s">
        <v>178</v>
      </c>
      <c r="K710" s="79" t="s">
        <v>102</v>
      </c>
      <c r="L710" s="79">
        <v>25265.069999999901</v>
      </c>
      <c r="M710" s="79">
        <v>3.0268587641170099</v>
      </c>
      <c r="N710" s="79">
        <v>2.9158027991200801</v>
      </c>
      <c r="O710" s="79">
        <v>7160.52</v>
      </c>
      <c r="P710" s="79">
        <v>2094.8798923726799</v>
      </c>
      <c r="Q710" s="79">
        <v>799.59389150061804</v>
      </c>
      <c r="R710" s="79">
        <v>8516.48438813961</v>
      </c>
      <c r="S710" s="79">
        <v>20321.770915365199</v>
      </c>
      <c r="T710" s="79">
        <v>10</v>
      </c>
      <c r="U710" s="79">
        <v>1</v>
      </c>
      <c r="V710" s="79">
        <f>tbl_Data_old[[#This Row],[2025 ]]*IFERROR(AVERAGEIFS('Participation Adjustment'!$C:$C,'Participation Adjustment'!$A:$A,$H710,'Participation Adjustment'!$B:$B,$I710),1)</f>
        <v>3532.6884127345002</v>
      </c>
      <c r="W710" s="79">
        <f>tbl_Data_old[[#This Row],[2026 ]]*IFERROR(AVERAGEIFS('Participation Adjustment'!$C:$C,'Participation Adjustment'!$A:$A,$H710,'Participation Adjustment'!$B:$B,$I710),1)</f>
        <v>3368.8630089465501</v>
      </c>
      <c r="X710" s="79">
        <f>tbl_Data_old[[#This Row],[2027 ]]*IFERROR(AVERAGEIFS('Participation Adjustment'!$C:$C,'Participation Adjustment'!$A:$A,$H710,'Participation Adjustment'!$B:$B,$I710),1)</f>
        <v>3169.6411927149002</v>
      </c>
      <c r="Y710" s="79">
        <f>tbl_Data_old[[#This Row],[2028 ]]*IFERROR(AVERAGEIFS('Participation Adjustment'!$C:$C,'Participation Adjustment'!$A:$A,$H710,'Participation Adjustment'!$B:$B,$I710),1)</f>
        <v>2984.0205192325002</v>
      </c>
      <c r="Z710" s="79">
        <f>tbl_Data_old[[#This Row],[2029 ]]*IFERROR(AVERAGEIFS('Participation Adjustment'!$C:$C,'Participation Adjustment'!$A:$A,$H710,'Participation Adjustment'!$B:$B,$I710),1)</f>
        <v>2784.1293878666302</v>
      </c>
      <c r="AA710" s="79">
        <f>tbl_Data_old[[#This Row],[2030 ]]*IFERROR(AVERAGEIFS('Participation Adjustment'!$C:$C,'Participation Adjustment'!$A:$A,$H710,'Participation Adjustment'!$B:$B,$I710),1)</f>
        <v>2590.41609207482</v>
      </c>
      <c r="AB710" s="79">
        <f>tbl_Data_old[[#This Row],[2031 ]]*IFERROR(AVERAGEIFS('Participation Adjustment'!$C:$C,'Participation Adjustment'!$A:$A,$H710,'Participation Adjustment'!$B:$B,$I710),1)</f>
        <v>2407.7384468270998</v>
      </c>
      <c r="AC710" s="79">
        <f>tbl_Data_old[[#This Row],[2032 ]]*IFERROR(AVERAGEIFS('Participation Adjustment'!$C:$C,'Participation Adjustment'!$A:$A,$H710,'Participation Adjustment'!$B:$B,$I710),1)</f>
        <v>2228.5582709816299</v>
      </c>
      <c r="AD710" s="79">
        <f>tbl_Data_old[[#This Row],[2033 ]]*IFERROR(AVERAGEIFS('Participation Adjustment'!$C:$C,'Participation Adjustment'!$A:$A,$H710,'Participation Adjustment'!$B:$B,$I710),1)</f>
        <v>2068.46712105811</v>
      </c>
      <c r="AE710" s="79">
        <f>tbl_Data_old[[#This Row],[2034 ]]*IFERROR(AVERAGEIFS('Participation Adjustment'!$C:$C,'Participation Adjustment'!$A:$A,$H710,'Participation Adjustment'!$B:$B,$I710),1)</f>
        <v>1920.0321137322801</v>
      </c>
      <c r="AF710" s="77" t="str">
        <f t="shared" ref="AF710:AF741" si="297">IF(C710="Residential","Residential","NonResidential")</f>
        <v>NonResidential</v>
      </c>
      <c r="AG710" s="77" t="str">
        <f>tbl_Data[[#This Row],[All_Meas_Name_Append]]</f>
        <v>Airside economizer_13</v>
      </c>
      <c r="AH710" s="77">
        <f>AVERAGEIFS('3. Incentive Adjustment'!G:G,'3. Incentive Adjustment'!A:A,tbl_Data[[#This Row],[Trimmed Sector]],'3. Incentive Adjustment'!B:B,tbl_Data[[#This Row],[Trimmed Measure Name]])</f>
        <v>1</v>
      </c>
      <c r="AI710" s="77">
        <f>$AH710*tbl_Data[[#This Row],[2025 ]]</f>
        <v>3532.6884127345002</v>
      </c>
      <c r="AJ710" s="77">
        <f>$AH710*tbl_Data[[#This Row],[2026 ]]</f>
        <v>3368.8630089465501</v>
      </c>
      <c r="AK710" s="77">
        <f>$AH710*tbl_Data[[#This Row],[2027 ]]</f>
        <v>3169.6411927149002</v>
      </c>
      <c r="AL710" s="77">
        <f>$AH710*tbl_Data[[#This Row],[2028 ]]</f>
        <v>2984.0205192325002</v>
      </c>
      <c r="AM710" s="77">
        <f>$AH710*tbl_Data[[#This Row],[2029 ]]</f>
        <v>2784.1293878666302</v>
      </c>
      <c r="AN710" s="77">
        <f>$AH710*tbl_Data[[#This Row],[2030 ]]</f>
        <v>2590.41609207482</v>
      </c>
      <c r="AO710" s="77">
        <f>$AH710*tbl_Data[[#This Row],[2031 ]]</f>
        <v>2407.7384468270998</v>
      </c>
      <c r="AP710" s="77">
        <f>$AH710*tbl_Data[[#This Row],[2032 ]]</f>
        <v>2228.5582709816299</v>
      </c>
      <c r="AQ710" s="77">
        <f>$AH710*tbl_Data[[#This Row],[2033 ]]</f>
        <v>2068.46712105811</v>
      </c>
      <c r="AR710" s="77">
        <f>$AH710*tbl_Data[[#This Row],[2034 ]]</f>
        <v>1920.0321137322801</v>
      </c>
      <c r="AS710" s="77">
        <f>SUM(tbl_Data[[#This Row],[Adjusted 2025]:[Adjusted 2034]])</f>
        <v>27054.554566169023</v>
      </c>
      <c r="AT710" s="80">
        <f>AVERAGEIFS('3. Incentive Adjustment'!F:F,'3. Incentive Adjustment'!A:A,tbl_Data[[#This Row],[Trimmed Sector]],'3. Incentive Adjustment'!B:B,tbl_Data[[#This Row],[Trimmed Measure Name]])</f>
        <v>2094.8798923726795</v>
      </c>
      <c r="AU710" s="80">
        <f>IFERROR(VLOOKUP(tbl_Data[[#This Row],[All_Meas_Name_Append]],'IRA Tax Credits'!$A$3:$D$46,4,0),0)</f>
        <v>0</v>
      </c>
      <c r="AV710" s="81">
        <f>tbl_Data[[#This Row],[Adj. per unit Incentive ($)]]/tbl_Data[[#This Row],[kWh Savings]]*tbl_Data[[#This Row],[Sum of Annuals]]</f>
        <v>2243.2568901557433</v>
      </c>
      <c r="AW710" s="81">
        <f>IFERROR(VLOOKUP(tbl_Data[[#This Row],[Column1]],'1. Set Program Names'!$B$2:$D$15,3,0)*tbl_Data[[#This Row],[Sum of Annuals]],"")</f>
        <v>856.22785008626329</v>
      </c>
      <c r="AX710" s="81">
        <f>tbl_Data[[#This Row],[per unit IRA tax ($)]]/tbl_Data[[#This Row],[kWh Savings]]*tbl_Data[[#This Row],[Sum of Annuals]]</f>
        <v>0</v>
      </c>
      <c r="AY710" s="81">
        <f>tbl_Data[[#This Row],[Avoided Costs ($/unit)]]/tbl_Data[[#This Row],[kWh Savings]]*tbl_Data[[#This Row],[Sum of Annuals]]</f>
        <v>9119.6933786785703</v>
      </c>
      <c r="AZ710" s="81">
        <f>tbl_Data[[#This Row],[Lost Revenue ($/unit)]]/tbl_Data[[#This Row],[kWh Savings]]*tbl_Data[[#This Row],[Sum of Annuals]]</f>
        <v>21761.12950056883</v>
      </c>
      <c r="BA710" s="81">
        <f>tbl_Data[[#This Row],[Incremental Cost ($/unit)]]/tbl_Data[[#This Row],[kWh Savings]]*tbl_Data[[#This Row],[Sum of Annuals]]</f>
        <v>7667.6881980594299</v>
      </c>
      <c r="BB710" s="77">
        <f>ROUNDUP(tbl_Data[[#This Row],[Adjusted 2025]]/$L710,0)</f>
        <v>1</v>
      </c>
      <c r="BC710" s="77">
        <f>ROUNDUP(tbl_Data[[#This Row],[Adjusted 2026]]/$L710,0)</f>
        <v>1</v>
      </c>
      <c r="BD710" s="77">
        <f>ROUNDUP(tbl_Data[[#This Row],[Adjusted 2027]]/$L710,0)</f>
        <v>1</v>
      </c>
      <c r="BE710" s="77">
        <f>ROUNDUP(tbl_Data[[#This Row],[Adjusted 2028]]/$L710,0)</f>
        <v>1</v>
      </c>
      <c r="BF710" s="77">
        <f>ROUNDUP(tbl_Data[[#This Row],[Adjusted 2029]]/$L710,0)</f>
        <v>1</v>
      </c>
      <c r="BG710" s="77">
        <f>ROUNDUP(tbl_Data[[#This Row],[Adjusted 2030]]/$L710,0)</f>
        <v>1</v>
      </c>
      <c r="BH710" s="77">
        <f>ROUNDUP(tbl_Data[[#This Row],[Adjusted 2031]]/$L710,0)</f>
        <v>1</v>
      </c>
      <c r="BI710" s="77">
        <f>ROUNDUP(tbl_Data[[#This Row],[Adjusted 2032]]/$L710,0)</f>
        <v>1</v>
      </c>
      <c r="BJ710" s="77">
        <f>ROUNDUP(tbl_Data[[#This Row],[Adjusted 2033]]/$L710,0)</f>
        <v>1</v>
      </c>
      <c r="BK710" s="77">
        <f>ROUNDUP(tbl_Data[[#This Row],[Adjusted 2034]]/$L710,0)</f>
        <v>1</v>
      </c>
      <c r="BL710" s="80">
        <f t="shared" ref="BL710:BL741" si="298">$AT710/$L710*V710</f>
        <v>292.91658094972587</v>
      </c>
      <c r="BM710" s="80">
        <f t="shared" ref="BM710:BM741" si="299">$AT710/$L710*W710</f>
        <v>279.33282502681675</v>
      </c>
      <c r="BN710" s="80">
        <f t="shared" ref="BN710:BN741" si="300">$AT710/$L710*X710</f>
        <v>262.81413828082123</v>
      </c>
      <c r="BO710" s="80">
        <f t="shared" ref="BO710:BO741" si="301">$AT710/$L710*Y710</f>
        <v>247.42320461283785</v>
      </c>
      <c r="BP710" s="80">
        <f t="shared" ref="BP710:BP741" si="302">$AT710/$L710*Z710</f>
        <v>230.84902089745577</v>
      </c>
      <c r="BQ710" s="80">
        <f t="shared" ref="BQ710:BQ741" si="303">$AT710/$L710*AA710</f>
        <v>214.78707892620827</v>
      </c>
      <c r="BR710" s="80">
        <f t="shared" ref="BR710:BR741" si="304">$AT710/$L710*AB710</f>
        <v>199.64016954438426</v>
      </c>
      <c r="BS710" s="80">
        <f t="shared" ref="BS710:BS741" si="305">$AT710/$L710*AC710</f>
        <v>184.78325652215725</v>
      </c>
      <c r="BT710" s="80">
        <f t="shared" ref="BT710:BT741" si="306">$AT710/$L710*AD710</f>
        <v>171.50913019194709</v>
      </c>
      <c r="BU710" s="80">
        <f t="shared" ref="BU710:BU741" si="307">$AT710/$L710*AE710</f>
        <v>159.20148520338881</v>
      </c>
      <c r="BV710" s="80">
        <f>IFERROR(VLOOKUP($H710,'1. Set Program Names'!$B$2:$D$15,3,0)*V710,"NA")</f>
        <v>111.8032158785836</v>
      </c>
      <c r="BW710" s="80">
        <f>IFERROR(VLOOKUP($H710,'1. Set Program Names'!$B$2:$D$15,3,0)*W710,"NA")</f>
        <v>106.61843736257444</v>
      </c>
      <c r="BX710" s="80">
        <f>IFERROR(VLOOKUP($H710,'1. Set Program Names'!$B$2:$D$15,3,0)*X710,"NA")</f>
        <v>100.31342624198439</v>
      </c>
      <c r="BY710" s="80">
        <f>IFERROR(VLOOKUP($H710,'1. Set Program Names'!$B$2:$D$15,3,0)*Y710,"NA")</f>
        <v>94.438866755200536</v>
      </c>
      <c r="BZ710" s="80">
        <f>IFERROR(VLOOKUP($H710,'1. Set Program Names'!$B$2:$D$15,3,0)*Z710,"NA")</f>
        <v>88.112673017945994</v>
      </c>
      <c r="CA710" s="80">
        <f>IFERROR(VLOOKUP($H710,'1. Set Program Names'!$B$2:$D$15,3,0)*AA710,"NA")</f>
        <v>81.981996632818849</v>
      </c>
      <c r="CB710" s="80">
        <f>IFERROR(VLOOKUP($H710,'1. Set Program Names'!$B$2:$D$15,3,0)*AB710,"NA")</f>
        <v>76.200578680927393</v>
      </c>
      <c r="CC710" s="80">
        <f>IFERROR(VLOOKUP($H710,'1. Set Program Names'!$B$2:$D$15,3,0)*AC710,"NA")</f>
        <v>70.529849326761962</v>
      </c>
      <c r="CD710" s="80">
        <f>IFERROR(VLOOKUP($H710,'1. Set Program Names'!$B$2:$D$15,3,0)*AD710,"NA")</f>
        <v>65.463253209586895</v>
      </c>
      <c r="CE710" s="80">
        <f>IFERROR(VLOOKUP($H710,'1. Set Program Names'!$B$2:$D$15,3,0)*AE710,"NA")</f>
        <v>60.765552979879104</v>
      </c>
    </row>
    <row r="711" spans="1:83" x14ac:dyDescent="0.25">
      <c r="A711" s="79" t="s">
        <v>87</v>
      </c>
      <c r="B711" s="79" t="s">
        <v>88</v>
      </c>
      <c r="C711" s="79" t="s">
        <v>176</v>
      </c>
      <c r="D711" s="79" t="s">
        <v>90</v>
      </c>
      <c r="E711" s="79" t="s">
        <v>91</v>
      </c>
      <c r="F711" s="79" t="s">
        <v>90</v>
      </c>
      <c r="G711" s="79" t="s">
        <v>92</v>
      </c>
      <c r="H711" s="79" t="s">
        <v>18</v>
      </c>
      <c r="I711" s="79" t="s">
        <v>185</v>
      </c>
      <c r="J711" s="79" t="s">
        <v>178</v>
      </c>
      <c r="K711" s="79" t="s">
        <v>102</v>
      </c>
      <c r="L711" s="79">
        <v>37372.818333333198</v>
      </c>
      <c r="M711" s="79">
        <v>4.4774165562178503</v>
      </c>
      <c r="N711" s="79">
        <v>4.3131393780955101</v>
      </c>
      <c r="O711" s="79">
        <v>14201.670833333301</v>
      </c>
      <c r="P711" s="79">
        <v>6684.0523958317799</v>
      </c>
      <c r="Q711" s="79">
        <v>1182.7822858791001</v>
      </c>
      <c r="R711" s="79">
        <v>15980.395267902501</v>
      </c>
      <c r="S711" s="79">
        <v>39692.564194744999</v>
      </c>
      <c r="T711" s="79">
        <v>15</v>
      </c>
      <c r="U711" s="79">
        <v>1</v>
      </c>
      <c r="V711" s="79">
        <f>tbl_Data_old[[#This Row],[2025 ]]*IFERROR(AVERAGEIFS('Participation Adjustment'!$C:$C,'Participation Adjustment'!$A:$A,$H711,'Participation Adjustment'!$B:$B,$I711),1)</f>
        <v>19886.4222740353</v>
      </c>
      <c r="W711" s="79">
        <f>tbl_Data_old[[#This Row],[2026 ]]*IFERROR(AVERAGEIFS('Participation Adjustment'!$C:$C,'Participation Adjustment'!$A:$A,$H711,'Participation Adjustment'!$B:$B,$I711),1)</f>
        <v>22623.208945813902</v>
      </c>
      <c r="X711" s="79">
        <f>tbl_Data_old[[#This Row],[2027 ]]*IFERROR(AVERAGEIFS('Participation Adjustment'!$C:$C,'Participation Adjustment'!$A:$A,$H711,'Participation Adjustment'!$B:$B,$I711),1)</f>
        <v>25008.013867943999</v>
      </c>
      <c r="Y711" s="79">
        <f>tbl_Data_old[[#This Row],[2028 ]]*IFERROR(AVERAGEIFS('Participation Adjustment'!$C:$C,'Participation Adjustment'!$A:$A,$H711,'Participation Adjustment'!$B:$B,$I711),1)</f>
        <v>27400.329618001098</v>
      </c>
      <c r="Z711" s="79">
        <f>tbl_Data_old[[#This Row],[2029 ]]*IFERROR(AVERAGEIFS('Participation Adjustment'!$C:$C,'Participation Adjustment'!$A:$A,$H711,'Participation Adjustment'!$B:$B,$I711),1)</f>
        <v>29439.3688409641</v>
      </c>
      <c r="AA711" s="79">
        <f>tbl_Data_old[[#This Row],[2030 ]]*IFERROR(AVERAGEIFS('Participation Adjustment'!$C:$C,'Participation Adjustment'!$A:$A,$H711,'Participation Adjustment'!$B:$B,$I711),1)</f>
        <v>31352.6568783205</v>
      </c>
      <c r="AB711" s="79">
        <f>tbl_Data_old[[#This Row],[2031 ]]*IFERROR(AVERAGEIFS('Participation Adjustment'!$C:$C,'Participation Adjustment'!$A:$A,$H711,'Participation Adjustment'!$B:$B,$I711),1)</f>
        <v>33161.398597013802</v>
      </c>
      <c r="AC711" s="79">
        <f>tbl_Data_old[[#This Row],[2032 ]]*IFERROR(AVERAGEIFS('Participation Adjustment'!$C:$C,'Participation Adjustment'!$A:$A,$H711,'Participation Adjustment'!$B:$B,$I711),1)</f>
        <v>34784.667670078401</v>
      </c>
      <c r="AD711" s="79">
        <f>tbl_Data_old[[#This Row],[2033 ]]*IFERROR(AVERAGEIFS('Participation Adjustment'!$C:$C,'Participation Adjustment'!$A:$A,$H711,'Participation Adjustment'!$B:$B,$I711),1)</f>
        <v>36393.305316605401</v>
      </c>
      <c r="AE711" s="79">
        <f>tbl_Data_old[[#This Row],[2034 ]]*IFERROR(AVERAGEIFS('Participation Adjustment'!$C:$C,'Participation Adjustment'!$A:$A,$H711,'Participation Adjustment'!$B:$B,$I711),1)</f>
        <v>37917.092512181298</v>
      </c>
      <c r="AF711" s="77" t="str">
        <f t="shared" si="297"/>
        <v>NonResidential</v>
      </c>
      <c r="AG711" s="77" t="str">
        <f>tbl_Data[[#This Row],[All_Meas_Name_Append]]</f>
        <v>Custom Measure - Non-Lighting_70</v>
      </c>
      <c r="AH711" s="77">
        <f>AVERAGEIFS('3. Incentive Adjustment'!G:G,'3. Incentive Adjustment'!A:A,tbl_Data[[#This Row],[Trimmed Sector]],'3. Incentive Adjustment'!B:B,tbl_Data[[#This Row],[Trimmed Measure Name]])</f>
        <v>0.82269267220071174</v>
      </c>
      <c r="AI711" s="77">
        <f>$AH711*tbl_Data[[#This Row],[2025 ]]</f>
        <v>16360.413881137856</v>
      </c>
      <c r="AJ711" s="77">
        <f>$AH711*tbl_Data[[#This Row],[2026 ]]</f>
        <v>18611.948221386687</v>
      </c>
      <c r="AK711" s="77">
        <f>$AH711*tbl_Data[[#This Row],[2027 ]]</f>
        <v>20573.909755451306</v>
      </c>
      <c r="AL711" s="77">
        <f>$AH711*tbl_Data[[#This Row],[2028 ]]</f>
        <v>22542.05039261363</v>
      </c>
      <c r="AM711" s="77">
        <f>$AH711*tbl_Data[[#This Row],[2029 ]]</f>
        <v>24219.553019675124</v>
      </c>
      <c r="AN711" s="77">
        <f>$AH711*tbl_Data[[#This Row],[2030 ]]</f>
        <v>25793.601067817519</v>
      </c>
      <c r="AO711" s="77">
        <f>$AH711*tbl_Data[[#This Row],[2031 ]]</f>
        <v>27281.639625690219</v>
      </c>
      <c r="AP711" s="77">
        <f>$AH711*tbl_Data[[#This Row],[2032 ]]</f>
        <v>28617.091197110505</v>
      </c>
      <c r="AQ711" s="77">
        <f>$AH711*tbl_Data[[#This Row],[2033 ]]</f>
        <v>29940.505601134468</v>
      </c>
      <c r="AR711" s="77">
        <f>$AH711*tbl_Data[[#This Row],[2034 ]]</f>
        <v>31194.114160928031</v>
      </c>
      <c r="AS711" s="77">
        <f>SUM(tbl_Data[[#This Row],[Adjusted 2025]:[Adjusted 2034]])</f>
        <v>245134.82692294536</v>
      </c>
      <c r="AT711" s="80">
        <f>AVERAGEIFS('3. Incentive Adjustment'!F:F,'3. Incentive Adjustment'!A:A,tbl_Data[[#This Row],[Trimmed Sector]],'3. Incentive Adjustment'!B:B,tbl_Data[[#This Row],[Trimmed Measure Name]])</f>
        <v>3919.5698976361523</v>
      </c>
      <c r="AU711" s="80">
        <f>IFERROR(VLOOKUP(tbl_Data[[#This Row],[All_Meas_Name_Append]],'IRA Tax Credits'!$A$3:$D$46,4,0),0)</f>
        <v>0</v>
      </c>
      <c r="AV711" s="81">
        <f>tbl_Data[[#This Row],[Adj. per unit Incentive ($)]]/tbl_Data[[#This Row],[kWh Savings]]*tbl_Data[[#This Row],[Sum of Annuals]]</f>
        <v>25709.141866147595</v>
      </c>
      <c r="AW711" s="81">
        <f>IFERROR(VLOOKUP(tbl_Data[[#This Row],[Column1]],'1. Set Program Names'!$B$2:$D$15,3,0)*tbl_Data[[#This Row],[Sum of Annuals]],"")</f>
        <v>7758.0750895069259</v>
      </c>
      <c r="AX711" s="81">
        <f>tbl_Data[[#This Row],[per unit IRA tax ($)]]/tbl_Data[[#This Row],[kWh Savings]]*tbl_Data[[#This Row],[Sum of Annuals]]</f>
        <v>0</v>
      </c>
      <c r="AY711" s="81">
        <f>tbl_Data[[#This Row],[Avoided Costs ($/unit)]]/tbl_Data[[#This Row],[kWh Savings]]*tbl_Data[[#This Row],[Sum of Annuals]]</f>
        <v>104818.19683006375</v>
      </c>
      <c r="AZ711" s="81">
        <f>tbl_Data[[#This Row],[Lost Revenue ($/unit)]]/tbl_Data[[#This Row],[kWh Savings]]*tbl_Data[[#This Row],[Sum of Annuals]]</f>
        <v>260350.44419779282</v>
      </c>
      <c r="BA711" s="81">
        <f>tbl_Data[[#This Row],[Incremental Cost ($/unit)]]/tbl_Data[[#This Row],[kWh Savings]]*tbl_Data[[#This Row],[Sum of Annuals]]</f>
        <v>93151.233356162804</v>
      </c>
      <c r="BB711" s="77">
        <f>ROUNDUP(tbl_Data[[#This Row],[Adjusted 2025]]/$L711,0)</f>
        <v>1</v>
      </c>
      <c r="BC711" s="77">
        <f>ROUNDUP(tbl_Data[[#This Row],[Adjusted 2026]]/$L711,0)</f>
        <v>1</v>
      </c>
      <c r="BD711" s="77">
        <f>ROUNDUP(tbl_Data[[#This Row],[Adjusted 2027]]/$L711,0)</f>
        <v>1</v>
      </c>
      <c r="BE711" s="77">
        <f>ROUNDUP(tbl_Data[[#This Row],[Adjusted 2028]]/$L711,0)</f>
        <v>1</v>
      </c>
      <c r="BF711" s="77">
        <f>ROUNDUP(tbl_Data[[#This Row],[Adjusted 2029]]/$L711,0)</f>
        <v>1</v>
      </c>
      <c r="BG711" s="77">
        <f>ROUNDUP(tbl_Data[[#This Row],[Adjusted 2030]]/$L711,0)</f>
        <v>1</v>
      </c>
      <c r="BH711" s="77">
        <f>ROUNDUP(tbl_Data[[#This Row],[Adjusted 2031]]/$L711,0)</f>
        <v>1</v>
      </c>
      <c r="BI711" s="77">
        <f>ROUNDUP(tbl_Data[[#This Row],[Adjusted 2032]]/$L711,0)</f>
        <v>1</v>
      </c>
      <c r="BJ711" s="77">
        <f>ROUNDUP(tbl_Data[[#This Row],[Adjusted 2033]]/$L711,0)</f>
        <v>1</v>
      </c>
      <c r="BK711" s="77">
        <f>ROUNDUP(tbl_Data[[#This Row],[Adjusted 2034]]/$L711,0)</f>
        <v>1</v>
      </c>
      <c r="BL711" s="80">
        <f t="shared" si="298"/>
        <v>2085.6393922924676</v>
      </c>
      <c r="BM711" s="80">
        <f t="shared" si="299"/>
        <v>2372.6668933837541</v>
      </c>
      <c r="BN711" s="80">
        <f t="shared" si="300"/>
        <v>2622.7794083443559</v>
      </c>
      <c r="BO711" s="80">
        <f t="shared" si="301"/>
        <v>2873.6796405915275</v>
      </c>
      <c r="BP711" s="80">
        <f t="shared" si="302"/>
        <v>3087.5290936122251</v>
      </c>
      <c r="BQ711" s="80">
        <f t="shared" si="303"/>
        <v>3288.1900694541464</v>
      </c>
      <c r="BR711" s="80">
        <f t="shared" si="304"/>
        <v>3477.8864827660041</v>
      </c>
      <c r="BS711" s="80">
        <f t="shared" si="305"/>
        <v>3648.1309780513102</v>
      </c>
      <c r="BT711" s="80">
        <f t="shared" si="306"/>
        <v>3816.8409650609829</v>
      </c>
      <c r="BU711" s="80">
        <f t="shared" si="307"/>
        <v>3976.6520440358772</v>
      </c>
      <c r="BV711" s="80">
        <f>IFERROR(VLOOKUP($H711,'1. Set Program Names'!$B$2:$D$15,3,0)*V711,"NA")</f>
        <v>629.36939316299095</v>
      </c>
      <c r="BW711" s="80">
        <f>IFERROR(VLOOKUP($H711,'1. Set Program Names'!$B$2:$D$15,3,0)*W711,"NA")</f>
        <v>715.98375461516503</v>
      </c>
      <c r="BX711" s="80">
        <f>IFERROR(VLOOKUP($H711,'1. Set Program Names'!$B$2:$D$15,3,0)*X711,"NA")</f>
        <v>791.45852860771038</v>
      </c>
      <c r="BY711" s="80">
        <f>IFERROR(VLOOKUP($H711,'1. Set Program Names'!$B$2:$D$15,3,0)*Y711,"NA")</f>
        <v>867.17100675585641</v>
      </c>
      <c r="BZ711" s="80">
        <f>IFERROR(VLOOKUP($H711,'1. Set Program Names'!$B$2:$D$15,3,0)*Z711,"NA")</f>
        <v>931.70292007378453</v>
      </c>
      <c r="CA711" s="80">
        <f>IFERROR(VLOOKUP($H711,'1. Set Program Names'!$B$2:$D$15,3,0)*AA711,"NA")</f>
        <v>992.25503520156315</v>
      </c>
      <c r="CB711" s="80">
        <f>IFERROR(VLOOKUP($H711,'1. Set Program Names'!$B$2:$D$15,3,0)*AB711,"NA")</f>
        <v>1049.4984479278883</v>
      </c>
      <c r="CC711" s="80">
        <f>IFERROR(VLOOKUP($H711,'1. Set Program Names'!$B$2:$D$15,3,0)*AC711,"NA")</f>
        <v>1100.8719859819814</v>
      </c>
      <c r="CD711" s="80">
        <f>IFERROR(VLOOKUP($H711,'1. Set Program Names'!$B$2:$D$15,3,0)*AD711,"NA")</f>
        <v>1151.7824657788283</v>
      </c>
      <c r="CE711" s="80">
        <f>IFERROR(VLOOKUP($H711,'1. Set Program Names'!$B$2:$D$15,3,0)*AE711,"NA")</f>
        <v>1200.007581859225</v>
      </c>
    </row>
    <row r="712" spans="1:83" x14ac:dyDescent="0.25">
      <c r="A712" s="79" t="s">
        <v>87</v>
      </c>
      <c r="B712" s="79" t="s">
        <v>88</v>
      </c>
      <c r="C712" s="79" t="s">
        <v>176</v>
      </c>
      <c r="D712" s="79" t="s">
        <v>90</v>
      </c>
      <c r="E712" s="79" t="s">
        <v>91</v>
      </c>
      <c r="F712" s="79" t="s">
        <v>90</v>
      </c>
      <c r="G712" s="79" t="s">
        <v>92</v>
      </c>
      <c r="H712" s="79" t="s">
        <v>18</v>
      </c>
      <c r="I712" s="79" t="s">
        <v>187</v>
      </c>
      <c r="J712" s="79" t="s">
        <v>137</v>
      </c>
      <c r="K712" s="79" t="s">
        <v>98</v>
      </c>
      <c r="L712" s="79">
        <v>16575.9941666665</v>
      </c>
      <c r="M712" s="79">
        <v>1.98609088803711</v>
      </c>
      <c r="N712" s="79">
        <v>1.91315479867159</v>
      </c>
      <c r="O712" s="79">
        <v>5440</v>
      </c>
      <c r="P712" s="79">
        <v>2106.6717861739999</v>
      </c>
      <c r="Q712" s="79">
        <v>524.60031502847596</v>
      </c>
      <c r="R712" s="79">
        <v>7087.6591263841001</v>
      </c>
      <c r="S712" s="79">
        <v>17604.872789732901</v>
      </c>
      <c r="T712" s="79">
        <v>15</v>
      </c>
      <c r="U712" s="79">
        <v>1</v>
      </c>
      <c r="V712" s="79">
        <f>tbl_Data_old[[#This Row],[2025 ]]*IFERROR(AVERAGEIFS('Participation Adjustment'!$C:$C,'Participation Adjustment'!$A:$A,$H712,'Participation Adjustment'!$B:$B,$I712),1)</f>
        <v>9492.7553855749793</v>
      </c>
      <c r="W712" s="79">
        <f>tbl_Data_old[[#This Row],[2026 ]]*IFERROR(AVERAGEIFS('Participation Adjustment'!$C:$C,'Participation Adjustment'!$A:$A,$H712,'Participation Adjustment'!$B:$B,$I712),1)</f>
        <v>13116.920983239201</v>
      </c>
      <c r="X712" s="79">
        <f>tbl_Data_old[[#This Row],[2027 ]]*IFERROR(AVERAGEIFS('Participation Adjustment'!$C:$C,'Participation Adjustment'!$A:$A,$H712,'Participation Adjustment'!$B:$B,$I712),1)</f>
        <v>17557.781370845802</v>
      </c>
      <c r="Y712" s="79">
        <f>tbl_Data_old[[#This Row],[2028 ]]*IFERROR(AVERAGEIFS('Participation Adjustment'!$C:$C,'Participation Adjustment'!$A:$A,$H712,'Participation Adjustment'!$B:$B,$I712),1)</f>
        <v>22922.6433632279</v>
      </c>
      <c r="Z712" s="79">
        <f>tbl_Data_old[[#This Row],[2029 ]]*IFERROR(AVERAGEIFS('Participation Adjustment'!$C:$C,'Participation Adjustment'!$A:$A,$H712,'Participation Adjustment'!$B:$B,$I712),1)</f>
        <v>28626.884027007301</v>
      </c>
      <c r="AA712" s="79">
        <f>tbl_Data_old[[#This Row],[2030 ]]*IFERROR(AVERAGEIFS('Participation Adjustment'!$C:$C,'Participation Adjustment'!$A:$A,$H712,'Participation Adjustment'!$B:$B,$I712),1)</f>
        <v>34002.006633522396</v>
      </c>
      <c r="AB712" s="79">
        <f>tbl_Data_old[[#This Row],[2031 ]]*IFERROR(AVERAGEIFS('Participation Adjustment'!$C:$C,'Participation Adjustment'!$A:$A,$H712,'Participation Adjustment'!$B:$B,$I712),1)</f>
        <v>37931.562596425698</v>
      </c>
      <c r="AC712" s="79">
        <f>tbl_Data_old[[#This Row],[2032 ]]*IFERROR(AVERAGEIFS('Participation Adjustment'!$C:$C,'Participation Adjustment'!$A:$A,$H712,'Participation Adjustment'!$B:$B,$I712),1)</f>
        <v>39167.405052886403</v>
      </c>
      <c r="AD712" s="79">
        <f>tbl_Data_old[[#This Row],[2033 ]]*IFERROR(AVERAGEIFS('Participation Adjustment'!$C:$C,'Participation Adjustment'!$A:$A,$H712,'Participation Adjustment'!$B:$B,$I712),1)</f>
        <v>37160.2098117606</v>
      </c>
      <c r="AE712" s="79">
        <f>tbl_Data_old[[#This Row],[2034 ]]*IFERROR(AVERAGEIFS('Participation Adjustment'!$C:$C,'Participation Adjustment'!$A:$A,$H712,'Participation Adjustment'!$B:$B,$I712),1)</f>
        <v>32237.2543962161</v>
      </c>
      <c r="AF712" s="77" t="str">
        <f t="shared" si="297"/>
        <v>NonResidential</v>
      </c>
      <c r="AG712" s="77" t="str">
        <f>tbl_Data[[#This Row],[All_Meas_Name_Append]]</f>
        <v>High Efficiency Air Compressor</v>
      </c>
      <c r="AH712" s="77">
        <f>AVERAGEIFS('3. Incentive Adjustment'!G:G,'3. Incentive Adjustment'!A:A,tbl_Data[[#This Row],[Trimmed Sector]],'3. Incentive Adjustment'!B:B,tbl_Data[[#This Row],[Trimmed Measure Name]])</f>
        <v>0.94309259342294038</v>
      </c>
      <c r="AI712" s="77">
        <f>$AH712*tbl_Data[[#This Row],[2025 ]]</f>
        <v>8952.5472953114913</v>
      </c>
      <c r="AJ712" s="77">
        <f>$AH712*tbl_Data[[#This Row],[2026 ]]</f>
        <v>12370.471027806843</v>
      </c>
      <c r="AK712" s="77">
        <f>$AH712*tbl_Data[[#This Row],[2027 ]]</f>
        <v>16558.613567783956</v>
      </c>
      <c r="AL712" s="77">
        <f>$AH712*tbl_Data[[#This Row],[2028 ]]</f>
        <v>21618.175177535752</v>
      </c>
      <c r="AM712" s="77">
        <f>$AH712*tbl_Data[[#This Row],[2029 ]]</f>
        <v>26997.802298648065</v>
      </c>
      <c r="AN712" s="77">
        <f>$AH712*tbl_Data[[#This Row],[2030 ]]</f>
        <v>32067.040617592658</v>
      </c>
      <c r="AO712" s="77">
        <f>$AH712*tbl_Data[[#This Row],[2031 ]]</f>
        <v>35772.975741647715</v>
      </c>
      <c r="AP712" s="77">
        <f>$AH712*tbl_Data[[#This Row],[2032 ]]</f>
        <v>36938.489608973417</v>
      </c>
      <c r="AQ712" s="77">
        <f>$AH712*tbl_Data[[#This Row],[2033 ]]</f>
        <v>35045.518643513897</v>
      </c>
      <c r="AR712" s="77">
        <f>$AH712*tbl_Data[[#This Row],[2034 ]]</f>
        <v>30402.715853362526</v>
      </c>
      <c r="AS712" s="77">
        <f>SUM(tbl_Data[[#This Row],[Adjusted 2025]:[Adjusted 2034]])</f>
        <v>256724.34983217632</v>
      </c>
      <c r="AT712" s="80">
        <f>AVERAGEIFS('3. Incentive Adjustment'!F:F,'3. Incentive Adjustment'!A:A,tbl_Data[[#This Row],[Trimmed Sector]],'3. Incentive Adjustment'!B:B,tbl_Data[[#This Row],[Trimmed Measure Name]])</f>
        <v>1738.5866300231887</v>
      </c>
      <c r="AU712" s="80">
        <f>IFERROR(VLOOKUP(tbl_Data[[#This Row],[All_Meas_Name_Append]],'IRA Tax Credits'!$A$3:$D$46,4,0),0)</f>
        <v>0</v>
      </c>
      <c r="AV712" s="81">
        <f>tbl_Data[[#This Row],[Adj. per unit Incentive ($)]]/tbl_Data[[#This Row],[kWh Savings]]*tbl_Data[[#This Row],[Sum of Annuals]]</f>
        <v>26926.742235297123</v>
      </c>
      <c r="AW712" s="81">
        <f>IFERROR(VLOOKUP(tbl_Data[[#This Row],[Column1]],'1. Set Program Names'!$B$2:$D$15,3,0)*tbl_Data[[#This Row],[Sum of Annuals]],"")</f>
        <v>8124.8625840053601</v>
      </c>
      <c r="AX712" s="81">
        <f>tbl_Data[[#This Row],[per unit IRA tax ($)]]/tbl_Data[[#This Row],[kWh Savings]]*tbl_Data[[#This Row],[Sum of Annuals]]</f>
        <v>0</v>
      </c>
      <c r="AY712" s="81">
        <f>tbl_Data[[#This Row],[Avoided Costs ($/unit)]]/tbl_Data[[#This Row],[kWh Savings]]*tbl_Data[[#This Row],[Sum of Annuals]]</f>
        <v>109771.67720727866</v>
      </c>
      <c r="AZ712" s="81">
        <f>tbl_Data[[#This Row],[Lost Revenue ($/unit)]]/tbl_Data[[#This Row],[kWh Savings]]*tbl_Data[[#This Row],[Sum of Annuals]]</f>
        <v>272659.33345410082</v>
      </c>
      <c r="BA712" s="81">
        <f>tbl_Data[[#This Row],[Incremental Cost ($/unit)]]/tbl_Data[[#This Row],[kWh Savings]]*tbl_Data[[#This Row],[Sum of Annuals]]</f>
        <v>84253.194652752296</v>
      </c>
      <c r="BB712" s="77">
        <f>ROUNDUP(tbl_Data[[#This Row],[Adjusted 2025]]/$L712,0)</f>
        <v>1</v>
      </c>
      <c r="BC712" s="77">
        <f>ROUNDUP(tbl_Data[[#This Row],[Adjusted 2026]]/$L712,0)</f>
        <v>1</v>
      </c>
      <c r="BD712" s="77">
        <f>ROUNDUP(tbl_Data[[#This Row],[Adjusted 2027]]/$L712,0)</f>
        <v>1</v>
      </c>
      <c r="BE712" s="77">
        <f>ROUNDUP(tbl_Data[[#This Row],[Adjusted 2028]]/$L712,0)</f>
        <v>2</v>
      </c>
      <c r="BF712" s="77">
        <f>ROUNDUP(tbl_Data[[#This Row],[Adjusted 2029]]/$L712,0)</f>
        <v>2</v>
      </c>
      <c r="BG712" s="77">
        <f>ROUNDUP(tbl_Data[[#This Row],[Adjusted 2030]]/$L712,0)</f>
        <v>2</v>
      </c>
      <c r="BH712" s="77">
        <f>ROUNDUP(tbl_Data[[#This Row],[Adjusted 2031]]/$L712,0)</f>
        <v>3</v>
      </c>
      <c r="BI712" s="77">
        <f>ROUNDUP(tbl_Data[[#This Row],[Adjusted 2032]]/$L712,0)</f>
        <v>3</v>
      </c>
      <c r="BJ712" s="77">
        <f>ROUNDUP(tbl_Data[[#This Row],[Adjusted 2033]]/$L712,0)</f>
        <v>3</v>
      </c>
      <c r="BK712" s="77">
        <f>ROUNDUP(tbl_Data[[#This Row],[Adjusted 2034]]/$L712,0)</f>
        <v>2</v>
      </c>
      <c r="BL712" s="80">
        <f t="shared" si="298"/>
        <v>995.65536941548623</v>
      </c>
      <c r="BM712" s="80">
        <f t="shared" si="299"/>
        <v>1375.7789257907571</v>
      </c>
      <c r="BN712" s="80">
        <f t="shared" si="300"/>
        <v>1841.5621794563874</v>
      </c>
      <c r="BO712" s="80">
        <f t="shared" si="301"/>
        <v>2404.2600929626419</v>
      </c>
      <c r="BP712" s="80">
        <f t="shared" si="302"/>
        <v>3002.5540144472848</v>
      </c>
      <c r="BQ712" s="80">
        <f t="shared" si="303"/>
        <v>3566.3281208122048</v>
      </c>
      <c r="BR712" s="80">
        <f t="shared" si="304"/>
        <v>3978.4827940305472</v>
      </c>
      <c r="BS712" s="80">
        <f t="shared" si="305"/>
        <v>4108.1051352315571</v>
      </c>
      <c r="BT712" s="80">
        <f t="shared" si="306"/>
        <v>3897.5788298419793</v>
      </c>
      <c r="BU712" s="80">
        <f t="shared" si="307"/>
        <v>3381.2306470658532</v>
      </c>
      <c r="BV712" s="80">
        <f>IFERROR(VLOOKUP($H712,'1. Set Program Names'!$B$2:$D$15,3,0)*V712,"NA")</f>
        <v>300.42858459586148</v>
      </c>
      <c r="BW712" s="80">
        <f>IFERROR(VLOOKUP($H712,'1. Set Program Names'!$B$2:$D$15,3,0)*W712,"NA")</f>
        <v>415.12688836778864</v>
      </c>
      <c r="BX712" s="80">
        <f>IFERROR(VLOOKUP($H712,'1. Set Program Names'!$B$2:$D$15,3,0)*X712,"NA")</f>
        <v>555.6721090593328</v>
      </c>
      <c r="BY712" s="80">
        <f>IFERROR(VLOOKUP($H712,'1. Set Program Names'!$B$2:$D$15,3,0)*Y712,"NA")</f>
        <v>725.46031379625106</v>
      </c>
      <c r="BZ712" s="80">
        <f>IFERROR(VLOOKUP($H712,'1. Set Program Names'!$B$2:$D$15,3,0)*Z712,"NA")</f>
        <v>905.98924130001217</v>
      </c>
      <c r="CA712" s="80">
        <f>IFERROR(VLOOKUP($H712,'1. Set Program Names'!$B$2:$D$15,3,0)*AA712,"NA")</f>
        <v>1076.1021759657922</v>
      </c>
      <c r="CB712" s="80">
        <f>IFERROR(VLOOKUP($H712,'1. Set Program Names'!$B$2:$D$15,3,0)*AB712,"NA")</f>
        <v>1200.4655339239262</v>
      </c>
      <c r="CC712" s="80">
        <f>IFERROR(VLOOKUP($H712,'1. Set Program Names'!$B$2:$D$15,3,0)*AC712,"NA")</f>
        <v>1239.5777184159185</v>
      </c>
      <c r="CD712" s="80">
        <f>IFERROR(VLOOKUP($H712,'1. Set Program Names'!$B$2:$D$15,3,0)*AD712,"NA")</f>
        <v>1176.0536096818716</v>
      </c>
      <c r="CE712" s="80">
        <f>IFERROR(VLOOKUP($H712,'1. Set Program Names'!$B$2:$D$15,3,0)*AE712,"NA")</f>
        <v>1020.2509509756311</v>
      </c>
    </row>
    <row r="713" spans="1:83" x14ac:dyDescent="0.25">
      <c r="A713" s="79" t="s">
        <v>87</v>
      </c>
      <c r="B713" s="79" t="s">
        <v>88</v>
      </c>
      <c r="C713" s="79" t="s">
        <v>176</v>
      </c>
      <c r="D713" s="79" t="s">
        <v>90</v>
      </c>
      <c r="E713" s="79" t="s">
        <v>91</v>
      </c>
      <c r="F713" s="79" t="s">
        <v>90</v>
      </c>
      <c r="G713" s="79" t="s">
        <v>92</v>
      </c>
      <c r="H713" s="79" t="s">
        <v>18</v>
      </c>
      <c r="I713" s="79" t="s">
        <v>157</v>
      </c>
      <c r="J713" s="79" t="s">
        <v>158</v>
      </c>
      <c r="K713" s="79" t="s">
        <v>159</v>
      </c>
      <c r="L713" s="79">
        <v>562.52</v>
      </c>
      <c r="M713" s="79">
        <v>6.7473359330379998E-2</v>
      </c>
      <c r="N713" s="79">
        <v>6.4973258375617293E-2</v>
      </c>
      <c r="O713" s="79">
        <v>169</v>
      </c>
      <c r="P713" s="79">
        <v>55.847956108163899</v>
      </c>
      <c r="Q713" s="79">
        <v>17.802743307140101</v>
      </c>
      <c r="R713" s="79">
        <v>240.47921618074301</v>
      </c>
      <c r="S713" s="79">
        <v>597.43584258705596</v>
      </c>
      <c r="T713" s="79">
        <v>15</v>
      </c>
      <c r="U713" s="79">
        <v>0.2</v>
      </c>
      <c r="V713" s="79">
        <f>tbl_Data_old[[#This Row],[2025 ]]*IFERROR(AVERAGEIFS('Participation Adjustment'!$C:$C,'Participation Adjustment'!$A:$A,$H713,'Participation Adjustment'!$B:$B,$I713),1)</f>
        <v>3042.0739904841648</v>
      </c>
      <c r="W713" s="79">
        <f>tbl_Data_old[[#This Row],[2026 ]]*IFERROR(AVERAGEIFS('Participation Adjustment'!$C:$C,'Participation Adjustment'!$A:$A,$H713,'Participation Adjustment'!$B:$B,$I713),1)</f>
        <v>3460.8678493818502</v>
      </c>
      <c r="X713" s="79">
        <f>tbl_Data_old[[#This Row],[2027 ]]*IFERROR(AVERAGEIFS('Participation Adjustment'!$C:$C,'Participation Adjustment'!$A:$A,$H713,'Participation Adjustment'!$B:$B,$I713),1)</f>
        <v>3825.8171519304101</v>
      </c>
      <c r="Y713" s="79">
        <f>tbl_Data_old[[#This Row],[2028 ]]*IFERROR(AVERAGEIFS('Participation Adjustment'!$C:$C,'Participation Adjustment'!$A:$A,$H713,'Participation Adjustment'!$B:$B,$I713),1)</f>
        <v>4192.1275928271652</v>
      </c>
      <c r="Z713" s="79">
        <f>tbl_Data_old[[#This Row],[2029 ]]*IFERROR(AVERAGEIFS('Participation Adjustment'!$C:$C,'Participation Adjustment'!$A:$A,$H713,'Participation Adjustment'!$B:$B,$I713),1)</f>
        <v>4504.1337733438095</v>
      </c>
      <c r="AA713" s="79">
        <f>tbl_Data_old[[#This Row],[2030 ]]*IFERROR(AVERAGEIFS('Participation Adjustment'!$C:$C,'Participation Adjustment'!$A:$A,$H713,'Participation Adjustment'!$B:$B,$I713),1)</f>
        <v>4797.0089528655399</v>
      </c>
      <c r="AB713" s="79">
        <f>tbl_Data_old[[#This Row],[2031 ]]*IFERROR(AVERAGEIFS('Participation Adjustment'!$C:$C,'Participation Adjustment'!$A:$A,$H713,'Participation Adjustment'!$B:$B,$I713),1)</f>
        <v>5073.9570299621</v>
      </c>
      <c r="AC713" s="79">
        <f>tbl_Data_old[[#This Row],[2032 ]]*IFERROR(AVERAGEIFS('Participation Adjustment'!$C:$C,'Participation Adjustment'!$A:$A,$H713,'Participation Adjustment'!$B:$B,$I713),1)</f>
        <v>5322.3793065400505</v>
      </c>
      <c r="AD713" s="79">
        <f>tbl_Data_old[[#This Row],[2033 ]]*IFERROR(AVERAGEIFS('Participation Adjustment'!$C:$C,'Participation Adjustment'!$A:$A,$H713,'Participation Adjustment'!$B:$B,$I713),1)</f>
        <v>5568.7082438140496</v>
      </c>
      <c r="AE713" s="79">
        <f>tbl_Data_old[[#This Row],[2034 ]]*IFERROR(AVERAGEIFS('Participation Adjustment'!$C:$C,'Participation Adjustment'!$A:$A,$H713,'Participation Adjustment'!$B:$B,$I713),1)</f>
        <v>5802.0421003174997</v>
      </c>
      <c r="AF713" s="77" t="str">
        <f t="shared" si="297"/>
        <v>NonResidential</v>
      </c>
      <c r="AG713" s="77" t="str">
        <f>tbl_Data[[#This Row],[All_Meas_Name_Append]]</f>
        <v>LED Exterior Wall Packs</v>
      </c>
      <c r="AH713" s="77">
        <f>AVERAGEIFS('3. Incentive Adjustment'!G:G,'3. Incentive Adjustment'!A:A,tbl_Data[[#This Row],[Trimmed Sector]],'3. Incentive Adjustment'!B:B,tbl_Data[[#This Row],[Trimmed Measure Name]])</f>
        <v>0.80637708305213962</v>
      </c>
      <c r="AI713" s="77">
        <f>$AH713*tbl_Data[[#This Row],[2025 ]]</f>
        <v>2453.0587508754033</v>
      </c>
      <c r="AJ713" s="77">
        <f>$AH713*tbl_Data[[#This Row],[2026 ]]</f>
        <v>2790.764521213468</v>
      </c>
      <c r="AK713" s="77">
        <f>$AH713*tbl_Data[[#This Row],[2027 ]]</f>
        <v>3085.0512752644886</v>
      </c>
      <c r="AL713" s="77">
        <f>$AH713*tbl_Data[[#This Row],[2028 ]]</f>
        <v>3380.4356200863572</v>
      </c>
      <c r="AM713" s="77">
        <f>$AH713*tbl_Data[[#This Row],[2029 ]]</f>
        <v>3632.0302538256083</v>
      </c>
      <c r="AN713" s="77">
        <f>$AH713*tbl_Data[[#This Row],[2030 ]]</f>
        <v>3868.1980867867128</v>
      </c>
      <c r="AO713" s="77">
        <f>$AH713*tbl_Data[[#This Row],[2031 ]]</f>
        <v>4091.5226693527361</v>
      </c>
      <c r="AP713" s="77">
        <f>$AH713*tbl_Data[[#This Row],[2032 ]]</f>
        <v>4291.8447001048353</v>
      </c>
      <c r="AQ713" s="77">
        <f>$AH713*tbl_Data[[#This Row],[2033 ]]</f>
        <v>4490.4787100151761</v>
      </c>
      <c r="AR713" s="77">
        <f>$AH713*tbl_Data[[#This Row],[2034 ]]</f>
        <v>4678.633784599735</v>
      </c>
      <c r="AS713" s="77">
        <f>SUM(tbl_Data[[#This Row],[Adjusted 2025]:[Adjusted 2034]])</f>
        <v>36762.018372124527</v>
      </c>
      <c r="AT713" s="80">
        <f>AVERAGEIFS('3. Incentive Adjustment'!F:F,'3. Incentive Adjustment'!A:A,tbl_Data[[#This Row],[Trimmed Sector]],'3. Incentive Adjustment'!B:B,tbl_Data[[#This Row],[Trimmed Measure Name]])</f>
        <v>8.6864493556481861</v>
      </c>
      <c r="AU713" s="80">
        <f>IFERROR(VLOOKUP(tbl_Data[[#This Row],[All_Meas_Name_Append]],'IRA Tax Credits'!$A$3:$D$46,4,0),0)</f>
        <v>0</v>
      </c>
      <c r="AV713" s="81">
        <f>tbl_Data[[#This Row],[Adj. per unit Incentive ($)]]/tbl_Data[[#This Row],[kWh Savings]]*tbl_Data[[#This Row],[Sum of Annuals]]</f>
        <v>567.68010168681622</v>
      </c>
      <c r="AW713" s="81">
        <f>IFERROR(VLOOKUP(tbl_Data[[#This Row],[Column1]],'1. Set Program Names'!$B$2:$D$15,3,0)*tbl_Data[[#This Row],[Sum of Annuals]],"")</f>
        <v>1163.4515688887593</v>
      </c>
      <c r="AX713" s="81">
        <f>tbl_Data[[#This Row],[per unit IRA tax ($)]]/tbl_Data[[#This Row],[kWh Savings]]*tbl_Data[[#This Row],[Sum of Annuals]]</f>
        <v>0</v>
      </c>
      <c r="AY713" s="81">
        <f>tbl_Data[[#This Row],[Avoided Costs ($/unit)]]/tbl_Data[[#This Row],[kWh Savings]]*tbl_Data[[#This Row],[Sum of Annuals]]</f>
        <v>15715.88808104704</v>
      </c>
      <c r="AZ713" s="81">
        <f>tbl_Data[[#This Row],[Lost Revenue ($/unit)]]/tbl_Data[[#This Row],[kWh Savings]]*tbl_Data[[#This Row],[Sum of Annuals]]</f>
        <v>39043.851634343751</v>
      </c>
      <c r="BA713" s="81">
        <f>tbl_Data[[#This Row],[Incremental Cost ($/unit)]]/tbl_Data[[#This Row],[kWh Savings]]*tbl_Data[[#This Row],[Sum of Annuals]]</f>
        <v>11044.551491305278</v>
      </c>
      <c r="BB713" s="77">
        <f>ROUNDUP(tbl_Data[[#This Row],[Adjusted 2025]]/$L713,0)</f>
        <v>5</v>
      </c>
      <c r="BC713" s="77">
        <f>ROUNDUP(tbl_Data[[#This Row],[Adjusted 2026]]/$L713,0)</f>
        <v>5</v>
      </c>
      <c r="BD713" s="77">
        <f>ROUNDUP(tbl_Data[[#This Row],[Adjusted 2027]]/$L713,0)</f>
        <v>6</v>
      </c>
      <c r="BE713" s="77">
        <f>ROUNDUP(tbl_Data[[#This Row],[Adjusted 2028]]/$L713,0)</f>
        <v>7</v>
      </c>
      <c r="BF713" s="77">
        <f>ROUNDUP(tbl_Data[[#This Row],[Adjusted 2029]]/$L713,0)</f>
        <v>7</v>
      </c>
      <c r="BG713" s="77">
        <f>ROUNDUP(tbl_Data[[#This Row],[Adjusted 2030]]/$L713,0)</f>
        <v>7</v>
      </c>
      <c r="BH713" s="77">
        <f>ROUNDUP(tbl_Data[[#This Row],[Adjusted 2031]]/$L713,0)</f>
        <v>8</v>
      </c>
      <c r="BI713" s="77">
        <f>ROUNDUP(tbl_Data[[#This Row],[Adjusted 2032]]/$L713,0)</f>
        <v>8</v>
      </c>
      <c r="BJ713" s="77">
        <f>ROUNDUP(tbl_Data[[#This Row],[Adjusted 2033]]/$L713,0)</f>
        <v>8</v>
      </c>
      <c r="BK713" s="77">
        <f>ROUNDUP(tbl_Data[[#This Row],[Adjusted 2034]]/$L713,0)</f>
        <v>9</v>
      </c>
      <c r="BL713" s="80">
        <f t="shared" si="298"/>
        <v>46.975790468739383</v>
      </c>
      <c r="BM713" s="80">
        <f t="shared" si="299"/>
        <v>53.4428167891746</v>
      </c>
      <c r="BN713" s="80">
        <f t="shared" si="300"/>
        <v>59.078373985304857</v>
      </c>
      <c r="BO713" s="80">
        <f t="shared" si="301"/>
        <v>64.7349499173514</v>
      </c>
      <c r="BP713" s="80">
        <f t="shared" si="302"/>
        <v>69.552957962766769</v>
      </c>
      <c r="BQ713" s="80">
        <f t="shared" si="303"/>
        <v>74.075544563139886</v>
      </c>
      <c r="BR713" s="80">
        <f t="shared" si="304"/>
        <v>78.3521844085559</v>
      </c>
      <c r="BS713" s="80">
        <f t="shared" si="305"/>
        <v>82.188328055553683</v>
      </c>
      <c r="BT713" s="80">
        <f t="shared" si="306"/>
        <v>85.992146299280549</v>
      </c>
      <c r="BU713" s="80">
        <f t="shared" si="307"/>
        <v>89.595294147313155</v>
      </c>
      <c r="BV713" s="80">
        <f>IFERROR(VLOOKUP($H713,'1. Set Program Names'!$B$2:$D$15,3,0)*V713,"NA")</f>
        <v>96.276154401474145</v>
      </c>
      <c r="BW713" s="80">
        <f>IFERROR(VLOOKUP($H713,'1. Set Program Names'!$B$2:$D$15,3,0)*W713,"NA")</f>
        <v>109.53022460086649</v>
      </c>
      <c r="BX713" s="80">
        <f>IFERROR(VLOOKUP($H713,'1. Set Program Names'!$B$2:$D$15,3,0)*X713,"NA")</f>
        <v>121.08021171846561</v>
      </c>
      <c r="BY713" s="80">
        <f>IFERROR(VLOOKUP($H713,'1. Set Program Names'!$B$2:$D$15,3,0)*Y713,"NA")</f>
        <v>132.67327640951709</v>
      </c>
      <c r="BZ713" s="80">
        <f>IFERROR(VLOOKUP($H713,'1. Set Program Names'!$B$2:$D$15,3,0)*Z713,"NA")</f>
        <v>142.54770921542456</v>
      </c>
      <c r="CA713" s="80">
        <f>IFERROR(VLOOKUP($H713,'1. Set Program Names'!$B$2:$D$15,3,0)*AA713,"NA")</f>
        <v>151.8166803489984</v>
      </c>
      <c r="CB713" s="80">
        <f>IFERROR(VLOOKUP($H713,'1. Set Program Names'!$B$2:$D$15,3,0)*AB713,"NA")</f>
        <v>160.581587420669</v>
      </c>
      <c r="CC713" s="80">
        <f>IFERROR(VLOOKUP($H713,'1. Set Program Names'!$B$2:$D$15,3,0)*AC713,"NA")</f>
        <v>168.44370436174245</v>
      </c>
      <c r="CD713" s="80">
        <f>IFERROR(VLOOKUP($H713,'1. Set Program Names'!$B$2:$D$15,3,0)*AD713,"NA")</f>
        <v>176.23957088988303</v>
      </c>
      <c r="CE713" s="80">
        <f>IFERROR(VLOOKUP($H713,'1. Set Program Names'!$B$2:$D$15,3,0)*AE713,"NA")</f>
        <v>183.62416655260793</v>
      </c>
    </row>
    <row r="714" spans="1:83" x14ac:dyDescent="0.25">
      <c r="A714" s="79" t="s">
        <v>87</v>
      </c>
      <c r="B714" s="79" t="s">
        <v>88</v>
      </c>
      <c r="C714" s="79" t="s">
        <v>176</v>
      </c>
      <c r="D714" s="79" t="s">
        <v>90</v>
      </c>
      <c r="E714" s="79" t="s">
        <v>91</v>
      </c>
      <c r="F714" s="79" t="s">
        <v>90</v>
      </c>
      <c r="G714" s="79" t="s">
        <v>92</v>
      </c>
      <c r="H714" s="79" t="s">
        <v>18</v>
      </c>
      <c r="I714" s="79" t="s">
        <v>162</v>
      </c>
      <c r="J714" s="79" t="s">
        <v>161</v>
      </c>
      <c r="K714" s="79" t="s">
        <v>159</v>
      </c>
      <c r="L714" s="79">
        <v>725.58416666666596</v>
      </c>
      <c r="M714" s="79">
        <v>8.6917804178563804E-2</v>
      </c>
      <c r="N714" s="79">
        <v>8.3795205289933394E-2</v>
      </c>
      <c r="O714" s="79">
        <v>179</v>
      </c>
      <c r="P714" s="79">
        <v>33.0790753554421</v>
      </c>
      <c r="Q714" s="79">
        <v>22.963430041406301</v>
      </c>
      <c r="R714" s="79">
        <v>310.45187974046598</v>
      </c>
      <c r="S714" s="79">
        <v>770.62146764617603</v>
      </c>
      <c r="T714" s="79">
        <v>15</v>
      </c>
      <c r="U714" s="79">
        <v>0.2</v>
      </c>
      <c r="V714" s="79">
        <f>tbl_Data_old[[#This Row],[2025 ]]*IFERROR(AVERAGEIFS('Participation Adjustment'!$C:$C,'Participation Adjustment'!$A:$A,$H714,'Participation Adjustment'!$B:$B,$I714),1)</f>
        <v>31259.9488880973</v>
      </c>
      <c r="W714" s="79">
        <f>tbl_Data_old[[#This Row],[2026 ]]*IFERROR(AVERAGEIFS('Participation Adjustment'!$C:$C,'Participation Adjustment'!$A:$A,$H714,'Participation Adjustment'!$B:$B,$I714),1)</f>
        <v>35563.419041927104</v>
      </c>
      <c r="X714" s="79">
        <f>tbl_Data_old[[#This Row],[2027 ]]*IFERROR(AVERAGEIFS('Participation Adjustment'!$C:$C,'Participation Adjustment'!$A:$A,$H714,'Participation Adjustment'!$B:$B,$I714),1)</f>
        <v>39313.589675547701</v>
      </c>
      <c r="Y714" s="79">
        <f>tbl_Data_old[[#This Row],[2028 ]]*IFERROR(AVERAGEIFS('Participation Adjustment'!$C:$C,'Participation Adjustment'!$A:$A,$H714,'Participation Adjustment'!$B:$B,$I714),1)</f>
        <v>43077.747186320907</v>
      </c>
      <c r="Z714" s="79">
        <f>tbl_Data_old[[#This Row],[2029 ]]*IFERROR(AVERAGEIFS('Participation Adjustment'!$C:$C,'Participation Adjustment'!$A:$A,$H714,'Participation Adjustment'!$B:$B,$I714),1)</f>
        <v>46283.881319228203</v>
      </c>
      <c r="AA714" s="79">
        <f>tbl_Data_old[[#This Row],[2030 ]]*IFERROR(AVERAGEIFS('Participation Adjustment'!$C:$C,'Participation Adjustment'!$A:$A,$H714,'Participation Adjustment'!$B:$B,$I714),1)</f>
        <v>49293.427823054197</v>
      </c>
      <c r="AB714" s="79">
        <f>tbl_Data_old[[#This Row],[2031 ]]*IFERROR(AVERAGEIFS('Participation Adjustment'!$C:$C,'Participation Adjustment'!$A:$A,$H714,'Participation Adjustment'!$B:$B,$I714),1)</f>
        <v>52139.309534602595</v>
      </c>
      <c r="AC714" s="79">
        <f>tbl_Data_old[[#This Row],[2032 ]]*IFERROR(AVERAGEIFS('Participation Adjustment'!$C:$C,'Participation Adjustment'!$A:$A,$H714,'Participation Adjustment'!$B:$B,$I714),1)</f>
        <v>54692.063903097194</v>
      </c>
      <c r="AD714" s="79">
        <f>tbl_Data_old[[#This Row],[2033 ]]*IFERROR(AVERAGEIFS('Participation Adjustment'!$C:$C,'Participation Adjustment'!$A:$A,$H714,'Participation Adjustment'!$B:$B,$I714),1)</f>
        <v>57223.3073945215</v>
      </c>
      <c r="AE714" s="79">
        <f>tbl_Data_old[[#This Row],[2034 ]]*IFERROR(AVERAGEIFS('Participation Adjustment'!$C:$C,'Participation Adjustment'!$A:$A,$H714,'Participation Adjustment'!$B:$B,$I714),1)</f>
        <v>59621.0151593478</v>
      </c>
      <c r="AF714" s="77" t="str">
        <f t="shared" si="297"/>
        <v>NonResidential</v>
      </c>
      <c r="AG714" s="77" t="str">
        <f>tbl_Data[[#This Row],[All_Meas_Name_Append]]</f>
        <v>LED High Bay_LF Baseline</v>
      </c>
      <c r="AH714" s="77">
        <f>AVERAGEIFS('3. Incentive Adjustment'!G:G,'3. Incentive Adjustment'!A:A,tbl_Data[[#This Row],[Trimmed Sector]],'3. Incentive Adjustment'!B:B,tbl_Data[[#This Row],[Trimmed Measure Name]])</f>
        <v>0.93017466414143679</v>
      </c>
      <c r="AI714" s="77">
        <f>$AH714*tbl_Data[[#This Row],[2025 ]]</f>
        <v>29077.212458064387</v>
      </c>
      <c r="AJ714" s="77">
        <f>$AH714*tbl_Data[[#This Row],[2026 ]]</f>
        <v>33080.19136304572</v>
      </c>
      <c r="AK714" s="77">
        <f>$AH714*tbl_Data[[#This Row],[2027 ]]</f>
        <v>36568.50507264684</v>
      </c>
      <c r="AL714" s="77">
        <f>$AH714*tbl_Data[[#This Row],[2028 ]]</f>
        <v>40069.829021005775</v>
      </c>
      <c r="AM714" s="77">
        <f>$AH714*tbl_Data[[#This Row],[2029 ]]</f>
        <v>43052.093761275217</v>
      </c>
      <c r="AN714" s="77">
        <f>$AH714*tbl_Data[[#This Row],[2030 ]]</f>
        <v>45851.49766968959</v>
      </c>
      <c r="AO714" s="77">
        <f>$AH714*tbl_Data[[#This Row],[2031 ]]</f>
        <v>48498.664734915379</v>
      </c>
      <c r="AP714" s="77">
        <f>$AH714*tbl_Data[[#This Row],[2032 ]]</f>
        <v>50873.172172265433</v>
      </c>
      <c r="AQ714" s="77">
        <f>$AH714*tbl_Data[[#This Row],[2033 ]]</f>
        <v>53227.670736761233</v>
      </c>
      <c r="AR714" s="77">
        <f>$AH714*tbl_Data[[#This Row],[2034 ]]</f>
        <v>55457.957751617854</v>
      </c>
      <c r="AS714" s="77">
        <f>SUM(tbl_Data[[#This Row],[Adjusted 2025]:[Adjusted 2034]])</f>
        <v>435756.79474128736</v>
      </c>
      <c r="AT714" s="80">
        <f>AVERAGEIFS('3. Incentive Adjustment'!F:F,'3. Incentive Adjustment'!A:A,tbl_Data[[#This Row],[Trimmed Sector]],'3. Incentive Adjustment'!B:B,tbl_Data[[#This Row],[Trimmed Measure Name]])</f>
        <v>23.858858929800434</v>
      </c>
      <c r="AU714" s="80">
        <f>IFERROR(VLOOKUP(tbl_Data[[#This Row],[All_Meas_Name_Append]],'IRA Tax Credits'!$A$3:$D$46,4,0),0)</f>
        <v>0</v>
      </c>
      <c r="AV714" s="81">
        <f>tbl_Data[[#This Row],[Adj. per unit Incentive ($)]]/tbl_Data[[#This Row],[kWh Savings]]*tbl_Data[[#This Row],[Sum of Annuals]]</f>
        <v>14328.675253756761</v>
      </c>
      <c r="AW714" s="81">
        <f>IFERROR(VLOOKUP(tbl_Data[[#This Row],[Column1]],'1. Set Program Names'!$B$2:$D$15,3,0)*tbl_Data[[#This Row],[Sum of Annuals]],"")</f>
        <v>13790.916520517168</v>
      </c>
      <c r="AX714" s="81">
        <f>tbl_Data[[#This Row],[per unit IRA tax ($)]]/tbl_Data[[#This Row],[kWh Savings]]*tbl_Data[[#This Row],[Sum of Annuals]]</f>
        <v>0</v>
      </c>
      <c r="AY714" s="81">
        <f>tbl_Data[[#This Row],[Avoided Costs ($/unit)]]/tbl_Data[[#This Row],[kWh Savings]]*tbl_Data[[#This Row],[Sum of Annuals]]</f>
        <v>186444.96703752014</v>
      </c>
      <c r="AZ714" s="81">
        <f>tbl_Data[[#This Row],[Lost Revenue ($/unit)]]/tbl_Data[[#This Row],[kWh Savings]]*tbl_Data[[#This Row],[Sum of Annuals]]</f>
        <v>462804.39420695469</v>
      </c>
      <c r="BA714" s="81">
        <f>tbl_Data[[#This Row],[Incremental Cost ($/unit)]]/tbl_Data[[#This Row],[kWh Savings]]*tbl_Data[[#This Row],[Sum of Annuals]]</f>
        <v>107500.23200895441</v>
      </c>
      <c r="BB714" s="77">
        <f>ROUNDUP(tbl_Data[[#This Row],[Adjusted 2025]]/$L714,0)</f>
        <v>41</v>
      </c>
      <c r="BC714" s="77">
        <f>ROUNDUP(tbl_Data[[#This Row],[Adjusted 2026]]/$L714,0)</f>
        <v>46</v>
      </c>
      <c r="BD714" s="77">
        <f>ROUNDUP(tbl_Data[[#This Row],[Adjusted 2027]]/$L714,0)</f>
        <v>51</v>
      </c>
      <c r="BE714" s="77">
        <f>ROUNDUP(tbl_Data[[#This Row],[Adjusted 2028]]/$L714,0)</f>
        <v>56</v>
      </c>
      <c r="BF714" s="77">
        <f>ROUNDUP(tbl_Data[[#This Row],[Adjusted 2029]]/$L714,0)</f>
        <v>60</v>
      </c>
      <c r="BG714" s="77">
        <f>ROUNDUP(tbl_Data[[#This Row],[Adjusted 2030]]/$L714,0)</f>
        <v>64</v>
      </c>
      <c r="BH714" s="77">
        <f>ROUNDUP(tbl_Data[[#This Row],[Adjusted 2031]]/$L714,0)</f>
        <v>67</v>
      </c>
      <c r="BI714" s="77">
        <f>ROUNDUP(tbl_Data[[#This Row],[Adjusted 2032]]/$L714,0)</f>
        <v>71</v>
      </c>
      <c r="BJ714" s="77">
        <f>ROUNDUP(tbl_Data[[#This Row],[Adjusted 2033]]/$L714,0)</f>
        <v>74</v>
      </c>
      <c r="BK714" s="77">
        <f>ROUNDUP(tbl_Data[[#This Row],[Adjusted 2034]]/$L714,0)</f>
        <v>77</v>
      </c>
      <c r="BL714" s="80">
        <f t="shared" si="298"/>
        <v>1027.89827140277</v>
      </c>
      <c r="BM714" s="80">
        <f t="shared" si="299"/>
        <v>1169.4061653532747</v>
      </c>
      <c r="BN714" s="80">
        <f t="shared" si="300"/>
        <v>1292.720311693156</v>
      </c>
      <c r="BO714" s="80">
        <f t="shared" si="301"/>
        <v>1416.4943783898798</v>
      </c>
      <c r="BP714" s="80">
        <f t="shared" si="302"/>
        <v>1521.9193662840753</v>
      </c>
      <c r="BQ714" s="80">
        <f t="shared" si="303"/>
        <v>1620.8801054734761</v>
      </c>
      <c r="BR714" s="80">
        <f t="shared" si="304"/>
        <v>1714.4591737691121</v>
      </c>
      <c r="BS714" s="80">
        <f t="shared" si="305"/>
        <v>1798.3995478268121</v>
      </c>
      <c r="BT714" s="80">
        <f t="shared" si="306"/>
        <v>1881.632595284713</v>
      </c>
      <c r="BU714" s="80">
        <f t="shared" si="307"/>
        <v>1960.4746841063102</v>
      </c>
      <c r="BV714" s="80">
        <f>IFERROR(VLOOKUP($H714,'1. Set Program Names'!$B$2:$D$15,3,0)*V714,"NA")</f>
        <v>989.32099454084982</v>
      </c>
      <c r="BW714" s="80">
        <f>IFERROR(VLOOKUP($H714,'1. Set Program Names'!$B$2:$D$15,3,0)*W714,"NA")</f>
        <v>1125.5180621625718</v>
      </c>
      <c r="BX714" s="80">
        <f>IFERROR(VLOOKUP($H714,'1. Set Program Names'!$B$2:$D$15,3,0)*X714,"NA")</f>
        <v>1244.204198030315</v>
      </c>
      <c r="BY714" s="80">
        <f>IFERROR(VLOOKUP($H714,'1. Set Program Names'!$B$2:$D$15,3,0)*Y714,"NA")</f>
        <v>1363.3329933299294</v>
      </c>
      <c r="BZ714" s="80">
        <f>IFERROR(VLOOKUP($H714,'1. Set Program Names'!$B$2:$D$15,3,0)*Z714,"NA")</f>
        <v>1464.8013553017868</v>
      </c>
      <c r="CA714" s="80">
        <f>IFERROR(VLOOKUP($H714,'1. Set Program Names'!$B$2:$D$15,3,0)*AA714,"NA")</f>
        <v>1560.0480734247251</v>
      </c>
      <c r="CB714" s="80">
        <f>IFERROR(VLOOKUP($H714,'1. Set Program Names'!$B$2:$D$15,3,0)*AB714,"NA")</f>
        <v>1650.1150960962407</v>
      </c>
      <c r="CC714" s="80">
        <f>IFERROR(VLOOKUP($H714,'1. Set Program Names'!$B$2:$D$15,3,0)*AC714,"NA")</f>
        <v>1730.9051671132538</v>
      </c>
      <c r="CD714" s="80">
        <f>IFERROR(VLOOKUP($H714,'1. Set Program Names'!$B$2:$D$15,3,0)*AD714,"NA")</f>
        <v>1811.0144576730493</v>
      </c>
      <c r="CE714" s="80">
        <f>IFERROR(VLOOKUP($H714,'1. Set Program Names'!$B$2:$D$15,3,0)*AE714,"NA")</f>
        <v>1886.8975833623394</v>
      </c>
    </row>
    <row r="715" spans="1:83" x14ac:dyDescent="0.25">
      <c r="A715" s="79" t="s">
        <v>87</v>
      </c>
      <c r="B715" s="79" t="s">
        <v>88</v>
      </c>
      <c r="C715" s="79" t="s">
        <v>176</v>
      </c>
      <c r="D715" s="79" t="s">
        <v>90</v>
      </c>
      <c r="E715" s="79" t="s">
        <v>91</v>
      </c>
      <c r="F715" s="79" t="s">
        <v>90</v>
      </c>
      <c r="G715" s="79" t="s">
        <v>92</v>
      </c>
      <c r="H715" s="79" t="s">
        <v>18</v>
      </c>
      <c r="I715" s="79" t="s">
        <v>165</v>
      </c>
      <c r="J715" s="79" t="s">
        <v>161</v>
      </c>
      <c r="K715" s="79" t="s">
        <v>166</v>
      </c>
      <c r="L715" s="79">
        <v>565.38999999999896</v>
      </c>
      <c r="M715" s="79">
        <v>6.7728127941350899E-2</v>
      </c>
      <c r="N715" s="79">
        <v>6.5294935157718198E-2</v>
      </c>
      <c r="O715" s="79">
        <v>129</v>
      </c>
      <c r="P715" s="79">
        <v>15.293574707506</v>
      </c>
      <c r="Q715" s="79">
        <v>17.893573630135801</v>
      </c>
      <c r="R715" s="79">
        <v>190.6779313312</v>
      </c>
      <c r="S715" s="79">
        <v>454.767236260907</v>
      </c>
      <c r="T715" s="79">
        <v>10</v>
      </c>
      <c r="U715" s="79">
        <v>0.2</v>
      </c>
      <c r="V715" s="79">
        <f>tbl_Data_old[[#This Row],[2025 ]]*IFERROR(AVERAGEIFS('Participation Adjustment'!$C:$C,'Participation Adjustment'!$A:$A,$H715,'Participation Adjustment'!$B:$B,$I715),1)</f>
        <v>374.02055050201699</v>
      </c>
      <c r="W715" s="79">
        <f>tbl_Data_old[[#This Row],[2026 ]]*IFERROR(AVERAGEIFS('Participation Adjustment'!$C:$C,'Participation Adjustment'!$A:$A,$H715,'Participation Adjustment'!$B:$B,$I715),1)</f>
        <v>516.43414479511205</v>
      </c>
      <c r="X715" s="79">
        <f>tbl_Data_old[[#This Row],[2027 ]]*IFERROR(AVERAGEIFS('Participation Adjustment'!$C:$C,'Participation Adjustment'!$A:$A,$H715,'Participation Adjustment'!$B:$B,$I715),1)</f>
        <v>690.88788086350803</v>
      </c>
      <c r="Y715" s="79">
        <f>tbl_Data_old[[#This Row],[2028 ]]*IFERROR(AVERAGEIFS('Participation Adjustment'!$C:$C,'Participation Adjustment'!$A:$A,$H715,'Participation Adjustment'!$B:$B,$I715),1)</f>
        <v>901.24020805595501</v>
      </c>
      <c r="Z715" s="79">
        <f>tbl_Data_old[[#This Row],[2029 ]]*IFERROR(AVERAGEIFS('Participation Adjustment'!$C:$C,'Participation Adjustment'!$A:$A,$H715,'Participation Adjustment'!$B:$B,$I715),1)</f>
        <v>1125.12725728687</v>
      </c>
      <c r="AA715" s="79">
        <f>tbl_Data_old[[#This Row],[2030 ]]*IFERROR(AVERAGEIFS('Participation Adjustment'!$C:$C,'Participation Adjustment'!$A:$A,$H715,'Participation Adjustment'!$B:$B,$I715),1)</f>
        <v>1335.5489803155699</v>
      </c>
      <c r="AB715" s="79">
        <f>tbl_Data_old[[#This Row],[2031 ]]*IFERROR(AVERAGEIFS('Participation Adjustment'!$C:$C,'Participation Adjustment'!$A:$A,$H715,'Participation Adjustment'!$B:$B,$I715),1)</f>
        <v>1488.4575412803599</v>
      </c>
      <c r="AC715" s="79">
        <f>tbl_Data_old[[#This Row],[2032 ]]*IFERROR(AVERAGEIFS('Participation Adjustment'!$C:$C,'Participation Adjustment'!$A:$A,$H715,'Participation Adjustment'!$B:$B,$I715),1)</f>
        <v>1535.1359898072001</v>
      </c>
      <c r="AD715" s="79">
        <f>tbl_Data_old[[#This Row],[2033 ]]*IFERROR(AVERAGEIFS('Participation Adjustment'!$C:$C,'Participation Adjustment'!$A:$A,$H715,'Participation Adjustment'!$B:$B,$I715),1)</f>
        <v>1453.49078996717</v>
      </c>
      <c r="AE715" s="79">
        <f>tbl_Data_old[[#This Row],[2034 ]]*IFERROR(AVERAGEIFS('Participation Adjustment'!$C:$C,'Participation Adjustment'!$A:$A,$H715,'Participation Adjustment'!$B:$B,$I715),1)</f>
        <v>1257.82232186741</v>
      </c>
      <c r="AF715" s="77" t="str">
        <f t="shared" si="297"/>
        <v>NonResidential</v>
      </c>
      <c r="AG715" s="77" t="str">
        <f>tbl_Data[[#This Row],[All_Meas_Name_Append]]</f>
        <v>Occupancy Sensors_ Ceiling Mounted</v>
      </c>
      <c r="AH715" s="77">
        <f>AVERAGEIFS('3. Incentive Adjustment'!G:G,'3. Incentive Adjustment'!A:A,tbl_Data[[#This Row],[Trimmed Sector]],'3. Incentive Adjustment'!B:B,tbl_Data[[#This Row],[Trimmed Measure Name]])</f>
        <v>0.99348124042467356</v>
      </c>
      <c r="AI715" s="77">
        <f>$AH715*tbl_Data[[#This Row],[2025 ]]</f>
        <v>371.5824004570631</v>
      </c>
      <c r="AJ715" s="77">
        <f>$AH715*tbl_Data[[#This Row],[2026 ]]</f>
        <v>513.06763476870344</v>
      </c>
      <c r="AK715" s="77">
        <f>$AH715*tbl_Data[[#This Row],[2027 ]]</f>
        <v>686.38414887465206</v>
      </c>
      <c r="AL715" s="77">
        <f>$AH715*tbl_Data[[#This Row],[2028 ]]</f>
        <v>895.36523982002109</v>
      </c>
      <c r="AM715" s="77">
        <f>$AH715*tbl_Data[[#This Row],[2029 ]]</f>
        <v>1117.7928232049703</v>
      </c>
      <c r="AN715" s="77">
        <f>$AH715*tbl_Data[[#This Row],[2030 ]]</f>
        <v>1326.8428576118204</v>
      </c>
      <c r="AO715" s="77">
        <f>$AH715*tbl_Data[[#This Row],[2031 ]]</f>
        <v>1478.7546444306718</v>
      </c>
      <c r="AP715" s="77">
        <f>$AH715*tbl_Data[[#This Row],[2032 ]]</f>
        <v>1525.1288073742162</v>
      </c>
      <c r="AQ715" s="77">
        <f>$AH715*tbl_Data[[#This Row],[2033 ]]</f>
        <v>1444.0158329624228</v>
      </c>
      <c r="AR715" s="77">
        <f>$AH715*tbl_Data[[#This Row],[2034 ]]</f>
        <v>1249.6228805626774</v>
      </c>
      <c r="AS715" s="77">
        <f>SUM(tbl_Data[[#This Row],[Adjusted 2025]:[Adjusted 2034]])</f>
        <v>10608.557270067218</v>
      </c>
      <c r="AT715" s="80">
        <f>AVERAGEIFS('3. Incentive Adjustment'!F:F,'3. Incentive Adjustment'!A:A,tbl_Data[[#This Row],[Trimmed Sector]],'3. Incentive Adjustment'!B:B,tbl_Data[[#This Row],[Trimmed Measure Name]])</f>
        <v>19.547634357270656</v>
      </c>
      <c r="AU715" s="80">
        <f>IFERROR(VLOOKUP(tbl_Data[[#This Row],[All_Meas_Name_Append]],'IRA Tax Credits'!$A$3:$D$46,4,0),0)</f>
        <v>0</v>
      </c>
      <c r="AV715" s="81">
        <f>tbl_Data[[#This Row],[Adj. per unit Incentive ($)]]/tbl_Data[[#This Row],[kWh Savings]]*tbl_Data[[#This Row],[Sum of Annuals]]</f>
        <v>366.77726626477249</v>
      </c>
      <c r="AW715" s="81">
        <f>IFERROR(VLOOKUP(tbl_Data[[#This Row],[Column1]],'1. Set Program Names'!$B$2:$D$15,3,0)*tbl_Data[[#This Row],[Sum of Annuals]],"")</f>
        <v>335.74170151835068</v>
      </c>
      <c r="AX715" s="81">
        <f>tbl_Data[[#This Row],[per unit IRA tax ($)]]/tbl_Data[[#This Row],[kWh Savings]]*tbl_Data[[#This Row],[Sum of Annuals]]</f>
        <v>0</v>
      </c>
      <c r="AY715" s="81">
        <f>tbl_Data[[#This Row],[Avoided Costs ($/unit)]]/tbl_Data[[#This Row],[kWh Savings]]*tbl_Data[[#This Row],[Sum of Annuals]]</f>
        <v>3577.7388257043517</v>
      </c>
      <c r="AZ715" s="81">
        <f>tbl_Data[[#This Row],[Lost Revenue ($/unit)]]/tbl_Data[[#This Row],[kWh Savings]]*tbl_Data[[#This Row],[Sum of Annuals]]</f>
        <v>8532.9140423849567</v>
      </c>
      <c r="BA715" s="81">
        <f>tbl_Data[[#This Row],[Incremental Cost ($/unit)]]/tbl_Data[[#This Row],[kWh Savings]]*tbl_Data[[#This Row],[Sum of Annuals]]</f>
        <v>2420.4600149254029</v>
      </c>
      <c r="BB715" s="77">
        <f>ROUNDUP(tbl_Data[[#This Row],[Adjusted 2025]]/$L715,0)</f>
        <v>1</v>
      </c>
      <c r="BC715" s="77">
        <f>ROUNDUP(tbl_Data[[#This Row],[Adjusted 2026]]/$L715,0)</f>
        <v>1</v>
      </c>
      <c r="BD715" s="77">
        <f>ROUNDUP(tbl_Data[[#This Row],[Adjusted 2027]]/$L715,0)</f>
        <v>2</v>
      </c>
      <c r="BE715" s="77">
        <f>ROUNDUP(tbl_Data[[#This Row],[Adjusted 2028]]/$L715,0)</f>
        <v>2</v>
      </c>
      <c r="BF715" s="77">
        <f>ROUNDUP(tbl_Data[[#This Row],[Adjusted 2029]]/$L715,0)</f>
        <v>2</v>
      </c>
      <c r="BG715" s="77">
        <f>ROUNDUP(tbl_Data[[#This Row],[Adjusted 2030]]/$L715,0)</f>
        <v>3</v>
      </c>
      <c r="BH715" s="77">
        <f>ROUNDUP(tbl_Data[[#This Row],[Adjusted 2031]]/$L715,0)</f>
        <v>3</v>
      </c>
      <c r="BI715" s="77">
        <f>ROUNDUP(tbl_Data[[#This Row],[Adjusted 2032]]/$L715,0)</f>
        <v>3</v>
      </c>
      <c r="BJ715" s="77">
        <f>ROUNDUP(tbl_Data[[#This Row],[Adjusted 2033]]/$L715,0)</f>
        <v>3</v>
      </c>
      <c r="BK715" s="77">
        <f>ROUNDUP(tbl_Data[[#This Row],[Adjusted 2034]]/$L715,0)</f>
        <v>3</v>
      </c>
      <c r="BL715" s="80">
        <f t="shared" si="298"/>
        <v>12.931280997751154</v>
      </c>
      <c r="BM715" s="80">
        <f t="shared" si="299"/>
        <v>17.855048430401386</v>
      </c>
      <c r="BN715" s="80">
        <f t="shared" si="300"/>
        <v>23.886562685914942</v>
      </c>
      <c r="BO715" s="80">
        <f t="shared" si="301"/>
        <v>31.159224703564572</v>
      </c>
      <c r="BP715" s="80">
        <f t="shared" si="302"/>
        <v>38.899832382678433</v>
      </c>
      <c r="BQ715" s="80">
        <f t="shared" si="303"/>
        <v>46.174893672393345</v>
      </c>
      <c r="BR715" s="80">
        <f t="shared" si="304"/>
        <v>51.461511122005383</v>
      </c>
      <c r="BS715" s="80">
        <f t="shared" si="305"/>
        <v>53.075358632869303</v>
      </c>
      <c r="BT715" s="80">
        <f t="shared" si="306"/>
        <v>50.25258052660778</v>
      </c>
      <c r="BU715" s="80">
        <f t="shared" si="307"/>
        <v>43.48759411075077</v>
      </c>
      <c r="BV715" s="80">
        <f>IFERROR(VLOOKUP($H715,'1. Set Program Names'!$B$2:$D$15,3,0)*V715,"NA")</f>
        <v>11.837075752298006</v>
      </c>
      <c r="BW715" s="80">
        <f>IFERROR(VLOOKUP($H715,'1. Set Program Names'!$B$2:$D$15,3,0)*W715,"NA")</f>
        <v>16.344209121150985</v>
      </c>
      <c r="BX715" s="80">
        <f>IFERROR(VLOOKUP($H715,'1. Set Program Names'!$B$2:$D$15,3,0)*X715,"NA")</f>
        <v>21.86535518208613</v>
      </c>
      <c r="BY715" s="80">
        <f>IFERROR(VLOOKUP($H715,'1. Set Program Names'!$B$2:$D$15,3,0)*Y715,"NA")</f>
        <v>28.522626896988179</v>
      </c>
      <c r="BZ715" s="80">
        <f>IFERROR(VLOOKUP($H715,'1. Set Program Names'!$B$2:$D$15,3,0)*Z715,"NA")</f>
        <v>35.608248150012138</v>
      </c>
      <c r="CA715" s="80">
        <f>IFERROR(VLOOKUP($H715,'1. Set Program Names'!$B$2:$D$15,3,0)*AA715,"NA")</f>
        <v>42.267716117953007</v>
      </c>
      <c r="CB715" s="80">
        <f>IFERROR(VLOOKUP($H715,'1. Set Program Names'!$B$2:$D$15,3,0)*AB715,"NA")</f>
        <v>47.106996250784469</v>
      </c>
      <c r="CC715" s="80">
        <f>IFERROR(VLOOKUP($H715,'1. Set Program Names'!$B$2:$D$15,3,0)*AC715,"NA")</f>
        <v>48.584284946473318</v>
      </c>
      <c r="CD715" s="80">
        <f>IFERROR(VLOOKUP($H715,'1. Set Program Names'!$B$2:$D$15,3,0)*AD715,"NA")</f>
        <v>46.000361645946725</v>
      </c>
      <c r="CE715" s="80">
        <f>IFERROR(VLOOKUP($H715,'1. Set Program Names'!$B$2:$D$15,3,0)*AE715,"NA")</f>
        <v>39.807807584079811</v>
      </c>
    </row>
    <row r="716" spans="1:83" x14ac:dyDescent="0.25">
      <c r="A716" s="79" t="s">
        <v>87</v>
      </c>
      <c r="B716" s="79" t="s">
        <v>88</v>
      </c>
      <c r="C716" s="79" t="s">
        <v>176</v>
      </c>
      <c r="D716" s="79" t="s">
        <v>90</v>
      </c>
      <c r="E716" s="79" t="s">
        <v>91</v>
      </c>
      <c r="F716" s="79" t="s">
        <v>90</v>
      </c>
      <c r="G716" s="79" t="s">
        <v>92</v>
      </c>
      <c r="H716" s="79" t="s">
        <v>18</v>
      </c>
      <c r="I716" s="79" t="s">
        <v>188</v>
      </c>
      <c r="J716" s="79" t="s">
        <v>178</v>
      </c>
      <c r="K716" s="79" t="s">
        <v>189</v>
      </c>
      <c r="L716" s="79">
        <v>58755.825000000099</v>
      </c>
      <c r="M716" s="79">
        <v>7.0391882486047397</v>
      </c>
      <c r="N716" s="79">
        <v>6.7809192295770497</v>
      </c>
      <c r="O716" s="79">
        <v>15000</v>
      </c>
      <c r="P716" s="79">
        <v>3217.2191279034701</v>
      </c>
      <c r="Q716" s="79">
        <v>1859.5158754786501</v>
      </c>
      <c r="R716" s="79">
        <v>19805.726496097701</v>
      </c>
      <c r="S716" s="79">
        <v>47259.8103070086</v>
      </c>
      <c r="T716" s="79">
        <v>10</v>
      </c>
      <c r="U716" s="79">
        <v>1</v>
      </c>
      <c r="V716" s="79">
        <f>tbl_Data_old[[#This Row],[2025 ]]*IFERROR(AVERAGEIFS('Participation Adjustment'!$C:$C,'Participation Adjustment'!$A:$A,$H716,'Participation Adjustment'!$B:$B,$I716),1)</f>
        <v>31.3673006371661</v>
      </c>
      <c r="W716" s="79">
        <f>tbl_Data_old[[#This Row],[2026 ]]*IFERROR(AVERAGEIFS('Participation Adjustment'!$C:$C,'Participation Adjustment'!$A:$A,$H716,'Participation Adjustment'!$B:$B,$I716),1)</f>
        <v>43.334892859488797</v>
      </c>
      <c r="X716" s="79">
        <f>tbl_Data_old[[#This Row],[2027 ]]*IFERROR(AVERAGEIFS('Participation Adjustment'!$C:$C,'Participation Adjustment'!$A:$A,$H716,'Participation Adjustment'!$B:$B,$I716),1)</f>
        <v>57.989715781924197</v>
      </c>
      <c r="Y716" s="79">
        <f>tbl_Data_old[[#This Row],[2028 ]]*IFERROR(AVERAGEIFS('Participation Adjustment'!$C:$C,'Participation Adjustment'!$A:$A,$H716,'Participation Adjustment'!$B:$B,$I716),1)</f>
        <v>75.679426766221297</v>
      </c>
      <c r="Z716" s="79">
        <f>tbl_Data_old[[#This Row],[2029 ]]*IFERROR(AVERAGEIFS('Participation Adjustment'!$C:$C,'Participation Adjustment'!$A:$A,$H716,'Participation Adjustment'!$B:$B,$I716),1)</f>
        <v>94.465086243524794</v>
      </c>
      <c r="AA716" s="79">
        <f>tbl_Data_old[[#This Row],[2030 ]]*IFERROR(AVERAGEIFS('Participation Adjustment'!$C:$C,'Participation Adjustment'!$A:$A,$H716,'Participation Adjustment'!$B:$B,$I716),1)</f>
        <v>112.135436373121</v>
      </c>
      <c r="AB716" s="79">
        <f>tbl_Data_old[[#This Row],[2031 ]]*IFERROR(AVERAGEIFS('Participation Adjustment'!$C:$C,'Participation Adjustment'!$A:$A,$H716,'Participation Adjustment'!$B:$B,$I716),1)</f>
        <v>125.008833622796</v>
      </c>
      <c r="AC716" s="79">
        <f>tbl_Data_old[[#This Row],[2032 ]]*IFERROR(AVERAGEIFS('Participation Adjustment'!$C:$C,'Participation Adjustment'!$A:$A,$H716,'Participation Adjustment'!$B:$B,$I716),1)</f>
        <v>128.98191498825199</v>
      </c>
      <c r="AD716" s="79">
        <f>tbl_Data_old[[#This Row],[2033 ]]*IFERROR(AVERAGEIFS('Participation Adjustment'!$C:$C,'Participation Adjustment'!$A:$A,$H716,'Participation Adjustment'!$B:$B,$I716),1)</f>
        <v>122.271588348203</v>
      </c>
      <c r="AE716" s="79">
        <f>tbl_Data_old[[#This Row],[2034 ]]*IFERROR(AVERAGEIFS('Participation Adjustment'!$C:$C,'Participation Adjustment'!$A:$A,$H716,'Participation Adjustment'!$B:$B,$I716),1)</f>
        <v>106.043915845535</v>
      </c>
      <c r="AF716" s="77" t="str">
        <f t="shared" si="297"/>
        <v>NonResidential</v>
      </c>
      <c r="AG716" s="77" t="str">
        <f>tbl_Data[[#This Row],[All_Meas_Name_Append]]</f>
        <v>Strategic Energy Management</v>
      </c>
      <c r="AH716" s="77">
        <f>AVERAGEIFS('3. Incentive Adjustment'!G:G,'3. Incentive Adjustment'!A:A,tbl_Data[[#This Row],[Trimmed Sector]],'3. Incentive Adjustment'!B:B,tbl_Data[[#This Row],[Trimmed Measure Name]])</f>
        <v>1.1413908001130193</v>
      </c>
      <c r="AI716" s="77">
        <f>$AH716*tbl_Data[[#This Row],[2025 ]]</f>
        <v>35.802348371640633</v>
      </c>
      <c r="AJ716" s="77">
        <f>$AH716*tbl_Data[[#This Row],[2026 ]]</f>
        <v>49.462048033703887</v>
      </c>
      <c r="AK716" s="77">
        <f>$AH716*tbl_Data[[#This Row],[2027 ]]</f>
        <v>66.188928094657044</v>
      </c>
      <c r="AL716" s="77">
        <f>$AH716*tbl_Data[[#This Row],[2028 ]]</f>
        <v>86.379801468791982</v>
      </c>
      <c r="AM716" s="77">
        <f>$AH716*tbl_Data[[#This Row],[2029 ]]</f>
        <v>107.82158037024213</v>
      </c>
      <c r="AN716" s="77">
        <f>$AH716*tbl_Data[[#This Row],[2030 ]]</f>
        <v>127.99035544293913</v>
      </c>
      <c r="AO716" s="77">
        <f>$AH716*tbl_Data[[#This Row],[2031 ]]</f>
        <v>142.68393262991844</v>
      </c>
      <c r="AP716" s="77">
        <f>$AH716*tbl_Data[[#This Row],[2032 ]]</f>
        <v>147.21877114855036</v>
      </c>
      <c r="AQ716" s="77">
        <f>$AH716*tbl_Data[[#This Row],[2033 ]]</f>
        <v>139.55966605584516</v>
      </c>
      <c r="AR716" s="77">
        <f>$AH716*tbl_Data[[#This Row],[2034 ]]</f>
        <v>121.03754995405288</v>
      </c>
      <c r="AS716" s="77">
        <f>SUM(tbl_Data[[#This Row],[Adjusted 2025]:[Adjusted 2034]])</f>
        <v>1024.1449815703415</v>
      </c>
      <c r="AT716" s="80">
        <f>AVERAGEIFS('3. Incentive Adjustment'!F:F,'3. Incentive Adjustment'!A:A,tbl_Data[[#This Row],[Trimmed Sector]],'3. Incentive Adjustment'!B:B,tbl_Data[[#This Row],[Trimmed Measure Name]])</f>
        <v>6162.1674053779652</v>
      </c>
      <c r="AU716" s="80">
        <f>IFERROR(VLOOKUP(tbl_Data[[#This Row],[All_Meas_Name_Append]],'IRA Tax Credits'!$A$3:$D$46,4,0),0)</f>
        <v>0</v>
      </c>
      <c r="AV716" s="81">
        <f>tbl_Data[[#This Row],[Adj. per unit Incentive ($)]]/tbl_Data[[#This Row],[kWh Savings]]*tbl_Data[[#This Row],[Sum of Annuals]]</f>
        <v>107.40982402705033</v>
      </c>
      <c r="AW716" s="81">
        <f>IFERROR(VLOOKUP(tbl_Data[[#This Row],[Column1]],'1. Set Program Names'!$B$2:$D$15,3,0)*tbl_Data[[#This Row],[Sum of Annuals]],"")</f>
        <v>32.412341278874734</v>
      </c>
      <c r="AX716" s="81">
        <f>tbl_Data[[#This Row],[per unit IRA tax ($)]]/tbl_Data[[#This Row],[kWh Savings]]*tbl_Data[[#This Row],[Sum of Annuals]]</f>
        <v>0</v>
      </c>
      <c r="AY716" s="81">
        <f>tbl_Data[[#This Row],[Avoided Costs ($/unit)]]/tbl_Data[[#This Row],[kWh Savings]]*tbl_Data[[#This Row],[Sum of Annuals]]</f>
        <v>345.22424623147015</v>
      </c>
      <c r="AZ716" s="81">
        <f>tbl_Data[[#This Row],[Lost Revenue ($/unit)]]/tbl_Data[[#This Row],[kWh Savings]]*tbl_Data[[#This Row],[Sum of Annuals]]</f>
        <v>823.76338951736398</v>
      </c>
      <c r="BA716" s="81">
        <f>tbl_Data[[#This Row],[Incremental Cost ($/unit)]]/tbl_Data[[#This Row],[kWh Savings]]*tbl_Data[[#This Row],[Sum of Annuals]]</f>
        <v>261.45790180897126</v>
      </c>
      <c r="BB716" s="77">
        <f>ROUNDUP(tbl_Data[[#This Row],[Adjusted 2025]]/$L716,0)</f>
        <v>1</v>
      </c>
      <c r="BC716" s="77">
        <f>ROUNDUP(tbl_Data[[#This Row],[Adjusted 2026]]/$L716,0)</f>
        <v>1</v>
      </c>
      <c r="BD716" s="77">
        <f>ROUNDUP(tbl_Data[[#This Row],[Adjusted 2027]]/$L716,0)</f>
        <v>1</v>
      </c>
      <c r="BE716" s="77">
        <f>ROUNDUP(tbl_Data[[#This Row],[Adjusted 2028]]/$L716,0)</f>
        <v>1</v>
      </c>
      <c r="BF716" s="77">
        <f>ROUNDUP(tbl_Data[[#This Row],[Adjusted 2029]]/$L716,0)</f>
        <v>1</v>
      </c>
      <c r="BG716" s="77">
        <f>ROUNDUP(tbl_Data[[#This Row],[Adjusted 2030]]/$L716,0)</f>
        <v>1</v>
      </c>
      <c r="BH716" s="77">
        <f>ROUNDUP(tbl_Data[[#This Row],[Adjusted 2031]]/$L716,0)</f>
        <v>1</v>
      </c>
      <c r="BI716" s="77">
        <f>ROUNDUP(tbl_Data[[#This Row],[Adjusted 2032]]/$L716,0)</f>
        <v>1</v>
      </c>
      <c r="BJ716" s="77">
        <f>ROUNDUP(tbl_Data[[#This Row],[Adjusted 2033]]/$L716,0)</f>
        <v>1</v>
      </c>
      <c r="BK716" s="77">
        <f>ROUNDUP(tbl_Data[[#This Row],[Adjusted 2034]]/$L716,0)</f>
        <v>1</v>
      </c>
      <c r="BL716" s="80">
        <f t="shared" si="298"/>
        <v>3.2897258711121169</v>
      </c>
      <c r="BM716" s="80">
        <f t="shared" si="299"/>
        <v>4.5448577106063572</v>
      </c>
      <c r="BN716" s="80">
        <f t="shared" si="300"/>
        <v>6.081819741932053</v>
      </c>
      <c r="BO716" s="80">
        <f t="shared" si="301"/>
        <v>7.9370734199800079</v>
      </c>
      <c r="BP716" s="80">
        <f t="shared" si="302"/>
        <v>9.9072674989427156</v>
      </c>
      <c r="BQ716" s="80">
        <f t="shared" si="303"/>
        <v>11.760490657841665</v>
      </c>
      <c r="BR716" s="80">
        <f t="shared" si="304"/>
        <v>13.11062111602908</v>
      </c>
      <c r="BS716" s="80">
        <f t="shared" si="305"/>
        <v>13.527308184743159</v>
      </c>
      <c r="BT716" s="80">
        <f t="shared" si="306"/>
        <v>12.82354551779483</v>
      </c>
      <c r="BU716" s="80">
        <f t="shared" si="307"/>
        <v>11.121626864434269</v>
      </c>
      <c r="BV716" s="80">
        <f>IFERROR(VLOOKUP($H716,'1. Set Program Names'!$B$2:$D$15,3,0)*V716,"NA")</f>
        <v>0.9927184837541122</v>
      </c>
      <c r="BW716" s="80">
        <f>IFERROR(VLOOKUP($H716,'1. Set Program Names'!$B$2:$D$15,3,0)*W716,"NA")</f>
        <v>1.3714711900375127</v>
      </c>
      <c r="BX716" s="80">
        <f>IFERROR(VLOOKUP($H716,'1. Set Program Names'!$B$2:$D$15,3,0)*X716,"NA")</f>
        <v>1.8352699006606221</v>
      </c>
      <c r="BY716" s="80">
        <f>IFERROR(VLOOKUP($H716,'1. Set Program Names'!$B$2:$D$15,3,0)*Y716,"NA")</f>
        <v>2.395117344006529</v>
      </c>
      <c r="BZ716" s="80">
        <f>IFERROR(VLOOKUP($H716,'1. Set Program Names'!$B$2:$D$15,3,0)*Z716,"NA")</f>
        <v>2.9896495802466267</v>
      </c>
      <c r="CA716" s="80">
        <f>IFERROR(VLOOKUP($H716,'1. Set Program Names'!$B$2:$D$15,3,0)*AA716,"NA")</f>
        <v>3.5488842874650235</v>
      </c>
      <c r="CB716" s="80">
        <f>IFERROR(VLOOKUP($H716,'1. Set Program Names'!$B$2:$D$15,3,0)*AB716,"NA")</f>
        <v>3.9563040889419643</v>
      </c>
      <c r="CC716" s="80">
        <f>IFERROR(VLOOKUP($H716,'1. Set Program Names'!$B$2:$D$15,3,0)*AC716,"NA")</f>
        <v>4.0820449473782778</v>
      </c>
      <c r="CD716" s="80">
        <f>IFERROR(VLOOKUP($H716,'1. Set Program Names'!$B$2:$D$15,3,0)*AD716,"NA")</f>
        <v>3.869675213537958</v>
      </c>
      <c r="CE716" s="80">
        <f>IFERROR(VLOOKUP($H716,'1. Set Program Names'!$B$2:$D$15,3,0)*AE716,"NA")</f>
        <v>3.3560986508604786</v>
      </c>
    </row>
    <row r="717" spans="1:83" x14ac:dyDescent="0.25">
      <c r="A717" s="79" t="s">
        <v>87</v>
      </c>
      <c r="B717" s="79" t="s">
        <v>88</v>
      </c>
      <c r="C717" s="79" t="s">
        <v>176</v>
      </c>
      <c r="D717" s="79" t="s">
        <v>90</v>
      </c>
      <c r="E717" s="79" t="s">
        <v>91</v>
      </c>
      <c r="F717" s="79" t="s">
        <v>90</v>
      </c>
      <c r="G717" s="79" t="s">
        <v>92</v>
      </c>
      <c r="H717" s="79" t="s">
        <v>18</v>
      </c>
      <c r="I717" s="79" t="s">
        <v>194</v>
      </c>
      <c r="J717" s="79" t="s">
        <v>182</v>
      </c>
      <c r="K717" s="79" t="s">
        <v>102</v>
      </c>
      <c r="L717" s="79">
        <v>8959.2199999999993</v>
      </c>
      <c r="M717" s="79">
        <v>1.0579901286000299</v>
      </c>
      <c r="N717" s="79">
        <v>1.03235399659801</v>
      </c>
      <c r="O717" s="79">
        <v>2314.9299999999998</v>
      </c>
      <c r="P717" s="79">
        <v>512.76464645414296</v>
      </c>
      <c r="Q717" s="79">
        <v>283.54315205183201</v>
      </c>
      <c r="R717" s="79">
        <v>3866.1887556449001</v>
      </c>
      <c r="S717" s="79">
        <v>9515.3223878667595</v>
      </c>
      <c r="T717" s="79">
        <v>15</v>
      </c>
      <c r="U717" s="79">
        <v>1</v>
      </c>
      <c r="V717" s="79">
        <f>tbl_Data_old[[#This Row],[2025 ]]*IFERROR(AVERAGEIFS('Participation Adjustment'!$C:$C,'Participation Adjustment'!$A:$A,$H717,'Participation Adjustment'!$B:$B,$I717),1)</f>
        <v>33813.802038572801</v>
      </c>
      <c r="W717" s="79">
        <f>tbl_Data_old[[#This Row],[2026 ]]*IFERROR(AVERAGEIFS('Participation Adjustment'!$C:$C,'Participation Adjustment'!$A:$A,$H717,'Participation Adjustment'!$B:$B,$I717),1)</f>
        <v>43898.989333205602</v>
      </c>
      <c r="X717" s="79">
        <f>tbl_Data_old[[#This Row],[2027 ]]*IFERROR(AVERAGEIFS('Participation Adjustment'!$C:$C,'Participation Adjustment'!$A:$A,$H717,'Participation Adjustment'!$B:$B,$I717),1)</f>
        <v>55576.3597258433</v>
      </c>
      <c r="Y717" s="79">
        <f>tbl_Data_old[[#This Row],[2028 ]]*IFERROR(AVERAGEIFS('Participation Adjustment'!$C:$C,'Participation Adjustment'!$A:$A,$H717,'Participation Adjustment'!$B:$B,$I717),1)</f>
        <v>69445.368273142696</v>
      </c>
      <c r="Z717" s="79">
        <f>tbl_Data_old[[#This Row],[2029 ]]*IFERROR(AVERAGEIFS('Participation Adjustment'!$C:$C,'Participation Adjustment'!$A:$A,$H717,'Participation Adjustment'!$B:$B,$I717),1)</f>
        <v>84083.203994452604</v>
      </c>
      <c r="AA717" s="79">
        <f>tbl_Data_old[[#This Row],[2030 ]]*IFERROR(AVERAGEIFS('Participation Adjustment'!$C:$C,'Participation Adjustment'!$A:$A,$H717,'Participation Adjustment'!$B:$B,$I717),1)</f>
        <v>99086.7882879682</v>
      </c>
      <c r="AB717" s="79">
        <f>tbl_Data_old[[#This Row],[2031 ]]*IFERROR(AVERAGEIFS('Participation Adjustment'!$C:$C,'Participation Adjustment'!$A:$A,$H717,'Participation Adjustment'!$B:$B,$I717),1)</f>
        <v>113114.320533044</v>
      </c>
      <c r="AC717" s="79">
        <f>tbl_Data_old[[#This Row],[2032 ]]*IFERROR(AVERAGEIFS('Participation Adjustment'!$C:$C,'Participation Adjustment'!$A:$A,$H717,'Participation Adjustment'!$B:$B,$I717),1)</f>
        <v>124127.190743108</v>
      </c>
      <c r="AD717" s="79">
        <f>tbl_Data_old[[#This Row],[2033 ]]*IFERROR(AVERAGEIFS('Participation Adjustment'!$C:$C,'Participation Adjustment'!$A:$A,$H717,'Participation Adjustment'!$B:$B,$I717),1)</f>
        <v>130900.39378829001</v>
      </c>
      <c r="AE717" s="79">
        <f>tbl_Data_old[[#This Row],[2034 ]]*IFERROR(AVERAGEIFS('Participation Adjustment'!$C:$C,'Participation Adjustment'!$A:$A,$H717,'Participation Adjustment'!$B:$B,$I717),1)</f>
        <v>131752.384082081</v>
      </c>
      <c r="AF717" s="77" t="str">
        <f t="shared" si="297"/>
        <v>NonResidential</v>
      </c>
      <c r="AG717" s="77" t="str">
        <f>tbl_Data[[#This Row],[All_Meas_Name_Append]]</f>
        <v>VFD on HVAC Fan</v>
      </c>
      <c r="AH717" s="77">
        <f>AVERAGEIFS('3. Incentive Adjustment'!G:G,'3. Incentive Adjustment'!A:A,tbl_Data[[#This Row],[Trimmed Sector]],'3. Incentive Adjustment'!B:B,tbl_Data[[#This Row],[Trimmed Measure Name]])</f>
        <v>1.1307524828118058</v>
      </c>
      <c r="AI717" s="77">
        <f>$AH717*tbl_Data[[#This Row],[2025 ]]</f>
        <v>38235.0406084231</v>
      </c>
      <c r="AJ717" s="77">
        <f>$AH717*tbl_Data[[#This Row],[2026 ]]</f>
        <v>49638.891181451218</v>
      </c>
      <c r="AK717" s="77">
        <f>$AH717*tbl_Data[[#This Row],[2027 ]]</f>
        <v>62843.106745639365</v>
      </c>
      <c r="AL717" s="77">
        <f>$AH717*tbl_Data[[#This Row],[2028 ]]</f>
        <v>78525.522594636321</v>
      </c>
      <c r="AM717" s="77">
        <f>$AH717*tbl_Data[[#This Row],[2029 ]]</f>
        <v>95077.291679498827</v>
      </c>
      <c r="AN717" s="77">
        <f>$AH717*tbl_Data[[#This Row],[2030 ]]</f>
        <v>112042.63187046781</v>
      </c>
      <c r="AO717" s="77">
        <f>$AH717*tbl_Data[[#This Row],[2031 ]]</f>
        <v>127904.29878430993</v>
      </c>
      <c r="AP717" s="77">
        <f>$AH717*tbl_Data[[#This Row],[2032 ]]</f>
        <v>140357.12911722399</v>
      </c>
      <c r="AQ717" s="77">
        <f>$AH717*tbl_Data[[#This Row],[2033 ]]</f>
        <v>148015.945277152</v>
      </c>
      <c r="AR717" s="77">
        <f>$AH717*tbl_Data[[#This Row],[2034 ]]</f>
        <v>148979.33541718774</v>
      </c>
      <c r="AS717" s="77">
        <f>SUM(tbl_Data[[#This Row],[Adjusted 2025]:[Adjusted 2034]])</f>
        <v>1001619.1932759903</v>
      </c>
      <c r="AT717" s="80">
        <f>AVERAGEIFS('3. Incentive Adjustment'!F:F,'3. Incentive Adjustment'!A:A,tbl_Data[[#This Row],[Trimmed Sector]],'3. Incentive Adjustment'!B:B,tbl_Data[[#This Row],[Trimmed Measure Name]])</f>
        <v>930.02043037501858</v>
      </c>
      <c r="AU717" s="80">
        <f>IFERROR(VLOOKUP(tbl_Data[[#This Row],[All_Meas_Name_Append]],'IRA Tax Credits'!$A$3:$D$46,4,0),0)</f>
        <v>0</v>
      </c>
      <c r="AV717" s="81">
        <f>tbl_Data[[#This Row],[Adj. per unit Incentive ($)]]/tbl_Data[[#This Row],[kWh Savings]]*tbl_Data[[#This Row],[Sum of Annuals]]</f>
        <v>103974.04162442885</v>
      </c>
      <c r="AW717" s="81">
        <f>IFERROR(VLOOKUP(tbl_Data[[#This Row],[Column1]],'1. Set Program Names'!$B$2:$D$15,3,0)*tbl_Data[[#This Row],[Sum of Annuals]],"")</f>
        <v>31699.440712147654</v>
      </c>
      <c r="AX717" s="81">
        <f>tbl_Data[[#This Row],[per unit IRA tax ($)]]/tbl_Data[[#This Row],[kWh Savings]]*tbl_Data[[#This Row],[Sum of Annuals]]</f>
        <v>0</v>
      </c>
      <c r="AY717" s="81">
        <f>tbl_Data[[#This Row],[Avoided Costs ($/unit)]]/tbl_Data[[#This Row],[kWh Savings]]*tbl_Data[[#This Row],[Sum of Annuals]]</f>
        <v>432230.58061770443</v>
      </c>
      <c r="AZ717" s="81">
        <f>tbl_Data[[#This Row],[Lost Revenue ($/unit)]]/tbl_Data[[#This Row],[kWh Savings]]*tbl_Data[[#This Row],[Sum of Annuals]]</f>
        <v>1063790.0993497286</v>
      </c>
      <c r="BA717" s="81">
        <f>tbl_Data[[#This Row],[Incremental Cost ($/unit)]]/tbl_Data[[#This Row],[kWh Savings]]*tbl_Data[[#This Row],[Sum of Annuals]]</f>
        <v>258803.59217547823</v>
      </c>
      <c r="BB717" s="77">
        <f>ROUNDUP(tbl_Data[[#This Row],[Adjusted 2025]]/$L717,0)</f>
        <v>5</v>
      </c>
      <c r="BC717" s="77">
        <f>ROUNDUP(tbl_Data[[#This Row],[Adjusted 2026]]/$L717,0)</f>
        <v>6</v>
      </c>
      <c r="BD717" s="77">
        <f>ROUNDUP(tbl_Data[[#This Row],[Adjusted 2027]]/$L717,0)</f>
        <v>8</v>
      </c>
      <c r="BE717" s="77">
        <f>ROUNDUP(tbl_Data[[#This Row],[Adjusted 2028]]/$L717,0)</f>
        <v>9</v>
      </c>
      <c r="BF717" s="77">
        <f>ROUNDUP(tbl_Data[[#This Row],[Adjusted 2029]]/$L717,0)</f>
        <v>11</v>
      </c>
      <c r="BG717" s="77">
        <f>ROUNDUP(tbl_Data[[#This Row],[Adjusted 2030]]/$L717,0)</f>
        <v>13</v>
      </c>
      <c r="BH717" s="77">
        <f>ROUNDUP(tbl_Data[[#This Row],[Adjusted 2031]]/$L717,0)</f>
        <v>15</v>
      </c>
      <c r="BI717" s="77">
        <f>ROUNDUP(tbl_Data[[#This Row],[Adjusted 2032]]/$L717,0)</f>
        <v>16</v>
      </c>
      <c r="BJ717" s="77">
        <f>ROUNDUP(tbl_Data[[#This Row],[Adjusted 2033]]/$L717,0)</f>
        <v>17</v>
      </c>
      <c r="BK717" s="77">
        <f>ROUNDUP(tbl_Data[[#This Row],[Adjusted 2034]]/$L717,0)</f>
        <v>17</v>
      </c>
      <c r="BL717" s="80">
        <f t="shared" si="298"/>
        <v>3510.0741721410077</v>
      </c>
      <c r="BM717" s="80">
        <f t="shared" si="299"/>
        <v>4556.9767181402203</v>
      </c>
      <c r="BN717" s="80">
        <f t="shared" si="300"/>
        <v>5769.1573586657805</v>
      </c>
      <c r="BO717" s="80">
        <f t="shared" si="301"/>
        <v>7208.8431011784323</v>
      </c>
      <c r="BP717" s="80">
        <f t="shared" si="302"/>
        <v>8728.33768634226</v>
      </c>
      <c r="BQ717" s="80">
        <f t="shared" si="303"/>
        <v>10285.799153057358</v>
      </c>
      <c r="BR717" s="80">
        <f t="shared" si="304"/>
        <v>11741.940600154856</v>
      </c>
      <c r="BS717" s="80">
        <f t="shared" si="305"/>
        <v>12885.142161499252</v>
      </c>
      <c r="BT717" s="80">
        <f t="shared" si="306"/>
        <v>13588.241003931691</v>
      </c>
      <c r="BU717" s="80">
        <f t="shared" si="307"/>
        <v>13676.682674044361</v>
      </c>
      <c r="BV717" s="80">
        <f>IFERROR(VLOOKUP($H717,'1. Set Program Names'!$B$2:$D$15,3,0)*V717,"NA")</f>
        <v>1070.1458400255376</v>
      </c>
      <c r="BW717" s="80">
        <f>IFERROR(VLOOKUP($H717,'1. Set Program Names'!$B$2:$D$15,3,0)*W717,"NA")</f>
        <v>1389.3238258940924</v>
      </c>
      <c r="BX717" s="80">
        <f>IFERROR(VLOOKUP($H717,'1. Set Program Names'!$B$2:$D$15,3,0)*X717,"NA")</f>
        <v>1758.8915347800482</v>
      </c>
      <c r="BY717" s="80">
        <f>IFERROR(VLOOKUP($H717,'1. Set Program Names'!$B$2:$D$15,3,0)*Y717,"NA")</f>
        <v>2197.8206379090116</v>
      </c>
      <c r="BZ717" s="80">
        <f>IFERROR(VLOOKUP($H717,'1. Set Program Names'!$B$2:$D$15,3,0)*Z717,"NA")</f>
        <v>2661.0817342585951</v>
      </c>
      <c r="CA717" s="80">
        <f>IFERROR(VLOOKUP($H717,'1. Set Program Names'!$B$2:$D$15,3,0)*AA717,"NA")</f>
        <v>3135.9181131686755</v>
      </c>
      <c r="CB717" s="80">
        <f>IFERROR(VLOOKUP($H717,'1. Set Program Names'!$B$2:$D$15,3,0)*AB717,"NA")</f>
        <v>3579.8642053817816</v>
      </c>
      <c r="CC717" s="80">
        <f>IFERROR(VLOOKUP($H717,'1. Set Program Names'!$B$2:$D$15,3,0)*AC717,"NA")</f>
        <v>3928.4016821374894</v>
      </c>
      <c r="CD717" s="80">
        <f>IFERROR(VLOOKUP($H717,'1. Set Program Names'!$B$2:$D$15,3,0)*AD717,"NA")</f>
        <v>4142.7613407816543</v>
      </c>
      <c r="CE717" s="80">
        <f>IFERROR(VLOOKUP($H717,'1. Set Program Names'!$B$2:$D$15,3,0)*AE717,"NA")</f>
        <v>4169.7252967308395</v>
      </c>
    </row>
    <row r="718" spans="1:83" x14ac:dyDescent="0.25">
      <c r="A718" s="79" t="s">
        <v>87</v>
      </c>
      <c r="B718" s="79" t="s">
        <v>88</v>
      </c>
      <c r="C718" s="79" t="s">
        <v>176</v>
      </c>
      <c r="D718" s="79" t="s">
        <v>90</v>
      </c>
      <c r="E718" s="79" t="s">
        <v>91</v>
      </c>
      <c r="F718" s="79" t="s">
        <v>90</v>
      </c>
      <c r="G718" s="79" t="s">
        <v>92</v>
      </c>
      <c r="H718" s="79" t="s">
        <v>18</v>
      </c>
      <c r="I718" s="79" t="s">
        <v>195</v>
      </c>
      <c r="J718" s="79" t="s">
        <v>191</v>
      </c>
      <c r="K718" s="79" t="s">
        <v>102</v>
      </c>
      <c r="L718" s="79">
        <v>20302.931666666602</v>
      </c>
      <c r="M718" s="79">
        <v>2.3950992196012999</v>
      </c>
      <c r="N718" s="79">
        <v>2.3402323276086099</v>
      </c>
      <c r="O718" s="79">
        <v>5194</v>
      </c>
      <c r="P718" s="79">
        <v>1110.9469872966299</v>
      </c>
      <c r="Q718" s="79">
        <v>642.55116412585198</v>
      </c>
      <c r="R718" s="79">
        <v>8767.8839794133291</v>
      </c>
      <c r="S718" s="79">
        <v>21563.142798944798</v>
      </c>
      <c r="T718" s="79">
        <v>15</v>
      </c>
      <c r="U718" s="79">
        <v>1</v>
      </c>
      <c r="V718" s="79">
        <f>tbl_Data_old[[#This Row],[2025 ]]*IFERROR(AVERAGEIFS('Participation Adjustment'!$C:$C,'Participation Adjustment'!$A:$A,$H718,'Participation Adjustment'!$B:$B,$I718),1)</f>
        <v>36102.053314017503</v>
      </c>
      <c r="W718" s="79">
        <f>tbl_Data_old[[#This Row],[2026 ]]*IFERROR(AVERAGEIFS('Participation Adjustment'!$C:$C,'Participation Adjustment'!$A:$A,$H718,'Participation Adjustment'!$B:$B,$I718),1)</f>
        <v>46871.621551472599</v>
      </c>
      <c r="X718" s="79">
        <f>tbl_Data_old[[#This Row],[2027 ]]*IFERROR(AVERAGEIFS('Participation Adjustment'!$C:$C,'Participation Adjustment'!$A:$A,$H718,'Participation Adjustment'!$B:$B,$I718),1)</f>
        <v>59341.5511347457</v>
      </c>
      <c r="Y718" s="79">
        <f>tbl_Data_old[[#This Row],[2028 ]]*IFERROR(AVERAGEIFS('Participation Adjustment'!$C:$C,'Participation Adjustment'!$A:$A,$H718,'Participation Adjustment'!$B:$B,$I718),1)</f>
        <v>74152.985314774196</v>
      </c>
      <c r="Z718" s="79">
        <f>tbl_Data_old[[#This Row],[2029 ]]*IFERROR(AVERAGEIFS('Participation Adjustment'!$C:$C,'Participation Adjustment'!$A:$A,$H718,'Participation Adjustment'!$B:$B,$I718),1)</f>
        <v>89783.730391065401</v>
      </c>
      <c r="AA718" s="79">
        <f>tbl_Data_old[[#This Row],[2030 ]]*IFERROR(AVERAGEIFS('Participation Adjustment'!$C:$C,'Participation Adjustment'!$A:$A,$H718,'Participation Adjustment'!$B:$B,$I718),1)</f>
        <v>105805.38576485599</v>
      </c>
      <c r="AB718" s="79">
        <f>tbl_Data_old[[#This Row],[2031 ]]*IFERROR(AVERAGEIFS('Participation Adjustment'!$C:$C,'Participation Adjustment'!$A:$A,$H718,'Participation Adjustment'!$B:$B,$I718),1)</f>
        <v>120785.15930025</v>
      </c>
      <c r="AC718" s="79">
        <f>tbl_Data_old[[#This Row],[2032 ]]*IFERROR(AVERAGEIFS('Participation Adjustment'!$C:$C,'Participation Adjustment'!$A:$A,$H718,'Participation Adjustment'!$B:$B,$I718),1)</f>
        <v>132544.868214658</v>
      </c>
      <c r="AD718" s="79">
        <f>tbl_Data_old[[#This Row],[2033 ]]*IFERROR(AVERAGEIFS('Participation Adjustment'!$C:$C,'Participation Adjustment'!$A:$A,$H718,'Participation Adjustment'!$B:$B,$I718),1)</f>
        <v>139779.54774884801</v>
      </c>
      <c r="AE718" s="79">
        <f>tbl_Data_old[[#This Row],[2034 ]]*IFERROR(AVERAGEIFS('Participation Adjustment'!$C:$C,'Participation Adjustment'!$A:$A,$H718,'Participation Adjustment'!$B:$B,$I718),1)</f>
        <v>140692.984381627</v>
      </c>
      <c r="AF718" s="77" t="str">
        <f t="shared" si="297"/>
        <v>NonResidential</v>
      </c>
      <c r="AG718" s="77" t="str">
        <f>tbl_Data[[#This Row],[All_Meas_Name_Append]]</f>
        <v>VFD on process pump</v>
      </c>
      <c r="AH718" s="77">
        <f>AVERAGEIFS('3. Incentive Adjustment'!G:G,'3. Incentive Adjustment'!A:A,tbl_Data[[#This Row],[Trimmed Sector]],'3. Incentive Adjustment'!B:B,tbl_Data[[#This Row],[Trimmed Measure Name]])</f>
        <v>1.1380520252658823</v>
      </c>
      <c r="AI718" s="77">
        <f>$AH718*tbl_Data[[#This Row],[2025 ]]</f>
        <v>41086.014890274477</v>
      </c>
      <c r="AJ718" s="77">
        <f>$AH718*tbl_Data[[#This Row],[2026 ]]</f>
        <v>53342.343834149367</v>
      </c>
      <c r="AK718" s="77">
        <f>$AH718*tbl_Data[[#This Row],[2027 ]]</f>
        <v>67533.772451316268</v>
      </c>
      <c r="AL718" s="77">
        <f>$AH718*tbl_Data[[#This Row],[2028 ]]</f>
        <v>84389.955116990008</v>
      </c>
      <c r="AM718" s="77">
        <f>$AH718*tbl_Data[[#This Row],[2029 ]]</f>
        <v>102178.55620747793</v>
      </c>
      <c r="AN718" s="77">
        <f>$AH718*tbl_Data[[#This Row],[2030 ]]</f>
        <v>120412.03355373233</v>
      </c>
      <c r="AO718" s="77">
        <f>$AH718*tbl_Data[[#This Row],[2031 ]]</f>
        <v>137459.79516371174</v>
      </c>
      <c r="AP718" s="77">
        <f>$AH718*tbl_Data[[#This Row],[2032 ]]</f>
        <v>150842.95571029102</v>
      </c>
      <c r="AQ718" s="77">
        <f>$AH718*tbl_Data[[#This Row],[2033 ]]</f>
        <v>159076.39740632559</v>
      </c>
      <c r="AR718" s="77">
        <f>$AH718*tbl_Data[[#This Row],[2034 ]]</f>
        <v>160115.93581621177</v>
      </c>
      <c r="AS718" s="77">
        <f>SUM(tbl_Data[[#This Row],[Adjusted 2025]:[Adjusted 2034]])</f>
        <v>1076437.7601504805</v>
      </c>
      <c r="AT718" s="80">
        <f>AVERAGEIFS('3. Incentive Adjustment'!F:F,'3. Incentive Adjustment'!A:A,tbl_Data[[#This Row],[Trimmed Sector]],'3. Incentive Adjustment'!B:B,tbl_Data[[#This Row],[Trimmed Measure Name]])</f>
        <v>2106.0249622508104</v>
      </c>
      <c r="AU718" s="80">
        <f>IFERROR(VLOOKUP(tbl_Data[[#This Row],[All_Meas_Name_Append]],'IRA Tax Credits'!$A$3:$D$46,4,0),0)</f>
        <v>0</v>
      </c>
      <c r="AV718" s="81">
        <f>tbl_Data[[#This Row],[Adj. per unit Incentive ($)]]/tbl_Data[[#This Row],[kWh Savings]]*tbl_Data[[#This Row],[Sum of Annuals]]</f>
        <v>111658.9875002257</v>
      </c>
      <c r="AW718" s="81">
        <f>IFERROR(VLOOKUP(tbl_Data[[#This Row],[Column1]],'1. Set Program Names'!$B$2:$D$15,3,0)*tbl_Data[[#This Row],[Sum of Annuals]],"")</f>
        <v>34067.313393429482</v>
      </c>
      <c r="AX718" s="81">
        <f>tbl_Data[[#This Row],[per unit IRA tax ($)]]/tbl_Data[[#This Row],[kWh Savings]]*tbl_Data[[#This Row],[Sum of Annuals]]</f>
        <v>0</v>
      </c>
      <c r="AY718" s="81">
        <f>tbl_Data[[#This Row],[Avoided Costs ($/unit)]]/tbl_Data[[#This Row],[kWh Savings]]*tbl_Data[[#This Row],[Sum of Annuals]]</f>
        <v>464862.98368202802</v>
      </c>
      <c r="AZ718" s="81">
        <f>tbl_Data[[#This Row],[Lost Revenue ($/unit)]]/tbl_Data[[#This Row],[kWh Savings]]*tbl_Data[[#This Row],[Sum of Annuals]]</f>
        <v>1143252.6847543698</v>
      </c>
      <c r="BA718" s="81">
        <f>tbl_Data[[#This Row],[Incremental Cost ($/unit)]]/tbl_Data[[#This Row],[kWh Savings]]*tbl_Data[[#This Row],[Sum of Annuals]]</f>
        <v>275379.8228755772</v>
      </c>
      <c r="BB718" s="77">
        <f>ROUNDUP(tbl_Data[[#This Row],[Adjusted 2025]]/$L718,0)</f>
        <v>3</v>
      </c>
      <c r="BC718" s="77">
        <f>ROUNDUP(tbl_Data[[#This Row],[Adjusted 2026]]/$L718,0)</f>
        <v>3</v>
      </c>
      <c r="BD718" s="77">
        <f>ROUNDUP(tbl_Data[[#This Row],[Adjusted 2027]]/$L718,0)</f>
        <v>4</v>
      </c>
      <c r="BE718" s="77">
        <f>ROUNDUP(tbl_Data[[#This Row],[Adjusted 2028]]/$L718,0)</f>
        <v>5</v>
      </c>
      <c r="BF718" s="77">
        <f>ROUNDUP(tbl_Data[[#This Row],[Adjusted 2029]]/$L718,0)</f>
        <v>6</v>
      </c>
      <c r="BG718" s="77">
        <f>ROUNDUP(tbl_Data[[#This Row],[Adjusted 2030]]/$L718,0)</f>
        <v>6</v>
      </c>
      <c r="BH718" s="77">
        <f>ROUNDUP(tbl_Data[[#This Row],[Adjusted 2031]]/$L718,0)</f>
        <v>7</v>
      </c>
      <c r="BI718" s="77">
        <f>ROUNDUP(tbl_Data[[#This Row],[Adjusted 2032]]/$L718,0)</f>
        <v>8</v>
      </c>
      <c r="BJ718" s="77">
        <f>ROUNDUP(tbl_Data[[#This Row],[Adjusted 2033]]/$L718,0)</f>
        <v>8</v>
      </c>
      <c r="BK718" s="77">
        <f>ROUNDUP(tbl_Data[[#This Row],[Adjusted 2034]]/$L718,0)</f>
        <v>8</v>
      </c>
      <c r="BL718" s="80">
        <f t="shared" si="298"/>
        <v>3744.869298489522</v>
      </c>
      <c r="BM718" s="80">
        <f t="shared" si="299"/>
        <v>4861.9975986345489</v>
      </c>
      <c r="BN718" s="80">
        <f t="shared" si="300"/>
        <v>6155.5045369945874</v>
      </c>
      <c r="BO718" s="80">
        <f t="shared" si="301"/>
        <v>7691.8959617407991</v>
      </c>
      <c r="BP718" s="80">
        <f t="shared" si="302"/>
        <v>9313.2745808342315</v>
      </c>
      <c r="BQ718" s="80">
        <f t="shared" si="303"/>
        <v>10975.202360908503</v>
      </c>
      <c r="BR718" s="80">
        <f t="shared" si="304"/>
        <v>12529.055642412624</v>
      </c>
      <c r="BS718" s="80">
        <f t="shared" si="305"/>
        <v>13748.891325709923</v>
      </c>
      <c r="BT718" s="80">
        <f t="shared" si="306"/>
        <v>14499.345296744284</v>
      </c>
      <c r="BU718" s="80">
        <f t="shared" si="307"/>
        <v>14594.096162365589</v>
      </c>
      <c r="BV718" s="80">
        <f>IFERROR(VLOOKUP($H718,'1. Set Program Names'!$B$2:$D$15,3,0)*V718,"NA")</f>
        <v>1142.564865267268</v>
      </c>
      <c r="BW718" s="80">
        <f>IFERROR(VLOOKUP($H718,'1. Set Program Names'!$B$2:$D$15,3,0)*W718,"NA")</f>
        <v>1483.4022734663424</v>
      </c>
      <c r="BX718" s="80">
        <f>IFERROR(VLOOKUP($H718,'1. Set Program Names'!$B$2:$D$15,3,0)*X718,"NA")</f>
        <v>1878.0530510904709</v>
      </c>
      <c r="BY718" s="80">
        <f>IFERROR(VLOOKUP($H718,'1. Set Program Names'!$B$2:$D$15,3,0)*Y718,"NA")</f>
        <v>2346.8082255156464</v>
      </c>
      <c r="BZ718" s="80">
        <f>IFERROR(VLOOKUP($H718,'1. Set Program Names'!$B$2:$D$15,3,0)*Z718,"NA")</f>
        <v>2841.4931119064554</v>
      </c>
      <c r="CA718" s="80">
        <f>IFERROR(VLOOKUP($H718,'1. Set Program Names'!$B$2:$D$15,3,0)*AA718,"NA")</f>
        <v>3348.5496040757243</v>
      </c>
      <c r="CB718" s="80">
        <f>IFERROR(VLOOKUP($H718,'1. Set Program Names'!$B$2:$D$15,3,0)*AB718,"NA")</f>
        <v>3822.6324154419185</v>
      </c>
      <c r="CC718" s="80">
        <f>IFERROR(VLOOKUP($H718,'1. Set Program Names'!$B$2:$D$15,3,0)*AC718,"NA")</f>
        <v>4194.8059900168564</v>
      </c>
      <c r="CD718" s="80">
        <f>IFERROR(VLOOKUP($H718,'1. Set Program Names'!$B$2:$D$15,3,0)*AD718,"NA")</f>
        <v>4423.7705471110139</v>
      </c>
      <c r="CE718" s="80">
        <f>IFERROR(VLOOKUP($H718,'1. Set Program Names'!$B$2:$D$15,3,0)*AE718,"NA")</f>
        <v>4452.6791688501571</v>
      </c>
    </row>
    <row r="719" spans="1:83" x14ac:dyDescent="0.25">
      <c r="A719" s="79" t="s">
        <v>113</v>
      </c>
      <c r="B719" s="79" t="s">
        <v>88</v>
      </c>
      <c r="C719" s="79" t="s">
        <v>176</v>
      </c>
      <c r="D719" s="79" t="s">
        <v>90</v>
      </c>
      <c r="E719" s="79" t="s">
        <v>91</v>
      </c>
      <c r="F719" s="79" t="s">
        <v>90</v>
      </c>
      <c r="G719" s="79" t="s">
        <v>92</v>
      </c>
      <c r="H719" s="79" t="s">
        <v>18</v>
      </c>
      <c r="I719" s="79" t="s">
        <v>177</v>
      </c>
      <c r="J719" s="79" t="s">
        <v>178</v>
      </c>
      <c r="K719" s="79" t="s">
        <v>102</v>
      </c>
      <c r="L719" s="79">
        <v>25265.069999999901</v>
      </c>
      <c r="M719" s="79">
        <v>3.0268587641170099</v>
      </c>
      <c r="N719" s="79">
        <v>2.9158027991200801</v>
      </c>
      <c r="O719" s="79">
        <v>7160.52</v>
      </c>
      <c r="P719" s="79">
        <v>2094.8798923726799</v>
      </c>
      <c r="Q719" s="79">
        <v>799.59389150061804</v>
      </c>
      <c r="R719" s="79">
        <v>8516.48438813961</v>
      </c>
      <c r="S719" s="79">
        <v>20321.770915365199</v>
      </c>
      <c r="T719" s="79">
        <v>10</v>
      </c>
      <c r="U719" s="79">
        <v>1</v>
      </c>
      <c r="V719" s="79">
        <f>tbl_Data_old[[#This Row],[2025 ]]*IFERROR(AVERAGEIFS('Participation Adjustment'!$C:$C,'Participation Adjustment'!$A:$A,$H719,'Participation Adjustment'!$B:$B,$I719),1)</f>
        <v>3532.6884127345002</v>
      </c>
      <c r="W719" s="79">
        <f>tbl_Data_old[[#This Row],[2026 ]]*IFERROR(AVERAGEIFS('Participation Adjustment'!$C:$C,'Participation Adjustment'!$A:$A,$H719,'Participation Adjustment'!$B:$B,$I719),1)</f>
        <v>6901.5514216810498</v>
      </c>
      <c r="X719" s="79">
        <f>tbl_Data_old[[#This Row],[2027 ]]*IFERROR(AVERAGEIFS('Participation Adjustment'!$C:$C,'Participation Adjustment'!$A:$A,$H719,'Participation Adjustment'!$B:$B,$I719),1)</f>
        <v>10071.192614395901</v>
      </c>
      <c r="Y719" s="79">
        <f>tbl_Data_old[[#This Row],[2028 ]]*IFERROR(AVERAGEIFS('Participation Adjustment'!$C:$C,'Participation Adjustment'!$A:$A,$H719,'Participation Adjustment'!$B:$B,$I719),1)</f>
        <v>13055.2131336284</v>
      </c>
      <c r="Z719" s="79">
        <f>tbl_Data_old[[#This Row],[2029 ]]*IFERROR(AVERAGEIFS('Participation Adjustment'!$C:$C,'Participation Adjustment'!$A:$A,$H719,'Participation Adjustment'!$B:$B,$I719),1)</f>
        <v>15839.3425214951</v>
      </c>
      <c r="AA719" s="79">
        <f>tbl_Data_old[[#This Row],[2030 ]]*IFERROR(AVERAGEIFS('Participation Adjustment'!$C:$C,'Participation Adjustment'!$A:$A,$H719,'Participation Adjustment'!$B:$B,$I719),1)</f>
        <v>18429.758613569898</v>
      </c>
      <c r="AB719" s="79">
        <f>tbl_Data_old[[#This Row],[2031 ]]*IFERROR(AVERAGEIFS('Participation Adjustment'!$C:$C,'Participation Adjustment'!$A:$A,$H719,'Participation Adjustment'!$B:$B,$I719),1)</f>
        <v>20837.497060397</v>
      </c>
      <c r="AC719" s="79">
        <f>tbl_Data_old[[#This Row],[2032 ]]*IFERROR(AVERAGEIFS('Participation Adjustment'!$C:$C,'Participation Adjustment'!$A:$A,$H719,'Participation Adjustment'!$B:$B,$I719),1)</f>
        <v>23066.0553313786</v>
      </c>
      <c r="AD719" s="79">
        <f>tbl_Data_old[[#This Row],[2033 ]]*IFERROR(AVERAGEIFS('Participation Adjustment'!$C:$C,'Participation Adjustment'!$A:$A,$H719,'Participation Adjustment'!$B:$B,$I719),1)</f>
        <v>25134.5224524367</v>
      </c>
      <c r="AE719" s="79">
        <f>tbl_Data_old[[#This Row],[2034 ]]*IFERROR(AVERAGEIFS('Participation Adjustment'!$C:$C,'Participation Adjustment'!$A:$A,$H719,'Participation Adjustment'!$B:$B,$I719),1)</f>
        <v>27054.554566169001</v>
      </c>
      <c r="AF719" s="77" t="str">
        <f t="shared" si="297"/>
        <v>NonResidential</v>
      </c>
      <c r="AG719" s="77" t="str">
        <f>tbl_Data[[#This Row],[All_Meas_Name_Append]]</f>
        <v>Airside economizer_13</v>
      </c>
      <c r="AH719" s="77">
        <f>AVERAGEIFS('3. Incentive Adjustment'!G:G,'3. Incentive Adjustment'!A:A,tbl_Data[[#This Row],[Trimmed Sector]],'3. Incentive Adjustment'!B:B,tbl_Data[[#This Row],[Trimmed Measure Name]])</f>
        <v>1</v>
      </c>
      <c r="AI719" s="77">
        <f>$AH719*tbl_Data[[#This Row],[2025 ]]</f>
        <v>3532.6884127345002</v>
      </c>
      <c r="AJ719" s="77">
        <f>$AH719*tbl_Data[[#This Row],[2026 ]]</f>
        <v>6901.5514216810498</v>
      </c>
      <c r="AK719" s="77">
        <f>$AH719*tbl_Data[[#This Row],[2027 ]]</f>
        <v>10071.192614395901</v>
      </c>
      <c r="AL719" s="77">
        <f>$AH719*tbl_Data[[#This Row],[2028 ]]</f>
        <v>13055.2131336284</v>
      </c>
      <c r="AM719" s="77">
        <f>$AH719*tbl_Data[[#This Row],[2029 ]]</f>
        <v>15839.3425214951</v>
      </c>
      <c r="AN719" s="77">
        <f>$AH719*tbl_Data[[#This Row],[2030 ]]</f>
        <v>18429.758613569898</v>
      </c>
      <c r="AO719" s="77">
        <f>$AH719*tbl_Data[[#This Row],[2031 ]]</f>
        <v>20837.497060397</v>
      </c>
      <c r="AP719" s="77">
        <f>$AH719*tbl_Data[[#This Row],[2032 ]]</f>
        <v>23066.0553313786</v>
      </c>
      <c r="AQ719" s="77">
        <f>$AH719*tbl_Data[[#This Row],[2033 ]]</f>
        <v>25134.5224524367</v>
      </c>
      <c r="AR719" s="77">
        <f>$AH719*tbl_Data[[#This Row],[2034 ]]</f>
        <v>27054.554566169001</v>
      </c>
      <c r="AS719" s="77">
        <f>SUM(tbl_Data[[#This Row],[Adjusted 2025]:[Adjusted 2034]])</f>
        <v>163922.37612788618</v>
      </c>
      <c r="AT719" s="80">
        <f>AVERAGEIFS('3. Incentive Adjustment'!F:F,'3. Incentive Adjustment'!A:A,tbl_Data[[#This Row],[Trimmed Sector]],'3. Incentive Adjustment'!B:B,tbl_Data[[#This Row],[Trimmed Measure Name]])</f>
        <v>2094.8798923726795</v>
      </c>
      <c r="AU719" s="80">
        <f>IFERROR(VLOOKUP(tbl_Data[[#This Row],[All_Meas_Name_Append]],'IRA Tax Credits'!$A$3:$D$46,4,0),0)</f>
        <v>0</v>
      </c>
      <c r="AV719" s="81">
        <f>tbl_Data[[#This Row],[Adj. per unit Incentive ($)]]/tbl_Data[[#This Row],[kWh Savings]]*tbl_Data[[#This Row],[Sum of Annuals]]</f>
        <v>13591.796486622099</v>
      </c>
      <c r="AW719" s="81">
        <f>IFERROR(VLOOKUP(tbl_Data[[#This Row],[Column1]],'1. Set Program Names'!$B$2:$D$15,3,0)*tbl_Data[[#This Row],[Sum of Annuals]],"")</f>
        <v>5187.8475156460991</v>
      </c>
      <c r="AX719" s="81">
        <f>tbl_Data[[#This Row],[per unit IRA tax ($)]]/tbl_Data[[#This Row],[kWh Savings]]*tbl_Data[[#This Row],[Sum of Annuals]]</f>
        <v>0</v>
      </c>
      <c r="AY719" s="81">
        <f>tbl_Data[[#This Row],[Avoided Costs ($/unit)]]/tbl_Data[[#This Row],[kWh Savings]]*tbl_Data[[#This Row],[Sum of Annuals]]</f>
        <v>55255.827795446326</v>
      </c>
      <c r="AZ719" s="81">
        <f>tbl_Data[[#This Row],[Lost Revenue ($/unit)]]/tbl_Data[[#This Row],[kWh Savings]]*tbl_Data[[#This Row],[Sum of Annuals]]</f>
        <v>131849.74257238334</v>
      </c>
      <c r="BA719" s="81">
        <f>tbl_Data[[#This Row],[Incremental Cost ($/unit)]]/tbl_Data[[#This Row],[kWh Savings]]*tbl_Data[[#This Row],[Sum of Annuals]]</f>
        <v>46458.19119880753</v>
      </c>
      <c r="BB719" s="77">
        <f>ROUNDUP(tbl_Data[[#This Row],[Adjusted 2025]]/$L719,0)</f>
        <v>1</v>
      </c>
      <c r="BC719" s="77">
        <f>ROUNDUP(tbl_Data[[#This Row],[Adjusted 2026]]/$L719,0)</f>
        <v>1</v>
      </c>
      <c r="BD719" s="77">
        <f>ROUNDUP(tbl_Data[[#This Row],[Adjusted 2027]]/$L719,0)</f>
        <v>1</v>
      </c>
      <c r="BE719" s="77">
        <f>ROUNDUP(tbl_Data[[#This Row],[Adjusted 2028]]/$L719,0)</f>
        <v>1</v>
      </c>
      <c r="BF719" s="77">
        <f>ROUNDUP(tbl_Data[[#This Row],[Adjusted 2029]]/$L719,0)</f>
        <v>1</v>
      </c>
      <c r="BG719" s="77">
        <f>ROUNDUP(tbl_Data[[#This Row],[Adjusted 2030]]/$L719,0)</f>
        <v>1</v>
      </c>
      <c r="BH719" s="77">
        <f>ROUNDUP(tbl_Data[[#This Row],[Adjusted 2031]]/$L719,0)</f>
        <v>1</v>
      </c>
      <c r="BI719" s="77">
        <f>ROUNDUP(tbl_Data[[#This Row],[Adjusted 2032]]/$L719,0)</f>
        <v>1</v>
      </c>
      <c r="BJ719" s="77">
        <f>ROUNDUP(tbl_Data[[#This Row],[Adjusted 2033]]/$L719,0)</f>
        <v>1</v>
      </c>
      <c r="BK719" s="77">
        <f>ROUNDUP(tbl_Data[[#This Row],[Adjusted 2034]]/$L719,0)</f>
        <v>2</v>
      </c>
      <c r="BL719" s="80">
        <f t="shared" si="298"/>
        <v>292.91658094972587</v>
      </c>
      <c r="BM719" s="80">
        <f t="shared" si="299"/>
        <v>572.24940597654256</v>
      </c>
      <c r="BN719" s="80">
        <f t="shared" si="300"/>
        <v>835.06354425735969</v>
      </c>
      <c r="BO719" s="80">
        <f t="shared" si="301"/>
        <v>1082.4867488701975</v>
      </c>
      <c r="BP719" s="80">
        <f t="shared" si="302"/>
        <v>1313.335769767659</v>
      </c>
      <c r="BQ719" s="80">
        <f t="shared" si="303"/>
        <v>1528.1228486938655</v>
      </c>
      <c r="BR719" s="80">
        <f t="shared" si="304"/>
        <v>1727.76301823825</v>
      </c>
      <c r="BS719" s="80">
        <f t="shared" si="305"/>
        <v>1912.5462747604047</v>
      </c>
      <c r="BT719" s="80">
        <f t="shared" si="306"/>
        <v>2084.0554049523512</v>
      </c>
      <c r="BU719" s="80">
        <f t="shared" si="307"/>
        <v>2243.2568901557415</v>
      </c>
      <c r="BV719" s="80">
        <f>IFERROR(VLOOKUP($H719,'1. Set Program Names'!$B$2:$D$15,3,0)*V719,"NA")</f>
        <v>111.8032158785836</v>
      </c>
      <c r="BW719" s="80">
        <f>IFERROR(VLOOKUP($H719,'1. Set Program Names'!$B$2:$D$15,3,0)*W719,"NA")</f>
        <v>218.42165324115803</v>
      </c>
      <c r="BX719" s="80">
        <f>IFERROR(VLOOKUP($H719,'1. Set Program Names'!$B$2:$D$15,3,0)*X719,"NA")</f>
        <v>318.73507948314085</v>
      </c>
      <c r="BY719" s="80">
        <f>IFERROR(VLOOKUP($H719,'1. Set Program Names'!$B$2:$D$15,3,0)*Y719,"NA")</f>
        <v>413.17394623834139</v>
      </c>
      <c r="BZ719" s="80">
        <f>IFERROR(VLOOKUP($H719,'1. Set Program Names'!$B$2:$D$15,3,0)*Z719,"NA")</f>
        <v>501.28661925628955</v>
      </c>
      <c r="CA719" s="80">
        <f>IFERROR(VLOOKUP($H719,'1. Set Program Names'!$B$2:$D$15,3,0)*AA719,"NA")</f>
        <v>583.26861588910776</v>
      </c>
      <c r="CB719" s="80">
        <f>IFERROR(VLOOKUP($H719,'1. Set Program Names'!$B$2:$D$15,3,0)*AB719,"NA")</f>
        <v>659.46919457003514</v>
      </c>
      <c r="CC719" s="80">
        <f>IFERROR(VLOOKUP($H719,'1. Set Program Names'!$B$2:$D$15,3,0)*AC719,"NA")</f>
        <v>729.99904389679625</v>
      </c>
      <c r="CD719" s="80">
        <f>IFERROR(VLOOKUP($H719,'1. Set Program Names'!$B$2:$D$15,3,0)*AD719,"NA")</f>
        <v>795.46229710638283</v>
      </c>
      <c r="CE719" s="80">
        <f>IFERROR(VLOOKUP($H719,'1. Set Program Names'!$B$2:$D$15,3,0)*AE719,"NA")</f>
        <v>856.22785008626261</v>
      </c>
    </row>
    <row r="720" spans="1:83" x14ac:dyDescent="0.25">
      <c r="A720" s="79" t="s">
        <v>113</v>
      </c>
      <c r="B720" s="79" t="s">
        <v>88</v>
      </c>
      <c r="C720" s="79" t="s">
        <v>176</v>
      </c>
      <c r="D720" s="79" t="s">
        <v>90</v>
      </c>
      <c r="E720" s="79" t="s">
        <v>91</v>
      </c>
      <c r="F720" s="79" t="s">
        <v>90</v>
      </c>
      <c r="G720" s="79" t="s">
        <v>92</v>
      </c>
      <c r="H720" s="79" t="s">
        <v>18</v>
      </c>
      <c r="I720" s="79" t="s">
        <v>185</v>
      </c>
      <c r="J720" s="79" t="s">
        <v>178</v>
      </c>
      <c r="K720" s="79" t="s">
        <v>102</v>
      </c>
      <c r="L720" s="79">
        <v>37372.818333333198</v>
      </c>
      <c r="M720" s="79">
        <v>4.4774165562178503</v>
      </c>
      <c r="N720" s="79">
        <v>4.3131393780955101</v>
      </c>
      <c r="O720" s="79">
        <v>14201.670833333301</v>
      </c>
      <c r="P720" s="79">
        <v>6684.0523958317799</v>
      </c>
      <c r="Q720" s="79">
        <v>1182.7822858791001</v>
      </c>
      <c r="R720" s="79">
        <v>15980.395267902501</v>
      </c>
      <c r="S720" s="79">
        <v>39692.564194744999</v>
      </c>
      <c r="T720" s="79">
        <v>15</v>
      </c>
      <c r="U720" s="79">
        <v>1</v>
      </c>
      <c r="V720" s="79">
        <f>tbl_Data_old[[#This Row],[2025 ]]*IFERROR(AVERAGEIFS('Participation Adjustment'!$C:$C,'Participation Adjustment'!$A:$A,$H720,'Participation Adjustment'!$B:$B,$I720),1)</f>
        <v>19886.4222740353</v>
      </c>
      <c r="W720" s="79">
        <f>tbl_Data_old[[#This Row],[2026 ]]*IFERROR(AVERAGEIFS('Participation Adjustment'!$C:$C,'Participation Adjustment'!$A:$A,$H720,'Participation Adjustment'!$B:$B,$I720),1)</f>
        <v>42509.631219849201</v>
      </c>
      <c r="X720" s="79">
        <f>tbl_Data_old[[#This Row],[2027 ]]*IFERROR(AVERAGEIFS('Participation Adjustment'!$C:$C,'Participation Adjustment'!$A:$A,$H720,'Participation Adjustment'!$B:$B,$I720),1)</f>
        <v>67517.645087793193</v>
      </c>
      <c r="Y720" s="79">
        <f>tbl_Data_old[[#This Row],[2028 ]]*IFERROR(AVERAGEIFS('Participation Adjustment'!$C:$C,'Participation Adjustment'!$A:$A,$H720,'Participation Adjustment'!$B:$B,$I720),1)</f>
        <v>94917.974705794404</v>
      </c>
      <c r="Z720" s="79">
        <f>tbl_Data_old[[#This Row],[2029 ]]*IFERROR(AVERAGEIFS('Participation Adjustment'!$C:$C,'Participation Adjustment'!$A:$A,$H720,'Participation Adjustment'!$B:$B,$I720),1)</f>
        <v>124357.343546758</v>
      </c>
      <c r="AA720" s="79">
        <f>tbl_Data_old[[#This Row],[2030 ]]*IFERROR(AVERAGEIFS('Participation Adjustment'!$C:$C,'Participation Adjustment'!$A:$A,$H720,'Participation Adjustment'!$B:$B,$I720),1)</f>
        <v>155710.00042507899</v>
      </c>
      <c r="AB720" s="79">
        <f>tbl_Data_old[[#This Row],[2031 ]]*IFERROR(AVERAGEIFS('Participation Adjustment'!$C:$C,'Participation Adjustment'!$A:$A,$H720,'Participation Adjustment'!$B:$B,$I720),1)</f>
        <v>188871.39902209199</v>
      </c>
      <c r="AC720" s="79">
        <f>tbl_Data_old[[#This Row],[2032 ]]*IFERROR(AVERAGEIFS('Participation Adjustment'!$C:$C,'Participation Adjustment'!$A:$A,$H720,'Participation Adjustment'!$B:$B,$I720),1)</f>
        <v>223656.06669217101</v>
      </c>
      <c r="AD720" s="79">
        <f>tbl_Data_old[[#This Row],[2033 ]]*IFERROR(AVERAGEIFS('Participation Adjustment'!$C:$C,'Participation Adjustment'!$A:$A,$H720,'Participation Adjustment'!$B:$B,$I720),1)</f>
        <v>260049.372008776</v>
      </c>
      <c r="AE720" s="79">
        <f>tbl_Data_old[[#This Row],[2034 ]]*IFERROR(AVERAGEIFS('Participation Adjustment'!$C:$C,'Participation Adjustment'!$A:$A,$H720,'Participation Adjustment'!$B:$B,$I720),1)</f>
        <v>297966.46452095802</v>
      </c>
      <c r="AF720" s="77" t="str">
        <f t="shared" si="297"/>
        <v>NonResidential</v>
      </c>
      <c r="AG720" s="77" t="str">
        <f>tbl_Data[[#This Row],[All_Meas_Name_Append]]</f>
        <v>Custom Measure - Non-Lighting_70</v>
      </c>
      <c r="AH720" s="77">
        <f>AVERAGEIFS('3. Incentive Adjustment'!G:G,'3. Incentive Adjustment'!A:A,tbl_Data[[#This Row],[Trimmed Sector]],'3. Incentive Adjustment'!B:B,tbl_Data[[#This Row],[Trimmed Measure Name]])</f>
        <v>0.82269267220071174</v>
      </c>
      <c r="AI720" s="77">
        <f>$AH720*tbl_Data[[#This Row],[2025 ]]</f>
        <v>16360.413881137856</v>
      </c>
      <c r="AJ720" s="77">
        <f>$AH720*tbl_Data[[#This Row],[2026 ]]</f>
        <v>34972.362102524537</v>
      </c>
      <c r="AK720" s="77">
        <f>$AH720*tbl_Data[[#This Row],[2027 ]]</f>
        <v>55546.271857975844</v>
      </c>
      <c r="AL720" s="77">
        <f>$AH720*tbl_Data[[#This Row],[2028 ]]</f>
        <v>78088.322250589568</v>
      </c>
      <c r="AM720" s="77">
        <f>$AH720*tbl_Data[[#This Row],[2029 ]]</f>
        <v>102307.87527026427</v>
      </c>
      <c r="AN720" s="77">
        <f>$AH720*tbl_Data[[#This Row],[2030 ]]</f>
        <v>128101.4763380822</v>
      </c>
      <c r="AO720" s="77">
        <f>$AH720*tbl_Data[[#This Row],[2031 ]]</f>
        <v>155383.11596377176</v>
      </c>
      <c r="AP720" s="77">
        <f>$AH720*tbl_Data[[#This Row],[2032 ]]</f>
        <v>184000.20716088277</v>
      </c>
      <c r="AQ720" s="77">
        <f>$AH720*tbl_Data[[#This Row],[2033 ]]</f>
        <v>213940.71276201689</v>
      </c>
      <c r="AR720" s="77">
        <f>$AH720*tbl_Data[[#This Row],[2034 ]]</f>
        <v>245134.82692294553</v>
      </c>
      <c r="AS720" s="77">
        <f>SUM(tbl_Data[[#This Row],[Adjusted 2025]:[Adjusted 2034]])</f>
        <v>1213835.5845101911</v>
      </c>
      <c r="AT720" s="80">
        <f>AVERAGEIFS('3. Incentive Adjustment'!F:F,'3. Incentive Adjustment'!A:A,tbl_Data[[#This Row],[Trimmed Sector]],'3. Incentive Adjustment'!B:B,tbl_Data[[#This Row],[Trimmed Measure Name]])</f>
        <v>3919.5698976361523</v>
      </c>
      <c r="AU720" s="80">
        <f>IFERROR(VLOOKUP(tbl_Data[[#This Row],[All_Meas_Name_Append]],'IRA Tax Credits'!$A$3:$D$46,4,0),0)</f>
        <v>0</v>
      </c>
      <c r="AV720" s="81">
        <f>tbl_Data[[#This Row],[Adj. per unit Incentive ($)]]/tbl_Data[[#This Row],[kWh Savings]]*tbl_Data[[#This Row],[Sum of Annuals]]</f>
        <v>127304.11111335095</v>
      </c>
      <c r="AW720" s="81">
        <f>IFERROR(VLOOKUP(tbl_Data[[#This Row],[Column1]],'1. Set Program Names'!$B$2:$D$15,3,0)*tbl_Data[[#This Row],[Sum of Annuals]],"")</f>
        <v>38415.706691508589</v>
      </c>
      <c r="AX720" s="81">
        <f>tbl_Data[[#This Row],[per unit IRA tax ($)]]/tbl_Data[[#This Row],[kWh Savings]]*tbl_Data[[#This Row],[Sum of Annuals]]</f>
        <v>0</v>
      </c>
      <c r="AY720" s="81">
        <f>tbl_Data[[#This Row],[Avoided Costs ($/unit)]]/tbl_Data[[#This Row],[kWh Savings]]*tbl_Data[[#This Row],[Sum of Annuals]]</f>
        <v>519028.89040127408</v>
      </c>
      <c r="AZ720" s="81">
        <f>tbl_Data[[#This Row],[Lost Revenue ($/unit)]]/tbl_Data[[#This Row],[kWh Savings]]*tbl_Data[[#This Row],[Sum of Annuals]]</f>
        <v>1289178.847319206</v>
      </c>
      <c r="BA720" s="81">
        <f>tbl_Data[[#This Row],[Incremental Cost ($/unit)]]/tbl_Data[[#This Row],[kWh Savings]]*tbl_Data[[#This Row],[Sum of Annuals]]</f>
        <v>461257.51778332627</v>
      </c>
      <c r="BB720" s="77">
        <f>ROUNDUP(tbl_Data[[#This Row],[Adjusted 2025]]/$L720,0)</f>
        <v>1</v>
      </c>
      <c r="BC720" s="77">
        <f>ROUNDUP(tbl_Data[[#This Row],[Adjusted 2026]]/$L720,0)</f>
        <v>1</v>
      </c>
      <c r="BD720" s="77">
        <f>ROUNDUP(tbl_Data[[#This Row],[Adjusted 2027]]/$L720,0)</f>
        <v>2</v>
      </c>
      <c r="BE720" s="77">
        <f>ROUNDUP(tbl_Data[[#This Row],[Adjusted 2028]]/$L720,0)</f>
        <v>3</v>
      </c>
      <c r="BF720" s="77">
        <f>ROUNDUP(tbl_Data[[#This Row],[Adjusted 2029]]/$L720,0)</f>
        <v>3</v>
      </c>
      <c r="BG720" s="77">
        <f>ROUNDUP(tbl_Data[[#This Row],[Adjusted 2030]]/$L720,0)</f>
        <v>4</v>
      </c>
      <c r="BH720" s="77">
        <f>ROUNDUP(tbl_Data[[#This Row],[Adjusted 2031]]/$L720,0)</f>
        <v>5</v>
      </c>
      <c r="BI720" s="77">
        <f>ROUNDUP(tbl_Data[[#This Row],[Adjusted 2032]]/$L720,0)</f>
        <v>5</v>
      </c>
      <c r="BJ720" s="77">
        <f>ROUNDUP(tbl_Data[[#This Row],[Adjusted 2033]]/$L720,0)</f>
        <v>6</v>
      </c>
      <c r="BK720" s="77">
        <f>ROUNDUP(tbl_Data[[#This Row],[Adjusted 2034]]/$L720,0)</f>
        <v>7</v>
      </c>
      <c r="BL720" s="80">
        <f t="shared" si="298"/>
        <v>2085.6393922924676</v>
      </c>
      <c r="BM720" s="80">
        <f t="shared" si="299"/>
        <v>4458.3062856762217</v>
      </c>
      <c r="BN720" s="80">
        <f t="shared" si="300"/>
        <v>7081.0856940205767</v>
      </c>
      <c r="BO720" s="80">
        <f t="shared" si="301"/>
        <v>9954.7653346121151</v>
      </c>
      <c r="BP720" s="80">
        <f t="shared" si="302"/>
        <v>13042.294428224288</v>
      </c>
      <c r="BQ720" s="80">
        <f t="shared" si="303"/>
        <v>16330.484497678486</v>
      </c>
      <c r="BR720" s="80">
        <f t="shared" si="304"/>
        <v>19808.370980444408</v>
      </c>
      <c r="BS720" s="80">
        <f t="shared" si="305"/>
        <v>23456.501958495781</v>
      </c>
      <c r="BT720" s="80">
        <f t="shared" si="306"/>
        <v>27273.34292355672</v>
      </c>
      <c r="BU720" s="80">
        <f t="shared" si="307"/>
        <v>31249.994967592673</v>
      </c>
      <c r="BV720" s="80">
        <f>IFERROR(VLOOKUP($H720,'1. Set Program Names'!$B$2:$D$15,3,0)*V720,"NA")</f>
        <v>629.36939316299095</v>
      </c>
      <c r="BW720" s="80">
        <f>IFERROR(VLOOKUP($H720,'1. Set Program Names'!$B$2:$D$15,3,0)*W720,"NA")</f>
        <v>1345.353147778156</v>
      </c>
      <c r="BX720" s="80">
        <f>IFERROR(VLOOKUP($H720,'1. Set Program Names'!$B$2:$D$15,3,0)*X720,"NA")</f>
        <v>2136.8116763858661</v>
      </c>
      <c r="BY720" s="80">
        <f>IFERROR(VLOOKUP($H720,'1. Set Program Names'!$B$2:$D$15,3,0)*Y720,"NA")</f>
        <v>3003.9826831417258</v>
      </c>
      <c r="BZ720" s="80">
        <f>IFERROR(VLOOKUP($H720,'1. Set Program Names'!$B$2:$D$15,3,0)*Z720,"NA")</f>
        <v>3935.6856032154947</v>
      </c>
      <c r="CA720" s="80">
        <f>IFERROR(VLOOKUP($H720,'1. Set Program Names'!$B$2:$D$15,3,0)*AA720,"NA")</f>
        <v>4927.9406384170734</v>
      </c>
      <c r="CB720" s="80">
        <f>IFERROR(VLOOKUP($H720,'1. Set Program Names'!$B$2:$D$15,3,0)*AB720,"NA")</f>
        <v>5977.4390863449362</v>
      </c>
      <c r="CC720" s="80">
        <f>IFERROR(VLOOKUP($H720,'1. Set Program Names'!$B$2:$D$15,3,0)*AC720,"NA")</f>
        <v>7078.3110723269374</v>
      </c>
      <c r="CD720" s="80">
        <f>IFERROR(VLOOKUP($H720,'1. Set Program Names'!$B$2:$D$15,3,0)*AD720,"NA")</f>
        <v>8230.0935381057534</v>
      </c>
      <c r="CE720" s="80">
        <f>IFERROR(VLOOKUP($H720,'1. Set Program Names'!$B$2:$D$15,3,0)*AE720,"NA")</f>
        <v>9430.1011199650002</v>
      </c>
    </row>
    <row r="721" spans="1:83" x14ac:dyDescent="0.25">
      <c r="A721" s="79" t="s">
        <v>113</v>
      </c>
      <c r="B721" s="79" t="s">
        <v>88</v>
      </c>
      <c r="C721" s="79" t="s">
        <v>176</v>
      </c>
      <c r="D721" s="79" t="s">
        <v>90</v>
      </c>
      <c r="E721" s="79" t="s">
        <v>91</v>
      </c>
      <c r="F721" s="79" t="s">
        <v>90</v>
      </c>
      <c r="G721" s="79" t="s">
        <v>92</v>
      </c>
      <c r="H721" s="79" t="s">
        <v>18</v>
      </c>
      <c r="I721" s="79" t="s">
        <v>187</v>
      </c>
      <c r="J721" s="79" t="s">
        <v>137</v>
      </c>
      <c r="K721" s="79" t="s">
        <v>98</v>
      </c>
      <c r="L721" s="79">
        <v>16575.9941666665</v>
      </c>
      <c r="M721" s="79">
        <v>1.98609088803711</v>
      </c>
      <c r="N721" s="79">
        <v>1.91315479867159</v>
      </c>
      <c r="O721" s="79">
        <v>5440</v>
      </c>
      <c r="P721" s="79">
        <v>2106.6717861739999</v>
      </c>
      <c r="Q721" s="79">
        <v>524.60031502847596</v>
      </c>
      <c r="R721" s="79">
        <v>7087.6591263841001</v>
      </c>
      <c r="S721" s="79">
        <v>17604.872789732901</v>
      </c>
      <c r="T721" s="79">
        <v>15</v>
      </c>
      <c r="U721" s="79">
        <v>1</v>
      </c>
      <c r="V721" s="79">
        <f>tbl_Data_old[[#This Row],[2025 ]]*IFERROR(AVERAGEIFS('Participation Adjustment'!$C:$C,'Participation Adjustment'!$A:$A,$H721,'Participation Adjustment'!$B:$B,$I721),1)</f>
        <v>9492.7553855749793</v>
      </c>
      <c r="W721" s="79">
        <f>tbl_Data_old[[#This Row],[2026 ]]*IFERROR(AVERAGEIFS('Participation Adjustment'!$C:$C,'Participation Adjustment'!$A:$A,$H721,'Participation Adjustment'!$B:$B,$I721),1)</f>
        <v>22609.676368814198</v>
      </c>
      <c r="X721" s="79">
        <f>tbl_Data_old[[#This Row],[2027 ]]*IFERROR(AVERAGEIFS('Participation Adjustment'!$C:$C,'Participation Adjustment'!$A:$A,$H721,'Participation Adjustment'!$B:$B,$I721),1)</f>
        <v>40167.457739660102</v>
      </c>
      <c r="Y721" s="79">
        <f>tbl_Data_old[[#This Row],[2028 ]]*IFERROR(AVERAGEIFS('Participation Adjustment'!$C:$C,'Participation Adjustment'!$A:$A,$H721,'Participation Adjustment'!$B:$B,$I721),1)</f>
        <v>63090.101102888002</v>
      </c>
      <c r="Z721" s="79">
        <f>tbl_Data_old[[#This Row],[2029 ]]*IFERROR(AVERAGEIFS('Participation Adjustment'!$C:$C,'Participation Adjustment'!$A:$A,$H721,'Participation Adjustment'!$B:$B,$I721),1)</f>
        <v>91716.9851298953</v>
      </c>
      <c r="AA721" s="79">
        <f>tbl_Data_old[[#This Row],[2030 ]]*IFERROR(AVERAGEIFS('Participation Adjustment'!$C:$C,'Participation Adjustment'!$A:$A,$H721,'Participation Adjustment'!$B:$B,$I721),1)</f>
        <v>125718.991763417</v>
      </c>
      <c r="AB721" s="79">
        <f>tbl_Data_old[[#This Row],[2031 ]]*IFERROR(AVERAGEIFS('Participation Adjustment'!$C:$C,'Participation Adjustment'!$A:$A,$H721,'Participation Adjustment'!$B:$B,$I721),1)</f>
        <v>163650.55435984299</v>
      </c>
      <c r="AC721" s="79">
        <f>tbl_Data_old[[#This Row],[2032 ]]*IFERROR(AVERAGEIFS('Participation Adjustment'!$C:$C,'Participation Adjustment'!$A:$A,$H721,'Participation Adjustment'!$B:$B,$I721),1)</f>
        <v>202817.95941273001</v>
      </c>
      <c r="AD721" s="79">
        <f>tbl_Data_old[[#This Row],[2033 ]]*IFERROR(AVERAGEIFS('Participation Adjustment'!$C:$C,'Participation Adjustment'!$A:$A,$H721,'Participation Adjustment'!$B:$B,$I721),1)</f>
        <v>239978.16922449</v>
      </c>
      <c r="AE721" s="79">
        <f>tbl_Data_old[[#This Row],[2034 ]]*IFERROR(AVERAGEIFS('Participation Adjustment'!$C:$C,'Participation Adjustment'!$A:$A,$H721,'Participation Adjustment'!$B:$B,$I721),1)</f>
        <v>272215.42362070602</v>
      </c>
      <c r="AF721" s="77" t="str">
        <f t="shared" si="297"/>
        <v>NonResidential</v>
      </c>
      <c r="AG721" s="77" t="str">
        <f>tbl_Data[[#This Row],[All_Meas_Name_Append]]</f>
        <v>High Efficiency Air Compressor</v>
      </c>
      <c r="AH721" s="77">
        <f>AVERAGEIFS('3. Incentive Adjustment'!G:G,'3. Incentive Adjustment'!A:A,tbl_Data[[#This Row],[Trimmed Sector]],'3. Incentive Adjustment'!B:B,tbl_Data[[#This Row],[Trimmed Measure Name]])</f>
        <v>0.94309259342294038</v>
      </c>
      <c r="AI721" s="77">
        <f>$AH721*tbl_Data[[#This Row],[2025 ]]</f>
        <v>8952.5472953114913</v>
      </c>
      <c r="AJ721" s="77">
        <f>$AH721*tbl_Data[[#This Row],[2026 ]]</f>
        <v>21323.018323118351</v>
      </c>
      <c r="AK721" s="77">
        <f>$AH721*tbl_Data[[#This Row],[2027 ]]</f>
        <v>37881.631890902405</v>
      </c>
      <c r="AL721" s="77">
        <f>$AH721*tbl_Data[[#This Row],[2028 ]]</f>
        <v>59499.80706843816</v>
      </c>
      <c r="AM721" s="77">
        <f>$AH721*tbl_Data[[#This Row],[2029 ]]</f>
        <v>86497.609367086217</v>
      </c>
      <c r="AN721" s="77">
        <f>$AH721*tbl_Data[[#This Row],[2030 ]]</f>
        <v>118564.64998467822</v>
      </c>
      <c r="AO721" s="77">
        <f>$AH721*tbl_Data[[#This Row],[2031 ]]</f>
        <v>154337.62572632622</v>
      </c>
      <c r="AP721" s="77">
        <f>$AH721*tbl_Data[[#This Row],[2032 ]]</f>
        <v>191276.11533530022</v>
      </c>
      <c r="AQ721" s="77">
        <f>$AH721*tbl_Data[[#This Row],[2033 ]]</f>
        <v>226321.63397881354</v>
      </c>
      <c r="AR721" s="77">
        <f>$AH721*tbl_Data[[#This Row],[2034 ]]</f>
        <v>256724.34983217597</v>
      </c>
      <c r="AS721" s="77">
        <f>SUM(tbl_Data[[#This Row],[Adjusted 2025]:[Adjusted 2034]])</f>
        <v>1161378.9888021508</v>
      </c>
      <c r="AT721" s="80">
        <f>AVERAGEIFS('3. Incentive Adjustment'!F:F,'3. Incentive Adjustment'!A:A,tbl_Data[[#This Row],[Trimmed Sector]],'3. Incentive Adjustment'!B:B,tbl_Data[[#This Row],[Trimmed Measure Name]])</f>
        <v>1738.5866300231887</v>
      </c>
      <c r="AU721" s="80">
        <f>IFERROR(VLOOKUP(tbl_Data[[#This Row],[All_Meas_Name_Append]],'IRA Tax Credits'!$A$3:$D$46,4,0),0)</f>
        <v>0</v>
      </c>
      <c r="AV721" s="81">
        <f>tbl_Data[[#This Row],[Adj. per unit Incentive ($)]]/tbl_Data[[#This Row],[kWh Savings]]*tbl_Data[[#This Row],[Sum of Annuals]]</f>
        <v>121812.17983182549</v>
      </c>
      <c r="AW721" s="81">
        <f>IFERROR(VLOOKUP(tbl_Data[[#This Row],[Column1]],'1. Set Program Names'!$B$2:$D$15,3,0)*tbl_Data[[#This Row],[Sum of Annuals]],"")</f>
        <v>36755.550060354726</v>
      </c>
      <c r="AX721" s="81">
        <f>tbl_Data[[#This Row],[per unit IRA tax ($)]]/tbl_Data[[#This Row],[kWh Savings]]*tbl_Data[[#This Row],[Sum of Annuals]]</f>
        <v>0</v>
      </c>
      <c r="AY721" s="81">
        <f>tbl_Data[[#This Row],[Avoided Costs ($/unit)]]/tbl_Data[[#This Row],[kWh Savings]]*tbl_Data[[#This Row],[Sum of Annuals]]</f>
        <v>496589.12198022823</v>
      </c>
      <c r="AZ721" s="81">
        <f>tbl_Data[[#This Row],[Lost Revenue ($/unit)]]/tbl_Data[[#This Row],[kWh Savings]]*tbl_Data[[#This Row],[Sum of Annuals]]</f>
        <v>1233466.2496229785</v>
      </c>
      <c r="BA721" s="81">
        <f>tbl_Data[[#This Row],[Incremental Cost ($/unit)]]/tbl_Data[[#This Row],[kWh Savings]]*tbl_Data[[#This Row],[Sum of Annuals]]</f>
        <v>381147.67871894443</v>
      </c>
      <c r="BB721" s="77">
        <f>ROUNDUP(tbl_Data[[#This Row],[Adjusted 2025]]/$L721,0)</f>
        <v>1</v>
      </c>
      <c r="BC721" s="77">
        <f>ROUNDUP(tbl_Data[[#This Row],[Adjusted 2026]]/$L721,0)</f>
        <v>2</v>
      </c>
      <c r="BD721" s="77">
        <f>ROUNDUP(tbl_Data[[#This Row],[Adjusted 2027]]/$L721,0)</f>
        <v>3</v>
      </c>
      <c r="BE721" s="77">
        <f>ROUNDUP(tbl_Data[[#This Row],[Adjusted 2028]]/$L721,0)</f>
        <v>4</v>
      </c>
      <c r="BF721" s="77">
        <f>ROUNDUP(tbl_Data[[#This Row],[Adjusted 2029]]/$L721,0)</f>
        <v>6</v>
      </c>
      <c r="BG721" s="77">
        <f>ROUNDUP(tbl_Data[[#This Row],[Adjusted 2030]]/$L721,0)</f>
        <v>8</v>
      </c>
      <c r="BH721" s="77">
        <f>ROUNDUP(tbl_Data[[#This Row],[Adjusted 2031]]/$L721,0)</f>
        <v>10</v>
      </c>
      <c r="BI721" s="77">
        <f>ROUNDUP(tbl_Data[[#This Row],[Adjusted 2032]]/$L721,0)</f>
        <v>12</v>
      </c>
      <c r="BJ721" s="77">
        <f>ROUNDUP(tbl_Data[[#This Row],[Adjusted 2033]]/$L721,0)</f>
        <v>14</v>
      </c>
      <c r="BK721" s="77">
        <f>ROUNDUP(tbl_Data[[#This Row],[Adjusted 2034]]/$L721,0)</f>
        <v>16</v>
      </c>
      <c r="BL721" s="80">
        <f t="shared" si="298"/>
        <v>995.65536941548623</v>
      </c>
      <c r="BM721" s="80">
        <f t="shared" si="299"/>
        <v>2371.4342952062452</v>
      </c>
      <c r="BN721" s="80">
        <f t="shared" si="300"/>
        <v>4212.9964746626438</v>
      </c>
      <c r="BO721" s="80">
        <f t="shared" si="301"/>
        <v>6617.2565676252852</v>
      </c>
      <c r="BP721" s="80">
        <f t="shared" si="302"/>
        <v>9619.8105820725705</v>
      </c>
      <c r="BQ721" s="80">
        <f t="shared" si="303"/>
        <v>13186.138702884702</v>
      </c>
      <c r="BR721" s="80">
        <f t="shared" si="304"/>
        <v>17164.621496915279</v>
      </c>
      <c r="BS721" s="80">
        <f t="shared" si="305"/>
        <v>21272.7266321469</v>
      </c>
      <c r="BT721" s="80">
        <f t="shared" si="306"/>
        <v>25170.305461988817</v>
      </c>
      <c r="BU721" s="80">
        <f t="shared" si="307"/>
        <v>28551.536109054661</v>
      </c>
      <c r="BV721" s="80">
        <f>IFERROR(VLOOKUP($H721,'1. Set Program Names'!$B$2:$D$15,3,0)*V721,"NA")</f>
        <v>300.42858459586148</v>
      </c>
      <c r="BW721" s="80">
        <f>IFERROR(VLOOKUP($H721,'1. Set Program Names'!$B$2:$D$15,3,0)*W721,"NA")</f>
        <v>715.55547296365069</v>
      </c>
      <c r="BX721" s="80">
        <f>IFERROR(VLOOKUP($H721,'1. Set Program Names'!$B$2:$D$15,3,0)*X721,"NA")</f>
        <v>1271.2275820229868</v>
      </c>
      <c r="BY721" s="80">
        <f>IFERROR(VLOOKUP($H721,'1. Set Program Names'!$B$2:$D$15,3,0)*Y721,"NA")</f>
        <v>1996.6878958192378</v>
      </c>
      <c r="BZ721" s="80">
        <f>IFERROR(VLOOKUP($H721,'1. Set Program Names'!$B$2:$D$15,3,0)*Z721,"NA")</f>
        <v>2902.6771371192499</v>
      </c>
      <c r="CA721" s="80">
        <f>IFERROR(VLOOKUP($H721,'1. Set Program Names'!$B$2:$D$15,3,0)*AA721,"NA")</f>
        <v>3978.77931308502</v>
      </c>
      <c r="CB721" s="80">
        <f>IFERROR(VLOOKUP($H721,'1. Set Program Names'!$B$2:$D$15,3,0)*AB721,"NA")</f>
        <v>5179.2448470089557</v>
      </c>
      <c r="CC721" s="80">
        <f>IFERROR(VLOOKUP($H721,'1. Set Program Names'!$B$2:$D$15,3,0)*AC721,"NA")</f>
        <v>6418.8225654248936</v>
      </c>
      <c r="CD721" s="80">
        <f>IFERROR(VLOOKUP($H721,'1. Set Program Names'!$B$2:$D$15,3,0)*AD721,"NA")</f>
        <v>7594.8761751067459</v>
      </c>
      <c r="CE721" s="80">
        <f>IFERROR(VLOOKUP($H721,'1. Set Program Names'!$B$2:$D$15,3,0)*AE721,"NA")</f>
        <v>8615.1271260823742</v>
      </c>
    </row>
    <row r="722" spans="1:83" x14ac:dyDescent="0.25">
      <c r="A722" s="79" t="s">
        <v>113</v>
      </c>
      <c r="B722" s="79" t="s">
        <v>88</v>
      </c>
      <c r="C722" s="79" t="s">
        <v>176</v>
      </c>
      <c r="D722" s="79" t="s">
        <v>90</v>
      </c>
      <c r="E722" s="79" t="s">
        <v>91</v>
      </c>
      <c r="F722" s="79" t="s">
        <v>90</v>
      </c>
      <c r="G722" s="79" t="s">
        <v>92</v>
      </c>
      <c r="H722" s="79" t="s">
        <v>18</v>
      </c>
      <c r="I722" s="79" t="s">
        <v>157</v>
      </c>
      <c r="J722" s="79" t="s">
        <v>158</v>
      </c>
      <c r="K722" s="79" t="s">
        <v>159</v>
      </c>
      <c r="L722" s="79">
        <v>562.52</v>
      </c>
      <c r="M722" s="79">
        <v>6.7473359330379998E-2</v>
      </c>
      <c r="N722" s="79">
        <v>6.4973258375617293E-2</v>
      </c>
      <c r="O722" s="79">
        <v>169</v>
      </c>
      <c r="P722" s="79">
        <v>55.847956108163899</v>
      </c>
      <c r="Q722" s="79">
        <v>17.802743307140101</v>
      </c>
      <c r="R722" s="79">
        <v>240.47921618074301</v>
      </c>
      <c r="S722" s="79">
        <v>597.43584258705596</v>
      </c>
      <c r="T722" s="79">
        <v>15</v>
      </c>
      <c r="U722" s="79">
        <v>0.2</v>
      </c>
      <c r="V722" s="79">
        <f>tbl_Data_old[[#This Row],[2025 ]]*IFERROR(AVERAGEIFS('Participation Adjustment'!$C:$C,'Participation Adjustment'!$A:$A,$H722,'Participation Adjustment'!$B:$B,$I722),1)</f>
        <v>3042.0739904841648</v>
      </c>
      <c r="W722" s="79">
        <f>tbl_Data_old[[#This Row],[2026 ]]*IFERROR(AVERAGEIFS('Participation Adjustment'!$C:$C,'Participation Adjustment'!$A:$A,$H722,'Participation Adjustment'!$B:$B,$I722),1)</f>
        <v>6502.941839866</v>
      </c>
      <c r="X722" s="79">
        <f>tbl_Data_old[[#This Row],[2027 ]]*IFERROR(AVERAGEIFS('Participation Adjustment'!$C:$C,'Participation Adjustment'!$A:$A,$H722,'Participation Adjustment'!$B:$B,$I722),1)</f>
        <v>10328.758991796401</v>
      </c>
      <c r="Y722" s="79">
        <f>tbl_Data_old[[#This Row],[2028 ]]*IFERROR(AVERAGEIFS('Participation Adjustment'!$C:$C,'Participation Adjustment'!$A:$A,$H722,'Participation Adjustment'!$B:$B,$I722),1)</f>
        <v>14520.886584623549</v>
      </c>
      <c r="Z722" s="79">
        <f>tbl_Data_old[[#This Row],[2029 ]]*IFERROR(AVERAGEIFS('Participation Adjustment'!$C:$C,'Participation Adjustment'!$A:$A,$H722,'Participation Adjustment'!$B:$B,$I722),1)</f>
        <v>19025.020357967402</v>
      </c>
      <c r="AA722" s="79">
        <f>tbl_Data_old[[#This Row],[2030 ]]*IFERROR(AVERAGEIFS('Participation Adjustment'!$C:$C,'Participation Adjustment'!$A:$A,$H722,'Participation Adjustment'!$B:$B,$I722),1)</f>
        <v>23822.02931083295</v>
      </c>
      <c r="AB722" s="79">
        <f>tbl_Data_old[[#This Row],[2031 ]]*IFERROR(AVERAGEIFS('Participation Adjustment'!$C:$C,'Participation Adjustment'!$A:$A,$H722,'Participation Adjustment'!$B:$B,$I722),1)</f>
        <v>28895.986340795047</v>
      </c>
      <c r="AC722" s="79">
        <f>tbl_Data_old[[#This Row],[2032 ]]*IFERROR(AVERAGEIFS('Participation Adjustment'!$C:$C,'Participation Adjustment'!$A:$A,$H722,'Participation Adjustment'!$B:$B,$I722),1)</f>
        <v>34218.365647335151</v>
      </c>
      <c r="AD722" s="79">
        <f>tbl_Data_old[[#This Row],[2033 ]]*IFERROR(AVERAGEIFS('Participation Adjustment'!$C:$C,'Participation Adjustment'!$A:$A,$H722,'Participation Adjustment'!$B:$B,$I722),1)</f>
        <v>39787.073891149252</v>
      </c>
      <c r="AE722" s="79">
        <f>tbl_Data_old[[#This Row],[2034 ]]*IFERROR(AVERAGEIFS('Participation Adjustment'!$C:$C,'Participation Adjustment'!$A:$A,$H722,'Participation Adjustment'!$B:$B,$I722),1)</f>
        <v>45589.115991466751</v>
      </c>
      <c r="AF722" s="77" t="str">
        <f t="shared" si="297"/>
        <v>NonResidential</v>
      </c>
      <c r="AG722" s="77" t="str">
        <f>tbl_Data[[#This Row],[All_Meas_Name_Append]]</f>
        <v>LED Exterior Wall Packs</v>
      </c>
      <c r="AH722" s="77">
        <f>AVERAGEIFS('3. Incentive Adjustment'!G:G,'3. Incentive Adjustment'!A:A,tbl_Data[[#This Row],[Trimmed Sector]],'3. Incentive Adjustment'!B:B,tbl_Data[[#This Row],[Trimmed Measure Name]])</f>
        <v>0.80637708305213962</v>
      </c>
      <c r="AI722" s="77">
        <f>$AH722*tbl_Data[[#This Row],[2025 ]]</f>
        <v>2453.0587508754033</v>
      </c>
      <c r="AJ722" s="77">
        <f>$AH722*tbl_Data[[#This Row],[2026 ]]</f>
        <v>5243.8232720888591</v>
      </c>
      <c r="AK722" s="77">
        <f>$AH722*tbl_Data[[#This Row],[2027 ]]</f>
        <v>8328.8745473533399</v>
      </c>
      <c r="AL722" s="77">
        <f>$AH722*tbl_Data[[#This Row],[2028 ]]</f>
        <v>11709.310167439684</v>
      </c>
      <c r="AM722" s="77">
        <f>$AH722*tbl_Data[[#This Row],[2029 ]]</f>
        <v>15341.340421265326</v>
      </c>
      <c r="AN722" s="77">
        <f>$AH722*tbl_Data[[#This Row],[2030 ]]</f>
        <v>19209.538508052046</v>
      </c>
      <c r="AO722" s="77">
        <f>$AH722*tbl_Data[[#This Row],[2031 ]]</f>
        <v>23301.061177404779</v>
      </c>
      <c r="AP722" s="77">
        <f>$AH722*tbl_Data[[#This Row],[2032 ]]</f>
        <v>27592.90587750966</v>
      </c>
      <c r="AQ722" s="77">
        <f>$AH722*tbl_Data[[#This Row],[2033 ]]</f>
        <v>32083.384587524877</v>
      </c>
      <c r="AR722" s="77">
        <f>$AH722*tbl_Data[[#This Row],[2034 ]]</f>
        <v>36762.018372124614</v>
      </c>
      <c r="AS722" s="77">
        <f>SUM(tbl_Data[[#This Row],[Adjusted 2025]:[Adjusted 2034]])</f>
        <v>182025.3156816386</v>
      </c>
      <c r="AT722" s="80">
        <f>AVERAGEIFS('3. Incentive Adjustment'!F:F,'3. Incentive Adjustment'!A:A,tbl_Data[[#This Row],[Trimmed Sector]],'3. Incentive Adjustment'!B:B,tbl_Data[[#This Row],[Trimmed Measure Name]])</f>
        <v>8.6864493556481861</v>
      </c>
      <c r="AU722" s="80">
        <f>IFERROR(VLOOKUP(tbl_Data[[#This Row],[All_Meas_Name_Append]],'IRA Tax Credits'!$A$3:$D$46,4,0),0)</f>
        <v>0</v>
      </c>
      <c r="AV722" s="81">
        <f>tbl_Data[[#This Row],[Adj. per unit Incentive ($)]]/tbl_Data[[#This Row],[kWh Savings]]*tbl_Data[[#This Row],[Sum of Annuals]]</f>
        <v>2810.8399454498103</v>
      </c>
      <c r="AW722" s="81">
        <f>IFERROR(VLOOKUP(tbl_Data[[#This Row],[Column1]],'1. Set Program Names'!$B$2:$D$15,3,0)*tbl_Data[[#This Row],[Sum of Annuals]],"")</f>
        <v>5760.7728978194073</v>
      </c>
      <c r="AX722" s="81">
        <f>tbl_Data[[#This Row],[per unit IRA tax ($)]]/tbl_Data[[#This Row],[kWh Savings]]*tbl_Data[[#This Row],[Sum of Annuals]]</f>
        <v>0</v>
      </c>
      <c r="AY722" s="81">
        <f>tbl_Data[[#This Row],[Avoided Costs ($/unit)]]/tbl_Data[[#This Row],[kWh Savings]]*tbl_Data[[#This Row],[Sum of Annuals]]</f>
        <v>77816.442509017928</v>
      </c>
      <c r="AZ722" s="81">
        <f>tbl_Data[[#This Row],[Lost Revenue ($/unit)]]/tbl_Data[[#This Row],[kWh Savings]]*tbl_Data[[#This Row],[Sum of Annuals]]</f>
        <v>193323.70021765379</v>
      </c>
      <c r="BA722" s="81">
        <f>tbl_Data[[#This Row],[Incremental Cost ($/unit)]]/tbl_Data[[#This Row],[kWh Savings]]*tbl_Data[[#This Row],[Sum of Annuals]]</f>
        <v>54686.550434112432</v>
      </c>
      <c r="BB722" s="77">
        <f>ROUNDUP(tbl_Data[[#This Row],[Adjusted 2025]]/$L722,0)</f>
        <v>5</v>
      </c>
      <c r="BC722" s="77">
        <f>ROUNDUP(tbl_Data[[#This Row],[Adjusted 2026]]/$L722,0)</f>
        <v>10</v>
      </c>
      <c r="BD722" s="77">
        <f>ROUNDUP(tbl_Data[[#This Row],[Adjusted 2027]]/$L722,0)</f>
        <v>15</v>
      </c>
      <c r="BE722" s="77">
        <f>ROUNDUP(tbl_Data[[#This Row],[Adjusted 2028]]/$L722,0)</f>
        <v>21</v>
      </c>
      <c r="BF722" s="77">
        <f>ROUNDUP(tbl_Data[[#This Row],[Adjusted 2029]]/$L722,0)</f>
        <v>28</v>
      </c>
      <c r="BG722" s="77">
        <f>ROUNDUP(tbl_Data[[#This Row],[Adjusted 2030]]/$L722,0)</f>
        <v>35</v>
      </c>
      <c r="BH722" s="77">
        <f>ROUNDUP(tbl_Data[[#This Row],[Adjusted 2031]]/$L722,0)</f>
        <v>42</v>
      </c>
      <c r="BI722" s="77">
        <f>ROUNDUP(tbl_Data[[#This Row],[Adjusted 2032]]/$L722,0)</f>
        <v>50</v>
      </c>
      <c r="BJ722" s="77">
        <f>ROUNDUP(tbl_Data[[#This Row],[Adjusted 2033]]/$L722,0)</f>
        <v>58</v>
      </c>
      <c r="BK722" s="77">
        <f>ROUNDUP(tbl_Data[[#This Row],[Adjusted 2034]]/$L722,0)</f>
        <v>66</v>
      </c>
      <c r="BL722" s="80">
        <f t="shared" si="298"/>
        <v>46.975790468739383</v>
      </c>
      <c r="BM722" s="80">
        <f t="shared" si="299"/>
        <v>100.41860725791375</v>
      </c>
      <c r="BN722" s="80">
        <f t="shared" si="300"/>
        <v>159.49698124321847</v>
      </c>
      <c r="BO722" s="80">
        <f t="shared" si="301"/>
        <v>224.23193116056962</v>
      </c>
      <c r="BP722" s="80">
        <f t="shared" si="302"/>
        <v>293.78488912333705</v>
      </c>
      <c r="BQ722" s="80">
        <f t="shared" si="303"/>
        <v>367.86043368647705</v>
      </c>
      <c r="BR722" s="80">
        <f t="shared" si="304"/>
        <v>446.21261809503289</v>
      </c>
      <c r="BS722" s="80">
        <f t="shared" si="305"/>
        <v>528.4009461505874</v>
      </c>
      <c r="BT722" s="80">
        <f t="shared" si="306"/>
        <v>614.39309244986873</v>
      </c>
      <c r="BU722" s="80">
        <f t="shared" si="307"/>
        <v>703.98838659718194</v>
      </c>
      <c r="BV722" s="80">
        <f>IFERROR(VLOOKUP($H722,'1. Set Program Names'!$B$2:$D$15,3,0)*V722,"NA")</f>
        <v>96.276154401474145</v>
      </c>
      <c r="BW722" s="80">
        <f>IFERROR(VLOOKUP($H722,'1. Set Program Names'!$B$2:$D$15,3,0)*W722,"NA")</f>
        <v>205.80637900234015</v>
      </c>
      <c r="BX722" s="80">
        <f>IFERROR(VLOOKUP($H722,'1. Set Program Names'!$B$2:$D$15,3,0)*X722,"NA")</f>
        <v>326.88659072080549</v>
      </c>
      <c r="BY722" s="80">
        <f>IFERROR(VLOOKUP($H722,'1. Set Program Names'!$B$2:$D$15,3,0)*Y722,"NA")</f>
        <v>459.55986713032206</v>
      </c>
      <c r="BZ722" s="80">
        <f>IFERROR(VLOOKUP($H722,'1. Set Program Names'!$B$2:$D$15,3,0)*Z722,"NA")</f>
        <v>602.10757634574793</v>
      </c>
      <c r="CA722" s="80">
        <f>IFERROR(VLOOKUP($H722,'1. Set Program Names'!$B$2:$D$15,3,0)*AA722,"NA")</f>
        <v>753.92425669474665</v>
      </c>
      <c r="CB722" s="80">
        <f>IFERROR(VLOOKUP($H722,'1. Set Program Names'!$B$2:$D$15,3,0)*AB722,"NA")</f>
        <v>914.50584411541547</v>
      </c>
      <c r="CC722" s="80">
        <f>IFERROR(VLOOKUP($H722,'1. Set Program Names'!$B$2:$D$15,3,0)*AC722,"NA")</f>
        <v>1082.9495484771596</v>
      </c>
      <c r="CD722" s="80">
        <f>IFERROR(VLOOKUP($H722,'1. Set Program Names'!$B$2:$D$15,3,0)*AD722,"NA")</f>
        <v>1259.1891193670442</v>
      </c>
      <c r="CE722" s="80">
        <f>IFERROR(VLOOKUP($H722,'1. Set Program Names'!$B$2:$D$15,3,0)*AE722,"NA")</f>
        <v>1442.8132859196523</v>
      </c>
    </row>
    <row r="723" spans="1:83" x14ac:dyDescent="0.25">
      <c r="A723" s="79" t="s">
        <v>113</v>
      </c>
      <c r="B723" s="79" t="s">
        <v>88</v>
      </c>
      <c r="C723" s="79" t="s">
        <v>176</v>
      </c>
      <c r="D723" s="79" t="s">
        <v>90</v>
      </c>
      <c r="E723" s="79" t="s">
        <v>91</v>
      </c>
      <c r="F723" s="79" t="s">
        <v>90</v>
      </c>
      <c r="G723" s="79" t="s">
        <v>92</v>
      </c>
      <c r="H723" s="79" t="s">
        <v>18</v>
      </c>
      <c r="I723" s="79" t="s">
        <v>162</v>
      </c>
      <c r="J723" s="79" t="s">
        <v>161</v>
      </c>
      <c r="K723" s="79" t="s">
        <v>159</v>
      </c>
      <c r="L723" s="79">
        <v>725.58416666666596</v>
      </c>
      <c r="M723" s="79">
        <v>8.6917804178563804E-2</v>
      </c>
      <c r="N723" s="79">
        <v>8.3795205289933394E-2</v>
      </c>
      <c r="O723" s="79">
        <v>179</v>
      </c>
      <c r="P723" s="79">
        <v>33.0790753554421</v>
      </c>
      <c r="Q723" s="79">
        <v>22.963430041406301</v>
      </c>
      <c r="R723" s="79">
        <v>310.45187974046598</v>
      </c>
      <c r="S723" s="79">
        <v>770.62146764617603</v>
      </c>
      <c r="T723" s="79">
        <v>15</v>
      </c>
      <c r="U723" s="79">
        <v>0.2</v>
      </c>
      <c r="V723" s="79">
        <f>tbl_Data_old[[#This Row],[2025 ]]*IFERROR(AVERAGEIFS('Participation Adjustment'!$C:$C,'Participation Adjustment'!$A:$A,$H723,'Participation Adjustment'!$B:$B,$I723),1)</f>
        <v>31259.9488880973</v>
      </c>
      <c r="W723" s="79">
        <f>tbl_Data_old[[#This Row],[2026 ]]*IFERROR(AVERAGEIFS('Participation Adjustment'!$C:$C,'Participation Adjustment'!$A:$A,$H723,'Participation Adjustment'!$B:$B,$I723),1)</f>
        <v>66823.367930024397</v>
      </c>
      <c r="X723" s="79">
        <f>tbl_Data_old[[#This Row],[2027 ]]*IFERROR(AVERAGEIFS('Participation Adjustment'!$C:$C,'Participation Adjustment'!$A:$A,$H723,'Participation Adjustment'!$B:$B,$I723),1)</f>
        <v>106136.95760557201</v>
      </c>
      <c r="Y723" s="79">
        <f>tbl_Data_old[[#This Row],[2028 ]]*IFERROR(AVERAGEIFS('Participation Adjustment'!$C:$C,'Participation Adjustment'!$A:$A,$H723,'Participation Adjustment'!$B:$B,$I723),1)</f>
        <v>149214.70479189299</v>
      </c>
      <c r="Z723" s="79">
        <f>tbl_Data_old[[#This Row],[2029 ]]*IFERROR(AVERAGEIFS('Participation Adjustment'!$C:$C,'Participation Adjustment'!$A:$A,$H723,'Participation Adjustment'!$B:$B,$I723),1)</f>
        <v>195498.586111121</v>
      </c>
      <c r="AA723" s="79">
        <f>tbl_Data_old[[#This Row],[2030 ]]*IFERROR(AVERAGEIFS('Participation Adjustment'!$C:$C,'Participation Adjustment'!$A:$A,$H723,'Participation Adjustment'!$B:$B,$I723),1)</f>
        <v>244792.01393417502</v>
      </c>
      <c r="AB723" s="79">
        <f>tbl_Data_old[[#This Row],[2031 ]]*IFERROR(AVERAGEIFS('Participation Adjustment'!$C:$C,'Participation Adjustment'!$A:$A,$H723,'Participation Adjustment'!$B:$B,$I723),1)</f>
        <v>296931.32346877799</v>
      </c>
      <c r="AC723" s="79">
        <f>tbl_Data_old[[#This Row],[2032 ]]*IFERROR(AVERAGEIFS('Participation Adjustment'!$C:$C,'Participation Adjustment'!$A:$A,$H723,'Participation Adjustment'!$B:$B,$I723),1)</f>
        <v>351623.387371875</v>
      </c>
      <c r="AD723" s="79">
        <f>tbl_Data_old[[#This Row],[2033 ]]*IFERROR(AVERAGEIFS('Participation Adjustment'!$C:$C,'Participation Adjustment'!$A:$A,$H723,'Participation Adjustment'!$B:$B,$I723),1)</f>
        <v>408846.69476639701</v>
      </c>
      <c r="AE723" s="79">
        <f>tbl_Data_old[[#This Row],[2034 ]]*IFERROR(AVERAGEIFS('Participation Adjustment'!$C:$C,'Participation Adjustment'!$A:$A,$H723,'Participation Adjustment'!$B:$B,$I723),1)</f>
        <v>468467.70992574398</v>
      </c>
      <c r="AF723" s="77" t="str">
        <f t="shared" si="297"/>
        <v>NonResidential</v>
      </c>
      <c r="AG723" s="77" t="str">
        <f>tbl_Data[[#This Row],[All_Meas_Name_Append]]</f>
        <v>LED High Bay_LF Baseline</v>
      </c>
      <c r="AH723" s="77">
        <f>AVERAGEIFS('3. Incentive Adjustment'!G:G,'3. Incentive Adjustment'!A:A,tbl_Data[[#This Row],[Trimmed Sector]],'3. Incentive Adjustment'!B:B,tbl_Data[[#This Row],[Trimmed Measure Name]])</f>
        <v>0.93017466414143679</v>
      </c>
      <c r="AI723" s="77">
        <f>$AH723*tbl_Data[[#This Row],[2025 ]]</f>
        <v>29077.212458064387</v>
      </c>
      <c r="AJ723" s="77">
        <f>$AH723*tbl_Data[[#This Row],[2026 ]]</f>
        <v>62157.4038211101</v>
      </c>
      <c r="AK723" s="77">
        <f>$AH723*tbl_Data[[#This Row],[2027 ]]</f>
        <v>98725.908893756859</v>
      </c>
      <c r="AL723" s="77">
        <f>$AH723*tbl_Data[[#This Row],[2028 ]]</f>
        <v>138795.73791476269</v>
      </c>
      <c r="AM723" s="77">
        <f>$AH723*tbl_Data[[#This Row],[2029 ]]</f>
        <v>181847.83167603772</v>
      </c>
      <c r="AN723" s="77">
        <f>$AH723*tbl_Data[[#This Row],[2030 ]]</f>
        <v>227699.32934572716</v>
      </c>
      <c r="AO723" s="77">
        <f>$AH723*tbl_Data[[#This Row],[2031 ]]</f>
        <v>276197.99408064288</v>
      </c>
      <c r="AP723" s="77">
        <f>$AH723*tbl_Data[[#This Row],[2032 ]]</f>
        <v>327071.16625290818</v>
      </c>
      <c r="AQ723" s="77">
        <f>$AH723*tbl_Data[[#This Row],[2033 ]]</f>
        <v>380298.83698966989</v>
      </c>
      <c r="AR723" s="77">
        <f>$AH723*tbl_Data[[#This Row],[2034 ]]</f>
        <v>435756.79474128695</v>
      </c>
      <c r="AS723" s="77">
        <f>SUM(tbl_Data[[#This Row],[Adjusted 2025]:[Adjusted 2034]])</f>
        <v>2157628.2161739669</v>
      </c>
      <c r="AT723" s="80">
        <f>AVERAGEIFS('3. Incentive Adjustment'!F:F,'3. Incentive Adjustment'!A:A,tbl_Data[[#This Row],[Trimmed Sector]],'3. Incentive Adjustment'!B:B,tbl_Data[[#This Row],[Trimmed Measure Name]])</f>
        <v>23.858858929800434</v>
      </c>
      <c r="AU723" s="80">
        <f>IFERROR(VLOOKUP(tbl_Data[[#This Row],[All_Meas_Name_Append]],'IRA Tax Credits'!$A$3:$D$46,4,0),0)</f>
        <v>0</v>
      </c>
      <c r="AV723" s="81">
        <f>tbl_Data[[#This Row],[Adj. per unit Incentive ($)]]/tbl_Data[[#This Row],[kWh Savings]]*tbl_Data[[#This Row],[Sum of Annuals]]</f>
        <v>70947.726807689454</v>
      </c>
      <c r="AW723" s="81">
        <f>IFERROR(VLOOKUP(tbl_Data[[#This Row],[Column1]],'1. Set Program Names'!$B$2:$D$15,3,0)*tbl_Data[[#This Row],[Sum of Annuals]],"")</f>
        <v>68285.04103816385</v>
      </c>
      <c r="AX723" s="81">
        <f>tbl_Data[[#This Row],[per unit IRA tax ($)]]/tbl_Data[[#This Row],[kWh Savings]]*tbl_Data[[#This Row],[Sum of Annuals]]</f>
        <v>0</v>
      </c>
      <c r="AY723" s="81">
        <f>tbl_Data[[#This Row],[Avoided Costs ($/unit)]]/tbl_Data[[#This Row],[kWh Savings]]*tbl_Data[[#This Row],[Sum of Annuals]]</f>
        <v>923173.0325229126</v>
      </c>
      <c r="AZ723" s="81">
        <f>tbl_Data[[#This Row],[Lost Revenue ($/unit)]]/tbl_Data[[#This Row],[kWh Savings]]*tbl_Data[[#This Row],[Sum of Annuals]]</f>
        <v>2291553.0671256171</v>
      </c>
      <c r="BA723" s="81">
        <f>tbl_Data[[#This Row],[Incremental Cost ($/unit)]]/tbl_Data[[#This Row],[kWh Savings]]*tbl_Data[[#This Row],[Sum of Annuals]]</f>
        <v>532282.08171825751</v>
      </c>
      <c r="BB723" s="77">
        <f>ROUNDUP(tbl_Data[[#This Row],[Adjusted 2025]]/$L723,0)</f>
        <v>41</v>
      </c>
      <c r="BC723" s="77">
        <f>ROUNDUP(tbl_Data[[#This Row],[Adjusted 2026]]/$L723,0)</f>
        <v>86</v>
      </c>
      <c r="BD723" s="77">
        <f>ROUNDUP(tbl_Data[[#This Row],[Adjusted 2027]]/$L723,0)</f>
        <v>137</v>
      </c>
      <c r="BE723" s="77">
        <f>ROUNDUP(tbl_Data[[#This Row],[Adjusted 2028]]/$L723,0)</f>
        <v>192</v>
      </c>
      <c r="BF723" s="77">
        <f>ROUNDUP(tbl_Data[[#This Row],[Adjusted 2029]]/$L723,0)</f>
        <v>251</v>
      </c>
      <c r="BG723" s="77">
        <f>ROUNDUP(tbl_Data[[#This Row],[Adjusted 2030]]/$L723,0)</f>
        <v>314</v>
      </c>
      <c r="BH723" s="77">
        <f>ROUNDUP(tbl_Data[[#This Row],[Adjusted 2031]]/$L723,0)</f>
        <v>381</v>
      </c>
      <c r="BI723" s="77">
        <f>ROUNDUP(tbl_Data[[#This Row],[Adjusted 2032]]/$L723,0)</f>
        <v>451</v>
      </c>
      <c r="BJ723" s="77">
        <f>ROUNDUP(tbl_Data[[#This Row],[Adjusted 2033]]/$L723,0)</f>
        <v>525</v>
      </c>
      <c r="BK723" s="77">
        <f>ROUNDUP(tbl_Data[[#This Row],[Adjusted 2034]]/$L723,0)</f>
        <v>601</v>
      </c>
      <c r="BL723" s="80">
        <f t="shared" si="298"/>
        <v>1027.89827140277</v>
      </c>
      <c r="BM723" s="80">
        <f t="shared" si="299"/>
        <v>2197.3044367560447</v>
      </c>
      <c r="BN723" s="80">
        <f t="shared" si="300"/>
        <v>3490.0247484491979</v>
      </c>
      <c r="BO723" s="80">
        <f t="shared" si="301"/>
        <v>4906.5191268390799</v>
      </c>
      <c r="BP723" s="80">
        <f t="shared" si="302"/>
        <v>6428.4384931231489</v>
      </c>
      <c r="BQ723" s="80">
        <f t="shared" si="303"/>
        <v>8049.3185985966193</v>
      </c>
      <c r="BR723" s="80">
        <f t="shared" si="304"/>
        <v>9763.7777723657437</v>
      </c>
      <c r="BS723" s="80">
        <f t="shared" si="305"/>
        <v>11562.17732019255</v>
      </c>
      <c r="BT723" s="80">
        <f t="shared" si="306"/>
        <v>13443.809915477279</v>
      </c>
      <c r="BU723" s="80">
        <f t="shared" si="307"/>
        <v>15404.284599583563</v>
      </c>
      <c r="BV723" s="80">
        <f>IFERROR(VLOOKUP($H723,'1. Set Program Names'!$B$2:$D$15,3,0)*V723,"NA")</f>
        <v>989.32099454084982</v>
      </c>
      <c r="BW723" s="80">
        <f>IFERROR(VLOOKUP($H723,'1. Set Program Names'!$B$2:$D$15,3,0)*W723,"NA")</f>
        <v>2114.8390567034216</v>
      </c>
      <c r="BX723" s="80">
        <f>IFERROR(VLOOKUP($H723,'1. Set Program Names'!$B$2:$D$15,3,0)*X723,"NA")</f>
        <v>3359.0432547337336</v>
      </c>
      <c r="BY723" s="80">
        <f>IFERROR(VLOOKUP($H723,'1. Set Program Names'!$B$2:$D$15,3,0)*Y723,"NA")</f>
        <v>4722.3762480636651</v>
      </c>
      <c r="BZ723" s="80">
        <f>IFERROR(VLOOKUP($H723,'1. Set Program Names'!$B$2:$D$15,3,0)*Z723,"NA")</f>
        <v>6187.177603365446</v>
      </c>
      <c r="CA723" s="80">
        <f>IFERROR(VLOOKUP($H723,'1. Set Program Names'!$B$2:$D$15,3,0)*AA723,"NA")</f>
        <v>7747.2256767901654</v>
      </c>
      <c r="CB723" s="80">
        <f>IFERROR(VLOOKUP($H723,'1. Set Program Names'!$B$2:$D$15,3,0)*AB723,"NA")</f>
        <v>9397.3407728864186</v>
      </c>
      <c r="CC723" s="80">
        <f>IFERROR(VLOOKUP($H723,'1. Set Program Names'!$B$2:$D$15,3,0)*AC723,"NA")</f>
        <v>11128.245939999666</v>
      </c>
      <c r="CD723" s="80">
        <f>IFERROR(VLOOKUP($H723,'1. Set Program Names'!$B$2:$D$15,3,0)*AD723,"NA")</f>
        <v>12939.260397672731</v>
      </c>
      <c r="CE723" s="80">
        <f>IFERROR(VLOOKUP($H723,'1. Set Program Names'!$B$2:$D$15,3,0)*AE723,"NA")</f>
        <v>14826.157981035045</v>
      </c>
    </row>
    <row r="724" spans="1:83" x14ac:dyDescent="0.25">
      <c r="A724" s="79" t="s">
        <v>113</v>
      </c>
      <c r="B724" s="79" t="s">
        <v>88</v>
      </c>
      <c r="C724" s="79" t="s">
        <v>176</v>
      </c>
      <c r="D724" s="79" t="s">
        <v>90</v>
      </c>
      <c r="E724" s="79" t="s">
        <v>91</v>
      </c>
      <c r="F724" s="79" t="s">
        <v>90</v>
      </c>
      <c r="G724" s="79" t="s">
        <v>92</v>
      </c>
      <c r="H724" s="79" t="s">
        <v>18</v>
      </c>
      <c r="I724" s="79" t="s">
        <v>165</v>
      </c>
      <c r="J724" s="79" t="s">
        <v>161</v>
      </c>
      <c r="K724" s="79" t="s">
        <v>166</v>
      </c>
      <c r="L724" s="79">
        <v>565.38999999999896</v>
      </c>
      <c r="M724" s="79">
        <v>6.7728127941350899E-2</v>
      </c>
      <c r="N724" s="79">
        <v>6.5294935157718198E-2</v>
      </c>
      <c r="O724" s="79">
        <v>129</v>
      </c>
      <c r="P724" s="79">
        <v>15.293574707506</v>
      </c>
      <c r="Q724" s="79">
        <v>17.893573630135801</v>
      </c>
      <c r="R724" s="79">
        <v>190.6779313312</v>
      </c>
      <c r="S724" s="79">
        <v>454.767236260907</v>
      </c>
      <c r="T724" s="79">
        <v>10</v>
      </c>
      <c r="U724" s="79">
        <v>0.2</v>
      </c>
      <c r="V724" s="79">
        <f>tbl_Data_old[[#This Row],[2025 ]]*IFERROR(AVERAGEIFS('Participation Adjustment'!$C:$C,'Participation Adjustment'!$A:$A,$H724,'Participation Adjustment'!$B:$B,$I724),1)</f>
        <v>374.02055050201699</v>
      </c>
      <c r="W724" s="79">
        <f>tbl_Data_old[[#This Row],[2026 ]]*IFERROR(AVERAGEIFS('Participation Adjustment'!$C:$C,'Participation Adjustment'!$A:$A,$H724,'Participation Adjustment'!$B:$B,$I724),1)</f>
        <v>890.45469529712898</v>
      </c>
      <c r="X724" s="79">
        <f>tbl_Data_old[[#This Row],[2027 ]]*IFERROR(AVERAGEIFS('Participation Adjustment'!$C:$C,'Participation Adjustment'!$A:$A,$H724,'Participation Adjustment'!$B:$B,$I724),1)</f>
        <v>1581.34257616063</v>
      </c>
      <c r="Y724" s="79">
        <f>tbl_Data_old[[#This Row],[2028 ]]*IFERROR(AVERAGEIFS('Participation Adjustment'!$C:$C,'Participation Adjustment'!$A:$A,$H724,'Participation Adjustment'!$B:$B,$I724),1)</f>
        <v>2482.58278421659</v>
      </c>
      <c r="Z724" s="79">
        <f>tbl_Data_old[[#This Row],[2029 ]]*IFERROR(AVERAGEIFS('Participation Adjustment'!$C:$C,'Participation Adjustment'!$A:$A,$H724,'Participation Adjustment'!$B:$B,$I724),1)</f>
        <v>3607.7100415034702</v>
      </c>
      <c r="AA724" s="79">
        <f>tbl_Data_old[[#This Row],[2030 ]]*IFERROR(AVERAGEIFS('Participation Adjustment'!$C:$C,'Participation Adjustment'!$A:$A,$H724,'Participation Adjustment'!$B:$B,$I724),1)</f>
        <v>4943.2590218190398</v>
      </c>
      <c r="AB724" s="79">
        <f>tbl_Data_old[[#This Row],[2031 ]]*IFERROR(AVERAGEIFS('Participation Adjustment'!$C:$C,'Participation Adjustment'!$A:$A,$H724,'Participation Adjustment'!$B:$B,$I724),1)</f>
        <v>6431.7165630994004</v>
      </c>
      <c r="AC724" s="79">
        <f>tbl_Data_old[[#This Row],[2032 ]]*IFERROR(AVERAGEIFS('Participation Adjustment'!$C:$C,'Participation Adjustment'!$A:$A,$H724,'Participation Adjustment'!$B:$B,$I724),1)</f>
        <v>7966.8525529066101</v>
      </c>
      <c r="AD724" s="79">
        <f>tbl_Data_old[[#This Row],[2033 ]]*IFERROR(AVERAGEIFS('Participation Adjustment'!$C:$C,'Participation Adjustment'!$A:$A,$H724,'Participation Adjustment'!$B:$B,$I724),1)</f>
        <v>9420.3433428737699</v>
      </c>
      <c r="AE724" s="79">
        <f>tbl_Data_old[[#This Row],[2034 ]]*IFERROR(AVERAGEIFS('Participation Adjustment'!$C:$C,'Participation Adjustment'!$A:$A,$H724,'Participation Adjustment'!$B:$B,$I724),1)</f>
        <v>10678.1656647411</v>
      </c>
      <c r="AF724" s="77" t="str">
        <f t="shared" si="297"/>
        <v>NonResidential</v>
      </c>
      <c r="AG724" s="77" t="str">
        <f>tbl_Data[[#This Row],[All_Meas_Name_Append]]</f>
        <v>Occupancy Sensors_ Ceiling Mounted</v>
      </c>
      <c r="AH724" s="77">
        <f>AVERAGEIFS('3. Incentive Adjustment'!G:G,'3. Incentive Adjustment'!A:A,tbl_Data[[#This Row],[Trimmed Sector]],'3. Incentive Adjustment'!B:B,tbl_Data[[#This Row],[Trimmed Measure Name]])</f>
        <v>0.99348124042467356</v>
      </c>
      <c r="AI724" s="77">
        <f>$AH724*tbl_Data[[#This Row],[2025 ]]</f>
        <v>371.5824004570631</v>
      </c>
      <c r="AJ724" s="77">
        <f>$AH724*tbl_Data[[#This Row],[2026 ]]</f>
        <v>884.65003522576649</v>
      </c>
      <c r="AK724" s="77">
        <f>$AH724*tbl_Data[[#This Row],[2027 ]]</f>
        <v>1571.0341841004115</v>
      </c>
      <c r="AL724" s="77">
        <f>$AH724*tbl_Data[[#This Row],[2028 ]]</f>
        <v>2466.3994239204376</v>
      </c>
      <c r="AM724" s="77">
        <f>$AH724*tbl_Data[[#This Row],[2029 ]]</f>
        <v>3584.1922471254179</v>
      </c>
      <c r="AN724" s="77">
        <f>$AH724*tbl_Data[[#This Row],[2030 ]]</f>
        <v>4911.0351047372378</v>
      </c>
      <c r="AO724" s="77">
        <f>$AH724*tbl_Data[[#This Row],[2031 ]]</f>
        <v>6389.7897491679105</v>
      </c>
      <c r="AP724" s="77">
        <f>$AH724*tbl_Data[[#This Row],[2032 ]]</f>
        <v>7914.9185565421358</v>
      </c>
      <c r="AQ724" s="77">
        <f>$AH724*tbl_Data[[#This Row],[2033 ]]</f>
        <v>9358.9343895045495</v>
      </c>
      <c r="AR724" s="77">
        <f>$AH724*tbl_Data[[#This Row],[2034 ]]</f>
        <v>10608.557270067147</v>
      </c>
      <c r="AS724" s="77">
        <f>SUM(tbl_Data[[#This Row],[Adjusted 2025]:[Adjusted 2034]])</f>
        <v>48061.093360848077</v>
      </c>
      <c r="AT724" s="80">
        <f>AVERAGEIFS('3. Incentive Adjustment'!F:F,'3. Incentive Adjustment'!A:A,tbl_Data[[#This Row],[Trimmed Sector]],'3. Incentive Adjustment'!B:B,tbl_Data[[#This Row],[Trimmed Measure Name]])</f>
        <v>19.547634357270656</v>
      </c>
      <c r="AU724" s="80">
        <f>IFERROR(VLOOKUP(tbl_Data[[#This Row],[All_Meas_Name_Append]],'IRA Tax Credits'!$A$3:$D$46,4,0),0)</f>
        <v>0</v>
      </c>
      <c r="AV724" s="81">
        <f>tbl_Data[[#This Row],[Adj. per unit Incentive ($)]]/tbl_Data[[#This Row],[kWh Savings]]*tbl_Data[[#This Row],[Sum of Annuals]]</f>
        <v>1661.6506832956159</v>
      </c>
      <c r="AW724" s="81">
        <f>IFERROR(VLOOKUP(tbl_Data[[#This Row],[Column1]],'1. Set Program Names'!$B$2:$D$15,3,0)*tbl_Data[[#This Row],[Sum of Annuals]],"")</f>
        <v>1521.0469106230503</v>
      </c>
      <c r="AX724" s="81">
        <f>tbl_Data[[#This Row],[per unit IRA tax ($)]]/tbl_Data[[#This Row],[kWh Savings]]*tbl_Data[[#This Row],[Sum of Annuals]]</f>
        <v>0</v>
      </c>
      <c r="AY724" s="81">
        <f>tbl_Data[[#This Row],[Avoided Costs ($/unit)]]/tbl_Data[[#This Row],[kWh Savings]]*tbl_Data[[#This Row],[Sum of Annuals]]</f>
        <v>16208.616812398874</v>
      </c>
      <c r="AZ724" s="81">
        <f>tbl_Data[[#This Row],[Lost Revenue ($/unit)]]/tbl_Data[[#This Row],[kWh Savings]]*tbl_Data[[#This Row],[Sum of Annuals]]</f>
        <v>38657.582552557258</v>
      </c>
      <c r="BA724" s="81">
        <f>tbl_Data[[#This Row],[Incremental Cost ($/unit)]]/tbl_Data[[#This Row],[kWh Savings]]*tbl_Data[[#This Row],[Sum of Annuals]]</f>
        <v>10965.671560426277</v>
      </c>
      <c r="BB724" s="77">
        <f>ROUNDUP(tbl_Data[[#This Row],[Adjusted 2025]]/$L724,0)</f>
        <v>1</v>
      </c>
      <c r="BC724" s="77">
        <f>ROUNDUP(tbl_Data[[#This Row],[Adjusted 2026]]/$L724,0)</f>
        <v>2</v>
      </c>
      <c r="BD724" s="77">
        <f>ROUNDUP(tbl_Data[[#This Row],[Adjusted 2027]]/$L724,0)</f>
        <v>3</v>
      </c>
      <c r="BE724" s="77">
        <f>ROUNDUP(tbl_Data[[#This Row],[Adjusted 2028]]/$L724,0)</f>
        <v>5</v>
      </c>
      <c r="BF724" s="77">
        <f>ROUNDUP(tbl_Data[[#This Row],[Adjusted 2029]]/$L724,0)</f>
        <v>7</v>
      </c>
      <c r="BG724" s="77">
        <f>ROUNDUP(tbl_Data[[#This Row],[Adjusted 2030]]/$L724,0)</f>
        <v>9</v>
      </c>
      <c r="BH724" s="77">
        <f>ROUNDUP(tbl_Data[[#This Row],[Adjusted 2031]]/$L724,0)</f>
        <v>12</v>
      </c>
      <c r="BI724" s="77">
        <f>ROUNDUP(tbl_Data[[#This Row],[Adjusted 2032]]/$L724,0)</f>
        <v>14</v>
      </c>
      <c r="BJ724" s="77">
        <f>ROUNDUP(tbl_Data[[#This Row],[Adjusted 2033]]/$L724,0)</f>
        <v>17</v>
      </c>
      <c r="BK724" s="77">
        <f>ROUNDUP(tbl_Data[[#This Row],[Adjusted 2034]]/$L724,0)</f>
        <v>19</v>
      </c>
      <c r="BL724" s="80">
        <f t="shared" si="298"/>
        <v>12.931280997751154</v>
      </c>
      <c r="BM724" s="80">
        <f t="shared" si="299"/>
        <v>30.786329428152538</v>
      </c>
      <c r="BN724" s="80">
        <f t="shared" si="300"/>
        <v>54.672892114067238</v>
      </c>
      <c r="BO724" s="80">
        <f t="shared" si="301"/>
        <v>85.832116817631984</v>
      </c>
      <c r="BP724" s="80">
        <f t="shared" si="302"/>
        <v>124.73194920031077</v>
      </c>
      <c r="BQ724" s="80">
        <f t="shared" si="303"/>
        <v>170.90684287270412</v>
      </c>
      <c r="BR724" s="80">
        <f t="shared" si="304"/>
        <v>222.36835399470951</v>
      </c>
      <c r="BS724" s="80">
        <f t="shared" si="305"/>
        <v>275.44371262757915</v>
      </c>
      <c r="BT724" s="80">
        <f t="shared" si="306"/>
        <v>325.69629315418655</v>
      </c>
      <c r="BU724" s="80">
        <f t="shared" si="307"/>
        <v>369.18388726493458</v>
      </c>
      <c r="BV724" s="80">
        <f>IFERROR(VLOOKUP($H724,'1. Set Program Names'!$B$2:$D$15,3,0)*V724,"NA")</f>
        <v>11.837075752298006</v>
      </c>
      <c r="BW724" s="80">
        <f>IFERROR(VLOOKUP($H724,'1. Set Program Names'!$B$2:$D$15,3,0)*W724,"NA")</f>
        <v>28.181284873448988</v>
      </c>
      <c r="BX724" s="80">
        <f>IFERROR(VLOOKUP($H724,'1. Set Program Names'!$B$2:$D$15,3,0)*X724,"NA")</f>
        <v>50.046640055534894</v>
      </c>
      <c r="BY724" s="80">
        <f>IFERROR(VLOOKUP($H724,'1. Set Program Names'!$B$2:$D$15,3,0)*Y724,"NA")</f>
        <v>78.569266952523236</v>
      </c>
      <c r="BZ724" s="80">
        <f>IFERROR(VLOOKUP($H724,'1. Set Program Names'!$B$2:$D$15,3,0)*Z724,"NA")</f>
        <v>114.17751510253569</v>
      </c>
      <c r="CA724" s="80">
        <f>IFERROR(VLOOKUP($H724,'1. Set Program Names'!$B$2:$D$15,3,0)*AA724,"NA")</f>
        <v>156.44523122048869</v>
      </c>
      <c r="CB724" s="80">
        <f>IFERROR(VLOOKUP($H724,'1. Set Program Names'!$B$2:$D$15,3,0)*AB724,"NA")</f>
        <v>203.5522274712732</v>
      </c>
      <c r="CC724" s="80">
        <f>IFERROR(VLOOKUP($H724,'1. Set Program Names'!$B$2:$D$15,3,0)*AC724,"NA")</f>
        <v>252.13651241774681</v>
      </c>
      <c r="CD724" s="80">
        <f>IFERROR(VLOOKUP($H724,'1. Set Program Names'!$B$2:$D$15,3,0)*AD724,"NA")</f>
        <v>298.1368740636932</v>
      </c>
      <c r="CE724" s="80">
        <f>IFERROR(VLOOKUP($H724,'1. Set Program Names'!$B$2:$D$15,3,0)*AE724,"NA")</f>
        <v>337.94468164777049</v>
      </c>
    </row>
    <row r="725" spans="1:83" x14ac:dyDescent="0.25">
      <c r="A725" s="79" t="s">
        <v>113</v>
      </c>
      <c r="B725" s="79" t="s">
        <v>88</v>
      </c>
      <c r="C725" s="79" t="s">
        <v>176</v>
      </c>
      <c r="D725" s="79" t="s">
        <v>90</v>
      </c>
      <c r="E725" s="79" t="s">
        <v>91</v>
      </c>
      <c r="F725" s="79" t="s">
        <v>90</v>
      </c>
      <c r="G725" s="79" t="s">
        <v>92</v>
      </c>
      <c r="H725" s="79" t="s">
        <v>18</v>
      </c>
      <c r="I725" s="79" t="s">
        <v>188</v>
      </c>
      <c r="J725" s="79" t="s">
        <v>178</v>
      </c>
      <c r="K725" s="79" t="s">
        <v>189</v>
      </c>
      <c r="L725" s="79">
        <v>58755.825000000099</v>
      </c>
      <c r="M725" s="79">
        <v>7.0391882486047397</v>
      </c>
      <c r="N725" s="79">
        <v>6.7809192295770497</v>
      </c>
      <c r="O725" s="79">
        <v>15000</v>
      </c>
      <c r="P725" s="79">
        <v>3217.2191279034701</v>
      </c>
      <c r="Q725" s="79">
        <v>1859.5158754786501</v>
      </c>
      <c r="R725" s="79">
        <v>19805.726496097701</v>
      </c>
      <c r="S725" s="79">
        <v>47259.8103070086</v>
      </c>
      <c r="T725" s="79">
        <v>10</v>
      </c>
      <c r="U725" s="79">
        <v>1</v>
      </c>
      <c r="V725" s="79">
        <f>tbl_Data_old[[#This Row],[2025 ]]*IFERROR(AVERAGEIFS('Participation Adjustment'!$C:$C,'Participation Adjustment'!$A:$A,$H725,'Participation Adjustment'!$B:$B,$I725),1)</f>
        <v>31.3673006371661</v>
      </c>
      <c r="W725" s="79">
        <f>tbl_Data_old[[#This Row],[2026 ]]*IFERROR(AVERAGEIFS('Participation Adjustment'!$C:$C,'Participation Adjustment'!$A:$A,$H725,'Participation Adjustment'!$B:$B,$I725),1)</f>
        <v>74.7021934966549</v>
      </c>
      <c r="X725" s="79">
        <f>tbl_Data_old[[#This Row],[2027 ]]*IFERROR(AVERAGEIFS('Participation Adjustment'!$C:$C,'Participation Adjustment'!$A:$A,$H725,'Participation Adjustment'!$B:$B,$I725),1)</f>
        <v>132.691909278579</v>
      </c>
      <c r="Y725" s="79">
        <f>tbl_Data_old[[#This Row],[2028 ]]*IFERROR(AVERAGEIFS('Participation Adjustment'!$C:$C,'Participation Adjustment'!$A:$A,$H725,'Participation Adjustment'!$B:$B,$I725),1)</f>
        <v>208.37133604479999</v>
      </c>
      <c r="Z725" s="79">
        <f>tbl_Data_old[[#This Row],[2029 ]]*IFERROR(AVERAGEIFS('Participation Adjustment'!$C:$C,'Participation Adjustment'!$A:$A,$H725,'Participation Adjustment'!$B:$B,$I725),1)</f>
        <v>302.83642228832502</v>
      </c>
      <c r="AA725" s="79">
        <f>tbl_Data_old[[#This Row],[2030 ]]*IFERROR(AVERAGEIFS('Participation Adjustment'!$C:$C,'Participation Adjustment'!$A:$A,$H725,'Participation Adjustment'!$B:$B,$I725),1)</f>
        <v>414.97185866144702</v>
      </c>
      <c r="AB725" s="79">
        <f>tbl_Data_old[[#This Row],[2031 ]]*IFERROR(AVERAGEIFS('Participation Adjustment'!$C:$C,'Participation Adjustment'!$A:$A,$H725,'Participation Adjustment'!$B:$B,$I725),1)</f>
        <v>539.98069228424299</v>
      </c>
      <c r="AC725" s="79">
        <f>tbl_Data_old[[#This Row],[2032 ]]*IFERROR(AVERAGEIFS('Participation Adjustment'!$C:$C,'Participation Adjustment'!$A:$A,$H725,'Participation Adjustment'!$B:$B,$I725),1)</f>
        <v>668.96260727249501</v>
      </c>
      <c r="AD725" s="79">
        <f>tbl_Data_old[[#This Row],[2033 ]]*IFERROR(AVERAGEIFS('Participation Adjustment'!$C:$C,'Participation Adjustment'!$A:$A,$H725,'Participation Adjustment'!$B:$B,$I725),1)</f>
        <v>791.23419562069898</v>
      </c>
      <c r="AE725" s="79">
        <f>tbl_Data_old[[#This Row],[2034 ]]*IFERROR(AVERAGEIFS('Participation Adjustment'!$C:$C,'Participation Adjustment'!$A:$A,$H725,'Participation Adjustment'!$B:$B,$I725),1)</f>
        <v>897.27811146623503</v>
      </c>
      <c r="AF725" s="77" t="str">
        <f t="shared" si="297"/>
        <v>NonResidential</v>
      </c>
      <c r="AG725" s="77" t="str">
        <f>tbl_Data[[#This Row],[All_Meas_Name_Append]]</f>
        <v>Strategic Energy Management</v>
      </c>
      <c r="AH725" s="77">
        <f>AVERAGEIFS('3. Incentive Adjustment'!G:G,'3. Incentive Adjustment'!A:A,tbl_Data[[#This Row],[Trimmed Sector]],'3. Incentive Adjustment'!B:B,tbl_Data[[#This Row],[Trimmed Measure Name]])</f>
        <v>1.1413908001130193</v>
      </c>
      <c r="AI725" s="77">
        <f>$AH725*tbl_Data[[#This Row],[2025 ]]</f>
        <v>35.802348371640633</v>
      </c>
      <c r="AJ725" s="77">
        <f>$AH725*tbl_Data[[#This Row],[2026 ]]</f>
        <v>85.264396405344527</v>
      </c>
      <c r="AK725" s="77">
        <f>$AH725*tbl_Data[[#This Row],[2027 ]]</f>
        <v>151.45332450000146</v>
      </c>
      <c r="AL725" s="77">
        <f>$AH725*tbl_Data[[#This Row],[2028 ]]</f>
        <v>237.83312596879307</v>
      </c>
      <c r="AM725" s="77">
        <f>$AH725*tbl_Data[[#This Row],[2029 ]]</f>
        <v>345.6547063390355</v>
      </c>
      <c r="AN725" s="77">
        <f>$AH725*tbl_Data[[#This Row],[2030 ]]</f>
        <v>473.64506178197576</v>
      </c>
      <c r="AO725" s="77">
        <f>$AH725*tbl_Data[[#This Row],[2031 ]]</f>
        <v>616.3289944118942</v>
      </c>
      <c r="AP725" s="77">
        <f>$AH725*tbl_Data[[#This Row],[2032 ]]</f>
        <v>763.54776556044453</v>
      </c>
      <c r="AQ725" s="77">
        <f>$AH725*tbl_Data[[#This Row],[2033 ]]</f>
        <v>903.1074316162908</v>
      </c>
      <c r="AR725" s="77">
        <f>$AH725*tbl_Data[[#This Row],[2034 ]]</f>
        <v>1024.144981570345</v>
      </c>
      <c r="AS725" s="77">
        <f>SUM(tbl_Data[[#This Row],[Adjusted 2025]:[Adjusted 2034]])</f>
        <v>4636.782136525766</v>
      </c>
      <c r="AT725" s="80">
        <f>AVERAGEIFS('3. Incentive Adjustment'!F:F,'3. Incentive Adjustment'!A:A,tbl_Data[[#This Row],[Trimmed Sector]],'3. Incentive Adjustment'!B:B,tbl_Data[[#This Row],[Trimmed Measure Name]])</f>
        <v>6162.1674053779652</v>
      </c>
      <c r="AU725" s="80">
        <f>IFERROR(VLOOKUP(tbl_Data[[#This Row],[All_Meas_Name_Append]],'IRA Tax Credits'!$A$3:$D$46,4,0),0)</f>
        <v>0</v>
      </c>
      <c r="AV725" s="81">
        <f>tbl_Data[[#This Row],[Adj. per unit Incentive ($)]]/tbl_Data[[#This Row],[kWh Savings]]*tbl_Data[[#This Row],[Sum of Annuals]]</f>
        <v>486.2943843872132</v>
      </c>
      <c r="AW725" s="81">
        <f>IFERROR(VLOOKUP(tbl_Data[[#This Row],[Column1]],'1. Set Program Names'!$B$2:$D$15,3,0)*tbl_Data[[#This Row],[Sum of Annuals]],"")</f>
        <v>146.74579063446865</v>
      </c>
      <c r="AX725" s="81">
        <f>tbl_Data[[#This Row],[per unit IRA tax ($)]]/tbl_Data[[#This Row],[kWh Savings]]*tbl_Data[[#This Row],[Sum of Annuals]]</f>
        <v>0</v>
      </c>
      <c r="AY725" s="81">
        <f>tbl_Data[[#This Row],[Avoided Costs ($/unit)]]/tbl_Data[[#This Row],[kWh Savings]]*tbl_Data[[#This Row],[Sum of Annuals]]</f>
        <v>1562.9912237300848</v>
      </c>
      <c r="AZ725" s="81">
        <f>tbl_Data[[#This Row],[Lost Revenue ($/unit)]]/tbl_Data[[#This Row],[kWh Savings]]*tbl_Data[[#This Row],[Sum of Annuals]]</f>
        <v>3729.5611832041054</v>
      </c>
      <c r="BA725" s="81">
        <f>tbl_Data[[#This Row],[Incremental Cost ($/unit)]]/tbl_Data[[#This Row],[kWh Savings]]*tbl_Data[[#This Row],[Sum of Annuals]]</f>
        <v>1183.7419021498954</v>
      </c>
      <c r="BB725" s="77">
        <f>ROUNDUP(tbl_Data[[#This Row],[Adjusted 2025]]/$L725,0)</f>
        <v>1</v>
      </c>
      <c r="BC725" s="77">
        <f>ROUNDUP(tbl_Data[[#This Row],[Adjusted 2026]]/$L725,0)</f>
        <v>1</v>
      </c>
      <c r="BD725" s="77">
        <f>ROUNDUP(tbl_Data[[#This Row],[Adjusted 2027]]/$L725,0)</f>
        <v>1</v>
      </c>
      <c r="BE725" s="77">
        <f>ROUNDUP(tbl_Data[[#This Row],[Adjusted 2028]]/$L725,0)</f>
        <v>1</v>
      </c>
      <c r="BF725" s="77">
        <f>ROUNDUP(tbl_Data[[#This Row],[Adjusted 2029]]/$L725,0)</f>
        <v>1</v>
      </c>
      <c r="BG725" s="77">
        <f>ROUNDUP(tbl_Data[[#This Row],[Adjusted 2030]]/$L725,0)</f>
        <v>1</v>
      </c>
      <c r="BH725" s="77">
        <f>ROUNDUP(tbl_Data[[#This Row],[Adjusted 2031]]/$L725,0)</f>
        <v>1</v>
      </c>
      <c r="BI725" s="77">
        <f>ROUNDUP(tbl_Data[[#This Row],[Adjusted 2032]]/$L725,0)</f>
        <v>1</v>
      </c>
      <c r="BJ725" s="77">
        <f>ROUNDUP(tbl_Data[[#This Row],[Adjusted 2033]]/$L725,0)</f>
        <v>1</v>
      </c>
      <c r="BK725" s="77">
        <f>ROUNDUP(tbl_Data[[#This Row],[Adjusted 2034]]/$L725,0)</f>
        <v>1</v>
      </c>
      <c r="BL725" s="80">
        <f t="shared" si="298"/>
        <v>3.2897258711121169</v>
      </c>
      <c r="BM725" s="80">
        <f t="shared" si="299"/>
        <v>7.8345835817184746</v>
      </c>
      <c r="BN725" s="80">
        <f t="shared" si="300"/>
        <v>13.916403323650517</v>
      </c>
      <c r="BO725" s="80">
        <f t="shared" si="301"/>
        <v>21.853476743630491</v>
      </c>
      <c r="BP725" s="80">
        <f t="shared" si="302"/>
        <v>31.760744242573235</v>
      </c>
      <c r="BQ725" s="80">
        <f t="shared" si="303"/>
        <v>43.521234900415003</v>
      </c>
      <c r="BR725" s="80">
        <f t="shared" si="304"/>
        <v>56.631856016444083</v>
      </c>
      <c r="BS725" s="80">
        <f t="shared" si="305"/>
        <v>70.159164201187238</v>
      </c>
      <c r="BT725" s="80">
        <f t="shared" si="306"/>
        <v>82.982709718982179</v>
      </c>
      <c r="BU725" s="80">
        <f t="shared" si="307"/>
        <v>94.104336583416554</v>
      </c>
      <c r="BV725" s="80">
        <f>IFERROR(VLOOKUP($H725,'1. Set Program Names'!$B$2:$D$15,3,0)*V725,"NA")</f>
        <v>0.9927184837541122</v>
      </c>
      <c r="BW725" s="80">
        <f>IFERROR(VLOOKUP($H725,'1. Set Program Names'!$B$2:$D$15,3,0)*W725,"NA")</f>
        <v>2.3641896737916248</v>
      </c>
      <c r="BX725" s="80">
        <f>IFERROR(VLOOKUP($H725,'1. Set Program Names'!$B$2:$D$15,3,0)*X725,"NA")</f>
        <v>4.199459574452244</v>
      </c>
      <c r="BY725" s="80">
        <f>IFERROR(VLOOKUP($H725,'1. Set Program Names'!$B$2:$D$15,3,0)*Y725,"NA")</f>
        <v>6.5945769184587633</v>
      </c>
      <c r="BZ725" s="80">
        <f>IFERROR(VLOOKUP($H725,'1. Set Program Names'!$B$2:$D$15,3,0)*Z725,"NA")</f>
        <v>9.584226498705398</v>
      </c>
      <c r="CA725" s="80">
        <f>IFERROR(VLOOKUP($H725,'1. Set Program Names'!$B$2:$D$15,3,0)*AA725,"NA")</f>
        <v>13.133110786170453</v>
      </c>
      <c r="CB725" s="80">
        <f>IFERROR(VLOOKUP($H725,'1. Set Program Names'!$B$2:$D$15,3,0)*AB725,"NA")</f>
        <v>17.089414875112418</v>
      </c>
      <c r="CC725" s="80">
        <f>IFERROR(VLOOKUP($H725,'1. Set Program Names'!$B$2:$D$15,3,0)*AC725,"NA")</f>
        <v>21.171459822490696</v>
      </c>
      <c r="CD725" s="80">
        <f>IFERROR(VLOOKUP($H725,'1. Set Program Names'!$B$2:$D$15,3,0)*AD725,"NA")</f>
        <v>25.041135036028685</v>
      </c>
      <c r="CE725" s="80">
        <f>IFERROR(VLOOKUP($H725,'1. Set Program Names'!$B$2:$D$15,3,0)*AE725,"NA")</f>
        <v>28.397233686889194</v>
      </c>
    </row>
    <row r="726" spans="1:83" x14ac:dyDescent="0.25">
      <c r="A726" s="79" t="s">
        <v>113</v>
      </c>
      <c r="B726" s="79" t="s">
        <v>88</v>
      </c>
      <c r="C726" s="79" t="s">
        <v>176</v>
      </c>
      <c r="D726" s="79" t="s">
        <v>90</v>
      </c>
      <c r="E726" s="79" t="s">
        <v>91</v>
      </c>
      <c r="F726" s="79" t="s">
        <v>90</v>
      </c>
      <c r="G726" s="79" t="s">
        <v>92</v>
      </c>
      <c r="H726" s="79" t="s">
        <v>18</v>
      </c>
      <c r="I726" s="79" t="s">
        <v>194</v>
      </c>
      <c r="J726" s="79" t="s">
        <v>182</v>
      </c>
      <c r="K726" s="79" t="s">
        <v>102</v>
      </c>
      <c r="L726" s="79">
        <v>8959.2199999999993</v>
      </c>
      <c r="M726" s="79">
        <v>1.0579901286000299</v>
      </c>
      <c r="N726" s="79">
        <v>1.03235399659801</v>
      </c>
      <c r="O726" s="79">
        <v>2314.9299999999998</v>
      </c>
      <c r="P726" s="79">
        <v>512.76464645414296</v>
      </c>
      <c r="Q726" s="79">
        <v>283.54315205183201</v>
      </c>
      <c r="R726" s="79">
        <v>3866.1887556449001</v>
      </c>
      <c r="S726" s="79">
        <v>9515.3223878667595</v>
      </c>
      <c r="T726" s="79">
        <v>15</v>
      </c>
      <c r="U726" s="79">
        <v>1</v>
      </c>
      <c r="V726" s="79">
        <f>tbl_Data_old[[#This Row],[2025 ]]*IFERROR(AVERAGEIFS('Participation Adjustment'!$C:$C,'Participation Adjustment'!$A:$A,$H726,'Participation Adjustment'!$B:$B,$I726),1)</f>
        <v>33813.802038572801</v>
      </c>
      <c r="W726" s="79">
        <f>tbl_Data_old[[#This Row],[2026 ]]*IFERROR(AVERAGEIFS('Participation Adjustment'!$C:$C,'Participation Adjustment'!$A:$A,$H726,'Participation Adjustment'!$B:$B,$I726),1)</f>
        <v>77712.791371778396</v>
      </c>
      <c r="X726" s="79">
        <f>tbl_Data_old[[#This Row],[2027 ]]*IFERROR(AVERAGEIFS('Participation Adjustment'!$C:$C,'Participation Adjustment'!$A:$A,$H726,'Participation Adjustment'!$B:$B,$I726),1)</f>
        <v>133289.15109762101</v>
      </c>
      <c r="Y726" s="79">
        <f>tbl_Data_old[[#This Row],[2028 ]]*IFERROR(AVERAGEIFS('Participation Adjustment'!$C:$C,'Participation Adjustment'!$A:$A,$H726,'Participation Adjustment'!$B:$B,$I726),1)</f>
        <v>202734.519370764</v>
      </c>
      <c r="Z726" s="79">
        <f>tbl_Data_old[[#This Row],[2029 ]]*IFERROR(AVERAGEIFS('Participation Adjustment'!$C:$C,'Participation Adjustment'!$A:$A,$H726,'Participation Adjustment'!$B:$B,$I726),1)</f>
        <v>286817.72336521698</v>
      </c>
      <c r="AA726" s="79">
        <f>tbl_Data_old[[#This Row],[2030 ]]*IFERROR(AVERAGEIFS('Participation Adjustment'!$C:$C,'Participation Adjustment'!$A:$A,$H726,'Participation Adjustment'!$B:$B,$I726),1)</f>
        <v>385904.51165318501</v>
      </c>
      <c r="AB726" s="79">
        <f>tbl_Data_old[[#This Row],[2031 ]]*IFERROR(AVERAGEIFS('Participation Adjustment'!$C:$C,'Participation Adjustment'!$A:$A,$H726,'Participation Adjustment'!$B:$B,$I726),1)</f>
        <v>499018.83218622999</v>
      </c>
      <c r="AC726" s="79">
        <f>tbl_Data_old[[#This Row],[2032 ]]*IFERROR(AVERAGEIFS('Participation Adjustment'!$C:$C,'Participation Adjustment'!$A:$A,$H726,'Participation Adjustment'!$B:$B,$I726),1)</f>
        <v>623146.02292933897</v>
      </c>
      <c r="AD726" s="79">
        <f>tbl_Data_old[[#This Row],[2033 ]]*IFERROR(AVERAGEIFS('Participation Adjustment'!$C:$C,'Participation Adjustment'!$A:$A,$H726,'Participation Adjustment'!$B:$B,$I726),1)</f>
        <v>754046.41671762895</v>
      </c>
      <c r="AE726" s="79">
        <f>tbl_Data_old[[#This Row],[2034 ]]*IFERROR(AVERAGEIFS('Participation Adjustment'!$C:$C,'Participation Adjustment'!$A:$A,$H726,'Participation Adjustment'!$B:$B,$I726),1)</f>
        <v>885798.80079971103</v>
      </c>
      <c r="AF726" s="77" t="str">
        <f t="shared" si="297"/>
        <v>NonResidential</v>
      </c>
      <c r="AG726" s="77" t="str">
        <f>tbl_Data[[#This Row],[All_Meas_Name_Append]]</f>
        <v>VFD on HVAC Fan</v>
      </c>
      <c r="AH726" s="77">
        <f>AVERAGEIFS('3. Incentive Adjustment'!G:G,'3. Incentive Adjustment'!A:A,tbl_Data[[#This Row],[Trimmed Sector]],'3. Incentive Adjustment'!B:B,tbl_Data[[#This Row],[Trimmed Measure Name]])</f>
        <v>1.1307524828118058</v>
      </c>
      <c r="AI726" s="77">
        <f>$AH726*tbl_Data[[#This Row],[2025 ]]</f>
        <v>38235.0406084231</v>
      </c>
      <c r="AJ726" s="77">
        <f>$AH726*tbl_Data[[#This Row],[2026 ]]</f>
        <v>87873.931789874303</v>
      </c>
      <c r="AK726" s="77">
        <f>$AH726*tbl_Data[[#This Row],[2027 ]]</f>
        <v>150717.0385355129</v>
      </c>
      <c r="AL726" s="77">
        <f>$AH726*tbl_Data[[#This Row],[2028 ]]</f>
        <v>229242.56113014955</v>
      </c>
      <c r="AM726" s="77">
        <f>$AH726*tbl_Data[[#This Row],[2029 ]]</f>
        <v>324319.85280964879</v>
      </c>
      <c r="AN726" s="77">
        <f>$AH726*tbl_Data[[#This Row],[2030 ]]</f>
        <v>436362.48468011641</v>
      </c>
      <c r="AO726" s="77">
        <f>$AH726*tbl_Data[[#This Row],[2031 ]]</f>
        <v>564266.78346442746</v>
      </c>
      <c r="AP726" s="77">
        <f>$AH726*tbl_Data[[#This Row],[2032 ]]</f>
        <v>704623.91258165252</v>
      </c>
      <c r="AQ726" s="77">
        <f>$AH726*tbl_Data[[#This Row],[2033 ]]</f>
        <v>852639.85785880452</v>
      </c>
      <c r="AR726" s="77">
        <f>$AH726*tbl_Data[[#This Row],[2034 ]]</f>
        <v>1001619.1932759935</v>
      </c>
      <c r="AS726" s="77">
        <f>SUM(tbl_Data[[#This Row],[Adjusted 2025]:[Adjusted 2034]])</f>
        <v>4389900.6567346025</v>
      </c>
      <c r="AT726" s="80">
        <f>AVERAGEIFS('3. Incentive Adjustment'!F:F,'3. Incentive Adjustment'!A:A,tbl_Data[[#This Row],[Trimmed Sector]],'3. Incentive Adjustment'!B:B,tbl_Data[[#This Row],[Trimmed Measure Name]])</f>
        <v>930.02043037501858</v>
      </c>
      <c r="AU726" s="80">
        <f>IFERROR(VLOOKUP(tbl_Data[[#This Row],[All_Meas_Name_Append]],'IRA Tax Credits'!$A$3:$D$46,4,0),0)</f>
        <v>0</v>
      </c>
      <c r="AV726" s="81">
        <f>tbl_Data[[#This Row],[Adj. per unit Incentive ($)]]/tbl_Data[[#This Row],[kWh Savings]]*tbl_Data[[#This Row],[Sum of Annuals]]</f>
        <v>455697.85071467067</v>
      </c>
      <c r="AW726" s="81">
        <f>IFERROR(VLOOKUP(tbl_Data[[#This Row],[Column1]],'1. Set Program Names'!$B$2:$D$15,3,0)*tbl_Data[[#This Row],[Sum of Annuals]],"")</f>
        <v>138932.43713235494</v>
      </c>
      <c r="AX726" s="81">
        <f>tbl_Data[[#This Row],[per unit IRA tax ($)]]/tbl_Data[[#This Row],[kWh Savings]]*tbl_Data[[#This Row],[Sum of Annuals]]</f>
        <v>0</v>
      </c>
      <c r="AY726" s="81">
        <f>tbl_Data[[#This Row],[Avoided Costs ($/unit)]]/tbl_Data[[#This Row],[kWh Savings]]*tbl_Data[[#This Row],[Sum of Annuals]]</f>
        <v>1894381.9392163027</v>
      </c>
      <c r="AZ726" s="81">
        <f>tbl_Data[[#This Row],[Lost Revenue ($/unit)]]/tbl_Data[[#This Row],[kWh Savings]]*tbl_Data[[#This Row],[Sum of Annuals]]</f>
        <v>4662383.5556597291</v>
      </c>
      <c r="BA726" s="81">
        <f>tbl_Data[[#This Row],[Incremental Cost ($/unit)]]/tbl_Data[[#This Row],[kWh Savings]]*tbl_Data[[#This Row],[Sum of Annuals]]</f>
        <v>1134285.4319120005</v>
      </c>
      <c r="BB726" s="77">
        <f>ROUNDUP(tbl_Data[[#This Row],[Adjusted 2025]]/$L726,0)</f>
        <v>5</v>
      </c>
      <c r="BC726" s="77">
        <f>ROUNDUP(tbl_Data[[#This Row],[Adjusted 2026]]/$L726,0)</f>
        <v>10</v>
      </c>
      <c r="BD726" s="77">
        <f>ROUNDUP(tbl_Data[[#This Row],[Adjusted 2027]]/$L726,0)</f>
        <v>17</v>
      </c>
      <c r="BE726" s="77">
        <f>ROUNDUP(tbl_Data[[#This Row],[Adjusted 2028]]/$L726,0)</f>
        <v>26</v>
      </c>
      <c r="BF726" s="77">
        <f>ROUNDUP(tbl_Data[[#This Row],[Adjusted 2029]]/$L726,0)</f>
        <v>37</v>
      </c>
      <c r="BG726" s="77">
        <f>ROUNDUP(tbl_Data[[#This Row],[Adjusted 2030]]/$L726,0)</f>
        <v>49</v>
      </c>
      <c r="BH726" s="77">
        <f>ROUNDUP(tbl_Data[[#This Row],[Adjusted 2031]]/$L726,0)</f>
        <v>63</v>
      </c>
      <c r="BI726" s="77">
        <f>ROUNDUP(tbl_Data[[#This Row],[Adjusted 2032]]/$L726,0)</f>
        <v>79</v>
      </c>
      <c r="BJ726" s="77">
        <f>ROUNDUP(tbl_Data[[#This Row],[Adjusted 2033]]/$L726,0)</f>
        <v>96</v>
      </c>
      <c r="BK726" s="77">
        <f>ROUNDUP(tbl_Data[[#This Row],[Adjusted 2034]]/$L726,0)</f>
        <v>112</v>
      </c>
      <c r="BL726" s="80">
        <f t="shared" si="298"/>
        <v>3510.0741721410077</v>
      </c>
      <c r="BM726" s="80">
        <f t="shared" si="299"/>
        <v>8067.0508902812271</v>
      </c>
      <c r="BN726" s="80">
        <f t="shared" si="300"/>
        <v>13836.208248946938</v>
      </c>
      <c r="BO726" s="80">
        <f t="shared" si="301"/>
        <v>21045.051350125399</v>
      </c>
      <c r="BP726" s="80">
        <f t="shared" si="302"/>
        <v>29773.389036467699</v>
      </c>
      <c r="BQ726" s="80">
        <f t="shared" si="303"/>
        <v>40059.188189525041</v>
      </c>
      <c r="BR726" s="80">
        <f t="shared" si="304"/>
        <v>51801.128789679999</v>
      </c>
      <c r="BS726" s="80">
        <f t="shared" si="305"/>
        <v>64686.270951179351</v>
      </c>
      <c r="BT726" s="80">
        <f t="shared" si="306"/>
        <v>78274.51195511104</v>
      </c>
      <c r="BU726" s="80">
        <f t="shared" si="307"/>
        <v>91951.194629155507</v>
      </c>
      <c r="BV726" s="80">
        <f>IFERROR(VLOOKUP($H726,'1. Set Program Names'!$B$2:$D$15,3,0)*V726,"NA")</f>
        <v>1070.1458400255376</v>
      </c>
      <c r="BW726" s="80">
        <f>IFERROR(VLOOKUP($H726,'1. Set Program Names'!$B$2:$D$15,3,0)*W726,"NA")</f>
        <v>2459.4696659196297</v>
      </c>
      <c r="BX726" s="80">
        <f>IFERROR(VLOOKUP($H726,'1. Set Program Names'!$B$2:$D$15,3,0)*X726,"NA")</f>
        <v>4218.3612006996564</v>
      </c>
      <c r="BY726" s="80">
        <f>IFERROR(VLOOKUP($H726,'1. Set Program Names'!$B$2:$D$15,3,0)*Y726,"NA")</f>
        <v>6416.181838608677</v>
      </c>
      <c r="BZ726" s="80">
        <f>IFERROR(VLOOKUP($H726,'1. Set Program Names'!$B$2:$D$15,3,0)*Z726,"NA")</f>
        <v>9077.2635728672849</v>
      </c>
      <c r="CA726" s="80">
        <f>IFERROR(VLOOKUP($H726,'1. Set Program Names'!$B$2:$D$15,3,0)*AA726,"NA")</f>
        <v>12213.181686035954</v>
      </c>
      <c r="CB726" s="80">
        <f>IFERROR(VLOOKUP($H726,'1. Set Program Names'!$B$2:$D$15,3,0)*AB726,"NA")</f>
        <v>15793.045891417767</v>
      </c>
      <c r="CC726" s="80">
        <f>IFERROR(VLOOKUP($H726,'1. Set Program Names'!$B$2:$D$15,3,0)*AC726,"NA")</f>
        <v>19721.447573555288</v>
      </c>
      <c r="CD726" s="80">
        <f>IFERROR(VLOOKUP($H726,'1. Set Program Names'!$B$2:$D$15,3,0)*AD726,"NA")</f>
        <v>23864.208914336941</v>
      </c>
      <c r="CE726" s="80">
        <f>IFERROR(VLOOKUP($H726,'1. Set Program Names'!$B$2:$D$15,3,0)*AE726,"NA")</f>
        <v>28033.934211067815</v>
      </c>
    </row>
    <row r="727" spans="1:83" x14ac:dyDescent="0.25">
      <c r="A727" s="79" t="s">
        <v>113</v>
      </c>
      <c r="B727" s="79" t="s">
        <v>88</v>
      </c>
      <c r="C727" s="79" t="s">
        <v>176</v>
      </c>
      <c r="D727" s="79" t="s">
        <v>90</v>
      </c>
      <c r="E727" s="79" t="s">
        <v>91</v>
      </c>
      <c r="F727" s="79" t="s">
        <v>90</v>
      </c>
      <c r="G727" s="79" t="s">
        <v>92</v>
      </c>
      <c r="H727" s="79" t="s">
        <v>18</v>
      </c>
      <c r="I727" s="79" t="s">
        <v>195</v>
      </c>
      <c r="J727" s="79" t="s">
        <v>191</v>
      </c>
      <c r="K727" s="79" t="s">
        <v>102</v>
      </c>
      <c r="L727" s="79">
        <v>20302.931666666602</v>
      </c>
      <c r="M727" s="79">
        <v>2.3950992196012999</v>
      </c>
      <c r="N727" s="79">
        <v>2.3402323276086099</v>
      </c>
      <c r="O727" s="79">
        <v>5194</v>
      </c>
      <c r="P727" s="79">
        <v>1110.9469872966299</v>
      </c>
      <c r="Q727" s="79">
        <v>642.55116412585198</v>
      </c>
      <c r="R727" s="79">
        <v>8767.8839794133291</v>
      </c>
      <c r="S727" s="79">
        <v>21563.142798944798</v>
      </c>
      <c r="T727" s="79">
        <v>15</v>
      </c>
      <c r="U727" s="79">
        <v>1</v>
      </c>
      <c r="V727" s="79">
        <f>tbl_Data_old[[#This Row],[2025 ]]*IFERROR(AVERAGEIFS('Participation Adjustment'!$C:$C,'Participation Adjustment'!$A:$A,$H727,'Participation Adjustment'!$B:$B,$I727),1)</f>
        <v>36102.053314017503</v>
      </c>
      <c r="W727" s="79">
        <f>tbl_Data_old[[#This Row],[2026 ]]*IFERROR(AVERAGEIFS('Participation Adjustment'!$C:$C,'Participation Adjustment'!$A:$A,$H727,'Participation Adjustment'!$B:$B,$I727),1)</f>
        <v>82973.674865490102</v>
      </c>
      <c r="X727" s="79">
        <f>tbl_Data_old[[#This Row],[2027 ]]*IFERROR(AVERAGEIFS('Participation Adjustment'!$C:$C,'Participation Adjustment'!$A:$A,$H727,'Participation Adjustment'!$B:$B,$I727),1)</f>
        <v>142315.22600023501</v>
      </c>
      <c r="Y727" s="79">
        <f>tbl_Data_old[[#This Row],[2028 ]]*IFERROR(AVERAGEIFS('Participation Adjustment'!$C:$C,'Participation Adjustment'!$A:$A,$H727,'Participation Adjustment'!$B:$B,$I727),1)</f>
        <v>216468.21131501</v>
      </c>
      <c r="Z727" s="79">
        <f>tbl_Data_old[[#This Row],[2029 ]]*IFERROR(AVERAGEIFS('Participation Adjustment'!$C:$C,'Participation Adjustment'!$A:$A,$H727,'Participation Adjustment'!$B:$B,$I727),1)</f>
        <v>306251.94170607498</v>
      </c>
      <c r="AA727" s="79">
        <f>tbl_Data_old[[#This Row],[2030 ]]*IFERROR(AVERAGEIFS('Participation Adjustment'!$C:$C,'Participation Adjustment'!$A:$A,$H727,'Participation Adjustment'!$B:$B,$I727),1)</f>
        <v>412057.32747093099</v>
      </c>
      <c r="AB727" s="79">
        <f>tbl_Data_old[[#This Row],[2031 ]]*IFERROR(AVERAGEIFS('Participation Adjustment'!$C:$C,'Participation Adjustment'!$A:$A,$H727,'Participation Adjustment'!$B:$B,$I727),1)</f>
        <v>532842.48677118204</v>
      </c>
      <c r="AC727" s="79">
        <f>tbl_Data_old[[#This Row],[2032 ]]*IFERROR(AVERAGEIFS('Participation Adjustment'!$C:$C,'Participation Adjustment'!$A:$A,$H727,'Participation Adjustment'!$B:$B,$I727),1)</f>
        <v>665387.35498584097</v>
      </c>
      <c r="AD727" s="79">
        <f>tbl_Data_old[[#This Row],[2033 ]]*IFERROR(AVERAGEIFS('Participation Adjustment'!$C:$C,'Participation Adjustment'!$A:$A,$H727,'Participation Adjustment'!$B:$B,$I727),1)</f>
        <v>805166.90273468895</v>
      </c>
      <c r="AE727" s="79">
        <f>tbl_Data_old[[#This Row],[2034 ]]*IFERROR(AVERAGEIFS('Participation Adjustment'!$C:$C,'Participation Adjustment'!$A:$A,$H727,'Participation Adjustment'!$B:$B,$I727),1)</f>
        <v>945859.88711631706</v>
      </c>
      <c r="AF727" s="77" t="str">
        <f t="shared" si="297"/>
        <v>NonResidential</v>
      </c>
      <c r="AG727" s="77" t="str">
        <f>tbl_Data[[#This Row],[All_Meas_Name_Append]]</f>
        <v>VFD on process pump</v>
      </c>
      <c r="AH727" s="77">
        <f>AVERAGEIFS('3. Incentive Adjustment'!G:G,'3. Incentive Adjustment'!A:A,tbl_Data[[#This Row],[Trimmed Sector]],'3. Incentive Adjustment'!B:B,tbl_Data[[#This Row],[Trimmed Measure Name]])</f>
        <v>1.1380520252658823</v>
      </c>
      <c r="AI727" s="77">
        <f>$AH727*tbl_Data[[#This Row],[2025 ]]</f>
        <v>41086.014890274477</v>
      </c>
      <c r="AJ727" s="77">
        <f>$AH727*tbl_Data[[#This Row],[2026 ]]</f>
        <v>94428.358724423844</v>
      </c>
      <c r="AK727" s="77">
        <f>$AH727*tbl_Data[[#This Row],[2027 ]]</f>
        <v>161962.1311757392</v>
      </c>
      <c r="AL727" s="77">
        <f>$AH727*tbl_Data[[#This Row],[2028 ]]</f>
        <v>246352.08629273012</v>
      </c>
      <c r="AM727" s="77">
        <f>$AH727*tbl_Data[[#This Row],[2029 ]]</f>
        <v>348530.64250020758</v>
      </c>
      <c r="AN727" s="77">
        <f>$AH727*tbl_Data[[#This Row],[2030 ]]</f>
        <v>468942.67605393991</v>
      </c>
      <c r="AO727" s="77">
        <f>$AH727*tbl_Data[[#This Row],[2031 ]]</f>
        <v>606402.47121765278</v>
      </c>
      <c r="AP727" s="77">
        <f>$AH727*tbl_Data[[#This Row],[2032 ]]</f>
        <v>757245.42692794488</v>
      </c>
      <c r="AQ727" s="77">
        <f>$AH727*tbl_Data[[#This Row],[2033 ]]</f>
        <v>916321.82433427044</v>
      </c>
      <c r="AR727" s="77">
        <f>$AH727*tbl_Data[[#This Row],[2034 ]]</f>
        <v>1076437.7601504836</v>
      </c>
      <c r="AS727" s="77">
        <f>SUM(tbl_Data[[#This Row],[Adjusted 2025]:[Adjusted 2034]])</f>
        <v>4717709.3922676668</v>
      </c>
      <c r="AT727" s="80">
        <f>AVERAGEIFS('3. Incentive Adjustment'!F:F,'3. Incentive Adjustment'!A:A,tbl_Data[[#This Row],[Trimmed Sector]],'3. Incentive Adjustment'!B:B,tbl_Data[[#This Row],[Trimmed Measure Name]])</f>
        <v>2106.0249622508104</v>
      </c>
      <c r="AU727" s="80">
        <f>IFERROR(VLOOKUP(tbl_Data[[#This Row],[All_Meas_Name_Append]],'IRA Tax Credits'!$A$3:$D$46,4,0),0)</f>
        <v>0</v>
      </c>
      <c r="AV727" s="81">
        <f>tbl_Data[[#This Row],[Adj. per unit Incentive ($)]]/tbl_Data[[#This Row],[kWh Savings]]*tbl_Data[[#This Row],[Sum of Annuals]]</f>
        <v>489368.42756916326</v>
      </c>
      <c r="AW727" s="81">
        <f>IFERROR(VLOOKUP(tbl_Data[[#This Row],[Column1]],'1. Set Program Names'!$B$2:$D$15,3,0)*tbl_Data[[#This Row],[Sum of Annuals]],"")</f>
        <v>149306.99229934163</v>
      </c>
      <c r="AX727" s="81">
        <f>tbl_Data[[#This Row],[per unit IRA tax ($)]]/tbl_Data[[#This Row],[kWh Savings]]*tbl_Data[[#This Row],[Sum of Annuals]]</f>
        <v>0</v>
      </c>
      <c r="AY727" s="81">
        <f>tbl_Data[[#This Row],[Avoided Costs ($/unit)]]/tbl_Data[[#This Row],[kWh Savings]]*tbl_Data[[#This Row],[Sum of Annuals]]</f>
        <v>2037357.4259673795</v>
      </c>
      <c r="AZ727" s="81">
        <f>tbl_Data[[#This Row],[Lost Revenue ($/unit)]]/tbl_Data[[#This Row],[kWh Savings]]*tbl_Data[[#This Row],[Sum of Annuals]]</f>
        <v>5010539.5112179331</v>
      </c>
      <c r="BA727" s="81">
        <f>tbl_Data[[#This Row],[Incremental Cost ($/unit)]]/tbl_Data[[#This Row],[kWh Savings]]*tbl_Data[[#This Row],[Sum of Annuals]]</f>
        <v>1206908.5876730119</v>
      </c>
      <c r="BB727" s="77">
        <f>ROUNDUP(tbl_Data[[#This Row],[Adjusted 2025]]/$L727,0)</f>
        <v>3</v>
      </c>
      <c r="BC727" s="77">
        <f>ROUNDUP(tbl_Data[[#This Row],[Adjusted 2026]]/$L727,0)</f>
        <v>5</v>
      </c>
      <c r="BD727" s="77">
        <f>ROUNDUP(tbl_Data[[#This Row],[Adjusted 2027]]/$L727,0)</f>
        <v>8</v>
      </c>
      <c r="BE727" s="77">
        <f>ROUNDUP(tbl_Data[[#This Row],[Adjusted 2028]]/$L727,0)</f>
        <v>13</v>
      </c>
      <c r="BF727" s="77">
        <f>ROUNDUP(tbl_Data[[#This Row],[Adjusted 2029]]/$L727,0)</f>
        <v>18</v>
      </c>
      <c r="BG727" s="77">
        <f>ROUNDUP(tbl_Data[[#This Row],[Adjusted 2030]]/$L727,0)</f>
        <v>24</v>
      </c>
      <c r="BH727" s="77">
        <f>ROUNDUP(tbl_Data[[#This Row],[Adjusted 2031]]/$L727,0)</f>
        <v>30</v>
      </c>
      <c r="BI727" s="77">
        <f>ROUNDUP(tbl_Data[[#This Row],[Adjusted 2032]]/$L727,0)</f>
        <v>38</v>
      </c>
      <c r="BJ727" s="77">
        <f>ROUNDUP(tbl_Data[[#This Row],[Adjusted 2033]]/$L727,0)</f>
        <v>46</v>
      </c>
      <c r="BK727" s="77">
        <f>ROUNDUP(tbl_Data[[#This Row],[Adjusted 2034]]/$L727,0)</f>
        <v>54</v>
      </c>
      <c r="BL727" s="80">
        <f t="shared" si="298"/>
        <v>3744.869298489522</v>
      </c>
      <c r="BM727" s="80">
        <f t="shared" si="299"/>
        <v>8606.8668971240713</v>
      </c>
      <c r="BN727" s="80">
        <f t="shared" si="300"/>
        <v>14762.371434118575</v>
      </c>
      <c r="BO727" s="80">
        <f t="shared" si="301"/>
        <v>22454.267395859457</v>
      </c>
      <c r="BP727" s="80">
        <f t="shared" si="302"/>
        <v>31767.541976693647</v>
      </c>
      <c r="BQ727" s="80">
        <f t="shared" si="303"/>
        <v>42742.744337602147</v>
      </c>
      <c r="BR727" s="80">
        <f t="shared" si="304"/>
        <v>55271.799980014883</v>
      </c>
      <c r="BS727" s="80">
        <f t="shared" si="305"/>
        <v>69020.691305724904</v>
      </c>
      <c r="BT727" s="80">
        <f t="shared" si="306"/>
        <v>83520.036602469176</v>
      </c>
      <c r="BU727" s="80">
        <f t="shared" si="307"/>
        <v>98114.132764834882</v>
      </c>
      <c r="BV727" s="80">
        <f>IFERROR(VLOOKUP($H727,'1. Set Program Names'!$B$2:$D$15,3,0)*V727,"NA")</f>
        <v>1142.564865267268</v>
      </c>
      <c r="BW727" s="80">
        <f>IFERROR(VLOOKUP($H727,'1. Set Program Names'!$B$2:$D$15,3,0)*W727,"NA")</f>
        <v>2625.9671387336107</v>
      </c>
      <c r="BX727" s="80">
        <f>IFERROR(VLOOKUP($H727,'1. Set Program Names'!$B$2:$D$15,3,0)*X727,"NA")</f>
        <v>4504.0201898240566</v>
      </c>
      <c r="BY727" s="80">
        <f>IFERROR(VLOOKUP($H727,'1. Set Program Names'!$B$2:$D$15,3,0)*Y727,"NA")</f>
        <v>6850.8284153397281</v>
      </c>
      <c r="BZ727" s="80">
        <f>IFERROR(VLOOKUP($H727,'1. Set Program Names'!$B$2:$D$15,3,0)*Z727,"NA")</f>
        <v>9692.3215272461712</v>
      </c>
      <c r="CA727" s="80">
        <f>IFERROR(VLOOKUP($H727,'1. Set Program Names'!$B$2:$D$15,3,0)*AA727,"NA")</f>
        <v>13040.871131321896</v>
      </c>
      <c r="CB727" s="80">
        <f>IFERROR(VLOOKUP($H727,'1. Set Program Names'!$B$2:$D$15,3,0)*AB727,"NA")</f>
        <v>16863.503546763848</v>
      </c>
      <c r="CC727" s="80">
        <f>IFERROR(VLOOKUP($H727,'1. Set Program Names'!$B$2:$D$15,3,0)*AC727,"NA")</f>
        <v>21058.309536780733</v>
      </c>
      <c r="CD727" s="80">
        <f>IFERROR(VLOOKUP($H727,'1. Set Program Names'!$B$2:$D$15,3,0)*AD727,"NA")</f>
        <v>25482.080083891746</v>
      </c>
      <c r="CE727" s="80">
        <f>IFERROR(VLOOKUP($H727,'1. Set Program Names'!$B$2:$D$15,3,0)*AE727,"NA")</f>
        <v>29934.759252741937</v>
      </c>
    </row>
    <row r="728" spans="1:83" x14ac:dyDescent="0.25">
      <c r="A728" s="79" t="s">
        <v>114</v>
      </c>
      <c r="B728" s="79" t="s">
        <v>88</v>
      </c>
      <c r="C728" s="79" t="s">
        <v>176</v>
      </c>
      <c r="D728" s="79" t="s">
        <v>90</v>
      </c>
      <c r="E728" s="79" t="s">
        <v>91</v>
      </c>
      <c r="F728" s="79" t="s">
        <v>90</v>
      </c>
      <c r="G728" s="79" t="s">
        <v>92</v>
      </c>
      <c r="H728" s="79" t="s">
        <v>18</v>
      </c>
      <c r="I728" s="79" t="s">
        <v>177</v>
      </c>
      <c r="J728" s="79" t="s">
        <v>178</v>
      </c>
      <c r="K728" s="79" t="s">
        <v>102</v>
      </c>
      <c r="L728" s="79">
        <v>25265.069999999901</v>
      </c>
      <c r="M728" s="79">
        <v>3.0268587641170099</v>
      </c>
      <c r="N728" s="79">
        <v>2.9158027991200801</v>
      </c>
      <c r="O728" s="79">
        <v>7160.52</v>
      </c>
      <c r="P728" s="79">
        <v>2094.8798923726799</v>
      </c>
      <c r="Q728" s="79">
        <v>799.59389150061804</v>
      </c>
      <c r="R728" s="79">
        <v>8516.48438813961</v>
      </c>
      <c r="S728" s="79">
        <v>20321.770915365199</v>
      </c>
      <c r="T728" s="79">
        <v>10</v>
      </c>
      <c r="U728" s="79">
        <v>1</v>
      </c>
      <c r="V728" s="79">
        <f>tbl_Data_old[[#This Row],[2025 ]]*IFERROR(AVERAGEIFS('Participation Adjustment'!$C:$C,'Participation Adjustment'!$A:$A,$H728,'Participation Adjustment'!$B:$B,$I728),1)</f>
        <v>0.42323052669080502</v>
      </c>
      <c r="W728" s="79">
        <f>tbl_Data_old[[#This Row],[2026 ]]*IFERROR(AVERAGEIFS('Participation Adjustment'!$C:$C,'Participation Adjustment'!$A:$A,$H728,'Participation Adjustment'!$B:$B,$I728),1)</f>
        <v>0.40360357298592497</v>
      </c>
      <c r="X728" s="79">
        <f>tbl_Data_old[[#This Row],[2027 ]]*IFERROR(AVERAGEIFS('Participation Adjustment'!$C:$C,'Participation Adjustment'!$A:$A,$H728,'Participation Adjustment'!$B:$B,$I728),1)</f>
        <v>0.379735984237345</v>
      </c>
      <c r="Y728" s="79">
        <f>tbl_Data_old[[#This Row],[2028 ]]*IFERROR(AVERAGEIFS('Participation Adjustment'!$C:$C,'Participation Adjustment'!$A:$A,$H728,'Participation Adjustment'!$B:$B,$I728),1)</f>
        <v>0.35749786804247602</v>
      </c>
      <c r="Z728" s="79">
        <f>tbl_Data_old[[#This Row],[2029 ]]*IFERROR(AVERAGEIFS('Participation Adjustment'!$C:$C,'Participation Adjustment'!$A:$A,$H728,'Participation Adjustment'!$B:$B,$I728),1)</f>
        <v>0.33355009260215202</v>
      </c>
      <c r="AA728" s="79">
        <f>tbl_Data_old[[#This Row],[2030 ]]*IFERROR(AVERAGEIFS('Participation Adjustment'!$C:$C,'Participation Adjustment'!$A:$A,$H728,'Participation Adjustment'!$B:$B,$I728),1)</f>
        <v>0.310342447141703</v>
      </c>
      <c r="AB728" s="79">
        <f>tbl_Data_old[[#This Row],[2031 ]]*IFERROR(AVERAGEIFS('Participation Adjustment'!$C:$C,'Participation Adjustment'!$A:$A,$H728,'Participation Adjustment'!$B:$B,$I728),1)</f>
        <v>0.28845691777145699</v>
      </c>
      <c r="AC728" s="79">
        <f>tbl_Data_old[[#This Row],[2032 ]]*IFERROR(AVERAGEIFS('Participation Adjustment'!$C:$C,'Participation Adjustment'!$A:$A,$H728,'Participation Adjustment'!$B:$B,$I728),1)</f>
        <v>0.26699039954633902</v>
      </c>
      <c r="AD728" s="79">
        <f>tbl_Data_old[[#This Row],[2033 ]]*IFERROR(AVERAGEIFS('Participation Adjustment'!$C:$C,'Participation Adjustment'!$A:$A,$H728,'Participation Adjustment'!$B:$B,$I728),1)</f>
        <v>0.247810824734016</v>
      </c>
      <c r="AE728" s="79">
        <f>tbl_Data_old[[#This Row],[2034 ]]*IFERROR(AVERAGEIFS('Participation Adjustment'!$C:$C,'Participation Adjustment'!$A:$A,$H728,'Participation Adjustment'!$B:$B,$I728),1)</f>
        <v>0.23002770349880999</v>
      </c>
      <c r="AF728" s="77" t="str">
        <f t="shared" si="297"/>
        <v>NonResidential</v>
      </c>
      <c r="AG728" s="77" t="str">
        <f>tbl_Data[[#This Row],[All_Meas_Name_Append]]</f>
        <v>Airside economizer_13</v>
      </c>
      <c r="AH728" s="77">
        <f>AVERAGEIFS('3. Incentive Adjustment'!G:G,'3. Incentive Adjustment'!A:A,tbl_Data[[#This Row],[Trimmed Sector]],'3. Incentive Adjustment'!B:B,tbl_Data[[#This Row],[Trimmed Measure Name]])</f>
        <v>1</v>
      </c>
      <c r="AI728" s="77">
        <f>$AH728*tbl_Data[[#This Row],[2025 ]]</f>
        <v>0.42323052669080502</v>
      </c>
      <c r="AJ728" s="77">
        <f>$AH728*tbl_Data[[#This Row],[2026 ]]</f>
        <v>0.40360357298592497</v>
      </c>
      <c r="AK728" s="77">
        <f>$AH728*tbl_Data[[#This Row],[2027 ]]</f>
        <v>0.379735984237345</v>
      </c>
      <c r="AL728" s="77">
        <f>$AH728*tbl_Data[[#This Row],[2028 ]]</f>
        <v>0.35749786804247602</v>
      </c>
      <c r="AM728" s="77">
        <f>$AH728*tbl_Data[[#This Row],[2029 ]]</f>
        <v>0.33355009260215202</v>
      </c>
      <c r="AN728" s="77">
        <f>$AH728*tbl_Data[[#This Row],[2030 ]]</f>
        <v>0.310342447141703</v>
      </c>
      <c r="AO728" s="77">
        <f>$AH728*tbl_Data[[#This Row],[2031 ]]</f>
        <v>0.28845691777145699</v>
      </c>
      <c r="AP728" s="77">
        <f>$AH728*tbl_Data[[#This Row],[2032 ]]</f>
        <v>0.26699039954633902</v>
      </c>
      <c r="AQ728" s="77">
        <f>$AH728*tbl_Data[[#This Row],[2033 ]]</f>
        <v>0.247810824734016</v>
      </c>
      <c r="AR728" s="77">
        <f>$AH728*tbl_Data[[#This Row],[2034 ]]</f>
        <v>0.23002770349880999</v>
      </c>
      <c r="AS728" s="77">
        <f>SUM(tbl_Data[[#This Row],[Adjusted 2025]:[Adjusted 2034]])</f>
        <v>3.2412463372510283</v>
      </c>
      <c r="AT728" s="80">
        <f>AVERAGEIFS('3. Incentive Adjustment'!F:F,'3. Incentive Adjustment'!A:A,tbl_Data[[#This Row],[Trimmed Sector]],'3. Incentive Adjustment'!B:B,tbl_Data[[#This Row],[Trimmed Measure Name]])</f>
        <v>2094.8798923726795</v>
      </c>
      <c r="AU728" s="80">
        <f>IFERROR(VLOOKUP(tbl_Data[[#This Row],[All_Meas_Name_Append]],'IRA Tax Credits'!$A$3:$D$46,4,0),0)</f>
        <v>0</v>
      </c>
      <c r="AV728" s="81">
        <f>tbl_Data[[#This Row],[Adj. per unit Incentive ($)]]/tbl_Data[[#This Row],[kWh Savings]]*tbl_Data[[#This Row],[Sum of Annuals]]</f>
        <v>0.26875135426633695</v>
      </c>
      <c r="AW728" s="81">
        <f>IFERROR(VLOOKUP(tbl_Data[[#This Row],[Column1]],'1. Set Program Names'!$B$2:$D$15,3,0)*tbl_Data[[#This Row],[Sum of Annuals]],"")</f>
        <v>0.10257959990273842</v>
      </c>
      <c r="AX728" s="81">
        <f>tbl_Data[[#This Row],[per unit IRA tax ($)]]/tbl_Data[[#This Row],[kWh Savings]]*tbl_Data[[#This Row],[Sum of Annuals]]</f>
        <v>0</v>
      </c>
      <c r="AY728" s="81">
        <f>tbl_Data[[#This Row],[Avoided Costs ($/unit)]]/tbl_Data[[#This Row],[kWh Savings]]*tbl_Data[[#This Row],[Sum of Annuals]]</f>
        <v>1.0925765821869158</v>
      </c>
      <c r="AZ728" s="81">
        <f>tbl_Data[[#This Row],[Lost Revenue ($/unit)]]/tbl_Data[[#This Row],[kWh Savings]]*tbl_Data[[#This Row],[Sum of Annuals]]</f>
        <v>2.6070723550689623</v>
      </c>
      <c r="BA728" s="81">
        <f>tbl_Data[[#This Row],[Incremental Cost ($/unit)]]/tbl_Data[[#This Row],[kWh Savings]]*tbl_Data[[#This Row],[Sum of Annuals]]</f>
        <v>0.91862042031994462</v>
      </c>
      <c r="BB728" s="77">
        <f>ROUNDUP(tbl_Data[[#This Row],[Adjusted 2025]]/$L728,0)</f>
        <v>1</v>
      </c>
      <c r="BC728" s="77">
        <f>ROUNDUP(tbl_Data[[#This Row],[Adjusted 2026]]/$L728,0)</f>
        <v>1</v>
      </c>
      <c r="BD728" s="77">
        <f>ROUNDUP(tbl_Data[[#This Row],[Adjusted 2027]]/$L728,0)</f>
        <v>1</v>
      </c>
      <c r="BE728" s="77">
        <f>ROUNDUP(tbl_Data[[#This Row],[Adjusted 2028]]/$L728,0)</f>
        <v>1</v>
      </c>
      <c r="BF728" s="77">
        <f>ROUNDUP(tbl_Data[[#This Row],[Adjusted 2029]]/$L728,0)</f>
        <v>1</v>
      </c>
      <c r="BG728" s="77">
        <f>ROUNDUP(tbl_Data[[#This Row],[Adjusted 2030]]/$L728,0)</f>
        <v>1</v>
      </c>
      <c r="BH728" s="77">
        <f>ROUNDUP(tbl_Data[[#This Row],[Adjusted 2031]]/$L728,0)</f>
        <v>1</v>
      </c>
      <c r="BI728" s="77">
        <f>ROUNDUP(tbl_Data[[#This Row],[Adjusted 2032]]/$L728,0)</f>
        <v>1</v>
      </c>
      <c r="BJ728" s="77">
        <f>ROUNDUP(tbl_Data[[#This Row],[Adjusted 2033]]/$L728,0)</f>
        <v>1</v>
      </c>
      <c r="BK728" s="77">
        <f>ROUNDUP(tbl_Data[[#This Row],[Adjusted 2034]]/$L728,0)</f>
        <v>1</v>
      </c>
      <c r="BL728" s="80">
        <f t="shared" si="298"/>
        <v>3.5092604936494118E-2</v>
      </c>
      <c r="BM728" s="80">
        <f t="shared" si="299"/>
        <v>3.3465215395721712E-2</v>
      </c>
      <c r="BN728" s="80">
        <f t="shared" si="300"/>
        <v>3.1486209133367367E-2</v>
      </c>
      <c r="BO728" s="80">
        <f t="shared" si="301"/>
        <v>2.9642312304232185E-2</v>
      </c>
      <c r="BP728" s="80">
        <f t="shared" si="302"/>
        <v>2.7656657277866089E-2</v>
      </c>
      <c r="BQ728" s="80">
        <f t="shared" si="303"/>
        <v>2.5732370908407826E-2</v>
      </c>
      <c r="BR728" s="80">
        <f t="shared" si="304"/>
        <v>2.3917709187238626E-2</v>
      </c>
      <c r="BS728" s="80">
        <f t="shared" si="305"/>
        <v>2.21377902165391E-2</v>
      </c>
      <c r="BT728" s="80">
        <f t="shared" si="306"/>
        <v>2.0547495567896007E-2</v>
      </c>
      <c r="BU728" s="80">
        <f t="shared" si="307"/>
        <v>1.907298933857391E-2</v>
      </c>
      <c r="BV728" s="80">
        <f>IFERROR(VLOOKUP($H728,'1. Set Program Names'!$B$2:$D$15,3,0)*V728,"NA")</f>
        <v>1.3394482732031126E-2</v>
      </c>
      <c r="BW728" s="80">
        <f>IFERROR(VLOOKUP($H728,'1. Set Program Names'!$B$2:$D$15,3,0)*W728,"NA")</f>
        <v>1.2773325051043598E-2</v>
      </c>
      <c r="BX728" s="80">
        <f>IFERROR(VLOOKUP($H728,'1. Set Program Names'!$B$2:$D$15,3,0)*X728,"NA")</f>
        <v>1.2017958920325835E-2</v>
      </c>
      <c r="BY728" s="80">
        <f>IFERROR(VLOOKUP($H728,'1. Set Program Names'!$B$2:$D$15,3,0)*Y728,"NA")</f>
        <v>1.1314162656634571E-2</v>
      </c>
      <c r="BZ728" s="80">
        <f>IFERROR(VLOOKUP($H728,'1. Set Program Names'!$B$2:$D$15,3,0)*Z728,"NA")</f>
        <v>1.0556258761766612E-2</v>
      </c>
      <c r="CA728" s="80">
        <f>IFERROR(VLOOKUP($H728,'1. Set Program Names'!$B$2:$D$15,3,0)*AA728,"NA")</f>
        <v>9.8217786456898659E-3</v>
      </c>
      <c r="CB728" s="80">
        <f>IFERROR(VLOOKUP($H728,'1. Set Program Names'!$B$2:$D$15,3,0)*AB728,"NA")</f>
        <v>9.1291411189897177E-3</v>
      </c>
      <c r="CC728" s="80">
        <f>IFERROR(VLOOKUP($H728,'1. Set Program Names'!$B$2:$D$15,3,0)*AC728,"NA")</f>
        <v>8.4497645392062042E-3</v>
      </c>
      <c r="CD728" s="80">
        <f>IFERROR(VLOOKUP($H728,'1. Set Program Names'!$B$2:$D$15,3,0)*AD728,"NA")</f>
        <v>7.8427655931707242E-3</v>
      </c>
      <c r="CE728" s="80">
        <f>IFERROR(VLOOKUP($H728,'1. Set Program Names'!$B$2:$D$15,3,0)*AE728,"NA")</f>
        <v>7.2799618838801624E-3</v>
      </c>
    </row>
    <row r="729" spans="1:83" x14ac:dyDescent="0.25">
      <c r="A729" s="79" t="s">
        <v>114</v>
      </c>
      <c r="B729" s="79" t="s">
        <v>88</v>
      </c>
      <c r="C729" s="79" t="s">
        <v>176</v>
      </c>
      <c r="D729" s="79" t="s">
        <v>90</v>
      </c>
      <c r="E729" s="79" t="s">
        <v>91</v>
      </c>
      <c r="F729" s="79" t="s">
        <v>90</v>
      </c>
      <c r="G729" s="79" t="s">
        <v>92</v>
      </c>
      <c r="H729" s="79" t="s">
        <v>18</v>
      </c>
      <c r="I729" s="79" t="s">
        <v>185</v>
      </c>
      <c r="J729" s="79" t="s">
        <v>178</v>
      </c>
      <c r="K729" s="79" t="s">
        <v>102</v>
      </c>
      <c r="L729" s="79">
        <v>37372.818333333198</v>
      </c>
      <c r="M729" s="79">
        <v>4.4774165562178503</v>
      </c>
      <c r="N729" s="79">
        <v>4.3131393780955101</v>
      </c>
      <c r="O729" s="79">
        <v>14201.670833333301</v>
      </c>
      <c r="P729" s="79">
        <v>6684.0523958317799</v>
      </c>
      <c r="Q729" s="79">
        <v>1182.7822858791001</v>
      </c>
      <c r="R729" s="79">
        <v>15980.395267902501</v>
      </c>
      <c r="S729" s="79">
        <v>39692.564194744999</v>
      </c>
      <c r="T729" s="79">
        <v>15</v>
      </c>
      <c r="U729" s="79">
        <v>1</v>
      </c>
      <c r="V729" s="79">
        <f>tbl_Data_old[[#This Row],[2025 ]]*IFERROR(AVERAGEIFS('Participation Adjustment'!$C:$C,'Participation Adjustment'!$A:$A,$H729,'Participation Adjustment'!$B:$B,$I729),1)</f>
        <v>2.3824747585142498</v>
      </c>
      <c r="W729" s="79">
        <f>tbl_Data_old[[#This Row],[2026 ]]*IFERROR(AVERAGEIFS('Participation Adjustment'!$C:$C,'Participation Adjustment'!$A:$A,$H729,'Participation Adjustment'!$B:$B,$I729),1)</f>
        <v>2.7103530000149298</v>
      </c>
      <c r="X729" s="79">
        <f>tbl_Data_old[[#This Row],[2027 ]]*IFERROR(AVERAGEIFS('Participation Adjustment'!$C:$C,'Participation Adjustment'!$A:$A,$H729,'Participation Adjustment'!$B:$B,$I729),1)</f>
        <v>2.9960623876896499</v>
      </c>
      <c r="Y729" s="79">
        <f>tbl_Data_old[[#This Row],[2028 ]]*IFERROR(AVERAGEIFS('Participation Adjustment'!$C:$C,'Participation Adjustment'!$A:$A,$H729,'Participation Adjustment'!$B:$B,$I729),1)</f>
        <v>3.2826716032823899</v>
      </c>
      <c r="Z729" s="79">
        <f>tbl_Data_old[[#This Row],[2029 ]]*IFERROR(AVERAGEIFS('Participation Adjustment'!$C:$C,'Participation Adjustment'!$A:$A,$H729,'Participation Adjustment'!$B:$B,$I729),1)</f>
        <v>3.5269568454132698</v>
      </c>
      <c r="AA729" s="79">
        <f>tbl_Data_old[[#This Row],[2030 ]]*IFERROR(AVERAGEIFS('Participation Adjustment'!$C:$C,'Participation Adjustment'!$A:$A,$H729,'Participation Adjustment'!$B:$B,$I729),1)</f>
        <v>3.7561765809672401</v>
      </c>
      <c r="AB729" s="79">
        <f>tbl_Data_old[[#This Row],[2031 ]]*IFERROR(AVERAGEIFS('Participation Adjustment'!$C:$C,'Participation Adjustment'!$A:$A,$H729,'Participation Adjustment'!$B:$B,$I729),1)</f>
        <v>3.9728712397689301</v>
      </c>
      <c r="AC729" s="79">
        <f>tbl_Data_old[[#This Row],[2032 ]]*IFERROR(AVERAGEIFS('Participation Adjustment'!$C:$C,'Participation Adjustment'!$A:$A,$H729,'Participation Adjustment'!$B:$B,$I729),1)</f>
        <v>4.1673455167183304</v>
      </c>
      <c r="AD729" s="79">
        <f>tbl_Data_old[[#This Row],[2033 ]]*IFERROR(AVERAGEIFS('Participation Adjustment'!$C:$C,'Participation Adjustment'!$A:$A,$H729,'Participation Adjustment'!$B:$B,$I729),1)</f>
        <v>4.3600668889004996</v>
      </c>
      <c r="AE729" s="79">
        <f>tbl_Data_old[[#This Row],[2034 ]]*IFERROR(AVERAGEIFS('Participation Adjustment'!$C:$C,'Participation Adjustment'!$A:$A,$H729,'Participation Adjustment'!$B:$B,$I729),1)</f>
        <v>4.5426228298726903</v>
      </c>
      <c r="AF729" s="77" t="str">
        <f t="shared" si="297"/>
        <v>NonResidential</v>
      </c>
      <c r="AG729" s="77" t="str">
        <f>tbl_Data[[#This Row],[All_Meas_Name_Append]]</f>
        <v>Custom Measure - Non-Lighting_70</v>
      </c>
      <c r="AH729" s="77">
        <f>AVERAGEIFS('3. Incentive Adjustment'!G:G,'3. Incentive Adjustment'!A:A,tbl_Data[[#This Row],[Trimmed Sector]],'3. Incentive Adjustment'!B:B,tbl_Data[[#This Row],[Trimmed Measure Name]])</f>
        <v>0.82269267220071174</v>
      </c>
      <c r="AI729" s="77">
        <f>$AH729*tbl_Data[[#This Row],[2025 ]]</f>
        <v>1.9600445255328336</v>
      </c>
      <c r="AJ729" s="77">
        <f>$AH729*tbl_Data[[#This Row],[2026 ]]</f>
        <v>2.2297875521894985</v>
      </c>
      <c r="AK729" s="77">
        <f>$AH729*tbl_Data[[#This Row],[2027 ]]</f>
        <v>2.4648385718084431</v>
      </c>
      <c r="AL729" s="77">
        <f>$AH729*tbl_Data[[#This Row],[2028 ]]</f>
        <v>2.7006298732617839</v>
      </c>
      <c r="AM729" s="77">
        <f>$AH729*tbl_Data[[#This Row],[2029 ]]</f>
        <v>2.9016015518896356</v>
      </c>
      <c r="AN729" s="77">
        <f>$AH729*tbl_Data[[#This Row],[2030 ]]</f>
        <v>3.0901789486536719</v>
      </c>
      <c r="AO729" s="77">
        <f>$AH729*tbl_Data[[#This Row],[2031 ]]</f>
        <v>3.2684520565548558</v>
      </c>
      <c r="AP729" s="77">
        <f>$AH729*tbl_Data[[#This Row],[2032 ]]</f>
        <v>3.4284446191326592</v>
      </c>
      <c r="AQ729" s="77">
        <f>$AH729*tbl_Data[[#This Row],[2033 ]]</f>
        <v>3.5869950798033958</v>
      </c>
      <c r="AR729" s="77">
        <f>$AH729*tbl_Data[[#This Row],[2034 ]]</f>
        <v>3.7371825147079227</v>
      </c>
      <c r="AS729" s="77">
        <f>SUM(tbl_Data[[#This Row],[Adjusted 2025]:[Adjusted 2034]])</f>
        <v>29.368155293534702</v>
      </c>
      <c r="AT729" s="80">
        <f>AVERAGEIFS('3. Incentive Adjustment'!F:F,'3. Incentive Adjustment'!A:A,tbl_Data[[#This Row],[Trimmed Sector]],'3. Incentive Adjustment'!B:B,tbl_Data[[#This Row],[Trimmed Measure Name]])</f>
        <v>3919.5698976361523</v>
      </c>
      <c r="AU729" s="80">
        <f>IFERROR(VLOOKUP(tbl_Data[[#This Row],[All_Meas_Name_Append]],'IRA Tax Credits'!$A$3:$D$46,4,0),0)</f>
        <v>0</v>
      </c>
      <c r="AV729" s="81">
        <f>tbl_Data[[#This Row],[Adj. per unit Incentive ($)]]/tbl_Data[[#This Row],[kWh Savings]]*tbl_Data[[#This Row],[Sum of Annuals]]</f>
        <v>3.0800603907084572</v>
      </c>
      <c r="AW729" s="81">
        <f>IFERROR(VLOOKUP(tbl_Data[[#This Row],[Column1]],'1. Set Program Names'!$B$2:$D$15,3,0)*tbl_Data[[#This Row],[Sum of Annuals]],"")</f>
        <v>0.92944913975508214</v>
      </c>
      <c r="AX729" s="81">
        <f>tbl_Data[[#This Row],[per unit IRA tax ($)]]/tbl_Data[[#This Row],[kWh Savings]]*tbl_Data[[#This Row],[Sum of Annuals]]</f>
        <v>0</v>
      </c>
      <c r="AY729" s="81">
        <f>tbl_Data[[#This Row],[Avoided Costs ($/unit)]]/tbl_Data[[#This Row],[kWh Savings]]*tbl_Data[[#This Row],[Sum of Annuals]]</f>
        <v>12.557648869131208</v>
      </c>
      <c r="AZ729" s="81">
        <f>tbl_Data[[#This Row],[Lost Revenue ($/unit)]]/tbl_Data[[#This Row],[kWh Savings]]*tbl_Data[[#This Row],[Sum of Annuals]]</f>
        <v>31.191048501422998</v>
      </c>
      <c r="BA729" s="81">
        <f>tbl_Data[[#This Row],[Incremental Cost ($/unit)]]/tbl_Data[[#This Row],[kWh Savings]]*tbl_Data[[#This Row],[Sum of Annuals]]</f>
        <v>11.159898906767747</v>
      </c>
      <c r="BB729" s="77">
        <f>ROUNDUP(tbl_Data[[#This Row],[Adjusted 2025]]/$L729,0)</f>
        <v>1</v>
      </c>
      <c r="BC729" s="77">
        <f>ROUNDUP(tbl_Data[[#This Row],[Adjusted 2026]]/$L729,0)</f>
        <v>1</v>
      </c>
      <c r="BD729" s="77">
        <f>ROUNDUP(tbl_Data[[#This Row],[Adjusted 2027]]/$L729,0)</f>
        <v>1</v>
      </c>
      <c r="BE729" s="77">
        <f>ROUNDUP(tbl_Data[[#This Row],[Adjusted 2028]]/$L729,0)</f>
        <v>1</v>
      </c>
      <c r="BF729" s="77">
        <f>ROUNDUP(tbl_Data[[#This Row],[Adjusted 2029]]/$L729,0)</f>
        <v>1</v>
      </c>
      <c r="BG729" s="77">
        <f>ROUNDUP(tbl_Data[[#This Row],[Adjusted 2030]]/$L729,0)</f>
        <v>1</v>
      </c>
      <c r="BH729" s="77">
        <f>ROUNDUP(tbl_Data[[#This Row],[Adjusted 2031]]/$L729,0)</f>
        <v>1</v>
      </c>
      <c r="BI729" s="77">
        <f>ROUNDUP(tbl_Data[[#This Row],[Adjusted 2032]]/$L729,0)</f>
        <v>1</v>
      </c>
      <c r="BJ729" s="77">
        <f>ROUNDUP(tbl_Data[[#This Row],[Adjusted 2033]]/$L729,0)</f>
        <v>1</v>
      </c>
      <c r="BK729" s="77">
        <f>ROUNDUP(tbl_Data[[#This Row],[Adjusted 2034]]/$L729,0)</f>
        <v>1</v>
      </c>
      <c r="BL729" s="80">
        <f t="shared" si="298"/>
        <v>0.24986813309237402</v>
      </c>
      <c r="BM729" s="80">
        <f t="shared" si="299"/>
        <v>0.28425520216523842</v>
      </c>
      <c r="BN729" s="80">
        <f t="shared" si="300"/>
        <v>0.3142197048530937</v>
      </c>
      <c r="BO729" s="80">
        <f t="shared" si="301"/>
        <v>0.34427857929501549</v>
      </c>
      <c r="BP729" s="80">
        <f t="shared" si="302"/>
        <v>0.36989861878341973</v>
      </c>
      <c r="BQ729" s="80">
        <f t="shared" si="303"/>
        <v>0.39393862474197844</v>
      </c>
      <c r="BR729" s="80">
        <f t="shared" si="304"/>
        <v>0.4166650312452872</v>
      </c>
      <c r="BS729" s="80">
        <f t="shared" si="305"/>
        <v>0.43706101837681061</v>
      </c>
      <c r="BT729" s="80">
        <f t="shared" si="306"/>
        <v>0.45727316513810068</v>
      </c>
      <c r="BU729" s="80">
        <f t="shared" si="307"/>
        <v>0.47641918630480096</v>
      </c>
      <c r="BV729" s="80">
        <f>IFERROR(VLOOKUP($H729,'1. Set Program Names'!$B$2:$D$15,3,0)*V729,"NA")</f>
        <v>7.5401028517332741E-2</v>
      </c>
      <c r="BW729" s="80">
        <f>IFERROR(VLOOKUP($H729,'1. Set Program Names'!$B$2:$D$15,3,0)*W729,"NA")</f>
        <v>8.5777783422817222E-2</v>
      </c>
      <c r="BX729" s="80">
        <f>IFERROR(VLOOKUP($H729,'1. Set Program Names'!$B$2:$D$15,3,0)*X729,"NA")</f>
        <v>9.4819970170334195E-2</v>
      </c>
      <c r="BY729" s="80">
        <f>IFERROR(VLOOKUP($H729,'1. Set Program Names'!$B$2:$D$15,3,0)*Y729,"NA")</f>
        <v>0.10389063484831605</v>
      </c>
      <c r="BZ729" s="80">
        <f>IFERROR(VLOOKUP($H729,'1. Set Program Names'!$B$2:$D$15,3,0)*Z729,"NA")</f>
        <v>0.11162182211166427</v>
      </c>
      <c r="CA729" s="80">
        <f>IFERROR(VLOOKUP($H729,'1. Set Program Names'!$B$2:$D$15,3,0)*AA729,"NA")</f>
        <v>0.11887621326753053</v>
      </c>
      <c r="CB729" s="80">
        <f>IFERROR(VLOOKUP($H729,'1. Set Program Names'!$B$2:$D$15,3,0)*AB729,"NA")</f>
        <v>0.12573420833734994</v>
      </c>
      <c r="CC729" s="80">
        <f>IFERROR(VLOOKUP($H729,'1. Set Program Names'!$B$2:$D$15,3,0)*AC729,"NA")</f>
        <v>0.13188896840343092</v>
      </c>
      <c r="CD729" s="80">
        <f>IFERROR(VLOOKUP($H729,'1. Set Program Names'!$B$2:$D$15,3,0)*AD729,"NA")</f>
        <v>0.13798825219557873</v>
      </c>
      <c r="CE729" s="80">
        <f>IFERROR(VLOOKUP($H729,'1. Set Program Names'!$B$2:$D$15,3,0)*AE729,"NA")</f>
        <v>0.14376581842668401</v>
      </c>
    </row>
    <row r="730" spans="1:83" x14ac:dyDescent="0.25">
      <c r="A730" s="79" t="s">
        <v>114</v>
      </c>
      <c r="B730" s="79" t="s">
        <v>88</v>
      </c>
      <c r="C730" s="79" t="s">
        <v>176</v>
      </c>
      <c r="D730" s="79" t="s">
        <v>90</v>
      </c>
      <c r="E730" s="79" t="s">
        <v>91</v>
      </c>
      <c r="F730" s="79" t="s">
        <v>90</v>
      </c>
      <c r="G730" s="79" t="s">
        <v>92</v>
      </c>
      <c r="H730" s="79" t="s">
        <v>18</v>
      </c>
      <c r="I730" s="79" t="s">
        <v>187</v>
      </c>
      <c r="J730" s="79" t="s">
        <v>137</v>
      </c>
      <c r="K730" s="79" t="s">
        <v>98</v>
      </c>
      <c r="L730" s="79">
        <v>16575.9941666665</v>
      </c>
      <c r="M730" s="79">
        <v>1.98609088803711</v>
      </c>
      <c r="N730" s="79">
        <v>1.91315479867159</v>
      </c>
      <c r="O730" s="79">
        <v>5440</v>
      </c>
      <c r="P730" s="79">
        <v>2106.6717861739999</v>
      </c>
      <c r="Q730" s="79">
        <v>524.60031502847596</v>
      </c>
      <c r="R730" s="79">
        <v>7087.6591263841001</v>
      </c>
      <c r="S730" s="79">
        <v>17604.872789732901</v>
      </c>
      <c r="T730" s="79">
        <v>15</v>
      </c>
      <c r="U730" s="79">
        <v>1</v>
      </c>
      <c r="V730" s="79">
        <f>tbl_Data_old[[#This Row],[2025 ]]*IFERROR(AVERAGEIFS('Participation Adjustment'!$C:$C,'Participation Adjustment'!$A:$A,$H730,'Participation Adjustment'!$B:$B,$I730),1)</f>
        <v>1.1375669923159699</v>
      </c>
      <c r="W730" s="79">
        <f>tbl_Data_old[[#This Row],[2026 ]]*IFERROR(AVERAGEIFS('Participation Adjustment'!$C:$C,'Participation Adjustment'!$A:$A,$H730,'Participation Adjustment'!$B:$B,$I730),1)</f>
        <v>1.5718698886968001</v>
      </c>
      <c r="X730" s="79">
        <f>tbl_Data_old[[#This Row],[2027 ]]*IFERROR(AVERAGEIFS('Participation Adjustment'!$C:$C,'Participation Adjustment'!$A:$A,$H730,'Participation Adjustment'!$B:$B,$I730),1)</f>
        <v>2.1040416332780798</v>
      </c>
      <c r="Y730" s="79">
        <f>tbl_Data_old[[#This Row],[2028 ]]*IFERROR(AVERAGEIFS('Participation Adjustment'!$C:$C,'Participation Adjustment'!$A:$A,$H730,'Participation Adjustment'!$B:$B,$I730),1)</f>
        <v>2.7469413681788799</v>
      </c>
      <c r="Z730" s="79">
        <f>tbl_Data_old[[#This Row],[2029 ]]*IFERROR(AVERAGEIFS('Participation Adjustment'!$C:$C,'Participation Adjustment'!$A:$A,$H730,'Participation Adjustment'!$B:$B,$I730),1)</f>
        <v>3.4305106409321402</v>
      </c>
      <c r="AA730" s="79">
        <f>tbl_Data_old[[#This Row],[2030 ]]*IFERROR(AVERAGEIFS('Participation Adjustment'!$C:$C,'Participation Adjustment'!$A:$A,$H730,'Participation Adjustment'!$B:$B,$I730),1)</f>
        <v>4.0746399593926803</v>
      </c>
      <c r="AB730" s="79">
        <f>tbl_Data_old[[#This Row],[2031 ]]*IFERROR(AVERAGEIFS('Participation Adjustment'!$C:$C,'Participation Adjustment'!$A:$A,$H730,'Participation Adjustment'!$B:$B,$I730),1)</f>
        <v>4.5455393954668297</v>
      </c>
      <c r="AC730" s="79">
        <f>tbl_Data_old[[#This Row],[2032 ]]*IFERROR(AVERAGEIFS('Participation Adjustment'!$C:$C,'Participation Adjustment'!$A:$A,$H730,'Participation Adjustment'!$B:$B,$I730),1)</f>
        <v>4.69363692132415</v>
      </c>
      <c r="AD730" s="79">
        <f>tbl_Data_old[[#This Row],[2033 ]]*IFERROR(AVERAGEIFS('Participation Adjustment'!$C:$C,'Participation Adjustment'!$A:$A,$H730,'Participation Adjustment'!$B:$B,$I730),1)</f>
        <v>4.4531041191297502</v>
      </c>
      <c r="AE730" s="79">
        <f>tbl_Data_old[[#This Row],[2034 ]]*IFERROR(AVERAGEIFS('Participation Adjustment'!$C:$C,'Participation Adjustment'!$A:$A,$H730,'Participation Adjustment'!$B:$B,$I730),1)</f>
        <v>3.86316038225893</v>
      </c>
      <c r="AF730" s="77" t="str">
        <f t="shared" si="297"/>
        <v>NonResidential</v>
      </c>
      <c r="AG730" s="77" t="str">
        <f>tbl_Data[[#This Row],[All_Meas_Name_Append]]</f>
        <v>High Efficiency Air Compressor</v>
      </c>
      <c r="AH730" s="77">
        <f>AVERAGEIFS('3. Incentive Adjustment'!G:G,'3. Incentive Adjustment'!A:A,tbl_Data[[#This Row],[Trimmed Sector]],'3. Incentive Adjustment'!B:B,tbl_Data[[#This Row],[Trimmed Measure Name]])</f>
        <v>0.94309259342294038</v>
      </c>
      <c r="AI730" s="77">
        <f>$AH730*tbl_Data[[#This Row],[2025 ]]</f>
        <v>1.0728310049756022</v>
      </c>
      <c r="AJ730" s="77">
        <f>$AH730*tbl_Data[[#This Row],[2026 ]]</f>
        <v>1.4824188498544939</v>
      </c>
      <c r="AK730" s="77">
        <f>$AH730*tbl_Data[[#This Row],[2027 ]]</f>
        <v>1.9843060805980635</v>
      </c>
      <c r="AL730" s="77">
        <f>$AH730*tbl_Data[[#This Row],[2028 ]]</f>
        <v>2.59062005889658</v>
      </c>
      <c r="AM730" s="77">
        <f>$AH730*tbl_Data[[#This Row],[2029 ]]</f>
        <v>3.2352891771216856</v>
      </c>
      <c r="AN730" s="77">
        <f>$AH730*tbl_Data[[#This Row],[2030 ]]</f>
        <v>3.8427627665683874</v>
      </c>
      <c r="AO730" s="77">
        <f>$AH730*tbl_Data[[#This Row],[2031 ]]</f>
        <v>4.2868645369769567</v>
      </c>
      <c r="AP730" s="77">
        <f>$AH730*tbl_Data[[#This Row],[2032 ]]</f>
        <v>4.4265342167172586</v>
      </c>
      <c r="AQ730" s="77">
        <f>$AH730*tbl_Data[[#This Row],[2033 ]]</f>
        <v>4.1996895124924549</v>
      </c>
      <c r="AR730" s="77">
        <f>$AH730*tbl_Data[[#This Row],[2034 ]]</f>
        <v>3.6433179437133321</v>
      </c>
      <c r="AS730" s="77">
        <f>SUM(tbl_Data[[#This Row],[Adjusted 2025]:[Adjusted 2034]])</f>
        <v>30.764634147914816</v>
      </c>
      <c r="AT730" s="80">
        <f>AVERAGEIFS('3. Incentive Adjustment'!F:F,'3. Incentive Adjustment'!A:A,tbl_Data[[#This Row],[Trimmed Sector]],'3. Incentive Adjustment'!B:B,tbl_Data[[#This Row],[Trimmed Measure Name]])</f>
        <v>1738.5866300231887</v>
      </c>
      <c r="AU730" s="80">
        <f>IFERROR(VLOOKUP(tbl_Data[[#This Row],[All_Meas_Name_Append]],'IRA Tax Credits'!$A$3:$D$46,4,0),0)</f>
        <v>0</v>
      </c>
      <c r="AV730" s="81">
        <f>tbl_Data[[#This Row],[Adj. per unit Incentive ($)]]/tbl_Data[[#This Row],[kWh Savings]]*tbl_Data[[#This Row],[Sum of Annuals]]</f>
        <v>3.2267736745877476</v>
      </c>
      <c r="AW730" s="81">
        <f>IFERROR(VLOOKUP(tbl_Data[[#This Row],[Column1]],'1. Set Program Names'!$B$2:$D$15,3,0)*tbl_Data[[#This Row],[Sum of Annuals]],"")</f>
        <v>0.97364517647978244</v>
      </c>
      <c r="AX730" s="81">
        <f>tbl_Data[[#This Row],[per unit IRA tax ($)]]/tbl_Data[[#This Row],[kWh Savings]]*tbl_Data[[#This Row],[Sum of Annuals]]</f>
        <v>0</v>
      </c>
      <c r="AY730" s="81">
        <f>tbl_Data[[#This Row],[Avoided Costs ($/unit)]]/tbl_Data[[#This Row],[kWh Savings]]*tbl_Data[[#This Row],[Sum of Annuals]]</f>
        <v>13.154519589951507</v>
      </c>
      <c r="AZ730" s="81">
        <f>tbl_Data[[#This Row],[Lost Revenue ($/unit)]]/tbl_Data[[#This Row],[kWh Savings]]*tbl_Data[[#This Row],[Sum of Annuals]]</f>
        <v>32.674207359813082</v>
      </c>
      <c r="BA730" s="81">
        <f>tbl_Data[[#This Row],[Incremental Cost ($/unit)]]/tbl_Data[[#This Row],[kWh Savings]]*tbl_Data[[#This Row],[Sum of Annuals]]</f>
        <v>10.096505107440763</v>
      </c>
      <c r="BB730" s="77">
        <f>ROUNDUP(tbl_Data[[#This Row],[Adjusted 2025]]/$L730,0)</f>
        <v>1</v>
      </c>
      <c r="BC730" s="77">
        <f>ROUNDUP(tbl_Data[[#This Row],[Adjusted 2026]]/$L730,0)</f>
        <v>1</v>
      </c>
      <c r="BD730" s="77">
        <f>ROUNDUP(tbl_Data[[#This Row],[Adjusted 2027]]/$L730,0)</f>
        <v>1</v>
      </c>
      <c r="BE730" s="77">
        <f>ROUNDUP(tbl_Data[[#This Row],[Adjusted 2028]]/$L730,0)</f>
        <v>1</v>
      </c>
      <c r="BF730" s="77">
        <f>ROUNDUP(tbl_Data[[#This Row],[Adjusted 2029]]/$L730,0)</f>
        <v>1</v>
      </c>
      <c r="BG730" s="77">
        <f>ROUNDUP(tbl_Data[[#This Row],[Adjusted 2030]]/$L730,0)</f>
        <v>1</v>
      </c>
      <c r="BH730" s="77">
        <f>ROUNDUP(tbl_Data[[#This Row],[Adjusted 2031]]/$L730,0)</f>
        <v>1</v>
      </c>
      <c r="BI730" s="77">
        <f>ROUNDUP(tbl_Data[[#This Row],[Adjusted 2032]]/$L730,0)</f>
        <v>1</v>
      </c>
      <c r="BJ730" s="77">
        <f>ROUNDUP(tbl_Data[[#This Row],[Adjusted 2033]]/$L730,0)</f>
        <v>1</v>
      </c>
      <c r="BK730" s="77">
        <f>ROUNDUP(tbl_Data[[#This Row],[Adjusted 2034]]/$L730,0)</f>
        <v>1</v>
      </c>
      <c r="BL730" s="80">
        <f t="shared" si="298"/>
        <v>0.11931463921321904</v>
      </c>
      <c r="BM730" s="80">
        <f t="shared" si="299"/>
        <v>0.16486685173429197</v>
      </c>
      <c r="BN730" s="80">
        <f t="shared" si="300"/>
        <v>0.2206841179991241</v>
      </c>
      <c r="BO730" s="80">
        <f t="shared" si="301"/>
        <v>0.28811517958767707</v>
      </c>
      <c r="BP730" s="80">
        <f t="shared" si="302"/>
        <v>0.35981189873188352</v>
      </c>
      <c r="BQ730" s="80">
        <f t="shared" si="303"/>
        <v>0.42737192619216435</v>
      </c>
      <c r="BR730" s="80">
        <f t="shared" si="304"/>
        <v>0.4767625965442534</v>
      </c>
      <c r="BS730" s="80">
        <f t="shared" si="305"/>
        <v>0.49229592599684396</v>
      </c>
      <c r="BT730" s="80">
        <f t="shared" si="306"/>
        <v>0.46706744740470324</v>
      </c>
      <c r="BU730" s="80">
        <f t="shared" si="307"/>
        <v>0.40519071874054297</v>
      </c>
      <c r="BV730" s="80">
        <f>IFERROR(VLOOKUP($H730,'1. Set Program Names'!$B$2:$D$15,3,0)*V730,"NA")</f>
        <v>3.600194332446266E-2</v>
      </c>
      <c r="BW730" s="80">
        <f>IFERROR(VLOOKUP($H730,'1. Set Program Names'!$B$2:$D$15,3,0)*W730,"NA")</f>
        <v>4.9746846584463066E-2</v>
      </c>
      <c r="BX730" s="80">
        <f>IFERROR(VLOOKUP($H730,'1. Set Program Names'!$B$2:$D$15,3,0)*X730,"NA")</f>
        <v>6.6589122350824259E-2</v>
      </c>
      <c r="BY730" s="80">
        <f>IFERROR(VLOOKUP($H730,'1. Set Program Names'!$B$2:$D$15,3,0)*Y730,"NA")</f>
        <v>8.6935739275853463E-2</v>
      </c>
      <c r="BZ730" s="80">
        <f>IFERROR(VLOOKUP($H730,'1. Set Program Names'!$B$2:$D$15,3,0)*Z730,"NA")</f>
        <v>0.10856947371280645</v>
      </c>
      <c r="CA730" s="80">
        <f>IFERROR(VLOOKUP($H730,'1. Set Program Names'!$B$2:$D$15,3,0)*AA730,"NA")</f>
        <v>0.12895500473953644</v>
      </c>
      <c r="CB730" s="80">
        <f>IFERROR(VLOOKUP($H730,'1. Set Program Names'!$B$2:$D$15,3,0)*AB730,"NA")</f>
        <v>0.14385812246673754</v>
      </c>
      <c r="CC730" s="80">
        <f>IFERROR(VLOOKUP($H730,'1. Set Program Names'!$B$2:$D$15,3,0)*AC730,"NA")</f>
        <v>0.14854514201672764</v>
      </c>
      <c r="CD730" s="80">
        <f>IFERROR(VLOOKUP($H730,'1. Set Program Names'!$B$2:$D$15,3,0)*AD730,"NA")</f>
        <v>0.1409327127085892</v>
      </c>
      <c r="CE730" s="80">
        <f>IFERROR(VLOOKUP($H730,'1. Set Program Names'!$B$2:$D$15,3,0)*AE730,"NA")</f>
        <v>0.12226205759736423</v>
      </c>
    </row>
    <row r="731" spans="1:83" x14ac:dyDescent="0.25">
      <c r="A731" s="79" t="s">
        <v>114</v>
      </c>
      <c r="B731" s="79" t="s">
        <v>88</v>
      </c>
      <c r="C731" s="79" t="s">
        <v>176</v>
      </c>
      <c r="D731" s="79" t="s">
        <v>90</v>
      </c>
      <c r="E731" s="79" t="s">
        <v>91</v>
      </c>
      <c r="F731" s="79" t="s">
        <v>90</v>
      </c>
      <c r="G731" s="79" t="s">
        <v>92</v>
      </c>
      <c r="H731" s="79" t="s">
        <v>18</v>
      </c>
      <c r="I731" s="79" t="s">
        <v>157</v>
      </c>
      <c r="J731" s="79" t="s">
        <v>158</v>
      </c>
      <c r="K731" s="79" t="s">
        <v>159</v>
      </c>
      <c r="L731" s="79">
        <v>562.52</v>
      </c>
      <c r="M731" s="79">
        <v>6.7473359330379998E-2</v>
      </c>
      <c r="N731" s="79">
        <v>6.4973258375617293E-2</v>
      </c>
      <c r="O731" s="79">
        <v>169</v>
      </c>
      <c r="P731" s="79">
        <v>55.847956108163899</v>
      </c>
      <c r="Q731" s="79">
        <v>17.802743307140101</v>
      </c>
      <c r="R731" s="79">
        <v>240.47921618074301</v>
      </c>
      <c r="S731" s="79">
        <v>597.43584258705596</v>
      </c>
      <c r="T731" s="79">
        <v>15</v>
      </c>
      <c r="U731" s="79">
        <v>0.2</v>
      </c>
      <c r="V731" s="79">
        <f>tbl_Data_old[[#This Row],[2025 ]]*IFERROR(AVERAGEIFS('Participation Adjustment'!$C:$C,'Participation Adjustment'!$A:$A,$H731,'Participation Adjustment'!$B:$B,$I731),1)</f>
        <v>0.36477452352157852</v>
      </c>
      <c r="W731" s="79">
        <f>tbl_Data_old[[#This Row],[2026 ]]*IFERROR(AVERAGEIFS('Participation Adjustment'!$C:$C,'Participation Adjustment'!$A:$A,$H731,'Participation Adjustment'!$B:$B,$I731),1)</f>
        <v>0.41499201685376802</v>
      </c>
      <c r="X731" s="79">
        <f>tbl_Data_old[[#This Row],[2027 ]]*IFERROR(AVERAGEIFS('Participation Adjustment'!$C:$C,'Participation Adjustment'!$A:$A,$H731,'Participation Adjustment'!$B:$B,$I731),1)</f>
        <v>0.45875301949969499</v>
      </c>
      <c r="Y731" s="79">
        <f>tbl_Data_old[[#This Row],[2028 ]]*IFERROR(AVERAGEIFS('Participation Adjustment'!$C:$C,'Participation Adjustment'!$A:$A,$H731,'Participation Adjustment'!$B:$B,$I731),1)</f>
        <v>0.50267723599050496</v>
      </c>
      <c r="Z731" s="79">
        <f>tbl_Data_old[[#This Row],[2029 ]]*IFERROR(AVERAGEIFS('Participation Adjustment'!$C:$C,'Participation Adjustment'!$A:$A,$H731,'Participation Adjustment'!$B:$B,$I731),1)</f>
        <v>0.54008983877063499</v>
      </c>
      <c r="AA731" s="79">
        <f>tbl_Data_old[[#This Row],[2030 ]]*IFERROR(AVERAGEIFS('Participation Adjustment'!$C:$C,'Participation Adjustment'!$A:$A,$H731,'Participation Adjustment'!$B:$B,$I731),1)</f>
        <v>0.57520844679776006</v>
      </c>
      <c r="AB731" s="79">
        <f>tbl_Data_old[[#This Row],[2031 ]]*IFERROR(AVERAGEIFS('Participation Adjustment'!$C:$C,'Participation Adjustment'!$A:$A,$H731,'Participation Adjustment'!$B:$B,$I731),1)</f>
        <v>0.60841723895046007</v>
      </c>
      <c r="AC731" s="79">
        <f>tbl_Data_old[[#This Row],[2032 ]]*IFERROR(AVERAGEIFS('Participation Adjustment'!$C:$C,'Participation Adjustment'!$A:$A,$H731,'Participation Adjustment'!$B:$B,$I731),1)</f>
        <v>0.63820550769551498</v>
      </c>
      <c r="AD731" s="79">
        <f>tbl_Data_old[[#This Row],[2033 ]]*IFERROR(AVERAGEIFS('Participation Adjustment'!$C:$C,'Participation Adjustment'!$A:$A,$H731,'Participation Adjustment'!$B:$B,$I731),1)</f>
        <v>0.66774276451595005</v>
      </c>
      <c r="AE731" s="79">
        <f>tbl_Data_old[[#This Row],[2034 ]]*IFERROR(AVERAGEIFS('Participation Adjustment'!$C:$C,'Participation Adjustment'!$A:$A,$H731,'Participation Adjustment'!$B:$B,$I731),1)</f>
        <v>0.695721783630455</v>
      </c>
      <c r="AF731" s="77" t="str">
        <f t="shared" si="297"/>
        <v>NonResidential</v>
      </c>
      <c r="AG731" s="77" t="str">
        <f>tbl_Data[[#This Row],[All_Meas_Name_Append]]</f>
        <v>LED Exterior Wall Packs</v>
      </c>
      <c r="AH731" s="77">
        <f>AVERAGEIFS('3. Incentive Adjustment'!G:G,'3. Incentive Adjustment'!A:A,tbl_Data[[#This Row],[Trimmed Sector]],'3. Incentive Adjustment'!B:B,tbl_Data[[#This Row],[Trimmed Measure Name]])</f>
        <v>0.80637708305213962</v>
      </c>
      <c r="AI731" s="77">
        <f>$AH731*tbl_Data[[#This Row],[2025 ]]</f>
        <v>0.29414581624906461</v>
      </c>
      <c r="AJ731" s="77">
        <f>$AH731*tbl_Data[[#This Row],[2026 ]]</f>
        <v>0.33464005204046582</v>
      </c>
      <c r="AK731" s="77">
        <f>$AH731*tbl_Data[[#This Row],[2027 ]]</f>
        <v>0.36992792170552535</v>
      </c>
      <c r="AL731" s="77">
        <f>$AH731*tbl_Data[[#This Row],[2028 ]]</f>
        <v>0.4053474032747354</v>
      </c>
      <c r="AM731" s="77">
        <f>$AH731*tbl_Data[[#This Row],[2029 ]]</f>
        <v>0.43551606877396504</v>
      </c>
      <c r="AN731" s="77">
        <f>$AH731*tbl_Data[[#This Row],[2030 ]]</f>
        <v>0.46383490947572958</v>
      </c>
      <c r="AO731" s="77">
        <f>$AH731*tbl_Data[[#This Row],[2031 ]]</f>
        <v>0.49061371842350859</v>
      </c>
      <c r="AP731" s="77">
        <f>$AH731*tbl_Data[[#This Row],[2032 ]]</f>
        <v>0.5146342956833192</v>
      </c>
      <c r="AQ731" s="77">
        <f>$AH731*tbl_Data[[#This Row],[2033 ]]</f>
        <v>0.53845246267954361</v>
      </c>
      <c r="AR731" s="77">
        <f>$AH731*tbl_Data[[#This Row],[2034 ]]</f>
        <v>0.56101410249975814</v>
      </c>
      <c r="AS731" s="77">
        <f>SUM(tbl_Data[[#This Row],[Adjusted 2025]:[Adjusted 2034]])</f>
        <v>4.4081267508056152</v>
      </c>
      <c r="AT731" s="80">
        <f>AVERAGEIFS('3. Incentive Adjustment'!F:F,'3. Incentive Adjustment'!A:A,tbl_Data[[#This Row],[Trimmed Sector]],'3. Incentive Adjustment'!B:B,tbl_Data[[#This Row],[Trimmed Measure Name]])</f>
        <v>8.6864493556481861</v>
      </c>
      <c r="AU731" s="80">
        <f>IFERROR(VLOOKUP(tbl_Data[[#This Row],[All_Meas_Name_Append]],'IRA Tax Credits'!$A$3:$D$46,4,0),0)</f>
        <v>0</v>
      </c>
      <c r="AV731" s="81">
        <f>tbl_Data[[#This Row],[Adj. per unit Incentive ($)]]/tbl_Data[[#This Row],[kWh Savings]]*tbl_Data[[#This Row],[Sum of Annuals]]</f>
        <v>6.8070414872628465E-2</v>
      </c>
      <c r="AW731" s="81">
        <f>IFERROR(VLOOKUP(tbl_Data[[#This Row],[Column1]],'1. Set Program Names'!$B$2:$D$15,3,0)*tbl_Data[[#This Row],[Sum of Annuals]],"")</f>
        <v>0.1395092601328492</v>
      </c>
      <c r="AX731" s="81">
        <f>tbl_Data[[#This Row],[per unit IRA tax ($)]]/tbl_Data[[#This Row],[kWh Savings]]*tbl_Data[[#This Row],[Sum of Annuals]]</f>
        <v>0</v>
      </c>
      <c r="AY731" s="81">
        <f>tbl_Data[[#This Row],[Avoided Costs ($/unit)]]/tbl_Data[[#This Row],[kWh Savings]]*tbl_Data[[#This Row],[Sum of Annuals]]</f>
        <v>1.8844892019112207</v>
      </c>
      <c r="AZ731" s="81">
        <f>tbl_Data[[#This Row],[Lost Revenue ($/unit)]]/tbl_Data[[#This Row],[kWh Savings]]*tbl_Data[[#This Row],[Sum of Annuals]]</f>
        <v>4.681740950718364</v>
      </c>
      <c r="BA731" s="81">
        <f>tbl_Data[[#This Row],[Incremental Cost ($/unit)]]/tbl_Data[[#This Row],[kWh Savings]]*tbl_Data[[#This Row],[Sum of Annuals]]</f>
        <v>1.324350104682765</v>
      </c>
      <c r="BB731" s="77">
        <f>ROUNDUP(tbl_Data[[#This Row],[Adjusted 2025]]/$L731,0)</f>
        <v>1</v>
      </c>
      <c r="BC731" s="77">
        <f>ROUNDUP(tbl_Data[[#This Row],[Adjusted 2026]]/$L731,0)</f>
        <v>1</v>
      </c>
      <c r="BD731" s="77">
        <f>ROUNDUP(tbl_Data[[#This Row],[Adjusted 2027]]/$L731,0)</f>
        <v>1</v>
      </c>
      <c r="BE731" s="77">
        <f>ROUNDUP(tbl_Data[[#This Row],[Adjusted 2028]]/$L731,0)</f>
        <v>1</v>
      </c>
      <c r="BF731" s="77">
        <f>ROUNDUP(tbl_Data[[#This Row],[Adjusted 2029]]/$L731,0)</f>
        <v>1</v>
      </c>
      <c r="BG731" s="77">
        <f>ROUNDUP(tbl_Data[[#This Row],[Adjusted 2030]]/$L731,0)</f>
        <v>1</v>
      </c>
      <c r="BH731" s="77">
        <f>ROUNDUP(tbl_Data[[#This Row],[Adjusted 2031]]/$L731,0)</f>
        <v>1</v>
      </c>
      <c r="BI731" s="77">
        <f>ROUNDUP(tbl_Data[[#This Row],[Adjusted 2032]]/$L731,0)</f>
        <v>1</v>
      </c>
      <c r="BJ731" s="77">
        <f>ROUNDUP(tbl_Data[[#This Row],[Adjusted 2033]]/$L731,0)</f>
        <v>1</v>
      </c>
      <c r="BK731" s="77">
        <f>ROUNDUP(tbl_Data[[#This Row],[Adjusted 2034]]/$L731,0)</f>
        <v>1</v>
      </c>
      <c r="BL731" s="80">
        <f t="shared" si="298"/>
        <v>5.632858253574788E-3</v>
      </c>
      <c r="BM731" s="80">
        <f t="shared" si="299"/>
        <v>6.4083181707291371E-3</v>
      </c>
      <c r="BN731" s="80">
        <f t="shared" si="300"/>
        <v>7.084076780620752E-3</v>
      </c>
      <c r="BO731" s="80">
        <f t="shared" si="301"/>
        <v>7.7623557432068774E-3</v>
      </c>
      <c r="BP731" s="80">
        <f t="shared" si="302"/>
        <v>8.340082187266791E-3</v>
      </c>
      <c r="BQ731" s="80">
        <f t="shared" si="303"/>
        <v>8.8823847010769345E-3</v>
      </c>
      <c r="BR731" s="80">
        <f t="shared" si="304"/>
        <v>9.3951957854769112E-3</v>
      </c>
      <c r="BS731" s="80">
        <f t="shared" si="305"/>
        <v>9.8551870530698103E-3</v>
      </c>
      <c r="BT731" s="80">
        <f t="shared" si="306"/>
        <v>1.0311302187599219E-2</v>
      </c>
      <c r="BU731" s="80">
        <f t="shared" si="307"/>
        <v>1.074335497249373E-2</v>
      </c>
      <c r="BV731" s="80">
        <f>IFERROR(VLOOKUP($H731,'1. Set Program Names'!$B$2:$D$15,3,0)*V731,"NA")</f>
        <v>1.1544455676667561E-2</v>
      </c>
      <c r="BW731" s="80">
        <f>IFERROR(VLOOKUP($H731,'1. Set Program Names'!$B$2:$D$15,3,0)*W731,"NA")</f>
        <v>1.3133748756595374E-2</v>
      </c>
      <c r="BX731" s="80">
        <f>IFERROR(VLOOKUP($H731,'1. Set Program Names'!$B$2:$D$15,3,0)*X731,"NA")</f>
        <v>1.4518705552742215E-2</v>
      </c>
      <c r="BY731" s="80">
        <f>IFERROR(VLOOKUP($H731,'1. Set Program Names'!$B$2:$D$15,3,0)*Y731,"NA")</f>
        <v>1.5908827772668874E-2</v>
      </c>
      <c r="BZ731" s="80">
        <f>IFERROR(VLOOKUP($H731,'1. Set Program Names'!$B$2:$D$15,3,0)*Z731,"NA")</f>
        <v>1.709286916452455E-2</v>
      </c>
      <c r="CA731" s="80">
        <f>IFERROR(VLOOKUP($H731,'1. Set Program Names'!$B$2:$D$15,3,0)*AA731,"NA")</f>
        <v>1.8204309760433995E-2</v>
      </c>
      <c r="CB731" s="80">
        <f>IFERROR(VLOOKUP($H731,'1. Set Program Names'!$B$2:$D$15,3,0)*AB731,"NA")</f>
        <v>1.9255308128909229E-2</v>
      </c>
      <c r="CC731" s="80">
        <f>IFERROR(VLOOKUP($H731,'1. Set Program Names'!$B$2:$D$15,3,0)*AC731,"NA")</f>
        <v>2.0198053101589883E-2</v>
      </c>
      <c r="CD731" s="80">
        <f>IFERROR(VLOOKUP($H731,'1. Set Program Names'!$B$2:$D$15,3,0)*AD731,"NA")</f>
        <v>2.1132853999640228E-2</v>
      </c>
      <c r="CE731" s="80">
        <f>IFERROR(VLOOKUP($H731,'1. Set Program Names'!$B$2:$D$15,3,0)*AE731,"NA")</f>
        <v>2.2018339485100482E-2</v>
      </c>
    </row>
    <row r="732" spans="1:83" x14ac:dyDescent="0.25">
      <c r="A732" s="79" t="s">
        <v>114</v>
      </c>
      <c r="B732" s="79" t="s">
        <v>88</v>
      </c>
      <c r="C732" s="79" t="s">
        <v>176</v>
      </c>
      <c r="D732" s="79" t="s">
        <v>90</v>
      </c>
      <c r="E732" s="79" t="s">
        <v>91</v>
      </c>
      <c r="F732" s="79" t="s">
        <v>90</v>
      </c>
      <c r="G732" s="79" t="s">
        <v>92</v>
      </c>
      <c r="H732" s="79" t="s">
        <v>18</v>
      </c>
      <c r="I732" s="79" t="s">
        <v>162</v>
      </c>
      <c r="J732" s="79" t="s">
        <v>161</v>
      </c>
      <c r="K732" s="79" t="s">
        <v>159</v>
      </c>
      <c r="L732" s="79">
        <v>725.58416666666596</v>
      </c>
      <c r="M732" s="79">
        <v>8.6917804178563804E-2</v>
      </c>
      <c r="N732" s="79">
        <v>8.3795205289933394E-2</v>
      </c>
      <c r="O732" s="79">
        <v>179</v>
      </c>
      <c r="P732" s="79">
        <v>33.0790753554421</v>
      </c>
      <c r="Q732" s="79">
        <v>22.963430041406301</v>
      </c>
      <c r="R732" s="79">
        <v>310.45187974046598</v>
      </c>
      <c r="S732" s="79">
        <v>770.62146764617603</v>
      </c>
      <c r="T732" s="79">
        <v>15</v>
      </c>
      <c r="U732" s="79">
        <v>0.2</v>
      </c>
      <c r="V732" s="79">
        <f>tbl_Data_old[[#This Row],[2025 ]]*IFERROR(AVERAGEIFS('Participation Adjustment'!$C:$C,'Participation Adjustment'!$A:$A,$H732,'Participation Adjustment'!$B:$B,$I732),1)</f>
        <v>3.7363118456680899</v>
      </c>
      <c r="W732" s="79">
        <f>tbl_Data_old[[#This Row],[2026 ]]*IFERROR(AVERAGEIFS('Participation Adjustment'!$C:$C,'Participation Adjustment'!$A:$A,$H732,'Participation Adjustment'!$B:$B,$I732),1)</f>
        <v>4.2506794977327997</v>
      </c>
      <c r="X732" s="79">
        <f>tbl_Data_old[[#This Row],[2027 ]]*IFERROR(AVERAGEIFS('Participation Adjustment'!$C:$C,'Participation Adjustment'!$A:$A,$H732,'Participation Adjustment'!$B:$B,$I732),1)</f>
        <v>4.6989146183925303</v>
      </c>
      <c r="Y732" s="79">
        <f>tbl_Data_old[[#This Row],[2028 ]]*IFERROR(AVERAGEIFS('Participation Adjustment'!$C:$C,'Participation Adjustment'!$A:$A,$H732,'Participation Adjustment'!$B:$B,$I732),1)</f>
        <v>5.1488215055345501</v>
      </c>
      <c r="Z732" s="79">
        <f>tbl_Data_old[[#This Row],[2029 ]]*IFERROR(AVERAGEIFS('Participation Adjustment'!$C:$C,'Participation Adjustment'!$A:$A,$H732,'Participation Adjustment'!$B:$B,$I732),1)</f>
        <v>5.5320312472543698</v>
      </c>
      <c r="AA732" s="79">
        <f>tbl_Data_old[[#This Row],[2030 ]]*IFERROR(AVERAGEIFS('Participation Adjustment'!$C:$C,'Participation Adjustment'!$A:$A,$H732,'Participation Adjustment'!$B:$B,$I732),1)</f>
        <v>5.8917440635672405</v>
      </c>
      <c r="AB732" s="79">
        <f>tbl_Data_old[[#This Row],[2031 ]]*IFERROR(AVERAGEIFS('Participation Adjustment'!$C:$C,'Participation Adjustment'!$A:$A,$H732,'Participation Adjustment'!$B:$B,$I732),1)</f>
        <v>6.2318950212125204</v>
      </c>
      <c r="AC732" s="79">
        <f>tbl_Data_old[[#This Row],[2032 ]]*IFERROR(AVERAGEIFS('Participation Adjustment'!$C:$C,'Participation Adjustment'!$A:$A,$H732,'Participation Adjustment'!$B:$B,$I732),1)</f>
        <v>6.5370102477354592</v>
      </c>
      <c r="AD732" s="79">
        <f>tbl_Data_old[[#This Row],[2033 ]]*IFERROR(AVERAGEIFS('Participation Adjustment'!$C:$C,'Participation Adjustment'!$A:$A,$H732,'Participation Adjustment'!$B:$B,$I732),1)</f>
        <v>6.8395544097599803</v>
      </c>
      <c r="AE732" s="79">
        <f>tbl_Data_old[[#This Row],[2034 ]]*IFERROR(AVERAGEIFS('Participation Adjustment'!$C:$C,'Participation Adjustment'!$A:$A,$H732,'Participation Adjustment'!$B:$B,$I732),1)</f>
        <v>7.1261378573606207</v>
      </c>
      <c r="AF732" s="77" t="str">
        <f t="shared" si="297"/>
        <v>NonResidential</v>
      </c>
      <c r="AG732" s="77" t="str">
        <f>tbl_Data[[#This Row],[All_Meas_Name_Append]]</f>
        <v>LED High Bay_LF Baseline</v>
      </c>
      <c r="AH732" s="77">
        <f>AVERAGEIFS('3. Incentive Adjustment'!G:G,'3. Incentive Adjustment'!A:A,tbl_Data[[#This Row],[Trimmed Sector]],'3. Incentive Adjustment'!B:B,tbl_Data[[#This Row],[Trimmed Measure Name]])</f>
        <v>0.93017466414143679</v>
      </c>
      <c r="AI732" s="77">
        <f>$AH732*tbl_Data[[#This Row],[2025 ]]</f>
        <v>3.4754226161719872</v>
      </c>
      <c r="AJ732" s="77">
        <f>$AH732*tbl_Data[[#This Row],[2026 ]]</f>
        <v>3.9538743741764981</v>
      </c>
      <c r="AK732" s="77">
        <f>$AH732*tbl_Data[[#This Row],[2027 ]]</f>
        <v>4.3708113269925599</v>
      </c>
      <c r="AL732" s="77">
        <f>$AH732*tbl_Data[[#This Row],[2028 ]]</f>
        <v>4.7893033146348074</v>
      </c>
      <c r="AM732" s="77">
        <f>$AH732*tbl_Data[[#This Row],[2029 ]]</f>
        <v>5.1457553074347668</v>
      </c>
      <c r="AN732" s="77">
        <f>$AH732*tbl_Data[[#This Row],[2030 ]]</f>
        <v>5.4803510555359622</v>
      </c>
      <c r="AO732" s="77">
        <f>$AH732*tbl_Data[[#This Row],[2031 ]]</f>
        <v>5.7967508583210483</v>
      </c>
      <c r="AP732" s="77">
        <f>$AH732*tbl_Data[[#This Row],[2032 ]]</f>
        <v>6.080561311676461</v>
      </c>
      <c r="AQ732" s="77">
        <f>$AH732*tbl_Data[[#This Row],[2033 ]]</f>
        <v>6.3619802259755724</v>
      </c>
      <c r="AR732" s="77">
        <f>$AH732*tbl_Data[[#This Row],[2034 ]]</f>
        <v>6.6285528880959932</v>
      </c>
      <c r="AS732" s="77">
        <f>SUM(tbl_Data[[#This Row],[Adjusted 2025]:[Adjusted 2034]])</f>
        <v>52.083363279015657</v>
      </c>
      <c r="AT732" s="80">
        <f>AVERAGEIFS('3. Incentive Adjustment'!F:F,'3. Incentive Adjustment'!A:A,tbl_Data[[#This Row],[Trimmed Sector]],'3. Incentive Adjustment'!B:B,tbl_Data[[#This Row],[Trimmed Measure Name]])</f>
        <v>23.858858929800434</v>
      </c>
      <c r="AU732" s="80">
        <f>IFERROR(VLOOKUP(tbl_Data[[#This Row],[All_Meas_Name_Append]],'IRA Tax Credits'!$A$3:$D$46,4,0),0)</f>
        <v>0</v>
      </c>
      <c r="AV732" s="81">
        <f>tbl_Data[[#This Row],[Adj. per unit Incentive ($)]]/tbl_Data[[#This Row],[kWh Savings]]*tbl_Data[[#This Row],[Sum of Annuals]]</f>
        <v>1.7126195335440071</v>
      </c>
      <c r="AW732" s="81">
        <f>IFERROR(VLOOKUP(tbl_Data[[#This Row],[Column1]],'1. Set Program Names'!$B$2:$D$15,3,0)*tbl_Data[[#This Row],[Sum of Annuals]],"")</f>
        <v>1.648344498024688</v>
      </c>
      <c r="AX732" s="81">
        <f>tbl_Data[[#This Row],[per unit IRA tax ($)]]/tbl_Data[[#This Row],[kWh Savings]]*tbl_Data[[#This Row],[Sum of Annuals]]</f>
        <v>0</v>
      </c>
      <c r="AY732" s="81">
        <f>tbl_Data[[#This Row],[Avoided Costs ($/unit)]]/tbl_Data[[#This Row],[kWh Savings]]*tbl_Data[[#This Row],[Sum of Annuals]]</f>
        <v>22.284634610286634</v>
      </c>
      <c r="AZ732" s="81">
        <f>tbl_Data[[#This Row],[Lost Revenue ($/unit)]]/tbl_Data[[#This Row],[kWh Savings]]*tbl_Data[[#This Row],[Sum of Annuals]]</f>
        <v>55.31619858025757</v>
      </c>
      <c r="BA732" s="81">
        <f>tbl_Data[[#This Row],[Incremental Cost ($/unit)]]/tbl_Data[[#This Row],[kWh Savings]]*tbl_Data[[#This Row],[Sum of Annuals]]</f>
        <v>12.848849871922248</v>
      </c>
      <c r="BB732" s="77">
        <f>ROUNDUP(tbl_Data[[#This Row],[Adjusted 2025]]/$L732,0)</f>
        <v>1</v>
      </c>
      <c r="BC732" s="77">
        <f>ROUNDUP(tbl_Data[[#This Row],[Adjusted 2026]]/$L732,0)</f>
        <v>1</v>
      </c>
      <c r="BD732" s="77">
        <f>ROUNDUP(tbl_Data[[#This Row],[Adjusted 2027]]/$L732,0)</f>
        <v>1</v>
      </c>
      <c r="BE732" s="77">
        <f>ROUNDUP(tbl_Data[[#This Row],[Adjusted 2028]]/$L732,0)</f>
        <v>1</v>
      </c>
      <c r="BF732" s="77">
        <f>ROUNDUP(tbl_Data[[#This Row],[Adjusted 2029]]/$L732,0)</f>
        <v>1</v>
      </c>
      <c r="BG732" s="77">
        <f>ROUNDUP(tbl_Data[[#This Row],[Adjusted 2030]]/$L732,0)</f>
        <v>1</v>
      </c>
      <c r="BH732" s="77">
        <f>ROUNDUP(tbl_Data[[#This Row],[Adjusted 2031]]/$L732,0)</f>
        <v>1</v>
      </c>
      <c r="BI732" s="77">
        <f>ROUNDUP(tbl_Data[[#This Row],[Adjusted 2032]]/$L732,0)</f>
        <v>1</v>
      </c>
      <c r="BJ732" s="77">
        <f>ROUNDUP(tbl_Data[[#This Row],[Adjusted 2033]]/$L732,0)</f>
        <v>1</v>
      </c>
      <c r="BK732" s="77">
        <f>ROUNDUP(tbl_Data[[#This Row],[Adjusted 2034]]/$L732,0)</f>
        <v>1</v>
      </c>
      <c r="BL732" s="80">
        <f t="shared" si="298"/>
        <v>0.12285843784748701</v>
      </c>
      <c r="BM732" s="80">
        <f t="shared" si="299"/>
        <v>0.13977201701920902</v>
      </c>
      <c r="BN732" s="80">
        <f t="shared" si="300"/>
        <v>0.15451100803155782</v>
      </c>
      <c r="BO732" s="80">
        <f t="shared" si="301"/>
        <v>0.16930497053101576</v>
      </c>
      <c r="BP732" s="80">
        <f t="shared" si="302"/>
        <v>0.18190577907707478</v>
      </c>
      <c r="BQ732" s="80">
        <f t="shared" si="303"/>
        <v>0.19373395523350506</v>
      </c>
      <c r="BR732" s="80">
        <f t="shared" si="304"/>
        <v>0.20491889295145221</v>
      </c>
      <c r="BS732" s="80">
        <f t="shared" si="305"/>
        <v>0.21495177608393271</v>
      </c>
      <c r="BT732" s="80">
        <f t="shared" si="306"/>
        <v>0.22490011676360724</v>
      </c>
      <c r="BU732" s="80">
        <f t="shared" si="307"/>
        <v>0.2343236328242336</v>
      </c>
      <c r="BV732" s="80">
        <f>IFERROR(VLOOKUP($H732,'1. Set Program Names'!$B$2:$D$15,3,0)*V732,"NA")</f>
        <v>0.11824753022800295</v>
      </c>
      <c r="BW732" s="80">
        <f>IFERROR(VLOOKUP($H732,'1. Set Program Names'!$B$2:$D$15,3,0)*W732,"NA")</f>
        <v>0.13452633858184712</v>
      </c>
      <c r="BX732" s="80">
        <f>IFERROR(VLOOKUP($H732,'1. Set Program Names'!$B$2:$D$15,3,0)*X732,"NA")</f>
        <v>0.14871217160885097</v>
      </c>
      <c r="BY732" s="80">
        <f>IFERROR(VLOOKUP($H732,'1. Set Program Names'!$B$2:$D$15,3,0)*Y732,"NA")</f>
        <v>0.16295091302942957</v>
      </c>
      <c r="BZ732" s="80">
        <f>IFERROR(VLOOKUP($H732,'1. Set Program Names'!$B$2:$D$15,3,0)*Z732,"NA")</f>
        <v>0.17507881010799289</v>
      </c>
      <c r="CA732" s="80">
        <f>IFERROR(VLOOKUP($H732,'1. Set Program Names'!$B$2:$D$15,3,0)*AA732,"NA")</f>
        <v>0.18646307188198583</v>
      </c>
      <c r="CB732" s="80">
        <f>IFERROR(VLOOKUP($H732,'1. Set Program Names'!$B$2:$D$15,3,0)*AB732,"NA")</f>
        <v>0.1972282361155008</v>
      </c>
      <c r="CC732" s="80">
        <f>IFERROR(VLOOKUP($H732,'1. Set Program Names'!$B$2:$D$15,3,0)*AC732,"NA")</f>
        <v>0.20688458265764653</v>
      </c>
      <c r="CD732" s="80">
        <f>IFERROR(VLOOKUP($H732,'1. Set Program Names'!$B$2:$D$15,3,0)*AD732,"NA")</f>
        <v>0.2164595596461916</v>
      </c>
      <c r="CE732" s="80">
        <f>IFERROR(VLOOKUP($H732,'1. Set Program Names'!$B$2:$D$15,3,0)*AE732,"NA")</f>
        <v>0.2255294088137047</v>
      </c>
    </row>
    <row r="733" spans="1:83" x14ac:dyDescent="0.25">
      <c r="A733" s="79" t="s">
        <v>114</v>
      </c>
      <c r="B733" s="79" t="s">
        <v>88</v>
      </c>
      <c r="C733" s="79" t="s">
        <v>176</v>
      </c>
      <c r="D733" s="79" t="s">
        <v>90</v>
      </c>
      <c r="E733" s="79" t="s">
        <v>91</v>
      </c>
      <c r="F733" s="79" t="s">
        <v>90</v>
      </c>
      <c r="G733" s="79" t="s">
        <v>92</v>
      </c>
      <c r="H733" s="79" t="s">
        <v>18</v>
      </c>
      <c r="I733" s="79" t="s">
        <v>165</v>
      </c>
      <c r="J733" s="79" t="s">
        <v>161</v>
      </c>
      <c r="K733" s="79" t="s">
        <v>166</v>
      </c>
      <c r="L733" s="79">
        <v>565.38999999999896</v>
      </c>
      <c r="M733" s="79">
        <v>6.7728127941350899E-2</v>
      </c>
      <c r="N733" s="79">
        <v>6.5294935157718198E-2</v>
      </c>
      <c r="O733" s="79">
        <v>129</v>
      </c>
      <c r="P733" s="79">
        <v>15.293574707506</v>
      </c>
      <c r="Q733" s="79">
        <v>17.893573630135801</v>
      </c>
      <c r="R733" s="79">
        <v>190.6779313312</v>
      </c>
      <c r="S733" s="79">
        <v>454.767236260907</v>
      </c>
      <c r="T733" s="79">
        <v>10</v>
      </c>
      <c r="U733" s="79">
        <v>0.2</v>
      </c>
      <c r="V733" s="79">
        <f>tbl_Data_old[[#This Row],[2025 ]]*IFERROR(AVERAGEIFS('Participation Adjustment'!$C:$C,'Participation Adjustment'!$A:$A,$H733,'Participation Adjustment'!$B:$B,$I733),1)</f>
        <v>4.4706726755555898E-2</v>
      </c>
      <c r="W733" s="79">
        <f>tbl_Data_old[[#This Row],[2026 ]]*IFERROR(AVERAGEIFS('Participation Adjustment'!$C:$C,'Participation Adjustment'!$A:$A,$H733,'Participation Adjustment'!$B:$B,$I733),1)</f>
        <v>6.1729444876680702E-2</v>
      </c>
      <c r="X733" s="79">
        <f>tbl_Data_old[[#This Row],[2027 ]]*IFERROR(AVERAGEIFS('Participation Adjustment'!$C:$C,'Participation Adjustment'!$A:$A,$H733,'Participation Adjustment'!$B:$B,$I733),1)</f>
        <v>8.2581925626129496E-2</v>
      </c>
      <c r="Y733" s="79">
        <f>tbl_Data_old[[#This Row],[2028 ]]*IFERROR(AVERAGEIFS('Participation Adjustment'!$C:$C,'Participation Adjustment'!$A:$A,$H733,'Participation Adjustment'!$B:$B,$I733),1)</f>
        <v>0.10772537179080501</v>
      </c>
      <c r="Z733" s="79">
        <f>tbl_Data_old[[#This Row],[2029 ]]*IFERROR(AVERAGEIFS('Participation Adjustment'!$C:$C,'Participation Adjustment'!$A:$A,$H733,'Participation Adjustment'!$B:$B,$I733),1)</f>
        <v>0.13448662241143</v>
      </c>
      <c r="AA733" s="79">
        <f>tbl_Data_old[[#This Row],[2030 ]]*IFERROR(AVERAGEIFS('Participation Adjustment'!$C:$C,'Participation Adjustment'!$A:$A,$H733,'Participation Adjustment'!$B:$B,$I733),1)</f>
        <v>0.1596383619484</v>
      </c>
      <c r="AB733" s="79">
        <f>tbl_Data_old[[#This Row],[2031 ]]*IFERROR(AVERAGEIFS('Participation Adjustment'!$C:$C,'Participation Adjustment'!$A:$A,$H733,'Participation Adjustment'!$B:$B,$I733),1)</f>
        <v>0.17791554742068399</v>
      </c>
      <c r="AC733" s="79">
        <f>tbl_Data_old[[#This Row],[2032 ]]*IFERROR(AVERAGEIFS('Participation Adjustment'!$C:$C,'Participation Adjustment'!$A:$A,$H733,'Participation Adjustment'!$B:$B,$I733),1)</f>
        <v>0.183495033661316</v>
      </c>
      <c r="AD733" s="79">
        <f>tbl_Data_old[[#This Row],[2033 ]]*IFERROR(AVERAGEIFS('Participation Adjustment'!$C:$C,'Participation Adjustment'!$A:$A,$H733,'Participation Adjustment'!$B:$B,$I733),1)</f>
        <v>0.17373598227959999</v>
      </c>
      <c r="AE733" s="79">
        <f>tbl_Data_old[[#This Row],[2034 ]]*IFERROR(AVERAGEIFS('Participation Adjustment'!$C:$C,'Participation Adjustment'!$A:$A,$H733,'Participation Adjustment'!$B:$B,$I733),1)</f>
        <v>0.150347717101561</v>
      </c>
      <c r="AF733" s="77" t="str">
        <f t="shared" si="297"/>
        <v>NonResidential</v>
      </c>
      <c r="AG733" s="77" t="str">
        <f>tbl_Data[[#This Row],[All_Meas_Name_Append]]</f>
        <v>Occupancy Sensors_ Ceiling Mounted</v>
      </c>
      <c r="AH733" s="77">
        <f>AVERAGEIFS('3. Incentive Adjustment'!G:G,'3. Incentive Adjustment'!A:A,tbl_Data[[#This Row],[Trimmed Sector]],'3. Incentive Adjustment'!B:B,tbl_Data[[#This Row],[Trimmed Measure Name]])</f>
        <v>0.99348124042467356</v>
      </c>
      <c r="AI733" s="77">
        <f>$AH733*tbl_Data[[#This Row],[2025 ]]</f>
        <v>4.4415294352436616E-2</v>
      </c>
      <c r="AJ733" s="77">
        <f>$AH733*tbl_Data[[#This Row],[2026 ]]</f>
        <v>6.1327045466811253E-2</v>
      </c>
      <c r="AK733" s="77">
        <f>$AH733*tbl_Data[[#This Row],[2027 ]]</f>
        <v>8.204359390770527E-2</v>
      </c>
      <c r="AL733" s="77">
        <f>$AH733*tbl_Data[[#This Row],[2028 ]]</f>
        <v>0.10702313599193809</v>
      </c>
      <c r="AM733" s="77">
        <f>$AH733*tbl_Data[[#This Row],[2029 ]]</f>
        <v>0.13360993645383218</v>
      </c>
      <c r="AN733" s="77">
        <f>$AH733*tbl_Data[[#This Row],[2030 ]]</f>
        <v>0.15859771784785945</v>
      </c>
      <c r="AO733" s="77">
        <f>$AH733*tbl_Data[[#This Row],[2031 ]]</f>
        <v>0.17675575874233596</v>
      </c>
      <c r="AP733" s="77">
        <f>$AH733*tbl_Data[[#This Row],[2032 ]]</f>
        <v>0.18229887365361144</v>
      </c>
      <c r="AQ733" s="77">
        <f>$AH733*tbl_Data[[#This Row],[2033 ]]</f>
        <v>0.17260343918153612</v>
      </c>
      <c r="AR733" s="77">
        <f>$AH733*tbl_Data[[#This Row],[2034 ]]</f>
        <v>0.14936763648107673</v>
      </c>
      <c r="AS733" s="77">
        <f>SUM(tbl_Data[[#This Row],[Adjusted 2025]:[Adjusted 2034]])</f>
        <v>1.268042432079143</v>
      </c>
      <c r="AT733" s="80">
        <f>AVERAGEIFS('3. Incentive Adjustment'!F:F,'3. Incentive Adjustment'!A:A,tbl_Data[[#This Row],[Trimmed Sector]],'3. Incentive Adjustment'!B:B,tbl_Data[[#This Row],[Trimmed Measure Name]])</f>
        <v>19.547634357270656</v>
      </c>
      <c r="AU733" s="80">
        <f>IFERROR(VLOOKUP(tbl_Data[[#This Row],[All_Meas_Name_Append]],'IRA Tax Credits'!$A$3:$D$46,4,0),0)</f>
        <v>0</v>
      </c>
      <c r="AV733" s="81">
        <f>tbl_Data[[#This Row],[Adj. per unit Incentive ($)]]/tbl_Data[[#This Row],[kWh Savings]]*tbl_Data[[#This Row],[Sum of Annuals]]</f>
        <v>4.384094131800588E-2</v>
      </c>
      <c r="AW733" s="81">
        <f>IFERROR(VLOOKUP(tbl_Data[[#This Row],[Column1]],'1. Set Program Names'!$B$2:$D$15,3,0)*tbl_Data[[#This Row],[Sum of Annuals]],"")</f>
        <v>4.0131255636896006E-2</v>
      </c>
      <c r="AX733" s="81">
        <f>tbl_Data[[#This Row],[per unit IRA tax ($)]]/tbl_Data[[#This Row],[kWh Savings]]*tbl_Data[[#This Row],[Sum of Annuals]]</f>
        <v>0</v>
      </c>
      <c r="AY733" s="81">
        <f>tbl_Data[[#This Row],[Avoided Costs ($/unit)]]/tbl_Data[[#This Row],[kWh Savings]]*tbl_Data[[#This Row],[Sum of Annuals]]</f>
        <v>0.42764765522742731</v>
      </c>
      <c r="AZ733" s="81">
        <f>tbl_Data[[#This Row],[Lost Revenue ($/unit)]]/tbl_Data[[#This Row],[kWh Savings]]*tbl_Data[[#This Row],[Sum of Annuals]]</f>
        <v>1.0199404876248108</v>
      </c>
      <c r="BA733" s="81">
        <f>tbl_Data[[#This Row],[Incremental Cost ($/unit)]]/tbl_Data[[#This Row],[kWh Savings]]*tbl_Data[[#This Row],[Sum of Annuals]]</f>
        <v>0.28931794644088105</v>
      </c>
      <c r="BB733" s="77">
        <f>ROUNDUP(tbl_Data[[#This Row],[Adjusted 2025]]/$L733,0)</f>
        <v>1</v>
      </c>
      <c r="BC733" s="77">
        <f>ROUNDUP(tbl_Data[[#This Row],[Adjusted 2026]]/$L733,0)</f>
        <v>1</v>
      </c>
      <c r="BD733" s="77">
        <f>ROUNDUP(tbl_Data[[#This Row],[Adjusted 2027]]/$L733,0)</f>
        <v>1</v>
      </c>
      <c r="BE733" s="77">
        <f>ROUNDUP(tbl_Data[[#This Row],[Adjusted 2028]]/$L733,0)</f>
        <v>1</v>
      </c>
      <c r="BF733" s="77">
        <f>ROUNDUP(tbl_Data[[#This Row],[Adjusted 2029]]/$L733,0)</f>
        <v>1</v>
      </c>
      <c r="BG733" s="77">
        <f>ROUNDUP(tbl_Data[[#This Row],[Adjusted 2030]]/$L733,0)</f>
        <v>1</v>
      </c>
      <c r="BH733" s="77">
        <f>ROUNDUP(tbl_Data[[#This Row],[Adjusted 2031]]/$L733,0)</f>
        <v>1</v>
      </c>
      <c r="BI733" s="77">
        <f>ROUNDUP(tbl_Data[[#This Row],[Adjusted 2032]]/$L733,0)</f>
        <v>1</v>
      </c>
      <c r="BJ733" s="77">
        <f>ROUNDUP(tbl_Data[[#This Row],[Adjusted 2033]]/$L733,0)</f>
        <v>1</v>
      </c>
      <c r="BK733" s="77">
        <f>ROUNDUP(tbl_Data[[#This Row],[Adjusted 2034]]/$L733,0)</f>
        <v>1</v>
      </c>
      <c r="BL733" s="80">
        <f t="shared" si="298"/>
        <v>1.5456777585879081E-3</v>
      </c>
      <c r="BM733" s="80">
        <f t="shared" si="299"/>
        <v>2.1342164126119155E-3</v>
      </c>
      <c r="BN733" s="80">
        <f t="shared" si="300"/>
        <v>2.8551641993294929E-3</v>
      </c>
      <c r="BO733" s="80">
        <f t="shared" si="301"/>
        <v>3.7244666137846421E-3</v>
      </c>
      <c r="BP733" s="80">
        <f t="shared" si="302"/>
        <v>4.6497025430993818E-3</v>
      </c>
      <c r="BQ733" s="80">
        <f t="shared" si="303"/>
        <v>5.5192916902685896E-3</v>
      </c>
      <c r="BR733" s="80">
        <f t="shared" si="304"/>
        <v>6.1512019445925563E-3</v>
      </c>
      <c r="BS733" s="80">
        <f t="shared" si="305"/>
        <v>6.3441055278418128E-3</v>
      </c>
      <c r="BT733" s="80">
        <f t="shared" si="306"/>
        <v>6.0066988385059535E-3</v>
      </c>
      <c r="BU733" s="80">
        <f t="shared" si="307"/>
        <v>5.1980795563269389E-3</v>
      </c>
      <c r="BV733" s="80">
        <f>IFERROR(VLOOKUP($H733,'1. Set Program Names'!$B$2:$D$15,3,0)*V733,"NA")</f>
        <v>1.4148872582870268E-3</v>
      </c>
      <c r="BW733" s="80">
        <f>IFERROR(VLOOKUP($H733,'1. Set Program Names'!$B$2:$D$15,3,0)*W733,"NA")</f>
        <v>1.9536255806581223E-3</v>
      </c>
      <c r="BX733" s="80">
        <f>IFERROR(VLOOKUP($H733,'1. Set Program Names'!$B$2:$D$15,3,0)*X733,"NA")</f>
        <v>2.613568981958555E-3</v>
      </c>
      <c r="BY733" s="80">
        <f>IFERROR(VLOOKUP($H733,'1. Set Program Names'!$B$2:$D$15,3,0)*Y733,"NA")</f>
        <v>3.4093136984603978E-3</v>
      </c>
      <c r="BZ733" s="80">
        <f>IFERROR(VLOOKUP($H733,'1. Set Program Names'!$B$2:$D$15,3,0)*Z733,"NA")</f>
        <v>4.2562590077419044E-3</v>
      </c>
      <c r="CA733" s="80">
        <f>IFERROR(VLOOKUP($H733,'1. Set Program Names'!$B$2:$D$15,3,0)*AA733,"NA")</f>
        <v>5.0522661945169994E-3</v>
      </c>
      <c r="CB733" s="80">
        <f>IFERROR(VLOOKUP($H733,'1. Set Program Names'!$B$2:$D$15,3,0)*AB733,"NA")</f>
        <v>5.6307061457010702E-3</v>
      </c>
      <c r="CC733" s="80">
        <f>IFERROR(VLOOKUP($H733,'1. Set Program Names'!$B$2:$D$15,3,0)*AC733,"NA")</f>
        <v>5.8072868207485213E-3</v>
      </c>
      <c r="CD733" s="80">
        <f>IFERROR(VLOOKUP($H733,'1. Set Program Names'!$B$2:$D$15,3,0)*AD733,"NA")</f>
        <v>5.4984304482286429E-3</v>
      </c>
      <c r="CE733" s="80">
        <f>IFERROR(VLOOKUP($H733,'1. Set Program Names'!$B$2:$D$15,3,0)*AE733,"NA")</f>
        <v>4.7582340438982133E-3</v>
      </c>
    </row>
    <row r="734" spans="1:83" x14ac:dyDescent="0.25">
      <c r="A734" s="79" t="s">
        <v>114</v>
      </c>
      <c r="B734" s="79" t="s">
        <v>88</v>
      </c>
      <c r="C734" s="79" t="s">
        <v>176</v>
      </c>
      <c r="D734" s="79" t="s">
        <v>90</v>
      </c>
      <c r="E734" s="79" t="s">
        <v>91</v>
      </c>
      <c r="F734" s="79" t="s">
        <v>90</v>
      </c>
      <c r="G734" s="79" t="s">
        <v>92</v>
      </c>
      <c r="H734" s="79" t="s">
        <v>18</v>
      </c>
      <c r="I734" s="79" t="s">
        <v>188</v>
      </c>
      <c r="J734" s="79" t="s">
        <v>178</v>
      </c>
      <c r="K734" s="79" t="s">
        <v>189</v>
      </c>
      <c r="L734" s="79">
        <v>58755.825000000099</v>
      </c>
      <c r="M734" s="79">
        <v>7.0391882486047397</v>
      </c>
      <c r="N734" s="79">
        <v>6.7809192295770497</v>
      </c>
      <c r="O734" s="79">
        <v>15000</v>
      </c>
      <c r="P734" s="79">
        <v>3217.2191279034701</v>
      </c>
      <c r="Q734" s="79">
        <v>1859.5158754786501</v>
      </c>
      <c r="R734" s="79">
        <v>19805.726496097701</v>
      </c>
      <c r="S734" s="79">
        <v>47259.8103070086</v>
      </c>
      <c r="T734" s="79">
        <v>10</v>
      </c>
      <c r="U734" s="79">
        <v>1</v>
      </c>
      <c r="V734" s="79">
        <f>tbl_Data_old[[#This Row],[2025 ]]*IFERROR(AVERAGEIFS('Participation Adjustment'!$C:$C,'Participation Adjustment'!$A:$A,$H734,'Participation Adjustment'!$B:$B,$I734),1)</f>
        <v>3.7579309631954102E-3</v>
      </c>
      <c r="W734" s="79">
        <f>tbl_Data_old[[#This Row],[2026 ]]*IFERROR(AVERAGEIFS('Participation Adjustment'!$C:$C,'Participation Adjustment'!$A:$A,$H734,'Participation Adjustment'!$B:$B,$I734),1)</f>
        <v>5.1916974797146997E-3</v>
      </c>
      <c r="X734" s="79">
        <f>tbl_Data_old[[#This Row],[2027 ]]*IFERROR(AVERAGEIFS('Participation Adjustment'!$C:$C,'Participation Adjustment'!$A:$A,$H734,'Participation Adjustment'!$B:$B,$I734),1)</f>
        <v>6.9474052295589199E-3</v>
      </c>
      <c r="Y734" s="79">
        <f>tbl_Data_old[[#This Row],[2028 ]]*IFERROR(AVERAGEIFS('Participation Adjustment'!$C:$C,'Participation Adjustment'!$A:$A,$H734,'Participation Adjustment'!$B:$B,$I734),1)</f>
        <v>9.0667049871893893E-3</v>
      </c>
      <c r="Z734" s="79">
        <f>tbl_Data_old[[#This Row],[2029 ]]*IFERROR(AVERAGEIFS('Participation Adjustment'!$C:$C,'Participation Adjustment'!$A:$A,$H734,'Participation Adjustment'!$B:$B,$I734),1)</f>
        <v>1.13173038586191E-2</v>
      </c>
      <c r="AA734" s="79">
        <f>tbl_Data_old[[#This Row],[2030 ]]*IFERROR(AVERAGEIFS('Participation Adjustment'!$C:$C,'Participation Adjustment'!$A:$A,$H734,'Participation Adjustment'!$B:$B,$I734),1)</f>
        <v>1.34342841066369E-2</v>
      </c>
      <c r="AB734" s="79">
        <f>tbl_Data_old[[#This Row],[2031 ]]*IFERROR(AVERAGEIFS('Participation Adjustment'!$C:$C,'Participation Adjustment'!$A:$A,$H734,'Participation Adjustment'!$B:$B,$I734),1)</f>
        <v>1.49765697717523E-2</v>
      </c>
      <c r="AC734" s="79">
        <f>tbl_Data_old[[#This Row],[2032 ]]*IFERROR(AVERAGEIFS('Participation Adjustment'!$C:$C,'Participation Adjustment'!$A:$A,$H734,'Participation Adjustment'!$B:$B,$I734),1)</f>
        <v>1.54525611761529E-2</v>
      </c>
      <c r="AD734" s="79">
        <f>tbl_Data_old[[#This Row],[2033 ]]*IFERROR(AVERAGEIFS('Participation Adjustment'!$C:$C,'Participation Adjustment'!$A:$A,$H734,'Participation Adjustment'!$B:$B,$I734),1)</f>
        <v>1.4648636587758E-2</v>
      </c>
      <c r="AE734" s="79">
        <f>tbl_Data_old[[#This Row],[2034 ]]*IFERROR(AVERAGEIFS('Participation Adjustment'!$C:$C,'Participation Adjustment'!$A:$A,$H734,'Participation Adjustment'!$B:$B,$I734),1)</f>
        <v>1.2704495022509201E-2</v>
      </c>
      <c r="AF734" s="77" t="str">
        <f t="shared" si="297"/>
        <v>NonResidential</v>
      </c>
      <c r="AG734" s="77" t="str">
        <f>tbl_Data[[#This Row],[All_Meas_Name_Append]]</f>
        <v>Strategic Energy Management</v>
      </c>
      <c r="AH734" s="77">
        <f>AVERAGEIFS('3. Incentive Adjustment'!G:G,'3. Incentive Adjustment'!A:A,tbl_Data[[#This Row],[Trimmed Sector]],'3. Incentive Adjustment'!B:B,tbl_Data[[#This Row],[Trimmed Measure Name]])</f>
        <v>1.1413908001130193</v>
      </c>
      <c r="AI734" s="77">
        <f>$AH734*tbl_Data[[#This Row],[2025 ]]</f>
        <v>4.2892678288510983E-3</v>
      </c>
      <c r="AJ734" s="77">
        <f>$AH734*tbl_Data[[#This Row],[2026 ]]</f>
        <v>5.925755740316307E-3</v>
      </c>
      <c r="AK734" s="77">
        <f>$AH734*tbl_Data[[#This Row],[2027 ]]</f>
        <v>7.9297044136756294E-3</v>
      </c>
      <c r="AL734" s="77">
        <f>$AH734*tbl_Data[[#This Row],[2028 ]]</f>
        <v>1.03486536597168E-2</v>
      </c>
      <c r="AM734" s="77">
        <f>$AH734*tbl_Data[[#This Row],[2029 ]]</f>
        <v>1.2917466506311415E-2</v>
      </c>
      <c r="AN734" s="77">
        <f>$AH734*tbl_Data[[#This Row],[2030 ]]</f>
        <v>1.5333768285419911E-2</v>
      </c>
      <c r="AO734" s="77">
        <f>$AH734*tbl_Data[[#This Row],[2031 ]]</f>
        <v>1.7094118954728815E-2</v>
      </c>
      <c r="AP734" s="77">
        <f>$AH734*tbl_Data[[#This Row],[2032 ]]</f>
        <v>1.7637411164644536E-2</v>
      </c>
      <c r="AQ734" s="77">
        <f>$AH734*tbl_Data[[#This Row],[2033 ]]</f>
        <v>1.6719819035465953E-2</v>
      </c>
      <c r="AR734" s="77">
        <f>$AH734*tbl_Data[[#This Row],[2034 ]]</f>
        <v>1.4500793738773648E-2</v>
      </c>
      <c r="AS734" s="77">
        <f>SUM(tbl_Data[[#This Row],[Adjusted 2025]:[Adjusted 2034]])</f>
        <v>0.12269675932790412</v>
      </c>
      <c r="AT734" s="80">
        <f>AVERAGEIFS('3. Incentive Adjustment'!F:F,'3. Incentive Adjustment'!A:A,tbl_Data[[#This Row],[Trimmed Sector]],'3. Incentive Adjustment'!B:B,tbl_Data[[#This Row],[Trimmed Measure Name]])</f>
        <v>6162.1674053779652</v>
      </c>
      <c r="AU734" s="80">
        <f>IFERROR(VLOOKUP(tbl_Data[[#This Row],[All_Meas_Name_Append]],'IRA Tax Credits'!$A$3:$D$46,4,0),0)</f>
        <v>0</v>
      </c>
      <c r="AV734" s="81">
        <f>tbl_Data[[#This Row],[Adj. per unit Incentive ($)]]/tbl_Data[[#This Row],[kWh Savings]]*tbl_Data[[#This Row],[Sum of Annuals]]</f>
        <v>1.2868136411596882E-2</v>
      </c>
      <c r="AW734" s="81">
        <f>IFERROR(VLOOKUP(tbl_Data[[#This Row],[Column1]],'1. Set Program Names'!$B$2:$D$15,3,0)*tbl_Data[[#This Row],[Sum of Annuals]],"")</f>
        <v>3.8831311081075101E-3</v>
      </c>
      <c r="AX734" s="81">
        <f>tbl_Data[[#This Row],[per unit IRA tax ($)]]/tbl_Data[[#This Row],[kWh Savings]]*tbl_Data[[#This Row],[Sum of Annuals]]</f>
        <v>0</v>
      </c>
      <c r="AY734" s="81">
        <f>tbl_Data[[#This Row],[Avoided Costs ($/unit)]]/tbl_Data[[#This Row],[kWh Savings]]*tbl_Data[[#This Row],[Sum of Annuals]]</f>
        <v>4.1359277266653803E-2</v>
      </c>
      <c r="AZ734" s="81">
        <f>tbl_Data[[#This Row],[Lost Revenue ($/unit)]]/tbl_Data[[#This Row],[kWh Savings]]*tbl_Data[[#This Row],[Sum of Annuals]]</f>
        <v>9.8690224690427319E-2</v>
      </c>
      <c r="BA734" s="81">
        <f>tbl_Data[[#This Row],[Incremental Cost ($/unit)]]/tbl_Data[[#This Row],[kWh Savings]]*tbl_Data[[#This Row],[Sum of Annuals]]</f>
        <v>3.1323726454671665E-2</v>
      </c>
      <c r="BB734" s="77">
        <f>ROUNDUP(tbl_Data[[#This Row],[Adjusted 2025]]/$L734,0)</f>
        <v>1</v>
      </c>
      <c r="BC734" s="77">
        <f>ROUNDUP(tbl_Data[[#This Row],[Adjusted 2026]]/$L734,0)</f>
        <v>1</v>
      </c>
      <c r="BD734" s="77">
        <f>ROUNDUP(tbl_Data[[#This Row],[Adjusted 2027]]/$L734,0)</f>
        <v>1</v>
      </c>
      <c r="BE734" s="77">
        <f>ROUNDUP(tbl_Data[[#This Row],[Adjusted 2028]]/$L734,0)</f>
        <v>1</v>
      </c>
      <c r="BF734" s="77">
        <f>ROUNDUP(tbl_Data[[#This Row],[Adjusted 2029]]/$L734,0)</f>
        <v>1</v>
      </c>
      <c r="BG734" s="77">
        <f>ROUNDUP(tbl_Data[[#This Row],[Adjusted 2030]]/$L734,0)</f>
        <v>1</v>
      </c>
      <c r="BH734" s="77">
        <f>ROUNDUP(tbl_Data[[#This Row],[Adjusted 2031]]/$L734,0)</f>
        <v>1</v>
      </c>
      <c r="BI734" s="77">
        <f>ROUNDUP(tbl_Data[[#This Row],[Adjusted 2032]]/$L734,0)</f>
        <v>1</v>
      </c>
      <c r="BJ734" s="77">
        <f>ROUNDUP(tbl_Data[[#This Row],[Adjusted 2033]]/$L734,0)</f>
        <v>1</v>
      </c>
      <c r="BK734" s="77">
        <f>ROUNDUP(tbl_Data[[#This Row],[Adjusted 2034]]/$L734,0)</f>
        <v>1</v>
      </c>
      <c r="BL734" s="80">
        <f t="shared" si="298"/>
        <v>3.9412262006470575E-4</v>
      </c>
      <c r="BM734" s="80">
        <f t="shared" si="299"/>
        <v>5.444925501102367E-4</v>
      </c>
      <c r="BN734" s="80">
        <f t="shared" si="300"/>
        <v>7.2862689031326388E-4</v>
      </c>
      <c r="BO734" s="80">
        <f t="shared" si="301"/>
        <v>9.508938721605254E-4</v>
      </c>
      <c r="BP734" s="80">
        <f t="shared" si="302"/>
        <v>1.1869311843436933E-3</v>
      </c>
      <c r="BQ734" s="80">
        <f t="shared" si="303"/>
        <v>1.4089549016885561E-3</v>
      </c>
      <c r="BR734" s="80">
        <f t="shared" si="304"/>
        <v>1.5707060549632445E-3</v>
      </c>
      <c r="BS734" s="80">
        <f t="shared" si="305"/>
        <v>1.6206268707706552E-3</v>
      </c>
      <c r="BT734" s="80">
        <f t="shared" si="306"/>
        <v>1.5363132236558552E-3</v>
      </c>
      <c r="BU734" s="80">
        <f t="shared" si="307"/>
        <v>1.3324164051733197E-3</v>
      </c>
      <c r="BV734" s="80">
        <f>IFERROR(VLOOKUP($H734,'1. Set Program Names'!$B$2:$D$15,3,0)*V734,"NA")</f>
        <v>1.1893173630043732E-4</v>
      </c>
      <c r="BW734" s="80">
        <f>IFERROR(VLOOKUP($H734,'1. Set Program Names'!$B$2:$D$15,3,0)*W734,"NA")</f>
        <v>1.6430786027107924E-4</v>
      </c>
      <c r="BX734" s="80">
        <f>IFERROR(VLOOKUP($H734,'1. Set Program Names'!$B$2:$D$15,3,0)*X734,"NA")</f>
        <v>2.1987284354782203E-4</v>
      </c>
      <c r="BY734" s="80">
        <f>IFERROR(VLOOKUP($H734,'1. Set Program Names'!$B$2:$D$15,3,0)*Y734,"NA")</f>
        <v>2.8694485801127165E-4</v>
      </c>
      <c r="BZ734" s="80">
        <f>IFERROR(VLOOKUP($H734,'1. Set Program Names'!$B$2:$D$15,3,0)*Z734,"NA")</f>
        <v>3.5817225258462474E-4</v>
      </c>
      <c r="CA734" s="80">
        <f>IFERROR(VLOOKUP($H734,'1. Set Program Names'!$B$2:$D$15,3,0)*AA734,"NA")</f>
        <v>4.2517085875284433E-4</v>
      </c>
      <c r="CB734" s="80">
        <f>IFERROR(VLOOKUP($H734,'1. Set Program Names'!$B$2:$D$15,3,0)*AB734,"NA")</f>
        <v>4.7398141802599273E-4</v>
      </c>
      <c r="CC734" s="80">
        <f>IFERROR(VLOOKUP($H734,'1. Set Program Names'!$B$2:$D$15,3,0)*AC734,"NA")</f>
        <v>4.8904568736565898E-4</v>
      </c>
      <c r="CD734" s="80">
        <f>IFERROR(VLOOKUP($H734,'1. Set Program Names'!$B$2:$D$15,3,0)*AD734,"NA")</f>
        <v>4.6360292428969233E-4</v>
      </c>
      <c r="CE734" s="80">
        <f>IFERROR(VLOOKUP($H734,'1. Set Program Names'!$B$2:$D$15,3,0)*AE734,"NA")</f>
        <v>4.0207435065877056E-4</v>
      </c>
    </row>
    <row r="735" spans="1:83" x14ac:dyDescent="0.25">
      <c r="A735" s="79" t="s">
        <v>114</v>
      </c>
      <c r="B735" s="79" t="s">
        <v>88</v>
      </c>
      <c r="C735" s="79" t="s">
        <v>176</v>
      </c>
      <c r="D735" s="79" t="s">
        <v>90</v>
      </c>
      <c r="E735" s="79" t="s">
        <v>91</v>
      </c>
      <c r="F735" s="79" t="s">
        <v>90</v>
      </c>
      <c r="G735" s="79" t="s">
        <v>92</v>
      </c>
      <c r="H735" s="79" t="s">
        <v>18</v>
      </c>
      <c r="I735" s="79" t="s">
        <v>194</v>
      </c>
      <c r="J735" s="79" t="s">
        <v>182</v>
      </c>
      <c r="K735" s="79" t="s">
        <v>102</v>
      </c>
      <c r="L735" s="79">
        <v>8959.2199999999993</v>
      </c>
      <c r="M735" s="79">
        <v>1.0579901286000299</v>
      </c>
      <c r="N735" s="79">
        <v>1.03235399659801</v>
      </c>
      <c r="O735" s="79">
        <v>2314.9299999999998</v>
      </c>
      <c r="P735" s="79">
        <v>512.76464645414296</v>
      </c>
      <c r="Q735" s="79">
        <v>283.54315205183201</v>
      </c>
      <c r="R735" s="79">
        <v>3866.1887556449001</v>
      </c>
      <c r="S735" s="79">
        <v>9515.3223878667595</v>
      </c>
      <c r="T735" s="79">
        <v>15</v>
      </c>
      <c r="U735" s="79">
        <v>1</v>
      </c>
      <c r="V735" s="79">
        <f>tbl_Data_old[[#This Row],[2025 ]]*IFERROR(AVERAGEIFS('Participation Adjustment'!$C:$C,'Participation Adjustment'!$A:$A,$H735,'Participation Adjustment'!$B:$B,$I735),1)</f>
        <v>3.9985912629941098</v>
      </c>
      <c r="W735" s="79">
        <f>tbl_Data_old[[#This Row],[2026 ]]*IFERROR(AVERAGEIFS('Participation Adjustment'!$C:$C,'Participation Adjustment'!$A:$A,$H735,'Participation Adjustment'!$B:$B,$I735),1)</f>
        <v>5.1911986007582698</v>
      </c>
      <c r="X735" s="79">
        <f>tbl_Data_old[[#This Row],[2027 ]]*IFERROR(AVERAGEIFS('Participation Adjustment'!$C:$C,'Participation Adjustment'!$A:$A,$H735,'Participation Adjustment'!$B:$B,$I735),1)</f>
        <v>6.5720870446586801</v>
      </c>
      <c r="Y735" s="79">
        <f>tbl_Data_old[[#This Row],[2028 ]]*IFERROR(AVERAGEIFS('Participation Adjustment'!$C:$C,'Participation Adjustment'!$A:$A,$H735,'Participation Adjustment'!$B:$B,$I735),1)</f>
        <v>8.2121449068374002</v>
      </c>
      <c r="Z735" s="79">
        <f>tbl_Data_old[[#This Row],[2029 ]]*IFERROR(AVERAGEIFS('Participation Adjustment'!$C:$C,'Participation Adjustment'!$A:$A,$H735,'Participation Adjustment'!$B:$B,$I735),1)</f>
        <v>9.9431179407911792</v>
      </c>
      <c r="AA735" s="79">
        <f>tbl_Data_old[[#This Row],[2030 ]]*IFERROR(AVERAGEIFS('Participation Adjustment'!$C:$C,'Participation Adjustment'!$A:$A,$H735,'Participation Adjustment'!$B:$B,$I735),1)</f>
        <v>11.7173422231514</v>
      </c>
      <c r="AB735" s="79">
        <f>tbl_Data_old[[#This Row],[2031 ]]*IFERROR(AVERAGEIFS('Participation Adjustment'!$C:$C,'Participation Adjustment'!$A:$A,$H735,'Participation Adjustment'!$B:$B,$I735),1)</f>
        <v>13.3761453608089</v>
      </c>
      <c r="AC735" s="79">
        <f>tbl_Data_old[[#This Row],[2032 ]]*IFERROR(AVERAGEIFS('Participation Adjustment'!$C:$C,'Participation Adjustment'!$A:$A,$H735,'Participation Adjustment'!$B:$B,$I735),1)</f>
        <v>14.678453965249799</v>
      </c>
      <c r="AD735" s="79">
        <f>tbl_Data_old[[#This Row],[2033 ]]*IFERROR(AVERAGEIFS('Participation Adjustment'!$C:$C,'Participation Adjustment'!$A:$A,$H735,'Participation Adjustment'!$B:$B,$I735),1)</f>
        <v>15.4794093633827</v>
      </c>
      <c r="AE735" s="79">
        <f>tbl_Data_old[[#This Row],[2034 ]]*IFERROR(AVERAGEIFS('Participation Adjustment'!$C:$C,'Participation Adjustment'!$A:$A,$H735,'Participation Adjustment'!$B:$B,$I735),1)</f>
        <v>15.580162724421401</v>
      </c>
      <c r="AF735" s="77" t="str">
        <f t="shared" si="297"/>
        <v>NonResidential</v>
      </c>
      <c r="AG735" s="77" t="str">
        <f>tbl_Data[[#This Row],[All_Meas_Name_Append]]</f>
        <v>VFD on HVAC Fan</v>
      </c>
      <c r="AH735" s="77">
        <f>AVERAGEIFS('3. Incentive Adjustment'!G:G,'3. Incentive Adjustment'!A:A,tbl_Data[[#This Row],[Trimmed Sector]],'3. Incentive Adjustment'!B:B,tbl_Data[[#This Row],[Trimmed Measure Name]])</f>
        <v>1.1307524828118058</v>
      </c>
      <c r="AI735" s="77">
        <f>$AH735*tbl_Data[[#This Row],[2025 ]]</f>
        <v>4.5214169983801842</v>
      </c>
      <c r="AJ735" s="77">
        <f>$AH735*tbl_Data[[#This Row],[2026 ]]</f>
        <v>5.8699607065765864</v>
      </c>
      <c r="AK735" s="77">
        <f>$AH735*tbl_Data[[#This Row],[2027 ]]</f>
        <v>7.4314037430031057</v>
      </c>
      <c r="AL735" s="77">
        <f>$AH735*tbl_Data[[#This Row],[2028 ]]</f>
        <v>9.2859032426167154</v>
      </c>
      <c r="AM735" s="77">
        <f>$AH735*tbl_Data[[#This Row],[2029 ]]</f>
        <v>11.243205298440236</v>
      </c>
      <c r="AN735" s="77">
        <f>$AH735*tbl_Data[[#This Row],[2030 ]]</f>
        <v>13.24941381078405</v>
      </c>
      <c r="AO735" s="77">
        <f>$AH735*tbl_Data[[#This Row],[2031 ]]</f>
        <v>15.125109577186283</v>
      </c>
      <c r="AP735" s="77">
        <f>$AH735*tbl_Data[[#This Row],[2032 ]]</f>
        <v>16.597698265045008</v>
      </c>
      <c r="AQ735" s="77">
        <f>$AH735*tbl_Data[[#This Row],[2033 ]]</f>
        <v>17.503380570105303</v>
      </c>
      <c r="AR735" s="77">
        <f>$AH735*tbl_Data[[#This Row],[2034 ]]</f>
        <v>17.617307683251447</v>
      </c>
      <c r="AS735" s="77">
        <f>SUM(tbl_Data[[#This Row],[Adjusted 2025]:[Adjusted 2034]])</f>
        <v>118.44479989538891</v>
      </c>
      <c r="AT735" s="80">
        <f>AVERAGEIFS('3. Incentive Adjustment'!F:F,'3. Incentive Adjustment'!A:A,tbl_Data[[#This Row],[Trimmed Sector]],'3. Incentive Adjustment'!B:B,tbl_Data[[#This Row],[Trimmed Measure Name]])</f>
        <v>930.02043037501858</v>
      </c>
      <c r="AU735" s="80">
        <f>IFERROR(VLOOKUP(tbl_Data[[#This Row],[All_Meas_Name_Append]],'IRA Tax Credits'!$A$3:$D$46,4,0),0)</f>
        <v>0</v>
      </c>
      <c r="AV735" s="81">
        <f>tbl_Data[[#This Row],[Adj. per unit Incentive ($)]]/tbl_Data[[#This Row],[kWh Savings]]*tbl_Data[[#This Row],[Sum of Annuals]]</f>
        <v>12.295276126090503</v>
      </c>
      <c r="AW735" s="81">
        <f>IFERROR(VLOOKUP(tbl_Data[[#This Row],[Column1]],'1. Set Program Names'!$B$2:$D$15,3,0)*tbl_Data[[#This Row],[Sum of Annuals]],"")</f>
        <v>3.7485642618985899</v>
      </c>
      <c r="AX735" s="81">
        <f>tbl_Data[[#This Row],[per unit IRA tax ($)]]/tbl_Data[[#This Row],[kWh Savings]]*tbl_Data[[#This Row],[Sum of Annuals]]</f>
        <v>0</v>
      </c>
      <c r="AY735" s="81">
        <f>tbl_Data[[#This Row],[Avoided Costs ($/unit)]]/tbl_Data[[#This Row],[kWh Savings]]*tbl_Data[[#This Row],[Sum of Annuals]]</f>
        <v>51.11270328445589</v>
      </c>
      <c r="AZ735" s="81">
        <f>tbl_Data[[#This Row],[Lost Revenue ($/unit)]]/tbl_Data[[#This Row],[kWh Savings]]*tbl_Data[[#This Row],[Sum of Annuals]]</f>
        <v>125.79671625107908</v>
      </c>
      <c r="BA735" s="81">
        <f>tbl_Data[[#This Row],[Incremental Cost ($/unit)]]/tbl_Data[[#This Row],[kWh Savings]]*tbl_Data[[#This Row],[Sum of Annuals]]</f>
        <v>30.604385272583176</v>
      </c>
      <c r="BB735" s="77">
        <f>ROUNDUP(tbl_Data[[#This Row],[Adjusted 2025]]/$L735,0)</f>
        <v>1</v>
      </c>
      <c r="BC735" s="77">
        <f>ROUNDUP(tbl_Data[[#This Row],[Adjusted 2026]]/$L735,0)</f>
        <v>1</v>
      </c>
      <c r="BD735" s="77">
        <f>ROUNDUP(tbl_Data[[#This Row],[Adjusted 2027]]/$L735,0)</f>
        <v>1</v>
      </c>
      <c r="BE735" s="77">
        <f>ROUNDUP(tbl_Data[[#This Row],[Adjusted 2028]]/$L735,0)</f>
        <v>1</v>
      </c>
      <c r="BF735" s="77">
        <f>ROUNDUP(tbl_Data[[#This Row],[Adjusted 2029]]/$L735,0)</f>
        <v>1</v>
      </c>
      <c r="BG735" s="77">
        <f>ROUNDUP(tbl_Data[[#This Row],[Adjusted 2030]]/$L735,0)</f>
        <v>1</v>
      </c>
      <c r="BH735" s="77">
        <f>ROUNDUP(tbl_Data[[#This Row],[Adjusted 2031]]/$L735,0)</f>
        <v>1</v>
      </c>
      <c r="BI735" s="77">
        <f>ROUNDUP(tbl_Data[[#This Row],[Adjusted 2032]]/$L735,0)</f>
        <v>1</v>
      </c>
      <c r="BJ735" s="77">
        <f>ROUNDUP(tbl_Data[[#This Row],[Adjusted 2033]]/$L735,0)</f>
        <v>1</v>
      </c>
      <c r="BK735" s="77">
        <f>ROUNDUP(tbl_Data[[#This Row],[Adjusted 2034]]/$L735,0)</f>
        <v>1</v>
      </c>
      <c r="BL735" s="80">
        <f t="shared" si="298"/>
        <v>0.41507760355293999</v>
      </c>
      <c r="BM735" s="80">
        <f t="shared" si="299"/>
        <v>0.53887735280966431</v>
      </c>
      <c r="BN735" s="80">
        <f t="shared" si="300"/>
        <v>0.68222180298458457</v>
      </c>
      <c r="BO735" s="80">
        <f t="shared" si="301"/>
        <v>0.8524695833520034</v>
      </c>
      <c r="BP735" s="80">
        <f t="shared" si="302"/>
        <v>1.0321549003779549</v>
      </c>
      <c r="BQ735" s="80">
        <f t="shared" si="303"/>
        <v>1.2163299547534989</v>
      </c>
      <c r="BR735" s="80">
        <f t="shared" si="304"/>
        <v>1.388523606432067</v>
      </c>
      <c r="BS735" s="80">
        <f t="shared" si="305"/>
        <v>1.5237110009578421</v>
      </c>
      <c r="BT735" s="80">
        <f t="shared" si="306"/>
        <v>1.606854944747899</v>
      </c>
      <c r="BU735" s="80">
        <f t="shared" si="307"/>
        <v>1.6173137440847767</v>
      </c>
      <c r="BV735" s="80">
        <f>IFERROR(VLOOKUP($H735,'1. Set Program Names'!$B$2:$D$15,3,0)*V735,"NA")</f>
        <v>0.12654820067776729</v>
      </c>
      <c r="BW735" s="80">
        <f>IFERROR(VLOOKUP($H735,'1. Set Program Names'!$B$2:$D$15,3,0)*W735,"NA")</f>
        <v>0.16429207165200319</v>
      </c>
      <c r="BX735" s="80">
        <f>IFERROR(VLOOKUP($H735,'1. Set Program Names'!$B$2:$D$15,3,0)*X735,"NA")</f>
        <v>0.2079947000075377</v>
      </c>
      <c r="BY735" s="80">
        <f>IFERROR(VLOOKUP($H735,'1. Set Program Names'!$B$2:$D$15,3,0)*Y735,"NA")</f>
        <v>0.25989957295289939</v>
      </c>
      <c r="BZ735" s="80">
        <f>IFERROR(VLOOKUP($H735,'1. Set Program Names'!$B$2:$D$15,3,0)*Z735,"NA")</f>
        <v>0.31468174708903818</v>
      </c>
      <c r="CA735" s="80">
        <f>IFERROR(VLOOKUP($H735,'1. Set Program Names'!$B$2:$D$15,3,0)*AA735,"NA")</f>
        <v>0.37083274521915632</v>
      </c>
      <c r="CB735" s="80">
        <f>IFERROR(VLOOKUP($H735,'1. Set Program Names'!$B$2:$D$15,3,0)*AB735,"NA")</f>
        <v>0.4233308723200509</v>
      </c>
      <c r="CC735" s="80">
        <f>IFERROR(VLOOKUP($H735,'1. Set Program Names'!$B$2:$D$15,3,0)*AC735,"NA")</f>
        <v>0.46454659050170011</v>
      </c>
      <c r="CD735" s="80">
        <f>IFERROR(VLOOKUP($H735,'1. Set Program Names'!$B$2:$D$15,3,0)*AD735,"NA")</f>
        <v>0.48989538406180161</v>
      </c>
      <c r="CE735" s="80">
        <f>IFERROR(VLOOKUP($H735,'1. Set Program Names'!$B$2:$D$15,3,0)*AE735,"NA")</f>
        <v>0.49308404619630991</v>
      </c>
    </row>
    <row r="736" spans="1:83" x14ac:dyDescent="0.25">
      <c r="A736" s="79" t="s">
        <v>114</v>
      </c>
      <c r="B736" s="79" t="s">
        <v>88</v>
      </c>
      <c r="C736" s="79" t="s">
        <v>176</v>
      </c>
      <c r="D736" s="79" t="s">
        <v>90</v>
      </c>
      <c r="E736" s="79" t="s">
        <v>91</v>
      </c>
      <c r="F736" s="79" t="s">
        <v>90</v>
      </c>
      <c r="G736" s="79" t="s">
        <v>92</v>
      </c>
      <c r="H736" s="79" t="s">
        <v>18</v>
      </c>
      <c r="I736" s="79" t="s">
        <v>195</v>
      </c>
      <c r="J736" s="79" t="s">
        <v>191</v>
      </c>
      <c r="K736" s="79" t="s">
        <v>102</v>
      </c>
      <c r="L736" s="79">
        <v>20302.931666666602</v>
      </c>
      <c r="M736" s="79">
        <v>2.3950992196012999</v>
      </c>
      <c r="N736" s="79">
        <v>2.3402323276086099</v>
      </c>
      <c r="O736" s="79">
        <v>5194</v>
      </c>
      <c r="P736" s="79">
        <v>1110.9469872966299</v>
      </c>
      <c r="Q736" s="79">
        <v>642.55116412585198</v>
      </c>
      <c r="R736" s="79">
        <v>8767.8839794133291</v>
      </c>
      <c r="S736" s="79">
        <v>21563.142798944798</v>
      </c>
      <c r="T736" s="79">
        <v>15</v>
      </c>
      <c r="U736" s="79">
        <v>1</v>
      </c>
      <c r="V736" s="79">
        <f>tbl_Data_old[[#This Row],[2025 ]]*IFERROR(AVERAGEIFS('Participation Adjustment'!$C:$C,'Participation Adjustment'!$A:$A,$H736,'Participation Adjustment'!$B:$B,$I736),1)</f>
        <v>4.2619662096352302</v>
      </c>
      <c r="W736" s="79">
        <f>tbl_Data_old[[#This Row],[2026 ]]*IFERROR(AVERAGEIFS('Participation Adjustment'!$C:$C,'Participation Adjustment'!$A:$A,$H736,'Participation Adjustment'!$B:$B,$I736),1)</f>
        <v>5.5333492431503304</v>
      </c>
      <c r="X736" s="79">
        <f>tbl_Data_old[[#This Row],[2027 ]]*IFERROR(AVERAGEIFS('Participation Adjustment'!$C:$C,'Participation Adjustment'!$A:$A,$H736,'Participation Adjustment'!$B:$B,$I736),1)</f>
        <v>7.0054655431159896</v>
      </c>
      <c r="Y736" s="79">
        <f>tbl_Data_old[[#This Row],[2028 ]]*IFERROR(AVERAGEIFS('Participation Adjustment'!$C:$C,'Participation Adjustment'!$A:$A,$H736,'Participation Adjustment'!$B:$B,$I736),1)</f>
        <v>8.7540042154383499</v>
      </c>
      <c r="Z736" s="79">
        <f>tbl_Data_old[[#This Row],[2029 ]]*IFERROR(AVERAGEIFS('Participation Adjustment'!$C:$C,'Participation Adjustment'!$A:$A,$H736,'Participation Adjustment'!$B:$B,$I736),1)</f>
        <v>10.5992651872424</v>
      </c>
      <c r="AA736" s="79">
        <f>tbl_Data_old[[#This Row],[2030 ]]*IFERROR(AVERAGEIFS('Participation Adjustment'!$C:$C,'Participation Adjustment'!$A:$A,$H736,'Participation Adjustment'!$B:$B,$I736),1)</f>
        <v>12.4906744190327</v>
      </c>
      <c r="AB736" s="79">
        <f>tbl_Data_old[[#This Row],[2031 ]]*IFERROR(AVERAGEIFS('Participation Adjustment'!$C:$C,'Participation Adjustment'!$A:$A,$H736,'Participation Adjustment'!$B:$B,$I736),1)</f>
        <v>14.2590860777789</v>
      </c>
      <c r="AC736" s="79">
        <f>tbl_Data_old[[#This Row],[2032 ]]*IFERROR(AVERAGEIFS('Participation Adjustment'!$C:$C,'Participation Adjustment'!$A:$A,$H736,'Participation Adjustment'!$B:$B,$I736),1)</f>
        <v>15.647358466856399</v>
      </c>
      <c r="AD736" s="79">
        <f>tbl_Data_old[[#This Row],[2033 ]]*IFERROR(AVERAGEIFS('Participation Adjustment'!$C:$C,'Participation Adjustment'!$A:$A,$H736,'Participation Adjustment'!$B:$B,$I736),1)</f>
        <v>16.501436293502898</v>
      </c>
      <c r="AE736" s="79">
        <f>tbl_Data_old[[#This Row],[2034 ]]*IFERROR(AVERAGEIFS('Participation Adjustment'!$C:$C,'Participation Adjustment'!$A:$A,$H736,'Participation Adjustment'!$B:$B,$I736),1)</f>
        <v>16.609270612680699</v>
      </c>
      <c r="AF736" s="77" t="str">
        <f t="shared" si="297"/>
        <v>NonResidential</v>
      </c>
      <c r="AG736" s="77" t="str">
        <f>tbl_Data[[#This Row],[All_Meas_Name_Append]]</f>
        <v>VFD on process pump</v>
      </c>
      <c r="AH736" s="77">
        <f>AVERAGEIFS('3. Incentive Adjustment'!G:G,'3. Incentive Adjustment'!A:A,tbl_Data[[#This Row],[Trimmed Sector]],'3. Incentive Adjustment'!B:B,tbl_Data[[#This Row],[Trimmed Measure Name]])</f>
        <v>1.1380520252658823</v>
      </c>
      <c r="AI736" s="77">
        <f>$AH736*tbl_Data[[#This Row],[2025 ]]</f>
        <v>4.8503392764901294</v>
      </c>
      <c r="AJ736" s="77">
        <f>$AH736*tbl_Data[[#This Row],[2026 ]]</f>
        <v>6.2972393126706709</v>
      </c>
      <c r="AK736" s="77">
        <f>$AH736*tbl_Data[[#This Row],[2027 ]]</f>
        <v>7.9725842492735062</v>
      </c>
      <c r="AL736" s="77">
        <f>$AH736*tbl_Data[[#This Row],[2028 ]]</f>
        <v>9.9625122265656856</v>
      </c>
      <c r="AM736" s="77">
        <f>$AH736*tbl_Data[[#This Row],[2029 ]]</f>
        <v>12.062515212671375</v>
      </c>
      <c r="AN736" s="77">
        <f>$AH736*tbl_Data[[#This Row],[2030 ]]</f>
        <v>14.215037319516913</v>
      </c>
      <c r="AO736" s="77">
        <f>$AH736*tbl_Data[[#This Row],[2031 ]]</f>
        <v>16.227581789256824</v>
      </c>
      <c r="AP736" s="77">
        <f>$AH736*tbl_Data[[#This Row],[2032 ]]</f>
        <v>17.807507993267176</v>
      </c>
      <c r="AQ736" s="77">
        <f>$AH736*tbl_Data[[#This Row],[2033 ]]</f>
        <v>18.779492993616909</v>
      </c>
      <c r="AR736" s="77">
        <f>$AH736*tbl_Data[[#This Row],[2034 ]]</f>
        <v>18.902214058950374</v>
      </c>
      <c r="AS736" s="77">
        <f>SUM(tbl_Data[[#This Row],[Adjusted 2025]:[Adjusted 2034]])</f>
        <v>127.07702443227959</v>
      </c>
      <c r="AT736" s="80">
        <f>AVERAGEIFS('3. Incentive Adjustment'!F:F,'3. Incentive Adjustment'!A:A,tbl_Data[[#This Row],[Trimmed Sector]],'3. Incentive Adjustment'!B:B,tbl_Data[[#This Row],[Trimmed Measure Name]])</f>
        <v>2106.0249622508104</v>
      </c>
      <c r="AU736" s="80">
        <f>IFERROR(VLOOKUP(tbl_Data[[#This Row],[All_Meas_Name_Append]],'IRA Tax Credits'!$A$3:$D$46,4,0),0)</f>
        <v>0</v>
      </c>
      <c r="AV736" s="81">
        <f>tbl_Data[[#This Row],[Adj. per unit Incentive ($)]]/tbl_Data[[#This Row],[kWh Savings]]*tbl_Data[[#This Row],[Sum of Annuals]]</f>
        <v>13.1817113891157</v>
      </c>
      <c r="AW736" s="81">
        <f>IFERROR(VLOOKUP(tbl_Data[[#This Row],[Column1]],'1. Set Program Names'!$B$2:$D$15,3,0)*tbl_Data[[#This Row],[Sum of Annuals]],"")</f>
        <v>4.0217585973886374</v>
      </c>
      <c r="AX736" s="81">
        <f>tbl_Data[[#This Row],[per unit IRA tax ($)]]/tbl_Data[[#This Row],[kWh Savings]]*tbl_Data[[#This Row],[Sum of Annuals]]</f>
        <v>0</v>
      </c>
      <c r="AY736" s="81">
        <f>tbl_Data[[#This Row],[Avoided Costs ($/unit)]]/tbl_Data[[#This Row],[kWh Savings]]*tbl_Data[[#This Row],[Sum of Annuals]]</f>
        <v>54.8786069403263</v>
      </c>
      <c r="AZ736" s="81">
        <f>tbl_Data[[#This Row],[Lost Revenue ($/unit)]]/tbl_Data[[#This Row],[kWh Savings]]*tbl_Data[[#This Row],[Sum of Annuals]]</f>
        <v>134.96474643595809</v>
      </c>
      <c r="BA736" s="81">
        <f>tbl_Data[[#This Row],[Incremental Cost ($/unit)]]/tbl_Data[[#This Row],[kWh Savings]]*tbl_Data[[#This Row],[Sum of Annuals]]</f>
        <v>32.509495462909534</v>
      </c>
      <c r="BB736" s="77">
        <f>ROUNDUP(tbl_Data[[#This Row],[Adjusted 2025]]/$L736,0)</f>
        <v>1</v>
      </c>
      <c r="BC736" s="77">
        <f>ROUNDUP(tbl_Data[[#This Row],[Adjusted 2026]]/$L736,0)</f>
        <v>1</v>
      </c>
      <c r="BD736" s="77">
        <f>ROUNDUP(tbl_Data[[#This Row],[Adjusted 2027]]/$L736,0)</f>
        <v>1</v>
      </c>
      <c r="BE736" s="77">
        <f>ROUNDUP(tbl_Data[[#This Row],[Adjusted 2028]]/$L736,0)</f>
        <v>1</v>
      </c>
      <c r="BF736" s="77">
        <f>ROUNDUP(tbl_Data[[#This Row],[Adjusted 2029]]/$L736,0)</f>
        <v>1</v>
      </c>
      <c r="BG736" s="77">
        <f>ROUNDUP(tbl_Data[[#This Row],[Adjusted 2030]]/$L736,0)</f>
        <v>1</v>
      </c>
      <c r="BH736" s="77">
        <f>ROUNDUP(tbl_Data[[#This Row],[Adjusted 2031]]/$L736,0)</f>
        <v>1</v>
      </c>
      <c r="BI736" s="77">
        <f>ROUNDUP(tbl_Data[[#This Row],[Adjusted 2032]]/$L736,0)</f>
        <v>1</v>
      </c>
      <c r="BJ736" s="77">
        <f>ROUNDUP(tbl_Data[[#This Row],[Adjusted 2033]]/$L736,0)</f>
        <v>1</v>
      </c>
      <c r="BK736" s="77">
        <f>ROUNDUP(tbl_Data[[#This Row],[Adjusted 2034]]/$L736,0)</f>
        <v>1</v>
      </c>
      <c r="BL736" s="80">
        <f t="shared" si="298"/>
        <v>0.44209414547248688</v>
      </c>
      <c r="BM736" s="80">
        <f t="shared" si="299"/>
        <v>0.57397482404271483</v>
      </c>
      <c r="BN736" s="80">
        <f t="shared" si="300"/>
        <v>0.72667758273613448</v>
      </c>
      <c r="BO736" s="80">
        <f t="shared" si="301"/>
        <v>0.90805365944419247</v>
      </c>
      <c r="BP736" s="80">
        <f t="shared" si="302"/>
        <v>1.0994627491406739</v>
      </c>
      <c r="BQ736" s="80">
        <f t="shared" si="303"/>
        <v>1.2956588020743436</v>
      </c>
      <c r="BR736" s="80">
        <f t="shared" si="304"/>
        <v>1.4790963054852158</v>
      </c>
      <c r="BS736" s="80">
        <f t="shared" si="305"/>
        <v>1.6231019276191354</v>
      </c>
      <c r="BT736" s="80">
        <f t="shared" si="306"/>
        <v>1.7116954988409492</v>
      </c>
      <c r="BU736" s="80">
        <f t="shared" si="307"/>
        <v>1.7228811626507048</v>
      </c>
      <c r="BV736" s="80">
        <f>IFERROR(VLOOKUP($H736,'1. Set Program Names'!$B$2:$D$15,3,0)*V736,"NA")</f>
        <v>0.13488354265420122</v>
      </c>
      <c r="BW736" s="80">
        <f>IFERROR(VLOOKUP($H736,'1. Set Program Names'!$B$2:$D$15,3,0)*W736,"NA")</f>
        <v>0.17512052230065386</v>
      </c>
      <c r="BX736" s="80">
        <f>IFERROR(VLOOKUP($H736,'1. Set Program Names'!$B$2:$D$15,3,0)*X736,"NA")</f>
        <v>0.22171034774071932</v>
      </c>
      <c r="BY736" s="80">
        <f>IFERROR(VLOOKUP($H736,'1. Set Program Names'!$B$2:$D$15,3,0)*Y736,"NA")</f>
        <v>0.27704844264572309</v>
      </c>
      <c r="BZ736" s="80">
        <f>IFERROR(VLOOKUP($H736,'1. Set Program Names'!$B$2:$D$15,3,0)*Z736,"NA")</f>
        <v>0.33544762385832277</v>
      </c>
      <c r="CA736" s="80">
        <f>IFERROR(VLOOKUP($H736,'1. Set Program Names'!$B$2:$D$15,3,0)*AA736,"NA")</f>
        <v>0.39530731425567384</v>
      </c>
      <c r="CB736" s="80">
        <f>IFERROR(VLOOKUP($H736,'1. Set Program Names'!$B$2:$D$15,3,0)*AB736,"NA")</f>
        <v>0.45127435333341792</v>
      </c>
      <c r="CC736" s="80">
        <f>IFERROR(VLOOKUP($H736,'1. Set Program Names'!$B$2:$D$15,3,0)*AC736,"NA")</f>
        <v>0.49521067023439386</v>
      </c>
      <c r="CD736" s="80">
        <f>IFERROR(VLOOKUP($H736,'1. Set Program Names'!$B$2:$D$15,3,0)*AD736,"NA")</f>
        <v>0.52224069283289309</v>
      </c>
      <c r="CE736" s="80">
        <f>IFERROR(VLOOKUP($H736,'1. Set Program Names'!$B$2:$D$15,3,0)*AE736,"NA")</f>
        <v>0.52565345451962897</v>
      </c>
    </row>
    <row r="737" spans="1:83" x14ac:dyDescent="0.25">
      <c r="A737" s="79" t="s">
        <v>115</v>
      </c>
      <c r="B737" s="79" t="s">
        <v>88</v>
      </c>
      <c r="C737" s="79" t="s">
        <v>176</v>
      </c>
      <c r="D737" s="79" t="s">
        <v>90</v>
      </c>
      <c r="E737" s="79" t="s">
        <v>91</v>
      </c>
      <c r="F737" s="79" t="s">
        <v>90</v>
      </c>
      <c r="G737" s="79" t="s">
        <v>92</v>
      </c>
      <c r="H737" s="79" t="s">
        <v>18</v>
      </c>
      <c r="I737" s="79" t="s">
        <v>177</v>
      </c>
      <c r="J737" s="79" t="s">
        <v>178</v>
      </c>
      <c r="K737" s="79" t="s">
        <v>102</v>
      </c>
      <c r="L737" s="79">
        <v>25265.069999999901</v>
      </c>
      <c r="M737" s="79">
        <v>3.0268587641170099</v>
      </c>
      <c r="N737" s="79">
        <v>2.9158027991200801</v>
      </c>
      <c r="O737" s="79">
        <v>7160.52</v>
      </c>
      <c r="P737" s="79">
        <v>2094.8798923726799</v>
      </c>
      <c r="Q737" s="79">
        <v>799.59389150061804</v>
      </c>
      <c r="R737" s="79">
        <v>8516.48438813961</v>
      </c>
      <c r="S737" s="79">
        <v>20321.770915365199</v>
      </c>
      <c r="T737" s="79">
        <v>10</v>
      </c>
      <c r="U737" s="79">
        <v>1</v>
      </c>
      <c r="V737" s="79">
        <f>tbl_Data_old[[#This Row],[2025 ]]*IFERROR(AVERAGEIFS('Participation Adjustment'!$C:$C,'Participation Adjustment'!$A:$A,$H737,'Participation Adjustment'!$B:$B,$I737),1)</f>
        <v>0.42323052669080502</v>
      </c>
      <c r="W737" s="79">
        <f>tbl_Data_old[[#This Row],[2026 ]]*IFERROR(AVERAGEIFS('Participation Adjustment'!$C:$C,'Participation Adjustment'!$A:$A,$H737,'Participation Adjustment'!$B:$B,$I737),1)</f>
        <v>0.82683409967673005</v>
      </c>
      <c r="X737" s="79">
        <f>tbl_Data_old[[#This Row],[2027 ]]*IFERROR(AVERAGEIFS('Participation Adjustment'!$C:$C,'Participation Adjustment'!$A:$A,$H737,'Participation Adjustment'!$B:$B,$I737),1)</f>
        <v>1.2065700839140701</v>
      </c>
      <c r="Y737" s="79">
        <f>tbl_Data_old[[#This Row],[2028 ]]*IFERROR(AVERAGEIFS('Participation Adjustment'!$C:$C,'Participation Adjustment'!$A:$A,$H737,'Participation Adjustment'!$B:$B,$I737),1)</f>
        <v>1.5640679519565499</v>
      </c>
      <c r="Z737" s="79">
        <f>tbl_Data_old[[#This Row],[2029 ]]*IFERROR(AVERAGEIFS('Participation Adjustment'!$C:$C,'Participation Adjustment'!$A:$A,$H737,'Participation Adjustment'!$B:$B,$I737),1)</f>
        <v>1.8976180445587001</v>
      </c>
      <c r="AA737" s="79">
        <f>tbl_Data_old[[#This Row],[2030 ]]*IFERROR(AVERAGEIFS('Participation Adjustment'!$C:$C,'Participation Adjustment'!$A:$A,$H737,'Participation Adjustment'!$B:$B,$I737),1)</f>
        <v>2.2079604917003999</v>
      </c>
      <c r="AB737" s="79">
        <f>tbl_Data_old[[#This Row],[2031 ]]*IFERROR(AVERAGEIFS('Participation Adjustment'!$C:$C,'Participation Adjustment'!$A:$A,$H737,'Participation Adjustment'!$B:$B,$I737),1)</f>
        <v>2.4964174094718601</v>
      </c>
      <c r="AC737" s="79">
        <f>tbl_Data_old[[#This Row],[2032 ]]*IFERROR(AVERAGEIFS('Participation Adjustment'!$C:$C,'Participation Adjustment'!$A:$A,$H737,'Participation Adjustment'!$B:$B,$I737),1)</f>
        <v>2.7634078090181999</v>
      </c>
      <c r="AD737" s="79">
        <f>tbl_Data_old[[#This Row],[2033 ]]*IFERROR(AVERAGEIFS('Participation Adjustment'!$C:$C,'Participation Adjustment'!$A:$A,$H737,'Participation Adjustment'!$B:$B,$I737),1)</f>
        <v>3.01121863375222</v>
      </c>
      <c r="AE737" s="79">
        <f>tbl_Data_old[[#This Row],[2034 ]]*IFERROR(AVERAGEIFS('Participation Adjustment'!$C:$C,'Participation Adjustment'!$A:$A,$H737,'Participation Adjustment'!$B:$B,$I737),1)</f>
        <v>3.2412463372510301</v>
      </c>
      <c r="AF737" s="77" t="str">
        <f t="shared" si="297"/>
        <v>NonResidential</v>
      </c>
      <c r="AG737" s="77" t="str">
        <f>tbl_Data[[#This Row],[All_Meas_Name_Append]]</f>
        <v>Airside economizer_13</v>
      </c>
      <c r="AH737" s="77">
        <f>AVERAGEIFS('3. Incentive Adjustment'!G:G,'3. Incentive Adjustment'!A:A,tbl_Data[[#This Row],[Trimmed Sector]],'3. Incentive Adjustment'!B:B,tbl_Data[[#This Row],[Trimmed Measure Name]])</f>
        <v>1</v>
      </c>
      <c r="AI737" s="77">
        <f>$AH737*tbl_Data[[#This Row],[2025 ]]</f>
        <v>0.42323052669080502</v>
      </c>
      <c r="AJ737" s="77">
        <f>$AH737*tbl_Data[[#This Row],[2026 ]]</f>
        <v>0.82683409967673005</v>
      </c>
      <c r="AK737" s="77">
        <f>$AH737*tbl_Data[[#This Row],[2027 ]]</f>
        <v>1.2065700839140701</v>
      </c>
      <c r="AL737" s="77">
        <f>$AH737*tbl_Data[[#This Row],[2028 ]]</f>
        <v>1.5640679519565499</v>
      </c>
      <c r="AM737" s="77">
        <f>$AH737*tbl_Data[[#This Row],[2029 ]]</f>
        <v>1.8976180445587001</v>
      </c>
      <c r="AN737" s="77">
        <f>$AH737*tbl_Data[[#This Row],[2030 ]]</f>
        <v>2.2079604917003999</v>
      </c>
      <c r="AO737" s="77">
        <f>$AH737*tbl_Data[[#This Row],[2031 ]]</f>
        <v>2.4964174094718601</v>
      </c>
      <c r="AP737" s="77">
        <f>$AH737*tbl_Data[[#This Row],[2032 ]]</f>
        <v>2.7634078090181999</v>
      </c>
      <c r="AQ737" s="77">
        <f>$AH737*tbl_Data[[#This Row],[2033 ]]</f>
        <v>3.01121863375222</v>
      </c>
      <c r="AR737" s="77">
        <f>$AH737*tbl_Data[[#This Row],[2034 ]]</f>
        <v>3.2412463372510301</v>
      </c>
      <c r="AS737" s="77">
        <f>SUM(tbl_Data[[#This Row],[Adjusted 2025]:[Adjusted 2034]])</f>
        <v>19.638571387990563</v>
      </c>
      <c r="AT737" s="80">
        <f>AVERAGEIFS('3. Incentive Adjustment'!F:F,'3. Incentive Adjustment'!A:A,tbl_Data[[#This Row],[Trimmed Sector]],'3. Incentive Adjustment'!B:B,tbl_Data[[#This Row],[Trimmed Measure Name]])</f>
        <v>2094.8798923726795</v>
      </c>
      <c r="AU737" s="80">
        <f>IFERROR(VLOOKUP(tbl_Data[[#This Row],[All_Meas_Name_Append]],'IRA Tax Credits'!$A$3:$D$46,4,0),0)</f>
        <v>0</v>
      </c>
      <c r="AV737" s="81">
        <f>tbl_Data[[#This Row],[Adj. per unit Incentive ($)]]/tbl_Data[[#This Row],[kWh Savings]]*tbl_Data[[#This Row],[Sum of Annuals]]</f>
        <v>1.6283528332051727</v>
      </c>
      <c r="AW737" s="81">
        <f>IFERROR(VLOOKUP(tbl_Data[[#This Row],[Column1]],'1. Set Program Names'!$B$2:$D$15,3,0)*tbl_Data[[#This Row],[Sum of Annuals]],"")</f>
        <v>0.62152535970159983</v>
      </c>
      <c r="AX737" s="81">
        <f>tbl_Data[[#This Row],[per unit IRA tax ($)]]/tbl_Data[[#This Row],[kWh Savings]]*tbl_Data[[#This Row],[Sum of Annuals]]</f>
        <v>0</v>
      </c>
      <c r="AY737" s="81">
        <f>tbl_Data[[#This Row],[Avoided Costs ($/unit)]]/tbl_Data[[#This Row],[kWh Savings]]*tbl_Data[[#This Row],[Sum of Annuals]]</f>
        <v>6.6198742624179356</v>
      </c>
      <c r="AZ737" s="81">
        <f>tbl_Data[[#This Row],[Lost Revenue ($/unit)]]/tbl_Data[[#This Row],[kWh Savings]]*tbl_Data[[#This Row],[Sum of Annuals]]</f>
        <v>15.796138655138948</v>
      </c>
      <c r="BA737" s="81">
        <f>tbl_Data[[#This Row],[Incremental Cost ($/unit)]]/tbl_Data[[#This Row],[kWh Savings]]*tbl_Data[[#This Row],[Sum of Annuals]]</f>
        <v>5.5658814004922501</v>
      </c>
      <c r="BB737" s="77">
        <f>ROUNDUP(tbl_Data[[#This Row],[Adjusted 2025]]/$L737,0)</f>
        <v>1</v>
      </c>
      <c r="BC737" s="77">
        <f>ROUNDUP(tbl_Data[[#This Row],[Adjusted 2026]]/$L737,0)</f>
        <v>1</v>
      </c>
      <c r="BD737" s="77">
        <f>ROUNDUP(tbl_Data[[#This Row],[Adjusted 2027]]/$L737,0)</f>
        <v>1</v>
      </c>
      <c r="BE737" s="77">
        <f>ROUNDUP(tbl_Data[[#This Row],[Adjusted 2028]]/$L737,0)</f>
        <v>1</v>
      </c>
      <c r="BF737" s="77">
        <f>ROUNDUP(tbl_Data[[#This Row],[Adjusted 2029]]/$L737,0)</f>
        <v>1</v>
      </c>
      <c r="BG737" s="77">
        <f>ROUNDUP(tbl_Data[[#This Row],[Adjusted 2030]]/$L737,0)</f>
        <v>1</v>
      </c>
      <c r="BH737" s="77">
        <f>ROUNDUP(tbl_Data[[#This Row],[Adjusted 2031]]/$L737,0)</f>
        <v>1</v>
      </c>
      <c r="BI737" s="77">
        <f>ROUNDUP(tbl_Data[[#This Row],[Adjusted 2032]]/$L737,0)</f>
        <v>1</v>
      </c>
      <c r="BJ737" s="77">
        <f>ROUNDUP(tbl_Data[[#This Row],[Adjusted 2033]]/$L737,0)</f>
        <v>1</v>
      </c>
      <c r="BK737" s="77">
        <f>ROUNDUP(tbl_Data[[#This Row],[Adjusted 2034]]/$L737,0)</f>
        <v>1</v>
      </c>
      <c r="BL737" s="80">
        <f t="shared" si="298"/>
        <v>3.5092604936494118E-2</v>
      </c>
      <c r="BM737" s="80">
        <f t="shared" si="299"/>
        <v>6.855782033221583E-2</v>
      </c>
      <c r="BN737" s="80">
        <f t="shared" si="300"/>
        <v>0.10004402946558279</v>
      </c>
      <c r="BO737" s="80">
        <f t="shared" si="301"/>
        <v>0.12968634176981528</v>
      </c>
      <c r="BP737" s="80">
        <f t="shared" si="302"/>
        <v>0.15734299904768123</v>
      </c>
      <c r="BQ737" s="80">
        <f t="shared" si="303"/>
        <v>0.18307536995608878</v>
      </c>
      <c r="BR737" s="80">
        <f t="shared" si="304"/>
        <v>0.20699307914332768</v>
      </c>
      <c r="BS737" s="80">
        <f t="shared" si="305"/>
        <v>0.22913086935986685</v>
      </c>
      <c r="BT737" s="80">
        <f t="shared" si="306"/>
        <v>0.24967836492776319</v>
      </c>
      <c r="BU737" s="80">
        <f t="shared" si="307"/>
        <v>0.26875135426633712</v>
      </c>
      <c r="BV737" s="80">
        <f>IFERROR(VLOOKUP($H737,'1. Set Program Names'!$B$2:$D$15,3,0)*V737,"NA")</f>
        <v>1.3394482732031126E-2</v>
      </c>
      <c r="BW737" s="80">
        <f>IFERROR(VLOOKUP($H737,'1. Set Program Names'!$B$2:$D$15,3,0)*W737,"NA")</f>
        <v>2.6167807783074728E-2</v>
      </c>
      <c r="BX737" s="80">
        <f>IFERROR(VLOOKUP($H737,'1. Set Program Names'!$B$2:$D$15,3,0)*X737,"NA")</f>
        <v>3.8185766703400403E-2</v>
      </c>
      <c r="BY737" s="80">
        <f>IFERROR(VLOOKUP($H737,'1. Set Program Names'!$B$2:$D$15,3,0)*Y737,"NA")</f>
        <v>4.9499929360035097E-2</v>
      </c>
      <c r="BZ737" s="80">
        <f>IFERROR(VLOOKUP($H737,'1. Set Program Names'!$B$2:$D$15,3,0)*Z737,"NA")</f>
        <v>6.0056188121801649E-2</v>
      </c>
      <c r="CA737" s="80">
        <f>IFERROR(VLOOKUP($H737,'1. Set Program Names'!$B$2:$D$15,3,0)*AA737,"NA")</f>
        <v>6.9877966767491417E-2</v>
      </c>
      <c r="CB737" s="80">
        <f>IFERROR(VLOOKUP($H737,'1. Set Program Names'!$B$2:$D$15,3,0)*AB737,"NA")</f>
        <v>7.9007107886481229E-2</v>
      </c>
      <c r="CC737" s="80">
        <f>IFERROR(VLOOKUP($H737,'1. Set Program Names'!$B$2:$D$15,3,0)*AC737,"NA")</f>
        <v>8.7456872425687462E-2</v>
      </c>
      <c r="CD737" s="80">
        <f>IFERROR(VLOOKUP($H737,'1. Set Program Names'!$B$2:$D$15,3,0)*AD737,"NA")</f>
        <v>9.529963801885831E-2</v>
      </c>
      <c r="CE737" s="80">
        <f>IFERROR(VLOOKUP($H737,'1. Set Program Names'!$B$2:$D$15,3,0)*AE737,"NA")</f>
        <v>0.10257959990273847</v>
      </c>
    </row>
    <row r="738" spans="1:83" x14ac:dyDescent="0.25">
      <c r="A738" s="79" t="s">
        <v>115</v>
      </c>
      <c r="B738" s="79" t="s">
        <v>88</v>
      </c>
      <c r="C738" s="79" t="s">
        <v>176</v>
      </c>
      <c r="D738" s="79" t="s">
        <v>90</v>
      </c>
      <c r="E738" s="79" t="s">
        <v>91</v>
      </c>
      <c r="F738" s="79" t="s">
        <v>90</v>
      </c>
      <c r="G738" s="79" t="s">
        <v>92</v>
      </c>
      <c r="H738" s="79" t="s">
        <v>18</v>
      </c>
      <c r="I738" s="79" t="s">
        <v>185</v>
      </c>
      <c r="J738" s="79" t="s">
        <v>178</v>
      </c>
      <c r="K738" s="79" t="s">
        <v>102</v>
      </c>
      <c r="L738" s="79">
        <v>37372.818333333198</v>
      </c>
      <c r="M738" s="79">
        <v>4.4774165562178503</v>
      </c>
      <c r="N738" s="79">
        <v>4.3131393780955101</v>
      </c>
      <c r="O738" s="79">
        <v>14201.670833333301</v>
      </c>
      <c r="P738" s="79">
        <v>6684.0523958317799</v>
      </c>
      <c r="Q738" s="79">
        <v>1182.7822858791001</v>
      </c>
      <c r="R738" s="79">
        <v>15980.395267902501</v>
      </c>
      <c r="S738" s="79">
        <v>39692.564194744999</v>
      </c>
      <c r="T738" s="79">
        <v>15</v>
      </c>
      <c r="U738" s="79">
        <v>1</v>
      </c>
      <c r="V738" s="79">
        <f>tbl_Data_old[[#This Row],[2025 ]]*IFERROR(AVERAGEIFS('Participation Adjustment'!$C:$C,'Participation Adjustment'!$A:$A,$H738,'Participation Adjustment'!$B:$B,$I738),1)</f>
        <v>2.3824747585142498</v>
      </c>
      <c r="W738" s="79">
        <f>tbl_Data_old[[#This Row],[2026 ]]*IFERROR(AVERAGEIFS('Participation Adjustment'!$C:$C,'Participation Adjustment'!$A:$A,$H738,'Participation Adjustment'!$B:$B,$I738),1)</f>
        <v>5.0928277585291903</v>
      </c>
      <c r="X738" s="79">
        <f>tbl_Data_old[[#This Row],[2027 ]]*IFERROR(AVERAGEIFS('Participation Adjustment'!$C:$C,'Participation Adjustment'!$A:$A,$H738,'Participation Adjustment'!$B:$B,$I738),1)</f>
        <v>8.0888901462188407</v>
      </c>
      <c r="Y738" s="79">
        <f>tbl_Data_old[[#This Row],[2028 ]]*IFERROR(AVERAGEIFS('Participation Adjustment'!$C:$C,'Participation Adjustment'!$A:$A,$H738,'Participation Adjustment'!$B:$B,$I738),1)</f>
        <v>11.3715617495012</v>
      </c>
      <c r="Z738" s="79">
        <f>tbl_Data_old[[#This Row],[2029 ]]*IFERROR(AVERAGEIFS('Participation Adjustment'!$C:$C,'Participation Adjustment'!$A:$A,$H738,'Participation Adjustment'!$B:$B,$I738),1)</f>
        <v>14.898518594914499</v>
      </c>
      <c r="AA738" s="79">
        <f>tbl_Data_old[[#This Row],[2030 ]]*IFERROR(AVERAGEIFS('Participation Adjustment'!$C:$C,'Participation Adjustment'!$A:$A,$H738,'Participation Adjustment'!$B:$B,$I738),1)</f>
        <v>18.654695175881699</v>
      </c>
      <c r="AB738" s="79">
        <f>tbl_Data_old[[#This Row],[2031 ]]*IFERROR(AVERAGEIFS('Participation Adjustment'!$C:$C,'Participation Adjustment'!$A:$A,$H738,'Participation Adjustment'!$B:$B,$I738),1)</f>
        <v>22.627566415650701</v>
      </c>
      <c r="AC738" s="79">
        <f>tbl_Data_old[[#This Row],[2032 ]]*IFERROR(AVERAGEIFS('Participation Adjustment'!$C:$C,'Participation Adjustment'!$A:$A,$H738,'Participation Adjustment'!$B:$B,$I738),1)</f>
        <v>26.794911932369001</v>
      </c>
      <c r="AD738" s="79">
        <f>tbl_Data_old[[#This Row],[2033 ]]*IFERROR(AVERAGEIFS('Participation Adjustment'!$C:$C,'Participation Adjustment'!$A:$A,$H738,'Participation Adjustment'!$B:$B,$I738),1)</f>
        <v>31.154978821269498</v>
      </c>
      <c r="AE738" s="79">
        <f>tbl_Data_old[[#This Row],[2034 ]]*IFERROR(AVERAGEIFS('Participation Adjustment'!$C:$C,'Participation Adjustment'!$A:$A,$H738,'Participation Adjustment'!$B:$B,$I738),1)</f>
        <v>35.6976016511422</v>
      </c>
      <c r="AF738" s="77" t="str">
        <f t="shared" si="297"/>
        <v>NonResidential</v>
      </c>
      <c r="AG738" s="77" t="str">
        <f>tbl_Data[[#This Row],[All_Meas_Name_Append]]</f>
        <v>Custom Measure - Non-Lighting_70</v>
      </c>
      <c r="AH738" s="77">
        <f>AVERAGEIFS('3. Incentive Adjustment'!G:G,'3. Incentive Adjustment'!A:A,tbl_Data[[#This Row],[Trimmed Sector]],'3. Incentive Adjustment'!B:B,tbl_Data[[#This Row],[Trimmed Measure Name]])</f>
        <v>0.82269267220071174</v>
      </c>
      <c r="AI738" s="77">
        <f>$AH738*tbl_Data[[#This Row],[2025 ]]</f>
        <v>1.9600445255328336</v>
      </c>
      <c r="AJ738" s="77">
        <f>$AH738*tbl_Data[[#This Row],[2026 ]]</f>
        <v>4.1898320777223406</v>
      </c>
      <c r="AK738" s="77">
        <f>$AH738*tbl_Data[[#This Row],[2027 ]]</f>
        <v>6.6546706495307841</v>
      </c>
      <c r="AL738" s="77">
        <f>$AH738*tbl_Data[[#This Row],[2028 ]]</f>
        <v>9.3553005227925432</v>
      </c>
      <c r="AM738" s="77">
        <f>$AH738*tbl_Data[[#This Row],[2029 ]]</f>
        <v>12.256902074682202</v>
      </c>
      <c r="AN738" s="77">
        <f>$AH738*tbl_Data[[#This Row],[2030 ]]</f>
        <v>15.347081023335841</v>
      </c>
      <c r="AO738" s="77">
        <f>$AH738*tbl_Data[[#This Row],[2031 ]]</f>
        <v>18.615533079890756</v>
      </c>
      <c r="AP738" s="77">
        <f>$AH738*tbl_Data[[#This Row],[2032 ]]</f>
        <v>22.04397769902339</v>
      </c>
      <c r="AQ738" s="77">
        <f>$AH738*tbl_Data[[#This Row],[2033 ]]</f>
        <v>25.630972778826784</v>
      </c>
      <c r="AR738" s="77">
        <f>$AH738*tbl_Data[[#This Row],[2034 ]]</f>
        <v>29.368155293534716</v>
      </c>
      <c r="AS738" s="77">
        <f>SUM(tbl_Data[[#This Row],[Adjusted 2025]:[Adjusted 2034]])</f>
        <v>145.4224697248722</v>
      </c>
      <c r="AT738" s="80">
        <f>AVERAGEIFS('3. Incentive Adjustment'!F:F,'3. Incentive Adjustment'!A:A,tbl_Data[[#This Row],[Trimmed Sector]],'3. Incentive Adjustment'!B:B,tbl_Data[[#This Row],[Trimmed Measure Name]])</f>
        <v>3919.5698976361523</v>
      </c>
      <c r="AU738" s="80">
        <f>IFERROR(VLOOKUP(tbl_Data[[#This Row],[All_Meas_Name_Append]],'IRA Tax Credits'!$A$3:$D$46,4,0),0)</f>
        <v>0</v>
      </c>
      <c r="AV738" s="81">
        <f>tbl_Data[[#This Row],[Adj. per unit Incentive ($)]]/tbl_Data[[#This Row],[kWh Savings]]*tbl_Data[[#This Row],[Sum of Annuals]]</f>
        <v>15.251553406801294</v>
      </c>
      <c r="AW738" s="81">
        <f>IFERROR(VLOOKUP(tbl_Data[[#This Row],[Column1]],'1. Set Program Names'!$B$2:$D$15,3,0)*tbl_Data[[#This Row],[Sum of Annuals]],"")</f>
        <v>4.6023588487560732</v>
      </c>
      <c r="AX738" s="81">
        <f>tbl_Data[[#This Row],[per unit IRA tax ($)]]/tbl_Data[[#This Row],[kWh Savings]]*tbl_Data[[#This Row],[Sum of Annuals]]</f>
        <v>0</v>
      </c>
      <c r="AY738" s="81">
        <f>tbl_Data[[#This Row],[Avoided Costs ($/unit)]]/tbl_Data[[#This Row],[kWh Savings]]*tbl_Data[[#This Row],[Sum of Annuals]]</f>
        <v>62.181784801745195</v>
      </c>
      <c r="AZ738" s="81">
        <f>tbl_Data[[#This Row],[Lost Revenue ($/unit)]]/tbl_Data[[#This Row],[kWh Savings]]*tbl_Data[[#This Row],[Sum of Annuals]]</f>
        <v>154.44890089449248</v>
      </c>
      <c r="BA738" s="81">
        <f>tbl_Data[[#This Row],[Incremental Cost ($/unit)]]/tbl_Data[[#This Row],[kWh Savings]]*tbl_Data[[#This Row],[Sum of Annuals]]</f>
        <v>55.260537976634268</v>
      </c>
      <c r="BB738" s="77">
        <f>ROUNDUP(tbl_Data[[#This Row],[Adjusted 2025]]/$L738,0)</f>
        <v>1</v>
      </c>
      <c r="BC738" s="77">
        <f>ROUNDUP(tbl_Data[[#This Row],[Adjusted 2026]]/$L738,0)</f>
        <v>1</v>
      </c>
      <c r="BD738" s="77">
        <f>ROUNDUP(tbl_Data[[#This Row],[Adjusted 2027]]/$L738,0)</f>
        <v>1</v>
      </c>
      <c r="BE738" s="77">
        <f>ROUNDUP(tbl_Data[[#This Row],[Adjusted 2028]]/$L738,0)</f>
        <v>1</v>
      </c>
      <c r="BF738" s="77">
        <f>ROUNDUP(tbl_Data[[#This Row],[Adjusted 2029]]/$L738,0)</f>
        <v>1</v>
      </c>
      <c r="BG738" s="77">
        <f>ROUNDUP(tbl_Data[[#This Row],[Adjusted 2030]]/$L738,0)</f>
        <v>1</v>
      </c>
      <c r="BH738" s="77">
        <f>ROUNDUP(tbl_Data[[#This Row],[Adjusted 2031]]/$L738,0)</f>
        <v>1</v>
      </c>
      <c r="BI738" s="77">
        <f>ROUNDUP(tbl_Data[[#This Row],[Adjusted 2032]]/$L738,0)</f>
        <v>1</v>
      </c>
      <c r="BJ738" s="77">
        <f>ROUNDUP(tbl_Data[[#This Row],[Adjusted 2033]]/$L738,0)</f>
        <v>1</v>
      </c>
      <c r="BK738" s="77">
        <f>ROUNDUP(tbl_Data[[#This Row],[Adjusted 2034]]/$L738,0)</f>
        <v>1</v>
      </c>
      <c r="BL738" s="80">
        <f t="shared" si="298"/>
        <v>0.24986813309237402</v>
      </c>
      <c r="BM738" s="80">
        <f t="shared" si="299"/>
        <v>0.53412333525761357</v>
      </c>
      <c r="BN738" s="80">
        <f t="shared" si="300"/>
        <v>0.84834304011070738</v>
      </c>
      <c r="BO738" s="80">
        <f t="shared" si="301"/>
        <v>1.1926216194057195</v>
      </c>
      <c r="BP738" s="80">
        <f t="shared" si="302"/>
        <v>1.5625202381891423</v>
      </c>
      <c r="BQ738" s="80">
        <f t="shared" si="303"/>
        <v>1.9564588629311166</v>
      </c>
      <c r="BR738" s="80">
        <f t="shared" si="304"/>
        <v>2.3731238941764112</v>
      </c>
      <c r="BS738" s="80">
        <f t="shared" si="305"/>
        <v>2.8101849125532188</v>
      </c>
      <c r="BT738" s="80">
        <f t="shared" si="306"/>
        <v>3.2674580776913191</v>
      </c>
      <c r="BU738" s="80">
        <f t="shared" si="307"/>
        <v>3.7438772639961213</v>
      </c>
      <c r="BV738" s="80">
        <f>IFERROR(VLOOKUP($H738,'1. Set Program Names'!$B$2:$D$15,3,0)*V738,"NA")</f>
        <v>7.5401028517332741E-2</v>
      </c>
      <c r="BW738" s="80">
        <f>IFERROR(VLOOKUP($H738,'1. Set Program Names'!$B$2:$D$15,3,0)*W738,"NA")</f>
        <v>0.1611788119401503</v>
      </c>
      <c r="BX738" s="80">
        <f>IFERROR(VLOOKUP($H738,'1. Set Program Names'!$B$2:$D$15,3,0)*X738,"NA")</f>
        <v>0.25599878211048449</v>
      </c>
      <c r="BY738" s="80">
        <f>IFERROR(VLOOKUP($H738,'1. Set Program Names'!$B$2:$D$15,3,0)*Y738,"NA")</f>
        <v>0.35988941695879961</v>
      </c>
      <c r="BZ738" s="80">
        <f>IFERROR(VLOOKUP($H738,'1. Set Program Names'!$B$2:$D$15,3,0)*Z738,"NA")</f>
        <v>0.47151123907046477</v>
      </c>
      <c r="CA738" s="80">
        <f>IFERROR(VLOOKUP($H738,'1. Set Program Names'!$B$2:$D$15,3,0)*AA738,"NA")</f>
        <v>0.59038745233799406</v>
      </c>
      <c r="CB738" s="80">
        <f>IFERROR(VLOOKUP($H738,'1. Set Program Names'!$B$2:$D$15,3,0)*AB738,"NA")</f>
        <v>0.71612166067534633</v>
      </c>
      <c r="CC738" s="80">
        <f>IFERROR(VLOOKUP($H738,'1. Set Program Names'!$B$2:$D$15,3,0)*AC738,"NA")</f>
        <v>0.84801062907877622</v>
      </c>
      <c r="CD738" s="80">
        <f>IFERROR(VLOOKUP($H738,'1. Set Program Names'!$B$2:$D$15,3,0)*AD738,"NA")</f>
        <v>0.98599888127435487</v>
      </c>
      <c r="CE738" s="80">
        <f>IFERROR(VLOOKUP($H738,'1. Set Program Names'!$B$2:$D$15,3,0)*AE738,"NA")</f>
        <v>1.1297646997010393</v>
      </c>
    </row>
    <row r="739" spans="1:83" x14ac:dyDescent="0.25">
      <c r="A739" s="79" t="s">
        <v>115</v>
      </c>
      <c r="B739" s="79" t="s">
        <v>88</v>
      </c>
      <c r="C739" s="79" t="s">
        <v>176</v>
      </c>
      <c r="D739" s="79" t="s">
        <v>90</v>
      </c>
      <c r="E739" s="79" t="s">
        <v>91</v>
      </c>
      <c r="F739" s="79" t="s">
        <v>90</v>
      </c>
      <c r="G739" s="79" t="s">
        <v>92</v>
      </c>
      <c r="H739" s="79" t="s">
        <v>18</v>
      </c>
      <c r="I739" s="79" t="s">
        <v>187</v>
      </c>
      <c r="J739" s="79" t="s">
        <v>137</v>
      </c>
      <c r="K739" s="79" t="s">
        <v>98</v>
      </c>
      <c r="L739" s="79">
        <v>16575.9941666665</v>
      </c>
      <c r="M739" s="79">
        <v>1.98609088803711</v>
      </c>
      <c r="N739" s="79">
        <v>1.91315479867159</v>
      </c>
      <c r="O739" s="79">
        <v>5440</v>
      </c>
      <c r="P739" s="79">
        <v>2106.6717861739999</v>
      </c>
      <c r="Q739" s="79">
        <v>524.60031502847596</v>
      </c>
      <c r="R739" s="79">
        <v>7087.6591263841001</v>
      </c>
      <c r="S739" s="79">
        <v>17604.872789732901</v>
      </c>
      <c r="T739" s="79">
        <v>15</v>
      </c>
      <c r="U739" s="79">
        <v>1</v>
      </c>
      <c r="V739" s="79">
        <f>tbl_Data_old[[#This Row],[2025 ]]*IFERROR(AVERAGEIFS('Participation Adjustment'!$C:$C,'Participation Adjustment'!$A:$A,$H739,'Participation Adjustment'!$B:$B,$I739),1)</f>
        <v>1.1375669923159699</v>
      </c>
      <c r="W739" s="79">
        <f>tbl_Data_old[[#This Row],[2026 ]]*IFERROR(AVERAGEIFS('Participation Adjustment'!$C:$C,'Participation Adjustment'!$A:$A,$H739,'Participation Adjustment'!$B:$B,$I739),1)</f>
        <v>2.7094368810127798</v>
      </c>
      <c r="X739" s="79">
        <f>tbl_Data_old[[#This Row],[2027 ]]*IFERROR(AVERAGEIFS('Participation Adjustment'!$C:$C,'Participation Adjustment'!$A:$A,$H739,'Participation Adjustment'!$B:$B,$I739),1)</f>
        <v>4.8134785142908596</v>
      </c>
      <c r="Y739" s="79">
        <f>tbl_Data_old[[#This Row],[2028 ]]*IFERROR(AVERAGEIFS('Participation Adjustment'!$C:$C,'Participation Adjustment'!$A:$A,$H739,'Participation Adjustment'!$B:$B,$I739),1)</f>
        <v>7.5604198824697502</v>
      </c>
      <c r="Z739" s="79">
        <f>tbl_Data_old[[#This Row],[2029 ]]*IFERROR(AVERAGEIFS('Participation Adjustment'!$C:$C,'Participation Adjustment'!$A:$A,$H739,'Participation Adjustment'!$B:$B,$I739),1)</f>
        <v>10.990930523401801</v>
      </c>
      <c r="AA739" s="79">
        <f>tbl_Data_old[[#This Row],[2030 ]]*IFERROR(AVERAGEIFS('Participation Adjustment'!$C:$C,'Participation Adjustment'!$A:$A,$H739,'Participation Adjustment'!$B:$B,$I739),1)</f>
        <v>15.065570482794501</v>
      </c>
      <c r="AB739" s="79">
        <f>tbl_Data_old[[#This Row],[2031 ]]*IFERROR(AVERAGEIFS('Participation Adjustment'!$C:$C,'Participation Adjustment'!$A:$A,$H739,'Participation Adjustment'!$B:$B,$I739),1)</f>
        <v>19.611109878261399</v>
      </c>
      <c r="AC739" s="79">
        <f>tbl_Data_old[[#This Row],[2032 ]]*IFERROR(AVERAGEIFS('Participation Adjustment'!$C:$C,'Participation Adjustment'!$A:$A,$H739,'Participation Adjustment'!$B:$B,$I739),1)</f>
        <v>24.304746799585502</v>
      </c>
      <c r="AD739" s="79">
        <f>tbl_Data_old[[#This Row],[2033 ]]*IFERROR(AVERAGEIFS('Participation Adjustment'!$C:$C,'Participation Adjustment'!$A:$A,$H739,'Participation Adjustment'!$B:$B,$I739),1)</f>
        <v>28.757850918715299</v>
      </c>
      <c r="AE739" s="79">
        <f>tbl_Data_old[[#This Row],[2034 ]]*IFERROR(AVERAGEIFS('Participation Adjustment'!$C:$C,'Participation Adjustment'!$A:$A,$H739,'Participation Adjustment'!$B:$B,$I739),1)</f>
        <v>32.621011300974203</v>
      </c>
      <c r="AF739" s="77" t="str">
        <f t="shared" si="297"/>
        <v>NonResidential</v>
      </c>
      <c r="AG739" s="77" t="str">
        <f>tbl_Data[[#This Row],[All_Meas_Name_Append]]</f>
        <v>High Efficiency Air Compressor</v>
      </c>
      <c r="AH739" s="77">
        <f>AVERAGEIFS('3. Incentive Adjustment'!G:G,'3. Incentive Adjustment'!A:A,tbl_Data[[#This Row],[Trimmed Sector]],'3. Incentive Adjustment'!B:B,tbl_Data[[#This Row],[Trimmed Measure Name]])</f>
        <v>0.94309259342294038</v>
      </c>
      <c r="AI739" s="77">
        <f>$AH739*tbl_Data[[#This Row],[2025 ]]</f>
        <v>1.0728310049756022</v>
      </c>
      <c r="AJ739" s="77">
        <f>$AH739*tbl_Data[[#This Row],[2026 ]]</f>
        <v>2.5552498548301052</v>
      </c>
      <c r="AK739" s="77">
        <f>$AH739*tbl_Data[[#This Row],[2027 ]]</f>
        <v>4.5395559354281687</v>
      </c>
      <c r="AL739" s="77">
        <f>$AH739*tbl_Data[[#This Row],[2028 ]]</f>
        <v>7.1301759943247589</v>
      </c>
      <c r="AM739" s="77">
        <f>$AH739*tbl_Data[[#This Row],[2029 ]]</f>
        <v>10.36546517144636</v>
      </c>
      <c r="AN739" s="77">
        <f>$AH739*tbl_Data[[#This Row],[2030 ]]</f>
        <v>14.208227938014765</v>
      </c>
      <c r="AO739" s="77">
        <f>$AH739*tbl_Data[[#This Row],[2031 ]]</f>
        <v>18.495092474991786</v>
      </c>
      <c r="AP739" s="77">
        <f>$AH739*tbl_Data[[#This Row],[2032 ]]</f>
        <v>22.921626691709001</v>
      </c>
      <c r="AQ739" s="77">
        <f>$AH739*tbl_Data[[#This Row],[2033 ]]</f>
        <v>27.121316204201499</v>
      </c>
      <c r="AR739" s="77">
        <f>$AH739*tbl_Data[[#This Row],[2034 ]]</f>
        <v>30.764634147914808</v>
      </c>
      <c r="AS739" s="77">
        <f>SUM(tbl_Data[[#This Row],[Adjusted 2025]:[Adjusted 2034]])</f>
        <v>139.17417541783686</v>
      </c>
      <c r="AT739" s="80">
        <f>AVERAGEIFS('3. Incentive Adjustment'!F:F,'3. Incentive Adjustment'!A:A,tbl_Data[[#This Row],[Trimmed Sector]],'3. Incentive Adjustment'!B:B,tbl_Data[[#This Row],[Trimmed Measure Name]])</f>
        <v>1738.5866300231887</v>
      </c>
      <c r="AU739" s="80">
        <f>IFERROR(VLOOKUP(tbl_Data[[#This Row],[All_Meas_Name_Append]],'IRA Tax Credits'!$A$3:$D$46,4,0),0)</f>
        <v>0</v>
      </c>
      <c r="AV739" s="81">
        <f>tbl_Data[[#This Row],[Adj. per unit Incentive ($)]]/tbl_Data[[#This Row],[kWh Savings]]*tbl_Data[[#This Row],[Sum of Annuals]]</f>
        <v>14.597396584063443</v>
      </c>
      <c r="AW739" s="81">
        <f>IFERROR(VLOOKUP(tbl_Data[[#This Row],[Column1]],'1. Set Program Names'!$B$2:$D$15,3,0)*tbl_Data[[#This Row],[Sum of Annuals]],"")</f>
        <v>4.4046116048258739</v>
      </c>
      <c r="AX739" s="81">
        <f>tbl_Data[[#This Row],[per unit IRA tax ($)]]/tbl_Data[[#This Row],[kWh Savings]]*tbl_Data[[#This Row],[Sum of Annuals]]</f>
        <v>0</v>
      </c>
      <c r="AY739" s="81">
        <f>tbl_Data[[#This Row],[Avoided Costs ($/unit)]]/tbl_Data[[#This Row],[kWh Savings]]*tbl_Data[[#This Row],[Sum of Annuals]]</f>
        <v>59.508896096310949</v>
      </c>
      <c r="AZ739" s="81">
        <f>tbl_Data[[#This Row],[Lost Revenue ($/unit)]]/tbl_Data[[#This Row],[kWh Savings]]*tbl_Data[[#This Row],[Sum of Annuals]]</f>
        <v>147.81277244740511</v>
      </c>
      <c r="BA739" s="81">
        <f>tbl_Data[[#This Row],[Incremental Cost ($/unit)]]/tbl_Data[[#This Row],[kWh Savings]]*tbl_Data[[#This Row],[Sum of Annuals]]</f>
        <v>45.674938508094925</v>
      </c>
      <c r="BB739" s="77">
        <f>ROUNDUP(tbl_Data[[#This Row],[Adjusted 2025]]/$L739,0)</f>
        <v>1</v>
      </c>
      <c r="BC739" s="77">
        <f>ROUNDUP(tbl_Data[[#This Row],[Adjusted 2026]]/$L739,0)</f>
        <v>1</v>
      </c>
      <c r="BD739" s="77">
        <f>ROUNDUP(tbl_Data[[#This Row],[Adjusted 2027]]/$L739,0)</f>
        <v>1</v>
      </c>
      <c r="BE739" s="77">
        <f>ROUNDUP(tbl_Data[[#This Row],[Adjusted 2028]]/$L739,0)</f>
        <v>1</v>
      </c>
      <c r="BF739" s="77">
        <f>ROUNDUP(tbl_Data[[#This Row],[Adjusted 2029]]/$L739,0)</f>
        <v>1</v>
      </c>
      <c r="BG739" s="77">
        <f>ROUNDUP(tbl_Data[[#This Row],[Adjusted 2030]]/$L739,0)</f>
        <v>1</v>
      </c>
      <c r="BH739" s="77">
        <f>ROUNDUP(tbl_Data[[#This Row],[Adjusted 2031]]/$L739,0)</f>
        <v>1</v>
      </c>
      <c r="BI739" s="77">
        <f>ROUNDUP(tbl_Data[[#This Row],[Adjusted 2032]]/$L739,0)</f>
        <v>1</v>
      </c>
      <c r="BJ739" s="77">
        <f>ROUNDUP(tbl_Data[[#This Row],[Adjusted 2033]]/$L739,0)</f>
        <v>1</v>
      </c>
      <c r="BK739" s="77">
        <f>ROUNDUP(tbl_Data[[#This Row],[Adjusted 2034]]/$L739,0)</f>
        <v>1</v>
      </c>
      <c r="BL739" s="80">
        <f t="shared" si="298"/>
        <v>0.11931463921321904</v>
      </c>
      <c r="BM739" s="80">
        <f t="shared" si="299"/>
        <v>0.28418149094751205</v>
      </c>
      <c r="BN739" s="80">
        <f t="shared" si="300"/>
        <v>0.50486560894663612</v>
      </c>
      <c r="BO739" s="80">
        <f t="shared" si="301"/>
        <v>0.79298078853431431</v>
      </c>
      <c r="BP739" s="80">
        <f t="shared" si="302"/>
        <v>1.1527926872661884</v>
      </c>
      <c r="BQ739" s="80">
        <f t="shared" si="303"/>
        <v>1.5801646134583549</v>
      </c>
      <c r="BR739" s="80">
        <f t="shared" si="304"/>
        <v>2.0569272100026152</v>
      </c>
      <c r="BS739" s="80">
        <f t="shared" si="305"/>
        <v>2.5492231359994544</v>
      </c>
      <c r="BT739" s="80">
        <f t="shared" si="306"/>
        <v>3.0162905834041625</v>
      </c>
      <c r="BU739" s="80">
        <f t="shared" si="307"/>
        <v>3.421481302144703</v>
      </c>
      <c r="BV739" s="80">
        <f>IFERROR(VLOOKUP($H739,'1. Set Program Names'!$B$2:$D$15,3,0)*V739,"NA")</f>
        <v>3.600194332446266E-2</v>
      </c>
      <c r="BW739" s="80">
        <f>IFERROR(VLOOKUP($H739,'1. Set Program Names'!$B$2:$D$15,3,0)*W739,"NA")</f>
        <v>8.5748789908926037E-2</v>
      </c>
      <c r="BX739" s="80">
        <f>IFERROR(VLOOKUP($H739,'1. Set Program Names'!$B$2:$D$15,3,0)*X739,"NA")</f>
        <v>0.1523379122597503</v>
      </c>
      <c r="BY739" s="80">
        <f>IFERROR(VLOOKUP($H739,'1. Set Program Names'!$B$2:$D$15,3,0)*Y739,"NA")</f>
        <v>0.23927365153560409</v>
      </c>
      <c r="BZ739" s="80">
        <f>IFERROR(VLOOKUP($H739,'1. Set Program Names'!$B$2:$D$15,3,0)*Z739,"NA")</f>
        <v>0.34784312524840771</v>
      </c>
      <c r="CA739" s="80">
        <f>IFERROR(VLOOKUP($H739,'1. Set Program Names'!$B$2:$D$15,3,0)*AA739,"NA")</f>
        <v>0.47679812998794474</v>
      </c>
      <c r="CB739" s="80">
        <f>IFERROR(VLOOKUP($H739,'1. Set Program Names'!$B$2:$D$15,3,0)*AB739,"NA")</f>
        <v>0.62065625245468448</v>
      </c>
      <c r="CC739" s="80">
        <f>IFERROR(VLOOKUP($H739,'1. Set Program Names'!$B$2:$D$15,3,0)*AC739,"NA")</f>
        <v>0.76920139447141056</v>
      </c>
      <c r="CD739" s="80">
        <f>IFERROR(VLOOKUP($H739,'1. Set Program Names'!$B$2:$D$15,3,0)*AD739,"NA")</f>
        <v>0.91013410718000132</v>
      </c>
      <c r="CE739" s="80">
        <f>IFERROR(VLOOKUP($H739,'1. Set Program Names'!$B$2:$D$15,3,0)*AE739,"NA")</f>
        <v>1.0323961647773647</v>
      </c>
    </row>
    <row r="740" spans="1:83" x14ac:dyDescent="0.25">
      <c r="A740" s="79" t="s">
        <v>115</v>
      </c>
      <c r="B740" s="79" t="s">
        <v>88</v>
      </c>
      <c r="C740" s="79" t="s">
        <v>176</v>
      </c>
      <c r="D740" s="79" t="s">
        <v>90</v>
      </c>
      <c r="E740" s="79" t="s">
        <v>91</v>
      </c>
      <c r="F740" s="79" t="s">
        <v>90</v>
      </c>
      <c r="G740" s="79" t="s">
        <v>92</v>
      </c>
      <c r="H740" s="79" t="s">
        <v>18</v>
      </c>
      <c r="I740" s="79" t="s">
        <v>157</v>
      </c>
      <c r="J740" s="79" t="s">
        <v>158</v>
      </c>
      <c r="K740" s="79" t="s">
        <v>159</v>
      </c>
      <c r="L740" s="79">
        <v>562.52</v>
      </c>
      <c r="M740" s="79">
        <v>6.7473359330379998E-2</v>
      </c>
      <c r="N740" s="79">
        <v>6.4973258375617293E-2</v>
      </c>
      <c r="O740" s="79">
        <v>169</v>
      </c>
      <c r="P740" s="79">
        <v>55.847956108163899</v>
      </c>
      <c r="Q740" s="79">
        <v>17.802743307140101</v>
      </c>
      <c r="R740" s="79">
        <v>240.47921618074301</v>
      </c>
      <c r="S740" s="79">
        <v>597.43584258705596</v>
      </c>
      <c r="T740" s="79">
        <v>15</v>
      </c>
      <c r="U740" s="79">
        <v>0.2</v>
      </c>
      <c r="V740" s="79">
        <f>tbl_Data_old[[#This Row],[2025 ]]*IFERROR(AVERAGEIFS('Participation Adjustment'!$C:$C,'Participation Adjustment'!$A:$A,$H740,'Participation Adjustment'!$B:$B,$I740),1)</f>
        <v>0.36477452352157852</v>
      </c>
      <c r="W740" s="79">
        <f>tbl_Data_old[[#This Row],[2026 ]]*IFERROR(AVERAGEIFS('Participation Adjustment'!$C:$C,'Participation Adjustment'!$A:$A,$H740,'Participation Adjustment'!$B:$B,$I740),1)</f>
        <v>0.77976654037534499</v>
      </c>
      <c r="X740" s="79">
        <f>tbl_Data_old[[#This Row],[2027 ]]*IFERROR(AVERAGEIFS('Participation Adjustment'!$C:$C,'Participation Adjustment'!$A:$A,$H740,'Participation Adjustment'!$B:$B,$I740),1)</f>
        <v>1.23851955987504</v>
      </c>
      <c r="Y740" s="79">
        <f>tbl_Data_old[[#This Row],[2028 ]]*IFERROR(AVERAGEIFS('Participation Adjustment'!$C:$C,'Participation Adjustment'!$A:$A,$H740,'Participation Adjustment'!$B:$B,$I740),1)</f>
        <v>1.741196795865545</v>
      </c>
      <c r="Z740" s="79">
        <f>tbl_Data_old[[#This Row],[2029 ]]*IFERROR(AVERAGEIFS('Participation Adjustment'!$C:$C,'Participation Adjustment'!$A:$A,$H740,'Participation Adjustment'!$B:$B,$I740),1)</f>
        <v>2.2812866346361851</v>
      </c>
      <c r="AA740" s="79">
        <f>tbl_Data_old[[#This Row],[2030 ]]*IFERROR(AVERAGEIFS('Participation Adjustment'!$C:$C,'Participation Adjustment'!$A:$A,$H740,'Participation Adjustment'!$B:$B,$I740),1)</f>
        <v>2.8564950814339451</v>
      </c>
      <c r="AB740" s="79">
        <f>tbl_Data_old[[#This Row],[2031 ]]*IFERROR(AVERAGEIFS('Participation Adjustment'!$C:$C,'Participation Adjustment'!$A:$A,$H740,'Participation Adjustment'!$B:$B,$I740),1)</f>
        <v>3.4649123203844101</v>
      </c>
      <c r="AC740" s="79">
        <f>tbl_Data_old[[#This Row],[2032 ]]*IFERROR(AVERAGEIFS('Participation Adjustment'!$C:$C,'Participation Adjustment'!$A:$A,$H740,'Participation Adjustment'!$B:$B,$I740),1)</f>
        <v>4.1031178280799256</v>
      </c>
      <c r="AD740" s="79">
        <f>tbl_Data_old[[#This Row],[2033 ]]*IFERROR(AVERAGEIFS('Participation Adjustment'!$C:$C,'Participation Adjustment'!$A:$A,$H740,'Participation Adjustment'!$B:$B,$I740),1)</f>
        <v>4.7708605925958807</v>
      </c>
      <c r="AE740" s="79">
        <f>tbl_Data_old[[#This Row],[2034 ]]*IFERROR(AVERAGEIFS('Participation Adjustment'!$C:$C,'Participation Adjustment'!$A:$A,$H740,'Participation Adjustment'!$B:$B,$I740),1)</f>
        <v>5.4665823762262997</v>
      </c>
      <c r="AF740" s="77" t="str">
        <f t="shared" si="297"/>
        <v>NonResidential</v>
      </c>
      <c r="AG740" s="77" t="str">
        <f>tbl_Data[[#This Row],[All_Meas_Name_Append]]</f>
        <v>LED Exterior Wall Packs</v>
      </c>
      <c r="AH740" s="77">
        <f>AVERAGEIFS('3. Incentive Adjustment'!G:G,'3. Incentive Adjustment'!A:A,tbl_Data[[#This Row],[Trimmed Sector]],'3. Incentive Adjustment'!B:B,tbl_Data[[#This Row],[Trimmed Measure Name]])</f>
        <v>0.80637708305213962</v>
      </c>
      <c r="AI740" s="77">
        <f>$AH740*tbl_Data[[#This Row],[2025 ]]</f>
        <v>0.29414581624906461</v>
      </c>
      <c r="AJ740" s="77">
        <f>$AH740*tbl_Data[[#This Row],[2026 ]]</f>
        <v>0.62878586828952909</v>
      </c>
      <c r="AK740" s="77">
        <f>$AH740*tbl_Data[[#This Row],[2027 ]]</f>
        <v>0.99871378999505456</v>
      </c>
      <c r="AL740" s="77">
        <f>$AH740*tbl_Data[[#This Row],[2028 ]]</f>
        <v>1.40406119326979</v>
      </c>
      <c r="AM740" s="77">
        <f>$AH740*tbl_Data[[#This Row],[2029 ]]</f>
        <v>1.8395772620437592</v>
      </c>
      <c r="AN740" s="77">
        <f>$AH740*tbl_Data[[#This Row],[2030 ]]</f>
        <v>2.3034121715194886</v>
      </c>
      <c r="AO740" s="77">
        <f>$AH740*tbl_Data[[#This Row],[2031 ]]</f>
        <v>2.7940258899430011</v>
      </c>
      <c r="AP740" s="77">
        <f>$AH740*tbl_Data[[#This Row],[2032 ]]</f>
        <v>3.3086601856263211</v>
      </c>
      <c r="AQ740" s="77">
        <f>$AH740*tbl_Data[[#This Row],[2033 ]]</f>
        <v>3.8471126483058686</v>
      </c>
      <c r="AR740" s="77">
        <f>$AH740*tbl_Data[[#This Row],[2034 ]]</f>
        <v>4.4081267508055975</v>
      </c>
      <c r="AS740" s="77">
        <f>SUM(tbl_Data[[#This Row],[Adjusted 2025]:[Adjusted 2034]])</f>
        <v>21.826621576047472</v>
      </c>
      <c r="AT740" s="80">
        <f>AVERAGEIFS('3. Incentive Adjustment'!F:F,'3. Incentive Adjustment'!A:A,tbl_Data[[#This Row],[Trimmed Sector]],'3. Incentive Adjustment'!B:B,tbl_Data[[#This Row],[Trimmed Measure Name]])</f>
        <v>8.6864493556481861</v>
      </c>
      <c r="AU740" s="80">
        <f>IFERROR(VLOOKUP(tbl_Data[[#This Row],[All_Meas_Name_Append]],'IRA Tax Credits'!$A$3:$D$46,4,0),0)</f>
        <v>0</v>
      </c>
      <c r="AV740" s="81">
        <f>tbl_Data[[#This Row],[Adj. per unit Incentive ($)]]/tbl_Data[[#This Row],[kWh Savings]]*tbl_Data[[#This Row],[Sum of Annuals]]</f>
        <v>0.33704729240779768</v>
      </c>
      <c r="AW740" s="81">
        <f>IFERROR(VLOOKUP(tbl_Data[[#This Row],[Column1]],'1. Set Program Names'!$B$2:$D$15,3,0)*tbl_Data[[#This Row],[Sum of Annuals]],"")</f>
        <v>0.69077320127366304</v>
      </c>
      <c r="AX740" s="81">
        <f>tbl_Data[[#This Row],[per unit IRA tax ($)]]/tbl_Data[[#This Row],[kWh Savings]]*tbl_Data[[#This Row],[Sum of Annuals]]</f>
        <v>0</v>
      </c>
      <c r="AY740" s="81">
        <f>tbl_Data[[#This Row],[Avoided Costs ($/unit)]]/tbl_Data[[#This Row],[kWh Savings]]*tbl_Data[[#This Row],[Sum of Annuals]]</f>
        <v>9.330955074453513</v>
      </c>
      <c r="AZ740" s="81">
        <f>tbl_Data[[#This Row],[Lost Revenue ($/unit)]]/tbl_Data[[#This Row],[kWh Savings]]*tbl_Data[[#This Row],[Sum of Annuals]]</f>
        <v>23.181408753670514</v>
      </c>
      <c r="BA740" s="81">
        <f>tbl_Data[[#This Row],[Incremental Cost ($/unit)]]/tbl_Data[[#This Row],[kWh Savings]]*tbl_Data[[#This Row],[Sum of Annuals]]</f>
        <v>6.5574540395932992</v>
      </c>
      <c r="BB740" s="77">
        <f>ROUNDUP(tbl_Data[[#This Row],[Adjusted 2025]]/$L740,0)</f>
        <v>1</v>
      </c>
      <c r="BC740" s="77">
        <f>ROUNDUP(tbl_Data[[#This Row],[Adjusted 2026]]/$L740,0)</f>
        <v>1</v>
      </c>
      <c r="BD740" s="77">
        <f>ROUNDUP(tbl_Data[[#This Row],[Adjusted 2027]]/$L740,0)</f>
        <v>1</v>
      </c>
      <c r="BE740" s="77">
        <f>ROUNDUP(tbl_Data[[#This Row],[Adjusted 2028]]/$L740,0)</f>
        <v>1</v>
      </c>
      <c r="BF740" s="77">
        <f>ROUNDUP(tbl_Data[[#This Row],[Adjusted 2029]]/$L740,0)</f>
        <v>1</v>
      </c>
      <c r="BG740" s="77">
        <f>ROUNDUP(tbl_Data[[#This Row],[Adjusted 2030]]/$L740,0)</f>
        <v>1</v>
      </c>
      <c r="BH740" s="77">
        <f>ROUNDUP(tbl_Data[[#This Row],[Adjusted 2031]]/$L740,0)</f>
        <v>1</v>
      </c>
      <c r="BI740" s="77">
        <f>ROUNDUP(tbl_Data[[#This Row],[Adjusted 2032]]/$L740,0)</f>
        <v>1</v>
      </c>
      <c r="BJ740" s="77">
        <f>ROUNDUP(tbl_Data[[#This Row],[Adjusted 2033]]/$L740,0)</f>
        <v>1</v>
      </c>
      <c r="BK740" s="77">
        <f>ROUNDUP(tbl_Data[[#This Row],[Adjusted 2034]]/$L740,0)</f>
        <v>1</v>
      </c>
      <c r="BL740" s="80">
        <f t="shared" si="298"/>
        <v>5.632858253574788E-3</v>
      </c>
      <c r="BM740" s="80">
        <f t="shared" si="299"/>
        <v>1.2041176424303902E-2</v>
      </c>
      <c r="BN740" s="80">
        <f t="shared" si="300"/>
        <v>1.9125253204924655E-2</v>
      </c>
      <c r="BO740" s="80">
        <f t="shared" si="301"/>
        <v>2.6887608948131532E-2</v>
      </c>
      <c r="BP740" s="80">
        <f t="shared" si="302"/>
        <v>3.5227691135398399E-2</v>
      </c>
      <c r="BQ740" s="80">
        <f t="shared" si="303"/>
        <v>4.4110075836475332E-2</v>
      </c>
      <c r="BR740" s="80">
        <f t="shared" si="304"/>
        <v>5.3505271621952323E-2</v>
      </c>
      <c r="BS740" s="80">
        <f t="shared" si="305"/>
        <v>6.3360458675022144E-2</v>
      </c>
      <c r="BT740" s="80">
        <f t="shared" si="306"/>
        <v>7.3671760862621435E-2</v>
      </c>
      <c r="BU740" s="80">
        <f t="shared" si="307"/>
        <v>8.4415115835114615E-2</v>
      </c>
      <c r="BV740" s="80">
        <f>IFERROR(VLOOKUP($H740,'1. Set Program Names'!$B$2:$D$15,3,0)*V740,"NA")</f>
        <v>1.1544455676667561E-2</v>
      </c>
      <c r="BW740" s="80">
        <f>IFERROR(VLOOKUP($H740,'1. Set Program Names'!$B$2:$D$15,3,0)*W740,"NA")</f>
        <v>2.4678204433262886E-2</v>
      </c>
      <c r="BX740" s="80">
        <f>IFERROR(VLOOKUP($H740,'1. Set Program Names'!$B$2:$D$15,3,0)*X740,"NA")</f>
        <v>3.9196909986005099E-2</v>
      </c>
      <c r="BY740" s="80">
        <f>IFERROR(VLOOKUP($H740,'1. Set Program Names'!$B$2:$D$15,3,0)*Y740,"NA")</f>
        <v>5.5105737758673973E-2</v>
      </c>
      <c r="BZ740" s="80">
        <f>IFERROR(VLOOKUP($H740,'1. Set Program Names'!$B$2:$D$15,3,0)*Z740,"NA")</f>
        <v>7.2198606923198683E-2</v>
      </c>
      <c r="CA740" s="80">
        <f>IFERROR(VLOOKUP($H740,'1. Set Program Names'!$B$2:$D$15,3,0)*AA740,"NA")</f>
        <v>9.0402916683632678E-2</v>
      </c>
      <c r="CB740" s="80">
        <f>IFERROR(VLOOKUP($H740,'1. Set Program Names'!$B$2:$D$15,3,0)*AB740,"NA")</f>
        <v>0.10965822481254206</v>
      </c>
      <c r="CC740" s="80">
        <f>IFERROR(VLOOKUP($H740,'1. Set Program Names'!$B$2:$D$15,3,0)*AC740,"NA")</f>
        <v>0.12985627791413196</v>
      </c>
      <c r="CD740" s="80">
        <f>IFERROR(VLOOKUP($H740,'1. Set Program Names'!$B$2:$D$15,3,0)*AD740,"NA")</f>
        <v>0.15098913191377236</v>
      </c>
      <c r="CE740" s="80">
        <f>IFERROR(VLOOKUP($H740,'1. Set Program Names'!$B$2:$D$15,3,0)*AE740,"NA")</f>
        <v>0.17300747139887168</v>
      </c>
    </row>
    <row r="741" spans="1:83" x14ac:dyDescent="0.25">
      <c r="A741" s="79" t="s">
        <v>115</v>
      </c>
      <c r="B741" s="79" t="s">
        <v>88</v>
      </c>
      <c r="C741" s="79" t="s">
        <v>176</v>
      </c>
      <c r="D741" s="79" t="s">
        <v>90</v>
      </c>
      <c r="E741" s="79" t="s">
        <v>91</v>
      </c>
      <c r="F741" s="79" t="s">
        <v>90</v>
      </c>
      <c r="G741" s="79" t="s">
        <v>92</v>
      </c>
      <c r="H741" s="79" t="s">
        <v>18</v>
      </c>
      <c r="I741" s="79" t="s">
        <v>162</v>
      </c>
      <c r="J741" s="79" t="s">
        <v>161</v>
      </c>
      <c r="K741" s="79" t="s">
        <v>159</v>
      </c>
      <c r="L741" s="79">
        <v>725.58416666666596</v>
      </c>
      <c r="M741" s="79">
        <v>8.6917804178563804E-2</v>
      </c>
      <c r="N741" s="79">
        <v>8.3795205289933394E-2</v>
      </c>
      <c r="O741" s="79">
        <v>179</v>
      </c>
      <c r="P741" s="79">
        <v>33.0790753554421</v>
      </c>
      <c r="Q741" s="79">
        <v>22.963430041406301</v>
      </c>
      <c r="R741" s="79">
        <v>310.45187974046598</v>
      </c>
      <c r="S741" s="79">
        <v>770.62146764617603</v>
      </c>
      <c r="T741" s="79">
        <v>15</v>
      </c>
      <c r="U741" s="79">
        <v>0.2</v>
      </c>
      <c r="V741" s="79">
        <f>tbl_Data_old[[#This Row],[2025 ]]*IFERROR(AVERAGEIFS('Participation Adjustment'!$C:$C,'Participation Adjustment'!$A:$A,$H741,'Participation Adjustment'!$B:$B,$I741),1)</f>
        <v>3.7363118456680899</v>
      </c>
      <c r="W741" s="79">
        <f>tbl_Data_old[[#This Row],[2026 ]]*IFERROR(AVERAGEIFS('Participation Adjustment'!$C:$C,'Participation Adjustment'!$A:$A,$H741,'Participation Adjustment'!$B:$B,$I741),1)</f>
        <v>7.9869913434009003</v>
      </c>
      <c r="X741" s="79">
        <f>tbl_Data_old[[#This Row],[2027 ]]*IFERROR(AVERAGEIFS('Participation Adjustment'!$C:$C,'Participation Adjustment'!$A:$A,$H741,'Participation Adjustment'!$B:$B,$I741),1)</f>
        <v>12.6859059617934</v>
      </c>
      <c r="Y741" s="79">
        <f>tbl_Data_old[[#This Row],[2028 ]]*IFERROR(AVERAGEIFS('Participation Adjustment'!$C:$C,'Participation Adjustment'!$A:$A,$H741,'Participation Adjustment'!$B:$B,$I741),1)</f>
        <v>17.834727467328001</v>
      </c>
      <c r="Z741" s="79">
        <f>tbl_Data_old[[#This Row],[2029 ]]*IFERROR(AVERAGEIFS('Participation Adjustment'!$C:$C,'Participation Adjustment'!$A:$A,$H741,'Participation Adjustment'!$B:$B,$I741),1)</f>
        <v>23.3667587145823</v>
      </c>
      <c r="AA741" s="79">
        <f>tbl_Data_old[[#This Row],[2030 ]]*IFERROR(AVERAGEIFS('Participation Adjustment'!$C:$C,'Participation Adjustment'!$A:$A,$H741,'Participation Adjustment'!$B:$B,$I741),1)</f>
        <v>29.258502778149598</v>
      </c>
      <c r="AB741" s="79">
        <f>tbl_Data_old[[#This Row],[2031 ]]*IFERROR(AVERAGEIFS('Participation Adjustment'!$C:$C,'Participation Adjustment'!$A:$A,$H741,'Participation Adjustment'!$B:$B,$I741),1)</f>
        <v>35.4903977993621</v>
      </c>
      <c r="AC741" s="79">
        <f>tbl_Data_old[[#This Row],[2032 ]]*IFERROR(AVERAGEIFS('Participation Adjustment'!$C:$C,'Participation Adjustment'!$A:$A,$H741,'Participation Adjustment'!$B:$B,$I741),1)</f>
        <v>42.027408047097595</v>
      </c>
      <c r="AD741" s="79">
        <f>tbl_Data_old[[#This Row],[2033 ]]*IFERROR(AVERAGEIFS('Participation Adjustment'!$C:$C,'Participation Adjustment'!$A:$A,$H741,'Participation Adjustment'!$B:$B,$I741),1)</f>
        <v>48.866962456857493</v>
      </c>
      <c r="AE741" s="79">
        <f>tbl_Data_old[[#This Row],[2034 ]]*IFERROR(AVERAGEIFS('Participation Adjustment'!$C:$C,'Participation Adjustment'!$A:$A,$H741,'Participation Adjustment'!$B:$B,$I741),1)</f>
        <v>55.993100314218196</v>
      </c>
      <c r="AF741" s="77" t="str">
        <f t="shared" si="297"/>
        <v>NonResidential</v>
      </c>
      <c r="AG741" s="77" t="str">
        <f>tbl_Data[[#This Row],[All_Meas_Name_Append]]</f>
        <v>LED High Bay_LF Baseline</v>
      </c>
      <c r="AH741" s="77">
        <f>AVERAGEIFS('3. Incentive Adjustment'!G:G,'3. Incentive Adjustment'!A:A,tbl_Data[[#This Row],[Trimmed Sector]],'3. Incentive Adjustment'!B:B,tbl_Data[[#This Row],[Trimmed Measure Name]])</f>
        <v>0.93017466414143679</v>
      </c>
      <c r="AI741" s="77">
        <f>$AH741*tbl_Data[[#This Row],[2025 ]]</f>
        <v>3.4754226161719872</v>
      </c>
      <c r="AJ741" s="77">
        <f>$AH741*tbl_Data[[#This Row],[2026 ]]</f>
        <v>7.4292969903484956</v>
      </c>
      <c r="AK741" s="77">
        <f>$AH741*tbl_Data[[#This Row],[2027 ]]</f>
        <v>11.800108317341026</v>
      </c>
      <c r="AL741" s="77">
        <f>$AH741*tbl_Data[[#This Row],[2028 ]]</f>
        <v>16.589411631975882</v>
      </c>
      <c r="AM741" s="77">
        <f>$AH741*tbl_Data[[#This Row],[2029 ]]</f>
        <v>21.735166939410583</v>
      </c>
      <c r="AN741" s="77">
        <f>$AH741*tbl_Data[[#This Row],[2030 ]]</f>
        <v>27.215517994946598</v>
      </c>
      <c r="AO741" s="77">
        <f>$AH741*tbl_Data[[#This Row],[2031 ]]</f>
        <v>33.012268853267628</v>
      </c>
      <c r="AP741" s="77">
        <f>$AH741*tbl_Data[[#This Row],[2032 ]]</f>
        <v>39.092830164944125</v>
      </c>
      <c r="AQ741" s="77">
        <f>$AH741*tbl_Data[[#This Row],[2033 ]]</f>
        <v>45.454810390919619</v>
      </c>
      <c r="AR741" s="77">
        <f>$AH741*tbl_Data[[#This Row],[2034 ]]</f>
        <v>52.083363279015693</v>
      </c>
      <c r="AS741" s="77">
        <f>SUM(tbl_Data[[#This Row],[Adjusted 2025]:[Adjusted 2034]])</f>
        <v>257.88819717834167</v>
      </c>
      <c r="AT741" s="80">
        <f>AVERAGEIFS('3. Incentive Adjustment'!F:F,'3. Incentive Adjustment'!A:A,tbl_Data[[#This Row],[Trimmed Sector]],'3. Incentive Adjustment'!B:B,tbl_Data[[#This Row],[Trimmed Measure Name]])</f>
        <v>23.858858929800434</v>
      </c>
      <c r="AU741" s="80">
        <f>IFERROR(VLOOKUP(tbl_Data[[#This Row],[All_Meas_Name_Append]],'IRA Tax Credits'!$A$3:$D$46,4,0),0)</f>
        <v>0</v>
      </c>
      <c r="AV741" s="81">
        <f>tbl_Data[[#This Row],[Adj. per unit Incentive ($)]]/tbl_Data[[#This Row],[kWh Savings]]*tbl_Data[[#This Row],[Sum of Annuals]]</f>
        <v>8.4799509123870784</v>
      </c>
      <c r="AW741" s="81">
        <f>IFERROR(VLOOKUP(tbl_Data[[#This Row],[Column1]],'1. Set Program Names'!$B$2:$D$15,3,0)*tbl_Data[[#This Row],[Sum of Annuals]],"")</f>
        <v>8.1616962531237522</v>
      </c>
      <c r="AX741" s="81">
        <f>tbl_Data[[#This Row],[per unit IRA tax ($)]]/tbl_Data[[#This Row],[kWh Savings]]*tbl_Data[[#This Row],[Sum of Annuals]]</f>
        <v>0</v>
      </c>
      <c r="AY741" s="81">
        <f>tbl_Data[[#This Row],[Avoided Costs ($/unit)]]/tbl_Data[[#This Row],[kWh Savings]]*tbl_Data[[#This Row],[Sum of Annuals]]</f>
        <v>110.34126605146362</v>
      </c>
      <c r="AZ741" s="81">
        <f>tbl_Data[[#This Row],[Lost Revenue ($/unit)]]/tbl_Data[[#This Row],[kWh Savings]]*tbl_Data[[#This Row],[Sum of Annuals]]</f>
        <v>273.89542127302065</v>
      </c>
      <c r="BA741" s="81">
        <f>tbl_Data[[#This Row],[Incremental Cost ($/unit)]]/tbl_Data[[#This Row],[kWh Savings]]*tbl_Data[[#This Row],[Sum of Annuals]]</f>
        <v>63.620444623249362</v>
      </c>
      <c r="BB741" s="77">
        <f>ROUNDUP(tbl_Data[[#This Row],[Adjusted 2025]]/$L741,0)</f>
        <v>1</v>
      </c>
      <c r="BC741" s="77">
        <f>ROUNDUP(tbl_Data[[#This Row],[Adjusted 2026]]/$L741,0)</f>
        <v>1</v>
      </c>
      <c r="BD741" s="77">
        <f>ROUNDUP(tbl_Data[[#This Row],[Adjusted 2027]]/$L741,0)</f>
        <v>1</v>
      </c>
      <c r="BE741" s="77">
        <f>ROUNDUP(tbl_Data[[#This Row],[Adjusted 2028]]/$L741,0)</f>
        <v>1</v>
      </c>
      <c r="BF741" s="77">
        <f>ROUNDUP(tbl_Data[[#This Row],[Adjusted 2029]]/$L741,0)</f>
        <v>1</v>
      </c>
      <c r="BG741" s="77">
        <f>ROUNDUP(tbl_Data[[#This Row],[Adjusted 2030]]/$L741,0)</f>
        <v>1</v>
      </c>
      <c r="BH741" s="77">
        <f>ROUNDUP(tbl_Data[[#This Row],[Adjusted 2031]]/$L741,0)</f>
        <v>1</v>
      </c>
      <c r="BI741" s="77">
        <f>ROUNDUP(tbl_Data[[#This Row],[Adjusted 2032]]/$L741,0)</f>
        <v>1</v>
      </c>
      <c r="BJ741" s="77">
        <f>ROUNDUP(tbl_Data[[#This Row],[Adjusted 2033]]/$L741,0)</f>
        <v>1</v>
      </c>
      <c r="BK741" s="77">
        <f>ROUNDUP(tbl_Data[[#This Row],[Adjusted 2034]]/$L741,0)</f>
        <v>1</v>
      </c>
      <c r="BL741" s="80">
        <f t="shared" si="298"/>
        <v>0.12285843784748701</v>
      </c>
      <c r="BM741" s="80">
        <f t="shared" si="299"/>
        <v>0.26263045486669639</v>
      </c>
      <c r="BN741" s="80">
        <f t="shared" si="300"/>
        <v>0.41714146289825321</v>
      </c>
      <c r="BO741" s="80">
        <f t="shared" si="301"/>
        <v>0.58644643342927061</v>
      </c>
      <c r="BP741" s="80">
        <f t="shared" si="302"/>
        <v>0.76835221250634311</v>
      </c>
      <c r="BQ741" s="80">
        <f t="shared" si="303"/>
        <v>0.96208616773985001</v>
      </c>
      <c r="BR741" s="80">
        <f t="shared" si="304"/>
        <v>1.1670050606913016</v>
      </c>
      <c r="BS741" s="80">
        <f t="shared" si="305"/>
        <v>1.3819568367752355</v>
      </c>
      <c r="BT741" s="80">
        <f t="shared" si="306"/>
        <v>1.6068569535388402</v>
      </c>
      <c r="BU741" s="80">
        <f t="shared" si="307"/>
        <v>1.8411805863630764</v>
      </c>
      <c r="BV741" s="80">
        <f>IFERROR(VLOOKUP($H741,'1. Set Program Names'!$B$2:$D$15,3,0)*V741,"NA")</f>
        <v>0.11824753022800295</v>
      </c>
      <c r="BW741" s="80">
        <f>IFERROR(VLOOKUP($H741,'1. Set Program Names'!$B$2:$D$15,3,0)*W741,"NA")</f>
        <v>0.25277386880985042</v>
      </c>
      <c r="BX741" s="80">
        <f>IFERROR(VLOOKUP($H741,'1. Set Program Names'!$B$2:$D$15,3,0)*X741,"NA")</f>
        <v>0.40148604041870045</v>
      </c>
      <c r="BY741" s="80">
        <f>IFERROR(VLOOKUP($H741,'1. Set Program Names'!$B$2:$D$15,3,0)*Y741,"NA")</f>
        <v>0.56443695344813161</v>
      </c>
      <c r="BZ741" s="80">
        <f>IFERROR(VLOOKUP($H741,'1. Set Program Names'!$B$2:$D$15,3,0)*Z741,"NA")</f>
        <v>0.73951576355612225</v>
      </c>
      <c r="CA741" s="80">
        <f>IFERROR(VLOOKUP($H741,'1. Set Program Names'!$B$2:$D$15,3,0)*AA741,"NA")</f>
        <v>0.92597883543810988</v>
      </c>
      <c r="CB741" s="80">
        <f>IFERROR(VLOOKUP($H741,'1. Set Program Names'!$B$2:$D$15,3,0)*AB741,"NA")</f>
        <v>1.1232070715536102</v>
      </c>
      <c r="CC741" s="80">
        <f>IFERROR(VLOOKUP($H741,'1. Set Program Names'!$B$2:$D$15,3,0)*AC741,"NA")</f>
        <v>1.3300916542112577</v>
      </c>
      <c r="CD741" s="80">
        <f>IFERROR(VLOOKUP($H741,'1. Set Program Names'!$B$2:$D$15,3,0)*AD741,"NA")</f>
        <v>1.5465512138574469</v>
      </c>
      <c r="CE741" s="80">
        <f>IFERROR(VLOOKUP($H741,'1. Set Program Names'!$B$2:$D$15,3,0)*AE741,"NA")</f>
        <v>1.7720806226711541</v>
      </c>
    </row>
    <row r="742" spans="1:83" x14ac:dyDescent="0.25">
      <c r="A742" s="79" t="s">
        <v>115</v>
      </c>
      <c r="B742" s="79" t="s">
        <v>88</v>
      </c>
      <c r="C742" s="79" t="s">
        <v>176</v>
      </c>
      <c r="D742" s="79" t="s">
        <v>90</v>
      </c>
      <c r="E742" s="79" t="s">
        <v>91</v>
      </c>
      <c r="F742" s="79" t="s">
        <v>90</v>
      </c>
      <c r="G742" s="79" t="s">
        <v>92</v>
      </c>
      <c r="H742" s="79" t="s">
        <v>18</v>
      </c>
      <c r="I742" s="79" t="s">
        <v>165</v>
      </c>
      <c r="J742" s="79" t="s">
        <v>161</v>
      </c>
      <c r="K742" s="79" t="s">
        <v>166</v>
      </c>
      <c r="L742" s="79">
        <v>565.38999999999896</v>
      </c>
      <c r="M742" s="79">
        <v>6.7728127941350899E-2</v>
      </c>
      <c r="N742" s="79">
        <v>6.5294935157718198E-2</v>
      </c>
      <c r="O742" s="79">
        <v>129</v>
      </c>
      <c r="P742" s="79">
        <v>15.293574707506</v>
      </c>
      <c r="Q742" s="79">
        <v>17.893573630135801</v>
      </c>
      <c r="R742" s="79">
        <v>190.6779313312</v>
      </c>
      <c r="S742" s="79">
        <v>454.767236260907</v>
      </c>
      <c r="T742" s="79">
        <v>10</v>
      </c>
      <c r="U742" s="79">
        <v>0.2</v>
      </c>
      <c r="V742" s="79">
        <f>tbl_Data_old[[#This Row],[2025 ]]*IFERROR(AVERAGEIFS('Participation Adjustment'!$C:$C,'Participation Adjustment'!$A:$A,$H742,'Participation Adjustment'!$B:$B,$I742),1)</f>
        <v>4.4706726755555898E-2</v>
      </c>
      <c r="W742" s="79">
        <f>tbl_Data_old[[#This Row],[2026 ]]*IFERROR(AVERAGEIFS('Participation Adjustment'!$C:$C,'Participation Adjustment'!$A:$A,$H742,'Participation Adjustment'!$B:$B,$I742),1)</f>
        <v>0.106436171632236</v>
      </c>
      <c r="X742" s="79">
        <f>tbl_Data_old[[#This Row],[2027 ]]*IFERROR(AVERAGEIFS('Participation Adjustment'!$C:$C,'Participation Adjustment'!$A:$A,$H742,'Participation Adjustment'!$B:$B,$I742),1)</f>
        <v>0.18901809725836599</v>
      </c>
      <c r="Y742" s="79">
        <f>tbl_Data_old[[#This Row],[2028 ]]*IFERROR(AVERAGEIFS('Participation Adjustment'!$C:$C,'Participation Adjustment'!$A:$A,$H742,'Participation Adjustment'!$B:$B,$I742),1)</f>
        <v>0.29674346904917198</v>
      </c>
      <c r="Z742" s="79">
        <f>tbl_Data_old[[#This Row],[2029 ]]*IFERROR(AVERAGEIFS('Participation Adjustment'!$C:$C,'Participation Adjustment'!$A:$A,$H742,'Participation Adjustment'!$B:$B,$I742),1)</f>
        <v>0.43123009146060198</v>
      </c>
      <c r="AA742" s="79">
        <f>tbl_Data_old[[#This Row],[2030 ]]*IFERROR(AVERAGEIFS('Participation Adjustment'!$C:$C,'Participation Adjustment'!$A:$A,$H742,'Participation Adjustment'!$B:$B,$I742),1)</f>
        <v>0.59086845340900296</v>
      </c>
      <c r="AB742" s="79">
        <f>tbl_Data_old[[#This Row],[2031 ]]*IFERROR(AVERAGEIFS('Participation Adjustment'!$C:$C,'Participation Adjustment'!$A:$A,$H742,'Participation Adjustment'!$B:$B,$I742),1)</f>
        <v>0.76878400082968801</v>
      </c>
      <c r="AC742" s="79">
        <f>tbl_Data_old[[#This Row],[2032 ]]*IFERROR(AVERAGEIFS('Participation Adjustment'!$C:$C,'Participation Adjustment'!$A:$A,$H742,'Participation Adjustment'!$B:$B,$I742),1)</f>
        <v>0.95227903449100404</v>
      </c>
      <c r="AD742" s="79">
        <f>tbl_Data_old[[#This Row],[2033 ]]*IFERROR(AVERAGEIFS('Participation Adjustment'!$C:$C,'Participation Adjustment'!$A:$A,$H742,'Participation Adjustment'!$B:$B,$I742),1)</f>
        <v>1.1260150167706</v>
      </c>
      <c r="AE742" s="79">
        <f>tbl_Data_old[[#This Row],[2034 ]]*IFERROR(AVERAGEIFS('Participation Adjustment'!$C:$C,'Participation Adjustment'!$A:$A,$H742,'Participation Adjustment'!$B:$B,$I742),1)</f>
        <v>1.2763627338721599</v>
      </c>
      <c r="AF742" s="77" t="str">
        <f t="shared" ref="AF742:AF763" si="308">IF(C742="Residential","Residential","NonResidential")</f>
        <v>NonResidential</v>
      </c>
      <c r="AG742" s="77" t="str">
        <f>tbl_Data[[#This Row],[All_Meas_Name_Append]]</f>
        <v>Occupancy Sensors_ Ceiling Mounted</v>
      </c>
      <c r="AH742" s="77">
        <f>AVERAGEIFS('3. Incentive Adjustment'!G:G,'3. Incentive Adjustment'!A:A,tbl_Data[[#This Row],[Trimmed Sector]],'3. Incentive Adjustment'!B:B,tbl_Data[[#This Row],[Trimmed Measure Name]])</f>
        <v>0.99348124042467356</v>
      </c>
      <c r="AI742" s="77">
        <f>$AH742*tbl_Data[[#This Row],[2025 ]]</f>
        <v>4.4415294352436616E-2</v>
      </c>
      <c r="AJ742" s="77">
        <f>$AH742*tbl_Data[[#This Row],[2026 ]]</f>
        <v>0.10574233981924727</v>
      </c>
      <c r="AK742" s="77">
        <f>$AH742*tbl_Data[[#This Row],[2027 ]]</f>
        <v>0.18778593372695304</v>
      </c>
      <c r="AL742" s="77">
        <f>$AH742*tbl_Data[[#This Row],[2028 ]]</f>
        <v>0.29480906971889209</v>
      </c>
      <c r="AM742" s="77">
        <f>$AH742*tbl_Data[[#This Row],[2029 ]]</f>
        <v>0.42841900617272427</v>
      </c>
      <c r="AN742" s="77">
        <f>$AH742*tbl_Data[[#This Row],[2030 ]]</f>
        <v>0.58701672402058469</v>
      </c>
      <c r="AO742" s="77">
        <f>$AH742*tbl_Data[[#This Row],[2031 ]]</f>
        <v>0.76377248276292176</v>
      </c>
      <c r="AP742" s="77">
        <f>$AH742*tbl_Data[[#This Row],[2032 ]]</f>
        <v>0.94607135641653317</v>
      </c>
      <c r="AQ742" s="77">
        <f>$AH742*tbl_Data[[#This Row],[2033 ]]</f>
        <v>1.1186747955980654</v>
      </c>
      <c r="AR742" s="77">
        <f>$AH742*tbl_Data[[#This Row],[2034 ]]</f>
        <v>1.268042432079141</v>
      </c>
      <c r="AS742" s="77">
        <f>SUM(tbl_Data[[#This Row],[Adjusted 2025]:[Adjusted 2034]])</f>
        <v>5.744749434667499</v>
      </c>
      <c r="AT742" s="80">
        <f>AVERAGEIFS('3. Incentive Adjustment'!F:F,'3. Incentive Adjustment'!A:A,tbl_Data[[#This Row],[Trimmed Sector]],'3. Incentive Adjustment'!B:B,tbl_Data[[#This Row],[Trimmed Measure Name]])</f>
        <v>19.547634357270656</v>
      </c>
      <c r="AU742" s="80">
        <f>IFERROR(VLOOKUP(tbl_Data[[#This Row],[All_Meas_Name_Append]],'IRA Tax Credits'!$A$3:$D$46,4,0),0)</f>
        <v>0</v>
      </c>
      <c r="AV742" s="81">
        <f>tbl_Data[[#This Row],[Adj. per unit Incentive ($)]]/tbl_Data[[#This Row],[kWh Savings]]*tbl_Data[[#This Row],[Sum of Annuals]]</f>
        <v>0.19861734629727759</v>
      </c>
      <c r="AW742" s="81">
        <f>IFERROR(VLOOKUP(tbl_Data[[#This Row],[Column1]],'1. Set Program Names'!$B$2:$D$15,3,0)*tbl_Data[[#This Row],[Sum of Annuals]],"")</f>
        <v>0.18181095703125977</v>
      </c>
      <c r="AX742" s="81">
        <f>tbl_Data[[#This Row],[per unit IRA tax ($)]]/tbl_Data[[#This Row],[kWh Savings]]*tbl_Data[[#This Row],[Sum of Annuals]]</f>
        <v>0</v>
      </c>
      <c r="AY742" s="81">
        <f>tbl_Data[[#This Row],[Avoided Costs ($/unit)]]/tbl_Data[[#This Row],[kWh Savings]]*tbl_Data[[#This Row],[Sum of Annuals]]</f>
        <v>1.937418309871914</v>
      </c>
      <c r="AZ742" s="81">
        <f>tbl_Data[[#This Row],[Lost Revenue ($/unit)]]/tbl_Data[[#This Row],[kWh Savings]]*tbl_Data[[#This Row],[Sum of Annuals]]</f>
        <v>4.62074642886353</v>
      </c>
      <c r="BA742" s="81">
        <f>tbl_Data[[#This Row],[Incremental Cost ($/unit)]]/tbl_Data[[#This Row],[kWh Savings]]*tbl_Data[[#This Row],[Sum of Annuals]]</f>
        <v>1.3107283062525137</v>
      </c>
      <c r="BB742" s="77">
        <f>ROUNDUP(tbl_Data[[#This Row],[Adjusted 2025]]/$L742,0)</f>
        <v>1</v>
      </c>
      <c r="BC742" s="77">
        <f>ROUNDUP(tbl_Data[[#This Row],[Adjusted 2026]]/$L742,0)</f>
        <v>1</v>
      </c>
      <c r="BD742" s="77">
        <f>ROUNDUP(tbl_Data[[#This Row],[Adjusted 2027]]/$L742,0)</f>
        <v>1</v>
      </c>
      <c r="BE742" s="77">
        <f>ROUNDUP(tbl_Data[[#This Row],[Adjusted 2028]]/$L742,0)</f>
        <v>1</v>
      </c>
      <c r="BF742" s="77">
        <f>ROUNDUP(tbl_Data[[#This Row],[Adjusted 2029]]/$L742,0)</f>
        <v>1</v>
      </c>
      <c r="BG742" s="77">
        <f>ROUNDUP(tbl_Data[[#This Row],[Adjusted 2030]]/$L742,0)</f>
        <v>1</v>
      </c>
      <c r="BH742" s="77">
        <f>ROUNDUP(tbl_Data[[#This Row],[Adjusted 2031]]/$L742,0)</f>
        <v>1</v>
      </c>
      <c r="BI742" s="77">
        <f>ROUNDUP(tbl_Data[[#This Row],[Adjusted 2032]]/$L742,0)</f>
        <v>1</v>
      </c>
      <c r="BJ742" s="77">
        <f>ROUNDUP(tbl_Data[[#This Row],[Adjusted 2033]]/$L742,0)</f>
        <v>1</v>
      </c>
      <c r="BK742" s="77">
        <f>ROUNDUP(tbl_Data[[#This Row],[Adjusted 2034]]/$L742,0)</f>
        <v>1</v>
      </c>
      <c r="BL742" s="80">
        <f t="shared" ref="BL742:BL763" si="309">$AT742/$L742*V742</f>
        <v>1.5456777585879081E-3</v>
      </c>
      <c r="BM742" s="80">
        <f t="shared" ref="BM742:BM763" si="310">$AT742/$L742*W742</f>
        <v>3.6798941711998026E-3</v>
      </c>
      <c r="BN742" s="80">
        <f t="shared" ref="BN742:BN763" si="311">$AT742/$L742*X742</f>
        <v>6.5350583705293128E-3</v>
      </c>
      <c r="BO742" s="80">
        <f t="shared" ref="BO742:BO763" si="312">$AT742/$L742*Y742</f>
        <v>1.0259524984313989E-2</v>
      </c>
      <c r="BP742" s="80">
        <f t="shared" ref="BP742:BP763" si="313">$AT742/$L742*Z742</f>
        <v>1.4909227527413371E-2</v>
      </c>
      <c r="BQ742" s="80">
        <f t="shared" ref="BQ742:BQ763" si="314">$AT742/$L742*AA742</f>
        <v>2.0428519217681997E-2</v>
      </c>
      <c r="BR742" s="80">
        <f t="shared" ref="BR742:BR763" si="315">$AT742/$L742*AB742</f>
        <v>2.6579721162274587E-2</v>
      </c>
      <c r="BS742" s="80">
        <f t="shared" ref="BS742:BS763" si="316">$AT742/$L742*AC742</f>
        <v>3.2923826690116405E-2</v>
      </c>
      <c r="BT742" s="80">
        <f t="shared" ref="BT742:BT763" si="317">$AT742/$L742*AD742</f>
        <v>3.8930525528622216E-2</v>
      </c>
      <c r="BU742" s="80">
        <f t="shared" ref="BU742:BU763" si="318">$AT742/$L742*AE742</f>
        <v>4.4128605084949118E-2</v>
      </c>
      <c r="BV742" s="80">
        <f>IFERROR(VLOOKUP($H742,'1. Set Program Names'!$B$2:$D$15,3,0)*V742,"NA")</f>
        <v>1.4148872582870268E-3</v>
      </c>
      <c r="BW742" s="80">
        <f>IFERROR(VLOOKUP($H742,'1. Set Program Names'!$B$2:$D$15,3,0)*W742,"NA")</f>
        <v>3.3685128389451301E-3</v>
      </c>
      <c r="BX742" s="80">
        <f>IFERROR(VLOOKUP($H742,'1. Set Program Names'!$B$2:$D$15,3,0)*X742,"NA")</f>
        <v>5.9820818209037011E-3</v>
      </c>
      <c r="BY742" s="80">
        <f>IFERROR(VLOOKUP($H742,'1. Set Program Names'!$B$2:$D$15,3,0)*Y742,"NA")</f>
        <v>9.3913955193641301E-3</v>
      </c>
      <c r="BZ742" s="80">
        <f>IFERROR(VLOOKUP($H742,'1. Set Program Names'!$B$2:$D$15,3,0)*Z742,"NA")</f>
        <v>1.3647654527106035E-2</v>
      </c>
      <c r="CA742" s="80">
        <f>IFERROR(VLOOKUP($H742,'1. Set Program Names'!$B$2:$D$15,3,0)*AA742,"NA")</f>
        <v>1.8699920721623065E-2</v>
      </c>
      <c r="CB742" s="80">
        <f>IFERROR(VLOOKUP($H742,'1. Set Program Names'!$B$2:$D$15,3,0)*AB742,"NA")</f>
        <v>2.4330626867324168E-2</v>
      </c>
      <c r="CC742" s="80">
        <f>IFERROR(VLOOKUP($H742,'1. Set Program Names'!$B$2:$D$15,3,0)*AC742,"NA")</f>
        <v>3.0137913688072691E-2</v>
      </c>
      <c r="CD742" s="80">
        <f>IFERROR(VLOOKUP($H742,'1. Set Program Names'!$B$2:$D$15,3,0)*AD742,"NA")</f>
        <v>3.5636344136301207E-2</v>
      </c>
      <c r="CE742" s="80">
        <f>IFERROR(VLOOKUP($H742,'1. Set Program Names'!$B$2:$D$15,3,0)*AE742,"NA")</f>
        <v>4.0394578180199384E-2</v>
      </c>
    </row>
    <row r="743" spans="1:83" x14ac:dyDescent="0.25">
      <c r="A743" s="79" t="s">
        <v>115</v>
      </c>
      <c r="B743" s="79" t="s">
        <v>88</v>
      </c>
      <c r="C743" s="79" t="s">
        <v>176</v>
      </c>
      <c r="D743" s="79" t="s">
        <v>90</v>
      </c>
      <c r="E743" s="79" t="s">
        <v>91</v>
      </c>
      <c r="F743" s="79" t="s">
        <v>90</v>
      </c>
      <c r="G743" s="79" t="s">
        <v>92</v>
      </c>
      <c r="H743" s="79" t="s">
        <v>18</v>
      </c>
      <c r="I743" s="79" t="s">
        <v>188</v>
      </c>
      <c r="J743" s="79" t="s">
        <v>178</v>
      </c>
      <c r="K743" s="79" t="s">
        <v>189</v>
      </c>
      <c r="L743" s="79">
        <v>58755.825000000099</v>
      </c>
      <c r="M743" s="79">
        <v>7.0391882486047397</v>
      </c>
      <c r="N743" s="79">
        <v>6.7809192295770497</v>
      </c>
      <c r="O743" s="79">
        <v>15000</v>
      </c>
      <c r="P743" s="79">
        <v>3217.2191279034701</v>
      </c>
      <c r="Q743" s="79">
        <v>1859.5158754786501</v>
      </c>
      <c r="R743" s="79">
        <v>19805.726496097701</v>
      </c>
      <c r="S743" s="79">
        <v>47259.8103070086</v>
      </c>
      <c r="T743" s="79">
        <v>10</v>
      </c>
      <c r="U743" s="79">
        <v>1</v>
      </c>
      <c r="V743" s="79">
        <f>tbl_Data_old[[#This Row],[2025 ]]*IFERROR(AVERAGEIFS('Participation Adjustment'!$C:$C,'Participation Adjustment'!$A:$A,$H743,'Participation Adjustment'!$B:$B,$I743),1)</f>
        <v>3.7579309631954102E-3</v>
      </c>
      <c r="W743" s="79">
        <f>tbl_Data_old[[#This Row],[2026 ]]*IFERROR(AVERAGEIFS('Participation Adjustment'!$C:$C,'Participation Adjustment'!$A:$A,$H743,'Participation Adjustment'!$B:$B,$I743),1)</f>
        <v>8.9496284429101194E-3</v>
      </c>
      <c r="X743" s="79">
        <f>tbl_Data_old[[#This Row],[2027 ]]*IFERROR(AVERAGEIFS('Participation Adjustment'!$C:$C,'Participation Adjustment'!$A:$A,$H743,'Participation Adjustment'!$B:$B,$I743),1)</f>
        <v>1.5897033672468999E-2</v>
      </c>
      <c r="Y743" s="79">
        <f>tbl_Data_old[[#This Row],[2028 ]]*IFERROR(AVERAGEIFS('Participation Adjustment'!$C:$C,'Participation Adjustment'!$A:$A,$H743,'Participation Adjustment'!$B:$B,$I743),1)</f>
        <v>2.49637386596584E-2</v>
      </c>
      <c r="Z743" s="79">
        <f>tbl_Data_old[[#This Row],[2029 ]]*IFERROR(AVERAGEIFS('Participation Adjustment'!$C:$C,'Participation Adjustment'!$A:$A,$H743,'Participation Adjustment'!$B:$B,$I743),1)</f>
        <v>3.6281042518277497E-2</v>
      </c>
      <c r="AA743" s="79">
        <f>tbl_Data_old[[#This Row],[2030 ]]*IFERROR(AVERAGEIFS('Participation Adjustment'!$C:$C,'Participation Adjustment'!$A:$A,$H743,'Participation Adjustment'!$B:$B,$I743),1)</f>
        <v>4.9715326624914499E-2</v>
      </c>
      <c r="AB743" s="79">
        <f>tbl_Data_old[[#This Row],[2031 ]]*IFERROR(AVERAGEIFS('Participation Adjustment'!$C:$C,'Participation Adjustment'!$A:$A,$H743,'Participation Adjustment'!$B:$B,$I743),1)</f>
        <v>6.4691896396666795E-2</v>
      </c>
      <c r="AC743" s="79">
        <f>tbl_Data_old[[#This Row],[2032 ]]*IFERROR(AVERAGEIFS('Participation Adjustment'!$C:$C,'Participation Adjustment'!$A:$A,$H743,'Participation Adjustment'!$B:$B,$I743),1)</f>
        <v>8.0144457572819794E-2</v>
      </c>
      <c r="AD743" s="79">
        <f>tbl_Data_old[[#This Row],[2033 ]]*IFERROR(AVERAGEIFS('Participation Adjustment'!$C:$C,'Participation Adjustment'!$A:$A,$H743,'Participation Adjustment'!$B:$B,$I743),1)</f>
        <v>9.4793094160577906E-2</v>
      </c>
      <c r="AE743" s="79">
        <f>tbl_Data_old[[#This Row],[2034 ]]*IFERROR(AVERAGEIFS('Participation Adjustment'!$C:$C,'Participation Adjustment'!$A:$A,$H743,'Participation Adjustment'!$B:$B,$I743),1)</f>
        <v>0.10749758918308699</v>
      </c>
      <c r="AF743" s="77" t="str">
        <f t="shared" si="308"/>
        <v>NonResidential</v>
      </c>
      <c r="AG743" s="77" t="str">
        <f>tbl_Data[[#This Row],[All_Meas_Name_Append]]</f>
        <v>Strategic Energy Management</v>
      </c>
      <c r="AH743" s="77">
        <f>AVERAGEIFS('3. Incentive Adjustment'!G:G,'3. Incentive Adjustment'!A:A,tbl_Data[[#This Row],[Trimmed Sector]],'3. Incentive Adjustment'!B:B,tbl_Data[[#This Row],[Trimmed Measure Name]])</f>
        <v>1.1413908001130193</v>
      </c>
      <c r="AI743" s="77">
        <f>$AH743*tbl_Data[[#This Row],[2025 ]]</f>
        <v>4.2892678288510983E-3</v>
      </c>
      <c r="AJ743" s="77">
        <f>$AH743*tbl_Data[[#This Row],[2026 ]]</f>
        <v>1.0215023569167416E-2</v>
      </c>
      <c r="AK743" s="77">
        <f>$AH743*tbl_Data[[#This Row],[2027 ]]</f>
        <v>1.8144727982843001E-2</v>
      </c>
      <c r="AL743" s="77">
        <f>$AH743*tbl_Data[[#This Row],[2028 ]]</f>
        <v>2.8493381642559813E-2</v>
      </c>
      <c r="AM743" s="77">
        <f>$AH743*tbl_Data[[#This Row],[2029 ]]</f>
        <v>4.1410848148871228E-2</v>
      </c>
      <c r="AN743" s="77">
        <f>$AH743*tbl_Data[[#This Row],[2030 ]]</f>
        <v>5.6744616434291253E-2</v>
      </c>
      <c r="AO743" s="77">
        <f>$AH743*tbl_Data[[#This Row],[2031 ]]</f>
        <v>7.3838735389020069E-2</v>
      </c>
      <c r="AP743" s="77">
        <f>$AH743*tbl_Data[[#This Row],[2032 ]]</f>
        <v>9.1476146553664719E-2</v>
      </c>
      <c r="AQ743" s="77">
        <f>$AH743*tbl_Data[[#This Row],[2033 ]]</f>
        <v>0.10819596558913079</v>
      </c>
      <c r="AR743" s="77">
        <f>$AH743*tbl_Data[[#This Row],[2034 ]]</f>
        <v>0.12269675932790432</v>
      </c>
      <c r="AS743" s="77">
        <f>SUM(tbl_Data[[#This Row],[Adjusted 2025]:[Adjusted 2034]])</f>
        <v>0.55550547246630377</v>
      </c>
      <c r="AT743" s="80">
        <f>AVERAGEIFS('3. Incentive Adjustment'!F:F,'3. Incentive Adjustment'!A:A,tbl_Data[[#This Row],[Trimmed Sector]],'3. Incentive Adjustment'!B:B,tbl_Data[[#This Row],[Trimmed Measure Name]])</f>
        <v>6162.1674053779652</v>
      </c>
      <c r="AU743" s="80">
        <f>IFERROR(VLOOKUP(tbl_Data[[#This Row],[All_Meas_Name_Append]],'IRA Tax Credits'!$A$3:$D$46,4,0),0)</f>
        <v>0</v>
      </c>
      <c r="AV743" s="81">
        <f>tbl_Data[[#This Row],[Adj. per unit Incentive ($)]]/tbl_Data[[#This Row],[kWh Savings]]*tbl_Data[[#This Row],[Sum of Annuals]]</f>
        <v>5.8260057040147729E-2</v>
      </c>
      <c r="AW743" s="81">
        <f>IFERROR(VLOOKUP(tbl_Data[[#This Row],[Column1]],'1. Set Program Names'!$B$2:$D$15,3,0)*tbl_Data[[#This Row],[Sum of Annuals]],"")</f>
        <v>1.758074616374394E-2</v>
      </c>
      <c r="AX743" s="81">
        <f>tbl_Data[[#This Row],[per unit IRA tax ($)]]/tbl_Data[[#This Row],[kWh Savings]]*tbl_Data[[#This Row],[Sum of Annuals]]</f>
        <v>0</v>
      </c>
      <c r="AY743" s="81">
        <f>tbl_Data[[#This Row],[Avoided Costs ($/unit)]]/tbl_Data[[#This Row],[kWh Savings]]*tbl_Data[[#This Row],[Sum of Annuals]]</f>
        <v>0.18725274395777994</v>
      </c>
      <c r="AZ743" s="81">
        <f>tbl_Data[[#This Row],[Lost Revenue ($/unit)]]/tbl_Data[[#This Row],[kWh Savings]]*tbl_Data[[#This Row],[Sum of Annuals]]</f>
        <v>0.44681669014540532</v>
      </c>
      <c r="BA743" s="81">
        <f>tbl_Data[[#This Row],[Incremental Cost ($/unit)]]/tbl_Data[[#This Row],[kWh Savings]]*tbl_Data[[#This Row],[Sum of Annuals]]</f>
        <v>0.14181712344256153</v>
      </c>
      <c r="BB743" s="77">
        <f>ROUNDUP(tbl_Data[[#This Row],[Adjusted 2025]]/$L743,0)</f>
        <v>1</v>
      </c>
      <c r="BC743" s="77">
        <f>ROUNDUP(tbl_Data[[#This Row],[Adjusted 2026]]/$L743,0)</f>
        <v>1</v>
      </c>
      <c r="BD743" s="77">
        <f>ROUNDUP(tbl_Data[[#This Row],[Adjusted 2027]]/$L743,0)</f>
        <v>1</v>
      </c>
      <c r="BE743" s="77">
        <f>ROUNDUP(tbl_Data[[#This Row],[Adjusted 2028]]/$L743,0)</f>
        <v>1</v>
      </c>
      <c r="BF743" s="77">
        <f>ROUNDUP(tbl_Data[[#This Row],[Adjusted 2029]]/$L743,0)</f>
        <v>1</v>
      </c>
      <c r="BG743" s="77">
        <f>ROUNDUP(tbl_Data[[#This Row],[Adjusted 2030]]/$L743,0)</f>
        <v>1</v>
      </c>
      <c r="BH743" s="77">
        <f>ROUNDUP(tbl_Data[[#This Row],[Adjusted 2031]]/$L743,0)</f>
        <v>1</v>
      </c>
      <c r="BI743" s="77">
        <f>ROUNDUP(tbl_Data[[#This Row],[Adjusted 2032]]/$L743,0)</f>
        <v>1</v>
      </c>
      <c r="BJ743" s="77">
        <f>ROUNDUP(tbl_Data[[#This Row],[Adjusted 2033]]/$L743,0)</f>
        <v>1</v>
      </c>
      <c r="BK743" s="77">
        <f>ROUNDUP(tbl_Data[[#This Row],[Adjusted 2034]]/$L743,0)</f>
        <v>1</v>
      </c>
      <c r="BL743" s="80">
        <f t="shared" si="309"/>
        <v>3.9412262006470575E-4</v>
      </c>
      <c r="BM743" s="80">
        <f t="shared" si="310"/>
        <v>9.3861517017494343E-4</v>
      </c>
      <c r="BN743" s="80">
        <f t="shared" si="311"/>
        <v>1.667242060488203E-3</v>
      </c>
      <c r="BO743" s="80">
        <f t="shared" si="312"/>
        <v>2.6181359326487297E-3</v>
      </c>
      <c r="BP743" s="80">
        <f t="shared" si="313"/>
        <v>3.8050671169924228E-3</v>
      </c>
      <c r="BQ743" s="80">
        <f t="shared" si="314"/>
        <v>5.2140220186809895E-3</v>
      </c>
      <c r="BR743" s="80">
        <f t="shared" si="315"/>
        <v>6.7847280736442334E-3</v>
      </c>
      <c r="BS743" s="80">
        <f t="shared" si="316"/>
        <v>8.405354944414899E-3</v>
      </c>
      <c r="BT743" s="80">
        <f t="shared" si="317"/>
        <v>9.9416681680707664E-3</v>
      </c>
      <c r="BU743" s="80">
        <f t="shared" si="318"/>
        <v>1.1274084573244074E-2</v>
      </c>
      <c r="BV743" s="80">
        <f>IFERROR(VLOOKUP($H743,'1. Set Program Names'!$B$2:$D$15,3,0)*V743,"NA")</f>
        <v>1.1893173630043732E-4</v>
      </c>
      <c r="BW743" s="80">
        <f>IFERROR(VLOOKUP($H743,'1. Set Program Names'!$B$2:$D$15,3,0)*W743,"NA")</f>
        <v>2.8323959657151687E-4</v>
      </c>
      <c r="BX743" s="80">
        <f>IFERROR(VLOOKUP($H743,'1. Set Program Names'!$B$2:$D$15,3,0)*X743,"NA")</f>
        <v>5.0311244011933757E-4</v>
      </c>
      <c r="BY743" s="80">
        <f>IFERROR(VLOOKUP($H743,'1. Set Program Names'!$B$2:$D$15,3,0)*Y743,"NA")</f>
        <v>7.9005729813060965E-4</v>
      </c>
      <c r="BZ743" s="80">
        <f>IFERROR(VLOOKUP($H743,'1. Set Program Names'!$B$2:$D$15,3,0)*Z743,"NA")</f>
        <v>1.1482295507152342E-3</v>
      </c>
      <c r="CA743" s="80">
        <f>IFERROR(VLOOKUP($H743,'1. Set Program Names'!$B$2:$D$15,3,0)*AA743,"NA")</f>
        <v>1.5734004094680818E-3</v>
      </c>
      <c r="CB743" s="80">
        <f>IFERROR(VLOOKUP($H743,'1. Set Program Names'!$B$2:$D$15,3,0)*AB743,"NA")</f>
        <v>2.0473818274940746E-3</v>
      </c>
      <c r="CC743" s="80">
        <f>IFERROR(VLOOKUP($H743,'1. Set Program Names'!$B$2:$D$15,3,0)*AC743,"NA")</f>
        <v>2.5364275148597364E-3</v>
      </c>
      <c r="CD743" s="80">
        <f>IFERROR(VLOOKUP($H743,'1. Set Program Names'!$B$2:$D$15,3,0)*AD743,"NA")</f>
        <v>3.0000304391494324E-3</v>
      </c>
      <c r="CE743" s="80">
        <f>IFERROR(VLOOKUP($H743,'1. Set Program Names'!$B$2:$D$15,3,0)*AE743,"NA")</f>
        <v>3.4021047898081993E-3</v>
      </c>
    </row>
    <row r="744" spans="1:83" x14ac:dyDescent="0.25">
      <c r="A744" s="79" t="s">
        <v>115</v>
      </c>
      <c r="B744" s="79" t="s">
        <v>88</v>
      </c>
      <c r="C744" s="79" t="s">
        <v>176</v>
      </c>
      <c r="D744" s="79" t="s">
        <v>90</v>
      </c>
      <c r="E744" s="79" t="s">
        <v>91</v>
      </c>
      <c r="F744" s="79" t="s">
        <v>90</v>
      </c>
      <c r="G744" s="79" t="s">
        <v>92</v>
      </c>
      <c r="H744" s="79" t="s">
        <v>18</v>
      </c>
      <c r="I744" s="79" t="s">
        <v>194</v>
      </c>
      <c r="J744" s="79" t="s">
        <v>182</v>
      </c>
      <c r="K744" s="79" t="s">
        <v>102</v>
      </c>
      <c r="L744" s="79">
        <v>8959.2199999999993</v>
      </c>
      <c r="M744" s="79">
        <v>1.0579901286000299</v>
      </c>
      <c r="N744" s="79">
        <v>1.03235399659801</v>
      </c>
      <c r="O744" s="79">
        <v>2314.9299999999998</v>
      </c>
      <c r="P744" s="79">
        <v>512.76464645414296</v>
      </c>
      <c r="Q744" s="79">
        <v>283.54315205183201</v>
      </c>
      <c r="R744" s="79">
        <v>3866.1887556449001</v>
      </c>
      <c r="S744" s="79">
        <v>9515.3223878667595</v>
      </c>
      <c r="T744" s="79">
        <v>15</v>
      </c>
      <c r="U744" s="79">
        <v>1</v>
      </c>
      <c r="V744" s="79">
        <f>tbl_Data_old[[#This Row],[2025 ]]*IFERROR(AVERAGEIFS('Participation Adjustment'!$C:$C,'Participation Adjustment'!$A:$A,$H744,'Participation Adjustment'!$B:$B,$I744),1)</f>
        <v>3.9985912629941098</v>
      </c>
      <c r="W744" s="79">
        <f>tbl_Data_old[[#This Row],[2026 ]]*IFERROR(AVERAGEIFS('Participation Adjustment'!$C:$C,'Participation Adjustment'!$A:$A,$H744,'Participation Adjustment'!$B:$B,$I744),1)</f>
        <v>9.1897898637523898</v>
      </c>
      <c r="X744" s="79">
        <f>tbl_Data_old[[#This Row],[2027 ]]*IFERROR(AVERAGEIFS('Participation Adjustment'!$C:$C,'Participation Adjustment'!$A:$A,$H744,'Participation Adjustment'!$B:$B,$I744),1)</f>
        <v>15.761876908411001</v>
      </c>
      <c r="Y744" s="79">
        <f>tbl_Data_old[[#This Row],[2028 ]]*IFERROR(AVERAGEIFS('Participation Adjustment'!$C:$C,'Participation Adjustment'!$A:$A,$H744,'Participation Adjustment'!$B:$B,$I744),1)</f>
        <v>23.974021815248399</v>
      </c>
      <c r="Z744" s="79">
        <f>tbl_Data_old[[#This Row],[2029 ]]*IFERROR(AVERAGEIFS('Participation Adjustment'!$C:$C,'Participation Adjustment'!$A:$A,$H744,'Participation Adjustment'!$B:$B,$I744),1)</f>
        <v>33.917139756039603</v>
      </c>
      <c r="AA744" s="79">
        <f>tbl_Data_old[[#This Row],[2030 ]]*IFERROR(AVERAGEIFS('Participation Adjustment'!$C:$C,'Participation Adjustment'!$A:$A,$H744,'Participation Adjustment'!$B:$B,$I744),1)</f>
        <v>45.634481979191101</v>
      </c>
      <c r="AB744" s="79">
        <f>tbl_Data_old[[#This Row],[2031 ]]*IFERROR(AVERAGEIFS('Participation Adjustment'!$C:$C,'Participation Adjustment'!$A:$A,$H744,'Participation Adjustment'!$B:$B,$I744),1)</f>
        <v>59.010627339999999</v>
      </c>
      <c r="AC744" s="79">
        <f>tbl_Data_old[[#This Row],[2032 ]]*IFERROR(AVERAGEIFS('Participation Adjustment'!$C:$C,'Participation Adjustment'!$A:$A,$H744,'Participation Adjustment'!$B:$B,$I744),1)</f>
        <v>73.6890813052499</v>
      </c>
      <c r="AD744" s="79">
        <f>tbl_Data_old[[#This Row],[2033 ]]*IFERROR(AVERAGEIFS('Participation Adjustment'!$C:$C,'Participation Adjustment'!$A:$A,$H744,'Participation Adjustment'!$B:$B,$I744),1)</f>
        <v>89.1684906686326</v>
      </c>
      <c r="AE744" s="79">
        <f>tbl_Data_old[[#This Row],[2034 ]]*IFERROR(AVERAGEIFS('Participation Adjustment'!$C:$C,'Participation Adjustment'!$A:$A,$H744,'Participation Adjustment'!$B:$B,$I744),1)</f>
        <v>104.748653393054</v>
      </c>
      <c r="AF744" s="77" t="str">
        <f t="shared" si="308"/>
        <v>NonResidential</v>
      </c>
      <c r="AG744" s="77" t="str">
        <f>tbl_Data[[#This Row],[All_Meas_Name_Append]]</f>
        <v>VFD on HVAC Fan</v>
      </c>
      <c r="AH744" s="77">
        <f>AVERAGEIFS('3. Incentive Adjustment'!G:G,'3. Incentive Adjustment'!A:A,tbl_Data[[#This Row],[Trimmed Sector]],'3. Incentive Adjustment'!B:B,tbl_Data[[#This Row],[Trimmed Measure Name]])</f>
        <v>1.1307524828118058</v>
      </c>
      <c r="AI744" s="77">
        <f>$AH744*tbl_Data[[#This Row],[2025 ]]</f>
        <v>4.5214169983801842</v>
      </c>
      <c r="AJ744" s="77">
        <f>$AH744*tbl_Data[[#This Row],[2026 ]]</f>
        <v>10.391377704956781</v>
      </c>
      <c r="AK744" s="77">
        <f>$AH744*tbl_Data[[#This Row],[2027 ]]</f>
        <v>17.822781447959809</v>
      </c>
      <c r="AL744" s="77">
        <f>$AH744*tbl_Data[[#This Row],[2028 ]]</f>
        <v>27.108684690576524</v>
      </c>
      <c r="AM744" s="77">
        <f>$AH744*tbl_Data[[#This Row],[2029 ]]</f>
        <v>38.35188998901679</v>
      </c>
      <c r="AN744" s="77">
        <f>$AH744*tbl_Data[[#This Row],[2030 ]]</f>
        <v>51.601303799800952</v>
      </c>
      <c r="AO744" s="77">
        <f>$AH744*tbl_Data[[#This Row],[2031 ]]</f>
        <v>66.726413376987225</v>
      </c>
      <c r="AP744" s="77">
        <f>$AH744*tbl_Data[[#This Row],[2032 ]]</f>
        <v>83.324111642032349</v>
      </c>
      <c r="AQ744" s="77">
        <f>$AH744*tbl_Data[[#This Row],[2033 ]]</f>
        <v>100.82749221213766</v>
      </c>
      <c r="AR744" s="77">
        <f>$AH744*tbl_Data[[#This Row],[2034 ]]</f>
        <v>118.4447998953891</v>
      </c>
      <c r="AS744" s="77">
        <f>SUM(tbl_Data[[#This Row],[Adjusted 2025]:[Adjusted 2034]])</f>
        <v>519.12027175723733</v>
      </c>
      <c r="AT744" s="80">
        <f>AVERAGEIFS('3. Incentive Adjustment'!F:F,'3. Incentive Adjustment'!A:A,tbl_Data[[#This Row],[Trimmed Sector]],'3. Incentive Adjustment'!B:B,tbl_Data[[#This Row],[Trimmed Measure Name]])</f>
        <v>930.02043037501858</v>
      </c>
      <c r="AU744" s="80">
        <f>IFERROR(VLOOKUP(tbl_Data[[#This Row],[All_Meas_Name_Append]],'IRA Tax Credits'!$A$3:$D$46,4,0),0)</f>
        <v>0</v>
      </c>
      <c r="AV744" s="81">
        <f>tbl_Data[[#This Row],[Adj. per unit Incentive ($)]]/tbl_Data[[#This Row],[kWh Savings]]*tbl_Data[[#This Row],[Sum of Annuals]]</f>
        <v>53.887778015950325</v>
      </c>
      <c r="AW744" s="81">
        <f>IFERROR(VLOOKUP(tbl_Data[[#This Row],[Column1]],'1. Set Program Names'!$B$2:$D$15,3,0)*tbl_Data[[#This Row],[Sum of Annuals]],"")</f>
        <v>16.429220194174352</v>
      </c>
      <c r="AX744" s="81">
        <f>tbl_Data[[#This Row],[per unit IRA tax ($)]]/tbl_Data[[#This Row],[kWh Savings]]*tbl_Data[[#This Row],[Sum of Annuals]]</f>
        <v>0</v>
      </c>
      <c r="AY744" s="81">
        <f>tbl_Data[[#This Row],[Avoided Costs ($/unit)]]/tbl_Data[[#This Row],[kWh Savings]]*tbl_Data[[#This Row],[Sum of Annuals]]</f>
        <v>224.01692976566665</v>
      </c>
      <c r="AZ744" s="81">
        <f>tbl_Data[[#This Row],[Lost Revenue ($/unit)]]/tbl_Data[[#This Row],[kWh Savings]]*tbl_Data[[#This Row],[Sum of Annuals]]</f>
        <v>551.34227576140756</v>
      </c>
      <c r="BA744" s="81">
        <f>tbl_Data[[#This Row],[Incremental Cost ($/unit)]]/tbl_Data[[#This Row],[kWh Savings]]*tbl_Data[[#This Row],[Sum of Annuals]]</f>
        <v>134.13300384397095</v>
      </c>
      <c r="BB744" s="77">
        <f>ROUNDUP(tbl_Data[[#This Row],[Adjusted 2025]]/$L744,0)</f>
        <v>1</v>
      </c>
      <c r="BC744" s="77">
        <f>ROUNDUP(tbl_Data[[#This Row],[Adjusted 2026]]/$L744,0)</f>
        <v>1</v>
      </c>
      <c r="BD744" s="77">
        <f>ROUNDUP(tbl_Data[[#This Row],[Adjusted 2027]]/$L744,0)</f>
        <v>1</v>
      </c>
      <c r="BE744" s="77">
        <f>ROUNDUP(tbl_Data[[#This Row],[Adjusted 2028]]/$L744,0)</f>
        <v>1</v>
      </c>
      <c r="BF744" s="77">
        <f>ROUNDUP(tbl_Data[[#This Row],[Adjusted 2029]]/$L744,0)</f>
        <v>1</v>
      </c>
      <c r="BG744" s="77">
        <f>ROUNDUP(tbl_Data[[#This Row],[Adjusted 2030]]/$L744,0)</f>
        <v>1</v>
      </c>
      <c r="BH744" s="77">
        <f>ROUNDUP(tbl_Data[[#This Row],[Adjusted 2031]]/$L744,0)</f>
        <v>1</v>
      </c>
      <c r="BI744" s="77">
        <f>ROUNDUP(tbl_Data[[#This Row],[Adjusted 2032]]/$L744,0)</f>
        <v>1</v>
      </c>
      <c r="BJ744" s="77">
        <f>ROUNDUP(tbl_Data[[#This Row],[Adjusted 2033]]/$L744,0)</f>
        <v>1</v>
      </c>
      <c r="BK744" s="77">
        <f>ROUNDUP(tbl_Data[[#This Row],[Adjusted 2034]]/$L744,0)</f>
        <v>1</v>
      </c>
      <c r="BL744" s="80">
        <f t="shared" si="309"/>
        <v>0.41507760355293999</v>
      </c>
      <c r="BM744" s="80">
        <f t="shared" si="310"/>
        <v>0.95395495636260541</v>
      </c>
      <c r="BN744" s="80">
        <f t="shared" si="311"/>
        <v>1.6361767593471828</v>
      </c>
      <c r="BO744" s="80">
        <f t="shared" si="312"/>
        <v>2.4886463426991861</v>
      </c>
      <c r="BP744" s="80">
        <f t="shared" si="313"/>
        <v>3.5208012430771434</v>
      </c>
      <c r="BQ744" s="80">
        <f t="shared" si="314"/>
        <v>4.7371311978306521</v>
      </c>
      <c r="BR744" s="80">
        <f t="shared" si="315"/>
        <v>6.1256548042627195</v>
      </c>
      <c r="BS744" s="80">
        <f t="shared" si="316"/>
        <v>7.6493658052205715</v>
      </c>
      <c r="BT744" s="80">
        <f t="shared" si="317"/>
        <v>9.2562207499684703</v>
      </c>
      <c r="BU744" s="80">
        <f t="shared" si="318"/>
        <v>10.873534494053247</v>
      </c>
      <c r="BV744" s="80">
        <f>IFERROR(VLOOKUP($H744,'1. Set Program Names'!$B$2:$D$15,3,0)*V744,"NA")</f>
        <v>0.12654820067776729</v>
      </c>
      <c r="BW744" s="80">
        <f>IFERROR(VLOOKUP($H744,'1. Set Program Names'!$B$2:$D$15,3,0)*W744,"NA")</f>
        <v>0.29084027232977078</v>
      </c>
      <c r="BX744" s="80">
        <f>IFERROR(VLOOKUP($H744,'1. Set Program Names'!$B$2:$D$15,3,0)*X744,"NA")</f>
        <v>0.49883497233730628</v>
      </c>
      <c r="BY744" s="80">
        <f>IFERROR(VLOOKUP($H744,'1. Set Program Names'!$B$2:$D$15,3,0)*Y744,"NA")</f>
        <v>0.75873454529020568</v>
      </c>
      <c r="BZ744" s="80">
        <f>IFERROR(VLOOKUP($H744,'1. Set Program Names'!$B$2:$D$15,3,0)*Z744,"NA")</f>
        <v>1.0734162923792447</v>
      </c>
      <c r="CA744" s="80">
        <f>IFERROR(VLOOKUP($H744,'1. Set Program Names'!$B$2:$D$15,3,0)*AA744,"NA")</f>
        <v>1.4442490375984041</v>
      </c>
      <c r="CB744" s="80">
        <f>IFERROR(VLOOKUP($H744,'1. Set Program Names'!$B$2:$D$15,3,0)*AB744,"NA")</f>
        <v>1.8675799099184549</v>
      </c>
      <c r="CC744" s="80">
        <f>IFERROR(VLOOKUP($H744,'1. Set Program Names'!$B$2:$D$15,3,0)*AC744,"NA")</f>
        <v>2.3321265004201583</v>
      </c>
      <c r="CD744" s="80">
        <f>IFERROR(VLOOKUP($H744,'1. Set Program Names'!$B$2:$D$15,3,0)*AD744,"NA")</f>
        <v>2.82202188448196</v>
      </c>
      <c r="CE744" s="80">
        <f>IFERROR(VLOOKUP($H744,'1. Set Program Names'!$B$2:$D$15,3,0)*AE744,"NA")</f>
        <v>3.3151059306782695</v>
      </c>
    </row>
    <row r="745" spans="1:83" x14ac:dyDescent="0.25">
      <c r="A745" s="79" t="s">
        <v>115</v>
      </c>
      <c r="B745" s="79" t="s">
        <v>88</v>
      </c>
      <c r="C745" s="79" t="s">
        <v>176</v>
      </c>
      <c r="D745" s="79" t="s">
        <v>90</v>
      </c>
      <c r="E745" s="79" t="s">
        <v>91</v>
      </c>
      <c r="F745" s="79" t="s">
        <v>90</v>
      </c>
      <c r="G745" s="79" t="s">
        <v>92</v>
      </c>
      <c r="H745" s="79" t="s">
        <v>18</v>
      </c>
      <c r="I745" s="79" t="s">
        <v>195</v>
      </c>
      <c r="J745" s="79" t="s">
        <v>191</v>
      </c>
      <c r="K745" s="79" t="s">
        <v>102</v>
      </c>
      <c r="L745" s="79">
        <v>20302.931666666602</v>
      </c>
      <c r="M745" s="79">
        <v>2.3950992196012999</v>
      </c>
      <c r="N745" s="79">
        <v>2.3402323276086099</v>
      </c>
      <c r="O745" s="79">
        <v>5194</v>
      </c>
      <c r="P745" s="79">
        <v>1110.9469872966299</v>
      </c>
      <c r="Q745" s="79">
        <v>642.55116412585198</v>
      </c>
      <c r="R745" s="79">
        <v>8767.8839794133291</v>
      </c>
      <c r="S745" s="79">
        <v>21563.142798944798</v>
      </c>
      <c r="T745" s="79">
        <v>15</v>
      </c>
      <c r="U745" s="79">
        <v>1</v>
      </c>
      <c r="V745" s="79">
        <f>tbl_Data_old[[#This Row],[2025 ]]*IFERROR(AVERAGEIFS('Participation Adjustment'!$C:$C,'Participation Adjustment'!$A:$A,$H745,'Participation Adjustment'!$B:$B,$I745),1)</f>
        <v>4.2619662096352302</v>
      </c>
      <c r="W745" s="79">
        <f>tbl_Data_old[[#This Row],[2026 ]]*IFERROR(AVERAGEIFS('Participation Adjustment'!$C:$C,'Participation Adjustment'!$A:$A,$H745,'Participation Adjustment'!$B:$B,$I745),1)</f>
        <v>9.7953154527855695</v>
      </c>
      <c r="X745" s="79">
        <f>tbl_Data_old[[#This Row],[2027 ]]*IFERROR(AVERAGEIFS('Participation Adjustment'!$C:$C,'Participation Adjustment'!$A:$A,$H745,'Participation Adjustment'!$B:$B,$I745),1)</f>
        <v>16.800780995901501</v>
      </c>
      <c r="Y745" s="79">
        <f>tbl_Data_old[[#This Row],[2028 ]]*IFERROR(AVERAGEIFS('Participation Adjustment'!$C:$C,'Participation Adjustment'!$A:$A,$H745,'Participation Adjustment'!$B:$B,$I745),1)</f>
        <v>25.554785211339901</v>
      </c>
      <c r="Z745" s="79">
        <f>tbl_Data_old[[#This Row],[2029 ]]*IFERROR(AVERAGEIFS('Participation Adjustment'!$C:$C,'Participation Adjustment'!$A:$A,$H745,'Participation Adjustment'!$B:$B,$I745),1)</f>
        <v>36.154050398582299</v>
      </c>
      <c r="AA745" s="79">
        <f>tbl_Data_old[[#This Row],[2030 ]]*IFERROR(AVERAGEIFS('Participation Adjustment'!$C:$C,'Participation Adjustment'!$A:$A,$H745,'Participation Adjustment'!$B:$B,$I745),1)</f>
        <v>48.644724817615099</v>
      </c>
      <c r="AB745" s="79">
        <f>tbl_Data_old[[#This Row],[2031 ]]*IFERROR(AVERAGEIFS('Participation Adjustment'!$C:$C,'Participation Adjustment'!$A:$A,$H745,'Participation Adjustment'!$B:$B,$I745),1)</f>
        <v>62.903810895394003</v>
      </c>
      <c r="AC745" s="79">
        <f>tbl_Data_old[[#This Row],[2032 ]]*IFERROR(AVERAGEIFS('Participation Adjustment'!$C:$C,'Participation Adjustment'!$A:$A,$H745,'Participation Adjustment'!$B:$B,$I745),1)</f>
        <v>78.551169362250405</v>
      </c>
      <c r="AD745" s="79">
        <f>tbl_Data_old[[#This Row],[2033 ]]*IFERROR(AVERAGEIFS('Participation Adjustment'!$C:$C,'Participation Adjustment'!$A:$A,$H745,'Participation Adjustment'!$B:$B,$I745),1)</f>
        <v>95.052605655753396</v>
      </c>
      <c r="AE745" s="79">
        <f>tbl_Data_old[[#This Row],[2034 ]]*IFERROR(AVERAGEIFS('Participation Adjustment'!$C:$C,'Participation Adjustment'!$A:$A,$H745,'Participation Adjustment'!$B:$B,$I745),1)</f>
        <v>111.661876268434</v>
      </c>
      <c r="AF745" s="77" t="str">
        <f t="shared" si="308"/>
        <v>NonResidential</v>
      </c>
      <c r="AG745" s="77" t="str">
        <f>tbl_Data[[#This Row],[All_Meas_Name_Append]]</f>
        <v>VFD on process pump</v>
      </c>
      <c r="AH745" s="77">
        <f>AVERAGEIFS('3. Incentive Adjustment'!G:G,'3. Incentive Adjustment'!A:A,tbl_Data[[#This Row],[Trimmed Sector]],'3. Incentive Adjustment'!B:B,tbl_Data[[#This Row],[Trimmed Measure Name]])</f>
        <v>1.1380520252658823</v>
      </c>
      <c r="AI745" s="77">
        <f>$AH745*tbl_Data[[#This Row],[2025 ]]</f>
        <v>4.8503392764901294</v>
      </c>
      <c r="AJ745" s="77">
        <f>$AH745*tbl_Data[[#This Row],[2026 ]]</f>
        <v>11.14757858916081</v>
      </c>
      <c r="AK745" s="77">
        <f>$AH745*tbl_Data[[#This Row],[2027 ]]</f>
        <v>19.120162838434251</v>
      </c>
      <c r="AL745" s="77">
        <f>$AH745*tbl_Data[[#This Row],[2028 ]]</f>
        <v>29.082675064999993</v>
      </c>
      <c r="AM745" s="77">
        <f>$AH745*tbl_Data[[#This Row],[2029 ]]</f>
        <v>41.145190277671368</v>
      </c>
      <c r="AN745" s="77">
        <f>$AH745*tbl_Data[[#This Row],[2030 ]]</f>
        <v>55.360227597188391</v>
      </c>
      <c r="AO745" s="77">
        <f>$AH745*tbl_Data[[#This Row],[2031 ]]</f>
        <v>71.587809386445215</v>
      </c>
      <c r="AP745" s="77">
        <f>$AH745*tbl_Data[[#This Row],[2032 ]]</f>
        <v>89.395317379712395</v>
      </c>
      <c r="AQ745" s="77">
        <f>$AH745*tbl_Data[[#This Row],[2033 ]]</f>
        <v>108.17481037332942</v>
      </c>
      <c r="AR745" s="77">
        <f>$AH745*tbl_Data[[#This Row],[2034 ]]</f>
        <v>127.07702443227967</v>
      </c>
      <c r="AS745" s="77">
        <f>SUM(tbl_Data[[#This Row],[Adjusted 2025]:[Adjusted 2034]])</f>
        <v>556.9411352157116</v>
      </c>
      <c r="AT745" s="80">
        <f>AVERAGEIFS('3. Incentive Adjustment'!F:F,'3. Incentive Adjustment'!A:A,tbl_Data[[#This Row],[Trimmed Sector]],'3. Incentive Adjustment'!B:B,tbl_Data[[#This Row],[Trimmed Measure Name]])</f>
        <v>2106.0249622508104</v>
      </c>
      <c r="AU745" s="80">
        <f>IFERROR(VLOOKUP(tbl_Data[[#This Row],[All_Meas_Name_Append]],'IRA Tax Credits'!$A$3:$D$46,4,0),0)</f>
        <v>0</v>
      </c>
      <c r="AV745" s="81">
        <f>tbl_Data[[#This Row],[Adj. per unit Incentive ($)]]/tbl_Data[[#This Row],[kWh Savings]]*tbl_Data[[#This Row],[Sum of Annuals]]</f>
        <v>57.771554991455481</v>
      </c>
      <c r="AW745" s="81">
        <f>IFERROR(VLOOKUP(tbl_Data[[#This Row],[Column1]],'1. Set Program Names'!$B$2:$D$15,3,0)*tbl_Data[[#This Row],[Sum of Annuals]],"")</f>
        <v>17.626182300065015</v>
      </c>
      <c r="AX745" s="81">
        <f>tbl_Data[[#This Row],[per unit IRA tax ($)]]/tbl_Data[[#This Row],[kWh Savings]]*tbl_Data[[#This Row],[Sum of Annuals]]</f>
        <v>0</v>
      </c>
      <c r="AY745" s="81">
        <f>tbl_Data[[#This Row],[Avoided Costs ($/unit)]]/tbl_Data[[#This Row],[kWh Savings]]*tbl_Data[[#This Row],[Sum of Annuals]]</f>
        <v>240.51675576248681</v>
      </c>
      <c r="AZ745" s="81">
        <f>tbl_Data[[#This Row],[Lost Revenue ($/unit)]]/tbl_Data[[#This Row],[kWh Savings]]*tbl_Data[[#This Row],[Sum of Annuals]]</f>
        <v>591.51069542236962</v>
      </c>
      <c r="BA745" s="81">
        <f>tbl_Data[[#This Row],[Incremental Cost ($/unit)]]/tbl_Data[[#This Row],[kWh Savings]]*tbl_Data[[#This Row],[Sum of Annuals]]</f>
        <v>142.47953467034188</v>
      </c>
      <c r="BB745" s="77">
        <f>ROUNDUP(tbl_Data[[#This Row],[Adjusted 2025]]/$L745,0)</f>
        <v>1</v>
      </c>
      <c r="BC745" s="77">
        <f>ROUNDUP(tbl_Data[[#This Row],[Adjusted 2026]]/$L745,0)</f>
        <v>1</v>
      </c>
      <c r="BD745" s="77">
        <f>ROUNDUP(tbl_Data[[#This Row],[Adjusted 2027]]/$L745,0)</f>
        <v>1</v>
      </c>
      <c r="BE745" s="77">
        <f>ROUNDUP(tbl_Data[[#This Row],[Adjusted 2028]]/$L745,0)</f>
        <v>1</v>
      </c>
      <c r="BF745" s="77">
        <f>ROUNDUP(tbl_Data[[#This Row],[Adjusted 2029]]/$L745,0)</f>
        <v>1</v>
      </c>
      <c r="BG745" s="77">
        <f>ROUNDUP(tbl_Data[[#This Row],[Adjusted 2030]]/$L745,0)</f>
        <v>1</v>
      </c>
      <c r="BH745" s="77">
        <f>ROUNDUP(tbl_Data[[#This Row],[Adjusted 2031]]/$L745,0)</f>
        <v>1</v>
      </c>
      <c r="BI745" s="77">
        <f>ROUNDUP(tbl_Data[[#This Row],[Adjusted 2032]]/$L745,0)</f>
        <v>1</v>
      </c>
      <c r="BJ745" s="77">
        <f>ROUNDUP(tbl_Data[[#This Row],[Adjusted 2033]]/$L745,0)</f>
        <v>1</v>
      </c>
      <c r="BK745" s="77">
        <f>ROUNDUP(tbl_Data[[#This Row],[Adjusted 2034]]/$L745,0)</f>
        <v>1</v>
      </c>
      <c r="BL745" s="80">
        <f t="shared" si="309"/>
        <v>0.44209414547248688</v>
      </c>
      <c r="BM745" s="80">
        <f t="shared" si="310"/>
        <v>1.0160689695152025</v>
      </c>
      <c r="BN745" s="80">
        <f t="shared" si="311"/>
        <v>1.742746552251331</v>
      </c>
      <c r="BO745" s="80">
        <f t="shared" si="312"/>
        <v>2.6508002116955289</v>
      </c>
      <c r="BP745" s="80">
        <f t="shared" si="313"/>
        <v>3.7502629608362024</v>
      </c>
      <c r="BQ745" s="80">
        <f t="shared" si="314"/>
        <v>5.0459217629105559</v>
      </c>
      <c r="BR745" s="80">
        <f t="shared" si="315"/>
        <v>6.5250180683957728</v>
      </c>
      <c r="BS745" s="80">
        <f t="shared" si="316"/>
        <v>8.1481199960149073</v>
      </c>
      <c r="BT745" s="80">
        <f t="shared" si="317"/>
        <v>9.8598154948558676</v>
      </c>
      <c r="BU745" s="80">
        <f t="shared" si="318"/>
        <v>11.582696657506562</v>
      </c>
      <c r="BV745" s="80">
        <f>IFERROR(VLOOKUP($H745,'1. Set Program Names'!$B$2:$D$15,3,0)*V745,"NA")</f>
        <v>0.13488354265420122</v>
      </c>
      <c r="BW745" s="80">
        <f>IFERROR(VLOOKUP($H745,'1. Set Program Names'!$B$2:$D$15,3,0)*W745,"NA")</f>
        <v>0.31000406495485533</v>
      </c>
      <c r="BX745" s="80">
        <f>IFERROR(VLOOKUP($H745,'1. Set Program Names'!$B$2:$D$15,3,0)*X745,"NA")</f>
        <v>0.53171441269557285</v>
      </c>
      <c r="BY745" s="80">
        <f>IFERROR(VLOOKUP($H745,'1. Set Program Names'!$B$2:$D$15,3,0)*Y745,"NA")</f>
        <v>0.80876285534129755</v>
      </c>
      <c r="BZ745" s="80">
        <f>IFERROR(VLOOKUP($H745,'1. Set Program Names'!$B$2:$D$15,3,0)*Z745,"NA")</f>
        <v>1.1442104791996202</v>
      </c>
      <c r="CA745" s="80">
        <f>IFERROR(VLOOKUP($H745,'1. Set Program Names'!$B$2:$D$15,3,0)*AA745,"NA")</f>
        <v>1.5395177934552973</v>
      </c>
      <c r="CB745" s="80">
        <f>IFERROR(VLOOKUP($H745,'1. Set Program Names'!$B$2:$D$15,3,0)*AB745,"NA")</f>
        <v>1.9907921467887153</v>
      </c>
      <c r="CC745" s="80">
        <f>IFERROR(VLOOKUP($H745,'1. Set Program Names'!$B$2:$D$15,3,0)*AC745,"NA")</f>
        <v>2.4860028170231092</v>
      </c>
      <c r="CD745" s="80">
        <f>IFERROR(VLOOKUP($H745,'1. Set Program Names'!$B$2:$D$15,3,0)*AD745,"NA")</f>
        <v>3.0082435098560052</v>
      </c>
      <c r="CE745" s="80">
        <f>IFERROR(VLOOKUP($H745,'1. Set Program Names'!$B$2:$D$15,3,0)*AE745,"NA")</f>
        <v>3.5338969643756313</v>
      </c>
    </row>
    <row r="746" spans="1:83" x14ac:dyDescent="0.25">
      <c r="A746" s="79" t="s">
        <v>116</v>
      </c>
      <c r="B746" s="79" t="s">
        <v>88</v>
      </c>
      <c r="C746" s="79" t="s">
        <v>176</v>
      </c>
      <c r="D746" s="79" t="s">
        <v>90</v>
      </c>
      <c r="E746" s="79" t="s">
        <v>91</v>
      </c>
      <c r="F746" s="79" t="s">
        <v>90</v>
      </c>
      <c r="G746" s="79" t="s">
        <v>92</v>
      </c>
      <c r="H746" s="79" t="s">
        <v>18</v>
      </c>
      <c r="I746" s="79" t="s">
        <v>177</v>
      </c>
      <c r="J746" s="79" t="s">
        <v>178</v>
      </c>
      <c r="K746" s="79" t="s">
        <v>102</v>
      </c>
      <c r="L746" s="79">
        <v>25265.069999999901</v>
      </c>
      <c r="M746" s="79">
        <v>3.0268587641170099</v>
      </c>
      <c r="N746" s="79">
        <v>2.9158027991200801</v>
      </c>
      <c r="O746" s="79">
        <v>7160.52</v>
      </c>
      <c r="P746" s="79">
        <v>2094.8798923726799</v>
      </c>
      <c r="Q746" s="79">
        <v>799.59389150061804</v>
      </c>
      <c r="R746" s="79">
        <v>8516.48438813961</v>
      </c>
      <c r="S746" s="79">
        <v>20321.770915365199</v>
      </c>
      <c r="T746" s="79">
        <v>10</v>
      </c>
      <c r="U746" s="79">
        <v>1</v>
      </c>
      <c r="V746" s="79">
        <f>tbl_Data_old[[#This Row],[2025 ]]*IFERROR(AVERAGEIFS('Participation Adjustment'!$C:$C,'Participation Adjustment'!$A:$A,$H746,'Participation Adjustment'!$B:$B,$I746),1)</f>
        <v>0.407702126385177</v>
      </c>
      <c r="W746" s="79">
        <f>tbl_Data_old[[#This Row],[2026 ]]*IFERROR(AVERAGEIFS('Participation Adjustment'!$C:$C,'Participation Adjustment'!$A:$A,$H746,'Participation Adjustment'!$B:$B,$I746),1)</f>
        <v>0.38879528896371501</v>
      </c>
      <c r="X746" s="79">
        <f>tbl_Data_old[[#This Row],[2027 ]]*IFERROR(AVERAGEIFS('Participation Adjustment'!$C:$C,'Participation Adjustment'!$A:$A,$H746,'Participation Adjustment'!$B:$B,$I746),1)</f>
        <v>0.36580340612254197</v>
      </c>
      <c r="Y746" s="79">
        <f>tbl_Data_old[[#This Row],[2028 ]]*IFERROR(AVERAGEIFS('Participation Adjustment'!$C:$C,'Participation Adjustment'!$A:$A,$H746,'Participation Adjustment'!$B:$B,$I746),1)</f>
        <v>0.34438121020879497</v>
      </c>
      <c r="Z746" s="79">
        <f>tbl_Data_old[[#This Row],[2029 ]]*IFERROR(AVERAGEIFS('Participation Adjustment'!$C:$C,'Participation Adjustment'!$A:$A,$H746,'Participation Adjustment'!$B:$B,$I746),1)</f>
        <v>0.32131208273929202</v>
      </c>
      <c r="AA746" s="79">
        <f>tbl_Data_old[[#This Row],[2030 ]]*IFERROR(AVERAGEIFS('Participation Adjustment'!$C:$C,'Participation Adjustment'!$A:$A,$H746,'Participation Adjustment'!$B:$B,$I746),1)</f>
        <v>0.29895592975430002</v>
      </c>
      <c r="AB746" s="79">
        <f>tbl_Data_old[[#This Row],[2031 ]]*IFERROR(AVERAGEIFS('Participation Adjustment'!$C:$C,'Participation Adjustment'!$A:$A,$H746,'Participation Adjustment'!$B:$B,$I746),1)</f>
        <v>0.27787338419436503</v>
      </c>
      <c r="AC746" s="79">
        <f>tbl_Data_old[[#This Row],[2032 ]]*IFERROR(AVERAGEIFS('Participation Adjustment'!$C:$C,'Participation Adjustment'!$A:$A,$H746,'Participation Adjustment'!$B:$B,$I746),1)</f>
        <v>0.25719447618908098</v>
      </c>
      <c r="AD746" s="79">
        <f>tbl_Data_old[[#This Row],[2033 ]]*IFERROR(AVERAGEIFS('Participation Adjustment'!$C:$C,'Participation Adjustment'!$A:$A,$H746,'Participation Adjustment'!$B:$B,$I746),1)</f>
        <v>0.23871860325220201</v>
      </c>
      <c r="AE746" s="79">
        <f>tbl_Data_old[[#This Row],[2034 ]]*IFERROR(AVERAGEIFS('Participation Adjustment'!$C:$C,'Participation Adjustment'!$A:$A,$H746,'Participation Adjustment'!$B:$B,$I746),1)</f>
        <v>0.221587947772202</v>
      </c>
      <c r="AF746" s="77" t="str">
        <f t="shared" si="308"/>
        <v>NonResidential</v>
      </c>
      <c r="AG746" s="77" t="str">
        <f>tbl_Data[[#This Row],[All_Meas_Name_Append]]</f>
        <v>Airside economizer_13</v>
      </c>
      <c r="AH746" s="77">
        <f>AVERAGEIFS('3. Incentive Adjustment'!G:G,'3. Incentive Adjustment'!A:A,tbl_Data[[#This Row],[Trimmed Sector]],'3. Incentive Adjustment'!B:B,tbl_Data[[#This Row],[Trimmed Measure Name]])</f>
        <v>1</v>
      </c>
      <c r="AI746" s="77">
        <f>$AH746*tbl_Data[[#This Row],[2025 ]]</f>
        <v>0.407702126385177</v>
      </c>
      <c r="AJ746" s="77">
        <f>$AH746*tbl_Data[[#This Row],[2026 ]]</f>
        <v>0.38879528896371501</v>
      </c>
      <c r="AK746" s="77">
        <f>$AH746*tbl_Data[[#This Row],[2027 ]]</f>
        <v>0.36580340612254197</v>
      </c>
      <c r="AL746" s="77">
        <f>$AH746*tbl_Data[[#This Row],[2028 ]]</f>
        <v>0.34438121020879497</v>
      </c>
      <c r="AM746" s="77">
        <f>$AH746*tbl_Data[[#This Row],[2029 ]]</f>
        <v>0.32131208273929202</v>
      </c>
      <c r="AN746" s="77">
        <f>$AH746*tbl_Data[[#This Row],[2030 ]]</f>
        <v>0.29895592975430002</v>
      </c>
      <c r="AO746" s="77">
        <f>$AH746*tbl_Data[[#This Row],[2031 ]]</f>
        <v>0.27787338419436503</v>
      </c>
      <c r="AP746" s="77">
        <f>$AH746*tbl_Data[[#This Row],[2032 ]]</f>
        <v>0.25719447618908098</v>
      </c>
      <c r="AQ746" s="77">
        <f>$AH746*tbl_Data[[#This Row],[2033 ]]</f>
        <v>0.23871860325220201</v>
      </c>
      <c r="AR746" s="77">
        <f>$AH746*tbl_Data[[#This Row],[2034 ]]</f>
        <v>0.221587947772202</v>
      </c>
      <c r="AS746" s="77">
        <f>SUM(tbl_Data[[#This Row],[Adjusted 2025]:[Adjusted 2034]])</f>
        <v>3.1223244555816709</v>
      </c>
      <c r="AT746" s="80">
        <f>AVERAGEIFS('3. Incentive Adjustment'!F:F,'3. Incentive Adjustment'!A:A,tbl_Data[[#This Row],[Trimmed Sector]],'3. Incentive Adjustment'!B:B,tbl_Data[[#This Row],[Trimmed Measure Name]])</f>
        <v>2094.8798923726795</v>
      </c>
      <c r="AU746" s="80">
        <f>IFERROR(VLOOKUP(tbl_Data[[#This Row],[All_Meas_Name_Append]],'IRA Tax Credits'!$A$3:$D$46,4,0),0)</f>
        <v>0</v>
      </c>
      <c r="AV746" s="81">
        <f>tbl_Data[[#This Row],[Adj. per unit Incentive ($)]]/tbl_Data[[#This Row],[kWh Savings]]*tbl_Data[[#This Row],[Sum of Annuals]]</f>
        <v>0.25889082117965795</v>
      </c>
      <c r="AW746" s="81">
        <f>IFERROR(VLOOKUP(tbl_Data[[#This Row],[Column1]],'1. Set Program Names'!$B$2:$D$15,3,0)*tbl_Data[[#This Row],[Sum of Annuals]],"")</f>
        <v>9.8815936863270185E-2</v>
      </c>
      <c r="AX746" s="81">
        <f>tbl_Data[[#This Row],[per unit IRA tax ($)]]/tbl_Data[[#This Row],[kWh Savings]]*tbl_Data[[#This Row],[Sum of Annuals]]</f>
        <v>0</v>
      </c>
      <c r="AY746" s="81">
        <f>tbl_Data[[#This Row],[Avoided Costs ($/unit)]]/tbl_Data[[#This Row],[kWh Savings]]*tbl_Data[[#This Row],[Sum of Annuals]]</f>
        <v>1.0524897607910015</v>
      </c>
      <c r="AZ746" s="81">
        <f>tbl_Data[[#This Row],[Lost Revenue ($/unit)]]/tbl_Data[[#This Row],[kWh Savings]]*tbl_Data[[#This Row],[Sum of Annuals]]</f>
        <v>2.5114184251131437</v>
      </c>
      <c r="BA746" s="81">
        <f>tbl_Data[[#This Row],[Incremental Cost ($/unit)]]/tbl_Data[[#This Row],[kWh Savings]]*tbl_Data[[#This Row],[Sum of Annuals]]</f>
        <v>0.88491608021199841</v>
      </c>
      <c r="BB746" s="77">
        <f>ROUNDUP(tbl_Data[[#This Row],[Adjusted 2025]]/$L746,0)</f>
        <v>1</v>
      </c>
      <c r="BC746" s="77">
        <f>ROUNDUP(tbl_Data[[#This Row],[Adjusted 2026]]/$L746,0)</f>
        <v>1</v>
      </c>
      <c r="BD746" s="77">
        <f>ROUNDUP(tbl_Data[[#This Row],[Adjusted 2027]]/$L746,0)</f>
        <v>1</v>
      </c>
      <c r="BE746" s="77">
        <f>ROUNDUP(tbl_Data[[#This Row],[Adjusted 2028]]/$L746,0)</f>
        <v>1</v>
      </c>
      <c r="BF746" s="77">
        <f>ROUNDUP(tbl_Data[[#This Row],[Adjusted 2029]]/$L746,0)</f>
        <v>1</v>
      </c>
      <c r="BG746" s="77">
        <f>ROUNDUP(tbl_Data[[#This Row],[Adjusted 2030]]/$L746,0)</f>
        <v>1</v>
      </c>
      <c r="BH746" s="77">
        <f>ROUNDUP(tbl_Data[[#This Row],[Adjusted 2031]]/$L746,0)</f>
        <v>1</v>
      </c>
      <c r="BI746" s="77">
        <f>ROUNDUP(tbl_Data[[#This Row],[Adjusted 2032]]/$L746,0)</f>
        <v>1</v>
      </c>
      <c r="BJ746" s="77">
        <f>ROUNDUP(tbl_Data[[#This Row],[Adjusted 2033]]/$L746,0)</f>
        <v>1</v>
      </c>
      <c r="BK746" s="77">
        <f>ROUNDUP(tbl_Data[[#This Row],[Adjusted 2034]]/$L746,0)</f>
        <v>1</v>
      </c>
      <c r="BL746" s="80">
        <f t="shared" si="309"/>
        <v>3.3805051268090511E-2</v>
      </c>
      <c r="BM746" s="80">
        <f t="shared" si="310"/>
        <v>3.2237370927502486E-2</v>
      </c>
      <c r="BN746" s="80">
        <f t="shared" si="311"/>
        <v>3.0330974742898132E-2</v>
      </c>
      <c r="BO746" s="80">
        <f t="shared" si="312"/>
        <v>2.855473080333347E-2</v>
      </c>
      <c r="BP746" s="80">
        <f t="shared" si="313"/>
        <v>2.6641929799004403E-2</v>
      </c>
      <c r="BQ746" s="80">
        <f t="shared" si="314"/>
        <v>2.4788245825080428E-2</v>
      </c>
      <c r="BR746" s="80">
        <f t="shared" si="315"/>
        <v>2.3040164352377646E-2</v>
      </c>
      <c r="BS746" s="80">
        <f t="shared" si="316"/>
        <v>2.1325550912696136E-2</v>
      </c>
      <c r="BT746" s="80">
        <f t="shared" si="317"/>
        <v>1.9793604446309915E-2</v>
      </c>
      <c r="BU746" s="80">
        <f t="shared" si="318"/>
        <v>1.8373198102364856E-2</v>
      </c>
      <c r="BV746" s="80">
        <f>IFERROR(VLOOKUP($H746,'1. Set Program Names'!$B$2:$D$15,3,0)*V746,"NA")</f>
        <v>1.2903036873018801E-2</v>
      </c>
      <c r="BW746" s="80">
        <f>IFERROR(VLOOKUP($H746,'1. Set Program Names'!$B$2:$D$15,3,0)*W746,"NA")</f>
        <v>1.2304669573431017E-2</v>
      </c>
      <c r="BX746" s="80">
        <f>IFERROR(VLOOKUP($H746,'1. Set Program Names'!$B$2:$D$15,3,0)*X746,"NA")</f>
        <v>1.1577017955054347E-2</v>
      </c>
      <c r="BY746" s="80">
        <f>IFERROR(VLOOKUP($H746,'1. Set Program Names'!$B$2:$D$15,3,0)*Y746,"NA")</f>
        <v>1.0899044096475619E-2</v>
      </c>
      <c r="BZ746" s="80">
        <f>IFERROR(VLOOKUP($H746,'1. Set Program Names'!$B$2:$D$15,3,0)*Z746,"NA")</f>
        <v>1.0168947824948815E-2</v>
      </c>
      <c r="CA746" s="80">
        <f>IFERROR(VLOOKUP($H746,'1. Set Program Names'!$B$2:$D$15,3,0)*AA746,"NA")</f>
        <v>9.4614159097689676E-3</v>
      </c>
      <c r="CB746" s="80">
        <f>IFERROR(VLOOKUP($H746,'1. Set Program Names'!$B$2:$D$15,3,0)*AB746,"NA")</f>
        <v>8.7941913722154388E-3</v>
      </c>
      <c r="CC746" s="80">
        <f>IFERROR(VLOOKUP($H746,'1. Set Program Names'!$B$2:$D$15,3,0)*AC746,"NA")</f>
        <v>8.1397412351713536E-3</v>
      </c>
      <c r="CD746" s="80">
        <f>IFERROR(VLOOKUP($H746,'1. Set Program Names'!$B$2:$D$15,3,0)*AD746,"NA")</f>
        <v>7.5550131841321108E-3</v>
      </c>
      <c r="CE746" s="80">
        <f>IFERROR(VLOOKUP($H746,'1. Set Program Names'!$B$2:$D$15,3,0)*AE746,"NA")</f>
        <v>7.0128588390537235E-3</v>
      </c>
    </row>
    <row r="747" spans="1:83" x14ac:dyDescent="0.25">
      <c r="A747" s="79" t="s">
        <v>116</v>
      </c>
      <c r="B747" s="79" t="s">
        <v>88</v>
      </c>
      <c r="C747" s="79" t="s">
        <v>176</v>
      </c>
      <c r="D747" s="79" t="s">
        <v>90</v>
      </c>
      <c r="E747" s="79" t="s">
        <v>91</v>
      </c>
      <c r="F747" s="79" t="s">
        <v>90</v>
      </c>
      <c r="G747" s="79" t="s">
        <v>92</v>
      </c>
      <c r="H747" s="79" t="s">
        <v>18</v>
      </c>
      <c r="I747" s="79" t="s">
        <v>185</v>
      </c>
      <c r="J747" s="79" t="s">
        <v>178</v>
      </c>
      <c r="K747" s="79" t="s">
        <v>102</v>
      </c>
      <c r="L747" s="79">
        <v>37372.818333333198</v>
      </c>
      <c r="M747" s="79">
        <v>4.4774165562178503</v>
      </c>
      <c r="N747" s="79">
        <v>4.3131393780955101</v>
      </c>
      <c r="O747" s="79">
        <v>14201.670833333301</v>
      </c>
      <c r="P747" s="79">
        <v>6684.0523958317799</v>
      </c>
      <c r="Q747" s="79">
        <v>1182.7822858791001</v>
      </c>
      <c r="R747" s="79">
        <v>15980.395267902501</v>
      </c>
      <c r="S747" s="79">
        <v>39692.564194744999</v>
      </c>
      <c r="T747" s="79">
        <v>15</v>
      </c>
      <c r="U747" s="79">
        <v>1</v>
      </c>
      <c r="V747" s="79">
        <f>tbl_Data_old[[#This Row],[2025 ]]*IFERROR(AVERAGEIFS('Participation Adjustment'!$C:$C,'Participation Adjustment'!$A:$A,$H747,'Participation Adjustment'!$B:$B,$I747),1)</f>
        <v>2.2950613527338799</v>
      </c>
      <c r="W747" s="79">
        <f>tbl_Data_old[[#This Row],[2026 ]]*IFERROR(AVERAGEIFS('Participation Adjustment'!$C:$C,'Participation Adjustment'!$A:$A,$H747,'Participation Adjustment'!$B:$B,$I747),1)</f>
        <v>2.6109096855572802</v>
      </c>
      <c r="X747" s="79">
        <f>tbl_Data_old[[#This Row],[2027 ]]*IFERROR(AVERAGEIFS('Participation Adjustment'!$C:$C,'Participation Adjustment'!$A:$A,$H747,'Participation Adjustment'!$B:$B,$I747),1)</f>
        <v>2.8861363470033901</v>
      </c>
      <c r="Y747" s="79">
        <f>tbl_Data_old[[#This Row],[2028 ]]*IFERROR(AVERAGEIFS('Participation Adjustment'!$C:$C,'Participation Adjustment'!$A:$A,$H747,'Participation Adjustment'!$B:$B,$I747),1)</f>
        <v>3.1622298215275402</v>
      </c>
      <c r="Z747" s="79">
        <f>tbl_Data_old[[#This Row],[2029 ]]*IFERROR(AVERAGEIFS('Participation Adjustment'!$C:$C,'Participation Adjustment'!$A:$A,$H747,'Participation Adjustment'!$B:$B,$I747),1)</f>
        <v>3.3975521964044302</v>
      </c>
      <c r="AA747" s="79">
        <f>tbl_Data_old[[#This Row],[2030 ]]*IFERROR(AVERAGEIFS('Participation Adjustment'!$C:$C,'Participation Adjustment'!$A:$A,$H747,'Participation Adjustment'!$B:$B,$I747),1)</f>
        <v>3.6183618207136798</v>
      </c>
      <c r="AB747" s="79">
        <f>tbl_Data_old[[#This Row],[2031 ]]*IFERROR(AVERAGEIFS('Participation Adjustment'!$C:$C,'Participation Adjustment'!$A:$A,$H747,'Participation Adjustment'!$B:$B,$I747),1)</f>
        <v>3.8271059154757801</v>
      </c>
      <c r="AC747" s="79">
        <f>tbl_Data_old[[#This Row],[2032 ]]*IFERROR(AVERAGEIFS('Participation Adjustment'!$C:$C,'Participation Adjustment'!$A:$A,$H747,'Participation Adjustment'!$B:$B,$I747),1)</f>
        <v>4.0144448979906597</v>
      </c>
      <c r="AD747" s="79">
        <f>tbl_Data_old[[#This Row],[2033 ]]*IFERROR(AVERAGEIFS('Participation Adjustment'!$C:$C,'Participation Adjustment'!$A:$A,$H747,'Participation Adjustment'!$B:$B,$I747),1)</f>
        <v>4.2000952901135804</v>
      </c>
      <c r="AE747" s="79">
        <f>tbl_Data_old[[#This Row],[2034 ]]*IFERROR(AVERAGEIFS('Participation Adjustment'!$C:$C,'Participation Adjustment'!$A:$A,$H747,'Participation Adjustment'!$B:$B,$I747),1)</f>
        <v>4.3759532224337203</v>
      </c>
      <c r="AF747" s="77" t="str">
        <f t="shared" si="308"/>
        <v>NonResidential</v>
      </c>
      <c r="AG747" s="77" t="str">
        <f>tbl_Data[[#This Row],[All_Meas_Name_Append]]</f>
        <v>Custom Measure - Non-Lighting_70</v>
      </c>
      <c r="AH747" s="77">
        <f>AVERAGEIFS('3. Incentive Adjustment'!G:G,'3. Incentive Adjustment'!A:A,tbl_Data[[#This Row],[Trimmed Sector]],'3. Incentive Adjustment'!B:B,tbl_Data[[#This Row],[Trimmed Measure Name]])</f>
        <v>0.82269267220071174</v>
      </c>
      <c r="AI747" s="77">
        <f>$AH747*tbl_Data[[#This Row],[2025 ]]</f>
        <v>1.8881301571452158</v>
      </c>
      <c r="AJ747" s="77">
        <f>$AH747*tbl_Data[[#This Row],[2026 ]]</f>
        <v>2.147976266085839</v>
      </c>
      <c r="AK747" s="77">
        <f>$AH747*tbl_Data[[#This Row],[2027 ]]</f>
        <v>2.3744032236518198</v>
      </c>
      <c r="AL747" s="77">
        <f>$AH747*tbl_Data[[#This Row],[2028 ]]</f>
        <v>2.6015433019852718</v>
      </c>
      <c r="AM747" s="77">
        <f>$AH747*tbl_Data[[#This Row],[2029 ]]</f>
        <v>2.7951412954013581</v>
      </c>
      <c r="AN747" s="77">
        <f>$AH747*tbl_Data[[#This Row],[2030 ]]</f>
        <v>2.97679975527197</v>
      </c>
      <c r="AO747" s="77">
        <f>$AH747*tbl_Data[[#This Row],[2031 ]]</f>
        <v>3.1485319923979209</v>
      </c>
      <c r="AP747" s="77">
        <f>$AH747*tbl_Data[[#This Row],[2032 ]]</f>
        <v>3.3026544005304497</v>
      </c>
      <c r="AQ747" s="77">
        <f>$AH747*tbl_Data[[#This Row],[2033 ]]</f>
        <v>3.4553876177211649</v>
      </c>
      <c r="AR747" s="77">
        <f>$AH747*tbl_Data[[#This Row],[2034 ]]</f>
        <v>3.6000646499893127</v>
      </c>
      <c r="AS747" s="77">
        <f>SUM(tbl_Data[[#This Row],[Adjusted 2025]:[Adjusted 2034]])</f>
        <v>28.290632660180322</v>
      </c>
      <c r="AT747" s="80">
        <f>AVERAGEIFS('3. Incentive Adjustment'!F:F,'3. Incentive Adjustment'!A:A,tbl_Data[[#This Row],[Trimmed Sector]],'3. Incentive Adjustment'!B:B,tbl_Data[[#This Row],[Trimmed Measure Name]])</f>
        <v>3919.5698976361523</v>
      </c>
      <c r="AU747" s="80">
        <f>IFERROR(VLOOKUP(tbl_Data[[#This Row],[All_Meas_Name_Append]],'IRA Tax Credits'!$A$3:$D$46,4,0),0)</f>
        <v>0</v>
      </c>
      <c r="AV747" s="81">
        <f>tbl_Data[[#This Row],[Adj. per unit Incentive ($)]]/tbl_Data[[#This Row],[kWh Savings]]*tbl_Data[[#This Row],[Sum of Annuals]]</f>
        <v>2.9670524489458594</v>
      </c>
      <c r="AW747" s="81">
        <f>IFERROR(VLOOKUP(tbl_Data[[#This Row],[Column1]],'1. Set Program Names'!$B$2:$D$15,3,0)*tbl_Data[[#This Row],[Sum of Annuals]],"")</f>
        <v>0.89534749208168074</v>
      </c>
      <c r="AX747" s="81">
        <f>tbl_Data[[#This Row],[per unit IRA tax ($)]]/tbl_Data[[#This Row],[kWh Savings]]*tbl_Data[[#This Row],[Sum of Annuals]]</f>
        <v>0</v>
      </c>
      <c r="AY747" s="81">
        <f>tbl_Data[[#This Row],[Avoided Costs ($/unit)]]/tbl_Data[[#This Row],[kWh Savings]]*tbl_Data[[#This Row],[Sum of Annuals]]</f>
        <v>12.096906587467206</v>
      </c>
      <c r="AZ747" s="81">
        <f>tbl_Data[[#This Row],[Lost Revenue ($/unit)]]/tbl_Data[[#This Row],[kWh Savings]]*tbl_Data[[#This Row],[Sum of Annuals]]</f>
        <v>30.046643604948738</v>
      </c>
      <c r="BA747" s="81">
        <f>tbl_Data[[#This Row],[Incremental Cost ($/unit)]]/tbl_Data[[#This Row],[kWh Savings]]*tbl_Data[[#This Row],[Sum of Annuals]]</f>
        <v>10.750440309937311</v>
      </c>
      <c r="BB747" s="77">
        <f>ROUNDUP(tbl_Data[[#This Row],[Adjusted 2025]]/$L747,0)</f>
        <v>1</v>
      </c>
      <c r="BC747" s="77">
        <f>ROUNDUP(tbl_Data[[#This Row],[Adjusted 2026]]/$L747,0)</f>
        <v>1</v>
      </c>
      <c r="BD747" s="77">
        <f>ROUNDUP(tbl_Data[[#This Row],[Adjusted 2027]]/$L747,0)</f>
        <v>1</v>
      </c>
      <c r="BE747" s="77">
        <f>ROUNDUP(tbl_Data[[#This Row],[Adjusted 2028]]/$L747,0)</f>
        <v>1</v>
      </c>
      <c r="BF747" s="77">
        <f>ROUNDUP(tbl_Data[[#This Row],[Adjusted 2029]]/$L747,0)</f>
        <v>1</v>
      </c>
      <c r="BG747" s="77">
        <f>ROUNDUP(tbl_Data[[#This Row],[Adjusted 2030]]/$L747,0)</f>
        <v>1</v>
      </c>
      <c r="BH747" s="77">
        <f>ROUNDUP(tbl_Data[[#This Row],[Adjusted 2031]]/$L747,0)</f>
        <v>1</v>
      </c>
      <c r="BI747" s="77">
        <f>ROUNDUP(tbl_Data[[#This Row],[Adjusted 2032]]/$L747,0)</f>
        <v>1</v>
      </c>
      <c r="BJ747" s="77">
        <f>ROUNDUP(tbl_Data[[#This Row],[Adjusted 2033]]/$L747,0)</f>
        <v>1</v>
      </c>
      <c r="BK747" s="77">
        <f>ROUNDUP(tbl_Data[[#This Row],[Adjusted 2034]]/$L747,0)</f>
        <v>1</v>
      </c>
      <c r="BL747" s="80">
        <f t="shared" si="309"/>
        <v>0.24070042861553495</v>
      </c>
      <c r="BM747" s="80">
        <f t="shared" si="310"/>
        <v>0.27382583025132728</v>
      </c>
      <c r="BN747" s="80">
        <f t="shared" si="311"/>
        <v>0.30269093021808313</v>
      </c>
      <c r="BO747" s="80">
        <f t="shared" si="312"/>
        <v>0.33164693942313245</v>
      </c>
      <c r="BP747" s="80">
        <f t="shared" si="313"/>
        <v>0.35632697528719365</v>
      </c>
      <c r="BQ747" s="80">
        <f t="shared" si="314"/>
        <v>0.37948494932146537</v>
      </c>
      <c r="BR747" s="80">
        <f t="shared" si="315"/>
        <v>0.40137752008884275</v>
      </c>
      <c r="BS747" s="80">
        <f t="shared" si="316"/>
        <v>0.42102517496918634</v>
      </c>
      <c r="BT747" s="80">
        <f t="shared" si="317"/>
        <v>0.44049573461387687</v>
      </c>
      <c r="BU747" s="80">
        <f t="shared" si="318"/>
        <v>0.45893928499412134</v>
      </c>
      <c r="BV747" s="80">
        <f>IFERROR(VLOOKUP($H747,'1. Set Program Names'!$B$2:$D$15,3,0)*V747,"NA")</f>
        <v>7.263455190368201E-2</v>
      </c>
      <c r="BW747" s="80">
        <f>IFERROR(VLOOKUP($H747,'1. Set Program Names'!$B$2:$D$15,3,0)*W747,"NA")</f>
        <v>8.2630581899492253E-2</v>
      </c>
      <c r="BX747" s="80">
        <f>IFERROR(VLOOKUP($H747,'1. Set Program Names'!$B$2:$D$15,3,0)*X747,"NA")</f>
        <v>9.1341009270974646E-2</v>
      </c>
      <c r="BY747" s="80">
        <f>IFERROR(VLOOKUP($H747,'1. Set Program Names'!$B$2:$D$15,3,0)*Y747,"NA")</f>
        <v>0.10007886971278986</v>
      </c>
      <c r="BZ747" s="80">
        <f>IFERROR(VLOOKUP($H747,'1. Set Program Names'!$B$2:$D$15,3,0)*Z747,"NA")</f>
        <v>0.10752639839507652</v>
      </c>
      <c r="CA747" s="80">
        <f>IFERROR(VLOOKUP($H747,'1. Set Program Names'!$B$2:$D$15,3,0)*AA747,"NA")</f>
        <v>0.11451462470049434</v>
      </c>
      <c r="CB747" s="80">
        <f>IFERROR(VLOOKUP($H747,'1. Set Program Names'!$B$2:$D$15,3,0)*AB747,"NA")</f>
        <v>0.1211209987599607</v>
      </c>
      <c r="CC747" s="80">
        <f>IFERROR(VLOOKUP($H747,'1. Set Program Names'!$B$2:$D$15,3,0)*AC747,"NA")</f>
        <v>0.12704993962807781</v>
      </c>
      <c r="CD747" s="80">
        <f>IFERROR(VLOOKUP($H747,'1. Set Program Names'!$B$2:$D$15,3,0)*AD747,"NA")</f>
        <v>0.13292543965622663</v>
      </c>
      <c r="CE747" s="80">
        <f>IFERROR(VLOOKUP($H747,'1. Set Program Names'!$B$2:$D$15,3,0)*AE747,"NA")</f>
        <v>0.13849102599559213</v>
      </c>
    </row>
    <row r="748" spans="1:83" x14ac:dyDescent="0.25">
      <c r="A748" s="79" t="s">
        <v>116</v>
      </c>
      <c r="B748" s="79" t="s">
        <v>88</v>
      </c>
      <c r="C748" s="79" t="s">
        <v>176</v>
      </c>
      <c r="D748" s="79" t="s">
        <v>90</v>
      </c>
      <c r="E748" s="79" t="s">
        <v>91</v>
      </c>
      <c r="F748" s="79" t="s">
        <v>90</v>
      </c>
      <c r="G748" s="79" t="s">
        <v>92</v>
      </c>
      <c r="H748" s="79" t="s">
        <v>18</v>
      </c>
      <c r="I748" s="79" t="s">
        <v>187</v>
      </c>
      <c r="J748" s="79" t="s">
        <v>137</v>
      </c>
      <c r="K748" s="79" t="s">
        <v>98</v>
      </c>
      <c r="L748" s="79">
        <v>16575.9941666665</v>
      </c>
      <c r="M748" s="79">
        <v>1.98609088803711</v>
      </c>
      <c r="N748" s="79">
        <v>1.91315479867159</v>
      </c>
      <c r="O748" s="79">
        <v>5440</v>
      </c>
      <c r="P748" s="79">
        <v>2106.6717861739999</v>
      </c>
      <c r="Q748" s="79">
        <v>524.60031502847596</v>
      </c>
      <c r="R748" s="79">
        <v>7087.6591263841001</v>
      </c>
      <c r="S748" s="79">
        <v>17604.872789732901</v>
      </c>
      <c r="T748" s="79">
        <v>15</v>
      </c>
      <c r="U748" s="79">
        <v>1</v>
      </c>
      <c r="V748" s="79">
        <f>tbl_Data_old[[#This Row],[2025 ]]*IFERROR(AVERAGEIFS('Participation Adjustment'!$C:$C,'Participation Adjustment'!$A:$A,$H748,'Participation Adjustment'!$B:$B,$I748),1)</f>
        <v>1.0957401254938901</v>
      </c>
      <c r="W748" s="79">
        <f>tbl_Data_old[[#This Row],[2026 ]]*IFERROR(AVERAGEIFS('Participation Adjustment'!$C:$C,'Participation Adjustment'!$A:$A,$H748,'Participation Adjustment'!$B:$B,$I748),1)</f>
        <v>1.5140742661618201</v>
      </c>
      <c r="X748" s="79">
        <f>tbl_Data_old[[#This Row],[2027 ]]*IFERROR(AVERAGEIFS('Participation Adjustment'!$C:$C,'Participation Adjustment'!$A:$A,$H748,'Participation Adjustment'!$B:$B,$I748),1)</f>
        <v>2.0266787440788598</v>
      </c>
      <c r="Y748" s="79">
        <f>tbl_Data_old[[#This Row],[2028 ]]*IFERROR(AVERAGEIFS('Participation Adjustment'!$C:$C,'Participation Adjustment'!$A:$A,$H748,'Participation Adjustment'!$B:$B,$I748),1)</f>
        <v>2.64593988734218</v>
      </c>
      <c r="Z748" s="79">
        <f>tbl_Data_old[[#This Row],[2029 ]]*IFERROR(AVERAGEIFS('Participation Adjustment'!$C:$C,'Participation Adjustment'!$A:$A,$H748,'Participation Adjustment'!$B:$B,$I748),1)</f>
        <v>3.3043752021586701</v>
      </c>
      <c r="AA748" s="79">
        <f>tbl_Data_old[[#This Row],[2030 ]]*IFERROR(AVERAGEIFS('Participation Adjustment'!$C:$C,'Participation Adjustment'!$A:$A,$H748,'Participation Adjustment'!$B:$B,$I748),1)</f>
        <v>3.9248207187847499</v>
      </c>
      <c r="AB748" s="79">
        <f>tbl_Data_old[[#This Row],[2031 ]]*IFERROR(AVERAGEIFS('Participation Adjustment'!$C:$C,'Participation Adjustment'!$A:$A,$H748,'Participation Adjustment'!$B:$B,$I748),1)</f>
        <v>4.3784057917204597</v>
      </c>
      <c r="AC748" s="79">
        <f>tbl_Data_old[[#This Row],[2032 ]]*IFERROR(AVERAGEIFS('Participation Adjustment'!$C:$C,'Participation Adjustment'!$A:$A,$H748,'Participation Adjustment'!$B:$B,$I748),1)</f>
        <v>4.5210579631216898</v>
      </c>
      <c r="AD748" s="79">
        <f>tbl_Data_old[[#This Row],[2033 ]]*IFERROR(AVERAGEIFS('Participation Adjustment'!$C:$C,'Participation Adjustment'!$A:$A,$H748,'Participation Adjustment'!$B:$B,$I748),1)</f>
        <v>4.2893692409258097</v>
      </c>
      <c r="AE748" s="79">
        <f>tbl_Data_old[[#This Row],[2034 ]]*IFERROR(AVERAGEIFS('Participation Adjustment'!$C:$C,'Participation Adjustment'!$A:$A,$H748,'Participation Adjustment'!$B:$B,$I748),1)</f>
        <v>3.72111697214548</v>
      </c>
      <c r="AF748" s="77" t="str">
        <f t="shared" si="308"/>
        <v>NonResidential</v>
      </c>
      <c r="AG748" s="77" t="str">
        <f>tbl_Data[[#This Row],[All_Meas_Name_Append]]</f>
        <v>High Efficiency Air Compressor</v>
      </c>
      <c r="AH748" s="77">
        <f>AVERAGEIFS('3. Incentive Adjustment'!G:G,'3. Incentive Adjustment'!A:A,tbl_Data[[#This Row],[Trimmed Sector]],'3. Incentive Adjustment'!B:B,tbl_Data[[#This Row],[Trimmed Measure Name]])</f>
        <v>0.94309259342294038</v>
      </c>
      <c r="AI748" s="77">
        <f>$AH748*tbl_Data[[#This Row],[2025 ]]</f>
        <v>1.033384396669611</v>
      </c>
      <c r="AJ748" s="77">
        <f>$AH748*tbl_Data[[#This Row],[2026 ]]</f>
        <v>1.4279122263094861</v>
      </c>
      <c r="AK748" s="77">
        <f>$AH748*tbl_Data[[#This Row],[2027 ]]</f>
        <v>1.9113457127884796</v>
      </c>
      <c r="AL748" s="77">
        <f>$AH748*tbl_Data[[#This Row],[2028 ]]</f>
        <v>2.4953663103947394</v>
      </c>
      <c r="AM748" s="77">
        <f>$AH748*tbl_Data[[#This Row],[2029 ]]</f>
        <v>3.116331779046273</v>
      </c>
      <c r="AN748" s="77">
        <f>$AH748*tbl_Data[[#This Row],[2030 ]]</f>
        <v>3.7014693503987988</v>
      </c>
      <c r="AO748" s="77">
        <f>$AH748*tbl_Data[[#This Row],[2031 ]]</f>
        <v>4.129242073171671</v>
      </c>
      <c r="AP748" s="77">
        <f>$AH748*tbl_Data[[#This Row],[2032 ]]</f>
        <v>4.2637762794558709</v>
      </c>
      <c r="AQ748" s="77">
        <f>$AH748*tbl_Data[[#This Row],[2033 ]]</f>
        <v>4.0452723615733115</v>
      </c>
      <c r="AR748" s="77">
        <f>$AH748*tbl_Data[[#This Row],[2034 ]]</f>
        <v>3.5093578556908001</v>
      </c>
      <c r="AS748" s="77">
        <f>SUM(tbl_Data[[#This Row],[Adjusted 2025]:[Adjusted 2034]])</f>
        <v>29.633458345499044</v>
      </c>
      <c r="AT748" s="80">
        <f>AVERAGEIFS('3. Incentive Adjustment'!F:F,'3. Incentive Adjustment'!A:A,tbl_Data[[#This Row],[Trimmed Sector]],'3. Incentive Adjustment'!B:B,tbl_Data[[#This Row],[Trimmed Measure Name]])</f>
        <v>1738.5866300231887</v>
      </c>
      <c r="AU748" s="80">
        <f>IFERROR(VLOOKUP(tbl_Data[[#This Row],[All_Meas_Name_Append]],'IRA Tax Credits'!$A$3:$D$46,4,0),0)</f>
        <v>0</v>
      </c>
      <c r="AV748" s="81">
        <f>tbl_Data[[#This Row],[Adj. per unit Incentive ($)]]/tbl_Data[[#This Row],[kWh Savings]]*tbl_Data[[#This Row],[Sum of Annuals]]</f>
        <v>3.1081293805253956</v>
      </c>
      <c r="AW748" s="81">
        <f>IFERROR(VLOOKUP(tbl_Data[[#This Row],[Column1]],'1. Set Program Names'!$B$2:$D$15,3,0)*tbl_Data[[#This Row],[Sum of Annuals]],"")</f>
        <v>0.93784550278701362</v>
      </c>
      <c r="AX748" s="81">
        <f>tbl_Data[[#This Row],[per unit IRA tax ($)]]/tbl_Data[[#This Row],[kWh Savings]]*tbl_Data[[#This Row],[Sum of Annuals]]</f>
        <v>0</v>
      </c>
      <c r="AY748" s="81">
        <f>tbl_Data[[#This Row],[Avoided Costs ($/unit)]]/tbl_Data[[#This Row],[kWh Savings]]*tbl_Data[[#This Row],[Sum of Annuals]]</f>
        <v>12.670844920491284</v>
      </c>
      <c r="AZ748" s="81">
        <f>tbl_Data[[#This Row],[Lost Revenue ($/unit)]]/tbl_Data[[#This Row],[kWh Savings]]*tbl_Data[[#This Row],[Sum of Annuals]]</f>
        <v>31.472819020500062</v>
      </c>
      <c r="BA748" s="81">
        <f>tbl_Data[[#This Row],[Incremental Cost ($/unit)]]/tbl_Data[[#This Row],[kWh Savings]]*tbl_Data[[#This Row],[Sum of Annuals]]</f>
        <v>9.7252696748465368</v>
      </c>
      <c r="BB748" s="77">
        <f>ROUNDUP(tbl_Data[[#This Row],[Adjusted 2025]]/$L748,0)</f>
        <v>1</v>
      </c>
      <c r="BC748" s="77">
        <f>ROUNDUP(tbl_Data[[#This Row],[Adjusted 2026]]/$L748,0)</f>
        <v>1</v>
      </c>
      <c r="BD748" s="77">
        <f>ROUNDUP(tbl_Data[[#This Row],[Adjusted 2027]]/$L748,0)</f>
        <v>1</v>
      </c>
      <c r="BE748" s="77">
        <f>ROUNDUP(tbl_Data[[#This Row],[Adjusted 2028]]/$L748,0)</f>
        <v>1</v>
      </c>
      <c r="BF748" s="77">
        <f>ROUNDUP(tbl_Data[[#This Row],[Adjusted 2029]]/$L748,0)</f>
        <v>1</v>
      </c>
      <c r="BG748" s="77">
        <f>ROUNDUP(tbl_Data[[#This Row],[Adjusted 2030]]/$L748,0)</f>
        <v>1</v>
      </c>
      <c r="BH748" s="77">
        <f>ROUNDUP(tbl_Data[[#This Row],[Adjusted 2031]]/$L748,0)</f>
        <v>1</v>
      </c>
      <c r="BI748" s="77">
        <f>ROUNDUP(tbl_Data[[#This Row],[Adjusted 2032]]/$L748,0)</f>
        <v>1</v>
      </c>
      <c r="BJ748" s="77">
        <f>ROUNDUP(tbl_Data[[#This Row],[Adjusted 2033]]/$L748,0)</f>
        <v>1</v>
      </c>
      <c r="BK748" s="77">
        <f>ROUNDUP(tbl_Data[[#This Row],[Adjusted 2034]]/$L748,0)</f>
        <v>1</v>
      </c>
      <c r="BL748" s="80">
        <f t="shared" si="309"/>
        <v>0.1149275942672897</v>
      </c>
      <c r="BM748" s="80">
        <f t="shared" si="310"/>
        <v>0.1588049108574516</v>
      </c>
      <c r="BN748" s="80">
        <f t="shared" si="311"/>
        <v>0.21256984844344301</v>
      </c>
      <c r="BO748" s="80">
        <f t="shared" si="312"/>
        <v>0.27752155712198195</v>
      </c>
      <c r="BP748" s="80">
        <f t="shared" si="313"/>
        <v>0.34658208064563806</v>
      </c>
      <c r="BQ748" s="80">
        <f t="shared" si="314"/>
        <v>0.41165801328762347</v>
      </c>
      <c r="BR748" s="80">
        <f t="shared" si="315"/>
        <v>0.45923265257954282</v>
      </c>
      <c r="BS748" s="80">
        <f t="shared" si="316"/>
        <v>0.47419484160110376</v>
      </c>
      <c r="BT748" s="80">
        <f t="shared" si="317"/>
        <v>0.44989398153281618</v>
      </c>
      <c r="BU748" s="80">
        <f t="shared" si="318"/>
        <v>0.39029238014177836</v>
      </c>
      <c r="BV748" s="80">
        <f>IFERROR(VLOOKUP($H748,'1. Set Program Names'!$B$2:$D$15,3,0)*V748,"NA")</f>
        <v>3.4678198438280079E-2</v>
      </c>
      <c r="BW748" s="80">
        <f>IFERROR(VLOOKUP($H748,'1. Set Program Names'!$B$2:$D$15,3,0)*W748,"NA")</f>
        <v>4.7917719384956169E-2</v>
      </c>
      <c r="BX748" s="80">
        <f>IFERROR(VLOOKUP($H748,'1. Set Program Names'!$B$2:$D$15,3,0)*X748,"NA")</f>
        <v>6.4140726457500574E-2</v>
      </c>
      <c r="BY748" s="80">
        <f>IFERROR(VLOOKUP($H748,'1. Set Program Names'!$B$2:$D$15,3,0)*Y748,"NA")</f>
        <v>8.3739224597305484E-2</v>
      </c>
      <c r="BZ748" s="80">
        <f>IFERROR(VLOOKUP($H748,'1. Set Program Names'!$B$2:$D$15,3,0)*Z748,"NA")</f>
        <v>0.10457751460305464</v>
      </c>
      <c r="CA748" s="80">
        <f>IFERROR(VLOOKUP($H748,'1. Set Program Names'!$B$2:$D$15,3,0)*AA748,"NA")</f>
        <v>0.12421349602337763</v>
      </c>
      <c r="CB748" s="80">
        <f>IFERROR(VLOOKUP($H748,'1. Set Program Names'!$B$2:$D$15,3,0)*AB748,"NA")</f>
        <v>0.13856864538948888</v>
      </c>
      <c r="CC748" s="80">
        <f>IFERROR(VLOOKUP($H748,'1. Set Program Names'!$B$2:$D$15,3,0)*AC748,"NA")</f>
        <v>0.14308332929346076</v>
      </c>
      <c r="CD748" s="80">
        <f>IFERROR(VLOOKUP($H748,'1. Set Program Names'!$B$2:$D$15,3,0)*AD748,"NA")</f>
        <v>0.1357507991640208</v>
      </c>
      <c r="CE748" s="80">
        <f>IFERROR(VLOOKUP($H748,'1. Set Program Names'!$B$2:$D$15,3,0)*AE748,"NA")</f>
        <v>0.1177666398900461</v>
      </c>
    </row>
    <row r="749" spans="1:83" x14ac:dyDescent="0.25">
      <c r="A749" s="79" t="s">
        <v>116</v>
      </c>
      <c r="B749" s="79" t="s">
        <v>88</v>
      </c>
      <c r="C749" s="79" t="s">
        <v>176</v>
      </c>
      <c r="D749" s="79" t="s">
        <v>90</v>
      </c>
      <c r="E749" s="79" t="s">
        <v>91</v>
      </c>
      <c r="F749" s="79" t="s">
        <v>90</v>
      </c>
      <c r="G749" s="79" t="s">
        <v>92</v>
      </c>
      <c r="H749" s="79" t="s">
        <v>18</v>
      </c>
      <c r="I749" s="79" t="s">
        <v>157</v>
      </c>
      <c r="J749" s="79" t="s">
        <v>158</v>
      </c>
      <c r="K749" s="79" t="s">
        <v>159</v>
      </c>
      <c r="L749" s="79">
        <v>562.52</v>
      </c>
      <c r="M749" s="79">
        <v>6.7473359330379998E-2</v>
      </c>
      <c r="N749" s="79">
        <v>6.4973258375617293E-2</v>
      </c>
      <c r="O749" s="79">
        <v>169</v>
      </c>
      <c r="P749" s="79">
        <v>55.847956108163899</v>
      </c>
      <c r="Q749" s="79">
        <v>17.802743307140101</v>
      </c>
      <c r="R749" s="79">
        <v>240.47921618074301</v>
      </c>
      <c r="S749" s="79">
        <v>597.43584258705596</v>
      </c>
      <c r="T749" s="79">
        <v>15</v>
      </c>
      <c r="U749" s="79">
        <v>0.2</v>
      </c>
      <c r="V749" s="79">
        <f>tbl_Data_old[[#This Row],[2025 ]]*IFERROR(AVERAGEIFS('Participation Adjustment'!$C:$C,'Participation Adjustment'!$A:$A,$H749,'Participation Adjustment'!$B:$B,$I749),1)</f>
        <v>0.35129383215470256</v>
      </c>
      <c r="W749" s="79">
        <f>tbl_Data_old[[#This Row],[2026 ]]*IFERROR(AVERAGEIFS('Participation Adjustment'!$C:$C,'Participation Adjustment'!$A:$A,$H749,'Participation Adjustment'!$B:$B,$I749),1)</f>
        <v>0.399655476228852</v>
      </c>
      <c r="X749" s="79">
        <f>tbl_Data_old[[#This Row],[2027 ]]*IFERROR(AVERAGEIFS('Participation Adjustment'!$C:$C,'Participation Adjustment'!$A:$A,$H749,'Participation Adjustment'!$B:$B,$I749),1)</f>
        <v>0.44179923717467451</v>
      </c>
      <c r="Y749" s="79">
        <f>tbl_Data_old[[#This Row],[2028 ]]*IFERROR(AVERAGEIFS('Participation Adjustment'!$C:$C,'Participation Adjustment'!$A:$A,$H749,'Participation Adjustment'!$B:$B,$I749),1)</f>
        <v>0.48410018019691148</v>
      </c>
      <c r="Z749" s="79">
        <f>tbl_Data_old[[#This Row],[2029 ]]*IFERROR(AVERAGEIFS('Participation Adjustment'!$C:$C,'Participation Adjustment'!$A:$A,$H749,'Participation Adjustment'!$B:$B,$I749),1)</f>
        <v>0.52013015420559494</v>
      </c>
      <c r="AA749" s="79">
        <f>tbl_Data_old[[#This Row],[2030 ]]*IFERROR(AVERAGEIFS('Participation Adjustment'!$C:$C,'Participation Adjustment'!$A:$A,$H749,'Participation Adjustment'!$B:$B,$I749),1)</f>
        <v>0.55395091086010495</v>
      </c>
      <c r="AB749" s="79">
        <f>tbl_Data_old[[#This Row],[2031 ]]*IFERROR(AVERAGEIFS('Participation Adjustment'!$C:$C,'Participation Adjustment'!$A:$A,$H749,'Participation Adjustment'!$B:$B,$I749),1)</f>
        <v>0.58593243123583005</v>
      </c>
      <c r="AC749" s="79">
        <f>tbl_Data_old[[#This Row],[2032 ]]*IFERROR(AVERAGEIFS('Participation Adjustment'!$C:$C,'Participation Adjustment'!$A:$A,$H749,'Participation Adjustment'!$B:$B,$I749),1)</f>
        <v>0.61461983785535002</v>
      </c>
      <c r="AD749" s="79">
        <f>tbl_Data_old[[#This Row],[2033 ]]*IFERROR(AVERAGEIFS('Participation Adjustment'!$C:$C,'Participation Adjustment'!$A:$A,$H749,'Participation Adjustment'!$B:$B,$I749),1)</f>
        <v>0.64306550900478499</v>
      </c>
      <c r="AE749" s="79">
        <f>tbl_Data_old[[#This Row],[2034 ]]*IFERROR(AVERAGEIFS('Participation Adjustment'!$C:$C,'Participation Adjustment'!$A:$A,$H749,'Participation Adjustment'!$B:$B,$I749),1)</f>
        <v>0.67001052904010994</v>
      </c>
      <c r="AF749" s="77" t="str">
        <f t="shared" si="308"/>
        <v>NonResidential</v>
      </c>
      <c r="AG749" s="77" t="str">
        <f>tbl_Data[[#This Row],[All_Meas_Name_Append]]</f>
        <v>LED Exterior Wall Packs</v>
      </c>
      <c r="AH749" s="77">
        <f>AVERAGEIFS('3. Incentive Adjustment'!G:G,'3. Incentive Adjustment'!A:A,tbl_Data[[#This Row],[Trimmed Sector]],'3. Incentive Adjustment'!B:B,tbl_Data[[#This Row],[Trimmed Measure Name]])</f>
        <v>0.80637708305213962</v>
      </c>
      <c r="AI749" s="77">
        <f>$AH749*tbl_Data[[#This Row],[2025 ]]</f>
        <v>0.28327529566711696</v>
      </c>
      <c r="AJ749" s="77">
        <f>$AH749*tbl_Data[[#This Row],[2026 ]]</f>
        <v>0.32227301714723539</v>
      </c>
      <c r="AK749" s="77">
        <f>$AH749*tbl_Data[[#This Row],[2027 ]]</f>
        <v>0.35625678016757445</v>
      </c>
      <c r="AL749" s="77">
        <f>$AH749*tbl_Data[[#This Row],[2028 ]]</f>
        <v>0.39036729121220065</v>
      </c>
      <c r="AM749" s="77">
        <f>$AH749*tbl_Data[[#This Row],[2029 ]]</f>
        <v>0.41942103655576723</v>
      </c>
      <c r="AN749" s="77">
        <f>$AH749*tbl_Data[[#This Row],[2030 ]]</f>
        <v>0.44669331965344722</v>
      </c>
      <c r="AO749" s="77">
        <f>$AH749*tbl_Data[[#This Row],[2031 ]]</f>
        <v>0.47248248476559701</v>
      </c>
      <c r="AP749" s="77">
        <f>$AH749*tbl_Data[[#This Row],[2032 ]]</f>
        <v>0.49561535203577617</v>
      </c>
      <c r="AQ749" s="77">
        <f>$AH749*tbl_Data[[#This Row],[2033 ]]</f>
        <v>0.51855328936271794</v>
      </c>
      <c r="AR749" s="77">
        <f>$AH749*tbl_Data[[#This Row],[2034 ]]</f>
        <v>0.54028113602158478</v>
      </c>
      <c r="AS749" s="77">
        <f>SUM(tbl_Data[[#This Row],[Adjusted 2025]:[Adjusted 2034]])</f>
        <v>4.2452190025890175</v>
      </c>
      <c r="AT749" s="80">
        <f>AVERAGEIFS('3. Incentive Adjustment'!F:F,'3. Incentive Adjustment'!A:A,tbl_Data[[#This Row],[Trimmed Sector]],'3. Incentive Adjustment'!B:B,tbl_Data[[#This Row],[Trimmed Measure Name]])</f>
        <v>8.6864493556481861</v>
      </c>
      <c r="AU749" s="80">
        <f>IFERROR(VLOOKUP(tbl_Data[[#This Row],[All_Meas_Name_Append]],'IRA Tax Credits'!$A$3:$D$46,4,0),0)</f>
        <v>0</v>
      </c>
      <c r="AV749" s="81">
        <f>tbl_Data[[#This Row],[Adj. per unit Incentive ($)]]/tbl_Data[[#This Row],[kWh Savings]]*tbl_Data[[#This Row],[Sum of Annuals]]</f>
        <v>6.5554788931282096E-2</v>
      </c>
      <c r="AW749" s="81">
        <f>IFERROR(VLOOKUP(tbl_Data[[#This Row],[Column1]],'1. Set Program Names'!$B$2:$D$15,3,0)*tbl_Data[[#This Row],[Sum of Annuals]],"")</f>
        <v>0.13435352376037477</v>
      </c>
      <c r="AX749" s="81">
        <f>tbl_Data[[#This Row],[per unit IRA tax ($)]]/tbl_Data[[#This Row],[kWh Savings]]*tbl_Data[[#This Row],[Sum of Annuals]]</f>
        <v>0</v>
      </c>
      <c r="AY749" s="81">
        <f>tbl_Data[[#This Row],[Avoided Costs ($/unit)]]/tbl_Data[[#This Row],[kWh Savings]]*tbl_Data[[#This Row],[Sum of Annuals]]</f>
        <v>1.8148455846160183</v>
      </c>
      <c r="AZ749" s="81">
        <f>tbl_Data[[#This Row],[Lost Revenue ($/unit)]]/tbl_Data[[#This Row],[kWh Savings]]*tbl_Data[[#This Row],[Sum of Annuals]]</f>
        <v>4.5087214530654043</v>
      </c>
      <c r="BA749" s="81">
        <f>tbl_Data[[#This Row],[Incremental Cost ($/unit)]]/tbl_Data[[#This Row],[kWh Savings]]*tbl_Data[[#This Row],[Sum of Annuals]]</f>
        <v>1.2754071169692527</v>
      </c>
      <c r="BB749" s="77">
        <f>ROUNDUP(tbl_Data[[#This Row],[Adjusted 2025]]/$L749,0)</f>
        <v>1</v>
      </c>
      <c r="BC749" s="77">
        <f>ROUNDUP(tbl_Data[[#This Row],[Adjusted 2026]]/$L749,0)</f>
        <v>1</v>
      </c>
      <c r="BD749" s="77">
        <f>ROUNDUP(tbl_Data[[#This Row],[Adjusted 2027]]/$L749,0)</f>
        <v>1</v>
      </c>
      <c r="BE749" s="77">
        <f>ROUNDUP(tbl_Data[[#This Row],[Adjusted 2028]]/$L749,0)</f>
        <v>1</v>
      </c>
      <c r="BF749" s="77">
        <f>ROUNDUP(tbl_Data[[#This Row],[Adjusted 2029]]/$L749,0)</f>
        <v>1</v>
      </c>
      <c r="BG749" s="77">
        <f>ROUNDUP(tbl_Data[[#This Row],[Adjusted 2030]]/$L749,0)</f>
        <v>1</v>
      </c>
      <c r="BH749" s="77">
        <f>ROUNDUP(tbl_Data[[#This Row],[Adjusted 2031]]/$L749,0)</f>
        <v>1</v>
      </c>
      <c r="BI749" s="77">
        <f>ROUNDUP(tbl_Data[[#This Row],[Adjusted 2032]]/$L749,0)</f>
        <v>1</v>
      </c>
      <c r="BJ749" s="77">
        <f>ROUNDUP(tbl_Data[[#This Row],[Adjusted 2033]]/$L749,0)</f>
        <v>1</v>
      </c>
      <c r="BK749" s="77">
        <f>ROUNDUP(tbl_Data[[#This Row],[Adjusted 2034]]/$L749,0)</f>
        <v>1</v>
      </c>
      <c r="BL749" s="80">
        <f t="shared" si="309"/>
        <v>5.4246890456577509E-3</v>
      </c>
      <c r="BM749" s="80">
        <f t="shared" si="310"/>
        <v>6.1714908873806802E-3</v>
      </c>
      <c r="BN749" s="80">
        <f t="shared" si="311"/>
        <v>6.8222760063318842E-3</v>
      </c>
      <c r="BO749" s="80">
        <f t="shared" si="312"/>
        <v>7.4754883352425375E-3</v>
      </c>
      <c r="BP749" s="80">
        <f t="shared" si="313"/>
        <v>8.0318641876775607E-3</v>
      </c>
      <c r="BQ749" s="80">
        <f t="shared" si="314"/>
        <v>8.5541252447939344E-3</v>
      </c>
      <c r="BR749" s="80">
        <f t="shared" si="315"/>
        <v>9.0479847645627727E-3</v>
      </c>
      <c r="BS749" s="80">
        <f t="shared" si="316"/>
        <v>9.4909764888487479E-3</v>
      </c>
      <c r="BT749" s="80">
        <f t="shared" si="317"/>
        <v>9.9302353273380273E-3</v>
      </c>
      <c r="BU749" s="80">
        <f t="shared" si="318"/>
        <v>1.034632106993167E-2</v>
      </c>
      <c r="BV749" s="80">
        <f>IFERROR(VLOOKUP($H749,'1. Set Program Names'!$B$2:$D$15,3,0)*V749,"NA")</f>
        <v>1.1117816111839157E-2</v>
      </c>
      <c r="BW749" s="80">
        <f>IFERROR(VLOOKUP($H749,'1. Set Program Names'!$B$2:$D$15,3,0)*W749,"NA")</f>
        <v>1.2648374910394515E-2</v>
      </c>
      <c r="BX749" s="80">
        <f>IFERROR(VLOOKUP($H749,'1. Set Program Names'!$B$2:$D$15,3,0)*X749,"NA")</f>
        <v>1.3982148923969069E-2</v>
      </c>
      <c r="BY749" s="80">
        <f>IFERROR(VLOOKUP($H749,'1. Set Program Names'!$B$2:$D$15,3,0)*Y749,"NA")</f>
        <v>1.5320897466731723E-2</v>
      </c>
      <c r="BZ749" s="80">
        <f>IFERROR(VLOOKUP($H749,'1. Set Program Names'!$B$2:$D$15,3,0)*Z749,"NA")</f>
        <v>1.6461181152004289E-2</v>
      </c>
      <c r="CA749" s="80">
        <f>IFERROR(VLOOKUP($H749,'1. Set Program Names'!$B$2:$D$15,3,0)*AA749,"NA")</f>
        <v>1.7531547093079265E-2</v>
      </c>
      <c r="CB749" s="80">
        <f>IFERROR(VLOOKUP($H749,'1. Set Program Names'!$B$2:$D$15,3,0)*AB749,"NA")</f>
        <v>1.8543704523608151E-2</v>
      </c>
      <c r="CC749" s="80">
        <f>IFERROR(VLOOKUP($H749,'1. Set Program Names'!$B$2:$D$15,3,0)*AC749,"NA")</f>
        <v>1.945160919578846E-2</v>
      </c>
      <c r="CD749" s="80">
        <f>IFERROR(VLOOKUP($H749,'1. Set Program Names'!$B$2:$D$15,3,0)*AD749,"NA")</f>
        <v>2.0351863376391308E-2</v>
      </c>
      <c r="CE749" s="80">
        <f>IFERROR(VLOOKUP($H749,'1. Set Program Names'!$B$2:$D$15,3,0)*AE749,"NA")</f>
        <v>2.1204624656158501E-2</v>
      </c>
    </row>
    <row r="750" spans="1:83" x14ac:dyDescent="0.25">
      <c r="A750" s="79" t="s">
        <v>116</v>
      </c>
      <c r="B750" s="79" t="s">
        <v>88</v>
      </c>
      <c r="C750" s="79" t="s">
        <v>176</v>
      </c>
      <c r="D750" s="79" t="s">
        <v>90</v>
      </c>
      <c r="E750" s="79" t="s">
        <v>91</v>
      </c>
      <c r="F750" s="79" t="s">
        <v>90</v>
      </c>
      <c r="G750" s="79" t="s">
        <v>92</v>
      </c>
      <c r="H750" s="79" t="s">
        <v>18</v>
      </c>
      <c r="I750" s="79" t="s">
        <v>162</v>
      </c>
      <c r="J750" s="79" t="s">
        <v>161</v>
      </c>
      <c r="K750" s="79" t="s">
        <v>159</v>
      </c>
      <c r="L750" s="79">
        <v>725.58416666666596</v>
      </c>
      <c r="M750" s="79">
        <v>8.6917804178563804E-2</v>
      </c>
      <c r="N750" s="79">
        <v>8.3795205289933394E-2</v>
      </c>
      <c r="O750" s="79">
        <v>179</v>
      </c>
      <c r="P750" s="79">
        <v>33.0790753554421</v>
      </c>
      <c r="Q750" s="79">
        <v>22.963430041406301</v>
      </c>
      <c r="R750" s="79">
        <v>310.45187974046598</v>
      </c>
      <c r="S750" s="79">
        <v>770.62146764617603</v>
      </c>
      <c r="T750" s="79">
        <v>15</v>
      </c>
      <c r="U750" s="79">
        <v>0.2</v>
      </c>
      <c r="V750" s="79">
        <f>tbl_Data_old[[#This Row],[2025 ]]*IFERROR(AVERAGEIFS('Participation Adjustment'!$C:$C,'Participation Adjustment'!$A:$A,$H750,'Participation Adjustment'!$B:$B,$I750),1)</f>
        <v>3.6088388817047203</v>
      </c>
      <c r="W750" s="79">
        <f>tbl_Data_old[[#This Row],[2026 ]]*IFERROR(AVERAGEIFS('Participation Adjustment'!$C:$C,'Participation Adjustment'!$A:$A,$H750,'Participation Adjustment'!$B:$B,$I750),1)</f>
        <v>4.1056576856314999</v>
      </c>
      <c r="X750" s="79">
        <f>tbl_Data_old[[#This Row],[2027 ]]*IFERROR(AVERAGEIFS('Participation Adjustment'!$C:$C,'Participation Adjustment'!$A:$A,$H750,'Participation Adjustment'!$B:$B,$I750),1)</f>
        <v>4.5386002231924101</v>
      </c>
      <c r="Y750" s="79">
        <f>tbl_Data_old[[#This Row],[2028 ]]*IFERROR(AVERAGEIFS('Participation Adjustment'!$C:$C,'Participation Adjustment'!$A:$A,$H750,'Participation Adjustment'!$B:$B,$I750),1)</f>
        <v>4.97315749103592</v>
      </c>
      <c r="Z750" s="79">
        <f>tbl_Data_old[[#This Row],[2029 ]]*IFERROR(AVERAGEIFS('Participation Adjustment'!$C:$C,'Participation Adjustment'!$A:$A,$H750,'Participation Adjustment'!$B:$B,$I750),1)</f>
        <v>5.3432931416160203</v>
      </c>
      <c r="AA750" s="79">
        <f>tbl_Data_old[[#This Row],[2030 ]]*IFERROR(AVERAGEIFS('Participation Adjustment'!$C:$C,'Participation Adjustment'!$A:$A,$H750,'Participation Adjustment'!$B:$B,$I750),1)</f>
        <v>5.6907335190198705</v>
      </c>
      <c r="AB750" s="79">
        <f>tbl_Data_old[[#This Row],[2031 ]]*IFERROR(AVERAGEIFS('Participation Adjustment'!$C:$C,'Participation Adjustment'!$A:$A,$H750,'Participation Adjustment'!$B:$B,$I750),1)</f>
        <v>6.01927943603763</v>
      </c>
      <c r="AC750" s="79">
        <f>tbl_Data_old[[#This Row],[2032 ]]*IFERROR(AVERAGEIFS('Participation Adjustment'!$C:$C,'Participation Adjustment'!$A:$A,$H750,'Participation Adjustment'!$B:$B,$I750),1)</f>
        <v>6.3139849473435907</v>
      </c>
      <c r="AD750" s="79">
        <f>tbl_Data_old[[#This Row],[2033 ]]*IFERROR(AVERAGEIFS('Participation Adjustment'!$C:$C,'Participation Adjustment'!$A:$A,$H750,'Participation Adjustment'!$B:$B,$I750),1)</f>
        <v>6.6062071119931396</v>
      </c>
      <c r="AE750" s="79">
        <f>tbl_Data_old[[#This Row],[2034 ]]*IFERROR(AVERAGEIFS('Participation Adjustment'!$C:$C,'Participation Adjustment'!$A:$A,$H750,'Participation Adjustment'!$B:$B,$I750),1)</f>
        <v>6.8830130990933007</v>
      </c>
      <c r="AF750" s="77" t="str">
        <f t="shared" si="308"/>
        <v>NonResidential</v>
      </c>
      <c r="AG750" s="77" t="str">
        <f>tbl_Data[[#This Row],[All_Meas_Name_Append]]</f>
        <v>LED High Bay_LF Baseline</v>
      </c>
      <c r="AH750" s="77">
        <f>AVERAGEIFS('3. Incentive Adjustment'!G:G,'3. Incentive Adjustment'!A:A,tbl_Data[[#This Row],[Trimmed Sector]],'3. Incentive Adjustment'!B:B,tbl_Data[[#This Row],[Trimmed Measure Name]])</f>
        <v>0.93017466414143679</v>
      </c>
      <c r="AI750" s="77">
        <f>$AH750*tbl_Data[[#This Row],[2025 ]]</f>
        <v>3.3568504947302467</v>
      </c>
      <c r="AJ750" s="77">
        <f>$AH750*tbl_Data[[#This Row],[2026 ]]</f>
        <v>3.8189787588119892</v>
      </c>
      <c r="AK750" s="77">
        <f>$AH750*tbl_Data[[#This Row],[2027 ]]</f>
        <v>4.2216909382802497</v>
      </c>
      <c r="AL750" s="77">
        <f>$AH750*tbl_Data[[#This Row],[2028 ]]</f>
        <v>4.6259050989468076</v>
      </c>
      <c r="AM750" s="77">
        <f>$AH750*tbl_Data[[#This Row],[2029 ]]</f>
        <v>4.9701959034119243</v>
      </c>
      <c r="AN750" s="77">
        <f>$AH750*tbl_Data[[#This Row],[2030 ]]</f>
        <v>5.2933761397727244</v>
      </c>
      <c r="AO750" s="77">
        <f>$AH750*tbl_Data[[#This Row],[2031 ]]</f>
        <v>5.5989812277897597</v>
      </c>
      <c r="AP750" s="77">
        <f>$AH750*tbl_Data[[#This Row],[2032 ]]</f>
        <v>5.8731088277894123</v>
      </c>
      <c r="AQ750" s="77">
        <f>$AH750*tbl_Data[[#This Row],[2033 ]]</f>
        <v>6.1449264816469897</v>
      </c>
      <c r="AR750" s="77">
        <f>$AH750*tbl_Data[[#This Row],[2034 ]]</f>
        <v>6.402404397730221</v>
      </c>
      <c r="AS750" s="77">
        <f>SUM(tbl_Data[[#This Row],[Adjusted 2025]:[Adjusted 2034]])</f>
        <v>50.306418268910335</v>
      </c>
      <c r="AT750" s="80">
        <f>AVERAGEIFS('3. Incentive Adjustment'!F:F,'3. Incentive Adjustment'!A:A,tbl_Data[[#This Row],[Trimmed Sector]],'3. Incentive Adjustment'!B:B,tbl_Data[[#This Row],[Trimmed Measure Name]])</f>
        <v>23.858858929800434</v>
      </c>
      <c r="AU750" s="80">
        <f>IFERROR(VLOOKUP(tbl_Data[[#This Row],[All_Meas_Name_Append]],'IRA Tax Credits'!$A$3:$D$46,4,0),0)</f>
        <v>0</v>
      </c>
      <c r="AV750" s="81">
        <f>tbl_Data[[#This Row],[Adj. per unit Incentive ($)]]/tbl_Data[[#This Row],[kWh Savings]]*tbl_Data[[#This Row],[Sum of Annuals]]</f>
        <v>1.654189537039422</v>
      </c>
      <c r="AW750" s="81">
        <f>IFERROR(VLOOKUP(tbl_Data[[#This Row],[Column1]],'1. Set Program Names'!$B$2:$D$15,3,0)*tbl_Data[[#This Row],[Sum of Annuals]],"")</f>
        <v>1.5921073937691792</v>
      </c>
      <c r="AX750" s="81">
        <f>tbl_Data[[#This Row],[per unit IRA tax ($)]]/tbl_Data[[#This Row],[kWh Savings]]*tbl_Data[[#This Row],[Sum of Annuals]]</f>
        <v>0</v>
      </c>
      <c r="AY750" s="81">
        <f>tbl_Data[[#This Row],[Avoided Costs ($/unit)]]/tbl_Data[[#This Row],[kWh Savings]]*tbl_Data[[#This Row],[Sum of Annuals]]</f>
        <v>21.524342498184815</v>
      </c>
      <c r="AZ750" s="81">
        <f>tbl_Data[[#This Row],[Lost Revenue ($/unit)]]/tbl_Data[[#This Row],[kWh Savings]]*tbl_Data[[#This Row],[Sum of Annuals]]</f>
        <v>53.428957878872481</v>
      </c>
      <c r="BA750" s="81">
        <f>tbl_Data[[#This Row],[Incremental Cost ($/unit)]]/tbl_Data[[#This Row],[kWh Savings]]*tbl_Data[[#This Row],[Sum of Annuals]]</f>
        <v>12.410481490387573</v>
      </c>
      <c r="BB750" s="77">
        <f>ROUNDUP(tbl_Data[[#This Row],[Adjusted 2025]]/$L750,0)</f>
        <v>1</v>
      </c>
      <c r="BC750" s="77">
        <f>ROUNDUP(tbl_Data[[#This Row],[Adjusted 2026]]/$L750,0)</f>
        <v>1</v>
      </c>
      <c r="BD750" s="77">
        <f>ROUNDUP(tbl_Data[[#This Row],[Adjusted 2027]]/$L750,0)</f>
        <v>1</v>
      </c>
      <c r="BE750" s="77">
        <f>ROUNDUP(tbl_Data[[#This Row],[Adjusted 2028]]/$L750,0)</f>
        <v>1</v>
      </c>
      <c r="BF750" s="77">
        <f>ROUNDUP(tbl_Data[[#This Row],[Adjusted 2029]]/$L750,0)</f>
        <v>1</v>
      </c>
      <c r="BG750" s="77">
        <f>ROUNDUP(tbl_Data[[#This Row],[Adjusted 2030]]/$L750,0)</f>
        <v>1</v>
      </c>
      <c r="BH750" s="77">
        <f>ROUNDUP(tbl_Data[[#This Row],[Adjusted 2031]]/$L750,0)</f>
        <v>1</v>
      </c>
      <c r="BI750" s="77">
        <f>ROUNDUP(tbl_Data[[#This Row],[Adjusted 2032]]/$L750,0)</f>
        <v>1</v>
      </c>
      <c r="BJ750" s="77">
        <f>ROUNDUP(tbl_Data[[#This Row],[Adjusted 2033]]/$L750,0)</f>
        <v>1</v>
      </c>
      <c r="BK750" s="77">
        <f>ROUNDUP(tbl_Data[[#This Row],[Adjusted 2034]]/$L750,0)</f>
        <v>1</v>
      </c>
      <c r="BL750" s="80">
        <f t="shared" si="309"/>
        <v>0.11866683664629546</v>
      </c>
      <c r="BM750" s="80">
        <f t="shared" si="310"/>
        <v>0.13500336974763963</v>
      </c>
      <c r="BN750" s="80">
        <f t="shared" si="311"/>
        <v>0.14923950581966747</v>
      </c>
      <c r="BO750" s="80">
        <f t="shared" si="312"/>
        <v>0.16352873789873637</v>
      </c>
      <c r="BP750" s="80">
        <f t="shared" si="313"/>
        <v>0.17569964056968385</v>
      </c>
      <c r="BQ750" s="80">
        <f t="shared" si="314"/>
        <v>0.18712427100101919</v>
      </c>
      <c r="BR750" s="80">
        <f t="shared" si="315"/>
        <v>0.19792760856845781</v>
      </c>
      <c r="BS750" s="80">
        <f t="shared" si="316"/>
        <v>0.20761819657065417</v>
      </c>
      <c r="BT750" s="80">
        <f t="shared" si="317"/>
        <v>0.21722712648234763</v>
      </c>
      <c r="BU750" s="80">
        <f t="shared" si="318"/>
        <v>0.22632913738686741</v>
      </c>
      <c r="BV750" s="80">
        <f>IFERROR(VLOOKUP($H750,'1. Set Program Names'!$B$2:$D$15,3,0)*V750,"NA")</f>
        <v>0.11421324085866462</v>
      </c>
      <c r="BW750" s="80">
        <f>IFERROR(VLOOKUP($H750,'1. Set Program Names'!$B$2:$D$15,3,0)*W750,"NA")</f>
        <v>0.12993665982415717</v>
      </c>
      <c r="BX750" s="80">
        <f>IFERROR(VLOOKUP($H750,'1. Set Program Names'!$B$2:$D$15,3,0)*X750,"NA")</f>
        <v>0.14363851018136897</v>
      </c>
      <c r="BY750" s="80">
        <f>IFERROR(VLOOKUP($H750,'1. Set Program Names'!$B$2:$D$15,3,0)*Y750,"NA")</f>
        <v>0.15739146383931923</v>
      </c>
      <c r="BZ750" s="80">
        <f>IFERROR(VLOOKUP($H750,'1. Set Program Names'!$B$2:$D$15,3,0)*Z750,"NA")</f>
        <v>0.16910558951680424</v>
      </c>
      <c r="CA750" s="80">
        <f>IFERROR(VLOOKUP($H750,'1. Set Program Names'!$B$2:$D$15,3,0)*AA750,"NA")</f>
        <v>0.18010145073677269</v>
      </c>
      <c r="CB750" s="80">
        <f>IFERROR(VLOOKUP($H750,'1. Set Program Names'!$B$2:$D$15,3,0)*AB750,"NA")</f>
        <v>0.19049933636799674</v>
      </c>
      <c r="CC750" s="80">
        <f>IFERROR(VLOOKUP($H750,'1. Set Program Names'!$B$2:$D$15,3,0)*AC750,"NA")</f>
        <v>0.19982623420092629</v>
      </c>
      <c r="CD750" s="80">
        <f>IFERROR(VLOOKUP($H750,'1. Set Program Names'!$B$2:$D$15,3,0)*AD750,"NA")</f>
        <v>0.2090745385917262</v>
      </c>
      <c r="CE750" s="80">
        <f>IFERROR(VLOOKUP($H750,'1. Set Program Names'!$B$2:$D$15,3,0)*AE750,"NA")</f>
        <v>0.21783494877131757</v>
      </c>
    </row>
    <row r="751" spans="1:83" x14ac:dyDescent="0.25">
      <c r="A751" s="79" t="s">
        <v>116</v>
      </c>
      <c r="B751" s="79" t="s">
        <v>88</v>
      </c>
      <c r="C751" s="79" t="s">
        <v>176</v>
      </c>
      <c r="D751" s="79" t="s">
        <v>90</v>
      </c>
      <c r="E751" s="79" t="s">
        <v>91</v>
      </c>
      <c r="F751" s="79" t="s">
        <v>90</v>
      </c>
      <c r="G751" s="79" t="s">
        <v>92</v>
      </c>
      <c r="H751" s="79" t="s">
        <v>18</v>
      </c>
      <c r="I751" s="79" t="s">
        <v>165</v>
      </c>
      <c r="J751" s="79" t="s">
        <v>161</v>
      </c>
      <c r="K751" s="79" t="s">
        <v>166</v>
      </c>
      <c r="L751" s="79">
        <v>565.38999999999896</v>
      </c>
      <c r="M751" s="79">
        <v>6.7728127941350899E-2</v>
      </c>
      <c r="N751" s="79">
        <v>6.5294935157718198E-2</v>
      </c>
      <c r="O751" s="79">
        <v>129</v>
      </c>
      <c r="P751" s="79">
        <v>15.293574707506</v>
      </c>
      <c r="Q751" s="79">
        <v>17.893573630135801</v>
      </c>
      <c r="R751" s="79">
        <v>190.6779313312</v>
      </c>
      <c r="S751" s="79">
        <v>454.767236260907</v>
      </c>
      <c r="T751" s="79">
        <v>10</v>
      </c>
      <c r="U751" s="79">
        <v>0.2</v>
      </c>
      <c r="V751" s="79">
        <f>tbl_Data_old[[#This Row],[2025 ]]*IFERROR(AVERAGEIFS('Participation Adjustment'!$C:$C,'Participation Adjustment'!$A:$A,$H751,'Participation Adjustment'!$B:$B,$I751),1)</f>
        <v>4.3179563081078301E-2</v>
      </c>
      <c r="W751" s="79">
        <f>tbl_Data_old[[#This Row],[2026 ]]*IFERROR(AVERAGEIFS('Participation Adjustment'!$C:$C,'Participation Adjustment'!$A:$A,$H751,'Participation Adjustment'!$B:$B,$I751),1)</f>
        <v>5.9620790401529497E-2</v>
      </c>
      <c r="X751" s="79">
        <f>tbl_Data_old[[#This Row],[2027 ]]*IFERROR(AVERAGEIFS('Participation Adjustment'!$C:$C,'Participation Adjustment'!$A:$A,$H751,'Participation Adjustment'!$B:$B,$I751),1)</f>
        <v>7.9760957073380698E-2</v>
      </c>
      <c r="Y751" s="79">
        <f>tbl_Data_old[[#This Row],[2028 ]]*IFERROR(AVERAGEIFS('Participation Adjustment'!$C:$C,'Participation Adjustment'!$A:$A,$H751,'Participation Adjustment'!$B:$B,$I751),1)</f>
        <v>0.10404550990453899</v>
      </c>
      <c r="Z751" s="79">
        <f>tbl_Data_old[[#This Row],[2029 ]]*IFERROR(AVERAGEIFS('Participation Adjustment'!$C:$C,'Participation Adjustment'!$A:$A,$H751,'Participation Adjustment'!$B:$B,$I751),1)</f>
        <v>0.12989260583735701</v>
      </c>
      <c r="AA751" s="79">
        <f>tbl_Data_old[[#This Row],[2030 ]]*IFERROR(AVERAGEIFS('Participation Adjustment'!$C:$C,'Participation Adjustment'!$A:$A,$H751,'Participation Adjustment'!$B:$B,$I751),1)</f>
        <v>0.15418516998076301</v>
      </c>
      <c r="AB751" s="79">
        <f>tbl_Data_old[[#This Row],[2031 ]]*IFERROR(AVERAGEIFS('Participation Adjustment'!$C:$C,'Participation Adjustment'!$A:$A,$H751,'Participation Adjustment'!$B:$B,$I751),1)</f>
        <v>0.17183801046261099</v>
      </c>
      <c r="AC751" s="79">
        <f>tbl_Data_old[[#This Row],[2032 ]]*IFERROR(AVERAGEIFS('Participation Adjustment'!$C:$C,'Participation Adjustment'!$A:$A,$H751,'Participation Adjustment'!$B:$B,$I751),1)</f>
        <v>0.177226899641035</v>
      </c>
      <c r="AD751" s="79">
        <f>tbl_Data_old[[#This Row],[2033 ]]*IFERROR(AVERAGEIFS('Participation Adjustment'!$C:$C,'Participation Adjustment'!$A:$A,$H751,'Participation Adjustment'!$B:$B,$I751),1)</f>
        <v>0.167801205079812</v>
      </c>
      <c r="AE751" s="79">
        <f>tbl_Data_old[[#This Row],[2034 ]]*IFERROR(AVERAGEIFS('Participation Adjustment'!$C:$C,'Participation Adjustment'!$A:$A,$H751,'Participation Adjustment'!$B:$B,$I751),1)</f>
        <v>0.145211862857442</v>
      </c>
      <c r="AF751" s="77" t="str">
        <f t="shared" si="308"/>
        <v>NonResidential</v>
      </c>
      <c r="AG751" s="77" t="str">
        <f>tbl_Data[[#This Row],[All_Meas_Name_Append]]</f>
        <v>Occupancy Sensors_ Ceiling Mounted</v>
      </c>
      <c r="AH751" s="77">
        <f>AVERAGEIFS('3. Incentive Adjustment'!G:G,'3. Incentive Adjustment'!A:A,tbl_Data[[#This Row],[Trimmed Sector]],'3. Incentive Adjustment'!B:B,tbl_Data[[#This Row],[Trimmed Measure Name]])</f>
        <v>0.99348124042467356</v>
      </c>
      <c r="AI751" s="77">
        <f>$AH751*tbl_Data[[#This Row],[2025 ]]</f>
        <v>4.2898085890785108E-2</v>
      </c>
      <c r="AJ751" s="77">
        <f>$AH751*tbl_Data[[#This Row],[2026 ]]</f>
        <v>5.9232136803210995E-2</v>
      </c>
      <c r="AK751" s="77">
        <f>$AH751*tbl_Data[[#This Row],[2027 ]]</f>
        <v>7.9241014570721399E-2</v>
      </c>
      <c r="AL751" s="77">
        <f>$AH751*tbl_Data[[#This Row],[2028 ]]</f>
        <v>0.10336726224057906</v>
      </c>
      <c r="AM751" s="77">
        <f>$AH751*tbl_Data[[#This Row],[2029 ]]</f>
        <v>0.12904586716929065</v>
      </c>
      <c r="AN751" s="77">
        <f>$AH751*tbl_Data[[#This Row],[2030 ]]</f>
        <v>0.15318007392757757</v>
      </c>
      <c r="AO751" s="77">
        <f>$AH751*tbl_Data[[#This Row],[2031 ]]</f>
        <v>0.17071783978650279</v>
      </c>
      <c r="AP751" s="77">
        <f>$AH751*tbl_Data[[#This Row],[2032 ]]</f>
        <v>0.17607160009199457</v>
      </c>
      <c r="AQ751" s="77">
        <f>$AH751*tbl_Data[[#This Row],[2033 ]]</f>
        <v>0.16670734936744666</v>
      </c>
      <c r="AR751" s="77">
        <f>$AH751*tbl_Data[[#This Row],[2034 ]]</f>
        <v>0.14426526163598907</v>
      </c>
      <c r="AS751" s="77">
        <f>SUM(tbl_Data[[#This Row],[Adjusted 2025]:[Adjusted 2034]])</f>
        <v>1.2247264914840978</v>
      </c>
      <c r="AT751" s="80">
        <f>AVERAGEIFS('3. Incentive Adjustment'!F:F,'3. Incentive Adjustment'!A:A,tbl_Data[[#This Row],[Trimmed Sector]],'3. Incentive Adjustment'!B:B,tbl_Data[[#This Row],[Trimmed Measure Name]])</f>
        <v>19.547634357270656</v>
      </c>
      <c r="AU751" s="80">
        <f>IFERROR(VLOOKUP(tbl_Data[[#This Row],[All_Meas_Name_Append]],'IRA Tax Credits'!$A$3:$D$46,4,0),0)</f>
        <v>0</v>
      </c>
      <c r="AV751" s="81">
        <f>tbl_Data[[#This Row],[Adj. per unit Incentive ($)]]/tbl_Data[[#This Row],[kWh Savings]]*tbl_Data[[#This Row],[Sum of Annuals]]</f>
        <v>4.2343348207775418E-2</v>
      </c>
      <c r="AW751" s="81">
        <f>IFERROR(VLOOKUP(tbl_Data[[#This Row],[Column1]],'1. Set Program Names'!$B$2:$D$15,3,0)*tbl_Data[[#This Row],[Sum of Annuals]],"")</f>
        <v>3.876038425184139E-2</v>
      </c>
      <c r="AX751" s="81">
        <f>tbl_Data[[#This Row],[per unit IRA tax ($)]]/tbl_Data[[#This Row],[kWh Savings]]*tbl_Data[[#This Row],[Sum of Annuals]]</f>
        <v>0</v>
      </c>
      <c r="AY751" s="81">
        <f>tbl_Data[[#This Row],[Avoided Costs ($/unit)]]/tbl_Data[[#This Row],[kWh Savings]]*tbl_Data[[#This Row],[Sum of Annuals]]</f>
        <v>0.41303934247635571</v>
      </c>
      <c r="AZ751" s="81">
        <f>tbl_Data[[#This Row],[Lost Revenue ($/unit)]]/tbl_Data[[#This Row],[kWh Savings]]*tbl_Data[[#This Row],[Sum of Annuals]]</f>
        <v>0.98509963336412298</v>
      </c>
      <c r="BA751" s="81">
        <f>tbl_Data[[#This Row],[Incremental Cost ($/unit)]]/tbl_Data[[#This Row],[kWh Savings]]*tbl_Data[[#This Row],[Sum of Annuals]]</f>
        <v>0.27943493411883641</v>
      </c>
      <c r="BB751" s="77">
        <f>ROUNDUP(tbl_Data[[#This Row],[Adjusted 2025]]/$L751,0)</f>
        <v>1</v>
      </c>
      <c r="BC751" s="77">
        <f>ROUNDUP(tbl_Data[[#This Row],[Adjusted 2026]]/$L751,0)</f>
        <v>1</v>
      </c>
      <c r="BD751" s="77">
        <f>ROUNDUP(tbl_Data[[#This Row],[Adjusted 2027]]/$L751,0)</f>
        <v>1</v>
      </c>
      <c r="BE751" s="77">
        <f>ROUNDUP(tbl_Data[[#This Row],[Adjusted 2028]]/$L751,0)</f>
        <v>1</v>
      </c>
      <c r="BF751" s="77">
        <f>ROUNDUP(tbl_Data[[#This Row],[Adjusted 2029]]/$L751,0)</f>
        <v>1</v>
      </c>
      <c r="BG751" s="77">
        <f>ROUNDUP(tbl_Data[[#This Row],[Adjusted 2030]]/$L751,0)</f>
        <v>1</v>
      </c>
      <c r="BH751" s="77">
        <f>ROUNDUP(tbl_Data[[#This Row],[Adjusted 2031]]/$L751,0)</f>
        <v>1</v>
      </c>
      <c r="BI751" s="77">
        <f>ROUNDUP(tbl_Data[[#This Row],[Adjusted 2032]]/$L751,0)</f>
        <v>1</v>
      </c>
      <c r="BJ751" s="77">
        <f>ROUNDUP(tbl_Data[[#This Row],[Adjusted 2033]]/$L751,0)</f>
        <v>1</v>
      </c>
      <c r="BK751" s="77">
        <f>ROUNDUP(tbl_Data[[#This Row],[Adjusted 2034]]/$L751,0)</f>
        <v>1</v>
      </c>
      <c r="BL751" s="80">
        <f t="shared" si="309"/>
        <v>1.4928780325361667E-3</v>
      </c>
      <c r="BM751" s="80">
        <f t="shared" si="310"/>
        <v>2.0613123876626269E-3</v>
      </c>
      <c r="BN751" s="80">
        <f t="shared" si="311"/>
        <v>2.7576328284129705E-3</v>
      </c>
      <c r="BO751" s="80">
        <f t="shared" si="312"/>
        <v>3.5972401070583394E-3</v>
      </c>
      <c r="BP751" s="80">
        <f t="shared" si="313"/>
        <v>4.4908703100899191E-3</v>
      </c>
      <c r="BQ751" s="80">
        <f t="shared" si="314"/>
        <v>5.3307545695848611E-3</v>
      </c>
      <c r="BR751" s="80">
        <f t="shared" si="315"/>
        <v>5.9410788963440726E-3</v>
      </c>
      <c r="BS751" s="80">
        <f t="shared" si="316"/>
        <v>6.1273928305340744E-3</v>
      </c>
      <c r="BT751" s="80">
        <f t="shared" si="317"/>
        <v>5.8015115258663198E-3</v>
      </c>
      <c r="BU751" s="80">
        <f t="shared" si="318"/>
        <v>5.0205139805716637E-3</v>
      </c>
      <c r="BV751" s="80">
        <f>IFERROR(VLOOKUP($H751,'1. Set Program Names'!$B$2:$D$15,3,0)*V751,"NA")</f>
        <v>1.3665552827399996E-3</v>
      </c>
      <c r="BW751" s="80">
        <f>IFERROR(VLOOKUP($H751,'1. Set Program Names'!$B$2:$D$15,3,0)*W751,"NA")</f>
        <v>1.8868904701828161E-3</v>
      </c>
      <c r="BX751" s="80">
        <f>IFERROR(VLOOKUP($H751,'1. Set Program Names'!$B$2:$D$15,3,0)*X751,"NA")</f>
        <v>2.5242904158238369E-3</v>
      </c>
      <c r="BY751" s="80">
        <f>IFERROR(VLOOKUP($H751,'1. Set Program Names'!$B$2:$D$15,3,0)*Y751,"NA")</f>
        <v>3.2928527076210991E-3</v>
      </c>
      <c r="BZ751" s="80">
        <f>IFERROR(VLOOKUP($H751,'1. Set Program Names'!$B$2:$D$15,3,0)*Z751,"NA")</f>
        <v>4.1108666700170786E-3</v>
      </c>
      <c r="CA751" s="80">
        <f>IFERROR(VLOOKUP($H751,'1. Set Program Names'!$B$2:$D$15,3,0)*AA751,"NA")</f>
        <v>4.8796825053959011E-3</v>
      </c>
      <c r="CB751" s="80">
        <f>IFERROR(VLOOKUP($H751,'1. Set Program Names'!$B$2:$D$15,3,0)*AB751,"NA")</f>
        <v>5.4383630638475695E-3</v>
      </c>
      <c r="CC751" s="80">
        <f>IFERROR(VLOOKUP($H751,'1. Set Program Names'!$B$2:$D$15,3,0)*AC751,"NA")</f>
        <v>5.6089116856816524E-3</v>
      </c>
      <c r="CD751" s="80">
        <f>IFERROR(VLOOKUP($H751,'1. Set Program Names'!$B$2:$D$15,3,0)*AD751,"NA")</f>
        <v>5.310605455209917E-3</v>
      </c>
      <c r="CE751" s="80">
        <f>IFERROR(VLOOKUP($H751,'1. Set Program Names'!$B$2:$D$15,3,0)*AE751,"NA")</f>
        <v>4.5956935213017948E-3</v>
      </c>
    </row>
    <row r="752" spans="1:83" x14ac:dyDescent="0.25">
      <c r="A752" s="79" t="s">
        <v>116</v>
      </c>
      <c r="B752" s="79" t="s">
        <v>88</v>
      </c>
      <c r="C752" s="79" t="s">
        <v>176</v>
      </c>
      <c r="D752" s="79" t="s">
        <v>90</v>
      </c>
      <c r="E752" s="79" t="s">
        <v>91</v>
      </c>
      <c r="F752" s="79" t="s">
        <v>90</v>
      </c>
      <c r="G752" s="79" t="s">
        <v>92</v>
      </c>
      <c r="H752" s="79" t="s">
        <v>18</v>
      </c>
      <c r="I752" s="79" t="s">
        <v>188</v>
      </c>
      <c r="J752" s="79" t="s">
        <v>178</v>
      </c>
      <c r="K752" s="79" t="s">
        <v>189</v>
      </c>
      <c r="L752" s="79">
        <v>58755.825000000099</v>
      </c>
      <c r="M752" s="79">
        <v>7.0391882486047397</v>
      </c>
      <c r="N752" s="79">
        <v>6.7809192295770497</v>
      </c>
      <c r="O752" s="79">
        <v>15000</v>
      </c>
      <c r="P752" s="79">
        <v>3217.2191279034701</v>
      </c>
      <c r="Q752" s="79">
        <v>1859.5158754786501</v>
      </c>
      <c r="R752" s="79">
        <v>19805.726496097701</v>
      </c>
      <c r="S752" s="79">
        <v>47259.8103070086</v>
      </c>
      <c r="T752" s="79">
        <v>10</v>
      </c>
      <c r="U752" s="79">
        <v>1</v>
      </c>
      <c r="V752" s="79">
        <f>tbl_Data_old[[#This Row],[2025 ]]*IFERROR(AVERAGEIFS('Participation Adjustment'!$C:$C,'Participation Adjustment'!$A:$A,$H752,'Participation Adjustment'!$B:$B,$I752),1)</f>
        <v>3.62005183435827E-3</v>
      </c>
      <c r="W752" s="79">
        <f>tbl_Data_old[[#This Row],[2026 ]]*IFERROR(AVERAGEIFS('Participation Adjustment'!$C:$C,'Participation Adjustment'!$A:$A,$H752,'Participation Adjustment'!$B:$B,$I752),1)</f>
        <v>5.0012132125209401E-3</v>
      </c>
      <c r="X752" s="79">
        <f>tbl_Data_old[[#This Row],[2027 ]]*IFERROR(AVERAGEIFS('Participation Adjustment'!$C:$C,'Participation Adjustment'!$A:$A,$H752,'Participation Adjustment'!$B:$B,$I752),1)</f>
        <v>6.6925037451751697E-3</v>
      </c>
      <c r="Y752" s="79">
        <f>tbl_Data_old[[#This Row],[2028 ]]*IFERROR(AVERAGEIFS('Participation Adjustment'!$C:$C,'Participation Adjustment'!$A:$A,$H752,'Participation Adjustment'!$B:$B,$I752),1)</f>
        <v>8.7340460327539893E-3</v>
      </c>
      <c r="Z752" s="79">
        <f>tbl_Data_old[[#This Row],[2029 ]]*IFERROR(AVERAGEIFS('Participation Adjustment'!$C:$C,'Participation Adjustment'!$A:$A,$H752,'Participation Adjustment'!$B:$B,$I752),1)</f>
        <v>1.0902070047222901E-2</v>
      </c>
      <c r="AA752" s="79">
        <f>tbl_Data_old[[#This Row],[2030 ]]*IFERROR(AVERAGEIFS('Participation Adjustment'!$C:$C,'Participation Adjustment'!$A:$A,$H752,'Participation Adjustment'!$B:$B,$I752),1)</f>
        <v>1.2941377928392801E-2</v>
      </c>
      <c r="AB752" s="79">
        <f>tbl_Data_old[[#This Row],[2031 ]]*IFERROR(AVERAGEIFS('Participation Adjustment'!$C:$C,'Participation Adjustment'!$A:$A,$H752,'Participation Adjustment'!$B:$B,$I752),1)</f>
        <v>1.4427076869056201E-2</v>
      </c>
      <c r="AC752" s="79">
        <f>tbl_Data_old[[#This Row],[2032 ]]*IFERROR(AVERAGEIFS('Participation Adjustment'!$C:$C,'Participation Adjustment'!$A:$A,$H752,'Participation Adjustment'!$B:$B,$I752),1)</f>
        <v>1.4885604067537301E-2</v>
      </c>
      <c r="AD752" s="79">
        <f>tbl_Data_old[[#This Row],[2033 ]]*IFERROR(AVERAGEIFS('Participation Adjustment'!$C:$C,'Participation Adjustment'!$A:$A,$H752,'Participation Adjustment'!$B:$B,$I752),1)</f>
        <v>1.4111175609588701E-2</v>
      </c>
      <c r="AE752" s="79">
        <f>tbl_Data_old[[#This Row],[2034 ]]*IFERROR(AVERAGEIFS('Participation Adjustment'!$C:$C,'Participation Adjustment'!$A:$A,$H752,'Participation Adjustment'!$B:$B,$I752),1)</f>
        <v>1.2238364930398701E-2</v>
      </c>
      <c r="AF752" s="77" t="str">
        <f t="shared" si="308"/>
        <v>NonResidential</v>
      </c>
      <c r="AG752" s="77" t="str">
        <f>tbl_Data[[#This Row],[All_Meas_Name_Append]]</f>
        <v>Strategic Energy Management</v>
      </c>
      <c r="AH752" s="77">
        <f>AVERAGEIFS('3. Incentive Adjustment'!G:G,'3. Incentive Adjustment'!A:A,tbl_Data[[#This Row],[Trimmed Sector]],'3. Incentive Adjustment'!B:B,tbl_Data[[#This Row],[Trimmed Measure Name]])</f>
        <v>1.1413908001130193</v>
      </c>
      <c r="AI752" s="77">
        <f>$AH752*tbl_Data[[#This Row],[2025 ]]</f>
        <v>4.1318938596687886E-3</v>
      </c>
      <c r="AJ752" s="77">
        <f>$AH752*tbl_Data[[#This Row],[2026 ]]</f>
        <v>5.7083387501750795E-3</v>
      </c>
      <c r="AK752" s="77">
        <f>$AH752*tbl_Data[[#This Row],[2027 ]]</f>
        <v>7.6387622044648655E-3</v>
      </c>
      <c r="AL752" s="77">
        <f>$AH752*tbl_Data[[#This Row],[2028 ]]</f>
        <v>9.9689597895490176E-3</v>
      </c>
      <c r="AM752" s="77">
        <f>$AH752*tbl_Data[[#This Row],[2029 ]]</f>
        <v>1.2443522454087929E-2</v>
      </c>
      <c r="AN752" s="77">
        <f>$AH752*tbl_Data[[#This Row],[2030 ]]</f>
        <v>1.4771169708253228E-2</v>
      </c>
      <c r="AO752" s="77">
        <f>$AH752*tbl_Data[[#This Row],[2031 ]]</f>
        <v>1.6466932810864091E-2</v>
      </c>
      <c r="AP752" s="77">
        <f>$AH752*tbl_Data[[#This Row],[2032 ]]</f>
        <v>1.6990291536812013E-2</v>
      </c>
      <c r="AQ752" s="77">
        <f>$AH752*tbl_Data[[#This Row],[2033 ]]</f>
        <v>1.6106366019563771E-2</v>
      </c>
      <c r="AR752" s="77">
        <f>$AH752*tbl_Data[[#This Row],[2034 ]]</f>
        <v>1.3968757139982888E-2</v>
      </c>
      <c r="AS752" s="77">
        <f>SUM(tbl_Data[[#This Row],[Adjusted 2025]:[Adjusted 2034]])</f>
        <v>0.11819499427342167</v>
      </c>
      <c r="AT752" s="80">
        <f>AVERAGEIFS('3. Incentive Adjustment'!F:F,'3. Incentive Adjustment'!A:A,tbl_Data[[#This Row],[Trimmed Sector]],'3. Incentive Adjustment'!B:B,tbl_Data[[#This Row],[Trimmed Measure Name]])</f>
        <v>6162.1674053779652</v>
      </c>
      <c r="AU752" s="80">
        <f>IFERROR(VLOOKUP(tbl_Data[[#This Row],[All_Meas_Name_Append]],'IRA Tax Credits'!$A$3:$D$46,4,0),0)</f>
        <v>0</v>
      </c>
      <c r="AV752" s="81">
        <f>tbl_Data[[#This Row],[Adj. per unit Incentive ($)]]/tbl_Data[[#This Row],[kWh Savings]]*tbl_Data[[#This Row],[Sum of Annuals]]</f>
        <v>1.2396002288973274E-2</v>
      </c>
      <c r="AW752" s="81">
        <f>IFERROR(VLOOKUP(tbl_Data[[#This Row],[Column1]],'1. Set Program Names'!$B$2:$D$15,3,0)*tbl_Data[[#This Row],[Sum of Annuals]],"")</f>
        <v>3.7406583645712712E-3</v>
      </c>
      <c r="AX752" s="81">
        <f>tbl_Data[[#This Row],[per unit IRA tax ($)]]/tbl_Data[[#This Row],[kWh Savings]]*tbl_Data[[#This Row],[Sum of Annuals]]</f>
        <v>0</v>
      </c>
      <c r="AY752" s="81">
        <f>tbl_Data[[#This Row],[Avoided Costs ($/unit)]]/tbl_Data[[#This Row],[kWh Savings]]*tbl_Data[[#This Row],[Sum of Annuals]]</f>
        <v>3.9841798320204333E-2</v>
      </c>
      <c r="AZ752" s="81">
        <f>tbl_Data[[#This Row],[Lost Revenue ($/unit)]]/tbl_Data[[#This Row],[kWh Savings]]*tbl_Data[[#This Row],[Sum of Annuals]]</f>
        <v>9.5069263491745132E-2</v>
      </c>
      <c r="BA752" s="81">
        <f>tbl_Data[[#This Row],[Incremental Cost ($/unit)]]/tbl_Data[[#This Row],[kWh Savings]]*tbl_Data[[#This Row],[Sum of Annuals]]</f>
        <v>3.0174453581433364E-2</v>
      </c>
      <c r="BB752" s="77">
        <f>ROUNDUP(tbl_Data[[#This Row],[Adjusted 2025]]/$L752,0)</f>
        <v>1</v>
      </c>
      <c r="BC752" s="77">
        <f>ROUNDUP(tbl_Data[[#This Row],[Adjusted 2026]]/$L752,0)</f>
        <v>1</v>
      </c>
      <c r="BD752" s="77">
        <f>ROUNDUP(tbl_Data[[#This Row],[Adjusted 2027]]/$L752,0)</f>
        <v>1</v>
      </c>
      <c r="BE752" s="77">
        <f>ROUNDUP(tbl_Data[[#This Row],[Adjusted 2028]]/$L752,0)</f>
        <v>1</v>
      </c>
      <c r="BF752" s="77">
        <f>ROUNDUP(tbl_Data[[#This Row],[Adjusted 2029]]/$L752,0)</f>
        <v>1</v>
      </c>
      <c r="BG752" s="77">
        <f>ROUNDUP(tbl_Data[[#This Row],[Adjusted 2030]]/$L752,0)</f>
        <v>1</v>
      </c>
      <c r="BH752" s="77">
        <f>ROUNDUP(tbl_Data[[#This Row],[Adjusted 2031]]/$L752,0)</f>
        <v>1</v>
      </c>
      <c r="BI752" s="77">
        <f>ROUNDUP(tbl_Data[[#This Row],[Adjusted 2032]]/$L752,0)</f>
        <v>1</v>
      </c>
      <c r="BJ752" s="77">
        <f>ROUNDUP(tbl_Data[[#This Row],[Adjusted 2033]]/$L752,0)</f>
        <v>1</v>
      </c>
      <c r="BK752" s="77">
        <f>ROUNDUP(tbl_Data[[#This Row],[Adjusted 2034]]/$L752,0)</f>
        <v>1</v>
      </c>
      <c r="BL752" s="80">
        <f t="shared" si="309"/>
        <v>3.7966219382437751E-4</v>
      </c>
      <c r="BM752" s="80">
        <f t="shared" si="310"/>
        <v>5.2451502545563969E-4</v>
      </c>
      <c r="BN752" s="80">
        <f t="shared" si="311"/>
        <v>7.0189344526927022E-4</v>
      </c>
      <c r="BO752" s="80">
        <f t="shared" si="312"/>
        <v>9.1600541359273353E-4</v>
      </c>
      <c r="BP752" s="80">
        <f t="shared" si="313"/>
        <v>1.1433824764803195E-3</v>
      </c>
      <c r="BQ752" s="80">
        <f t="shared" si="314"/>
        <v>1.3572601057175147E-3</v>
      </c>
      <c r="BR752" s="80">
        <f t="shared" si="315"/>
        <v>1.5130765815539202E-3</v>
      </c>
      <c r="BS752" s="80">
        <f t="shared" si="316"/>
        <v>1.5611657941036461E-3</v>
      </c>
      <c r="BT752" s="80">
        <f t="shared" si="317"/>
        <v>1.4799456291009765E-3</v>
      </c>
      <c r="BU752" s="80">
        <f t="shared" si="318"/>
        <v>1.2835298197110417E-3</v>
      </c>
      <c r="BV752" s="80">
        <f>IFERROR(VLOOKUP($H752,'1. Set Program Names'!$B$2:$D$15,3,0)*V752,"NA")</f>
        <v>1.1456811058384107E-4</v>
      </c>
      <c r="BW752" s="80">
        <f>IFERROR(VLOOKUP($H752,'1. Set Program Names'!$B$2:$D$15,3,0)*W752,"NA")</f>
        <v>1.5827937681644791E-4</v>
      </c>
      <c r="BX752" s="80">
        <f>IFERROR(VLOOKUP($H752,'1. Set Program Names'!$B$2:$D$15,3,0)*X752,"NA")</f>
        <v>2.1180567136711218E-4</v>
      </c>
      <c r="BY752" s="80">
        <f>IFERROR(VLOOKUP($H752,'1. Set Program Names'!$B$2:$D$15,3,0)*Y752,"NA")</f>
        <v>2.7641680216501717E-4</v>
      </c>
      <c r="BZ752" s="80">
        <f>IFERROR(VLOOKUP($H752,'1. Set Program Names'!$B$2:$D$15,3,0)*Z752,"NA")</f>
        <v>3.450308514669187E-4</v>
      </c>
      <c r="CA752" s="80">
        <f>IFERROR(VLOOKUP($H752,'1. Set Program Names'!$B$2:$D$15,3,0)*AA752,"NA")</f>
        <v>4.0957126733248022E-4</v>
      </c>
      <c r="CB752" s="80">
        <f>IFERROR(VLOOKUP($H752,'1. Set Program Names'!$B$2:$D$15,3,0)*AB752,"NA")</f>
        <v>4.5659095884979626E-4</v>
      </c>
      <c r="CC752" s="80">
        <f>IFERROR(VLOOKUP($H752,'1. Set Program Names'!$B$2:$D$15,3,0)*AC752,"NA")</f>
        <v>4.7110251757464367E-4</v>
      </c>
      <c r="CD752" s="80">
        <f>IFERROR(VLOOKUP($H752,'1. Set Program Names'!$B$2:$D$15,3,0)*AD752,"NA")</f>
        <v>4.4659325382117118E-4</v>
      </c>
      <c r="CE752" s="80">
        <f>IFERROR(VLOOKUP($H752,'1. Set Program Names'!$B$2:$D$15,3,0)*AE752,"NA")</f>
        <v>3.8732217406491282E-4</v>
      </c>
    </row>
    <row r="753" spans="1:83" x14ac:dyDescent="0.25">
      <c r="A753" s="79" t="s">
        <v>116</v>
      </c>
      <c r="B753" s="79" t="s">
        <v>88</v>
      </c>
      <c r="C753" s="79" t="s">
        <v>176</v>
      </c>
      <c r="D753" s="79" t="s">
        <v>90</v>
      </c>
      <c r="E753" s="79" t="s">
        <v>91</v>
      </c>
      <c r="F753" s="79" t="s">
        <v>90</v>
      </c>
      <c r="G753" s="79" t="s">
        <v>92</v>
      </c>
      <c r="H753" s="79" t="s">
        <v>18</v>
      </c>
      <c r="I753" s="79" t="s">
        <v>194</v>
      </c>
      <c r="J753" s="79" t="s">
        <v>182</v>
      </c>
      <c r="K753" s="79" t="s">
        <v>102</v>
      </c>
      <c r="L753" s="79">
        <v>8959.2199999999993</v>
      </c>
      <c r="M753" s="79">
        <v>1.0579901286000299</v>
      </c>
      <c r="N753" s="79">
        <v>1.03235399659801</v>
      </c>
      <c r="O753" s="79">
        <v>2314.9299999999998</v>
      </c>
      <c r="P753" s="79">
        <v>512.76464645414296</v>
      </c>
      <c r="Q753" s="79">
        <v>283.54315205183201</v>
      </c>
      <c r="R753" s="79">
        <v>3866.1887556449001</v>
      </c>
      <c r="S753" s="79">
        <v>9515.3223878667595</v>
      </c>
      <c r="T753" s="79">
        <v>15</v>
      </c>
      <c r="U753" s="79">
        <v>1</v>
      </c>
      <c r="V753" s="79">
        <f>tbl_Data_old[[#This Row],[2025 ]]*IFERROR(AVERAGEIFS('Participation Adjustment'!$C:$C,'Participation Adjustment'!$A:$A,$H753,'Participation Adjustment'!$B:$B,$I753),1)</f>
        <v>3.8971416815059001</v>
      </c>
      <c r="W753" s="79">
        <f>tbl_Data_old[[#This Row],[2026 ]]*IFERROR(AVERAGEIFS('Participation Adjustment'!$C:$C,'Participation Adjustment'!$A:$A,$H753,'Participation Adjustment'!$B:$B,$I753),1)</f>
        <v>5.0594898496473801</v>
      </c>
      <c r="X753" s="79">
        <f>tbl_Data_old[[#This Row],[2027 ]]*IFERROR(AVERAGEIFS('Participation Adjustment'!$C:$C,'Participation Adjustment'!$A:$A,$H753,'Participation Adjustment'!$B:$B,$I753),1)</f>
        <v>6.4053419231911404</v>
      </c>
      <c r="Y753" s="79">
        <f>tbl_Data_old[[#This Row],[2028 ]]*IFERROR(AVERAGEIFS('Participation Adjustment'!$C:$C,'Participation Adjustment'!$A:$A,$H753,'Participation Adjustment'!$B:$B,$I753),1)</f>
        <v>8.0037870119427996</v>
      </c>
      <c r="Z753" s="79">
        <f>tbl_Data_old[[#This Row],[2029 ]]*IFERROR(AVERAGEIFS('Participation Adjustment'!$C:$C,'Participation Adjustment'!$A:$A,$H753,'Participation Adjustment'!$B:$B,$I753),1)</f>
        <v>9.6908415580859497</v>
      </c>
      <c r="AA753" s="79">
        <f>tbl_Data_old[[#This Row],[2030 ]]*IFERROR(AVERAGEIFS('Participation Adjustment'!$C:$C,'Participation Adjustment'!$A:$A,$H753,'Participation Adjustment'!$B:$B,$I753),1)</f>
        <v>11.4200497650295</v>
      </c>
      <c r="AB753" s="79">
        <f>tbl_Data_old[[#This Row],[2031 ]]*IFERROR(AVERAGEIFS('Participation Adjustment'!$C:$C,'Participation Adjustment'!$A:$A,$H753,'Participation Adjustment'!$B:$B,$I753),1)</f>
        <v>13.0367650825912</v>
      </c>
      <c r="AC753" s="79">
        <f>tbl_Data_old[[#This Row],[2032 ]]*IFERROR(AVERAGEIFS('Participation Adjustment'!$C:$C,'Participation Adjustment'!$A:$A,$H753,'Participation Adjustment'!$B:$B,$I753),1)</f>
        <v>14.306031442140601</v>
      </c>
      <c r="AD753" s="79">
        <f>tbl_Data_old[[#This Row],[2033 ]]*IFERROR(AVERAGEIFS('Participation Adjustment'!$C:$C,'Participation Adjustment'!$A:$A,$H753,'Participation Adjustment'!$B:$B,$I753),1)</f>
        <v>15.086663668554699</v>
      </c>
      <c r="AE753" s="79">
        <f>tbl_Data_old[[#This Row],[2034 ]]*IFERROR(AVERAGEIFS('Participation Adjustment'!$C:$C,'Participation Adjustment'!$A:$A,$H753,'Participation Adjustment'!$B:$B,$I753),1)</f>
        <v>15.184858513806599</v>
      </c>
      <c r="AF753" s="77" t="str">
        <f t="shared" si="308"/>
        <v>NonResidential</v>
      </c>
      <c r="AG753" s="77" t="str">
        <f>tbl_Data[[#This Row],[All_Meas_Name_Append]]</f>
        <v>VFD on HVAC Fan</v>
      </c>
      <c r="AH753" s="77">
        <f>AVERAGEIFS('3. Incentive Adjustment'!G:G,'3. Incentive Adjustment'!A:A,tbl_Data[[#This Row],[Trimmed Sector]],'3. Incentive Adjustment'!B:B,tbl_Data[[#This Row],[Trimmed Measure Name]])</f>
        <v>1.1307524828118058</v>
      </c>
      <c r="AI753" s="77">
        <f>$AH753*tbl_Data[[#This Row],[2025 ]]</f>
        <v>4.4067026322321725</v>
      </c>
      <c r="AJ753" s="77">
        <f>$AH753*tbl_Data[[#This Row],[2026 ]]</f>
        <v>5.7210307092499058</v>
      </c>
      <c r="AK753" s="77">
        <f>$AH753*tbl_Data[[#This Row],[2027 ]]</f>
        <v>7.2428562829069296</v>
      </c>
      <c r="AL753" s="77">
        <f>$AH753*tbl_Data[[#This Row],[2028 ]]</f>
        <v>9.0503020356512049</v>
      </c>
      <c r="AM753" s="77">
        <f>$AH753*tbl_Data[[#This Row],[2029 ]]</f>
        <v>10.957943152341517</v>
      </c>
      <c r="AN753" s="77">
        <f>$AH753*tbl_Data[[#This Row],[2030 ]]</f>
        <v>12.913249625641487</v>
      </c>
      <c r="AO753" s="77">
        <f>$AH753*tbl_Data[[#This Row],[2031 ]]</f>
        <v>14.741354484974257</v>
      </c>
      <c r="AP753" s="77">
        <f>$AH753*tbl_Data[[#This Row],[2032 ]]</f>
        <v>16.176580572384243</v>
      </c>
      <c r="AQ753" s="77">
        <f>$AH753*tbl_Data[[#This Row],[2033 ]]</f>
        <v>17.059282400564893</v>
      </c>
      <c r="AR753" s="77">
        <f>$AH753*tbl_Data[[#This Row],[2034 ]]</f>
        <v>17.170316465632801</v>
      </c>
      <c r="AS753" s="77">
        <f>SUM(tbl_Data[[#This Row],[Adjusted 2025]:[Adjusted 2034]])</f>
        <v>115.43961836157939</v>
      </c>
      <c r="AT753" s="80">
        <f>AVERAGEIFS('3. Incentive Adjustment'!F:F,'3. Incentive Adjustment'!A:A,tbl_Data[[#This Row],[Trimmed Sector]],'3. Incentive Adjustment'!B:B,tbl_Data[[#This Row],[Trimmed Measure Name]])</f>
        <v>930.02043037501858</v>
      </c>
      <c r="AU753" s="80">
        <f>IFERROR(VLOOKUP(tbl_Data[[#This Row],[All_Meas_Name_Append]],'IRA Tax Credits'!$A$3:$D$46,4,0),0)</f>
        <v>0</v>
      </c>
      <c r="AV753" s="81">
        <f>tbl_Data[[#This Row],[Adj. per unit Incentive ($)]]/tbl_Data[[#This Row],[kWh Savings]]*tbl_Data[[#This Row],[Sum of Annuals]]</f>
        <v>11.983320372863259</v>
      </c>
      <c r="AW753" s="81">
        <f>IFERROR(VLOOKUP(tbl_Data[[#This Row],[Column1]],'1. Set Program Names'!$B$2:$D$15,3,0)*tbl_Data[[#This Row],[Sum of Annuals]],"")</f>
        <v>3.6534556872029902</v>
      </c>
      <c r="AX753" s="81">
        <f>tbl_Data[[#This Row],[per unit IRA tax ($)]]/tbl_Data[[#This Row],[kWh Savings]]*tbl_Data[[#This Row],[Sum of Annuals]]</f>
        <v>0</v>
      </c>
      <c r="AY753" s="81">
        <f>tbl_Data[[#This Row],[Avoided Costs ($/unit)]]/tbl_Data[[#This Row],[kWh Savings]]*tbl_Data[[#This Row],[Sum of Annuals]]</f>
        <v>49.815871746142726</v>
      </c>
      <c r="AZ753" s="81">
        <f>tbl_Data[[#This Row],[Lost Revenue ($/unit)]]/tbl_Data[[#This Row],[kWh Savings]]*tbl_Data[[#This Row],[Sum of Annuals]]</f>
        <v>122.60500189109445</v>
      </c>
      <c r="BA753" s="81">
        <f>tbl_Data[[#This Row],[Incremental Cost ($/unit)]]/tbl_Data[[#This Row],[kWh Savings]]*tbl_Data[[#This Row],[Sum of Annuals]]</f>
        <v>29.827890791137058</v>
      </c>
      <c r="BB753" s="77">
        <f>ROUNDUP(tbl_Data[[#This Row],[Adjusted 2025]]/$L753,0)</f>
        <v>1</v>
      </c>
      <c r="BC753" s="77">
        <f>ROUNDUP(tbl_Data[[#This Row],[Adjusted 2026]]/$L753,0)</f>
        <v>1</v>
      </c>
      <c r="BD753" s="77">
        <f>ROUNDUP(tbl_Data[[#This Row],[Adjusted 2027]]/$L753,0)</f>
        <v>1</v>
      </c>
      <c r="BE753" s="77">
        <f>ROUNDUP(tbl_Data[[#This Row],[Adjusted 2028]]/$L753,0)</f>
        <v>1</v>
      </c>
      <c r="BF753" s="77">
        <f>ROUNDUP(tbl_Data[[#This Row],[Adjusted 2029]]/$L753,0)</f>
        <v>1</v>
      </c>
      <c r="BG753" s="77">
        <f>ROUNDUP(tbl_Data[[#This Row],[Adjusted 2030]]/$L753,0)</f>
        <v>1</v>
      </c>
      <c r="BH753" s="77">
        <f>ROUNDUP(tbl_Data[[#This Row],[Adjusted 2031]]/$L753,0)</f>
        <v>1</v>
      </c>
      <c r="BI753" s="77">
        <f>ROUNDUP(tbl_Data[[#This Row],[Adjusted 2032]]/$L753,0)</f>
        <v>1</v>
      </c>
      <c r="BJ753" s="77">
        <f>ROUNDUP(tbl_Data[[#This Row],[Adjusted 2033]]/$L753,0)</f>
        <v>1</v>
      </c>
      <c r="BK753" s="77">
        <f>ROUNDUP(tbl_Data[[#This Row],[Adjusted 2034]]/$L753,0)</f>
        <v>1</v>
      </c>
      <c r="BL753" s="80">
        <f t="shared" si="309"/>
        <v>0.40454653238412952</v>
      </c>
      <c r="BM753" s="80">
        <f t="shared" si="310"/>
        <v>0.52520519949806954</v>
      </c>
      <c r="BN753" s="80">
        <f t="shared" si="311"/>
        <v>0.66491266562327678</v>
      </c>
      <c r="BO753" s="80">
        <f t="shared" si="312"/>
        <v>0.83084079210880268</v>
      </c>
      <c r="BP753" s="80">
        <f t="shared" si="313"/>
        <v>1.005967108358452</v>
      </c>
      <c r="BQ753" s="80">
        <f t="shared" si="314"/>
        <v>1.1854692258228803</v>
      </c>
      <c r="BR753" s="80">
        <f t="shared" si="315"/>
        <v>1.3532939109441986</v>
      </c>
      <c r="BS753" s="80">
        <f t="shared" si="316"/>
        <v>1.4850513235279577</v>
      </c>
      <c r="BT753" s="80">
        <f t="shared" si="317"/>
        <v>1.5660856009733435</v>
      </c>
      <c r="BU753" s="80">
        <f t="shared" si="318"/>
        <v>1.5762788111235329</v>
      </c>
      <c r="BV753" s="80">
        <f>IFERROR(VLOOKUP($H753,'1. Set Program Names'!$B$2:$D$15,3,0)*V753,"NA")</f>
        <v>0.12333750442189834</v>
      </c>
      <c r="BW753" s="80">
        <f>IFERROR(VLOOKUP($H753,'1. Set Program Names'!$B$2:$D$15,3,0)*W753,"NA")</f>
        <v>0.1601237272601039</v>
      </c>
      <c r="BX753" s="80">
        <f>IFERROR(VLOOKUP($H753,'1. Set Program Names'!$B$2:$D$15,3,0)*X753,"NA")</f>
        <v>0.20271751769365637</v>
      </c>
      <c r="BY753" s="80">
        <f>IFERROR(VLOOKUP($H753,'1. Set Program Names'!$B$2:$D$15,3,0)*Y753,"NA")</f>
        <v>0.25330542142259882</v>
      </c>
      <c r="BZ753" s="80">
        <f>IFERROR(VLOOKUP($H753,'1. Set Program Names'!$B$2:$D$15,3,0)*Z753,"NA")</f>
        <v>0.30669765464120513</v>
      </c>
      <c r="CA753" s="80">
        <f>IFERROR(VLOOKUP($H753,'1. Set Program Names'!$B$2:$D$15,3,0)*AA753,"NA")</f>
        <v>0.36142397518592567</v>
      </c>
      <c r="CB753" s="80">
        <f>IFERROR(VLOOKUP($H753,'1. Set Program Names'!$B$2:$D$15,3,0)*AB753,"NA")</f>
        <v>0.41259009870024088</v>
      </c>
      <c r="CC753" s="80">
        <f>IFERROR(VLOOKUP($H753,'1. Set Program Names'!$B$2:$D$15,3,0)*AC753,"NA")</f>
        <v>0.45276008943380819</v>
      </c>
      <c r="CD753" s="80">
        <f>IFERROR(VLOOKUP($H753,'1. Set Program Names'!$B$2:$D$15,3,0)*AD753,"NA")</f>
        <v>0.47746569126864347</v>
      </c>
      <c r="CE753" s="80">
        <f>IFERROR(VLOOKUP($H753,'1. Set Program Names'!$B$2:$D$15,3,0)*AE753,"NA")</f>
        <v>0.480573380993638</v>
      </c>
    </row>
    <row r="754" spans="1:83" x14ac:dyDescent="0.25">
      <c r="A754" s="79" t="s">
        <v>116</v>
      </c>
      <c r="B754" s="79" t="s">
        <v>88</v>
      </c>
      <c r="C754" s="79" t="s">
        <v>176</v>
      </c>
      <c r="D754" s="79" t="s">
        <v>90</v>
      </c>
      <c r="E754" s="79" t="s">
        <v>91</v>
      </c>
      <c r="F754" s="79" t="s">
        <v>90</v>
      </c>
      <c r="G754" s="79" t="s">
        <v>92</v>
      </c>
      <c r="H754" s="79" t="s">
        <v>18</v>
      </c>
      <c r="I754" s="79" t="s">
        <v>195</v>
      </c>
      <c r="J754" s="79" t="s">
        <v>191</v>
      </c>
      <c r="K754" s="79" t="s">
        <v>102</v>
      </c>
      <c r="L754" s="79">
        <v>20302.931666666602</v>
      </c>
      <c r="M754" s="79">
        <v>2.3950992196012999</v>
      </c>
      <c r="N754" s="79">
        <v>2.3402323276086099</v>
      </c>
      <c r="O754" s="79">
        <v>5194</v>
      </c>
      <c r="P754" s="79">
        <v>1110.9469872966299</v>
      </c>
      <c r="Q754" s="79">
        <v>642.55116412585198</v>
      </c>
      <c r="R754" s="79">
        <v>8767.8839794133291</v>
      </c>
      <c r="S754" s="79">
        <v>21563.142798944798</v>
      </c>
      <c r="T754" s="79">
        <v>15</v>
      </c>
      <c r="U754" s="79">
        <v>1</v>
      </c>
      <c r="V754" s="79">
        <f>tbl_Data_old[[#This Row],[2025 ]]*IFERROR(AVERAGEIFS('Participation Adjustment'!$C:$C,'Participation Adjustment'!$A:$A,$H754,'Participation Adjustment'!$B:$B,$I754),1)</f>
        <v>4.1653294733961301</v>
      </c>
      <c r="W754" s="79">
        <f>tbl_Data_old[[#This Row],[2026 ]]*IFERROR(AVERAGEIFS('Participation Adjustment'!$C:$C,'Participation Adjustment'!$A:$A,$H754,'Participation Adjustment'!$B:$B,$I754),1)</f>
        <v>5.4078849144168499</v>
      </c>
      <c r="X754" s="79">
        <f>tbl_Data_old[[#This Row],[2027 ]]*IFERROR(AVERAGEIFS('Participation Adjustment'!$C:$C,'Participation Adjustment'!$A:$A,$H754,'Participation Adjustment'!$B:$B,$I754),1)</f>
        <v>6.8466221571087704</v>
      </c>
      <c r="Y754" s="79">
        <f>tbl_Data_old[[#This Row],[2028 ]]*IFERROR(AVERAGEIFS('Participation Adjustment'!$C:$C,'Participation Adjustment'!$A:$A,$H754,'Participation Adjustment'!$B:$B,$I754),1)</f>
        <v>8.5555141277066795</v>
      </c>
      <c r="Z754" s="79">
        <f>tbl_Data_old[[#This Row],[2029 ]]*IFERROR(AVERAGEIFS('Participation Adjustment'!$C:$C,'Participation Adjustment'!$A:$A,$H754,'Participation Adjustment'!$B:$B,$I754),1)</f>
        <v>10.358935279983299</v>
      </c>
      <c r="AA754" s="79">
        <f>tbl_Data_old[[#This Row],[2030 ]]*IFERROR(AVERAGEIFS('Participation Adjustment'!$C:$C,'Participation Adjustment'!$A:$A,$H754,'Participation Adjustment'!$B:$B,$I754),1)</f>
        <v>12.2074583208557</v>
      </c>
      <c r="AB754" s="79">
        <f>tbl_Data_old[[#This Row],[2031 ]]*IFERROR(AVERAGEIFS('Participation Adjustment'!$C:$C,'Participation Adjustment'!$A:$A,$H754,'Participation Adjustment'!$B:$B,$I754),1)</f>
        <v>13.9357726642884</v>
      </c>
      <c r="AC754" s="79">
        <f>tbl_Data_old[[#This Row],[2032 ]]*IFERROR(AVERAGEIFS('Participation Adjustment'!$C:$C,'Participation Adjustment'!$A:$A,$H754,'Participation Adjustment'!$B:$B,$I754),1)</f>
        <v>15.292567083301</v>
      </c>
      <c r="AD754" s="79">
        <f>tbl_Data_old[[#This Row],[2033 ]]*IFERROR(AVERAGEIFS('Participation Adjustment'!$C:$C,'Participation Adjustment'!$A:$A,$H754,'Participation Adjustment'!$B:$B,$I754),1)</f>
        <v>16.127279397640699</v>
      </c>
      <c r="AE754" s="79">
        <f>tbl_Data_old[[#This Row],[2034 ]]*IFERROR(AVERAGEIFS('Participation Adjustment'!$C:$C,'Participation Adjustment'!$A:$A,$H754,'Participation Adjustment'!$B:$B,$I754),1)</f>
        <v>16.2326686966959</v>
      </c>
      <c r="AF754" s="77" t="str">
        <f t="shared" si="308"/>
        <v>NonResidential</v>
      </c>
      <c r="AG754" s="77" t="str">
        <f>tbl_Data[[#This Row],[All_Meas_Name_Append]]</f>
        <v>VFD on process pump</v>
      </c>
      <c r="AH754" s="77">
        <f>AVERAGEIFS('3. Incentive Adjustment'!G:G,'3. Incentive Adjustment'!A:A,tbl_Data[[#This Row],[Trimmed Sector]],'3. Incentive Adjustment'!B:B,tbl_Data[[#This Row],[Trimmed Measure Name]])</f>
        <v>1.1380520252658823</v>
      </c>
      <c r="AI754" s="77">
        <f>$AH754*tbl_Data[[#This Row],[2025 ]]</f>
        <v>4.7403616430981375</v>
      </c>
      <c r="AJ754" s="77">
        <f>$AH754*tbl_Data[[#This Row],[2026 ]]</f>
        <v>6.1544543792569089</v>
      </c>
      <c r="AK754" s="77">
        <f>$AH754*tbl_Data[[#This Row],[2027 ]]</f>
        <v>7.7918122121279003</v>
      </c>
      <c r="AL754" s="77">
        <f>$AH754*tbl_Data[[#This Row],[2028 ]]</f>
        <v>9.7366201802274546</v>
      </c>
      <c r="AM754" s="77">
        <f>$AH754*tbl_Data[[#This Row],[2029 ]]</f>
        <v>11.789007274983193</v>
      </c>
      <c r="AN754" s="77">
        <f>$AH754*tbl_Data[[#This Row],[2030 ]]</f>
        <v>13.892722665398678</v>
      </c>
      <c r="AO754" s="77">
        <f>$AH754*tbl_Data[[#This Row],[2031 ]]</f>
        <v>15.859634304238336</v>
      </c>
      <c r="AP754" s="77">
        <f>$AH754*tbl_Data[[#This Row],[2032 ]]</f>
        <v>17.40373694066507</v>
      </c>
      <c r="AQ754" s="77">
        <f>$AH754*tbl_Data[[#This Row],[2033 ]]</f>
        <v>18.353682980513735</v>
      </c>
      <c r="AR754" s="77">
        <f>$AH754*tbl_Data[[#This Row],[2034 ]]</f>
        <v>18.473621485744861</v>
      </c>
      <c r="AS754" s="77">
        <f>SUM(tbl_Data[[#This Row],[Adjusted 2025]:[Adjusted 2034]])</f>
        <v>124.19565406625428</v>
      </c>
      <c r="AT754" s="80">
        <f>AVERAGEIFS('3. Incentive Adjustment'!F:F,'3. Incentive Adjustment'!A:A,tbl_Data[[#This Row],[Trimmed Sector]],'3. Incentive Adjustment'!B:B,tbl_Data[[#This Row],[Trimmed Measure Name]])</f>
        <v>2106.0249622508104</v>
      </c>
      <c r="AU754" s="80">
        <f>IFERROR(VLOOKUP(tbl_Data[[#This Row],[All_Meas_Name_Append]],'IRA Tax Credits'!$A$3:$D$46,4,0),0)</f>
        <v>0</v>
      </c>
      <c r="AV754" s="81">
        <f>tbl_Data[[#This Row],[Adj. per unit Incentive ($)]]/tbl_Data[[#This Row],[kWh Savings]]*tbl_Data[[#This Row],[Sum of Annuals]]</f>
        <v>12.882826577012336</v>
      </c>
      <c r="AW754" s="81">
        <f>IFERROR(VLOOKUP(tbl_Data[[#This Row],[Column1]],'1. Set Program Names'!$B$2:$D$15,3,0)*tbl_Data[[#This Row],[Sum of Annuals]],"")</f>
        <v>3.9305684228185798</v>
      </c>
      <c r="AX754" s="81">
        <f>tbl_Data[[#This Row],[per unit IRA tax ($)]]/tbl_Data[[#This Row],[kWh Savings]]*tbl_Data[[#This Row],[Sum of Annuals]]</f>
        <v>0</v>
      </c>
      <c r="AY754" s="81">
        <f>tbl_Data[[#This Row],[Avoided Costs ($/unit)]]/tbl_Data[[#This Row],[kWh Savings]]*tbl_Data[[#This Row],[Sum of Annuals]]</f>
        <v>53.634278215499464</v>
      </c>
      <c r="AZ754" s="81">
        <f>tbl_Data[[#This Row],[Lost Revenue ($/unit)]]/tbl_Data[[#This Row],[kWh Savings]]*tbl_Data[[#This Row],[Sum of Annuals]]</f>
        <v>131.90452825272601</v>
      </c>
      <c r="BA754" s="81">
        <f>tbl_Data[[#This Row],[Incremental Cost ($/unit)]]/tbl_Data[[#This Row],[kWh Savings]]*tbl_Data[[#This Row],[Sum of Annuals]]</f>
        <v>31.772368533319042</v>
      </c>
      <c r="BB754" s="77">
        <f>ROUNDUP(tbl_Data[[#This Row],[Adjusted 2025]]/$L754,0)</f>
        <v>1</v>
      </c>
      <c r="BC754" s="77">
        <f>ROUNDUP(tbl_Data[[#This Row],[Adjusted 2026]]/$L754,0)</f>
        <v>1</v>
      </c>
      <c r="BD754" s="77">
        <f>ROUNDUP(tbl_Data[[#This Row],[Adjusted 2027]]/$L754,0)</f>
        <v>1</v>
      </c>
      <c r="BE754" s="77">
        <f>ROUNDUP(tbl_Data[[#This Row],[Adjusted 2028]]/$L754,0)</f>
        <v>1</v>
      </c>
      <c r="BF754" s="77">
        <f>ROUNDUP(tbl_Data[[#This Row],[Adjusted 2029]]/$L754,0)</f>
        <v>1</v>
      </c>
      <c r="BG754" s="77">
        <f>ROUNDUP(tbl_Data[[#This Row],[Adjusted 2030]]/$L754,0)</f>
        <v>1</v>
      </c>
      <c r="BH754" s="77">
        <f>ROUNDUP(tbl_Data[[#This Row],[Adjusted 2031]]/$L754,0)</f>
        <v>1</v>
      </c>
      <c r="BI754" s="77">
        <f>ROUNDUP(tbl_Data[[#This Row],[Adjusted 2032]]/$L754,0)</f>
        <v>1</v>
      </c>
      <c r="BJ754" s="77">
        <f>ROUNDUP(tbl_Data[[#This Row],[Adjusted 2033]]/$L754,0)</f>
        <v>1</v>
      </c>
      <c r="BK754" s="77">
        <f>ROUNDUP(tbl_Data[[#This Row],[Adjusted 2034]]/$L754,0)</f>
        <v>1</v>
      </c>
      <c r="BL754" s="80">
        <f t="shared" si="309"/>
        <v>0.43207000796705802</v>
      </c>
      <c r="BM754" s="80">
        <f t="shared" si="310"/>
        <v>0.56096039772621553</v>
      </c>
      <c r="BN754" s="80">
        <f t="shared" si="311"/>
        <v>0.7102007437499267</v>
      </c>
      <c r="BO754" s="80">
        <f t="shared" si="312"/>
        <v>0.88746426445506554</v>
      </c>
      <c r="BP754" s="80">
        <f t="shared" si="313"/>
        <v>1.0745333058379576</v>
      </c>
      <c r="BQ754" s="80">
        <f t="shared" si="314"/>
        <v>1.2662807702578198</v>
      </c>
      <c r="BR754" s="80">
        <f t="shared" si="315"/>
        <v>1.4455589754768887</v>
      </c>
      <c r="BS754" s="80">
        <f t="shared" si="316"/>
        <v>1.5862993848914797</v>
      </c>
      <c r="BT754" s="80">
        <f t="shared" si="317"/>
        <v>1.6728841697471424</v>
      </c>
      <c r="BU754" s="80">
        <f t="shared" si="318"/>
        <v>1.6838162113955302</v>
      </c>
      <c r="BV754" s="80">
        <f>IFERROR(VLOOKUP($H754,'1. Set Program Names'!$B$2:$D$15,3,0)*V754,"NA")</f>
        <v>0.13182516426889132</v>
      </c>
      <c r="BW754" s="80">
        <f>IFERROR(VLOOKUP($H754,'1. Set Program Names'!$B$2:$D$15,3,0)*W754,"NA")</f>
        <v>0.17114980261309642</v>
      </c>
      <c r="BX754" s="80">
        <f>IFERROR(VLOOKUP($H754,'1. Set Program Names'!$B$2:$D$15,3,0)*X754,"NA")</f>
        <v>0.21668324110073586</v>
      </c>
      <c r="BY754" s="80">
        <f>IFERROR(VLOOKUP($H754,'1. Set Program Names'!$B$2:$D$15,3,0)*Y754,"NA")</f>
        <v>0.27076658941224041</v>
      </c>
      <c r="BZ754" s="80">
        <f>IFERROR(VLOOKUP($H754,'1. Set Program Names'!$B$2:$D$15,3,0)*Z754,"NA")</f>
        <v>0.3278416158088977</v>
      </c>
      <c r="CA754" s="80">
        <f>IFERROR(VLOOKUP($H754,'1. Set Program Names'!$B$2:$D$15,3,0)*AA754,"NA")</f>
        <v>0.38634403562327868</v>
      </c>
      <c r="CB754" s="80">
        <f>IFERROR(VLOOKUP($H754,'1. Set Program Names'!$B$2:$D$15,3,0)*AB754,"NA")</f>
        <v>0.44104206700026244</v>
      </c>
      <c r="CC754" s="80">
        <f>IFERROR(VLOOKUP($H754,'1. Set Program Names'!$B$2:$D$15,3,0)*AC754,"NA")</f>
        <v>0.48398216292972579</v>
      </c>
      <c r="CD754" s="80">
        <f>IFERROR(VLOOKUP($H754,'1. Set Program Names'!$B$2:$D$15,3,0)*AD754,"NA")</f>
        <v>0.51039930199588979</v>
      </c>
      <c r="CE754" s="80">
        <f>IFERROR(VLOOKUP($H754,'1. Set Program Names'!$B$2:$D$15,3,0)*AE754,"NA")</f>
        <v>0.51373468320615634</v>
      </c>
    </row>
    <row r="755" spans="1:83" x14ac:dyDescent="0.25">
      <c r="A755" s="79" t="s">
        <v>117</v>
      </c>
      <c r="B755" s="79" t="s">
        <v>88</v>
      </c>
      <c r="C755" s="79" t="s">
        <v>176</v>
      </c>
      <c r="D755" s="79" t="s">
        <v>90</v>
      </c>
      <c r="E755" s="79" t="s">
        <v>91</v>
      </c>
      <c r="F755" s="79" t="s">
        <v>90</v>
      </c>
      <c r="G755" s="79" t="s">
        <v>92</v>
      </c>
      <c r="H755" s="79" t="s">
        <v>18</v>
      </c>
      <c r="I755" s="79" t="s">
        <v>177</v>
      </c>
      <c r="J755" s="79" t="s">
        <v>178</v>
      </c>
      <c r="K755" s="79" t="s">
        <v>102</v>
      </c>
      <c r="L755" s="79">
        <v>25265.069999999901</v>
      </c>
      <c r="M755" s="79">
        <v>3.0268587641170099</v>
      </c>
      <c r="N755" s="79">
        <v>2.9158027991200801</v>
      </c>
      <c r="O755" s="79">
        <v>7160.52</v>
      </c>
      <c r="P755" s="79">
        <v>2094.8798923726799</v>
      </c>
      <c r="Q755" s="79">
        <v>799.59389150061804</v>
      </c>
      <c r="R755" s="79">
        <v>8516.48438813961</v>
      </c>
      <c r="S755" s="79">
        <v>20321.770915365199</v>
      </c>
      <c r="T755" s="79">
        <v>10</v>
      </c>
      <c r="U755" s="79">
        <v>1</v>
      </c>
      <c r="V755" s="79">
        <f>tbl_Data_old[[#This Row],[2025 ]]*IFERROR(AVERAGEIFS('Participation Adjustment'!$C:$C,'Participation Adjustment'!$A:$A,$H755,'Participation Adjustment'!$B:$B,$I755),1)</f>
        <v>0.407702126385177</v>
      </c>
      <c r="W755" s="79">
        <f>tbl_Data_old[[#This Row],[2026 ]]*IFERROR(AVERAGEIFS('Participation Adjustment'!$C:$C,'Participation Adjustment'!$A:$A,$H755,'Participation Adjustment'!$B:$B,$I755),1)</f>
        <v>0.79649741534889296</v>
      </c>
      <c r="X755" s="79">
        <f>tbl_Data_old[[#This Row],[2027 ]]*IFERROR(AVERAGEIFS('Participation Adjustment'!$C:$C,'Participation Adjustment'!$A:$A,$H755,'Participation Adjustment'!$B:$B,$I755),1)</f>
        <v>1.1623008214714301</v>
      </c>
      <c r="Y755" s="79">
        <f>tbl_Data_old[[#This Row],[2028 ]]*IFERROR(AVERAGEIFS('Participation Adjustment'!$C:$C,'Participation Adjustment'!$A:$A,$H755,'Participation Adjustment'!$B:$B,$I755),1)</f>
        <v>1.5066820316802301</v>
      </c>
      <c r="Z755" s="79">
        <f>tbl_Data_old[[#This Row],[2029 ]]*IFERROR(AVERAGEIFS('Participation Adjustment'!$C:$C,'Participation Adjustment'!$A:$A,$H755,'Participation Adjustment'!$B:$B,$I755),1)</f>
        <v>1.82799411441952</v>
      </c>
      <c r="AA755" s="79">
        <f>tbl_Data_old[[#This Row],[2030 ]]*IFERROR(AVERAGEIFS('Participation Adjustment'!$C:$C,'Participation Adjustment'!$A:$A,$H755,'Participation Adjustment'!$B:$B,$I755),1)</f>
        <v>2.1269500441738201</v>
      </c>
      <c r="AB755" s="79">
        <f>tbl_Data_old[[#This Row],[2031 ]]*IFERROR(AVERAGEIFS('Participation Adjustment'!$C:$C,'Participation Adjustment'!$A:$A,$H755,'Participation Adjustment'!$B:$B,$I755),1)</f>
        <v>2.40482342836818</v>
      </c>
      <c r="AC755" s="79">
        <f>tbl_Data_old[[#This Row],[2032 ]]*IFERROR(AVERAGEIFS('Participation Adjustment'!$C:$C,'Participation Adjustment'!$A:$A,$H755,'Participation Adjustment'!$B:$B,$I755),1)</f>
        <v>2.6620179045572701</v>
      </c>
      <c r="AD755" s="79">
        <f>tbl_Data_old[[#This Row],[2033 ]]*IFERROR(AVERAGEIFS('Participation Adjustment'!$C:$C,'Participation Adjustment'!$A:$A,$H755,'Participation Adjustment'!$B:$B,$I755),1)</f>
        <v>2.9007365078094698</v>
      </c>
      <c r="AE755" s="79">
        <f>tbl_Data_old[[#This Row],[2034 ]]*IFERROR(AVERAGEIFS('Participation Adjustment'!$C:$C,'Participation Adjustment'!$A:$A,$H755,'Participation Adjustment'!$B:$B,$I755),1)</f>
        <v>3.12232445558167</v>
      </c>
      <c r="AF755" s="77" t="str">
        <f t="shared" si="308"/>
        <v>NonResidential</v>
      </c>
      <c r="AG755" s="77" t="str">
        <f>tbl_Data[[#This Row],[All_Meas_Name_Append]]</f>
        <v>Airside economizer_13</v>
      </c>
      <c r="AH755" s="77">
        <f>AVERAGEIFS('3. Incentive Adjustment'!G:G,'3. Incentive Adjustment'!A:A,tbl_Data[[#This Row],[Trimmed Sector]],'3. Incentive Adjustment'!B:B,tbl_Data[[#This Row],[Trimmed Measure Name]])</f>
        <v>1</v>
      </c>
      <c r="AI755" s="77">
        <f>$AH755*tbl_Data[[#This Row],[2025 ]]</f>
        <v>0.407702126385177</v>
      </c>
      <c r="AJ755" s="77">
        <f>$AH755*tbl_Data[[#This Row],[2026 ]]</f>
        <v>0.79649741534889296</v>
      </c>
      <c r="AK755" s="77">
        <f>$AH755*tbl_Data[[#This Row],[2027 ]]</f>
        <v>1.1623008214714301</v>
      </c>
      <c r="AL755" s="77">
        <f>$AH755*tbl_Data[[#This Row],[2028 ]]</f>
        <v>1.5066820316802301</v>
      </c>
      <c r="AM755" s="77">
        <f>$AH755*tbl_Data[[#This Row],[2029 ]]</f>
        <v>1.82799411441952</v>
      </c>
      <c r="AN755" s="77">
        <f>$AH755*tbl_Data[[#This Row],[2030 ]]</f>
        <v>2.1269500441738201</v>
      </c>
      <c r="AO755" s="77">
        <f>$AH755*tbl_Data[[#This Row],[2031 ]]</f>
        <v>2.40482342836818</v>
      </c>
      <c r="AP755" s="77">
        <f>$AH755*tbl_Data[[#This Row],[2032 ]]</f>
        <v>2.6620179045572701</v>
      </c>
      <c r="AQ755" s="77">
        <f>$AH755*tbl_Data[[#This Row],[2033 ]]</f>
        <v>2.9007365078094698</v>
      </c>
      <c r="AR755" s="77">
        <f>$AH755*tbl_Data[[#This Row],[2034 ]]</f>
        <v>3.12232445558167</v>
      </c>
      <c r="AS755" s="77">
        <f>SUM(tbl_Data[[#This Row],[Adjusted 2025]:[Adjusted 2034]])</f>
        <v>18.918028849795661</v>
      </c>
      <c r="AT755" s="80">
        <f>AVERAGEIFS('3. Incentive Adjustment'!F:F,'3. Incentive Adjustment'!A:A,tbl_Data[[#This Row],[Trimmed Sector]],'3. Incentive Adjustment'!B:B,tbl_Data[[#This Row],[Trimmed Measure Name]])</f>
        <v>2094.8798923726795</v>
      </c>
      <c r="AU755" s="80">
        <f>IFERROR(VLOOKUP(tbl_Data[[#This Row],[All_Meas_Name_Append]],'IRA Tax Credits'!$A$3:$D$46,4,0),0)</f>
        <v>0</v>
      </c>
      <c r="AV755" s="81">
        <f>tbl_Data[[#This Row],[Adj. per unit Incentive ($)]]/tbl_Data[[#This Row],[kWh Savings]]*tbl_Data[[#This Row],[Sum of Annuals]]</f>
        <v>1.5686082896569586</v>
      </c>
      <c r="AW755" s="81">
        <f>IFERROR(VLOOKUP(tbl_Data[[#This Row],[Column1]],'1. Set Program Names'!$B$2:$D$15,3,0)*tbl_Data[[#This Row],[Sum of Annuals]],"")</f>
        <v>0.5987214881070626</v>
      </c>
      <c r="AX755" s="81">
        <f>tbl_Data[[#This Row],[per unit IRA tax ($)]]/tbl_Data[[#This Row],[kWh Savings]]*tbl_Data[[#This Row],[Sum of Annuals]]</f>
        <v>0</v>
      </c>
      <c r="AY755" s="81">
        <f>tbl_Data[[#This Row],[Avoided Costs ($/unit)]]/tbl_Data[[#This Row],[kWh Savings]]*tbl_Data[[#This Row],[Sum of Annuals]]</f>
        <v>6.3769899451559056</v>
      </c>
      <c r="AZ755" s="81">
        <f>tbl_Data[[#This Row],[Lost Revenue ($/unit)]]/tbl_Data[[#This Row],[kWh Savings]]*tbl_Data[[#This Row],[Sum of Annuals]]</f>
        <v>15.216575630141485</v>
      </c>
      <c r="BA755" s="81">
        <f>tbl_Data[[#This Row],[Incremental Cost ($/unit)]]/tbl_Data[[#This Row],[kWh Savings]]*tbl_Data[[#This Row],[Sum of Annuals]]</f>
        <v>5.3616682613402356</v>
      </c>
      <c r="BB755" s="77">
        <f>ROUNDUP(tbl_Data[[#This Row],[Adjusted 2025]]/$L755,0)</f>
        <v>1</v>
      </c>
      <c r="BC755" s="77">
        <f>ROUNDUP(tbl_Data[[#This Row],[Adjusted 2026]]/$L755,0)</f>
        <v>1</v>
      </c>
      <c r="BD755" s="77">
        <f>ROUNDUP(tbl_Data[[#This Row],[Adjusted 2027]]/$L755,0)</f>
        <v>1</v>
      </c>
      <c r="BE755" s="77">
        <f>ROUNDUP(tbl_Data[[#This Row],[Adjusted 2028]]/$L755,0)</f>
        <v>1</v>
      </c>
      <c r="BF755" s="77">
        <f>ROUNDUP(tbl_Data[[#This Row],[Adjusted 2029]]/$L755,0)</f>
        <v>1</v>
      </c>
      <c r="BG755" s="77">
        <f>ROUNDUP(tbl_Data[[#This Row],[Adjusted 2030]]/$L755,0)</f>
        <v>1</v>
      </c>
      <c r="BH755" s="77">
        <f>ROUNDUP(tbl_Data[[#This Row],[Adjusted 2031]]/$L755,0)</f>
        <v>1</v>
      </c>
      <c r="BI755" s="77">
        <f>ROUNDUP(tbl_Data[[#This Row],[Adjusted 2032]]/$L755,0)</f>
        <v>1</v>
      </c>
      <c r="BJ755" s="77">
        <f>ROUNDUP(tbl_Data[[#This Row],[Adjusted 2033]]/$L755,0)</f>
        <v>1</v>
      </c>
      <c r="BK755" s="77">
        <f>ROUNDUP(tbl_Data[[#This Row],[Adjusted 2034]]/$L755,0)</f>
        <v>1</v>
      </c>
      <c r="BL755" s="80">
        <f t="shared" si="309"/>
        <v>3.3805051268090511E-2</v>
      </c>
      <c r="BM755" s="80">
        <f t="shared" si="310"/>
        <v>6.6042422195593073E-2</v>
      </c>
      <c r="BN755" s="80">
        <f t="shared" si="311"/>
        <v>9.6373396938490799E-2</v>
      </c>
      <c r="BO755" s="80">
        <f t="shared" si="312"/>
        <v>0.12492812774182468</v>
      </c>
      <c r="BP755" s="80">
        <f t="shared" si="313"/>
        <v>0.15157005754082892</v>
      </c>
      <c r="BQ755" s="80">
        <f t="shared" si="314"/>
        <v>0.17635830336590935</v>
      </c>
      <c r="BR755" s="80">
        <f t="shared" si="315"/>
        <v>0.19939846771828657</v>
      </c>
      <c r="BS755" s="80">
        <f t="shared" si="316"/>
        <v>0.22072401863098345</v>
      </c>
      <c r="BT755" s="80">
        <f t="shared" si="317"/>
        <v>0.24051762307729319</v>
      </c>
      <c r="BU755" s="80">
        <f t="shared" si="318"/>
        <v>0.25889082117965789</v>
      </c>
      <c r="BV755" s="80">
        <f>IFERROR(VLOOKUP($H755,'1. Set Program Names'!$B$2:$D$15,3,0)*V755,"NA")</f>
        <v>1.2903036873018801E-2</v>
      </c>
      <c r="BW755" s="80">
        <f>IFERROR(VLOOKUP($H755,'1. Set Program Names'!$B$2:$D$15,3,0)*W755,"NA")</f>
        <v>2.5207706446449849E-2</v>
      </c>
      <c r="BX755" s="80">
        <f>IFERROR(VLOOKUP($H755,'1. Set Program Names'!$B$2:$D$15,3,0)*X755,"NA")</f>
        <v>3.6784724401504043E-2</v>
      </c>
      <c r="BY755" s="80">
        <f>IFERROR(VLOOKUP($H755,'1. Set Program Names'!$B$2:$D$15,3,0)*Y755,"NA")</f>
        <v>4.7683768497979818E-2</v>
      </c>
      <c r="BZ755" s="80">
        <f>IFERROR(VLOOKUP($H755,'1. Set Program Names'!$B$2:$D$15,3,0)*Z755,"NA")</f>
        <v>5.7852716322928571E-2</v>
      </c>
      <c r="CA755" s="80">
        <f>IFERROR(VLOOKUP($H755,'1. Set Program Names'!$B$2:$D$15,3,0)*AA755,"NA")</f>
        <v>6.7314132232697541E-2</v>
      </c>
      <c r="CB755" s="80">
        <f>IFERROR(VLOOKUP($H755,'1. Set Program Names'!$B$2:$D$15,3,0)*AB755,"NA")</f>
        <v>7.610832360491282E-2</v>
      </c>
      <c r="CC755" s="80">
        <f>IFERROR(VLOOKUP($H755,'1. Set Program Names'!$B$2:$D$15,3,0)*AC755,"NA")</f>
        <v>8.4248064840084458E-2</v>
      </c>
      <c r="CD755" s="80">
        <f>IFERROR(VLOOKUP($H755,'1. Set Program Names'!$B$2:$D$15,3,0)*AD755,"NA")</f>
        <v>9.18030780242165E-2</v>
      </c>
      <c r="CE755" s="80">
        <f>IFERROR(VLOOKUP($H755,'1. Set Program Names'!$B$2:$D$15,3,0)*AE755,"NA")</f>
        <v>9.8815936863270157E-2</v>
      </c>
    </row>
    <row r="756" spans="1:83" x14ac:dyDescent="0.25">
      <c r="A756" s="79" t="s">
        <v>117</v>
      </c>
      <c r="B756" s="79" t="s">
        <v>88</v>
      </c>
      <c r="C756" s="79" t="s">
        <v>176</v>
      </c>
      <c r="D756" s="79" t="s">
        <v>90</v>
      </c>
      <c r="E756" s="79" t="s">
        <v>91</v>
      </c>
      <c r="F756" s="79" t="s">
        <v>90</v>
      </c>
      <c r="G756" s="79" t="s">
        <v>92</v>
      </c>
      <c r="H756" s="79" t="s">
        <v>18</v>
      </c>
      <c r="I756" s="79" t="s">
        <v>185</v>
      </c>
      <c r="J756" s="79" t="s">
        <v>178</v>
      </c>
      <c r="K756" s="79" t="s">
        <v>102</v>
      </c>
      <c r="L756" s="79">
        <v>37372.818333333198</v>
      </c>
      <c r="M756" s="79">
        <v>4.4774165562178503</v>
      </c>
      <c r="N756" s="79">
        <v>4.3131393780955101</v>
      </c>
      <c r="O756" s="79">
        <v>14201.670833333301</v>
      </c>
      <c r="P756" s="79">
        <v>6684.0523958317799</v>
      </c>
      <c r="Q756" s="79">
        <v>1182.7822858791001</v>
      </c>
      <c r="R756" s="79">
        <v>15980.395267902501</v>
      </c>
      <c r="S756" s="79">
        <v>39692.564194744999</v>
      </c>
      <c r="T756" s="79">
        <v>15</v>
      </c>
      <c r="U756" s="79">
        <v>1</v>
      </c>
      <c r="V756" s="79">
        <f>tbl_Data_old[[#This Row],[2025 ]]*IFERROR(AVERAGEIFS('Participation Adjustment'!$C:$C,'Participation Adjustment'!$A:$A,$H756,'Participation Adjustment'!$B:$B,$I756),1)</f>
        <v>2.2950613527338799</v>
      </c>
      <c r="W756" s="79">
        <f>tbl_Data_old[[#This Row],[2026 ]]*IFERROR(AVERAGEIFS('Participation Adjustment'!$C:$C,'Participation Adjustment'!$A:$A,$H756,'Participation Adjustment'!$B:$B,$I756),1)</f>
        <v>4.9059710382911703</v>
      </c>
      <c r="X756" s="79">
        <f>tbl_Data_old[[#This Row],[2027 ]]*IFERROR(AVERAGEIFS('Participation Adjustment'!$C:$C,'Participation Adjustment'!$A:$A,$H756,'Participation Adjustment'!$B:$B,$I756),1)</f>
        <v>7.7921073852945604</v>
      </c>
      <c r="Y756" s="79">
        <f>tbl_Data_old[[#This Row],[2028 ]]*IFERROR(AVERAGEIFS('Participation Adjustment'!$C:$C,'Participation Adjustment'!$A:$A,$H756,'Participation Adjustment'!$B:$B,$I756),1)</f>
        <v>10.9543372068221</v>
      </c>
      <c r="Z756" s="79">
        <f>tbl_Data_old[[#This Row],[2029 ]]*IFERROR(AVERAGEIFS('Participation Adjustment'!$C:$C,'Participation Adjustment'!$A:$A,$H756,'Participation Adjustment'!$B:$B,$I756),1)</f>
        <v>14.351889403226499</v>
      </c>
      <c r="AA756" s="79">
        <f>tbl_Data_old[[#This Row],[2030 ]]*IFERROR(AVERAGEIFS('Participation Adjustment'!$C:$C,'Participation Adjustment'!$A:$A,$H756,'Participation Adjustment'!$B:$B,$I756),1)</f>
        <v>17.970251223940199</v>
      </c>
      <c r="AB756" s="79">
        <f>tbl_Data_old[[#This Row],[2031 ]]*IFERROR(AVERAGEIFS('Participation Adjustment'!$C:$C,'Participation Adjustment'!$A:$A,$H756,'Participation Adjustment'!$B:$B,$I756),1)</f>
        <v>21.797357139416</v>
      </c>
      <c r="AC756" s="79">
        <f>tbl_Data_old[[#This Row],[2032 ]]*IFERROR(AVERAGEIFS('Participation Adjustment'!$C:$C,'Participation Adjustment'!$A:$A,$H756,'Participation Adjustment'!$B:$B,$I756),1)</f>
        <v>25.811802037406601</v>
      </c>
      <c r="AD756" s="79">
        <f>tbl_Data_old[[#This Row],[2033 ]]*IFERROR(AVERAGEIFS('Participation Adjustment'!$C:$C,'Participation Adjustment'!$A:$A,$H756,'Participation Adjustment'!$B:$B,$I756),1)</f>
        <v>30.011897327520199</v>
      </c>
      <c r="AE756" s="79">
        <f>tbl_Data_old[[#This Row],[2034 ]]*IFERROR(AVERAGEIFS('Participation Adjustment'!$C:$C,'Participation Adjustment'!$A:$A,$H756,'Participation Adjustment'!$B:$B,$I756),1)</f>
        <v>34.387850549953903</v>
      </c>
      <c r="AF756" s="77" t="str">
        <f t="shared" si="308"/>
        <v>NonResidential</v>
      </c>
      <c r="AG756" s="77" t="str">
        <f>tbl_Data[[#This Row],[All_Meas_Name_Append]]</f>
        <v>Custom Measure - Non-Lighting_70</v>
      </c>
      <c r="AH756" s="77">
        <f>AVERAGEIFS('3. Incentive Adjustment'!G:G,'3. Incentive Adjustment'!A:A,tbl_Data[[#This Row],[Trimmed Sector]],'3. Incentive Adjustment'!B:B,tbl_Data[[#This Row],[Trimmed Measure Name]])</f>
        <v>0.82269267220071174</v>
      </c>
      <c r="AI756" s="77">
        <f>$AH756*tbl_Data[[#This Row],[2025 ]]</f>
        <v>1.8881301571452158</v>
      </c>
      <c r="AJ756" s="77">
        <f>$AH756*tbl_Data[[#This Row],[2026 ]]</f>
        <v>4.0361064232310628</v>
      </c>
      <c r="AK756" s="77">
        <f>$AH756*tbl_Data[[#This Row],[2027 ]]</f>
        <v>6.4105096468828826</v>
      </c>
      <c r="AL756" s="77">
        <f>$AH756*tbl_Data[[#This Row],[2028 ]]</f>
        <v>9.0120529488681544</v>
      </c>
      <c r="AM756" s="77">
        <f>$AH756*tbl_Data[[#This Row],[2029 ]]</f>
        <v>11.807194244269487</v>
      </c>
      <c r="AN756" s="77">
        <f>$AH756*tbl_Data[[#This Row],[2030 ]]</f>
        <v>14.783993999541472</v>
      </c>
      <c r="AO756" s="77">
        <f>$AH756*tbl_Data[[#This Row],[2031 ]]</f>
        <v>17.932525991939411</v>
      </c>
      <c r="AP756" s="77">
        <f>$AH756*tbl_Data[[#This Row],[2032 ]]</f>
        <v>21.235180392469811</v>
      </c>
      <c r="AQ756" s="77">
        <f>$AH756*tbl_Data[[#This Row],[2033 ]]</f>
        <v>24.69056801019099</v>
      </c>
      <c r="AR756" s="77">
        <f>$AH756*tbl_Data[[#This Row],[2034 ]]</f>
        <v>28.29063266018029</v>
      </c>
      <c r="AS756" s="77">
        <f>SUM(tbl_Data[[#This Row],[Adjusted 2025]:[Adjusted 2034]])</f>
        <v>140.08689447471878</v>
      </c>
      <c r="AT756" s="80">
        <f>AVERAGEIFS('3. Incentive Adjustment'!F:F,'3. Incentive Adjustment'!A:A,tbl_Data[[#This Row],[Trimmed Sector]],'3. Incentive Adjustment'!B:B,tbl_Data[[#This Row],[Trimmed Measure Name]])</f>
        <v>3919.5698976361523</v>
      </c>
      <c r="AU756" s="80">
        <f>IFERROR(VLOOKUP(tbl_Data[[#This Row],[All_Meas_Name_Append]],'IRA Tax Credits'!$A$3:$D$46,4,0),0)</f>
        <v>0</v>
      </c>
      <c r="AV756" s="81">
        <f>tbl_Data[[#This Row],[Adj. per unit Incentive ($)]]/tbl_Data[[#This Row],[kWh Savings]]*tbl_Data[[#This Row],[Sum of Annuals]]</f>
        <v>14.691971307572208</v>
      </c>
      <c r="AW756" s="81">
        <f>IFERROR(VLOOKUP(tbl_Data[[#This Row],[Column1]],'1. Set Program Names'!$B$2:$D$15,3,0)*tbl_Data[[#This Row],[Sum of Annuals]],"")</f>
        <v>4.4334975165822632</v>
      </c>
      <c r="AX756" s="81">
        <f>tbl_Data[[#This Row],[per unit IRA tax ($)]]/tbl_Data[[#This Row],[kWh Savings]]*tbl_Data[[#This Row],[Sum of Annuals]]</f>
        <v>0</v>
      </c>
      <c r="AY756" s="81">
        <f>tbl_Data[[#This Row],[Avoided Costs ($/unit)]]/tbl_Data[[#This Row],[kWh Savings]]*tbl_Data[[#This Row],[Sum of Annuals]]</f>
        <v>59.900324497665288</v>
      </c>
      <c r="AZ756" s="81">
        <f>tbl_Data[[#This Row],[Lost Revenue ($/unit)]]/tbl_Data[[#This Row],[kWh Savings]]*tbl_Data[[#This Row],[Sum of Annuals]]</f>
        <v>148.78214434314842</v>
      </c>
      <c r="BA756" s="81">
        <f>tbl_Data[[#This Row],[Incremental Cost ($/unit)]]/tbl_Data[[#This Row],[kWh Savings]]*tbl_Data[[#This Row],[Sum of Annuals]]</f>
        <v>53.233019400611454</v>
      </c>
      <c r="BB756" s="77">
        <f>ROUNDUP(tbl_Data[[#This Row],[Adjusted 2025]]/$L756,0)</f>
        <v>1</v>
      </c>
      <c r="BC756" s="77">
        <f>ROUNDUP(tbl_Data[[#This Row],[Adjusted 2026]]/$L756,0)</f>
        <v>1</v>
      </c>
      <c r="BD756" s="77">
        <f>ROUNDUP(tbl_Data[[#This Row],[Adjusted 2027]]/$L756,0)</f>
        <v>1</v>
      </c>
      <c r="BE756" s="77">
        <f>ROUNDUP(tbl_Data[[#This Row],[Adjusted 2028]]/$L756,0)</f>
        <v>1</v>
      </c>
      <c r="BF756" s="77">
        <f>ROUNDUP(tbl_Data[[#This Row],[Adjusted 2029]]/$L756,0)</f>
        <v>1</v>
      </c>
      <c r="BG756" s="77">
        <f>ROUNDUP(tbl_Data[[#This Row],[Adjusted 2030]]/$L756,0)</f>
        <v>1</v>
      </c>
      <c r="BH756" s="77">
        <f>ROUNDUP(tbl_Data[[#This Row],[Adjusted 2031]]/$L756,0)</f>
        <v>1</v>
      </c>
      <c r="BI756" s="77">
        <f>ROUNDUP(tbl_Data[[#This Row],[Adjusted 2032]]/$L756,0)</f>
        <v>1</v>
      </c>
      <c r="BJ756" s="77">
        <f>ROUNDUP(tbl_Data[[#This Row],[Adjusted 2033]]/$L756,0)</f>
        <v>1</v>
      </c>
      <c r="BK756" s="77">
        <f>ROUNDUP(tbl_Data[[#This Row],[Adjusted 2034]]/$L756,0)</f>
        <v>1</v>
      </c>
      <c r="BL756" s="80">
        <f t="shared" si="309"/>
        <v>0.24070042861553495</v>
      </c>
      <c r="BM756" s="80">
        <f t="shared" si="310"/>
        <v>0.51452625886686332</v>
      </c>
      <c r="BN756" s="80">
        <f t="shared" si="311"/>
        <v>0.81721718908494634</v>
      </c>
      <c r="BO756" s="80">
        <f t="shared" si="312"/>
        <v>1.1488641285080787</v>
      </c>
      <c r="BP756" s="80">
        <f t="shared" si="313"/>
        <v>1.5051911037952692</v>
      </c>
      <c r="BQ756" s="80">
        <f t="shared" si="314"/>
        <v>1.8846760531167366</v>
      </c>
      <c r="BR756" s="80">
        <f t="shared" si="315"/>
        <v>2.2860535732055816</v>
      </c>
      <c r="BS756" s="80">
        <f t="shared" si="316"/>
        <v>2.7070787481747618</v>
      </c>
      <c r="BT756" s="80">
        <f t="shared" si="317"/>
        <v>3.1475744827886403</v>
      </c>
      <c r="BU756" s="80">
        <f t="shared" si="318"/>
        <v>3.6065137677827601</v>
      </c>
      <c r="BV756" s="80">
        <f>IFERROR(VLOOKUP($H756,'1. Set Program Names'!$B$2:$D$15,3,0)*V756,"NA")</f>
        <v>7.263455190368201E-2</v>
      </c>
      <c r="BW756" s="80">
        <f>IFERROR(VLOOKUP($H756,'1. Set Program Names'!$B$2:$D$15,3,0)*W756,"NA")</f>
        <v>0.15526513380317458</v>
      </c>
      <c r="BX756" s="80">
        <f>IFERROR(VLOOKUP($H756,'1. Set Program Names'!$B$2:$D$15,3,0)*X756,"NA")</f>
        <v>0.24660614307414924</v>
      </c>
      <c r="BY756" s="80">
        <f>IFERROR(VLOOKUP($H756,'1. Set Program Names'!$B$2:$D$15,3,0)*Y756,"NA")</f>
        <v>0.34668501278693908</v>
      </c>
      <c r="BZ756" s="80">
        <f>IFERROR(VLOOKUP($H756,'1. Set Program Names'!$B$2:$D$15,3,0)*Z756,"NA")</f>
        <v>0.45421141118201463</v>
      </c>
      <c r="CA756" s="80">
        <f>IFERROR(VLOOKUP($H756,'1. Set Program Names'!$B$2:$D$15,3,0)*AA756,"NA")</f>
        <v>0.56872603588250958</v>
      </c>
      <c r="CB756" s="80">
        <f>IFERROR(VLOOKUP($H756,'1. Set Program Names'!$B$2:$D$15,3,0)*AB756,"NA")</f>
        <v>0.68984703464247099</v>
      </c>
      <c r="CC756" s="80">
        <f>IFERROR(VLOOKUP($H756,'1. Set Program Names'!$B$2:$D$15,3,0)*AC756,"NA")</f>
        <v>0.81689697427054686</v>
      </c>
      <c r="CD756" s="80">
        <f>IFERROR(VLOOKUP($H756,'1. Set Program Names'!$B$2:$D$15,3,0)*AD756,"NA")</f>
        <v>0.94982241392677402</v>
      </c>
      <c r="CE756" s="80">
        <f>IFERROR(VLOOKUP($H756,'1. Set Program Names'!$B$2:$D$15,3,0)*AE756,"NA")</f>
        <v>1.0883134399223657</v>
      </c>
    </row>
    <row r="757" spans="1:83" x14ac:dyDescent="0.25">
      <c r="A757" s="79" t="s">
        <v>117</v>
      </c>
      <c r="B757" s="79" t="s">
        <v>88</v>
      </c>
      <c r="C757" s="79" t="s">
        <v>176</v>
      </c>
      <c r="D757" s="79" t="s">
        <v>90</v>
      </c>
      <c r="E757" s="79" t="s">
        <v>91</v>
      </c>
      <c r="F757" s="79" t="s">
        <v>90</v>
      </c>
      <c r="G757" s="79" t="s">
        <v>92</v>
      </c>
      <c r="H757" s="79" t="s">
        <v>18</v>
      </c>
      <c r="I757" s="79" t="s">
        <v>187</v>
      </c>
      <c r="J757" s="79" t="s">
        <v>137</v>
      </c>
      <c r="K757" s="79" t="s">
        <v>98</v>
      </c>
      <c r="L757" s="79">
        <v>16575.9941666665</v>
      </c>
      <c r="M757" s="79">
        <v>1.98609088803711</v>
      </c>
      <c r="N757" s="79">
        <v>1.91315479867159</v>
      </c>
      <c r="O757" s="79">
        <v>5440</v>
      </c>
      <c r="P757" s="79">
        <v>2106.6717861739999</v>
      </c>
      <c r="Q757" s="79">
        <v>524.60031502847596</v>
      </c>
      <c r="R757" s="79">
        <v>7087.6591263841001</v>
      </c>
      <c r="S757" s="79">
        <v>17604.872789732901</v>
      </c>
      <c r="T757" s="79">
        <v>15</v>
      </c>
      <c r="U757" s="79">
        <v>1</v>
      </c>
      <c r="V757" s="79">
        <f>tbl_Data_old[[#This Row],[2025 ]]*IFERROR(AVERAGEIFS('Participation Adjustment'!$C:$C,'Participation Adjustment'!$A:$A,$H757,'Participation Adjustment'!$B:$B,$I757),1)</f>
        <v>1.0957401254938901</v>
      </c>
      <c r="W757" s="79">
        <f>tbl_Data_old[[#This Row],[2026 ]]*IFERROR(AVERAGEIFS('Participation Adjustment'!$C:$C,'Participation Adjustment'!$A:$A,$H757,'Participation Adjustment'!$B:$B,$I757),1)</f>
        <v>2.6098143916557199</v>
      </c>
      <c r="X757" s="79">
        <f>tbl_Data_old[[#This Row],[2027 ]]*IFERROR(AVERAGEIFS('Participation Adjustment'!$C:$C,'Participation Adjustment'!$A:$A,$H757,'Participation Adjustment'!$B:$B,$I757),1)</f>
        <v>4.6364931357345798</v>
      </c>
      <c r="Y757" s="79">
        <f>tbl_Data_old[[#This Row],[2028 ]]*IFERROR(AVERAGEIFS('Participation Adjustment'!$C:$C,'Participation Adjustment'!$A:$A,$H757,'Participation Adjustment'!$B:$B,$I757),1)</f>
        <v>7.28243302307677</v>
      </c>
      <c r="Z757" s="79">
        <f>tbl_Data_old[[#This Row],[2029 ]]*IFERROR(AVERAGEIFS('Participation Adjustment'!$C:$C,'Participation Adjustment'!$A:$A,$H757,'Participation Adjustment'!$B:$B,$I757),1)</f>
        <v>10.5868082252354</v>
      </c>
      <c r="AA757" s="79">
        <f>tbl_Data_old[[#This Row],[2030 ]]*IFERROR(AVERAGEIFS('Participation Adjustment'!$C:$C,'Participation Adjustment'!$A:$A,$H757,'Participation Adjustment'!$B:$B,$I757),1)</f>
        <v>14.511628944020201</v>
      </c>
      <c r="AB757" s="79">
        <f>tbl_Data_old[[#This Row],[2031 ]]*IFERROR(AVERAGEIFS('Participation Adjustment'!$C:$C,'Participation Adjustment'!$A:$A,$H757,'Participation Adjustment'!$B:$B,$I757),1)</f>
        <v>18.890034735740599</v>
      </c>
      <c r="AC757" s="79">
        <f>tbl_Data_old[[#This Row],[2032 ]]*IFERROR(AVERAGEIFS('Participation Adjustment'!$C:$C,'Participation Adjustment'!$A:$A,$H757,'Participation Adjustment'!$B:$B,$I757),1)</f>
        <v>23.411092698862301</v>
      </c>
      <c r="AD757" s="79">
        <f>tbl_Data_old[[#This Row],[2033 ]]*IFERROR(AVERAGEIFS('Participation Adjustment'!$C:$C,'Participation Adjustment'!$A:$A,$H757,'Participation Adjustment'!$B:$B,$I757),1)</f>
        <v>27.700461939788099</v>
      </c>
      <c r="AE757" s="79">
        <f>tbl_Data_old[[#This Row],[2034 ]]*IFERROR(AVERAGEIFS('Participation Adjustment'!$C:$C,'Participation Adjustment'!$A:$A,$H757,'Participation Adjustment'!$B:$B,$I757),1)</f>
        <v>31.421578911933601</v>
      </c>
      <c r="AF757" s="77" t="str">
        <f t="shared" si="308"/>
        <v>NonResidential</v>
      </c>
      <c r="AG757" s="77" t="str">
        <f>tbl_Data[[#This Row],[All_Meas_Name_Append]]</f>
        <v>High Efficiency Air Compressor</v>
      </c>
      <c r="AH757" s="77">
        <f>AVERAGEIFS('3. Incentive Adjustment'!G:G,'3. Incentive Adjustment'!A:A,tbl_Data[[#This Row],[Trimmed Sector]],'3. Incentive Adjustment'!B:B,tbl_Data[[#This Row],[Trimmed Measure Name]])</f>
        <v>0.94309259342294038</v>
      </c>
      <c r="AI757" s="77">
        <f>$AH757*tbl_Data[[#This Row],[2025 ]]</f>
        <v>1.033384396669611</v>
      </c>
      <c r="AJ757" s="77">
        <f>$AH757*tbl_Data[[#This Row],[2026 ]]</f>
        <v>2.4612966229791065</v>
      </c>
      <c r="AK757" s="77">
        <f>$AH757*tbl_Data[[#This Row],[2027 ]]</f>
        <v>4.3726423357675861</v>
      </c>
      <c r="AL757" s="77">
        <f>$AH757*tbl_Data[[#This Row],[2028 ]]</f>
        <v>6.8680086461623349</v>
      </c>
      <c r="AM757" s="77">
        <f>$AH757*tbl_Data[[#This Row],[2029 ]]</f>
        <v>9.9843404252085701</v>
      </c>
      <c r="AN757" s="77">
        <f>$AH757*tbl_Data[[#This Row],[2030 ]]</f>
        <v>13.685809775607417</v>
      </c>
      <c r="AO757" s="77">
        <f>$AH757*tbl_Data[[#This Row],[2031 ]]</f>
        <v>17.815051848779031</v>
      </c>
      <c r="AP757" s="77">
        <f>$AH757*tbl_Data[[#This Row],[2032 ]]</f>
        <v>22.078828128234914</v>
      </c>
      <c r="AQ757" s="77">
        <f>$AH757*tbl_Data[[#This Row],[2033 ]]</f>
        <v>26.12410048980821</v>
      </c>
      <c r="AR757" s="77">
        <f>$AH757*tbl_Data[[#This Row],[2034 ]]</f>
        <v>29.633458345499033</v>
      </c>
      <c r="AS757" s="77">
        <f>SUM(tbl_Data[[#This Row],[Adjusted 2025]:[Adjusted 2034]])</f>
        <v>134.05692101471581</v>
      </c>
      <c r="AT757" s="80">
        <f>AVERAGEIFS('3. Incentive Adjustment'!F:F,'3. Incentive Adjustment'!A:A,tbl_Data[[#This Row],[Trimmed Sector]],'3. Incentive Adjustment'!B:B,tbl_Data[[#This Row],[Trimmed Measure Name]])</f>
        <v>1738.5866300231887</v>
      </c>
      <c r="AU757" s="80">
        <f>IFERROR(VLOOKUP(tbl_Data[[#This Row],[All_Meas_Name_Append]],'IRA Tax Credits'!$A$3:$D$46,4,0),0)</f>
        <v>0</v>
      </c>
      <c r="AV757" s="81">
        <f>tbl_Data[[#This Row],[Adj. per unit Incentive ($)]]/tbl_Data[[#This Row],[kWh Savings]]*tbl_Data[[#This Row],[Sum of Annuals]]</f>
        <v>14.060669193944992</v>
      </c>
      <c r="AW757" s="81">
        <f>IFERROR(VLOOKUP(tbl_Data[[#This Row],[Column1]],'1. Set Program Names'!$B$2:$D$15,3,0)*tbl_Data[[#This Row],[Sum of Annuals]],"")</f>
        <v>4.2426597336460103</v>
      </c>
      <c r="AX757" s="81">
        <f>tbl_Data[[#This Row],[per unit IRA tax ($)]]/tbl_Data[[#This Row],[kWh Savings]]*tbl_Data[[#This Row],[Sum of Annuals]]</f>
        <v>0</v>
      </c>
      <c r="AY757" s="81">
        <f>tbl_Data[[#This Row],[Avoided Costs ($/unit)]]/tbl_Data[[#This Row],[kWh Savings]]*tbl_Data[[#This Row],[Sum of Annuals]]</f>
        <v>57.320830963828818</v>
      </c>
      <c r="AZ757" s="81">
        <f>tbl_Data[[#This Row],[Lost Revenue ($/unit)]]/tbl_Data[[#This Row],[kWh Savings]]*tbl_Data[[#This Row],[Sum of Annuals]]</f>
        <v>142.37788800585466</v>
      </c>
      <c r="BA757" s="81">
        <f>tbl_Data[[#This Row],[Incremental Cost ($/unit)]]/tbl_Data[[#This Row],[kWh Savings]]*tbl_Data[[#This Row],[Sum of Annuals]]</f>
        <v>43.995530101390784</v>
      </c>
      <c r="BB757" s="77">
        <f>ROUNDUP(tbl_Data[[#This Row],[Adjusted 2025]]/$L757,0)</f>
        <v>1</v>
      </c>
      <c r="BC757" s="77">
        <f>ROUNDUP(tbl_Data[[#This Row],[Adjusted 2026]]/$L757,0)</f>
        <v>1</v>
      </c>
      <c r="BD757" s="77">
        <f>ROUNDUP(tbl_Data[[#This Row],[Adjusted 2027]]/$L757,0)</f>
        <v>1</v>
      </c>
      <c r="BE757" s="77">
        <f>ROUNDUP(tbl_Data[[#This Row],[Adjusted 2028]]/$L757,0)</f>
        <v>1</v>
      </c>
      <c r="BF757" s="77">
        <f>ROUNDUP(tbl_Data[[#This Row],[Adjusted 2029]]/$L757,0)</f>
        <v>1</v>
      </c>
      <c r="BG757" s="77">
        <f>ROUNDUP(tbl_Data[[#This Row],[Adjusted 2030]]/$L757,0)</f>
        <v>1</v>
      </c>
      <c r="BH757" s="77">
        <f>ROUNDUP(tbl_Data[[#This Row],[Adjusted 2031]]/$L757,0)</f>
        <v>1</v>
      </c>
      <c r="BI757" s="77">
        <f>ROUNDUP(tbl_Data[[#This Row],[Adjusted 2032]]/$L757,0)</f>
        <v>1</v>
      </c>
      <c r="BJ757" s="77">
        <f>ROUNDUP(tbl_Data[[#This Row],[Adjusted 2033]]/$L757,0)</f>
        <v>1</v>
      </c>
      <c r="BK757" s="77">
        <f>ROUNDUP(tbl_Data[[#This Row],[Adjusted 2034]]/$L757,0)</f>
        <v>1</v>
      </c>
      <c r="BL757" s="80">
        <f t="shared" si="309"/>
        <v>0.1149275942672897</v>
      </c>
      <c r="BM757" s="80">
        <f t="shared" si="310"/>
        <v>0.27373250512474234</v>
      </c>
      <c r="BN757" s="80">
        <f t="shared" si="311"/>
        <v>0.48630235356818535</v>
      </c>
      <c r="BO757" s="80">
        <f t="shared" si="312"/>
        <v>0.76382391069016831</v>
      </c>
      <c r="BP757" s="80">
        <f t="shared" si="313"/>
        <v>1.1104059913358022</v>
      </c>
      <c r="BQ757" s="80">
        <f t="shared" si="314"/>
        <v>1.5220640046234311</v>
      </c>
      <c r="BR757" s="80">
        <f t="shared" si="315"/>
        <v>1.9812966572029675</v>
      </c>
      <c r="BS757" s="80">
        <f t="shared" si="316"/>
        <v>2.4554914988040726</v>
      </c>
      <c r="BT757" s="80">
        <f t="shared" si="317"/>
        <v>2.9053854803368875</v>
      </c>
      <c r="BU757" s="80">
        <f t="shared" si="318"/>
        <v>3.2956778604786678</v>
      </c>
      <c r="BV757" s="80">
        <f>IFERROR(VLOOKUP($H757,'1. Set Program Names'!$B$2:$D$15,3,0)*V757,"NA")</f>
        <v>3.4678198438280079E-2</v>
      </c>
      <c r="BW757" s="80">
        <f>IFERROR(VLOOKUP($H757,'1. Set Program Names'!$B$2:$D$15,3,0)*W757,"NA")</f>
        <v>8.2595917823236567E-2</v>
      </c>
      <c r="BX757" s="80">
        <f>IFERROR(VLOOKUP($H757,'1. Set Program Names'!$B$2:$D$15,3,0)*X757,"NA")</f>
        <v>0.14673664428073713</v>
      </c>
      <c r="BY757" s="80">
        <f>IFERROR(VLOOKUP($H757,'1. Set Program Names'!$B$2:$D$15,3,0)*Y757,"NA")</f>
        <v>0.23047586887804294</v>
      </c>
      <c r="BZ757" s="80">
        <f>IFERROR(VLOOKUP($H757,'1. Set Program Names'!$B$2:$D$15,3,0)*Z757,"NA")</f>
        <v>0.33505338348109631</v>
      </c>
      <c r="CA757" s="80">
        <f>IFERROR(VLOOKUP($H757,'1. Set Program Names'!$B$2:$D$15,3,0)*AA757,"NA")</f>
        <v>0.45926687950447553</v>
      </c>
      <c r="CB757" s="80">
        <f>IFERROR(VLOOKUP($H757,'1. Set Program Names'!$B$2:$D$15,3,0)*AB757,"NA")</f>
        <v>0.59783552489396252</v>
      </c>
      <c r="CC757" s="80">
        <f>IFERROR(VLOOKUP($H757,'1. Set Program Names'!$B$2:$D$15,3,0)*AC757,"NA")</f>
        <v>0.74091885418742365</v>
      </c>
      <c r="CD757" s="80">
        <f>IFERROR(VLOOKUP($H757,'1. Set Program Names'!$B$2:$D$15,3,0)*AD757,"NA")</f>
        <v>0.87666965335144409</v>
      </c>
      <c r="CE757" s="80">
        <f>IFERROR(VLOOKUP($H757,'1. Set Program Names'!$B$2:$D$15,3,0)*AE757,"NA")</f>
        <v>0.99443629324149085</v>
      </c>
    </row>
    <row r="758" spans="1:83" x14ac:dyDescent="0.25">
      <c r="A758" s="79" t="s">
        <v>117</v>
      </c>
      <c r="B758" s="79" t="s">
        <v>88</v>
      </c>
      <c r="C758" s="79" t="s">
        <v>176</v>
      </c>
      <c r="D758" s="79" t="s">
        <v>90</v>
      </c>
      <c r="E758" s="79" t="s">
        <v>91</v>
      </c>
      <c r="F758" s="79" t="s">
        <v>90</v>
      </c>
      <c r="G758" s="79" t="s">
        <v>92</v>
      </c>
      <c r="H758" s="79" t="s">
        <v>18</v>
      </c>
      <c r="I758" s="79" t="s">
        <v>157</v>
      </c>
      <c r="J758" s="79" t="s">
        <v>158</v>
      </c>
      <c r="K758" s="79" t="s">
        <v>159</v>
      </c>
      <c r="L758" s="79">
        <v>562.52</v>
      </c>
      <c r="M758" s="79">
        <v>6.7473359330379998E-2</v>
      </c>
      <c r="N758" s="79">
        <v>6.4973258375617293E-2</v>
      </c>
      <c r="O758" s="79">
        <v>169</v>
      </c>
      <c r="P758" s="79">
        <v>55.847956108163899</v>
      </c>
      <c r="Q758" s="79">
        <v>17.802743307140101</v>
      </c>
      <c r="R758" s="79">
        <v>240.47921618074301</v>
      </c>
      <c r="S758" s="79">
        <v>597.43584258705596</v>
      </c>
      <c r="T758" s="79">
        <v>15</v>
      </c>
      <c r="U758" s="79">
        <v>0.2</v>
      </c>
      <c r="V758" s="79">
        <f>tbl_Data_old[[#This Row],[2025 ]]*IFERROR(AVERAGEIFS('Participation Adjustment'!$C:$C,'Participation Adjustment'!$A:$A,$H758,'Participation Adjustment'!$B:$B,$I758),1)</f>
        <v>0.35129383215470256</v>
      </c>
      <c r="W758" s="79">
        <f>tbl_Data_old[[#This Row],[2026 ]]*IFERROR(AVERAGEIFS('Participation Adjustment'!$C:$C,'Participation Adjustment'!$A:$A,$H758,'Participation Adjustment'!$B:$B,$I758),1)</f>
        <v>0.75094930838355001</v>
      </c>
      <c r="X758" s="79">
        <f>tbl_Data_old[[#This Row],[2027 ]]*IFERROR(AVERAGEIFS('Participation Adjustment'!$C:$C,'Participation Adjustment'!$A:$A,$H758,'Participation Adjustment'!$B:$B,$I758),1)</f>
        <v>1.192748545558225</v>
      </c>
      <c r="Y758" s="79">
        <f>tbl_Data_old[[#This Row],[2028 ]]*IFERROR(AVERAGEIFS('Participation Adjustment'!$C:$C,'Participation Adjustment'!$A:$A,$H758,'Participation Adjustment'!$B:$B,$I758),1)</f>
        <v>1.6768487257551401</v>
      </c>
      <c r="Z758" s="79">
        <f>tbl_Data_old[[#This Row],[2029 ]]*IFERROR(AVERAGEIFS('Participation Adjustment'!$C:$C,'Participation Adjustment'!$A:$A,$H758,'Participation Adjustment'!$B:$B,$I758),1)</f>
        <v>2.196978879960735</v>
      </c>
      <c r="AA758" s="79">
        <f>tbl_Data_old[[#This Row],[2030 ]]*IFERROR(AVERAGEIFS('Participation Adjustment'!$C:$C,'Participation Adjustment'!$A:$A,$H758,'Participation Adjustment'!$B:$B,$I758),1)</f>
        <v>2.7509297908208454</v>
      </c>
      <c r="AB758" s="79">
        <f>tbl_Data_old[[#This Row],[2031 ]]*IFERROR(AVERAGEIFS('Participation Adjustment'!$C:$C,'Participation Adjustment'!$A:$A,$H758,'Participation Adjustment'!$B:$B,$I758),1)</f>
        <v>3.3368622220566801</v>
      </c>
      <c r="AC758" s="79">
        <f>tbl_Data_old[[#This Row],[2032 ]]*IFERROR(AVERAGEIFS('Participation Adjustment'!$C:$C,'Participation Adjustment'!$A:$A,$H758,'Participation Adjustment'!$B:$B,$I758),1)</f>
        <v>3.9514820599120299</v>
      </c>
      <c r="AD758" s="79">
        <f>tbl_Data_old[[#This Row],[2033 ]]*IFERROR(AVERAGEIFS('Participation Adjustment'!$C:$C,'Participation Adjustment'!$A:$A,$H758,'Participation Adjustment'!$B:$B,$I758),1)</f>
        <v>4.5945475689168198</v>
      </c>
      <c r="AE758" s="79">
        <f>tbl_Data_old[[#This Row],[2034 ]]*IFERROR(AVERAGEIFS('Participation Adjustment'!$C:$C,'Participation Adjustment'!$A:$A,$H758,'Participation Adjustment'!$B:$B,$I758),1)</f>
        <v>5.2645580979568996</v>
      </c>
      <c r="AF758" s="77" t="str">
        <f t="shared" si="308"/>
        <v>NonResidential</v>
      </c>
      <c r="AG758" s="77" t="str">
        <f>tbl_Data[[#This Row],[All_Meas_Name_Append]]</f>
        <v>LED Exterior Wall Packs</v>
      </c>
      <c r="AH758" s="77">
        <f>AVERAGEIFS('3. Incentive Adjustment'!G:G,'3. Incentive Adjustment'!A:A,tbl_Data[[#This Row],[Trimmed Sector]],'3. Incentive Adjustment'!B:B,tbl_Data[[#This Row],[Trimmed Measure Name]])</f>
        <v>0.80637708305213962</v>
      </c>
      <c r="AI758" s="77">
        <f>$AH758*tbl_Data[[#This Row],[2025 ]]</f>
        <v>0.28327529566711696</v>
      </c>
      <c r="AJ758" s="77">
        <f>$AH758*tbl_Data[[#This Row],[2026 ]]</f>
        <v>0.60554831281434873</v>
      </c>
      <c r="AK758" s="77">
        <f>$AH758*tbl_Data[[#This Row],[2027 ]]</f>
        <v>0.96180509298192352</v>
      </c>
      <c r="AL758" s="77">
        <f>$AH758*tbl_Data[[#This Row],[2028 ]]</f>
        <v>1.3521723841941271</v>
      </c>
      <c r="AM758" s="77">
        <f>$AH758*tbl_Data[[#This Row],[2029 ]]</f>
        <v>1.7715934207498942</v>
      </c>
      <c r="AN758" s="77">
        <f>$AH758*tbl_Data[[#This Row],[2030 ]]</f>
        <v>2.2182867404033462</v>
      </c>
      <c r="AO758" s="77">
        <f>$AH758*tbl_Data[[#This Row],[2031 ]]</f>
        <v>2.6907692251689466</v>
      </c>
      <c r="AP758" s="77">
        <f>$AH758*tbl_Data[[#This Row],[2032 ]]</f>
        <v>3.1863845772047226</v>
      </c>
      <c r="AQ758" s="77">
        <f>$AH758*tbl_Data[[#This Row],[2033 ]]</f>
        <v>3.7049378665674446</v>
      </c>
      <c r="AR758" s="77">
        <f>$AH758*tbl_Data[[#This Row],[2034 ]]</f>
        <v>4.2452190025890051</v>
      </c>
      <c r="AS758" s="77">
        <f>SUM(tbl_Data[[#This Row],[Adjusted 2025]:[Adjusted 2034]])</f>
        <v>21.019991918340878</v>
      </c>
      <c r="AT758" s="80">
        <f>AVERAGEIFS('3. Incentive Adjustment'!F:F,'3. Incentive Adjustment'!A:A,tbl_Data[[#This Row],[Trimmed Sector]],'3. Incentive Adjustment'!B:B,tbl_Data[[#This Row],[Trimmed Measure Name]])</f>
        <v>8.6864493556481861</v>
      </c>
      <c r="AU758" s="80">
        <f>IFERROR(VLOOKUP(tbl_Data[[#This Row],[All_Meas_Name_Append]],'IRA Tax Credits'!$A$3:$D$46,4,0),0)</f>
        <v>0</v>
      </c>
      <c r="AV758" s="81">
        <f>tbl_Data[[#This Row],[Adj. per unit Incentive ($)]]/tbl_Data[[#This Row],[kWh Savings]]*tbl_Data[[#This Row],[Sum of Annuals]]</f>
        <v>0.32459129498471556</v>
      </c>
      <c r="AW758" s="81">
        <f>IFERROR(VLOOKUP(tbl_Data[[#This Row],[Column1]],'1. Set Program Names'!$B$2:$D$15,3,0)*tbl_Data[[#This Row],[Sum of Annuals]],"")</f>
        <v>0.66524482763347803</v>
      </c>
      <c r="AX758" s="81">
        <f>tbl_Data[[#This Row],[per unit IRA tax ($)]]/tbl_Data[[#This Row],[kWh Savings]]*tbl_Data[[#This Row],[Sum of Annuals]]</f>
        <v>0</v>
      </c>
      <c r="AY758" s="81">
        <f>tbl_Data[[#This Row],[Avoided Costs ($/unit)]]/tbl_Data[[#This Row],[kWh Savings]]*tbl_Data[[#This Row],[Sum of Annuals]]</f>
        <v>8.9861181480625891</v>
      </c>
      <c r="AZ758" s="81">
        <f>tbl_Data[[#This Row],[Lost Revenue ($/unit)]]/tbl_Data[[#This Row],[kWh Savings]]*tbl_Data[[#This Row],[Sum of Annuals]]</f>
        <v>22.324711268767491</v>
      </c>
      <c r="BA758" s="81">
        <f>tbl_Data[[#This Row],[Incremental Cost ($/unit)]]/tbl_Data[[#This Row],[kWh Savings]]*tbl_Data[[#This Row],[Sum of Annuals]]</f>
        <v>6.3151152567012874</v>
      </c>
      <c r="BB758" s="77">
        <f>ROUNDUP(tbl_Data[[#This Row],[Adjusted 2025]]/$L758,0)</f>
        <v>1</v>
      </c>
      <c r="BC758" s="77">
        <f>ROUNDUP(tbl_Data[[#This Row],[Adjusted 2026]]/$L758,0)</f>
        <v>1</v>
      </c>
      <c r="BD758" s="77">
        <f>ROUNDUP(tbl_Data[[#This Row],[Adjusted 2027]]/$L758,0)</f>
        <v>1</v>
      </c>
      <c r="BE758" s="77">
        <f>ROUNDUP(tbl_Data[[#This Row],[Adjusted 2028]]/$L758,0)</f>
        <v>1</v>
      </c>
      <c r="BF758" s="77">
        <f>ROUNDUP(tbl_Data[[#This Row],[Adjusted 2029]]/$L758,0)</f>
        <v>1</v>
      </c>
      <c r="BG758" s="77">
        <f>ROUNDUP(tbl_Data[[#This Row],[Adjusted 2030]]/$L758,0)</f>
        <v>1</v>
      </c>
      <c r="BH758" s="77">
        <f>ROUNDUP(tbl_Data[[#This Row],[Adjusted 2031]]/$L758,0)</f>
        <v>1</v>
      </c>
      <c r="BI758" s="77">
        <f>ROUNDUP(tbl_Data[[#This Row],[Adjusted 2032]]/$L758,0)</f>
        <v>1</v>
      </c>
      <c r="BJ758" s="77">
        <f>ROUNDUP(tbl_Data[[#This Row],[Adjusted 2033]]/$L758,0)</f>
        <v>1</v>
      </c>
      <c r="BK758" s="77">
        <f>ROUNDUP(tbl_Data[[#This Row],[Adjusted 2034]]/$L758,0)</f>
        <v>1</v>
      </c>
      <c r="BL758" s="80">
        <f t="shared" si="309"/>
        <v>5.4246890456577509E-3</v>
      </c>
      <c r="BM758" s="80">
        <f t="shared" si="310"/>
        <v>1.1596179933038362E-2</v>
      </c>
      <c r="BN758" s="80">
        <f t="shared" si="311"/>
        <v>1.8418455939370252E-2</v>
      </c>
      <c r="BO758" s="80">
        <f t="shared" si="312"/>
        <v>2.5893944274612845E-2</v>
      </c>
      <c r="BP758" s="80">
        <f t="shared" si="313"/>
        <v>3.3925808462290409E-2</v>
      </c>
      <c r="BQ758" s="80">
        <f t="shared" si="314"/>
        <v>4.247993370708443E-2</v>
      </c>
      <c r="BR758" s="80">
        <f t="shared" si="315"/>
        <v>5.1527918471647269E-2</v>
      </c>
      <c r="BS758" s="80">
        <f t="shared" si="316"/>
        <v>6.1018894960496013E-2</v>
      </c>
      <c r="BT758" s="80">
        <f t="shared" si="317"/>
        <v>7.0949130287834117E-2</v>
      </c>
      <c r="BU758" s="80">
        <f t="shared" si="318"/>
        <v>8.1295451357765322E-2</v>
      </c>
      <c r="BV758" s="80">
        <f>IFERROR(VLOOKUP($H758,'1. Set Program Names'!$B$2:$D$15,3,0)*V758,"NA")</f>
        <v>1.1117816111839157E-2</v>
      </c>
      <c r="BW758" s="80">
        <f>IFERROR(VLOOKUP($H758,'1. Set Program Names'!$B$2:$D$15,3,0)*W758,"NA")</f>
        <v>2.3766191022233527E-2</v>
      </c>
      <c r="BX758" s="80">
        <f>IFERROR(VLOOKUP($H758,'1. Set Program Names'!$B$2:$D$15,3,0)*X758,"NA")</f>
        <v>3.7748339946202608E-2</v>
      </c>
      <c r="BY758" s="80">
        <f>IFERROR(VLOOKUP($H758,'1. Set Program Names'!$B$2:$D$15,3,0)*Y758,"NA")</f>
        <v>5.3069237412934449E-2</v>
      </c>
      <c r="BZ758" s="80">
        <f>IFERROR(VLOOKUP($H758,'1. Set Program Names'!$B$2:$D$15,3,0)*Z758,"NA")</f>
        <v>6.9530418564938745E-2</v>
      </c>
      <c r="CA758" s="80">
        <f>IFERROR(VLOOKUP($H758,'1. Set Program Names'!$B$2:$D$15,3,0)*AA758,"NA")</f>
        <v>8.7061965658018173E-2</v>
      </c>
      <c r="CB758" s="80">
        <f>IFERROR(VLOOKUP($H758,'1. Set Program Names'!$B$2:$D$15,3,0)*AB758,"NA")</f>
        <v>0.10560567018162648</v>
      </c>
      <c r="CC758" s="80">
        <f>IFERROR(VLOOKUP($H758,'1. Set Program Names'!$B$2:$D$15,3,0)*AC758,"NA")</f>
        <v>0.12505727937741493</v>
      </c>
      <c r="CD758" s="80">
        <f>IFERROR(VLOOKUP($H758,'1. Set Program Names'!$B$2:$D$15,3,0)*AD758,"NA")</f>
        <v>0.1454091427538064</v>
      </c>
      <c r="CE758" s="80">
        <f>IFERROR(VLOOKUP($H758,'1. Set Program Names'!$B$2:$D$15,3,0)*AE758,"NA")</f>
        <v>0.16661376740996395</v>
      </c>
    </row>
    <row r="759" spans="1:83" x14ac:dyDescent="0.25">
      <c r="A759" s="79" t="s">
        <v>117</v>
      </c>
      <c r="B759" s="79" t="s">
        <v>88</v>
      </c>
      <c r="C759" s="79" t="s">
        <v>176</v>
      </c>
      <c r="D759" s="79" t="s">
        <v>90</v>
      </c>
      <c r="E759" s="79" t="s">
        <v>91</v>
      </c>
      <c r="F759" s="79" t="s">
        <v>90</v>
      </c>
      <c r="G759" s="79" t="s">
        <v>92</v>
      </c>
      <c r="H759" s="79" t="s">
        <v>18</v>
      </c>
      <c r="I759" s="79" t="s">
        <v>162</v>
      </c>
      <c r="J759" s="79" t="s">
        <v>161</v>
      </c>
      <c r="K759" s="79" t="s">
        <v>159</v>
      </c>
      <c r="L759" s="79">
        <v>725.58416666666596</v>
      </c>
      <c r="M759" s="79">
        <v>8.6917804178563804E-2</v>
      </c>
      <c r="N759" s="79">
        <v>8.3795205289933394E-2</v>
      </c>
      <c r="O759" s="79">
        <v>179</v>
      </c>
      <c r="P759" s="79">
        <v>33.0790753554421</v>
      </c>
      <c r="Q759" s="79">
        <v>22.963430041406301</v>
      </c>
      <c r="R759" s="79">
        <v>310.45187974046598</v>
      </c>
      <c r="S759" s="79">
        <v>770.62146764617603</v>
      </c>
      <c r="T759" s="79">
        <v>15</v>
      </c>
      <c r="U759" s="79">
        <v>0.2</v>
      </c>
      <c r="V759" s="79">
        <f>tbl_Data_old[[#This Row],[2025 ]]*IFERROR(AVERAGEIFS('Participation Adjustment'!$C:$C,'Participation Adjustment'!$A:$A,$H759,'Participation Adjustment'!$B:$B,$I759),1)</f>
        <v>3.6088388817047203</v>
      </c>
      <c r="W759" s="79">
        <f>tbl_Data_old[[#This Row],[2026 ]]*IFERROR(AVERAGEIFS('Participation Adjustment'!$C:$C,'Participation Adjustment'!$A:$A,$H759,'Participation Adjustment'!$B:$B,$I759),1)</f>
        <v>7.7144965673362194</v>
      </c>
      <c r="X759" s="79">
        <f>tbl_Data_old[[#This Row],[2027 ]]*IFERROR(AVERAGEIFS('Participation Adjustment'!$C:$C,'Participation Adjustment'!$A:$A,$H759,'Participation Adjustment'!$B:$B,$I759),1)</f>
        <v>12.253096790528598</v>
      </c>
      <c r="Y759" s="79">
        <f>tbl_Data_old[[#This Row],[2028 ]]*IFERROR(AVERAGEIFS('Participation Adjustment'!$C:$C,'Participation Adjustment'!$A:$A,$H759,'Participation Adjustment'!$B:$B,$I759),1)</f>
        <v>17.226254281564501</v>
      </c>
      <c r="Z759" s="79">
        <f>tbl_Data_old[[#This Row],[2029 ]]*IFERROR(AVERAGEIFS('Participation Adjustment'!$C:$C,'Participation Adjustment'!$A:$A,$H759,'Participation Adjustment'!$B:$B,$I759),1)</f>
        <v>22.569547423180502</v>
      </c>
      <c r="AA759" s="79">
        <f>tbl_Data_old[[#This Row],[2030 ]]*IFERROR(AVERAGEIFS('Participation Adjustment'!$C:$C,'Participation Adjustment'!$A:$A,$H759,'Participation Adjustment'!$B:$B,$I759),1)</f>
        <v>28.260280942200403</v>
      </c>
      <c r="AB759" s="79">
        <f>tbl_Data_old[[#This Row],[2031 ]]*IFERROR(AVERAGEIFS('Participation Adjustment'!$C:$C,'Participation Adjustment'!$A:$A,$H759,'Participation Adjustment'!$B:$B,$I759),1)</f>
        <v>34.279560378238003</v>
      </c>
      <c r="AC759" s="79">
        <f>tbl_Data_old[[#This Row],[2032 ]]*IFERROR(AVERAGEIFS('Participation Adjustment'!$C:$C,'Participation Adjustment'!$A:$A,$H759,'Participation Adjustment'!$B:$B,$I759),1)</f>
        <v>40.593545325581601</v>
      </c>
      <c r="AD759" s="79">
        <f>tbl_Data_old[[#This Row],[2033 ]]*IFERROR(AVERAGEIFS('Participation Adjustment'!$C:$C,'Participation Adjustment'!$A:$A,$H759,'Participation Adjustment'!$B:$B,$I759),1)</f>
        <v>47.199752437574801</v>
      </c>
      <c r="AE759" s="79">
        <f>tbl_Data_old[[#This Row],[2034 ]]*IFERROR(AVERAGEIFS('Participation Adjustment'!$C:$C,'Participation Adjustment'!$A:$A,$H759,'Participation Adjustment'!$B:$B,$I759),1)</f>
        <v>54.082765536668099</v>
      </c>
      <c r="AF759" s="77" t="str">
        <f t="shared" si="308"/>
        <v>NonResidential</v>
      </c>
      <c r="AG759" s="77" t="str">
        <f>tbl_Data[[#This Row],[All_Meas_Name_Append]]</f>
        <v>LED High Bay_LF Baseline</v>
      </c>
      <c r="AH759" s="77">
        <f>AVERAGEIFS('3. Incentive Adjustment'!G:G,'3. Incentive Adjustment'!A:A,tbl_Data[[#This Row],[Trimmed Sector]],'3. Incentive Adjustment'!B:B,tbl_Data[[#This Row],[Trimmed Measure Name]])</f>
        <v>0.93017466414143679</v>
      </c>
      <c r="AI759" s="77">
        <f>$AH759*tbl_Data[[#This Row],[2025 ]]</f>
        <v>3.3568504947302467</v>
      </c>
      <c r="AJ759" s="77">
        <f>$AH759*tbl_Data[[#This Row],[2026 ]]</f>
        <v>7.1758292535422346</v>
      </c>
      <c r="AK759" s="77">
        <f>$AH759*tbl_Data[[#This Row],[2027 ]]</f>
        <v>11.397520191822457</v>
      </c>
      <c r="AL759" s="77">
        <f>$AH759*tbl_Data[[#This Row],[2028 ]]</f>
        <v>16.023425290769246</v>
      </c>
      <c r="AM759" s="77">
        <f>$AH759*tbl_Data[[#This Row],[2029 ]]</f>
        <v>20.993621194181152</v>
      </c>
      <c r="AN759" s="77">
        <f>$AH759*tbl_Data[[#This Row],[2030 ]]</f>
        <v>26.286997333953906</v>
      </c>
      <c r="AO759" s="77">
        <f>$AH759*tbl_Data[[#This Row],[2031 ]]</f>
        <v>31.885978561743638</v>
      </c>
      <c r="AP759" s="77">
        <f>$AH759*tbl_Data[[#This Row],[2032 ]]</f>
        <v>37.759087389533057</v>
      </c>
      <c r="AQ759" s="77">
        <f>$AH759*tbl_Data[[#This Row],[2033 ]]</f>
        <v>43.904013871180105</v>
      </c>
      <c r="AR759" s="77">
        <f>$AH759*tbl_Data[[#This Row],[2034 ]]</f>
        <v>50.306418268910321</v>
      </c>
      <c r="AS759" s="77">
        <f>SUM(tbl_Data[[#This Row],[Adjusted 2025]:[Adjusted 2034]])</f>
        <v>249.08974185036635</v>
      </c>
      <c r="AT759" s="80">
        <f>AVERAGEIFS('3. Incentive Adjustment'!F:F,'3. Incentive Adjustment'!A:A,tbl_Data[[#This Row],[Trimmed Sector]],'3. Incentive Adjustment'!B:B,tbl_Data[[#This Row],[Trimmed Measure Name]])</f>
        <v>23.858858929800434</v>
      </c>
      <c r="AU759" s="80">
        <f>IFERROR(VLOOKUP(tbl_Data[[#This Row],[All_Meas_Name_Append]],'IRA Tax Credits'!$A$3:$D$46,4,0),0)</f>
        <v>0</v>
      </c>
      <c r="AV759" s="81">
        <f>tbl_Data[[#This Row],[Adj. per unit Incentive ($)]]/tbl_Data[[#This Row],[kWh Savings]]*tbl_Data[[#This Row],[Sum of Annuals]]</f>
        <v>8.1906376747034439</v>
      </c>
      <c r="AW759" s="81">
        <f>IFERROR(VLOOKUP(tbl_Data[[#This Row],[Column1]],'1. Set Program Names'!$B$2:$D$15,3,0)*tbl_Data[[#This Row],[Sum of Annuals]],"")</f>
        <v>7.883241012948675</v>
      </c>
      <c r="AX759" s="81">
        <f>tbl_Data[[#This Row],[per unit IRA tax ($)]]/tbl_Data[[#This Row],[kWh Savings]]*tbl_Data[[#This Row],[Sum of Annuals]]</f>
        <v>0</v>
      </c>
      <c r="AY759" s="81">
        <f>tbl_Data[[#This Row],[Avoided Costs ($/unit)]]/tbl_Data[[#This Row],[kWh Savings]]*tbl_Data[[#This Row],[Sum of Annuals]]</f>
        <v>106.57671726323557</v>
      </c>
      <c r="AZ759" s="81">
        <f>tbl_Data[[#This Row],[Lost Revenue ($/unit)]]/tbl_Data[[#This Row],[kWh Savings]]*tbl_Data[[#This Row],[Sum of Annuals]]</f>
        <v>264.55084228501397</v>
      </c>
      <c r="BA759" s="81">
        <f>tbl_Data[[#This Row],[Incremental Cost ($/unit)]]/tbl_Data[[#This Row],[kWh Savings]]*tbl_Data[[#This Row],[Sum of Annuals]]</f>
        <v>61.449885264239668</v>
      </c>
      <c r="BB759" s="77">
        <f>ROUNDUP(tbl_Data[[#This Row],[Adjusted 2025]]/$L759,0)</f>
        <v>1</v>
      </c>
      <c r="BC759" s="77">
        <f>ROUNDUP(tbl_Data[[#This Row],[Adjusted 2026]]/$L759,0)</f>
        <v>1</v>
      </c>
      <c r="BD759" s="77">
        <f>ROUNDUP(tbl_Data[[#This Row],[Adjusted 2027]]/$L759,0)</f>
        <v>1</v>
      </c>
      <c r="BE759" s="77">
        <f>ROUNDUP(tbl_Data[[#This Row],[Adjusted 2028]]/$L759,0)</f>
        <v>1</v>
      </c>
      <c r="BF759" s="77">
        <f>ROUNDUP(tbl_Data[[#This Row],[Adjusted 2029]]/$L759,0)</f>
        <v>1</v>
      </c>
      <c r="BG759" s="77">
        <f>ROUNDUP(tbl_Data[[#This Row],[Adjusted 2030]]/$L759,0)</f>
        <v>1</v>
      </c>
      <c r="BH759" s="77">
        <f>ROUNDUP(tbl_Data[[#This Row],[Adjusted 2031]]/$L759,0)</f>
        <v>1</v>
      </c>
      <c r="BI759" s="77">
        <f>ROUNDUP(tbl_Data[[#This Row],[Adjusted 2032]]/$L759,0)</f>
        <v>1</v>
      </c>
      <c r="BJ759" s="77">
        <f>ROUNDUP(tbl_Data[[#This Row],[Adjusted 2033]]/$L759,0)</f>
        <v>1</v>
      </c>
      <c r="BK759" s="77">
        <f>ROUNDUP(tbl_Data[[#This Row],[Adjusted 2034]]/$L759,0)</f>
        <v>1</v>
      </c>
      <c r="BL759" s="80">
        <f t="shared" si="309"/>
        <v>0.11866683664629546</v>
      </c>
      <c r="BM759" s="80">
        <f t="shared" si="310"/>
        <v>0.25367020639393506</v>
      </c>
      <c r="BN759" s="80">
        <f t="shared" si="311"/>
        <v>0.4029097122136015</v>
      </c>
      <c r="BO759" s="80">
        <f t="shared" si="312"/>
        <v>0.56643845011233729</v>
      </c>
      <c r="BP759" s="80">
        <f t="shared" si="313"/>
        <v>0.74213809068202052</v>
      </c>
      <c r="BQ759" s="80">
        <f t="shared" si="314"/>
        <v>0.92926236168304077</v>
      </c>
      <c r="BR759" s="80">
        <f t="shared" si="315"/>
        <v>1.1271899702514976</v>
      </c>
      <c r="BS759" s="80">
        <f t="shared" si="316"/>
        <v>1.3348081668221519</v>
      </c>
      <c r="BT759" s="80">
        <f t="shared" si="317"/>
        <v>1.5520352933045016</v>
      </c>
      <c r="BU759" s="80">
        <f t="shared" si="318"/>
        <v>1.7783644306913688</v>
      </c>
      <c r="BV759" s="80">
        <f>IFERROR(VLOOKUP($H759,'1. Set Program Names'!$B$2:$D$15,3,0)*V759,"NA")</f>
        <v>0.11421324085866462</v>
      </c>
      <c r="BW759" s="80">
        <f>IFERROR(VLOOKUP($H759,'1. Set Program Names'!$B$2:$D$15,3,0)*W759,"NA")</f>
        <v>0.24414990068282175</v>
      </c>
      <c r="BX759" s="80">
        <f>IFERROR(VLOOKUP($H759,'1. Set Program Names'!$B$2:$D$15,3,0)*X759,"NA")</f>
        <v>0.38778841086418975</v>
      </c>
      <c r="BY759" s="80">
        <f>IFERROR(VLOOKUP($H759,'1. Set Program Names'!$B$2:$D$15,3,0)*Y759,"NA")</f>
        <v>0.54517987470350837</v>
      </c>
      <c r="BZ759" s="80">
        <f>IFERROR(VLOOKUP($H759,'1. Set Program Names'!$B$2:$D$15,3,0)*Z759,"NA")</f>
        <v>0.71428546422031203</v>
      </c>
      <c r="CA759" s="80">
        <f>IFERROR(VLOOKUP($H759,'1. Set Program Names'!$B$2:$D$15,3,0)*AA759,"NA")</f>
        <v>0.89438691495708567</v>
      </c>
      <c r="CB759" s="80">
        <f>IFERROR(VLOOKUP($H759,'1. Set Program Names'!$B$2:$D$15,3,0)*AB759,"NA")</f>
        <v>1.0848862513250814</v>
      </c>
      <c r="CC759" s="80">
        <f>IFERROR(VLOOKUP($H759,'1. Set Program Names'!$B$2:$D$15,3,0)*AC759,"NA")</f>
        <v>1.2847124855260081</v>
      </c>
      <c r="CD759" s="80">
        <f>IFERROR(VLOOKUP($H759,'1. Set Program Names'!$B$2:$D$15,3,0)*AD759,"NA")</f>
        <v>1.4937870241177362</v>
      </c>
      <c r="CE759" s="80">
        <f>IFERROR(VLOOKUP($H759,'1. Set Program Names'!$B$2:$D$15,3,0)*AE759,"NA")</f>
        <v>1.7116219728890536</v>
      </c>
    </row>
    <row r="760" spans="1:83" x14ac:dyDescent="0.25">
      <c r="A760" s="79" t="s">
        <v>117</v>
      </c>
      <c r="B760" s="79" t="s">
        <v>88</v>
      </c>
      <c r="C760" s="79" t="s">
        <v>176</v>
      </c>
      <c r="D760" s="79" t="s">
        <v>90</v>
      </c>
      <c r="E760" s="79" t="s">
        <v>91</v>
      </c>
      <c r="F760" s="79" t="s">
        <v>90</v>
      </c>
      <c r="G760" s="79" t="s">
        <v>92</v>
      </c>
      <c r="H760" s="79" t="s">
        <v>18</v>
      </c>
      <c r="I760" s="79" t="s">
        <v>165</v>
      </c>
      <c r="J760" s="79" t="s">
        <v>161</v>
      </c>
      <c r="K760" s="79" t="s">
        <v>166</v>
      </c>
      <c r="L760" s="79">
        <v>565.38999999999896</v>
      </c>
      <c r="M760" s="79">
        <v>6.7728127941350899E-2</v>
      </c>
      <c r="N760" s="79">
        <v>6.5294935157718198E-2</v>
      </c>
      <c r="O760" s="79">
        <v>129</v>
      </c>
      <c r="P760" s="79">
        <v>15.293574707506</v>
      </c>
      <c r="Q760" s="79">
        <v>17.893573630135801</v>
      </c>
      <c r="R760" s="79">
        <v>190.6779313312</v>
      </c>
      <c r="S760" s="79">
        <v>454.767236260907</v>
      </c>
      <c r="T760" s="79">
        <v>10</v>
      </c>
      <c r="U760" s="79">
        <v>0.2</v>
      </c>
      <c r="V760" s="79">
        <f>tbl_Data_old[[#This Row],[2025 ]]*IFERROR(AVERAGEIFS('Participation Adjustment'!$C:$C,'Participation Adjustment'!$A:$A,$H760,'Participation Adjustment'!$B:$B,$I760),1)</f>
        <v>4.3179563081078301E-2</v>
      </c>
      <c r="W760" s="79">
        <f>tbl_Data_old[[#This Row],[2026 ]]*IFERROR(AVERAGEIFS('Participation Adjustment'!$C:$C,'Participation Adjustment'!$A:$A,$H760,'Participation Adjustment'!$B:$B,$I760),1)</f>
        <v>0.10280035348260699</v>
      </c>
      <c r="X760" s="79">
        <f>tbl_Data_old[[#This Row],[2027 ]]*IFERROR(AVERAGEIFS('Participation Adjustment'!$C:$C,'Participation Adjustment'!$A:$A,$H760,'Participation Adjustment'!$B:$B,$I760),1)</f>
        <v>0.18256131055598801</v>
      </c>
      <c r="Y760" s="79">
        <f>tbl_Data_old[[#This Row],[2028 ]]*IFERROR(AVERAGEIFS('Participation Adjustment'!$C:$C,'Participation Adjustment'!$A:$A,$H760,'Participation Adjustment'!$B:$B,$I760),1)</f>
        <v>0.28660682046052799</v>
      </c>
      <c r="Z760" s="79">
        <f>tbl_Data_old[[#This Row],[2029 ]]*IFERROR(AVERAGEIFS('Participation Adjustment'!$C:$C,'Participation Adjustment'!$A:$A,$H760,'Participation Adjustment'!$B:$B,$I760),1)</f>
        <v>0.416499426297885</v>
      </c>
      <c r="AA760" s="79">
        <f>tbl_Data_old[[#This Row],[2030 ]]*IFERROR(AVERAGEIFS('Participation Adjustment'!$C:$C,'Participation Adjustment'!$A:$A,$H760,'Participation Adjustment'!$B:$B,$I760),1)</f>
        <v>0.57068459627864898</v>
      </c>
      <c r="AB760" s="79">
        <f>tbl_Data_old[[#This Row],[2031 ]]*IFERROR(AVERAGEIFS('Participation Adjustment'!$C:$C,'Participation Adjustment'!$A:$A,$H760,'Participation Adjustment'!$B:$B,$I760),1)</f>
        <v>0.74252260674126103</v>
      </c>
      <c r="AC760" s="79">
        <f>tbl_Data_old[[#This Row],[2032 ]]*IFERROR(AVERAGEIFS('Participation Adjustment'!$C:$C,'Participation Adjustment'!$A:$A,$H760,'Participation Adjustment'!$B:$B,$I760),1)</f>
        <v>0.91974950638229602</v>
      </c>
      <c r="AD760" s="79">
        <f>tbl_Data_old[[#This Row],[2033 ]]*IFERROR(AVERAGEIFS('Participation Adjustment'!$C:$C,'Participation Adjustment'!$A:$A,$H760,'Participation Adjustment'!$B:$B,$I760),1)</f>
        <v>1.0875507114620999</v>
      </c>
      <c r="AE760" s="79">
        <f>tbl_Data_old[[#This Row],[2034 ]]*IFERROR(AVERAGEIFS('Participation Adjustment'!$C:$C,'Participation Adjustment'!$A:$A,$H760,'Participation Adjustment'!$B:$B,$I760),1)</f>
        <v>1.2327625743195501</v>
      </c>
      <c r="AF760" s="77" t="str">
        <f t="shared" si="308"/>
        <v>NonResidential</v>
      </c>
      <c r="AG760" s="77" t="str">
        <f>tbl_Data[[#This Row],[All_Meas_Name_Append]]</f>
        <v>Occupancy Sensors_ Ceiling Mounted</v>
      </c>
      <c r="AH760" s="77">
        <f>AVERAGEIFS('3. Incentive Adjustment'!G:G,'3. Incentive Adjustment'!A:A,tbl_Data[[#This Row],[Trimmed Sector]],'3. Incentive Adjustment'!B:B,tbl_Data[[#This Row],[Trimmed Measure Name]])</f>
        <v>0.99348124042467356</v>
      </c>
      <c r="AI760" s="77">
        <f>$AH760*tbl_Data[[#This Row],[2025 ]]</f>
        <v>4.2898085890785108E-2</v>
      </c>
      <c r="AJ760" s="77">
        <f>$AH760*tbl_Data[[#This Row],[2026 ]]</f>
        <v>0.10213022269399531</v>
      </c>
      <c r="AK760" s="77">
        <f>$AH760*tbl_Data[[#This Row],[2027 ]]</f>
        <v>0.18137123726471702</v>
      </c>
      <c r="AL760" s="77">
        <f>$AH760*tbl_Data[[#This Row],[2028 ]]</f>
        <v>0.28473849950529706</v>
      </c>
      <c r="AM760" s="77">
        <f>$AH760*tbl_Data[[#This Row],[2029 ]]</f>
        <v>0.41378436667458768</v>
      </c>
      <c r="AN760" s="77">
        <f>$AH760*tbl_Data[[#This Row],[2030 ]]</f>
        <v>0.56696444060216622</v>
      </c>
      <c r="AO760" s="77">
        <f>$AH760*tbl_Data[[#This Row],[2031 ]]</f>
        <v>0.73768228038867012</v>
      </c>
      <c r="AP760" s="77">
        <f>$AH760*tbl_Data[[#This Row],[2032 ]]</f>
        <v>0.91375388048066464</v>
      </c>
      <c r="AQ760" s="77">
        <f>$AH760*tbl_Data[[#This Row],[2033 ]]</f>
        <v>1.0804612298481033</v>
      </c>
      <c r="AR760" s="77">
        <f>$AH760*tbl_Data[[#This Row],[2034 ]]</f>
        <v>1.2247264914841005</v>
      </c>
      <c r="AS760" s="77">
        <f>SUM(tbl_Data[[#This Row],[Adjusted 2025]:[Adjusted 2034]])</f>
        <v>5.5485107348330871</v>
      </c>
      <c r="AT760" s="80">
        <f>AVERAGEIFS('3. Incentive Adjustment'!F:F,'3. Incentive Adjustment'!A:A,tbl_Data[[#This Row],[Trimmed Sector]],'3. Incentive Adjustment'!B:B,tbl_Data[[#This Row],[Trimmed Measure Name]])</f>
        <v>19.547634357270656</v>
      </c>
      <c r="AU760" s="80">
        <f>IFERROR(VLOOKUP(tbl_Data[[#This Row],[All_Meas_Name_Append]],'IRA Tax Credits'!$A$3:$D$46,4,0),0)</f>
        <v>0</v>
      </c>
      <c r="AV760" s="81">
        <f>tbl_Data[[#This Row],[Adj. per unit Incentive ($)]]/tbl_Data[[#This Row],[kWh Savings]]*tbl_Data[[#This Row],[Sum of Annuals]]</f>
        <v>0.19183264485029539</v>
      </c>
      <c r="AW760" s="81">
        <f>IFERROR(VLOOKUP(tbl_Data[[#This Row],[Column1]],'1. Set Program Names'!$B$2:$D$15,3,0)*tbl_Data[[#This Row],[Sum of Annuals]],"")</f>
        <v>0.17560035616359468</v>
      </c>
      <c r="AX760" s="81">
        <f>tbl_Data[[#This Row],[per unit IRA tax ($)]]/tbl_Data[[#This Row],[kWh Savings]]*tbl_Data[[#This Row],[Sum of Annuals]]</f>
        <v>0</v>
      </c>
      <c r="AY760" s="81">
        <f>tbl_Data[[#This Row],[Avoided Costs ($/unit)]]/tbl_Data[[#This Row],[kWh Savings]]*tbl_Data[[#This Row],[Sum of Annuals]]</f>
        <v>1.8712367549601716</v>
      </c>
      <c r="AZ760" s="81">
        <f>tbl_Data[[#This Row],[Lost Revenue ($/unit)]]/tbl_Data[[#This Row],[kWh Savings]]*tbl_Data[[#This Row],[Sum of Annuals]]</f>
        <v>4.462903291964877</v>
      </c>
      <c r="BA760" s="81">
        <f>tbl_Data[[#This Row],[Incremental Cost ($/unit)]]/tbl_Data[[#This Row],[kWh Savings]]*tbl_Data[[#This Row],[Sum of Annuals]]</f>
        <v>1.2659542701382578</v>
      </c>
      <c r="BB760" s="77">
        <f>ROUNDUP(tbl_Data[[#This Row],[Adjusted 2025]]/$L760,0)</f>
        <v>1</v>
      </c>
      <c r="BC760" s="77">
        <f>ROUNDUP(tbl_Data[[#This Row],[Adjusted 2026]]/$L760,0)</f>
        <v>1</v>
      </c>
      <c r="BD760" s="77">
        <f>ROUNDUP(tbl_Data[[#This Row],[Adjusted 2027]]/$L760,0)</f>
        <v>1</v>
      </c>
      <c r="BE760" s="77">
        <f>ROUNDUP(tbl_Data[[#This Row],[Adjusted 2028]]/$L760,0)</f>
        <v>1</v>
      </c>
      <c r="BF760" s="77">
        <f>ROUNDUP(tbl_Data[[#This Row],[Adjusted 2029]]/$L760,0)</f>
        <v>1</v>
      </c>
      <c r="BG760" s="77">
        <f>ROUNDUP(tbl_Data[[#This Row],[Adjusted 2030]]/$L760,0)</f>
        <v>1</v>
      </c>
      <c r="BH760" s="77">
        <f>ROUNDUP(tbl_Data[[#This Row],[Adjusted 2031]]/$L760,0)</f>
        <v>1</v>
      </c>
      <c r="BI760" s="77">
        <f>ROUNDUP(tbl_Data[[#This Row],[Adjusted 2032]]/$L760,0)</f>
        <v>1</v>
      </c>
      <c r="BJ760" s="77">
        <f>ROUNDUP(tbl_Data[[#This Row],[Adjusted 2033]]/$L760,0)</f>
        <v>1</v>
      </c>
      <c r="BK760" s="77">
        <f>ROUNDUP(tbl_Data[[#This Row],[Adjusted 2034]]/$L760,0)</f>
        <v>1</v>
      </c>
      <c r="BL760" s="80">
        <f t="shared" si="309"/>
        <v>1.4928780325361667E-3</v>
      </c>
      <c r="BM760" s="80">
        <f t="shared" si="310"/>
        <v>3.554190420198766E-3</v>
      </c>
      <c r="BN760" s="80">
        <f t="shared" si="311"/>
        <v>6.3118232486117469E-3</v>
      </c>
      <c r="BO760" s="80">
        <f t="shared" si="312"/>
        <v>9.909063355670121E-3</v>
      </c>
      <c r="BP760" s="80">
        <f t="shared" si="313"/>
        <v>1.4399933665760039E-2</v>
      </c>
      <c r="BQ760" s="80">
        <f t="shared" si="314"/>
        <v>1.9730688235344934E-2</v>
      </c>
      <c r="BR760" s="80">
        <f t="shared" si="315"/>
        <v>2.5671767131689043E-2</v>
      </c>
      <c r="BS760" s="80">
        <f t="shared" si="316"/>
        <v>3.1799159962223121E-2</v>
      </c>
      <c r="BT760" s="80">
        <f t="shared" si="317"/>
        <v>3.7600671488089155E-2</v>
      </c>
      <c r="BU760" s="80">
        <f t="shared" si="318"/>
        <v>4.2621185468661102E-2</v>
      </c>
      <c r="BV760" s="80">
        <f>IFERROR(VLOOKUP($H760,'1. Set Program Names'!$B$2:$D$15,3,0)*V760,"NA")</f>
        <v>1.3665552827399996E-3</v>
      </c>
      <c r="BW760" s="80">
        <f>IFERROR(VLOOKUP($H760,'1. Set Program Names'!$B$2:$D$15,3,0)*W760,"NA")</f>
        <v>3.2534457529227903E-3</v>
      </c>
      <c r="BX760" s="80">
        <f>IFERROR(VLOOKUP($H760,'1. Set Program Names'!$B$2:$D$15,3,0)*X760,"NA")</f>
        <v>5.7777361687466368E-3</v>
      </c>
      <c r="BY760" s="80">
        <f>IFERROR(VLOOKUP($H760,'1. Set Program Names'!$B$2:$D$15,3,0)*Y760,"NA")</f>
        <v>9.0705888763677675E-3</v>
      </c>
      <c r="BZ760" s="80">
        <f>IFERROR(VLOOKUP($H760,'1. Set Program Names'!$B$2:$D$15,3,0)*Z760,"NA")</f>
        <v>1.3181455546384845E-2</v>
      </c>
      <c r="CA760" s="80">
        <f>IFERROR(VLOOKUP($H760,'1. Set Program Names'!$B$2:$D$15,3,0)*AA760,"NA")</f>
        <v>1.8061138051780778E-2</v>
      </c>
      <c r="CB760" s="80">
        <f>IFERROR(VLOOKUP($H760,'1. Set Program Names'!$B$2:$D$15,3,0)*AB760,"NA")</f>
        <v>2.3499501115628381E-2</v>
      </c>
      <c r="CC760" s="80">
        <f>IFERROR(VLOOKUP($H760,'1. Set Program Names'!$B$2:$D$15,3,0)*AC760,"NA")</f>
        <v>2.9108412801310032E-2</v>
      </c>
      <c r="CD760" s="80">
        <f>IFERROR(VLOOKUP($H760,'1. Set Program Names'!$B$2:$D$15,3,0)*AD760,"NA")</f>
        <v>3.441901825651969E-2</v>
      </c>
      <c r="CE760" s="80">
        <f>IFERROR(VLOOKUP($H760,'1. Set Program Names'!$B$2:$D$15,3,0)*AE760,"NA")</f>
        <v>3.9014711777821745E-2</v>
      </c>
    </row>
    <row r="761" spans="1:83" x14ac:dyDescent="0.25">
      <c r="A761" s="79" t="s">
        <v>117</v>
      </c>
      <c r="B761" s="79" t="s">
        <v>88</v>
      </c>
      <c r="C761" s="79" t="s">
        <v>176</v>
      </c>
      <c r="D761" s="79" t="s">
        <v>90</v>
      </c>
      <c r="E761" s="79" t="s">
        <v>91</v>
      </c>
      <c r="F761" s="79" t="s">
        <v>90</v>
      </c>
      <c r="G761" s="79" t="s">
        <v>92</v>
      </c>
      <c r="H761" s="79" t="s">
        <v>18</v>
      </c>
      <c r="I761" s="79" t="s">
        <v>188</v>
      </c>
      <c r="J761" s="79" t="s">
        <v>178</v>
      </c>
      <c r="K761" s="79" t="s">
        <v>189</v>
      </c>
      <c r="L761" s="79">
        <v>58755.825000000099</v>
      </c>
      <c r="M761" s="79">
        <v>7.0391882486047397</v>
      </c>
      <c r="N761" s="79">
        <v>6.7809192295770497</v>
      </c>
      <c r="O761" s="79">
        <v>15000</v>
      </c>
      <c r="P761" s="79">
        <v>3217.2191279034701</v>
      </c>
      <c r="Q761" s="79">
        <v>1859.5158754786501</v>
      </c>
      <c r="R761" s="79">
        <v>19805.726496097701</v>
      </c>
      <c r="S761" s="79">
        <v>47259.8103070086</v>
      </c>
      <c r="T761" s="79">
        <v>10</v>
      </c>
      <c r="U761" s="79">
        <v>1</v>
      </c>
      <c r="V761" s="79">
        <f>tbl_Data_old[[#This Row],[2025 ]]*IFERROR(AVERAGEIFS('Participation Adjustment'!$C:$C,'Participation Adjustment'!$A:$A,$H761,'Participation Adjustment'!$B:$B,$I761),1)</f>
        <v>3.62005183435827E-3</v>
      </c>
      <c r="W761" s="79">
        <f>tbl_Data_old[[#This Row],[2026 ]]*IFERROR(AVERAGEIFS('Participation Adjustment'!$C:$C,'Participation Adjustment'!$A:$A,$H761,'Participation Adjustment'!$B:$B,$I761),1)</f>
        <v>8.6212650468792205E-3</v>
      </c>
      <c r="X761" s="79">
        <f>tbl_Data_old[[#This Row],[2027 ]]*IFERROR(AVERAGEIFS('Participation Adjustment'!$C:$C,'Participation Adjustment'!$A:$A,$H761,'Participation Adjustment'!$B:$B,$I761),1)</f>
        <v>1.53137687920544E-2</v>
      </c>
      <c r="Y761" s="79">
        <f>tbl_Data_old[[#This Row],[2028 ]]*IFERROR(AVERAGEIFS('Participation Adjustment'!$C:$C,'Participation Adjustment'!$A:$A,$H761,'Participation Adjustment'!$B:$B,$I761),1)</f>
        <v>2.4047814824808299E-2</v>
      </c>
      <c r="Z761" s="79">
        <f>tbl_Data_old[[#This Row],[2029 ]]*IFERROR(AVERAGEIFS('Participation Adjustment'!$C:$C,'Participation Adjustment'!$A:$A,$H761,'Participation Adjustment'!$B:$B,$I761),1)</f>
        <v>3.4949884872031302E-2</v>
      </c>
      <c r="AA761" s="79">
        <f>tbl_Data_old[[#This Row],[2030 ]]*IFERROR(AVERAGEIFS('Participation Adjustment'!$C:$C,'Participation Adjustment'!$A:$A,$H761,'Participation Adjustment'!$B:$B,$I761),1)</f>
        <v>4.7891262800424203E-2</v>
      </c>
      <c r="AB761" s="79">
        <f>tbl_Data_old[[#This Row],[2031 ]]*IFERROR(AVERAGEIFS('Participation Adjustment'!$C:$C,'Participation Adjustment'!$A:$A,$H761,'Participation Adjustment'!$B:$B,$I761),1)</f>
        <v>6.2318339669480402E-2</v>
      </c>
      <c r="AC761" s="79">
        <f>tbl_Data_old[[#This Row],[2032 ]]*IFERROR(AVERAGEIFS('Participation Adjustment'!$C:$C,'Participation Adjustment'!$A:$A,$H761,'Participation Adjustment'!$B:$B,$I761),1)</f>
        <v>7.7203943737017694E-2</v>
      </c>
      <c r="AD761" s="79">
        <f>tbl_Data_old[[#This Row],[2033 ]]*IFERROR(AVERAGEIFS('Participation Adjustment'!$C:$C,'Participation Adjustment'!$A:$A,$H761,'Participation Adjustment'!$B:$B,$I761),1)</f>
        <v>9.1315119346606397E-2</v>
      </c>
      <c r="AE761" s="79">
        <f>tbl_Data_old[[#This Row],[2034 ]]*IFERROR(AVERAGEIFS('Participation Adjustment'!$C:$C,'Participation Adjustment'!$A:$A,$H761,'Participation Adjustment'!$B:$B,$I761),1)</f>
        <v>0.103553484277005</v>
      </c>
      <c r="AF761" s="77" t="str">
        <f t="shared" si="308"/>
        <v>NonResidential</v>
      </c>
      <c r="AG761" s="77" t="str">
        <f>tbl_Data[[#This Row],[All_Meas_Name_Append]]</f>
        <v>Strategic Energy Management</v>
      </c>
      <c r="AH761" s="77">
        <f>AVERAGEIFS('3. Incentive Adjustment'!G:G,'3. Incentive Adjustment'!A:A,tbl_Data[[#This Row],[Trimmed Sector]],'3. Incentive Adjustment'!B:B,tbl_Data[[#This Row],[Trimmed Measure Name]])</f>
        <v>1.1413908001130193</v>
      </c>
      <c r="AI761" s="77">
        <f>$AH761*tbl_Data[[#This Row],[2025 ]]</f>
        <v>4.1318938596687886E-3</v>
      </c>
      <c r="AJ761" s="77">
        <f>$AH761*tbl_Data[[#This Row],[2026 ]]</f>
        <v>9.8402326098438811E-3</v>
      </c>
      <c r="AK761" s="77">
        <f>$AH761*tbl_Data[[#This Row],[2027 ]]</f>
        <v>1.7478994814308757E-2</v>
      </c>
      <c r="AL761" s="77">
        <f>$AH761*tbl_Data[[#This Row],[2028 ]]</f>
        <v>2.7447954603857672E-2</v>
      </c>
      <c r="AM761" s="77">
        <f>$AH761*tbl_Data[[#This Row],[2029 ]]</f>
        <v>3.9891477057945719E-2</v>
      </c>
      <c r="AN761" s="77">
        <f>$AH761*tbl_Data[[#This Row],[2030 ]]</f>
        <v>5.4662646766199058E-2</v>
      </c>
      <c r="AO761" s="77">
        <f>$AH761*tbl_Data[[#This Row],[2031 ]]</f>
        <v>7.1129579577063146E-2</v>
      </c>
      <c r="AP761" s="77">
        <f>$AH761*tbl_Data[[#This Row],[2032 ]]</f>
        <v>8.8119871113875148E-2</v>
      </c>
      <c r="AQ761" s="77">
        <f>$AH761*tbl_Data[[#This Row],[2033 ]]</f>
        <v>0.10422623713343893</v>
      </c>
      <c r="AR761" s="77">
        <f>$AH761*tbl_Data[[#This Row],[2034 ]]</f>
        <v>0.1181949942734217</v>
      </c>
      <c r="AS761" s="77">
        <f>SUM(tbl_Data[[#This Row],[Adjusted 2025]:[Adjusted 2034]])</f>
        <v>0.53512388180962278</v>
      </c>
      <c r="AT761" s="80">
        <f>AVERAGEIFS('3. Incentive Adjustment'!F:F,'3. Incentive Adjustment'!A:A,tbl_Data[[#This Row],[Trimmed Sector]],'3. Incentive Adjustment'!B:B,tbl_Data[[#This Row],[Trimmed Measure Name]])</f>
        <v>6162.1674053779652</v>
      </c>
      <c r="AU761" s="80">
        <f>IFERROR(VLOOKUP(tbl_Data[[#This Row],[All_Meas_Name_Append]],'IRA Tax Credits'!$A$3:$D$46,4,0),0)</f>
        <v>0</v>
      </c>
      <c r="AV761" s="81">
        <f>tbl_Data[[#This Row],[Adj. per unit Incentive ($)]]/tbl_Data[[#This Row],[kWh Savings]]*tbl_Data[[#This Row],[Sum of Annuals]]</f>
        <v>5.612248559741239E-2</v>
      </c>
      <c r="AW761" s="81">
        <f>IFERROR(VLOOKUP(tbl_Data[[#This Row],[Column1]],'1. Set Program Names'!$B$2:$D$15,3,0)*tbl_Data[[#This Row],[Sum of Annuals]],"")</f>
        <v>1.6935705584471918E-2</v>
      </c>
      <c r="AX761" s="81">
        <f>tbl_Data[[#This Row],[per unit IRA tax ($)]]/tbl_Data[[#This Row],[kWh Savings]]*tbl_Data[[#This Row],[Sum of Annuals]]</f>
        <v>0</v>
      </c>
      <c r="AY761" s="81">
        <f>tbl_Data[[#This Row],[Avoided Costs ($/unit)]]/tbl_Data[[#This Row],[kWh Savings]]*tbl_Data[[#This Row],[Sum of Annuals]]</f>
        <v>0.18038240880204615</v>
      </c>
      <c r="AZ761" s="81">
        <f>tbl_Data[[#This Row],[Lost Revenue ($/unit)]]/tbl_Data[[#This Row],[kWh Savings]]*tbl_Data[[#This Row],[Sum of Annuals]]</f>
        <v>0.43042290947447032</v>
      </c>
      <c r="BA761" s="81">
        <f>tbl_Data[[#This Row],[Incremental Cost ($/unit)]]/tbl_Data[[#This Row],[kWh Savings]]*tbl_Data[[#This Row],[Sum of Annuals]]</f>
        <v>0.13661382896324456</v>
      </c>
      <c r="BB761" s="77">
        <f>ROUNDUP(tbl_Data[[#This Row],[Adjusted 2025]]/$L761,0)</f>
        <v>1</v>
      </c>
      <c r="BC761" s="77">
        <f>ROUNDUP(tbl_Data[[#This Row],[Adjusted 2026]]/$L761,0)</f>
        <v>1</v>
      </c>
      <c r="BD761" s="77">
        <f>ROUNDUP(tbl_Data[[#This Row],[Adjusted 2027]]/$L761,0)</f>
        <v>1</v>
      </c>
      <c r="BE761" s="77">
        <f>ROUNDUP(tbl_Data[[#This Row],[Adjusted 2028]]/$L761,0)</f>
        <v>1</v>
      </c>
      <c r="BF761" s="77">
        <f>ROUNDUP(tbl_Data[[#This Row],[Adjusted 2029]]/$L761,0)</f>
        <v>1</v>
      </c>
      <c r="BG761" s="77">
        <f>ROUNDUP(tbl_Data[[#This Row],[Adjusted 2030]]/$L761,0)</f>
        <v>1</v>
      </c>
      <c r="BH761" s="77">
        <f>ROUNDUP(tbl_Data[[#This Row],[Adjusted 2031]]/$L761,0)</f>
        <v>1</v>
      </c>
      <c r="BI761" s="77">
        <f>ROUNDUP(tbl_Data[[#This Row],[Adjusted 2032]]/$L761,0)</f>
        <v>1</v>
      </c>
      <c r="BJ761" s="77">
        <f>ROUNDUP(tbl_Data[[#This Row],[Adjusted 2033]]/$L761,0)</f>
        <v>1</v>
      </c>
      <c r="BK761" s="77">
        <f>ROUNDUP(tbl_Data[[#This Row],[Adjusted 2034]]/$L761,0)</f>
        <v>1</v>
      </c>
      <c r="BL761" s="80">
        <f t="shared" si="309"/>
        <v>3.7966219382437751E-4</v>
      </c>
      <c r="BM761" s="80">
        <f t="shared" si="310"/>
        <v>9.0417721928001823E-4</v>
      </c>
      <c r="BN761" s="80">
        <f t="shared" si="311"/>
        <v>1.6060706645492895E-3</v>
      </c>
      <c r="BO761" s="80">
        <f t="shared" si="312"/>
        <v>2.5220760781420135E-3</v>
      </c>
      <c r="BP761" s="80">
        <f t="shared" si="313"/>
        <v>3.6654585546223436E-3</v>
      </c>
      <c r="BQ761" s="80">
        <f t="shared" si="314"/>
        <v>5.0227186603398694E-3</v>
      </c>
      <c r="BR761" s="80">
        <f t="shared" si="315"/>
        <v>6.5357952418937893E-3</v>
      </c>
      <c r="BS761" s="80">
        <f t="shared" si="316"/>
        <v>8.0969610359974339E-3</v>
      </c>
      <c r="BT761" s="80">
        <f t="shared" si="317"/>
        <v>9.5769066650984117E-3</v>
      </c>
      <c r="BU761" s="80">
        <f t="shared" si="318"/>
        <v>1.0860436484809442E-2</v>
      </c>
      <c r="BV761" s="80">
        <f>IFERROR(VLOOKUP($H761,'1. Set Program Names'!$B$2:$D$15,3,0)*V761,"NA")</f>
        <v>1.1456811058384107E-4</v>
      </c>
      <c r="BW761" s="80">
        <f>IFERROR(VLOOKUP($H761,'1. Set Program Names'!$B$2:$D$15,3,0)*W761,"NA")</f>
        <v>2.7284748740028934E-4</v>
      </c>
      <c r="BX761" s="80">
        <f>IFERROR(VLOOKUP($H761,'1. Set Program Names'!$B$2:$D$15,3,0)*X761,"NA")</f>
        <v>4.8465315876740182E-4</v>
      </c>
      <c r="BY761" s="80">
        <f>IFERROR(VLOOKUP($H761,'1. Set Program Names'!$B$2:$D$15,3,0)*Y761,"NA")</f>
        <v>7.6106996093241617E-4</v>
      </c>
      <c r="BZ761" s="80">
        <f>IFERROR(VLOOKUP($H761,'1. Set Program Names'!$B$2:$D$15,3,0)*Z761,"NA")</f>
        <v>1.106100812399338E-3</v>
      </c>
      <c r="CA761" s="80">
        <f>IFERROR(VLOOKUP($H761,'1. Set Program Names'!$B$2:$D$15,3,0)*AA761,"NA")</f>
        <v>1.5156720797318214E-3</v>
      </c>
      <c r="CB761" s="80">
        <f>IFERROR(VLOOKUP($H761,'1. Set Program Names'!$B$2:$D$15,3,0)*AB761,"NA")</f>
        <v>1.9722630385816176E-3</v>
      </c>
      <c r="CC761" s="80">
        <f>IFERROR(VLOOKUP($H761,'1. Set Program Names'!$B$2:$D$15,3,0)*AC761,"NA")</f>
        <v>2.4433655561562611E-3</v>
      </c>
      <c r="CD761" s="80">
        <f>IFERROR(VLOOKUP($H761,'1. Set Program Names'!$B$2:$D$15,3,0)*AD761,"NA")</f>
        <v>2.8899588099774325E-3</v>
      </c>
      <c r="CE761" s="80">
        <f>IFERROR(VLOOKUP($H761,'1. Set Program Names'!$B$2:$D$15,3,0)*AE761,"NA")</f>
        <v>3.277280984042342E-3</v>
      </c>
    </row>
    <row r="762" spans="1:83" x14ac:dyDescent="0.25">
      <c r="A762" s="79" t="s">
        <v>117</v>
      </c>
      <c r="B762" s="79" t="s">
        <v>88</v>
      </c>
      <c r="C762" s="79" t="s">
        <v>176</v>
      </c>
      <c r="D762" s="79" t="s">
        <v>90</v>
      </c>
      <c r="E762" s="79" t="s">
        <v>91</v>
      </c>
      <c r="F762" s="79" t="s">
        <v>90</v>
      </c>
      <c r="G762" s="79" t="s">
        <v>92</v>
      </c>
      <c r="H762" s="79" t="s">
        <v>18</v>
      </c>
      <c r="I762" s="79" t="s">
        <v>194</v>
      </c>
      <c r="J762" s="79" t="s">
        <v>182</v>
      </c>
      <c r="K762" s="79" t="s">
        <v>102</v>
      </c>
      <c r="L762" s="79">
        <v>8959.2199999999993</v>
      </c>
      <c r="M762" s="79">
        <v>1.0579901286000299</v>
      </c>
      <c r="N762" s="79">
        <v>1.03235399659801</v>
      </c>
      <c r="O762" s="79">
        <v>2314.9299999999998</v>
      </c>
      <c r="P762" s="79">
        <v>512.76464645414296</v>
      </c>
      <c r="Q762" s="79">
        <v>283.54315205183201</v>
      </c>
      <c r="R762" s="79">
        <v>3866.1887556449001</v>
      </c>
      <c r="S762" s="79">
        <v>9515.3223878667595</v>
      </c>
      <c r="T762" s="79">
        <v>15</v>
      </c>
      <c r="U762" s="79">
        <v>1</v>
      </c>
      <c r="V762" s="79">
        <f>tbl_Data_old[[#This Row],[2025 ]]*IFERROR(AVERAGEIFS('Participation Adjustment'!$C:$C,'Participation Adjustment'!$A:$A,$H762,'Participation Adjustment'!$B:$B,$I762),1)</f>
        <v>3.8971416815059001</v>
      </c>
      <c r="W762" s="79">
        <f>tbl_Data_old[[#This Row],[2026 ]]*IFERROR(AVERAGEIFS('Participation Adjustment'!$C:$C,'Participation Adjustment'!$A:$A,$H762,'Participation Adjustment'!$B:$B,$I762),1)</f>
        <v>8.95663153115329</v>
      </c>
      <c r="X762" s="79">
        <f>tbl_Data_old[[#This Row],[2027 ]]*IFERROR(AVERAGEIFS('Participation Adjustment'!$C:$C,'Participation Adjustment'!$A:$A,$H762,'Participation Adjustment'!$B:$B,$I762),1)</f>
        <v>15.361973454344399</v>
      </c>
      <c r="Y762" s="79">
        <f>tbl_Data_old[[#This Row],[2028 ]]*IFERROR(AVERAGEIFS('Participation Adjustment'!$C:$C,'Participation Adjustment'!$A:$A,$H762,'Participation Adjustment'!$B:$B,$I762),1)</f>
        <v>23.365760466287199</v>
      </c>
      <c r="Z762" s="79">
        <f>tbl_Data_old[[#This Row],[2029 ]]*IFERROR(AVERAGEIFS('Participation Adjustment'!$C:$C,'Participation Adjustment'!$A:$A,$H762,'Participation Adjustment'!$B:$B,$I762),1)</f>
        <v>33.056602024373198</v>
      </c>
      <c r="AA762" s="79">
        <f>tbl_Data_old[[#This Row],[2030 ]]*IFERROR(AVERAGEIFS('Participation Adjustment'!$C:$C,'Participation Adjustment'!$A:$A,$H762,'Participation Adjustment'!$B:$B,$I762),1)</f>
        <v>44.476651789402702</v>
      </c>
      <c r="AB762" s="79">
        <f>tbl_Data_old[[#This Row],[2031 ]]*IFERROR(AVERAGEIFS('Participation Adjustment'!$C:$C,'Participation Adjustment'!$A:$A,$H762,'Participation Adjustment'!$B:$B,$I762),1)</f>
        <v>57.513416871993897</v>
      </c>
      <c r="AC762" s="79">
        <f>tbl_Data_old[[#This Row],[2032 ]]*IFERROR(AVERAGEIFS('Participation Adjustment'!$C:$C,'Participation Adjustment'!$A:$A,$H762,'Participation Adjustment'!$B:$B,$I762),1)</f>
        <v>71.819448314134604</v>
      </c>
      <c r="AD762" s="79">
        <f>tbl_Data_old[[#This Row],[2033 ]]*IFERROR(AVERAGEIFS('Participation Adjustment'!$C:$C,'Participation Adjustment'!$A:$A,$H762,'Participation Adjustment'!$B:$B,$I762),1)</f>
        <v>86.906111982689296</v>
      </c>
      <c r="AE762" s="79">
        <f>tbl_Data_old[[#This Row],[2034 ]]*IFERROR(AVERAGEIFS('Participation Adjustment'!$C:$C,'Participation Adjustment'!$A:$A,$H762,'Participation Adjustment'!$B:$B,$I762),1)</f>
        <v>102.090970496496</v>
      </c>
      <c r="AF762" s="77" t="str">
        <f t="shared" si="308"/>
        <v>NonResidential</v>
      </c>
      <c r="AG762" s="77" t="str">
        <f>tbl_Data[[#This Row],[All_Meas_Name_Append]]</f>
        <v>VFD on HVAC Fan</v>
      </c>
      <c r="AH762" s="77">
        <f>AVERAGEIFS('3. Incentive Adjustment'!G:G,'3. Incentive Adjustment'!A:A,tbl_Data[[#This Row],[Trimmed Sector]],'3. Incentive Adjustment'!B:B,tbl_Data[[#This Row],[Trimmed Measure Name]])</f>
        <v>1.1307524828118058</v>
      </c>
      <c r="AI762" s="77">
        <f>$AH762*tbl_Data[[#This Row],[2025 ]]</f>
        <v>4.4067026322321725</v>
      </c>
      <c r="AJ762" s="77">
        <f>$AH762*tbl_Data[[#This Row],[2026 ]]</f>
        <v>10.127733341482088</v>
      </c>
      <c r="AK762" s="77">
        <f>$AH762*tbl_Data[[#This Row],[2027 ]]</f>
        <v>17.370589624388984</v>
      </c>
      <c r="AL762" s="77">
        <f>$AH762*tbl_Data[[#This Row],[2028 ]]</f>
        <v>26.420891660040187</v>
      </c>
      <c r="AM762" s="77">
        <f>$AH762*tbl_Data[[#This Row],[2029 ]]</f>
        <v>37.378834812381761</v>
      </c>
      <c r="AN762" s="77">
        <f>$AH762*tbl_Data[[#This Row],[2030 ]]</f>
        <v>50.292084438023252</v>
      </c>
      <c r="AO762" s="77">
        <f>$AH762*tbl_Data[[#This Row],[2031 ]]</f>
        <v>65.033438922997505</v>
      </c>
      <c r="AP762" s="77">
        <f>$AH762*tbl_Data[[#This Row],[2032 ]]</f>
        <v>81.210019495381871</v>
      </c>
      <c r="AQ762" s="77">
        <f>$AH762*tbl_Data[[#This Row],[2033 ]]</f>
        <v>98.269301895946754</v>
      </c>
      <c r="AR762" s="77">
        <f>$AH762*tbl_Data[[#This Row],[2034 ]]</f>
        <v>115.43961836157968</v>
      </c>
      <c r="AS762" s="77">
        <f>SUM(tbl_Data[[#This Row],[Adjusted 2025]:[Adjusted 2034]])</f>
        <v>505.9492151844542</v>
      </c>
      <c r="AT762" s="80">
        <f>AVERAGEIFS('3. Incentive Adjustment'!F:F,'3. Incentive Adjustment'!A:A,tbl_Data[[#This Row],[Trimmed Sector]],'3. Incentive Adjustment'!B:B,tbl_Data[[#This Row],[Trimmed Measure Name]])</f>
        <v>930.02043037501858</v>
      </c>
      <c r="AU762" s="80">
        <f>IFERROR(VLOOKUP(tbl_Data[[#This Row],[All_Meas_Name_Append]],'IRA Tax Credits'!$A$3:$D$46,4,0),0)</f>
        <v>0</v>
      </c>
      <c r="AV762" s="81">
        <f>tbl_Data[[#This Row],[Adj. per unit Incentive ($)]]/tbl_Data[[#This Row],[kWh Savings]]*tbl_Data[[#This Row],[Sum of Annuals]]</f>
        <v>52.520543847985536</v>
      </c>
      <c r="AW762" s="81">
        <f>IFERROR(VLOOKUP(tbl_Data[[#This Row],[Column1]],'1. Set Program Names'!$B$2:$D$15,3,0)*tbl_Data[[#This Row],[Sum of Annuals]],"")</f>
        <v>16.012380012049132</v>
      </c>
      <c r="AX762" s="81">
        <f>tbl_Data[[#This Row],[per unit IRA tax ($)]]/tbl_Data[[#This Row],[kWh Savings]]*tbl_Data[[#This Row],[Sum of Annuals]]</f>
        <v>0</v>
      </c>
      <c r="AY762" s="81">
        <f>tbl_Data[[#This Row],[Avoided Costs ($/unit)]]/tbl_Data[[#This Row],[kWh Savings]]*tbl_Data[[#This Row],[Sum of Annuals]]</f>
        <v>218.3331993938645</v>
      </c>
      <c r="AZ762" s="81">
        <f>tbl_Data[[#This Row],[Lost Revenue ($/unit)]]/tbl_Data[[#This Row],[kWh Savings]]*tbl_Data[[#This Row],[Sum of Annuals]]</f>
        <v>537.35368641112223</v>
      </c>
      <c r="BA762" s="81">
        <f>tbl_Data[[#This Row],[Incremental Cost ($/unit)]]/tbl_Data[[#This Row],[kWh Savings]]*tbl_Data[[#This Row],[Sum of Annuals]]</f>
        <v>130.7297975389541</v>
      </c>
      <c r="BB762" s="77">
        <f>ROUNDUP(tbl_Data[[#This Row],[Adjusted 2025]]/$L762,0)</f>
        <v>1</v>
      </c>
      <c r="BC762" s="77">
        <f>ROUNDUP(tbl_Data[[#This Row],[Adjusted 2026]]/$L762,0)</f>
        <v>1</v>
      </c>
      <c r="BD762" s="77">
        <f>ROUNDUP(tbl_Data[[#This Row],[Adjusted 2027]]/$L762,0)</f>
        <v>1</v>
      </c>
      <c r="BE762" s="77">
        <f>ROUNDUP(tbl_Data[[#This Row],[Adjusted 2028]]/$L762,0)</f>
        <v>1</v>
      </c>
      <c r="BF762" s="77">
        <f>ROUNDUP(tbl_Data[[#This Row],[Adjusted 2029]]/$L762,0)</f>
        <v>1</v>
      </c>
      <c r="BG762" s="77">
        <f>ROUNDUP(tbl_Data[[#This Row],[Adjusted 2030]]/$L762,0)</f>
        <v>1</v>
      </c>
      <c r="BH762" s="77">
        <f>ROUNDUP(tbl_Data[[#This Row],[Adjusted 2031]]/$L762,0)</f>
        <v>1</v>
      </c>
      <c r="BI762" s="77">
        <f>ROUNDUP(tbl_Data[[#This Row],[Adjusted 2032]]/$L762,0)</f>
        <v>1</v>
      </c>
      <c r="BJ762" s="77">
        <f>ROUNDUP(tbl_Data[[#This Row],[Adjusted 2033]]/$L762,0)</f>
        <v>1</v>
      </c>
      <c r="BK762" s="77">
        <f>ROUNDUP(tbl_Data[[#This Row],[Adjusted 2034]]/$L762,0)</f>
        <v>1</v>
      </c>
      <c r="BL762" s="80">
        <f t="shared" si="309"/>
        <v>0.40454653238412952</v>
      </c>
      <c r="BM762" s="80">
        <f t="shared" si="310"/>
        <v>0.92975173188220006</v>
      </c>
      <c r="BN762" s="80">
        <f t="shared" si="311"/>
        <v>1.5946643975054737</v>
      </c>
      <c r="BO762" s="80">
        <f t="shared" si="312"/>
        <v>2.4255051896142761</v>
      </c>
      <c r="BP762" s="80">
        <f t="shared" si="313"/>
        <v>3.4314722979727335</v>
      </c>
      <c r="BQ762" s="80">
        <f t="shared" si="314"/>
        <v>4.6169415237956137</v>
      </c>
      <c r="BR762" s="80">
        <f t="shared" si="315"/>
        <v>5.9702354347398119</v>
      </c>
      <c r="BS762" s="80">
        <f t="shared" si="316"/>
        <v>7.4552867582677811</v>
      </c>
      <c r="BT762" s="80">
        <f t="shared" si="317"/>
        <v>9.0213723592411235</v>
      </c>
      <c r="BU762" s="80">
        <f t="shared" si="318"/>
        <v>10.597651170364667</v>
      </c>
      <c r="BV762" s="80">
        <f>IFERROR(VLOOKUP($H762,'1. Set Program Names'!$B$2:$D$15,3,0)*V762,"NA")</f>
        <v>0.12333750442189834</v>
      </c>
      <c r="BW762" s="80">
        <f>IFERROR(VLOOKUP($H762,'1. Set Program Names'!$B$2:$D$15,3,0)*W762,"NA")</f>
        <v>0.28346123168200255</v>
      </c>
      <c r="BX762" s="80">
        <f>IFERROR(VLOOKUP($H762,'1. Set Program Names'!$B$2:$D$15,3,0)*X762,"NA")</f>
        <v>0.48617874937565797</v>
      </c>
      <c r="BY762" s="80">
        <f>IFERROR(VLOOKUP($H762,'1. Set Program Names'!$B$2:$D$15,3,0)*Y762,"NA")</f>
        <v>0.73948417079825679</v>
      </c>
      <c r="BZ762" s="80">
        <f>IFERROR(VLOOKUP($H762,'1. Set Program Names'!$B$2:$D$15,3,0)*Z762,"NA")</f>
        <v>1.0461818254394635</v>
      </c>
      <c r="CA762" s="80">
        <f>IFERROR(VLOOKUP($H762,'1. Set Program Names'!$B$2:$D$15,3,0)*AA762,"NA")</f>
        <v>1.4076058006253893</v>
      </c>
      <c r="CB762" s="80">
        <f>IFERROR(VLOOKUP($H762,'1. Set Program Names'!$B$2:$D$15,3,0)*AB762,"NA")</f>
        <v>1.82019589932563</v>
      </c>
      <c r="CC762" s="80">
        <f>IFERROR(VLOOKUP($H762,'1. Set Program Names'!$B$2:$D$15,3,0)*AC762,"NA")</f>
        <v>2.2729559887594415</v>
      </c>
      <c r="CD762" s="80">
        <f>IFERROR(VLOOKUP($H762,'1. Set Program Names'!$B$2:$D$15,3,0)*AD762,"NA")</f>
        <v>2.7504216800280847</v>
      </c>
      <c r="CE762" s="80">
        <f>IFERROR(VLOOKUP($H762,'1. Set Program Names'!$B$2:$D$15,3,0)*AE762,"NA")</f>
        <v>3.230995061021726</v>
      </c>
    </row>
    <row r="763" spans="1:83" x14ac:dyDescent="0.25">
      <c r="A763" s="79" t="s">
        <v>117</v>
      </c>
      <c r="B763" s="79" t="s">
        <v>88</v>
      </c>
      <c r="C763" s="79" t="s">
        <v>176</v>
      </c>
      <c r="D763" s="79" t="s">
        <v>90</v>
      </c>
      <c r="E763" s="79" t="s">
        <v>91</v>
      </c>
      <c r="F763" s="79" t="s">
        <v>90</v>
      </c>
      <c r="G763" s="79" t="s">
        <v>92</v>
      </c>
      <c r="H763" s="79" t="s">
        <v>18</v>
      </c>
      <c r="I763" s="79" t="s">
        <v>195</v>
      </c>
      <c r="J763" s="79" t="s">
        <v>191</v>
      </c>
      <c r="K763" s="79" t="s">
        <v>102</v>
      </c>
      <c r="L763" s="79">
        <v>20302.931666666602</v>
      </c>
      <c r="M763" s="79">
        <v>2.3950992196012999</v>
      </c>
      <c r="N763" s="79">
        <v>2.3402323276086099</v>
      </c>
      <c r="O763" s="79">
        <v>5194</v>
      </c>
      <c r="P763" s="79">
        <v>1110.9469872966299</v>
      </c>
      <c r="Q763" s="79">
        <v>642.55116412585198</v>
      </c>
      <c r="R763" s="79">
        <v>8767.8839794133291</v>
      </c>
      <c r="S763" s="79">
        <v>21563.142798944798</v>
      </c>
      <c r="T763" s="79">
        <v>15</v>
      </c>
      <c r="U763" s="79">
        <v>1</v>
      </c>
      <c r="V763" s="79">
        <f>tbl_Data_old[[#This Row],[2025 ]]*IFERROR(AVERAGEIFS('Participation Adjustment'!$C:$C,'Participation Adjustment'!$A:$A,$H763,'Participation Adjustment'!$B:$B,$I763),1)</f>
        <v>4.1653294733961301</v>
      </c>
      <c r="W763" s="79">
        <f>tbl_Data_old[[#This Row],[2026 ]]*IFERROR(AVERAGEIFS('Participation Adjustment'!$C:$C,'Participation Adjustment'!$A:$A,$H763,'Participation Adjustment'!$B:$B,$I763),1)</f>
        <v>9.5732143878129801</v>
      </c>
      <c r="X763" s="79">
        <f>tbl_Data_old[[#This Row],[2027 ]]*IFERROR(AVERAGEIFS('Participation Adjustment'!$C:$C,'Participation Adjustment'!$A:$A,$H763,'Participation Adjustment'!$B:$B,$I763),1)</f>
        <v>16.419836544921701</v>
      </c>
      <c r="Y763" s="79">
        <f>tbl_Data_old[[#This Row],[2028 ]]*IFERROR(AVERAGEIFS('Participation Adjustment'!$C:$C,'Participation Adjustment'!$A:$A,$H763,'Participation Adjustment'!$B:$B,$I763),1)</f>
        <v>24.975350672628402</v>
      </c>
      <c r="Z763" s="79">
        <f>tbl_Data_old[[#This Row],[2029 ]]*IFERROR(AVERAGEIFS('Participation Adjustment'!$C:$C,'Participation Adjustment'!$A:$A,$H763,'Participation Adjustment'!$B:$B,$I763),1)</f>
        <v>35.334285952611701</v>
      </c>
      <c r="AA763" s="79">
        <f>tbl_Data_old[[#This Row],[2030 ]]*IFERROR(AVERAGEIFS('Participation Adjustment'!$C:$C,'Participation Adjustment'!$A:$A,$H763,'Participation Adjustment'!$B:$B,$I763),1)</f>
        <v>47.541744273467401</v>
      </c>
      <c r="AB763" s="79">
        <f>tbl_Data_old[[#This Row],[2031 ]]*IFERROR(AVERAGEIFS('Participation Adjustment'!$C:$C,'Participation Adjustment'!$A:$A,$H763,'Participation Adjustment'!$B:$B,$I763),1)</f>
        <v>61.477516937755901</v>
      </c>
      <c r="AC763" s="79">
        <f>tbl_Data_old[[#This Row],[2032 ]]*IFERROR(AVERAGEIFS('Participation Adjustment'!$C:$C,'Participation Adjustment'!$A:$A,$H763,'Participation Adjustment'!$B:$B,$I763),1)</f>
        <v>76.770084021056903</v>
      </c>
      <c r="AD763" s="79">
        <f>tbl_Data_old[[#This Row],[2033 ]]*IFERROR(AVERAGEIFS('Participation Adjustment'!$C:$C,'Participation Adjustment'!$A:$A,$H763,'Participation Adjustment'!$B:$B,$I763),1)</f>
        <v>92.897363418697694</v>
      </c>
      <c r="AE763" s="79">
        <f>tbl_Data_old[[#This Row],[2034 ]]*IFERROR(AVERAGEIFS('Participation Adjustment'!$C:$C,'Participation Adjustment'!$A:$A,$H763,'Participation Adjustment'!$B:$B,$I763),1)</f>
        <v>109.13003211539301</v>
      </c>
      <c r="AF763" s="77" t="str">
        <f t="shared" si="308"/>
        <v>NonResidential</v>
      </c>
      <c r="AG763" s="77" t="str">
        <f>tbl_Data[[#This Row],[All_Meas_Name_Append]]</f>
        <v>VFD on process pump</v>
      </c>
      <c r="AH763" s="77">
        <f>AVERAGEIFS('3. Incentive Adjustment'!G:G,'3. Incentive Adjustment'!A:A,tbl_Data[[#This Row],[Trimmed Sector]],'3. Incentive Adjustment'!B:B,tbl_Data[[#This Row],[Trimmed Measure Name]])</f>
        <v>1.1380520252658823</v>
      </c>
      <c r="AI763" s="77">
        <f>$AH763*tbl_Data[[#This Row],[2025 ]]</f>
        <v>4.7403616430981375</v>
      </c>
      <c r="AJ763" s="77">
        <f>$AH763*tbl_Data[[#This Row],[2026 ]]</f>
        <v>10.894816022355046</v>
      </c>
      <c r="AK763" s="77">
        <f>$AH763*tbl_Data[[#This Row],[2027 ]]</f>
        <v>18.686628234482889</v>
      </c>
      <c r="AL763" s="77">
        <f>$AH763*tbl_Data[[#This Row],[2028 ]]</f>
        <v>28.423248414710368</v>
      </c>
      <c r="AM763" s="77">
        <f>$AH763*tbl_Data[[#This Row],[2029 ]]</f>
        <v>40.212255689693563</v>
      </c>
      <c r="AN763" s="77">
        <f>$AH763*tbl_Data[[#This Row],[2030 ]]</f>
        <v>54.104978355092243</v>
      </c>
      <c r="AO763" s="77">
        <f>$AH763*tbl_Data[[#This Row],[2031 ]]</f>
        <v>69.964612659330683</v>
      </c>
      <c r="AP763" s="77">
        <f>$AH763*tbl_Data[[#This Row],[2032 ]]</f>
        <v>87.368349599995767</v>
      </c>
      <c r="AQ763" s="77">
        <f>$AH763*tbl_Data[[#This Row],[2033 ]]</f>
        <v>105.72203258050961</v>
      </c>
      <c r="AR763" s="77">
        <f>$AH763*tbl_Data[[#This Row],[2034 ]]</f>
        <v>124.19565406625379</v>
      </c>
      <c r="AS763" s="77">
        <f>SUM(tbl_Data[[#This Row],[Adjusted 2025]:[Adjusted 2034]])</f>
        <v>544.31293726552212</v>
      </c>
      <c r="AT763" s="80">
        <f>AVERAGEIFS('3. Incentive Adjustment'!F:F,'3. Incentive Adjustment'!A:A,tbl_Data[[#This Row],[Trimmed Sector]],'3. Incentive Adjustment'!B:B,tbl_Data[[#This Row],[Trimmed Measure Name]])</f>
        <v>2106.0249622508104</v>
      </c>
      <c r="AU763" s="80">
        <f>IFERROR(VLOOKUP(tbl_Data[[#This Row],[All_Meas_Name_Append]],'IRA Tax Credits'!$A$3:$D$46,4,0),0)</f>
        <v>0</v>
      </c>
      <c r="AV763" s="81">
        <f>tbl_Data[[#This Row],[Adj. per unit Incentive ($)]]/tbl_Data[[#This Row],[kWh Savings]]*tbl_Data[[#This Row],[Sum of Annuals]]</f>
        <v>56.461630860892221</v>
      </c>
      <c r="AW763" s="81">
        <f>IFERROR(VLOOKUP(tbl_Data[[#This Row],[Column1]],'1. Set Program Names'!$B$2:$D$15,3,0)*tbl_Data[[#This Row],[Sum of Annuals]],"")</f>
        <v>17.22652261411789</v>
      </c>
      <c r="AX763" s="81">
        <f>tbl_Data[[#This Row],[per unit IRA tax ($)]]/tbl_Data[[#This Row],[kWh Savings]]*tbl_Data[[#This Row],[Sum of Annuals]]</f>
        <v>0</v>
      </c>
      <c r="AY763" s="81">
        <f>tbl_Data[[#This Row],[Avoided Costs ($/unit)]]/tbl_Data[[#This Row],[kWh Savings]]*tbl_Data[[#This Row],[Sum of Annuals]]</f>
        <v>235.06322933023708</v>
      </c>
      <c r="AZ763" s="81">
        <f>tbl_Data[[#This Row],[Lost Revenue ($/unit)]]/tbl_Data[[#This Row],[kWh Savings]]*tbl_Data[[#This Row],[Sum of Annuals]]</f>
        <v>578.09866014766374</v>
      </c>
      <c r="BA763" s="81">
        <f>tbl_Data[[#This Row],[Incremental Cost ($/unit)]]/tbl_Data[[#This Row],[kWh Savings]]*tbl_Data[[#This Row],[Sum of Annuals]]</f>
        <v>139.24892437079723</v>
      </c>
      <c r="BB763" s="77">
        <f>ROUNDUP(tbl_Data[[#This Row],[Adjusted 2025]]/$L763,0)</f>
        <v>1</v>
      </c>
      <c r="BC763" s="77">
        <f>ROUNDUP(tbl_Data[[#This Row],[Adjusted 2026]]/$L763,0)</f>
        <v>1</v>
      </c>
      <c r="BD763" s="77">
        <f>ROUNDUP(tbl_Data[[#This Row],[Adjusted 2027]]/$L763,0)</f>
        <v>1</v>
      </c>
      <c r="BE763" s="77">
        <f>ROUNDUP(tbl_Data[[#This Row],[Adjusted 2028]]/$L763,0)</f>
        <v>1</v>
      </c>
      <c r="BF763" s="77">
        <f>ROUNDUP(tbl_Data[[#This Row],[Adjusted 2029]]/$L763,0)</f>
        <v>1</v>
      </c>
      <c r="BG763" s="77">
        <f>ROUNDUP(tbl_Data[[#This Row],[Adjusted 2030]]/$L763,0)</f>
        <v>1</v>
      </c>
      <c r="BH763" s="77">
        <f>ROUNDUP(tbl_Data[[#This Row],[Adjusted 2031]]/$L763,0)</f>
        <v>1</v>
      </c>
      <c r="BI763" s="77">
        <f>ROUNDUP(tbl_Data[[#This Row],[Adjusted 2032]]/$L763,0)</f>
        <v>1</v>
      </c>
      <c r="BJ763" s="77">
        <f>ROUNDUP(tbl_Data[[#This Row],[Adjusted 2033]]/$L763,0)</f>
        <v>1</v>
      </c>
      <c r="BK763" s="77">
        <f>ROUNDUP(tbl_Data[[#This Row],[Adjusted 2034]]/$L763,0)</f>
        <v>1</v>
      </c>
      <c r="BL763" s="80">
        <f t="shared" si="309"/>
        <v>0.43207000796705802</v>
      </c>
      <c r="BM763" s="80">
        <f t="shared" si="310"/>
        <v>0.99303040569327361</v>
      </c>
      <c r="BN763" s="80">
        <f t="shared" si="311"/>
        <v>1.7032311494431951</v>
      </c>
      <c r="BO763" s="80">
        <f t="shared" si="312"/>
        <v>2.590695413898263</v>
      </c>
      <c r="BP763" s="80">
        <f t="shared" si="313"/>
        <v>3.6652287197362203</v>
      </c>
      <c r="BQ763" s="80">
        <f t="shared" si="314"/>
        <v>4.9315094899940402</v>
      </c>
      <c r="BR763" s="80">
        <f t="shared" si="315"/>
        <v>6.3770684654709395</v>
      </c>
      <c r="BS763" s="80">
        <f t="shared" si="316"/>
        <v>7.9633678503624195</v>
      </c>
      <c r="BT763" s="80">
        <f t="shared" si="317"/>
        <v>9.6362520201095716</v>
      </c>
      <c r="BU763" s="80">
        <f t="shared" si="318"/>
        <v>11.32006823150504</v>
      </c>
      <c r="BV763" s="80">
        <f>IFERROR(VLOOKUP($H763,'1. Set Program Names'!$B$2:$D$15,3,0)*V763,"NA")</f>
        <v>0.13182516426889132</v>
      </c>
      <c r="BW763" s="80">
        <f>IFERROR(VLOOKUP($H763,'1. Set Program Names'!$B$2:$D$15,3,0)*W763,"NA")</f>
        <v>0.30297496688198777</v>
      </c>
      <c r="BX763" s="80">
        <f>IFERROR(VLOOKUP($H763,'1. Set Program Names'!$B$2:$D$15,3,0)*X763,"NA")</f>
        <v>0.519658207982722</v>
      </c>
      <c r="BY763" s="80">
        <f>IFERROR(VLOOKUP($H763,'1. Set Program Names'!$B$2:$D$15,3,0)*Y763,"NA")</f>
        <v>0.79042479739496319</v>
      </c>
      <c r="BZ763" s="80">
        <f>IFERROR(VLOOKUP($H763,'1. Set Program Names'!$B$2:$D$15,3,0)*Z763,"NA")</f>
        <v>1.1182664132038609</v>
      </c>
      <c r="CA763" s="80">
        <f>IFERROR(VLOOKUP($H763,'1. Set Program Names'!$B$2:$D$15,3,0)*AA763,"NA")</f>
        <v>1.5046104488271395</v>
      </c>
      <c r="CB763" s="80">
        <f>IFERROR(VLOOKUP($H763,'1. Set Program Names'!$B$2:$D$15,3,0)*AB763,"NA")</f>
        <v>1.9456525158274049</v>
      </c>
      <c r="CC763" s="80">
        <f>IFERROR(VLOOKUP($H763,'1. Set Program Names'!$B$2:$D$15,3,0)*AC763,"NA")</f>
        <v>2.429634678757131</v>
      </c>
      <c r="CD763" s="80">
        <f>IFERROR(VLOOKUP($H763,'1. Set Program Names'!$B$2:$D$15,3,0)*AD763,"NA")</f>
        <v>2.9400339807530238</v>
      </c>
      <c r="CE763" s="80">
        <f>IFERROR(VLOOKUP($H763,'1. Set Program Names'!$B$2:$D$15,3,0)*AE763,"NA")</f>
        <v>3.4537686639591616</v>
      </c>
    </row>
    <row r="764" spans="1:83" x14ac:dyDescent="0.25">
      <c r="A764" s="79" t="s">
        <v>87</v>
      </c>
      <c r="B764" s="79" t="s">
        <v>88</v>
      </c>
      <c r="C764" s="79" t="s">
        <v>176</v>
      </c>
      <c r="D764" s="79" t="s">
        <v>90</v>
      </c>
      <c r="E764" s="79" t="s">
        <v>91</v>
      </c>
      <c r="F764" s="79" t="s">
        <v>90</v>
      </c>
      <c r="G764" s="79" t="s">
        <v>92</v>
      </c>
      <c r="H764" s="79" t="s">
        <v>20</v>
      </c>
      <c r="I764" s="79" t="s">
        <v>196</v>
      </c>
      <c r="J764" s="79" t="s">
        <v>129</v>
      </c>
      <c r="K764" s="79" t="s">
        <v>102</v>
      </c>
      <c r="L764" s="79">
        <v>450182.94333333202</v>
      </c>
      <c r="M764" s="79">
        <v>53.933758643237098</v>
      </c>
      <c r="N764" s="79">
        <v>51.954919827550498</v>
      </c>
      <c r="O764" s="79">
        <v>125734.46</v>
      </c>
      <c r="P764" s="79">
        <v>37957.822069457201</v>
      </c>
      <c r="Q764" s="79">
        <v>27010.9765999999</v>
      </c>
      <c r="R764" s="79">
        <v>216071.26156350001</v>
      </c>
      <c r="S764" s="79">
        <v>564970.75021643203</v>
      </c>
      <c r="T764" s="79">
        <v>20</v>
      </c>
      <c r="U764" s="79">
        <v>1</v>
      </c>
      <c r="V764" s="79">
        <f>tbl_Data_old[[#This Row],[2025 ]]*IFERROR(AVERAGEIFS('Participation Adjustment'!$C:$C,'Participation Adjustment'!$A:$A,$H764,'Participation Adjustment'!$B:$B,$I764),1)</f>
        <v>976.33772694862398</v>
      </c>
      <c r="W764" s="79">
        <f>tbl_Data_old[[#This Row],[2026 ]]*IFERROR(AVERAGEIFS('Participation Adjustment'!$C:$C,'Participation Adjustment'!$A:$A,$H764,'Participation Adjustment'!$B:$B,$I764),1)</f>
        <v>1037.1518410393501</v>
      </c>
      <c r="X764" s="79">
        <f>tbl_Data_old[[#This Row],[2027 ]]*IFERROR(AVERAGEIFS('Participation Adjustment'!$C:$C,'Participation Adjustment'!$A:$A,$H764,'Participation Adjustment'!$B:$B,$I764),1)</f>
        <v>1083.75242356792</v>
      </c>
      <c r="Y764" s="79">
        <f>tbl_Data_old[[#This Row],[2028 ]]*IFERROR(AVERAGEIFS('Participation Adjustment'!$C:$C,'Participation Adjustment'!$A:$A,$H764,'Participation Adjustment'!$B:$B,$I764),1)</f>
        <v>1192.90655321592</v>
      </c>
      <c r="Z764" s="79">
        <f>tbl_Data_old[[#This Row],[2029 ]]*IFERROR(AVERAGEIFS('Participation Adjustment'!$C:$C,'Participation Adjustment'!$A:$A,$H764,'Participation Adjustment'!$B:$B,$I764),1)</f>
        <v>1216.9629104471201</v>
      </c>
      <c r="AA764" s="79">
        <f>tbl_Data_old[[#This Row],[2030 ]]*IFERROR(AVERAGEIFS('Participation Adjustment'!$C:$C,'Participation Adjustment'!$A:$A,$H764,'Participation Adjustment'!$B:$B,$I764),1)</f>
        <v>1269.2369790683799</v>
      </c>
      <c r="AB764" s="79">
        <f>tbl_Data_old[[#This Row],[2031 ]]*IFERROR(AVERAGEIFS('Participation Adjustment'!$C:$C,'Participation Adjustment'!$A:$A,$H764,'Participation Adjustment'!$B:$B,$I764),1)</f>
        <v>1337.05240183401</v>
      </c>
      <c r="AC764" s="79">
        <f>tbl_Data_old[[#This Row],[2032 ]]*IFERROR(AVERAGEIFS('Participation Adjustment'!$C:$C,'Participation Adjustment'!$A:$A,$H764,'Participation Adjustment'!$B:$B,$I764),1)</f>
        <v>1365.8179576779901</v>
      </c>
      <c r="AD764" s="79">
        <f>tbl_Data_old[[#This Row],[2033 ]]*IFERROR(AVERAGEIFS('Participation Adjustment'!$C:$C,'Participation Adjustment'!$A:$A,$H764,'Participation Adjustment'!$B:$B,$I764),1)</f>
        <v>1431.0064422988901</v>
      </c>
      <c r="AE764" s="79">
        <f>tbl_Data_old[[#This Row],[2034 ]]*IFERROR(AVERAGEIFS('Participation Adjustment'!$C:$C,'Participation Adjustment'!$A:$A,$H764,'Participation Adjustment'!$B:$B,$I764),1)</f>
        <v>1492.5208528482599</v>
      </c>
      <c r="AF764" s="77" t="str">
        <f t="shared" ref="AF764:AF775" si="319">IF(C764="Residential","Residential","NonResidential")</f>
        <v>NonResidential</v>
      </c>
      <c r="AG764" s="77" t="str">
        <f>tbl_Data[[#This Row],[All_Meas_Name_Append]]</f>
        <v>LEED New Construction Whole Building</v>
      </c>
      <c r="AH764" s="77">
        <f>AVERAGEIFS('3. Incentive Adjustment'!G:G,'3. Incentive Adjustment'!A:A,tbl_Data[[#This Row],[Trimmed Sector]],'3. Incentive Adjustment'!B:B,tbl_Data[[#This Row],[Trimmed Measure Name]])</f>
        <v>0.99860907400071952</v>
      </c>
      <c r="AI764" s="77">
        <f>$AH764*tbl_Data[[#This Row],[2025 ]]</f>
        <v>974.97971342013273</v>
      </c>
      <c r="AJ764" s="77">
        <f>$AH764*tbl_Data[[#This Row],[2026 ]]</f>
        <v>1035.7092395784468</v>
      </c>
      <c r="AK764" s="77">
        <f>$AH764*tbl_Data[[#This Row],[2027 ]]</f>
        <v>1082.2450041451962</v>
      </c>
      <c r="AL764" s="77">
        <f>$AH764*tbl_Data[[#This Row],[2028 ]]</f>
        <v>1191.2473084763399</v>
      </c>
      <c r="AM764" s="77">
        <f>$AH764*tbl_Data[[#This Row],[2029 ]]</f>
        <v>1215.2702050948192</v>
      </c>
      <c r="AN764" s="77">
        <f>$AH764*tbl_Data[[#This Row],[2030 ]]</f>
        <v>1267.4715643549455</v>
      </c>
      <c r="AO764" s="77">
        <f>$AH764*tbl_Data[[#This Row],[2031 ]]</f>
        <v>1335.1926608858987</v>
      </c>
      <c r="AP764" s="77">
        <f>$AH764*tbl_Data[[#This Row],[2032 ]]</f>
        <v>1363.9182059703717</v>
      </c>
      <c r="AQ764" s="77">
        <f>$AH764*tbl_Data[[#This Row],[2033 ]]</f>
        <v>1429.0160182331588</v>
      </c>
      <c r="AR764" s="77">
        <f>$AH764*tbl_Data[[#This Row],[2034 ]]</f>
        <v>1490.4448667895649</v>
      </c>
      <c r="AS764" s="77">
        <f>SUM(tbl_Data[[#This Row],[Adjusted 2025]:[Adjusted 2034]])</f>
        <v>12385.494786948873</v>
      </c>
      <c r="AT764" s="80">
        <f>AVERAGEIFS('3. Incentive Adjustment'!F:F,'3. Incentive Adjustment'!A:A,tbl_Data[[#This Row],[Trimmed Sector]],'3. Incentive Adjustment'!B:B,tbl_Data[[#This Row],[Trimmed Measure Name]])</f>
        <v>37720.338000000003</v>
      </c>
      <c r="AU764" s="80">
        <f>IFERROR(VLOOKUP(tbl_Data[[#This Row],[All_Meas_Name_Append]],'IRA Tax Credits'!$A$3:$D$46,4,0),0)</f>
        <v>0</v>
      </c>
      <c r="AV764" s="81">
        <f>tbl_Data[[#This Row],[Adj. per unit Incentive ($)]]/tbl_Data[[#This Row],[kWh Savings]]*tbl_Data[[#This Row],[Sum of Annuals]]</f>
        <v>1037.767104639121</v>
      </c>
      <c r="AW764" s="81" t="str">
        <f>IFERROR(VLOOKUP(tbl_Data[[#This Row],[Column1]],'1. Set Program Names'!$B$2:$D$15,3,0)*tbl_Data[[#This Row],[Sum of Annuals]],"")</f>
        <v/>
      </c>
      <c r="AX764" s="81">
        <f>tbl_Data[[#This Row],[per unit IRA tax ($)]]/tbl_Data[[#This Row],[kWh Savings]]*tbl_Data[[#This Row],[Sum of Annuals]]</f>
        <v>0</v>
      </c>
      <c r="AY764" s="81">
        <f>tbl_Data[[#This Row],[Avoided Costs ($/unit)]]/tbl_Data[[#This Row],[kWh Savings]]*tbl_Data[[#This Row],[Sum of Annuals]]</f>
        <v>5944.5821378502924</v>
      </c>
      <c r="AZ764" s="81">
        <f>tbl_Data[[#This Row],[Lost Revenue ($/unit)]]/tbl_Data[[#This Row],[kWh Savings]]*tbl_Data[[#This Row],[Sum of Annuals]]</f>
        <v>15543.552649446003</v>
      </c>
      <c r="BA764" s="81">
        <f>tbl_Data[[#This Row],[Incremental Cost ($/unit)]]/tbl_Data[[#This Row],[kWh Savings]]*tbl_Data[[#This Row],[Sum of Annuals]]</f>
        <v>3459.2236821304036</v>
      </c>
      <c r="BB764" s="77">
        <f>ROUNDUP(tbl_Data[[#This Row],[Adjusted 2025]]/$L764,0)</f>
        <v>1</v>
      </c>
      <c r="BC764" s="77">
        <f>ROUNDUP(tbl_Data[[#This Row],[Adjusted 2026]]/$L764,0)</f>
        <v>1</v>
      </c>
      <c r="BD764" s="77">
        <f>ROUNDUP(tbl_Data[[#This Row],[Adjusted 2027]]/$L764,0)</f>
        <v>1</v>
      </c>
      <c r="BE764" s="77">
        <f>ROUNDUP(tbl_Data[[#This Row],[Adjusted 2028]]/$L764,0)</f>
        <v>1</v>
      </c>
      <c r="BF764" s="77">
        <f>ROUNDUP(tbl_Data[[#This Row],[Adjusted 2029]]/$L764,0)</f>
        <v>1</v>
      </c>
      <c r="BG764" s="77">
        <f>ROUNDUP(tbl_Data[[#This Row],[Adjusted 2030]]/$L764,0)</f>
        <v>1</v>
      </c>
      <c r="BH764" s="77">
        <f>ROUNDUP(tbl_Data[[#This Row],[Adjusted 2031]]/$L764,0)</f>
        <v>1</v>
      </c>
      <c r="BI764" s="77">
        <f>ROUNDUP(tbl_Data[[#This Row],[Adjusted 2032]]/$L764,0)</f>
        <v>1</v>
      </c>
      <c r="BJ764" s="77">
        <f>ROUNDUP(tbl_Data[[#This Row],[Adjusted 2033]]/$L764,0)</f>
        <v>1</v>
      </c>
      <c r="BK764" s="77">
        <f>ROUNDUP(tbl_Data[[#This Row],[Adjusted 2034]]/$L764,0)</f>
        <v>1</v>
      </c>
      <c r="BL764" s="80">
        <f t="shared" ref="BL764:BL775" si="320">$AT764/$L764*V764</f>
        <v>81.806273667248107</v>
      </c>
      <c r="BM764" s="80">
        <f t="shared" ref="BM764:BM775" si="321">$AT764/$L764*W764</f>
        <v>86.901821982978589</v>
      </c>
      <c r="BN764" s="80">
        <f t="shared" ref="BN764:BN775" si="322">$AT764/$L764*X764</f>
        <v>90.806433985732809</v>
      </c>
      <c r="BO764" s="80">
        <f t="shared" ref="BO764:BO775" si="323">$AT764/$L764*Y764</f>
        <v>99.952339501237333</v>
      </c>
      <c r="BP764" s="80">
        <f t="shared" ref="BP764:BP775" si="324">$AT764/$L764*Z764</f>
        <v>101.96799544566464</v>
      </c>
      <c r="BQ764" s="80">
        <f t="shared" ref="BQ764:BQ775" si="325">$AT764/$L764*AA764</f>
        <v>106.3479826624818</v>
      </c>
      <c r="BR764" s="80">
        <f t="shared" ref="BR764:BR775" si="326">$AT764/$L764*AB764</f>
        <v>112.03016299875101</v>
      </c>
      <c r="BS764" s="80">
        <f t="shared" ref="BS764:BS775" si="327">$AT764/$L764*AC764</f>
        <v>114.44039756063533</v>
      </c>
      <c r="BT764" s="80">
        <f t="shared" ref="BT764:BT775" si="328">$AT764/$L764*AD764</f>
        <v>119.90246961383497</v>
      </c>
      <c r="BU764" s="80">
        <f t="shared" ref="BU764:BU775" si="329">$AT764/$L764*AE764</f>
        <v>125.05669500632152</v>
      </c>
      <c r="BV764" s="80" t="str">
        <f>IFERROR(VLOOKUP($H764,'1. Set Program Names'!$B$2:$D$15,3,0)*V764,"NA")</f>
        <v>NA</v>
      </c>
      <c r="BW764" s="80" t="str">
        <f>IFERROR(VLOOKUP($H764,'1. Set Program Names'!$B$2:$D$15,3,0)*W764,"NA")</f>
        <v>NA</v>
      </c>
      <c r="BX764" s="80" t="str">
        <f>IFERROR(VLOOKUP($H764,'1. Set Program Names'!$B$2:$D$15,3,0)*X764,"NA")</f>
        <v>NA</v>
      </c>
      <c r="BY764" s="80" t="str">
        <f>IFERROR(VLOOKUP($H764,'1. Set Program Names'!$B$2:$D$15,3,0)*Y764,"NA")</f>
        <v>NA</v>
      </c>
      <c r="BZ764" s="80" t="str">
        <f>IFERROR(VLOOKUP($H764,'1. Set Program Names'!$B$2:$D$15,3,0)*Z764,"NA")</f>
        <v>NA</v>
      </c>
      <c r="CA764" s="80" t="str">
        <f>IFERROR(VLOOKUP($H764,'1. Set Program Names'!$B$2:$D$15,3,0)*AA764,"NA")</f>
        <v>NA</v>
      </c>
      <c r="CB764" s="80" t="str">
        <f>IFERROR(VLOOKUP($H764,'1. Set Program Names'!$B$2:$D$15,3,0)*AB764,"NA")</f>
        <v>NA</v>
      </c>
      <c r="CC764" s="80" t="str">
        <f>IFERROR(VLOOKUP($H764,'1. Set Program Names'!$B$2:$D$15,3,0)*AC764,"NA")</f>
        <v>NA</v>
      </c>
      <c r="CD764" s="80" t="str">
        <f>IFERROR(VLOOKUP($H764,'1. Set Program Names'!$B$2:$D$15,3,0)*AD764,"NA")</f>
        <v>NA</v>
      </c>
      <c r="CE764" s="80" t="str">
        <f>IFERROR(VLOOKUP($H764,'1. Set Program Names'!$B$2:$D$15,3,0)*AE764,"NA")</f>
        <v>NA</v>
      </c>
    </row>
    <row r="765" spans="1:83" x14ac:dyDescent="0.25">
      <c r="A765" s="79" t="s">
        <v>87</v>
      </c>
      <c r="B765" s="79" t="s">
        <v>88</v>
      </c>
      <c r="C765" s="79" t="s">
        <v>176</v>
      </c>
      <c r="D765" s="79" t="s">
        <v>90</v>
      </c>
      <c r="E765" s="79" t="s">
        <v>91</v>
      </c>
      <c r="F765" s="79" t="s">
        <v>90</v>
      </c>
      <c r="G765" s="79" t="s">
        <v>92</v>
      </c>
      <c r="H765" s="79" t="s">
        <v>20</v>
      </c>
      <c r="I765" s="79" t="s">
        <v>155</v>
      </c>
      <c r="J765" s="79" t="s">
        <v>129</v>
      </c>
      <c r="K765" s="79" t="s">
        <v>102</v>
      </c>
      <c r="L765" s="79">
        <v>47228.7699999998</v>
      </c>
      <c r="M765" s="79">
        <v>5.6581998938837703</v>
      </c>
      <c r="N765" s="79">
        <v>5.4505995734426298</v>
      </c>
      <c r="O765" s="79">
        <v>11124</v>
      </c>
      <c r="P765" s="79">
        <v>2435.8852359673701</v>
      </c>
      <c r="Q765" s="79">
        <v>2833.7261999999801</v>
      </c>
      <c r="R765" s="79">
        <v>16918.542729362998</v>
      </c>
      <c r="S765" s="79">
        <v>40712.4661763408</v>
      </c>
      <c r="T765" s="79">
        <v>11</v>
      </c>
      <c r="U765" s="79">
        <v>0.05</v>
      </c>
      <c r="V765" s="79">
        <f>tbl_Data_old[[#This Row],[2025 ]]*IFERROR(AVERAGEIFS('Participation Adjustment'!$C:$C,'Participation Adjustment'!$A:$A,$H765,'Participation Adjustment'!$B:$B,$I765),1)</f>
        <v>160.24151741415</v>
      </c>
      <c r="W765" s="79">
        <f>tbl_Data_old[[#This Row],[2026 ]]*IFERROR(AVERAGEIFS('Participation Adjustment'!$C:$C,'Participation Adjustment'!$A:$A,$H765,'Participation Adjustment'!$B:$B,$I765),1)</f>
        <v>133.943791299368</v>
      </c>
      <c r="X765" s="79">
        <f>tbl_Data_old[[#This Row],[2027 ]]*IFERROR(AVERAGEIFS('Participation Adjustment'!$C:$C,'Participation Adjustment'!$A:$A,$H765,'Participation Adjustment'!$B:$B,$I765),1)</f>
        <v>110.939156989282</v>
      </c>
      <c r="Y765" s="79">
        <f>tbl_Data_old[[#This Row],[2028 ]]*IFERROR(AVERAGEIFS('Participation Adjustment'!$C:$C,'Participation Adjustment'!$A:$A,$H765,'Participation Adjustment'!$B:$B,$I765),1)</f>
        <v>92.501282228507307</v>
      </c>
      <c r="Z765" s="79">
        <f>tbl_Data_old[[#This Row],[2029 ]]*IFERROR(AVERAGEIFS('Participation Adjustment'!$C:$C,'Participation Adjustment'!$A:$A,$H765,'Participation Adjustment'!$B:$B,$I765),1)</f>
        <v>76.859279122896595</v>
      </c>
      <c r="AA765" s="79">
        <f>tbl_Data_old[[#This Row],[2030 ]]*IFERROR(AVERAGEIFS('Participation Adjustment'!$C:$C,'Participation Adjustment'!$A:$A,$H765,'Participation Adjustment'!$B:$B,$I765),1)</f>
        <v>64.184702362303597</v>
      </c>
      <c r="AB765" s="79">
        <f>tbl_Data_old[[#This Row],[2031 ]]*IFERROR(AVERAGEIFS('Participation Adjustment'!$C:$C,'Participation Adjustment'!$A:$A,$H765,'Participation Adjustment'!$B:$B,$I765),1)</f>
        <v>54.040943180967297</v>
      </c>
      <c r="AC765" s="79">
        <f>tbl_Data_old[[#This Row],[2032 ]]*IFERROR(AVERAGEIFS('Participation Adjustment'!$C:$C,'Participation Adjustment'!$A:$A,$H765,'Participation Adjustment'!$B:$B,$I765),1)</f>
        <v>45.638155508679297</v>
      </c>
      <c r="AD765" s="79">
        <f>tbl_Data_old[[#This Row],[2033 ]]*IFERROR(AVERAGEIFS('Participation Adjustment'!$C:$C,'Participation Adjustment'!$A:$A,$H765,'Participation Adjustment'!$B:$B,$I765),1)</f>
        <v>39.134752829977501</v>
      </c>
      <c r="AE765" s="79">
        <f>tbl_Data_old[[#This Row],[2034 ]]*IFERROR(AVERAGEIFS('Participation Adjustment'!$C:$C,'Participation Adjustment'!$A:$A,$H765,'Participation Adjustment'!$B:$B,$I765),1)</f>
        <v>33.933490277934403</v>
      </c>
      <c r="AF765" s="77" t="str">
        <f t="shared" si="319"/>
        <v>NonResidential</v>
      </c>
      <c r="AG765" s="77" t="str">
        <f>tbl_Data[[#This Row],[All_Meas_Name_Append]]</f>
        <v>Smart thermostat</v>
      </c>
      <c r="AH765" s="77">
        <f>AVERAGEIFS('3. Incentive Adjustment'!G:G,'3. Incentive Adjustment'!A:A,tbl_Data[[#This Row],[Trimmed Sector]],'3. Incentive Adjustment'!B:B,tbl_Data[[#This Row],[Trimmed Measure Name]])</f>
        <v>0.87546479230069263</v>
      </c>
      <c r="AI765" s="77">
        <f>$AH765*tbl_Data[[#This Row],[2025 ]]</f>
        <v>140.28580676092665</v>
      </c>
      <c r="AJ765" s="77">
        <f>$AH765*tbl_Data[[#This Row],[2026 ]]</f>
        <v>117.26307342986853</v>
      </c>
      <c r="AK765" s="77">
        <f>$AH765*tbl_Data[[#This Row],[2027 ]]</f>
        <v>97.123326031635699</v>
      </c>
      <c r="AL765" s="77">
        <f>$AH765*tbl_Data[[#This Row],[2028 ]]</f>
        <v>80.981615833727901</v>
      </c>
      <c r="AM765" s="77">
        <f>$AH765*tbl_Data[[#This Row],[2029 ]]</f>
        <v>67.287592833707635</v>
      </c>
      <c r="AN765" s="77">
        <f>$AH765*tbl_Data[[#This Row],[2030 ]]</f>
        <v>56.191447122495894</v>
      </c>
      <c r="AO765" s="77">
        <f>$AH765*tbl_Data[[#This Row],[2031 ]]</f>
        <v>47.310943097659063</v>
      </c>
      <c r="AP765" s="77">
        <f>$AH765*tbl_Data[[#This Row],[2032 ]]</f>
        <v>39.954598333392632</v>
      </c>
      <c r="AQ765" s="77">
        <f>$AH765*tbl_Data[[#This Row],[2033 ]]</f>
        <v>34.261098258035197</v>
      </c>
      <c r="AR765" s="77">
        <f>$AH765*tbl_Data[[#This Row],[2034 ]]</f>
        <v>29.707576018209416</v>
      </c>
      <c r="AS765" s="77">
        <f>SUM(tbl_Data[[#This Row],[Adjusted 2025]:[Adjusted 2034]])</f>
        <v>710.36707771965871</v>
      </c>
      <c r="AT765" s="80">
        <f>AVERAGEIFS('3. Incentive Adjustment'!F:F,'3. Incentive Adjustment'!A:A,tbl_Data[[#This Row],[Trimmed Sector]],'3. Incentive Adjustment'!B:B,tbl_Data[[#This Row],[Trimmed Measure Name]])</f>
        <v>50</v>
      </c>
      <c r="AU765" s="80">
        <f>IFERROR(VLOOKUP(tbl_Data[[#This Row],[All_Meas_Name_Append]],'IRA Tax Credits'!$A$3:$D$46,4,0),0)</f>
        <v>0</v>
      </c>
      <c r="AV765" s="81">
        <f>tbl_Data[[#This Row],[Adj. per unit Incentive ($)]]/tbl_Data[[#This Row],[kWh Savings]]*tbl_Data[[#This Row],[Sum of Annuals]]</f>
        <v>0.75204909816586563</v>
      </c>
      <c r="AW765" s="81" t="str">
        <f>IFERROR(VLOOKUP(tbl_Data[[#This Row],[Column1]],'1. Set Program Names'!$B$2:$D$15,3,0)*tbl_Data[[#This Row],[Sum of Annuals]],"")</f>
        <v/>
      </c>
      <c r="AX765" s="81">
        <f>tbl_Data[[#This Row],[per unit IRA tax ($)]]/tbl_Data[[#This Row],[kWh Savings]]*tbl_Data[[#This Row],[Sum of Annuals]]</f>
        <v>0</v>
      </c>
      <c r="AY765" s="81">
        <f>tbl_Data[[#This Row],[Avoided Costs ($/unit)]]/tbl_Data[[#This Row],[kWh Savings]]*tbl_Data[[#This Row],[Sum of Annuals]]</f>
        <v>254.47149603796208</v>
      </c>
      <c r="AZ765" s="81">
        <f>tbl_Data[[#This Row],[Lost Revenue ($/unit)]]/tbl_Data[[#This Row],[kWh Savings]]*tbl_Data[[#This Row],[Sum of Annuals]]</f>
        <v>612.35546944050805</v>
      </c>
      <c r="BA765" s="81">
        <f>tbl_Data[[#This Row],[Incremental Cost ($/unit)]]/tbl_Data[[#This Row],[kWh Savings]]*tbl_Data[[#This Row],[Sum of Annuals]]</f>
        <v>167.31588335994175</v>
      </c>
      <c r="BB765" s="77">
        <f>ROUNDUP(tbl_Data[[#This Row],[Adjusted 2025]]/$L765,0)</f>
        <v>1</v>
      </c>
      <c r="BC765" s="77">
        <f>ROUNDUP(tbl_Data[[#This Row],[Adjusted 2026]]/$L765,0)</f>
        <v>1</v>
      </c>
      <c r="BD765" s="77">
        <f>ROUNDUP(tbl_Data[[#This Row],[Adjusted 2027]]/$L765,0)</f>
        <v>1</v>
      </c>
      <c r="BE765" s="77">
        <f>ROUNDUP(tbl_Data[[#This Row],[Adjusted 2028]]/$L765,0)</f>
        <v>1</v>
      </c>
      <c r="BF765" s="77">
        <f>ROUNDUP(tbl_Data[[#This Row],[Adjusted 2029]]/$L765,0)</f>
        <v>1</v>
      </c>
      <c r="BG765" s="77">
        <f>ROUNDUP(tbl_Data[[#This Row],[Adjusted 2030]]/$L765,0)</f>
        <v>1</v>
      </c>
      <c r="BH765" s="77">
        <f>ROUNDUP(tbl_Data[[#This Row],[Adjusted 2031]]/$L765,0)</f>
        <v>1</v>
      </c>
      <c r="BI765" s="77">
        <f>ROUNDUP(tbl_Data[[#This Row],[Adjusted 2032]]/$L765,0)</f>
        <v>1</v>
      </c>
      <c r="BJ765" s="77">
        <f>ROUNDUP(tbl_Data[[#This Row],[Adjusted 2033]]/$L765,0)</f>
        <v>1</v>
      </c>
      <c r="BK765" s="77">
        <f>ROUNDUP(tbl_Data[[#This Row],[Adjusted 2034]]/$L765,0)</f>
        <v>1</v>
      </c>
      <c r="BL765" s="80">
        <f t="shared" si="320"/>
        <v>0.16964396639394874</v>
      </c>
      <c r="BM765" s="80">
        <f t="shared" si="321"/>
        <v>0.14180317558489092</v>
      </c>
      <c r="BN765" s="80">
        <f t="shared" si="322"/>
        <v>0.11744870445417324</v>
      </c>
      <c r="BO765" s="80">
        <f t="shared" si="323"/>
        <v>9.7928955410555588E-2</v>
      </c>
      <c r="BP765" s="80">
        <f t="shared" si="324"/>
        <v>8.1369130641023385E-2</v>
      </c>
      <c r="BQ765" s="80">
        <f t="shared" si="325"/>
        <v>6.7950851104426252E-2</v>
      </c>
      <c r="BR765" s="80">
        <f t="shared" si="326"/>
        <v>5.721188925835622E-2</v>
      </c>
      <c r="BS765" s="80">
        <f t="shared" si="327"/>
        <v>4.8316053444414808E-2</v>
      </c>
      <c r="BT765" s="80">
        <f t="shared" si="328"/>
        <v>4.1431052333119903E-2</v>
      </c>
      <c r="BU765" s="80">
        <f t="shared" si="329"/>
        <v>3.5924596679031182E-2</v>
      </c>
      <c r="BV765" s="80" t="str">
        <f>IFERROR(VLOOKUP($H765,'1. Set Program Names'!$B$2:$D$15,3,0)*V765,"NA")</f>
        <v>NA</v>
      </c>
      <c r="BW765" s="80" t="str">
        <f>IFERROR(VLOOKUP($H765,'1. Set Program Names'!$B$2:$D$15,3,0)*W765,"NA")</f>
        <v>NA</v>
      </c>
      <c r="BX765" s="80" t="str">
        <f>IFERROR(VLOOKUP($H765,'1. Set Program Names'!$B$2:$D$15,3,0)*X765,"NA")</f>
        <v>NA</v>
      </c>
      <c r="BY765" s="80" t="str">
        <f>IFERROR(VLOOKUP($H765,'1. Set Program Names'!$B$2:$D$15,3,0)*Y765,"NA")</f>
        <v>NA</v>
      </c>
      <c r="BZ765" s="80" t="str">
        <f>IFERROR(VLOOKUP($H765,'1. Set Program Names'!$B$2:$D$15,3,0)*Z765,"NA")</f>
        <v>NA</v>
      </c>
      <c r="CA765" s="80" t="str">
        <f>IFERROR(VLOOKUP($H765,'1. Set Program Names'!$B$2:$D$15,3,0)*AA765,"NA")</f>
        <v>NA</v>
      </c>
      <c r="CB765" s="80" t="str">
        <f>IFERROR(VLOOKUP($H765,'1. Set Program Names'!$B$2:$D$15,3,0)*AB765,"NA")</f>
        <v>NA</v>
      </c>
      <c r="CC765" s="80" t="str">
        <f>IFERROR(VLOOKUP($H765,'1. Set Program Names'!$B$2:$D$15,3,0)*AC765,"NA")</f>
        <v>NA</v>
      </c>
      <c r="CD765" s="80" t="str">
        <f>IFERROR(VLOOKUP($H765,'1. Set Program Names'!$B$2:$D$15,3,0)*AD765,"NA")</f>
        <v>NA</v>
      </c>
      <c r="CE765" s="80" t="str">
        <f>IFERROR(VLOOKUP($H765,'1. Set Program Names'!$B$2:$D$15,3,0)*AE765,"NA")</f>
        <v>NA</v>
      </c>
    </row>
    <row r="766" spans="1:83" x14ac:dyDescent="0.25">
      <c r="A766" s="79" t="s">
        <v>113</v>
      </c>
      <c r="B766" s="79" t="s">
        <v>88</v>
      </c>
      <c r="C766" s="79" t="s">
        <v>176</v>
      </c>
      <c r="D766" s="79" t="s">
        <v>90</v>
      </c>
      <c r="E766" s="79" t="s">
        <v>91</v>
      </c>
      <c r="F766" s="79" t="s">
        <v>90</v>
      </c>
      <c r="G766" s="79" t="s">
        <v>92</v>
      </c>
      <c r="H766" s="79" t="s">
        <v>20</v>
      </c>
      <c r="I766" s="79" t="s">
        <v>196</v>
      </c>
      <c r="J766" s="79" t="s">
        <v>129</v>
      </c>
      <c r="K766" s="79" t="s">
        <v>102</v>
      </c>
      <c r="L766" s="79">
        <v>450182.94333333202</v>
      </c>
      <c r="M766" s="79">
        <v>53.933758643237098</v>
      </c>
      <c r="N766" s="79">
        <v>51.954919827550498</v>
      </c>
      <c r="O766" s="79">
        <v>125734.46</v>
      </c>
      <c r="P766" s="79">
        <v>37957.822069457201</v>
      </c>
      <c r="Q766" s="79">
        <v>27010.9765999999</v>
      </c>
      <c r="R766" s="79">
        <v>216071.26156350001</v>
      </c>
      <c r="S766" s="79">
        <v>564970.75021643203</v>
      </c>
      <c r="T766" s="79">
        <v>20</v>
      </c>
      <c r="U766" s="79">
        <v>1</v>
      </c>
      <c r="V766" s="79">
        <f>tbl_Data_old[[#This Row],[2025 ]]*IFERROR(AVERAGEIFS('Participation Adjustment'!$C:$C,'Participation Adjustment'!$A:$A,$H766,'Participation Adjustment'!$B:$B,$I766),1)</f>
        <v>976.33772694862398</v>
      </c>
      <c r="W766" s="79">
        <f>tbl_Data_old[[#This Row],[2026 ]]*IFERROR(AVERAGEIFS('Participation Adjustment'!$C:$C,'Participation Adjustment'!$A:$A,$H766,'Participation Adjustment'!$B:$B,$I766),1)</f>
        <v>2013.4895679879801</v>
      </c>
      <c r="X766" s="79">
        <f>tbl_Data_old[[#This Row],[2027 ]]*IFERROR(AVERAGEIFS('Participation Adjustment'!$C:$C,'Participation Adjustment'!$A:$A,$H766,'Participation Adjustment'!$B:$B,$I766),1)</f>
        <v>3097.2419915558999</v>
      </c>
      <c r="Y766" s="79">
        <f>tbl_Data_old[[#This Row],[2028 ]]*IFERROR(AVERAGEIFS('Participation Adjustment'!$C:$C,'Participation Adjustment'!$A:$A,$H766,'Participation Adjustment'!$B:$B,$I766),1)</f>
        <v>4290.1485447718196</v>
      </c>
      <c r="Z766" s="79">
        <f>tbl_Data_old[[#This Row],[2029 ]]*IFERROR(AVERAGEIFS('Participation Adjustment'!$C:$C,'Participation Adjustment'!$A:$A,$H766,'Participation Adjustment'!$B:$B,$I766),1)</f>
        <v>5507.1114552189501</v>
      </c>
      <c r="AA766" s="79">
        <f>tbl_Data_old[[#This Row],[2030 ]]*IFERROR(AVERAGEIFS('Participation Adjustment'!$C:$C,'Participation Adjustment'!$A:$A,$H766,'Participation Adjustment'!$B:$B,$I766),1)</f>
        <v>6776.3484342873298</v>
      </c>
      <c r="AB766" s="79">
        <f>tbl_Data_old[[#This Row],[2031 ]]*IFERROR(AVERAGEIFS('Participation Adjustment'!$C:$C,'Participation Adjustment'!$A:$A,$H766,'Participation Adjustment'!$B:$B,$I766),1)</f>
        <v>8113.40083612135</v>
      </c>
      <c r="AC766" s="79">
        <f>tbl_Data_old[[#This Row],[2032 ]]*IFERROR(AVERAGEIFS('Participation Adjustment'!$C:$C,'Participation Adjustment'!$A:$A,$H766,'Participation Adjustment'!$B:$B,$I766),1)</f>
        <v>9479.2187937993494</v>
      </c>
      <c r="AD766" s="79">
        <f>tbl_Data_old[[#This Row],[2033 ]]*IFERROR(AVERAGEIFS('Participation Adjustment'!$C:$C,'Participation Adjustment'!$A:$A,$H766,'Participation Adjustment'!$B:$B,$I766),1)</f>
        <v>10910.2252360982</v>
      </c>
      <c r="AE766" s="79">
        <f>tbl_Data_old[[#This Row],[2034 ]]*IFERROR(AVERAGEIFS('Participation Adjustment'!$C:$C,'Participation Adjustment'!$A:$A,$H766,'Participation Adjustment'!$B:$B,$I766),1)</f>
        <v>12402.7460889465</v>
      </c>
      <c r="AF766" s="77" t="str">
        <f t="shared" si="319"/>
        <v>NonResidential</v>
      </c>
      <c r="AG766" s="77" t="str">
        <f>tbl_Data[[#This Row],[All_Meas_Name_Append]]</f>
        <v>LEED New Construction Whole Building</v>
      </c>
      <c r="AH766" s="77">
        <f>AVERAGEIFS('3. Incentive Adjustment'!G:G,'3. Incentive Adjustment'!A:A,tbl_Data[[#This Row],[Trimmed Sector]],'3. Incentive Adjustment'!B:B,tbl_Data[[#This Row],[Trimmed Measure Name]])</f>
        <v>0.99860907400071952</v>
      </c>
      <c r="AI766" s="77">
        <f>$AH766*tbl_Data[[#This Row],[2025 ]]</f>
        <v>974.97971342013273</v>
      </c>
      <c r="AJ766" s="77">
        <f>$AH766*tbl_Data[[#This Row],[2026 ]]</f>
        <v>2010.6889529985856</v>
      </c>
      <c r="AK766" s="77">
        <f>$AH766*tbl_Data[[#This Row],[2027 ]]</f>
        <v>3092.9339571437813</v>
      </c>
      <c r="AL766" s="77">
        <f>$AH766*tbl_Data[[#This Row],[2028 ]]</f>
        <v>4284.1812656201209</v>
      </c>
      <c r="AM766" s="77">
        <f>$AH766*tbl_Data[[#This Row],[2029 ]]</f>
        <v>5499.451470714951</v>
      </c>
      <c r="AN766" s="77">
        <f>$AH766*tbl_Data[[#This Row],[2030 ]]</f>
        <v>6766.9230350698963</v>
      </c>
      <c r="AO766" s="77">
        <f>$AH766*tbl_Data[[#This Row],[2031 ]]</f>
        <v>8102.1156959558048</v>
      </c>
      <c r="AP766" s="77">
        <f>$AH766*tbl_Data[[#This Row],[2032 ]]</f>
        <v>9466.0339019261864</v>
      </c>
      <c r="AQ766" s="77">
        <f>$AH766*tbl_Data[[#This Row],[2033 ]]</f>
        <v>10895.049920159305</v>
      </c>
      <c r="AR766" s="77">
        <f>$AH766*tbl_Data[[#This Row],[2034 ]]</f>
        <v>12385.49478694891</v>
      </c>
      <c r="AS766" s="77">
        <f>SUM(tbl_Data[[#This Row],[Adjusted 2025]:[Adjusted 2034]])</f>
        <v>63477.852699957679</v>
      </c>
      <c r="AT766" s="80">
        <f>AVERAGEIFS('3. Incentive Adjustment'!F:F,'3. Incentive Adjustment'!A:A,tbl_Data[[#This Row],[Trimmed Sector]],'3. Incentive Adjustment'!B:B,tbl_Data[[#This Row],[Trimmed Measure Name]])</f>
        <v>37720.338000000003</v>
      </c>
      <c r="AU766" s="80">
        <f>IFERROR(VLOOKUP(tbl_Data[[#This Row],[All_Meas_Name_Append]],'IRA Tax Credits'!$A$3:$D$46,4,0),0)</f>
        <v>0</v>
      </c>
      <c r="AV766" s="81">
        <f>tbl_Data[[#This Row],[Adj. per unit Incentive ($)]]/tbl_Data[[#This Row],[kWh Savings]]*tbl_Data[[#This Row],[Sum of Annuals]]</f>
        <v>5318.7400695981278</v>
      </c>
      <c r="AW766" s="81" t="str">
        <f>IFERROR(VLOOKUP(tbl_Data[[#This Row],[Column1]],'1. Set Program Names'!$B$2:$D$15,3,0)*tbl_Data[[#This Row],[Sum of Annuals]],"")</f>
        <v/>
      </c>
      <c r="AX766" s="81">
        <f>tbl_Data[[#This Row],[per unit IRA tax ($)]]/tbl_Data[[#This Row],[kWh Savings]]*tbl_Data[[#This Row],[Sum of Annuals]]</f>
        <v>0</v>
      </c>
      <c r="AY766" s="81">
        <f>tbl_Data[[#This Row],[Avoided Costs ($/unit)]]/tbl_Data[[#This Row],[kWh Savings]]*tbl_Data[[#This Row],[Sum of Annuals]]</f>
        <v>30467.035495981112</v>
      </c>
      <c r="AZ766" s="81">
        <f>tbl_Data[[#This Row],[Lost Revenue ($/unit)]]/tbl_Data[[#This Row],[kWh Savings]]*tbl_Data[[#This Row],[Sum of Annuals]]</f>
        <v>79663.458140991526</v>
      </c>
      <c r="BA766" s="81">
        <f>tbl_Data[[#This Row],[Incremental Cost ($/unit)]]/tbl_Data[[#This Row],[kWh Savings]]*tbl_Data[[#This Row],[Sum of Annuals]]</f>
        <v>17729.133565327094</v>
      </c>
      <c r="BB766" s="77">
        <f>ROUNDUP(tbl_Data[[#This Row],[Adjusted 2025]]/$L766,0)</f>
        <v>1</v>
      </c>
      <c r="BC766" s="77">
        <f>ROUNDUP(tbl_Data[[#This Row],[Adjusted 2026]]/$L766,0)</f>
        <v>1</v>
      </c>
      <c r="BD766" s="77">
        <f>ROUNDUP(tbl_Data[[#This Row],[Adjusted 2027]]/$L766,0)</f>
        <v>1</v>
      </c>
      <c r="BE766" s="77">
        <f>ROUNDUP(tbl_Data[[#This Row],[Adjusted 2028]]/$L766,0)</f>
        <v>1</v>
      </c>
      <c r="BF766" s="77">
        <f>ROUNDUP(tbl_Data[[#This Row],[Adjusted 2029]]/$L766,0)</f>
        <v>1</v>
      </c>
      <c r="BG766" s="77">
        <f>ROUNDUP(tbl_Data[[#This Row],[Adjusted 2030]]/$L766,0)</f>
        <v>1</v>
      </c>
      <c r="BH766" s="77">
        <f>ROUNDUP(tbl_Data[[#This Row],[Adjusted 2031]]/$L766,0)</f>
        <v>1</v>
      </c>
      <c r="BI766" s="77">
        <f>ROUNDUP(tbl_Data[[#This Row],[Adjusted 2032]]/$L766,0)</f>
        <v>1</v>
      </c>
      <c r="BJ766" s="77">
        <f>ROUNDUP(tbl_Data[[#This Row],[Adjusted 2033]]/$L766,0)</f>
        <v>1</v>
      </c>
      <c r="BK766" s="77">
        <f>ROUNDUP(tbl_Data[[#This Row],[Adjusted 2034]]/$L766,0)</f>
        <v>1</v>
      </c>
      <c r="BL766" s="80">
        <f t="shared" si="320"/>
        <v>81.806273667248107</v>
      </c>
      <c r="BM766" s="80">
        <f t="shared" si="321"/>
        <v>168.70809565022719</v>
      </c>
      <c r="BN766" s="80">
        <f t="shared" si="322"/>
        <v>259.51452963596</v>
      </c>
      <c r="BO766" s="80">
        <f t="shared" si="323"/>
        <v>359.46686913719731</v>
      </c>
      <c r="BP766" s="80">
        <f t="shared" si="324"/>
        <v>461.43486458286282</v>
      </c>
      <c r="BQ766" s="80">
        <f t="shared" si="325"/>
        <v>567.78284724534456</v>
      </c>
      <c r="BR766" s="80">
        <f t="shared" si="326"/>
        <v>679.81301024409652</v>
      </c>
      <c r="BS766" s="80">
        <f t="shared" si="327"/>
        <v>794.25340780473255</v>
      </c>
      <c r="BT766" s="80">
        <f t="shared" si="328"/>
        <v>914.15587741856427</v>
      </c>
      <c r="BU766" s="80">
        <f t="shared" si="329"/>
        <v>1039.2125724248892</v>
      </c>
      <c r="BV766" s="80" t="str">
        <f>IFERROR(VLOOKUP($H766,'1. Set Program Names'!$B$2:$D$15,3,0)*V766,"NA")</f>
        <v>NA</v>
      </c>
      <c r="BW766" s="80" t="str">
        <f>IFERROR(VLOOKUP($H766,'1. Set Program Names'!$B$2:$D$15,3,0)*W766,"NA")</f>
        <v>NA</v>
      </c>
      <c r="BX766" s="80" t="str">
        <f>IFERROR(VLOOKUP($H766,'1. Set Program Names'!$B$2:$D$15,3,0)*X766,"NA")</f>
        <v>NA</v>
      </c>
      <c r="BY766" s="80" t="str">
        <f>IFERROR(VLOOKUP($H766,'1. Set Program Names'!$B$2:$D$15,3,0)*Y766,"NA")</f>
        <v>NA</v>
      </c>
      <c r="BZ766" s="80" t="str">
        <f>IFERROR(VLOOKUP($H766,'1. Set Program Names'!$B$2:$D$15,3,0)*Z766,"NA")</f>
        <v>NA</v>
      </c>
      <c r="CA766" s="80" t="str">
        <f>IFERROR(VLOOKUP($H766,'1. Set Program Names'!$B$2:$D$15,3,0)*AA766,"NA")</f>
        <v>NA</v>
      </c>
      <c r="CB766" s="80" t="str">
        <f>IFERROR(VLOOKUP($H766,'1. Set Program Names'!$B$2:$D$15,3,0)*AB766,"NA")</f>
        <v>NA</v>
      </c>
      <c r="CC766" s="80" t="str">
        <f>IFERROR(VLOOKUP($H766,'1. Set Program Names'!$B$2:$D$15,3,0)*AC766,"NA")</f>
        <v>NA</v>
      </c>
      <c r="CD766" s="80" t="str">
        <f>IFERROR(VLOOKUP($H766,'1. Set Program Names'!$B$2:$D$15,3,0)*AD766,"NA")</f>
        <v>NA</v>
      </c>
      <c r="CE766" s="80" t="str">
        <f>IFERROR(VLOOKUP($H766,'1. Set Program Names'!$B$2:$D$15,3,0)*AE766,"NA")</f>
        <v>NA</v>
      </c>
    </row>
    <row r="767" spans="1:83" x14ac:dyDescent="0.25">
      <c r="A767" s="79" t="s">
        <v>113</v>
      </c>
      <c r="B767" s="79" t="s">
        <v>88</v>
      </c>
      <c r="C767" s="79" t="s">
        <v>176</v>
      </c>
      <c r="D767" s="79" t="s">
        <v>90</v>
      </c>
      <c r="E767" s="79" t="s">
        <v>91</v>
      </c>
      <c r="F767" s="79" t="s">
        <v>90</v>
      </c>
      <c r="G767" s="79" t="s">
        <v>92</v>
      </c>
      <c r="H767" s="79" t="s">
        <v>20</v>
      </c>
      <c r="I767" s="79" t="s">
        <v>155</v>
      </c>
      <c r="J767" s="79" t="s">
        <v>129</v>
      </c>
      <c r="K767" s="79" t="s">
        <v>102</v>
      </c>
      <c r="L767" s="79">
        <v>47228.7699999998</v>
      </c>
      <c r="M767" s="79">
        <v>5.6581998938837703</v>
      </c>
      <c r="N767" s="79">
        <v>5.4505995734426298</v>
      </c>
      <c r="O767" s="79">
        <v>11124</v>
      </c>
      <c r="P767" s="79">
        <v>2435.8852359673701</v>
      </c>
      <c r="Q767" s="79">
        <v>2833.7261999999801</v>
      </c>
      <c r="R767" s="79">
        <v>16918.542729362998</v>
      </c>
      <c r="S767" s="79">
        <v>40712.4661763408</v>
      </c>
      <c r="T767" s="79">
        <v>11</v>
      </c>
      <c r="U767" s="79">
        <v>0.05</v>
      </c>
      <c r="V767" s="79">
        <f>tbl_Data_old[[#This Row],[2025 ]]*IFERROR(AVERAGEIFS('Participation Adjustment'!$C:$C,'Participation Adjustment'!$A:$A,$H767,'Participation Adjustment'!$B:$B,$I767),1)</f>
        <v>160.24151741415</v>
      </c>
      <c r="W767" s="79">
        <f>tbl_Data_old[[#This Row],[2026 ]]*IFERROR(AVERAGEIFS('Participation Adjustment'!$C:$C,'Participation Adjustment'!$A:$A,$H767,'Participation Adjustment'!$B:$B,$I767),1)</f>
        <v>294.185308713518</v>
      </c>
      <c r="X767" s="79">
        <f>tbl_Data_old[[#This Row],[2027 ]]*IFERROR(AVERAGEIFS('Participation Adjustment'!$C:$C,'Participation Adjustment'!$A:$A,$H767,'Participation Adjustment'!$B:$B,$I767),1)</f>
        <v>405.12446570280002</v>
      </c>
      <c r="Y767" s="79">
        <f>tbl_Data_old[[#This Row],[2028 ]]*IFERROR(AVERAGEIFS('Participation Adjustment'!$C:$C,'Participation Adjustment'!$A:$A,$H767,'Participation Adjustment'!$B:$B,$I767),1)</f>
        <v>497.62574793130801</v>
      </c>
      <c r="Z767" s="79">
        <f>tbl_Data_old[[#This Row],[2029 ]]*IFERROR(AVERAGEIFS('Participation Adjustment'!$C:$C,'Participation Adjustment'!$A:$A,$H767,'Participation Adjustment'!$B:$B,$I767),1)</f>
        <v>574.48502705420401</v>
      </c>
      <c r="AA767" s="79">
        <f>tbl_Data_old[[#This Row],[2030 ]]*IFERROR(AVERAGEIFS('Participation Adjustment'!$C:$C,'Participation Adjustment'!$A:$A,$H767,'Participation Adjustment'!$B:$B,$I767),1)</f>
        <v>638.66972941650795</v>
      </c>
      <c r="AB767" s="79">
        <f>tbl_Data_old[[#This Row],[2031 ]]*IFERROR(AVERAGEIFS('Participation Adjustment'!$C:$C,'Participation Adjustment'!$A:$A,$H767,'Participation Adjustment'!$B:$B,$I767),1)</f>
        <v>692.71067259747497</v>
      </c>
      <c r="AC767" s="79">
        <f>tbl_Data_old[[#This Row],[2032 ]]*IFERROR(AVERAGEIFS('Participation Adjustment'!$C:$C,'Participation Adjustment'!$A:$A,$H767,'Participation Adjustment'!$B:$B,$I767),1)</f>
        <v>738.348828106155</v>
      </c>
      <c r="AD767" s="79">
        <f>tbl_Data_old[[#This Row],[2033 ]]*IFERROR(AVERAGEIFS('Participation Adjustment'!$C:$C,'Participation Adjustment'!$A:$A,$H767,'Participation Adjustment'!$B:$B,$I767),1)</f>
        <v>777.48358093613194</v>
      </c>
      <c r="AE767" s="79">
        <f>tbl_Data_old[[#This Row],[2034 ]]*IFERROR(AVERAGEIFS('Participation Adjustment'!$C:$C,'Participation Adjustment'!$A:$A,$H767,'Participation Adjustment'!$B:$B,$I767),1)</f>
        <v>811.41707121406603</v>
      </c>
      <c r="AF767" s="77" t="str">
        <f t="shared" si="319"/>
        <v>NonResidential</v>
      </c>
      <c r="AG767" s="77" t="str">
        <f>tbl_Data[[#This Row],[All_Meas_Name_Append]]</f>
        <v>Smart thermostat</v>
      </c>
      <c r="AH767" s="77">
        <f>AVERAGEIFS('3. Incentive Adjustment'!G:G,'3. Incentive Adjustment'!A:A,tbl_Data[[#This Row],[Trimmed Sector]],'3. Incentive Adjustment'!B:B,tbl_Data[[#This Row],[Trimmed Measure Name]])</f>
        <v>0.87546479230069263</v>
      </c>
      <c r="AI767" s="77">
        <f>$AH767*tbl_Data[[#This Row],[2025 ]]</f>
        <v>140.28580676092665</v>
      </c>
      <c r="AJ767" s="77">
        <f>$AH767*tbl_Data[[#This Row],[2026 ]]</f>
        <v>257.54888019079516</v>
      </c>
      <c r="AK767" s="77">
        <f>$AH767*tbl_Data[[#This Row],[2027 ]]</f>
        <v>354.67220622243087</v>
      </c>
      <c r="AL767" s="77">
        <f>$AH767*tbl_Data[[#This Row],[2028 ]]</f>
        <v>435.65382205615941</v>
      </c>
      <c r="AM767" s="77">
        <f>$AH767*tbl_Data[[#This Row],[2029 ]]</f>
        <v>502.94141488986651</v>
      </c>
      <c r="AN767" s="77">
        <f>$AH767*tbl_Data[[#This Row],[2030 ]]</f>
        <v>559.13286201236269</v>
      </c>
      <c r="AO767" s="77">
        <f>$AH767*tbl_Data[[#This Row],[2031 ]]</f>
        <v>606.44380511002157</v>
      </c>
      <c r="AP767" s="77">
        <f>$AH767*tbl_Data[[#This Row],[2032 ]]</f>
        <v>646.39840344341474</v>
      </c>
      <c r="AQ767" s="77">
        <f>$AH767*tbl_Data[[#This Row],[2033 ]]</f>
        <v>680.65950170144947</v>
      </c>
      <c r="AR767" s="77">
        <f>$AH767*tbl_Data[[#This Row],[2034 ]]</f>
        <v>710.3670777196586</v>
      </c>
      <c r="AS767" s="77">
        <f>SUM(tbl_Data[[#This Row],[Adjusted 2025]:[Adjusted 2034]])</f>
        <v>4894.1037801070852</v>
      </c>
      <c r="AT767" s="80">
        <f>AVERAGEIFS('3. Incentive Adjustment'!F:F,'3. Incentive Adjustment'!A:A,tbl_Data[[#This Row],[Trimmed Sector]],'3. Incentive Adjustment'!B:B,tbl_Data[[#This Row],[Trimmed Measure Name]])</f>
        <v>50</v>
      </c>
      <c r="AU767" s="80">
        <f>IFERROR(VLOOKUP(tbl_Data[[#This Row],[All_Meas_Name_Append]],'IRA Tax Credits'!$A$3:$D$46,4,0),0)</f>
        <v>0</v>
      </c>
      <c r="AV767" s="81">
        <f>tbl_Data[[#This Row],[Adj. per unit Incentive ($)]]/tbl_Data[[#This Row],[kWh Savings]]*tbl_Data[[#This Row],[Sum of Annuals]]</f>
        <v>5.1812738084298049</v>
      </c>
      <c r="AW767" s="81" t="str">
        <f>IFERROR(VLOOKUP(tbl_Data[[#This Row],[Column1]],'1. Set Program Names'!$B$2:$D$15,3,0)*tbl_Data[[#This Row],[Sum of Annuals]],"")</f>
        <v/>
      </c>
      <c r="AX767" s="81">
        <f>tbl_Data[[#This Row],[per unit IRA tax ($)]]/tbl_Data[[#This Row],[kWh Savings]]*tbl_Data[[#This Row],[Sum of Annuals]]</f>
        <v>0</v>
      </c>
      <c r="AY767" s="81">
        <f>tbl_Data[[#This Row],[Avoided Costs ($/unit)]]/tbl_Data[[#This Row],[kWh Savings]]*tbl_Data[[#This Row],[Sum of Annuals]]</f>
        <v>1753.1920464089799</v>
      </c>
      <c r="AZ767" s="81">
        <f>tbl_Data[[#This Row],[Lost Revenue ($/unit)]]/tbl_Data[[#This Row],[kWh Savings]]*tbl_Data[[#This Row],[Sum of Annuals]]</f>
        <v>4218.8486935211777</v>
      </c>
      <c r="BA767" s="81">
        <f>tbl_Data[[#This Row],[Incremental Cost ($/unit)]]/tbl_Data[[#This Row],[kWh Savings]]*tbl_Data[[#This Row],[Sum of Annuals]]</f>
        <v>1152.7297968994628</v>
      </c>
      <c r="BB767" s="77">
        <f>ROUNDUP(tbl_Data[[#This Row],[Adjusted 2025]]/$L767,0)</f>
        <v>1</v>
      </c>
      <c r="BC767" s="77">
        <f>ROUNDUP(tbl_Data[[#This Row],[Adjusted 2026]]/$L767,0)</f>
        <v>1</v>
      </c>
      <c r="BD767" s="77">
        <f>ROUNDUP(tbl_Data[[#This Row],[Adjusted 2027]]/$L767,0)</f>
        <v>1</v>
      </c>
      <c r="BE767" s="77">
        <f>ROUNDUP(tbl_Data[[#This Row],[Adjusted 2028]]/$L767,0)</f>
        <v>1</v>
      </c>
      <c r="BF767" s="77">
        <f>ROUNDUP(tbl_Data[[#This Row],[Adjusted 2029]]/$L767,0)</f>
        <v>1</v>
      </c>
      <c r="BG767" s="77">
        <f>ROUNDUP(tbl_Data[[#This Row],[Adjusted 2030]]/$L767,0)</f>
        <v>1</v>
      </c>
      <c r="BH767" s="77">
        <f>ROUNDUP(tbl_Data[[#This Row],[Adjusted 2031]]/$L767,0)</f>
        <v>1</v>
      </c>
      <c r="BI767" s="77">
        <f>ROUNDUP(tbl_Data[[#This Row],[Adjusted 2032]]/$L767,0)</f>
        <v>1</v>
      </c>
      <c r="BJ767" s="77">
        <f>ROUNDUP(tbl_Data[[#This Row],[Adjusted 2033]]/$L767,0)</f>
        <v>1</v>
      </c>
      <c r="BK767" s="77">
        <f>ROUNDUP(tbl_Data[[#This Row],[Adjusted 2034]]/$L767,0)</f>
        <v>1</v>
      </c>
      <c r="BL767" s="80">
        <f t="shared" si="320"/>
        <v>0.16964396639394874</v>
      </c>
      <c r="BM767" s="80">
        <f t="shared" si="321"/>
        <v>0.31144714197883966</v>
      </c>
      <c r="BN767" s="80">
        <f t="shared" si="322"/>
        <v>0.42889584643301293</v>
      </c>
      <c r="BO767" s="80">
        <f t="shared" si="323"/>
        <v>0.52682480184356928</v>
      </c>
      <c r="BP767" s="80">
        <f t="shared" si="324"/>
        <v>0.60819393248459197</v>
      </c>
      <c r="BQ767" s="80">
        <f t="shared" si="325"/>
        <v>0.67614478358901864</v>
      </c>
      <c r="BR767" s="80">
        <f t="shared" si="326"/>
        <v>0.73335667284737449</v>
      </c>
      <c r="BS767" s="80">
        <f t="shared" si="327"/>
        <v>0.78167272629179008</v>
      </c>
      <c r="BT767" s="80">
        <f t="shared" si="328"/>
        <v>0.82310377862490947</v>
      </c>
      <c r="BU767" s="80">
        <f t="shared" si="329"/>
        <v>0.85902837530394027</v>
      </c>
      <c r="BV767" s="80" t="str">
        <f>IFERROR(VLOOKUP($H767,'1. Set Program Names'!$B$2:$D$15,3,0)*V767,"NA")</f>
        <v>NA</v>
      </c>
      <c r="BW767" s="80" t="str">
        <f>IFERROR(VLOOKUP($H767,'1. Set Program Names'!$B$2:$D$15,3,0)*W767,"NA")</f>
        <v>NA</v>
      </c>
      <c r="BX767" s="80" t="str">
        <f>IFERROR(VLOOKUP($H767,'1. Set Program Names'!$B$2:$D$15,3,0)*X767,"NA")</f>
        <v>NA</v>
      </c>
      <c r="BY767" s="80" t="str">
        <f>IFERROR(VLOOKUP($H767,'1. Set Program Names'!$B$2:$D$15,3,0)*Y767,"NA")</f>
        <v>NA</v>
      </c>
      <c r="BZ767" s="80" t="str">
        <f>IFERROR(VLOOKUP($H767,'1. Set Program Names'!$B$2:$D$15,3,0)*Z767,"NA")</f>
        <v>NA</v>
      </c>
      <c r="CA767" s="80" t="str">
        <f>IFERROR(VLOOKUP($H767,'1. Set Program Names'!$B$2:$D$15,3,0)*AA767,"NA")</f>
        <v>NA</v>
      </c>
      <c r="CB767" s="80" t="str">
        <f>IFERROR(VLOOKUP($H767,'1. Set Program Names'!$B$2:$D$15,3,0)*AB767,"NA")</f>
        <v>NA</v>
      </c>
      <c r="CC767" s="80" t="str">
        <f>IFERROR(VLOOKUP($H767,'1. Set Program Names'!$B$2:$D$15,3,0)*AC767,"NA")</f>
        <v>NA</v>
      </c>
      <c r="CD767" s="80" t="str">
        <f>IFERROR(VLOOKUP($H767,'1. Set Program Names'!$B$2:$D$15,3,0)*AD767,"NA")</f>
        <v>NA</v>
      </c>
      <c r="CE767" s="80" t="str">
        <f>IFERROR(VLOOKUP($H767,'1. Set Program Names'!$B$2:$D$15,3,0)*AE767,"NA")</f>
        <v>NA</v>
      </c>
    </row>
    <row r="768" spans="1:83" x14ac:dyDescent="0.25">
      <c r="A768" s="79" t="s">
        <v>114</v>
      </c>
      <c r="B768" s="79" t="s">
        <v>88</v>
      </c>
      <c r="C768" s="79" t="s">
        <v>176</v>
      </c>
      <c r="D768" s="79" t="s">
        <v>90</v>
      </c>
      <c r="E768" s="79" t="s">
        <v>91</v>
      </c>
      <c r="F768" s="79" t="s">
        <v>90</v>
      </c>
      <c r="G768" s="79" t="s">
        <v>92</v>
      </c>
      <c r="H768" s="79" t="s">
        <v>20</v>
      </c>
      <c r="I768" s="79" t="s">
        <v>196</v>
      </c>
      <c r="J768" s="79" t="s">
        <v>129</v>
      </c>
      <c r="K768" s="79" t="s">
        <v>102</v>
      </c>
      <c r="L768" s="79">
        <v>450182.94333333202</v>
      </c>
      <c r="M768" s="79">
        <v>53.933758643237098</v>
      </c>
      <c r="N768" s="79">
        <v>51.954919827550498</v>
      </c>
      <c r="O768" s="79">
        <v>125734.46</v>
      </c>
      <c r="P768" s="79">
        <v>37957.822069457201</v>
      </c>
      <c r="Q768" s="79">
        <v>27010.9765999999</v>
      </c>
      <c r="R768" s="79">
        <v>216071.26156350001</v>
      </c>
      <c r="S768" s="79">
        <v>564970.75021643203</v>
      </c>
      <c r="T768" s="79">
        <v>20</v>
      </c>
      <c r="U768" s="79">
        <v>1</v>
      </c>
      <c r="V768" s="79">
        <f>tbl_Data_old[[#This Row],[2025 ]]*IFERROR(AVERAGEIFS('Participation Adjustment'!$C:$C,'Participation Adjustment'!$A:$A,$H768,'Participation Adjustment'!$B:$B,$I768),1)</f>
        <v>0.116969254609329</v>
      </c>
      <c r="W768" s="79">
        <f>tbl_Data_old[[#This Row],[2026 ]]*IFERROR(AVERAGEIFS('Participation Adjustment'!$C:$C,'Participation Adjustment'!$A:$A,$H768,'Participation Adjustment'!$B:$B,$I768),1)</f>
        <v>0.124255034312989</v>
      </c>
      <c r="X768" s="79">
        <f>tbl_Data_old[[#This Row],[2027 ]]*IFERROR(AVERAGEIFS('Participation Adjustment'!$C:$C,'Participation Adjustment'!$A:$A,$H768,'Participation Adjustment'!$B:$B,$I768),1)</f>
        <v>0.12983797477741499</v>
      </c>
      <c r="Y768" s="79">
        <f>tbl_Data_old[[#This Row],[2028 ]]*IFERROR(AVERAGEIFS('Participation Adjustment'!$C:$C,'Participation Adjustment'!$A:$A,$H768,'Participation Adjustment'!$B:$B,$I768),1)</f>
        <v>0.14291508613964801</v>
      </c>
      <c r="Z768" s="79">
        <f>tbl_Data_old[[#This Row],[2029 ]]*IFERROR(AVERAGEIFS('Participation Adjustment'!$C:$C,'Participation Adjustment'!$A:$A,$H768,'Participation Adjustment'!$B:$B,$I768),1)</f>
        <v>0.14579713616832399</v>
      </c>
      <c r="AA768" s="79">
        <f>tbl_Data_old[[#This Row],[2030 ]]*IFERROR(AVERAGEIFS('Participation Adjustment'!$C:$C,'Participation Adjustment'!$A:$A,$H768,'Participation Adjustment'!$B:$B,$I768),1)</f>
        <v>0.15205978348108801</v>
      </c>
      <c r="AB768" s="79">
        <f>tbl_Data_old[[#This Row],[2031 ]]*IFERROR(AVERAGEIFS('Participation Adjustment'!$C:$C,'Participation Adjustment'!$A:$A,$H768,'Participation Adjustment'!$B:$B,$I768),1)</f>
        <v>0.16018434861154099</v>
      </c>
      <c r="AC768" s="79">
        <f>tbl_Data_old[[#This Row],[2032 ]]*IFERROR(AVERAGEIFS('Participation Adjustment'!$C:$C,'Participation Adjustment'!$A:$A,$H768,'Participation Adjustment'!$B:$B,$I768),1)</f>
        <v>0.16363057990284799</v>
      </c>
      <c r="AD768" s="79">
        <f>tbl_Data_old[[#This Row],[2033 ]]*IFERROR(AVERAGEIFS('Participation Adjustment'!$C:$C,'Participation Adjustment'!$A:$A,$H768,'Participation Adjustment'!$B:$B,$I768),1)</f>
        <v>0.171440427094811</v>
      </c>
      <c r="AE768" s="79">
        <f>tbl_Data_old[[#This Row],[2034 ]]*IFERROR(AVERAGEIFS('Participation Adjustment'!$C:$C,'Participation Adjustment'!$A:$A,$H768,'Participation Adjustment'!$B:$B,$I768),1)</f>
        <v>0.17881010517964799</v>
      </c>
      <c r="AF768" s="77" t="str">
        <f t="shared" si="319"/>
        <v>NonResidential</v>
      </c>
      <c r="AG768" s="77" t="str">
        <f>tbl_Data[[#This Row],[All_Meas_Name_Append]]</f>
        <v>LEED New Construction Whole Building</v>
      </c>
      <c r="AH768" s="77">
        <f>AVERAGEIFS('3. Incentive Adjustment'!G:G,'3. Incentive Adjustment'!A:A,tbl_Data[[#This Row],[Trimmed Sector]],'3. Incentive Adjustment'!B:B,tbl_Data[[#This Row],[Trimmed Measure Name]])</f>
        <v>0.99860907400071952</v>
      </c>
      <c r="AI768" s="77">
        <f>$AH768*tbl_Data[[#This Row],[2025 ]]</f>
        <v>0.11680655903197643</v>
      </c>
      <c r="AJ768" s="77">
        <f>$AH768*tbl_Data[[#This Row],[2026 ]]</f>
        <v>0.12408220475522157</v>
      </c>
      <c r="AK768" s="77">
        <f>$AH768*tbl_Data[[#This Row],[2027 ]]</f>
        <v>0.12965737976260316</v>
      </c>
      <c r="AL768" s="77">
        <f>$AH768*tbl_Data[[#This Row],[2028 ]]</f>
        <v>0.14271630183064696</v>
      </c>
      <c r="AM768" s="77">
        <f>$AH768*tbl_Data[[#This Row],[2029 ]]</f>
        <v>0.14559434314100683</v>
      </c>
      <c r="AN768" s="77">
        <f>$AH768*tbl_Data[[#This Row],[2030 ]]</f>
        <v>0.15184827957479921</v>
      </c>
      <c r="AO768" s="77">
        <f>$AH768*tbl_Data[[#This Row],[2031 ]]</f>
        <v>0.15996154403637938</v>
      </c>
      <c r="AP768" s="77">
        <f>$AH768*tbl_Data[[#This Row],[2032 ]]</f>
        <v>0.16340298187498378</v>
      </c>
      <c r="AQ768" s="77">
        <f>$AH768*tbl_Data[[#This Row],[2033 ]]</f>
        <v>0.17120196614743707</v>
      </c>
      <c r="AR768" s="77">
        <f>$AH768*tbl_Data[[#This Row],[2034 ]]</f>
        <v>0.17856139355541953</v>
      </c>
      <c r="AS768" s="77">
        <f>SUM(tbl_Data[[#This Row],[Adjusted 2025]:[Adjusted 2034]])</f>
        <v>1.483832953710474</v>
      </c>
      <c r="AT768" s="80">
        <f>AVERAGEIFS('3. Incentive Adjustment'!F:F,'3. Incentive Adjustment'!A:A,tbl_Data[[#This Row],[Trimmed Sector]],'3. Incentive Adjustment'!B:B,tbl_Data[[#This Row],[Trimmed Measure Name]])</f>
        <v>37720.338000000003</v>
      </c>
      <c r="AU768" s="80">
        <f>IFERROR(VLOOKUP(tbl_Data[[#This Row],[All_Meas_Name_Append]],'IRA Tax Credits'!$A$3:$D$46,4,0),0)</f>
        <v>0</v>
      </c>
      <c r="AV768" s="81">
        <f>tbl_Data[[#This Row],[Adj. per unit Incentive ($)]]/tbl_Data[[#This Row],[kWh Savings]]*tbl_Data[[#This Row],[Sum of Annuals]]</f>
        <v>0.12432874540974041</v>
      </c>
      <c r="AW768" s="81" t="str">
        <f>IFERROR(VLOOKUP(tbl_Data[[#This Row],[Column1]],'1. Set Program Names'!$B$2:$D$15,3,0)*tbl_Data[[#This Row],[Sum of Annuals]],"")</f>
        <v/>
      </c>
      <c r="AX768" s="81">
        <f>tbl_Data[[#This Row],[per unit IRA tax ($)]]/tbl_Data[[#This Row],[kWh Savings]]*tbl_Data[[#This Row],[Sum of Annuals]]</f>
        <v>0</v>
      </c>
      <c r="AY768" s="81">
        <f>tbl_Data[[#This Row],[Avoided Costs ($/unit)]]/tbl_Data[[#This Row],[kWh Savings]]*tbl_Data[[#This Row],[Sum of Annuals]]</f>
        <v>0.71218526380356983</v>
      </c>
      <c r="AZ768" s="81">
        <f>tbl_Data[[#This Row],[Lost Revenue ($/unit)]]/tbl_Data[[#This Row],[kWh Savings]]*tbl_Data[[#This Row],[Sum of Annuals]]</f>
        <v>1.8621812075917459</v>
      </c>
      <c r="BA768" s="81">
        <f>tbl_Data[[#This Row],[Incremental Cost ($/unit)]]/tbl_Data[[#This Row],[kWh Savings]]*tbl_Data[[#This Row],[Sum of Annuals]]</f>
        <v>0.41442915136580138</v>
      </c>
      <c r="BB768" s="77">
        <f>ROUNDUP(tbl_Data[[#This Row],[Adjusted 2025]]/$L768,0)</f>
        <v>1</v>
      </c>
      <c r="BC768" s="77">
        <f>ROUNDUP(tbl_Data[[#This Row],[Adjusted 2026]]/$L768,0)</f>
        <v>1</v>
      </c>
      <c r="BD768" s="77">
        <f>ROUNDUP(tbl_Data[[#This Row],[Adjusted 2027]]/$L768,0)</f>
        <v>1</v>
      </c>
      <c r="BE768" s="77">
        <f>ROUNDUP(tbl_Data[[#This Row],[Adjusted 2028]]/$L768,0)</f>
        <v>1</v>
      </c>
      <c r="BF768" s="77">
        <f>ROUNDUP(tbl_Data[[#This Row],[Adjusted 2029]]/$L768,0)</f>
        <v>1</v>
      </c>
      <c r="BG768" s="77">
        <f>ROUNDUP(tbl_Data[[#This Row],[Adjusted 2030]]/$L768,0)</f>
        <v>1</v>
      </c>
      <c r="BH768" s="77">
        <f>ROUNDUP(tbl_Data[[#This Row],[Adjusted 2031]]/$L768,0)</f>
        <v>1</v>
      </c>
      <c r="BI768" s="77">
        <f>ROUNDUP(tbl_Data[[#This Row],[Adjusted 2032]]/$L768,0)</f>
        <v>1</v>
      </c>
      <c r="BJ768" s="77">
        <f>ROUNDUP(tbl_Data[[#This Row],[Adjusted 2033]]/$L768,0)</f>
        <v>1</v>
      </c>
      <c r="BK768" s="77">
        <f>ROUNDUP(tbl_Data[[#This Row],[Adjusted 2034]]/$L768,0)</f>
        <v>1</v>
      </c>
      <c r="BL768" s="80">
        <f t="shared" si="320"/>
        <v>9.8007263154016293E-3</v>
      </c>
      <c r="BM768" s="80">
        <f t="shared" si="321"/>
        <v>1.0411193853289013E-2</v>
      </c>
      <c r="BN768" s="80">
        <f t="shared" si="322"/>
        <v>1.0878982347879082E-2</v>
      </c>
      <c r="BO768" s="80">
        <f t="shared" si="323"/>
        <v>1.1974699251311012E-2</v>
      </c>
      <c r="BP768" s="80">
        <f t="shared" si="324"/>
        <v>1.2216183080995055E-2</v>
      </c>
      <c r="BQ768" s="80">
        <f t="shared" si="325"/>
        <v>1.2740923471341958E-2</v>
      </c>
      <c r="BR768" s="80">
        <f t="shared" si="326"/>
        <v>1.3421671925635982E-2</v>
      </c>
      <c r="BS768" s="80">
        <f t="shared" si="327"/>
        <v>1.3710427888204793E-2</v>
      </c>
      <c r="BT768" s="80">
        <f t="shared" si="328"/>
        <v>1.4364806469560929E-2</v>
      </c>
      <c r="BU768" s="80">
        <f t="shared" si="329"/>
        <v>1.498230376133507E-2</v>
      </c>
      <c r="BV768" s="80" t="str">
        <f>IFERROR(VLOOKUP($H768,'1. Set Program Names'!$B$2:$D$15,3,0)*V768,"NA")</f>
        <v>NA</v>
      </c>
      <c r="BW768" s="80" t="str">
        <f>IFERROR(VLOOKUP($H768,'1. Set Program Names'!$B$2:$D$15,3,0)*W768,"NA")</f>
        <v>NA</v>
      </c>
      <c r="BX768" s="80" t="str">
        <f>IFERROR(VLOOKUP($H768,'1. Set Program Names'!$B$2:$D$15,3,0)*X768,"NA")</f>
        <v>NA</v>
      </c>
      <c r="BY768" s="80" t="str">
        <f>IFERROR(VLOOKUP($H768,'1. Set Program Names'!$B$2:$D$15,3,0)*Y768,"NA")</f>
        <v>NA</v>
      </c>
      <c r="BZ768" s="80" t="str">
        <f>IFERROR(VLOOKUP($H768,'1. Set Program Names'!$B$2:$D$15,3,0)*Z768,"NA")</f>
        <v>NA</v>
      </c>
      <c r="CA768" s="80" t="str">
        <f>IFERROR(VLOOKUP($H768,'1. Set Program Names'!$B$2:$D$15,3,0)*AA768,"NA")</f>
        <v>NA</v>
      </c>
      <c r="CB768" s="80" t="str">
        <f>IFERROR(VLOOKUP($H768,'1. Set Program Names'!$B$2:$D$15,3,0)*AB768,"NA")</f>
        <v>NA</v>
      </c>
      <c r="CC768" s="80" t="str">
        <f>IFERROR(VLOOKUP($H768,'1. Set Program Names'!$B$2:$D$15,3,0)*AC768,"NA")</f>
        <v>NA</v>
      </c>
      <c r="CD768" s="80" t="str">
        <f>IFERROR(VLOOKUP($H768,'1. Set Program Names'!$B$2:$D$15,3,0)*AD768,"NA")</f>
        <v>NA</v>
      </c>
      <c r="CE768" s="80" t="str">
        <f>IFERROR(VLOOKUP($H768,'1. Set Program Names'!$B$2:$D$15,3,0)*AE768,"NA")</f>
        <v>NA</v>
      </c>
    </row>
    <row r="769" spans="1:83" x14ac:dyDescent="0.25">
      <c r="A769" s="79" t="s">
        <v>114</v>
      </c>
      <c r="B769" s="79" t="s">
        <v>88</v>
      </c>
      <c r="C769" s="79" t="s">
        <v>176</v>
      </c>
      <c r="D769" s="79" t="s">
        <v>90</v>
      </c>
      <c r="E769" s="79" t="s">
        <v>91</v>
      </c>
      <c r="F769" s="79" t="s">
        <v>90</v>
      </c>
      <c r="G769" s="79" t="s">
        <v>92</v>
      </c>
      <c r="H769" s="79" t="s">
        <v>20</v>
      </c>
      <c r="I769" s="79" t="s">
        <v>155</v>
      </c>
      <c r="J769" s="79" t="s">
        <v>129</v>
      </c>
      <c r="K769" s="79" t="s">
        <v>102</v>
      </c>
      <c r="L769" s="79">
        <v>47228.7699999998</v>
      </c>
      <c r="M769" s="79">
        <v>5.6581998938837703</v>
      </c>
      <c r="N769" s="79">
        <v>5.4505995734426298</v>
      </c>
      <c r="O769" s="79">
        <v>11124</v>
      </c>
      <c r="P769" s="79">
        <v>2435.8852359673701</v>
      </c>
      <c r="Q769" s="79">
        <v>2833.7261999999801</v>
      </c>
      <c r="R769" s="79">
        <v>16918.542729362998</v>
      </c>
      <c r="S769" s="79">
        <v>40712.4661763408</v>
      </c>
      <c r="T769" s="79">
        <v>11</v>
      </c>
      <c r="U769" s="79">
        <v>0.05</v>
      </c>
      <c r="V769" s="79">
        <f>tbl_Data_old[[#This Row],[2025 ]]*IFERROR(AVERAGEIFS('Participation Adjustment'!$C:$C,'Participation Adjustment'!$A:$A,$H769,'Participation Adjustment'!$B:$B,$I769),1)</f>
        <v>1.9197589452965302E-2</v>
      </c>
      <c r="W769" s="79">
        <f>tbl_Data_old[[#This Row],[2026 ]]*IFERROR(AVERAGEIFS('Participation Adjustment'!$C:$C,'Participation Adjustment'!$A:$A,$H769,'Participation Adjustment'!$B:$B,$I769),1)</f>
        <v>1.6047014260936202E-2</v>
      </c>
      <c r="X769" s="79">
        <f>tbl_Data_old[[#This Row],[2027 ]]*IFERROR(AVERAGEIFS('Participation Adjustment'!$C:$C,'Participation Adjustment'!$A:$A,$H769,'Participation Adjustment'!$B:$B,$I769),1)</f>
        <v>1.32909649415878E-2</v>
      </c>
      <c r="Y769" s="79">
        <f>tbl_Data_old[[#This Row],[2028 ]]*IFERROR(AVERAGEIFS('Participation Adjustment'!$C:$C,'Participation Adjustment'!$A:$A,$H769,'Participation Adjustment'!$B:$B,$I769),1)</f>
        <v>1.10820321022431E-2</v>
      </c>
      <c r="Z769" s="79">
        <f>tbl_Data_old[[#This Row],[2029 ]]*IFERROR(AVERAGEIFS('Participation Adjustment'!$C:$C,'Participation Adjustment'!$A:$A,$H769,'Participation Adjustment'!$B:$B,$I769),1)</f>
        <v>9.2080561271690696E-3</v>
      </c>
      <c r="AA769" s="79">
        <f>tbl_Data_old[[#This Row],[2030 ]]*IFERROR(AVERAGEIFS('Participation Adjustment'!$C:$C,'Participation Adjustment'!$A:$A,$H769,'Participation Adjustment'!$B:$B,$I769),1)</f>
        <v>7.6895899701675497E-3</v>
      </c>
      <c r="AB769" s="79">
        <f>tbl_Data_old[[#This Row],[2031 ]]*IFERROR(AVERAGEIFS('Participation Adjustment'!$C:$C,'Participation Adjustment'!$A:$A,$H769,'Participation Adjustment'!$B:$B,$I769),1)</f>
        <v>6.4743261146104304E-3</v>
      </c>
      <c r="AC769" s="79">
        <f>tbl_Data_old[[#This Row],[2032 ]]*IFERROR(AVERAGEIFS('Participation Adjustment'!$C:$C,'Participation Adjustment'!$A:$A,$H769,'Participation Adjustment'!$B:$B,$I769),1)</f>
        <v>5.4676377694414203E-3</v>
      </c>
      <c r="AD769" s="79">
        <f>tbl_Data_old[[#This Row],[2033 ]]*IFERROR(AVERAGEIFS('Participation Adjustment'!$C:$C,'Participation Adjustment'!$A:$A,$H769,'Participation Adjustment'!$B:$B,$I769),1)</f>
        <v>4.6885035182950398E-3</v>
      </c>
      <c r="AE769" s="79">
        <f>tbl_Data_old[[#This Row],[2034 ]]*IFERROR(AVERAGEIFS('Participation Adjustment'!$C:$C,'Participation Adjustment'!$A:$A,$H769,'Participation Adjustment'!$B:$B,$I769),1)</f>
        <v>4.0653709823422401E-3</v>
      </c>
      <c r="AF769" s="77" t="str">
        <f t="shared" si="319"/>
        <v>NonResidential</v>
      </c>
      <c r="AG769" s="77" t="str">
        <f>tbl_Data[[#This Row],[All_Meas_Name_Append]]</f>
        <v>Smart thermostat</v>
      </c>
      <c r="AH769" s="77">
        <f>AVERAGEIFS('3. Incentive Adjustment'!G:G,'3. Incentive Adjustment'!A:A,tbl_Data[[#This Row],[Trimmed Sector]],'3. Incentive Adjustment'!B:B,tbl_Data[[#This Row],[Trimmed Measure Name]])</f>
        <v>0.87546479230069263</v>
      </c>
      <c r="AI769" s="77">
        <f>$AH769*tbl_Data[[#This Row],[2025 ]]</f>
        <v>1.6806813663114234E-2</v>
      </c>
      <c r="AJ769" s="77">
        <f>$AH769*tbl_Data[[#This Row],[2026 ]]</f>
        <v>1.4048596006996764E-2</v>
      </c>
      <c r="AK769" s="77">
        <f>$AH769*tbl_Data[[#This Row],[2027 ]]</f>
        <v>1.163577186206295E-2</v>
      </c>
      <c r="AL769" s="77">
        <f>$AH769*tbl_Data[[#This Row],[2028 ]]</f>
        <v>9.7019289326598628E-3</v>
      </c>
      <c r="AM769" s="77">
        <f>$AH769*tbl_Data[[#This Row],[2029 ]]</f>
        <v>8.0613289448651891E-3</v>
      </c>
      <c r="AN769" s="77">
        <f>$AH769*tbl_Data[[#This Row],[2030 ]]</f>
        <v>6.7319652861102235E-3</v>
      </c>
      <c r="AO769" s="77">
        <f>$AH769*tbl_Data[[#This Row],[2031 ]]</f>
        <v>5.6680445672143706E-3</v>
      </c>
      <c r="AP769" s="77">
        <f>$AH769*tbl_Data[[#This Row],[2032 ]]</f>
        <v>4.7867243641994553E-3</v>
      </c>
      <c r="AQ769" s="77">
        <f>$AH769*tbl_Data[[#This Row],[2033 ]]</f>
        <v>4.1046197588452335E-3</v>
      </c>
      <c r="AR769" s="77">
        <f>$AH769*tbl_Data[[#This Row],[2034 ]]</f>
        <v>3.559089162681512E-3</v>
      </c>
      <c r="AS769" s="77">
        <f>SUM(tbl_Data[[#This Row],[Adjusted 2025]:[Adjusted 2034]])</f>
        <v>8.5104882548749802E-2</v>
      </c>
      <c r="AT769" s="80">
        <f>AVERAGEIFS('3. Incentive Adjustment'!F:F,'3. Incentive Adjustment'!A:A,tbl_Data[[#This Row],[Trimmed Sector]],'3. Incentive Adjustment'!B:B,tbl_Data[[#This Row],[Trimmed Measure Name]])</f>
        <v>50</v>
      </c>
      <c r="AU769" s="80">
        <f>IFERROR(VLOOKUP(tbl_Data[[#This Row],[All_Meas_Name_Append]],'IRA Tax Credits'!$A$3:$D$46,4,0),0)</f>
        <v>0</v>
      </c>
      <c r="AV769" s="81">
        <f>tbl_Data[[#This Row],[Adj. per unit Incentive ($)]]/tbl_Data[[#This Row],[kWh Savings]]*tbl_Data[[#This Row],[Sum of Annuals]]</f>
        <v>9.0098559150227886E-5</v>
      </c>
      <c r="AW769" s="81" t="str">
        <f>IFERROR(VLOOKUP(tbl_Data[[#This Row],[Column1]],'1. Set Program Names'!$B$2:$D$15,3,0)*tbl_Data[[#This Row],[Sum of Annuals]],"")</f>
        <v/>
      </c>
      <c r="AX769" s="81">
        <f>tbl_Data[[#This Row],[per unit IRA tax ($)]]/tbl_Data[[#This Row],[kWh Savings]]*tbl_Data[[#This Row],[Sum of Annuals]]</f>
        <v>0</v>
      </c>
      <c r="AY769" s="81">
        <f>tbl_Data[[#This Row],[Avoided Costs ($/unit)]]/tbl_Data[[#This Row],[kWh Savings]]*tbl_Data[[#This Row],[Sum of Annuals]]</f>
        <v>3.0486726456743399E-2</v>
      </c>
      <c r="AZ769" s="81">
        <f>tbl_Data[[#This Row],[Lost Revenue ($/unit)]]/tbl_Data[[#This Row],[kWh Savings]]*tbl_Data[[#This Row],[Sum of Annuals]]</f>
        <v>7.3362690838813874E-2</v>
      </c>
      <c r="BA769" s="81">
        <f>tbl_Data[[#This Row],[Incremental Cost ($/unit)]]/tbl_Data[[#This Row],[kWh Savings]]*tbl_Data[[#This Row],[Sum of Annuals]]</f>
        <v>2.00451274397427E-2</v>
      </c>
      <c r="BB769" s="77">
        <f>ROUNDUP(tbl_Data[[#This Row],[Adjusted 2025]]/$L769,0)</f>
        <v>1</v>
      </c>
      <c r="BC769" s="77">
        <f>ROUNDUP(tbl_Data[[#This Row],[Adjusted 2026]]/$L769,0)</f>
        <v>1</v>
      </c>
      <c r="BD769" s="77">
        <f>ROUNDUP(tbl_Data[[#This Row],[Adjusted 2027]]/$L769,0)</f>
        <v>1</v>
      </c>
      <c r="BE769" s="77">
        <f>ROUNDUP(tbl_Data[[#This Row],[Adjusted 2028]]/$L769,0)</f>
        <v>1</v>
      </c>
      <c r="BF769" s="77">
        <f>ROUNDUP(tbl_Data[[#This Row],[Adjusted 2029]]/$L769,0)</f>
        <v>1</v>
      </c>
      <c r="BG769" s="77">
        <f>ROUNDUP(tbl_Data[[#This Row],[Adjusted 2030]]/$L769,0)</f>
        <v>1</v>
      </c>
      <c r="BH769" s="77">
        <f>ROUNDUP(tbl_Data[[#This Row],[Adjusted 2031]]/$L769,0)</f>
        <v>1</v>
      </c>
      <c r="BI769" s="77">
        <f>ROUNDUP(tbl_Data[[#This Row],[Adjusted 2032]]/$L769,0)</f>
        <v>1</v>
      </c>
      <c r="BJ769" s="77">
        <f>ROUNDUP(tbl_Data[[#This Row],[Adjusted 2033]]/$L769,0)</f>
        <v>1</v>
      </c>
      <c r="BK769" s="77">
        <f>ROUNDUP(tbl_Data[[#This Row],[Adjusted 2034]]/$L769,0)</f>
        <v>1</v>
      </c>
      <c r="BL769" s="80">
        <f t="shared" si="320"/>
        <v>2.0324041313129035E-5</v>
      </c>
      <c r="BM769" s="80">
        <f t="shared" si="321"/>
        <v>1.6988600656904966E-5</v>
      </c>
      <c r="BN769" s="80">
        <f t="shared" si="322"/>
        <v>1.4070835363262538E-5</v>
      </c>
      <c r="BO769" s="80">
        <f t="shared" si="323"/>
        <v>1.1732289558084137E-5</v>
      </c>
      <c r="BP769" s="80">
        <f t="shared" si="324"/>
        <v>9.74835479218399E-6</v>
      </c>
      <c r="BQ769" s="80">
        <f t="shared" si="325"/>
        <v>8.140789999578204E-6</v>
      </c>
      <c r="BR769" s="80">
        <f t="shared" si="326"/>
        <v>6.8542184293709727E-6</v>
      </c>
      <c r="BS769" s="80">
        <f t="shared" si="327"/>
        <v>5.7884608994067006E-6</v>
      </c>
      <c r="BT769" s="80">
        <f t="shared" si="328"/>
        <v>4.9636095946338001E-6</v>
      </c>
      <c r="BU769" s="80">
        <f t="shared" si="329"/>
        <v>4.3039136762848763E-6</v>
      </c>
      <c r="BV769" s="80" t="str">
        <f>IFERROR(VLOOKUP($H769,'1. Set Program Names'!$B$2:$D$15,3,0)*V769,"NA")</f>
        <v>NA</v>
      </c>
      <c r="BW769" s="80" t="str">
        <f>IFERROR(VLOOKUP($H769,'1. Set Program Names'!$B$2:$D$15,3,0)*W769,"NA")</f>
        <v>NA</v>
      </c>
      <c r="BX769" s="80" t="str">
        <f>IFERROR(VLOOKUP($H769,'1. Set Program Names'!$B$2:$D$15,3,0)*X769,"NA")</f>
        <v>NA</v>
      </c>
      <c r="BY769" s="80" t="str">
        <f>IFERROR(VLOOKUP($H769,'1. Set Program Names'!$B$2:$D$15,3,0)*Y769,"NA")</f>
        <v>NA</v>
      </c>
      <c r="BZ769" s="80" t="str">
        <f>IFERROR(VLOOKUP($H769,'1. Set Program Names'!$B$2:$D$15,3,0)*Z769,"NA")</f>
        <v>NA</v>
      </c>
      <c r="CA769" s="80" t="str">
        <f>IFERROR(VLOOKUP($H769,'1. Set Program Names'!$B$2:$D$15,3,0)*AA769,"NA")</f>
        <v>NA</v>
      </c>
      <c r="CB769" s="80" t="str">
        <f>IFERROR(VLOOKUP($H769,'1. Set Program Names'!$B$2:$D$15,3,0)*AB769,"NA")</f>
        <v>NA</v>
      </c>
      <c r="CC769" s="80" t="str">
        <f>IFERROR(VLOOKUP($H769,'1. Set Program Names'!$B$2:$D$15,3,0)*AC769,"NA")</f>
        <v>NA</v>
      </c>
      <c r="CD769" s="80" t="str">
        <f>IFERROR(VLOOKUP($H769,'1. Set Program Names'!$B$2:$D$15,3,0)*AD769,"NA")</f>
        <v>NA</v>
      </c>
      <c r="CE769" s="80" t="str">
        <f>IFERROR(VLOOKUP($H769,'1. Set Program Names'!$B$2:$D$15,3,0)*AE769,"NA")</f>
        <v>NA</v>
      </c>
    </row>
    <row r="770" spans="1:83" x14ac:dyDescent="0.25">
      <c r="A770" s="79" t="s">
        <v>115</v>
      </c>
      <c r="B770" s="79" t="s">
        <v>88</v>
      </c>
      <c r="C770" s="79" t="s">
        <v>176</v>
      </c>
      <c r="D770" s="79" t="s">
        <v>90</v>
      </c>
      <c r="E770" s="79" t="s">
        <v>91</v>
      </c>
      <c r="F770" s="79" t="s">
        <v>90</v>
      </c>
      <c r="G770" s="79" t="s">
        <v>92</v>
      </c>
      <c r="H770" s="79" t="s">
        <v>20</v>
      </c>
      <c r="I770" s="79" t="s">
        <v>196</v>
      </c>
      <c r="J770" s="79" t="s">
        <v>129</v>
      </c>
      <c r="K770" s="79" t="s">
        <v>102</v>
      </c>
      <c r="L770" s="79">
        <v>450182.94333333202</v>
      </c>
      <c r="M770" s="79">
        <v>53.933758643237098</v>
      </c>
      <c r="N770" s="79">
        <v>51.954919827550498</v>
      </c>
      <c r="O770" s="79">
        <v>125734.46</v>
      </c>
      <c r="P770" s="79">
        <v>37957.822069457201</v>
      </c>
      <c r="Q770" s="79">
        <v>27010.9765999999</v>
      </c>
      <c r="R770" s="79">
        <v>216071.26156350001</v>
      </c>
      <c r="S770" s="79">
        <v>564970.75021643203</v>
      </c>
      <c r="T770" s="79">
        <v>20</v>
      </c>
      <c r="U770" s="79">
        <v>1</v>
      </c>
      <c r="V770" s="79">
        <f>tbl_Data_old[[#This Row],[2025 ]]*IFERROR(AVERAGEIFS('Participation Adjustment'!$C:$C,'Participation Adjustment'!$A:$A,$H770,'Participation Adjustment'!$B:$B,$I770),1)</f>
        <v>0.116969254609329</v>
      </c>
      <c r="W770" s="79">
        <f>tbl_Data_old[[#This Row],[2026 ]]*IFERROR(AVERAGEIFS('Participation Adjustment'!$C:$C,'Participation Adjustment'!$A:$A,$H770,'Participation Adjustment'!$B:$B,$I770),1)</f>
        <v>0.24122428892231801</v>
      </c>
      <c r="X770" s="79">
        <f>tbl_Data_old[[#This Row],[2027 ]]*IFERROR(AVERAGEIFS('Participation Adjustment'!$C:$C,'Participation Adjustment'!$A:$A,$H770,'Participation Adjustment'!$B:$B,$I770),1)</f>
        <v>0.371062263699733</v>
      </c>
      <c r="Y770" s="79">
        <f>tbl_Data_old[[#This Row],[2028 ]]*IFERROR(AVERAGEIFS('Participation Adjustment'!$C:$C,'Participation Adjustment'!$A:$A,$H770,'Participation Adjustment'!$B:$B,$I770),1)</f>
        <v>0.51397734983938104</v>
      </c>
      <c r="Z770" s="79">
        <f>tbl_Data_old[[#This Row],[2029 ]]*IFERROR(AVERAGEIFS('Participation Adjustment'!$C:$C,'Participation Adjustment'!$A:$A,$H770,'Participation Adjustment'!$B:$B,$I770),1)</f>
        <v>0.65977448600770605</v>
      </c>
      <c r="AA770" s="79">
        <f>tbl_Data_old[[#This Row],[2030 ]]*IFERROR(AVERAGEIFS('Participation Adjustment'!$C:$C,'Participation Adjustment'!$A:$A,$H770,'Participation Adjustment'!$B:$B,$I770),1)</f>
        <v>0.811834269488794</v>
      </c>
      <c r="AB770" s="79">
        <f>tbl_Data_old[[#This Row],[2031 ]]*IFERROR(AVERAGEIFS('Participation Adjustment'!$C:$C,'Participation Adjustment'!$A:$A,$H770,'Participation Adjustment'!$B:$B,$I770),1)</f>
        <v>0.97201861810033596</v>
      </c>
      <c r="AC770" s="79">
        <f>tbl_Data_old[[#This Row],[2032 ]]*IFERROR(AVERAGEIFS('Participation Adjustment'!$C:$C,'Participation Adjustment'!$A:$A,$H770,'Participation Adjustment'!$B:$B,$I770),1)</f>
        <v>1.13564919800318</v>
      </c>
      <c r="AD770" s="79">
        <f>tbl_Data_old[[#This Row],[2033 ]]*IFERROR(AVERAGEIFS('Participation Adjustment'!$C:$C,'Participation Adjustment'!$A:$A,$H770,'Participation Adjustment'!$B:$B,$I770),1)</f>
        <v>1.30708962509799</v>
      </c>
      <c r="AE770" s="79">
        <f>tbl_Data_old[[#This Row],[2034 ]]*IFERROR(AVERAGEIFS('Participation Adjustment'!$C:$C,'Participation Adjustment'!$A:$A,$H770,'Participation Adjustment'!$B:$B,$I770),1)</f>
        <v>1.48589973027764</v>
      </c>
      <c r="AF770" s="77" t="str">
        <f t="shared" si="319"/>
        <v>NonResidential</v>
      </c>
      <c r="AG770" s="77" t="str">
        <f>tbl_Data[[#This Row],[All_Meas_Name_Append]]</f>
        <v>LEED New Construction Whole Building</v>
      </c>
      <c r="AH770" s="77">
        <f>AVERAGEIFS('3. Incentive Adjustment'!G:G,'3. Incentive Adjustment'!A:A,tbl_Data[[#This Row],[Trimmed Sector]],'3. Incentive Adjustment'!B:B,tbl_Data[[#This Row],[Trimmed Measure Name]])</f>
        <v>0.99860907400071952</v>
      </c>
      <c r="AI770" s="77">
        <f>$AH770*tbl_Data[[#This Row],[2025 ]]</f>
        <v>0.11680655903197643</v>
      </c>
      <c r="AJ770" s="77">
        <f>$AH770*tbl_Data[[#This Row],[2026 ]]</f>
        <v>0.24088876378719801</v>
      </c>
      <c r="AK770" s="77">
        <f>$AH770*tbl_Data[[#This Row],[2027 ]]</f>
        <v>0.37054614354980114</v>
      </c>
      <c r="AL770" s="77">
        <f>$AH770*tbl_Data[[#This Row],[2028 ]]</f>
        <v>0.51326244538044818</v>
      </c>
      <c r="AM770" s="77">
        <f>$AH770*tbl_Data[[#This Row],[2029 ]]</f>
        <v>0.65885678852145602</v>
      </c>
      <c r="AN770" s="77">
        <f>$AH770*tbl_Data[[#This Row],[2030 ]]</f>
        <v>0.8107050680962552</v>
      </c>
      <c r="AO770" s="77">
        <f>$AH770*tbl_Data[[#This Row],[2031 ]]</f>
        <v>0.9706666121326355</v>
      </c>
      <c r="AP770" s="77">
        <f>$AH770*tbl_Data[[#This Row],[2032 ]]</f>
        <v>1.1340695940076153</v>
      </c>
      <c r="AQ770" s="77">
        <f>$AH770*tbl_Data[[#This Row],[2033 ]]</f>
        <v>1.3052715601550515</v>
      </c>
      <c r="AR770" s="77">
        <f>$AH770*tbl_Data[[#This Row],[2034 ]]</f>
        <v>1.4838329537104731</v>
      </c>
      <c r="AS770" s="77">
        <f>SUM(tbl_Data[[#This Row],[Adjusted 2025]:[Adjusted 2034]])</f>
        <v>7.6049064883729098</v>
      </c>
      <c r="AT770" s="80">
        <f>AVERAGEIFS('3. Incentive Adjustment'!F:F,'3. Incentive Adjustment'!A:A,tbl_Data[[#This Row],[Trimmed Sector]],'3. Incentive Adjustment'!B:B,tbl_Data[[#This Row],[Trimmed Measure Name]])</f>
        <v>37720.338000000003</v>
      </c>
      <c r="AU770" s="80">
        <f>IFERROR(VLOOKUP(tbl_Data[[#This Row],[All_Meas_Name_Append]],'IRA Tax Credits'!$A$3:$D$46,4,0),0)</f>
        <v>0</v>
      </c>
      <c r="AV770" s="81">
        <f>tbl_Data[[#This Row],[Adj. per unit Incentive ($)]]/tbl_Data[[#This Row],[kWh Savings]]*tbl_Data[[#This Row],[Sum of Annuals]]</f>
        <v>0.63720682324345146</v>
      </c>
      <c r="AW770" s="81" t="str">
        <f>IFERROR(VLOOKUP(tbl_Data[[#This Row],[Column1]],'1. Set Program Names'!$B$2:$D$15,3,0)*tbl_Data[[#This Row],[Sum of Annuals]],"")</f>
        <v/>
      </c>
      <c r="AX770" s="81">
        <f>tbl_Data[[#This Row],[per unit IRA tax ($)]]/tbl_Data[[#This Row],[kWh Savings]]*tbl_Data[[#This Row],[Sum of Annuals]]</f>
        <v>0</v>
      </c>
      <c r="AY770" s="81">
        <f>tbl_Data[[#This Row],[Avoided Costs ($/unit)]]/tbl_Data[[#This Row],[kWh Savings]]*tbl_Data[[#This Row],[Sum of Annuals]]</f>
        <v>3.650075515629863</v>
      </c>
      <c r="AZ770" s="81">
        <f>tbl_Data[[#This Row],[Lost Revenue ($/unit)]]/tbl_Data[[#This Row],[kWh Savings]]*tbl_Data[[#This Row],[Sum of Annuals]]</f>
        <v>9.5440082475104582</v>
      </c>
      <c r="BA770" s="81">
        <f>tbl_Data[[#This Row],[Incremental Cost ($/unit)]]/tbl_Data[[#This Row],[kWh Savings]]*tbl_Data[[#This Row],[Sum of Annuals]]</f>
        <v>2.1240227441448383</v>
      </c>
      <c r="BB770" s="77">
        <f>ROUNDUP(tbl_Data[[#This Row],[Adjusted 2025]]/$L770,0)</f>
        <v>1</v>
      </c>
      <c r="BC770" s="77">
        <f>ROUNDUP(tbl_Data[[#This Row],[Adjusted 2026]]/$L770,0)</f>
        <v>1</v>
      </c>
      <c r="BD770" s="77">
        <f>ROUNDUP(tbl_Data[[#This Row],[Adjusted 2027]]/$L770,0)</f>
        <v>1</v>
      </c>
      <c r="BE770" s="77">
        <f>ROUNDUP(tbl_Data[[#This Row],[Adjusted 2028]]/$L770,0)</f>
        <v>1</v>
      </c>
      <c r="BF770" s="77">
        <f>ROUNDUP(tbl_Data[[#This Row],[Adjusted 2029]]/$L770,0)</f>
        <v>1</v>
      </c>
      <c r="BG770" s="77">
        <f>ROUNDUP(tbl_Data[[#This Row],[Adjusted 2030]]/$L770,0)</f>
        <v>1</v>
      </c>
      <c r="BH770" s="77">
        <f>ROUNDUP(tbl_Data[[#This Row],[Adjusted 2031]]/$L770,0)</f>
        <v>1</v>
      </c>
      <c r="BI770" s="77">
        <f>ROUNDUP(tbl_Data[[#This Row],[Adjusted 2032]]/$L770,0)</f>
        <v>1</v>
      </c>
      <c r="BJ770" s="77">
        <f>ROUNDUP(tbl_Data[[#This Row],[Adjusted 2033]]/$L770,0)</f>
        <v>1</v>
      </c>
      <c r="BK770" s="77">
        <f>ROUNDUP(tbl_Data[[#This Row],[Adjusted 2034]]/$L770,0)</f>
        <v>1</v>
      </c>
      <c r="BL770" s="80">
        <f t="shared" si="320"/>
        <v>9.8007263154016293E-3</v>
      </c>
      <c r="BM770" s="80">
        <f t="shared" si="321"/>
        <v>2.0211920168690646E-2</v>
      </c>
      <c r="BN770" s="80">
        <f t="shared" si="322"/>
        <v>3.1090902516569728E-2</v>
      </c>
      <c r="BO770" s="80">
        <f t="shared" si="323"/>
        <v>4.306560176788074E-2</v>
      </c>
      <c r="BP770" s="80">
        <f t="shared" si="324"/>
        <v>5.528178484887588E-2</v>
      </c>
      <c r="BQ770" s="80">
        <f t="shared" si="325"/>
        <v>6.802270832021784E-2</v>
      </c>
      <c r="BR770" s="80">
        <f t="shared" si="326"/>
        <v>8.1444380245853903E-2</v>
      </c>
      <c r="BS770" s="80">
        <f t="shared" si="327"/>
        <v>9.5154808134058355E-2</v>
      </c>
      <c r="BT770" s="80">
        <f t="shared" si="328"/>
        <v>0.10951961460361921</v>
      </c>
      <c r="BU770" s="80">
        <f t="shared" si="329"/>
        <v>0.12450191836495444</v>
      </c>
      <c r="BV770" s="80" t="str">
        <f>IFERROR(VLOOKUP($H770,'1. Set Program Names'!$B$2:$D$15,3,0)*V770,"NA")</f>
        <v>NA</v>
      </c>
      <c r="BW770" s="80" t="str">
        <f>IFERROR(VLOOKUP($H770,'1. Set Program Names'!$B$2:$D$15,3,0)*W770,"NA")</f>
        <v>NA</v>
      </c>
      <c r="BX770" s="80" t="str">
        <f>IFERROR(VLOOKUP($H770,'1. Set Program Names'!$B$2:$D$15,3,0)*X770,"NA")</f>
        <v>NA</v>
      </c>
      <c r="BY770" s="80" t="str">
        <f>IFERROR(VLOOKUP($H770,'1. Set Program Names'!$B$2:$D$15,3,0)*Y770,"NA")</f>
        <v>NA</v>
      </c>
      <c r="BZ770" s="80" t="str">
        <f>IFERROR(VLOOKUP($H770,'1. Set Program Names'!$B$2:$D$15,3,0)*Z770,"NA")</f>
        <v>NA</v>
      </c>
      <c r="CA770" s="80" t="str">
        <f>IFERROR(VLOOKUP($H770,'1. Set Program Names'!$B$2:$D$15,3,0)*AA770,"NA")</f>
        <v>NA</v>
      </c>
      <c r="CB770" s="80" t="str">
        <f>IFERROR(VLOOKUP($H770,'1. Set Program Names'!$B$2:$D$15,3,0)*AB770,"NA")</f>
        <v>NA</v>
      </c>
      <c r="CC770" s="80" t="str">
        <f>IFERROR(VLOOKUP($H770,'1. Set Program Names'!$B$2:$D$15,3,0)*AC770,"NA")</f>
        <v>NA</v>
      </c>
      <c r="CD770" s="80" t="str">
        <f>IFERROR(VLOOKUP($H770,'1. Set Program Names'!$B$2:$D$15,3,0)*AD770,"NA")</f>
        <v>NA</v>
      </c>
      <c r="CE770" s="80" t="str">
        <f>IFERROR(VLOOKUP($H770,'1. Set Program Names'!$B$2:$D$15,3,0)*AE770,"NA")</f>
        <v>NA</v>
      </c>
    </row>
    <row r="771" spans="1:83" x14ac:dyDescent="0.25">
      <c r="A771" s="79" t="s">
        <v>115</v>
      </c>
      <c r="B771" s="79" t="s">
        <v>88</v>
      </c>
      <c r="C771" s="79" t="s">
        <v>176</v>
      </c>
      <c r="D771" s="79" t="s">
        <v>90</v>
      </c>
      <c r="E771" s="79" t="s">
        <v>91</v>
      </c>
      <c r="F771" s="79" t="s">
        <v>90</v>
      </c>
      <c r="G771" s="79" t="s">
        <v>92</v>
      </c>
      <c r="H771" s="79" t="s">
        <v>20</v>
      </c>
      <c r="I771" s="79" t="s">
        <v>155</v>
      </c>
      <c r="J771" s="79" t="s">
        <v>129</v>
      </c>
      <c r="K771" s="79" t="s">
        <v>102</v>
      </c>
      <c r="L771" s="79">
        <v>47228.7699999998</v>
      </c>
      <c r="M771" s="79">
        <v>5.6581998938837703</v>
      </c>
      <c r="N771" s="79">
        <v>5.4505995734426298</v>
      </c>
      <c r="O771" s="79">
        <v>11124</v>
      </c>
      <c r="P771" s="79">
        <v>2435.8852359673701</v>
      </c>
      <c r="Q771" s="79">
        <v>2833.7261999999801</v>
      </c>
      <c r="R771" s="79">
        <v>16918.542729362998</v>
      </c>
      <c r="S771" s="79">
        <v>40712.4661763408</v>
      </c>
      <c r="T771" s="79">
        <v>11</v>
      </c>
      <c r="U771" s="79">
        <v>0.05</v>
      </c>
      <c r="V771" s="79">
        <f>tbl_Data_old[[#This Row],[2025 ]]*IFERROR(AVERAGEIFS('Participation Adjustment'!$C:$C,'Participation Adjustment'!$A:$A,$H771,'Participation Adjustment'!$B:$B,$I771),1)</f>
        <v>1.9197589452965302E-2</v>
      </c>
      <c r="W771" s="79">
        <f>tbl_Data_old[[#This Row],[2026 ]]*IFERROR(AVERAGEIFS('Participation Adjustment'!$C:$C,'Participation Adjustment'!$A:$A,$H771,'Participation Adjustment'!$B:$B,$I771),1)</f>
        <v>3.52446037139015E-2</v>
      </c>
      <c r="X771" s="79">
        <f>tbl_Data_old[[#This Row],[2027 ]]*IFERROR(AVERAGEIFS('Participation Adjustment'!$C:$C,'Participation Adjustment'!$A:$A,$H771,'Participation Adjustment'!$B:$B,$I771),1)</f>
        <v>4.85355686554894E-2</v>
      </c>
      <c r="Y771" s="79">
        <f>tbl_Data_old[[#This Row],[2028 ]]*IFERROR(AVERAGEIFS('Participation Adjustment'!$C:$C,'Participation Adjustment'!$A:$A,$H771,'Participation Adjustment'!$B:$B,$I771),1)</f>
        <v>5.9617600757732502E-2</v>
      </c>
      <c r="Z771" s="79">
        <f>tbl_Data_old[[#This Row],[2029 ]]*IFERROR(AVERAGEIFS('Participation Adjustment'!$C:$C,'Participation Adjustment'!$A:$A,$H771,'Participation Adjustment'!$B:$B,$I771),1)</f>
        <v>6.8825656884901595E-2</v>
      </c>
      <c r="AA771" s="79">
        <f>tbl_Data_old[[#This Row],[2030 ]]*IFERROR(AVERAGEIFS('Participation Adjustment'!$C:$C,'Participation Adjustment'!$A:$A,$H771,'Participation Adjustment'!$B:$B,$I771),1)</f>
        <v>7.6515246855069094E-2</v>
      </c>
      <c r="AB771" s="79">
        <f>tbl_Data_old[[#This Row],[2031 ]]*IFERROR(AVERAGEIFS('Participation Adjustment'!$C:$C,'Participation Adjustment'!$A:$A,$H771,'Participation Adjustment'!$B:$B,$I771),1)</f>
        <v>8.2989572969679598E-2</v>
      </c>
      <c r="AC771" s="79">
        <f>tbl_Data_old[[#This Row],[2032 ]]*IFERROR(AVERAGEIFS('Participation Adjustment'!$C:$C,'Participation Adjustment'!$A:$A,$H771,'Participation Adjustment'!$B:$B,$I771),1)</f>
        <v>8.8457210739120995E-2</v>
      </c>
      <c r="AD771" s="79">
        <f>tbl_Data_old[[#This Row],[2033 ]]*IFERROR(AVERAGEIFS('Participation Adjustment'!$C:$C,'Participation Adjustment'!$A:$A,$H771,'Participation Adjustment'!$B:$B,$I771),1)</f>
        <v>9.3145714257415996E-2</v>
      </c>
      <c r="AE771" s="79">
        <f>tbl_Data_old[[#This Row],[2034 ]]*IFERROR(AVERAGEIFS('Participation Adjustment'!$C:$C,'Participation Adjustment'!$A:$A,$H771,'Participation Adjustment'!$B:$B,$I771),1)</f>
        <v>9.7211085239758299E-2</v>
      </c>
      <c r="AF771" s="77" t="str">
        <f t="shared" si="319"/>
        <v>NonResidential</v>
      </c>
      <c r="AG771" s="77" t="str">
        <f>tbl_Data[[#This Row],[All_Meas_Name_Append]]</f>
        <v>Smart thermostat</v>
      </c>
      <c r="AH771" s="77">
        <f>AVERAGEIFS('3. Incentive Adjustment'!G:G,'3. Incentive Adjustment'!A:A,tbl_Data[[#This Row],[Trimmed Sector]],'3. Incentive Adjustment'!B:B,tbl_Data[[#This Row],[Trimmed Measure Name]])</f>
        <v>0.87546479230069263</v>
      </c>
      <c r="AI771" s="77">
        <f>$AH771*tbl_Data[[#This Row],[2025 ]]</f>
        <v>1.6806813663114234E-2</v>
      </c>
      <c r="AJ771" s="77">
        <f>$AH771*tbl_Data[[#This Row],[2026 ]]</f>
        <v>3.0855409670110998E-2</v>
      </c>
      <c r="AK771" s="77">
        <f>$AH771*tbl_Data[[#This Row],[2027 ]]</f>
        <v>4.2491181532174037E-2</v>
      </c>
      <c r="AL771" s="77">
        <f>$AH771*tbl_Data[[#This Row],[2028 ]]</f>
        <v>5.2193110464833901E-2</v>
      </c>
      <c r="AM771" s="77">
        <f>$AH771*tbl_Data[[#This Row],[2029 ]]</f>
        <v>6.0254439409699108E-2</v>
      </c>
      <c r="AN771" s="77">
        <f>$AH771*tbl_Data[[#This Row],[2030 ]]</f>
        <v>6.6986404695809285E-2</v>
      </c>
      <c r="AO771" s="77">
        <f>$AH771*tbl_Data[[#This Row],[2031 ]]</f>
        <v>7.2654449263023724E-2</v>
      </c>
      <c r="AP771" s="77">
        <f>$AH771*tbl_Data[[#This Row],[2032 ]]</f>
        <v>7.7441173627223164E-2</v>
      </c>
      <c r="AQ771" s="77">
        <f>$AH771*tbl_Data[[#This Row],[2033 ]]</f>
        <v>8.1545793386068363E-2</v>
      </c>
      <c r="AR771" s="77">
        <f>$AH771*tbl_Data[[#This Row],[2034 ]]</f>
        <v>8.5104882548749927E-2</v>
      </c>
      <c r="AS771" s="77">
        <f>SUM(tbl_Data[[#This Row],[Adjusted 2025]:[Adjusted 2034]])</f>
        <v>0.58633365826080674</v>
      </c>
      <c r="AT771" s="80">
        <f>AVERAGEIFS('3. Incentive Adjustment'!F:F,'3. Incentive Adjustment'!A:A,tbl_Data[[#This Row],[Trimmed Sector]],'3. Incentive Adjustment'!B:B,tbl_Data[[#This Row],[Trimmed Measure Name]])</f>
        <v>50</v>
      </c>
      <c r="AU771" s="80">
        <f>IFERROR(VLOOKUP(tbl_Data[[#This Row],[All_Meas_Name_Append]],'IRA Tax Credits'!$A$3:$D$46,4,0),0)</f>
        <v>0</v>
      </c>
      <c r="AV771" s="81">
        <f>tbl_Data[[#This Row],[Adj. per unit Incentive ($)]]/tbl_Data[[#This Row],[kWh Savings]]*tbl_Data[[#This Row],[Sum of Annuals]]</f>
        <v>6.2073780267918181E-4</v>
      </c>
      <c r="AW771" s="81" t="str">
        <f>IFERROR(VLOOKUP(tbl_Data[[#This Row],[Column1]],'1. Set Program Names'!$B$2:$D$15,3,0)*tbl_Data[[#This Row],[Sum of Annuals]],"")</f>
        <v/>
      </c>
      <c r="AX771" s="81">
        <f>tbl_Data[[#This Row],[per unit IRA tax ($)]]/tbl_Data[[#This Row],[kWh Savings]]*tbl_Data[[#This Row],[Sum of Annuals]]</f>
        <v>0</v>
      </c>
      <c r="AY771" s="81">
        <f>tbl_Data[[#This Row],[Avoided Costs ($/unit)]]/tbl_Data[[#This Row],[kWh Savings]]*tbl_Data[[#This Row],[Sum of Annuals]]</f>
        <v>0.21003958076717269</v>
      </c>
      <c r="AZ771" s="81">
        <f>tbl_Data[[#This Row],[Lost Revenue ($/unit)]]/tbl_Data[[#This Row],[kWh Savings]]*tbl_Data[[#This Row],[Sum of Annuals]]</f>
        <v>0.50543533591904599</v>
      </c>
      <c r="BA771" s="81">
        <f>tbl_Data[[#This Row],[Incremental Cost ($/unit)]]/tbl_Data[[#This Row],[kWh Savings]]*tbl_Data[[#This Row],[Sum of Annuals]]</f>
        <v>0.13810174634006436</v>
      </c>
      <c r="BB771" s="77">
        <f>ROUNDUP(tbl_Data[[#This Row],[Adjusted 2025]]/$L771,0)</f>
        <v>1</v>
      </c>
      <c r="BC771" s="77">
        <f>ROUNDUP(tbl_Data[[#This Row],[Adjusted 2026]]/$L771,0)</f>
        <v>1</v>
      </c>
      <c r="BD771" s="77">
        <f>ROUNDUP(tbl_Data[[#This Row],[Adjusted 2027]]/$L771,0)</f>
        <v>1</v>
      </c>
      <c r="BE771" s="77">
        <f>ROUNDUP(tbl_Data[[#This Row],[Adjusted 2028]]/$L771,0)</f>
        <v>1</v>
      </c>
      <c r="BF771" s="77">
        <f>ROUNDUP(tbl_Data[[#This Row],[Adjusted 2029]]/$L771,0)</f>
        <v>1</v>
      </c>
      <c r="BG771" s="77">
        <f>ROUNDUP(tbl_Data[[#This Row],[Adjusted 2030]]/$L771,0)</f>
        <v>1</v>
      </c>
      <c r="BH771" s="77">
        <f>ROUNDUP(tbl_Data[[#This Row],[Adjusted 2031]]/$L771,0)</f>
        <v>1</v>
      </c>
      <c r="BI771" s="77">
        <f>ROUNDUP(tbl_Data[[#This Row],[Adjusted 2032]]/$L771,0)</f>
        <v>1</v>
      </c>
      <c r="BJ771" s="77">
        <f>ROUNDUP(tbl_Data[[#This Row],[Adjusted 2033]]/$L771,0)</f>
        <v>1</v>
      </c>
      <c r="BK771" s="77">
        <f>ROUNDUP(tbl_Data[[#This Row],[Adjusted 2034]]/$L771,0)</f>
        <v>1</v>
      </c>
      <c r="BL771" s="80">
        <f t="shared" si="320"/>
        <v>2.0324041313129035E-5</v>
      </c>
      <c r="BM771" s="80">
        <f t="shared" si="321"/>
        <v>3.7312641970033994E-5</v>
      </c>
      <c r="BN771" s="80">
        <f t="shared" si="322"/>
        <v>5.138347733329664E-5</v>
      </c>
      <c r="BO771" s="80">
        <f t="shared" si="323"/>
        <v>6.3115766891380784E-5</v>
      </c>
      <c r="BP771" s="80">
        <f t="shared" si="324"/>
        <v>7.2864121683564794E-5</v>
      </c>
      <c r="BQ771" s="80">
        <f t="shared" si="325"/>
        <v>8.1004911683142946E-5</v>
      </c>
      <c r="BR771" s="80">
        <f t="shared" si="326"/>
        <v>8.7859130112513998E-5</v>
      </c>
      <c r="BS771" s="80">
        <f t="shared" si="327"/>
        <v>9.364759101192067E-5</v>
      </c>
      <c r="BT771" s="80">
        <f t="shared" si="328"/>
        <v>9.8611200606554434E-5</v>
      </c>
      <c r="BU771" s="80">
        <f t="shared" si="329"/>
        <v>1.0291511428283938E-4</v>
      </c>
      <c r="BV771" s="80" t="str">
        <f>IFERROR(VLOOKUP($H771,'1. Set Program Names'!$B$2:$D$15,3,0)*V771,"NA")</f>
        <v>NA</v>
      </c>
      <c r="BW771" s="80" t="str">
        <f>IFERROR(VLOOKUP($H771,'1. Set Program Names'!$B$2:$D$15,3,0)*W771,"NA")</f>
        <v>NA</v>
      </c>
      <c r="BX771" s="80" t="str">
        <f>IFERROR(VLOOKUP($H771,'1. Set Program Names'!$B$2:$D$15,3,0)*X771,"NA")</f>
        <v>NA</v>
      </c>
      <c r="BY771" s="80" t="str">
        <f>IFERROR(VLOOKUP($H771,'1. Set Program Names'!$B$2:$D$15,3,0)*Y771,"NA")</f>
        <v>NA</v>
      </c>
      <c r="BZ771" s="80" t="str">
        <f>IFERROR(VLOOKUP($H771,'1. Set Program Names'!$B$2:$D$15,3,0)*Z771,"NA")</f>
        <v>NA</v>
      </c>
      <c r="CA771" s="80" t="str">
        <f>IFERROR(VLOOKUP($H771,'1. Set Program Names'!$B$2:$D$15,3,0)*AA771,"NA")</f>
        <v>NA</v>
      </c>
      <c r="CB771" s="80" t="str">
        <f>IFERROR(VLOOKUP($H771,'1. Set Program Names'!$B$2:$D$15,3,0)*AB771,"NA")</f>
        <v>NA</v>
      </c>
      <c r="CC771" s="80" t="str">
        <f>IFERROR(VLOOKUP($H771,'1. Set Program Names'!$B$2:$D$15,3,0)*AC771,"NA")</f>
        <v>NA</v>
      </c>
      <c r="CD771" s="80" t="str">
        <f>IFERROR(VLOOKUP($H771,'1. Set Program Names'!$B$2:$D$15,3,0)*AD771,"NA")</f>
        <v>NA</v>
      </c>
      <c r="CE771" s="80" t="str">
        <f>IFERROR(VLOOKUP($H771,'1. Set Program Names'!$B$2:$D$15,3,0)*AE771,"NA")</f>
        <v>NA</v>
      </c>
    </row>
    <row r="772" spans="1:83" x14ac:dyDescent="0.25">
      <c r="A772" s="79" t="s">
        <v>116</v>
      </c>
      <c r="B772" s="79" t="s">
        <v>88</v>
      </c>
      <c r="C772" s="79" t="s">
        <v>176</v>
      </c>
      <c r="D772" s="79" t="s">
        <v>90</v>
      </c>
      <c r="E772" s="79" t="s">
        <v>91</v>
      </c>
      <c r="F772" s="79" t="s">
        <v>90</v>
      </c>
      <c r="G772" s="79" t="s">
        <v>92</v>
      </c>
      <c r="H772" s="79" t="s">
        <v>20</v>
      </c>
      <c r="I772" s="79" t="s">
        <v>196</v>
      </c>
      <c r="J772" s="79" t="s">
        <v>129</v>
      </c>
      <c r="K772" s="79" t="s">
        <v>102</v>
      </c>
      <c r="L772" s="79">
        <v>450182.94333333202</v>
      </c>
      <c r="M772" s="79">
        <v>53.933758643237098</v>
      </c>
      <c r="N772" s="79">
        <v>51.954919827550498</v>
      </c>
      <c r="O772" s="79">
        <v>125734.46</v>
      </c>
      <c r="P772" s="79">
        <v>37957.822069457201</v>
      </c>
      <c r="Q772" s="79">
        <v>27010.9765999999</v>
      </c>
      <c r="R772" s="79">
        <v>216071.26156350001</v>
      </c>
      <c r="S772" s="79">
        <v>564970.75021643203</v>
      </c>
      <c r="T772" s="79">
        <v>20</v>
      </c>
      <c r="U772" s="79">
        <v>1</v>
      </c>
      <c r="V772" s="79">
        <f>tbl_Data_old[[#This Row],[2025 ]]*IFERROR(AVERAGEIFS('Participation Adjustment'!$C:$C,'Participation Adjustment'!$A:$A,$H772,'Participation Adjustment'!$B:$B,$I772),1)</f>
        <v>0.112677632681142</v>
      </c>
      <c r="W772" s="79">
        <f>tbl_Data_old[[#This Row],[2026 ]]*IFERROR(AVERAGEIFS('Participation Adjustment'!$C:$C,'Participation Adjustment'!$A:$A,$H772,'Participation Adjustment'!$B:$B,$I772),1)</f>
        <v>0.11969609588317399</v>
      </c>
      <c r="X772" s="79">
        <f>tbl_Data_old[[#This Row],[2027 ]]*IFERROR(AVERAGEIFS('Participation Adjustment'!$C:$C,'Participation Adjustment'!$A:$A,$H772,'Participation Adjustment'!$B:$B,$I772),1)</f>
        <v>0.12507419730847799</v>
      </c>
      <c r="Y772" s="79">
        <f>tbl_Data_old[[#This Row],[2028 ]]*IFERROR(AVERAGEIFS('Participation Adjustment'!$C:$C,'Participation Adjustment'!$A:$A,$H772,'Participation Adjustment'!$B:$B,$I772),1)</f>
        <v>0.13767150722145899</v>
      </c>
      <c r="Z772" s="79">
        <f>tbl_Data_old[[#This Row],[2029 ]]*IFERROR(AVERAGEIFS('Participation Adjustment'!$C:$C,'Participation Adjustment'!$A:$A,$H772,'Participation Adjustment'!$B:$B,$I772),1)</f>
        <v>0.140447814342373</v>
      </c>
      <c r="AA772" s="79">
        <f>tbl_Data_old[[#This Row],[2030 ]]*IFERROR(AVERAGEIFS('Participation Adjustment'!$C:$C,'Participation Adjustment'!$A:$A,$H772,'Participation Adjustment'!$B:$B,$I772),1)</f>
        <v>0.146480684055667</v>
      </c>
      <c r="AB772" s="79">
        <f>tbl_Data_old[[#This Row],[2031 ]]*IFERROR(AVERAGEIFS('Participation Adjustment'!$C:$C,'Participation Adjustment'!$A:$A,$H772,'Participation Adjustment'!$B:$B,$I772),1)</f>
        <v>0.15430715750393101</v>
      </c>
      <c r="AC772" s="79">
        <f>tbl_Data_old[[#This Row],[2032 ]]*IFERROR(AVERAGEIFS('Participation Adjustment'!$C:$C,'Participation Adjustment'!$A:$A,$H772,'Participation Adjustment'!$B:$B,$I772),1)</f>
        <v>0.15762694598059601</v>
      </c>
      <c r="AD772" s="79">
        <f>tbl_Data_old[[#This Row],[2033 ]]*IFERROR(AVERAGEIFS('Participation Adjustment'!$C:$C,'Participation Adjustment'!$A:$A,$H772,'Participation Adjustment'!$B:$B,$I772),1)</f>
        <v>0.16515024854528301</v>
      </c>
      <c r="AE772" s="79">
        <f>tbl_Data_old[[#This Row],[2034 ]]*IFERROR(AVERAGEIFS('Participation Adjustment'!$C:$C,'Participation Adjustment'!$A:$A,$H772,'Participation Adjustment'!$B:$B,$I772),1)</f>
        <v>0.17224953188255801</v>
      </c>
      <c r="AF772" s="77" t="str">
        <f t="shared" si="319"/>
        <v>NonResidential</v>
      </c>
      <c r="AG772" s="77" t="str">
        <f>tbl_Data[[#This Row],[All_Meas_Name_Append]]</f>
        <v>LEED New Construction Whole Building</v>
      </c>
      <c r="AH772" s="77">
        <f>AVERAGEIFS('3. Incentive Adjustment'!G:G,'3. Incentive Adjustment'!A:A,tbl_Data[[#This Row],[Trimmed Sector]],'3. Incentive Adjustment'!B:B,tbl_Data[[#This Row],[Trimmed Measure Name]])</f>
        <v>0.99860907400071952</v>
      </c>
      <c r="AI772" s="77">
        <f>$AH772*tbl_Data[[#This Row],[2025 ]]</f>
        <v>0.11252090643230843</v>
      </c>
      <c r="AJ772" s="77">
        <f>$AH772*tbl_Data[[#This Row],[2026 ]]</f>
        <v>0.11952960747139772</v>
      </c>
      <c r="AK772" s="77">
        <f>$AH772*tbl_Data[[#This Row],[2027 ]]</f>
        <v>0.12490022835560249</v>
      </c>
      <c r="AL772" s="77">
        <f>$AH772*tbl_Data[[#This Row],[2028 ]]</f>
        <v>0.13748001634270454</v>
      </c>
      <c r="AM772" s="77">
        <f>$AH772*tbl_Data[[#This Row],[2029 ]]</f>
        <v>0.14025246182586207</v>
      </c>
      <c r="AN772" s="77">
        <f>$AH772*tbl_Data[[#This Row],[2030 ]]</f>
        <v>0.14627694026382157</v>
      </c>
      <c r="AO772" s="77">
        <f>$AH772*tbl_Data[[#This Row],[2031 ]]</f>
        <v>0.15409252766668372</v>
      </c>
      <c r="AP772" s="77">
        <f>$AH772*tbl_Data[[#This Row],[2032 ]]</f>
        <v>0.15740769856324441</v>
      </c>
      <c r="AQ772" s="77">
        <f>$AH772*tbl_Data[[#This Row],[2033 ]]</f>
        <v>0.16492053677079374</v>
      </c>
      <c r="AR772" s="77">
        <f>$AH772*tbl_Data[[#This Row],[2034 ]]</f>
        <v>0.17200994553029866</v>
      </c>
      <c r="AS772" s="77">
        <f>SUM(tbl_Data[[#This Row],[Adjusted 2025]:[Adjusted 2034]])</f>
        <v>1.4293908692227173</v>
      </c>
      <c r="AT772" s="80">
        <f>AVERAGEIFS('3. Incentive Adjustment'!F:F,'3. Incentive Adjustment'!A:A,tbl_Data[[#This Row],[Trimmed Sector]],'3. Incentive Adjustment'!B:B,tbl_Data[[#This Row],[Trimmed Measure Name]])</f>
        <v>37720.338000000003</v>
      </c>
      <c r="AU772" s="80">
        <f>IFERROR(VLOOKUP(tbl_Data[[#This Row],[All_Meas_Name_Append]],'IRA Tax Credits'!$A$3:$D$46,4,0),0)</f>
        <v>0</v>
      </c>
      <c r="AV772" s="81">
        <f>tbl_Data[[#This Row],[Adj. per unit Incentive ($)]]/tbl_Data[[#This Row],[kWh Savings]]*tbl_Data[[#This Row],[Sum of Annuals]]</f>
        <v>0.11976710250719669</v>
      </c>
      <c r="AW772" s="81" t="str">
        <f>IFERROR(VLOOKUP(tbl_Data[[#This Row],[Column1]],'1. Set Program Names'!$B$2:$D$15,3,0)*tbl_Data[[#This Row],[Sum of Annuals]],"")</f>
        <v/>
      </c>
      <c r="AX772" s="81">
        <f>tbl_Data[[#This Row],[per unit IRA tax ($)]]/tbl_Data[[#This Row],[kWh Savings]]*tbl_Data[[#This Row],[Sum of Annuals]]</f>
        <v>0</v>
      </c>
      <c r="AY772" s="81">
        <f>tbl_Data[[#This Row],[Avoided Costs ($/unit)]]/tbl_Data[[#This Row],[kWh Savings]]*tbl_Data[[#This Row],[Sum of Annuals]]</f>
        <v>0.68605506484419665</v>
      </c>
      <c r="AZ772" s="81">
        <f>tbl_Data[[#This Row],[Lost Revenue ($/unit)]]/tbl_Data[[#This Row],[kWh Savings]]*tbl_Data[[#This Row],[Sum of Annuals]]</f>
        <v>1.7938574610529532</v>
      </c>
      <c r="BA772" s="81">
        <f>tbl_Data[[#This Row],[Incremental Cost ($/unit)]]/tbl_Data[[#This Row],[kWh Savings]]*tbl_Data[[#This Row],[Sum of Annuals]]</f>
        <v>0.39922367502398898</v>
      </c>
      <c r="BB772" s="77">
        <f>ROUNDUP(tbl_Data[[#This Row],[Adjusted 2025]]/$L772,0)</f>
        <v>1</v>
      </c>
      <c r="BC772" s="77">
        <f>ROUNDUP(tbl_Data[[#This Row],[Adjusted 2026]]/$L772,0)</f>
        <v>1</v>
      </c>
      <c r="BD772" s="77">
        <f>ROUNDUP(tbl_Data[[#This Row],[Adjusted 2027]]/$L772,0)</f>
        <v>1</v>
      </c>
      <c r="BE772" s="77">
        <f>ROUNDUP(tbl_Data[[#This Row],[Adjusted 2028]]/$L772,0)</f>
        <v>1</v>
      </c>
      <c r="BF772" s="77">
        <f>ROUNDUP(tbl_Data[[#This Row],[Adjusted 2029]]/$L772,0)</f>
        <v>1</v>
      </c>
      <c r="BG772" s="77">
        <f>ROUNDUP(tbl_Data[[#This Row],[Adjusted 2030]]/$L772,0)</f>
        <v>1</v>
      </c>
      <c r="BH772" s="77">
        <f>ROUNDUP(tbl_Data[[#This Row],[Adjusted 2031]]/$L772,0)</f>
        <v>1</v>
      </c>
      <c r="BI772" s="77">
        <f>ROUNDUP(tbl_Data[[#This Row],[Adjusted 2032]]/$L772,0)</f>
        <v>1</v>
      </c>
      <c r="BJ772" s="77">
        <f>ROUNDUP(tbl_Data[[#This Row],[Adjusted 2033]]/$L772,0)</f>
        <v>1</v>
      </c>
      <c r="BK772" s="77">
        <f>ROUNDUP(tbl_Data[[#This Row],[Adjusted 2034]]/$L772,0)</f>
        <v>1</v>
      </c>
      <c r="BL772" s="80">
        <f t="shared" si="320"/>
        <v>9.4411359930744645E-3</v>
      </c>
      <c r="BM772" s="80">
        <f t="shared" si="321"/>
        <v>1.0029205372738159E-2</v>
      </c>
      <c r="BN772" s="80">
        <f t="shared" si="322"/>
        <v>1.0479830627570482E-2</v>
      </c>
      <c r="BO772" s="80">
        <f t="shared" si="323"/>
        <v>1.1535345490683715E-2</v>
      </c>
      <c r="BP772" s="80">
        <f t="shared" si="324"/>
        <v>1.1767969237414924E-2</v>
      </c>
      <c r="BQ772" s="80">
        <f t="shared" si="325"/>
        <v>1.2273456813222339E-2</v>
      </c>
      <c r="BR772" s="80">
        <f t="shared" si="326"/>
        <v>1.2929228490466793E-2</v>
      </c>
      <c r="BS772" s="80">
        <f t="shared" si="327"/>
        <v>1.3207389947453822E-2</v>
      </c>
      <c r="BT772" s="80">
        <f t="shared" si="328"/>
        <v>1.3837759266902113E-2</v>
      </c>
      <c r="BU772" s="80">
        <f t="shared" si="329"/>
        <v>1.4432600477581881E-2</v>
      </c>
      <c r="BV772" s="80" t="str">
        <f>IFERROR(VLOOKUP($H772,'1. Set Program Names'!$B$2:$D$15,3,0)*V772,"NA")</f>
        <v>NA</v>
      </c>
      <c r="BW772" s="80" t="str">
        <f>IFERROR(VLOOKUP($H772,'1. Set Program Names'!$B$2:$D$15,3,0)*W772,"NA")</f>
        <v>NA</v>
      </c>
      <c r="BX772" s="80" t="str">
        <f>IFERROR(VLOOKUP($H772,'1. Set Program Names'!$B$2:$D$15,3,0)*X772,"NA")</f>
        <v>NA</v>
      </c>
      <c r="BY772" s="80" t="str">
        <f>IFERROR(VLOOKUP($H772,'1. Set Program Names'!$B$2:$D$15,3,0)*Y772,"NA")</f>
        <v>NA</v>
      </c>
      <c r="BZ772" s="80" t="str">
        <f>IFERROR(VLOOKUP($H772,'1. Set Program Names'!$B$2:$D$15,3,0)*Z772,"NA")</f>
        <v>NA</v>
      </c>
      <c r="CA772" s="80" t="str">
        <f>IFERROR(VLOOKUP($H772,'1. Set Program Names'!$B$2:$D$15,3,0)*AA772,"NA")</f>
        <v>NA</v>
      </c>
      <c r="CB772" s="80" t="str">
        <f>IFERROR(VLOOKUP($H772,'1. Set Program Names'!$B$2:$D$15,3,0)*AB772,"NA")</f>
        <v>NA</v>
      </c>
      <c r="CC772" s="80" t="str">
        <f>IFERROR(VLOOKUP($H772,'1. Set Program Names'!$B$2:$D$15,3,0)*AC772,"NA")</f>
        <v>NA</v>
      </c>
      <c r="CD772" s="80" t="str">
        <f>IFERROR(VLOOKUP($H772,'1. Set Program Names'!$B$2:$D$15,3,0)*AD772,"NA")</f>
        <v>NA</v>
      </c>
      <c r="CE772" s="80" t="str">
        <f>IFERROR(VLOOKUP($H772,'1. Set Program Names'!$B$2:$D$15,3,0)*AE772,"NA")</f>
        <v>NA</v>
      </c>
    </row>
    <row r="773" spans="1:83" x14ac:dyDescent="0.25">
      <c r="A773" s="79" t="s">
        <v>116</v>
      </c>
      <c r="B773" s="79" t="s">
        <v>88</v>
      </c>
      <c r="C773" s="79" t="s">
        <v>176</v>
      </c>
      <c r="D773" s="79" t="s">
        <v>90</v>
      </c>
      <c r="E773" s="79" t="s">
        <v>91</v>
      </c>
      <c r="F773" s="79" t="s">
        <v>90</v>
      </c>
      <c r="G773" s="79" t="s">
        <v>92</v>
      </c>
      <c r="H773" s="79" t="s">
        <v>20</v>
      </c>
      <c r="I773" s="79" t="s">
        <v>155</v>
      </c>
      <c r="J773" s="79" t="s">
        <v>129</v>
      </c>
      <c r="K773" s="79" t="s">
        <v>102</v>
      </c>
      <c r="L773" s="79">
        <v>47228.7699999998</v>
      </c>
      <c r="M773" s="79">
        <v>5.6581998938837703</v>
      </c>
      <c r="N773" s="79">
        <v>5.4505995734426298</v>
      </c>
      <c r="O773" s="79">
        <v>11124</v>
      </c>
      <c r="P773" s="79">
        <v>2435.8852359673701</v>
      </c>
      <c r="Q773" s="79">
        <v>2833.7261999999801</v>
      </c>
      <c r="R773" s="79">
        <v>16918.542729362998</v>
      </c>
      <c r="S773" s="79">
        <v>40712.4661763408</v>
      </c>
      <c r="T773" s="79">
        <v>11</v>
      </c>
      <c r="U773" s="79">
        <v>0.05</v>
      </c>
      <c r="V773" s="79">
        <f>tbl_Data_old[[#This Row],[2025 ]]*IFERROR(AVERAGEIFS('Participation Adjustment'!$C:$C,'Participation Adjustment'!$A:$A,$H773,'Participation Adjustment'!$B:$B,$I773),1)</f>
        <v>1.8493226617279399E-2</v>
      </c>
      <c r="W773" s="79">
        <f>tbl_Data_old[[#This Row],[2026 ]]*IFERROR(AVERAGEIFS('Participation Adjustment'!$C:$C,'Participation Adjustment'!$A:$A,$H773,'Participation Adjustment'!$B:$B,$I773),1)</f>
        <v>1.54582465671163E-2</v>
      </c>
      <c r="X773" s="79">
        <f>tbl_Data_old[[#This Row],[2027 ]]*IFERROR(AVERAGEIFS('Participation Adjustment'!$C:$C,'Participation Adjustment'!$A:$A,$H773,'Participation Adjustment'!$B:$B,$I773),1)</f>
        <v>1.2803317167986101E-2</v>
      </c>
      <c r="Y773" s="79">
        <f>tbl_Data_old[[#This Row],[2028 ]]*IFERROR(AVERAGEIFS('Participation Adjustment'!$C:$C,'Participation Adjustment'!$A:$A,$H773,'Participation Adjustment'!$B:$B,$I773),1)</f>
        <v>1.0675430451769099E-2</v>
      </c>
      <c r="Z773" s="79">
        <f>tbl_Data_old[[#This Row],[2029 ]]*IFERROR(AVERAGEIFS('Participation Adjustment'!$C:$C,'Participation Adjustment'!$A:$A,$H773,'Participation Adjustment'!$B:$B,$I773),1)</f>
        <v>8.8702109752671898E-3</v>
      </c>
      <c r="AA773" s="79">
        <f>tbl_Data_old[[#This Row],[2030 ]]*IFERROR(AVERAGEIFS('Participation Adjustment'!$C:$C,'Participation Adjustment'!$A:$A,$H773,'Participation Adjustment'!$B:$B,$I773),1)</f>
        <v>7.4074576008969998E-3</v>
      </c>
      <c r="AB773" s="79">
        <f>tbl_Data_old[[#This Row],[2031 ]]*IFERROR(AVERAGEIFS('Participation Adjustment'!$C:$C,'Participation Adjustment'!$A:$A,$H773,'Participation Adjustment'!$B:$B,$I773),1)</f>
        <v>6.23678198374887E-3</v>
      </c>
      <c r="AC773" s="79">
        <f>tbl_Data_old[[#This Row],[2032 ]]*IFERROR(AVERAGEIFS('Participation Adjustment'!$C:$C,'Participation Adjustment'!$A:$A,$H773,'Participation Adjustment'!$B:$B,$I773),1)</f>
        <v>5.2670292058911803E-3</v>
      </c>
      <c r="AD773" s="79">
        <f>tbl_Data_old[[#This Row],[2033 ]]*IFERROR(AVERAGEIFS('Participation Adjustment'!$C:$C,'Participation Adjustment'!$A:$A,$H773,'Participation Adjustment'!$B:$B,$I773),1)</f>
        <v>4.5164815234836498E-3</v>
      </c>
      <c r="AE773" s="79">
        <f>tbl_Data_old[[#This Row],[2034 ]]*IFERROR(AVERAGEIFS('Participation Adjustment'!$C:$C,'Participation Adjustment'!$A:$A,$H773,'Participation Adjustment'!$B:$B,$I773),1)</f>
        <v>3.9162118266965196E-3</v>
      </c>
      <c r="AF773" s="77" t="str">
        <f t="shared" si="319"/>
        <v>NonResidential</v>
      </c>
      <c r="AG773" s="77" t="str">
        <f>tbl_Data[[#This Row],[All_Meas_Name_Append]]</f>
        <v>Smart thermostat</v>
      </c>
      <c r="AH773" s="77">
        <f>AVERAGEIFS('3. Incentive Adjustment'!G:G,'3. Incentive Adjustment'!A:A,tbl_Data[[#This Row],[Trimmed Sector]],'3. Incentive Adjustment'!B:B,tbl_Data[[#This Row],[Trimmed Measure Name]])</f>
        <v>0.87546479230069263</v>
      </c>
      <c r="AI773" s="77">
        <f>$AH773*tbl_Data[[#This Row],[2025 ]]</f>
        <v>1.6190168799466151E-2</v>
      </c>
      <c r="AJ773" s="77">
        <f>$AH773*tbl_Data[[#This Row],[2026 ]]</f>
        <v>1.3533150620213366E-2</v>
      </c>
      <c r="AK773" s="77">
        <f>$AH773*tbl_Data[[#This Row],[2027 ]]</f>
        <v>1.1208853405230843E-2</v>
      </c>
      <c r="AL773" s="77">
        <f>$AH773*tbl_Data[[#This Row],[2028 ]]</f>
        <v>9.3459635031785237E-3</v>
      </c>
      <c r="AM773" s="77">
        <f>$AH773*tbl_Data[[#This Row],[2029 ]]</f>
        <v>7.7655574091256147E-3</v>
      </c>
      <c r="AN773" s="77">
        <f>$AH773*tbl_Data[[#This Row],[2030 ]]</f>
        <v>6.4849683300454786E-3</v>
      </c>
      <c r="AO773" s="77">
        <f>$AH773*tbl_Data[[#This Row],[2031 ]]</f>
        <v>5.460083044027406E-3</v>
      </c>
      <c r="AP773" s="77">
        <f>$AH773*tbl_Data[[#This Row],[2032 ]]</f>
        <v>4.6110986297772045E-3</v>
      </c>
      <c r="AQ773" s="77">
        <f>$AH773*tbl_Data[[#This Row],[2033 ]]</f>
        <v>3.954020558886529E-3</v>
      </c>
      <c r="AR773" s="77">
        <f>$AH773*tbl_Data[[#This Row],[2034 ]]</f>
        <v>3.4285055734643846E-3</v>
      </c>
      <c r="AS773" s="77">
        <f>SUM(tbl_Data[[#This Row],[Adjusted 2025]:[Adjusted 2034]])</f>
        <v>8.198236987341552E-2</v>
      </c>
      <c r="AT773" s="80">
        <f>AVERAGEIFS('3. Incentive Adjustment'!F:F,'3. Incentive Adjustment'!A:A,tbl_Data[[#This Row],[Trimmed Sector]],'3. Incentive Adjustment'!B:B,tbl_Data[[#This Row],[Trimmed Measure Name]])</f>
        <v>50</v>
      </c>
      <c r="AU773" s="80">
        <f>IFERROR(VLOOKUP(tbl_Data[[#This Row],[All_Meas_Name_Append]],'IRA Tax Credits'!$A$3:$D$46,4,0),0)</f>
        <v>0</v>
      </c>
      <c r="AV773" s="81">
        <f>tbl_Data[[#This Row],[Adj. per unit Incentive ($)]]/tbl_Data[[#This Row],[kWh Savings]]*tbl_Data[[#This Row],[Sum of Annuals]]</f>
        <v>8.6792827627541294E-5</v>
      </c>
      <c r="AW773" s="81" t="str">
        <f>IFERROR(VLOOKUP(tbl_Data[[#This Row],[Column1]],'1. Set Program Names'!$B$2:$D$15,3,0)*tbl_Data[[#This Row],[Sum of Annuals]],"")</f>
        <v/>
      </c>
      <c r="AX773" s="81">
        <f>tbl_Data[[#This Row],[per unit IRA tax ($)]]/tbl_Data[[#This Row],[kWh Savings]]*tbl_Data[[#This Row],[Sum of Annuals]]</f>
        <v>0</v>
      </c>
      <c r="AY773" s="81">
        <f>tbl_Data[[#This Row],[Avoided Costs ($/unit)]]/tbl_Data[[#This Row],[kWh Savings]]*tbl_Data[[#This Row],[Sum of Annuals]]</f>
        <v>2.9368163256375892E-2</v>
      </c>
      <c r="AZ773" s="81">
        <f>tbl_Data[[#This Row],[Lost Revenue ($/unit)]]/tbl_Data[[#This Row],[kWh Savings]]*tbl_Data[[#This Row],[Sum of Annuals]]</f>
        <v>7.0671001182705043E-2</v>
      </c>
      <c r="BA773" s="81">
        <f>tbl_Data[[#This Row],[Incremental Cost ($/unit)]]/tbl_Data[[#This Row],[kWh Savings]]*tbl_Data[[#This Row],[Sum of Annuals]]</f>
        <v>1.9309668290575385E-2</v>
      </c>
      <c r="BB773" s="77">
        <f>ROUNDUP(tbl_Data[[#This Row],[Adjusted 2025]]/$L773,0)</f>
        <v>1</v>
      </c>
      <c r="BC773" s="77">
        <f>ROUNDUP(tbl_Data[[#This Row],[Adjusted 2026]]/$L773,0)</f>
        <v>1</v>
      </c>
      <c r="BD773" s="77">
        <f>ROUNDUP(tbl_Data[[#This Row],[Adjusted 2027]]/$L773,0)</f>
        <v>1</v>
      </c>
      <c r="BE773" s="77">
        <f>ROUNDUP(tbl_Data[[#This Row],[Adjusted 2028]]/$L773,0)</f>
        <v>1</v>
      </c>
      <c r="BF773" s="77">
        <f>ROUNDUP(tbl_Data[[#This Row],[Adjusted 2029]]/$L773,0)</f>
        <v>1</v>
      </c>
      <c r="BG773" s="77">
        <f>ROUNDUP(tbl_Data[[#This Row],[Adjusted 2030]]/$L773,0)</f>
        <v>1</v>
      </c>
      <c r="BH773" s="77">
        <f>ROUNDUP(tbl_Data[[#This Row],[Adjusted 2031]]/$L773,0)</f>
        <v>1</v>
      </c>
      <c r="BI773" s="77">
        <f>ROUNDUP(tbl_Data[[#This Row],[Adjusted 2032]]/$L773,0)</f>
        <v>1</v>
      </c>
      <c r="BJ773" s="77">
        <f>ROUNDUP(tbl_Data[[#This Row],[Adjusted 2033]]/$L773,0)</f>
        <v>1</v>
      </c>
      <c r="BK773" s="77">
        <f>ROUNDUP(tbl_Data[[#This Row],[Adjusted 2034]]/$L773,0)</f>
        <v>1</v>
      </c>
      <c r="BL773" s="80">
        <f t="shared" si="320"/>
        <v>1.9578348766312862E-5</v>
      </c>
      <c r="BM773" s="80">
        <f t="shared" si="321"/>
        <v>1.6365285997408322E-5</v>
      </c>
      <c r="BN773" s="80">
        <f t="shared" si="322"/>
        <v>1.3554574010699576E-5</v>
      </c>
      <c r="BO773" s="80">
        <f t="shared" si="323"/>
        <v>1.1301829850501236E-5</v>
      </c>
      <c r="BP773" s="80">
        <f t="shared" si="324"/>
        <v>9.3906859899879111E-6</v>
      </c>
      <c r="BQ773" s="80">
        <f t="shared" si="325"/>
        <v>7.8421030241704703E-6</v>
      </c>
      <c r="BR773" s="80">
        <f t="shared" si="326"/>
        <v>6.6027359846010143E-6</v>
      </c>
      <c r="BS773" s="80">
        <f t="shared" si="327"/>
        <v>5.576081280426319E-6</v>
      </c>
      <c r="BT773" s="80">
        <f t="shared" si="328"/>
        <v>4.7814939108976042E-6</v>
      </c>
      <c r="BU773" s="80">
        <f t="shared" si="329"/>
        <v>4.1460023484589337E-6</v>
      </c>
      <c r="BV773" s="80" t="str">
        <f>IFERROR(VLOOKUP($H773,'1. Set Program Names'!$B$2:$D$15,3,0)*V773,"NA")</f>
        <v>NA</v>
      </c>
      <c r="BW773" s="80" t="str">
        <f>IFERROR(VLOOKUP($H773,'1. Set Program Names'!$B$2:$D$15,3,0)*W773,"NA")</f>
        <v>NA</v>
      </c>
      <c r="BX773" s="80" t="str">
        <f>IFERROR(VLOOKUP($H773,'1. Set Program Names'!$B$2:$D$15,3,0)*X773,"NA")</f>
        <v>NA</v>
      </c>
      <c r="BY773" s="80" t="str">
        <f>IFERROR(VLOOKUP($H773,'1. Set Program Names'!$B$2:$D$15,3,0)*Y773,"NA")</f>
        <v>NA</v>
      </c>
      <c r="BZ773" s="80" t="str">
        <f>IFERROR(VLOOKUP($H773,'1. Set Program Names'!$B$2:$D$15,3,0)*Z773,"NA")</f>
        <v>NA</v>
      </c>
      <c r="CA773" s="80" t="str">
        <f>IFERROR(VLOOKUP($H773,'1. Set Program Names'!$B$2:$D$15,3,0)*AA773,"NA")</f>
        <v>NA</v>
      </c>
      <c r="CB773" s="80" t="str">
        <f>IFERROR(VLOOKUP($H773,'1. Set Program Names'!$B$2:$D$15,3,0)*AB773,"NA")</f>
        <v>NA</v>
      </c>
      <c r="CC773" s="80" t="str">
        <f>IFERROR(VLOOKUP($H773,'1. Set Program Names'!$B$2:$D$15,3,0)*AC773,"NA")</f>
        <v>NA</v>
      </c>
      <c r="CD773" s="80" t="str">
        <f>IFERROR(VLOOKUP($H773,'1. Set Program Names'!$B$2:$D$15,3,0)*AD773,"NA")</f>
        <v>NA</v>
      </c>
      <c r="CE773" s="80" t="str">
        <f>IFERROR(VLOOKUP($H773,'1. Set Program Names'!$B$2:$D$15,3,0)*AE773,"NA")</f>
        <v>NA</v>
      </c>
    </row>
    <row r="774" spans="1:83" x14ac:dyDescent="0.25">
      <c r="A774" s="79" t="s">
        <v>117</v>
      </c>
      <c r="B774" s="79" t="s">
        <v>88</v>
      </c>
      <c r="C774" s="79" t="s">
        <v>176</v>
      </c>
      <c r="D774" s="79" t="s">
        <v>90</v>
      </c>
      <c r="E774" s="79" t="s">
        <v>91</v>
      </c>
      <c r="F774" s="79" t="s">
        <v>90</v>
      </c>
      <c r="G774" s="79" t="s">
        <v>92</v>
      </c>
      <c r="H774" s="79" t="s">
        <v>20</v>
      </c>
      <c r="I774" s="79" t="s">
        <v>196</v>
      </c>
      <c r="J774" s="79" t="s">
        <v>129</v>
      </c>
      <c r="K774" s="79" t="s">
        <v>102</v>
      </c>
      <c r="L774" s="79">
        <v>450182.94333333202</v>
      </c>
      <c r="M774" s="79">
        <v>53.933758643237098</v>
      </c>
      <c r="N774" s="79">
        <v>51.954919827550498</v>
      </c>
      <c r="O774" s="79">
        <v>125734.46</v>
      </c>
      <c r="P774" s="79">
        <v>37957.822069457201</v>
      </c>
      <c r="Q774" s="79">
        <v>27010.9765999999</v>
      </c>
      <c r="R774" s="79">
        <v>216071.26156350001</v>
      </c>
      <c r="S774" s="79">
        <v>564970.75021643203</v>
      </c>
      <c r="T774" s="79">
        <v>20</v>
      </c>
      <c r="U774" s="79">
        <v>1</v>
      </c>
      <c r="V774" s="79">
        <f>tbl_Data_old[[#This Row],[2025 ]]*IFERROR(AVERAGEIFS('Participation Adjustment'!$C:$C,'Participation Adjustment'!$A:$A,$H774,'Participation Adjustment'!$B:$B,$I774),1)</f>
        <v>0.112677632681142</v>
      </c>
      <c r="W774" s="79">
        <f>tbl_Data_old[[#This Row],[2026 ]]*IFERROR(AVERAGEIFS('Participation Adjustment'!$C:$C,'Participation Adjustment'!$A:$A,$H774,'Participation Adjustment'!$B:$B,$I774),1)</f>
        <v>0.23237372856431601</v>
      </c>
      <c r="X774" s="79">
        <f>tbl_Data_old[[#This Row],[2027 ]]*IFERROR(AVERAGEIFS('Participation Adjustment'!$C:$C,'Participation Adjustment'!$A:$A,$H774,'Participation Adjustment'!$B:$B,$I774),1)</f>
        <v>0.357447925872795</v>
      </c>
      <c r="Y774" s="79">
        <f>tbl_Data_old[[#This Row],[2028 ]]*IFERROR(AVERAGEIFS('Participation Adjustment'!$C:$C,'Participation Adjustment'!$A:$A,$H774,'Participation Adjustment'!$B:$B,$I774),1)</f>
        <v>0.49511943309425399</v>
      </c>
      <c r="Z774" s="79">
        <f>tbl_Data_old[[#This Row],[2029 ]]*IFERROR(AVERAGEIFS('Participation Adjustment'!$C:$C,'Participation Adjustment'!$A:$A,$H774,'Participation Adjustment'!$B:$B,$I774),1)</f>
        <v>0.63556724743662796</v>
      </c>
      <c r="AA774" s="79">
        <f>tbl_Data_old[[#This Row],[2030 ]]*IFERROR(AVERAGEIFS('Participation Adjustment'!$C:$C,'Participation Adjustment'!$A:$A,$H774,'Participation Adjustment'!$B:$B,$I774),1)</f>
        <v>0.78204793149229501</v>
      </c>
      <c r="AB774" s="79">
        <f>tbl_Data_old[[#This Row],[2031 ]]*IFERROR(AVERAGEIFS('Participation Adjustment'!$C:$C,'Participation Adjustment'!$A:$A,$H774,'Participation Adjustment'!$B:$B,$I774),1)</f>
        <v>0.93635508899622699</v>
      </c>
      <c r="AC774" s="79">
        <f>tbl_Data_old[[#This Row],[2032 ]]*IFERROR(AVERAGEIFS('Participation Adjustment'!$C:$C,'Participation Adjustment'!$A:$A,$H774,'Participation Adjustment'!$B:$B,$I774),1)</f>
        <v>1.0939820349768199</v>
      </c>
      <c r="AD774" s="79">
        <f>tbl_Data_old[[#This Row],[2033 ]]*IFERROR(AVERAGEIFS('Participation Adjustment'!$C:$C,'Participation Adjustment'!$A:$A,$H774,'Participation Adjustment'!$B:$B,$I774),1)</f>
        <v>1.2591322835220999</v>
      </c>
      <c r="AE774" s="79">
        <f>tbl_Data_old[[#This Row],[2034 ]]*IFERROR(AVERAGEIFS('Participation Adjustment'!$C:$C,'Participation Adjustment'!$A:$A,$H774,'Participation Adjustment'!$B:$B,$I774),1)</f>
        <v>1.43138181540466</v>
      </c>
      <c r="AF774" s="77" t="str">
        <f t="shared" si="319"/>
        <v>NonResidential</v>
      </c>
      <c r="AG774" s="77" t="str">
        <f>tbl_Data[[#This Row],[All_Meas_Name_Append]]</f>
        <v>LEED New Construction Whole Building</v>
      </c>
      <c r="AH774" s="77">
        <f>AVERAGEIFS('3. Incentive Adjustment'!G:G,'3. Incentive Adjustment'!A:A,tbl_Data[[#This Row],[Trimmed Sector]],'3. Incentive Adjustment'!B:B,tbl_Data[[#This Row],[Trimmed Measure Name]])</f>
        <v>0.99860907400071952</v>
      </c>
      <c r="AI774" s="77">
        <f>$AH774*tbl_Data[[#This Row],[2025 ]]</f>
        <v>0.11252090643230843</v>
      </c>
      <c r="AJ774" s="77">
        <f>$AH774*tbl_Data[[#This Row],[2026 ]]</f>
        <v>0.23205051390370615</v>
      </c>
      <c r="AK774" s="77">
        <f>$AH774*tbl_Data[[#This Row],[2027 ]]</f>
        <v>0.35695074225930967</v>
      </c>
      <c r="AL774" s="77">
        <f>$AH774*tbl_Data[[#This Row],[2028 ]]</f>
        <v>0.49443075860201419</v>
      </c>
      <c r="AM774" s="77">
        <f>$AH774*tbl_Data[[#This Row],[2029 ]]</f>
        <v>0.63468322042787717</v>
      </c>
      <c r="AN774" s="77">
        <f>$AH774*tbl_Data[[#This Row],[2030 ]]</f>
        <v>0.78096016069169882</v>
      </c>
      <c r="AO774" s="77">
        <f>$AH774*tbl_Data[[#This Row],[2031 ]]</f>
        <v>0.93505268835838351</v>
      </c>
      <c r="AP774" s="77">
        <f>$AH774*tbl_Data[[#This Row],[2032 ]]</f>
        <v>1.0924603869216249</v>
      </c>
      <c r="AQ774" s="77">
        <f>$AH774*tbl_Data[[#This Row],[2033 ]]</f>
        <v>1.2573809236924156</v>
      </c>
      <c r="AR774" s="77">
        <f>$AH774*tbl_Data[[#This Row],[2034 ]]</f>
        <v>1.4293908692227164</v>
      </c>
      <c r="AS774" s="77">
        <f>SUM(tbl_Data[[#This Row],[Adjusted 2025]:[Adjusted 2034]])</f>
        <v>7.325881170512055</v>
      </c>
      <c r="AT774" s="80">
        <f>AVERAGEIFS('3. Incentive Adjustment'!F:F,'3. Incentive Adjustment'!A:A,tbl_Data[[#This Row],[Trimmed Sector]],'3. Incentive Adjustment'!B:B,tbl_Data[[#This Row],[Trimmed Measure Name]])</f>
        <v>37720.338000000003</v>
      </c>
      <c r="AU774" s="80">
        <f>IFERROR(VLOOKUP(tbl_Data[[#This Row],[All_Meas_Name_Append]],'IRA Tax Credits'!$A$3:$D$46,4,0),0)</f>
        <v>0</v>
      </c>
      <c r="AV774" s="81">
        <f>tbl_Data[[#This Row],[Adj. per unit Incentive ($)]]/tbl_Data[[#This Row],[kWh Savings]]*tbl_Data[[#This Row],[Sum of Annuals]]</f>
        <v>0.61382759607340776</v>
      </c>
      <c r="AW774" s="81" t="str">
        <f>IFERROR(VLOOKUP(tbl_Data[[#This Row],[Column1]],'1. Set Program Names'!$B$2:$D$15,3,0)*tbl_Data[[#This Row],[Sum of Annuals]],"")</f>
        <v/>
      </c>
      <c r="AX774" s="81">
        <f>tbl_Data[[#This Row],[per unit IRA tax ($)]]/tbl_Data[[#This Row],[kWh Savings]]*tbl_Data[[#This Row],[Sum of Annuals]]</f>
        <v>0</v>
      </c>
      <c r="AY774" s="81">
        <f>tbl_Data[[#This Row],[Avoided Costs ($/unit)]]/tbl_Data[[#This Row],[kWh Savings]]*tbl_Data[[#This Row],[Sum of Annuals]]</f>
        <v>3.5161536215839773</v>
      </c>
      <c r="AZ774" s="81">
        <f>tbl_Data[[#This Row],[Lost Revenue ($/unit)]]/tbl_Data[[#This Row],[kWh Savings]]*tbl_Data[[#This Row],[Sum of Annuals]]</f>
        <v>9.193836954937737</v>
      </c>
      <c r="BA774" s="81">
        <f>tbl_Data[[#This Row],[Incremental Cost ($/unit)]]/tbl_Data[[#This Row],[kWh Savings]]*tbl_Data[[#This Row],[Sum of Annuals]]</f>
        <v>2.0460919869113594</v>
      </c>
      <c r="BB774" s="77">
        <f>ROUNDUP(tbl_Data[[#This Row],[Adjusted 2025]]/$L774,0)</f>
        <v>1</v>
      </c>
      <c r="BC774" s="77">
        <f>ROUNDUP(tbl_Data[[#This Row],[Adjusted 2026]]/$L774,0)</f>
        <v>1</v>
      </c>
      <c r="BD774" s="77">
        <f>ROUNDUP(tbl_Data[[#This Row],[Adjusted 2027]]/$L774,0)</f>
        <v>1</v>
      </c>
      <c r="BE774" s="77">
        <f>ROUNDUP(tbl_Data[[#This Row],[Adjusted 2028]]/$L774,0)</f>
        <v>1</v>
      </c>
      <c r="BF774" s="77">
        <f>ROUNDUP(tbl_Data[[#This Row],[Adjusted 2029]]/$L774,0)</f>
        <v>1</v>
      </c>
      <c r="BG774" s="77">
        <f>ROUNDUP(tbl_Data[[#This Row],[Adjusted 2030]]/$L774,0)</f>
        <v>1</v>
      </c>
      <c r="BH774" s="77">
        <f>ROUNDUP(tbl_Data[[#This Row],[Adjusted 2031]]/$L774,0)</f>
        <v>1</v>
      </c>
      <c r="BI774" s="77">
        <f>ROUNDUP(tbl_Data[[#This Row],[Adjusted 2032]]/$L774,0)</f>
        <v>1</v>
      </c>
      <c r="BJ774" s="77">
        <f>ROUNDUP(tbl_Data[[#This Row],[Adjusted 2033]]/$L774,0)</f>
        <v>1</v>
      </c>
      <c r="BK774" s="77">
        <f>ROUNDUP(tbl_Data[[#This Row],[Adjusted 2034]]/$L774,0)</f>
        <v>1</v>
      </c>
      <c r="BL774" s="80">
        <f t="shared" si="320"/>
        <v>9.4411359930744645E-3</v>
      </c>
      <c r="BM774" s="80">
        <f t="shared" si="321"/>
        <v>1.9470341365812625E-2</v>
      </c>
      <c r="BN774" s="80">
        <f t="shared" si="322"/>
        <v>2.9950171993383193E-2</v>
      </c>
      <c r="BO774" s="80">
        <f t="shared" si="323"/>
        <v>4.1485517484066904E-2</v>
      </c>
      <c r="BP774" s="80">
        <f t="shared" si="324"/>
        <v>5.3253486721481912E-2</v>
      </c>
      <c r="BQ774" s="80">
        <f t="shared" si="325"/>
        <v>6.5526943534704257E-2</v>
      </c>
      <c r="BR774" s="80">
        <f t="shared" si="326"/>
        <v>7.8456172025171134E-2</v>
      </c>
      <c r="BS774" s="80">
        <f t="shared" si="327"/>
        <v>9.1663561972624694E-2</v>
      </c>
      <c r="BT774" s="80">
        <f t="shared" si="328"/>
        <v>0.10550132123952656</v>
      </c>
      <c r="BU774" s="80">
        <f t="shared" si="329"/>
        <v>0.11993392171710861</v>
      </c>
      <c r="BV774" s="80" t="str">
        <f>IFERROR(VLOOKUP($H774,'1. Set Program Names'!$B$2:$D$15,3,0)*V774,"NA")</f>
        <v>NA</v>
      </c>
      <c r="BW774" s="80" t="str">
        <f>IFERROR(VLOOKUP($H774,'1. Set Program Names'!$B$2:$D$15,3,0)*W774,"NA")</f>
        <v>NA</v>
      </c>
      <c r="BX774" s="80" t="str">
        <f>IFERROR(VLOOKUP($H774,'1. Set Program Names'!$B$2:$D$15,3,0)*X774,"NA")</f>
        <v>NA</v>
      </c>
      <c r="BY774" s="80" t="str">
        <f>IFERROR(VLOOKUP($H774,'1. Set Program Names'!$B$2:$D$15,3,0)*Y774,"NA")</f>
        <v>NA</v>
      </c>
      <c r="BZ774" s="80" t="str">
        <f>IFERROR(VLOOKUP($H774,'1. Set Program Names'!$B$2:$D$15,3,0)*Z774,"NA")</f>
        <v>NA</v>
      </c>
      <c r="CA774" s="80" t="str">
        <f>IFERROR(VLOOKUP($H774,'1. Set Program Names'!$B$2:$D$15,3,0)*AA774,"NA")</f>
        <v>NA</v>
      </c>
      <c r="CB774" s="80" t="str">
        <f>IFERROR(VLOOKUP($H774,'1. Set Program Names'!$B$2:$D$15,3,0)*AB774,"NA")</f>
        <v>NA</v>
      </c>
      <c r="CC774" s="80" t="str">
        <f>IFERROR(VLOOKUP($H774,'1. Set Program Names'!$B$2:$D$15,3,0)*AC774,"NA")</f>
        <v>NA</v>
      </c>
      <c r="CD774" s="80" t="str">
        <f>IFERROR(VLOOKUP($H774,'1. Set Program Names'!$B$2:$D$15,3,0)*AD774,"NA")</f>
        <v>NA</v>
      </c>
      <c r="CE774" s="80" t="str">
        <f>IFERROR(VLOOKUP($H774,'1. Set Program Names'!$B$2:$D$15,3,0)*AE774,"NA")</f>
        <v>NA</v>
      </c>
    </row>
    <row r="775" spans="1:83" x14ac:dyDescent="0.25">
      <c r="A775" s="79" t="s">
        <v>117</v>
      </c>
      <c r="B775" s="79" t="s">
        <v>88</v>
      </c>
      <c r="C775" s="79" t="s">
        <v>176</v>
      </c>
      <c r="D775" s="79" t="s">
        <v>90</v>
      </c>
      <c r="E775" s="79" t="s">
        <v>91</v>
      </c>
      <c r="F775" s="79" t="s">
        <v>90</v>
      </c>
      <c r="G775" s="79" t="s">
        <v>92</v>
      </c>
      <c r="H775" s="79" t="s">
        <v>20</v>
      </c>
      <c r="I775" s="79" t="s">
        <v>155</v>
      </c>
      <c r="J775" s="79" t="s">
        <v>129</v>
      </c>
      <c r="K775" s="79" t="s">
        <v>102</v>
      </c>
      <c r="L775" s="79">
        <v>47228.7699999998</v>
      </c>
      <c r="M775" s="79">
        <v>5.6581998938837703</v>
      </c>
      <c r="N775" s="79">
        <v>5.4505995734426298</v>
      </c>
      <c r="O775" s="79">
        <v>11124</v>
      </c>
      <c r="P775" s="79">
        <v>2435.8852359673701</v>
      </c>
      <c r="Q775" s="79">
        <v>2833.7261999999801</v>
      </c>
      <c r="R775" s="79">
        <v>16918.542729362998</v>
      </c>
      <c r="S775" s="79">
        <v>40712.4661763408</v>
      </c>
      <c r="T775" s="79">
        <v>11</v>
      </c>
      <c r="U775" s="79">
        <v>0.05</v>
      </c>
      <c r="V775" s="79">
        <f>tbl_Data_old[[#This Row],[2025 ]]*IFERROR(AVERAGEIFS('Participation Adjustment'!$C:$C,'Participation Adjustment'!$A:$A,$H775,'Participation Adjustment'!$B:$B,$I775),1)</f>
        <v>1.8493226617279399E-2</v>
      </c>
      <c r="W775" s="79">
        <f>tbl_Data_old[[#This Row],[2026 ]]*IFERROR(AVERAGEIFS('Participation Adjustment'!$C:$C,'Participation Adjustment'!$A:$A,$H775,'Participation Adjustment'!$B:$B,$I775),1)</f>
        <v>3.39514731843958E-2</v>
      </c>
      <c r="X775" s="79">
        <f>tbl_Data_old[[#This Row],[2027 ]]*IFERROR(AVERAGEIFS('Participation Adjustment'!$C:$C,'Participation Adjustment'!$A:$A,$H775,'Participation Adjustment'!$B:$B,$I775),1)</f>
        <v>4.6754790352382003E-2</v>
      </c>
      <c r="Y775" s="79">
        <f>tbl_Data_old[[#This Row],[2028 ]]*IFERROR(AVERAGEIFS('Participation Adjustment'!$C:$C,'Participation Adjustment'!$A:$A,$H775,'Participation Adjustment'!$B:$B,$I775),1)</f>
        <v>5.7430220804151097E-2</v>
      </c>
      <c r="Z775" s="79">
        <f>tbl_Data_old[[#This Row],[2029 ]]*IFERROR(AVERAGEIFS('Participation Adjustment'!$C:$C,'Participation Adjustment'!$A:$A,$H775,'Participation Adjustment'!$B:$B,$I775),1)</f>
        <v>6.6300431779418301E-2</v>
      </c>
      <c r="AA775" s="79">
        <f>tbl_Data_old[[#This Row],[2030 ]]*IFERROR(AVERAGEIFS('Participation Adjustment'!$C:$C,'Participation Adjustment'!$A:$A,$H775,'Participation Adjustment'!$B:$B,$I775),1)</f>
        <v>7.3707889380315306E-2</v>
      </c>
      <c r="AB775" s="79">
        <f>tbl_Data_old[[#This Row],[2031 ]]*IFERROR(AVERAGEIFS('Participation Adjustment'!$C:$C,'Participation Adjustment'!$A:$A,$H775,'Participation Adjustment'!$B:$B,$I775),1)</f>
        <v>7.9944671364064204E-2</v>
      </c>
      <c r="AC775" s="79">
        <f>tbl_Data_old[[#This Row],[2032 ]]*IFERROR(AVERAGEIFS('Participation Adjustment'!$C:$C,'Participation Adjustment'!$A:$A,$H775,'Participation Adjustment'!$B:$B,$I775),1)</f>
        <v>8.5211700569955404E-2</v>
      </c>
      <c r="AD775" s="79">
        <f>tbl_Data_old[[#This Row],[2033 ]]*IFERROR(AVERAGEIFS('Participation Adjustment'!$C:$C,'Participation Adjustment'!$A:$A,$H775,'Participation Adjustment'!$B:$B,$I775),1)</f>
        <v>8.9728182093438996E-2</v>
      </c>
      <c r="AE775" s="79">
        <f>tbl_Data_old[[#This Row],[2034 ]]*IFERROR(AVERAGEIFS('Participation Adjustment'!$C:$C,'Participation Adjustment'!$A:$A,$H775,'Participation Adjustment'!$B:$B,$I775),1)</f>
        <v>9.3644393920135599E-2</v>
      </c>
      <c r="AF775" s="77" t="str">
        <f t="shared" si="319"/>
        <v>NonResidential</v>
      </c>
      <c r="AG775" s="77" t="str">
        <f>tbl_Data[[#This Row],[All_Meas_Name_Append]]</f>
        <v>Smart thermostat</v>
      </c>
      <c r="AH775" s="77">
        <f>AVERAGEIFS('3. Incentive Adjustment'!G:G,'3. Incentive Adjustment'!A:A,tbl_Data[[#This Row],[Trimmed Sector]],'3. Incentive Adjustment'!B:B,tbl_Data[[#This Row],[Trimmed Measure Name]])</f>
        <v>0.87546479230069263</v>
      </c>
      <c r="AI775" s="77">
        <f>$AH775*tbl_Data[[#This Row],[2025 ]]</f>
        <v>1.6190168799466151E-2</v>
      </c>
      <c r="AJ775" s="77">
        <f>$AH775*tbl_Data[[#This Row],[2026 ]]</f>
        <v>2.9723319419679605E-2</v>
      </c>
      <c r="AK775" s="77">
        <f>$AH775*tbl_Data[[#This Row],[2027 ]]</f>
        <v>4.0932172824910538E-2</v>
      </c>
      <c r="AL775" s="77">
        <f>$AH775*tbl_Data[[#This Row],[2028 ]]</f>
        <v>5.0278136328089057E-2</v>
      </c>
      <c r="AM775" s="77">
        <f>$AH775*tbl_Data[[#This Row],[2029 ]]</f>
        <v>5.8043693737214686E-2</v>
      </c>
      <c r="AN775" s="77">
        <f>$AH775*tbl_Data[[#This Row],[2030 ]]</f>
        <v>6.452866206726017E-2</v>
      </c>
      <c r="AO775" s="77">
        <f>$AH775*tbl_Data[[#This Row],[2031 ]]</f>
        <v>6.9988745111287595E-2</v>
      </c>
      <c r="AP775" s="77">
        <f>$AH775*tbl_Data[[#This Row],[2032 ]]</f>
        <v>7.459984374106482E-2</v>
      </c>
      <c r="AQ775" s="77">
        <f>$AH775*tbl_Data[[#This Row],[2033 ]]</f>
        <v>7.8553864299951301E-2</v>
      </c>
      <c r="AR775" s="77">
        <f>$AH775*tbl_Data[[#This Row],[2034 ]]</f>
        <v>8.1982369873415756E-2</v>
      </c>
      <c r="AS775" s="77">
        <f>SUM(tbl_Data[[#This Row],[Adjusted 2025]:[Adjusted 2034]])</f>
        <v>0.56482097620233973</v>
      </c>
      <c r="AT775" s="80">
        <f>AVERAGEIFS('3. Incentive Adjustment'!F:F,'3. Incentive Adjustment'!A:A,tbl_Data[[#This Row],[Trimmed Sector]],'3. Incentive Adjustment'!B:B,tbl_Data[[#This Row],[Trimmed Measure Name]])</f>
        <v>50</v>
      </c>
      <c r="AU775" s="80">
        <f>IFERROR(VLOOKUP(tbl_Data[[#This Row],[All_Meas_Name_Append]],'IRA Tax Credits'!$A$3:$D$46,4,0),0)</f>
        <v>0</v>
      </c>
      <c r="AV775" s="81">
        <f>tbl_Data[[#This Row],[Adj. per unit Incentive ($)]]/tbl_Data[[#This Row],[kWh Savings]]*tbl_Data[[#This Row],[Sum of Annuals]]</f>
        <v>5.9796282668629966E-4</v>
      </c>
      <c r="AW775" s="81" t="str">
        <f>IFERROR(VLOOKUP(tbl_Data[[#This Row],[Column1]],'1. Set Program Names'!$B$2:$D$15,3,0)*tbl_Data[[#This Row],[Sum of Annuals]],"")</f>
        <v/>
      </c>
      <c r="AX775" s="81">
        <f>tbl_Data[[#This Row],[per unit IRA tax ($)]]/tbl_Data[[#This Row],[kWh Savings]]*tbl_Data[[#This Row],[Sum of Annuals]]</f>
        <v>0</v>
      </c>
      <c r="AY775" s="81">
        <f>tbl_Data[[#This Row],[Avoided Costs ($/unit)]]/tbl_Data[[#This Row],[kWh Savings]]*tbl_Data[[#This Row],[Sum of Annuals]]</f>
        <v>0.2023331926772568</v>
      </c>
      <c r="AZ775" s="81">
        <f>tbl_Data[[#This Row],[Lost Revenue ($/unit)]]/tbl_Data[[#This Row],[kWh Savings]]*tbl_Data[[#This Row],[Sum of Annuals]]</f>
        <v>0.48689082712350218</v>
      </c>
      <c r="BA775" s="81">
        <f>tbl_Data[[#This Row],[Incremental Cost ($/unit)]]/tbl_Data[[#This Row],[kWh Savings]]*tbl_Data[[#This Row],[Sum of Annuals]]</f>
        <v>0.13303476968116792</v>
      </c>
      <c r="BB775" s="77">
        <f>ROUNDUP(tbl_Data[[#This Row],[Adjusted 2025]]/$L775,0)</f>
        <v>1</v>
      </c>
      <c r="BC775" s="77">
        <f>ROUNDUP(tbl_Data[[#This Row],[Adjusted 2026]]/$L775,0)</f>
        <v>1</v>
      </c>
      <c r="BD775" s="77">
        <f>ROUNDUP(tbl_Data[[#This Row],[Adjusted 2027]]/$L775,0)</f>
        <v>1</v>
      </c>
      <c r="BE775" s="77">
        <f>ROUNDUP(tbl_Data[[#This Row],[Adjusted 2028]]/$L775,0)</f>
        <v>1</v>
      </c>
      <c r="BF775" s="77">
        <f>ROUNDUP(tbl_Data[[#This Row],[Adjusted 2029]]/$L775,0)</f>
        <v>1</v>
      </c>
      <c r="BG775" s="77">
        <f>ROUNDUP(tbl_Data[[#This Row],[Adjusted 2030]]/$L775,0)</f>
        <v>1</v>
      </c>
      <c r="BH775" s="77">
        <f>ROUNDUP(tbl_Data[[#This Row],[Adjusted 2031]]/$L775,0)</f>
        <v>1</v>
      </c>
      <c r="BI775" s="77">
        <f>ROUNDUP(tbl_Data[[#This Row],[Adjusted 2032]]/$L775,0)</f>
        <v>1</v>
      </c>
      <c r="BJ775" s="77">
        <f>ROUNDUP(tbl_Data[[#This Row],[Adjusted 2033]]/$L775,0)</f>
        <v>1</v>
      </c>
      <c r="BK775" s="77">
        <f>ROUNDUP(tbl_Data[[#This Row],[Adjusted 2034]]/$L775,0)</f>
        <v>1</v>
      </c>
      <c r="BL775" s="80">
        <f t="shared" si="320"/>
        <v>1.9578348766312862E-5</v>
      </c>
      <c r="BM775" s="80">
        <f t="shared" si="321"/>
        <v>3.5943634763721293E-5</v>
      </c>
      <c r="BN775" s="80">
        <f t="shared" si="322"/>
        <v>4.9498208774420975E-5</v>
      </c>
      <c r="BO775" s="80">
        <f t="shared" si="323"/>
        <v>6.0800038624922204E-5</v>
      </c>
      <c r="BP775" s="80">
        <f t="shared" si="324"/>
        <v>7.0190724614910139E-5</v>
      </c>
      <c r="BQ775" s="80">
        <f t="shared" si="325"/>
        <v>7.8032827639080602E-5</v>
      </c>
      <c r="BR775" s="80">
        <f t="shared" si="326"/>
        <v>8.4635563623681654E-5</v>
      </c>
      <c r="BS775" s="80">
        <f t="shared" si="327"/>
        <v>9.0211644904107988E-5</v>
      </c>
      <c r="BT775" s="80">
        <f t="shared" si="328"/>
        <v>9.4993138815005541E-5</v>
      </c>
      <c r="BU775" s="80">
        <f t="shared" si="329"/>
        <v>9.9139141163464558E-5</v>
      </c>
      <c r="BV775" s="80" t="str">
        <f>IFERROR(VLOOKUP($H775,'1. Set Program Names'!$B$2:$D$15,3,0)*V775,"NA")</f>
        <v>NA</v>
      </c>
      <c r="BW775" s="80" t="str">
        <f>IFERROR(VLOOKUP($H775,'1. Set Program Names'!$B$2:$D$15,3,0)*W775,"NA")</f>
        <v>NA</v>
      </c>
      <c r="BX775" s="80" t="str">
        <f>IFERROR(VLOOKUP($H775,'1. Set Program Names'!$B$2:$D$15,3,0)*X775,"NA")</f>
        <v>NA</v>
      </c>
      <c r="BY775" s="80" t="str">
        <f>IFERROR(VLOOKUP($H775,'1. Set Program Names'!$B$2:$D$15,3,0)*Y775,"NA")</f>
        <v>NA</v>
      </c>
      <c r="BZ775" s="80" t="str">
        <f>IFERROR(VLOOKUP($H775,'1. Set Program Names'!$B$2:$D$15,3,0)*Z775,"NA")</f>
        <v>NA</v>
      </c>
      <c r="CA775" s="80" t="str">
        <f>IFERROR(VLOOKUP($H775,'1. Set Program Names'!$B$2:$D$15,3,0)*AA775,"NA")</f>
        <v>NA</v>
      </c>
      <c r="CB775" s="80" t="str">
        <f>IFERROR(VLOOKUP($H775,'1. Set Program Names'!$B$2:$D$15,3,0)*AB775,"NA")</f>
        <v>NA</v>
      </c>
      <c r="CC775" s="80" t="str">
        <f>IFERROR(VLOOKUP($H775,'1. Set Program Names'!$B$2:$D$15,3,0)*AC775,"NA")</f>
        <v>NA</v>
      </c>
      <c r="CD775" s="80" t="str">
        <f>IFERROR(VLOOKUP($H775,'1. Set Program Names'!$B$2:$D$15,3,0)*AD775,"NA")</f>
        <v>NA</v>
      </c>
      <c r="CE775" s="80" t="str">
        <f>IFERROR(VLOOKUP($H775,'1. Set Program Names'!$B$2:$D$15,3,0)*AE775,"NA")</f>
        <v>NA</v>
      </c>
    </row>
    <row r="776" spans="1:83" x14ac:dyDescent="0.25">
      <c r="A776" s="79" t="s">
        <v>87</v>
      </c>
      <c r="B776" s="79" t="s">
        <v>88</v>
      </c>
      <c r="C776" s="79" t="s">
        <v>176</v>
      </c>
      <c r="D776" s="79" t="s">
        <v>90</v>
      </c>
      <c r="E776" s="79" t="s">
        <v>91</v>
      </c>
      <c r="F776" s="79" t="s">
        <v>90</v>
      </c>
      <c r="G776" s="79" t="s">
        <v>92</v>
      </c>
      <c r="H776" s="79" t="s">
        <v>268</v>
      </c>
      <c r="I776" s="79" t="s">
        <v>179</v>
      </c>
      <c r="J776" s="79" t="s">
        <v>180</v>
      </c>
      <c r="K776" s="79" t="s">
        <v>98</v>
      </c>
      <c r="L776" s="79">
        <v>2684</v>
      </c>
      <c r="M776" s="79">
        <v>0.32197664062426901</v>
      </c>
      <c r="N776" s="79">
        <v>0.310035778837426</v>
      </c>
      <c r="O776" s="79">
        <v>1119</v>
      </c>
      <c r="P776" s="79">
        <v>579.10793250784297</v>
      </c>
      <c r="Q776" s="79">
        <v>2.6840000000000002</v>
      </c>
      <c r="R776" s="79">
        <v>1432.5808011563199</v>
      </c>
      <c r="S776" s="79">
        <v>4046.00364167834</v>
      </c>
      <c r="T776" s="79">
        <v>30</v>
      </c>
      <c r="U776" s="79">
        <v>1</v>
      </c>
      <c r="V776" s="79">
        <f>tbl_Data_old[[#This Row],[2025 ]]*IFERROR(AVERAGEIFS('Participation Adjustment'!$C:$C,'Participation Adjustment'!$A:$A,$H776,'Participation Adjustment'!$B:$B,$I776),1)</f>
        <v>1520.6752405846701</v>
      </c>
      <c r="W776" s="79">
        <f>tbl_Data_old[[#This Row],[2026 ]]*IFERROR(AVERAGEIFS('Participation Adjustment'!$C:$C,'Participation Adjustment'!$A:$A,$H776,'Participation Adjustment'!$B:$B,$I776),1)</f>
        <v>2107.8130807850298</v>
      </c>
      <c r="X776" s="79">
        <f>tbl_Data_old[[#This Row],[2027 ]]*IFERROR(AVERAGEIFS('Participation Adjustment'!$C:$C,'Participation Adjustment'!$A:$A,$H776,'Participation Adjustment'!$B:$B,$I776),1)</f>
        <v>2767.6414547388199</v>
      </c>
      <c r="Y776" s="79">
        <f>tbl_Data_old[[#This Row],[2028 ]]*IFERROR(AVERAGEIFS('Participation Adjustment'!$C:$C,'Participation Adjustment'!$A:$A,$H776,'Participation Adjustment'!$B:$B,$I776),1)</f>
        <v>3510.2737179697301</v>
      </c>
      <c r="Z776" s="79">
        <f>tbl_Data_old[[#This Row],[2029 ]]*IFERROR(AVERAGEIFS('Participation Adjustment'!$C:$C,'Participation Adjustment'!$A:$A,$H776,'Participation Adjustment'!$B:$B,$I776),1)</f>
        <v>4221.1634014786596</v>
      </c>
      <c r="AA776" s="79">
        <f>tbl_Data_old[[#This Row],[2030 ]]*IFERROR(AVERAGEIFS('Participation Adjustment'!$C:$C,'Participation Adjustment'!$A:$A,$H776,'Participation Adjustment'!$B:$B,$I776),1)</f>
        <v>4884.8612398682399</v>
      </c>
      <c r="AB776" s="79">
        <f>tbl_Data_old[[#This Row],[2031 ]]*IFERROR(AVERAGEIFS('Participation Adjustment'!$C:$C,'Participation Adjustment'!$A:$A,$H776,'Participation Adjustment'!$B:$B,$I776),1)</f>
        <v>5460.5737892699899</v>
      </c>
      <c r="AC776" s="79">
        <f>tbl_Data_old[[#This Row],[2032 ]]*IFERROR(AVERAGEIFS('Participation Adjustment'!$C:$C,'Participation Adjustment'!$A:$A,$H776,'Participation Adjustment'!$B:$B,$I776),1)</f>
        <v>5905.8434560841397</v>
      </c>
      <c r="AD776" s="79">
        <f>tbl_Data_old[[#This Row],[2033 ]]*IFERROR(AVERAGEIFS('Participation Adjustment'!$C:$C,'Participation Adjustment'!$A:$A,$H776,'Participation Adjustment'!$B:$B,$I776),1)</f>
        <v>6267.6321721021504</v>
      </c>
      <c r="AE776" s="79">
        <f>tbl_Data_old[[#This Row],[2034 ]]*IFERROR(AVERAGEIFS('Participation Adjustment'!$C:$C,'Participation Adjustment'!$A:$A,$H776,'Participation Adjustment'!$B:$B,$I776),1)</f>
        <v>6545.3133609985898</v>
      </c>
      <c r="AF776" s="77" t="str">
        <f t="shared" ref="AF776:AF807" si="330">IF(C776="Residential","Residential","NonResidential")</f>
        <v>NonResidential</v>
      </c>
      <c r="AG776" s="77" t="str">
        <f>tbl_Data[[#This Row],[All_Meas_Name_Append]]</f>
        <v>Energy Efficient Transformers</v>
      </c>
      <c r="AH776" s="77">
        <f>AVERAGEIFS('3. Incentive Adjustment'!G:G,'3. Incentive Adjustment'!A:A,tbl_Data[[#This Row],[Trimmed Sector]],'3. Incentive Adjustment'!B:B,tbl_Data[[#This Row],[Trimmed Measure Name]])</f>
        <v>0.56592396099637965</v>
      </c>
      <c r="AI776" s="77">
        <f>$AH776*tbl_Data[[#This Row],[2025 ]]</f>
        <v>860.58655554079905</v>
      </c>
      <c r="AJ776" s="77">
        <f>$AH776*tbl_Data[[#This Row],[2026 ]]</f>
        <v>1192.8619277178461</v>
      </c>
      <c r="AK776" s="77">
        <f>$AH776*tbl_Data[[#This Row],[2027 ]]</f>
        <v>1566.2746146835752</v>
      </c>
      <c r="AL776" s="77">
        <f>$AH776*tbl_Data[[#This Row],[2028 ]]</f>
        <v>1986.548006654918</v>
      </c>
      <c r="AM776" s="77">
        <f>$AH776*tbl_Data[[#This Row],[2029 ]]</f>
        <v>2388.8575121777544</v>
      </c>
      <c r="AN776" s="77">
        <f>$AH776*tbl_Data[[#This Row],[2030 ]]</f>
        <v>2764.4600217839206</v>
      </c>
      <c r="AO776" s="77">
        <f>$AH776*tbl_Data[[#This Row],[2031 ]]</f>
        <v>3090.2695481366827</v>
      </c>
      <c r="AP776" s="77">
        <f>$AH776*tbl_Data[[#This Row],[2032 ]]</f>
        <v>3342.2583216916846</v>
      </c>
      <c r="AQ776" s="77">
        <f>$AH776*tbl_Data[[#This Row],[2033 ]]</f>
        <v>3547.0032249043916</v>
      </c>
      <c r="AR776" s="77">
        <f>$AH776*tbl_Data[[#This Row],[2034 ]]</f>
        <v>3704.1496632188487</v>
      </c>
      <c r="AS776" s="77">
        <f>SUM(tbl_Data[[#This Row],[Adjusted 2025]:[Adjusted 2034]])</f>
        <v>24443.269396510423</v>
      </c>
      <c r="AT776" s="80">
        <f>AVERAGEIFS('3. Incentive Adjustment'!F:F,'3. Incentive Adjustment'!A:A,tbl_Data[[#This Row],[Trimmed Sector]],'3. Incentive Adjustment'!B:B,tbl_Data[[#This Row],[Trimmed Measure Name]])</f>
        <v>0</v>
      </c>
      <c r="AU776" s="80">
        <f>IFERROR(VLOOKUP(tbl_Data[[#This Row],[All_Meas_Name_Append]],'IRA Tax Credits'!$A$3:$D$46,4,0),0)</f>
        <v>0</v>
      </c>
      <c r="AV776" s="81">
        <f>tbl_Data[[#This Row],[Adj. per unit Incentive ($)]]/tbl_Data[[#This Row],[kWh Savings]]*tbl_Data[[#This Row],[Sum of Annuals]]</f>
        <v>0</v>
      </c>
      <c r="AW776" s="81" t="str">
        <f>IFERROR(VLOOKUP(tbl_Data[[#This Row],[Column1]],'1. Set Program Names'!$B$2:$D$15,3,0)*tbl_Data[[#This Row],[Sum of Annuals]],"")</f>
        <v/>
      </c>
      <c r="AX776" s="81">
        <f>tbl_Data[[#This Row],[per unit IRA tax ($)]]/tbl_Data[[#This Row],[kWh Savings]]*tbl_Data[[#This Row],[Sum of Annuals]]</f>
        <v>0</v>
      </c>
      <c r="AY776" s="81">
        <f>tbl_Data[[#This Row],[Avoided Costs ($/unit)]]/tbl_Data[[#This Row],[kWh Savings]]*tbl_Data[[#This Row],[Sum of Annuals]]</f>
        <v>13046.556801390707</v>
      </c>
      <c r="AZ776" s="81">
        <f>tbl_Data[[#This Row],[Lost Revenue ($/unit)]]/tbl_Data[[#This Row],[kWh Savings]]*tbl_Data[[#This Row],[Sum of Annuals]]</f>
        <v>36847.077866172091</v>
      </c>
      <c r="BA776" s="81">
        <f>tbl_Data[[#This Row],[Incremental Cost ($/unit)]]/tbl_Data[[#This Row],[kWh Savings]]*tbl_Data[[#This Row],[Sum of Annuals]]</f>
        <v>10190.766935430389</v>
      </c>
      <c r="BB776" s="77">
        <f>ROUNDUP(tbl_Data[[#This Row],[Adjusted 2025]]/$L776,0)</f>
        <v>1</v>
      </c>
      <c r="BC776" s="77">
        <f>ROUNDUP(tbl_Data[[#This Row],[Adjusted 2026]]/$L776,0)</f>
        <v>1</v>
      </c>
      <c r="BD776" s="77">
        <f>ROUNDUP(tbl_Data[[#This Row],[Adjusted 2027]]/$L776,0)</f>
        <v>1</v>
      </c>
      <c r="BE776" s="77">
        <f>ROUNDUP(tbl_Data[[#This Row],[Adjusted 2028]]/$L776,0)</f>
        <v>1</v>
      </c>
      <c r="BF776" s="77">
        <f>ROUNDUP(tbl_Data[[#This Row],[Adjusted 2029]]/$L776,0)</f>
        <v>1</v>
      </c>
      <c r="BG776" s="77">
        <f>ROUNDUP(tbl_Data[[#This Row],[Adjusted 2030]]/$L776,0)</f>
        <v>2</v>
      </c>
      <c r="BH776" s="77">
        <f>ROUNDUP(tbl_Data[[#This Row],[Adjusted 2031]]/$L776,0)</f>
        <v>2</v>
      </c>
      <c r="BI776" s="77">
        <f>ROUNDUP(tbl_Data[[#This Row],[Adjusted 2032]]/$L776,0)</f>
        <v>2</v>
      </c>
      <c r="BJ776" s="77">
        <f>ROUNDUP(tbl_Data[[#This Row],[Adjusted 2033]]/$L776,0)</f>
        <v>2</v>
      </c>
      <c r="BK776" s="77">
        <f>ROUNDUP(tbl_Data[[#This Row],[Adjusted 2034]]/$L776,0)</f>
        <v>2</v>
      </c>
      <c r="BL776" s="80">
        <f t="shared" ref="BL776:BL807" si="331">$AT776/$L776*V776</f>
        <v>0</v>
      </c>
      <c r="BM776" s="80">
        <f t="shared" ref="BM776:BM807" si="332">$AT776/$L776*W776</f>
        <v>0</v>
      </c>
      <c r="BN776" s="80">
        <f t="shared" ref="BN776:BN807" si="333">$AT776/$L776*X776</f>
        <v>0</v>
      </c>
      <c r="BO776" s="80">
        <f t="shared" ref="BO776:BO807" si="334">$AT776/$L776*Y776</f>
        <v>0</v>
      </c>
      <c r="BP776" s="80">
        <f t="shared" ref="BP776:BP807" si="335">$AT776/$L776*Z776</f>
        <v>0</v>
      </c>
      <c r="BQ776" s="80">
        <f t="shared" ref="BQ776:BQ807" si="336">$AT776/$L776*AA776</f>
        <v>0</v>
      </c>
      <c r="BR776" s="80">
        <f t="shared" ref="BR776:BR807" si="337">$AT776/$L776*AB776</f>
        <v>0</v>
      </c>
      <c r="BS776" s="80">
        <f t="shared" ref="BS776:BS807" si="338">$AT776/$L776*AC776</f>
        <v>0</v>
      </c>
      <c r="BT776" s="80">
        <f t="shared" ref="BT776:BT807" si="339">$AT776/$L776*AD776</f>
        <v>0</v>
      </c>
      <c r="BU776" s="80">
        <f t="shared" ref="BU776:BU807" si="340">$AT776/$L776*AE776</f>
        <v>0</v>
      </c>
      <c r="BV776" s="80" t="str">
        <f>IFERROR(VLOOKUP($H776,'1. Set Program Names'!$B$2:$D$15,3,0)*V776,"NA")</f>
        <v>NA</v>
      </c>
      <c r="BW776" s="80" t="str">
        <f>IFERROR(VLOOKUP($H776,'1. Set Program Names'!$B$2:$D$15,3,0)*W776,"NA")</f>
        <v>NA</v>
      </c>
      <c r="BX776" s="80" t="str">
        <f>IFERROR(VLOOKUP($H776,'1. Set Program Names'!$B$2:$D$15,3,0)*X776,"NA")</f>
        <v>NA</v>
      </c>
      <c r="BY776" s="80" t="str">
        <f>IFERROR(VLOOKUP($H776,'1. Set Program Names'!$B$2:$D$15,3,0)*Y776,"NA")</f>
        <v>NA</v>
      </c>
      <c r="BZ776" s="80" t="str">
        <f>IFERROR(VLOOKUP($H776,'1. Set Program Names'!$B$2:$D$15,3,0)*Z776,"NA")</f>
        <v>NA</v>
      </c>
      <c r="CA776" s="80" t="str">
        <f>IFERROR(VLOOKUP($H776,'1. Set Program Names'!$B$2:$D$15,3,0)*AA776,"NA")</f>
        <v>NA</v>
      </c>
      <c r="CB776" s="80" t="str">
        <f>IFERROR(VLOOKUP($H776,'1. Set Program Names'!$B$2:$D$15,3,0)*AB776,"NA")</f>
        <v>NA</v>
      </c>
      <c r="CC776" s="80" t="str">
        <f>IFERROR(VLOOKUP($H776,'1. Set Program Names'!$B$2:$D$15,3,0)*AC776,"NA")</f>
        <v>NA</v>
      </c>
      <c r="CD776" s="80" t="str">
        <f>IFERROR(VLOOKUP($H776,'1. Set Program Names'!$B$2:$D$15,3,0)*AD776,"NA")</f>
        <v>NA</v>
      </c>
      <c r="CE776" s="80" t="str">
        <f>IFERROR(VLOOKUP($H776,'1. Set Program Names'!$B$2:$D$15,3,0)*AE776,"NA")</f>
        <v>NA</v>
      </c>
    </row>
    <row r="777" spans="1:83" x14ac:dyDescent="0.25">
      <c r="A777" s="79" t="s">
        <v>87</v>
      </c>
      <c r="B777" s="79" t="s">
        <v>88</v>
      </c>
      <c r="C777" s="79" t="s">
        <v>176</v>
      </c>
      <c r="D777" s="79" t="s">
        <v>90</v>
      </c>
      <c r="E777" s="79" t="s">
        <v>91</v>
      </c>
      <c r="F777" s="79" t="s">
        <v>90</v>
      </c>
      <c r="G777" s="79" t="s">
        <v>92</v>
      </c>
      <c r="H777" s="79" t="s">
        <v>268</v>
      </c>
      <c r="I777" s="79" t="s">
        <v>186</v>
      </c>
      <c r="J777" s="79" t="s">
        <v>180</v>
      </c>
      <c r="K777" s="79" t="s">
        <v>102</v>
      </c>
      <c r="L777" s="79">
        <v>27897.5999999999</v>
      </c>
      <c r="M777" s="79">
        <v>3.34663767864367</v>
      </c>
      <c r="N777" s="79">
        <v>3.2225238985450702</v>
      </c>
      <c r="O777" s="79">
        <v>8000</v>
      </c>
      <c r="P777" s="79">
        <v>2762.04801865338</v>
      </c>
      <c r="Q777" s="79">
        <v>27.897599999999901</v>
      </c>
      <c r="R777" s="79">
        <v>11926.089110639999</v>
      </c>
      <c r="S777" s="79">
        <v>29629.215249514</v>
      </c>
      <c r="T777" s="79">
        <v>15</v>
      </c>
      <c r="U777" s="79">
        <v>1</v>
      </c>
      <c r="V777" s="79">
        <f>tbl_Data_old[[#This Row],[2025 ]]*IFERROR(AVERAGEIFS('Participation Adjustment'!$C:$C,'Participation Adjustment'!$A:$A,$H777,'Participation Adjustment'!$B:$B,$I777),1)</f>
        <v>246.588705635108</v>
      </c>
      <c r="W777" s="79">
        <f>tbl_Data_old[[#This Row],[2026 ]]*IFERROR(AVERAGEIFS('Participation Adjustment'!$C:$C,'Participation Adjustment'!$A:$A,$H777,'Participation Adjustment'!$B:$B,$I777),1)</f>
        <v>277.76366884599901</v>
      </c>
      <c r="X777" s="79">
        <f>tbl_Data_old[[#This Row],[2027 ]]*IFERROR(AVERAGEIFS('Participation Adjustment'!$C:$C,'Participation Adjustment'!$A:$A,$H777,'Participation Adjustment'!$B:$B,$I777),1)</f>
        <v>308.98234088690998</v>
      </c>
      <c r="Y777" s="79">
        <f>tbl_Data_old[[#This Row],[2028 ]]*IFERROR(AVERAGEIFS('Participation Adjustment'!$C:$C,'Participation Adjustment'!$A:$A,$H777,'Participation Adjustment'!$B:$B,$I777),1)</f>
        <v>347.96520375986898</v>
      </c>
      <c r="Z777" s="79">
        <f>tbl_Data_old[[#This Row],[2029 ]]*IFERROR(AVERAGEIFS('Participation Adjustment'!$C:$C,'Participation Adjustment'!$A:$A,$H777,'Participation Adjustment'!$B:$B,$I777),1)</f>
        <v>382.56998432543003</v>
      </c>
      <c r="AA777" s="79">
        <f>tbl_Data_old[[#This Row],[2030 ]]*IFERROR(AVERAGEIFS('Participation Adjustment'!$C:$C,'Participation Adjustment'!$A:$A,$H777,'Participation Adjustment'!$B:$B,$I777),1)</f>
        <v>421.13769278041002</v>
      </c>
      <c r="AB777" s="79">
        <f>tbl_Data_old[[#This Row],[2031 ]]*IFERROR(AVERAGEIFS('Participation Adjustment'!$C:$C,'Participation Adjustment'!$A:$A,$H777,'Participation Adjustment'!$B:$B,$I777),1)</f>
        <v>463.07939838853599</v>
      </c>
      <c r="AC777" s="79">
        <f>tbl_Data_old[[#This Row],[2032 ]]*IFERROR(AVERAGEIFS('Participation Adjustment'!$C:$C,'Participation Adjustment'!$A:$A,$H777,'Participation Adjustment'!$B:$B,$I777),1)</f>
        <v>502.85935695549898</v>
      </c>
      <c r="AD777" s="79">
        <f>tbl_Data_old[[#This Row],[2033 ]]*IFERROR(AVERAGEIFS('Participation Adjustment'!$C:$C,'Participation Adjustment'!$A:$A,$H777,'Participation Adjustment'!$B:$B,$I777),1)</f>
        <v>547.84888579587198</v>
      </c>
      <c r="AE777" s="79">
        <f>tbl_Data_old[[#This Row],[2034 ]]*IFERROR(AVERAGEIFS('Participation Adjustment'!$C:$C,'Participation Adjustment'!$A:$A,$H777,'Participation Adjustment'!$B:$B,$I777),1)</f>
        <v>593.42986866625097</v>
      </c>
      <c r="AF777" s="77" t="str">
        <f t="shared" si="330"/>
        <v>NonResidential</v>
      </c>
      <c r="AG777" s="77" t="str">
        <f>tbl_Data[[#This Row],[All_Meas_Name_Append]]</f>
        <v>Grain Bin Aeration Control System</v>
      </c>
      <c r="AH777" s="77">
        <f>AVERAGEIFS('3. Incentive Adjustment'!G:G,'3. Incentive Adjustment'!A:A,tbl_Data[[#This Row],[Trimmed Sector]],'3. Incentive Adjustment'!B:B,tbl_Data[[#This Row],[Trimmed Measure Name]])</f>
        <v>0.77010279279185057</v>
      </c>
      <c r="AI777" s="77">
        <f>$AH777*tbl_Data[[#This Row],[2025 ]]</f>
        <v>189.8986508805242</v>
      </c>
      <c r="AJ777" s="77">
        <f>$AH777*tbl_Data[[#This Row],[2026 ]]</f>
        <v>213.90657711441457</v>
      </c>
      <c r="AK777" s="77">
        <f>$AH777*tbl_Data[[#This Row],[2027 ]]</f>
        <v>237.94816364037297</v>
      </c>
      <c r="AL777" s="77">
        <f>$AH777*tbl_Data[[#This Row],[2028 ]]</f>
        <v>267.96897520986045</v>
      </c>
      <c r="AM777" s="77">
        <f>$AH777*tbl_Data[[#This Row],[2029 ]]</f>
        <v>294.61821336734818</v>
      </c>
      <c r="AN777" s="77">
        <f>$AH777*tbl_Data[[#This Row],[2030 ]]</f>
        <v>324.31931336011013</v>
      </c>
      <c r="AO777" s="77">
        <f>$AH777*tbl_Data[[#This Row],[2031 ]]</f>
        <v>356.61873798338155</v>
      </c>
      <c r="AP777" s="77">
        <f>$AH777*tbl_Data[[#This Row],[2032 ]]</f>
        <v>387.25339517294384</v>
      </c>
      <c r="AQ777" s="77">
        <f>$AH777*tbl_Data[[#This Row],[2033 ]]</f>
        <v>421.89995697930459</v>
      </c>
      <c r="AR777" s="77">
        <f>$AH777*tbl_Data[[#This Row],[2034 ]]</f>
        <v>457.00199918598099</v>
      </c>
      <c r="AS777" s="77">
        <f>SUM(tbl_Data[[#This Row],[Adjusted 2025]:[Adjusted 2034]])</f>
        <v>3151.4339828942411</v>
      </c>
      <c r="AT777" s="80">
        <f>AVERAGEIFS('3. Incentive Adjustment'!F:F,'3. Incentive Adjustment'!A:A,tbl_Data[[#This Row],[Trimmed Sector]],'3. Incentive Adjustment'!B:B,tbl_Data[[#This Row],[Trimmed Measure Name]])</f>
        <v>0</v>
      </c>
      <c r="AU777" s="80">
        <f>IFERROR(VLOOKUP(tbl_Data[[#This Row],[All_Meas_Name_Append]],'IRA Tax Credits'!$A$3:$D$46,4,0),0)</f>
        <v>0</v>
      </c>
      <c r="AV777" s="81">
        <f>tbl_Data[[#This Row],[Adj. per unit Incentive ($)]]/tbl_Data[[#This Row],[kWh Savings]]*tbl_Data[[#This Row],[Sum of Annuals]]</f>
        <v>0</v>
      </c>
      <c r="AW777" s="81" t="str">
        <f>IFERROR(VLOOKUP(tbl_Data[[#This Row],[Column1]],'1. Set Program Names'!$B$2:$D$15,3,0)*tbl_Data[[#This Row],[Sum of Annuals]],"")</f>
        <v/>
      </c>
      <c r="AX777" s="81">
        <f>tbl_Data[[#This Row],[per unit IRA tax ($)]]/tbl_Data[[#This Row],[kWh Savings]]*tbl_Data[[#This Row],[Sum of Annuals]]</f>
        <v>0</v>
      </c>
      <c r="AY777" s="81">
        <f>tbl_Data[[#This Row],[Avoided Costs ($/unit)]]/tbl_Data[[#This Row],[kWh Savings]]*tbl_Data[[#This Row],[Sum of Annuals]]</f>
        <v>1347.2227899997126</v>
      </c>
      <c r="AZ777" s="81">
        <f>tbl_Data[[#This Row],[Lost Revenue ($/unit)]]/tbl_Data[[#This Row],[kWh Savings]]*tbl_Data[[#This Row],[Sum of Annuals]]</f>
        <v>3347.0447573915685</v>
      </c>
      <c r="BA777" s="81">
        <f>tbl_Data[[#This Row],[Incremental Cost ($/unit)]]/tbl_Data[[#This Row],[kWh Savings]]*tbl_Data[[#This Row],[Sum of Annuals]]</f>
        <v>903.71472324336219</v>
      </c>
      <c r="BB777" s="77">
        <f>ROUNDUP(tbl_Data[[#This Row],[Adjusted 2025]]/$L777,0)</f>
        <v>1</v>
      </c>
      <c r="BC777" s="77">
        <f>ROUNDUP(tbl_Data[[#This Row],[Adjusted 2026]]/$L777,0)</f>
        <v>1</v>
      </c>
      <c r="BD777" s="77">
        <f>ROUNDUP(tbl_Data[[#This Row],[Adjusted 2027]]/$L777,0)</f>
        <v>1</v>
      </c>
      <c r="BE777" s="77">
        <f>ROUNDUP(tbl_Data[[#This Row],[Adjusted 2028]]/$L777,0)</f>
        <v>1</v>
      </c>
      <c r="BF777" s="77">
        <f>ROUNDUP(tbl_Data[[#This Row],[Adjusted 2029]]/$L777,0)</f>
        <v>1</v>
      </c>
      <c r="BG777" s="77">
        <f>ROUNDUP(tbl_Data[[#This Row],[Adjusted 2030]]/$L777,0)</f>
        <v>1</v>
      </c>
      <c r="BH777" s="77">
        <f>ROUNDUP(tbl_Data[[#This Row],[Adjusted 2031]]/$L777,0)</f>
        <v>1</v>
      </c>
      <c r="BI777" s="77">
        <f>ROUNDUP(tbl_Data[[#This Row],[Adjusted 2032]]/$L777,0)</f>
        <v>1</v>
      </c>
      <c r="BJ777" s="77">
        <f>ROUNDUP(tbl_Data[[#This Row],[Adjusted 2033]]/$L777,0)</f>
        <v>1</v>
      </c>
      <c r="BK777" s="77">
        <f>ROUNDUP(tbl_Data[[#This Row],[Adjusted 2034]]/$L777,0)</f>
        <v>1</v>
      </c>
      <c r="BL777" s="80">
        <f t="shared" si="331"/>
        <v>0</v>
      </c>
      <c r="BM777" s="80">
        <f t="shared" si="332"/>
        <v>0</v>
      </c>
      <c r="BN777" s="80">
        <f t="shared" si="333"/>
        <v>0</v>
      </c>
      <c r="BO777" s="80">
        <f t="shared" si="334"/>
        <v>0</v>
      </c>
      <c r="BP777" s="80">
        <f t="shared" si="335"/>
        <v>0</v>
      </c>
      <c r="BQ777" s="80">
        <f t="shared" si="336"/>
        <v>0</v>
      </c>
      <c r="BR777" s="80">
        <f t="shared" si="337"/>
        <v>0</v>
      </c>
      <c r="BS777" s="80">
        <f t="shared" si="338"/>
        <v>0</v>
      </c>
      <c r="BT777" s="80">
        <f t="shared" si="339"/>
        <v>0</v>
      </c>
      <c r="BU777" s="80">
        <f t="shared" si="340"/>
        <v>0</v>
      </c>
      <c r="BV777" s="80" t="str">
        <f>IFERROR(VLOOKUP($H777,'1. Set Program Names'!$B$2:$D$15,3,0)*V777,"NA")</f>
        <v>NA</v>
      </c>
      <c r="BW777" s="80" t="str">
        <f>IFERROR(VLOOKUP($H777,'1. Set Program Names'!$B$2:$D$15,3,0)*W777,"NA")</f>
        <v>NA</v>
      </c>
      <c r="BX777" s="80" t="str">
        <f>IFERROR(VLOOKUP($H777,'1. Set Program Names'!$B$2:$D$15,3,0)*X777,"NA")</f>
        <v>NA</v>
      </c>
      <c r="BY777" s="80" t="str">
        <f>IFERROR(VLOOKUP($H777,'1. Set Program Names'!$B$2:$D$15,3,0)*Y777,"NA")</f>
        <v>NA</v>
      </c>
      <c r="BZ777" s="80" t="str">
        <f>IFERROR(VLOOKUP($H777,'1. Set Program Names'!$B$2:$D$15,3,0)*Z777,"NA")</f>
        <v>NA</v>
      </c>
      <c r="CA777" s="80" t="str">
        <f>IFERROR(VLOOKUP($H777,'1. Set Program Names'!$B$2:$D$15,3,0)*AA777,"NA")</f>
        <v>NA</v>
      </c>
      <c r="CB777" s="80" t="str">
        <f>IFERROR(VLOOKUP($H777,'1. Set Program Names'!$B$2:$D$15,3,0)*AB777,"NA")</f>
        <v>NA</v>
      </c>
      <c r="CC777" s="80" t="str">
        <f>IFERROR(VLOOKUP($H777,'1. Set Program Names'!$B$2:$D$15,3,0)*AC777,"NA")</f>
        <v>NA</v>
      </c>
      <c r="CD777" s="80" t="str">
        <f>IFERROR(VLOOKUP($H777,'1. Set Program Names'!$B$2:$D$15,3,0)*AD777,"NA")</f>
        <v>NA</v>
      </c>
      <c r="CE777" s="80" t="str">
        <f>IFERROR(VLOOKUP($H777,'1. Set Program Names'!$B$2:$D$15,3,0)*AE777,"NA")</f>
        <v>NA</v>
      </c>
    </row>
    <row r="778" spans="1:83" x14ac:dyDescent="0.25">
      <c r="A778" s="79" t="s">
        <v>87</v>
      </c>
      <c r="B778" s="79" t="s">
        <v>88</v>
      </c>
      <c r="C778" s="79" t="s">
        <v>176</v>
      </c>
      <c r="D778" s="79" t="s">
        <v>90</v>
      </c>
      <c r="E778" s="79" t="s">
        <v>91</v>
      </c>
      <c r="F778" s="79" t="s">
        <v>90</v>
      </c>
      <c r="G778" s="79" t="s">
        <v>92</v>
      </c>
      <c r="H778" s="79" t="s">
        <v>268</v>
      </c>
      <c r="I778" s="79" t="s">
        <v>181</v>
      </c>
      <c r="J778" s="79" t="s">
        <v>182</v>
      </c>
      <c r="K778" s="79" t="s">
        <v>98</v>
      </c>
      <c r="L778" s="79">
        <v>21140.159999999902</v>
      </c>
      <c r="M778" s="79">
        <v>2.4928340912459501</v>
      </c>
      <c r="N778" s="79">
        <v>2.4353939910039801</v>
      </c>
      <c r="O778" s="79">
        <v>4269.76</v>
      </c>
      <c r="P778" s="79">
        <v>17.441519984740999</v>
      </c>
      <c r="Q778" s="79">
        <v>21.140159999999899</v>
      </c>
      <c r="R778" s="79">
        <v>7174.5673333962905</v>
      </c>
      <c r="S778" s="79">
        <v>17003.9302734632</v>
      </c>
      <c r="T778" s="79">
        <v>10</v>
      </c>
      <c r="U778" s="79">
        <v>1</v>
      </c>
      <c r="V778" s="79">
        <f>tbl_Data_old[[#This Row],[2025 ]]*IFERROR(AVERAGEIFS('Participation Adjustment'!$C:$C,'Participation Adjustment'!$A:$A,$H778,'Participation Adjustment'!$B:$B,$I778),1)</f>
        <v>6455.5166184284399</v>
      </c>
      <c r="W778" s="79">
        <f>tbl_Data_old[[#This Row],[2026 ]]*IFERROR(AVERAGEIFS('Participation Adjustment'!$C:$C,'Participation Adjustment'!$A:$A,$H778,'Participation Adjustment'!$B:$B,$I778),1)</f>
        <v>7348.0945665218196</v>
      </c>
      <c r="X778" s="79">
        <f>tbl_Data_old[[#This Row],[2027 ]]*IFERROR(AVERAGEIFS('Participation Adjustment'!$C:$C,'Participation Adjustment'!$A:$A,$H778,'Participation Adjustment'!$B:$B,$I778),1)</f>
        <v>8127.3714554568396</v>
      </c>
      <c r="Y778" s="79">
        <f>tbl_Data_old[[#This Row],[2028 ]]*IFERROR(AVERAGEIFS('Participation Adjustment'!$C:$C,'Participation Adjustment'!$A:$A,$H778,'Participation Adjustment'!$B:$B,$I778),1)</f>
        <v>8900.0644647950903</v>
      </c>
      <c r="Z778" s="79">
        <f>tbl_Data_old[[#This Row],[2029 ]]*IFERROR(AVERAGEIFS('Participation Adjustment'!$C:$C,'Participation Adjustment'!$A:$A,$H778,'Participation Adjustment'!$B:$B,$I778),1)</f>
        <v>9570.3204532270702</v>
      </c>
      <c r="AA778" s="79">
        <f>tbl_Data_old[[#This Row],[2030 ]]*IFERROR(AVERAGEIFS('Participation Adjustment'!$C:$C,'Participation Adjustment'!$A:$A,$H778,'Participation Adjustment'!$B:$B,$I778),1)</f>
        <v>10195.041347030699</v>
      </c>
      <c r="AB778" s="79">
        <f>tbl_Data_old[[#This Row],[2031 ]]*IFERROR(AVERAGEIFS('Participation Adjustment'!$C:$C,'Participation Adjustment'!$A:$A,$H778,'Participation Adjustment'!$B:$B,$I778),1)</f>
        <v>10783.149731571801</v>
      </c>
      <c r="AC778" s="79">
        <f>tbl_Data_old[[#This Row],[2032 ]]*IFERROR(AVERAGEIFS('Participation Adjustment'!$C:$C,'Participation Adjustment'!$A:$A,$H778,'Participation Adjustment'!$B:$B,$I778),1)</f>
        <v>11316.8529498558</v>
      </c>
      <c r="AD778" s="79">
        <f>tbl_Data_old[[#This Row],[2033 ]]*IFERROR(AVERAGEIFS('Participation Adjustment'!$C:$C,'Participation Adjustment'!$A:$A,$H778,'Participation Adjustment'!$B:$B,$I778),1)</f>
        <v>11840.077487357799</v>
      </c>
      <c r="AE778" s="79">
        <f>tbl_Data_old[[#This Row],[2034 ]]*IFERROR(AVERAGEIFS('Participation Adjustment'!$C:$C,'Participation Adjustment'!$A:$A,$H778,'Participation Adjustment'!$B:$B,$I778),1)</f>
        <v>12336.1873247683</v>
      </c>
      <c r="AF778" s="77" t="str">
        <f t="shared" si="330"/>
        <v>NonResidential</v>
      </c>
      <c r="AG778" s="77" t="str">
        <f>tbl_Data[[#This Row],[All_Meas_Name_Append]]</f>
        <v>High Volume Low Speed Fan (HVLS)</v>
      </c>
      <c r="AH778" s="77">
        <f>AVERAGEIFS('3. Incentive Adjustment'!G:G,'3. Incentive Adjustment'!A:A,tbl_Data[[#This Row],[Trimmed Sector]],'3. Incentive Adjustment'!B:B,tbl_Data[[#This Row],[Trimmed Measure Name]])</f>
        <v>0.99782547587781634</v>
      </c>
      <c r="AI778" s="77">
        <f>$AH778*tbl_Data[[#This Row],[2025 ]]</f>
        <v>6441.47894182051</v>
      </c>
      <c r="AJ778" s="77">
        <f>$AH778*tbl_Data[[#This Row],[2026 ]]</f>
        <v>7332.1159576348309</v>
      </c>
      <c r="AK778" s="77">
        <f>$AH778*tbl_Data[[#This Row],[2027 ]]</f>
        <v>8109.6982901770016</v>
      </c>
      <c r="AL778" s="77">
        <f>$AH778*tbl_Data[[#This Row],[2028 ]]</f>
        <v>8880.7110599274038</v>
      </c>
      <c r="AM778" s="77">
        <f>$AH778*tbl_Data[[#This Row],[2029 ]]</f>
        <v>9549.5095605445003</v>
      </c>
      <c r="AN778" s="77">
        <f>$AH778*tbl_Data[[#This Row],[2030 ]]</f>
        <v>10172.871983694922</v>
      </c>
      <c r="AO778" s="77">
        <f>$AH778*tbl_Data[[#This Row],[2031 ]]</f>
        <v>10759.701512367379</v>
      </c>
      <c r="AP778" s="77">
        <f>$AH778*tbl_Data[[#This Row],[2032 ]]</f>
        <v>11292.244180129133</v>
      </c>
      <c r="AQ778" s="77">
        <f>$AH778*tbl_Data[[#This Row],[2033 ]]</f>
        <v>11814.330953253017</v>
      </c>
      <c r="AR778" s="77">
        <f>$AH778*tbl_Data[[#This Row],[2034 ]]</f>
        <v>12309.361987854814</v>
      </c>
      <c r="AS778" s="77">
        <f>SUM(tbl_Data[[#This Row],[Adjusted 2025]:[Adjusted 2034]])</f>
        <v>96662.024427403507</v>
      </c>
      <c r="AT778" s="80">
        <f>AVERAGEIFS('3. Incentive Adjustment'!F:F,'3. Incentive Adjustment'!A:A,tbl_Data[[#This Row],[Trimmed Sector]],'3. Incentive Adjustment'!B:B,tbl_Data[[#This Row],[Trimmed Measure Name]])</f>
        <v>0</v>
      </c>
      <c r="AU778" s="80">
        <f>IFERROR(VLOOKUP(tbl_Data[[#This Row],[All_Meas_Name_Append]],'IRA Tax Credits'!$A$3:$D$46,4,0),0)</f>
        <v>0</v>
      </c>
      <c r="AV778" s="81">
        <f>tbl_Data[[#This Row],[Adj. per unit Incentive ($)]]/tbl_Data[[#This Row],[kWh Savings]]*tbl_Data[[#This Row],[Sum of Annuals]]</f>
        <v>0</v>
      </c>
      <c r="AW778" s="81" t="str">
        <f>IFERROR(VLOOKUP(tbl_Data[[#This Row],[Column1]],'1. Set Program Names'!$B$2:$D$15,3,0)*tbl_Data[[#This Row],[Sum of Annuals]],"")</f>
        <v/>
      </c>
      <c r="AX778" s="81">
        <f>tbl_Data[[#This Row],[per unit IRA tax ($)]]/tbl_Data[[#This Row],[kWh Savings]]*tbl_Data[[#This Row],[Sum of Annuals]]</f>
        <v>0</v>
      </c>
      <c r="AY778" s="81">
        <f>tbl_Data[[#This Row],[Avoided Costs ($/unit)]]/tbl_Data[[#This Row],[kWh Savings]]*tbl_Data[[#This Row],[Sum of Annuals]]</f>
        <v>32805.248533445665</v>
      </c>
      <c r="AZ778" s="81">
        <f>tbl_Data[[#This Row],[Lost Revenue ($/unit)]]/tbl_Data[[#This Row],[kWh Savings]]*tbl_Data[[#This Row],[Sum of Annuals]]</f>
        <v>77749.379543739182</v>
      </c>
      <c r="BA778" s="81">
        <f>tbl_Data[[#This Row],[Incremental Cost ($/unit)]]/tbl_Data[[#This Row],[kWh Savings]]*tbl_Data[[#This Row],[Sum of Annuals]]</f>
        <v>19523.203486593873</v>
      </c>
      <c r="BB778" s="77">
        <f>ROUNDUP(tbl_Data[[#This Row],[Adjusted 2025]]/$L778,0)</f>
        <v>1</v>
      </c>
      <c r="BC778" s="77">
        <f>ROUNDUP(tbl_Data[[#This Row],[Adjusted 2026]]/$L778,0)</f>
        <v>1</v>
      </c>
      <c r="BD778" s="77">
        <f>ROUNDUP(tbl_Data[[#This Row],[Adjusted 2027]]/$L778,0)</f>
        <v>1</v>
      </c>
      <c r="BE778" s="77">
        <f>ROUNDUP(tbl_Data[[#This Row],[Adjusted 2028]]/$L778,0)</f>
        <v>1</v>
      </c>
      <c r="BF778" s="77">
        <f>ROUNDUP(tbl_Data[[#This Row],[Adjusted 2029]]/$L778,0)</f>
        <v>1</v>
      </c>
      <c r="BG778" s="77">
        <f>ROUNDUP(tbl_Data[[#This Row],[Adjusted 2030]]/$L778,0)</f>
        <v>1</v>
      </c>
      <c r="BH778" s="77">
        <f>ROUNDUP(tbl_Data[[#This Row],[Adjusted 2031]]/$L778,0)</f>
        <v>1</v>
      </c>
      <c r="BI778" s="77">
        <f>ROUNDUP(tbl_Data[[#This Row],[Adjusted 2032]]/$L778,0)</f>
        <v>1</v>
      </c>
      <c r="BJ778" s="77">
        <f>ROUNDUP(tbl_Data[[#This Row],[Adjusted 2033]]/$L778,0)</f>
        <v>1</v>
      </c>
      <c r="BK778" s="77">
        <f>ROUNDUP(tbl_Data[[#This Row],[Adjusted 2034]]/$L778,0)</f>
        <v>1</v>
      </c>
      <c r="BL778" s="80">
        <f t="shared" si="331"/>
        <v>0</v>
      </c>
      <c r="BM778" s="80">
        <f t="shared" si="332"/>
        <v>0</v>
      </c>
      <c r="BN778" s="80">
        <f t="shared" si="333"/>
        <v>0</v>
      </c>
      <c r="BO778" s="80">
        <f t="shared" si="334"/>
        <v>0</v>
      </c>
      <c r="BP778" s="80">
        <f t="shared" si="335"/>
        <v>0</v>
      </c>
      <c r="BQ778" s="80">
        <f t="shared" si="336"/>
        <v>0</v>
      </c>
      <c r="BR778" s="80">
        <f t="shared" si="337"/>
        <v>0</v>
      </c>
      <c r="BS778" s="80">
        <f t="shared" si="338"/>
        <v>0</v>
      </c>
      <c r="BT778" s="80">
        <f t="shared" si="339"/>
        <v>0</v>
      </c>
      <c r="BU778" s="80">
        <f t="shared" si="340"/>
        <v>0</v>
      </c>
      <c r="BV778" s="80" t="str">
        <f>IFERROR(VLOOKUP($H778,'1. Set Program Names'!$B$2:$D$15,3,0)*V778,"NA")</f>
        <v>NA</v>
      </c>
      <c r="BW778" s="80" t="str">
        <f>IFERROR(VLOOKUP($H778,'1. Set Program Names'!$B$2:$D$15,3,0)*W778,"NA")</f>
        <v>NA</v>
      </c>
      <c r="BX778" s="80" t="str">
        <f>IFERROR(VLOOKUP($H778,'1. Set Program Names'!$B$2:$D$15,3,0)*X778,"NA")</f>
        <v>NA</v>
      </c>
      <c r="BY778" s="80" t="str">
        <f>IFERROR(VLOOKUP($H778,'1. Set Program Names'!$B$2:$D$15,3,0)*Y778,"NA")</f>
        <v>NA</v>
      </c>
      <c r="BZ778" s="80" t="str">
        <f>IFERROR(VLOOKUP($H778,'1. Set Program Names'!$B$2:$D$15,3,0)*Z778,"NA")</f>
        <v>NA</v>
      </c>
      <c r="CA778" s="80" t="str">
        <f>IFERROR(VLOOKUP($H778,'1. Set Program Names'!$B$2:$D$15,3,0)*AA778,"NA")</f>
        <v>NA</v>
      </c>
      <c r="CB778" s="80" t="str">
        <f>IFERROR(VLOOKUP($H778,'1. Set Program Names'!$B$2:$D$15,3,0)*AB778,"NA")</f>
        <v>NA</v>
      </c>
      <c r="CC778" s="80" t="str">
        <f>IFERROR(VLOOKUP($H778,'1. Set Program Names'!$B$2:$D$15,3,0)*AC778,"NA")</f>
        <v>NA</v>
      </c>
      <c r="CD778" s="80" t="str">
        <f>IFERROR(VLOOKUP($H778,'1. Set Program Names'!$B$2:$D$15,3,0)*AD778,"NA")</f>
        <v>NA</v>
      </c>
      <c r="CE778" s="80" t="str">
        <f>IFERROR(VLOOKUP($H778,'1. Set Program Names'!$B$2:$D$15,3,0)*AE778,"NA")</f>
        <v>NA</v>
      </c>
    </row>
    <row r="779" spans="1:83" x14ac:dyDescent="0.25">
      <c r="A779" s="79" t="s">
        <v>87</v>
      </c>
      <c r="B779" s="79" t="s">
        <v>88</v>
      </c>
      <c r="C779" s="79" t="s">
        <v>176</v>
      </c>
      <c r="D779" s="79" t="s">
        <v>90</v>
      </c>
      <c r="E779" s="79" t="s">
        <v>91</v>
      </c>
      <c r="F779" s="79" t="s">
        <v>90</v>
      </c>
      <c r="G779" s="79" t="s">
        <v>92</v>
      </c>
      <c r="H779" s="79" t="s">
        <v>268</v>
      </c>
      <c r="I779" s="79" t="s">
        <v>183</v>
      </c>
      <c r="J779" s="79" t="s">
        <v>178</v>
      </c>
      <c r="K779" s="79" t="s">
        <v>130</v>
      </c>
      <c r="L779" s="79">
        <v>113444.97999999901</v>
      </c>
      <c r="M779" s="79">
        <v>13.5911727914499</v>
      </c>
      <c r="N779" s="79">
        <v>13.0925103405659</v>
      </c>
      <c r="O779" s="79">
        <v>42343.199999999997</v>
      </c>
      <c r="P779" s="79">
        <v>19818.792281260001</v>
      </c>
      <c r="Q779" s="79">
        <v>113.44497999999901</v>
      </c>
      <c r="R779" s="79">
        <v>54449.419529642699</v>
      </c>
      <c r="S779" s="79">
        <v>142371.22131797599</v>
      </c>
      <c r="T779" s="79">
        <v>20</v>
      </c>
      <c r="U779" s="79">
        <v>1</v>
      </c>
      <c r="V779" s="79">
        <f>tbl_Data_old[[#This Row],[2025 ]]*IFERROR(AVERAGEIFS('Participation Adjustment'!$C:$C,'Participation Adjustment'!$A:$A,$H779,'Participation Adjustment'!$B:$B,$I779),1)</f>
        <v>773.44617177048201</v>
      </c>
      <c r="W779" s="79">
        <f>tbl_Data_old[[#This Row],[2026 ]]*IFERROR(AVERAGEIFS('Participation Adjustment'!$C:$C,'Participation Adjustment'!$A:$A,$H779,'Participation Adjustment'!$B:$B,$I779),1)</f>
        <v>759.38428378725905</v>
      </c>
      <c r="X779" s="79">
        <f>tbl_Data_old[[#This Row],[2027 ]]*IFERROR(AVERAGEIFS('Participation Adjustment'!$C:$C,'Participation Adjustment'!$A:$A,$H779,'Participation Adjustment'!$B:$B,$I779),1)</f>
        <v>738.67283051772597</v>
      </c>
      <c r="Y779" s="79">
        <f>tbl_Data_old[[#This Row],[2028 ]]*IFERROR(AVERAGEIFS('Participation Adjustment'!$C:$C,'Participation Adjustment'!$A:$A,$H779,'Participation Adjustment'!$B:$B,$I779),1)</f>
        <v>717.56141423041004</v>
      </c>
      <c r="Z779" s="79">
        <f>tbl_Data_old[[#This Row],[2029 ]]*IFERROR(AVERAGEIFS('Participation Adjustment'!$C:$C,'Participation Adjustment'!$A:$A,$H779,'Participation Adjustment'!$B:$B,$I779),1)</f>
        <v>697.36112439901297</v>
      </c>
      <c r="AA779" s="79">
        <f>tbl_Data_old[[#This Row],[2030 ]]*IFERROR(AVERAGEIFS('Participation Adjustment'!$C:$C,'Participation Adjustment'!$A:$A,$H779,'Participation Adjustment'!$B:$B,$I779),1)</f>
        <v>675.39367441493403</v>
      </c>
      <c r="AB779" s="79">
        <f>tbl_Data_old[[#This Row],[2031 ]]*IFERROR(AVERAGEIFS('Participation Adjustment'!$C:$C,'Participation Adjustment'!$A:$A,$H779,'Participation Adjustment'!$B:$B,$I779),1)</f>
        <v>653.17341482955601</v>
      </c>
      <c r="AC779" s="79">
        <f>tbl_Data_old[[#This Row],[2032 ]]*IFERROR(AVERAGEIFS('Participation Adjustment'!$C:$C,'Participation Adjustment'!$A:$A,$H779,'Participation Adjustment'!$B:$B,$I779),1)</f>
        <v>632.222922265021</v>
      </c>
      <c r="AD779" s="79">
        <f>tbl_Data_old[[#This Row],[2033 ]]*IFERROR(AVERAGEIFS('Participation Adjustment'!$C:$C,'Participation Adjustment'!$A:$A,$H779,'Participation Adjustment'!$B:$B,$I779),1)</f>
        <v>611.21472444608901</v>
      </c>
      <c r="AE779" s="79">
        <f>tbl_Data_old[[#This Row],[2034 ]]*IFERROR(AVERAGEIFS('Participation Adjustment'!$C:$C,'Participation Adjustment'!$A:$A,$H779,'Participation Adjustment'!$B:$B,$I779),1)</f>
        <v>590.90303134032501</v>
      </c>
      <c r="AF779" s="77" t="str">
        <f t="shared" si="330"/>
        <v>NonResidential</v>
      </c>
      <c r="AG779" s="77" t="str">
        <f>tbl_Data[[#This Row],[All_Meas_Name_Append]]</f>
        <v>Industrial Duct Sealing</v>
      </c>
      <c r="AH779" s="77">
        <f>AVERAGEIFS('3. Incentive Adjustment'!G:G,'3. Incentive Adjustment'!A:A,tbl_Data[[#This Row],[Trimmed Sector]],'3. Incentive Adjustment'!B:B,tbl_Data[[#This Row],[Trimmed Measure Name]])</f>
        <v>0.63068496474049041</v>
      </c>
      <c r="AI779" s="77">
        <f>$AH779*tbl_Data[[#This Row],[2025 ]]</f>
        <v>487.80087157173375</v>
      </c>
      <c r="AJ779" s="77">
        <f>$AH779*tbl_Data[[#This Row],[2026 ]]</f>
        <v>478.93225024485002</v>
      </c>
      <c r="AK779" s="77">
        <f>$AH779*tbl_Data[[#This Row],[2027 ]]</f>
        <v>465.86984806983025</v>
      </c>
      <c r="AL779" s="77">
        <f>$AH779*tbl_Data[[#This Row],[2028 ]]</f>
        <v>452.55519523304258</v>
      </c>
      <c r="AM779" s="77">
        <f>$AH779*tbl_Data[[#This Row],[2029 ]]</f>
        <v>439.81517615298026</v>
      </c>
      <c r="AN779" s="77">
        <f>$AH779*tbl_Data[[#This Row],[2030 ]]</f>
        <v>425.96063573433293</v>
      </c>
      <c r="AO779" s="77">
        <f>$AH779*tbl_Data[[#This Row],[2031 ]]</f>
        <v>411.94665210120422</v>
      </c>
      <c r="AP779" s="77">
        <f>$AH779*tbl_Data[[#This Row],[2032 ]]</f>
        <v>398.73349143684459</v>
      </c>
      <c r="AQ779" s="77">
        <f>$AH779*tbl_Data[[#This Row],[2033 ]]</f>
        <v>385.4839369361502</v>
      </c>
      <c r="AR779" s="77">
        <f>$AH779*tbl_Data[[#This Row],[2034 ]]</f>
        <v>372.67365748592175</v>
      </c>
      <c r="AS779" s="77">
        <f>SUM(tbl_Data[[#This Row],[Adjusted 2025]:[Adjusted 2034]])</f>
        <v>4319.7717149668906</v>
      </c>
      <c r="AT779" s="80">
        <f>AVERAGEIFS('3. Incentive Adjustment'!F:F,'3. Incentive Adjustment'!A:A,tbl_Data[[#This Row],[Trimmed Sector]],'3. Incentive Adjustment'!B:B,tbl_Data[[#This Row],[Trimmed Measure Name]])</f>
        <v>0</v>
      </c>
      <c r="AU779" s="80">
        <f>IFERROR(VLOOKUP(tbl_Data[[#This Row],[All_Meas_Name_Append]],'IRA Tax Credits'!$A$3:$D$46,4,0),0)</f>
        <v>0</v>
      </c>
      <c r="AV779" s="81">
        <f>tbl_Data[[#This Row],[Adj. per unit Incentive ($)]]/tbl_Data[[#This Row],[kWh Savings]]*tbl_Data[[#This Row],[Sum of Annuals]]</f>
        <v>0</v>
      </c>
      <c r="AW779" s="81" t="str">
        <f>IFERROR(VLOOKUP(tbl_Data[[#This Row],[Column1]],'1. Set Program Names'!$B$2:$D$15,3,0)*tbl_Data[[#This Row],[Sum of Annuals]],"")</f>
        <v/>
      </c>
      <c r="AX779" s="81">
        <f>tbl_Data[[#This Row],[per unit IRA tax ($)]]/tbl_Data[[#This Row],[kWh Savings]]*tbl_Data[[#This Row],[Sum of Annuals]]</f>
        <v>0</v>
      </c>
      <c r="AY779" s="81">
        <f>tbl_Data[[#This Row],[Avoided Costs ($/unit)]]/tbl_Data[[#This Row],[kWh Savings]]*tbl_Data[[#This Row],[Sum of Annuals]]</f>
        <v>2073.3316042765259</v>
      </c>
      <c r="AZ779" s="81">
        <f>tbl_Data[[#This Row],[Lost Revenue ($/unit)]]/tbl_Data[[#This Row],[kWh Savings]]*tbl_Data[[#This Row],[Sum of Annuals]]</f>
        <v>5421.2286420667469</v>
      </c>
      <c r="BA779" s="81">
        <f>tbl_Data[[#This Row],[Incremental Cost ($/unit)]]/tbl_Data[[#This Row],[kWh Savings]]*tbl_Data[[#This Row],[Sum of Annuals]]</f>
        <v>1612.3495079393342</v>
      </c>
      <c r="BB779" s="77">
        <f>ROUNDUP(tbl_Data[[#This Row],[Adjusted 2025]]/$L779,0)</f>
        <v>1</v>
      </c>
      <c r="BC779" s="77">
        <f>ROUNDUP(tbl_Data[[#This Row],[Adjusted 2026]]/$L779,0)</f>
        <v>1</v>
      </c>
      <c r="BD779" s="77">
        <f>ROUNDUP(tbl_Data[[#This Row],[Adjusted 2027]]/$L779,0)</f>
        <v>1</v>
      </c>
      <c r="BE779" s="77">
        <f>ROUNDUP(tbl_Data[[#This Row],[Adjusted 2028]]/$L779,0)</f>
        <v>1</v>
      </c>
      <c r="BF779" s="77">
        <f>ROUNDUP(tbl_Data[[#This Row],[Adjusted 2029]]/$L779,0)</f>
        <v>1</v>
      </c>
      <c r="BG779" s="77">
        <f>ROUNDUP(tbl_Data[[#This Row],[Adjusted 2030]]/$L779,0)</f>
        <v>1</v>
      </c>
      <c r="BH779" s="77">
        <f>ROUNDUP(tbl_Data[[#This Row],[Adjusted 2031]]/$L779,0)</f>
        <v>1</v>
      </c>
      <c r="BI779" s="77">
        <f>ROUNDUP(tbl_Data[[#This Row],[Adjusted 2032]]/$L779,0)</f>
        <v>1</v>
      </c>
      <c r="BJ779" s="77">
        <f>ROUNDUP(tbl_Data[[#This Row],[Adjusted 2033]]/$L779,0)</f>
        <v>1</v>
      </c>
      <c r="BK779" s="77">
        <f>ROUNDUP(tbl_Data[[#This Row],[Adjusted 2034]]/$L779,0)</f>
        <v>1</v>
      </c>
      <c r="BL779" s="80">
        <f t="shared" si="331"/>
        <v>0</v>
      </c>
      <c r="BM779" s="80">
        <f t="shared" si="332"/>
        <v>0</v>
      </c>
      <c r="BN779" s="80">
        <f t="shared" si="333"/>
        <v>0</v>
      </c>
      <c r="BO779" s="80">
        <f t="shared" si="334"/>
        <v>0</v>
      </c>
      <c r="BP779" s="80">
        <f t="shared" si="335"/>
        <v>0</v>
      </c>
      <c r="BQ779" s="80">
        <f t="shared" si="336"/>
        <v>0</v>
      </c>
      <c r="BR779" s="80">
        <f t="shared" si="337"/>
        <v>0</v>
      </c>
      <c r="BS779" s="80">
        <f t="shared" si="338"/>
        <v>0</v>
      </c>
      <c r="BT779" s="80">
        <f t="shared" si="339"/>
        <v>0</v>
      </c>
      <c r="BU779" s="80">
        <f t="shared" si="340"/>
        <v>0</v>
      </c>
      <c r="BV779" s="80" t="str">
        <f>IFERROR(VLOOKUP($H779,'1. Set Program Names'!$B$2:$D$15,3,0)*V779,"NA")</f>
        <v>NA</v>
      </c>
      <c r="BW779" s="80" t="str">
        <f>IFERROR(VLOOKUP($H779,'1. Set Program Names'!$B$2:$D$15,3,0)*W779,"NA")</f>
        <v>NA</v>
      </c>
      <c r="BX779" s="80" t="str">
        <f>IFERROR(VLOOKUP($H779,'1. Set Program Names'!$B$2:$D$15,3,0)*X779,"NA")</f>
        <v>NA</v>
      </c>
      <c r="BY779" s="80" t="str">
        <f>IFERROR(VLOOKUP($H779,'1. Set Program Names'!$B$2:$D$15,3,0)*Y779,"NA")</f>
        <v>NA</v>
      </c>
      <c r="BZ779" s="80" t="str">
        <f>IFERROR(VLOOKUP($H779,'1. Set Program Names'!$B$2:$D$15,3,0)*Z779,"NA")</f>
        <v>NA</v>
      </c>
      <c r="CA779" s="80" t="str">
        <f>IFERROR(VLOOKUP($H779,'1. Set Program Names'!$B$2:$D$15,3,0)*AA779,"NA")</f>
        <v>NA</v>
      </c>
      <c r="CB779" s="80" t="str">
        <f>IFERROR(VLOOKUP($H779,'1. Set Program Names'!$B$2:$D$15,3,0)*AB779,"NA")</f>
        <v>NA</v>
      </c>
      <c r="CC779" s="80" t="str">
        <f>IFERROR(VLOOKUP($H779,'1. Set Program Names'!$B$2:$D$15,3,0)*AC779,"NA")</f>
        <v>NA</v>
      </c>
      <c r="CD779" s="80" t="str">
        <f>IFERROR(VLOOKUP($H779,'1. Set Program Names'!$B$2:$D$15,3,0)*AD779,"NA")</f>
        <v>NA</v>
      </c>
      <c r="CE779" s="80" t="str">
        <f>IFERROR(VLOOKUP($H779,'1. Set Program Names'!$B$2:$D$15,3,0)*AE779,"NA")</f>
        <v>NA</v>
      </c>
    </row>
    <row r="780" spans="1:83" x14ac:dyDescent="0.25">
      <c r="A780" s="79" t="s">
        <v>87</v>
      </c>
      <c r="B780" s="79" t="s">
        <v>88</v>
      </c>
      <c r="C780" s="79" t="s">
        <v>176</v>
      </c>
      <c r="D780" s="79" t="s">
        <v>90</v>
      </c>
      <c r="E780" s="79" t="s">
        <v>91</v>
      </c>
      <c r="F780" s="79" t="s">
        <v>90</v>
      </c>
      <c r="G780" s="79" t="s">
        <v>92</v>
      </c>
      <c r="H780" s="79" t="s">
        <v>268</v>
      </c>
      <c r="I780" s="79" t="s">
        <v>270</v>
      </c>
      <c r="J780" s="79" t="s">
        <v>191</v>
      </c>
      <c r="K780" s="79" t="s">
        <v>98</v>
      </c>
      <c r="L780" s="79">
        <v>2628</v>
      </c>
      <c r="M780" s="79">
        <v>0.31001938633530801</v>
      </c>
      <c r="N780" s="79">
        <v>0.30291717485841702</v>
      </c>
      <c r="O780" s="79">
        <v>810.229999999999</v>
      </c>
      <c r="P780" s="79">
        <v>281.60244658368498</v>
      </c>
      <c r="Q780" s="79">
        <v>2.6280000000000001</v>
      </c>
      <c r="R780" s="79">
        <v>891.847172411815</v>
      </c>
      <c r="S780" s="79">
        <v>2113.8122303076898</v>
      </c>
      <c r="T780" s="79">
        <v>10</v>
      </c>
      <c r="U780" s="79">
        <v>1</v>
      </c>
      <c r="V780" s="79">
        <f>tbl_Data_old[[#This Row],[2025 ]]*IFERROR(AVERAGEIFS('Participation Adjustment'!$C:$C,'Participation Adjustment'!$A:$A,$H780,'Participation Adjustment'!$B:$B,$I780),1)</f>
        <v>17757.925645048901</v>
      </c>
      <c r="W780" s="79">
        <f>tbl_Data_old[[#This Row],[2026 ]]*IFERROR(AVERAGEIFS('Participation Adjustment'!$C:$C,'Participation Adjustment'!$A:$A,$H780,'Participation Adjustment'!$B:$B,$I780),1)</f>
        <v>24614.677632301002</v>
      </c>
      <c r="X780" s="79">
        <f>tbl_Data_old[[#This Row],[2027 ]]*IFERROR(AVERAGEIFS('Participation Adjustment'!$C:$C,'Participation Adjustment'!$A:$A,$H780,'Participation Adjustment'!$B:$B,$I780),1)</f>
        <v>32325.625381252801</v>
      </c>
      <c r="Y780" s="79">
        <f>tbl_Data_old[[#This Row],[2028 ]]*IFERROR(AVERAGEIFS('Participation Adjustment'!$C:$C,'Participation Adjustment'!$A:$A,$H780,'Participation Adjustment'!$B:$B,$I780),1)</f>
        <v>40858.532634287199</v>
      </c>
      <c r="Z780" s="79">
        <f>tbl_Data_old[[#This Row],[2029 ]]*IFERROR(AVERAGEIFS('Participation Adjustment'!$C:$C,'Participation Adjustment'!$A:$A,$H780,'Participation Adjustment'!$B:$B,$I780),1)</f>
        <v>49197.3510688444</v>
      </c>
      <c r="AA780" s="79">
        <f>tbl_Data_old[[#This Row],[2030 ]]*IFERROR(AVERAGEIFS('Participation Adjustment'!$C:$C,'Participation Adjustment'!$A:$A,$H780,'Participation Adjustment'!$B:$B,$I780),1)</f>
        <v>56908.928057603298</v>
      </c>
      <c r="AB780" s="79">
        <f>tbl_Data_old[[#This Row],[2031 ]]*IFERROR(AVERAGEIFS('Participation Adjustment'!$C:$C,'Participation Adjustment'!$A:$A,$H780,'Participation Adjustment'!$B:$B,$I780),1)</f>
        <v>63541.077499630301</v>
      </c>
      <c r="AC780" s="79">
        <f>tbl_Data_old[[#This Row],[2032 ]]*IFERROR(AVERAGEIFS('Participation Adjustment'!$C:$C,'Participation Adjustment'!$A:$A,$H780,'Participation Adjustment'!$B:$B,$I780),1)</f>
        <v>68777.384380288699</v>
      </c>
      <c r="AD780" s="79">
        <f>tbl_Data_old[[#This Row],[2033 ]]*IFERROR(AVERAGEIFS('Participation Adjustment'!$C:$C,'Participation Adjustment'!$A:$A,$H780,'Participation Adjustment'!$B:$B,$I780),1)</f>
        <v>72926.699804166798</v>
      </c>
      <c r="AE780" s="79">
        <f>tbl_Data_old[[#This Row],[2034 ]]*IFERROR(AVERAGEIFS('Participation Adjustment'!$C:$C,'Participation Adjustment'!$A:$A,$H780,'Participation Adjustment'!$B:$B,$I780),1)</f>
        <v>76111.473149937796</v>
      </c>
      <c r="AF780" s="77" t="str">
        <f t="shared" si="330"/>
        <v>NonResidential</v>
      </c>
      <c r="AG780" s="77" t="str">
        <f>tbl_Data[[#This Row],[All_Meas_Name_Append]]</f>
        <v>Low Energy Livestock Waterer</v>
      </c>
      <c r="AH780" s="77">
        <f>AVERAGEIFS('3. Incentive Adjustment'!G:G,'3. Incentive Adjustment'!A:A,tbl_Data[[#This Row],[Trimmed Sector]],'3. Incentive Adjustment'!B:B,tbl_Data[[#This Row],[Trimmed Measure Name]])</f>
        <v>0.7537232854794027</v>
      </c>
      <c r="AI780" s="77">
        <f>$AH780*tbl_Data[[#This Row],[2025 ]]</f>
        <v>13384.562060485199</v>
      </c>
      <c r="AJ780" s="77">
        <f>$AH780*tbl_Data[[#This Row],[2026 ]]</f>
        <v>18552.655696034275</v>
      </c>
      <c r="AK780" s="77">
        <f>$AH780*tbl_Data[[#This Row],[2027 ]]</f>
        <v>24364.57656753423</v>
      </c>
      <c r="AL780" s="77">
        <f>$AH780*tbl_Data[[#This Row],[2028 ]]</f>
        <v>30796.027456982341</v>
      </c>
      <c r="AM780" s="77">
        <f>$AH780*tbl_Data[[#This Row],[2029 ]]</f>
        <v>37081.189084493002</v>
      </c>
      <c r="AN780" s="77">
        <f>$AH780*tbl_Data[[#This Row],[2030 ]]</f>
        <v>42893.584228687723</v>
      </c>
      <c r="AO780" s="77">
        <f>$AH780*tbl_Data[[#This Row],[2031 ]]</f>
        <v>47892.389695922699</v>
      </c>
      <c r="AP780" s="77">
        <f>$AH780*tbl_Data[[#This Row],[2032 ]]</f>
        <v>51839.116121790954</v>
      </c>
      <c r="AQ780" s="77">
        <f>$AH780*tbl_Data[[#This Row],[2033 ]]</f>
        <v>54966.55177556671</v>
      </c>
      <c r="AR780" s="77">
        <f>$AH780*tbl_Data[[#This Row],[2034 ]]</f>
        <v>57366.989605248462</v>
      </c>
      <c r="AS780" s="77">
        <f>SUM(tbl_Data[[#This Row],[Adjusted 2025]:[Adjusted 2034]])</f>
        <v>379137.64229274559</v>
      </c>
      <c r="AT780" s="80">
        <f>AVERAGEIFS('3. Incentive Adjustment'!F:F,'3. Incentive Adjustment'!A:A,tbl_Data[[#This Row],[Trimmed Sector]],'3. Incentive Adjustment'!B:B,tbl_Data[[#This Row],[Trimmed Measure Name]])</f>
        <v>0</v>
      </c>
      <c r="AU780" s="80">
        <f>IFERROR(VLOOKUP(tbl_Data[[#This Row],[All_Meas_Name_Append]],'IRA Tax Credits'!$A$3:$D$46,4,0),0)</f>
        <v>0</v>
      </c>
      <c r="AV780" s="81">
        <f>tbl_Data[[#This Row],[Adj. per unit Incentive ($)]]/tbl_Data[[#This Row],[kWh Savings]]*tbl_Data[[#This Row],[Sum of Annuals]]</f>
        <v>0</v>
      </c>
      <c r="AW780" s="81" t="str">
        <f>IFERROR(VLOOKUP(tbl_Data[[#This Row],[Column1]],'1. Set Program Names'!$B$2:$D$15,3,0)*tbl_Data[[#This Row],[Sum of Annuals]],"")</f>
        <v/>
      </c>
      <c r="AX780" s="81">
        <f>tbl_Data[[#This Row],[per unit IRA tax ($)]]/tbl_Data[[#This Row],[kWh Savings]]*tbl_Data[[#This Row],[Sum of Annuals]]</f>
        <v>0</v>
      </c>
      <c r="AY780" s="81">
        <f>tbl_Data[[#This Row],[Avoided Costs ($/unit)]]/tbl_Data[[#This Row],[kWh Savings]]*tbl_Data[[#This Row],[Sum of Annuals]]</f>
        <v>128665.46203716412</v>
      </c>
      <c r="AZ780" s="81">
        <f>tbl_Data[[#This Row],[Lost Revenue ($/unit)]]/tbl_Data[[#This Row],[kWh Savings]]*tbl_Data[[#This Row],[Sum of Annuals]]</f>
        <v>304956.53928783396</v>
      </c>
      <c r="BA780" s="81">
        <f>tbl_Data[[#This Row],[Incremental Cost ($/unit)]]/tbl_Data[[#This Row],[kWh Savings]]*tbl_Data[[#This Row],[Sum of Annuals]]</f>
        <v>116890.67424461601</v>
      </c>
      <c r="BB780" s="77">
        <f>ROUNDUP(tbl_Data[[#This Row],[Adjusted 2025]]/$L780,0)</f>
        <v>6</v>
      </c>
      <c r="BC780" s="77">
        <f>ROUNDUP(tbl_Data[[#This Row],[Adjusted 2026]]/$L780,0)</f>
        <v>8</v>
      </c>
      <c r="BD780" s="77">
        <f>ROUNDUP(tbl_Data[[#This Row],[Adjusted 2027]]/$L780,0)</f>
        <v>10</v>
      </c>
      <c r="BE780" s="77">
        <f>ROUNDUP(tbl_Data[[#This Row],[Adjusted 2028]]/$L780,0)</f>
        <v>12</v>
      </c>
      <c r="BF780" s="77">
        <f>ROUNDUP(tbl_Data[[#This Row],[Adjusted 2029]]/$L780,0)</f>
        <v>15</v>
      </c>
      <c r="BG780" s="77">
        <f>ROUNDUP(tbl_Data[[#This Row],[Adjusted 2030]]/$L780,0)</f>
        <v>17</v>
      </c>
      <c r="BH780" s="77">
        <f>ROUNDUP(tbl_Data[[#This Row],[Adjusted 2031]]/$L780,0)</f>
        <v>19</v>
      </c>
      <c r="BI780" s="77">
        <f>ROUNDUP(tbl_Data[[#This Row],[Adjusted 2032]]/$L780,0)</f>
        <v>20</v>
      </c>
      <c r="BJ780" s="77">
        <f>ROUNDUP(tbl_Data[[#This Row],[Adjusted 2033]]/$L780,0)</f>
        <v>21</v>
      </c>
      <c r="BK780" s="77">
        <f>ROUNDUP(tbl_Data[[#This Row],[Adjusted 2034]]/$L780,0)</f>
        <v>22</v>
      </c>
      <c r="BL780" s="80">
        <f t="shared" si="331"/>
        <v>0</v>
      </c>
      <c r="BM780" s="80">
        <f t="shared" si="332"/>
        <v>0</v>
      </c>
      <c r="BN780" s="80">
        <f t="shared" si="333"/>
        <v>0</v>
      </c>
      <c r="BO780" s="80">
        <f t="shared" si="334"/>
        <v>0</v>
      </c>
      <c r="BP780" s="80">
        <f t="shared" si="335"/>
        <v>0</v>
      </c>
      <c r="BQ780" s="80">
        <f t="shared" si="336"/>
        <v>0</v>
      </c>
      <c r="BR780" s="80">
        <f t="shared" si="337"/>
        <v>0</v>
      </c>
      <c r="BS780" s="80">
        <f t="shared" si="338"/>
        <v>0</v>
      </c>
      <c r="BT780" s="80">
        <f t="shared" si="339"/>
        <v>0</v>
      </c>
      <c r="BU780" s="80">
        <f t="shared" si="340"/>
        <v>0</v>
      </c>
      <c r="BV780" s="80" t="str">
        <f>IFERROR(VLOOKUP($H780,'1. Set Program Names'!$B$2:$D$15,3,0)*V780,"NA")</f>
        <v>NA</v>
      </c>
      <c r="BW780" s="80" t="str">
        <f>IFERROR(VLOOKUP($H780,'1. Set Program Names'!$B$2:$D$15,3,0)*W780,"NA")</f>
        <v>NA</v>
      </c>
      <c r="BX780" s="80" t="str">
        <f>IFERROR(VLOOKUP($H780,'1. Set Program Names'!$B$2:$D$15,3,0)*X780,"NA")</f>
        <v>NA</v>
      </c>
      <c r="BY780" s="80" t="str">
        <f>IFERROR(VLOOKUP($H780,'1. Set Program Names'!$B$2:$D$15,3,0)*Y780,"NA")</f>
        <v>NA</v>
      </c>
      <c r="BZ780" s="80" t="str">
        <f>IFERROR(VLOOKUP($H780,'1. Set Program Names'!$B$2:$D$15,3,0)*Z780,"NA")</f>
        <v>NA</v>
      </c>
      <c r="CA780" s="80" t="str">
        <f>IFERROR(VLOOKUP($H780,'1. Set Program Names'!$B$2:$D$15,3,0)*AA780,"NA")</f>
        <v>NA</v>
      </c>
      <c r="CB780" s="80" t="str">
        <f>IFERROR(VLOOKUP($H780,'1. Set Program Names'!$B$2:$D$15,3,0)*AB780,"NA")</f>
        <v>NA</v>
      </c>
      <c r="CC780" s="80" t="str">
        <f>IFERROR(VLOOKUP($H780,'1. Set Program Names'!$B$2:$D$15,3,0)*AC780,"NA")</f>
        <v>NA</v>
      </c>
      <c r="CD780" s="80" t="str">
        <f>IFERROR(VLOOKUP($H780,'1. Set Program Names'!$B$2:$D$15,3,0)*AD780,"NA")</f>
        <v>NA</v>
      </c>
      <c r="CE780" s="80" t="str">
        <f>IFERROR(VLOOKUP($H780,'1. Set Program Names'!$B$2:$D$15,3,0)*AE780,"NA")</f>
        <v>NA</v>
      </c>
    </row>
    <row r="781" spans="1:83" x14ac:dyDescent="0.25">
      <c r="A781" s="79" t="s">
        <v>87</v>
      </c>
      <c r="B781" s="79" t="s">
        <v>88</v>
      </c>
      <c r="C781" s="79" t="s">
        <v>176</v>
      </c>
      <c r="D781" s="79" t="s">
        <v>90</v>
      </c>
      <c r="E781" s="79" t="s">
        <v>91</v>
      </c>
      <c r="F781" s="79" t="s">
        <v>90</v>
      </c>
      <c r="G781" s="79" t="s">
        <v>92</v>
      </c>
      <c r="H781" s="79" t="s">
        <v>268</v>
      </c>
      <c r="I781" s="79" t="s">
        <v>184</v>
      </c>
      <c r="J781" s="79" t="s">
        <v>180</v>
      </c>
      <c r="K781" s="79" t="s">
        <v>98</v>
      </c>
      <c r="L781" s="79">
        <v>3514.8091666666501</v>
      </c>
      <c r="M781" s="79">
        <v>0.421134949485237</v>
      </c>
      <c r="N781" s="79">
        <v>0.40566942535109901</v>
      </c>
      <c r="O781" s="79">
        <v>1028.8599999999999</v>
      </c>
      <c r="P781" s="79">
        <v>322.03243304134497</v>
      </c>
      <c r="Q781" s="79">
        <v>3.5148091666666499</v>
      </c>
      <c r="R781" s="79">
        <v>1184.78167438478</v>
      </c>
      <c r="S781" s="79">
        <v>2827.1105797935802</v>
      </c>
      <c r="T781" s="79">
        <v>10</v>
      </c>
      <c r="U781" s="79">
        <v>1</v>
      </c>
      <c r="V781" s="79">
        <f>tbl_Data_old[[#This Row],[2025 ]]*IFERROR(AVERAGEIFS('Participation Adjustment'!$C:$C,'Participation Adjustment'!$A:$A,$H781,'Participation Adjustment'!$B:$B,$I781),1)</f>
        <v>2075.1848667627501</v>
      </c>
      <c r="W781" s="79">
        <f>tbl_Data_old[[#This Row],[2026 ]]*IFERROR(AVERAGEIFS('Participation Adjustment'!$C:$C,'Participation Adjustment'!$A:$A,$H781,'Participation Adjustment'!$B:$B,$I781),1)</f>
        <v>2861.9768850515302</v>
      </c>
      <c r="X781" s="79">
        <f>tbl_Data_old[[#This Row],[2027 ]]*IFERROR(AVERAGEIFS('Participation Adjustment'!$C:$C,'Participation Adjustment'!$A:$A,$H781,'Participation Adjustment'!$B:$B,$I781),1)</f>
        <v>3821.6282047044001</v>
      </c>
      <c r="Y781" s="79">
        <f>tbl_Data_old[[#This Row],[2028 ]]*IFERROR(AVERAGEIFS('Participation Adjustment'!$C:$C,'Participation Adjustment'!$A:$A,$H781,'Participation Adjustment'!$B:$B,$I781),1)</f>
        <v>4973.9184923495804</v>
      </c>
      <c r="Z781" s="79">
        <f>tbl_Data_old[[#This Row],[2029 ]]*IFERROR(AVERAGEIFS('Participation Adjustment'!$C:$C,'Participation Adjustment'!$A:$A,$H781,'Participation Adjustment'!$B:$B,$I781),1)</f>
        <v>6189.1416718868204</v>
      </c>
      <c r="AA781" s="79">
        <f>tbl_Data_old[[#This Row],[2030 ]]*IFERROR(AVERAGEIFS('Participation Adjustment'!$C:$C,'Participation Adjustment'!$A:$A,$H781,'Participation Adjustment'!$B:$B,$I781),1)</f>
        <v>7320.0537724446003</v>
      </c>
      <c r="AB781" s="79">
        <f>tbl_Data_old[[#This Row],[2031 ]]*IFERROR(AVERAGEIFS('Participation Adjustment'!$C:$C,'Participation Adjustment'!$A:$A,$H781,'Participation Adjustment'!$B:$B,$I781),1)</f>
        <v>8127.9395750396898</v>
      </c>
      <c r="AC781" s="79">
        <f>tbl_Data_old[[#This Row],[2032 ]]*IFERROR(AVERAGEIFS('Participation Adjustment'!$C:$C,'Participation Adjustment'!$A:$A,$H781,'Participation Adjustment'!$B:$B,$I781),1)</f>
        <v>8353.2161213847303</v>
      </c>
      <c r="AD781" s="79">
        <f>tbl_Data_old[[#This Row],[2033 ]]*IFERROR(AVERAGEIFS('Participation Adjustment'!$C:$C,'Participation Adjustment'!$A:$A,$H781,'Participation Adjustment'!$B:$B,$I781),1)</f>
        <v>7890.2447413034097</v>
      </c>
      <c r="AE781" s="79">
        <f>tbl_Data_old[[#This Row],[2034 ]]*IFERROR(AVERAGEIFS('Participation Adjustment'!$C:$C,'Participation Adjustment'!$A:$A,$H781,'Participation Adjustment'!$B:$B,$I781),1)</f>
        <v>6819.6472687124797</v>
      </c>
      <c r="AF781" s="77" t="str">
        <f t="shared" si="330"/>
        <v>NonResidential</v>
      </c>
      <c r="AG781" s="77" t="str">
        <f>tbl_Data[[#This Row],[All_Meas_Name_Append]]</f>
        <v>Low Pressure-drop Filters</v>
      </c>
      <c r="AH781" s="77">
        <f>AVERAGEIFS('3. Incentive Adjustment'!G:G,'3. Incentive Adjustment'!A:A,tbl_Data[[#This Row],[Trimmed Sector]],'3. Incentive Adjustment'!B:B,tbl_Data[[#This Row],[Trimmed Measure Name]])</f>
        <v>0.78525588861759776</v>
      </c>
      <c r="AI781" s="77">
        <f>$AH781*tbl_Data[[#This Row],[2025 ]]</f>
        <v>1629.5511365955745</v>
      </c>
      <c r="AJ781" s="77">
        <f>$AH781*tbl_Data[[#This Row],[2026 ]]</f>
        <v>2247.3842020741636</v>
      </c>
      <c r="AK781" s="77">
        <f>$AH781*tbl_Data[[#This Row],[2027 ]]</f>
        <v>3000.9560518512285</v>
      </c>
      <c r="AL781" s="77">
        <f>$AH781*tbl_Data[[#This Row],[2028 ]]</f>
        <v>3905.7987856214718</v>
      </c>
      <c r="AM781" s="77">
        <f>$AH781*tbl_Data[[#This Row],[2029 ]]</f>
        <v>4860.0599433376901</v>
      </c>
      <c r="AN781" s="77">
        <f>$AH781*tbl_Data[[#This Row],[2030 ]]</f>
        <v>5748.1153298095833</v>
      </c>
      <c r="AO781" s="77">
        <f>$AH781*tbl_Data[[#This Row],[2031 ]]</f>
        <v>6382.5124136279319</v>
      </c>
      <c r="AP781" s="77">
        <f>$AH781*tbl_Data[[#This Row],[2032 ]]</f>
        <v>6559.4121482128094</v>
      </c>
      <c r="AQ781" s="77">
        <f>$AH781*tbl_Data[[#This Row],[2033 ]]</f>
        <v>6195.8611457425368</v>
      </c>
      <c r="AR781" s="77">
        <f>$AH781*tbl_Data[[#This Row],[2034 ]]</f>
        <v>5355.168176051392</v>
      </c>
      <c r="AS781" s="77">
        <f>SUM(tbl_Data[[#This Row],[Adjusted 2025]:[Adjusted 2034]])</f>
        <v>45884.81933292438</v>
      </c>
      <c r="AT781" s="80">
        <f>AVERAGEIFS('3. Incentive Adjustment'!F:F,'3. Incentive Adjustment'!A:A,tbl_Data[[#This Row],[Trimmed Sector]],'3. Incentive Adjustment'!B:B,tbl_Data[[#This Row],[Trimmed Measure Name]])</f>
        <v>0</v>
      </c>
      <c r="AU781" s="80">
        <f>IFERROR(VLOOKUP(tbl_Data[[#This Row],[All_Meas_Name_Append]],'IRA Tax Credits'!$A$3:$D$46,4,0),0)</f>
        <v>0</v>
      </c>
      <c r="AV781" s="81">
        <f>tbl_Data[[#This Row],[Adj. per unit Incentive ($)]]/tbl_Data[[#This Row],[kWh Savings]]*tbl_Data[[#This Row],[Sum of Annuals]]</f>
        <v>0</v>
      </c>
      <c r="AW781" s="81" t="str">
        <f>IFERROR(VLOOKUP(tbl_Data[[#This Row],[Column1]],'1. Set Program Names'!$B$2:$D$15,3,0)*tbl_Data[[#This Row],[Sum of Annuals]],"")</f>
        <v/>
      </c>
      <c r="AX781" s="81">
        <f>tbl_Data[[#This Row],[per unit IRA tax ($)]]/tbl_Data[[#This Row],[kWh Savings]]*tbl_Data[[#This Row],[Sum of Annuals]]</f>
        <v>0</v>
      </c>
      <c r="AY781" s="81">
        <f>tbl_Data[[#This Row],[Avoided Costs ($/unit)]]/tbl_Data[[#This Row],[kWh Savings]]*tbl_Data[[#This Row],[Sum of Annuals]]</f>
        <v>15466.982843242708</v>
      </c>
      <c r="AZ781" s="81">
        <f>tbl_Data[[#This Row],[Lost Revenue ($/unit)]]/tbl_Data[[#This Row],[kWh Savings]]*tbl_Data[[#This Row],[Sum of Annuals]]</f>
        <v>36907.112744061676</v>
      </c>
      <c r="BA781" s="81">
        <f>tbl_Data[[#This Row],[Incremental Cost ($/unit)]]/tbl_Data[[#This Row],[kWh Savings]]*tbl_Data[[#This Row],[Sum of Annuals]]</f>
        <v>13431.470381546878</v>
      </c>
      <c r="BB781" s="77">
        <f>ROUNDUP(tbl_Data[[#This Row],[Adjusted 2025]]/$L781,0)</f>
        <v>1</v>
      </c>
      <c r="BC781" s="77">
        <f>ROUNDUP(tbl_Data[[#This Row],[Adjusted 2026]]/$L781,0)</f>
        <v>1</v>
      </c>
      <c r="BD781" s="77">
        <f>ROUNDUP(tbl_Data[[#This Row],[Adjusted 2027]]/$L781,0)</f>
        <v>1</v>
      </c>
      <c r="BE781" s="77">
        <f>ROUNDUP(tbl_Data[[#This Row],[Adjusted 2028]]/$L781,0)</f>
        <v>2</v>
      </c>
      <c r="BF781" s="77">
        <f>ROUNDUP(tbl_Data[[#This Row],[Adjusted 2029]]/$L781,0)</f>
        <v>2</v>
      </c>
      <c r="BG781" s="77">
        <f>ROUNDUP(tbl_Data[[#This Row],[Adjusted 2030]]/$L781,0)</f>
        <v>2</v>
      </c>
      <c r="BH781" s="77">
        <f>ROUNDUP(tbl_Data[[#This Row],[Adjusted 2031]]/$L781,0)</f>
        <v>2</v>
      </c>
      <c r="BI781" s="77">
        <f>ROUNDUP(tbl_Data[[#This Row],[Adjusted 2032]]/$L781,0)</f>
        <v>2</v>
      </c>
      <c r="BJ781" s="77">
        <f>ROUNDUP(tbl_Data[[#This Row],[Adjusted 2033]]/$L781,0)</f>
        <v>2</v>
      </c>
      <c r="BK781" s="77">
        <f>ROUNDUP(tbl_Data[[#This Row],[Adjusted 2034]]/$L781,0)</f>
        <v>2</v>
      </c>
      <c r="BL781" s="80">
        <f t="shared" si="331"/>
        <v>0</v>
      </c>
      <c r="BM781" s="80">
        <f t="shared" si="332"/>
        <v>0</v>
      </c>
      <c r="BN781" s="80">
        <f t="shared" si="333"/>
        <v>0</v>
      </c>
      <c r="BO781" s="80">
        <f t="shared" si="334"/>
        <v>0</v>
      </c>
      <c r="BP781" s="80">
        <f t="shared" si="335"/>
        <v>0</v>
      </c>
      <c r="BQ781" s="80">
        <f t="shared" si="336"/>
        <v>0</v>
      </c>
      <c r="BR781" s="80">
        <f t="shared" si="337"/>
        <v>0</v>
      </c>
      <c r="BS781" s="80">
        <f t="shared" si="338"/>
        <v>0</v>
      </c>
      <c r="BT781" s="80">
        <f t="shared" si="339"/>
        <v>0</v>
      </c>
      <c r="BU781" s="80">
        <f t="shared" si="340"/>
        <v>0</v>
      </c>
      <c r="BV781" s="80" t="str">
        <f>IFERROR(VLOOKUP($H781,'1. Set Program Names'!$B$2:$D$15,3,0)*V781,"NA")</f>
        <v>NA</v>
      </c>
      <c r="BW781" s="80" t="str">
        <f>IFERROR(VLOOKUP($H781,'1. Set Program Names'!$B$2:$D$15,3,0)*W781,"NA")</f>
        <v>NA</v>
      </c>
      <c r="BX781" s="80" t="str">
        <f>IFERROR(VLOOKUP($H781,'1. Set Program Names'!$B$2:$D$15,3,0)*X781,"NA")</f>
        <v>NA</v>
      </c>
      <c r="BY781" s="80" t="str">
        <f>IFERROR(VLOOKUP($H781,'1. Set Program Names'!$B$2:$D$15,3,0)*Y781,"NA")</f>
        <v>NA</v>
      </c>
      <c r="BZ781" s="80" t="str">
        <f>IFERROR(VLOOKUP($H781,'1. Set Program Names'!$B$2:$D$15,3,0)*Z781,"NA")</f>
        <v>NA</v>
      </c>
      <c r="CA781" s="80" t="str">
        <f>IFERROR(VLOOKUP($H781,'1. Set Program Names'!$B$2:$D$15,3,0)*AA781,"NA")</f>
        <v>NA</v>
      </c>
      <c r="CB781" s="80" t="str">
        <f>IFERROR(VLOOKUP($H781,'1. Set Program Names'!$B$2:$D$15,3,0)*AB781,"NA")</f>
        <v>NA</v>
      </c>
      <c r="CC781" s="80" t="str">
        <f>IFERROR(VLOOKUP($H781,'1. Set Program Names'!$B$2:$D$15,3,0)*AC781,"NA")</f>
        <v>NA</v>
      </c>
      <c r="CD781" s="80" t="str">
        <f>IFERROR(VLOOKUP($H781,'1. Set Program Names'!$B$2:$D$15,3,0)*AD781,"NA")</f>
        <v>NA</v>
      </c>
      <c r="CE781" s="80" t="str">
        <f>IFERROR(VLOOKUP($H781,'1. Set Program Names'!$B$2:$D$15,3,0)*AE781,"NA")</f>
        <v>NA</v>
      </c>
    </row>
    <row r="782" spans="1:83" x14ac:dyDescent="0.25">
      <c r="A782" s="79" t="s">
        <v>87</v>
      </c>
      <c r="B782" s="79" t="s">
        <v>88</v>
      </c>
      <c r="C782" s="79" t="s">
        <v>176</v>
      </c>
      <c r="D782" s="79" t="s">
        <v>90</v>
      </c>
      <c r="E782" s="79" t="s">
        <v>91</v>
      </c>
      <c r="F782" s="79" t="s">
        <v>90</v>
      </c>
      <c r="G782" s="79" t="s">
        <v>92</v>
      </c>
      <c r="H782" s="79" t="s">
        <v>268</v>
      </c>
      <c r="I782" s="79" t="s">
        <v>271</v>
      </c>
      <c r="J782" s="79" t="s">
        <v>180</v>
      </c>
      <c r="K782" s="79" t="s">
        <v>272</v>
      </c>
      <c r="L782" s="79">
        <v>8742.5400000000009</v>
      </c>
      <c r="M782" s="79">
        <v>1.04876812955413</v>
      </c>
      <c r="N782" s="79">
        <v>1.0098733971376099</v>
      </c>
      <c r="O782" s="79">
        <v>3543.39</v>
      </c>
      <c r="P782" s="79">
        <v>1784.8102698461601</v>
      </c>
      <c r="Q782" s="79">
        <v>8.74254</v>
      </c>
      <c r="R782" s="79">
        <v>3737.3935784201899</v>
      </c>
      <c r="S782" s="79">
        <v>9285.1929731405908</v>
      </c>
      <c r="T782" s="79">
        <v>15</v>
      </c>
      <c r="U782" s="79">
        <v>1</v>
      </c>
      <c r="V782" s="79">
        <f>tbl_Data_old[[#This Row],[2025 ]]*IFERROR(AVERAGEIFS('Participation Adjustment'!$C:$C,'Participation Adjustment'!$A:$A,$H782,'Participation Adjustment'!$B:$B,$I782),1)</f>
        <v>161.956173444244</v>
      </c>
      <c r="W782" s="79">
        <f>tbl_Data_old[[#This Row],[2026 ]]*IFERROR(AVERAGEIFS('Participation Adjustment'!$C:$C,'Participation Adjustment'!$A:$A,$H782,'Participation Adjustment'!$B:$B,$I782),1)</f>
        <v>210.16542129091999</v>
      </c>
      <c r="X782" s="79">
        <f>tbl_Data_old[[#This Row],[2027 ]]*IFERROR(AVERAGEIFS('Participation Adjustment'!$C:$C,'Participation Adjustment'!$A:$A,$H782,'Participation Adjustment'!$B:$B,$I782),1)</f>
        <v>265.88412398359702</v>
      </c>
      <c r="Y782" s="79">
        <f>tbl_Data_old[[#This Row],[2028 ]]*IFERROR(AVERAGEIFS('Participation Adjustment'!$C:$C,'Participation Adjustment'!$A:$A,$H782,'Participation Adjustment'!$B:$B,$I782),1)</f>
        <v>331.916342045036</v>
      </c>
      <c r="Z782" s="79">
        <f>tbl_Data_old[[#This Row],[2029 ]]*IFERROR(AVERAGEIFS('Participation Adjustment'!$C:$C,'Participation Adjustment'!$A:$A,$H782,'Participation Adjustment'!$B:$B,$I782),1)</f>
        <v>401.44653400581302</v>
      </c>
      <c r="AA782" s="79">
        <f>tbl_Data_old[[#This Row],[2030 ]]*IFERROR(AVERAGEIFS('Participation Adjustment'!$C:$C,'Participation Adjustment'!$A:$A,$H782,'Participation Adjustment'!$B:$B,$I782),1)</f>
        <v>472.493390659358</v>
      </c>
      <c r="AB782" s="79">
        <f>tbl_Data_old[[#This Row],[2031 ]]*IFERROR(AVERAGEIFS('Participation Adjustment'!$C:$C,'Participation Adjustment'!$A:$A,$H782,'Participation Adjustment'!$B:$B,$I782),1)</f>
        <v>538.63730713517896</v>
      </c>
      <c r="AC782" s="79">
        <f>tbl_Data_old[[#This Row],[2032 ]]*IFERROR(AVERAGEIFS('Participation Adjustment'!$C:$C,'Participation Adjustment'!$A:$A,$H782,'Participation Adjustment'!$B:$B,$I782),1)</f>
        <v>590.20095491972199</v>
      </c>
      <c r="AD782" s="79">
        <f>tbl_Data_old[[#This Row],[2033 ]]*IFERROR(AVERAGEIFS('Participation Adjustment'!$C:$C,'Participation Adjustment'!$A:$A,$H782,'Participation Adjustment'!$B:$B,$I782),1)</f>
        <v>621.36605882966705</v>
      </c>
      <c r="AE782" s="79">
        <f>tbl_Data_old[[#This Row],[2034 ]]*IFERROR(AVERAGEIFS('Participation Adjustment'!$C:$C,'Participation Adjustment'!$A:$A,$H782,'Participation Adjustment'!$B:$B,$I782),1)</f>
        <v>624.613948913679</v>
      </c>
      <c r="AF782" s="77" t="str">
        <f t="shared" si="330"/>
        <v>NonResidential</v>
      </c>
      <c r="AG782" s="77" t="str">
        <f>tbl_Data[[#This Row],[All_Meas_Name_Append]]</f>
        <v>Milk Pre-Cooler</v>
      </c>
      <c r="AH782" s="77">
        <f>AVERAGEIFS('3. Incentive Adjustment'!G:G,'3. Incentive Adjustment'!A:A,tbl_Data[[#This Row],[Trimmed Sector]],'3. Incentive Adjustment'!B:B,tbl_Data[[#This Row],[Trimmed Measure Name]])</f>
        <v>0.58352930274688986</v>
      </c>
      <c r="AI782" s="77">
        <f>$AH782*tbl_Data[[#This Row],[2025 ]]</f>
        <v>94.506172965474065</v>
      </c>
      <c r="AJ782" s="77">
        <f>$AH782*tbl_Data[[#This Row],[2026 ]]</f>
        <v>122.63768174739691</v>
      </c>
      <c r="AK782" s="77">
        <f>$AH782*tbl_Data[[#This Row],[2027 ]]</f>
        <v>155.151177479616</v>
      </c>
      <c r="AL782" s="77">
        <f>$AH782*tbl_Data[[#This Row],[2028 ]]</f>
        <v>193.68291164383805</v>
      </c>
      <c r="AM782" s="77">
        <f>$AH782*tbl_Data[[#This Row],[2029 ]]</f>
        <v>234.25581607856768</v>
      </c>
      <c r="AN782" s="77">
        <f>$AH782*tbl_Data[[#This Row],[2030 ]]</f>
        <v>275.71373880396902</v>
      </c>
      <c r="AO782" s="77">
        <f>$AH782*tbl_Data[[#This Row],[2031 ]]</f>
        <v>314.31065226605335</v>
      </c>
      <c r="AP782" s="77">
        <f>$AH782*tbl_Data[[#This Row],[2032 ]]</f>
        <v>344.39955170485393</v>
      </c>
      <c r="AQ782" s="77">
        <f>$AH782*tbl_Data[[#This Row],[2033 ]]</f>
        <v>362.58530305945857</v>
      </c>
      <c r="AR782" s="77">
        <f>$AH782*tbl_Data[[#This Row],[2034 ]]</f>
        <v>364.48054209558057</v>
      </c>
      <c r="AS782" s="77">
        <f>SUM(tbl_Data[[#This Row],[Adjusted 2025]:[Adjusted 2034]])</f>
        <v>2461.7235478448079</v>
      </c>
      <c r="AT782" s="80">
        <f>AVERAGEIFS('3. Incentive Adjustment'!F:F,'3. Incentive Adjustment'!A:A,tbl_Data[[#This Row],[Trimmed Sector]],'3. Incentive Adjustment'!B:B,tbl_Data[[#This Row],[Trimmed Measure Name]])</f>
        <v>0</v>
      </c>
      <c r="AU782" s="80">
        <f>IFERROR(VLOOKUP(tbl_Data[[#This Row],[All_Meas_Name_Append]],'IRA Tax Credits'!$A$3:$D$46,4,0),0)</f>
        <v>0</v>
      </c>
      <c r="AV782" s="81">
        <f>tbl_Data[[#This Row],[Adj. per unit Incentive ($)]]/tbl_Data[[#This Row],[kWh Savings]]*tbl_Data[[#This Row],[Sum of Annuals]]</f>
        <v>0</v>
      </c>
      <c r="AW782" s="81" t="str">
        <f>IFERROR(VLOOKUP(tbl_Data[[#This Row],[Column1]],'1. Set Program Names'!$B$2:$D$15,3,0)*tbl_Data[[#This Row],[Sum of Annuals]],"")</f>
        <v/>
      </c>
      <c r="AX782" s="81">
        <f>tbl_Data[[#This Row],[per unit IRA tax ($)]]/tbl_Data[[#This Row],[kWh Savings]]*tbl_Data[[#This Row],[Sum of Annuals]]</f>
        <v>0</v>
      </c>
      <c r="AY782" s="81">
        <f>tbl_Data[[#This Row],[Avoided Costs ($/unit)]]/tbl_Data[[#This Row],[kWh Savings]]*tbl_Data[[#This Row],[Sum of Annuals]]</f>
        <v>1052.3749138763965</v>
      </c>
      <c r="AZ782" s="81">
        <f>tbl_Data[[#This Row],[Lost Revenue ($/unit)]]/tbl_Data[[#This Row],[kWh Savings]]*tbl_Data[[#This Row],[Sum of Annuals]]</f>
        <v>2614.5237183087906</v>
      </c>
      <c r="BA782" s="81">
        <f>tbl_Data[[#This Row],[Incremental Cost ($/unit)]]/tbl_Data[[#This Row],[kWh Savings]]*tbl_Data[[#This Row],[Sum of Annuals]]</f>
        <v>997.7474054677258</v>
      </c>
      <c r="BB782" s="77">
        <f>ROUNDUP(tbl_Data[[#This Row],[Adjusted 2025]]/$L782,0)</f>
        <v>1</v>
      </c>
      <c r="BC782" s="77">
        <f>ROUNDUP(tbl_Data[[#This Row],[Adjusted 2026]]/$L782,0)</f>
        <v>1</v>
      </c>
      <c r="BD782" s="77">
        <f>ROUNDUP(tbl_Data[[#This Row],[Adjusted 2027]]/$L782,0)</f>
        <v>1</v>
      </c>
      <c r="BE782" s="77">
        <f>ROUNDUP(tbl_Data[[#This Row],[Adjusted 2028]]/$L782,0)</f>
        <v>1</v>
      </c>
      <c r="BF782" s="77">
        <f>ROUNDUP(tbl_Data[[#This Row],[Adjusted 2029]]/$L782,0)</f>
        <v>1</v>
      </c>
      <c r="BG782" s="77">
        <f>ROUNDUP(tbl_Data[[#This Row],[Adjusted 2030]]/$L782,0)</f>
        <v>1</v>
      </c>
      <c r="BH782" s="77">
        <f>ROUNDUP(tbl_Data[[#This Row],[Adjusted 2031]]/$L782,0)</f>
        <v>1</v>
      </c>
      <c r="BI782" s="77">
        <f>ROUNDUP(tbl_Data[[#This Row],[Adjusted 2032]]/$L782,0)</f>
        <v>1</v>
      </c>
      <c r="BJ782" s="77">
        <f>ROUNDUP(tbl_Data[[#This Row],[Adjusted 2033]]/$L782,0)</f>
        <v>1</v>
      </c>
      <c r="BK782" s="77">
        <f>ROUNDUP(tbl_Data[[#This Row],[Adjusted 2034]]/$L782,0)</f>
        <v>1</v>
      </c>
      <c r="BL782" s="80">
        <f t="shared" si="331"/>
        <v>0</v>
      </c>
      <c r="BM782" s="80">
        <f t="shared" si="332"/>
        <v>0</v>
      </c>
      <c r="BN782" s="80">
        <f t="shared" si="333"/>
        <v>0</v>
      </c>
      <c r="BO782" s="80">
        <f t="shared" si="334"/>
        <v>0</v>
      </c>
      <c r="BP782" s="80">
        <f t="shared" si="335"/>
        <v>0</v>
      </c>
      <c r="BQ782" s="80">
        <f t="shared" si="336"/>
        <v>0</v>
      </c>
      <c r="BR782" s="80">
        <f t="shared" si="337"/>
        <v>0</v>
      </c>
      <c r="BS782" s="80">
        <f t="shared" si="338"/>
        <v>0</v>
      </c>
      <c r="BT782" s="80">
        <f t="shared" si="339"/>
        <v>0</v>
      </c>
      <c r="BU782" s="80">
        <f t="shared" si="340"/>
        <v>0</v>
      </c>
      <c r="BV782" s="80" t="str">
        <f>IFERROR(VLOOKUP($H782,'1. Set Program Names'!$B$2:$D$15,3,0)*V782,"NA")</f>
        <v>NA</v>
      </c>
      <c r="BW782" s="80" t="str">
        <f>IFERROR(VLOOKUP($H782,'1. Set Program Names'!$B$2:$D$15,3,0)*W782,"NA")</f>
        <v>NA</v>
      </c>
      <c r="BX782" s="80" t="str">
        <f>IFERROR(VLOOKUP($H782,'1. Set Program Names'!$B$2:$D$15,3,0)*X782,"NA")</f>
        <v>NA</v>
      </c>
      <c r="BY782" s="80" t="str">
        <f>IFERROR(VLOOKUP($H782,'1. Set Program Names'!$B$2:$D$15,3,0)*Y782,"NA")</f>
        <v>NA</v>
      </c>
      <c r="BZ782" s="80" t="str">
        <f>IFERROR(VLOOKUP($H782,'1. Set Program Names'!$B$2:$D$15,3,0)*Z782,"NA")</f>
        <v>NA</v>
      </c>
      <c r="CA782" s="80" t="str">
        <f>IFERROR(VLOOKUP($H782,'1. Set Program Names'!$B$2:$D$15,3,0)*AA782,"NA")</f>
        <v>NA</v>
      </c>
      <c r="CB782" s="80" t="str">
        <f>IFERROR(VLOOKUP($H782,'1. Set Program Names'!$B$2:$D$15,3,0)*AB782,"NA")</f>
        <v>NA</v>
      </c>
      <c r="CC782" s="80" t="str">
        <f>IFERROR(VLOOKUP($H782,'1. Set Program Names'!$B$2:$D$15,3,0)*AC782,"NA")</f>
        <v>NA</v>
      </c>
      <c r="CD782" s="80" t="str">
        <f>IFERROR(VLOOKUP($H782,'1. Set Program Names'!$B$2:$D$15,3,0)*AD782,"NA")</f>
        <v>NA</v>
      </c>
      <c r="CE782" s="80" t="str">
        <f>IFERROR(VLOOKUP($H782,'1. Set Program Names'!$B$2:$D$15,3,0)*AE782,"NA")</f>
        <v>NA</v>
      </c>
    </row>
    <row r="783" spans="1:83" x14ac:dyDescent="0.25">
      <c r="A783" s="79" t="s">
        <v>87</v>
      </c>
      <c r="B783" s="79" t="s">
        <v>88</v>
      </c>
      <c r="C783" s="79" t="s">
        <v>176</v>
      </c>
      <c r="D783" s="79" t="s">
        <v>90</v>
      </c>
      <c r="E783" s="79" t="s">
        <v>91</v>
      </c>
      <c r="F783" s="79" t="s">
        <v>90</v>
      </c>
      <c r="G783" s="79" t="s">
        <v>92</v>
      </c>
      <c r="H783" s="79" t="s">
        <v>268</v>
      </c>
      <c r="I783" s="79" t="s">
        <v>190</v>
      </c>
      <c r="J783" s="79" t="s">
        <v>191</v>
      </c>
      <c r="K783" s="79" t="s">
        <v>98</v>
      </c>
      <c r="L783" s="79">
        <v>1561.28</v>
      </c>
      <c r="M783" s="79">
        <v>0.18418077149832199</v>
      </c>
      <c r="N783" s="79">
        <v>0.17996138765713399</v>
      </c>
      <c r="O783" s="79">
        <v>490</v>
      </c>
      <c r="P783" s="79">
        <v>175.94534756551599</v>
      </c>
      <c r="Q783" s="79">
        <v>1.56128</v>
      </c>
      <c r="R783" s="79">
        <v>649.62503581485396</v>
      </c>
      <c r="S783" s="79">
        <v>1586.7572850213601</v>
      </c>
      <c r="T783" s="79">
        <v>14</v>
      </c>
      <c r="U783" s="79">
        <v>0.999999999999999</v>
      </c>
      <c r="V783" s="79">
        <f>tbl_Data_old[[#This Row],[2025 ]]*IFERROR(AVERAGEIFS('Participation Adjustment'!$C:$C,'Participation Adjustment'!$A:$A,$H783,'Participation Adjustment'!$B:$B,$I783),1)</f>
        <v>14479.720529730301</v>
      </c>
      <c r="W783" s="79">
        <f>tbl_Data_old[[#This Row],[2026 ]]*IFERROR(AVERAGEIFS('Participation Adjustment'!$C:$C,'Participation Adjustment'!$A:$A,$H783,'Participation Adjustment'!$B:$B,$I783),1)</f>
        <v>16472.087990718199</v>
      </c>
      <c r="X783" s="79">
        <f>tbl_Data_old[[#This Row],[2027 ]]*IFERROR(AVERAGEIFS('Participation Adjustment'!$C:$C,'Participation Adjustment'!$A:$A,$H783,'Participation Adjustment'!$B:$B,$I783),1)</f>
        <v>18208.468111883602</v>
      </c>
      <c r="Y783" s="79">
        <f>tbl_Data_old[[#This Row],[2028 ]]*IFERROR(AVERAGEIFS('Participation Adjustment'!$C:$C,'Participation Adjustment'!$A:$A,$H783,'Participation Adjustment'!$B:$B,$I783),1)</f>
        <v>19926.867392344298</v>
      </c>
      <c r="Z783" s="79">
        <f>tbl_Data_old[[#This Row],[2029 ]]*IFERROR(AVERAGEIFS('Participation Adjustment'!$C:$C,'Participation Adjustment'!$A:$A,$H783,'Participation Adjustment'!$B:$B,$I783),1)</f>
        <v>21417.056904142901</v>
      </c>
      <c r="AA783" s="79">
        <f>tbl_Data_old[[#This Row],[2030 ]]*IFERROR(AVERAGEIFS('Participation Adjustment'!$C:$C,'Participation Adjustment'!$A:$A,$H783,'Participation Adjustment'!$B:$B,$I783),1)</f>
        <v>22804.387345598901</v>
      </c>
      <c r="AB783" s="79">
        <f>tbl_Data_old[[#This Row],[2031 ]]*IFERROR(AVERAGEIFS('Participation Adjustment'!$C:$C,'Participation Adjustment'!$A:$A,$H783,'Participation Adjustment'!$B:$B,$I783),1)</f>
        <v>24109.685687388599</v>
      </c>
      <c r="AC783" s="79">
        <f>tbl_Data_old[[#This Row],[2032 ]]*IFERROR(AVERAGEIFS('Participation Adjustment'!$C:$C,'Participation Adjustment'!$A:$A,$H783,'Participation Adjustment'!$B:$B,$I783),1)</f>
        <v>25295.995584773598</v>
      </c>
      <c r="AD783" s="79">
        <f>tbl_Data_old[[#This Row],[2033 ]]*IFERROR(AVERAGEIFS('Participation Adjustment'!$C:$C,'Participation Adjustment'!$A:$A,$H783,'Participation Adjustment'!$B:$B,$I783),1)</f>
        <v>26458.363912956898</v>
      </c>
      <c r="AE783" s="79">
        <f>tbl_Data_old[[#This Row],[2034 ]]*IFERROR(AVERAGEIFS('Participation Adjustment'!$C:$C,'Participation Adjustment'!$A:$A,$H783,'Participation Adjustment'!$B:$B,$I783),1)</f>
        <v>27561.2752682028</v>
      </c>
      <c r="AF783" s="77" t="str">
        <f t="shared" si="330"/>
        <v>NonResidential</v>
      </c>
      <c r="AG783" s="77" t="str">
        <f>tbl_Data[[#This Row],[All_Meas_Name_Append]]</f>
        <v>Synchronous Belt on 15hp ODP Motor</v>
      </c>
      <c r="AH783" s="77">
        <f>AVERAGEIFS('3. Incentive Adjustment'!G:G,'3. Incentive Adjustment'!A:A,tbl_Data[[#This Row],[Trimmed Sector]],'3. Incentive Adjustment'!B:B,tbl_Data[[#This Row],[Trimmed Measure Name]])</f>
        <v>0.74278916032473408</v>
      </c>
      <c r="AI783" s="77">
        <f>$AH783*tbl_Data[[#This Row],[2025 ]]</f>
        <v>10755.379454015183</v>
      </c>
      <c r="AJ783" s="77">
        <f>$AH783*tbl_Data[[#This Row],[2026 ]]</f>
        <v>12235.288407420707</v>
      </c>
      <c r="AK783" s="77">
        <f>$AH783*tbl_Data[[#This Row],[2027 ]]</f>
        <v>13525.052739625717</v>
      </c>
      <c r="AL783" s="77">
        <f>$AH783*tbl_Data[[#This Row],[2028 ]]</f>
        <v>14801.461098261745</v>
      </c>
      <c r="AM783" s="77">
        <f>$AH783*tbl_Data[[#This Row],[2029 ]]</f>
        <v>15908.357714455355</v>
      </c>
      <c r="AN783" s="77">
        <f>$AH783*tbl_Data[[#This Row],[2030 ]]</f>
        <v>16938.851728157399</v>
      </c>
      <c r="AO783" s="77">
        <f>$AH783*tbl_Data[[#This Row],[2031 ]]</f>
        <v>17908.413187428636</v>
      </c>
      <c r="AP783" s="77">
        <f>$AH783*tbl_Data[[#This Row],[2032 ]]</f>
        <v>18789.591319992163</v>
      </c>
      <c r="AQ783" s="77">
        <f>$AH783*tbl_Data[[#This Row],[2033 ]]</f>
        <v>19652.985914471501</v>
      </c>
      <c r="AR783" s="77">
        <f>$AH783*tbl_Data[[#This Row],[2034 ]]</f>
        <v>20472.216513947216</v>
      </c>
      <c r="AS783" s="77">
        <f>SUM(tbl_Data[[#This Row],[Adjusted 2025]:[Adjusted 2034]])</f>
        <v>160987.59807777562</v>
      </c>
      <c r="AT783" s="80">
        <f>AVERAGEIFS('3. Incentive Adjustment'!F:F,'3. Incentive Adjustment'!A:A,tbl_Data[[#This Row],[Trimmed Sector]],'3. Incentive Adjustment'!B:B,tbl_Data[[#This Row],[Trimmed Measure Name]])</f>
        <v>0</v>
      </c>
      <c r="AU783" s="80">
        <f>IFERROR(VLOOKUP(tbl_Data[[#This Row],[All_Meas_Name_Append]],'IRA Tax Credits'!$A$3:$D$46,4,0),0)</f>
        <v>0</v>
      </c>
      <c r="AV783" s="81">
        <f>tbl_Data[[#This Row],[Adj. per unit Incentive ($)]]/tbl_Data[[#This Row],[kWh Savings]]*tbl_Data[[#This Row],[Sum of Annuals]]</f>
        <v>0</v>
      </c>
      <c r="AW783" s="81" t="str">
        <f>IFERROR(VLOOKUP(tbl_Data[[#This Row],[Column1]],'1. Set Program Names'!$B$2:$D$15,3,0)*tbl_Data[[#This Row],[Sum of Annuals]],"")</f>
        <v/>
      </c>
      <c r="AX783" s="81">
        <f>tbl_Data[[#This Row],[per unit IRA tax ($)]]/tbl_Data[[#This Row],[kWh Savings]]*tbl_Data[[#This Row],[Sum of Annuals]]</f>
        <v>0</v>
      </c>
      <c r="AY783" s="81">
        <f>tbl_Data[[#This Row],[Avoided Costs ($/unit)]]/tbl_Data[[#This Row],[kWh Savings]]*tbl_Data[[#This Row],[Sum of Annuals]]</f>
        <v>66984.508971499221</v>
      </c>
      <c r="AZ783" s="81">
        <f>tbl_Data[[#This Row],[Lost Revenue ($/unit)]]/tbl_Data[[#This Row],[kWh Savings]]*tbl_Data[[#This Row],[Sum of Annuals]]</f>
        <v>163614.62649108499</v>
      </c>
      <c r="BA783" s="81">
        <f>tbl_Data[[#This Row],[Incremental Cost ($/unit)]]/tbl_Data[[#This Row],[kWh Savings]]*tbl_Data[[#This Row],[Sum of Annuals]]</f>
        <v>50525.160802745217</v>
      </c>
      <c r="BB783" s="77">
        <f>ROUNDUP(tbl_Data[[#This Row],[Adjusted 2025]]/$L783,0)</f>
        <v>7</v>
      </c>
      <c r="BC783" s="77">
        <f>ROUNDUP(tbl_Data[[#This Row],[Adjusted 2026]]/$L783,0)</f>
        <v>8</v>
      </c>
      <c r="BD783" s="77">
        <f>ROUNDUP(tbl_Data[[#This Row],[Adjusted 2027]]/$L783,0)</f>
        <v>9</v>
      </c>
      <c r="BE783" s="77">
        <f>ROUNDUP(tbl_Data[[#This Row],[Adjusted 2028]]/$L783,0)</f>
        <v>10</v>
      </c>
      <c r="BF783" s="77">
        <f>ROUNDUP(tbl_Data[[#This Row],[Adjusted 2029]]/$L783,0)</f>
        <v>11</v>
      </c>
      <c r="BG783" s="77">
        <f>ROUNDUP(tbl_Data[[#This Row],[Adjusted 2030]]/$L783,0)</f>
        <v>11</v>
      </c>
      <c r="BH783" s="77">
        <f>ROUNDUP(tbl_Data[[#This Row],[Adjusted 2031]]/$L783,0)</f>
        <v>12</v>
      </c>
      <c r="BI783" s="77">
        <f>ROUNDUP(tbl_Data[[#This Row],[Adjusted 2032]]/$L783,0)</f>
        <v>13</v>
      </c>
      <c r="BJ783" s="77">
        <f>ROUNDUP(tbl_Data[[#This Row],[Adjusted 2033]]/$L783,0)</f>
        <v>13</v>
      </c>
      <c r="BK783" s="77">
        <f>ROUNDUP(tbl_Data[[#This Row],[Adjusted 2034]]/$L783,0)</f>
        <v>14</v>
      </c>
      <c r="BL783" s="80">
        <f t="shared" si="331"/>
        <v>0</v>
      </c>
      <c r="BM783" s="80">
        <f t="shared" si="332"/>
        <v>0</v>
      </c>
      <c r="BN783" s="80">
        <f t="shared" si="333"/>
        <v>0</v>
      </c>
      <c r="BO783" s="80">
        <f t="shared" si="334"/>
        <v>0</v>
      </c>
      <c r="BP783" s="80">
        <f t="shared" si="335"/>
        <v>0</v>
      </c>
      <c r="BQ783" s="80">
        <f t="shared" si="336"/>
        <v>0</v>
      </c>
      <c r="BR783" s="80">
        <f t="shared" si="337"/>
        <v>0</v>
      </c>
      <c r="BS783" s="80">
        <f t="shared" si="338"/>
        <v>0</v>
      </c>
      <c r="BT783" s="80">
        <f t="shared" si="339"/>
        <v>0</v>
      </c>
      <c r="BU783" s="80">
        <f t="shared" si="340"/>
        <v>0</v>
      </c>
      <c r="BV783" s="80" t="str">
        <f>IFERROR(VLOOKUP($H783,'1. Set Program Names'!$B$2:$D$15,3,0)*V783,"NA")</f>
        <v>NA</v>
      </c>
      <c r="BW783" s="80" t="str">
        <f>IFERROR(VLOOKUP($H783,'1. Set Program Names'!$B$2:$D$15,3,0)*W783,"NA")</f>
        <v>NA</v>
      </c>
      <c r="BX783" s="80" t="str">
        <f>IFERROR(VLOOKUP($H783,'1. Set Program Names'!$B$2:$D$15,3,0)*X783,"NA")</f>
        <v>NA</v>
      </c>
      <c r="BY783" s="80" t="str">
        <f>IFERROR(VLOOKUP($H783,'1. Set Program Names'!$B$2:$D$15,3,0)*Y783,"NA")</f>
        <v>NA</v>
      </c>
      <c r="BZ783" s="80" t="str">
        <f>IFERROR(VLOOKUP($H783,'1. Set Program Names'!$B$2:$D$15,3,0)*Z783,"NA")</f>
        <v>NA</v>
      </c>
      <c r="CA783" s="80" t="str">
        <f>IFERROR(VLOOKUP($H783,'1. Set Program Names'!$B$2:$D$15,3,0)*AA783,"NA")</f>
        <v>NA</v>
      </c>
      <c r="CB783" s="80" t="str">
        <f>IFERROR(VLOOKUP($H783,'1. Set Program Names'!$B$2:$D$15,3,0)*AB783,"NA")</f>
        <v>NA</v>
      </c>
      <c r="CC783" s="80" t="str">
        <f>IFERROR(VLOOKUP($H783,'1. Set Program Names'!$B$2:$D$15,3,0)*AC783,"NA")</f>
        <v>NA</v>
      </c>
      <c r="CD783" s="80" t="str">
        <f>IFERROR(VLOOKUP($H783,'1. Set Program Names'!$B$2:$D$15,3,0)*AD783,"NA")</f>
        <v>NA</v>
      </c>
      <c r="CE783" s="80" t="str">
        <f>IFERROR(VLOOKUP($H783,'1. Set Program Names'!$B$2:$D$15,3,0)*AE783,"NA")</f>
        <v>NA</v>
      </c>
    </row>
    <row r="784" spans="1:83" x14ac:dyDescent="0.25">
      <c r="A784" s="79" t="s">
        <v>87</v>
      </c>
      <c r="B784" s="79" t="s">
        <v>88</v>
      </c>
      <c r="C784" s="79" t="s">
        <v>176</v>
      </c>
      <c r="D784" s="79" t="s">
        <v>90</v>
      </c>
      <c r="E784" s="79" t="s">
        <v>91</v>
      </c>
      <c r="F784" s="79" t="s">
        <v>90</v>
      </c>
      <c r="G784" s="79" t="s">
        <v>92</v>
      </c>
      <c r="H784" s="79" t="s">
        <v>268</v>
      </c>
      <c r="I784" s="79" t="s">
        <v>192</v>
      </c>
      <c r="J784" s="79" t="s">
        <v>191</v>
      </c>
      <c r="K784" s="79" t="s">
        <v>98</v>
      </c>
      <c r="L784" s="79">
        <v>437.76000000000101</v>
      </c>
      <c r="M784" s="79">
        <v>5.1641585449826798E-2</v>
      </c>
      <c r="N784" s="79">
        <v>5.0458532140799497E-2</v>
      </c>
      <c r="O784" s="79">
        <v>163</v>
      </c>
      <c r="P784" s="79">
        <v>74.943684252843894</v>
      </c>
      <c r="Q784" s="79">
        <v>0.43776000000000098</v>
      </c>
      <c r="R784" s="79">
        <v>182.14532670521001</v>
      </c>
      <c r="S784" s="79">
        <v>444.90345683730902</v>
      </c>
      <c r="T784" s="79">
        <v>14</v>
      </c>
      <c r="U784" s="79">
        <v>0.999999999999999</v>
      </c>
      <c r="V784" s="79">
        <f>tbl_Data_old[[#This Row],[2025 ]]*IFERROR(AVERAGEIFS('Participation Adjustment'!$C:$C,'Participation Adjustment'!$A:$A,$H784,'Participation Adjustment'!$B:$B,$I784),1)</f>
        <v>14439.389637877401</v>
      </c>
      <c r="W784" s="79">
        <f>tbl_Data_old[[#This Row],[2026 ]]*IFERROR(AVERAGEIFS('Participation Adjustment'!$C:$C,'Participation Adjustment'!$A:$A,$H784,'Participation Adjustment'!$B:$B,$I784),1)</f>
        <v>16420.9237073043</v>
      </c>
      <c r="X784" s="79">
        <f>tbl_Data_old[[#This Row],[2027 ]]*IFERROR(AVERAGEIFS('Participation Adjustment'!$C:$C,'Participation Adjustment'!$A:$A,$H784,'Participation Adjustment'!$B:$B,$I784),1)</f>
        <v>18146.664106687102</v>
      </c>
      <c r="Y784" s="79">
        <f>tbl_Data_old[[#This Row],[2028 ]]*IFERROR(AVERAGEIFS('Participation Adjustment'!$C:$C,'Participation Adjustment'!$A:$A,$H784,'Participation Adjustment'!$B:$B,$I784),1)</f>
        <v>19854.0929404034</v>
      </c>
      <c r="Z784" s="79">
        <f>tbl_Data_old[[#This Row],[2029 ]]*IFERROR(AVERAGEIFS('Participation Adjustment'!$C:$C,'Participation Adjustment'!$A:$A,$H784,'Participation Adjustment'!$B:$B,$I784),1)</f>
        <v>21333.9141469309</v>
      </c>
      <c r="AA784" s="79">
        <f>tbl_Data_old[[#This Row],[2030 ]]*IFERROR(AVERAGEIFS('Participation Adjustment'!$C:$C,'Participation Adjustment'!$A:$A,$H784,'Participation Adjustment'!$B:$B,$I784),1)</f>
        <v>22711.1940616303</v>
      </c>
      <c r="AB784" s="79">
        <f>tbl_Data_old[[#This Row],[2031 ]]*IFERROR(AVERAGEIFS('Participation Adjustment'!$C:$C,'Participation Adjustment'!$A:$A,$H784,'Participation Adjustment'!$B:$B,$I784),1)</f>
        <v>24006.7833524542</v>
      </c>
      <c r="AC784" s="79">
        <f>tbl_Data_old[[#This Row],[2032 ]]*IFERROR(AVERAGEIFS('Participation Adjustment'!$C:$C,'Participation Adjustment'!$A:$A,$H784,'Participation Adjustment'!$B:$B,$I784),1)</f>
        <v>25183.967242324499</v>
      </c>
      <c r="AD784" s="79">
        <f>tbl_Data_old[[#This Row],[2033 ]]*IFERROR(AVERAGEIFS('Participation Adjustment'!$C:$C,'Participation Adjustment'!$A:$A,$H784,'Participation Adjustment'!$B:$B,$I784),1)</f>
        <v>26337.435059047799</v>
      </c>
      <c r="AE784" s="79">
        <f>tbl_Data_old[[#This Row],[2034 ]]*IFERROR(AVERAGEIFS('Participation Adjustment'!$C:$C,'Participation Adjustment'!$A:$A,$H784,'Participation Adjustment'!$B:$B,$I784),1)</f>
        <v>27431.859230558101</v>
      </c>
      <c r="AF784" s="77" t="str">
        <f t="shared" si="330"/>
        <v>NonResidential</v>
      </c>
      <c r="AG784" s="77" t="str">
        <f>tbl_Data[[#This Row],[All_Meas_Name_Append]]</f>
        <v>Synchronous Belt on 5hp ODP Motor</v>
      </c>
      <c r="AH784" s="77">
        <f>AVERAGEIFS('3. Incentive Adjustment'!G:G,'3. Incentive Adjustment'!A:A,tbl_Data[[#This Row],[Trimmed Sector]],'3. Incentive Adjustment'!B:B,tbl_Data[[#This Row],[Trimmed Measure Name]])</f>
        <v>0.63653870706597271</v>
      </c>
      <c r="AI784" s="77">
        <f>$AH784*tbl_Data[[#This Row],[2025 ]]</f>
        <v>9191.2304109162851</v>
      </c>
      <c r="AJ784" s="77">
        <f>$AH784*tbl_Data[[#This Row],[2026 ]]</f>
        <v>10452.553545476459</v>
      </c>
      <c r="AK784" s="77">
        <f>$AH784*tbl_Data[[#This Row],[2027 ]]</f>
        <v>11551.054108031103</v>
      </c>
      <c r="AL784" s="77">
        <f>$AH784*tbl_Data[[#This Row],[2028 ]]</f>
        <v>12637.898650252037</v>
      </c>
      <c r="AM784" s="77">
        <f>$AH784*tbl_Data[[#This Row],[2029 ]]</f>
        <v>13579.86212774386</v>
      </c>
      <c r="AN784" s="77">
        <f>$AH784*tbl_Data[[#This Row],[2030 ]]</f>
        <v>14456.554103914548</v>
      </c>
      <c r="AO784" s="77">
        <f>$AH784*tbl_Data[[#This Row],[2031 ]]</f>
        <v>15281.246835984115</v>
      </c>
      <c r="AP784" s="77">
        <f>$AH784*tbl_Data[[#This Row],[2032 ]]</f>
        <v>16030.569947221047</v>
      </c>
      <c r="AQ784" s="77">
        <f>$AH784*tbl_Data[[#This Row],[2033 ]]</f>
        <v>16764.796859920305</v>
      </c>
      <c r="AR784" s="77">
        <f>$AH784*tbl_Data[[#This Row],[2034 ]]</f>
        <v>17461.440207035223</v>
      </c>
      <c r="AS784" s="77">
        <f>SUM(tbl_Data[[#This Row],[Adjusted 2025]:[Adjusted 2034]])</f>
        <v>137407.20679649495</v>
      </c>
      <c r="AT784" s="80">
        <f>AVERAGEIFS('3. Incentive Adjustment'!F:F,'3. Incentive Adjustment'!A:A,tbl_Data[[#This Row],[Trimmed Sector]],'3. Incentive Adjustment'!B:B,tbl_Data[[#This Row],[Trimmed Measure Name]])</f>
        <v>0</v>
      </c>
      <c r="AU784" s="80">
        <f>IFERROR(VLOOKUP(tbl_Data[[#This Row],[All_Meas_Name_Append]],'IRA Tax Credits'!$A$3:$D$46,4,0),0)</f>
        <v>0</v>
      </c>
      <c r="AV784" s="81">
        <f>tbl_Data[[#This Row],[Adj. per unit Incentive ($)]]/tbl_Data[[#This Row],[kWh Savings]]*tbl_Data[[#This Row],[Sum of Annuals]]</f>
        <v>0</v>
      </c>
      <c r="AW784" s="81" t="str">
        <f>IFERROR(VLOOKUP(tbl_Data[[#This Row],[Column1]],'1. Set Program Names'!$B$2:$D$15,3,0)*tbl_Data[[#This Row],[Sum of Annuals]],"")</f>
        <v/>
      </c>
      <c r="AX784" s="81">
        <f>tbl_Data[[#This Row],[per unit IRA tax ($)]]/tbl_Data[[#This Row],[kWh Savings]]*tbl_Data[[#This Row],[Sum of Annuals]]</f>
        <v>0</v>
      </c>
      <c r="AY784" s="81">
        <f>tbl_Data[[#This Row],[Avoided Costs ($/unit)]]/tbl_Data[[#This Row],[kWh Savings]]*tbl_Data[[#This Row],[Sum of Annuals]]</f>
        <v>57173.06417579922</v>
      </c>
      <c r="AZ784" s="81">
        <f>tbl_Data[[#This Row],[Lost Revenue ($/unit)]]/tbl_Data[[#This Row],[kWh Savings]]*tbl_Data[[#This Row],[Sum of Annuals]]</f>
        <v>139649.44558232697</v>
      </c>
      <c r="BA784" s="81">
        <f>tbl_Data[[#This Row],[Incremental Cost ($/unit)]]/tbl_Data[[#This Row],[kWh Savings]]*tbl_Data[[#This Row],[Sum of Annuals]]</f>
        <v>51163.593539447706</v>
      </c>
      <c r="BB784" s="77">
        <f>ROUNDUP(tbl_Data[[#This Row],[Adjusted 2025]]/$L784,0)</f>
        <v>21</v>
      </c>
      <c r="BC784" s="77">
        <f>ROUNDUP(tbl_Data[[#This Row],[Adjusted 2026]]/$L784,0)</f>
        <v>24</v>
      </c>
      <c r="BD784" s="77">
        <f>ROUNDUP(tbl_Data[[#This Row],[Adjusted 2027]]/$L784,0)</f>
        <v>27</v>
      </c>
      <c r="BE784" s="77">
        <f>ROUNDUP(tbl_Data[[#This Row],[Adjusted 2028]]/$L784,0)</f>
        <v>29</v>
      </c>
      <c r="BF784" s="77">
        <f>ROUNDUP(tbl_Data[[#This Row],[Adjusted 2029]]/$L784,0)</f>
        <v>32</v>
      </c>
      <c r="BG784" s="77">
        <f>ROUNDUP(tbl_Data[[#This Row],[Adjusted 2030]]/$L784,0)</f>
        <v>34</v>
      </c>
      <c r="BH784" s="77">
        <f>ROUNDUP(tbl_Data[[#This Row],[Adjusted 2031]]/$L784,0)</f>
        <v>35</v>
      </c>
      <c r="BI784" s="77">
        <f>ROUNDUP(tbl_Data[[#This Row],[Adjusted 2032]]/$L784,0)</f>
        <v>37</v>
      </c>
      <c r="BJ784" s="77">
        <f>ROUNDUP(tbl_Data[[#This Row],[Adjusted 2033]]/$L784,0)</f>
        <v>39</v>
      </c>
      <c r="BK784" s="77">
        <f>ROUNDUP(tbl_Data[[#This Row],[Adjusted 2034]]/$L784,0)</f>
        <v>40</v>
      </c>
      <c r="BL784" s="80">
        <f t="shared" si="331"/>
        <v>0</v>
      </c>
      <c r="BM784" s="80">
        <f t="shared" si="332"/>
        <v>0</v>
      </c>
      <c r="BN784" s="80">
        <f t="shared" si="333"/>
        <v>0</v>
      </c>
      <c r="BO784" s="80">
        <f t="shared" si="334"/>
        <v>0</v>
      </c>
      <c r="BP784" s="80">
        <f t="shared" si="335"/>
        <v>0</v>
      </c>
      <c r="BQ784" s="80">
        <f t="shared" si="336"/>
        <v>0</v>
      </c>
      <c r="BR784" s="80">
        <f t="shared" si="337"/>
        <v>0</v>
      </c>
      <c r="BS784" s="80">
        <f t="shared" si="338"/>
        <v>0</v>
      </c>
      <c r="BT784" s="80">
        <f t="shared" si="339"/>
        <v>0</v>
      </c>
      <c r="BU784" s="80">
        <f t="shared" si="340"/>
        <v>0</v>
      </c>
      <c r="BV784" s="80" t="str">
        <f>IFERROR(VLOOKUP($H784,'1. Set Program Names'!$B$2:$D$15,3,0)*V784,"NA")</f>
        <v>NA</v>
      </c>
      <c r="BW784" s="80" t="str">
        <f>IFERROR(VLOOKUP($H784,'1. Set Program Names'!$B$2:$D$15,3,0)*W784,"NA")</f>
        <v>NA</v>
      </c>
      <c r="BX784" s="80" t="str">
        <f>IFERROR(VLOOKUP($H784,'1. Set Program Names'!$B$2:$D$15,3,0)*X784,"NA")</f>
        <v>NA</v>
      </c>
      <c r="BY784" s="80" t="str">
        <f>IFERROR(VLOOKUP($H784,'1. Set Program Names'!$B$2:$D$15,3,0)*Y784,"NA")</f>
        <v>NA</v>
      </c>
      <c r="BZ784" s="80" t="str">
        <f>IFERROR(VLOOKUP($H784,'1. Set Program Names'!$B$2:$D$15,3,0)*Z784,"NA")</f>
        <v>NA</v>
      </c>
      <c r="CA784" s="80" t="str">
        <f>IFERROR(VLOOKUP($H784,'1. Set Program Names'!$B$2:$D$15,3,0)*AA784,"NA")</f>
        <v>NA</v>
      </c>
      <c r="CB784" s="80" t="str">
        <f>IFERROR(VLOOKUP($H784,'1. Set Program Names'!$B$2:$D$15,3,0)*AB784,"NA")</f>
        <v>NA</v>
      </c>
      <c r="CC784" s="80" t="str">
        <f>IFERROR(VLOOKUP($H784,'1. Set Program Names'!$B$2:$D$15,3,0)*AC784,"NA")</f>
        <v>NA</v>
      </c>
      <c r="CD784" s="80" t="str">
        <f>IFERROR(VLOOKUP($H784,'1. Set Program Names'!$B$2:$D$15,3,0)*AD784,"NA")</f>
        <v>NA</v>
      </c>
      <c r="CE784" s="80" t="str">
        <f>IFERROR(VLOOKUP($H784,'1. Set Program Names'!$B$2:$D$15,3,0)*AE784,"NA")</f>
        <v>NA</v>
      </c>
    </row>
    <row r="785" spans="1:83" x14ac:dyDescent="0.25">
      <c r="A785" s="79" t="s">
        <v>87</v>
      </c>
      <c r="B785" s="79" t="s">
        <v>88</v>
      </c>
      <c r="C785" s="79" t="s">
        <v>176</v>
      </c>
      <c r="D785" s="79" t="s">
        <v>90</v>
      </c>
      <c r="E785" s="79" t="s">
        <v>91</v>
      </c>
      <c r="F785" s="79" t="s">
        <v>90</v>
      </c>
      <c r="G785" s="79" t="s">
        <v>92</v>
      </c>
      <c r="H785" s="79" t="s">
        <v>268</v>
      </c>
      <c r="I785" s="79" t="s">
        <v>193</v>
      </c>
      <c r="J785" s="79" t="s">
        <v>191</v>
      </c>
      <c r="K785" s="79" t="s">
        <v>98</v>
      </c>
      <c r="L785" s="79">
        <v>12009.57</v>
      </c>
      <c r="M785" s="79">
        <v>1.41674258810918</v>
      </c>
      <c r="N785" s="79">
        <v>1.38428653564094</v>
      </c>
      <c r="O785" s="79">
        <v>2450</v>
      </c>
      <c r="P785" s="79">
        <v>34.250530181900103</v>
      </c>
      <c r="Q785" s="79">
        <v>12.00957</v>
      </c>
      <c r="R785" s="79">
        <v>4997.0007566682498</v>
      </c>
      <c r="S785" s="79">
        <v>12205.544609214199</v>
      </c>
      <c r="T785" s="79">
        <v>14</v>
      </c>
      <c r="U785" s="79">
        <v>0.999999999999999</v>
      </c>
      <c r="V785" s="79">
        <f>tbl_Data_old[[#This Row],[2025 ]]*IFERROR(AVERAGEIFS('Participation Adjustment'!$C:$C,'Participation Adjustment'!$A:$A,$H785,'Participation Adjustment'!$B:$B,$I785),1)</f>
        <v>14531.962918957101</v>
      </c>
      <c r="W785" s="79">
        <f>tbl_Data_old[[#This Row],[2026 ]]*IFERROR(AVERAGEIFS('Participation Adjustment'!$C:$C,'Participation Adjustment'!$A:$A,$H785,'Participation Adjustment'!$B:$B,$I785),1)</f>
        <v>16541.2381498414</v>
      </c>
      <c r="X785" s="79">
        <f>tbl_Data_old[[#This Row],[2027 ]]*IFERROR(AVERAGEIFS('Participation Adjustment'!$C:$C,'Participation Adjustment'!$A:$A,$H785,'Participation Adjustment'!$B:$B,$I785),1)</f>
        <v>18295.462253498401</v>
      </c>
      <c r="Y785" s="79">
        <f>tbl_Data_old[[#This Row],[2028 ]]*IFERROR(AVERAGEIFS('Participation Adjustment'!$C:$C,'Participation Adjustment'!$A:$A,$H785,'Participation Adjustment'!$B:$B,$I785),1)</f>
        <v>20034.865437340501</v>
      </c>
      <c r="Z785" s="79">
        <f>tbl_Data_old[[#This Row],[2029 ]]*IFERROR(AVERAGEIFS('Participation Adjustment'!$C:$C,'Participation Adjustment'!$A:$A,$H785,'Participation Adjustment'!$B:$B,$I785),1)</f>
        <v>21543.6734454088</v>
      </c>
      <c r="AA785" s="79">
        <f>tbl_Data_old[[#This Row],[2030 ]]*IFERROR(AVERAGEIFS('Participation Adjustment'!$C:$C,'Participation Adjustment'!$A:$A,$H785,'Participation Adjustment'!$B:$B,$I785),1)</f>
        <v>22949.977758457298</v>
      </c>
      <c r="AB785" s="79">
        <f>tbl_Data_old[[#This Row],[2031 ]]*IFERROR(AVERAGEIFS('Participation Adjustment'!$C:$C,'Participation Adjustment'!$A:$A,$H785,'Participation Adjustment'!$B:$B,$I785),1)</f>
        <v>24273.863938547402</v>
      </c>
      <c r="AC785" s="79">
        <f>tbl_Data_old[[#This Row],[2032 ]]*IFERROR(AVERAGEIFS('Participation Adjustment'!$C:$C,'Participation Adjustment'!$A:$A,$H785,'Participation Adjustment'!$B:$B,$I785),1)</f>
        <v>25475.279074818602</v>
      </c>
      <c r="AD785" s="79">
        <f>tbl_Data_old[[#This Row],[2033 ]]*IFERROR(AVERAGEIFS('Participation Adjustment'!$C:$C,'Participation Adjustment'!$A:$A,$H785,'Participation Adjustment'!$B:$B,$I785),1)</f>
        <v>26653.105734820299</v>
      </c>
      <c r="AE785" s="79">
        <f>tbl_Data_old[[#This Row],[2034 ]]*IFERROR(AVERAGEIFS('Participation Adjustment'!$C:$C,'Participation Adjustment'!$A:$A,$H785,'Participation Adjustment'!$B:$B,$I785),1)</f>
        <v>27769.894705728901</v>
      </c>
      <c r="AF785" s="77" t="str">
        <f t="shared" si="330"/>
        <v>NonResidential</v>
      </c>
      <c r="AG785" s="77" t="str">
        <f>tbl_Data[[#This Row],[All_Meas_Name_Append]]</f>
        <v>Synchronous Belt on 75hp ODP Motor</v>
      </c>
      <c r="AH785" s="77">
        <f>AVERAGEIFS('3. Incentive Adjustment'!G:G,'3. Incentive Adjustment'!A:A,tbl_Data[[#This Row],[Trimmed Sector]],'3. Incentive Adjustment'!B:B,tbl_Data[[#This Row],[Trimmed Measure Name]])</f>
        <v>0.99250334293493969</v>
      </c>
      <c r="AI785" s="77">
        <f>$AH785*tbl_Data[[#This Row],[2025 ]]</f>
        <v>14423.021776471507</v>
      </c>
      <c r="AJ785" s="77">
        <f>$AH785*tbl_Data[[#This Row],[2026 ]]</f>
        <v>16417.234160000546</v>
      </c>
      <c r="AK785" s="77">
        <f>$AH785*tbl_Data[[#This Row],[2027 ]]</f>
        <v>18158.307447137169</v>
      </c>
      <c r="AL785" s="77">
        <f>$AH785*tbl_Data[[#This Row],[2028 ]]</f>
        <v>19884.670921812129</v>
      </c>
      <c r="AM785" s="77">
        <f>$AH785*tbl_Data[[#This Row],[2029 ]]</f>
        <v>21382.167913666923</v>
      </c>
      <c r="AN785" s="77">
        <f>$AH785*tbl_Data[[#This Row],[2030 ]]</f>
        <v>22777.929645551383</v>
      </c>
      <c r="AO785" s="77">
        <f>$AH785*tbl_Data[[#This Row],[2031 ]]</f>
        <v>24091.891104956179</v>
      </c>
      <c r="AP785" s="77">
        <f>$AH785*tbl_Data[[#This Row],[2032 ]]</f>
        <v>25284.29964395798</v>
      </c>
      <c r="AQ785" s="77">
        <f>$AH785*tbl_Data[[#This Row],[2033 ]]</f>
        <v>26453.296541407559</v>
      </c>
      <c r="AR785" s="77">
        <f>$AH785*tbl_Data[[#This Row],[2034 ]]</f>
        <v>27561.713328387217</v>
      </c>
      <c r="AS785" s="77">
        <f>SUM(tbl_Data[[#This Row],[Adjusted 2025]:[Adjusted 2034]])</f>
        <v>216434.53248334859</v>
      </c>
      <c r="AT785" s="80">
        <f>AVERAGEIFS('3. Incentive Adjustment'!F:F,'3. Incentive Adjustment'!A:A,tbl_Data[[#This Row],[Trimmed Sector]],'3. Incentive Adjustment'!B:B,tbl_Data[[#This Row],[Trimmed Measure Name]])</f>
        <v>0</v>
      </c>
      <c r="AU785" s="80">
        <f>IFERROR(VLOOKUP(tbl_Data[[#This Row],[All_Meas_Name_Append]],'IRA Tax Credits'!$A$3:$D$46,4,0),0)</f>
        <v>0</v>
      </c>
      <c r="AV785" s="81">
        <f>tbl_Data[[#This Row],[Adj. per unit Incentive ($)]]/tbl_Data[[#This Row],[kWh Savings]]*tbl_Data[[#This Row],[Sum of Annuals]]</f>
        <v>0</v>
      </c>
      <c r="AW785" s="81" t="str">
        <f>IFERROR(VLOOKUP(tbl_Data[[#This Row],[Column1]],'1. Set Program Names'!$B$2:$D$15,3,0)*tbl_Data[[#This Row],[Sum of Annuals]],"")</f>
        <v/>
      </c>
      <c r="AX785" s="81">
        <f>tbl_Data[[#This Row],[per unit IRA tax ($)]]/tbl_Data[[#This Row],[kWh Savings]]*tbl_Data[[#This Row],[Sum of Annuals]]</f>
        <v>0</v>
      </c>
      <c r="AY785" s="81">
        <f>tbl_Data[[#This Row],[Avoided Costs ($/unit)]]/tbl_Data[[#This Row],[kWh Savings]]*tbl_Data[[#This Row],[Sum of Annuals]]</f>
        <v>90055.141240563302</v>
      </c>
      <c r="AZ785" s="81">
        <f>tbl_Data[[#This Row],[Lost Revenue ($/unit)]]/tbl_Data[[#This Row],[kWh Savings]]*tbl_Data[[#This Row],[Sum of Annuals]]</f>
        <v>219966.35526500375</v>
      </c>
      <c r="BA785" s="81">
        <f>tbl_Data[[#This Row],[Incremental Cost ($/unit)]]/tbl_Data[[#This Row],[kWh Savings]]*tbl_Data[[#This Row],[Sum of Annuals]]</f>
        <v>44153.504628742252</v>
      </c>
      <c r="BB785" s="77">
        <f>ROUNDUP(tbl_Data[[#This Row],[Adjusted 2025]]/$L785,0)</f>
        <v>2</v>
      </c>
      <c r="BC785" s="77">
        <f>ROUNDUP(tbl_Data[[#This Row],[Adjusted 2026]]/$L785,0)</f>
        <v>2</v>
      </c>
      <c r="BD785" s="77">
        <f>ROUNDUP(tbl_Data[[#This Row],[Adjusted 2027]]/$L785,0)</f>
        <v>2</v>
      </c>
      <c r="BE785" s="77">
        <f>ROUNDUP(tbl_Data[[#This Row],[Adjusted 2028]]/$L785,0)</f>
        <v>2</v>
      </c>
      <c r="BF785" s="77">
        <f>ROUNDUP(tbl_Data[[#This Row],[Adjusted 2029]]/$L785,0)</f>
        <v>2</v>
      </c>
      <c r="BG785" s="77">
        <f>ROUNDUP(tbl_Data[[#This Row],[Adjusted 2030]]/$L785,0)</f>
        <v>2</v>
      </c>
      <c r="BH785" s="77">
        <f>ROUNDUP(tbl_Data[[#This Row],[Adjusted 2031]]/$L785,0)</f>
        <v>3</v>
      </c>
      <c r="BI785" s="77">
        <f>ROUNDUP(tbl_Data[[#This Row],[Adjusted 2032]]/$L785,0)</f>
        <v>3</v>
      </c>
      <c r="BJ785" s="77">
        <f>ROUNDUP(tbl_Data[[#This Row],[Adjusted 2033]]/$L785,0)</f>
        <v>3</v>
      </c>
      <c r="BK785" s="77">
        <f>ROUNDUP(tbl_Data[[#This Row],[Adjusted 2034]]/$L785,0)</f>
        <v>3</v>
      </c>
      <c r="BL785" s="80">
        <f t="shared" si="331"/>
        <v>0</v>
      </c>
      <c r="BM785" s="80">
        <f t="shared" si="332"/>
        <v>0</v>
      </c>
      <c r="BN785" s="80">
        <f t="shared" si="333"/>
        <v>0</v>
      </c>
      <c r="BO785" s="80">
        <f t="shared" si="334"/>
        <v>0</v>
      </c>
      <c r="BP785" s="80">
        <f t="shared" si="335"/>
        <v>0</v>
      </c>
      <c r="BQ785" s="80">
        <f t="shared" si="336"/>
        <v>0</v>
      </c>
      <c r="BR785" s="80">
        <f t="shared" si="337"/>
        <v>0</v>
      </c>
      <c r="BS785" s="80">
        <f t="shared" si="338"/>
        <v>0</v>
      </c>
      <c r="BT785" s="80">
        <f t="shared" si="339"/>
        <v>0</v>
      </c>
      <c r="BU785" s="80">
        <f t="shared" si="340"/>
        <v>0</v>
      </c>
      <c r="BV785" s="80" t="str">
        <f>IFERROR(VLOOKUP($H785,'1. Set Program Names'!$B$2:$D$15,3,0)*V785,"NA")</f>
        <v>NA</v>
      </c>
      <c r="BW785" s="80" t="str">
        <f>IFERROR(VLOOKUP($H785,'1. Set Program Names'!$B$2:$D$15,3,0)*W785,"NA")</f>
        <v>NA</v>
      </c>
      <c r="BX785" s="80" t="str">
        <f>IFERROR(VLOOKUP($H785,'1. Set Program Names'!$B$2:$D$15,3,0)*X785,"NA")</f>
        <v>NA</v>
      </c>
      <c r="BY785" s="80" t="str">
        <f>IFERROR(VLOOKUP($H785,'1. Set Program Names'!$B$2:$D$15,3,0)*Y785,"NA")</f>
        <v>NA</v>
      </c>
      <c r="BZ785" s="80" t="str">
        <f>IFERROR(VLOOKUP($H785,'1. Set Program Names'!$B$2:$D$15,3,0)*Z785,"NA")</f>
        <v>NA</v>
      </c>
      <c r="CA785" s="80" t="str">
        <f>IFERROR(VLOOKUP($H785,'1. Set Program Names'!$B$2:$D$15,3,0)*AA785,"NA")</f>
        <v>NA</v>
      </c>
      <c r="CB785" s="80" t="str">
        <f>IFERROR(VLOOKUP($H785,'1. Set Program Names'!$B$2:$D$15,3,0)*AB785,"NA")</f>
        <v>NA</v>
      </c>
      <c r="CC785" s="80" t="str">
        <f>IFERROR(VLOOKUP($H785,'1. Set Program Names'!$B$2:$D$15,3,0)*AC785,"NA")</f>
        <v>NA</v>
      </c>
      <c r="CD785" s="80" t="str">
        <f>IFERROR(VLOOKUP($H785,'1. Set Program Names'!$B$2:$D$15,3,0)*AD785,"NA")</f>
        <v>NA</v>
      </c>
      <c r="CE785" s="80" t="str">
        <f>IFERROR(VLOOKUP($H785,'1. Set Program Names'!$B$2:$D$15,3,0)*AE785,"NA")</f>
        <v>NA</v>
      </c>
    </row>
    <row r="786" spans="1:83" x14ac:dyDescent="0.25">
      <c r="A786" s="79" t="s">
        <v>113</v>
      </c>
      <c r="B786" s="79" t="s">
        <v>88</v>
      </c>
      <c r="C786" s="79" t="s">
        <v>176</v>
      </c>
      <c r="D786" s="79" t="s">
        <v>90</v>
      </c>
      <c r="E786" s="79" t="s">
        <v>91</v>
      </c>
      <c r="F786" s="79" t="s">
        <v>90</v>
      </c>
      <c r="G786" s="79" t="s">
        <v>92</v>
      </c>
      <c r="H786" s="79" t="s">
        <v>268</v>
      </c>
      <c r="I786" s="79" t="s">
        <v>179</v>
      </c>
      <c r="J786" s="79" t="s">
        <v>180</v>
      </c>
      <c r="K786" s="79" t="s">
        <v>98</v>
      </c>
      <c r="L786" s="79">
        <v>2684</v>
      </c>
      <c r="M786" s="79">
        <v>0.32197664062426901</v>
      </c>
      <c r="N786" s="79">
        <v>0.310035778837426</v>
      </c>
      <c r="O786" s="79">
        <v>1119</v>
      </c>
      <c r="P786" s="79">
        <v>579.10793250784297</v>
      </c>
      <c r="Q786" s="79">
        <v>2.6840000000000002</v>
      </c>
      <c r="R786" s="79">
        <v>1432.5808011563199</v>
      </c>
      <c r="S786" s="79">
        <v>4046.00364167834</v>
      </c>
      <c r="T786" s="79">
        <v>30</v>
      </c>
      <c r="U786" s="79">
        <v>1</v>
      </c>
      <c r="V786" s="79">
        <f>tbl_Data_old[[#This Row],[2025 ]]*IFERROR(AVERAGEIFS('Participation Adjustment'!$C:$C,'Participation Adjustment'!$A:$A,$H786,'Participation Adjustment'!$B:$B,$I786),1)</f>
        <v>1520.6752405846701</v>
      </c>
      <c r="W786" s="79">
        <f>tbl_Data_old[[#This Row],[2026 ]]*IFERROR(AVERAGEIFS('Participation Adjustment'!$C:$C,'Participation Adjustment'!$A:$A,$H786,'Participation Adjustment'!$B:$B,$I786),1)</f>
        <v>3628.4883213697099</v>
      </c>
      <c r="X786" s="79">
        <f>tbl_Data_old[[#This Row],[2027 ]]*IFERROR(AVERAGEIFS('Participation Adjustment'!$C:$C,'Participation Adjustment'!$A:$A,$H786,'Participation Adjustment'!$B:$B,$I786),1)</f>
        <v>6396.1297761085298</v>
      </c>
      <c r="Y786" s="79">
        <f>tbl_Data_old[[#This Row],[2028 ]]*IFERROR(AVERAGEIFS('Participation Adjustment'!$C:$C,'Participation Adjustment'!$A:$A,$H786,'Participation Adjustment'!$B:$B,$I786),1)</f>
        <v>9906.4034940782694</v>
      </c>
      <c r="Z786" s="79">
        <f>tbl_Data_old[[#This Row],[2029 ]]*IFERROR(AVERAGEIFS('Participation Adjustment'!$C:$C,'Participation Adjustment'!$A:$A,$H786,'Participation Adjustment'!$B:$B,$I786),1)</f>
        <v>14127.5668955569</v>
      </c>
      <c r="AA786" s="79">
        <f>tbl_Data_old[[#This Row],[2030 ]]*IFERROR(AVERAGEIFS('Participation Adjustment'!$C:$C,'Participation Adjustment'!$A:$A,$H786,'Participation Adjustment'!$B:$B,$I786),1)</f>
        <v>19012.4281354251</v>
      </c>
      <c r="AB786" s="79">
        <f>tbl_Data_old[[#This Row],[2031 ]]*IFERROR(AVERAGEIFS('Participation Adjustment'!$C:$C,'Participation Adjustment'!$A:$A,$H786,'Participation Adjustment'!$B:$B,$I786),1)</f>
        <v>24473.001924695101</v>
      </c>
      <c r="AC786" s="79">
        <f>tbl_Data_old[[#This Row],[2032 ]]*IFERROR(AVERAGEIFS('Participation Adjustment'!$C:$C,'Participation Adjustment'!$A:$A,$H786,'Participation Adjustment'!$B:$B,$I786),1)</f>
        <v>30378.845380779301</v>
      </c>
      <c r="AD786" s="79">
        <f>tbl_Data_old[[#This Row],[2033 ]]*IFERROR(AVERAGEIFS('Participation Adjustment'!$C:$C,'Participation Adjustment'!$A:$A,$H786,'Participation Adjustment'!$B:$B,$I786),1)</f>
        <v>36646.477552881399</v>
      </c>
      <c r="AE786" s="79">
        <f>tbl_Data_old[[#This Row],[2034 ]]*IFERROR(AVERAGEIFS('Participation Adjustment'!$C:$C,'Participation Adjustment'!$A:$A,$H786,'Participation Adjustment'!$B:$B,$I786),1)</f>
        <v>43191.790913880002</v>
      </c>
      <c r="AF786" s="77" t="str">
        <f t="shared" si="330"/>
        <v>NonResidential</v>
      </c>
      <c r="AG786" s="77" t="str">
        <f>tbl_Data[[#This Row],[All_Meas_Name_Append]]</f>
        <v>Energy Efficient Transformers</v>
      </c>
      <c r="AH786" s="77">
        <f>AVERAGEIFS('3. Incentive Adjustment'!G:G,'3. Incentive Adjustment'!A:A,tbl_Data[[#This Row],[Trimmed Sector]],'3. Incentive Adjustment'!B:B,tbl_Data[[#This Row],[Trimmed Measure Name]])</f>
        <v>0.56592396099637965</v>
      </c>
      <c r="AI786" s="77">
        <f>$AH786*tbl_Data[[#This Row],[2025 ]]</f>
        <v>860.58655554079905</v>
      </c>
      <c r="AJ786" s="77">
        <f>$AH786*tbl_Data[[#This Row],[2026 ]]</f>
        <v>2053.4484832586509</v>
      </c>
      <c r="AK786" s="77">
        <f>$AH786*tbl_Data[[#This Row],[2027 ]]</f>
        <v>3619.7230979422261</v>
      </c>
      <c r="AL786" s="77">
        <f>$AH786*tbl_Data[[#This Row],[2028 ]]</f>
        <v>5606.27110459715</v>
      </c>
      <c r="AM786" s="77">
        <f>$AH786*tbl_Data[[#This Row],[2029 ]]</f>
        <v>7995.1286167748876</v>
      </c>
      <c r="AN786" s="77">
        <f>$AH786*tbl_Data[[#This Row],[2030 ]]</f>
        <v>10759.588638558786</v>
      </c>
      <c r="AO786" s="77">
        <f>$AH786*tbl_Data[[#This Row],[2031 ]]</f>
        <v>13849.858186695476</v>
      </c>
      <c r="AP786" s="77">
        <f>$AH786*tbl_Data[[#This Row],[2032 ]]</f>
        <v>17192.116508387193</v>
      </c>
      <c r="AQ786" s="77">
        <f>$AH786*tbl_Data[[#This Row],[2033 ]]</f>
        <v>20739.119733291554</v>
      </c>
      <c r="AR786" s="77">
        <f>$AH786*tbl_Data[[#This Row],[2034 ]]</f>
        <v>24443.269396510412</v>
      </c>
      <c r="AS786" s="77">
        <f>SUM(tbl_Data[[#This Row],[Adjusted 2025]:[Adjusted 2034]])</f>
        <v>107119.11032155715</v>
      </c>
      <c r="AT786" s="80">
        <f>AVERAGEIFS('3. Incentive Adjustment'!F:F,'3. Incentive Adjustment'!A:A,tbl_Data[[#This Row],[Trimmed Sector]],'3. Incentive Adjustment'!B:B,tbl_Data[[#This Row],[Trimmed Measure Name]])</f>
        <v>0</v>
      </c>
      <c r="AU786" s="80">
        <f>IFERROR(VLOOKUP(tbl_Data[[#This Row],[All_Meas_Name_Append]],'IRA Tax Credits'!$A$3:$D$46,4,0),0)</f>
        <v>0</v>
      </c>
      <c r="AV786" s="81">
        <f>tbl_Data[[#This Row],[Adj. per unit Incentive ($)]]/tbl_Data[[#This Row],[kWh Savings]]*tbl_Data[[#This Row],[Sum of Annuals]]</f>
        <v>0</v>
      </c>
      <c r="AW786" s="81" t="str">
        <f>IFERROR(VLOOKUP(tbl_Data[[#This Row],[Column1]],'1. Set Program Names'!$B$2:$D$15,3,0)*tbl_Data[[#This Row],[Sum of Annuals]],"")</f>
        <v/>
      </c>
      <c r="AX786" s="81">
        <f>tbl_Data[[#This Row],[per unit IRA tax ($)]]/tbl_Data[[#This Row],[kWh Savings]]*tbl_Data[[#This Row],[Sum of Annuals]]</f>
        <v>0</v>
      </c>
      <c r="AY786" s="81">
        <f>tbl_Data[[#This Row],[Avoided Costs ($/unit)]]/tbl_Data[[#This Row],[kWh Savings]]*tbl_Data[[#This Row],[Sum of Annuals]]</f>
        <v>57174.657557231207</v>
      </c>
      <c r="AZ786" s="81">
        <f>tbl_Data[[#This Row],[Lost Revenue ($/unit)]]/tbl_Data[[#This Row],[kWh Savings]]*tbl_Data[[#This Row],[Sum of Annuals]]</f>
        <v>161477.0158175723</v>
      </c>
      <c r="BA786" s="81">
        <f>tbl_Data[[#This Row],[Incremental Cost ($/unit)]]/tbl_Data[[#This Row],[kWh Savings]]*tbl_Data[[#This Row],[Sum of Annuals]]</f>
        <v>44659.569467146968</v>
      </c>
      <c r="BB786" s="77">
        <f>ROUNDUP(tbl_Data[[#This Row],[Adjusted 2025]]/$L786,0)</f>
        <v>1</v>
      </c>
      <c r="BC786" s="77">
        <f>ROUNDUP(tbl_Data[[#This Row],[Adjusted 2026]]/$L786,0)</f>
        <v>1</v>
      </c>
      <c r="BD786" s="77">
        <f>ROUNDUP(tbl_Data[[#This Row],[Adjusted 2027]]/$L786,0)</f>
        <v>2</v>
      </c>
      <c r="BE786" s="77">
        <f>ROUNDUP(tbl_Data[[#This Row],[Adjusted 2028]]/$L786,0)</f>
        <v>3</v>
      </c>
      <c r="BF786" s="77">
        <f>ROUNDUP(tbl_Data[[#This Row],[Adjusted 2029]]/$L786,0)</f>
        <v>3</v>
      </c>
      <c r="BG786" s="77">
        <f>ROUNDUP(tbl_Data[[#This Row],[Adjusted 2030]]/$L786,0)</f>
        <v>5</v>
      </c>
      <c r="BH786" s="77">
        <f>ROUNDUP(tbl_Data[[#This Row],[Adjusted 2031]]/$L786,0)</f>
        <v>6</v>
      </c>
      <c r="BI786" s="77">
        <f>ROUNDUP(tbl_Data[[#This Row],[Adjusted 2032]]/$L786,0)</f>
        <v>7</v>
      </c>
      <c r="BJ786" s="77">
        <f>ROUNDUP(tbl_Data[[#This Row],[Adjusted 2033]]/$L786,0)</f>
        <v>8</v>
      </c>
      <c r="BK786" s="77">
        <f>ROUNDUP(tbl_Data[[#This Row],[Adjusted 2034]]/$L786,0)</f>
        <v>10</v>
      </c>
      <c r="BL786" s="80">
        <f t="shared" si="331"/>
        <v>0</v>
      </c>
      <c r="BM786" s="80">
        <f t="shared" si="332"/>
        <v>0</v>
      </c>
      <c r="BN786" s="80">
        <f t="shared" si="333"/>
        <v>0</v>
      </c>
      <c r="BO786" s="80">
        <f t="shared" si="334"/>
        <v>0</v>
      </c>
      <c r="BP786" s="80">
        <f t="shared" si="335"/>
        <v>0</v>
      </c>
      <c r="BQ786" s="80">
        <f t="shared" si="336"/>
        <v>0</v>
      </c>
      <c r="BR786" s="80">
        <f t="shared" si="337"/>
        <v>0</v>
      </c>
      <c r="BS786" s="80">
        <f t="shared" si="338"/>
        <v>0</v>
      </c>
      <c r="BT786" s="80">
        <f t="shared" si="339"/>
        <v>0</v>
      </c>
      <c r="BU786" s="80">
        <f t="shared" si="340"/>
        <v>0</v>
      </c>
      <c r="BV786" s="80" t="str">
        <f>IFERROR(VLOOKUP($H786,'1. Set Program Names'!$B$2:$D$15,3,0)*V786,"NA")</f>
        <v>NA</v>
      </c>
      <c r="BW786" s="80" t="str">
        <f>IFERROR(VLOOKUP($H786,'1. Set Program Names'!$B$2:$D$15,3,0)*W786,"NA")</f>
        <v>NA</v>
      </c>
      <c r="BX786" s="80" t="str">
        <f>IFERROR(VLOOKUP($H786,'1. Set Program Names'!$B$2:$D$15,3,0)*X786,"NA")</f>
        <v>NA</v>
      </c>
      <c r="BY786" s="80" t="str">
        <f>IFERROR(VLOOKUP($H786,'1. Set Program Names'!$B$2:$D$15,3,0)*Y786,"NA")</f>
        <v>NA</v>
      </c>
      <c r="BZ786" s="80" t="str">
        <f>IFERROR(VLOOKUP($H786,'1. Set Program Names'!$B$2:$D$15,3,0)*Z786,"NA")</f>
        <v>NA</v>
      </c>
      <c r="CA786" s="80" t="str">
        <f>IFERROR(VLOOKUP($H786,'1. Set Program Names'!$B$2:$D$15,3,0)*AA786,"NA")</f>
        <v>NA</v>
      </c>
      <c r="CB786" s="80" t="str">
        <f>IFERROR(VLOOKUP($H786,'1. Set Program Names'!$B$2:$D$15,3,0)*AB786,"NA")</f>
        <v>NA</v>
      </c>
      <c r="CC786" s="80" t="str">
        <f>IFERROR(VLOOKUP($H786,'1. Set Program Names'!$B$2:$D$15,3,0)*AC786,"NA")</f>
        <v>NA</v>
      </c>
      <c r="CD786" s="80" t="str">
        <f>IFERROR(VLOOKUP($H786,'1. Set Program Names'!$B$2:$D$15,3,0)*AD786,"NA")</f>
        <v>NA</v>
      </c>
      <c r="CE786" s="80" t="str">
        <f>IFERROR(VLOOKUP($H786,'1. Set Program Names'!$B$2:$D$15,3,0)*AE786,"NA")</f>
        <v>NA</v>
      </c>
    </row>
    <row r="787" spans="1:83" x14ac:dyDescent="0.25">
      <c r="A787" s="79" t="s">
        <v>113</v>
      </c>
      <c r="B787" s="79" t="s">
        <v>88</v>
      </c>
      <c r="C787" s="79" t="s">
        <v>176</v>
      </c>
      <c r="D787" s="79" t="s">
        <v>90</v>
      </c>
      <c r="E787" s="79" t="s">
        <v>91</v>
      </c>
      <c r="F787" s="79" t="s">
        <v>90</v>
      </c>
      <c r="G787" s="79" t="s">
        <v>92</v>
      </c>
      <c r="H787" s="79" t="s">
        <v>268</v>
      </c>
      <c r="I787" s="79" t="s">
        <v>186</v>
      </c>
      <c r="J787" s="79" t="s">
        <v>180</v>
      </c>
      <c r="K787" s="79" t="s">
        <v>102</v>
      </c>
      <c r="L787" s="79">
        <v>27897.5999999999</v>
      </c>
      <c r="M787" s="79">
        <v>3.34663767864367</v>
      </c>
      <c r="N787" s="79">
        <v>3.2225238985450702</v>
      </c>
      <c r="O787" s="79">
        <v>8000</v>
      </c>
      <c r="P787" s="79">
        <v>2762.04801865338</v>
      </c>
      <c r="Q787" s="79">
        <v>27.897599999999901</v>
      </c>
      <c r="R787" s="79">
        <v>11926.089110639999</v>
      </c>
      <c r="S787" s="79">
        <v>29629.215249514</v>
      </c>
      <c r="T787" s="79">
        <v>15</v>
      </c>
      <c r="U787" s="79">
        <v>1</v>
      </c>
      <c r="V787" s="79">
        <f>tbl_Data_old[[#This Row],[2025 ]]*IFERROR(AVERAGEIFS('Participation Adjustment'!$C:$C,'Participation Adjustment'!$A:$A,$H787,'Participation Adjustment'!$B:$B,$I787),1)</f>
        <v>246.588705635108</v>
      </c>
      <c r="W787" s="79">
        <f>tbl_Data_old[[#This Row],[2026 ]]*IFERROR(AVERAGEIFS('Participation Adjustment'!$C:$C,'Participation Adjustment'!$A:$A,$H787,'Participation Adjustment'!$B:$B,$I787),1)</f>
        <v>524.35237448110695</v>
      </c>
      <c r="X787" s="79">
        <f>tbl_Data_old[[#This Row],[2027 ]]*IFERROR(AVERAGEIFS('Participation Adjustment'!$C:$C,'Participation Adjustment'!$A:$A,$H787,'Participation Adjustment'!$B:$B,$I787),1)</f>
        <v>833.33471536801699</v>
      </c>
      <c r="Y787" s="79">
        <f>tbl_Data_old[[#This Row],[2028 ]]*IFERROR(AVERAGEIFS('Participation Adjustment'!$C:$C,'Participation Adjustment'!$A:$A,$H787,'Participation Adjustment'!$B:$B,$I787),1)</f>
        <v>1181.29991912788</v>
      </c>
      <c r="Z787" s="79">
        <f>tbl_Data_old[[#This Row],[2029 ]]*IFERROR(AVERAGEIFS('Participation Adjustment'!$C:$C,'Participation Adjustment'!$A:$A,$H787,'Participation Adjustment'!$B:$B,$I787),1)</f>
        <v>1563.8699034533099</v>
      </c>
      <c r="AA787" s="79">
        <f>tbl_Data_old[[#This Row],[2030 ]]*IFERROR(AVERAGEIFS('Participation Adjustment'!$C:$C,'Participation Adjustment'!$A:$A,$H787,'Participation Adjustment'!$B:$B,$I787),1)</f>
        <v>1985.0075962337201</v>
      </c>
      <c r="AB787" s="79">
        <f>tbl_Data_old[[#This Row],[2031 ]]*IFERROR(AVERAGEIFS('Participation Adjustment'!$C:$C,'Participation Adjustment'!$A:$A,$H787,'Participation Adjustment'!$B:$B,$I787),1)</f>
        <v>2448.0869946222601</v>
      </c>
      <c r="AC787" s="79">
        <f>tbl_Data_old[[#This Row],[2032 ]]*IFERROR(AVERAGEIFS('Participation Adjustment'!$C:$C,'Participation Adjustment'!$A:$A,$H787,'Participation Adjustment'!$B:$B,$I787),1)</f>
        <v>2950.9463515777602</v>
      </c>
      <c r="AD787" s="79">
        <f>tbl_Data_old[[#This Row],[2033 ]]*IFERROR(AVERAGEIFS('Participation Adjustment'!$C:$C,'Participation Adjustment'!$A:$A,$H787,'Participation Adjustment'!$B:$B,$I787),1)</f>
        <v>3498.7952373736298</v>
      </c>
      <c r="AE787" s="79">
        <f>tbl_Data_old[[#This Row],[2034 ]]*IFERROR(AVERAGEIFS('Participation Adjustment'!$C:$C,'Participation Adjustment'!$A:$A,$H787,'Participation Adjustment'!$B:$B,$I787),1)</f>
        <v>4092.2251060398798</v>
      </c>
      <c r="AF787" s="77" t="str">
        <f t="shared" si="330"/>
        <v>NonResidential</v>
      </c>
      <c r="AG787" s="77" t="str">
        <f>tbl_Data[[#This Row],[All_Meas_Name_Append]]</f>
        <v>Grain Bin Aeration Control System</v>
      </c>
      <c r="AH787" s="77">
        <f>AVERAGEIFS('3. Incentive Adjustment'!G:G,'3. Incentive Adjustment'!A:A,tbl_Data[[#This Row],[Trimmed Sector]],'3. Incentive Adjustment'!B:B,tbl_Data[[#This Row],[Trimmed Measure Name]])</f>
        <v>0.77010279279185057</v>
      </c>
      <c r="AI787" s="77">
        <f>$AH787*tbl_Data[[#This Row],[2025 ]]</f>
        <v>189.8986508805242</v>
      </c>
      <c r="AJ787" s="77">
        <f>$AH787*tbl_Data[[#This Row],[2026 ]]</f>
        <v>403.80522799493872</v>
      </c>
      <c r="AK787" s="77">
        <f>$AH787*tbl_Data[[#This Row],[2027 ]]</f>
        <v>641.7533916353118</v>
      </c>
      <c r="AL787" s="77">
        <f>$AH787*tbl_Data[[#This Row],[2028 ]]</f>
        <v>909.72236684516758</v>
      </c>
      <c r="AM787" s="77">
        <f>$AH787*tbl_Data[[#This Row],[2029 ]]</f>
        <v>1204.3405802125158</v>
      </c>
      <c r="AN787" s="77">
        <f>$AH787*tbl_Data[[#This Row],[2030 ]]</f>
        <v>1528.6598935726258</v>
      </c>
      <c r="AO787" s="77">
        <f>$AH787*tbl_Data[[#This Row],[2031 ]]</f>
        <v>1885.2786315560106</v>
      </c>
      <c r="AP787" s="77">
        <f>$AH787*tbl_Data[[#This Row],[2032 ]]</f>
        <v>2272.5320267289553</v>
      </c>
      <c r="AQ787" s="77">
        <f>$AH787*tbl_Data[[#This Row],[2033 ]]</f>
        <v>2694.431983708258</v>
      </c>
      <c r="AR787" s="77">
        <f>$AH787*tbl_Data[[#This Row],[2034 ]]</f>
        <v>3151.4339828942384</v>
      </c>
      <c r="AS787" s="77">
        <f>SUM(tbl_Data[[#This Row],[Adjusted 2025]:[Adjusted 2034]])</f>
        <v>14881.856736028549</v>
      </c>
      <c r="AT787" s="80">
        <f>AVERAGEIFS('3. Incentive Adjustment'!F:F,'3. Incentive Adjustment'!A:A,tbl_Data[[#This Row],[Trimmed Sector]],'3. Incentive Adjustment'!B:B,tbl_Data[[#This Row],[Trimmed Measure Name]])</f>
        <v>0</v>
      </c>
      <c r="AU787" s="80">
        <f>IFERROR(VLOOKUP(tbl_Data[[#This Row],[All_Meas_Name_Append]],'IRA Tax Credits'!$A$3:$D$46,4,0),0)</f>
        <v>0</v>
      </c>
      <c r="AV787" s="81">
        <f>tbl_Data[[#This Row],[Adj. per unit Incentive ($)]]/tbl_Data[[#This Row],[kWh Savings]]*tbl_Data[[#This Row],[Sum of Annuals]]</f>
        <v>0</v>
      </c>
      <c r="AW787" s="81" t="str">
        <f>IFERROR(VLOOKUP(tbl_Data[[#This Row],[Column1]],'1. Set Program Names'!$B$2:$D$15,3,0)*tbl_Data[[#This Row],[Sum of Annuals]],"")</f>
        <v/>
      </c>
      <c r="AX787" s="81">
        <f>tbl_Data[[#This Row],[per unit IRA tax ($)]]/tbl_Data[[#This Row],[kWh Savings]]*tbl_Data[[#This Row],[Sum of Annuals]]</f>
        <v>0</v>
      </c>
      <c r="AY787" s="81">
        <f>tbl_Data[[#This Row],[Avoided Costs ($/unit)]]/tbl_Data[[#This Row],[kWh Savings]]*tbl_Data[[#This Row],[Sum of Annuals]]</f>
        <v>6361.9217984936058</v>
      </c>
      <c r="AZ787" s="81">
        <f>tbl_Data[[#This Row],[Lost Revenue ($/unit)]]/tbl_Data[[#This Row],[kWh Savings]]*tbl_Data[[#This Row],[Sum of Annuals]]</f>
        <v>15805.579567569299</v>
      </c>
      <c r="BA787" s="81">
        <f>tbl_Data[[#This Row],[Incremental Cost ($/unit)]]/tbl_Data[[#This Row],[kWh Savings]]*tbl_Data[[#This Row],[Sum of Annuals]]</f>
        <v>4267.5661665601638</v>
      </c>
      <c r="BB787" s="77">
        <f>ROUNDUP(tbl_Data[[#This Row],[Adjusted 2025]]/$L787,0)</f>
        <v>1</v>
      </c>
      <c r="BC787" s="77">
        <f>ROUNDUP(tbl_Data[[#This Row],[Adjusted 2026]]/$L787,0)</f>
        <v>1</v>
      </c>
      <c r="BD787" s="77">
        <f>ROUNDUP(tbl_Data[[#This Row],[Adjusted 2027]]/$L787,0)</f>
        <v>1</v>
      </c>
      <c r="BE787" s="77">
        <f>ROUNDUP(tbl_Data[[#This Row],[Adjusted 2028]]/$L787,0)</f>
        <v>1</v>
      </c>
      <c r="BF787" s="77">
        <f>ROUNDUP(tbl_Data[[#This Row],[Adjusted 2029]]/$L787,0)</f>
        <v>1</v>
      </c>
      <c r="BG787" s="77">
        <f>ROUNDUP(tbl_Data[[#This Row],[Adjusted 2030]]/$L787,0)</f>
        <v>1</v>
      </c>
      <c r="BH787" s="77">
        <f>ROUNDUP(tbl_Data[[#This Row],[Adjusted 2031]]/$L787,0)</f>
        <v>1</v>
      </c>
      <c r="BI787" s="77">
        <f>ROUNDUP(tbl_Data[[#This Row],[Adjusted 2032]]/$L787,0)</f>
        <v>1</v>
      </c>
      <c r="BJ787" s="77">
        <f>ROUNDUP(tbl_Data[[#This Row],[Adjusted 2033]]/$L787,0)</f>
        <v>1</v>
      </c>
      <c r="BK787" s="77">
        <f>ROUNDUP(tbl_Data[[#This Row],[Adjusted 2034]]/$L787,0)</f>
        <v>1</v>
      </c>
      <c r="BL787" s="80">
        <f t="shared" si="331"/>
        <v>0</v>
      </c>
      <c r="BM787" s="80">
        <f t="shared" si="332"/>
        <v>0</v>
      </c>
      <c r="BN787" s="80">
        <f t="shared" si="333"/>
        <v>0</v>
      </c>
      <c r="BO787" s="80">
        <f t="shared" si="334"/>
        <v>0</v>
      </c>
      <c r="BP787" s="80">
        <f t="shared" si="335"/>
        <v>0</v>
      </c>
      <c r="BQ787" s="80">
        <f t="shared" si="336"/>
        <v>0</v>
      </c>
      <c r="BR787" s="80">
        <f t="shared" si="337"/>
        <v>0</v>
      </c>
      <c r="BS787" s="80">
        <f t="shared" si="338"/>
        <v>0</v>
      </c>
      <c r="BT787" s="80">
        <f t="shared" si="339"/>
        <v>0</v>
      </c>
      <c r="BU787" s="80">
        <f t="shared" si="340"/>
        <v>0</v>
      </c>
      <c r="BV787" s="80" t="str">
        <f>IFERROR(VLOOKUP($H787,'1. Set Program Names'!$B$2:$D$15,3,0)*V787,"NA")</f>
        <v>NA</v>
      </c>
      <c r="BW787" s="80" t="str">
        <f>IFERROR(VLOOKUP($H787,'1. Set Program Names'!$B$2:$D$15,3,0)*W787,"NA")</f>
        <v>NA</v>
      </c>
      <c r="BX787" s="80" t="str">
        <f>IFERROR(VLOOKUP($H787,'1. Set Program Names'!$B$2:$D$15,3,0)*X787,"NA")</f>
        <v>NA</v>
      </c>
      <c r="BY787" s="80" t="str">
        <f>IFERROR(VLOOKUP($H787,'1. Set Program Names'!$B$2:$D$15,3,0)*Y787,"NA")</f>
        <v>NA</v>
      </c>
      <c r="BZ787" s="80" t="str">
        <f>IFERROR(VLOOKUP($H787,'1. Set Program Names'!$B$2:$D$15,3,0)*Z787,"NA")</f>
        <v>NA</v>
      </c>
      <c r="CA787" s="80" t="str">
        <f>IFERROR(VLOOKUP($H787,'1. Set Program Names'!$B$2:$D$15,3,0)*AA787,"NA")</f>
        <v>NA</v>
      </c>
      <c r="CB787" s="80" t="str">
        <f>IFERROR(VLOOKUP($H787,'1. Set Program Names'!$B$2:$D$15,3,0)*AB787,"NA")</f>
        <v>NA</v>
      </c>
      <c r="CC787" s="80" t="str">
        <f>IFERROR(VLOOKUP($H787,'1. Set Program Names'!$B$2:$D$15,3,0)*AC787,"NA")</f>
        <v>NA</v>
      </c>
      <c r="CD787" s="80" t="str">
        <f>IFERROR(VLOOKUP($H787,'1. Set Program Names'!$B$2:$D$15,3,0)*AD787,"NA")</f>
        <v>NA</v>
      </c>
      <c r="CE787" s="80" t="str">
        <f>IFERROR(VLOOKUP($H787,'1. Set Program Names'!$B$2:$D$15,3,0)*AE787,"NA")</f>
        <v>NA</v>
      </c>
    </row>
    <row r="788" spans="1:83" x14ac:dyDescent="0.25">
      <c r="A788" s="79" t="s">
        <v>113</v>
      </c>
      <c r="B788" s="79" t="s">
        <v>88</v>
      </c>
      <c r="C788" s="79" t="s">
        <v>176</v>
      </c>
      <c r="D788" s="79" t="s">
        <v>90</v>
      </c>
      <c r="E788" s="79" t="s">
        <v>91</v>
      </c>
      <c r="F788" s="79" t="s">
        <v>90</v>
      </c>
      <c r="G788" s="79" t="s">
        <v>92</v>
      </c>
      <c r="H788" s="79" t="s">
        <v>268</v>
      </c>
      <c r="I788" s="79" t="s">
        <v>181</v>
      </c>
      <c r="J788" s="79" t="s">
        <v>182</v>
      </c>
      <c r="K788" s="79" t="s">
        <v>98</v>
      </c>
      <c r="L788" s="79">
        <v>21140.159999999902</v>
      </c>
      <c r="M788" s="79">
        <v>2.4928340912459501</v>
      </c>
      <c r="N788" s="79">
        <v>2.4353939910039801</v>
      </c>
      <c r="O788" s="79">
        <v>4269.76</v>
      </c>
      <c r="P788" s="79">
        <v>17.441519984740999</v>
      </c>
      <c r="Q788" s="79">
        <v>21.140159999999899</v>
      </c>
      <c r="R788" s="79">
        <v>7174.5673333962905</v>
      </c>
      <c r="S788" s="79">
        <v>17003.9302734632</v>
      </c>
      <c r="T788" s="79">
        <v>10</v>
      </c>
      <c r="U788" s="79">
        <v>1</v>
      </c>
      <c r="V788" s="79">
        <f>tbl_Data_old[[#This Row],[2025 ]]*IFERROR(AVERAGEIFS('Participation Adjustment'!$C:$C,'Participation Adjustment'!$A:$A,$H788,'Participation Adjustment'!$B:$B,$I788),1)</f>
        <v>6455.5166184284399</v>
      </c>
      <c r="W788" s="79">
        <f>tbl_Data_old[[#This Row],[2026 ]]*IFERROR(AVERAGEIFS('Participation Adjustment'!$C:$C,'Participation Adjustment'!$A:$A,$H788,'Participation Adjustment'!$B:$B,$I788),1)</f>
        <v>13803.611184950199</v>
      </c>
      <c r="X788" s="79">
        <f>tbl_Data_old[[#This Row],[2027 ]]*IFERROR(AVERAGEIFS('Participation Adjustment'!$C:$C,'Participation Adjustment'!$A:$A,$H788,'Participation Adjustment'!$B:$B,$I788),1)</f>
        <v>21930.982640407099</v>
      </c>
      <c r="Y788" s="79">
        <f>tbl_Data_old[[#This Row],[2028 ]]*IFERROR(AVERAGEIFS('Participation Adjustment'!$C:$C,'Participation Adjustment'!$A:$A,$H788,'Participation Adjustment'!$B:$B,$I788),1)</f>
        <v>30831.0471052022</v>
      </c>
      <c r="Z788" s="79">
        <f>tbl_Data_old[[#This Row],[2029 ]]*IFERROR(AVERAGEIFS('Participation Adjustment'!$C:$C,'Participation Adjustment'!$A:$A,$H788,'Participation Adjustment'!$B:$B,$I788),1)</f>
        <v>40401.3675584292</v>
      </c>
      <c r="AA788" s="79">
        <f>tbl_Data_old[[#This Row],[2030 ]]*IFERROR(AVERAGEIFS('Participation Adjustment'!$C:$C,'Participation Adjustment'!$A:$A,$H788,'Participation Adjustment'!$B:$B,$I788),1)</f>
        <v>50596.408905459997</v>
      </c>
      <c r="AB788" s="79">
        <f>tbl_Data_old[[#This Row],[2031 ]]*IFERROR(AVERAGEIFS('Participation Adjustment'!$C:$C,'Participation Adjustment'!$A:$A,$H788,'Participation Adjustment'!$B:$B,$I788),1)</f>
        <v>61379.5586370319</v>
      </c>
      <c r="AC788" s="79">
        <f>tbl_Data_old[[#This Row],[2032 ]]*IFERROR(AVERAGEIFS('Participation Adjustment'!$C:$C,'Participation Adjustment'!$A:$A,$H788,'Participation Adjustment'!$B:$B,$I788),1)</f>
        <v>72696.411586887698</v>
      </c>
      <c r="AD788" s="79">
        <f>tbl_Data_old[[#This Row],[2033 ]]*IFERROR(AVERAGEIFS('Participation Adjustment'!$C:$C,'Participation Adjustment'!$A:$A,$H788,'Participation Adjustment'!$B:$B,$I788),1)</f>
        <v>84536.489074245605</v>
      </c>
      <c r="AE788" s="79">
        <f>tbl_Data_old[[#This Row],[2034 ]]*IFERROR(AVERAGEIFS('Participation Adjustment'!$C:$C,'Participation Adjustment'!$A:$A,$H788,'Participation Adjustment'!$B:$B,$I788),1)</f>
        <v>96872.676399013901</v>
      </c>
      <c r="AF788" s="77" t="str">
        <f t="shared" si="330"/>
        <v>NonResidential</v>
      </c>
      <c r="AG788" s="77" t="str">
        <f>tbl_Data[[#This Row],[All_Meas_Name_Append]]</f>
        <v>High Volume Low Speed Fan (HVLS)</v>
      </c>
      <c r="AH788" s="77">
        <f>AVERAGEIFS('3. Incentive Adjustment'!G:G,'3. Incentive Adjustment'!A:A,tbl_Data[[#This Row],[Trimmed Sector]],'3. Incentive Adjustment'!B:B,tbl_Data[[#This Row],[Trimmed Measure Name]])</f>
        <v>0.99782547587781634</v>
      </c>
      <c r="AI788" s="77">
        <f>$AH788*tbl_Data[[#This Row],[2025 ]]</f>
        <v>6441.47894182051</v>
      </c>
      <c r="AJ788" s="77">
        <f>$AH788*tbl_Data[[#This Row],[2026 ]]</f>
        <v>13773.594899455282</v>
      </c>
      <c r="AK788" s="77">
        <f>$AH788*tbl_Data[[#This Row],[2027 ]]</f>
        <v>21883.293189632343</v>
      </c>
      <c r="AL788" s="77">
        <f>$AH788*tbl_Data[[#This Row],[2028 ]]</f>
        <v>30764.004249559759</v>
      </c>
      <c r="AM788" s="77">
        <f>$AH788*tbl_Data[[#This Row],[2029 ]]</f>
        <v>40313.513810104188</v>
      </c>
      <c r="AN788" s="77">
        <f>$AH788*tbl_Data[[#This Row],[2030 ]]</f>
        <v>50486.385793799207</v>
      </c>
      <c r="AO788" s="77">
        <f>$AH788*tbl_Data[[#This Row],[2031 ]]</f>
        <v>61246.087306166686</v>
      </c>
      <c r="AP788" s="77">
        <f>$AH788*tbl_Data[[#This Row],[2032 ]]</f>
        <v>72538.331486295821</v>
      </c>
      <c r="AQ788" s="77">
        <f>$AH788*tbl_Data[[#This Row],[2033 ]]</f>
        <v>84352.662439548949</v>
      </c>
      <c r="AR788" s="77">
        <f>$AH788*tbl_Data[[#This Row],[2034 ]]</f>
        <v>96662.024427403754</v>
      </c>
      <c r="AS788" s="77">
        <f>SUM(tbl_Data[[#This Row],[Adjusted 2025]:[Adjusted 2034]])</f>
        <v>478461.37654378649</v>
      </c>
      <c r="AT788" s="80">
        <f>AVERAGEIFS('3. Incentive Adjustment'!F:F,'3. Incentive Adjustment'!A:A,tbl_Data[[#This Row],[Trimmed Sector]],'3. Incentive Adjustment'!B:B,tbl_Data[[#This Row],[Trimmed Measure Name]])</f>
        <v>0</v>
      </c>
      <c r="AU788" s="80">
        <f>IFERROR(VLOOKUP(tbl_Data[[#This Row],[All_Meas_Name_Append]],'IRA Tax Credits'!$A$3:$D$46,4,0),0)</f>
        <v>0</v>
      </c>
      <c r="AV788" s="81">
        <f>tbl_Data[[#This Row],[Adj. per unit Incentive ($)]]/tbl_Data[[#This Row],[kWh Savings]]*tbl_Data[[#This Row],[Sum of Annuals]]</f>
        <v>0</v>
      </c>
      <c r="AW788" s="81" t="str">
        <f>IFERROR(VLOOKUP(tbl_Data[[#This Row],[Column1]],'1. Set Program Names'!$B$2:$D$15,3,0)*tbl_Data[[#This Row],[Sum of Annuals]],"")</f>
        <v/>
      </c>
      <c r="AX788" s="81">
        <f>tbl_Data[[#This Row],[per unit IRA tax ($)]]/tbl_Data[[#This Row],[kWh Savings]]*tbl_Data[[#This Row],[Sum of Annuals]]</f>
        <v>0</v>
      </c>
      <c r="AY788" s="81">
        <f>tbl_Data[[#This Row],[Avoided Costs ($/unit)]]/tbl_Data[[#This Row],[kWh Savings]]*tbl_Data[[#This Row],[Sum of Annuals]]</f>
        <v>162380.67083895716</v>
      </c>
      <c r="AZ788" s="81">
        <f>tbl_Data[[#This Row],[Lost Revenue ($/unit)]]/tbl_Data[[#This Row],[kWh Savings]]*tbl_Data[[#This Row],[Sum of Annuals]]</f>
        <v>384846.84530750022</v>
      </c>
      <c r="BA788" s="81">
        <f>tbl_Data[[#This Row],[Incremental Cost ($/unit)]]/tbl_Data[[#This Row],[kWh Savings]]*tbl_Data[[#This Row],[Sum of Annuals]]</f>
        <v>96636.697504257652</v>
      </c>
      <c r="BB788" s="77">
        <f>ROUNDUP(tbl_Data[[#This Row],[Adjusted 2025]]/$L788,0)</f>
        <v>1</v>
      </c>
      <c r="BC788" s="77">
        <f>ROUNDUP(tbl_Data[[#This Row],[Adjusted 2026]]/$L788,0)</f>
        <v>1</v>
      </c>
      <c r="BD788" s="77">
        <f>ROUNDUP(tbl_Data[[#This Row],[Adjusted 2027]]/$L788,0)</f>
        <v>2</v>
      </c>
      <c r="BE788" s="77">
        <f>ROUNDUP(tbl_Data[[#This Row],[Adjusted 2028]]/$L788,0)</f>
        <v>2</v>
      </c>
      <c r="BF788" s="77">
        <f>ROUNDUP(tbl_Data[[#This Row],[Adjusted 2029]]/$L788,0)</f>
        <v>2</v>
      </c>
      <c r="BG788" s="77">
        <f>ROUNDUP(tbl_Data[[#This Row],[Adjusted 2030]]/$L788,0)</f>
        <v>3</v>
      </c>
      <c r="BH788" s="77">
        <f>ROUNDUP(tbl_Data[[#This Row],[Adjusted 2031]]/$L788,0)</f>
        <v>3</v>
      </c>
      <c r="BI788" s="77">
        <f>ROUNDUP(tbl_Data[[#This Row],[Adjusted 2032]]/$L788,0)</f>
        <v>4</v>
      </c>
      <c r="BJ788" s="77">
        <f>ROUNDUP(tbl_Data[[#This Row],[Adjusted 2033]]/$L788,0)</f>
        <v>4</v>
      </c>
      <c r="BK788" s="77">
        <f>ROUNDUP(tbl_Data[[#This Row],[Adjusted 2034]]/$L788,0)</f>
        <v>5</v>
      </c>
      <c r="BL788" s="80">
        <f t="shared" si="331"/>
        <v>0</v>
      </c>
      <c r="BM788" s="80">
        <f t="shared" si="332"/>
        <v>0</v>
      </c>
      <c r="BN788" s="80">
        <f t="shared" si="333"/>
        <v>0</v>
      </c>
      <c r="BO788" s="80">
        <f t="shared" si="334"/>
        <v>0</v>
      </c>
      <c r="BP788" s="80">
        <f t="shared" si="335"/>
        <v>0</v>
      </c>
      <c r="BQ788" s="80">
        <f t="shared" si="336"/>
        <v>0</v>
      </c>
      <c r="BR788" s="80">
        <f t="shared" si="337"/>
        <v>0</v>
      </c>
      <c r="BS788" s="80">
        <f t="shared" si="338"/>
        <v>0</v>
      </c>
      <c r="BT788" s="80">
        <f t="shared" si="339"/>
        <v>0</v>
      </c>
      <c r="BU788" s="80">
        <f t="shared" si="340"/>
        <v>0</v>
      </c>
      <c r="BV788" s="80" t="str">
        <f>IFERROR(VLOOKUP($H788,'1. Set Program Names'!$B$2:$D$15,3,0)*V788,"NA")</f>
        <v>NA</v>
      </c>
      <c r="BW788" s="80" t="str">
        <f>IFERROR(VLOOKUP($H788,'1. Set Program Names'!$B$2:$D$15,3,0)*W788,"NA")</f>
        <v>NA</v>
      </c>
      <c r="BX788" s="80" t="str">
        <f>IFERROR(VLOOKUP($H788,'1. Set Program Names'!$B$2:$D$15,3,0)*X788,"NA")</f>
        <v>NA</v>
      </c>
      <c r="BY788" s="80" t="str">
        <f>IFERROR(VLOOKUP($H788,'1. Set Program Names'!$B$2:$D$15,3,0)*Y788,"NA")</f>
        <v>NA</v>
      </c>
      <c r="BZ788" s="80" t="str">
        <f>IFERROR(VLOOKUP($H788,'1. Set Program Names'!$B$2:$D$15,3,0)*Z788,"NA")</f>
        <v>NA</v>
      </c>
      <c r="CA788" s="80" t="str">
        <f>IFERROR(VLOOKUP($H788,'1. Set Program Names'!$B$2:$D$15,3,0)*AA788,"NA")</f>
        <v>NA</v>
      </c>
      <c r="CB788" s="80" t="str">
        <f>IFERROR(VLOOKUP($H788,'1. Set Program Names'!$B$2:$D$15,3,0)*AB788,"NA")</f>
        <v>NA</v>
      </c>
      <c r="CC788" s="80" t="str">
        <f>IFERROR(VLOOKUP($H788,'1. Set Program Names'!$B$2:$D$15,3,0)*AC788,"NA")</f>
        <v>NA</v>
      </c>
      <c r="CD788" s="80" t="str">
        <f>IFERROR(VLOOKUP($H788,'1. Set Program Names'!$B$2:$D$15,3,0)*AD788,"NA")</f>
        <v>NA</v>
      </c>
      <c r="CE788" s="80" t="str">
        <f>IFERROR(VLOOKUP($H788,'1. Set Program Names'!$B$2:$D$15,3,0)*AE788,"NA")</f>
        <v>NA</v>
      </c>
    </row>
    <row r="789" spans="1:83" x14ac:dyDescent="0.25">
      <c r="A789" s="79" t="s">
        <v>113</v>
      </c>
      <c r="B789" s="79" t="s">
        <v>88</v>
      </c>
      <c r="C789" s="79" t="s">
        <v>176</v>
      </c>
      <c r="D789" s="79" t="s">
        <v>90</v>
      </c>
      <c r="E789" s="79" t="s">
        <v>91</v>
      </c>
      <c r="F789" s="79" t="s">
        <v>90</v>
      </c>
      <c r="G789" s="79" t="s">
        <v>92</v>
      </c>
      <c r="H789" s="79" t="s">
        <v>268</v>
      </c>
      <c r="I789" s="79" t="s">
        <v>183</v>
      </c>
      <c r="J789" s="79" t="s">
        <v>178</v>
      </c>
      <c r="K789" s="79" t="s">
        <v>130</v>
      </c>
      <c r="L789" s="79">
        <v>113444.97999999901</v>
      </c>
      <c r="M789" s="79">
        <v>13.5911727914499</v>
      </c>
      <c r="N789" s="79">
        <v>13.0925103405659</v>
      </c>
      <c r="O789" s="79">
        <v>42343.199999999997</v>
      </c>
      <c r="P789" s="79">
        <v>19818.792281260001</v>
      </c>
      <c r="Q789" s="79">
        <v>113.44497999999901</v>
      </c>
      <c r="R789" s="79">
        <v>54449.419529642699</v>
      </c>
      <c r="S789" s="79">
        <v>142371.22131797599</v>
      </c>
      <c r="T789" s="79">
        <v>20</v>
      </c>
      <c r="U789" s="79">
        <v>1</v>
      </c>
      <c r="V789" s="79">
        <f>tbl_Data_old[[#This Row],[2025 ]]*IFERROR(AVERAGEIFS('Participation Adjustment'!$C:$C,'Participation Adjustment'!$A:$A,$H789,'Participation Adjustment'!$B:$B,$I789),1)</f>
        <v>773.44617177048201</v>
      </c>
      <c r="W789" s="79">
        <f>tbl_Data_old[[#This Row],[2026 ]]*IFERROR(AVERAGEIFS('Participation Adjustment'!$C:$C,'Participation Adjustment'!$A:$A,$H789,'Participation Adjustment'!$B:$B,$I789),1)</f>
        <v>1532.8304555577399</v>
      </c>
      <c r="X789" s="79">
        <f>tbl_Data_old[[#This Row],[2027 ]]*IFERROR(AVERAGEIFS('Participation Adjustment'!$C:$C,'Participation Adjustment'!$A:$A,$H789,'Participation Adjustment'!$B:$B,$I789),1)</f>
        <v>2271.50328607546</v>
      </c>
      <c r="Y789" s="79">
        <f>tbl_Data_old[[#This Row],[2028 ]]*IFERROR(AVERAGEIFS('Participation Adjustment'!$C:$C,'Participation Adjustment'!$A:$A,$H789,'Participation Adjustment'!$B:$B,$I789),1)</f>
        <v>2989.0647003058698</v>
      </c>
      <c r="Z789" s="79">
        <f>tbl_Data_old[[#This Row],[2029 ]]*IFERROR(AVERAGEIFS('Participation Adjustment'!$C:$C,'Participation Adjustment'!$A:$A,$H789,'Participation Adjustment'!$B:$B,$I789),1)</f>
        <v>3686.4258247048901</v>
      </c>
      <c r="AA789" s="79">
        <f>tbl_Data_old[[#This Row],[2030 ]]*IFERROR(AVERAGEIFS('Participation Adjustment'!$C:$C,'Participation Adjustment'!$A:$A,$H789,'Participation Adjustment'!$B:$B,$I789),1)</f>
        <v>4361.8194991198197</v>
      </c>
      <c r="AB789" s="79">
        <f>tbl_Data_old[[#This Row],[2031 ]]*IFERROR(AVERAGEIFS('Participation Adjustment'!$C:$C,'Participation Adjustment'!$A:$A,$H789,'Participation Adjustment'!$B:$B,$I789),1)</f>
        <v>5014.9929139493797</v>
      </c>
      <c r="AC789" s="79">
        <f>tbl_Data_old[[#This Row],[2032 ]]*IFERROR(AVERAGEIFS('Participation Adjustment'!$C:$C,'Participation Adjustment'!$A:$A,$H789,'Participation Adjustment'!$B:$B,$I789),1)</f>
        <v>5647.2158362144</v>
      </c>
      <c r="AD789" s="79">
        <f>tbl_Data_old[[#This Row],[2033 ]]*IFERROR(AVERAGEIFS('Participation Adjustment'!$C:$C,'Participation Adjustment'!$A:$A,$H789,'Participation Adjustment'!$B:$B,$I789),1)</f>
        <v>6258.4305606604903</v>
      </c>
      <c r="AE789" s="79">
        <f>tbl_Data_old[[#This Row],[2034 ]]*IFERROR(AVERAGEIFS('Participation Adjustment'!$C:$C,'Participation Adjustment'!$A:$A,$H789,'Participation Adjustment'!$B:$B,$I789),1)</f>
        <v>6849.3335920008103</v>
      </c>
      <c r="AF789" s="77" t="str">
        <f t="shared" si="330"/>
        <v>NonResidential</v>
      </c>
      <c r="AG789" s="77" t="str">
        <f>tbl_Data[[#This Row],[All_Meas_Name_Append]]</f>
        <v>Industrial Duct Sealing</v>
      </c>
      <c r="AH789" s="77">
        <f>AVERAGEIFS('3. Incentive Adjustment'!G:G,'3. Incentive Adjustment'!A:A,tbl_Data[[#This Row],[Trimmed Sector]],'3. Incentive Adjustment'!B:B,tbl_Data[[#This Row],[Trimmed Measure Name]])</f>
        <v>0.63068496474049041</v>
      </c>
      <c r="AI789" s="77">
        <f>$AH789*tbl_Data[[#This Row],[2025 ]]</f>
        <v>487.80087157173375</v>
      </c>
      <c r="AJ789" s="77">
        <f>$AH789*tbl_Data[[#This Row],[2026 ]]</f>
        <v>966.73312181658309</v>
      </c>
      <c r="AK789" s="77">
        <f>$AH789*tbl_Data[[#This Row],[2027 ]]</f>
        <v>1432.6029698864095</v>
      </c>
      <c r="AL789" s="77">
        <f>$AH789*tbl_Data[[#This Row],[2028 ]]</f>
        <v>1885.158165119452</v>
      </c>
      <c r="AM789" s="77">
        <f>$AH789*tbl_Data[[#This Row],[2029 ]]</f>
        <v>2324.9733412724368</v>
      </c>
      <c r="AN789" s="77">
        <f>$AH789*tbl_Data[[#This Row],[2030 ]]</f>
        <v>2750.9339770067672</v>
      </c>
      <c r="AO789" s="77">
        <f>$AH789*tbl_Data[[#This Row],[2031 ]]</f>
        <v>3162.8806291079736</v>
      </c>
      <c r="AP789" s="77">
        <f>$AH789*tbl_Data[[#This Row],[2032 ]]</f>
        <v>3561.614120544818</v>
      </c>
      <c r="AQ789" s="77">
        <f>$AH789*tbl_Data[[#This Row],[2033 ]]</f>
        <v>3947.0980574809691</v>
      </c>
      <c r="AR789" s="77">
        <f>$AH789*tbl_Data[[#This Row],[2034 ]]</f>
        <v>4319.7717149668879</v>
      </c>
      <c r="AS789" s="77">
        <f>SUM(tbl_Data[[#This Row],[Adjusted 2025]:[Adjusted 2034]])</f>
        <v>24839.56696877403</v>
      </c>
      <c r="AT789" s="80">
        <f>AVERAGEIFS('3. Incentive Adjustment'!F:F,'3. Incentive Adjustment'!A:A,tbl_Data[[#This Row],[Trimmed Sector]],'3. Incentive Adjustment'!B:B,tbl_Data[[#This Row],[Trimmed Measure Name]])</f>
        <v>0</v>
      </c>
      <c r="AU789" s="80">
        <f>IFERROR(VLOOKUP(tbl_Data[[#This Row],[All_Meas_Name_Append]],'IRA Tax Credits'!$A$3:$D$46,4,0),0)</f>
        <v>0</v>
      </c>
      <c r="AV789" s="81">
        <f>tbl_Data[[#This Row],[Adj. per unit Incentive ($)]]/tbl_Data[[#This Row],[kWh Savings]]*tbl_Data[[#This Row],[Sum of Annuals]]</f>
        <v>0</v>
      </c>
      <c r="AW789" s="81" t="str">
        <f>IFERROR(VLOOKUP(tbl_Data[[#This Row],[Column1]],'1. Set Program Names'!$B$2:$D$15,3,0)*tbl_Data[[#This Row],[Sum of Annuals]],"")</f>
        <v/>
      </c>
      <c r="AX789" s="81">
        <f>tbl_Data[[#This Row],[per unit IRA tax ($)]]/tbl_Data[[#This Row],[kWh Savings]]*tbl_Data[[#This Row],[Sum of Annuals]]</f>
        <v>0</v>
      </c>
      <c r="AY789" s="81">
        <f>tbl_Data[[#This Row],[Avoided Costs ($/unit)]]/tbl_Data[[#This Row],[kWh Savings]]*tbl_Data[[#This Row],[Sum of Annuals]]</f>
        <v>11922.078903953654</v>
      </c>
      <c r="AZ789" s="81">
        <f>tbl_Data[[#This Row],[Lost Revenue ($/unit)]]/tbl_Data[[#This Row],[kWh Savings]]*tbl_Data[[#This Row],[Sum of Annuals]]</f>
        <v>31173.168582285831</v>
      </c>
      <c r="BA789" s="81">
        <f>tbl_Data[[#This Row],[Incremental Cost ($/unit)]]/tbl_Data[[#This Row],[kWh Savings]]*tbl_Data[[#This Row],[Sum of Annuals]]</f>
        <v>9271.3379831544917</v>
      </c>
      <c r="BB789" s="77">
        <f>ROUNDUP(tbl_Data[[#This Row],[Adjusted 2025]]/$L789,0)</f>
        <v>1</v>
      </c>
      <c r="BC789" s="77">
        <f>ROUNDUP(tbl_Data[[#This Row],[Adjusted 2026]]/$L789,0)</f>
        <v>1</v>
      </c>
      <c r="BD789" s="77">
        <f>ROUNDUP(tbl_Data[[#This Row],[Adjusted 2027]]/$L789,0)</f>
        <v>1</v>
      </c>
      <c r="BE789" s="77">
        <f>ROUNDUP(tbl_Data[[#This Row],[Adjusted 2028]]/$L789,0)</f>
        <v>1</v>
      </c>
      <c r="BF789" s="77">
        <f>ROUNDUP(tbl_Data[[#This Row],[Adjusted 2029]]/$L789,0)</f>
        <v>1</v>
      </c>
      <c r="BG789" s="77">
        <f>ROUNDUP(tbl_Data[[#This Row],[Adjusted 2030]]/$L789,0)</f>
        <v>1</v>
      </c>
      <c r="BH789" s="77">
        <f>ROUNDUP(tbl_Data[[#This Row],[Adjusted 2031]]/$L789,0)</f>
        <v>1</v>
      </c>
      <c r="BI789" s="77">
        <f>ROUNDUP(tbl_Data[[#This Row],[Adjusted 2032]]/$L789,0)</f>
        <v>1</v>
      </c>
      <c r="BJ789" s="77">
        <f>ROUNDUP(tbl_Data[[#This Row],[Adjusted 2033]]/$L789,0)</f>
        <v>1</v>
      </c>
      <c r="BK789" s="77">
        <f>ROUNDUP(tbl_Data[[#This Row],[Adjusted 2034]]/$L789,0)</f>
        <v>1</v>
      </c>
      <c r="BL789" s="80">
        <f t="shared" si="331"/>
        <v>0</v>
      </c>
      <c r="BM789" s="80">
        <f t="shared" si="332"/>
        <v>0</v>
      </c>
      <c r="BN789" s="80">
        <f t="shared" si="333"/>
        <v>0</v>
      </c>
      <c r="BO789" s="80">
        <f t="shared" si="334"/>
        <v>0</v>
      </c>
      <c r="BP789" s="80">
        <f t="shared" si="335"/>
        <v>0</v>
      </c>
      <c r="BQ789" s="80">
        <f t="shared" si="336"/>
        <v>0</v>
      </c>
      <c r="BR789" s="80">
        <f t="shared" si="337"/>
        <v>0</v>
      </c>
      <c r="BS789" s="80">
        <f t="shared" si="338"/>
        <v>0</v>
      </c>
      <c r="BT789" s="80">
        <f t="shared" si="339"/>
        <v>0</v>
      </c>
      <c r="BU789" s="80">
        <f t="shared" si="340"/>
        <v>0</v>
      </c>
      <c r="BV789" s="80" t="str">
        <f>IFERROR(VLOOKUP($H789,'1. Set Program Names'!$B$2:$D$15,3,0)*V789,"NA")</f>
        <v>NA</v>
      </c>
      <c r="BW789" s="80" t="str">
        <f>IFERROR(VLOOKUP($H789,'1. Set Program Names'!$B$2:$D$15,3,0)*W789,"NA")</f>
        <v>NA</v>
      </c>
      <c r="BX789" s="80" t="str">
        <f>IFERROR(VLOOKUP($H789,'1. Set Program Names'!$B$2:$D$15,3,0)*X789,"NA")</f>
        <v>NA</v>
      </c>
      <c r="BY789" s="80" t="str">
        <f>IFERROR(VLOOKUP($H789,'1. Set Program Names'!$B$2:$D$15,3,0)*Y789,"NA")</f>
        <v>NA</v>
      </c>
      <c r="BZ789" s="80" t="str">
        <f>IFERROR(VLOOKUP($H789,'1. Set Program Names'!$B$2:$D$15,3,0)*Z789,"NA")</f>
        <v>NA</v>
      </c>
      <c r="CA789" s="80" t="str">
        <f>IFERROR(VLOOKUP($H789,'1. Set Program Names'!$B$2:$D$15,3,0)*AA789,"NA")</f>
        <v>NA</v>
      </c>
      <c r="CB789" s="80" t="str">
        <f>IFERROR(VLOOKUP($H789,'1. Set Program Names'!$B$2:$D$15,3,0)*AB789,"NA")</f>
        <v>NA</v>
      </c>
      <c r="CC789" s="80" t="str">
        <f>IFERROR(VLOOKUP($H789,'1. Set Program Names'!$B$2:$D$15,3,0)*AC789,"NA")</f>
        <v>NA</v>
      </c>
      <c r="CD789" s="80" t="str">
        <f>IFERROR(VLOOKUP($H789,'1. Set Program Names'!$B$2:$D$15,3,0)*AD789,"NA")</f>
        <v>NA</v>
      </c>
      <c r="CE789" s="80" t="str">
        <f>IFERROR(VLOOKUP($H789,'1. Set Program Names'!$B$2:$D$15,3,0)*AE789,"NA")</f>
        <v>NA</v>
      </c>
    </row>
    <row r="790" spans="1:83" x14ac:dyDescent="0.25">
      <c r="A790" s="79" t="s">
        <v>113</v>
      </c>
      <c r="B790" s="79" t="s">
        <v>88</v>
      </c>
      <c r="C790" s="79" t="s">
        <v>176</v>
      </c>
      <c r="D790" s="79" t="s">
        <v>90</v>
      </c>
      <c r="E790" s="79" t="s">
        <v>91</v>
      </c>
      <c r="F790" s="79" t="s">
        <v>90</v>
      </c>
      <c r="G790" s="79" t="s">
        <v>92</v>
      </c>
      <c r="H790" s="79" t="s">
        <v>268</v>
      </c>
      <c r="I790" s="79" t="s">
        <v>270</v>
      </c>
      <c r="J790" s="79" t="s">
        <v>191</v>
      </c>
      <c r="K790" s="79" t="s">
        <v>98</v>
      </c>
      <c r="L790" s="79">
        <v>2628</v>
      </c>
      <c r="M790" s="79">
        <v>0.31001938633530801</v>
      </c>
      <c r="N790" s="79">
        <v>0.30291717485841702</v>
      </c>
      <c r="O790" s="79">
        <v>810.229999999999</v>
      </c>
      <c r="P790" s="79">
        <v>281.60244658368498</v>
      </c>
      <c r="Q790" s="79">
        <v>2.6280000000000001</v>
      </c>
      <c r="R790" s="79">
        <v>891.847172411815</v>
      </c>
      <c r="S790" s="79">
        <v>2113.8122303076898</v>
      </c>
      <c r="T790" s="79">
        <v>10</v>
      </c>
      <c r="U790" s="79">
        <v>1</v>
      </c>
      <c r="V790" s="79">
        <f>tbl_Data_old[[#This Row],[2025 ]]*IFERROR(AVERAGEIFS('Participation Adjustment'!$C:$C,'Participation Adjustment'!$A:$A,$H790,'Participation Adjustment'!$B:$B,$I790),1)</f>
        <v>17757.925645048901</v>
      </c>
      <c r="W790" s="79">
        <f>tbl_Data_old[[#This Row],[2026 ]]*IFERROR(AVERAGEIFS('Participation Adjustment'!$C:$C,'Participation Adjustment'!$A:$A,$H790,'Participation Adjustment'!$B:$B,$I790),1)</f>
        <v>42372.603277349997</v>
      </c>
      <c r="X790" s="79">
        <f>tbl_Data_old[[#This Row],[2027 ]]*IFERROR(AVERAGEIFS('Participation Adjustment'!$C:$C,'Participation Adjustment'!$A:$A,$H790,'Participation Adjustment'!$B:$B,$I790),1)</f>
        <v>74698.228658602893</v>
      </c>
      <c r="Y790" s="79">
        <f>tbl_Data_old[[#This Row],[2028 ]]*IFERROR(AVERAGEIFS('Participation Adjustment'!$C:$C,'Participation Adjustment'!$A:$A,$H790,'Participation Adjustment'!$B:$B,$I790),1)</f>
        <v>115556.76129289001</v>
      </c>
      <c r="Z790" s="79">
        <f>tbl_Data_old[[#This Row],[2029 ]]*IFERROR(AVERAGEIFS('Participation Adjustment'!$C:$C,'Participation Adjustment'!$A:$A,$H790,'Participation Adjustment'!$B:$B,$I790),1)</f>
        <v>164754.11236173401</v>
      </c>
      <c r="AA790" s="79">
        <f>tbl_Data_old[[#This Row],[2030 ]]*IFERROR(AVERAGEIFS('Participation Adjustment'!$C:$C,'Participation Adjustment'!$A:$A,$H790,'Participation Adjustment'!$B:$B,$I790),1)</f>
        <v>221663.04041933699</v>
      </c>
      <c r="AB790" s="79">
        <f>tbl_Data_old[[#This Row],[2031 ]]*IFERROR(AVERAGEIFS('Participation Adjustment'!$C:$C,'Participation Adjustment'!$A:$A,$H790,'Participation Adjustment'!$B:$B,$I790),1)</f>
        <v>285204.11791896803</v>
      </c>
      <c r="AC790" s="79">
        <f>tbl_Data_old[[#This Row],[2032 ]]*IFERROR(AVERAGEIFS('Participation Adjustment'!$C:$C,'Participation Adjustment'!$A:$A,$H790,'Participation Adjustment'!$B:$B,$I790),1)</f>
        <v>353981.50229925697</v>
      </c>
      <c r="AD790" s="79">
        <f>tbl_Data_old[[#This Row],[2033 ]]*IFERROR(AVERAGEIFS('Participation Adjustment'!$C:$C,'Participation Adjustment'!$A:$A,$H790,'Participation Adjustment'!$B:$B,$I790),1)</f>
        <v>426908.20210342301</v>
      </c>
      <c r="AE790" s="79">
        <f>tbl_Data_old[[#This Row],[2034 ]]*IFERROR(AVERAGEIFS('Participation Adjustment'!$C:$C,'Participation Adjustment'!$A:$A,$H790,'Participation Adjustment'!$B:$B,$I790),1)</f>
        <v>503019.675253361</v>
      </c>
      <c r="AF790" s="77" t="str">
        <f t="shared" si="330"/>
        <v>NonResidential</v>
      </c>
      <c r="AG790" s="77" t="str">
        <f>tbl_Data[[#This Row],[All_Meas_Name_Append]]</f>
        <v>Low Energy Livestock Waterer</v>
      </c>
      <c r="AH790" s="77">
        <f>AVERAGEIFS('3. Incentive Adjustment'!G:G,'3. Incentive Adjustment'!A:A,tbl_Data[[#This Row],[Trimmed Sector]],'3. Incentive Adjustment'!B:B,tbl_Data[[#This Row],[Trimmed Measure Name]])</f>
        <v>0.7537232854794027</v>
      </c>
      <c r="AI790" s="77">
        <f>$AH790*tbl_Data[[#This Row],[2025 ]]</f>
        <v>13384.562060485199</v>
      </c>
      <c r="AJ790" s="77">
        <f>$AH790*tbl_Data[[#This Row],[2026 ]]</f>
        <v>31937.217756519545</v>
      </c>
      <c r="AK790" s="77">
        <f>$AH790*tbl_Data[[#This Row],[2027 ]]</f>
        <v>56301.794324053852</v>
      </c>
      <c r="AL790" s="77">
        <f>$AH790*tbl_Data[[#This Row],[2028 ]]</f>
        <v>87097.821781036124</v>
      </c>
      <c r="AM790" s="77">
        <f>$AH790*tbl_Data[[#This Row],[2029 ]]</f>
        <v>124179.01086552883</v>
      </c>
      <c r="AN790" s="77">
        <f>$AH790*tbl_Data[[#This Row],[2030 ]]</f>
        <v>167072.59509421632</v>
      </c>
      <c r="AO790" s="77">
        <f>$AH790*tbl_Data[[#This Row],[2031 ]]</f>
        <v>214964.98479013957</v>
      </c>
      <c r="AP790" s="77">
        <f>$AH790*tbl_Data[[#This Row],[2032 ]]</f>
        <v>266804.10091193073</v>
      </c>
      <c r="AQ790" s="77">
        <f>$AH790*tbl_Data[[#This Row],[2033 ]]</f>
        <v>321770.65268749685</v>
      </c>
      <c r="AR790" s="77">
        <f>$AH790*tbl_Data[[#This Row],[2034 ]]</f>
        <v>379137.64229274547</v>
      </c>
      <c r="AS790" s="77">
        <f>SUM(tbl_Data[[#This Row],[Adjusted 2025]:[Adjusted 2034]])</f>
        <v>1662650.3825641526</v>
      </c>
      <c r="AT790" s="80">
        <f>AVERAGEIFS('3. Incentive Adjustment'!F:F,'3. Incentive Adjustment'!A:A,tbl_Data[[#This Row],[Trimmed Sector]],'3. Incentive Adjustment'!B:B,tbl_Data[[#This Row],[Trimmed Measure Name]])</f>
        <v>0</v>
      </c>
      <c r="AU790" s="80">
        <f>IFERROR(VLOOKUP(tbl_Data[[#This Row],[All_Meas_Name_Append]],'IRA Tax Credits'!$A$3:$D$46,4,0),0)</f>
        <v>0</v>
      </c>
      <c r="AV790" s="81">
        <f>tbl_Data[[#This Row],[Adj. per unit Incentive ($)]]/tbl_Data[[#This Row],[kWh Savings]]*tbl_Data[[#This Row],[Sum of Annuals]]</f>
        <v>0</v>
      </c>
      <c r="AW790" s="81" t="str">
        <f>IFERROR(VLOOKUP(tbl_Data[[#This Row],[Column1]],'1. Set Program Names'!$B$2:$D$15,3,0)*tbl_Data[[#This Row],[Sum of Annuals]],"")</f>
        <v/>
      </c>
      <c r="AX790" s="81">
        <f>tbl_Data[[#This Row],[per unit IRA tax ($)]]/tbl_Data[[#This Row],[kWh Savings]]*tbl_Data[[#This Row],[Sum of Annuals]]</f>
        <v>0</v>
      </c>
      <c r="AY790" s="81">
        <f>tbl_Data[[#This Row],[Avoided Costs ($/unit)]]/tbl_Data[[#This Row],[kWh Savings]]*tbl_Data[[#This Row],[Sum of Annuals]]</f>
        <v>564242.78630108899</v>
      </c>
      <c r="AZ790" s="81">
        <f>tbl_Data[[#This Row],[Lost Revenue ($/unit)]]/tbl_Data[[#This Row],[kWh Savings]]*tbl_Data[[#This Row],[Sum of Annuals]]</f>
        <v>1337340.4541057325</v>
      </c>
      <c r="BA790" s="81">
        <f>tbl_Data[[#This Row],[Incremental Cost ($/unit)]]/tbl_Data[[#This Row],[kWh Savings]]*tbl_Data[[#This Row],[Sum of Annuals]]</f>
        <v>512606.2478938172</v>
      </c>
      <c r="BB790" s="77">
        <f>ROUNDUP(tbl_Data[[#This Row],[Adjusted 2025]]/$L790,0)</f>
        <v>6</v>
      </c>
      <c r="BC790" s="77">
        <f>ROUNDUP(tbl_Data[[#This Row],[Adjusted 2026]]/$L790,0)</f>
        <v>13</v>
      </c>
      <c r="BD790" s="77">
        <f>ROUNDUP(tbl_Data[[#This Row],[Adjusted 2027]]/$L790,0)</f>
        <v>22</v>
      </c>
      <c r="BE790" s="77">
        <f>ROUNDUP(tbl_Data[[#This Row],[Adjusted 2028]]/$L790,0)</f>
        <v>34</v>
      </c>
      <c r="BF790" s="77">
        <f>ROUNDUP(tbl_Data[[#This Row],[Adjusted 2029]]/$L790,0)</f>
        <v>48</v>
      </c>
      <c r="BG790" s="77">
        <f>ROUNDUP(tbl_Data[[#This Row],[Adjusted 2030]]/$L790,0)</f>
        <v>64</v>
      </c>
      <c r="BH790" s="77">
        <f>ROUNDUP(tbl_Data[[#This Row],[Adjusted 2031]]/$L790,0)</f>
        <v>82</v>
      </c>
      <c r="BI790" s="77">
        <f>ROUNDUP(tbl_Data[[#This Row],[Adjusted 2032]]/$L790,0)</f>
        <v>102</v>
      </c>
      <c r="BJ790" s="77">
        <f>ROUNDUP(tbl_Data[[#This Row],[Adjusted 2033]]/$L790,0)</f>
        <v>123</v>
      </c>
      <c r="BK790" s="77">
        <f>ROUNDUP(tbl_Data[[#This Row],[Adjusted 2034]]/$L790,0)</f>
        <v>145</v>
      </c>
      <c r="BL790" s="80">
        <f t="shared" si="331"/>
        <v>0</v>
      </c>
      <c r="BM790" s="80">
        <f t="shared" si="332"/>
        <v>0</v>
      </c>
      <c r="BN790" s="80">
        <f t="shared" si="333"/>
        <v>0</v>
      </c>
      <c r="BO790" s="80">
        <f t="shared" si="334"/>
        <v>0</v>
      </c>
      <c r="BP790" s="80">
        <f t="shared" si="335"/>
        <v>0</v>
      </c>
      <c r="BQ790" s="80">
        <f t="shared" si="336"/>
        <v>0</v>
      </c>
      <c r="BR790" s="80">
        <f t="shared" si="337"/>
        <v>0</v>
      </c>
      <c r="BS790" s="80">
        <f t="shared" si="338"/>
        <v>0</v>
      </c>
      <c r="BT790" s="80">
        <f t="shared" si="339"/>
        <v>0</v>
      </c>
      <c r="BU790" s="80">
        <f t="shared" si="340"/>
        <v>0</v>
      </c>
      <c r="BV790" s="80" t="str">
        <f>IFERROR(VLOOKUP($H790,'1. Set Program Names'!$B$2:$D$15,3,0)*V790,"NA")</f>
        <v>NA</v>
      </c>
      <c r="BW790" s="80" t="str">
        <f>IFERROR(VLOOKUP($H790,'1. Set Program Names'!$B$2:$D$15,3,0)*W790,"NA")</f>
        <v>NA</v>
      </c>
      <c r="BX790" s="80" t="str">
        <f>IFERROR(VLOOKUP($H790,'1. Set Program Names'!$B$2:$D$15,3,0)*X790,"NA")</f>
        <v>NA</v>
      </c>
      <c r="BY790" s="80" t="str">
        <f>IFERROR(VLOOKUP($H790,'1. Set Program Names'!$B$2:$D$15,3,0)*Y790,"NA")</f>
        <v>NA</v>
      </c>
      <c r="BZ790" s="80" t="str">
        <f>IFERROR(VLOOKUP($H790,'1. Set Program Names'!$B$2:$D$15,3,0)*Z790,"NA")</f>
        <v>NA</v>
      </c>
      <c r="CA790" s="80" t="str">
        <f>IFERROR(VLOOKUP($H790,'1. Set Program Names'!$B$2:$D$15,3,0)*AA790,"NA")</f>
        <v>NA</v>
      </c>
      <c r="CB790" s="80" t="str">
        <f>IFERROR(VLOOKUP($H790,'1. Set Program Names'!$B$2:$D$15,3,0)*AB790,"NA")</f>
        <v>NA</v>
      </c>
      <c r="CC790" s="80" t="str">
        <f>IFERROR(VLOOKUP($H790,'1. Set Program Names'!$B$2:$D$15,3,0)*AC790,"NA")</f>
        <v>NA</v>
      </c>
      <c r="CD790" s="80" t="str">
        <f>IFERROR(VLOOKUP($H790,'1. Set Program Names'!$B$2:$D$15,3,0)*AD790,"NA")</f>
        <v>NA</v>
      </c>
      <c r="CE790" s="80" t="str">
        <f>IFERROR(VLOOKUP($H790,'1. Set Program Names'!$B$2:$D$15,3,0)*AE790,"NA")</f>
        <v>NA</v>
      </c>
    </row>
    <row r="791" spans="1:83" x14ac:dyDescent="0.25">
      <c r="A791" s="79" t="s">
        <v>113</v>
      </c>
      <c r="B791" s="79" t="s">
        <v>88</v>
      </c>
      <c r="C791" s="79" t="s">
        <v>176</v>
      </c>
      <c r="D791" s="79" t="s">
        <v>90</v>
      </c>
      <c r="E791" s="79" t="s">
        <v>91</v>
      </c>
      <c r="F791" s="79" t="s">
        <v>90</v>
      </c>
      <c r="G791" s="79" t="s">
        <v>92</v>
      </c>
      <c r="H791" s="79" t="s">
        <v>268</v>
      </c>
      <c r="I791" s="79" t="s">
        <v>184</v>
      </c>
      <c r="J791" s="79" t="s">
        <v>180</v>
      </c>
      <c r="K791" s="79" t="s">
        <v>98</v>
      </c>
      <c r="L791" s="79">
        <v>3514.8091666666501</v>
      </c>
      <c r="M791" s="79">
        <v>0.421134949485237</v>
      </c>
      <c r="N791" s="79">
        <v>0.40566942535109901</v>
      </c>
      <c r="O791" s="79">
        <v>1028.8599999999999</v>
      </c>
      <c r="P791" s="79">
        <v>322.03243304134497</v>
      </c>
      <c r="Q791" s="79">
        <v>3.5148091666666499</v>
      </c>
      <c r="R791" s="79">
        <v>1184.78167438478</v>
      </c>
      <c r="S791" s="79">
        <v>2827.1105797935802</v>
      </c>
      <c r="T791" s="79">
        <v>10</v>
      </c>
      <c r="U791" s="79">
        <v>1</v>
      </c>
      <c r="V791" s="79">
        <f>tbl_Data_old[[#This Row],[2025 ]]*IFERROR(AVERAGEIFS('Participation Adjustment'!$C:$C,'Participation Adjustment'!$A:$A,$H791,'Participation Adjustment'!$B:$B,$I791),1)</f>
        <v>2075.1848667627501</v>
      </c>
      <c r="W791" s="79">
        <f>tbl_Data_old[[#This Row],[2026 ]]*IFERROR(AVERAGEIFS('Participation Adjustment'!$C:$C,'Participation Adjustment'!$A:$A,$H791,'Participation Adjustment'!$B:$B,$I791),1)</f>
        <v>4937.1617518142803</v>
      </c>
      <c r="X791" s="79">
        <f>tbl_Data_old[[#This Row],[2027 ]]*IFERROR(AVERAGEIFS('Participation Adjustment'!$C:$C,'Participation Adjustment'!$A:$A,$H791,'Participation Adjustment'!$B:$B,$I791),1)</f>
        <v>8758.7899565186799</v>
      </c>
      <c r="Y791" s="79">
        <f>tbl_Data_old[[#This Row],[2028 ]]*IFERROR(AVERAGEIFS('Participation Adjustment'!$C:$C,'Participation Adjustment'!$A:$A,$H791,'Participation Adjustment'!$B:$B,$I791),1)</f>
        <v>13732.708448868199</v>
      </c>
      <c r="Z791" s="79">
        <f>tbl_Data_old[[#This Row],[2029 ]]*IFERROR(AVERAGEIFS('Participation Adjustment'!$C:$C,'Participation Adjustment'!$A:$A,$H791,'Participation Adjustment'!$B:$B,$I791),1)</f>
        <v>19921.850120755</v>
      </c>
      <c r="AA791" s="79">
        <f>tbl_Data_old[[#This Row],[2030 ]]*IFERROR(AVERAGEIFS('Participation Adjustment'!$C:$C,'Participation Adjustment'!$A:$A,$H791,'Participation Adjustment'!$B:$B,$I791),1)</f>
        <v>27241.903893199698</v>
      </c>
      <c r="AB791" s="79">
        <f>tbl_Data_old[[#This Row],[2031 ]]*IFERROR(AVERAGEIFS('Participation Adjustment'!$C:$C,'Participation Adjustment'!$A:$A,$H791,'Participation Adjustment'!$B:$B,$I791),1)</f>
        <v>35369.843468239298</v>
      </c>
      <c r="AC791" s="79">
        <f>tbl_Data_old[[#This Row],[2032 ]]*IFERROR(AVERAGEIFS('Participation Adjustment'!$C:$C,'Participation Adjustment'!$A:$A,$H791,'Participation Adjustment'!$B:$B,$I791),1)</f>
        <v>43723.059589624099</v>
      </c>
      <c r="AD791" s="79">
        <f>tbl_Data_old[[#This Row],[2033 ]]*IFERROR(AVERAGEIFS('Participation Adjustment'!$C:$C,'Participation Adjustment'!$A:$A,$H791,'Participation Adjustment'!$B:$B,$I791),1)</f>
        <v>51613.304330927502</v>
      </c>
      <c r="AE791" s="79">
        <f>tbl_Data_old[[#This Row],[2034 ]]*IFERROR(AVERAGEIFS('Participation Adjustment'!$C:$C,'Participation Adjustment'!$A:$A,$H791,'Participation Adjustment'!$B:$B,$I791),1)</f>
        <v>58432.95159964</v>
      </c>
      <c r="AF791" s="77" t="str">
        <f t="shared" si="330"/>
        <v>NonResidential</v>
      </c>
      <c r="AG791" s="77" t="str">
        <f>tbl_Data[[#This Row],[All_Meas_Name_Append]]</f>
        <v>Low Pressure-drop Filters</v>
      </c>
      <c r="AH791" s="77">
        <f>AVERAGEIFS('3. Incentive Adjustment'!G:G,'3. Incentive Adjustment'!A:A,tbl_Data[[#This Row],[Trimmed Sector]],'3. Incentive Adjustment'!B:B,tbl_Data[[#This Row],[Trimmed Measure Name]])</f>
        <v>0.78525588861759776</v>
      </c>
      <c r="AI791" s="77">
        <f>$AH791*tbl_Data[[#This Row],[2025 ]]</f>
        <v>1629.5511365955745</v>
      </c>
      <c r="AJ791" s="77">
        <f>$AH791*tbl_Data[[#This Row],[2026 ]]</f>
        <v>3876.9353386697385</v>
      </c>
      <c r="AK791" s="77">
        <f>$AH791*tbl_Data[[#This Row],[2027 ]]</f>
        <v>6877.8913905209665</v>
      </c>
      <c r="AL791" s="77">
        <f>$AH791*tbl_Data[[#This Row],[2028 ]]</f>
        <v>10783.690176142391</v>
      </c>
      <c r="AM791" s="77">
        <f>$AH791*tbl_Data[[#This Row],[2029 ]]</f>
        <v>15643.750119480064</v>
      </c>
      <c r="AN791" s="77">
        <f>$AH791*tbl_Data[[#This Row],[2030 ]]</f>
        <v>21391.865449289726</v>
      </c>
      <c r="AO791" s="77">
        <f>$AH791*tbl_Data[[#This Row],[2031 ]]</f>
        <v>27774.377862917587</v>
      </c>
      <c r="AP791" s="77">
        <f>$AH791*tbl_Data[[#This Row],[2032 ]]</f>
        <v>34333.790011130448</v>
      </c>
      <c r="AQ791" s="77">
        <f>$AH791*tbl_Data[[#This Row],[2033 ]]</f>
        <v>40529.651156872984</v>
      </c>
      <c r="AR791" s="77">
        <f>$AH791*tbl_Data[[#This Row],[2034 ]]</f>
        <v>45884.819332924388</v>
      </c>
      <c r="AS791" s="77">
        <f>SUM(tbl_Data[[#This Row],[Adjusted 2025]:[Adjusted 2034]])</f>
        <v>208726.32197454385</v>
      </c>
      <c r="AT791" s="80">
        <f>AVERAGEIFS('3. Incentive Adjustment'!F:F,'3. Incentive Adjustment'!A:A,tbl_Data[[#This Row],[Trimmed Sector]],'3. Incentive Adjustment'!B:B,tbl_Data[[#This Row],[Trimmed Measure Name]])</f>
        <v>0</v>
      </c>
      <c r="AU791" s="80">
        <f>IFERROR(VLOOKUP(tbl_Data[[#This Row],[All_Meas_Name_Append]],'IRA Tax Credits'!$A$3:$D$46,4,0),0)</f>
        <v>0</v>
      </c>
      <c r="AV791" s="81">
        <f>tbl_Data[[#This Row],[Adj. per unit Incentive ($)]]/tbl_Data[[#This Row],[kWh Savings]]*tbl_Data[[#This Row],[Sum of Annuals]]</f>
        <v>0</v>
      </c>
      <c r="AW791" s="81" t="str">
        <f>IFERROR(VLOOKUP(tbl_Data[[#This Row],[Column1]],'1. Set Program Names'!$B$2:$D$15,3,0)*tbl_Data[[#This Row],[Sum of Annuals]],"")</f>
        <v/>
      </c>
      <c r="AX791" s="81">
        <f>tbl_Data[[#This Row],[per unit IRA tax ($)]]/tbl_Data[[#This Row],[kWh Savings]]*tbl_Data[[#This Row],[Sum of Annuals]]</f>
        <v>0</v>
      </c>
      <c r="AY791" s="81">
        <f>tbl_Data[[#This Row],[Avoided Costs ($/unit)]]/tbl_Data[[#This Row],[kWh Savings]]*tbl_Data[[#This Row],[Sum of Annuals]]</f>
        <v>70358.050611238388</v>
      </c>
      <c r="AZ791" s="81">
        <f>tbl_Data[[#This Row],[Lost Revenue ($/unit)]]/tbl_Data[[#This Row],[kWh Savings]]*tbl_Data[[#This Row],[Sum of Annuals]]</f>
        <v>167887.46277660981</v>
      </c>
      <c r="BA791" s="81">
        <f>tbl_Data[[#This Row],[Incremental Cost ($/unit)]]/tbl_Data[[#This Row],[kWh Savings]]*tbl_Data[[#This Row],[Sum of Annuals]]</f>
        <v>61098.669499144504</v>
      </c>
      <c r="BB791" s="77">
        <f>ROUNDUP(tbl_Data[[#This Row],[Adjusted 2025]]/$L791,0)</f>
        <v>1</v>
      </c>
      <c r="BC791" s="77">
        <f>ROUNDUP(tbl_Data[[#This Row],[Adjusted 2026]]/$L791,0)</f>
        <v>2</v>
      </c>
      <c r="BD791" s="77">
        <f>ROUNDUP(tbl_Data[[#This Row],[Adjusted 2027]]/$L791,0)</f>
        <v>2</v>
      </c>
      <c r="BE791" s="77">
        <f>ROUNDUP(tbl_Data[[#This Row],[Adjusted 2028]]/$L791,0)</f>
        <v>4</v>
      </c>
      <c r="BF791" s="77">
        <f>ROUNDUP(tbl_Data[[#This Row],[Adjusted 2029]]/$L791,0)</f>
        <v>5</v>
      </c>
      <c r="BG791" s="77">
        <f>ROUNDUP(tbl_Data[[#This Row],[Adjusted 2030]]/$L791,0)</f>
        <v>7</v>
      </c>
      <c r="BH791" s="77">
        <f>ROUNDUP(tbl_Data[[#This Row],[Adjusted 2031]]/$L791,0)</f>
        <v>8</v>
      </c>
      <c r="BI791" s="77">
        <f>ROUNDUP(tbl_Data[[#This Row],[Adjusted 2032]]/$L791,0)</f>
        <v>10</v>
      </c>
      <c r="BJ791" s="77">
        <f>ROUNDUP(tbl_Data[[#This Row],[Adjusted 2033]]/$L791,0)</f>
        <v>12</v>
      </c>
      <c r="BK791" s="77">
        <f>ROUNDUP(tbl_Data[[#This Row],[Adjusted 2034]]/$L791,0)</f>
        <v>14</v>
      </c>
      <c r="BL791" s="80">
        <f t="shared" si="331"/>
        <v>0</v>
      </c>
      <c r="BM791" s="80">
        <f t="shared" si="332"/>
        <v>0</v>
      </c>
      <c r="BN791" s="80">
        <f t="shared" si="333"/>
        <v>0</v>
      </c>
      <c r="BO791" s="80">
        <f t="shared" si="334"/>
        <v>0</v>
      </c>
      <c r="BP791" s="80">
        <f t="shared" si="335"/>
        <v>0</v>
      </c>
      <c r="BQ791" s="80">
        <f t="shared" si="336"/>
        <v>0</v>
      </c>
      <c r="BR791" s="80">
        <f t="shared" si="337"/>
        <v>0</v>
      </c>
      <c r="BS791" s="80">
        <f t="shared" si="338"/>
        <v>0</v>
      </c>
      <c r="BT791" s="80">
        <f t="shared" si="339"/>
        <v>0</v>
      </c>
      <c r="BU791" s="80">
        <f t="shared" si="340"/>
        <v>0</v>
      </c>
      <c r="BV791" s="80" t="str">
        <f>IFERROR(VLOOKUP($H791,'1. Set Program Names'!$B$2:$D$15,3,0)*V791,"NA")</f>
        <v>NA</v>
      </c>
      <c r="BW791" s="80" t="str">
        <f>IFERROR(VLOOKUP($H791,'1. Set Program Names'!$B$2:$D$15,3,0)*W791,"NA")</f>
        <v>NA</v>
      </c>
      <c r="BX791" s="80" t="str">
        <f>IFERROR(VLOOKUP($H791,'1. Set Program Names'!$B$2:$D$15,3,0)*X791,"NA")</f>
        <v>NA</v>
      </c>
      <c r="BY791" s="80" t="str">
        <f>IFERROR(VLOOKUP($H791,'1. Set Program Names'!$B$2:$D$15,3,0)*Y791,"NA")</f>
        <v>NA</v>
      </c>
      <c r="BZ791" s="80" t="str">
        <f>IFERROR(VLOOKUP($H791,'1. Set Program Names'!$B$2:$D$15,3,0)*Z791,"NA")</f>
        <v>NA</v>
      </c>
      <c r="CA791" s="80" t="str">
        <f>IFERROR(VLOOKUP($H791,'1. Set Program Names'!$B$2:$D$15,3,0)*AA791,"NA")</f>
        <v>NA</v>
      </c>
      <c r="CB791" s="80" t="str">
        <f>IFERROR(VLOOKUP($H791,'1. Set Program Names'!$B$2:$D$15,3,0)*AB791,"NA")</f>
        <v>NA</v>
      </c>
      <c r="CC791" s="80" t="str">
        <f>IFERROR(VLOOKUP($H791,'1. Set Program Names'!$B$2:$D$15,3,0)*AC791,"NA")</f>
        <v>NA</v>
      </c>
      <c r="CD791" s="80" t="str">
        <f>IFERROR(VLOOKUP($H791,'1. Set Program Names'!$B$2:$D$15,3,0)*AD791,"NA")</f>
        <v>NA</v>
      </c>
      <c r="CE791" s="80" t="str">
        <f>IFERROR(VLOOKUP($H791,'1. Set Program Names'!$B$2:$D$15,3,0)*AE791,"NA")</f>
        <v>NA</v>
      </c>
    </row>
    <row r="792" spans="1:83" x14ac:dyDescent="0.25">
      <c r="A792" s="79" t="s">
        <v>113</v>
      </c>
      <c r="B792" s="79" t="s">
        <v>88</v>
      </c>
      <c r="C792" s="79" t="s">
        <v>176</v>
      </c>
      <c r="D792" s="79" t="s">
        <v>90</v>
      </c>
      <c r="E792" s="79" t="s">
        <v>91</v>
      </c>
      <c r="F792" s="79" t="s">
        <v>90</v>
      </c>
      <c r="G792" s="79" t="s">
        <v>92</v>
      </c>
      <c r="H792" s="79" t="s">
        <v>268</v>
      </c>
      <c r="I792" s="79" t="s">
        <v>271</v>
      </c>
      <c r="J792" s="79" t="s">
        <v>180</v>
      </c>
      <c r="K792" s="79" t="s">
        <v>272</v>
      </c>
      <c r="L792" s="79">
        <v>8742.5400000000009</v>
      </c>
      <c r="M792" s="79">
        <v>1.04876812955413</v>
      </c>
      <c r="N792" s="79">
        <v>1.0098733971376099</v>
      </c>
      <c r="O792" s="79">
        <v>3543.39</v>
      </c>
      <c r="P792" s="79">
        <v>1784.8102698461601</v>
      </c>
      <c r="Q792" s="79">
        <v>8.74254</v>
      </c>
      <c r="R792" s="79">
        <v>3737.3935784201899</v>
      </c>
      <c r="S792" s="79">
        <v>9285.1929731405908</v>
      </c>
      <c r="T792" s="79">
        <v>15</v>
      </c>
      <c r="U792" s="79">
        <v>1</v>
      </c>
      <c r="V792" s="79">
        <f>tbl_Data_old[[#This Row],[2025 ]]*IFERROR(AVERAGEIFS('Participation Adjustment'!$C:$C,'Participation Adjustment'!$A:$A,$H792,'Participation Adjustment'!$B:$B,$I792),1)</f>
        <v>161.956173444244</v>
      </c>
      <c r="W792" s="79">
        <f>tbl_Data_old[[#This Row],[2026 ]]*IFERROR(AVERAGEIFS('Participation Adjustment'!$C:$C,'Participation Adjustment'!$A:$A,$H792,'Participation Adjustment'!$B:$B,$I792),1)</f>
        <v>372.12159473516499</v>
      </c>
      <c r="X792" s="79">
        <f>tbl_Data_old[[#This Row],[2027 ]]*IFERROR(AVERAGEIFS('Participation Adjustment'!$C:$C,'Participation Adjustment'!$A:$A,$H792,'Participation Adjustment'!$B:$B,$I792),1)</f>
        <v>638.00571871876195</v>
      </c>
      <c r="Y792" s="79">
        <f>tbl_Data_old[[#This Row],[2028 ]]*IFERROR(AVERAGEIFS('Participation Adjustment'!$C:$C,'Participation Adjustment'!$A:$A,$H792,'Participation Adjustment'!$B:$B,$I792),1)</f>
        <v>969.92206076379796</v>
      </c>
      <c r="Z792" s="79">
        <f>tbl_Data_old[[#This Row],[2029 ]]*IFERROR(AVERAGEIFS('Participation Adjustment'!$C:$C,'Participation Adjustment'!$A:$A,$H792,'Participation Adjustment'!$B:$B,$I792),1)</f>
        <v>1371.3685947696099</v>
      </c>
      <c r="AA792" s="79">
        <f>tbl_Data_old[[#This Row],[2030 ]]*IFERROR(AVERAGEIFS('Participation Adjustment'!$C:$C,'Participation Adjustment'!$A:$A,$H792,'Participation Adjustment'!$B:$B,$I792),1)</f>
        <v>1843.86198542897</v>
      </c>
      <c r="AB792" s="79">
        <f>tbl_Data_old[[#This Row],[2031 ]]*IFERROR(AVERAGEIFS('Participation Adjustment'!$C:$C,'Participation Adjustment'!$A:$A,$H792,'Participation Adjustment'!$B:$B,$I792),1)</f>
        <v>2382.49929256415</v>
      </c>
      <c r="AC792" s="79">
        <f>tbl_Data_old[[#This Row],[2032 ]]*IFERROR(AVERAGEIFS('Participation Adjustment'!$C:$C,'Participation Adjustment'!$A:$A,$H792,'Participation Adjustment'!$B:$B,$I792),1)</f>
        <v>2972.70024748387</v>
      </c>
      <c r="AD792" s="79">
        <f>tbl_Data_old[[#This Row],[2033 ]]*IFERROR(AVERAGEIFS('Participation Adjustment'!$C:$C,'Participation Adjustment'!$A:$A,$H792,'Participation Adjustment'!$B:$B,$I792),1)</f>
        <v>3594.0663063135298</v>
      </c>
      <c r="AE792" s="79">
        <f>tbl_Data_old[[#This Row],[2034 ]]*IFERROR(AVERAGEIFS('Participation Adjustment'!$C:$C,'Participation Adjustment'!$A:$A,$H792,'Participation Adjustment'!$B:$B,$I792),1)</f>
        <v>4218.6802552272102</v>
      </c>
      <c r="AF792" s="77" t="str">
        <f t="shared" si="330"/>
        <v>NonResidential</v>
      </c>
      <c r="AG792" s="77" t="str">
        <f>tbl_Data[[#This Row],[All_Meas_Name_Append]]</f>
        <v>Milk Pre-Cooler</v>
      </c>
      <c r="AH792" s="77">
        <f>AVERAGEIFS('3. Incentive Adjustment'!G:G,'3. Incentive Adjustment'!A:A,tbl_Data[[#This Row],[Trimmed Sector]],'3. Incentive Adjustment'!B:B,tbl_Data[[#This Row],[Trimmed Measure Name]])</f>
        <v>0.58352930274688986</v>
      </c>
      <c r="AI792" s="77">
        <f>$AH792*tbl_Data[[#This Row],[2025 ]]</f>
        <v>94.506172965474065</v>
      </c>
      <c r="AJ792" s="77">
        <f>$AH792*tbl_Data[[#This Row],[2026 ]]</f>
        <v>217.14385471287156</v>
      </c>
      <c r="AK792" s="77">
        <f>$AH792*tbl_Data[[#This Row],[2027 ]]</f>
        <v>372.2950321924875</v>
      </c>
      <c r="AL792" s="77">
        <f>$AH792*tbl_Data[[#This Row],[2028 ]]</f>
        <v>565.97794383632561</v>
      </c>
      <c r="AM792" s="77">
        <f>$AH792*tbl_Data[[#This Row],[2029 ]]</f>
        <v>800.23375991489263</v>
      </c>
      <c r="AN792" s="77">
        <f>$AH792*tbl_Data[[#This Row],[2030 ]]</f>
        <v>1075.9474987188628</v>
      </c>
      <c r="AO792" s="77">
        <f>$AH792*tbl_Data[[#This Row],[2031 ]]</f>
        <v>1390.2581509849167</v>
      </c>
      <c r="AP792" s="77">
        <f>$AH792*tbl_Data[[#This Row],[2032 ]]</f>
        <v>1734.6577026897696</v>
      </c>
      <c r="AQ792" s="77">
        <f>$AH792*tbl_Data[[#This Row],[2033 ]]</f>
        <v>2097.2430057492238</v>
      </c>
      <c r="AR792" s="77">
        <f>$AH792*tbl_Data[[#This Row],[2034 ]]</f>
        <v>2461.7235478448051</v>
      </c>
      <c r="AS792" s="77">
        <f>SUM(tbl_Data[[#This Row],[Adjusted 2025]:[Adjusted 2034]])</f>
        <v>10809.986669609629</v>
      </c>
      <c r="AT792" s="80">
        <f>AVERAGEIFS('3. Incentive Adjustment'!F:F,'3. Incentive Adjustment'!A:A,tbl_Data[[#This Row],[Trimmed Sector]],'3. Incentive Adjustment'!B:B,tbl_Data[[#This Row],[Trimmed Measure Name]])</f>
        <v>0</v>
      </c>
      <c r="AU792" s="80">
        <f>IFERROR(VLOOKUP(tbl_Data[[#This Row],[All_Meas_Name_Append]],'IRA Tax Credits'!$A$3:$D$46,4,0),0)</f>
        <v>0</v>
      </c>
      <c r="AV792" s="81">
        <f>tbl_Data[[#This Row],[Adj. per unit Incentive ($)]]/tbl_Data[[#This Row],[kWh Savings]]*tbl_Data[[#This Row],[Sum of Annuals]]</f>
        <v>0</v>
      </c>
      <c r="AW792" s="81" t="str">
        <f>IFERROR(VLOOKUP(tbl_Data[[#This Row],[Column1]],'1. Set Program Names'!$B$2:$D$15,3,0)*tbl_Data[[#This Row],[Sum of Annuals]],"")</f>
        <v/>
      </c>
      <c r="AX792" s="81">
        <f>tbl_Data[[#This Row],[per unit IRA tax ($)]]/tbl_Data[[#This Row],[kWh Savings]]*tbl_Data[[#This Row],[Sum of Annuals]]</f>
        <v>0</v>
      </c>
      <c r="AY792" s="81">
        <f>tbl_Data[[#This Row],[Avoided Costs ($/unit)]]/tbl_Data[[#This Row],[kWh Savings]]*tbl_Data[[#This Row],[Sum of Annuals]]</f>
        <v>4621.2170332428423</v>
      </c>
      <c r="AZ792" s="81">
        <f>tbl_Data[[#This Row],[Lost Revenue ($/unit)]]/tbl_Data[[#This Row],[kWh Savings]]*tbl_Data[[#This Row],[Sum of Annuals]]</f>
        <v>11480.966888844978</v>
      </c>
      <c r="BA792" s="81">
        <f>tbl_Data[[#This Row],[Incremental Cost ($/unit)]]/tbl_Data[[#This Row],[kWh Savings]]*tbl_Data[[#This Row],[Sum of Annuals]]</f>
        <v>4381.335248706675</v>
      </c>
      <c r="BB792" s="77">
        <f>ROUNDUP(tbl_Data[[#This Row],[Adjusted 2025]]/$L792,0)</f>
        <v>1</v>
      </c>
      <c r="BC792" s="77">
        <f>ROUNDUP(tbl_Data[[#This Row],[Adjusted 2026]]/$L792,0)</f>
        <v>1</v>
      </c>
      <c r="BD792" s="77">
        <f>ROUNDUP(tbl_Data[[#This Row],[Adjusted 2027]]/$L792,0)</f>
        <v>1</v>
      </c>
      <c r="BE792" s="77">
        <f>ROUNDUP(tbl_Data[[#This Row],[Adjusted 2028]]/$L792,0)</f>
        <v>1</v>
      </c>
      <c r="BF792" s="77">
        <f>ROUNDUP(tbl_Data[[#This Row],[Adjusted 2029]]/$L792,0)</f>
        <v>1</v>
      </c>
      <c r="BG792" s="77">
        <f>ROUNDUP(tbl_Data[[#This Row],[Adjusted 2030]]/$L792,0)</f>
        <v>1</v>
      </c>
      <c r="BH792" s="77">
        <f>ROUNDUP(tbl_Data[[#This Row],[Adjusted 2031]]/$L792,0)</f>
        <v>1</v>
      </c>
      <c r="BI792" s="77">
        <f>ROUNDUP(tbl_Data[[#This Row],[Adjusted 2032]]/$L792,0)</f>
        <v>1</v>
      </c>
      <c r="BJ792" s="77">
        <f>ROUNDUP(tbl_Data[[#This Row],[Adjusted 2033]]/$L792,0)</f>
        <v>1</v>
      </c>
      <c r="BK792" s="77">
        <f>ROUNDUP(tbl_Data[[#This Row],[Adjusted 2034]]/$L792,0)</f>
        <v>1</v>
      </c>
      <c r="BL792" s="80">
        <f t="shared" si="331"/>
        <v>0</v>
      </c>
      <c r="BM792" s="80">
        <f t="shared" si="332"/>
        <v>0</v>
      </c>
      <c r="BN792" s="80">
        <f t="shared" si="333"/>
        <v>0</v>
      </c>
      <c r="BO792" s="80">
        <f t="shared" si="334"/>
        <v>0</v>
      </c>
      <c r="BP792" s="80">
        <f t="shared" si="335"/>
        <v>0</v>
      </c>
      <c r="BQ792" s="80">
        <f t="shared" si="336"/>
        <v>0</v>
      </c>
      <c r="BR792" s="80">
        <f t="shared" si="337"/>
        <v>0</v>
      </c>
      <c r="BS792" s="80">
        <f t="shared" si="338"/>
        <v>0</v>
      </c>
      <c r="BT792" s="80">
        <f t="shared" si="339"/>
        <v>0</v>
      </c>
      <c r="BU792" s="80">
        <f t="shared" si="340"/>
        <v>0</v>
      </c>
      <c r="BV792" s="80" t="str">
        <f>IFERROR(VLOOKUP($H792,'1. Set Program Names'!$B$2:$D$15,3,0)*V792,"NA")</f>
        <v>NA</v>
      </c>
      <c r="BW792" s="80" t="str">
        <f>IFERROR(VLOOKUP($H792,'1. Set Program Names'!$B$2:$D$15,3,0)*W792,"NA")</f>
        <v>NA</v>
      </c>
      <c r="BX792" s="80" t="str">
        <f>IFERROR(VLOOKUP($H792,'1. Set Program Names'!$B$2:$D$15,3,0)*X792,"NA")</f>
        <v>NA</v>
      </c>
      <c r="BY792" s="80" t="str">
        <f>IFERROR(VLOOKUP($H792,'1. Set Program Names'!$B$2:$D$15,3,0)*Y792,"NA")</f>
        <v>NA</v>
      </c>
      <c r="BZ792" s="80" t="str">
        <f>IFERROR(VLOOKUP($H792,'1. Set Program Names'!$B$2:$D$15,3,0)*Z792,"NA")</f>
        <v>NA</v>
      </c>
      <c r="CA792" s="80" t="str">
        <f>IFERROR(VLOOKUP($H792,'1. Set Program Names'!$B$2:$D$15,3,0)*AA792,"NA")</f>
        <v>NA</v>
      </c>
      <c r="CB792" s="80" t="str">
        <f>IFERROR(VLOOKUP($H792,'1. Set Program Names'!$B$2:$D$15,3,0)*AB792,"NA")</f>
        <v>NA</v>
      </c>
      <c r="CC792" s="80" t="str">
        <f>IFERROR(VLOOKUP($H792,'1. Set Program Names'!$B$2:$D$15,3,0)*AC792,"NA")</f>
        <v>NA</v>
      </c>
      <c r="CD792" s="80" t="str">
        <f>IFERROR(VLOOKUP($H792,'1. Set Program Names'!$B$2:$D$15,3,0)*AD792,"NA")</f>
        <v>NA</v>
      </c>
      <c r="CE792" s="80" t="str">
        <f>IFERROR(VLOOKUP($H792,'1. Set Program Names'!$B$2:$D$15,3,0)*AE792,"NA")</f>
        <v>NA</v>
      </c>
    </row>
    <row r="793" spans="1:83" x14ac:dyDescent="0.25">
      <c r="A793" s="79" t="s">
        <v>113</v>
      </c>
      <c r="B793" s="79" t="s">
        <v>88</v>
      </c>
      <c r="C793" s="79" t="s">
        <v>176</v>
      </c>
      <c r="D793" s="79" t="s">
        <v>90</v>
      </c>
      <c r="E793" s="79" t="s">
        <v>91</v>
      </c>
      <c r="F793" s="79" t="s">
        <v>90</v>
      </c>
      <c r="G793" s="79" t="s">
        <v>92</v>
      </c>
      <c r="H793" s="79" t="s">
        <v>268</v>
      </c>
      <c r="I793" s="79" t="s">
        <v>190</v>
      </c>
      <c r="J793" s="79" t="s">
        <v>191</v>
      </c>
      <c r="K793" s="79" t="s">
        <v>98</v>
      </c>
      <c r="L793" s="79">
        <v>1561.28</v>
      </c>
      <c r="M793" s="79">
        <v>0.18418077149832199</v>
      </c>
      <c r="N793" s="79">
        <v>0.17996138765713399</v>
      </c>
      <c r="O793" s="79">
        <v>490</v>
      </c>
      <c r="P793" s="79">
        <v>175.94534756551599</v>
      </c>
      <c r="Q793" s="79">
        <v>1.56128</v>
      </c>
      <c r="R793" s="79">
        <v>649.62503581485396</v>
      </c>
      <c r="S793" s="79">
        <v>1586.7572850213601</v>
      </c>
      <c r="T793" s="79">
        <v>14</v>
      </c>
      <c r="U793" s="79">
        <v>0.999999999999999</v>
      </c>
      <c r="V793" s="79">
        <f>tbl_Data_old[[#This Row],[2025 ]]*IFERROR(AVERAGEIFS('Participation Adjustment'!$C:$C,'Participation Adjustment'!$A:$A,$H793,'Participation Adjustment'!$B:$B,$I793),1)</f>
        <v>14479.720529730301</v>
      </c>
      <c r="W793" s="79">
        <f>tbl_Data_old[[#This Row],[2026 ]]*IFERROR(AVERAGEIFS('Participation Adjustment'!$C:$C,'Participation Adjustment'!$A:$A,$H793,'Participation Adjustment'!$B:$B,$I793),1)</f>
        <v>30951.808520448601</v>
      </c>
      <c r="X793" s="79">
        <f>tbl_Data_old[[#This Row],[2027 ]]*IFERROR(AVERAGEIFS('Participation Adjustment'!$C:$C,'Participation Adjustment'!$A:$A,$H793,'Participation Adjustment'!$B:$B,$I793),1)</f>
        <v>49160.276632332301</v>
      </c>
      <c r="Y793" s="79">
        <f>tbl_Data_old[[#This Row],[2028 ]]*IFERROR(AVERAGEIFS('Participation Adjustment'!$C:$C,'Participation Adjustment'!$A:$A,$H793,'Participation Adjustment'!$B:$B,$I793),1)</f>
        <v>69087.144024676702</v>
      </c>
      <c r="Z793" s="79">
        <f>tbl_Data_old[[#This Row],[2029 ]]*IFERROR(AVERAGEIFS('Participation Adjustment'!$C:$C,'Participation Adjustment'!$A:$A,$H793,'Participation Adjustment'!$B:$B,$I793),1)</f>
        <v>90504.2009288197</v>
      </c>
      <c r="AA793" s="79">
        <f>tbl_Data_old[[#This Row],[2030 ]]*IFERROR(AVERAGEIFS('Participation Adjustment'!$C:$C,'Participation Adjustment'!$A:$A,$H793,'Participation Adjustment'!$B:$B,$I793),1)</f>
        <v>113308.588274418</v>
      </c>
      <c r="AB793" s="79">
        <f>tbl_Data_old[[#This Row],[2031 ]]*IFERROR(AVERAGEIFS('Participation Adjustment'!$C:$C,'Participation Adjustment'!$A:$A,$H793,'Participation Adjustment'!$B:$B,$I793),1)</f>
        <v>137418.27396180699</v>
      </c>
      <c r="AC793" s="79">
        <f>tbl_Data_old[[#This Row],[2032 ]]*IFERROR(AVERAGEIFS('Participation Adjustment'!$C:$C,'Participation Adjustment'!$A:$A,$H793,'Participation Adjustment'!$B:$B,$I793),1)</f>
        <v>162714.26954658001</v>
      </c>
      <c r="AD793" s="79">
        <f>tbl_Data_old[[#This Row],[2033 ]]*IFERROR(AVERAGEIFS('Participation Adjustment'!$C:$C,'Participation Adjustment'!$A:$A,$H793,'Participation Adjustment'!$B:$B,$I793),1)</f>
        <v>189172.633459537</v>
      </c>
      <c r="AE793" s="79">
        <f>tbl_Data_old[[#This Row],[2034 ]]*IFERROR(AVERAGEIFS('Participation Adjustment'!$C:$C,'Participation Adjustment'!$A:$A,$H793,'Participation Adjustment'!$B:$B,$I793),1)</f>
        <v>216733.90872774</v>
      </c>
      <c r="AF793" s="77" t="str">
        <f t="shared" si="330"/>
        <v>NonResidential</v>
      </c>
      <c r="AG793" s="77" t="str">
        <f>tbl_Data[[#This Row],[All_Meas_Name_Append]]</f>
        <v>Synchronous Belt on 15hp ODP Motor</v>
      </c>
      <c r="AH793" s="77">
        <f>AVERAGEIFS('3. Incentive Adjustment'!G:G,'3. Incentive Adjustment'!A:A,tbl_Data[[#This Row],[Trimmed Sector]],'3. Incentive Adjustment'!B:B,tbl_Data[[#This Row],[Trimmed Measure Name]])</f>
        <v>0.74278916032473408</v>
      </c>
      <c r="AI793" s="77">
        <f>$AH793*tbl_Data[[#This Row],[2025 ]]</f>
        <v>10755.379454015183</v>
      </c>
      <c r="AJ793" s="77">
        <f>$AH793*tbl_Data[[#This Row],[2026 ]]</f>
        <v>22990.667861435966</v>
      </c>
      <c r="AK793" s="77">
        <f>$AH793*tbl_Data[[#This Row],[2027 ]]</f>
        <v>36515.720601061759</v>
      </c>
      <c r="AL793" s="77">
        <f>$AH793*tbl_Data[[#This Row],[2028 ]]</f>
        <v>51317.181699323577</v>
      </c>
      <c r="AM793" s="77">
        <f>$AH793*tbl_Data[[#This Row],[2029 ]]</f>
        <v>67225.539413778999</v>
      </c>
      <c r="AN793" s="77">
        <f>$AH793*tbl_Data[[#This Row],[2030 ]]</f>
        <v>84164.39114193595</v>
      </c>
      <c r="AO793" s="77">
        <f>$AH793*tbl_Data[[#This Row],[2031 ]]</f>
        <v>102072.80432936488</v>
      </c>
      <c r="AP793" s="77">
        <f>$AH793*tbl_Data[[#This Row],[2032 ]]</f>
        <v>120862.39564935661</v>
      </c>
      <c r="AQ793" s="77">
        <f>$AH793*tbl_Data[[#This Row],[2033 ]]</f>
        <v>140515.38156382818</v>
      </c>
      <c r="AR793" s="77">
        <f>$AH793*tbl_Data[[#This Row],[2034 ]]</f>
        <v>160987.59807777553</v>
      </c>
      <c r="AS793" s="77">
        <f>SUM(tbl_Data[[#This Row],[Adjusted 2025]:[Adjusted 2034]])</f>
        <v>797407.05979187659</v>
      </c>
      <c r="AT793" s="80">
        <f>AVERAGEIFS('3. Incentive Adjustment'!F:F,'3. Incentive Adjustment'!A:A,tbl_Data[[#This Row],[Trimmed Sector]],'3. Incentive Adjustment'!B:B,tbl_Data[[#This Row],[Trimmed Measure Name]])</f>
        <v>0</v>
      </c>
      <c r="AU793" s="80">
        <f>IFERROR(VLOOKUP(tbl_Data[[#This Row],[All_Meas_Name_Append]],'IRA Tax Credits'!$A$3:$D$46,4,0),0)</f>
        <v>0</v>
      </c>
      <c r="AV793" s="81">
        <f>tbl_Data[[#This Row],[Adj. per unit Incentive ($)]]/tbl_Data[[#This Row],[kWh Savings]]*tbl_Data[[#This Row],[Sum of Annuals]]</f>
        <v>0</v>
      </c>
      <c r="AW793" s="81" t="str">
        <f>IFERROR(VLOOKUP(tbl_Data[[#This Row],[Column1]],'1. Set Program Names'!$B$2:$D$15,3,0)*tbl_Data[[#This Row],[Sum of Annuals]],"")</f>
        <v/>
      </c>
      <c r="AX793" s="81">
        <f>tbl_Data[[#This Row],[per unit IRA tax ($)]]/tbl_Data[[#This Row],[kWh Savings]]*tbl_Data[[#This Row],[Sum of Annuals]]</f>
        <v>0</v>
      </c>
      <c r="AY793" s="81">
        <f>tbl_Data[[#This Row],[Avoided Costs ($/unit)]]/tbl_Data[[#This Row],[kWh Savings]]*tbl_Data[[#This Row],[Sum of Annuals]]</f>
        <v>331789.03833797603</v>
      </c>
      <c r="AZ793" s="81">
        <f>tbl_Data[[#This Row],[Lost Revenue ($/unit)]]/tbl_Data[[#This Row],[kWh Savings]]*tbl_Data[[#This Row],[Sum of Annuals]]</f>
        <v>810419.31059913873</v>
      </c>
      <c r="BA793" s="81">
        <f>tbl_Data[[#This Row],[Incremental Cost ($/unit)]]/tbl_Data[[#This Row],[kWh Savings]]*tbl_Data[[#This Row],[Sum of Annuals]]</f>
        <v>250262.2587223429</v>
      </c>
      <c r="BB793" s="77">
        <f>ROUNDUP(tbl_Data[[#This Row],[Adjusted 2025]]/$L793,0)</f>
        <v>7</v>
      </c>
      <c r="BC793" s="77">
        <f>ROUNDUP(tbl_Data[[#This Row],[Adjusted 2026]]/$L793,0)</f>
        <v>15</v>
      </c>
      <c r="BD793" s="77">
        <f>ROUNDUP(tbl_Data[[#This Row],[Adjusted 2027]]/$L793,0)</f>
        <v>24</v>
      </c>
      <c r="BE793" s="77">
        <f>ROUNDUP(tbl_Data[[#This Row],[Adjusted 2028]]/$L793,0)</f>
        <v>33</v>
      </c>
      <c r="BF793" s="77">
        <f>ROUNDUP(tbl_Data[[#This Row],[Adjusted 2029]]/$L793,0)</f>
        <v>44</v>
      </c>
      <c r="BG793" s="77">
        <f>ROUNDUP(tbl_Data[[#This Row],[Adjusted 2030]]/$L793,0)</f>
        <v>54</v>
      </c>
      <c r="BH793" s="77">
        <f>ROUNDUP(tbl_Data[[#This Row],[Adjusted 2031]]/$L793,0)</f>
        <v>66</v>
      </c>
      <c r="BI793" s="77">
        <f>ROUNDUP(tbl_Data[[#This Row],[Adjusted 2032]]/$L793,0)</f>
        <v>78</v>
      </c>
      <c r="BJ793" s="77">
        <f>ROUNDUP(tbl_Data[[#This Row],[Adjusted 2033]]/$L793,0)</f>
        <v>91</v>
      </c>
      <c r="BK793" s="77">
        <f>ROUNDUP(tbl_Data[[#This Row],[Adjusted 2034]]/$L793,0)</f>
        <v>104</v>
      </c>
      <c r="BL793" s="80">
        <f t="shared" si="331"/>
        <v>0</v>
      </c>
      <c r="BM793" s="80">
        <f t="shared" si="332"/>
        <v>0</v>
      </c>
      <c r="BN793" s="80">
        <f t="shared" si="333"/>
        <v>0</v>
      </c>
      <c r="BO793" s="80">
        <f t="shared" si="334"/>
        <v>0</v>
      </c>
      <c r="BP793" s="80">
        <f t="shared" si="335"/>
        <v>0</v>
      </c>
      <c r="BQ793" s="80">
        <f t="shared" si="336"/>
        <v>0</v>
      </c>
      <c r="BR793" s="80">
        <f t="shared" si="337"/>
        <v>0</v>
      </c>
      <c r="BS793" s="80">
        <f t="shared" si="338"/>
        <v>0</v>
      </c>
      <c r="BT793" s="80">
        <f t="shared" si="339"/>
        <v>0</v>
      </c>
      <c r="BU793" s="80">
        <f t="shared" si="340"/>
        <v>0</v>
      </c>
      <c r="BV793" s="80" t="str">
        <f>IFERROR(VLOOKUP($H793,'1. Set Program Names'!$B$2:$D$15,3,0)*V793,"NA")</f>
        <v>NA</v>
      </c>
      <c r="BW793" s="80" t="str">
        <f>IFERROR(VLOOKUP($H793,'1. Set Program Names'!$B$2:$D$15,3,0)*W793,"NA")</f>
        <v>NA</v>
      </c>
      <c r="BX793" s="80" t="str">
        <f>IFERROR(VLOOKUP($H793,'1. Set Program Names'!$B$2:$D$15,3,0)*X793,"NA")</f>
        <v>NA</v>
      </c>
      <c r="BY793" s="80" t="str">
        <f>IFERROR(VLOOKUP($H793,'1. Set Program Names'!$B$2:$D$15,3,0)*Y793,"NA")</f>
        <v>NA</v>
      </c>
      <c r="BZ793" s="80" t="str">
        <f>IFERROR(VLOOKUP($H793,'1. Set Program Names'!$B$2:$D$15,3,0)*Z793,"NA")</f>
        <v>NA</v>
      </c>
      <c r="CA793" s="80" t="str">
        <f>IFERROR(VLOOKUP($H793,'1. Set Program Names'!$B$2:$D$15,3,0)*AA793,"NA")</f>
        <v>NA</v>
      </c>
      <c r="CB793" s="80" t="str">
        <f>IFERROR(VLOOKUP($H793,'1. Set Program Names'!$B$2:$D$15,3,0)*AB793,"NA")</f>
        <v>NA</v>
      </c>
      <c r="CC793" s="80" t="str">
        <f>IFERROR(VLOOKUP($H793,'1. Set Program Names'!$B$2:$D$15,3,0)*AC793,"NA")</f>
        <v>NA</v>
      </c>
      <c r="CD793" s="80" t="str">
        <f>IFERROR(VLOOKUP($H793,'1. Set Program Names'!$B$2:$D$15,3,0)*AD793,"NA")</f>
        <v>NA</v>
      </c>
      <c r="CE793" s="80" t="str">
        <f>IFERROR(VLOOKUP($H793,'1. Set Program Names'!$B$2:$D$15,3,0)*AE793,"NA")</f>
        <v>NA</v>
      </c>
    </row>
    <row r="794" spans="1:83" x14ac:dyDescent="0.25">
      <c r="A794" s="79" t="s">
        <v>113</v>
      </c>
      <c r="B794" s="79" t="s">
        <v>88</v>
      </c>
      <c r="C794" s="79" t="s">
        <v>176</v>
      </c>
      <c r="D794" s="79" t="s">
        <v>90</v>
      </c>
      <c r="E794" s="79" t="s">
        <v>91</v>
      </c>
      <c r="F794" s="79" t="s">
        <v>90</v>
      </c>
      <c r="G794" s="79" t="s">
        <v>92</v>
      </c>
      <c r="H794" s="79" t="s">
        <v>268</v>
      </c>
      <c r="I794" s="79" t="s">
        <v>192</v>
      </c>
      <c r="J794" s="79" t="s">
        <v>191</v>
      </c>
      <c r="K794" s="79" t="s">
        <v>98</v>
      </c>
      <c r="L794" s="79">
        <v>437.76000000000101</v>
      </c>
      <c r="M794" s="79">
        <v>5.1641585449826798E-2</v>
      </c>
      <c r="N794" s="79">
        <v>5.0458532140799497E-2</v>
      </c>
      <c r="O794" s="79">
        <v>163</v>
      </c>
      <c r="P794" s="79">
        <v>74.943684252843894</v>
      </c>
      <c r="Q794" s="79">
        <v>0.43776000000000098</v>
      </c>
      <c r="R794" s="79">
        <v>182.14532670521001</v>
      </c>
      <c r="S794" s="79">
        <v>444.90345683730902</v>
      </c>
      <c r="T794" s="79">
        <v>14</v>
      </c>
      <c r="U794" s="79">
        <v>0.999999999999999</v>
      </c>
      <c r="V794" s="79">
        <f>tbl_Data_old[[#This Row],[2025 ]]*IFERROR(AVERAGEIFS('Participation Adjustment'!$C:$C,'Participation Adjustment'!$A:$A,$H794,'Participation Adjustment'!$B:$B,$I794),1)</f>
        <v>14439.389637877401</v>
      </c>
      <c r="W794" s="79">
        <f>tbl_Data_old[[#This Row],[2026 ]]*IFERROR(AVERAGEIFS('Participation Adjustment'!$C:$C,'Participation Adjustment'!$A:$A,$H794,'Participation Adjustment'!$B:$B,$I794),1)</f>
        <v>30860.313345181701</v>
      </c>
      <c r="X794" s="79">
        <f>tbl_Data_old[[#This Row],[2027 ]]*IFERROR(AVERAGEIFS('Participation Adjustment'!$C:$C,'Participation Adjustment'!$A:$A,$H794,'Participation Adjustment'!$B:$B,$I794),1)</f>
        <v>49006.977451868901</v>
      </c>
      <c r="Y794" s="79">
        <f>tbl_Data_old[[#This Row],[2028 ]]*IFERROR(AVERAGEIFS('Participation Adjustment'!$C:$C,'Participation Adjustment'!$A:$A,$H794,'Participation Adjustment'!$B:$B,$I794),1)</f>
        <v>68861.070392272406</v>
      </c>
      <c r="Z794" s="79">
        <f>tbl_Data_old[[#This Row],[2029 ]]*IFERROR(AVERAGEIFS('Participation Adjustment'!$C:$C,'Participation Adjustment'!$A:$A,$H794,'Participation Adjustment'!$B:$B,$I794),1)</f>
        <v>90194.984539203404</v>
      </c>
      <c r="AA794" s="79">
        <f>tbl_Data_old[[#This Row],[2030 ]]*IFERROR(AVERAGEIFS('Participation Adjustment'!$C:$C,'Participation Adjustment'!$A:$A,$H794,'Participation Adjustment'!$B:$B,$I794),1)</f>
        <v>112906.17860083299</v>
      </c>
      <c r="AB794" s="79">
        <f>tbl_Data_old[[#This Row],[2031 ]]*IFERROR(AVERAGEIFS('Participation Adjustment'!$C:$C,'Participation Adjustment'!$A:$A,$H794,'Participation Adjustment'!$B:$B,$I794),1)</f>
        <v>136912.96195328701</v>
      </c>
      <c r="AC794" s="79">
        <f>tbl_Data_old[[#This Row],[2032 ]]*IFERROR(AVERAGEIFS('Participation Adjustment'!$C:$C,'Participation Adjustment'!$A:$A,$H794,'Participation Adjustment'!$B:$B,$I794),1)</f>
        <v>162096.929195612</v>
      </c>
      <c r="AD794" s="79">
        <f>tbl_Data_old[[#This Row],[2033 ]]*IFERROR(AVERAGEIFS('Participation Adjustment'!$C:$C,'Participation Adjustment'!$A:$A,$H794,'Participation Adjustment'!$B:$B,$I794),1)</f>
        <v>188434.36425466</v>
      </c>
      <c r="AE794" s="79">
        <f>tbl_Data_old[[#This Row],[2034 ]]*IFERROR(AVERAGEIFS('Participation Adjustment'!$C:$C,'Participation Adjustment'!$A:$A,$H794,'Participation Adjustment'!$B:$B,$I794),1)</f>
        <v>215866.22348521801</v>
      </c>
      <c r="AF794" s="77" t="str">
        <f t="shared" si="330"/>
        <v>NonResidential</v>
      </c>
      <c r="AG794" s="77" t="str">
        <f>tbl_Data[[#This Row],[All_Meas_Name_Append]]</f>
        <v>Synchronous Belt on 5hp ODP Motor</v>
      </c>
      <c r="AH794" s="77">
        <f>AVERAGEIFS('3. Incentive Adjustment'!G:G,'3. Incentive Adjustment'!A:A,tbl_Data[[#This Row],[Trimmed Sector]],'3. Incentive Adjustment'!B:B,tbl_Data[[#This Row],[Trimmed Measure Name]])</f>
        <v>0.63653870706597271</v>
      </c>
      <c r="AI794" s="77">
        <f>$AH794*tbl_Data[[#This Row],[2025 ]]</f>
        <v>9191.2304109162851</v>
      </c>
      <c r="AJ794" s="77">
        <f>$AH794*tbl_Data[[#This Row],[2026 ]]</f>
        <v>19643.783956392745</v>
      </c>
      <c r="AK794" s="77">
        <f>$AH794*tbl_Data[[#This Row],[2027 ]]</f>
        <v>31194.838064423908</v>
      </c>
      <c r="AL794" s="77">
        <f>$AH794*tbl_Data[[#This Row],[2028 ]]</f>
        <v>43832.736714676008</v>
      </c>
      <c r="AM794" s="77">
        <f>$AH794*tbl_Data[[#This Row],[2029 ]]</f>
        <v>57412.598842419931</v>
      </c>
      <c r="AN794" s="77">
        <f>$AH794*tbl_Data[[#This Row],[2030 ]]</f>
        <v>71869.152946334027</v>
      </c>
      <c r="AO794" s="77">
        <f>$AH794*tbl_Data[[#This Row],[2031 ]]</f>
        <v>87150.399782318025</v>
      </c>
      <c r="AP794" s="77">
        <f>$AH794*tbl_Data[[#This Row],[2032 ]]</f>
        <v>103180.96972953939</v>
      </c>
      <c r="AQ794" s="77">
        <f>$AH794*tbl_Data[[#This Row],[2033 ]]</f>
        <v>119945.76658945982</v>
      </c>
      <c r="AR794" s="77">
        <f>$AH794*tbl_Data[[#This Row],[2034 ]]</f>
        <v>137407.20679649498</v>
      </c>
      <c r="AS794" s="77">
        <f>SUM(tbl_Data[[#This Row],[Adjusted 2025]:[Adjusted 2034]])</f>
        <v>680828.68383297522</v>
      </c>
      <c r="AT794" s="80">
        <f>AVERAGEIFS('3. Incentive Adjustment'!F:F,'3. Incentive Adjustment'!A:A,tbl_Data[[#This Row],[Trimmed Sector]],'3. Incentive Adjustment'!B:B,tbl_Data[[#This Row],[Trimmed Measure Name]])</f>
        <v>0</v>
      </c>
      <c r="AU794" s="80">
        <f>IFERROR(VLOOKUP(tbl_Data[[#This Row],[All_Meas_Name_Append]],'IRA Tax Credits'!$A$3:$D$46,4,0),0)</f>
        <v>0</v>
      </c>
      <c r="AV794" s="81">
        <f>tbl_Data[[#This Row],[Adj. per unit Incentive ($)]]/tbl_Data[[#This Row],[kWh Savings]]*tbl_Data[[#This Row],[Sum of Annuals]]</f>
        <v>0</v>
      </c>
      <c r="AW794" s="81" t="str">
        <f>IFERROR(VLOOKUP(tbl_Data[[#This Row],[Column1]],'1. Set Program Names'!$B$2:$D$15,3,0)*tbl_Data[[#This Row],[Sum of Annuals]],"")</f>
        <v/>
      </c>
      <c r="AX794" s="81">
        <f>tbl_Data[[#This Row],[per unit IRA tax ($)]]/tbl_Data[[#This Row],[kWh Savings]]*tbl_Data[[#This Row],[Sum of Annuals]]</f>
        <v>0</v>
      </c>
      <c r="AY794" s="81">
        <f>tbl_Data[[#This Row],[Avoided Costs ($/unit)]]/tbl_Data[[#This Row],[kWh Savings]]*tbl_Data[[#This Row],[Sum of Annuals]]</f>
        <v>283282.53620028123</v>
      </c>
      <c r="AZ794" s="81">
        <f>tbl_Data[[#This Row],[Lost Revenue ($/unit)]]/tbl_Data[[#This Row],[kWh Savings]]*tbl_Data[[#This Row],[Sum of Annuals]]</f>
        <v>691938.58495816274</v>
      </c>
      <c r="BA794" s="81">
        <f>tbl_Data[[#This Row],[Incremental Cost ($/unit)]]/tbl_Data[[#This Row],[kWh Savings]]*tbl_Data[[#This Row],[Sum of Annuals]]</f>
        <v>253506.65996156502</v>
      </c>
      <c r="BB794" s="77">
        <f>ROUNDUP(tbl_Data[[#This Row],[Adjusted 2025]]/$L794,0)</f>
        <v>21</v>
      </c>
      <c r="BC794" s="77">
        <f>ROUNDUP(tbl_Data[[#This Row],[Adjusted 2026]]/$L794,0)</f>
        <v>45</v>
      </c>
      <c r="BD794" s="77">
        <f>ROUNDUP(tbl_Data[[#This Row],[Adjusted 2027]]/$L794,0)</f>
        <v>72</v>
      </c>
      <c r="BE794" s="77">
        <f>ROUNDUP(tbl_Data[[#This Row],[Adjusted 2028]]/$L794,0)</f>
        <v>101</v>
      </c>
      <c r="BF794" s="77">
        <f>ROUNDUP(tbl_Data[[#This Row],[Adjusted 2029]]/$L794,0)</f>
        <v>132</v>
      </c>
      <c r="BG794" s="77">
        <f>ROUNDUP(tbl_Data[[#This Row],[Adjusted 2030]]/$L794,0)</f>
        <v>165</v>
      </c>
      <c r="BH794" s="77">
        <f>ROUNDUP(tbl_Data[[#This Row],[Adjusted 2031]]/$L794,0)</f>
        <v>200</v>
      </c>
      <c r="BI794" s="77">
        <f>ROUNDUP(tbl_Data[[#This Row],[Adjusted 2032]]/$L794,0)</f>
        <v>236</v>
      </c>
      <c r="BJ794" s="77">
        <f>ROUNDUP(tbl_Data[[#This Row],[Adjusted 2033]]/$L794,0)</f>
        <v>274</v>
      </c>
      <c r="BK794" s="77">
        <f>ROUNDUP(tbl_Data[[#This Row],[Adjusted 2034]]/$L794,0)</f>
        <v>314</v>
      </c>
      <c r="BL794" s="80">
        <f t="shared" si="331"/>
        <v>0</v>
      </c>
      <c r="BM794" s="80">
        <f t="shared" si="332"/>
        <v>0</v>
      </c>
      <c r="BN794" s="80">
        <f t="shared" si="333"/>
        <v>0</v>
      </c>
      <c r="BO794" s="80">
        <f t="shared" si="334"/>
        <v>0</v>
      </c>
      <c r="BP794" s="80">
        <f t="shared" si="335"/>
        <v>0</v>
      </c>
      <c r="BQ794" s="80">
        <f t="shared" si="336"/>
        <v>0</v>
      </c>
      <c r="BR794" s="80">
        <f t="shared" si="337"/>
        <v>0</v>
      </c>
      <c r="BS794" s="80">
        <f t="shared" si="338"/>
        <v>0</v>
      </c>
      <c r="BT794" s="80">
        <f t="shared" si="339"/>
        <v>0</v>
      </c>
      <c r="BU794" s="80">
        <f t="shared" si="340"/>
        <v>0</v>
      </c>
      <c r="BV794" s="80" t="str">
        <f>IFERROR(VLOOKUP($H794,'1. Set Program Names'!$B$2:$D$15,3,0)*V794,"NA")</f>
        <v>NA</v>
      </c>
      <c r="BW794" s="80" t="str">
        <f>IFERROR(VLOOKUP($H794,'1. Set Program Names'!$B$2:$D$15,3,0)*W794,"NA")</f>
        <v>NA</v>
      </c>
      <c r="BX794" s="80" t="str">
        <f>IFERROR(VLOOKUP($H794,'1. Set Program Names'!$B$2:$D$15,3,0)*X794,"NA")</f>
        <v>NA</v>
      </c>
      <c r="BY794" s="80" t="str">
        <f>IFERROR(VLOOKUP($H794,'1. Set Program Names'!$B$2:$D$15,3,0)*Y794,"NA")</f>
        <v>NA</v>
      </c>
      <c r="BZ794" s="80" t="str">
        <f>IFERROR(VLOOKUP($H794,'1. Set Program Names'!$B$2:$D$15,3,0)*Z794,"NA")</f>
        <v>NA</v>
      </c>
      <c r="CA794" s="80" t="str">
        <f>IFERROR(VLOOKUP($H794,'1. Set Program Names'!$B$2:$D$15,3,0)*AA794,"NA")</f>
        <v>NA</v>
      </c>
      <c r="CB794" s="80" t="str">
        <f>IFERROR(VLOOKUP($H794,'1. Set Program Names'!$B$2:$D$15,3,0)*AB794,"NA")</f>
        <v>NA</v>
      </c>
      <c r="CC794" s="80" t="str">
        <f>IFERROR(VLOOKUP($H794,'1. Set Program Names'!$B$2:$D$15,3,0)*AC794,"NA")</f>
        <v>NA</v>
      </c>
      <c r="CD794" s="80" t="str">
        <f>IFERROR(VLOOKUP($H794,'1. Set Program Names'!$B$2:$D$15,3,0)*AD794,"NA")</f>
        <v>NA</v>
      </c>
      <c r="CE794" s="80" t="str">
        <f>IFERROR(VLOOKUP($H794,'1. Set Program Names'!$B$2:$D$15,3,0)*AE794,"NA")</f>
        <v>NA</v>
      </c>
    </row>
    <row r="795" spans="1:83" x14ac:dyDescent="0.25">
      <c r="A795" s="79" t="s">
        <v>113</v>
      </c>
      <c r="B795" s="79" t="s">
        <v>88</v>
      </c>
      <c r="C795" s="79" t="s">
        <v>176</v>
      </c>
      <c r="D795" s="79" t="s">
        <v>90</v>
      </c>
      <c r="E795" s="79" t="s">
        <v>91</v>
      </c>
      <c r="F795" s="79" t="s">
        <v>90</v>
      </c>
      <c r="G795" s="79" t="s">
        <v>92</v>
      </c>
      <c r="H795" s="79" t="s">
        <v>268</v>
      </c>
      <c r="I795" s="79" t="s">
        <v>193</v>
      </c>
      <c r="J795" s="79" t="s">
        <v>191</v>
      </c>
      <c r="K795" s="79" t="s">
        <v>98</v>
      </c>
      <c r="L795" s="79">
        <v>12009.57</v>
      </c>
      <c r="M795" s="79">
        <v>1.41674258810918</v>
      </c>
      <c r="N795" s="79">
        <v>1.38428653564094</v>
      </c>
      <c r="O795" s="79">
        <v>2450</v>
      </c>
      <c r="P795" s="79">
        <v>34.250530181900103</v>
      </c>
      <c r="Q795" s="79">
        <v>12.00957</v>
      </c>
      <c r="R795" s="79">
        <v>4997.0007566682498</v>
      </c>
      <c r="S795" s="79">
        <v>12205.544609214199</v>
      </c>
      <c r="T795" s="79">
        <v>14</v>
      </c>
      <c r="U795" s="79">
        <v>0.999999999999999</v>
      </c>
      <c r="V795" s="79">
        <f>tbl_Data_old[[#This Row],[2025 ]]*IFERROR(AVERAGEIFS('Participation Adjustment'!$C:$C,'Participation Adjustment'!$A:$A,$H795,'Participation Adjustment'!$B:$B,$I795),1)</f>
        <v>14531.962918957101</v>
      </c>
      <c r="W795" s="79">
        <f>tbl_Data_old[[#This Row],[2026 ]]*IFERROR(AVERAGEIFS('Participation Adjustment'!$C:$C,'Participation Adjustment'!$A:$A,$H795,'Participation Adjustment'!$B:$B,$I795),1)</f>
        <v>31073.2010687986</v>
      </c>
      <c r="X795" s="79">
        <f>tbl_Data_old[[#This Row],[2027 ]]*IFERROR(AVERAGEIFS('Participation Adjustment'!$C:$C,'Participation Adjustment'!$A:$A,$H795,'Participation Adjustment'!$B:$B,$I795),1)</f>
        <v>49368.663322296998</v>
      </c>
      <c r="Y795" s="79">
        <f>tbl_Data_old[[#This Row],[2028 ]]*IFERROR(AVERAGEIFS('Participation Adjustment'!$C:$C,'Participation Adjustment'!$A:$A,$H795,'Participation Adjustment'!$B:$B,$I795),1)</f>
        <v>69403.5287596376</v>
      </c>
      <c r="Z795" s="79">
        <f>tbl_Data_old[[#This Row],[2029 ]]*IFERROR(AVERAGEIFS('Participation Adjustment'!$C:$C,'Participation Adjustment'!$A:$A,$H795,'Participation Adjustment'!$B:$B,$I795),1)</f>
        <v>90947.2022050464</v>
      </c>
      <c r="AA795" s="79">
        <f>tbl_Data_old[[#This Row],[2030 ]]*IFERROR(AVERAGEIFS('Participation Adjustment'!$C:$C,'Participation Adjustment'!$A:$A,$H795,'Participation Adjustment'!$B:$B,$I795),1)</f>
        <v>113897.179963503</v>
      </c>
      <c r="AB795" s="79">
        <f>tbl_Data_old[[#This Row],[2031 ]]*IFERROR(AVERAGEIFS('Participation Adjustment'!$C:$C,'Participation Adjustment'!$A:$A,$H795,'Participation Adjustment'!$B:$B,$I795),1)</f>
        <v>138171.04390205099</v>
      </c>
      <c r="AC795" s="79">
        <f>tbl_Data_old[[#This Row],[2032 ]]*IFERROR(AVERAGEIFS('Participation Adjustment'!$C:$C,'Participation Adjustment'!$A:$A,$H795,'Participation Adjustment'!$B:$B,$I795),1)</f>
        <v>163646.32297686901</v>
      </c>
      <c r="AD795" s="79">
        <f>tbl_Data_old[[#This Row],[2033 ]]*IFERROR(AVERAGEIFS('Participation Adjustment'!$C:$C,'Participation Adjustment'!$A:$A,$H795,'Participation Adjustment'!$B:$B,$I795),1)</f>
        <v>190299.42871169001</v>
      </c>
      <c r="AE795" s="79">
        <f>tbl_Data_old[[#This Row],[2034 ]]*IFERROR(AVERAGEIFS('Participation Adjustment'!$C:$C,'Participation Adjustment'!$A:$A,$H795,'Participation Adjustment'!$B:$B,$I795),1)</f>
        <v>218069.32341741899</v>
      </c>
      <c r="AF795" s="77" t="str">
        <f t="shared" si="330"/>
        <v>NonResidential</v>
      </c>
      <c r="AG795" s="77" t="str">
        <f>tbl_Data[[#This Row],[All_Meas_Name_Append]]</f>
        <v>Synchronous Belt on 75hp ODP Motor</v>
      </c>
      <c r="AH795" s="77">
        <f>AVERAGEIFS('3. Incentive Adjustment'!G:G,'3. Incentive Adjustment'!A:A,tbl_Data[[#This Row],[Trimmed Sector]],'3. Incentive Adjustment'!B:B,tbl_Data[[#This Row],[Trimmed Measure Name]])</f>
        <v>0.99250334293493969</v>
      </c>
      <c r="AI795" s="77">
        <f>$AH795*tbl_Data[[#This Row],[2025 ]]</f>
        <v>14423.021776471507</v>
      </c>
      <c r="AJ795" s="77">
        <f>$AH795*tbl_Data[[#This Row],[2026 ]]</f>
        <v>30840.255936472153</v>
      </c>
      <c r="AK795" s="77">
        <f>$AH795*tbl_Data[[#This Row],[2027 ]]</f>
        <v>48998.563383609318</v>
      </c>
      <c r="AL795" s="77">
        <f>$AH795*tbl_Data[[#This Row],[2028 ]]</f>
        <v>68883.234305421545</v>
      </c>
      <c r="AM795" s="77">
        <f>$AH795*tbl_Data[[#This Row],[2029 ]]</f>
        <v>90265.402219088472</v>
      </c>
      <c r="AN795" s="77">
        <f>$AH795*tbl_Data[[#This Row],[2030 ]]</f>
        <v>113043.33186463917</v>
      </c>
      <c r="AO795" s="77">
        <f>$AH795*tbl_Data[[#This Row],[2031 ]]</f>
        <v>137135.22296959592</v>
      </c>
      <c r="AP795" s="77">
        <f>$AH795*tbl_Data[[#This Row],[2032 ]]</f>
        <v>162419.52261355333</v>
      </c>
      <c r="AQ795" s="77">
        <f>$AH795*tbl_Data[[#This Row],[2033 ]]</f>
        <v>188872.81915496159</v>
      </c>
      <c r="AR795" s="77">
        <f>$AH795*tbl_Data[[#This Row],[2034 ]]</f>
        <v>216434.53248334886</v>
      </c>
      <c r="AS795" s="77">
        <f>SUM(tbl_Data[[#This Row],[Adjusted 2025]:[Adjusted 2034]])</f>
        <v>1071315.906707162</v>
      </c>
      <c r="AT795" s="80">
        <f>AVERAGEIFS('3. Incentive Adjustment'!F:F,'3. Incentive Adjustment'!A:A,tbl_Data[[#This Row],[Trimmed Sector]],'3. Incentive Adjustment'!B:B,tbl_Data[[#This Row],[Trimmed Measure Name]])</f>
        <v>0</v>
      </c>
      <c r="AU795" s="80">
        <f>IFERROR(VLOOKUP(tbl_Data[[#This Row],[All_Meas_Name_Append]],'IRA Tax Credits'!$A$3:$D$46,4,0),0)</f>
        <v>0</v>
      </c>
      <c r="AV795" s="81">
        <f>tbl_Data[[#This Row],[Adj. per unit Incentive ($)]]/tbl_Data[[#This Row],[kWh Savings]]*tbl_Data[[#This Row],[Sum of Annuals]]</f>
        <v>0</v>
      </c>
      <c r="AW795" s="81" t="str">
        <f>IFERROR(VLOOKUP(tbl_Data[[#This Row],[Column1]],'1. Set Program Names'!$B$2:$D$15,3,0)*tbl_Data[[#This Row],[Sum of Annuals]],"")</f>
        <v/>
      </c>
      <c r="AX795" s="81">
        <f>tbl_Data[[#This Row],[per unit IRA tax ($)]]/tbl_Data[[#This Row],[kWh Savings]]*tbl_Data[[#This Row],[Sum of Annuals]]</f>
        <v>0</v>
      </c>
      <c r="AY795" s="81">
        <f>tbl_Data[[#This Row],[Avoided Costs ($/unit)]]/tbl_Data[[#This Row],[kWh Savings]]*tbl_Data[[#This Row],[Sum of Annuals]]</f>
        <v>445758.37406721647</v>
      </c>
      <c r="AZ795" s="81">
        <f>tbl_Data[[#This Row],[Lost Revenue ($/unit)]]/tbl_Data[[#This Row],[kWh Savings]]*tbl_Data[[#This Row],[Sum of Annuals]]</f>
        <v>1088797.857864605</v>
      </c>
      <c r="BA795" s="81">
        <f>tbl_Data[[#This Row],[Incremental Cost ($/unit)]]/tbl_Data[[#This Row],[kWh Savings]]*tbl_Data[[#This Row],[Sum of Annuals]]</f>
        <v>218552.70183966178</v>
      </c>
      <c r="BB795" s="77">
        <f>ROUNDUP(tbl_Data[[#This Row],[Adjusted 2025]]/$L795,0)</f>
        <v>2</v>
      </c>
      <c r="BC795" s="77">
        <f>ROUNDUP(tbl_Data[[#This Row],[Adjusted 2026]]/$L795,0)</f>
        <v>3</v>
      </c>
      <c r="BD795" s="77">
        <f>ROUNDUP(tbl_Data[[#This Row],[Adjusted 2027]]/$L795,0)</f>
        <v>5</v>
      </c>
      <c r="BE795" s="77">
        <f>ROUNDUP(tbl_Data[[#This Row],[Adjusted 2028]]/$L795,0)</f>
        <v>6</v>
      </c>
      <c r="BF795" s="77">
        <f>ROUNDUP(tbl_Data[[#This Row],[Adjusted 2029]]/$L795,0)</f>
        <v>8</v>
      </c>
      <c r="BG795" s="77">
        <f>ROUNDUP(tbl_Data[[#This Row],[Adjusted 2030]]/$L795,0)</f>
        <v>10</v>
      </c>
      <c r="BH795" s="77">
        <f>ROUNDUP(tbl_Data[[#This Row],[Adjusted 2031]]/$L795,0)</f>
        <v>12</v>
      </c>
      <c r="BI795" s="77">
        <f>ROUNDUP(tbl_Data[[#This Row],[Adjusted 2032]]/$L795,0)</f>
        <v>14</v>
      </c>
      <c r="BJ795" s="77">
        <f>ROUNDUP(tbl_Data[[#This Row],[Adjusted 2033]]/$L795,0)</f>
        <v>16</v>
      </c>
      <c r="BK795" s="77">
        <f>ROUNDUP(tbl_Data[[#This Row],[Adjusted 2034]]/$L795,0)</f>
        <v>19</v>
      </c>
      <c r="BL795" s="80">
        <f t="shared" si="331"/>
        <v>0</v>
      </c>
      <c r="BM795" s="80">
        <f t="shared" si="332"/>
        <v>0</v>
      </c>
      <c r="BN795" s="80">
        <f t="shared" si="333"/>
        <v>0</v>
      </c>
      <c r="BO795" s="80">
        <f t="shared" si="334"/>
        <v>0</v>
      </c>
      <c r="BP795" s="80">
        <f t="shared" si="335"/>
        <v>0</v>
      </c>
      <c r="BQ795" s="80">
        <f t="shared" si="336"/>
        <v>0</v>
      </c>
      <c r="BR795" s="80">
        <f t="shared" si="337"/>
        <v>0</v>
      </c>
      <c r="BS795" s="80">
        <f t="shared" si="338"/>
        <v>0</v>
      </c>
      <c r="BT795" s="80">
        <f t="shared" si="339"/>
        <v>0</v>
      </c>
      <c r="BU795" s="80">
        <f t="shared" si="340"/>
        <v>0</v>
      </c>
      <c r="BV795" s="80" t="str">
        <f>IFERROR(VLOOKUP($H795,'1. Set Program Names'!$B$2:$D$15,3,0)*V795,"NA")</f>
        <v>NA</v>
      </c>
      <c r="BW795" s="80" t="str">
        <f>IFERROR(VLOOKUP($H795,'1. Set Program Names'!$B$2:$D$15,3,0)*W795,"NA")</f>
        <v>NA</v>
      </c>
      <c r="BX795" s="80" t="str">
        <f>IFERROR(VLOOKUP($H795,'1. Set Program Names'!$B$2:$D$15,3,0)*X795,"NA")</f>
        <v>NA</v>
      </c>
      <c r="BY795" s="80" t="str">
        <f>IFERROR(VLOOKUP($H795,'1. Set Program Names'!$B$2:$D$15,3,0)*Y795,"NA")</f>
        <v>NA</v>
      </c>
      <c r="BZ795" s="80" t="str">
        <f>IFERROR(VLOOKUP($H795,'1. Set Program Names'!$B$2:$D$15,3,0)*Z795,"NA")</f>
        <v>NA</v>
      </c>
      <c r="CA795" s="80" t="str">
        <f>IFERROR(VLOOKUP($H795,'1. Set Program Names'!$B$2:$D$15,3,0)*AA795,"NA")</f>
        <v>NA</v>
      </c>
      <c r="CB795" s="80" t="str">
        <f>IFERROR(VLOOKUP($H795,'1. Set Program Names'!$B$2:$D$15,3,0)*AB795,"NA")</f>
        <v>NA</v>
      </c>
      <c r="CC795" s="80" t="str">
        <f>IFERROR(VLOOKUP($H795,'1. Set Program Names'!$B$2:$D$15,3,0)*AC795,"NA")</f>
        <v>NA</v>
      </c>
      <c r="CD795" s="80" t="str">
        <f>IFERROR(VLOOKUP($H795,'1. Set Program Names'!$B$2:$D$15,3,0)*AD795,"NA")</f>
        <v>NA</v>
      </c>
      <c r="CE795" s="80" t="str">
        <f>IFERROR(VLOOKUP($H795,'1. Set Program Names'!$B$2:$D$15,3,0)*AE795,"NA")</f>
        <v>NA</v>
      </c>
    </row>
    <row r="796" spans="1:83" x14ac:dyDescent="0.25">
      <c r="A796" s="79" t="s">
        <v>114</v>
      </c>
      <c r="B796" s="79" t="s">
        <v>88</v>
      </c>
      <c r="C796" s="79" t="s">
        <v>176</v>
      </c>
      <c r="D796" s="79" t="s">
        <v>90</v>
      </c>
      <c r="E796" s="79" t="s">
        <v>91</v>
      </c>
      <c r="F796" s="79" t="s">
        <v>90</v>
      </c>
      <c r="G796" s="79" t="s">
        <v>92</v>
      </c>
      <c r="H796" s="79" t="s">
        <v>268</v>
      </c>
      <c r="I796" s="79" t="s">
        <v>179</v>
      </c>
      <c r="J796" s="79" t="s">
        <v>180</v>
      </c>
      <c r="K796" s="79" t="s">
        <v>98</v>
      </c>
      <c r="L796" s="79">
        <v>2684</v>
      </c>
      <c r="M796" s="79">
        <v>0.32197664062426901</v>
      </c>
      <c r="N796" s="79">
        <v>0.310035778837426</v>
      </c>
      <c r="O796" s="79">
        <v>1119</v>
      </c>
      <c r="P796" s="79">
        <v>579.10793250784297</v>
      </c>
      <c r="Q796" s="79">
        <v>2.6840000000000002</v>
      </c>
      <c r="R796" s="79">
        <v>1432.5808011563199</v>
      </c>
      <c r="S796" s="79">
        <v>4046.00364167834</v>
      </c>
      <c r="T796" s="79">
        <v>30</v>
      </c>
      <c r="U796" s="79">
        <v>1</v>
      </c>
      <c r="V796" s="79">
        <f>tbl_Data_old[[#This Row],[2025 ]]*IFERROR(AVERAGEIFS('Participation Adjustment'!$C:$C,'Participation Adjustment'!$A:$A,$H796,'Participation Adjustment'!$B:$B,$I796),1)</f>
        <v>0.18242246849625701</v>
      </c>
      <c r="W796" s="79">
        <f>tbl_Data_old[[#This Row],[2026 ]]*IFERROR(AVERAGEIFS('Participation Adjustment'!$C:$C,'Participation Adjustment'!$A:$A,$H796,'Participation Adjustment'!$B:$B,$I796),1)</f>
        <v>0.25285639896239098</v>
      </c>
      <c r="X796" s="79">
        <f>tbl_Data_old[[#This Row],[2027 ]]*IFERROR(AVERAGEIFS('Participation Adjustment'!$C:$C,'Participation Adjustment'!$A:$A,$H796,'Participation Adjustment'!$B:$B,$I796),1)</f>
        <v>0.33201039420613698</v>
      </c>
      <c r="Y796" s="79">
        <f>tbl_Data_old[[#This Row],[2028 ]]*IFERROR(AVERAGEIFS('Participation Adjustment'!$C:$C,'Participation Adjustment'!$A:$A,$H796,'Participation Adjustment'!$B:$B,$I796),1)</f>
        <v>0.421097667430536</v>
      </c>
      <c r="Z796" s="79">
        <f>tbl_Data_old[[#This Row],[2029 ]]*IFERROR(AVERAGEIFS('Participation Adjustment'!$C:$C,'Participation Adjustment'!$A:$A,$H796,'Participation Adjustment'!$B:$B,$I796),1)</f>
        <v>0.50637705347772499</v>
      </c>
      <c r="AA796" s="79">
        <f>tbl_Data_old[[#This Row],[2030 ]]*IFERROR(AVERAGEIFS('Participation Adjustment'!$C:$C,'Participation Adjustment'!$A:$A,$H796,'Participation Adjustment'!$B:$B,$I796),1)</f>
        <v>0.58599523544280196</v>
      </c>
      <c r="AB796" s="79">
        <f>tbl_Data_old[[#This Row],[2031 ]]*IFERROR(AVERAGEIFS('Participation Adjustment'!$C:$C,'Participation Adjustment'!$A:$A,$H796,'Participation Adjustment'!$B:$B,$I796),1)</f>
        <v>0.65505857099481801</v>
      </c>
      <c r="AC796" s="79">
        <f>tbl_Data_old[[#This Row],[2032 ]]*IFERROR(AVERAGEIFS('Participation Adjustment'!$C:$C,'Participation Adjustment'!$A:$A,$H796,'Participation Adjustment'!$B:$B,$I796),1)</f>
        <v>0.70847378392056504</v>
      </c>
      <c r="AD796" s="79">
        <f>tbl_Data_old[[#This Row],[2033 ]]*IFERROR(AVERAGEIFS('Participation Adjustment'!$C:$C,'Participation Adjustment'!$A:$A,$H796,'Participation Adjustment'!$B:$B,$I796),1)</f>
        <v>0.75187449755664904</v>
      </c>
      <c r="AE796" s="79">
        <f>tbl_Data_old[[#This Row],[2034 ]]*IFERROR(AVERAGEIFS('Participation Adjustment'!$C:$C,'Participation Adjustment'!$A:$A,$H796,'Participation Adjustment'!$B:$B,$I796),1)</f>
        <v>0.78518554687312703</v>
      </c>
      <c r="AF796" s="77" t="str">
        <f t="shared" si="330"/>
        <v>NonResidential</v>
      </c>
      <c r="AG796" s="77" t="str">
        <f>tbl_Data[[#This Row],[All_Meas_Name_Append]]</f>
        <v>Energy Efficient Transformers</v>
      </c>
      <c r="AH796" s="77">
        <f>AVERAGEIFS('3. Incentive Adjustment'!G:G,'3. Incentive Adjustment'!A:A,tbl_Data[[#This Row],[Trimmed Sector]],'3. Incentive Adjustment'!B:B,tbl_Data[[#This Row],[Trimmed Measure Name]])</f>
        <v>0.56592396099637965</v>
      </c>
      <c r="AI796" s="77">
        <f>$AH796*tbl_Data[[#This Row],[2025 ]]</f>
        <v>0.10323724594613905</v>
      </c>
      <c r="AJ796" s="77">
        <f>$AH796*tbl_Data[[#This Row],[2026 ]]</f>
        <v>0.14309749486407716</v>
      </c>
      <c r="AK796" s="77">
        <f>$AH796*tbl_Data[[#This Row],[2027 ]]</f>
        <v>0.18789263738110651</v>
      </c>
      <c r="AL796" s="77">
        <f>$AH796*tbl_Data[[#This Row],[2028 ]]</f>
        <v>0.23830925991862512</v>
      </c>
      <c r="AM796" s="77">
        <f>$AH796*tbl_Data[[#This Row],[2029 ]]</f>
        <v>0.28657090786178968</v>
      </c>
      <c r="AN796" s="77">
        <f>$AH796*tbl_Data[[#This Row],[2030 ]]</f>
        <v>0.33162874476679655</v>
      </c>
      <c r="AO796" s="77">
        <f>$AH796*tbl_Data[[#This Row],[2031 ]]</f>
        <v>0.3707133411820156</v>
      </c>
      <c r="AP796" s="77">
        <f>$AH796*tbl_Data[[#This Row],[2032 ]]</f>
        <v>0.40094229005841936</v>
      </c>
      <c r="AQ796" s="77">
        <f>$AH796*tbl_Data[[#This Row],[2033 ]]</f>
        <v>0.42550379382942161</v>
      </c>
      <c r="AR796" s="77">
        <f>$AH796*tbl_Data[[#This Row],[2034 ]]</f>
        <v>0.44435531480354856</v>
      </c>
      <c r="AS796" s="77">
        <f>SUM(tbl_Data[[#This Row],[Adjusted 2025]:[Adjusted 2034]])</f>
        <v>2.9322510306119391</v>
      </c>
      <c r="AT796" s="80">
        <f>AVERAGEIFS('3. Incentive Adjustment'!F:F,'3. Incentive Adjustment'!A:A,tbl_Data[[#This Row],[Trimmed Sector]],'3. Incentive Adjustment'!B:B,tbl_Data[[#This Row],[Trimmed Measure Name]])</f>
        <v>0</v>
      </c>
      <c r="AU796" s="80">
        <f>IFERROR(VLOOKUP(tbl_Data[[#This Row],[All_Meas_Name_Append]],'IRA Tax Credits'!$A$3:$D$46,4,0),0)</f>
        <v>0</v>
      </c>
      <c r="AV796" s="81">
        <f>tbl_Data[[#This Row],[Adj. per unit Incentive ($)]]/tbl_Data[[#This Row],[kWh Savings]]*tbl_Data[[#This Row],[Sum of Annuals]]</f>
        <v>0</v>
      </c>
      <c r="AW796" s="81" t="str">
        <f>IFERROR(VLOOKUP(tbl_Data[[#This Row],[Column1]],'1. Set Program Names'!$B$2:$D$15,3,0)*tbl_Data[[#This Row],[Sum of Annuals]],"")</f>
        <v/>
      </c>
      <c r="AX796" s="81">
        <f>tbl_Data[[#This Row],[per unit IRA tax ($)]]/tbl_Data[[#This Row],[kWh Savings]]*tbl_Data[[#This Row],[Sum of Annuals]]</f>
        <v>0</v>
      </c>
      <c r="AY796" s="81">
        <f>tbl_Data[[#This Row],[Avoided Costs ($/unit)]]/tbl_Data[[#This Row],[kWh Savings]]*tbl_Data[[#This Row],[Sum of Annuals]]</f>
        <v>1.5650844003820776</v>
      </c>
      <c r="AZ796" s="81">
        <f>tbl_Data[[#This Row],[Lost Revenue ($/unit)]]/tbl_Data[[#This Row],[kWh Savings]]*tbl_Data[[#This Row],[Sum of Annuals]]</f>
        <v>4.4202303830741325</v>
      </c>
      <c r="BA796" s="81">
        <f>tbl_Data[[#This Row],[Incremental Cost ($/unit)]]/tbl_Data[[#This Row],[kWh Savings]]*tbl_Data[[#This Row],[Sum of Annuals]]</f>
        <v>1.2224995913765873</v>
      </c>
      <c r="BB796" s="77">
        <f>ROUNDUP(tbl_Data[[#This Row],[Adjusted 2025]]/$L796,0)</f>
        <v>1</v>
      </c>
      <c r="BC796" s="77">
        <f>ROUNDUP(tbl_Data[[#This Row],[Adjusted 2026]]/$L796,0)</f>
        <v>1</v>
      </c>
      <c r="BD796" s="77">
        <f>ROUNDUP(tbl_Data[[#This Row],[Adjusted 2027]]/$L796,0)</f>
        <v>1</v>
      </c>
      <c r="BE796" s="77">
        <f>ROUNDUP(tbl_Data[[#This Row],[Adjusted 2028]]/$L796,0)</f>
        <v>1</v>
      </c>
      <c r="BF796" s="77">
        <f>ROUNDUP(tbl_Data[[#This Row],[Adjusted 2029]]/$L796,0)</f>
        <v>1</v>
      </c>
      <c r="BG796" s="77">
        <f>ROUNDUP(tbl_Data[[#This Row],[Adjusted 2030]]/$L796,0)</f>
        <v>1</v>
      </c>
      <c r="BH796" s="77">
        <f>ROUNDUP(tbl_Data[[#This Row],[Adjusted 2031]]/$L796,0)</f>
        <v>1</v>
      </c>
      <c r="BI796" s="77">
        <f>ROUNDUP(tbl_Data[[#This Row],[Adjusted 2032]]/$L796,0)</f>
        <v>1</v>
      </c>
      <c r="BJ796" s="77">
        <f>ROUNDUP(tbl_Data[[#This Row],[Adjusted 2033]]/$L796,0)</f>
        <v>1</v>
      </c>
      <c r="BK796" s="77">
        <f>ROUNDUP(tbl_Data[[#This Row],[Adjusted 2034]]/$L796,0)</f>
        <v>1</v>
      </c>
      <c r="BL796" s="80">
        <f t="shared" si="331"/>
        <v>0</v>
      </c>
      <c r="BM796" s="80">
        <f t="shared" si="332"/>
        <v>0</v>
      </c>
      <c r="BN796" s="80">
        <f t="shared" si="333"/>
        <v>0</v>
      </c>
      <c r="BO796" s="80">
        <f t="shared" si="334"/>
        <v>0</v>
      </c>
      <c r="BP796" s="80">
        <f t="shared" si="335"/>
        <v>0</v>
      </c>
      <c r="BQ796" s="80">
        <f t="shared" si="336"/>
        <v>0</v>
      </c>
      <c r="BR796" s="80">
        <f t="shared" si="337"/>
        <v>0</v>
      </c>
      <c r="BS796" s="80">
        <f t="shared" si="338"/>
        <v>0</v>
      </c>
      <c r="BT796" s="80">
        <f t="shared" si="339"/>
        <v>0</v>
      </c>
      <c r="BU796" s="80">
        <f t="shared" si="340"/>
        <v>0</v>
      </c>
      <c r="BV796" s="80" t="str">
        <f>IFERROR(VLOOKUP($H796,'1. Set Program Names'!$B$2:$D$15,3,0)*V796,"NA")</f>
        <v>NA</v>
      </c>
      <c r="BW796" s="80" t="str">
        <f>IFERROR(VLOOKUP($H796,'1. Set Program Names'!$B$2:$D$15,3,0)*W796,"NA")</f>
        <v>NA</v>
      </c>
      <c r="BX796" s="80" t="str">
        <f>IFERROR(VLOOKUP($H796,'1. Set Program Names'!$B$2:$D$15,3,0)*X796,"NA")</f>
        <v>NA</v>
      </c>
      <c r="BY796" s="80" t="str">
        <f>IFERROR(VLOOKUP($H796,'1. Set Program Names'!$B$2:$D$15,3,0)*Y796,"NA")</f>
        <v>NA</v>
      </c>
      <c r="BZ796" s="80" t="str">
        <f>IFERROR(VLOOKUP($H796,'1. Set Program Names'!$B$2:$D$15,3,0)*Z796,"NA")</f>
        <v>NA</v>
      </c>
      <c r="CA796" s="80" t="str">
        <f>IFERROR(VLOOKUP($H796,'1. Set Program Names'!$B$2:$D$15,3,0)*AA796,"NA")</f>
        <v>NA</v>
      </c>
      <c r="CB796" s="80" t="str">
        <f>IFERROR(VLOOKUP($H796,'1. Set Program Names'!$B$2:$D$15,3,0)*AB796,"NA")</f>
        <v>NA</v>
      </c>
      <c r="CC796" s="80" t="str">
        <f>IFERROR(VLOOKUP($H796,'1. Set Program Names'!$B$2:$D$15,3,0)*AC796,"NA")</f>
        <v>NA</v>
      </c>
      <c r="CD796" s="80" t="str">
        <f>IFERROR(VLOOKUP($H796,'1. Set Program Names'!$B$2:$D$15,3,0)*AD796,"NA")</f>
        <v>NA</v>
      </c>
      <c r="CE796" s="80" t="str">
        <f>IFERROR(VLOOKUP($H796,'1. Set Program Names'!$B$2:$D$15,3,0)*AE796,"NA")</f>
        <v>NA</v>
      </c>
    </row>
    <row r="797" spans="1:83" x14ac:dyDescent="0.25">
      <c r="A797" s="79" t="s">
        <v>114</v>
      </c>
      <c r="B797" s="79" t="s">
        <v>88</v>
      </c>
      <c r="C797" s="79" t="s">
        <v>176</v>
      </c>
      <c r="D797" s="79" t="s">
        <v>90</v>
      </c>
      <c r="E797" s="79" t="s">
        <v>91</v>
      </c>
      <c r="F797" s="79" t="s">
        <v>90</v>
      </c>
      <c r="G797" s="79" t="s">
        <v>92</v>
      </c>
      <c r="H797" s="79" t="s">
        <v>268</v>
      </c>
      <c r="I797" s="79" t="s">
        <v>186</v>
      </c>
      <c r="J797" s="79" t="s">
        <v>180</v>
      </c>
      <c r="K797" s="79" t="s">
        <v>102</v>
      </c>
      <c r="L797" s="79">
        <v>27897.5999999999</v>
      </c>
      <c r="M797" s="79">
        <v>3.34663767864367</v>
      </c>
      <c r="N797" s="79">
        <v>3.2225238985450702</v>
      </c>
      <c r="O797" s="79">
        <v>8000</v>
      </c>
      <c r="P797" s="79">
        <v>2762.04801865338</v>
      </c>
      <c r="Q797" s="79">
        <v>27.897599999999901</v>
      </c>
      <c r="R797" s="79">
        <v>11926.089110639999</v>
      </c>
      <c r="S797" s="79">
        <v>29629.215249514</v>
      </c>
      <c r="T797" s="79">
        <v>15</v>
      </c>
      <c r="U797" s="79">
        <v>1</v>
      </c>
      <c r="V797" s="79">
        <f>tbl_Data_old[[#This Row],[2025 ]]*IFERROR(AVERAGEIFS('Participation Adjustment'!$C:$C,'Participation Adjustment'!$A:$A,$H797,'Participation Adjustment'!$B:$B,$I797),1)</f>
        <v>2.95811486796866E-2</v>
      </c>
      <c r="W797" s="79">
        <f>tbl_Data_old[[#This Row],[2026 ]]*IFERROR(AVERAGEIFS('Participation Adjustment'!$C:$C,'Participation Adjustment'!$A:$A,$H797,'Participation Adjustment'!$B:$B,$I797),1)</f>
        <v>3.3320943734168003E-2</v>
      </c>
      <c r="X797" s="79">
        <f>tbl_Data_old[[#This Row],[2027 ]]*IFERROR(AVERAGEIFS('Participation Adjustment'!$C:$C,'Participation Adjustment'!$A:$A,$H797,'Participation Adjustment'!$B:$B,$I797),1)</f>
        <v>3.70659821650485E-2</v>
      </c>
      <c r="Y797" s="79">
        <f>tbl_Data_old[[#This Row],[2028 ]]*IFERROR(AVERAGEIFS('Participation Adjustment'!$C:$C,'Participation Adjustment'!$A:$A,$H797,'Participation Adjustment'!$B:$B,$I797),1)</f>
        <v>4.1742424501021599E-2</v>
      </c>
      <c r="Z797" s="79">
        <f>tbl_Data_old[[#This Row],[2029 ]]*IFERROR(AVERAGEIFS('Participation Adjustment'!$C:$C,'Participation Adjustment'!$A:$A,$H797,'Participation Adjustment'!$B:$B,$I797),1)</f>
        <v>4.5893665557668203E-2</v>
      </c>
      <c r="AA797" s="79">
        <f>tbl_Data_old[[#This Row],[2030 ]]*IFERROR(AVERAGEIFS('Participation Adjustment'!$C:$C,'Participation Adjustment'!$A:$A,$H797,'Participation Adjustment'!$B:$B,$I797),1)</f>
        <v>5.0520305350854097E-2</v>
      </c>
      <c r="AB797" s="79">
        <f>tbl_Data_old[[#This Row],[2031 ]]*IFERROR(AVERAGEIFS('Participation Adjustment'!$C:$C,'Participation Adjustment'!$A:$A,$H797,'Participation Adjustment'!$B:$B,$I797),1)</f>
        <v>5.5551694871627699E-2</v>
      </c>
      <c r="AC797" s="79">
        <f>tbl_Data_old[[#This Row],[2032 ]]*IFERROR(AVERAGEIFS('Participation Adjustment'!$C:$C,'Participation Adjustment'!$A:$A,$H797,'Participation Adjustment'!$B:$B,$I797),1)</f>
        <v>6.0323757995161001E-2</v>
      </c>
      <c r="AD797" s="79">
        <f>tbl_Data_old[[#This Row],[2033 ]]*IFERROR(AVERAGEIFS('Participation Adjustment'!$C:$C,'Participation Adjustment'!$A:$A,$H797,'Participation Adjustment'!$B:$B,$I797),1)</f>
        <v>6.5720768933794402E-2</v>
      </c>
      <c r="AE797" s="79">
        <f>tbl_Data_old[[#This Row],[2034 ]]*IFERROR(AVERAGEIFS('Participation Adjustment'!$C:$C,'Participation Adjustment'!$A:$A,$H797,'Participation Adjustment'!$B:$B,$I797),1)</f>
        <v>7.1188731579456405E-2</v>
      </c>
      <c r="AF797" s="77" t="str">
        <f t="shared" si="330"/>
        <v>NonResidential</v>
      </c>
      <c r="AG797" s="77" t="str">
        <f>tbl_Data[[#This Row],[All_Meas_Name_Append]]</f>
        <v>Grain Bin Aeration Control System</v>
      </c>
      <c r="AH797" s="77">
        <f>AVERAGEIFS('3. Incentive Adjustment'!G:G,'3. Incentive Adjustment'!A:A,tbl_Data[[#This Row],[Trimmed Sector]],'3. Incentive Adjustment'!B:B,tbl_Data[[#This Row],[Trimmed Measure Name]])</f>
        <v>0.77010279279185057</v>
      </c>
      <c r="AI797" s="77">
        <f>$AH797*tbl_Data[[#This Row],[2025 ]]</f>
        <v>2.2780525212217614E-2</v>
      </c>
      <c r="AJ797" s="77">
        <f>$AH797*tbl_Data[[#This Row],[2026 ]]</f>
        <v>2.5660551828142891E-2</v>
      </c>
      <c r="AK797" s="77">
        <f>$AH797*tbl_Data[[#This Row],[2027 ]]</f>
        <v>2.8544616382876774E-2</v>
      </c>
      <c r="AL797" s="77">
        <f>$AH797*tbl_Data[[#This Row],[2028 ]]</f>
        <v>3.2145957686139703E-2</v>
      </c>
      <c r="AM797" s="77">
        <f>$AH797*tbl_Data[[#This Row],[2029 ]]</f>
        <v>3.5342840017415444E-2</v>
      </c>
      <c r="AN797" s="77">
        <f>$AH797*tbl_Data[[#This Row],[2030 ]]</f>
        <v>3.8905828243389812E-2</v>
      </c>
      <c r="AO797" s="77">
        <f>$AH797*tbl_Data[[#This Row],[2031 ]]</f>
        <v>4.2780515364961212E-2</v>
      </c>
      <c r="AP797" s="77">
        <f>$AH797*tbl_Data[[#This Row],[2032 ]]</f>
        <v>4.6455494503773211E-2</v>
      </c>
      <c r="AQ797" s="77">
        <f>$AH797*tbl_Data[[#This Row],[2033 ]]</f>
        <v>5.0611747700342963E-2</v>
      </c>
      <c r="AR797" s="77">
        <f>$AH797*tbl_Data[[#This Row],[2034 ]]</f>
        <v>5.4822641004648787E-2</v>
      </c>
      <c r="AS797" s="77">
        <f>SUM(tbl_Data[[#This Row],[Adjusted 2025]:[Adjusted 2034]])</f>
        <v>0.37805071794390838</v>
      </c>
      <c r="AT797" s="80">
        <f>AVERAGEIFS('3. Incentive Adjustment'!F:F,'3. Incentive Adjustment'!A:A,tbl_Data[[#This Row],[Trimmed Sector]],'3. Incentive Adjustment'!B:B,tbl_Data[[#This Row],[Trimmed Measure Name]])</f>
        <v>0</v>
      </c>
      <c r="AU797" s="80">
        <f>IFERROR(VLOOKUP(tbl_Data[[#This Row],[All_Meas_Name_Append]],'IRA Tax Credits'!$A$3:$D$46,4,0),0)</f>
        <v>0</v>
      </c>
      <c r="AV797" s="81">
        <f>tbl_Data[[#This Row],[Adj. per unit Incentive ($)]]/tbl_Data[[#This Row],[kWh Savings]]*tbl_Data[[#This Row],[Sum of Annuals]]</f>
        <v>0</v>
      </c>
      <c r="AW797" s="81" t="str">
        <f>IFERROR(VLOOKUP(tbl_Data[[#This Row],[Column1]],'1. Set Program Names'!$B$2:$D$15,3,0)*tbl_Data[[#This Row],[Sum of Annuals]],"")</f>
        <v/>
      </c>
      <c r="AX797" s="81">
        <f>tbl_Data[[#This Row],[per unit IRA tax ($)]]/tbl_Data[[#This Row],[kWh Savings]]*tbl_Data[[#This Row],[Sum of Annuals]]</f>
        <v>0</v>
      </c>
      <c r="AY797" s="81">
        <f>tbl_Data[[#This Row],[Avoided Costs ($/unit)]]/tbl_Data[[#This Row],[kWh Savings]]*tbl_Data[[#This Row],[Sum of Annuals]]</f>
        <v>0.16161485398530681</v>
      </c>
      <c r="AZ797" s="81">
        <f>tbl_Data[[#This Row],[Lost Revenue ($/unit)]]/tbl_Data[[#This Row],[kWh Savings]]*tbl_Data[[#This Row],[Sum of Annuals]]</f>
        <v>0.40151647801937818</v>
      </c>
      <c r="BA797" s="81">
        <f>tbl_Data[[#This Row],[Incremental Cost ($/unit)]]/tbl_Data[[#This Row],[kWh Savings]]*tbl_Data[[#This Row],[Sum of Annuals]]</f>
        <v>0.10841096522823748</v>
      </c>
      <c r="BB797" s="77">
        <f>ROUNDUP(tbl_Data[[#This Row],[Adjusted 2025]]/$L797,0)</f>
        <v>1</v>
      </c>
      <c r="BC797" s="77">
        <f>ROUNDUP(tbl_Data[[#This Row],[Adjusted 2026]]/$L797,0)</f>
        <v>1</v>
      </c>
      <c r="BD797" s="77">
        <f>ROUNDUP(tbl_Data[[#This Row],[Adjusted 2027]]/$L797,0)</f>
        <v>1</v>
      </c>
      <c r="BE797" s="77">
        <f>ROUNDUP(tbl_Data[[#This Row],[Adjusted 2028]]/$L797,0)</f>
        <v>1</v>
      </c>
      <c r="BF797" s="77">
        <f>ROUNDUP(tbl_Data[[#This Row],[Adjusted 2029]]/$L797,0)</f>
        <v>1</v>
      </c>
      <c r="BG797" s="77">
        <f>ROUNDUP(tbl_Data[[#This Row],[Adjusted 2030]]/$L797,0)</f>
        <v>1</v>
      </c>
      <c r="BH797" s="77">
        <f>ROUNDUP(tbl_Data[[#This Row],[Adjusted 2031]]/$L797,0)</f>
        <v>1</v>
      </c>
      <c r="BI797" s="77">
        <f>ROUNDUP(tbl_Data[[#This Row],[Adjusted 2032]]/$L797,0)</f>
        <v>1</v>
      </c>
      <c r="BJ797" s="77">
        <f>ROUNDUP(tbl_Data[[#This Row],[Adjusted 2033]]/$L797,0)</f>
        <v>1</v>
      </c>
      <c r="BK797" s="77">
        <f>ROUNDUP(tbl_Data[[#This Row],[Adjusted 2034]]/$L797,0)</f>
        <v>1</v>
      </c>
      <c r="BL797" s="80">
        <f t="shared" si="331"/>
        <v>0</v>
      </c>
      <c r="BM797" s="80">
        <f t="shared" si="332"/>
        <v>0</v>
      </c>
      <c r="BN797" s="80">
        <f t="shared" si="333"/>
        <v>0</v>
      </c>
      <c r="BO797" s="80">
        <f t="shared" si="334"/>
        <v>0</v>
      </c>
      <c r="BP797" s="80">
        <f t="shared" si="335"/>
        <v>0</v>
      </c>
      <c r="BQ797" s="80">
        <f t="shared" si="336"/>
        <v>0</v>
      </c>
      <c r="BR797" s="80">
        <f t="shared" si="337"/>
        <v>0</v>
      </c>
      <c r="BS797" s="80">
        <f t="shared" si="338"/>
        <v>0</v>
      </c>
      <c r="BT797" s="80">
        <f t="shared" si="339"/>
        <v>0</v>
      </c>
      <c r="BU797" s="80">
        <f t="shared" si="340"/>
        <v>0</v>
      </c>
      <c r="BV797" s="80" t="str">
        <f>IFERROR(VLOOKUP($H797,'1. Set Program Names'!$B$2:$D$15,3,0)*V797,"NA")</f>
        <v>NA</v>
      </c>
      <c r="BW797" s="80" t="str">
        <f>IFERROR(VLOOKUP($H797,'1. Set Program Names'!$B$2:$D$15,3,0)*W797,"NA")</f>
        <v>NA</v>
      </c>
      <c r="BX797" s="80" t="str">
        <f>IFERROR(VLOOKUP($H797,'1. Set Program Names'!$B$2:$D$15,3,0)*X797,"NA")</f>
        <v>NA</v>
      </c>
      <c r="BY797" s="80" t="str">
        <f>IFERROR(VLOOKUP($H797,'1. Set Program Names'!$B$2:$D$15,3,0)*Y797,"NA")</f>
        <v>NA</v>
      </c>
      <c r="BZ797" s="80" t="str">
        <f>IFERROR(VLOOKUP($H797,'1. Set Program Names'!$B$2:$D$15,3,0)*Z797,"NA")</f>
        <v>NA</v>
      </c>
      <c r="CA797" s="80" t="str">
        <f>IFERROR(VLOOKUP($H797,'1. Set Program Names'!$B$2:$D$15,3,0)*AA797,"NA")</f>
        <v>NA</v>
      </c>
      <c r="CB797" s="80" t="str">
        <f>IFERROR(VLOOKUP($H797,'1. Set Program Names'!$B$2:$D$15,3,0)*AB797,"NA")</f>
        <v>NA</v>
      </c>
      <c r="CC797" s="80" t="str">
        <f>IFERROR(VLOOKUP($H797,'1. Set Program Names'!$B$2:$D$15,3,0)*AC797,"NA")</f>
        <v>NA</v>
      </c>
      <c r="CD797" s="80" t="str">
        <f>IFERROR(VLOOKUP($H797,'1. Set Program Names'!$B$2:$D$15,3,0)*AD797,"NA")</f>
        <v>NA</v>
      </c>
      <c r="CE797" s="80" t="str">
        <f>IFERROR(VLOOKUP($H797,'1. Set Program Names'!$B$2:$D$15,3,0)*AE797,"NA")</f>
        <v>NA</v>
      </c>
    </row>
    <row r="798" spans="1:83" x14ac:dyDescent="0.25">
      <c r="A798" s="79" t="s">
        <v>114</v>
      </c>
      <c r="B798" s="79" t="s">
        <v>88</v>
      </c>
      <c r="C798" s="79" t="s">
        <v>176</v>
      </c>
      <c r="D798" s="79" t="s">
        <v>90</v>
      </c>
      <c r="E798" s="79" t="s">
        <v>91</v>
      </c>
      <c r="F798" s="79" t="s">
        <v>90</v>
      </c>
      <c r="G798" s="79" t="s">
        <v>92</v>
      </c>
      <c r="H798" s="79" t="s">
        <v>268</v>
      </c>
      <c r="I798" s="79" t="s">
        <v>181</v>
      </c>
      <c r="J798" s="79" t="s">
        <v>182</v>
      </c>
      <c r="K798" s="79" t="s">
        <v>98</v>
      </c>
      <c r="L798" s="79">
        <v>21140.159999999902</v>
      </c>
      <c r="M798" s="79">
        <v>2.4928340912459501</v>
      </c>
      <c r="N798" s="79">
        <v>2.4353939910039801</v>
      </c>
      <c r="O798" s="79">
        <v>4269.76</v>
      </c>
      <c r="P798" s="79">
        <v>17.441519984740999</v>
      </c>
      <c r="Q798" s="79">
        <v>21.140159999999899</v>
      </c>
      <c r="R798" s="79">
        <v>7174.5673333962905</v>
      </c>
      <c r="S798" s="79">
        <v>17003.9302734632</v>
      </c>
      <c r="T798" s="79">
        <v>10</v>
      </c>
      <c r="U798" s="79">
        <v>1</v>
      </c>
      <c r="V798" s="79">
        <f>tbl_Data_old[[#This Row],[2025 ]]*IFERROR(AVERAGEIFS('Participation Adjustment'!$C:$C,'Participation Adjustment'!$A:$A,$H798,'Participation Adjustment'!$B:$B,$I798),1)</f>
        <v>0.76123037399070004</v>
      </c>
      <c r="W798" s="79">
        <f>tbl_Data_old[[#This Row],[2026 ]]*IFERROR(AVERAGEIFS('Participation Adjustment'!$C:$C,'Participation Adjustment'!$A:$A,$H798,'Participation Adjustment'!$B:$B,$I798),1)</f>
        <v>0.86648259242715298</v>
      </c>
      <c r="X798" s="79">
        <f>tbl_Data_old[[#This Row],[2027 ]]*IFERROR(AVERAGEIFS('Participation Adjustment'!$C:$C,'Participation Adjustment'!$A:$A,$H798,'Participation Adjustment'!$B:$B,$I798),1)</f>
        <v>0.95837442272821505</v>
      </c>
      <c r="Y798" s="79">
        <f>tbl_Data_old[[#This Row],[2028 ]]*IFERROR(AVERAGEIFS('Participation Adjustment'!$C:$C,'Participation Adjustment'!$A:$A,$H798,'Participation Adjustment'!$B:$B,$I798),1)</f>
        <v>1.0494898861753099</v>
      </c>
      <c r="Z798" s="79">
        <f>tbl_Data_old[[#This Row],[2029 ]]*IFERROR(AVERAGEIFS('Participation Adjustment'!$C:$C,'Participation Adjustment'!$A:$A,$H798,'Participation Adjustment'!$B:$B,$I798),1)</f>
        <v>1.12852604190095</v>
      </c>
      <c r="AA798" s="79">
        <f>tbl_Data_old[[#This Row],[2030 ]]*IFERROR(AVERAGEIFS('Participation Adjustment'!$C:$C,'Participation Adjustment'!$A:$A,$H798,'Participation Adjustment'!$B:$B,$I798),1)</f>
        <v>1.2021927285101099</v>
      </c>
      <c r="AB798" s="79">
        <f>tbl_Data_old[[#This Row],[2031 ]]*IFERROR(AVERAGEIFS('Participation Adjustment'!$C:$C,'Participation Adjustment'!$A:$A,$H798,'Participation Adjustment'!$B:$B,$I798),1)</f>
        <v>1.27154209153913</v>
      </c>
      <c r="AC798" s="79">
        <f>tbl_Data_old[[#This Row],[2032 ]]*IFERROR(AVERAGEIFS('Participation Adjustment'!$C:$C,'Participation Adjustment'!$A:$A,$H798,'Participation Adjustment'!$B:$B,$I798),1)</f>
        <v>1.3344760323014599</v>
      </c>
      <c r="AD798" s="79">
        <f>tbl_Data_old[[#This Row],[2033 ]]*IFERROR(AVERAGEIFS('Participation Adjustment'!$C:$C,'Participation Adjustment'!$A:$A,$H798,'Participation Adjustment'!$B:$B,$I798),1)</f>
        <v>1.3961743337552499</v>
      </c>
      <c r="AE798" s="79">
        <f>tbl_Data_old[[#This Row],[2034 ]]*IFERROR(AVERAGEIFS('Participation Adjustment'!$C:$C,'Participation Adjustment'!$A:$A,$H798,'Participation Adjustment'!$B:$B,$I798),1)</f>
        <v>1.4546752871869799</v>
      </c>
      <c r="AF798" s="77" t="str">
        <f t="shared" si="330"/>
        <v>NonResidential</v>
      </c>
      <c r="AG798" s="77" t="str">
        <f>tbl_Data[[#This Row],[All_Meas_Name_Append]]</f>
        <v>High Volume Low Speed Fan (HVLS)</v>
      </c>
      <c r="AH798" s="77">
        <f>AVERAGEIFS('3. Incentive Adjustment'!G:G,'3. Incentive Adjustment'!A:A,tbl_Data[[#This Row],[Trimmed Sector]],'3. Incentive Adjustment'!B:B,tbl_Data[[#This Row],[Trimmed Measure Name]])</f>
        <v>0.99782547587781634</v>
      </c>
      <c r="AI798" s="77">
        <f>$AH798*tbl_Data[[#This Row],[2025 ]]</f>
        <v>0.75957506017991838</v>
      </c>
      <c r="AJ798" s="77">
        <f>$AH798*tbl_Data[[#This Row],[2026 ]]</f>
        <v>0.86459840512846786</v>
      </c>
      <c r="AK798" s="77">
        <f>$AH798*tbl_Data[[#This Row],[2027 ]]</f>
        <v>0.95629041442790874</v>
      </c>
      <c r="AL798" s="77">
        <f>$AH798*tbl_Data[[#This Row],[2028 ]]</f>
        <v>1.047207745101834</v>
      </c>
      <c r="AM798" s="77">
        <f>$AH798*tbl_Data[[#This Row],[2029 ]]</f>
        <v>1.1260720348003239</v>
      </c>
      <c r="AN798" s="77">
        <f>$AH798*tbl_Data[[#This Row],[2030 ]]</f>
        <v>1.199578531422451</v>
      </c>
      <c r="AO798" s="77">
        <f>$AH798*tbl_Data[[#This Row],[2031 ]]</f>
        <v>1.2687770925887063</v>
      </c>
      <c r="AP798" s="77">
        <f>$AH798*tbl_Data[[#This Row],[2032 ]]</f>
        <v>1.3315741819787446</v>
      </c>
      <c r="AQ798" s="77">
        <f>$AH798*tbl_Data[[#This Row],[2033 ]]</f>
        <v>1.3931383189877253</v>
      </c>
      <c r="AR798" s="77">
        <f>$AH798*tbl_Data[[#This Row],[2034 ]]</f>
        <v>1.4515120606850473</v>
      </c>
      <c r="AS798" s="77">
        <f>SUM(tbl_Data[[#This Row],[Adjusted 2025]:[Adjusted 2034]])</f>
        <v>11.398323845301128</v>
      </c>
      <c r="AT798" s="80">
        <f>AVERAGEIFS('3. Incentive Adjustment'!F:F,'3. Incentive Adjustment'!A:A,tbl_Data[[#This Row],[Trimmed Sector]],'3. Incentive Adjustment'!B:B,tbl_Data[[#This Row],[Trimmed Measure Name]])</f>
        <v>0</v>
      </c>
      <c r="AU798" s="80">
        <f>IFERROR(VLOOKUP(tbl_Data[[#This Row],[All_Meas_Name_Append]],'IRA Tax Credits'!$A$3:$D$46,4,0),0)</f>
        <v>0</v>
      </c>
      <c r="AV798" s="81">
        <f>tbl_Data[[#This Row],[Adj. per unit Incentive ($)]]/tbl_Data[[#This Row],[kWh Savings]]*tbl_Data[[#This Row],[Sum of Annuals]]</f>
        <v>0</v>
      </c>
      <c r="AW798" s="81" t="str">
        <f>IFERROR(VLOOKUP(tbl_Data[[#This Row],[Column1]],'1. Set Program Names'!$B$2:$D$15,3,0)*tbl_Data[[#This Row],[Sum of Annuals]],"")</f>
        <v/>
      </c>
      <c r="AX798" s="81">
        <f>tbl_Data[[#This Row],[per unit IRA tax ($)]]/tbl_Data[[#This Row],[kWh Savings]]*tbl_Data[[#This Row],[Sum of Annuals]]</f>
        <v>0</v>
      </c>
      <c r="AY798" s="81">
        <f>tbl_Data[[#This Row],[Avoided Costs ($/unit)]]/tbl_Data[[#This Row],[kWh Savings]]*tbl_Data[[#This Row],[Sum of Annuals]]</f>
        <v>3.8683738399316674</v>
      </c>
      <c r="AZ798" s="81">
        <f>tbl_Data[[#This Row],[Lost Revenue ($/unit)]]/tbl_Data[[#This Row],[kWh Savings]]*tbl_Data[[#This Row],[Sum of Annuals]]</f>
        <v>9.1681569060903154</v>
      </c>
      <c r="BA798" s="81">
        <f>tbl_Data[[#This Row],[Incremental Cost ($/unit)]]/tbl_Data[[#This Row],[kWh Savings]]*tbl_Data[[#This Row],[Sum of Annuals]]</f>
        <v>2.3021636175749465</v>
      </c>
      <c r="BB798" s="77">
        <f>ROUNDUP(tbl_Data[[#This Row],[Adjusted 2025]]/$L798,0)</f>
        <v>1</v>
      </c>
      <c r="BC798" s="77">
        <f>ROUNDUP(tbl_Data[[#This Row],[Adjusted 2026]]/$L798,0)</f>
        <v>1</v>
      </c>
      <c r="BD798" s="77">
        <f>ROUNDUP(tbl_Data[[#This Row],[Adjusted 2027]]/$L798,0)</f>
        <v>1</v>
      </c>
      <c r="BE798" s="77">
        <f>ROUNDUP(tbl_Data[[#This Row],[Adjusted 2028]]/$L798,0)</f>
        <v>1</v>
      </c>
      <c r="BF798" s="77">
        <f>ROUNDUP(tbl_Data[[#This Row],[Adjusted 2029]]/$L798,0)</f>
        <v>1</v>
      </c>
      <c r="BG798" s="77">
        <f>ROUNDUP(tbl_Data[[#This Row],[Adjusted 2030]]/$L798,0)</f>
        <v>1</v>
      </c>
      <c r="BH798" s="77">
        <f>ROUNDUP(tbl_Data[[#This Row],[Adjusted 2031]]/$L798,0)</f>
        <v>1</v>
      </c>
      <c r="BI798" s="77">
        <f>ROUNDUP(tbl_Data[[#This Row],[Adjusted 2032]]/$L798,0)</f>
        <v>1</v>
      </c>
      <c r="BJ798" s="77">
        <f>ROUNDUP(tbl_Data[[#This Row],[Adjusted 2033]]/$L798,0)</f>
        <v>1</v>
      </c>
      <c r="BK798" s="77">
        <f>ROUNDUP(tbl_Data[[#This Row],[Adjusted 2034]]/$L798,0)</f>
        <v>1</v>
      </c>
      <c r="BL798" s="80">
        <f t="shared" si="331"/>
        <v>0</v>
      </c>
      <c r="BM798" s="80">
        <f t="shared" si="332"/>
        <v>0</v>
      </c>
      <c r="BN798" s="80">
        <f t="shared" si="333"/>
        <v>0</v>
      </c>
      <c r="BO798" s="80">
        <f t="shared" si="334"/>
        <v>0</v>
      </c>
      <c r="BP798" s="80">
        <f t="shared" si="335"/>
        <v>0</v>
      </c>
      <c r="BQ798" s="80">
        <f t="shared" si="336"/>
        <v>0</v>
      </c>
      <c r="BR798" s="80">
        <f t="shared" si="337"/>
        <v>0</v>
      </c>
      <c r="BS798" s="80">
        <f t="shared" si="338"/>
        <v>0</v>
      </c>
      <c r="BT798" s="80">
        <f t="shared" si="339"/>
        <v>0</v>
      </c>
      <c r="BU798" s="80">
        <f t="shared" si="340"/>
        <v>0</v>
      </c>
      <c r="BV798" s="80" t="str">
        <f>IFERROR(VLOOKUP($H798,'1. Set Program Names'!$B$2:$D$15,3,0)*V798,"NA")</f>
        <v>NA</v>
      </c>
      <c r="BW798" s="80" t="str">
        <f>IFERROR(VLOOKUP($H798,'1. Set Program Names'!$B$2:$D$15,3,0)*W798,"NA")</f>
        <v>NA</v>
      </c>
      <c r="BX798" s="80" t="str">
        <f>IFERROR(VLOOKUP($H798,'1. Set Program Names'!$B$2:$D$15,3,0)*X798,"NA")</f>
        <v>NA</v>
      </c>
      <c r="BY798" s="80" t="str">
        <f>IFERROR(VLOOKUP($H798,'1. Set Program Names'!$B$2:$D$15,3,0)*Y798,"NA")</f>
        <v>NA</v>
      </c>
      <c r="BZ798" s="80" t="str">
        <f>IFERROR(VLOOKUP($H798,'1. Set Program Names'!$B$2:$D$15,3,0)*Z798,"NA")</f>
        <v>NA</v>
      </c>
      <c r="CA798" s="80" t="str">
        <f>IFERROR(VLOOKUP($H798,'1. Set Program Names'!$B$2:$D$15,3,0)*AA798,"NA")</f>
        <v>NA</v>
      </c>
      <c r="CB798" s="80" t="str">
        <f>IFERROR(VLOOKUP($H798,'1. Set Program Names'!$B$2:$D$15,3,0)*AB798,"NA")</f>
        <v>NA</v>
      </c>
      <c r="CC798" s="80" t="str">
        <f>IFERROR(VLOOKUP($H798,'1. Set Program Names'!$B$2:$D$15,3,0)*AC798,"NA")</f>
        <v>NA</v>
      </c>
      <c r="CD798" s="80" t="str">
        <f>IFERROR(VLOOKUP($H798,'1. Set Program Names'!$B$2:$D$15,3,0)*AD798,"NA")</f>
        <v>NA</v>
      </c>
      <c r="CE798" s="80" t="str">
        <f>IFERROR(VLOOKUP($H798,'1. Set Program Names'!$B$2:$D$15,3,0)*AE798,"NA")</f>
        <v>NA</v>
      </c>
    </row>
    <row r="799" spans="1:83" x14ac:dyDescent="0.25">
      <c r="A799" s="79" t="s">
        <v>114</v>
      </c>
      <c r="B799" s="79" t="s">
        <v>88</v>
      </c>
      <c r="C799" s="79" t="s">
        <v>176</v>
      </c>
      <c r="D799" s="79" t="s">
        <v>90</v>
      </c>
      <c r="E799" s="79" t="s">
        <v>91</v>
      </c>
      <c r="F799" s="79" t="s">
        <v>90</v>
      </c>
      <c r="G799" s="79" t="s">
        <v>92</v>
      </c>
      <c r="H799" s="79" t="s">
        <v>268</v>
      </c>
      <c r="I799" s="79" t="s">
        <v>183</v>
      </c>
      <c r="J799" s="79" t="s">
        <v>178</v>
      </c>
      <c r="K799" s="79" t="s">
        <v>130</v>
      </c>
      <c r="L799" s="79">
        <v>113444.97999999901</v>
      </c>
      <c r="M799" s="79">
        <v>13.5911727914499</v>
      </c>
      <c r="N799" s="79">
        <v>13.0925103405659</v>
      </c>
      <c r="O799" s="79">
        <v>42343.199999999997</v>
      </c>
      <c r="P799" s="79">
        <v>19818.792281260001</v>
      </c>
      <c r="Q799" s="79">
        <v>113.44497999999901</v>
      </c>
      <c r="R799" s="79">
        <v>54449.419529642699</v>
      </c>
      <c r="S799" s="79">
        <v>142371.22131797599</v>
      </c>
      <c r="T799" s="79">
        <v>20</v>
      </c>
      <c r="U799" s="79">
        <v>1</v>
      </c>
      <c r="V799" s="79">
        <f>tbl_Data_old[[#This Row],[2025 ]]*IFERROR(AVERAGEIFS('Participation Adjustment'!$C:$C,'Participation Adjustment'!$A:$A,$H799,'Participation Adjustment'!$B:$B,$I799),1)</f>
        <v>9.2662016119339496E-2</v>
      </c>
      <c r="W799" s="79">
        <f>tbl_Data_old[[#This Row],[2026 ]]*IFERROR(AVERAGEIFS('Participation Adjustment'!$C:$C,'Participation Adjustment'!$A:$A,$H799,'Participation Adjustment'!$B:$B,$I799),1)</f>
        <v>9.0977344401348997E-2</v>
      </c>
      <c r="X799" s="79">
        <f>tbl_Data_old[[#This Row],[2027 ]]*IFERROR(AVERAGEIFS('Participation Adjustment'!$C:$C,'Participation Adjustment'!$A:$A,$H799,'Participation Adjustment'!$B:$B,$I799),1)</f>
        <v>8.8496027553761097E-2</v>
      </c>
      <c r="Y799" s="79">
        <f>tbl_Data_old[[#This Row],[2028 ]]*IFERROR(AVERAGEIFS('Participation Adjustment'!$C:$C,'Participation Adjustment'!$A:$A,$H799,'Participation Adjustment'!$B:$B,$I799),1)</f>
        <v>8.5966793500097893E-2</v>
      </c>
      <c r="Z799" s="79">
        <f>tbl_Data_old[[#This Row],[2029 ]]*IFERROR(AVERAGEIFS('Participation Adjustment'!$C:$C,'Participation Adjustment'!$A:$A,$H799,'Participation Adjustment'!$B:$B,$I799),1)</f>
        <v>8.3546716123946999E-2</v>
      </c>
      <c r="AA799" s="79">
        <f>tbl_Data_old[[#This Row],[2030 ]]*IFERROR(AVERAGEIFS('Participation Adjustment'!$C:$C,'Participation Adjustment'!$A:$A,$H799,'Participation Adjustment'!$B:$B,$I799),1)</f>
        <v>8.0914925730743603E-2</v>
      </c>
      <c r="AB799" s="79">
        <f>tbl_Data_old[[#This Row],[2031 ]]*IFERROR(AVERAGEIFS('Participation Adjustment'!$C:$C,'Participation Adjustment'!$A:$A,$H799,'Participation Adjustment'!$B:$B,$I799),1)</f>
        <v>7.8252847712873205E-2</v>
      </c>
      <c r="AC799" s="79">
        <f>tbl_Data_old[[#This Row],[2032 ]]*IFERROR(AVERAGEIFS('Participation Adjustment'!$C:$C,'Participation Adjustment'!$A:$A,$H799,'Participation Adjustment'!$B:$B,$I799),1)</f>
        <v>7.5742892979657306E-2</v>
      </c>
      <c r="AD799" s="79">
        <f>tbl_Data_old[[#This Row],[2033 ]]*IFERROR(AVERAGEIFS('Participation Adjustment'!$C:$C,'Participation Adjustment'!$A:$A,$H799,'Participation Adjustment'!$B:$B,$I799),1)</f>
        <v>7.3226024920849703E-2</v>
      </c>
      <c r="AE799" s="79">
        <f>tbl_Data_old[[#This Row],[2034 ]]*IFERROR(AVERAGEIFS('Participation Adjustment'!$C:$C,'Participation Adjustment'!$A:$A,$H799,'Participation Adjustment'!$B:$B,$I799),1)</f>
        <v>7.0792600976596301E-2</v>
      </c>
      <c r="AF799" s="77" t="str">
        <f t="shared" si="330"/>
        <v>NonResidential</v>
      </c>
      <c r="AG799" s="77" t="str">
        <f>tbl_Data[[#This Row],[All_Meas_Name_Append]]</f>
        <v>Industrial Duct Sealing</v>
      </c>
      <c r="AH799" s="77">
        <f>AVERAGEIFS('3. Incentive Adjustment'!G:G,'3. Incentive Adjustment'!A:A,tbl_Data[[#This Row],[Trimmed Sector]],'3. Incentive Adjustment'!B:B,tbl_Data[[#This Row],[Trimmed Measure Name]])</f>
        <v>0.63068496474049041</v>
      </c>
      <c r="AI799" s="77">
        <f>$AH799*tbl_Data[[#This Row],[2025 ]]</f>
        <v>5.8440540369008386E-2</v>
      </c>
      <c r="AJ799" s="77">
        <f>$AH799*tbl_Data[[#This Row],[2026 ]]</f>
        <v>5.7378043245948245E-2</v>
      </c>
      <c r="AK799" s="77">
        <f>$AH799*tbl_Data[[#This Row],[2027 ]]</f>
        <v>5.5813114017417287E-2</v>
      </c>
      <c r="AL799" s="77">
        <f>$AH799*tbl_Data[[#This Row],[2028 ]]</f>
        <v>5.4217964127462256E-2</v>
      </c>
      <c r="AM799" s="77">
        <f>$AH799*tbl_Data[[#This Row],[2029 ]]</f>
        <v>5.2691657712815275E-2</v>
      </c>
      <c r="AN799" s="77">
        <f>$AH799*tbl_Data[[#This Row],[2030 ]]</f>
        <v>5.1031827081473427E-2</v>
      </c>
      <c r="AO799" s="77">
        <f>$AH799*tbl_Data[[#This Row],[2031 ]]</f>
        <v>4.9352894500636402E-2</v>
      </c>
      <c r="AP799" s="77">
        <f>$AH799*tbl_Data[[#This Row],[2032 ]]</f>
        <v>4.7769903788217903E-2</v>
      </c>
      <c r="AQ799" s="77">
        <f>$AH799*tbl_Data[[#This Row],[2033 ]]</f>
        <v>4.6182552945292367E-2</v>
      </c>
      <c r="AR799" s="77">
        <f>$AH799*tbl_Data[[#This Row],[2034 ]]</f>
        <v>4.4647829050812243E-2</v>
      </c>
      <c r="AS799" s="77">
        <f>SUM(tbl_Data[[#This Row],[Adjusted 2025]:[Adjusted 2034]])</f>
        <v>0.51752632683908373</v>
      </c>
      <c r="AT799" s="80">
        <f>AVERAGEIFS('3. Incentive Adjustment'!F:F,'3. Incentive Adjustment'!A:A,tbl_Data[[#This Row],[Trimmed Sector]],'3. Incentive Adjustment'!B:B,tbl_Data[[#This Row],[Trimmed Measure Name]])</f>
        <v>0</v>
      </c>
      <c r="AU799" s="80">
        <f>IFERROR(VLOOKUP(tbl_Data[[#This Row],[All_Meas_Name_Append]],'IRA Tax Credits'!$A$3:$D$46,4,0),0)</f>
        <v>0</v>
      </c>
      <c r="AV799" s="81">
        <f>tbl_Data[[#This Row],[Adj. per unit Incentive ($)]]/tbl_Data[[#This Row],[kWh Savings]]*tbl_Data[[#This Row],[Sum of Annuals]]</f>
        <v>0</v>
      </c>
      <c r="AW799" s="81" t="str">
        <f>IFERROR(VLOOKUP(tbl_Data[[#This Row],[Column1]],'1. Set Program Names'!$B$2:$D$15,3,0)*tbl_Data[[#This Row],[Sum of Annuals]],"")</f>
        <v/>
      </c>
      <c r="AX799" s="81">
        <f>tbl_Data[[#This Row],[per unit IRA tax ($)]]/tbl_Data[[#This Row],[kWh Savings]]*tbl_Data[[#This Row],[Sum of Annuals]]</f>
        <v>0</v>
      </c>
      <c r="AY799" s="81">
        <f>tbl_Data[[#This Row],[Avoided Costs ($/unit)]]/tbl_Data[[#This Row],[kWh Savings]]*tbl_Data[[#This Row],[Sum of Annuals]]</f>
        <v>0.24839360972778612</v>
      </c>
      <c r="AZ799" s="81">
        <f>tbl_Data[[#This Row],[Lost Revenue ($/unit)]]/tbl_Data[[#This Row],[kWh Savings]]*tbl_Data[[#This Row],[Sum of Annuals]]</f>
        <v>0.64948537358186331</v>
      </c>
      <c r="BA799" s="81">
        <f>tbl_Data[[#This Row],[Incremental Cost ($/unit)]]/tbl_Data[[#This Row],[kWh Savings]]*tbl_Data[[#This Row],[Sum of Annuals]]</f>
        <v>0.19316606836735201</v>
      </c>
      <c r="BB799" s="77">
        <f>ROUNDUP(tbl_Data[[#This Row],[Adjusted 2025]]/$L799,0)</f>
        <v>1</v>
      </c>
      <c r="BC799" s="77">
        <f>ROUNDUP(tbl_Data[[#This Row],[Adjusted 2026]]/$L799,0)</f>
        <v>1</v>
      </c>
      <c r="BD799" s="77">
        <f>ROUNDUP(tbl_Data[[#This Row],[Adjusted 2027]]/$L799,0)</f>
        <v>1</v>
      </c>
      <c r="BE799" s="77">
        <f>ROUNDUP(tbl_Data[[#This Row],[Adjusted 2028]]/$L799,0)</f>
        <v>1</v>
      </c>
      <c r="BF799" s="77">
        <f>ROUNDUP(tbl_Data[[#This Row],[Adjusted 2029]]/$L799,0)</f>
        <v>1</v>
      </c>
      <c r="BG799" s="77">
        <f>ROUNDUP(tbl_Data[[#This Row],[Adjusted 2030]]/$L799,0)</f>
        <v>1</v>
      </c>
      <c r="BH799" s="77">
        <f>ROUNDUP(tbl_Data[[#This Row],[Adjusted 2031]]/$L799,0)</f>
        <v>1</v>
      </c>
      <c r="BI799" s="77">
        <f>ROUNDUP(tbl_Data[[#This Row],[Adjusted 2032]]/$L799,0)</f>
        <v>1</v>
      </c>
      <c r="BJ799" s="77">
        <f>ROUNDUP(tbl_Data[[#This Row],[Adjusted 2033]]/$L799,0)</f>
        <v>1</v>
      </c>
      <c r="BK799" s="77">
        <f>ROUNDUP(tbl_Data[[#This Row],[Adjusted 2034]]/$L799,0)</f>
        <v>1</v>
      </c>
      <c r="BL799" s="80">
        <f t="shared" si="331"/>
        <v>0</v>
      </c>
      <c r="BM799" s="80">
        <f t="shared" si="332"/>
        <v>0</v>
      </c>
      <c r="BN799" s="80">
        <f t="shared" si="333"/>
        <v>0</v>
      </c>
      <c r="BO799" s="80">
        <f t="shared" si="334"/>
        <v>0</v>
      </c>
      <c r="BP799" s="80">
        <f t="shared" si="335"/>
        <v>0</v>
      </c>
      <c r="BQ799" s="80">
        <f t="shared" si="336"/>
        <v>0</v>
      </c>
      <c r="BR799" s="80">
        <f t="shared" si="337"/>
        <v>0</v>
      </c>
      <c r="BS799" s="80">
        <f t="shared" si="338"/>
        <v>0</v>
      </c>
      <c r="BT799" s="80">
        <f t="shared" si="339"/>
        <v>0</v>
      </c>
      <c r="BU799" s="80">
        <f t="shared" si="340"/>
        <v>0</v>
      </c>
      <c r="BV799" s="80" t="str">
        <f>IFERROR(VLOOKUP($H799,'1. Set Program Names'!$B$2:$D$15,3,0)*V799,"NA")</f>
        <v>NA</v>
      </c>
      <c r="BW799" s="80" t="str">
        <f>IFERROR(VLOOKUP($H799,'1. Set Program Names'!$B$2:$D$15,3,0)*W799,"NA")</f>
        <v>NA</v>
      </c>
      <c r="BX799" s="80" t="str">
        <f>IFERROR(VLOOKUP($H799,'1. Set Program Names'!$B$2:$D$15,3,0)*X799,"NA")</f>
        <v>NA</v>
      </c>
      <c r="BY799" s="80" t="str">
        <f>IFERROR(VLOOKUP($H799,'1. Set Program Names'!$B$2:$D$15,3,0)*Y799,"NA")</f>
        <v>NA</v>
      </c>
      <c r="BZ799" s="80" t="str">
        <f>IFERROR(VLOOKUP($H799,'1. Set Program Names'!$B$2:$D$15,3,0)*Z799,"NA")</f>
        <v>NA</v>
      </c>
      <c r="CA799" s="80" t="str">
        <f>IFERROR(VLOOKUP($H799,'1. Set Program Names'!$B$2:$D$15,3,0)*AA799,"NA")</f>
        <v>NA</v>
      </c>
      <c r="CB799" s="80" t="str">
        <f>IFERROR(VLOOKUP($H799,'1. Set Program Names'!$B$2:$D$15,3,0)*AB799,"NA")</f>
        <v>NA</v>
      </c>
      <c r="CC799" s="80" t="str">
        <f>IFERROR(VLOOKUP($H799,'1. Set Program Names'!$B$2:$D$15,3,0)*AC799,"NA")</f>
        <v>NA</v>
      </c>
      <c r="CD799" s="80" t="str">
        <f>IFERROR(VLOOKUP($H799,'1. Set Program Names'!$B$2:$D$15,3,0)*AD799,"NA")</f>
        <v>NA</v>
      </c>
      <c r="CE799" s="80" t="str">
        <f>IFERROR(VLOOKUP($H799,'1. Set Program Names'!$B$2:$D$15,3,0)*AE799,"NA")</f>
        <v>NA</v>
      </c>
    </row>
    <row r="800" spans="1:83" x14ac:dyDescent="0.25">
      <c r="A800" s="79" t="s">
        <v>114</v>
      </c>
      <c r="B800" s="79" t="s">
        <v>88</v>
      </c>
      <c r="C800" s="79" t="s">
        <v>176</v>
      </c>
      <c r="D800" s="79" t="s">
        <v>90</v>
      </c>
      <c r="E800" s="79" t="s">
        <v>91</v>
      </c>
      <c r="F800" s="79" t="s">
        <v>90</v>
      </c>
      <c r="G800" s="79" t="s">
        <v>92</v>
      </c>
      <c r="H800" s="79" t="s">
        <v>268</v>
      </c>
      <c r="I800" s="79" t="s">
        <v>270</v>
      </c>
      <c r="J800" s="79" t="s">
        <v>191</v>
      </c>
      <c r="K800" s="79" t="s">
        <v>98</v>
      </c>
      <c r="L800" s="79">
        <v>2628</v>
      </c>
      <c r="M800" s="79">
        <v>0.31001938633530801</v>
      </c>
      <c r="N800" s="79">
        <v>0.30291717485841702</v>
      </c>
      <c r="O800" s="79">
        <v>810.229999999999</v>
      </c>
      <c r="P800" s="79">
        <v>281.60244658368498</v>
      </c>
      <c r="Q800" s="79">
        <v>2.6280000000000001</v>
      </c>
      <c r="R800" s="79">
        <v>891.847172411815</v>
      </c>
      <c r="S800" s="79">
        <v>2113.8122303076898</v>
      </c>
      <c r="T800" s="79">
        <v>10</v>
      </c>
      <c r="U800" s="79">
        <v>1</v>
      </c>
      <c r="V800" s="79">
        <f>tbl_Data_old[[#This Row],[2025 ]]*IFERROR(AVERAGEIFS('Participation Adjustment'!$C:$C,'Participation Adjustment'!$A:$A,$H800,'Participation Adjustment'!$B:$B,$I800),1)</f>
        <v>2.0940031881399599</v>
      </c>
      <c r="W800" s="79">
        <f>tbl_Data_old[[#This Row],[2026 ]]*IFERROR(AVERAGEIFS('Participation Adjustment'!$C:$C,'Participation Adjustment'!$A:$A,$H800,'Participation Adjustment'!$B:$B,$I800),1)</f>
        <v>2.9025469791538701</v>
      </c>
      <c r="X800" s="79">
        <f>tbl_Data_old[[#This Row],[2027 ]]*IFERROR(AVERAGEIFS('Participation Adjustment'!$C:$C,'Participation Adjustment'!$A:$A,$H800,'Participation Adjustment'!$B:$B,$I800),1)</f>
        <v>3.8118169858332598</v>
      </c>
      <c r="Y800" s="79">
        <f>tbl_Data_old[[#This Row],[2028 ]]*IFERROR(AVERAGEIFS('Participation Adjustment'!$C:$C,'Participation Adjustment'!$A:$A,$H800,'Participation Adjustment'!$B:$B,$I800),1)</f>
        <v>4.8180119293816501</v>
      </c>
      <c r="Z800" s="79">
        <f>tbl_Data_old[[#This Row],[2029 ]]*IFERROR(AVERAGEIFS('Participation Adjustment'!$C:$C,'Participation Adjustment'!$A:$A,$H800,'Participation Adjustment'!$B:$B,$I800),1)</f>
        <v>5.8013200440967001</v>
      </c>
      <c r="AA800" s="79">
        <f>tbl_Data_old[[#This Row],[2030 ]]*IFERROR(AVERAGEIFS('Participation Adjustment'!$C:$C,'Participation Adjustment'!$A:$A,$H800,'Participation Adjustment'!$B:$B,$I800),1)</f>
        <v>6.7106642503300398</v>
      </c>
      <c r="AB800" s="79">
        <f>tbl_Data_old[[#This Row],[2031 ]]*IFERROR(AVERAGEIFS('Participation Adjustment'!$C:$C,'Participation Adjustment'!$A:$A,$H800,'Participation Adjustment'!$B:$B,$I800),1)</f>
        <v>7.4927230534480298</v>
      </c>
      <c r="AC800" s="79">
        <f>tbl_Data_old[[#This Row],[2032 ]]*IFERROR(AVERAGEIFS('Participation Adjustment'!$C:$C,'Participation Adjustment'!$A:$A,$H800,'Participation Adjustment'!$B:$B,$I800),1)</f>
        <v>8.1101849981225893</v>
      </c>
      <c r="AD800" s="79">
        <f>tbl_Data_old[[#This Row],[2033 ]]*IFERROR(AVERAGEIFS('Participation Adjustment'!$C:$C,'Participation Adjustment'!$A:$A,$H800,'Participation Adjustment'!$B:$B,$I800),1)</f>
        <v>8.5994696082663094</v>
      </c>
      <c r="AE800" s="79">
        <f>tbl_Data_old[[#This Row],[2034 ]]*IFERROR(AVERAGEIFS('Participation Adjustment'!$C:$C,'Participation Adjustment'!$A:$A,$H800,'Participation Adjustment'!$B:$B,$I800),1)</f>
        <v>8.9750160359768607</v>
      </c>
      <c r="AF800" s="77" t="str">
        <f t="shared" si="330"/>
        <v>NonResidential</v>
      </c>
      <c r="AG800" s="77" t="str">
        <f>tbl_Data[[#This Row],[All_Meas_Name_Append]]</f>
        <v>Low Energy Livestock Waterer</v>
      </c>
      <c r="AH800" s="77">
        <f>AVERAGEIFS('3. Incentive Adjustment'!G:G,'3. Incentive Adjustment'!A:A,tbl_Data[[#This Row],[Trimmed Sector]],'3. Incentive Adjustment'!B:B,tbl_Data[[#This Row],[Trimmed Measure Name]])</f>
        <v>0.7537232854794027</v>
      </c>
      <c r="AI800" s="77">
        <f>$AH800*tbl_Data[[#This Row],[2025 ]]</f>
        <v>1.5782989627691943</v>
      </c>
      <c r="AJ800" s="77">
        <f>$AH800*tbl_Data[[#This Row],[2026 ]]</f>
        <v>2.1877172453861702</v>
      </c>
      <c r="AK800" s="77">
        <f>$AH800*tbl_Data[[#This Row],[2027 ]]</f>
        <v>2.8730552222084382</v>
      </c>
      <c r="AL800" s="77">
        <f>$AH800*tbl_Data[[#This Row],[2028 ]]</f>
        <v>3.6314477808924934</v>
      </c>
      <c r="AM800" s="77">
        <f>$AH800*tbl_Data[[#This Row],[2029 ]]</f>
        <v>4.3725900037540786</v>
      </c>
      <c r="AN800" s="77">
        <f>$AH800*tbl_Data[[#This Row],[2030 ]]</f>
        <v>5.0579839065079302</v>
      </c>
      <c r="AO800" s="77">
        <f>$AH800*tbl_Data[[#This Row],[2031 ]]</f>
        <v>5.6474398370321115</v>
      </c>
      <c r="AP800" s="77">
        <f>$AH800*tbl_Data[[#This Row],[2032 ]]</f>
        <v>6.1128352826307211</v>
      </c>
      <c r="AQ800" s="77">
        <f>$AH800*tbl_Data[[#This Row],[2033 ]]</f>
        <v>6.4816204865227549</v>
      </c>
      <c r="AR800" s="77">
        <f>$AH800*tbl_Data[[#This Row],[2034 ]]</f>
        <v>6.7646785738668047</v>
      </c>
      <c r="AS800" s="77">
        <f>SUM(tbl_Data[[#This Row],[Adjusted 2025]:[Adjusted 2034]])</f>
        <v>44.707667301570694</v>
      </c>
      <c r="AT800" s="80">
        <f>AVERAGEIFS('3. Incentive Adjustment'!F:F,'3. Incentive Adjustment'!A:A,tbl_Data[[#This Row],[Trimmed Sector]],'3. Incentive Adjustment'!B:B,tbl_Data[[#This Row],[Trimmed Measure Name]])</f>
        <v>0</v>
      </c>
      <c r="AU800" s="80">
        <f>IFERROR(VLOOKUP(tbl_Data[[#This Row],[All_Meas_Name_Append]],'IRA Tax Credits'!$A$3:$D$46,4,0),0)</f>
        <v>0</v>
      </c>
      <c r="AV800" s="81">
        <f>tbl_Data[[#This Row],[Adj. per unit Incentive ($)]]/tbl_Data[[#This Row],[kWh Savings]]*tbl_Data[[#This Row],[Sum of Annuals]]</f>
        <v>0</v>
      </c>
      <c r="AW800" s="81" t="str">
        <f>IFERROR(VLOOKUP(tbl_Data[[#This Row],[Column1]],'1. Set Program Names'!$B$2:$D$15,3,0)*tbl_Data[[#This Row],[Sum of Annuals]],"")</f>
        <v/>
      </c>
      <c r="AX800" s="81">
        <f>tbl_Data[[#This Row],[per unit IRA tax ($)]]/tbl_Data[[#This Row],[kWh Savings]]*tbl_Data[[#This Row],[Sum of Annuals]]</f>
        <v>0</v>
      </c>
      <c r="AY800" s="81">
        <f>tbl_Data[[#This Row],[Avoided Costs ($/unit)]]/tbl_Data[[#This Row],[kWh Savings]]*tbl_Data[[#This Row],[Sum of Annuals]]</f>
        <v>15.172148656025108</v>
      </c>
      <c r="AZ800" s="81">
        <f>tbl_Data[[#This Row],[Lost Revenue ($/unit)]]/tbl_Data[[#This Row],[kWh Savings]]*tbl_Data[[#This Row],[Sum of Annuals]]</f>
        <v>35.960279273435056</v>
      </c>
      <c r="BA800" s="81">
        <f>tbl_Data[[#This Row],[Incremental Cost ($/unit)]]/tbl_Data[[#This Row],[kWh Savings]]*tbl_Data[[#This Row],[Sum of Annuals]]</f>
        <v>13.783673241153569</v>
      </c>
      <c r="BB800" s="77">
        <f>ROUNDUP(tbl_Data[[#This Row],[Adjusted 2025]]/$L800,0)</f>
        <v>1</v>
      </c>
      <c r="BC800" s="77">
        <f>ROUNDUP(tbl_Data[[#This Row],[Adjusted 2026]]/$L800,0)</f>
        <v>1</v>
      </c>
      <c r="BD800" s="77">
        <f>ROUNDUP(tbl_Data[[#This Row],[Adjusted 2027]]/$L800,0)</f>
        <v>1</v>
      </c>
      <c r="BE800" s="77">
        <f>ROUNDUP(tbl_Data[[#This Row],[Adjusted 2028]]/$L800,0)</f>
        <v>1</v>
      </c>
      <c r="BF800" s="77">
        <f>ROUNDUP(tbl_Data[[#This Row],[Adjusted 2029]]/$L800,0)</f>
        <v>1</v>
      </c>
      <c r="BG800" s="77">
        <f>ROUNDUP(tbl_Data[[#This Row],[Adjusted 2030]]/$L800,0)</f>
        <v>1</v>
      </c>
      <c r="BH800" s="77">
        <f>ROUNDUP(tbl_Data[[#This Row],[Adjusted 2031]]/$L800,0)</f>
        <v>1</v>
      </c>
      <c r="BI800" s="77">
        <f>ROUNDUP(tbl_Data[[#This Row],[Adjusted 2032]]/$L800,0)</f>
        <v>1</v>
      </c>
      <c r="BJ800" s="77">
        <f>ROUNDUP(tbl_Data[[#This Row],[Adjusted 2033]]/$L800,0)</f>
        <v>1</v>
      </c>
      <c r="BK800" s="77">
        <f>ROUNDUP(tbl_Data[[#This Row],[Adjusted 2034]]/$L800,0)</f>
        <v>1</v>
      </c>
      <c r="BL800" s="80">
        <f t="shared" si="331"/>
        <v>0</v>
      </c>
      <c r="BM800" s="80">
        <f t="shared" si="332"/>
        <v>0</v>
      </c>
      <c r="BN800" s="80">
        <f t="shared" si="333"/>
        <v>0</v>
      </c>
      <c r="BO800" s="80">
        <f t="shared" si="334"/>
        <v>0</v>
      </c>
      <c r="BP800" s="80">
        <f t="shared" si="335"/>
        <v>0</v>
      </c>
      <c r="BQ800" s="80">
        <f t="shared" si="336"/>
        <v>0</v>
      </c>
      <c r="BR800" s="80">
        <f t="shared" si="337"/>
        <v>0</v>
      </c>
      <c r="BS800" s="80">
        <f t="shared" si="338"/>
        <v>0</v>
      </c>
      <c r="BT800" s="80">
        <f t="shared" si="339"/>
        <v>0</v>
      </c>
      <c r="BU800" s="80">
        <f t="shared" si="340"/>
        <v>0</v>
      </c>
      <c r="BV800" s="80" t="str">
        <f>IFERROR(VLOOKUP($H800,'1. Set Program Names'!$B$2:$D$15,3,0)*V800,"NA")</f>
        <v>NA</v>
      </c>
      <c r="BW800" s="80" t="str">
        <f>IFERROR(VLOOKUP($H800,'1. Set Program Names'!$B$2:$D$15,3,0)*W800,"NA")</f>
        <v>NA</v>
      </c>
      <c r="BX800" s="80" t="str">
        <f>IFERROR(VLOOKUP($H800,'1. Set Program Names'!$B$2:$D$15,3,0)*X800,"NA")</f>
        <v>NA</v>
      </c>
      <c r="BY800" s="80" t="str">
        <f>IFERROR(VLOOKUP($H800,'1. Set Program Names'!$B$2:$D$15,3,0)*Y800,"NA")</f>
        <v>NA</v>
      </c>
      <c r="BZ800" s="80" t="str">
        <f>IFERROR(VLOOKUP($H800,'1. Set Program Names'!$B$2:$D$15,3,0)*Z800,"NA")</f>
        <v>NA</v>
      </c>
      <c r="CA800" s="80" t="str">
        <f>IFERROR(VLOOKUP($H800,'1. Set Program Names'!$B$2:$D$15,3,0)*AA800,"NA")</f>
        <v>NA</v>
      </c>
      <c r="CB800" s="80" t="str">
        <f>IFERROR(VLOOKUP($H800,'1. Set Program Names'!$B$2:$D$15,3,0)*AB800,"NA")</f>
        <v>NA</v>
      </c>
      <c r="CC800" s="80" t="str">
        <f>IFERROR(VLOOKUP($H800,'1. Set Program Names'!$B$2:$D$15,3,0)*AC800,"NA")</f>
        <v>NA</v>
      </c>
      <c r="CD800" s="80" t="str">
        <f>IFERROR(VLOOKUP($H800,'1. Set Program Names'!$B$2:$D$15,3,0)*AD800,"NA")</f>
        <v>NA</v>
      </c>
      <c r="CE800" s="80" t="str">
        <f>IFERROR(VLOOKUP($H800,'1. Set Program Names'!$B$2:$D$15,3,0)*AE800,"NA")</f>
        <v>NA</v>
      </c>
    </row>
    <row r="801" spans="1:83" x14ac:dyDescent="0.25">
      <c r="A801" s="79" t="s">
        <v>114</v>
      </c>
      <c r="B801" s="79" t="s">
        <v>88</v>
      </c>
      <c r="C801" s="79" t="s">
        <v>176</v>
      </c>
      <c r="D801" s="79" t="s">
        <v>90</v>
      </c>
      <c r="E801" s="79" t="s">
        <v>91</v>
      </c>
      <c r="F801" s="79" t="s">
        <v>90</v>
      </c>
      <c r="G801" s="79" t="s">
        <v>92</v>
      </c>
      <c r="H801" s="79" t="s">
        <v>268</v>
      </c>
      <c r="I801" s="79" t="s">
        <v>184</v>
      </c>
      <c r="J801" s="79" t="s">
        <v>180</v>
      </c>
      <c r="K801" s="79" t="s">
        <v>98</v>
      </c>
      <c r="L801" s="79">
        <v>3514.8091666666501</v>
      </c>
      <c r="M801" s="79">
        <v>0.421134949485237</v>
      </c>
      <c r="N801" s="79">
        <v>0.40566942535109901</v>
      </c>
      <c r="O801" s="79">
        <v>1028.8599999999999</v>
      </c>
      <c r="P801" s="79">
        <v>322.03243304134497</v>
      </c>
      <c r="Q801" s="79">
        <v>3.5148091666666499</v>
      </c>
      <c r="R801" s="79">
        <v>1184.78167438478</v>
      </c>
      <c r="S801" s="79">
        <v>2827.1105797935802</v>
      </c>
      <c r="T801" s="79">
        <v>10</v>
      </c>
      <c r="U801" s="79">
        <v>1</v>
      </c>
      <c r="V801" s="79">
        <f>tbl_Data_old[[#This Row],[2025 ]]*IFERROR(AVERAGEIFS('Participation Adjustment'!$C:$C,'Participation Adjustment'!$A:$A,$H801,'Participation Adjustment'!$B:$B,$I801),1)</f>
        <v>0.248684347310377</v>
      </c>
      <c r="W801" s="79">
        <f>tbl_Data_old[[#This Row],[2026 ]]*IFERROR(AVERAGEIFS('Participation Adjustment'!$C:$C,'Participation Adjustment'!$A:$A,$H801,'Participation Adjustment'!$B:$B,$I801),1)</f>
        <v>0.34297130771599799</v>
      </c>
      <c r="X801" s="79">
        <f>tbl_Data_old[[#This Row],[2027 ]]*IFERROR(AVERAGEIFS('Participation Adjustment'!$C:$C,'Participation Adjustment'!$A:$A,$H801,'Participation Adjustment'!$B:$B,$I801),1)</f>
        <v>0.45797324998070199</v>
      </c>
      <c r="Y801" s="79">
        <f>tbl_Data_old[[#This Row],[2028 ]]*IFERROR(AVERAGEIFS('Participation Adjustment'!$C:$C,'Participation Adjustment'!$A:$A,$H801,'Participation Adjustment'!$B:$B,$I801),1)</f>
        <v>0.59606051847848496</v>
      </c>
      <c r="Z801" s="79">
        <f>tbl_Data_old[[#This Row],[2029 ]]*IFERROR(AVERAGEIFS('Participation Adjustment'!$C:$C,'Participation Adjustment'!$A:$A,$H801,'Participation Adjustment'!$B:$B,$I801),1)</f>
        <v>0.74168950233027497</v>
      </c>
      <c r="AA801" s="79">
        <f>tbl_Data_old[[#This Row],[2030 ]]*IFERROR(AVERAGEIFS('Participation Adjustment'!$C:$C,'Participation Adjustment'!$A:$A,$H801,'Participation Adjustment'!$B:$B,$I801),1)</f>
        <v>0.87721489745457304</v>
      </c>
      <c r="AB801" s="79">
        <f>tbl_Data_old[[#This Row],[2031 ]]*IFERROR(AVERAGEIFS('Participation Adjustment'!$C:$C,'Participation Adjustment'!$A:$A,$H801,'Participation Adjustment'!$B:$B,$I801),1)</f>
        <v>0.97402973351224398</v>
      </c>
      <c r="AC801" s="79">
        <f>tbl_Data_old[[#This Row],[2032 ]]*IFERROR(AVERAGEIFS('Participation Adjustment'!$C:$C,'Participation Adjustment'!$A:$A,$H801,'Participation Adjustment'!$B:$B,$I801),1)</f>
        <v>1.00102629904116</v>
      </c>
      <c r="AD801" s="79">
        <f>tbl_Data_old[[#This Row],[2033 ]]*IFERROR(AVERAGEIFS('Participation Adjustment'!$C:$C,'Participation Adjustment'!$A:$A,$H801,'Participation Adjustment'!$B:$B,$I801),1)</f>
        <v>0.94554513384255201</v>
      </c>
      <c r="AE801" s="79">
        <f>tbl_Data_old[[#This Row],[2034 ]]*IFERROR(AVERAGEIFS('Participation Adjustment'!$C:$C,'Participation Adjustment'!$A:$A,$H801,'Participation Adjustment'!$B:$B,$I801),1)</f>
        <v>0.81724772183904404</v>
      </c>
      <c r="AF801" s="77" t="str">
        <f t="shared" si="330"/>
        <v>NonResidential</v>
      </c>
      <c r="AG801" s="77" t="str">
        <f>tbl_Data[[#This Row],[All_Meas_Name_Append]]</f>
        <v>Low Pressure-drop Filters</v>
      </c>
      <c r="AH801" s="77">
        <f>AVERAGEIFS('3. Incentive Adjustment'!G:G,'3. Incentive Adjustment'!A:A,tbl_Data[[#This Row],[Trimmed Sector]],'3. Incentive Adjustment'!B:B,tbl_Data[[#This Row],[Trimmed Measure Name]])</f>
        <v>0.78525588861759776</v>
      </c>
      <c r="AI801" s="77">
        <f>$AH801*tbl_Data[[#This Row],[2025 ]]</f>
        <v>0.19528084813249741</v>
      </c>
      <c r="AJ801" s="77">
        <f>$AH801*tbl_Data[[#This Row],[2026 ]]</f>
        <v>0.26932023901086555</v>
      </c>
      <c r="AK801" s="77">
        <f>$AH801*tbl_Data[[#This Row],[2027 ]]</f>
        <v>0.35962619137668539</v>
      </c>
      <c r="AL801" s="77">
        <f>$AH801*tbl_Data[[#This Row],[2028 ]]</f>
        <v>0.46806003210768876</v>
      </c>
      <c r="AM801" s="77">
        <f>$AH801*tbl_Data[[#This Row],[2029 ]]</f>
        <v>0.58241604923070389</v>
      </c>
      <c r="AN801" s="77">
        <f>$AH801*tbl_Data[[#This Row],[2030 ]]</f>
        <v>0.68883816380928564</v>
      </c>
      <c r="AO801" s="77">
        <f>$AH801*tbl_Data[[#This Row],[2031 ]]</f>
        <v>0.7648625839291191</v>
      </c>
      <c r="AP801" s="77">
        <f>$AH801*tbl_Data[[#This Row],[2032 ]]</f>
        <v>0.78606179598315129</v>
      </c>
      <c r="AQ801" s="77">
        <f>$AH801*tbl_Data[[#This Row],[2033 ]]</f>
        <v>0.74249488430357857</v>
      </c>
      <c r="AR801" s="77">
        <f>$AH801*tbl_Data[[#This Row],[2034 ]]</f>
        <v>0.64174858603342588</v>
      </c>
      <c r="AS801" s="77">
        <f>SUM(tbl_Data[[#This Row],[Adjusted 2025]:[Adjusted 2034]])</f>
        <v>5.4987093739170021</v>
      </c>
      <c r="AT801" s="80">
        <f>AVERAGEIFS('3. Incentive Adjustment'!F:F,'3. Incentive Adjustment'!A:A,tbl_Data[[#This Row],[Trimmed Sector]],'3. Incentive Adjustment'!B:B,tbl_Data[[#This Row],[Trimmed Measure Name]])</f>
        <v>0</v>
      </c>
      <c r="AU801" s="80">
        <f>IFERROR(VLOOKUP(tbl_Data[[#This Row],[All_Meas_Name_Append]],'IRA Tax Credits'!$A$3:$D$46,4,0),0)</f>
        <v>0</v>
      </c>
      <c r="AV801" s="81">
        <f>tbl_Data[[#This Row],[Adj. per unit Incentive ($)]]/tbl_Data[[#This Row],[kWh Savings]]*tbl_Data[[#This Row],[Sum of Annuals]]</f>
        <v>0</v>
      </c>
      <c r="AW801" s="81" t="str">
        <f>IFERROR(VLOOKUP(tbl_Data[[#This Row],[Column1]],'1. Set Program Names'!$B$2:$D$15,3,0)*tbl_Data[[#This Row],[Sum of Annuals]],"")</f>
        <v/>
      </c>
      <c r="AX801" s="81">
        <f>tbl_Data[[#This Row],[per unit IRA tax ($)]]/tbl_Data[[#This Row],[kWh Savings]]*tbl_Data[[#This Row],[Sum of Annuals]]</f>
        <v>0</v>
      </c>
      <c r="AY801" s="81">
        <f>tbl_Data[[#This Row],[Avoided Costs ($/unit)]]/tbl_Data[[#This Row],[kWh Savings]]*tbl_Data[[#This Row],[Sum of Annuals]]</f>
        <v>1.8535202880340451</v>
      </c>
      <c r="AZ801" s="81">
        <f>tbl_Data[[#This Row],[Lost Revenue ($/unit)]]/tbl_Data[[#This Row],[kWh Savings]]*tbl_Data[[#This Row],[Sum of Annuals]]</f>
        <v>4.4228459381633467</v>
      </c>
      <c r="BA801" s="81">
        <f>tbl_Data[[#This Row],[Incremental Cost ($/unit)]]/tbl_Data[[#This Row],[kWh Savings]]*tbl_Data[[#This Row],[Sum of Annuals]]</f>
        <v>1.6095901251485507</v>
      </c>
      <c r="BB801" s="77">
        <f>ROUNDUP(tbl_Data[[#This Row],[Adjusted 2025]]/$L801,0)</f>
        <v>1</v>
      </c>
      <c r="BC801" s="77">
        <f>ROUNDUP(tbl_Data[[#This Row],[Adjusted 2026]]/$L801,0)</f>
        <v>1</v>
      </c>
      <c r="BD801" s="77">
        <f>ROUNDUP(tbl_Data[[#This Row],[Adjusted 2027]]/$L801,0)</f>
        <v>1</v>
      </c>
      <c r="BE801" s="77">
        <f>ROUNDUP(tbl_Data[[#This Row],[Adjusted 2028]]/$L801,0)</f>
        <v>1</v>
      </c>
      <c r="BF801" s="77">
        <f>ROUNDUP(tbl_Data[[#This Row],[Adjusted 2029]]/$L801,0)</f>
        <v>1</v>
      </c>
      <c r="BG801" s="77">
        <f>ROUNDUP(tbl_Data[[#This Row],[Adjusted 2030]]/$L801,0)</f>
        <v>1</v>
      </c>
      <c r="BH801" s="77">
        <f>ROUNDUP(tbl_Data[[#This Row],[Adjusted 2031]]/$L801,0)</f>
        <v>1</v>
      </c>
      <c r="BI801" s="77">
        <f>ROUNDUP(tbl_Data[[#This Row],[Adjusted 2032]]/$L801,0)</f>
        <v>1</v>
      </c>
      <c r="BJ801" s="77">
        <f>ROUNDUP(tbl_Data[[#This Row],[Adjusted 2033]]/$L801,0)</f>
        <v>1</v>
      </c>
      <c r="BK801" s="77">
        <f>ROUNDUP(tbl_Data[[#This Row],[Adjusted 2034]]/$L801,0)</f>
        <v>1</v>
      </c>
      <c r="BL801" s="80">
        <f t="shared" si="331"/>
        <v>0</v>
      </c>
      <c r="BM801" s="80">
        <f t="shared" si="332"/>
        <v>0</v>
      </c>
      <c r="BN801" s="80">
        <f t="shared" si="333"/>
        <v>0</v>
      </c>
      <c r="BO801" s="80">
        <f t="shared" si="334"/>
        <v>0</v>
      </c>
      <c r="BP801" s="80">
        <f t="shared" si="335"/>
        <v>0</v>
      </c>
      <c r="BQ801" s="80">
        <f t="shared" si="336"/>
        <v>0</v>
      </c>
      <c r="BR801" s="80">
        <f t="shared" si="337"/>
        <v>0</v>
      </c>
      <c r="BS801" s="80">
        <f t="shared" si="338"/>
        <v>0</v>
      </c>
      <c r="BT801" s="80">
        <f t="shared" si="339"/>
        <v>0</v>
      </c>
      <c r="BU801" s="80">
        <f t="shared" si="340"/>
        <v>0</v>
      </c>
      <c r="BV801" s="80" t="str">
        <f>IFERROR(VLOOKUP($H801,'1. Set Program Names'!$B$2:$D$15,3,0)*V801,"NA")</f>
        <v>NA</v>
      </c>
      <c r="BW801" s="80" t="str">
        <f>IFERROR(VLOOKUP($H801,'1. Set Program Names'!$B$2:$D$15,3,0)*W801,"NA")</f>
        <v>NA</v>
      </c>
      <c r="BX801" s="80" t="str">
        <f>IFERROR(VLOOKUP($H801,'1. Set Program Names'!$B$2:$D$15,3,0)*X801,"NA")</f>
        <v>NA</v>
      </c>
      <c r="BY801" s="80" t="str">
        <f>IFERROR(VLOOKUP($H801,'1. Set Program Names'!$B$2:$D$15,3,0)*Y801,"NA")</f>
        <v>NA</v>
      </c>
      <c r="BZ801" s="80" t="str">
        <f>IFERROR(VLOOKUP($H801,'1. Set Program Names'!$B$2:$D$15,3,0)*Z801,"NA")</f>
        <v>NA</v>
      </c>
      <c r="CA801" s="80" t="str">
        <f>IFERROR(VLOOKUP($H801,'1. Set Program Names'!$B$2:$D$15,3,0)*AA801,"NA")</f>
        <v>NA</v>
      </c>
      <c r="CB801" s="80" t="str">
        <f>IFERROR(VLOOKUP($H801,'1. Set Program Names'!$B$2:$D$15,3,0)*AB801,"NA")</f>
        <v>NA</v>
      </c>
      <c r="CC801" s="80" t="str">
        <f>IFERROR(VLOOKUP($H801,'1. Set Program Names'!$B$2:$D$15,3,0)*AC801,"NA")</f>
        <v>NA</v>
      </c>
      <c r="CD801" s="80" t="str">
        <f>IFERROR(VLOOKUP($H801,'1. Set Program Names'!$B$2:$D$15,3,0)*AD801,"NA")</f>
        <v>NA</v>
      </c>
      <c r="CE801" s="80" t="str">
        <f>IFERROR(VLOOKUP($H801,'1. Set Program Names'!$B$2:$D$15,3,0)*AE801,"NA")</f>
        <v>NA</v>
      </c>
    </row>
    <row r="802" spans="1:83" x14ac:dyDescent="0.25">
      <c r="A802" s="79" t="s">
        <v>114</v>
      </c>
      <c r="B802" s="79" t="s">
        <v>88</v>
      </c>
      <c r="C802" s="79" t="s">
        <v>176</v>
      </c>
      <c r="D802" s="79" t="s">
        <v>90</v>
      </c>
      <c r="E802" s="79" t="s">
        <v>91</v>
      </c>
      <c r="F802" s="79" t="s">
        <v>90</v>
      </c>
      <c r="G802" s="79" t="s">
        <v>92</v>
      </c>
      <c r="H802" s="79" t="s">
        <v>268</v>
      </c>
      <c r="I802" s="79" t="s">
        <v>271</v>
      </c>
      <c r="J802" s="79" t="s">
        <v>180</v>
      </c>
      <c r="K802" s="79" t="s">
        <v>272</v>
      </c>
      <c r="L802" s="79">
        <v>8742.5400000000009</v>
      </c>
      <c r="M802" s="79">
        <v>1.04876812955413</v>
      </c>
      <c r="N802" s="79">
        <v>1.0098733971376099</v>
      </c>
      <c r="O802" s="79">
        <v>3543.39</v>
      </c>
      <c r="P802" s="79">
        <v>1784.8102698461601</v>
      </c>
      <c r="Q802" s="79">
        <v>8.74254</v>
      </c>
      <c r="R802" s="79">
        <v>3737.3935784201899</v>
      </c>
      <c r="S802" s="79">
        <v>9285.1929731405908</v>
      </c>
      <c r="T802" s="79">
        <v>15</v>
      </c>
      <c r="U802" s="79">
        <v>1</v>
      </c>
      <c r="V802" s="79">
        <f>tbl_Data_old[[#This Row],[2025 ]]*IFERROR(AVERAGEIFS('Participation Adjustment'!$C:$C,'Participation Adjustment'!$A:$A,$H802,'Participation Adjustment'!$B:$B,$I802),1)</f>
        <v>1.9428503969426001E-2</v>
      </c>
      <c r="W802" s="79">
        <f>tbl_Data_old[[#This Row],[2026 ]]*IFERROR(AVERAGEIFS('Participation Adjustment'!$C:$C,'Participation Adjustment'!$A:$A,$H802,'Participation Adjustment'!$B:$B,$I802),1)</f>
        <v>2.5211757199193299E-2</v>
      </c>
      <c r="X802" s="79">
        <f>tbl_Data_old[[#This Row],[2027 ]]*IFERROR(AVERAGEIFS('Participation Adjustment'!$C:$C,'Participation Adjustment'!$A:$A,$H802,'Participation Adjustment'!$B:$B,$I802),1)</f>
        <v>3.18958558254714E-2</v>
      </c>
      <c r="Y802" s="79">
        <f>tbl_Data_old[[#This Row],[2028 ]]*IFERROR(AVERAGEIFS('Participation Adjustment'!$C:$C,'Participation Adjustment'!$A:$A,$H802,'Participation Adjustment'!$B:$B,$I802),1)</f>
        <v>3.98171791281507E-2</v>
      </c>
      <c r="Z802" s="79">
        <f>tbl_Data_old[[#This Row],[2029 ]]*IFERROR(AVERAGEIFS('Participation Adjustment'!$C:$C,'Participation Adjustment'!$A:$A,$H802,'Participation Adjustment'!$B:$B,$I802),1)</f>
        <v>4.8158124593684203E-2</v>
      </c>
      <c r="AA802" s="79">
        <f>tbl_Data_old[[#This Row],[2030 ]]*IFERROR(AVERAGEIFS('Participation Adjustment'!$C:$C,'Participation Adjustment'!$A:$A,$H802,'Participation Adjustment'!$B:$B,$I802),1)</f>
        <v>5.6681011416419798E-2</v>
      </c>
      <c r="AB802" s="79">
        <f>tbl_Data_old[[#This Row],[2031 ]]*IFERROR(AVERAGEIFS('Participation Adjustment'!$C:$C,'Participation Adjustment'!$A:$A,$H802,'Participation Adjustment'!$B:$B,$I802),1)</f>
        <v>6.4615734227379998E-2</v>
      </c>
      <c r="AC802" s="79">
        <f>tbl_Data_old[[#This Row],[2032 ]]*IFERROR(AVERAGEIFS('Participation Adjustment'!$C:$C,'Participation Adjustment'!$A:$A,$H802,'Participation Adjustment'!$B:$B,$I802),1)</f>
        <v>7.0801386273579806E-2</v>
      </c>
      <c r="AD802" s="79">
        <f>tbl_Data_old[[#This Row],[2033 ]]*IFERROR(AVERAGEIFS('Participation Adjustment'!$C:$C,'Participation Adjustment'!$A:$A,$H802,'Participation Adjustment'!$B:$B,$I802),1)</f>
        <v>7.4539998591623802E-2</v>
      </c>
      <c r="AE802" s="79">
        <f>tbl_Data_old[[#This Row],[2034 ]]*IFERROR(AVERAGEIFS('Participation Adjustment'!$C:$C,'Participation Adjustment'!$A:$A,$H802,'Participation Adjustment'!$B:$B,$I802),1)</f>
        <v>7.4929620327230106E-2</v>
      </c>
      <c r="AF802" s="77" t="str">
        <f t="shared" si="330"/>
        <v>NonResidential</v>
      </c>
      <c r="AG802" s="77" t="str">
        <f>tbl_Data[[#This Row],[All_Meas_Name_Append]]</f>
        <v>Milk Pre-Cooler</v>
      </c>
      <c r="AH802" s="77">
        <f>AVERAGEIFS('3. Incentive Adjustment'!G:G,'3. Incentive Adjustment'!A:A,tbl_Data[[#This Row],[Trimmed Sector]],'3. Incentive Adjustment'!B:B,tbl_Data[[#This Row],[Trimmed Measure Name]])</f>
        <v>0.58352930274688986</v>
      </c>
      <c r="AI802" s="77">
        <f>$AH802*tbl_Data[[#This Row],[2025 ]]</f>
        <v>1.1337101374694337E-2</v>
      </c>
      <c r="AJ802" s="77">
        <f>$AH802*tbl_Data[[#This Row],[2026 ]]</f>
        <v>1.4711799099469146E-2</v>
      </c>
      <c r="AK802" s="77">
        <f>$AH802*tbl_Data[[#This Row],[2027 ]]</f>
        <v>1.8612166510352652E-2</v>
      </c>
      <c r="AL802" s="77">
        <f>$AH802*tbl_Data[[#This Row],[2028 ]]</f>
        <v>2.3234490773997793E-2</v>
      </c>
      <c r="AM802" s="77">
        <f>$AH802*tbl_Data[[#This Row],[2029 ]]</f>
        <v>2.8101676865750391E-2</v>
      </c>
      <c r="AN802" s="77">
        <f>$AH802*tbl_Data[[#This Row],[2030 ]]</f>
        <v>3.3075031070811951E-2</v>
      </c>
      <c r="AO802" s="77">
        <f>$AH802*tbl_Data[[#This Row],[2031 ]]</f>
        <v>3.7705174340181398E-2</v>
      </c>
      <c r="AP802" s="77">
        <f>$AH802*tbl_Data[[#This Row],[2032 ]]</f>
        <v>4.1314683565735241E-2</v>
      </c>
      <c r="AQ802" s="77">
        <f>$AH802*tbl_Data[[#This Row],[2033 ]]</f>
        <v>4.3496273404924388E-2</v>
      </c>
      <c r="AR802" s="77">
        <f>$AH802*tbl_Data[[#This Row],[2034 ]]</f>
        <v>4.3723629104637771E-2</v>
      </c>
      <c r="AS802" s="77">
        <f>SUM(tbl_Data[[#This Row],[Adjusted 2025]:[Adjusted 2034]])</f>
        <v>0.29531202611055507</v>
      </c>
      <c r="AT802" s="80">
        <f>AVERAGEIFS('3. Incentive Adjustment'!F:F,'3. Incentive Adjustment'!A:A,tbl_Data[[#This Row],[Trimmed Sector]],'3. Incentive Adjustment'!B:B,tbl_Data[[#This Row],[Trimmed Measure Name]])</f>
        <v>0</v>
      </c>
      <c r="AU802" s="80">
        <f>IFERROR(VLOOKUP(tbl_Data[[#This Row],[All_Meas_Name_Append]],'IRA Tax Credits'!$A$3:$D$46,4,0),0)</f>
        <v>0</v>
      </c>
      <c r="AV802" s="81">
        <f>tbl_Data[[#This Row],[Adj. per unit Incentive ($)]]/tbl_Data[[#This Row],[kWh Savings]]*tbl_Data[[#This Row],[Sum of Annuals]]</f>
        <v>0</v>
      </c>
      <c r="AW802" s="81" t="str">
        <f>IFERROR(VLOOKUP(tbl_Data[[#This Row],[Column1]],'1. Set Program Names'!$B$2:$D$15,3,0)*tbl_Data[[#This Row],[Sum of Annuals]],"")</f>
        <v/>
      </c>
      <c r="AX802" s="81">
        <f>tbl_Data[[#This Row],[per unit IRA tax ($)]]/tbl_Data[[#This Row],[kWh Savings]]*tbl_Data[[#This Row],[Sum of Annuals]]</f>
        <v>0</v>
      </c>
      <c r="AY802" s="81">
        <f>tbl_Data[[#This Row],[Avoided Costs ($/unit)]]/tbl_Data[[#This Row],[kWh Savings]]*tbl_Data[[#This Row],[Sum of Annuals]]</f>
        <v>0.1262444632813626</v>
      </c>
      <c r="AZ802" s="81">
        <f>tbl_Data[[#This Row],[Lost Revenue ($/unit)]]/tbl_Data[[#This Row],[kWh Savings]]*tbl_Data[[#This Row],[Sum of Annuals]]</f>
        <v>0.31364216231502934</v>
      </c>
      <c r="BA802" s="81">
        <f>tbl_Data[[#This Row],[Incremental Cost ($/unit)]]/tbl_Data[[#This Row],[kWh Savings]]*tbl_Data[[#This Row],[Sum of Annuals]]</f>
        <v>0.11969126594786864</v>
      </c>
      <c r="BB802" s="77">
        <f>ROUNDUP(tbl_Data[[#This Row],[Adjusted 2025]]/$L802,0)</f>
        <v>1</v>
      </c>
      <c r="BC802" s="77">
        <f>ROUNDUP(tbl_Data[[#This Row],[Adjusted 2026]]/$L802,0)</f>
        <v>1</v>
      </c>
      <c r="BD802" s="77">
        <f>ROUNDUP(tbl_Data[[#This Row],[Adjusted 2027]]/$L802,0)</f>
        <v>1</v>
      </c>
      <c r="BE802" s="77">
        <f>ROUNDUP(tbl_Data[[#This Row],[Adjusted 2028]]/$L802,0)</f>
        <v>1</v>
      </c>
      <c r="BF802" s="77">
        <f>ROUNDUP(tbl_Data[[#This Row],[Adjusted 2029]]/$L802,0)</f>
        <v>1</v>
      </c>
      <c r="BG802" s="77">
        <f>ROUNDUP(tbl_Data[[#This Row],[Adjusted 2030]]/$L802,0)</f>
        <v>1</v>
      </c>
      <c r="BH802" s="77">
        <f>ROUNDUP(tbl_Data[[#This Row],[Adjusted 2031]]/$L802,0)</f>
        <v>1</v>
      </c>
      <c r="BI802" s="77">
        <f>ROUNDUP(tbl_Data[[#This Row],[Adjusted 2032]]/$L802,0)</f>
        <v>1</v>
      </c>
      <c r="BJ802" s="77">
        <f>ROUNDUP(tbl_Data[[#This Row],[Adjusted 2033]]/$L802,0)</f>
        <v>1</v>
      </c>
      <c r="BK802" s="77">
        <f>ROUNDUP(tbl_Data[[#This Row],[Adjusted 2034]]/$L802,0)</f>
        <v>1</v>
      </c>
      <c r="BL802" s="80">
        <f t="shared" si="331"/>
        <v>0</v>
      </c>
      <c r="BM802" s="80">
        <f t="shared" si="332"/>
        <v>0</v>
      </c>
      <c r="BN802" s="80">
        <f t="shared" si="333"/>
        <v>0</v>
      </c>
      <c r="BO802" s="80">
        <f t="shared" si="334"/>
        <v>0</v>
      </c>
      <c r="BP802" s="80">
        <f t="shared" si="335"/>
        <v>0</v>
      </c>
      <c r="BQ802" s="80">
        <f t="shared" si="336"/>
        <v>0</v>
      </c>
      <c r="BR802" s="80">
        <f t="shared" si="337"/>
        <v>0</v>
      </c>
      <c r="BS802" s="80">
        <f t="shared" si="338"/>
        <v>0</v>
      </c>
      <c r="BT802" s="80">
        <f t="shared" si="339"/>
        <v>0</v>
      </c>
      <c r="BU802" s="80">
        <f t="shared" si="340"/>
        <v>0</v>
      </c>
      <c r="BV802" s="80" t="str">
        <f>IFERROR(VLOOKUP($H802,'1. Set Program Names'!$B$2:$D$15,3,0)*V802,"NA")</f>
        <v>NA</v>
      </c>
      <c r="BW802" s="80" t="str">
        <f>IFERROR(VLOOKUP($H802,'1. Set Program Names'!$B$2:$D$15,3,0)*W802,"NA")</f>
        <v>NA</v>
      </c>
      <c r="BX802" s="80" t="str">
        <f>IFERROR(VLOOKUP($H802,'1. Set Program Names'!$B$2:$D$15,3,0)*X802,"NA")</f>
        <v>NA</v>
      </c>
      <c r="BY802" s="80" t="str">
        <f>IFERROR(VLOOKUP($H802,'1. Set Program Names'!$B$2:$D$15,3,0)*Y802,"NA")</f>
        <v>NA</v>
      </c>
      <c r="BZ802" s="80" t="str">
        <f>IFERROR(VLOOKUP($H802,'1. Set Program Names'!$B$2:$D$15,3,0)*Z802,"NA")</f>
        <v>NA</v>
      </c>
      <c r="CA802" s="80" t="str">
        <f>IFERROR(VLOOKUP($H802,'1. Set Program Names'!$B$2:$D$15,3,0)*AA802,"NA")</f>
        <v>NA</v>
      </c>
      <c r="CB802" s="80" t="str">
        <f>IFERROR(VLOOKUP($H802,'1. Set Program Names'!$B$2:$D$15,3,0)*AB802,"NA")</f>
        <v>NA</v>
      </c>
      <c r="CC802" s="80" t="str">
        <f>IFERROR(VLOOKUP($H802,'1. Set Program Names'!$B$2:$D$15,3,0)*AC802,"NA")</f>
        <v>NA</v>
      </c>
      <c r="CD802" s="80" t="str">
        <f>IFERROR(VLOOKUP($H802,'1. Set Program Names'!$B$2:$D$15,3,0)*AD802,"NA")</f>
        <v>NA</v>
      </c>
      <c r="CE802" s="80" t="str">
        <f>IFERROR(VLOOKUP($H802,'1. Set Program Names'!$B$2:$D$15,3,0)*AE802,"NA")</f>
        <v>NA</v>
      </c>
    </row>
    <row r="803" spans="1:83" x14ac:dyDescent="0.25">
      <c r="A803" s="79" t="s">
        <v>114</v>
      </c>
      <c r="B803" s="79" t="s">
        <v>88</v>
      </c>
      <c r="C803" s="79" t="s">
        <v>176</v>
      </c>
      <c r="D803" s="79" t="s">
        <v>90</v>
      </c>
      <c r="E803" s="79" t="s">
        <v>91</v>
      </c>
      <c r="F803" s="79" t="s">
        <v>90</v>
      </c>
      <c r="G803" s="79" t="s">
        <v>92</v>
      </c>
      <c r="H803" s="79" t="s">
        <v>268</v>
      </c>
      <c r="I803" s="79" t="s">
        <v>190</v>
      </c>
      <c r="J803" s="79" t="s">
        <v>191</v>
      </c>
      <c r="K803" s="79" t="s">
        <v>98</v>
      </c>
      <c r="L803" s="79">
        <v>1561.28</v>
      </c>
      <c r="M803" s="79">
        <v>0.18418077149832199</v>
      </c>
      <c r="N803" s="79">
        <v>0.17996138765713399</v>
      </c>
      <c r="O803" s="79">
        <v>490</v>
      </c>
      <c r="P803" s="79">
        <v>175.94534756551599</v>
      </c>
      <c r="Q803" s="79">
        <v>1.56128</v>
      </c>
      <c r="R803" s="79">
        <v>649.62503581485396</v>
      </c>
      <c r="S803" s="79">
        <v>1586.7572850213601</v>
      </c>
      <c r="T803" s="79">
        <v>14</v>
      </c>
      <c r="U803" s="79">
        <v>0.999999999999999</v>
      </c>
      <c r="V803" s="79">
        <f>tbl_Data_old[[#This Row],[2025 ]]*IFERROR(AVERAGEIFS('Participation Adjustment'!$C:$C,'Participation Adjustment'!$A:$A,$H803,'Participation Adjustment'!$B:$B,$I803),1)</f>
        <v>1.7088084855508201</v>
      </c>
      <c r="W803" s="79">
        <f>tbl_Data_old[[#This Row],[2026 ]]*IFERROR(AVERAGEIFS('Participation Adjustment'!$C:$C,'Participation Adjustment'!$A:$A,$H803,'Participation Adjustment'!$B:$B,$I803),1)</f>
        <v>1.94393558359897</v>
      </c>
      <c r="X803" s="79">
        <f>tbl_Data_old[[#This Row],[2027 ]]*IFERROR(AVERAGEIFS('Participation Adjustment'!$C:$C,'Participation Adjustment'!$A:$A,$H803,'Participation Adjustment'!$B:$B,$I803),1)</f>
        <v>2.1488526013566802</v>
      </c>
      <c r="Y803" s="79">
        <f>tbl_Data_old[[#This Row],[2028 ]]*IFERROR(AVERAGEIFS('Participation Adjustment'!$C:$C,'Participation Adjustment'!$A:$A,$H803,'Participation Adjustment'!$B:$B,$I803),1)</f>
        <v>2.3516475911353201</v>
      </c>
      <c r="Z803" s="79">
        <f>tbl_Data_old[[#This Row],[2029 ]]*IFERROR(AVERAGEIFS('Participation Adjustment'!$C:$C,'Participation Adjustment'!$A:$A,$H803,'Participation Adjustment'!$B:$B,$I803),1)</f>
        <v>2.5275106789439601</v>
      </c>
      <c r="AA803" s="79">
        <f>tbl_Data_old[[#This Row],[2030 ]]*IFERROR(AVERAGEIFS('Participation Adjustment'!$C:$C,'Participation Adjustment'!$A:$A,$H803,'Participation Adjustment'!$B:$B,$I803),1)</f>
        <v>2.6912349529129802</v>
      </c>
      <c r="AB803" s="79">
        <f>tbl_Data_old[[#This Row],[2031 ]]*IFERROR(AVERAGEIFS('Participation Adjustment'!$C:$C,'Participation Adjustment'!$A:$A,$H803,'Participation Adjustment'!$B:$B,$I803),1)</f>
        <v>2.8452782956182499</v>
      </c>
      <c r="AC803" s="79">
        <f>tbl_Data_old[[#This Row],[2032 ]]*IFERROR(AVERAGEIFS('Participation Adjustment'!$C:$C,'Participation Adjustment'!$A:$A,$H803,'Participation Adjustment'!$B:$B,$I803),1)</f>
        <v>2.9852793865633398</v>
      </c>
      <c r="AD803" s="79">
        <f>tbl_Data_old[[#This Row],[2033 ]]*IFERROR(AVERAGEIFS('Participation Adjustment'!$C:$C,'Participation Adjustment'!$A:$A,$H803,'Participation Adjustment'!$B:$B,$I803),1)</f>
        <v>3.1224550271812399</v>
      </c>
      <c r="AE803" s="79">
        <f>tbl_Data_old[[#This Row],[2034 ]]*IFERROR(AVERAGEIFS('Participation Adjustment'!$C:$C,'Participation Adjustment'!$A:$A,$H803,'Participation Adjustment'!$B:$B,$I803),1)</f>
        <v>3.2526139313623998</v>
      </c>
      <c r="AF803" s="77" t="str">
        <f t="shared" si="330"/>
        <v>NonResidential</v>
      </c>
      <c r="AG803" s="77" t="str">
        <f>tbl_Data[[#This Row],[All_Meas_Name_Append]]</f>
        <v>Synchronous Belt on 15hp ODP Motor</v>
      </c>
      <c r="AH803" s="77">
        <f>AVERAGEIFS('3. Incentive Adjustment'!G:G,'3. Incentive Adjustment'!A:A,tbl_Data[[#This Row],[Trimmed Sector]],'3. Incentive Adjustment'!B:B,tbl_Data[[#This Row],[Trimmed Measure Name]])</f>
        <v>0.74278916032473408</v>
      </c>
      <c r="AI803" s="77">
        <f>$AH803*tbl_Data[[#This Row],[2025 ]]</f>
        <v>1.2692844201380742</v>
      </c>
      <c r="AJ803" s="77">
        <f>$AH803*tbl_Data[[#This Row],[2026 ]]</f>
        <v>1.4439342798668509</v>
      </c>
      <c r="AK803" s="77">
        <f>$AH803*tbl_Data[[#This Row],[2027 ]]</f>
        <v>1.5961444194233489</v>
      </c>
      <c r="AL803" s="77">
        <f>$AH803*tbl_Data[[#This Row],[2028 ]]</f>
        <v>1.7467783395990879</v>
      </c>
      <c r="AM803" s="77">
        <f>$AH803*tbl_Data[[#This Row],[2029 ]]</f>
        <v>1.8774075349245827</v>
      </c>
      <c r="AN803" s="77">
        <f>$AH803*tbl_Data[[#This Row],[2030 ]]</f>
        <v>1.9990201509108079</v>
      </c>
      <c r="AO803" s="77">
        <f>$AH803*tbl_Data[[#This Row],[2031 ]]</f>
        <v>2.1134418760924705</v>
      </c>
      <c r="AP803" s="77">
        <f>$AH803*tbl_Data[[#This Row],[2032 ]]</f>
        <v>2.2174331688801203</v>
      </c>
      <c r="AQ803" s="77">
        <f>$AH803*tbl_Data[[#This Row],[2033 ]]</f>
        <v>2.319325747791698</v>
      </c>
      <c r="AR803" s="77">
        <f>$AH803*tbl_Data[[#This Row],[2034 ]]</f>
        <v>2.4160063709372093</v>
      </c>
      <c r="AS803" s="77">
        <f>SUM(tbl_Data[[#This Row],[Adjusted 2025]:[Adjusted 2034]])</f>
        <v>18.998776308564253</v>
      </c>
      <c r="AT803" s="80">
        <f>AVERAGEIFS('3. Incentive Adjustment'!F:F,'3. Incentive Adjustment'!A:A,tbl_Data[[#This Row],[Trimmed Sector]],'3. Incentive Adjustment'!B:B,tbl_Data[[#This Row],[Trimmed Measure Name]])</f>
        <v>0</v>
      </c>
      <c r="AU803" s="80">
        <f>IFERROR(VLOOKUP(tbl_Data[[#This Row],[All_Meas_Name_Append]],'IRA Tax Credits'!$A$3:$D$46,4,0),0)</f>
        <v>0</v>
      </c>
      <c r="AV803" s="81">
        <f>tbl_Data[[#This Row],[Adj. per unit Incentive ($)]]/tbl_Data[[#This Row],[kWh Savings]]*tbl_Data[[#This Row],[Sum of Annuals]]</f>
        <v>0</v>
      </c>
      <c r="AW803" s="81" t="str">
        <f>IFERROR(VLOOKUP(tbl_Data[[#This Row],[Column1]],'1. Set Program Names'!$B$2:$D$15,3,0)*tbl_Data[[#This Row],[Sum of Annuals]],"")</f>
        <v/>
      </c>
      <c r="AX803" s="81">
        <f>tbl_Data[[#This Row],[per unit IRA tax ($)]]/tbl_Data[[#This Row],[kWh Savings]]*tbl_Data[[#This Row],[Sum of Annuals]]</f>
        <v>0</v>
      </c>
      <c r="AY803" s="81">
        <f>tbl_Data[[#This Row],[Avoided Costs ($/unit)]]/tbl_Data[[#This Row],[kWh Savings]]*tbl_Data[[#This Row],[Sum of Annuals]]</f>
        <v>7.9051039787158306</v>
      </c>
      <c r="AZ803" s="81">
        <f>tbl_Data[[#This Row],[Lost Revenue ($/unit)]]/tbl_Data[[#This Row],[kWh Savings]]*tbl_Data[[#This Row],[Sum of Annuals]]</f>
        <v>19.308802209792958</v>
      </c>
      <c r="BA803" s="81">
        <f>tbl_Data[[#This Row],[Incremental Cost ($/unit)]]/tbl_Data[[#This Row],[kWh Savings]]*tbl_Data[[#This Row],[Sum of Annuals]]</f>
        <v>5.962671904588853</v>
      </c>
      <c r="BB803" s="77">
        <f>ROUNDUP(tbl_Data[[#This Row],[Adjusted 2025]]/$L803,0)</f>
        <v>1</v>
      </c>
      <c r="BC803" s="77">
        <f>ROUNDUP(tbl_Data[[#This Row],[Adjusted 2026]]/$L803,0)</f>
        <v>1</v>
      </c>
      <c r="BD803" s="77">
        <f>ROUNDUP(tbl_Data[[#This Row],[Adjusted 2027]]/$L803,0)</f>
        <v>1</v>
      </c>
      <c r="BE803" s="77">
        <f>ROUNDUP(tbl_Data[[#This Row],[Adjusted 2028]]/$L803,0)</f>
        <v>1</v>
      </c>
      <c r="BF803" s="77">
        <f>ROUNDUP(tbl_Data[[#This Row],[Adjusted 2029]]/$L803,0)</f>
        <v>1</v>
      </c>
      <c r="BG803" s="77">
        <f>ROUNDUP(tbl_Data[[#This Row],[Adjusted 2030]]/$L803,0)</f>
        <v>1</v>
      </c>
      <c r="BH803" s="77">
        <f>ROUNDUP(tbl_Data[[#This Row],[Adjusted 2031]]/$L803,0)</f>
        <v>1</v>
      </c>
      <c r="BI803" s="77">
        <f>ROUNDUP(tbl_Data[[#This Row],[Adjusted 2032]]/$L803,0)</f>
        <v>1</v>
      </c>
      <c r="BJ803" s="77">
        <f>ROUNDUP(tbl_Data[[#This Row],[Adjusted 2033]]/$L803,0)</f>
        <v>1</v>
      </c>
      <c r="BK803" s="77">
        <f>ROUNDUP(tbl_Data[[#This Row],[Adjusted 2034]]/$L803,0)</f>
        <v>1</v>
      </c>
      <c r="BL803" s="80">
        <f t="shared" si="331"/>
        <v>0</v>
      </c>
      <c r="BM803" s="80">
        <f t="shared" si="332"/>
        <v>0</v>
      </c>
      <c r="BN803" s="80">
        <f t="shared" si="333"/>
        <v>0</v>
      </c>
      <c r="BO803" s="80">
        <f t="shared" si="334"/>
        <v>0</v>
      </c>
      <c r="BP803" s="80">
        <f t="shared" si="335"/>
        <v>0</v>
      </c>
      <c r="BQ803" s="80">
        <f t="shared" si="336"/>
        <v>0</v>
      </c>
      <c r="BR803" s="80">
        <f t="shared" si="337"/>
        <v>0</v>
      </c>
      <c r="BS803" s="80">
        <f t="shared" si="338"/>
        <v>0</v>
      </c>
      <c r="BT803" s="80">
        <f t="shared" si="339"/>
        <v>0</v>
      </c>
      <c r="BU803" s="80">
        <f t="shared" si="340"/>
        <v>0</v>
      </c>
      <c r="BV803" s="80" t="str">
        <f>IFERROR(VLOOKUP($H803,'1. Set Program Names'!$B$2:$D$15,3,0)*V803,"NA")</f>
        <v>NA</v>
      </c>
      <c r="BW803" s="80" t="str">
        <f>IFERROR(VLOOKUP($H803,'1. Set Program Names'!$B$2:$D$15,3,0)*W803,"NA")</f>
        <v>NA</v>
      </c>
      <c r="BX803" s="80" t="str">
        <f>IFERROR(VLOOKUP($H803,'1. Set Program Names'!$B$2:$D$15,3,0)*X803,"NA")</f>
        <v>NA</v>
      </c>
      <c r="BY803" s="80" t="str">
        <f>IFERROR(VLOOKUP($H803,'1. Set Program Names'!$B$2:$D$15,3,0)*Y803,"NA")</f>
        <v>NA</v>
      </c>
      <c r="BZ803" s="80" t="str">
        <f>IFERROR(VLOOKUP($H803,'1. Set Program Names'!$B$2:$D$15,3,0)*Z803,"NA")</f>
        <v>NA</v>
      </c>
      <c r="CA803" s="80" t="str">
        <f>IFERROR(VLOOKUP($H803,'1. Set Program Names'!$B$2:$D$15,3,0)*AA803,"NA")</f>
        <v>NA</v>
      </c>
      <c r="CB803" s="80" t="str">
        <f>IFERROR(VLOOKUP($H803,'1. Set Program Names'!$B$2:$D$15,3,0)*AB803,"NA")</f>
        <v>NA</v>
      </c>
      <c r="CC803" s="80" t="str">
        <f>IFERROR(VLOOKUP($H803,'1. Set Program Names'!$B$2:$D$15,3,0)*AC803,"NA")</f>
        <v>NA</v>
      </c>
      <c r="CD803" s="80" t="str">
        <f>IFERROR(VLOOKUP($H803,'1. Set Program Names'!$B$2:$D$15,3,0)*AD803,"NA")</f>
        <v>NA</v>
      </c>
      <c r="CE803" s="80" t="str">
        <f>IFERROR(VLOOKUP($H803,'1. Set Program Names'!$B$2:$D$15,3,0)*AE803,"NA")</f>
        <v>NA</v>
      </c>
    </row>
    <row r="804" spans="1:83" x14ac:dyDescent="0.25">
      <c r="A804" s="79" t="s">
        <v>114</v>
      </c>
      <c r="B804" s="79" t="s">
        <v>88</v>
      </c>
      <c r="C804" s="79" t="s">
        <v>176</v>
      </c>
      <c r="D804" s="79" t="s">
        <v>90</v>
      </c>
      <c r="E804" s="79" t="s">
        <v>91</v>
      </c>
      <c r="F804" s="79" t="s">
        <v>90</v>
      </c>
      <c r="G804" s="79" t="s">
        <v>92</v>
      </c>
      <c r="H804" s="79" t="s">
        <v>268</v>
      </c>
      <c r="I804" s="79" t="s">
        <v>192</v>
      </c>
      <c r="J804" s="79" t="s">
        <v>191</v>
      </c>
      <c r="K804" s="79" t="s">
        <v>98</v>
      </c>
      <c r="L804" s="79">
        <v>437.76000000000101</v>
      </c>
      <c r="M804" s="79">
        <v>5.1641585449826798E-2</v>
      </c>
      <c r="N804" s="79">
        <v>5.0458532140799497E-2</v>
      </c>
      <c r="O804" s="79">
        <v>163</v>
      </c>
      <c r="P804" s="79">
        <v>74.943684252843894</v>
      </c>
      <c r="Q804" s="79">
        <v>0.43776000000000098</v>
      </c>
      <c r="R804" s="79">
        <v>182.14532670521001</v>
      </c>
      <c r="S804" s="79">
        <v>444.90345683730902</v>
      </c>
      <c r="T804" s="79">
        <v>14</v>
      </c>
      <c r="U804" s="79">
        <v>0.999999999999999</v>
      </c>
      <c r="V804" s="79">
        <f>tbl_Data_old[[#This Row],[2025 ]]*IFERROR(AVERAGEIFS('Participation Adjustment'!$C:$C,'Participation Adjustment'!$A:$A,$H804,'Participation Adjustment'!$B:$B,$I804),1)</f>
        <v>1.7040495366723001</v>
      </c>
      <c r="W804" s="79">
        <f>tbl_Data_old[[#This Row],[2026 ]]*IFERROR(AVERAGEIFS('Participation Adjustment'!$C:$C,'Participation Adjustment'!$A:$A,$H804,'Participation Adjustment'!$B:$B,$I804),1)</f>
        <v>1.93789832007414</v>
      </c>
      <c r="X804" s="79">
        <f>tbl_Data_old[[#This Row],[2027 ]]*IFERROR(AVERAGEIFS('Participation Adjustment'!$C:$C,'Participation Adjustment'!$A:$A,$H804,'Participation Adjustment'!$B:$B,$I804),1)</f>
        <v>2.14155987571763</v>
      </c>
      <c r="Y804" s="79">
        <f>tbl_Data_old[[#This Row],[2028 ]]*IFERROR(AVERAGEIFS('Participation Adjustment'!$C:$C,'Participation Adjustment'!$A:$A,$H804,'Participation Adjustment'!$B:$B,$I804),1)</f>
        <v>2.34306037865578</v>
      </c>
      <c r="Z804" s="79">
        <f>tbl_Data_old[[#This Row],[2029 ]]*IFERROR(AVERAGEIFS('Participation Adjustment'!$C:$C,'Participation Adjustment'!$A:$A,$H804,'Participation Adjustment'!$B:$B,$I804),1)</f>
        <v>2.5177000308080899</v>
      </c>
      <c r="AA804" s="79">
        <f>tbl_Data_old[[#This Row],[2030 ]]*IFERROR(AVERAGEIFS('Participation Adjustment'!$C:$C,'Participation Adjustment'!$A:$A,$H804,'Participation Adjustment'!$B:$B,$I804),1)</f>
        <v>2.6802383662395601</v>
      </c>
      <c r="AB804" s="79">
        <f>tbl_Data_old[[#This Row],[2031 ]]*IFERROR(AVERAGEIFS('Participation Adjustment'!$C:$C,'Participation Adjustment'!$A:$A,$H804,'Participation Adjustment'!$B:$B,$I804),1)</f>
        <v>2.8331360637362599</v>
      </c>
      <c r="AC804" s="79">
        <f>tbl_Data_old[[#This Row],[2032 ]]*IFERROR(AVERAGEIFS('Participation Adjustment'!$C:$C,'Participation Adjustment'!$A:$A,$H804,'Participation Adjustment'!$B:$B,$I804),1)</f>
        <v>2.97206030711722</v>
      </c>
      <c r="AD804" s="79">
        <f>tbl_Data_old[[#This Row],[2033 ]]*IFERROR(AVERAGEIFS('Participation Adjustment'!$C:$C,'Participation Adjustment'!$A:$A,$H804,'Participation Adjustment'!$B:$B,$I804),1)</f>
        <v>3.1081857081961202</v>
      </c>
      <c r="AE804" s="79">
        <f>tbl_Data_old[[#This Row],[2034 ]]*IFERROR(AVERAGEIFS('Participation Adjustment'!$C:$C,'Participation Adjustment'!$A:$A,$H804,'Participation Adjustment'!$B:$B,$I804),1)</f>
        <v>3.2373431444966401</v>
      </c>
      <c r="AF804" s="77" t="str">
        <f t="shared" si="330"/>
        <v>NonResidential</v>
      </c>
      <c r="AG804" s="77" t="str">
        <f>tbl_Data[[#This Row],[All_Meas_Name_Append]]</f>
        <v>Synchronous Belt on 5hp ODP Motor</v>
      </c>
      <c r="AH804" s="77">
        <f>AVERAGEIFS('3. Incentive Adjustment'!G:G,'3. Incentive Adjustment'!A:A,tbl_Data[[#This Row],[Trimmed Sector]],'3. Incentive Adjustment'!B:B,tbl_Data[[#This Row],[Trimmed Measure Name]])</f>
        <v>0.63653870706597271</v>
      </c>
      <c r="AI804" s="77">
        <f>$AH804*tbl_Data[[#This Row],[2025 ]]</f>
        <v>1.0846934888497557</v>
      </c>
      <c r="AJ804" s="77">
        <f>$AH804*tbl_Data[[#This Row],[2026 ]]</f>
        <v>1.2335472910853136</v>
      </c>
      <c r="AK804" s="77">
        <f>$AH804*tbl_Data[[#This Row],[2027 ]]</f>
        <v>1.3631857543936654</v>
      </c>
      <c r="AL804" s="77">
        <f>$AH804*tbl_Data[[#This Row],[2028 ]]</f>
        <v>1.4914486240070586</v>
      </c>
      <c r="AM804" s="77">
        <f>$AH804*tbl_Data[[#This Row],[2029 ]]</f>
        <v>1.6026135223905411</v>
      </c>
      <c r="AN804" s="77">
        <f>$AH804*tbl_Data[[#This Row],[2030 ]]</f>
        <v>1.7060754642747447</v>
      </c>
      <c r="AO804" s="77">
        <f>$AH804*tbl_Data[[#This Row],[2031 ]]</f>
        <v>1.8034007669526582</v>
      </c>
      <c r="AP804" s="77">
        <f>$AH804*tbl_Data[[#This Row],[2032 ]]</f>
        <v>1.891831425214493</v>
      </c>
      <c r="AQ804" s="77">
        <f>$AH804*tbl_Data[[#This Row],[2033 ]]</f>
        <v>1.9784805120160931</v>
      </c>
      <c r="AR804" s="77">
        <f>$AH804*tbl_Data[[#This Row],[2034 ]]</f>
        <v>2.0606942195267819</v>
      </c>
      <c r="AS804" s="77">
        <f>SUM(tbl_Data[[#This Row],[Adjusted 2025]:[Adjusted 2034]])</f>
        <v>16.215971068711106</v>
      </c>
      <c r="AT804" s="80">
        <f>AVERAGEIFS('3. Incentive Adjustment'!F:F,'3. Incentive Adjustment'!A:A,tbl_Data[[#This Row],[Trimmed Sector]],'3. Incentive Adjustment'!B:B,tbl_Data[[#This Row],[Trimmed Measure Name]])</f>
        <v>0</v>
      </c>
      <c r="AU804" s="80">
        <f>IFERROR(VLOOKUP(tbl_Data[[#This Row],[All_Meas_Name_Append]],'IRA Tax Credits'!$A$3:$D$46,4,0),0)</f>
        <v>0</v>
      </c>
      <c r="AV804" s="81">
        <f>tbl_Data[[#This Row],[Adj. per unit Incentive ($)]]/tbl_Data[[#This Row],[kWh Savings]]*tbl_Data[[#This Row],[Sum of Annuals]]</f>
        <v>0</v>
      </c>
      <c r="AW804" s="81" t="str">
        <f>IFERROR(VLOOKUP(tbl_Data[[#This Row],[Column1]],'1. Set Program Names'!$B$2:$D$15,3,0)*tbl_Data[[#This Row],[Sum of Annuals]],"")</f>
        <v/>
      </c>
      <c r="AX804" s="81">
        <f>tbl_Data[[#This Row],[per unit IRA tax ($)]]/tbl_Data[[#This Row],[kWh Savings]]*tbl_Data[[#This Row],[Sum of Annuals]]</f>
        <v>0</v>
      </c>
      <c r="AY804" s="81">
        <f>tbl_Data[[#This Row],[Avoided Costs ($/unit)]]/tbl_Data[[#This Row],[kWh Savings]]*tbl_Data[[#This Row],[Sum of Annuals]]</f>
        <v>6.7472207331702547</v>
      </c>
      <c r="AZ804" s="81">
        <f>tbl_Data[[#This Row],[Lost Revenue ($/unit)]]/tbl_Data[[#This Row],[kWh Savings]]*tbl_Data[[#This Row],[Sum of Annuals]]</f>
        <v>16.480586587270071</v>
      </c>
      <c r="BA804" s="81">
        <f>tbl_Data[[#This Row],[Incremental Cost ($/unit)]]/tbl_Data[[#This Row],[kWh Savings]]*tbl_Data[[#This Row],[Sum of Annuals]]</f>
        <v>6.0380191981905709</v>
      </c>
      <c r="BB804" s="77">
        <f>ROUNDUP(tbl_Data[[#This Row],[Adjusted 2025]]/$L804,0)</f>
        <v>1</v>
      </c>
      <c r="BC804" s="77">
        <f>ROUNDUP(tbl_Data[[#This Row],[Adjusted 2026]]/$L804,0)</f>
        <v>1</v>
      </c>
      <c r="BD804" s="77">
        <f>ROUNDUP(tbl_Data[[#This Row],[Adjusted 2027]]/$L804,0)</f>
        <v>1</v>
      </c>
      <c r="BE804" s="77">
        <f>ROUNDUP(tbl_Data[[#This Row],[Adjusted 2028]]/$L804,0)</f>
        <v>1</v>
      </c>
      <c r="BF804" s="77">
        <f>ROUNDUP(tbl_Data[[#This Row],[Adjusted 2029]]/$L804,0)</f>
        <v>1</v>
      </c>
      <c r="BG804" s="77">
        <f>ROUNDUP(tbl_Data[[#This Row],[Adjusted 2030]]/$L804,0)</f>
        <v>1</v>
      </c>
      <c r="BH804" s="77">
        <f>ROUNDUP(tbl_Data[[#This Row],[Adjusted 2031]]/$L804,0)</f>
        <v>1</v>
      </c>
      <c r="BI804" s="77">
        <f>ROUNDUP(tbl_Data[[#This Row],[Adjusted 2032]]/$L804,0)</f>
        <v>1</v>
      </c>
      <c r="BJ804" s="77">
        <f>ROUNDUP(tbl_Data[[#This Row],[Adjusted 2033]]/$L804,0)</f>
        <v>1</v>
      </c>
      <c r="BK804" s="77">
        <f>ROUNDUP(tbl_Data[[#This Row],[Adjusted 2034]]/$L804,0)</f>
        <v>1</v>
      </c>
      <c r="BL804" s="80">
        <f t="shared" si="331"/>
        <v>0</v>
      </c>
      <c r="BM804" s="80">
        <f t="shared" si="332"/>
        <v>0</v>
      </c>
      <c r="BN804" s="80">
        <f t="shared" si="333"/>
        <v>0</v>
      </c>
      <c r="BO804" s="80">
        <f t="shared" si="334"/>
        <v>0</v>
      </c>
      <c r="BP804" s="80">
        <f t="shared" si="335"/>
        <v>0</v>
      </c>
      <c r="BQ804" s="80">
        <f t="shared" si="336"/>
        <v>0</v>
      </c>
      <c r="BR804" s="80">
        <f t="shared" si="337"/>
        <v>0</v>
      </c>
      <c r="BS804" s="80">
        <f t="shared" si="338"/>
        <v>0</v>
      </c>
      <c r="BT804" s="80">
        <f t="shared" si="339"/>
        <v>0</v>
      </c>
      <c r="BU804" s="80">
        <f t="shared" si="340"/>
        <v>0</v>
      </c>
      <c r="BV804" s="80" t="str">
        <f>IFERROR(VLOOKUP($H804,'1. Set Program Names'!$B$2:$D$15,3,0)*V804,"NA")</f>
        <v>NA</v>
      </c>
      <c r="BW804" s="80" t="str">
        <f>IFERROR(VLOOKUP($H804,'1. Set Program Names'!$B$2:$D$15,3,0)*W804,"NA")</f>
        <v>NA</v>
      </c>
      <c r="BX804" s="80" t="str">
        <f>IFERROR(VLOOKUP($H804,'1. Set Program Names'!$B$2:$D$15,3,0)*X804,"NA")</f>
        <v>NA</v>
      </c>
      <c r="BY804" s="80" t="str">
        <f>IFERROR(VLOOKUP($H804,'1. Set Program Names'!$B$2:$D$15,3,0)*Y804,"NA")</f>
        <v>NA</v>
      </c>
      <c r="BZ804" s="80" t="str">
        <f>IFERROR(VLOOKUP($H804,'1. Set Program Names'!$B$2:$D$15,3,0)*Z804,"NA")</f>
        <v>NA</v>
      </c>
      <c r="CA804" s="80" t="str">
        <f>IFERROR(VLOOKUP($H804,'1. Set Program Names'!$B$2:$D$15,3,0)*AA804,"NA")</f>
        <v>NA</v>
      </c>
      <c r="CB804" s="80" t="str">
        <f>IFERROR(VLOOKUP($H804,'1. Set Program Names'!$B$2:$D$15,3,0)*AB804,"NA")</f>
        <v>NA</v>
      </c>
      <c r="CC804" s="80" t="str">
        <f>IFERROR(VLOOKUP($H804,'1. Set Program Names'!$B$2:$D$15,3,0)*AC804,"NA")</f>
        <v>NA</v>
      </c>
      <c r="CD804" s="80" t="str">
        <f>IFERROR(VLOOKUP($H804,'1. Set Program Names'!$B$2:$D$15,3,0)*AD804,"NA")</f>
        <v>NA</v>
      </c>
      <c r="CE804" s="80" t="str">
        <f>IFERROR(VLOOKUP($H804,'1. Set Program Names'!$B$2:$D$15,3,0)*AE804,"NA")</f>
        <v>NA</v>
      </c>
    </row>
    <row r="805" spans="1:83" x14ac:dyDescent="0.25">
      <c r="A805" s="79" t="s">
        <v>114</v>
      </c>
      <c r="B805" s="79" t="s">
        <v>88</v>
      </c>
      <c r="C805" s="79" t="s">
        <v>176</v>
      </c>
      <c r="D805" s="79" t="s">
        <v>90</v>
      </c>
      <c r="E805" s="79" t="s">
        <v>91</v>
      </c>
      <c r="F805" s="79" t="s">
        <v>90</v>
      </c>
      <c r="G805" s="79" t="s">
        <v>92</v>
      </c>
      <c r="H805" s="79" t="s">
        <v>268</v>
      </c>
      <c r="I805" s="79" t="s">
        <v>193</v>
      </c>
      <c r="J805" s="79" t="s">
        <v>191</v>
      </c>
      <c r="K805" s="79" t="s">
        <v>98</v>
      </c>
      <c r="L805" s="79">
        <v>12009.57</v>
      </c>
      <c r="M805" s="79">
        <v>1.41674258810918</v>
      </c>
      <c r="N805" s="79">
        <v>1.38428653564094</v>
      </c>
      <c r="O805" s="79">
        <v>2450</v>
      </c>
      <c r="P805" s="79">
        <v>34.250530181900103</v>
      </c>
      <c r="Q805" s="79">
        <v>12.00957</v>
      </c>
      <c r="R805" s="79">
        <v>4997.0007566682498</v>
      </c>
      <c r="S805" s="79">
        <v>12205.544609214199</v>
      </c>
      <c r="T805" s="79">
        <v>14</v>
      </c>
      <c r="U805" s="79">
        <v>0.999999999999999</v>
      </c>
      <c r="V805" s="79">
        <f>tbl_Data_old[[#This Row],[2025 ]]*IFERROR(AVERAGEIFS('Participation Adjustment'!$C:$C,'Participation Adjustment'!$A:$A,$H805,'Participation Adjustment'!$B:$B,$I805),1)</f>
        <v>1.7149733387239501</v>
      </c>
      <c r="W805" s="79">
        <f>tbl_Data_old[[#This Row],[2026 ]]*IFERROR(AVERAGEIFS('Participation Adjustment'!$C:$C,'Participation Adjustment'!$A:$A,$H805,'Participation Adjustment'!$B:$B,$I805),1)</f>
        <v>1.95209570617988</v>
      </c>
      <c r="X805" s="79">
        <f>tbl_Data_old[[#This Row],[2027 ]]*IFERROR(AVERAGEIFS('Participation Adjustment'!$C:$C,'Participation Adjustment'!$A:$A,$H805,'Participation Adjustment'!$B:$B,$I805),1)</f>
        <v>2.1591185003265698</v>
      </c>
      <c r="Y805" s="79">
        <f>tbl_Data_old[[#This Row],[2028 ]]*IFERROR(AVERAGEIFS('Participation Adjustment'!$C:$C,'Participation Adjustment'!$A:$A,$H805,'Participation Adjustment'!$B:$B,$I805),1)</f>
        <v>2.3643922202098899</v>
      </c>
      <c r="Z805" s="79">
        <f>tbl_Data_old[[#This Row],[2029 ]]*IFERROR(AVERAGEIFS('Participation Adjustment'!$C:$C,'Participation Adjustment'!$A:$A,$H805,'Participation Adjustment'!$B:$B,$I805),1)</f>
        <v>2.5424525085219898</v>
      </c>
      <c r="AA805" s="79">
        <f>tbl_Data_old[[#This Row],[2030 ]]*IFERROR(AVERAGEIFS('Participation Adjustment'!$C:$C,'Participation Adjustment'!$A:$A,$H805,'Participation Adjustment'!$B:$B,$I805),1)</f>
        <v>2.7084159379954098</v>
      </c>
      <c r="AB805" s="79">
        <f>tbl_Data_old[[#This Row],[2031 ]]*IFERROR(AVERAGEIFS('Participation Adjustment'!$C:$C,'Participation Adjustment'!$A:$A,$H805,'Participation Adjustment'!$B:$B,$I805),1)</f>
        <v>2.8646528837557002</v>
      </c>
      <c r="AC805" s="79">
        <f>tbl_Data_old[[#This Row],[2032 ]]*IFERROR(AVERAGEIFS('Participation Adjustment'!$C:$C,'Participation Adjustment'!$A:$A,$H805,'Participation Adjustment'!$B:$B,$I805),1)</f>
        <v>3.00643654635758</v>
      </c>
      <c r="AD805" s="79">
        <f>tbl_Data_old[[#This Row],[2033 ]]*IFERROR(AVERAGEIFS('Participation Adjustment'!$C:$C,'Participation Adjustment'!$A:$A,$H805,'Participation Adjustment'!$B:$B,$I805),1)</f>
        <v>3.1454364413343399</v>
      </c>
      <c r="AE805" s="79">
        <f>tbl_Data_old[[#This Row],[2034 ]]*IFERROR(AVERAGEIFS('Participation Adjustment'!$C:$C,'Participation Adjustment'!$A:$A,$H805,'Participation Adjustment'!$B:$B,$I805),1)</f>
        <v>3.2772330417502999</v>
      </c>
      <c r="AF805" s="77" t="str">
        <f t="shared" si="330"/>
        <v>NonResidential</v>
      </c>
      <c r="AG805" s="77" t="str">
        <f>tbl_Data[[#This Row],[All_Meas_Name_Append]]</f>
        <v>Synchronous Belt on 75hp ODP Motor</v>
      </c>
      <c r="AH805" s="77">
        <f>AVERAGEIFS('3. Incentive Adjustment'!G:G,'3. Incentive Adjustment'!A:A,tbl_Data[[#This Row],[Trimmed Sector]],'3. Incentive Adjustment'!B:B,tbl_Data[[#This Row],[Trimmed Measure Name]])</f>
        <v>0.99250334293493969</v>
      </c>
      <c r="AI805" s="77">
        <f>$AH805*tbl_Data[[#This Row],[2025 ]]</f>
        <v>1.7021167717278152</v>
      </c>
      <c r="AJ805" s="77">
        <f>$AH805*tbl_Data[[#This Row],[2026 ]]</f>
        <v>1.9374615141124727</v>
      </c>
      <c r="AK805" s="77">
        <f>$AH805*tbl_Data[[#This Row],[2027 ]]</f>
        <v>2.1429323293667943</v>
      </c>
      <c r="AL805" s="77">
        <f>$AH805*tbl_Data[[#This Row],[2028 ]]</f>
        <v>2.3466671825676797</v>
      </c>
      <c r="AM805" s="77">
        <f>$AH805*tbl_Data[[#This Row],[2029 ]]</f>
        <v>2.523392613961398</v>
      </c>
      <c r="AN805" s="77">
        <f>$AH805*tbl_Data[[#This Row],[2030 ]]</f>
        <v>2.6881118725187148</v>
      </c>
      <c r="AO805" s="77">
        <f>$AH805*tbl_Data[[#This Row],[2031 ]]</f>
        <v>2.8431775634757477</v>
      </c>
      <c r="AP805" s="77">
        <f>$AH805*tbl_Data[[#This Row],[2032 ]]</f>
        <v>2.9838983225816729</v>
      </c>
      <c r="AQ805" s="77">
        <f>$AH805*tbl_Data[[#This Row],[2033 ]]</f>
        <v>3.1218561830137128</v>
      </c>
      <c r="AR805" s="77">
        <f>$AH805*tbl_Data[[#This Row],[2034 ]]</f>
        <v>3.2526647495140133</v>
      </c>
      <c r="AS805" s="77">
        <f>SUM(tbl_Data[[#This Row],[Adjusted 2025]:[Adjusted 2034]])</f>
        <v>25.542279102840023</v>
      </c>
      <c r="AT805" s="80">
        <f>AVERAGEIFS('3. Incentive Adjustment'!F:F,'3. Incentive Adjustment'!A:A,tbl_Data[[#This Row],[Trimmed Sector]],'3. Incentive Adjustment'!B:B,tbl_Data[[#This Row],[Trimmed Measure Name]])</f>
        <v>0</v>
      </c>
      <c r="AU805" s="80">
        <f>IFERROR(VLOOKUP(tbl_Data[[#This Row],[All_Meas_Name_Append]],'IRA Tax Credits'!$A$3:$D$46,4,0),0)</f>
        <v>0</v>
      </c>
      <c r="AV805" s="81">
        <f>tbl_Data[[#This Row],[Adj. per unit Incentive ($)]]/tbl_Data[[#This Row],[kWh Savings]]*tbl_Data[[#This Row],[Sum of Annuals]]</f>
        <v>0</v>
      </c>
      <c r="AW805" s="81" t="str">
        <f>IFERROR(VLOOKUP(tbl_Data[[#This Row],[Column1]],'1. Set Program Names'!$B$2:$D$15,3,0)*tbl_Data[[#This Row],[Sum of Annuals]],"")</f>
        <v/>
      </c>
      <c r="AX805" s="81">
        <f>tbl_Data[[#This Row],[per unit IRA tax ($)]]/tbl_Data[[#This Row],[kWh Savings]]*tbl_Data[[#This Row],[Sum of Annuals]]</f>
        <v>0</v>
      </c>
      <c r="AY805" s="81">
        <f>tbl_Data[[#This Row],[Avoided Costs ($/unit)]]/tbl_Data[[#This Row],[kWh Savings]]*tbl_Data[[#This Row],[Sum of Annuals]]</f>
        <v>10.627756697693858</v>
      </c>
      <c r="AZ805" s="81">
        <f>tbl_Data[[#This Row],[Lost Revenue ($/unit)]]/tbl_Data[[#This Row],[kWh Savings]]*tbl_Data[[#This Row],[Sum of Annuals]]</f>
        <v>25.959083215361879</v>
      </c>
      <c r="BA805" s="81">
        <f>tbl_Data[[#This Row],[Incremental Cost ($/unit)]]/tbl_Data[[#This Row],[kWh Savings]]*tbl_Data[[#This Row],[Sum of Annuals]]</f>
        <v>5.2107264291692426</v>
      </c>
      <c r="BB805" s="77">
        <f>ROUNDUP(tbl_Data[[#This Row],[Adjusted 2025]]/$L805,0)</f>
        <v>1</v>
      </c>
      <c r="BC805" s="77">
        <f>ROUNDUP(tbl_Data[[#This Row],[Adjusted 2026]]/$L805,0)</f>
        <v>1</v>
      </c>
      <c r="BD805" s="77">
        <f>ROUNDUP(tbl_Data[[#This Row],[Adjusted 2027]]/$L805,0)</f>
        <v>1</v>
      </c>
      <c r="BE805" s="77">
        <f>ROUNDUP(tbl_Data[[#This Row],[Adjusted 2028]]/$L805,0)</f>
        <v>1</v>
      </c>
      <c r="BF805" s="77">
        <f>ROUNDUP(tbl_Data[[#This Row],[Adjusted 2029]]/$L805,0)</f>
        <v>1</v>
      </c>
      <c r="BG805" s="77">
        <f>ROUNDUP(tbl_Data[[#This Row],[Adjusted 2030]]/$L805,0)</f>
        <v>1</v>
      </c>
      <c r="BH805" s="77">
        <f>ROUNDUP(tbl_Data[[#This Row],[Adjusted 2031]]/$L805,0)</f>
        <v>1</v>
      </c>
      <c r="BI805" s="77">
        <f>ROUNDUP(tbl_Data[[#This Row],[Adjusted 2032]]/$L805,0)</f>
        <v>1</v>
      </c>
      <c r="BJ805" s="77">
        <f>ROUNDUP(tbl_Data[[#This Row],[Adjusted 2033]]/$L805,0)</f>
        <v>1</v>
      </c>
      <c r="BK805" s="77">
        <f>ROUNDUP(tbl_Data[[#This Row],[Adjusted 2034]]/$L805,0)</f>
        <v>1</v>
      </c>
      <c r="BL805" s="80">
        <f t="shared" si="331"/>
        <v>0</v>
      </c>
      <c r="BM805" s="80">
        <f t="shared" si="332"/>
        <v>0</v>
      </c>
      <c r="BN805" s="80">
        <f t="shared" si="333"/>
        <v>0</v>
      </c>
      <c r="BO805" s="80">
        <f t="shared" si="334"/>
        <v>0</v>
      </c>
      <c r="BP805" s="80">
        <f t="shared" si="335"/>
        <v>0</v>
      </c>
      <c r="BQ805" s="80">
        <f t="shared" si="336"/>
        <v>0</v>
      </c>
      <c r="BR805" s="80">
        <f t="shared" si="337"/>
        <v>0</v>
      </c>
      <c r="BS805" s="80">
        <f t="shared" si="338"/>
        <v>0</v>
      </c>
      <c r="BT805" s="80">
        <f t="shared" si="339"/>
        <v>0</v>
      </c>
      <c r="BU805" s="80">
        <f t="shared" si="340"/>
        <v>0</v>
      </c>
      <c r="BV805" s="80" t="str">
        <f>IFERROR(VLOOKUP($H805,'1. Set Program Names'!$B$2:$D$15,3,0)*V805,"NA")</f>
        <v>NA</v>
      </c>
      <c r="BW805" s="80" t="str">
        <f>IFERROR(VLOOKUP($H805,'1. Set Program Names'!$B$2:$D$15,3,0)*W805,"NA")</f>
        <v>NA</v>
      </c>
      <c r="BX805" s="80" t="str">
        <f>IFERROR(VLOOKUP($H805,'1. Set Program Names'!$B$2:$D$15,3,0)*X805,"NA")</f>
        <v>NA</v>
      </c>
      <c r="BY805" s="80" t="str">
        <f>IFERROR(VLOOKUP($H805,'1. Set Program Names'!$B$2:$D$15,3,0)*Y805,"NA")</f>
        <v>NA</v>
      </c>
      <c r="BZ805" s="80" t="str">
        <f>IFERROR(VLOOKUP($H805,'1. Set Program Names'!$B$2:$D$15,3,0)*Z805,"NA")</f>
        <v>NA</v>
      </c>
      <c r="CA805" s="80" t="str">
        <f>IFERROR(VLOOKUP($H805,'1. Set Program Names'!$B$2:$D$15,3,0)*AA805,"NA")</f>
        <v>NA</v>
      </c>
      <c r="CB805" s="80" t="str">
        <f>IFERROR(VLOOKUP($H805,'1. Set Program Names'!$B$2:$D$15,3,0)*AB805,"NA")</f>
        <v>NA</v>
      </c>
      <c r="CC805" s="80" t="str">
        <f>IFERROR(VLOOKUP($H805,'1. Set Program Names'!$B$2:$D$15,3,0)*AC805,"NA")</f>
        <v>NA</v>
      </c>
      <c r="CD805" s="80" t="str">
        <f>IFERROR(VLOOKUP($H805,'1. Set Program Names'!$B$2:$D$15,3,0)*AD805,"NA")</f>
        <v>NA</v>
      </c>
      <c r="CE805" s="80" t="str">
        <f>IFERROR(VLOOKUP($H805,'1. Set Program Names'!$B$2:$D$15,3,0)*AE805,"NA")</f>
        <v>NA</v>
      </c>
    </row>
    <row r="806" spans="1:83" x14ac:dyDescent="0.25">
      <c r="A806" s="79" t="s">
        <v>115</v>
      </c>
      <c r="B806" s="79" t="s">
        <v>88</v>
      </c>
      <c r="C806" s="79" t="s">
        <v>176</v>
      </c>
      <c r="D806" s="79" t="s">
        <v>90</v>
      </c>
      <c r="E806" s="79" t="s">
        <v>91</v>
      </c>
      <c r="F806" s="79" t="s">
        <v>90</v>
      </c>
      <c r="G806" s="79" t="s">
        <v>92</v>
      </c>
      <c r="H806" s="79" t="s">
        <v>268</v>
      </c>
      <c r="I806" s="79" t="s">
        <v>179</v>
      </c>
      <c r="J806" s="79" t="s">
        <v>180</v>
      </c>
      <c r="K806" s="79" t="s">
        <v>98</v>
      </c>
      <c r="L806" s="79">
        <v>2684</v>
      </c>
      <c r="M806" s="79">
        <v>0.32197664062426901</v>
      </c>
      <c r="N806" s="79">
        <v>0.310035778837426</v>
      </c>
      <c r="O806" s="79">
        <v>1119</v>
      </c>
      <c r="P806" s="79">
        <v>579.10793250784297</v>
      </c>
      <c r="Q806" s="79">
        <v>2.6840000000000002</v>
      </c>
      <c r="R806" s="79">
        <v>1432.5808011563199</v>
      </c>
      <c r="S806" s="79">
        <v>4046.00364167834</v>
      </c>
      <c r="T806" s="79">
        <v>30</v>
      </c>
      <c r="U806" s="79">
        <v>1</v>
      </c>
      <c r="V806" s="79">
        <f>tbl_Data_old[[#This Row],[2025 ]]*IFERROR(AVERAGEIFS('Participation Adjustment'!$C:$C,'Participation Adjustment'!$A:$A,$H806,'Participation Adjustment'!$B:$B,$I806),1)</f>
        <v>0.18242246849625701</v>
      </c>
      <c r="W806" s="79">
        <f>tbl_Data_old[[#This Row],[2026 ]]*IFERROR(AVERAGEIFS('Participation Adjustment'!$C:$C,'Participation Adjustment'!$A:$A,$H806,'Participation Adjustment'!$B:$B,$I806),1)</f>
        <v>0.43527886745864902</v>
      </c>
      <c r="X806" s="79">
        <f>tbl_Data_old[[#This Row],[2027 ]]*IFERROR(AVERAGEIFS('Participation Adjustment'!$C:$C,'Participation Adjustment'!$A:$A,$H806,'Participation Adjustment'!$B:$B,$I806),1)</f>
        <v>0.76728926166478695</v>
      </c>
      <c r="Y806" s="79">
        <f>tbl_Data_old[[#This Row],[2028 ]]*IFERROR(AVERAGEIFS('Participation Adjustment'!$C:$C,'Participation Adjustment'!$A:$A,$H806,'Participation Adjustment'!$B:$B,$I806),1)</f>
        <v>1.18838692909532</v>
      </c>
      <c r="Z806" s="79">
        <f>tbl_Data_old[[#This Row],[2029 ]]*IFERROR(AVERAGEIFS('Participation Adjustment'!$C:$C,'Participation Adjustment'!$A:$A,$H806,'Participation Adjustment'!$B:$B,$I806),1)</f>
        <v>1.6947639825730401</v>
      </c>
      <c r="AA806" s="79">
        <f>tbl_Data_old[[#This Row],[2030 ]]*IFERROR(AVERAGEIFS('Participation Adjustment'!$C:$C,'Participation Adjustment'!$A:$A,$H806,'Participation Adjustment'!$B:$B,$I806),1)</f>
        <v>2.28075921801585</v>
      </c>
      <c r="AB806" s="79">
        <f>tbl_Data_old[[#This Row],[2031 ]]*IFERROR(AVERAGEIFS('Participation Adjustment'!$C:$C,'Participation Adjustment'!$A:$A,$H806,'Participation Adjustment'!$B:$B,$I806),1)</f>
        <v>2.93581778901066</v>
      </c>
      <c r="AC806" s="79">
        <f>tbl_Data_old[[#This Row],[2032 ]]*IFERROR(AVERAGEIFS('Participation Adjustment'!$C:$C,'Participation Adjustment'!$A:$A,$H806,'Participation Adjustment'!$B:$B,$I806),1)</f>
        <v>3.64429157293123</v>
      </c>
      <c r="AD806" s="79">
        <f>tbl_Data_old[[#This Row],[2033 ]]*IFERROR(AVERAGEIFS('Participation Adjustment'!$C:$C,'Participation Adjustment'!$A:$A,$H806,'Participation Adjustment'!$B:$B,$I806),1)</f>
        <v>4.3961660704878804</v>
      </c>
      <c r="AE806" s="79">
        <f>tbl_Data_old[[#This Row],[2034 ]]*IFERROR(AVERAGEIFS('Participation Adjustment'!$C:$C,'Participation Adjustment'!$A:$A,$H806,'Participation Adjustment'!$B:$B,$I806),1)</f>
        <v>5.1813516173610097</v>
      </c>
      <c r="AF806" s="77" t="str">
        <f t="shared" si="330"/>
        <v>NonResidential</v>
      </c>
      <c r="AG806" s="77" t="str">
        <f>tbl_Data[[#This Row],[All_Meas_Name_Append]]</f>
        <v>Energy Efficient Transformers</v>
      </c>
      <c r="AH806" s="77">
        <f>AVERAGEIFS('3. Incentive Adjustment'!G:G,'3. Incentive Adjustment'!A:A,tbl_Data[[#This Row],[Trimmed Sector]],'3. Incentive Adjustment'!B:B,tbl_Data[[#This Row],[Trimmed Measure Name]])</f>
        <v>0.56592396099637965</v>
      </c>
      <c r="AI806" s="77">
        <f>$AH806*tbl_Data[[#This Row],[2025 ]]</f>
        <v>0.10323724594613905</v>
      </c>
      <c r="AJ806" s="77">
        <f>$AH806*tbl_Data[[#This Row],[2026 ]]</f>
        <v>0.24633474081021681</v>
      </c>
      <c r="AK806" s="77">
        <f>$AH806*tbl_Data[[#This Row],[2027 ]]</f>
        <v>0.43422737819132384</v>
      </c>
      <c r="AL806" s="77">
        <f>$AH806*tbl_Data[[#This Row],[2028 ]]</f>
        <v>0.67253663810994724</v>
      </c>
      <c r="AM806" s="77">
        <f>$AH806*tbl_Data[[#This Row],[2029 ]]</f>
        <v>0.9591075459717342</v>
      </c>
      <c r="AN806" s="77">
        <f>$AH806*tbl_Data[[#This Row],[2030 ]]</f>
        <v>1.2907362907385354</v>
      </c>
      <c r="AO806" s="77">
        <f>$AH806*tbl_Data[[#This Row],[2031 ]]</f>
        <v>1.6614496319205463</v>
      </c>
      <c r="AP806" s="77">
        <f>$AH806*tbl_Data[[#This Row],[2032 ]]</f>
        <v>2.0623919219789686</v>
      </c>
      <c r="AQ806" s="77">
        <f>$AH806*tbl_Data[[#This Row],[2033 ]]</f>
        <v>2.4878957158083908</v>
      </c>
      <c r="AR806" s="77">
        <f>$AH806*tbl_Data[[#This Row],[2034 ]]</f>
        <v>2.9322510306119405</v>
      </c>
      <c r="AS806" s="77">
        <f>SUM(tbl_Data[[#This Row],[Adjusted 2025]:[Adjusted 2034]])</f>
        <v>12.850168140087742</v>
      </c>
      <c r="AT806" s="80">
        <f>AVERAGEIFS('3. Incentive Adjustment'!F:F,'3. Incentive Adjustment'!A:A,tbl_Data[[#This Row],[Trimmed Sector]],'3. Incentive Adjustment'!B:B,tbl_Data[[#This Row],[Trimmed Measure Name]])</f>
        <v>0</v>
      </c>
      <c r="AU806" s="80">
        <f>IFERROR(VLOOKUP(tbl_Data[[#This Row],[All_Meas_Name_Append]],'IRA Tax Credits'!$A$3:$D$46,4,0),0)</f>
        <v>0</v>
      </c>
      <c r="AV806" s="81">
        <f>tbl_Data[[#This Row],[Adj. per unit Incentive ($)]]/tbl_Data[[#This Row],[kWh Savings]]*tbl_Data[[#This Row],[Sum of Annuals]]</f>
        <v>0</v>
      </c>
      <c r="AW806" s="81" t="str">
        <f>IFERROR(VLOOKUP(tbl_Data[[#This Row],[Column1]],'1. Set Program Names'!$B$2:$D$15,3,0)*tbl_Data[[#This Row],[Sum of Annuals]],"")</f>
        <v/>
      </c>
      <c r="AX806" s="81">
        <f>tbl_Data[[#This Row],[per unit IRA tax ($)]]/tbl_Data[[#This Row],[kWh Savings]]*tbl_Data[[#This Row],[Sum of Annuals]]</f>
        <v>0</v>
      </c>
      <c r="AY806" s="81">
        <f>tbl_Data[[#This Row],[Avoided Costs ($/unit)]]/tbl_Data[[#This Row],[kWh Savings]]*tbl_Data[[#This Row],[Sum of Annuals]]</f>
        <v>6.8587571419971374</v>
      </c>
      <c r="AZ806" s="81">
        <f>tbl_Data[[#This Row],[Lost Revenue ($/unit)]]/tbl_Data[[#This Row],[kWh Savings]]*tbl_Data[[#This Row],[Sum of Annuals]]</f>
        <v>19.371023506324139</v>
      </c>
      <c r="BA806" s="81">
        <f>tbl_Data[[#This Row],[Incremental Cost ($/unit)]]/tbl_Data[[#This Row],[kWh Savings]]*tbl_Data[[#This Row],[Sum of Annuals]]</f>
        <v>5.357428520401708</v>
      </c>
      <c r="BB806" s="77">
        <f>ROUNDUP(tbl_Data[[#This Row],[Adjusted 2025]]/$L806,0)</f>
        <v>1</v>
      </c>
      <c r="BC806" s="77">
        <f>ROUNDUP(tbl_Data[[#This Row],[Adjusted 2026]]/$L806,0)</f>
        <v>1</v>
      </c>
      <c r="BD806" s="77">
        <f>ROUNDUP(tbl_Data[[#This Row],[Adjusted 2027]]/$L806,0)</f>
        <v>1</v>
      </c>
      <c r="BE806" s="77">
        <f>ROUNDUP(tbl_Data[[#This Row],[Adjusted 2028]]/$L806,0)</f>
        <v>1</v>
      </c>
      <c r="BF806" s="77">
        <f>ROUNDUP(tbl_Data[[#This Row],[Adjusted 2029]]/$L806,0)</f>
        <v>1</v>
      </c>
      <c r="BG806" s="77">
        <f>ROUNDUP(tbl_Data[[#This Row],[Adjusted 2030]]/$L806,0)</f>
        <v>1</v>
      </c>
      <c r="BH806" s="77">
        <f>ROUNDUP(tbl_Data[[#This Row],[Adjusted 2031]]/$L806,0)</f>
        <v>1</v>
      </c>
      <c r="BI806" s="77">
        <f>ROUNDUP(tbl_Data[[#This Row],[Adjusted 2032]]/$L806,0)</f>
        <v>1</v>
      </c>
      <c r="BJ806" s="77">
        <f>ROUNDUP(tbl_Data[[#This Row],[Adjusted 2033]]/$L806,0)</f>
        <v>1</v>
      </c>
      <c r="BK806" s="77">
        <f>ROUNDUP(tbl_Data[[#This Row],[Adjusted 2034]]/$L806,0)</f>
        <v>1</v>
      </c>
      <c r="BL806" s="80">
        <f t="shared" si="331"/>
        <v>0</v>
      </c>
      <c r="BM806" s="80">
        <f t="shared" si="332"/>
        <v>0</v>
      </c>
      <c r="BN806" s="80">
        <f t="shared" si="333"/>
        <v>0</v>
      </c>
      <c r="BO806" s="80">
        <f t="shared" si="334"/>
        <v>0</v>
      </c>
      <c r="BP806" s="80">
        <f t="shared" si="335"/>
        <v>0</v>
      </c>
      <c r="BQ806" s="80">
        <f t="shared" si="336"/>
        <v>0</v>
      </c>
      <c r="BR806" s="80">
        <f t="shared" si="337"/>
        <v>0</v>
      </c>
      <c r="BS806" s="80">
        <f t="shared" si="338"/>
        <v>0</v>
      </c>
      <c r="BT806" s="80">
        <f t="shared" si="339"/>
        <v>0</v>
      </c>
      <c r="BU806" s="80">
        <f t="shared" si="340"/>
        <v>0</v>
      </c>
      <c r="BV806" s="80" t="str">
        <f>IFERROR(VLOOKUP($H806,'1. Set Program Names'!$B$2:$D$15,3,0)*V806,"NA")</f>
        <v>NA</v>
      </c>
      <c r="BW806" s="80" t="str">
        <f>IFERROR(VLOOKUP($H806,'1. Set Program Names'!$B$2:$D$15,3,0)*W806,"NA")</f>
        <v>NA</v>
      </c>
      <c r="BX806" s="80" t="str">
        <f>IFERROR(VLOOKUP($H806,'1. Set Program Names'!$B$2:$D$15,3,0)*X806,"NA")</f>
        <v>NA</v>
      </c>
      <c r="BY806" s="80" t="str">
        <f>IFERROR(VLOOKUP($H806,'1. Set Program Names'!$B$2:$D$15,3,0)*Y806,"NA")</f>
        <v>NA</v>
      </c>
      <c r="BZ806" s="80" t="str">
        <f>IFERROR(VLOOKUP($H806,'1. Set Program Names'!$B$2:$D$15,3,0)*Z806,"NA")</f>
        <v>NA</v>
      </c>
      <c r="CA806" s="80" t="str">
        <f>IFERROR(VLOOKUP($H806,'1. Set Program Names'!$B$2:$D$15,3,0)*AA806,"NA")</f>
        <v>NA</v>
      </c>
      <c r="CB806" s="80" t="str">
        <f>IFERROR(VLOOKUP($H806,'1. Set Program Names'!$B$2:$D$15,3,0)*AB806,"NA")</f>
        <v>NA</v>
      </c>
      <c r="CC806" s="80" t="str">
        <f>IFERROR(VLOOKUP($H806,'1. Set Program Names'!$B$2:$D$15,3,0)*AC806,"NA")</f>
        <v>NA</v>
      </c>
      <c r="CD806" s="80" t="str">
        <f>IFERROR(VLOOKUP($H806,'1. Set Program Names'!$B$2:$D$15,3,0)*AD806,"NA")</f>
        <v>NA</v>
      </c>
      <c r="CE806" s="80" t="str">
        <f>IFERROR(VLOOKUP($H806,'1. Set Program Names'!$B$2:$D$15,3,0)*AE806,"NA")</f>
        <v>NA</v>
      </c>
    </row>
    <row r="807" spans="1:83" x14ac:dyDescent="0.25">
      <c r="A807" s="79" t="s">
        <v>115</v>
      </c>
      <c r="B807" s="79" t="s">
        <v>88</v>
      </c>
      <c r="C807" s="79" t="s">
        <v>176</v>
      </c>
      <c r="D807" s="79" t="s">
        <v>90</v>
      </c>
      <c r="E807" s="79" t="s">
        <v>91</v>
      </c>
      <c r="F807" s="79" t="s">
        <v>90</v>
      </c>
      <c r="G807" s="79" t="s">
        <v>92</v>
      </c>
      <c r="H807" s="79" t="s">
        <v>268</v>
      </c>
      <c r="I807" s="79" t="s">
        <v>186</v>
      </c>
      <c r="J807" s="79" t="s">
        <v>180</v>
      </c>
      <c r="K807" s="79" t="s">
        <v>102</v>
      </c>
      <c r="L807" s="79">
        <v>27897.5999999999</v>
      </c>
      <c r="M807" s="79">
        <v>3.34663767864367</v>
      </c>
      <c r="N807" s="79">
        <v>3.2225238985450702</v>
      </c>
      <c r="O807" s="79">
        <v>8000</v>
      </c>
      <c r="P807" s="79">
        <v>2762.04801865338</v>
      </c>
      <c r="Q807" s="79">
        <v>27.897599999999901</v>
      </c>
      <c r="R807" s="79">
        <v>11926.089110639999</v>
      </c>
      <c r="S807" s="79">
        <v>29629.215249514</v>
      </c>
      <c r="T807" s="79">
        <v>15</v>
      </c>
      <c r="U807" s="79">
        <v>1</v>
      </c>
      <c r="V807" s="79">
        <f>tbl_Data_old[[#This Row],[2025 ]]*IFERROR(AVERAGEIFS('Participation Adjustment'!$C:$C,'Participation Adjustment'!$A:$A,$H807,'Participation Adjustment'!$B:$B,$I807),1)</f>
        <v>2.95811486796866E-2</v>
      </c>
      <c r="W807" s="79">
        <f>tbl_Data_old[[#This Row],[2026 ]]*IFERROR(AVERAGEIFS('Participation Adjustment'!$C:$C,'Participation Adjustment'!$A:$A,$H807,'Participation Adjustment'!$B:$B,$I807),1)</f>
        <v>6.2902092413854693E-2</v>
      </c>
      <c r="X807" s="79">
        <f>tbl_Data_old[[#This Row],[2027 ]]*IFERROR(AVERAGEIFS('Participation Adjustment'!$C:$C,'Participation Adjustment'!$A:$A,$H807,'Participation Adjustment'!$B:$B,$I807),1)</f>
        <v>9.9968074578903193E-2</v>
      </c>
      <c r="Y807" s="79">
        <f>tbl_Data_old[[#This Row],[2028 ]]*IFERROR(AVERAGEIFS('Participation Adjustment'!$C:$C,'Participation Adjustment'!$A:$A,$H807,'Participation Adjustment'!$B:$B,$I807),1)</f>
        <v>0.141710499079924</v>
      </c>
      <c r="Z807" s="79">
        <f>tbl_Data_old[[#This Row],[2029 ]]*IFERROR(AVERAGEIFS('Participation Adjustment'!$C:$C,'Participation Adjustment'!$A:$A,$H807,'Participation Adjustment'!$B:$B,$I807),1)</f>
        <v>0.187604164637593</v>
      </c>
      <c r="AA807" s="79">
        <f>tbl_Data_old[[#This Row],[2030 ]]*IFERROR(AVERAGEIFS('Participation Adjustment'!$C:$C,'Participation Adjustment'!$A:$A,$H807,'Participation Adjustment'!$B:$B,$I807),1)</f>
        <v>0.238124469988447</v>
      </c>
      <c r="AB807" s="79">
        <f>tbl_Data_old[[#This Row],[2031 ]]*IFERROR(AVERAGEIFS('Participation Adjustment'!$C:$C,'Participation Adjustment'!$A:$A,$H807,'Participation Adjustment'!$B:$B,$I807),1)</f>
        <v>0.29367616486007497</v>
      </c>
      <c r="AC807" s="79">
        <f>tbl_Data_old[[#This Row],[2032 ]]*IFERROR(AVERAGEIFS('Participation Adjustment'!$C:$C,'Participation Adjustment'!$A:$A,$H807,'Participation Adjustment'!$B:$B,$I807),1)</f>
        <v>0.35399992285523602</v>
      </c>
      <c r="AD807" s="79">
        <f>tbl_Data_old[[#This Row],[2033 ]]*IFERROR(AVERAGEIFS('Participation Adjustment'!$C:$C,'Participation Adjustment'!$A:$A,$H807,'Participation Adjustment'!$B:$B,$I807),1)</f>
        <v>0.41972069178902999</v>
      </c>
      <c r="AE807" s="79">
        <f>tbl_Data_old[[#This Row],[2034 ]]*IFERROR(AVERAGEIFS('Participation Adjustment'!$C:$C,'Participation Adjustment'!$A:$A,$H807,'Participation Adjustment'!$B:$B,$I807),1)</f>
        <v>0.49090942336848697</v>
      </c>
      <c r="AF807" s="77" t="str">
        <f t="shared" si="330"/>
        <v>NonResidential</v>
      </c>
      <c r="AG807" s="77" t="str">
        <f>tbl_Data[[#This Row],[All_Meas_Name_Append]]</f>
        <v>Grain Bin Aeration Control System</v>
      </c>
      <c r="AH807" s="77">
        <f>AVERAGEIFS('3. Incentive Adjustment'!G:G,'3. Incentive Adjustment'!A:A,tbl_Data[[#This Row],[Trimmed Sector]],'3. Incentive Adjustment'!B:B,tbl_Data[[#This Row],[Trimmed Measure Name]])</f>
        <v>0.77010279279185057</v>
      </c>
      <c r="AI807" s="77">
        <f>$AH807*tbl_Data[[#This Row],[2025 ]]</f>
        <v>2.2780525212217614E-2</v>
      </c>
      <c r="AJ807" s="77">
        <f>$AH807*tbl_Data[[#This Row],[2026 ]]</f>
        <v>4.8441077040360575E-2</v>
      </c>
      <c r="AK807" s="77">
        <f>$AH807*tbl_Data[[#This Row],[2027 ]]</f>
        <v>7.6985693423237356E-2</v>
      </c>
      <c r="AL807" s="77">
        <f>$AH807*tbl_Data[[#This Row],[2028 ]]</f>
        <v>0.10913165110937645</v>
      </c>
      <c r="AM807" s="77">
        <f>$AH807*tbl_Data[[#This Row],[2029 ]]</f>
        <v>0.1444744911267925</v>
      </c>
      <c r="AN807" s="77">
        <f>$AH807*tbl_Data[[#This Row],[2030 ]]</f>
        <v>0.18338031937018223</v>
      </c>
      <c r="AO807" s="77">
        <f>$AH807*tbl_Data[[#This Row],[2031 ]]</f>
        <v>0.22616083473514367</v>
      </c>
      <c r="AP807" s="77">
        <f>$AH807*tbl_Data[[#This Row],[2032 ]]</f>
        <v>0.27261632923891693</v>
      </c>
      <c r="AQ807" s="77">
        <f>$AH807*tbl_Data[[#This Row],[2033 ]]</f>
        <v>0.32322807693925953</v>
      </c>
      <c r="AR807" s="77">
        <f>$AH807*tbl_Data[[#This Row],[2034 ]]</f>
        <v>0.37805071794390877</v>
      </c>
      <c r="AS807" s="77">
        <f>SUM(tbl_Data[[#This Row],[Adjusted 2025]:[Adjusted 2034]])</f>
        <v>1.7852497161393956</v>
      </c>
      <c r="AT807" s="80">
        <f>AVERAGEIFS('3. Incentive Adjustment'!F:F,'3. Incentive Adjustment'!A:A,tbl_Data[[#This Row],[Trimmed Sector]],'3. Incentive Adjustment'!B:B,tbl_Data[[#This Row],[Trimmed Measure Name]])</f>
        <v>0</v>
      </c>
      <c r="AU807" s="80">
        <f>IFERROR(VLOOKUP(tbl_Data[[#This Row],[All_Meas_Name_Append]],'IRA Tax Credits'!$A$3:$D$46,4,0),0)</f>
        <v>0</v>
      </c>
      <c r="AV807" s="81">
        <f>tbl_Data[[#This Row],[Adj. per unit Incentive ($)]]/tbl_Data[[#This Row],[kWh Savings]]*tbl_Data[[#This Row],[Sum of Annuals]]</f>
        <v>0</v>
      </c>
      <c r="AW807" s="81" t="str">
        <f>IFERROR(VLOOKUP(tbl_Data[[#This Row],[Column1]],'1. Set Program Names'!$B$2:$D$15,3,0)*tbl_Data[[#This Row],[Sum of Annuals]],"")</f>
        <v/>
      </c>
      <c r="AX807" s="81">
        <f>tbl_Data[[#This Row],[per unit IRA tax ($)]]/tbl_Data[[#This Row],[kWh Savings]]*tbl_Data[[#This Row],[Sum of Annuals]]</f>
        <v>0</v>
      </c>
      <c r="AY807" s="81">
        <f>tbl_Data[[#This Row],[Avoided Costs ($/unit)]]/tbl_Data[[#This Row],[kWh Savings]]*tbl_Data[[#This Row],[Sum of Annuals]]</f>
        <v>0.76318562168155224</v>
      </c>
      <c r="AZ807" s="81">
        <f>tbl_Data[[#This Row],[Lost Revenue ($/unit)]]/tbl_Data[[#This Row],[kWh Savings]]*tbl_Data[[#This Row],[Sum of Annuals]]</f>
        <v>1.8960608838619848</v>
      </c>
      <c r="BA807" s="81">
        <f>tbl_Data[[#This Row],[Incremental Cost ($/unit)]]/tbl_Data[[#This Row],[kWh Savings]]*tbl_Data[[#This Row],[Sum of Annuals]]</f>
        <v>0.51194359834233827</v>
      </c>
      <c r="BB807" s="77">
        <f>ROUNDUP(tbl_Data[[#This Row],[Adjusted 2025]]/$L807,0)</f>
        <v>1</v>
      </c>
      <c r="BC807" s="77">
        <f>ROUNDUP(tbl_Data[[#This Row],[Adjusted 2026]]/$L807,0)</f>
        <v>1</v>
      </c>
      <c r="BD807" s="77">
        <f>ROUNDUP(tbl_Data[[#This Row],[Adjusted 2027]]/$L807,0)</f>
        <v>1</v>
      </c>
      <c r="BE807" s="77">
        <f>ROUNDUP(tbl_Data[[#This Row],[Adjusted 2028]]/$L807,0)</f>
        <v>1</v>
      </c>
      <c r="BF807" s="77">
        <f>ROUNDUP(tbl_Data[[#This Row],[Adjusted 2029]]/$L807,0)</f>
        <v>1</v>
      </c>
      <c r="BG807" s="77">
        <f>ROUNDUP(tbl_Data[[#This Row],[Adjusted 2030]]/$L807,0)</f>
        <v>1</v>
      </c>
      <c r="BH807" s="77">
        <f>ROUNDUP(tbl_Data[[#This Row],[Adjusted 2031]]/$L807,0)</f>
        <v>1</v>
      </c>
      <c r="BI807" s="77">
        <f>ROUNDUP(tbl_Data[[#This Row],[Adjusted 2032]]/$L807,0)</f>
        <v>1</v>
      </c>
      <c r="BJ807" s="77">
        <f>ROUNDUP(tbl_Data[[#This Row],[Adjusted 2033]]/$L807,0)</f>
        <v>1</v>
      </c>
      <c r="BK807" s="77">
        <f>ROUNDUP(tbl_Data[[#This Row],[Adjusted 2034]]/$L807,0)</f>
        <v>1</v>
      </c>
      <c r="BL807" s="80">
        <f t="shared" si="331"/>
        <v>0</v>
      </c>
      <c r="BM807" s="80">
        <f t="shared" si="332"/>
        <v>0</v>
      </c>
      <c r="BN807" s="80">
        <f t="shared" si="333"/>
        <v>0</v>
      </c>
      <c r="BO807" s="80">
        <f t="shared" si="334"/>
        <v>0</v>
      </c>
      <c r="BP807" s="80">
        <f t="shared" si="335"/>
        <v>0</v>
      </c>
      <c r="BQ807" s="80">
        <f t="shared" si="336"/>
        <v>0</v>
      </c>
      <c r="BR807" s="80">
        <f t="shared" si="337"/>
        <v>0</v>
      </c>
      <c r="BS807" s="80">
        <f t="shared" si="338"/>
        <v>0</v>
      </c>
      <c r="BT807" s="80">
        <f t="shared" si="339"/>
        <v>0</v>
      </c>
      <c r="BU807" s="80">
        <f t="shared" si="340"/>
        <v>0</v>
      </c>
      <c r="BV807" s="80" t="str">
        <f>IFERROR(VLOOKUP($H807,'1. Set Program Names'!$B$2:$D$15,3,0)*V807,"NA")</f>
        <v>NA</v>
      </c>
      <c r="BW807" s="80" t="str">
        <f>IFERROR(VLOOKUP($H807,'1. Set Program Names'!$B$2:$D$15,3,0)*W807,"NA")</f>
        <v>NA</v>
      </c>
      <c r="BX807" s="80" t="str">
        <f>IFERROR(VLOOKUP($H807,'1. Set Program Names'!$B$2:$D$15,3,0)*X807,"NA")</f>
        <v>NA</v>
      </c>
      <c r="BY807" s="80" t="str">
        <f>IFERROR(VLOOKUP($H807,'1. Set Program Names'!$B$2:$D$15,3,0)*Y807,"NA")</f>
        <v>NA</v>
      </c>
      <c r="BZ807" s="80" t="str">
        <f>IFERROR(VLOOKUP($H807,'1. Set Program Names'!$B$2:$D$15,3,0)*Z807,"NA")</f>
        <v>NA</v>
      </c>
      <c r="CA807" s="80" t="str">
        <f>IFERROR(VLOOKUP($H807,'1. Set Program Names'!$B$2:$D$15,3,0)*AA807,"NA")</f>
        <v>NA</v>
      </c>
      <c r="CB807" s="80" t="str">
        <f>IFERROR(VLOOKUP($H807,'1. Set Program Names'!$B$2:$D$15,3,0)*AB807,"NA")</f>
        <v>NA</v>
      </c>
      <c r="CC807" s="80" t="str">
        <f>IFERROR(VLOOKUP($H807,'1. Set Program Names'!$B$2:$D$15,3,0)*AC807,"NA")</f>
        <v>NA</v>
      </c>
      <c r="CD807" s="80" t="str">
        <f>IFERROR(VLOOKUP($H807,'1. Set Program Names'!$B$2:$D$15,3,0)*AD807,"NA")</f>
        <v>NA</v>
      </c>
      <c r="CE807" s="80" t="str">
        <f>IFERROR(VLOOKUP($H807,'1. Set Program Names'!$B$2:$D$15,3,0)*AE807,"NA")</f>
        <v>NA</v>
      </c>
    </row>
    <row r="808" spans="1:83" x14ac:dyDescent="0.25">
      <c r="A808" s="79" t="s">
        <v>115</v>
      </c>
      <c r="B808" s="79" t="s">
        <v>88</v>
      </c>
      <c r="C808" s="79" t="s">
        <v>176</v>
      </c>
      <c r="D808" s="79" t="s">
        <v>90</v>
      </c>
      <c r="E808" s="79" t="s">
        <v>91</v>
      </c>
      <c r="F808" s="79" t="s">
        <v>90</v>
      </c>
      <c r="G808" s="79" t="s">
        <v>92</v>
      </c>
      <c r="H808" s="79" t="s">
        <v>268</v>
      </c>
      <c r="I808" s="79" t="s">
        <v>181</v>
      </c>
      <c r="J808" s="79" t="s">
        <v>182</v>
      </c>
      <c r="K808" s="79" t="s">
        <v>98</v>
      </c>
      <c r="L808" s="79">
        <v>21140.159999999902</v>
      </c>
      <c r="M808" s="79">
        <v>2.4928340912459501</v>
      </c>
      <c r="N808" s="79">
        <v>2.4353939910039801</v>
      </c>
      <c r="O808" s="79">
        <v>4269.76</v>
      </c>
      <c r="P808" s="79">
        <v>17.441519984740999</v>
      </c>
      <c r="Q808" s="79">
        <v>21.140159999999899</v>
      </c>
      <c r="R808" s="79">
        <v>7174.5673333962905</v>
      </c>
      <c r="S808" s="79">
        <v>17003.9302734632</v>
      </c>
      <c r="T808" s="79">
        <v>10</v>
      </c>
      <c r="U808" s="79">
        <v>1</v>
      </c>
      <c r="V808" s="79">
        <f>tbl_Data_old[[#This Row],[2025 ]]*IFERROR(AVERAGEIFS('Participation Adjustment'!$C:$C,'Participation Adjustment'!$A:$A,$H808,'Participation Adjustment'!$B:$B,$I808),1)</f>
        <v>0.76123037399070004</v>
      </c>
      <c r="W808" s="79">
        <f>tbl_Data_old[[#This Row],[2026 ]]*IFERROR(AVERAGEIFS('Participation Adjustment'!$C:$C,'Participation Adjustment'!$A:$A,$H808,'Participation Adjustment'!$B:$B,$I808),1)</f>
        <v>1.62771296641785</v>
      </c>
      <c r="X808" s="79">
        <f>tbl_Data_old[[#This Row],[2027 ]]*IFERROR(AVERAGEIFS('Participation Adjustment'!$C:$C,'Participation Adjustment'!$A:$A,$H808,'Participation Adjustment'!$B:$B,$I808),1)</f>
        <v>2.5860873891460701</v>
      </c>
      <c r="Y808" s="79">
        <f>tbl_Data_old[[#This Row],[2028 ]]*IFERROR(AVERAGEIFS('Participation Adjustment'!$C:$C,'Participation Adjustment'!$A:$A,$H808,'Participation Adjustment'!$B:$B,$I808),1)</f>
        <v>3.63557727532138</v>
      </c>
      <c r="Z808" s="79">
        <f>tbl_Data_old[[#This Row],[2029 ]]*IFERROR(AVERAGEIFS('Participation Adjustment'!$C:$C,'Participation Adjustment'!$A:$A,$H808,'Participation Adjustment'!$B:$B,$I808),1)</f>
        <v>4.7641033172223404</v>
      </c>
      <c r="AA808" s="79">
        <f>tbl_Data_old[[#This Row],[2030 ]]*IFERROR(AVERAGEIFS('Participation Adjustment'!$C:$C,'Participation Adjustment'!$A:$A,$H808,'Participation Adjustment'!$B:$B,$I808),1)</f>
        <v>5.9662960457324603</v>
      </c>
      <c r="AB808" s="79">
        <f>tbl_Data_old[[#This Row],[2031 ]]*IFERROR(AVERAGEIFS('Participation Adjustment'!$C:$C,'Participation Adjustment'!$A:$A,$H808,'Participation Adjustment'!$B:$B,$I808),1)</f>
        <v>7.2378381372715896</v>
      </c>
      <c r="AC808" s="79">
        <f>tbl_Data_old[[#This Row],[2032 ]]*IFERROR(AVERAGEIFS('Participation Adjustment'!$C:$C,'Participation Adjustment'!$A:$A,$H808,'Participation Adjustment'!$B:$B,$I808),1)</f>
        <v>8.57231416957306</v>
      </c>
      <c r="AD808" s="79">
        <f>tbl_Data_old[[#This Row],[2033 ]]*IFERROR(AVERAGEIFS('Participation Adjustment'!$C:$C,'Participation Adjustment'!$A:$A,$H808,'Participation Adjustment'!$B:$B,$I808),1)</f>
        <v>9.9684885033283201</v>
      </c>
      <c r="AE808" s="79">
        <f>tbl_Data_old[[#This Row],[2034 ]]*IFERROR(AVERAGEIFS('Participation Adjustment'!$C:$C,'Participation Adjustment'!$A:$A,$H808,'Participation Adjustment'!$B:$B,$I808),1)</f>
        <v>11.4231637905153</v>
      </c>
      <c r="AF808" s="77" t="str">
        <f t="shared" ref="AF808:AF835" si="341">IF(C808="Residential","Residential","NonResidential")</f>
        <v>NonResidential</v>
      </c>
      <c r="AG808" s="77" t="str">
        <f>tbl_Data[[#This Row],[All_Meas_Name_Append]]</f>
        <v>High Volume Low Speed Fan (HVLS)</v>
      </c>
      <c r="AH808" s="77">
        <f>AVERAGEIFS('3. Incentive Adjustment'!G:G,'3. Incentive Adjustment'!A:A,tbl_Data[[#This Row],[Trimmed Sector]],'3. Incentive Adjustment'!B:B,tbl_Data[[#This Row],[Trimmed Measure Name]])</f>
        <v>0.99782547587781634</v>
      </c>
      <c r="AI808" s="77">
        <f>$AH808*tbl_Data[[#This Row],[2025 ]]</f>
        <v>0.75957506017991838</v>
      </c>
      <c r="AJ808" s="77">
        <f>$AH808*tbl_Data[[#This Row],[2026 ]]</f>
        <v>1.6241734653083832</v>
      </c>
      <c r="AK808" s="77">
        <f>$AH808*tbl_Data[[#This Row],[2027 ]]</f>
        <v>2.5804638797362971</v>
      </c>
      <c r="AL808" s="77">
        <f>$AH808*tbl_Data[[#This Row],[2028 ]]</f>
        <v>3.6276716248381309</v>
      </c>
      <c r="AM808" s="77">
        <f>$AH808*tbl_Data[[#This Row],[2029 ]]</f>
        <v>4.7537436596384648</v>
      </c>
      <c r="AN808" s="77">
        <f>$AH808*tbl_Data[[#This Row],[2030 ]]</f>
        <v>5.9533221910609262</v>
      </c>
      <c r="AO808" s="77">
        <f>$AH808*tbl_Data[[#This Row],[2031 ]]</f>
        <v>7.2220992836496318</v>
      </c>
      <c r="AP808" s="77">
        <f>$AH808*tbl_Data[[#This Row],[2032 ]]</f>
        <v>8.5536734656283873</v>
      </c>
      <c r="AQ808" s="77">
        <f>$AH808*tbl_Data[[#This Row],[2033 ]]</f>
        <v>9.9468117846161217</v>
      </c>
      <c r="AR808" s="77">
        <f>$AH808*tbl_Data[[#This Row],[2034 ]]</f>
        <v>11.398323845301169</v>
      </c>
      <c r="AS808" s="77">
        <f>SUM(tbl_Data[[#This Row],[Adjusted 2025]:[Adjusted 2034]])</f>
        <v>56.419858259957429</v>
      </c>
      <c r="AT808" s="80">
        <f>AVERAGEIFS('3. Incentive Adjustment'!F:F,'3. Incentive Adjustment'!A:A,tbl_Data[[#This Row],[Trimmed Sector]],'3. Incentive Adjustment'!B:B,tbl_Data[[#This Row],[Trimmed Measure Name]])</f>
        <v>0</v>
      </c>
      <c r="AU808" s="80">
        <f>IFERROR(VLOOKUP(tbl_Data[[#This Row],[All_Meas_Name_Append]],'IRA Tax Credits'!$A$3:$D$46,4,0),0)</f>
        <v>0</v>
      </c>
      <c r="AV808" s="81">
        <f>tbl_Data[[#This Row],[Adj. per unit Incentive ($)]]/tbl_Data[[#This Row],[kWh Savings]]*tbl_Data[[#This Row],[Sum of Annuals]]</f>
        <v>0</v>
      </c>
      <c r="AW808" s="81" t="str">
        <f>IFERROR(VLOOKUP(tbl_Data[[#This Row],[Column1]],'1. Set Program Names'!$B$2:$D$15,3,0)*tbl_Data[[#This Row],[Sum of Annuals]],"")</f>
        <v/>
      </c>
      <c r="AX808" s="81">
        <f>tbl_Data[[#This Row],[per unit IRA tax ($)]]/tbl_Data[[#This Row],[kWh Savings]]*tbl_Data[[#This Row],[Sum of Annuals]]</f>
        <v>0</v>
      </c>
      <c r="AY808" s="81">
        <f>tbl_Data[[#This Row],[Avoided Costs ($/unit)]]/tbl_Data[[#This Row],[kWh Savings]]*tbl_Data[[#This Row],[Sum of Annuals]]</f>
        <v>19.147824426434866</v>
      </c>
      <c r="AZ808" s="81">
        <f>tbl_Data[[#This Row],[Lost Revenue ($/unit)]]/tbl_Data[[#This Row],[kWh Savings]]*tbl_Data[[#This Row],[Sum of Annuals]]</f>
        <v>45.380892854689719</v>
      </c>
      <c r="BA808" s="81">
        <f>tbl_Data[[#This Row],[Incremental Cost ($/unit)]]/tbl_Data[[#This Row],[kWh Savings]]*tbl_Data[[#This Row],[Sum of Annuals]]</f>
        <v>11.395337310788422</v>
      </c>
      <c r="BB808" s="77">
        <f>ROUNDUP(tbl_Data[[#This Row],[Adjusted 2025]]/$L808,0)</f>
        <v>1</v>
      </c>
      <c r="BC808" s="77">
        <f>ROUNDUP(tbl_Data[[#This Row],[Adjusted 2026]]/$L808,0)</f>
        <v>1</v>
      </c>
      <c r="BD808" s="77">
        <f>ROUNDUP(tbl_Data[[#This Row],[Adjusted 2027]]/$L808,0)</f>
        <v>1</v>
      </c>
      <c r="BE808" s="77">
        <f>ROUNDUP(tbl_Data[[#This Row],[Adjusted 2028]]/$L808,0)</f>
        <v>1</v>
      </c>
      <c r="BF808" s="77">
        <f>ROUNDUP(tbl_Data[[#This Row],[Adjusted 2029]]/$L808,0)</f>
        <v>1</v>
      </c>
      <c r="BG808" s="77">
        <f>ROUNDUP(tbl_Data[[#This Row],[Adjusted 2030]]/$L808,0)</f>
        <v>1</v>
      </c>
      <c r="BH808" s="77">
        <f>ROUNDUP(tbl_Data[[#This Row],[Adjusted 2031]]/$L808,0)</f>
        <v>1</v>
      </c>
      <c r="BI808" s="77">
        <f>ROUNDUP(tbl_Data[[#This Row],[Adjusted 2032]]/$L808,0)</f>
        <v>1</v>
      </c>
      <c r="BJ808" s="77">
        <f>ROUNDUP(tbl_Data[[#This Row],[Adjusted 2033]]/$L808,0)</f>
        <v>1</v>
      </c>
      <c r="BK808" s="77">
        <f>ROUNDUP(tbl_Data[[#This Row],[Adjusted 2034]]/$L808,0)</f>
        <v>1</v>
      </c>
      <c r="BL808" s="80">
        <f t="shared" ref="BL808:BL835" si="342">$AT808/$L808*V808</f>
        <v>0</v>
      </c>
      <c r="BM808" s="80">
        <f t="shared" ref="BM808:BM835" si="343">$AT808/$L808*W808</f>
        <v>0</v>
      </c>
      <c r="BN808" s="80">
        <f t="shared" ref="BN808:BN835" si="344">$AT808/$L808*X808</f>
        <v>0</v>
      </c>
      <c r="BO808" s="80">
        <f t="shared" ref="BO808:BO835" si="345">$AT808/$L808*Y808</f>
        <v>0</v>
      </c>
      <c r="BP808" s="80">
        <f t="shared" ref="BP808:BP835" si="346">$AT808/$L808*Z808</f>
        <v>0</v>
      </c>
      <c r="BQ808" s="80">
        <f t="shared" ref="BQ808:BQ835" si="347">$AT808/$L808*AA808</f>
        <v>0</v>
      </c>
      <c r="BR808" s="80">
        <f t="shared" ref="BR808:BR835" si="348">$AT808/$L808*AB808</f>
        <v>0</v>
      </c>
      <c r="BS808" s="80">
        <f t="shared" ref="BS808:BS835" si="349">$AT808/$L808*AC808</f>
        <v>0</v>
      </c>
      <c r="BT808" s="80">
        <f t="shared" ref="BT808:BT835" si="350">$AT808/$L808*AD808</f>
        <v>0</v>
      </c>
      <c r="BU808" s="80">
        <f t="shared" ref="BU808:BU835" si="351">$AT808/$L808*AE808</f>
        <v>0</v>
      </c>
      <c r="BV808" s="80" t="str">
        <f>IFERROR(VLOOKUP($H808,'1. Set Program Names'!$B$2:$D$15,3,0)*V808,"NA")</f>
        <v>NA</v>
      </c>
      <c r="BW808" s="80" t="str">
        <f>IFERROR(VLOOKUP($H808,'1. Set Program Names'!$B$2:$D$15,3,0)*W808,"NA")</f>
        <v>NA</v>
      </c>
      <c r="BX808" s="80" t="str">
        <f>IFERROR(VLOOKUP($H808,'1. Set Program Names'!$B$2:$D$15,3,0)*X808,"NA")</f>
        <v>NA</v>
      </c>
      <c r="BY808" s="80" t="str">
        <f>IFERROR(VLOOKUP($H808,'1. Set Program Names'!$B$2:$D$15,3,0)*Y808,"NA")</f>
        <v>NA</v>
      </c>
      <c r="BZ808" s="80" t="str">
        <f>IFERROR(VLOOKUP($H808,'1. Set Program Names'!$B$2:$D$15,3,0)*Z808,"NA")</f>
        <v>NA</v>
      </c>
      <c r="CA808" s="80" t="str">
        <f>IFERROR(VLOOKUP($H808,'1. Set Program Names'!$B$2:$D$15,3,0)*AA808,"NA")</f>
        <v>NA</v>
      </c>
      <c r="CB808" s="80" t="str">
        <f>IFERROR(VLOOKUP($H808,'1. Set Program Names'!$B$2:$D$15,3,0)*AB808,"NA")</f>
        <v>NA</v>
      </c>
      <c r="CC808" s="80" t="str">
        <f>IFERROR(VLOOKUP($H808,'1. Set Program Names'!$B$2:$D$15,3,0)*AC808,"NA")</f>
        <v>NA</v>
      </c>
      <c r="CD808" s="80" t="str">
        <f>IFERROR(VLOOKUP($H808,'1. Set Program Names'!$B$2:$D$15,3,0)*AD808,"NA")</f>
        <v>NA</v>
      </c>
      <c r="CE808" s="80" t="str">
        <f>IFERROR(VLOOKUP($H808,'1. Set Program Names'!$B$2:$D$15,3,0)*AE808,"NA")</f>
        <v>NA</v>
      </c>
    </row>
    <row r="809" spans="1:83" x14ac:dyDescent="0.25">
      <c r="A809" s="79" t="s">
        <v>115</v>
      </c>
      <c r="B809" s="79" t="s">
        <v>88</v>
      </c>
      <c r="C809" s="79" t="s">
        <v>176</v>
      </c>
      <c r="D809" s="79" t="s">
        <v>90</v>
      </c>
      <c r="E809" s="79" t="s">
        <v>91</v>
      </c>
      <c r="F809" s="79" t="s">
        <v>90</v>
      </c>
      <c r="G809" s="79" t="s">
        <v>92</v>
      </c>
      <c r="H809" s="79" t="s">
        <v>268</v>
      </c>
      <c r="I809" s="79" t="s">
        <v>183</v>
      </c>
      <c r="J809" s="79" t="s">
        <v>178</v>
      </c>
      <c r="K809" s="79" t="s">
        <v>130</v>
      </c>
      <c r="L809" s="79">
        <v>113444.97999999901</v>
      </c>
      <c r="M809" s="79">
        <v>13.5911727914499</v>
      </c>
      <c r="N809" s="79">
        <v>13.0925103405659</v>
      </c>
      <c r="O809" s="79">
        <v>42343.199999999997</v>
      </c>
      <c r="P809" s="79">
        <v>19818.792281260001</v>
      </c>
      <c r="Q809" s="79">
        <v>113.44497999999901</v>
      </c>
      <c r="R809" s="79">
        <v>54449.419529642699</v>
      </c>
      <c r="S809" s="79">
        <v>142371.22131797599</v>
      </c>
      <c r="T809" s="79">
        <v>20</v>
      </c>
      <c r="U809" s="79">
        <v>1</v>
      </c>
      <c r="V809" s="79">
        <f>tbl_Data_old[[#This Row],[2025 ]]*IFERROR(AVERAGEIFS('Participation Adjustment'!$C:$C,'Participation Adjustment'!$A:$A,$H809,'Participation Adjustment'!$B:$B,$I809),1)</f>
        <v>9.2662016119339496E-2</v>
      </c>
      <c r="W809" s="79">
        <f>tbl_Data_old[[#This Row],[2026 ]]*IFERROR(AVERAGEIFS('Participation Adjustment'!$C:$C,'Participation Adjustment'!$A:$A,$H809,'Participation Adjustment'!$B:$B,$I809),1)</f>
        <v>0.18363936052068799</v>
      </c>
      <c r="X809" s="79">
        <f>tbl_Data_old[[#This Row],[2027 ]]*IFERROR(AVERAGEIFS('Participation Adjustment'!$C:$C,'Participation Adjustment'!$A:$A,$H809,'Participation Adjustment'!$B:$B,$I809),1)</f>
        <v>0.27213538807444898</v>
      </c>
      <c r="Y809" s="79">
        <f>tbl_Data_old[[#This Row],[2028 ]]*IFERROR(AVERAGEIFS('Participation Adjustment'!$C:$C,'Participation Adjustment'!$A:$A,$H809,'Participation Adjustment'!$B:$B,$I809),1)</f>
        <v>0.35810218157454698</v>
      </c>
      <c r="Z809" s="79">
        <f>tbl_Data_old[[#This Row],[2029 ]]*IFERROR(AVERAGEIFS('Participation Adjustment'!$C:$C,'Participation Adjustment'!$A:$A,$H809,'Participation Adjustment'!$B:$B,$I809),1)</f>
        <v>0.44164889769849403</v>
      </c>
      <c r="AA809" s="79">
        <f>tbl_Data_old[[#This Row],[2030 ]]*IFERROR(AVERAGEIFS('Participation Adjustment'!$C:$C,'Participation Adjustment'!$A:$A,$H809,'Participation Adjustment'!$B:$B,$I809),1)</f>
        <v>0.52256382342923802</v>
      </c>
      <c r="AB809" s="79">
        <f>tbl_Data_old[[#This Row],[2031 ]]*IFERROR(AVERAGEIFS('Participation Adjustment'!$C:$C,'Participation Adjustment'!$A:$A,$H809,'Participation Adjustment'!$B:$B,$I809),1)</f>
        <v>0.60081667114211101</v>
      </c>
      <c r="AC809" s="79">
        <f>tbl_Data_old[[#This Row],[2032 ]]*IFERROR(AVERAGEIFS('Participation Adjustment'!$C:$C,'Participation Adjustment'!$A:$A,$H809,'Participation Adjustment'!$B:$B,$I809),1)</f>
        <v>0.67655956412176799</v>
      </c>
      <c r="AD809" s="79">
        <f>tbl_Data_old[[#This Row],[2033 ]]*IFERROR(AVERAGEIFS('Participation Adjustment'!$C:$C,'Participation Adjustment'!$A:$A,$H809,'Participation Adjustment'!$B:$B,$I809),1)</f>
        <v>0.74978558904261805</v>
      </c>
      <c r="AE809" s="79">
        <f>tbl_Data_old[[#This Row],[2034 ]]*IFERROR(AVERAGEIFS('Participation Adjustment'!$C:$C,'Participation Adjustment'!$A:$A,$H809,'Participation Adjustment'!$B:$B,$I809),1)</f>
        <v>0.82057819001921495</v>
      </c>
      <c r="AF809" s="77" t="str">
        <f t="shared" si="341"/>
        <v>NonResidential</v>
      </c>
      <c r="AG809" s="77" t="str">
        <f>tbl_Data[[#This Row],[All_Meas_Name_Append]]</f>
        <v>Industrial Duct Sealing</v>
      </c>
      <c r="AH809" s="77">
        <f>AVERAGEIFS('3. Incentive Adjustment'!G:G,'3. Incentive Adjustment'!A:A,tbl_Data[[#This Row],[Trimmed Sector]],'3. Incentive Adjustment'!B:B,tbl_Data[[#This Row],[Trimmed Measure Name]])</f>
        <v>0.63068496474049041</v>
      </c>
      <c r="AI809" s="77">
        <f>$AH809*tbl_Data[[#This Row],[2025 ]]</f>
        <v>5.8440540369008386E-2</v>
      </c>
      <c r="AJ809" s="77">
        <f>$AH809*tbl_Data[[#This Row],[2026 ]]</f>
        <v>0.11581858361495631</v>
      </c>
      <c r="AK809" s="77">
        <f>$AH809*tbl_Data[[#This Row],[2027 ]]</f>
        <v>0.17163169763237354</v>
      </c>
      <c r="AL809" s="77">
        <f>$AH809*tbl_Data[[#This Row],[2028 ]]</f>
        <v>0.22584966175983587</v>
      </c>
      <c r="AM809" s="77">
        <f>$AH809*tbl_Data[[#This Row],[2029 ]]</f>
        <v>0.27854131947265115</v>
      </c>
      <c r="AN809" s="77">
        <f>$AH809*tbl_Data[[#This Row],[2030 ]]</f>
        <v>0.32957314655412484</v>
      </c>
      <c r="AO809" s="77">
        <f>$AH809*tbl_Data[[#This Row],[2031 ]]</f>
        <v>0.37892604105476113</v>
      </c>
      <c r="AP809" s="77">
        <f>$AH809*tbl_Data[[#This Row],[2032 ]]</f>
        <v>0.42669594484297879</v>
      </c>
      <c r="AQ809" s="77">
        <f>$AH809*tbl_Data[[#This Row],[2033 ]]</f>
        <v>0.4728784977882714</v>
      </c>
      <c r="AR809" s="77">
        <f>$AH809*tbl_Data[[#This Row],[2034 ]]</f>
        <v>0.51752632683908406</v>
      </c>
      <c r="AS809" s="77">
        <f>SUM(tbl_Data[[#This Row],[Adjusted 2025]:[Adjusted 2034]])</f>
        <v>2.9758817599280456</v>
      </c>
      <c r="AT809" s="80">
        <f>AVERAGEIFS('3. Incentive Adjustment'!F:F,'3. Incentive Adjustment'!A:A,tbl_Data[[#This Row],[Trimmed Sector]],'3. Incentive Adjustment'!B:B,tbl_Data[[#This Row],[Trimmed Measure Name]])</f>
        <v>0</v>
      </c>
      <c r="AU809" s="80">
        <f>IFERROR(VLOOKUP(tbl_Data[[#This Row],[All_Meas_Name_Append]],'IRA Tax Credits'!$A$3:$D$46,4,0),0)</f>
        <v>0</v>
      </c>
      <c r="AV809" s="81">
        <f>tbl_Data[[#This Row],[Adj. per unit Incentive ($)]]/tbl_Data[[#This Row],[kWh Savings]]*tbl_Data[[#This Row],[Sum of Annuals]]</f>
        <v>0</v>
      </c>
      <c r="AW809" s="81" t="str">
        <f>IFERROR(VLOOKUP(tbl_Data[[#This Row],[Column1]],'1. Set Program Names'!$B$2:$D$15,3,0)*tbl_Data[[#This Row],[Sum of Annuals]],"")</f>
        <v/>
      </c>
      <c r="AX809" s="81">
        <f>tbl_Data[[#This Row],[per unit IRA tax ($)]]/tbl_Data[[#This Row],[kWh Savings]]*tbl_Data[[#This Row],[Sum of Annuals]]</f>
        <v>0</v>
      </c>
      <c r="AY809" s="81">
        <f>tbl_Data[[#This Row],[Avoided Costs ($/unit)]]/tbl_Data[[#This Row],[kWh Savings]]*tbl_Data[[#This Row],[Sum of Annuals]]</f>
        <v>1.4283138347499822</v>
      </c>
      <c r="AZ809" s="81">
        <f>tbl_Data[[#This Row],[Lost Revenue ($/unit)]]/tbl_Data[[#This Row],[kWh Savings]]*tbl_Data[[#This Row],[Sum of Annuals]]</f>
        <v>3.7346731486827127</v>
      </c>
      <c r="BA809" s="81">
        <f>tbl_Data[[#This Row],[Incremental Cost ($/unit)]]/tbl_Data[[#This Row],[kWh Savings]]*tbl_Data[[#This Row],[Sum of Annuals]]</f>
        <v>1.1107442262935416</v>
      </c>
      <c r="BB809" s="77">
        <f>ROUNDUP(tbl_Data[[#This Row],[Adjusted 2025]]/$L809,0)</f>
        <v>1</v>
      </c>
      <c r="BC809" s="77">
        <f>ROUNDUP(tbl_Data[[#This Row],[Adjusted 2026]]/$L809,0)</f>
        <v>1</v>
      </c>
      <c r="BD809" s="77">
        <f>ROUNDUP(tbl_Data[[#This Row],[Adjusted 2027]]/$L809,0)</f>
        <v>1</v>
      </c>
      <c r="BE809" s="77">
        <f>ROUNDUP(tbl_Data[[#This Row],[Adjusted 2028]]/$L809,0)</f>
        <v>1</v>
      </c>
      <c r="BF809" s="77">
        <f>ROUNDUP(tbl_Data[[#This Row],[Adjusted 2029]]/$L809,0)</f>
        <v>1</v>
      </c>
      <c r="BG809" s="77">
        <f>ROUNDUP(tbl_Data[[#This Row],[Adjusted 2030]]/$L809,0)</f>
        <v>1</v>
      </c>
      <c r="BH809" s="77">
        <f>ROUNDUP(tbl_Data[[#This Row],[Adjusted 2031]]/$L809,0)</f>
        <v>1</v>
      </c>
      <c r="BI809" s="77">
        <f>ROUNDUP(tbl_Data[[#This Row],[Adjusted 2032]]/$L809,0)</f>
        <v>1</v>
      </c>
      <c r="BJ809" s="77">
        <f>ROUNDUP(tbl_Data[[#This Row],[Adjusted 2033]]/$L809,0)</f>
        <v>1</v>
      </c>
      <c r="BK809" s="77">
        <f>ROUNDUP(tbl_Data[[#This Row],[Adjusted 2034]]/$L809,0)</f>
        <v>1</v>
      </c>
      <c r="BL809" s="80">
        <f t="shared" si="342"/>
        <v>0</v>
      </c>
      <c r="BM809" s="80">
        <f t="shared" si="343"/>
        <v>0</v>
      </c>
      <c r="BN809" s="80">
        <f t="shared" si="344"/>
        <v>0</v>
      </c>
      <c r="BO809" s="80">
        <f t="shared" si="345"/>
        <v>0</v>
      </c>
      <c r="BP809" s="80">
        <f t="shared" si="346"/>
        <v>0</v>
      </c>
      <c r="BQ809" s="80">
        <f t="shared" si="347"/>
        <v>0</v>
      </c>
      <c r="BR809" s="80">
        <f t="shared" si="348"/>
        <v>0</v>
      </c>
      <c r="BS809" s="80">
        <f t="shared" si="349"/>
        <v>0</v>
      </c>
      <c r="BT809" s="80">
        <f t="shared" si="350"/>
        <v>0</v>
      </c>
      <c r="BU809" s="80">
        <f t="shared" si="351"/>
        <v>0</v>
      </c>
      <c r="BV809" s="80" t="str">
        <f>IFERROR(VLOOKUP($H809,'1. Set Program Names'!$B$2:$D$15,3,0)*V809,"NA")</f>
        <v>NA</v>
      </c>
      <c r="BW809" s="80" t="str">
        <f>IFERROR(VLOOKUP($H809,'1. Set Program Names'!$B$2:$D$15,3,0)*W809,"NA")</f>
        <v>NA</v>
      </c>
      <c r="BX809" s="80" t="str">
        <f>IFERROR(VLOOKUP($H809,'1. Set Program Names'!$B$2:$D$15,3,0)*X809,"NA")</f>
        <v>NA</v>
      </c>
      <c r="BY809" s="80" t="str">
        <f>IFERROR(VLOOKUP($H809,'1. Set Program Names'!$B$2:$D$15,3,0)*Y809,"NA")</f>
        <v>NA</v>
      </c>
      <c r="BZ809" s="80" t="str">
        <f>IFERROR(VLOOKUP($H809,'1. Set Program Names'!$B$2:$D$15,3,0)*Z809,"NA")</f>
        <v>NA</v>
      </c>
      <c r="CA809" s="80" t="str">
        <f>IFERROR(VLOOKUP($H809,'1. Set Program Names'!$B$2:$D$15,3,0)*AA809,"NA")</f>
        <v>NA</v>
      </c>
      <c r="CB809" s="80" t="str">
        <f>IFERROR(VLOOKUP($H809,'1. Set Program Names'!$B$2:$D$15,3,0)*AB809,"NA")</f>
        <v>NA</v>
      </c>
      <c r="CC809" s="80" t="str">
        <f>IFERROR(VLOOKUP($H809,'1. Set Program Names'!$B$2:$D$15,3,0)*AC809,"NA")</f>
        <v>NA</v>
      </c>
      <c r="CD809" s="80" t="str">
        <f>IFERROR(VLOOKUP($H809,'1. Set Program Names'!$B$2:$D$15,3,0)*AD809,"NA")</f>
        <v>NA</v>
      </c>
      <c r="CE809" s="80" t="str">
        <f>IFERROR(VLOOKUP($H809,'1. Set Program Names'!$B$2:$D$15,3,0)*AE809,"NA")</f>
        <v>NA</v>
      </c>
    </row>
    <row r="810" spans="1:83" x14ac:dyDescent="0.25">
      <c r="A810" s="79" t="s">
        <v>115</v>
      </c>
      <c r="B810" s="79" t="s">
        <v>88</v>
      </c>
      <c r="C810" s="79" t="s">
        <v>176</v>
      </c>
      <c r="D810" s="79" t="s">
        <v>90</v>
      </c>
      <c r="E810" s="79" t="s">
        <v>91</v>
      </c>
      <c r="F810" s="79" t="s">
        <v>90</v>
      </c>
      <c r="G810" s="79" t="s">
        <v>92</v>
      </c>
      <c r="H810" s="79" t="s">
        <v>268</v>
      </c>
      <c r="I810" s="79" t="s">
        <v>270</v>
      </c>
      <c r="J810" s="79" t="s">
        <v>191</v>
      </c>
      <c r="K810" s="79" t="s">
        <v>98</v>
      </c>
      <c r="L810" s="79">
        <v>2628</v>
      </c>
      <c r="M810" s="79">
        <v>0.31001938633530801</v>
      </c>
      <c r="N810" s="79">
        <v>0.30291717485841702</v>
      </c>
      <c r="O810" s="79">
        <v>810.229999999999</v>
      </c>
      <c r="P810" s="79">
        <v>281.60244658368498</v>
      </c>
      <c r="Q810" s="79">
        <v>2.6280000000000001</v>
      </c>
      <c r="R810" s="79">
        <v>891.847172411815</v>
      </c>
      <c r="S810" s="79">
        <v>2113.8122303076898</v>
      </c>
      <c r="T810" s="79">
        <v>10</v>
      </c>
      <c r="U810" s="79">
        <v>1</v>
      </c>
      <c r="V810" s="79">
        <f>tbl_Data_old[[#This Row],[2025 ]]*IFERROR(AVERAGEIFS('Participation Adjustment'!$C:$C,'Participation Adjustment'!$A:$A,$H810,'Participation Adjustment'!$B:$B,$I810),1)</f>
        <v>2.0940031881399599</v>
      </c>
      <c r="W810" s="79">
        <f>tbl_Data_old[[#This Row],[2026 ]]*IFERROR(AVERAGEIFS('Participation Adjustment'!$C:$C,'Participation Adjustment'!$A:$A,$H810,'Participation Adjustment'!$B:$B,$I810),1)</f>
        <v>4.9965501672938402</v>
      </c>
      <c r="X810" s="79">
        <f>tbl_Data_old[[#This Row],[2027 ]]*IFERROR(AVERAGEIFS('Participation Adjustment'!$C:$C,'Participation Adjustment'!$A:$A,$H810,'Participation Adjustment'!$B:$B,$I810),1)</f>
        <v>8.8083671531271008</v>
      </c>
      <c r="Y810" s="79">
        <f>tbl_Data_old[[#This Row],[2028 ]]*IFERROR(AVERAGEIFS('Participation Adjustment'!$C:$C,'Participation Adjustment'!$A:$A,$H810,'Participation Adjustment'!$B:$B,$I810),1)</f>
        <v>13.6263790825087</v>
      </c>
      <c r="Z810" s="79">
        <f>tbl_Data_old[[#This Row],[2029 ]]*IFERROR(AVERAGEIFS('Participation Adjustment'!$C:$C,'Participation Adjustment'!$A:$A,$H810,'Participation Adjustment'!$B:$B,$I810),1)</f>
        <v>19.4276991266054</v>
      </c>
      <c r="AA810" s="79">
        <f>tbl_Data_old[[#This Row],[2030 ]]*IFERROR(AVERAGEIFS('Participation Adjustment'!$C:$C,'Participation Adjustment'!$A:$A,$H810,'Participation Adjustment'!$B:$B,$I810),1)</f>
        <v>26.138363376935501</v>
      </c>
      <c r="AB810" s="79">
        <f>tbl_Data_old[[#This Row],[2031 ]]*IFERROR(AVERAGEIFS('Participation Adjustment'!$C:$C,'Participation Adjustment'!$A:$A,$H810,'Participation Adjustment'!$B:$B,$I810),1)</f>
        <v>33.631086430383498</v>
      </c>
      <c r="AC810" s="79">
        <f>tbl_Data_old[[#This Row],[2032 ]]*IFERROR(AVERAGEIFS('Participation Adjustment'!$C:$C,'Participation Adjustment'!$A:$A,$H810,'Participation Adjustment'!$B:$B,$I810),1)</f>
        <v>41.741271428506103</v>
      </c>
      <c r="AD810" s="79">
        <f>tbl_Data_old[[#This Row],[2033 ]]*IFERROR(AVERAGEIFS('Participation Adjustment'!$C:$C,'Participation Adjustment'!$A:$A,$H810,'Participation Adjustment'!$B:$B,$I810),1)</f>
        <v>50.3407410367724</v>
      </c>
      <c r="AE810" s="79">
        <f>tbl_Data_old[[#This Row],[2034 ]]*IFERROR(AVERAGEIFS('Participation Adjustment'!$C:$C,'Participation Adjustment'!$A:$A,$H810,'Participation Adjustment'!$B:$B,$I810),1)</f>
        <v>59.3157570727493</v>
      </c>
      <c r="AF810" s="77" t="str">
        <f t="shared" si="341"/>
        <v>NonResidential</v>
      </c>
      <c r="AG810" s="77" t="str">
        <f>tbl_Data[[#This Row],[All_Meas_Name_Append]]</f>
        <v>Low Energy Livestock Waterer</v>
      </c>
      <c r="AH810" s="77">
        <f>AVERAGEIFS('3. Incentive Adjustment'!G:G,'3. Incentive Adjustment'!A:A,tbl_Data[[#This Row],[Trimmed Sector]],'3. Incentive Adjustment'!B:B,tbl_Data[[#This Row],[Trimmed Measure Name]])</f>
        <v>0.7537232854794027</v>
      </c>
      <c r="AI810" s="77">
        <f>$AH810*tbl_Data[[#This Row],[2025 ]]</f>
        <v>1.5782989627691943</v>
      </c>
      <c r="AJ810" s="77">
        <f>$AH810*tbl_Data[[#This Row],[2026 ]]</f>
        <v>3.7660162081553725</v>
      </c>
      <c r="AK810" s="77">
        <f>$AH810*tbl_Data[[#This Row],[2027 ]]</f>
        <v>6.6390714303638116</v>
      </c>
      <c r="AL810" s="77">
        <f>$AH810*tbl_Data[[#This Row],[2028 ]]</f>
        <v>10.270519211256266</v>
      </c>
      <c r="AM810" s="77">
        <f>$AH810*tbl_Data[[#This Row],[2029 ]]</f>
        <v>14.643109215010345</v>
      </c>
      <c r="AN810" s="77">
        <f>$AH810*tbl_Data[[#This Row],[2030 ]]</f>
        <v>19.701093121518323</v>
      </c>
      <c r="AO810" s="77">
        <f>$AH810*tbl_Data[[#This Row],[2031 ]]</f>
        <v>25.348532958550408</v>
      </c>
      <c r="AP810" s="77">
        <f>$AH810*tbl_Data[[#This Row],[2032 ]]</f>
        <v>31.461368241181141</v>
      </c>
      <c r="AQ810" s="77">
        <f>$AH810*tbl_Data[[#This Row],[2033 ]]</f>
        <v>37.942988727703884</v>
      </c>
      <c r="AR810" s="77">
        <f>$AH810*tbl_Data[[#This Row],[2034 ]]</f>
        <v>44.707667301570723</v>
      </c>
      <c r="AS810" s="77">
        <f>SUM(tbl_Data[[#This Row],[Adjusted 2025]:[Adjusted 2034]])</f>
        <v>196.05866537807947</v>
      </c>
      <c r="AT810" s="80">
        <f>AVERAGEIFS('3. Incentive Adjustment'!F:F,'3. Incentive Adjustment'!A:A,tbl_Data[[#This Row],[Trimmed Sector]],'3. Incentive Adjustment'!B:B,tbl_Data[[#This Row],[Trimmed Measure Name]])</f>
        <v>0</v>
      </c>
      <c r="AU810" s="80">
        <f>IFERROR(VLOOKUP(tbl_Data[[#This Row],[All_Meas_Name_Append]],'IRA Tax Credits'!$A$3:$D$46,4,0),0)</f>
        <v>0</v>
      </c>
      <c r="AV810" s="81">
        <f>tbl_Data[[#This Row],[Adj. per unit Incentive ($)]]/tbl_Data[[#This Row],[kWh Savings]]*tbl_Data[[#This Row],[Sum of Annuals]]</f>
        <v>0</v>
      </c>
      <c r="AW810" s="81" t="str">
        <f>IFERROR(VLOOKUP(tbl_Data[[#This Row],[Column1]],'1. Set Program Names'!$B$2:$D$15,3,0)*tbl_Data[[#This Row],[Sum of Annuals]],"")</f>
        <v/>
      </c>
      <c r="AX810" s="81">
        <f>tbl_Data[[#This Row],[per unit IRA tax ($)]]/tbl_Data[[#This Row],[kWh Savings]]*tbl_Data[[#This Row],[Sum of Annuals]]</f>
        <v>0</v>
      </c>
      <c r="AY810" s="81">
        <f>tbl_Data[[#This Row],[Avoided Costs ($/unit)]]/tbl_Data[[#This Row],[kWh Savings]]*tbl_Data[[#This Row],[Sum of Annuals]]</f>
        <v>66.535147010758891</v>
      </c>
      <c r="AZ810" s="81">
        <f>tbl_Data[[#This Row],[Lost Revenue ($/unit)]]/tbl_Data[[#This Row],[kWh Savings]]*tbl_Data[[#This Row],[Sum of Annuals]]</f>
        <v>157.69832752434826</v>
      </c>
      <c r="BA810" s="81">
        <f>tbl_Data[[#This Row],[Incremental Cost ($/unit)]]/tbl_Data[[#This Row],[kWh Savings]]*tbl_Data[[#This Row],[Sum of Annuals]]</f>
        <v>60.446199562131326</v>
      </c>
      <c r="BB810" s="77">
        <f>ROUNDUP(tbl_Data[[#This Row],[Adjusted 2025]]/$L810,0)</f>
        <v>1</v>
      </c>
      <c r="BC810" s="77">
        <f>ROUNDUP(tbl_Data[[#This Row],[Adjusted 2026]]/$L810,0)</f>
        <v>1</v>
      </c>
      <c r="BD810" s="77">
        <f>ROUNDUP(tbl_Data[[#This Row],[Adjusted 2027]]/$L810,0)</f>
        <v>1</v>
      </c>
      <c r="BE810" s="77">
        <f>ROUNDUP(tbl_Data[[#This Row],[Adjusted 2028]]/$L810,0)</f>
        <v>1</v>
      </c>
      <c r="BF810" s="77">
        <f>ROUNDUP(tbl_Data[[#This Row],[Adjusted 2029]]/$L810,0)</f>
        <v>1</v>
      </c>
      <c r="BG810" s="77">
        <f>ROUNDUP(tbl_Data[[#This Row],[Adjusted 2030]]/$L810,0)</f>
        <v>1</v>
      </c>
      <c r="BH810" s="77">
        <f>ROUNDUP(tbl_Data[[#This Row],[Adjusted 2031]]/$L810,0)</f>
        <v>1</v>
      </c>
      <c r="BI810" s="77">
        <f>ROUNDUP(tbl_Data[[#This Row],[Adjusted 2032]]/$L810,0)</f>
        <v>1</v>
      </c>
      <c r="BJ810" s="77">
        <f>ROUNDUP(tbl_Data[[#This Row],[Adjusted 2033]]/$L810,0)</f>
        <v>1</v>
      </c>
      <c r="BK810" s="77">
        <f>ROUNDUP(tbl_Data[[#This Row],[Adjusted 2034]]/$L810,0)</f>
        <v>1</v>
      </c>
      <c r="BL810" s="80">
        <f t="shared" si="342"/>
        <v>0</v>
      </c>
      <c r="BM810" s="80">
        <f t="shared" si="343"/>
        <v>0</v>
      </c>
      <c r="BN810" s="80">
        <f t="shared" si="344"/>
        <v>0</v>
      </c>
      <c r="BO810" s="80">
        <f t="shared" si="345"/>
        <v>0</v>
      </c>
      <c r="BP810" s="80">
        <f t="shared" si="346"/>
        <v>0</v>
      </c>
      <c r="BQ810" s="80">
        <f t="shared" si="347"/>
        <v>0</v>
      </c>
      <c r="BR810" s="80">
        <f t="shared" si="348"/>
        <v>0</v>
      </c>
      <c r="BS810" s="80">
        <f t="shared" si="349"/>
        <v>0</v>
      </c>
      <c r="BT810" s="80">
        <f t="shared" si="350"/>
        <v>0</v>
      </c>
      <c r="BU810" s="80">
        <f t="shared" si="351"/>
        <v>0</v>
      </c>
      <c r="BV810" s="80" t="str">
        <f>IFERROR(VLOOKUP($H810,'1. Set Program Names'!$B$2:$D$15,3,0)*V810,"NA")</f>
        <v>NA</v>
      </c>
      <c r="BW810" s="80" t="str">
        <f>IFERROR(VLOOKUP($H810,'1. Set Program Names'!$B$2:$D$15,3,0)*W810,"NA")</f>
        <v>NA</v>
      </c>
      <c r="BX810" s="80" t="str">
        <f>IFERROR(VLOOKUP($H810,'1. Set Program Names'!$B$2:$D$15,3,0)*X810,"NA")</f>
        <v>NA</v>
      </c>
      <c r="BY810" s="80" t="str">
        <f>IFERROR(VLOOKUP($H810,'1. Set Program Names'!$B$2:$D$15,3,0)*Y810,"NA")</f>
        <v>NA</v>
      </c>
      <c r="BZ810" s="80" t="str">
        <f>IFERROR(VLOOKUP($H810,'1. Set Program Names'!$B$2:$D$15,3,0)*Z810,"NA")</f>
        <v>NA</v>
      </c>
      <c r="CA810" s="80" t="str">
        <f>IFERROR(VLOOKUP($H810,'1. Set Program Names'!$B$2:$D$15,3,0)*AA810,"NA")</f>
        <v>NA</v>
      </c>
      <c r="CB810" s="80" t="str">
        <f>IFERROR(VLOOKUP($H810,'1. Set Program Names'!$B$2:$D$15,3,0)*AB810,"NA")</f>
        <v>NA</v>
      </c>
      <c r="CC810" s="80" t="str">
        <f>IFERROR(VLOOKUP($H810,'1. Set Program Names'!$B$2:$D$15,3,0)*AC810,"NA")</f>
        <v>NA</v>
      </c>
      <c r="CD810" s="80" t="str">
        <f>IFERROR(VLOOKUP($H810,'1. Set Program Names'!$B$2:$D$15,3,0)*AD810,"NA")</f>
        <v>NA</v>
      </c>
      <c r="CE810" s="80" t="str">
        <f>IFERROR(VLOOKUP($H810,'1. Set Program Names'!$B$2:$D$15,3,0)*AE810,"NA")</f>
        <v>NA</v>
      </c>
    </row>
    <row r="811" spans="1:83" x14ac:dyDescent="0.25">
      <c r="A811" s="79" t="s">
        <v>115</v>
      </c>
      <c r="B811" s="79" t="s">
        <v>88</v>
      </c>
      <c r="C811" s="79" t="s">
        <v>176</v>
      </c>
      <c r="D811" s="79" t="s">
        <v>90</v>
      </c>
      <c r="E811" s="79" t="s">
        <v>91</v>
      </c>
      <c r="F811" s="79" t="s">
        <v>90</v>
      </c>
      <c r="G811" s="79" t="s">
        <v>92</v>
      </c>
      <c r="H811" s="79" t="s">
        <v>268</v>
      </c>
      <c r="I811" s="79" t="s">
        <v>184</v>
      </c>
      <c r="J811" s="79" t="s">
        <v>180</v>
      </c>
      <c r="K811" s="79" t="s">
        <v>98</v>
      </c>
      <c r="L811" s="79">
        <v>3514.8091666666501</v>
      </c>
      <c r="M811" s="79">
        <v>0.421134949485237</v>
      </c>
      <c r="N811" s="79">
        <v>0.40566942535109901</v>
      </c>
      <c r="O811" s="79">
        <v>1028.8599999999999</v>
      </c>
      <c r="P811" s="79">
        <v>322.03243304134497</v>
      </c>
      <c r="Q811" s="79">
        <v>3.5148091666666499</v>
      </c>
      <c r="R811" s="79">
        <v>1184.78167438478</v>
      </c>
      <c r="S811" s="79">
        <v>2827.1105797935802</v>
      </c>
      <c r="T811" s="79">
        <v>10</v>
      </c>
      <c r="U811" s="79">
        <v>1</v>
      </c>
      <c r="V811" s="79">
        <f>tbl_Data_old[[#This Row],[2025 ]]*IFERROR(AVERAGEIFS('Participation Adjustment'!$C:$C,'Participation Adjustment'!$A:$A,$H811,'Participation Adjustment'!$B:$B,$I811),1)</f>
        <v>0.248684347310377</v>
      </c>
      <c r="W811" s="79">
        <f>tbl_Data_old[[#This Row],[2026 ]]*IFERROR(AVERAGEIFS('Participation Adjustment'!$C:$C,'Participation Adjustment'!$A:$A,$H811,'Participation Adjustment'!$B:$B,$I811),1)</f>
        <v>0.59165565502637496</v>
      </c>
      <c r="X811" s="79">
        <f>tbl_Data_old[[#This Row],[2027 ]]*IFERROR(AVERAGEIFS('Participation Adjustment'!$C:$C,'Participation Adjustment'!$A:$A,$H811,'Participation Adjustment'!$B:$B,$I811),1)</f>
        <v>1.04962890500707</v>
      </c>
      <c r="Y811" s="79">
        <f>tbl_Data_old[[#This Row],[2028 ]]*IFERROR(AVERAGEIFS('Participation Adjustment'!$C:$C,'Participation Adjustment'!$A:$A,$H811,'Participation Adjustment'!$B:$B,$I811),1)</f>
        <v>1.6456894234855599</v>
      </c>
      <c r="Z811" s="79">
        <f>tbl_Data_old[[#This Row],[2029 ]]*IFERROR(AVERAGEIFS('Participation Adjustment'!$C:$C,'Participation Adjustment'!$A:$A,$H811,'Participation Adjustment'!$B:$B,$I811),1)</f>
        <v>2.3873789258158302</v>
      </c>
      <c r="AA811" s="79">
        <f>tbl_Data_old[[#This Row],[2030 ]]*IFERROR(AVERAGEIFS('Participation Adjustment'!$C:$C,'Participation Adjustment'!$A:$A,$H811,'Participation Adjustment'!$B:$B,$I811),1)</f>
        <v>3.2645938232704101</v>
      </c>
      <c r="AB811" s="79">
        <f>tbl_Data_old[[#This Row],[2031 ]]*IFERROR(AVERAGEIFS('Participation Adjustment'!$C:$C,'Participation Adjustment'!$A:$A,$H811,'Participation Adjustment'!$B:$B,$I811),1)</f>
        <v>4.2386235567826498</v>
      </c>
      <c r="AC811" s="79">
        <f>tbl_Data_old[[#This Row],[2032 ]]*IFERROR(AVERAGEIFS('Participation Adjustment'!$C:$C,'Participation Adjustment'!$A:$A,$H811,'Participation Adjustment'!$B:$B,$I811),1)</f>
        <v>5.23964985582381</v>
      </c>
      <c r="AD811" s="79">
        <f>tbl_Data_old[[#This Row],[2033 ]]*IFERROR(AVERAGEIFS('Participation Adjustment'!$C:$C,'Participation Adjustment'!$A:$A,$H811,'Participation Adjustment'!$B:$B,$I811),1)</f>
        <v>6.1851949896663703</v>
      </c>
      <c r="AE811" s="79">
        <f>tbl_Data_old[[#This Row],[2034 ]]*IFERROR(AVERAGEIFS('Participation Adjustment'!$C:$C,'Participation Adjustment'!$A:$A,$H811,'Participation Adjustment'!$B:$B,$I811),1)</f>
        <v>7.0024427115054104</v>
      </c>
      <c r="AF811" s="77" t="str">
        <f t="shared" si="341"/>
        <v>NonResidential</v>
      </c>
      <c r="AG811" s="77" t="str">
        <f>tbl_Data[[#This Row],[All_Meas_Name_Append]]</f>
        <v>Low Pressure-drop Filters</v>
      </c>
      <c r="AH811" s="77">
        <f>AVERAGEIFS('3. Incentive Adjustment'!G:G,'3. Incentive Adjustment'!A:A,tbl_Data[[#This Row],[Trimmed Sector]],'3. Incentive Adjustment'!B:B,tbl_Data[[#This Row],[Trimmed Measure Name]])</f>
        <v>0.78525588861759776</v>
      </c>
      <c r="AI811" s="77">
        <f>$AH811*tbl_Data[[#This Row],[2025 ]]</f>
        <v>0.19528084813249741</v>
      </c>
      <c r="AJ811" s="77">
        <f>$AH811*tbl_Data[[#This Row],[2026 ]]</f>
        <v>0.46460108714336296</v>
      </c>
      <c r="AK811" s="77">
        <f>$AH811*tbl_Data[[#This Row],[2027 ]]</f>
        <v>0.82422727852004285</v>
      </c>
      <c r="AL811" s="77">
        <f>$AH811*tbl_Data[[#This Row],[2028 ]]</f>
        <v>1.2922873106277355</v>
      </c>
      <c r="AM811" s="77">
        <f>$AH811*tbl_Data[[#This Row],[2029 ]]</f>
        <v>1.8747033598584357</v>
      </c>
      <c r="AN811" s="77">
        <f>$AH811*tbl_Data[[#This Row],[2030 ]]</f>
        <v>2.5635415236677268</v>
      </c>
      <c r="AO811" s="77">
        <f>$AH811*tbl_Data[[#This Row],[2031 ]]</f>
        <v>3.3284041075968425</v>
      </c>
      <c r="AP811" s="77">
        <f>$AH811*tbl_Data[[#This Row],[2032 ]]</f>
        <v>4.114465903579994</v>
      </c>
      <c r="AQ811" s="77">
        <f>$AH811*tbl_Data[[#This Row],[2033 ]]</f>
        <v>4.8569607878835788</v>
      </c>
      <c r="AR811" s="77">
        <f>$AH811*tbl_Data[[#This Row],[2034 ]]</f>
        <v>5.4987093739170021</v>
      </c>
      <c r="AS811" s="77">
        <f>SUM(tbl_Data[[#This Row],[Adjusted 2025]:[Adjusted 2034]])</f>
        <v>25.01318158092722</v>
      </c>
      <c r="AT811" s="80">
        <f>AVERAGEIFS('3. Incentive Adjustment'!F:F,'3. Incentive Adjustment'!A:A,tbl_Data[[#This Row],[Trimmed Sector]],'3. Incentive Adjustment'!B:B,tbl_Data[[#This Row],[Trimmed Measure Name]])</f>
        <v>0</v>
      </c>
      <c r="AU811" s="80">
        <f>IFERROR(VLOOKUP(tbl_Data[[#This Row],[All_Meas_Name_Append]],'IRA Tax Credits'!$A$3:$D$46,4,0),0)</f>
        <v>0</v>
      </c>
      <c r="AV811" s="81">
        <f>tbl_Data[[#This Row],[Adj. per unit Incentive ($)]]/tbl_Data[[#This Row],[kWh Savings]]*tbl_Data[[#This Row],[Sum of Annuals]]</f>
        <v>0</v>
      </c>
      <c r="AW811" s="81" t="str">
        <f>IFERROR(VLOOKUP(tbl_Data[[#This Row],[Column1]],'1. Set Program Names'!$B$2:$D$15,3,0)*tbl_Data[[#This Row],[Sum of Annuals]],"")</f>
        <v/>
      </c>
      <c r="AX811" s="81">
        <f>tbl_Data[[#This Row],[per unit IRA tax ($)]]/tbl_Data[[#This Row],[kWh Savings]]*tbl_Data[[#This Row],[Sum of Annuals]]</f>
        <v>0</v>
      </c>
      <c r="AY811" s="81">
        <f>tbl_Data[[#This Row],[Avoided Costs ($/unit)]]/tbl_Data[[#This Row],[kWh Savings]]*tbl_Data[[#This Row],[Sum of Annuals]]</f>
        <v>8.4315129925664429</v>
      </c>
      <c r="AZ811" s="81">
        <f>tbl_Data[[#This Row],[Lost Revenue ($/unit)]]/tbl_Data[[#This Row],[kWh Savings]]*tbl_Data[[#This Row],[Sum of Annuals]]</f>
        <v>20.119166341198966</v>
      </c>
      <c r="BA811" s="81">
        <f>tbl_Data[[#This Row],[Incremental Cost ($/unit)]]/tbl_Data[[#This Row],[kWh Savings]]*tbl_Data[[#This Row],[Sum of Annuals]]</f>
        <v>7.3218945271385003</v>
      </c>
      <c r="BB811" s="77">
        <f>ROUNDUP(tbl_Data[[#This Row],[Adjusted 2025]]/$L811,0)</f>
        <v>1</v>
      </c>
      <c r="BC811" s="77">
        <f>ROUNDUP(tbl_Data[[#This Row],[Adjusted 2026]]/$L811,0)</f>
        <v>1</v>
      </c>
      <c r="BD811" s="77">
        <f>ROUNDUP(tbl_Data[[#This Row],[Adjusted 2027]]/$L811,0)</f>
        <v>1</v>
      </c>
      <c r="BE811" s="77">
        <f>ROUNDUP(tbl_Data[[#This Row],[Adjusted 2028]]/$L811,0)</f>
        <v>1</v>
      </c>
      <c r="BF811" s="77">
        <f>ROUNDUP(tbl_Data[[#This Row],[Adjusted 2029]]/$L811,0)</f>
        <v>1</v>
      </c>
      <c r="BG811" s="77">
        <f>ROUNDUP(tbl_Data[[#This Row],[Adjusted 2030]]/$L811,0)</f>
        <v>1</v>
      </c>
      <c r="BH811" s="77">
        <f>ROUNDUP(tbl_Data[[#This Row],[Adjusted 2031]]/$L811,0)</f>
        <v>1</v>
      </c>
      <c r="BI811" s="77">
        <f>ROUNDUP(tbl_Data[[#This Row],[Adjusted 2032]]/$L811,0)</f>
        <v>1</v>
      </c>
      <c r="BJ811" s="77">
        <f>ROUNDUP(tbl_Data[[#This Row],[Adjusted 2033]]/$L811,0)</f>
        <v>1</v>
      </c>
      <c r="BK811" s="77">
        <f>ROUNDUP(tbl_Data[[#This Row],[Adjusted 2034]]/$L811,0)</f>
        <v>1</v>
      </c>
      <c r="BL811" s="80">
        <f t="shared" si="342"/>
        <v>0</v>
      </c>
      <c r="BM811" s="80">
        <f t="shared" si="343"/>
        <v>0</v>
      </c>
      <c r="BN811" s="80">
        <f t="shared" si="344"/>
        <v>0</v>
      </c>
      <c r="BO811" s="80">
        <f t="shared" si="345"/>
        <v>0</v>
      </c>
      <c r="BP811" s="80">
        <f t="shared" si="346"/>
        <v>0</v>
      </c>
      <c r="BQ811" s="80">
        <f t="shared" si="347"/>
        <v>0</v>
      </c>
      <c r="BR811" s="80">
        <f t="shared" si="348"/>
        <v>0</v>
      </c>
      <c r="BS811" s="80">
        <f t="shared" si="349"/>
        <v>0</v>
      </c>
      <c r="BT811" s="80">
        <f t="shared" si="350"/>
        <v>0</v>
      </c>
      <c r="BU811" s="80">
        <f t="shared" si="351"/>
        <v>0</v>
      </c>
      <c r="BV811" s="80" t="str">
        <f>IFERROR(VLOOKUP($H811,'1. Set Program Names'!$B$2:$D$15,3,0)*V811,"NA")</f>
        <v>NA</v>
      </c>
      <c r="BW811" s="80" t="str">
        <f>IFERROR(VLOOKUP($H811,'1. Set Program Names'!$B$2:$D$15,3,0)*W811,"NA")</f>
        <v>NA</v>
      </c>
      <c r="BX811" s="80" t="str">
        <f>IFERROR(VLOOKUP($H811,'1. Set Program Names'!$B$2:$D$15,3,0)*X811,"NA")</f>
        <v>NA</v>
      </c>
      <c r="BY811" s="80" t="str">
        <f>IFERROR(VLOOKUP($H811,'1. Set Program Names'!$B$2:$D$15,3,0)*Y811,"NA")</f>
        <v>NA</v>
      </c>
      <c r="BZ811" s="80" t="str">
        <f>IFERROR(VLOOKUP($H811,'1. Set Program Names'!$B$2:$D$15,3,0)*Z811,"NA")</f>
        <v>NA</v>
      </c>
      <c r="CA811" s="80" t="str">
        <f>IFERROR(VLOOKUP($H811,'1. Set Program Names'!$B$2:$D$15,3,0)*AA811,"NA")</f>
        <v>NA</v>
      </c>
      <c r="CB811" s="80" t="str">
        <f>IFERROR(VLOOKUP($H811,'1. Set Program Names'!$B$2:$D$15,3,0)*AB811,"NA")</f>
        <v>NA</v>
      </c>
      <c r="CC811" s="80" t="str">
        <f>IFERROR(VLOOKUP($H811,'1. Set Program Names'!$B$2:$D$15,3,0)*AC811,"NA")</f>
        <v>NA</v>
      </c>
      <c r="CD811" s="80" t="str">
        <f>IFERROR(VLOOKUP($H811,'1. Set Program Names'!$B$2:$D$15,3,0)*AD811,"NA")</f>
        <v>NA</v>
      </c>
      <c r="CE811" s="80" t="str">
        <f>IFERROR(VLOOKUP($H811,'1. Set Program Names'!$B$2:$D$15,3,0)*AE811,"NA")</f>
        <v>NA</v>
      </c>
    </row>
    <row r="812" spans="1:83" x14ac:dyDescent="0.25">
      <c r="A812" s="79" t="s">
        <v>115</v>
      </c>
      <c r="B812" s="79" t="s">
        <v>88</v>
      </c>
      <c r="C812" s="79" t="s">
        <v>176</v>
      </c>
      <c r="D812" s="79" t="s">
        <v>90</v>
      </c>
      <c r="E812" s="79" t="s">
        <v>91</v>
      </c>
      <c r="F812" s="79" t="s">
        <v>90</v>
      </c>
      <c r="G812" s="79" t="s">
        <v>92</v>
      </c>
      <c r="H812" s="79" t="s">
        <v>268</v>
      </c>
      <c r="I812" s="79" t="s">
        <v>271</v>
      </c>
      <c r="J812" s="79" t="s">
        <v>180</v>
      </c>
      <c r="K812" s="79" t="s">
        <v>272</v>
      </c>
      <c r="L812" s="79">
        <v>8742.5400000000009</v>
      </c>
      <c r="M812" s="79">
        <v>1.04876812955413</v>
      </c>
      <c r="N812" s="79">
        <v>1.0098733971376099</v>
      </c>
      <c r="O812" s="79">
        <v>3543.39</v>
      </c>
      <c r="P812" s="79">
        <v>1784.8102698461601</v>
      </c>
      <c r="Q812" s="79">
        <v>8.74254</v>
      </c>
      <c r="R812" s="79">
        <v>3737.3935784201899</v>
      </c>
      <c r="S812" s="79">
        <v>9285.1929731405908</v>
      </c>
      <c r="T812" s="79">
        <v>15</v>
      </c>
      <c r="U812" s="79">
        <v>1</v>
      </c>
      <c r="V812" s="79">
        <f>tbl_Data_old[[#This Row],[2025 ]]*IFERROR(AVERAGEIFS('Participation Adjustment'!$C:$C,'Participation Adjustment'!$A:$A,$H812,'Participation Adjustment'!$B:$B,$I812),1)</f>
        <v>1.9428503969426001E-2</v>
      </c>
      <c r="W812" s="79">
        <f>tbl_Data_old[[#This Row],[2026 ]]*IFERROR(AVERAGEIFS('Participation Adjustment'!$C:$C,'Participation Adjustment'!$A:$A,$H812,'Participation Adjustment'!$B:$B,$I812),1)</f>
        <v>4.46402611686193E-2</v>
      </c>
      <c r="X812" s="79">
        <f>tbl_Data_old[[#This Row],[2027 ]]*IFERROR(AVERAGEIFS('Participation Adjustment'!$C:$C,'Participation Adjustment'!$A:$A,$H812,'Participation Adjustment'!$B:$B,$I812),1)</f>
        <v>7.6536116994090797E-2</v>
      </c>
      <c r="Y812" s="79">
        <f>tbl_Data_old[[#This Row],[2028 ]]*IFERROR(AVERAGEIFS('Participation Adjustment'!$C:$C,'Participation Adjustment'!$A:$A,$H812,'Participation Adjustment'!$B:$B,$I812),1)</f>
        <v>0.116353296122241</v>
      </c>
      <c r="Z812" s="79">
        <f>tbl_Data_old[[#This Row],[2029 ]]*IFERROR(AVERAGEIFS('Participation Adjustment'!$C:$C,'Participation Adjustment'!$A:$A,$H812,'Participation Adjustment'!$B:$B,$I812),1)</f>
        <v>0.16451142071592501</v>
      </c>
      <c r="AA812" s="79">
        <f>tbl_Data_old[[#This Row],[2030 ]]*IFERROR(AVERAGEIFS('Participation Adjustment'!$C:$C,'Participation Adjustment'!$A:$A,$H812,'Participation Adjustment'!$B:$B,$I812),1)</f>
        <v>0.22119243213234499</v>
      </c>
      <c r="AB812" s="79">
        <f>tbl_Data_old[[#This Row],[2031 ]]*IFERROR(AVERAGEIFS('Participation Adjustment'!$C:$C,'Participation Adjustment'!$A:$A,$H812,'Participation Adjustment'!$B:$B,$I812),1)</f>
        <v>0.285808166359725</v>
      </c>
      <c r="AC812" s="79">
        <f>tbl_Data_old[[#This Row],[2032 ]]*IFERROR(AVERAGEIFS('Participation Adjustment'!$C:$C,'Participation Adjustment'!$A:$A,$H812,'Participation Adjustment'!$B:$B,$I812),1)</f>
        <v>0.35660955263330502</v>
      </c>
      <c r="AD812" s="79">
        <f>tbl_Data_old[[#This Row],[2033 ]]*IFERROR(AVERAGEIFS('Participation Adjustment'!$C:$C,'Participation Adjustment'!$A:$A,$H812,'Participation Adjustment'!$B:$B,$I812),1)</f>
        <v>0.43114955122492898</v>
      </c>
      <c r="AE812" s="79">
        <f>tbl_Data_old[[#This Row],[2034 ]]*IFERROR(AVERAGEIFS('Participation Adjustment'!$C:$C,'Participation Adjustment'!$A:$A,$H812,'Participation Adjustment'!$B:$B,$I812),1)</f>
        <v>0.50607917155215898</v>
      </c>
      <c r="AF812" s="77" t="str">
        <f t="shared" si="341"/>
        <v>NonResidential</v>
      </c>
      <c r="AG812" s="77" t="str">
        <f>tbl_Data[[#This Row],[All_Meas_Name_Append]]</f>
        <v>Milk Pre-Cooler</v>
      </c>
      <c r="AH812" s="77">
        <f>AVERAGEIFS('3. Incentive Adjustment'!G:G,'3. Incentive Adjustment'!A:A,tbl_Data[[#This Row],[Trimmed Sector]],'3. Incentive Adjustment'!B:B,tbl_Data[[#This Row],[Trimmed Measure Name]])</f>
        <v>0.58352930274688986</v>
      </c>
      <c r="AI812" s="77">
        <f>$AH812*tbl_Data[[#This Row],[2025 ]]</f>
        <v>1.1337101374694337E-2</v>
      </c>
      <c r="AJ812" s="77">
        <f>$AH812*tbl_Data[[#This Row],[2026 ]]</f>
        <v>2.6048900474163483E-2</v>
      </c>
      <c r="AK812" s="77">
        <f>$AH812*tbl_Data[[#This Row],[2027 ]]</f>
        <v>4.466106698451619E-2</v>
      </c>
      <c r="AL812" s="77">
        <f>$AH812*tbl_Data[[#This Row],[2028 ]]</f>
        <v>6.7895557758513692E-2</v>
      </c>
      <c r="AM812" s="77">
        <f>$AH812*tbl_Data[[#This Row],[2029 ]]</f>
        <v>9.5997234624263975E-2</v>
      </c>
      <c r="AN812" s="77">
        <f>$AH812*tbl_Data[[#This Row],[2030 ]]</f>
        <v>0.12907226569507602</v>
      </c>
      <c r="AO812" s="77">
        <f>$AH812*tbl_Data[[#This Row],[2031 ]]</f>
        <v>0.16677744003525743</v>
      </c>
      <c r="AP812" s="77">
        <f>$AH812*tbl_Data[[#This Row],[2032 ]]</f>
        <v>0.2080921236009928</v>
      </c>
      <c r="AQ812" s="77">
        <f>$AH812*tbl_Data[[#This Row],[2033 ]]</f>
        <v>0.25158839700591729</v>
      </c>
      <c r="AR812" s="77">
        <f>$AH812*tbl_Data[[#This Row],[2034 ]]</f>
        <v>0.29531202611055496</v>
      </c>
      <c r="AS812" s="77">
        <f>SUM(tbl_Data[[#This Row],[Adjusted 2025]:[Adjusted 2034]])</f>
        <v>1.2967821136639501</v>
      </c>
      <c r="AT812" s="80">
        <f>AVERAGEIFS('3. Incentive Adjustment'!F:F,'3. Incentive Adjustment'!A:A,tbl_Data[[#This Row],[Trimmed Sector]],'3. Incentive Adjustment'!B:B,tbl_Data[[#This Row],[Trimmed Measure Name]])</f>
        <v>0</v>
      </c>
      <c r="AU812" s="80">
        <f>IFERROR(VLOOKUP(tbl_Data[[#This Row],[All_Meas_Name_Append]],'IRA Tax Credits'!$A$3:$D$46,4,0),0)</f>
        <v>0</v>
      </c>
      <c r="AV812" s="81">
        <f>tbl_Data[[#This Row],[Adj. per unit Incentive ($)]]/tbl_Data[[#This Row],[kWh Savings]]*tbl_Data[[#This Row],[Sum of Annuals]]</f>
        <v>0</v>
      </c>
      <c r="AW812" s="81" t="str">
        <f>IFERROR(VLOOKUP(tbl_Data[[#This Row],[Column1]],'1. Set Program Names'!$B$2:$D$15,3,0)*tbl_Data[[#This Row],[Sum of Annuals]],"")</f>
        <v/>
      </c>
      <c r="AX812" s="81">
        <f>tbl_Data[[#This Row],[per unit IRA tax ($)]]/tbl_Data[[#This Row],[kWh Savings]]*tbl_Data[[#This Row],[Sum of Annuals]]</f>
        <v>0</v>
      </c>
      <c r="AY812" s="81">
        <f>tbl_Data[[#This Row],[Avoided Costs ($/unit)]]/tbl_Data[[#This Row],[kWh Savings]]*tbl_Data[[#This Row],[Sum of Annuals]]</f>
        <v>0.55436808344231858</v>
      </c>
      <c r="AZ812" s="81">
        <f>tbl_Data[[#This Row],[Lost Revenue ($/unit)]]/tbl_Data[[#This Row],[kWh Savings]]*tbl_Data[[#This Row],[Sum of Annuals]]</f>
        <v>1.3772739008900059</v>
      </c>
      <c r="BA812" s="81">
        <f>tbl_Data[[#This Row],[Incremental Cost ($/unit)]]/tbl_Data[[#This Row],[kWh Savings]]*tbl_Data[[#This Row],[Sum of Annuals]]</f>
        <v>0.52559150701463231</v>
      </c>
      <c r="BB812" s="77">
        <f>ROUNDUP(tbl_Data[[#This Row],[Adjusted 2025]]/$L812,0)</f>
        <v>1</v>
      </c>
      <c r="BC812" s="77">
        <f>ROUNDUP(tbl_Data[[#This Row],[Adjusted 2026]]/$L812,0)</f>
        <v>1</v>
      </c>
      <c r="BD812" s="77">
        <f>ROUNDUP(tbl_Data[[#This Row],[Adjusted 2027]]/$L812,0)</f>
        <v>1</v>
      </c>
      <c r="BE812" s="77">
        <f>ROUNDUP(tbl_Data[[#This Row],[Adjusted 2028]]/$L812,0)</f>
        <v>1</v>
      </c>
      <c r="BF812" s="77">
        <f>ROUNDUP(tbl_Data[[#This Row],[Adjusted 2029]]/$L812,0)</f>
        <v>1</v>
      </c>
      <c r="BG812" s="77">
        <f>ROUNDUP(tbl_Data[[#This Row],[Adjusted 2030]]/$L812,0)</f>
        <v>1</v>
      </c>
      <c r="BH812" s="77">
        <f>ROUNDUP(tbl_Data[[#This Row],[Adjusted 2031]]/$L812,0)</f>
        <v>1</v>
      </c>
      <c r="BI812" s="77">
        <f>ROUNDUP(tbl_Data[[#This Row],[Adjusted 2032]]/$L812,0)</f>
        <v>1</v>
      </c>
      <c r="BJ812" s="77">
        <f>ROUNDUP(tbl_Data[[#This Row],[Adjusted 2033]]/$L812,0)</f>
        <v>1</v>
      </c>
      <c r="BK812" s="77">
        <f>ROUNDUP(tbl_Data[[#This Row],[Adjusted 2034]]/$L812,0)</f>
        <v>1</v>
      </c>
      <c r="BL812" s="80">
        <f t="shared" si="342"/>
        <v>0</v>
      </c>
      <c r="BM812" s="80">
        <f t="shared" si="343"/>
        <v>0</v>
      </c>
      <c r="BN812" s="80">
        <f t="shared" si="344"/>
        <v>0</v>
      </c>
      <c r="BO812" s="80">
        <f t="shared" si="345"/>
        <v>0</v>
      </c>
      <c r="BP812" s="80">
        <f t="shared" si="346"/>
        <v>0</v>
      </c>
      <c r="BQ812" s="80">
        <f t="shared" si="347"/>
        <v>0</v>
      </c>
      <c r="BR812" s="80">
        <f t="shared" si="348"/>
        <v>0</v>
      </c>
      <c r="BS812" s="80">
        <f t="shared" si="349"/>
        <v>0</v>
      </c>
      <c r="BT812" s="80">
        <f t="shared" si="350"/>
        <v>0</v>
      </c>
      <c r="BU812" s="80">
        <f t="shared" si="351"/>
        <v>0</v>
      </c>
      <c r="BV812" s="80" t="str">
        <f>IFERROR(VLOOKUP($H812,'1. Set Program Names'!$B$2:$D$15,3,0)*V812,"NA")</f>
        <v>NA</v>
      </c>
      <c r="BW812" s="80" t="str">
        <f>IFERROR(VLOOKUP($H812,'1. Set Program Names'!$B$2:$D$15,3,0)*W812,"NA")</f>
        <v>NA</v>
      </c>
      <c r="BX812" s="80" t="str">
        <f>IFERROR(VLOOKUP($H812,'1. Set Program Names'!$B$2:$D$15,3,0)*X812,"NA")</f>
        <v>NA</v>
      </c>
      <c r="BY812" s="80" t="str">
        <f>IFERROR(VLOOKUP($H812,'1. Set Program Names'!$B$2:$D$15,3,0)*Y812,"NA")</f>
        <v>NA</v>
      </c>
      <c r="BZ812" s="80" t="str">
        <f>IFERROR(VLOOKUP($H812,'1. Set Program Names'!$B$2:$D$15,3,0)*Z812,"NA")</f>
        <v>NA</v>
      </c>
      <c r="CA812" s="80" t="str">
        <f>IFERROR(VLOOKUP($H812,'1. Set Program Names'!$B$2:$D$15,3,0)*AA812,"NA")</f>
        <v>NA</v>
      </c>
      <c r="CB812" s="80" t="str">
        <f>IFERROR(VLOOKUP($H812,'1. Set Program Names'!$B$2:$D$15,3,0)*AB812,"NA")</f>
        <v>NA</v>
      </c>
      <c r="CC812" s="80" t="str">
        <f>IFERROR(VLOOKUP($H812,'1. Set Program Names'!$B$2:$D$15,3,0)*AC812,"NA")</f>
        <v>NA</v>
      </c>
      <c r="CD812" s="80" t="str">
        <f>IFERROR(VLOOKUP($H812,'1. Set Program Names'!$B$2:$D$15,3,0)*AD812,"NA")</f>
        <v>NA</v>
      </c>
      <c r="CE812" s="80" t="str">
        <f>IFERROR(VLOOKUP($H812,'1. Set Program Names'!$B$2:$D$15,3,0)*AE812,"NA")</f>
        <v>NA</v>
      </c>
    </row>
    <row r="813" spans="1:83" x14ac:dyDescent="0.25">
      <c r="A813" s="79" t="s">
        <v>115</v>
      </c>
      <c r="B813" s="79" t="s">
        <v>88</v>
      </c>
      <c r="C813" s="79" t="s">
        <v>176</v>
      </c>
      <c r="D813" s="79" t="s">
        <v>90</v>
      </c>
      <c r="E813" s="79" t="s">
        <v>91</v>
      </c>
      <c r="F813" s="79" t="s">
        <v>90</v>
      </c>
      <c r="G813" s="79" t="s">
        <v>92</v>
      </c>
      <c r="H813" s="79" t="s">
        <v>268</v>
      </c>
      <c r="I813" s="79" t="s">
        <v>190</v>
      </c>
      <c r="J813" s="79" t="s">
        <v>191</v>
      </c>
      <c r="K813" s="79" t="s">
        <v>98</v>
      </c>
      <c r="L813" s="79">
        <v>1561.28</v>
      </c>
      <c r="M813" s="79">
        <v>0.18418077149832199</v>
      </c>
      <c r="N813" s="79">
        <v>0.17996138765713399</v>
      </c>
      <c r="O813" s="79">
        <v>490</v>
      </c>
      <c r="P813" s="79">
        <v>175.94534756551599</v>
      </c>
      <c r="Q813" s="79">
        <v>1.56128</v>
      </c>
      <c r="R813" s="79">
        <v>649.62503581485396</v>
      </c>
      <c r="S813" s="79">
        <v>1586.7572850213601</v>
      </c>
      <c r="T813" s="79">
        <v>14</v>
      </c>
      <c r="U813" s="79">
        <v>0.999999999999999</v>
      </c>
      <c r="V813" s="79">
        <f>tbl_Data_old[[#This Row],[2025 ]]*IFERROR(AVERAGEIFS('Participation Adjustment'!$C:$C,'Participation Adjustment'!$A:$A,$H813,'Participation Adjustment'!$B:$B,$I813),1)</f>
        <v>1.7088084855508201</v>
      </c>
      <c r="W813" s="79">
        <f>tbl_Data_old[[#This Row],[2026 ]]*IFERROR(AVERAGEIFS('Participation Adjustment'!$C:$C,'Participation Adjustment'!$A:$A,$H813,'Participation Adjustment'!$B:$B,$I813),1)</f>
        <v>3.6527440691497999</v>
      </c>
      <c r="X813" s="79">
        <f>tbl_Data_old[[#This Row],[2027 ]]*IFERROR(AVERAGEIFS('Participation Adjustment'!$C:$C,'Participation Adjustment'!$A:$A,$H813,'Participation Adjustment'!$B:$B,$I813),1)</f>
        <v>5.8015966705064796</v>
      </c>
      <c r="Y813" s="79">
        <f>tbl_Data_old[[#This Row],[2028 ]]*IFERROR(AVERAGEIFS('Participation Adjustment'!$C:$C,'Participation Adjustment'!$A:$A,$H813,'Participation Adjustment'!$B:$B,$I813),1)</f>
        <v>8.1532442616418006</v>
      </c>
      <c r="Z813" s="79">
        <f>tbl_Data_old[[#This Row],[2029 ]]*IFERROR(AVERAGEIFS('Participation Adjustment'!$C:$C,'Participation Adjustment'!$A:$A,$H813,'Participation Adjustment'!$B:$B,$I813),1)</f>
        <v>10.6807549405857</v>
      </c>
      <c r="AA813" s="79">
        <f>tbl_Data_old[[#This Row],[2030 ]]*IFERROR(AVERAGEIFS('Participation Adjustment'!$C:$C,'Participation Adjustment'!$A:$A,$H813,'Participation Adjustment'!$B:$B,$I813),1)</f>
        <v>13.3719898934987</v>
      </c>
      <c r="AB813" s="79">
        <f>tbl_Data_old[[#This Row],[2031 ]]*IFERROR(AVERAGEIFS('Participation Adjustment'!$C:$C,'Participation Adjustment'!$A:$A,$H813,'Participation Adjustment'!$B:$B,$I813),1)</f>
        <v>16.217268189117</v>
      </c>
      <c r="AC813" s="79">
        <f>tbl_Data_old[[#This Row],[2032 ]]*IFERROR(AVERAGEIFS('Participation Adjustment'!$C:$C,'Participation Adjustment'!$A:$A,$H813,'Participation Adjustment'!$B:$B,$I813),1)</f>
        <v>19.202547575680299</v>
      </c>
      <c r="AD813" s="79">
        <f>tbl_Data_old[[#This Row],[2033 ]]*IFERROR(AVERAGEIFS('Participation Adjustment'!$C:$C,'Participation Adjustment'!$A:$A,$H813,'Participation Adjustment'!$B:$B,$I813),1)</f>
        <v>22.325002602861598</v>
      </c>
      <c r="AE813" s="79">
        <f>tbl_Data_old[[#This Row],[2034 ]]*IFERROR(AVERAGEIFS('Participation Adjustment'!$C:$C,'Participation Adjustment'!$A:$A,$H813,'Participation Adjustment'!$B:$B,$I813),1)</f>
        <v>25.577616534223999</v>
      </c>
      <c r="AF813" s="77" t="str">
        <f t="shared" si="341"/>
        <v>NonResidential</v>
      </c>
      <c r="AG813" s="77" t="str">
        <f>tbl_Data[[#This Row],[All_Meas_Name_Append]]</f>
        <v>Synchronous Belt on 15hp ODP Motor</v>
      </c>
      <c r="AH813" s="77">
        <f>AVERAGEIFS('3. Incentive Adjustment'!G:G,'3. Incentive Adjustment'!A:A,tbl_Data[[#This Row],[Trimmed Sector]],'3. Incentive Adjustment'!B:B,tbl_Data[[#This Row],[Trimmed Measure Name]])</f>
        <v>0.74278916032473408</v>
      </c>
      <c r="AI813" s="77">
        <f>$AH813*tbl_Data[[#This Row],[2025 ]]</f>
        <v>1.2692844201380742</v>
      </c>
      <c r="AJ813" s="77">
        <f>$AH813*tbl_Data[[#This Row],[2026 ]]</f>
        <v>2.7132187000049321</v>
      </c>
      <c r="AK813" s="77">
        <f>$AH813*tbl_Data[[#This Row],[2027 ]]</f>
        <v>4.3093631194282809</v>
      </c>
      <c r="AL813" s="77">
        <f>$AH813*tbl_Data[[#This Row],[2028 ]]</f>
        <v>6.0561414590273692</v>
      </c>
      <c r="AM813" s="77">
        <f>$AH813*tbl_Data[[#This Row],[2029 ]]</f>
        <v>7.9335489939519075</v>
      </c>
      <c r="AN813" s="77">
        <f>$AH813*tbl_Data[[#This Row],[2030 ]]</f>
        <v>9.9325691448627289</v>
      </c>
      <c r="AO813" s="77">
        <f>$AH813*tbl_Data[[#This Row],[2031 ]]</f>
        <v>12.046011020955238</v>
      </c>
      <c r="AP813" s="77">
        <f>$AH813*tbl_Data[[#This Row],[2032 ]]</f>
        <v>14.263444189835328</v>
      </c>
      <c r="AQ813" s="77">
        <f>$AH813*tbl_Data[[#This Row],[2033 ]]</f>
        <v>16.58276993762707</v>
      </c>
      <c r="AR813" s="77">
        <f>$AH813*tbl_Data[[#This Row],[2034 ]]</f>
        <v>18.998776308564278</v>
      </c>
      <c r="AS813" s="77">
        <f>SUM(tbl_Data[[#This Row],[Adjusted 2025]:[Adjusted 2034]])</f>
        <v>94.105127294395189</v>
      </c>
      <c r="AT813" s="80">
        <f>AVERAGEIFS('3. Incentive Adjustment'!F:F,'3. Incentive Adjustment'!A:A,tbl_Data[[#This Row],[Trimmed Sector]],'3. Incentive Adjustment'!B:B,tbl_Data[[#This Row],[Trimmed Measure Name]])</f>
        <v>0</v>
      </c>
      <c r="AU813" s="80">
        <f>IFERROR(VLOOKUP(tbl_Data[[#This Row],[All_Meas_Name_Append]],'IRA Tax Credits'!$A$3:$D$46,4,0),0)</f>
        <v>0</v>
      </c>
      <c r="AV813" s="81">
        <f>tbl_Data[[#This Row],[Adj. per unit Incentive ($)]]/tbl_Data[[#This Row],[kWh Savings]]*tbl_Data[[#This Row],[Sum of Annuals]]</f>
        <v>0</v>
      </c>
      <c r="AW813" s="81" t="str">
        <f>IFERROR(VLOOKUP(tbl_Data[[#This Row],[Column1]],'1. Set Program Names'!$B$2:$D$15,3,0)*tbl_Data[[#This Row],[Sum of Annuals]],"")</f>
        <v/>
      </c>
      <c r="AX813" s="81">
        <f>tbl_Data[[#This Row],[per unit IRA tax ($)]]/tbl_Data[[#This Row],[kWh Savings]]*tbl_Data[[#This Row],[Sum of Annuals]]</f>
        <v>0</v>
      </c>
      <c r="AY813" s="81">
        <f>tbl_Data[[#This Row],[Avoided Costs ($/unit)]]/tbl_Data[[#This Row],[kWh Savings]]*tbl_Data[[#This Row],[Sum of Annuals]]</f>
        <v>39.155722669209155</v>
      </c>
      <c r="AZ813" s="81">
        <f>tbl_Data[[#This Row],[Lost Revenue ($/unit)]]/tbl_Data[[#This Row],[kWh Savings]]*tbl_Data[[#This Row],[Sum of Annuals]]</f>
        <v>95.640753927702903</v>
      </c>
      <c r="BA813" s="81">
        <f>tbl_Data[[#This Row],[Incremental Cost ($/unit)]]/tbl_Data[[#This Row],[kWh Savings]]*tbl_Data[[#This Row],[Sum of Annuals]]</f>
        <v>29.534428401218001</v>
      </c>
      <c r="BB813" s="77">
        <f>ROUNDUP(tbl_Data[[#This Row],[Adjusted 2025]]/$L813,0)</f>
        <v>1</v>
      </c>
      <c r="BC813" s="77">
        <f>ROUNDUP(tbl_Data[[#This Row],[Adjusted 2026]]/$L813,0)</f>
        <v>1</v>
      </c>
      <c r="BD813" s="77">
        <f>ROUNDUP(tbl_Data[[#This Row],[Adjusted 2027]]/$L813,0)</f>
        <v>1</v>
      </c>
      <c r="BE813" s="77">
        <f>ROUNDUP(tbl_Data[[#This Row],[Adjusted 2028]]/$L813,0)</f>
        <v>1</v>
      </c>
      <c r="BF813" s="77">
        <f>ROUNDUP(tbl_Data[[#This Row],[Adjusted 2029]]/$L813,0)</f>
        <v>1</v>
      </c>
      <c r="BG813" s="77">
        <f>ROUNDUP(tbl_Data[[#This Row],[Adjusted 2030]]/$L813,0)</f>
        <v>1</v>
      </c>
      <c r="BH813" s="77">
        <f>ROUNDUP(tbl_Data[[#This Row],[Adjusted 2031]]/$L813,0)</f>
        <v>1</v>
      </c>
      <c r="BI813" s="77">
        <f>ROUNDUP(tbl_Data[[#This Row],[Adjusted 2032]]/$L813,0)</f>
        <v>1</v>
      </c>
      <c r="BJ813" s="77">
        <f>ROUNDUP(tbl_Data[[#This Row],[Adjusted 2033]]/$L813,0)</f>
        <v>1</v>
      </c>
      <c r="BK813" s="77">
        <f>ROUNDUP(tbl_Data[[#This Row],[Adjusted 2034]]/$L813,0)</f>
        <v>1</v>
      </c>
      <c r="BL813" s="80">
        <f t="shared" si="342"/>
        <v>0</v>
      </c>
      <c r="BM813" s="80">
        <f t="shared" si="343"/>
        <v>0</v>
      </c>
      <c r="BN813" s="80">
        <f t="shared" si="344"/>
        <v>0</v>
      </c>
      <c r="BO813" s="80">
        <f t="shared" si="345"/>
        <v>0</v>
      </c>
      <c r="BP813" s="80">
        <f t="shared" si="346"/>
        <v>0</v>
      </c>
      <c r="BQ813" s="80">
        <f t="shared" si="347"/>
        <v>0</v>
      </c>
      <c r="BR813" s="80">
        <f t="shared" si="348"/>
        <v>0</v>
      </c>
      <c r="BS813" s="80">
        <f t="shared" si="349"/>
        <v>0</v>
      </c>
      <c r="BT813" s="80">
        <f t="shared" si="350"/>
        <v>0</v>
      </c>
      <c r="BU813" s="80">
        <f t="shared" si="351"/>
        <v>0</v>
      </c>
      <c r="BV813" s="80" t="str">
        <f>IFERROR(VLOOKUP($H813,'1. Set Program Names'!$B$2:$D$15,3,0)*V813,"NA")</f>
        <v>NA</v>
      </c>
      <c r="BW813" s="80" t="str">
        <f>IFERROR(VLOOKUP($H813,'1. Set Program Names'!$B$2:$D$15,3,0)*W813,"NA")</f>
        <v>NA</v>
      </c>
      <c r="BX813" s="80" t="str">
        <f>IFERROR(VLOOKUP($H813,'1. Set Program Names'!$B$2:$D$15,3,0)*X813,"NA")</f>
        <v>NA</v>
      </c>
      <c r="BY813" s="80" t="str">
        <f>IFERROR(VLOOKUP($H813,'1. Set Program Names'!$B$2:$D$15,3,0)*Y813,"NA")</f>
        <v>NA</v>
      </c>
      <c r="BZ813" s="80" t="str">
        <f>IFERROR(VLOOKUP($H813,'1. Set Program Names'!$B$2:$D$15,3,0)*Z813,"NA")</f>
        <v>NA</v>
      </c>
      <c r="CA813" s="80" t="str">
        <f>IFERROR(VLOOKUP($H813,'1. Set Program Names'!$B$2:$D$15,3,0)*AA813,"NA")</f>
        <v>NA</v>
      </c>
      <c r="CB813" s="80" t="str">
        <f>IFERROR(VLOOKUP($H813,'1. Set Program Names'!$B$2:$D$15,3,0)*AB813,"NA")</f>
        <v>NA</v>
      </c>
      <c r="CC813" s="80" t="str">
        <f>IFERROR(VLOOKUP($H813,'1. Set Program Names'!$B$2:$D$15,3,0)*AC813,"NA")</f>
        <v>NA</v>
      </c>
      <c r="CD813" s="80" t="str">
        <f>IFERROR(VLOOKUP($H813,'1. Set Program Names'!$B$2:$D$15,3,0)*AD813,"NA")</f>
        <v>NA</v>
      </c>
      <c r="CE813" s="80" t="str">
        <f>IFERROR(VLOOKUP($H813,'1. Set Program Names'!$B$2:$D$15,3,0)*AE813,"NA")</f>
        <v>NA</v>
      </c>
    </row>
    <row r="814" spans="1:83" x14ac:dyDescent="0.25">
      <c r="A814" s="79" t="s">
        <v>115</v>
      </c>
      <c r="B814" s="79" t="s">
        <v>88</v>
      </c>
      <c r="C814" s="79" t="s">
        <v>176</v>
      </c>
      <c r="D814" s="79" t="s">
        <v>90</v>
      </c>
      <c r="E814" s="79" t="s">
        <v>91</v>
      </c>
      <c r="F814" s="79" t="s">
        <v>90</v>
      </c>
      <c r="G814" s="79" t="s">
        <v>92</v>
      </c>
      <c r="H814" s="79" t="s">
        <v>268</v>
      </c>
      <c r="I814" s="79" t="s">
        <v>192</v>
      </c>
      <c r="J814" s="79" t="s">
        <v>191</v>
      </c>
      <c r="K814" s="79" t="s">
        <v>98</v>
      </c>
      <c r="L814" s="79">
        <v>437.76000000000101</v>
      </c>
      <c r="M814" s="79">
        <v>5.1641585449826798E-2</v>
      </c>
      <c r="N814" s="79">
        <v>5.0458532140799497E-2</v>
      </c>
      <c r="O814" s="79">
        <v>163</v>
      </c>
      <c r="P814" s="79">
        <v>74.943684252843894</v>
      </c>
      <c r="Q814" s="79">
        <v>0.43776000000000098</v>
      </c>
      <c r="R814" s="79">
        <v>182.14532670521001</v>
      </c>
      <c r="S814" s="79">
        <v>444.90345683730902</v>
      </c>
      <c r="T814" s="79">
        <v>14</v>
      </c>
      <c r="U814" s="79">
        <v>0.999999999999999</v>
      </c>
      <c r="V814" s="79">
        <f>tbl_Data_old[[#This Row],[2025 ]]*IFERROR(AVERAGEIFS('Participation Adjustment'!$C:$C,'Participation Adjustment'!$A:$A,$H814,'Participation Adjustment'!$B:$B,$I814),1)</f>
        <v>1.7040495366723001</v>
      </c>
      <c r="W814" s="79">
        <f>tbl_Data_old[[#This Row],[2026 ]]*IFERROR(AVERAGEIFS('Participation Adjustment'!$C:$C,'Participation Adjustment'!$A:$A,$H814,'Participation Adjustment'!$B:$B,$I814),1)</f>
        <v>3.6419478567464401</v>
      </c>
      <c r="X814" s="79">
        <f>tbl_Data_old[[#This Row],[2027 ]]*IFERROR(AVERAGEIFS('Participation Adjustment'!$C:$C,'Participation Adjustment'!$A:$A,$H814,'Participation Adjustment'!$B:$B,$I814),1)</f>
        <v>5.78350773246407</v>
      </c>
      <c r="Y814" s="79">
        <f>tbl_Data_old[[#This Row],[2028 ]]*IFERROR(AVERAGEIFS('Participation Adjustment'!$C:$C,'Participation Adjustment'!$A:$A,$H814,'Participation Adjustment'!$B:$B,$I814),1)</f>
        <v>8.12656811111985</v>
      </c>
      <c r="Z814" s="79">
        <f>tbl_Data_old[[#This Row],[2029 ]]*IFERROR(AVERAGEIFS('Participation Adjustment'!$C:$C,'Participation Adjustment'!$A:$A,$H814,'Participation Adjustment'!$B:$B,$I814),1)</f>
        <v>10.644268141927901</v>
      </c>
      <c r="AA814" s="79">
        <f>tbl_Data_old[[#This Row],[2030 ]]*IFERROR(AVERAGEIFS('Participation Adjustment'!$C:$C,'Participation Adjustment'!$A:$A,$H814,'Participation Adjustment'!$B:$B,$I814),1)</f>
        <v>13.3245065081675</v>
      </c>
      <c r="AB814" s="79">
        <f>tbl_Data_old[[#This Row],[2031 ]]*IFERROR(AVERAGEIFS('Participation Adjustment'!$C:$C,'Participation Adjustment'!$A:$A,$H814,'Participation Adjustment'!$B:$B,$I814),1)</f>
        <v>16.1576425719037</v>
      </c>
      <c r="AC814" s="79">
        <f>tbl_Data_old[[#This Row],[2032 ]]*IFERROR(AVERAGEIFS('Participation Adjustment'!$C:$C,'Participation Adjustment'!$A:$A,$H814,'Participation Adjustment'!$B:$B,$I814),1)</f>
        <v>19.129702879021</v>
      </c>
      <c r="AD814" s="79">
        <f>tbl_Data_old[[#This Row],[2033 ]]*IFERROR(AVERAGEIFS('Participation Adjustment'!$C:$C,'Participation Adjustment'!$A:$A,$H814,'Participation Adjustment'!$B:$B,$I814),1)</f>
        <v>22.2378885872171</v>
      </c>
      <c r="AE814" s="79">
        <f>tbl_Data_old[[#This Row],[2034 ]]*IFERROR(AVERAGEIFS('Participation Adjustment'!$C:$C,'Participation Adjustment'!$A:$A,$H814,'Participation Adjustment'!$B:$B,$I814),1)</f>
        <v>25.475231731713698</v>
      </c>
      <c r="AF814" s="77" t="str">
        <f t="shared" si="341"/>
        <v>NonResidential</v>
      </c>
      <c r="AG814" s="77" t="str">
        <f>tbl_Data[[#This Row],[All_Meas_Name_Append]]</f>
        <v>Synchronous Belt on 5hp ODP Motor</v>
      </c>
      <c r="AH814" s="77">
        <f>AVERAGEIFS('3. Incentive Adjustment'!G:G,'3. Incentive Adjustment'!A:A,tbl_Data[[#This Row],[Trimmed Sector]],'3. Incentive Adjustment'!B:B,tbl_Data[[#This Row],[Trimmed Measure Name]])</f>
        <v>0.63653870706597271</v>
      </c>
      <c r="AI814" s="77">
        <f>$AH814*tbl_Data[[#This Row],[2025 ]]</f>
        <v>1.0846934888497557</v>
      </c>
      <c r="AJ814" s="77">
        <f>$AH814*tbl_Data[[#This Row],[2026 ]]</f>
        <v>2.3182407799350693</v>
      </c>
      <c r="AK814" s="77">
        <f>$AH814*tbl_Data[[#This Row],[2027 ]]</f>
        <v>3.6814265343287347</v>
      </c>
      <c r="AL814" s="77">
        <f>$AH814*tbl_Data[[#This Row],[2028 ]]</f>
        <v>5.1728751583357937</v>
      </c>
      <c r="AM814" s="77">
        <f>$AH814*tbl_Data[[#This Row],[2029 ]]</f>
        <v>6.7754886807263093</v>
      </c>
      <c r="AN814" s="77">
        <f>$AH814*tbl_Data[[#This Row],[2030 ]]</f>
        <v>8.4815641450010801</v>
      </c>
      <c r="AO814" s="77">
        <f>$AH814*tbl_Data[[#This Row],[2031 ]]</f>
        <v>10.284964911953699</v>
      </c>
      <c r="AP814" s="77">
        <f>$AH814*tbl_Data[[#This Row],[2032 ]]</f>
        <v>12.176796337168243</v>
      </c>
      <c r="AQ814" s="77">
        <f>$AH814*tbl_Data[[#This Row],[2033 ]]</f>
        <v>14.155276849184323</v>
      </c>
      <c r="AR814" s="77">
        <f>$AH814*tbl_Data[[#This Row],[2034 ]]</f>
        <v>16.215971068711077</v>
      </c>
      <c r="AS814" s="77">
        <f>SUM(tbl_Data[[#This Row],[Adjusted 2025]:[Adjusted 2034]])</f>
        <v>80.34729795419409</v>
      </c>
      <c r="AT814" s="80">
        <f>AVERAGEIFS('3. Incentive Adjustment'!F:F,'3. Incentive Adjustment'!A:A,tbl_Data[[#This Row],[Trimmed Sector]],'3. Incentive Adjustment'!B:B,tbl_Data[[#This Row],[Trimmed Measure Name]])</f>
        <v>0</v>
      </c>
      <c r="AU814" s="80">
        <f>IFERROR(VLOOKUP(tbl_Data[[#This Row],[All_Meas_Name_Append]],'IRA Tax Credits'!$A$3:$D$46,4,0),0)</f>
        <v>0</v>
      </c>
      <c r="AV814" s="81">
        <f>tbl_Data[[#This Row],[Adj. per unit Incentive ($)]]/tbl_Data[[#This Row],[kWh Savings]]*tbl_Data[[#This Row],[Sum of Annuals]]</f>
        <v>0</v>
      </c>
      <c r="AW814" s="81" t="str">
        <f>IFERROR(VLOOKUP(tbl_Data[[#This Row],[Column1]],'1. Set Program Names'!$B$2:$D$15,3,0)*tbl_Data[[#This Row],[Sum of Annuals]],"")</f>
        <v/>
      </c>
      <c r="AX814" s="81">
        <f>tbl_Data[[#This Row],[per unit IRA tax ($)]]/tbl_Data[[#This Row],[kWh Savings]]*tbl_Data[[#This Row],[Sum of Annuals]]</f>
        <v>0</v>
      </c>
      <c r="AY814" s="81">
        <f>tbl_Data[[#This Row],[Avoided Costs ($/unit)]]/tbl_Data[[#This Row],[kWh Savings]]*tbl_Data[[#This Row],[Sum of Annuals]]</f>
        <v>33.431297596279926</v>
      </c>
      <c r="AZ814" s="81">
        <f>tbl_Data[[#This Row],[Lost Revenue ($/unit)]]/tbl_Data[[#This Row],[kWh Savings]]*tbl_Data[[#This Row],[Sum of Annuals]]</f>
        <v>81.658421526311486</v>
      </c>
      <c r="BA814" s="81">
        <f>tbl_Data[[#This Row],[Incremental Cost ($/unit)]]/tbl_Data[[#This Row],[kWh Savings]]*tbl_Data[[#This Row],[Sum of Annuals]]</f>
        <v>29.91732813992509</v>
      </c>
      <c r="BB814" s="77">
        <f>ROUNDUP(tbl_Data[[#This Row],[Adjusted 2025]]/$L814,0)</f>
        <v>1</v>
      </c>
      <c r="BC814" s="77">
        <f>ROUNDUP(tbl_Data[[#This Row],[Adjusted 2026]]/$L814,0)</f>
        <v>1</v>
      </c>
      <c r="BD814" s="77">
        <f>ROUNDUP(tbl_Data[[#This Row],[Adjusted 2027]]/$L814,0)</f>
        <v>1</v>
      </c>
      <c r="BE814" s="77">
        <f>ROUNDUP(tbl_Data[[#This Row],[Adjusted 2028]]/$L814,0)</f>
        <v>1</v>
      </c>
      <c r="BF814" s="77">
        <f>ROUNDUP(tbl_Data[[#This Row],[Adjusted 2029]]/$L814,0)</f>
        <v>1</v>
      </c>
      <c r="BG814" s="77">
        <f>ROUNDUP(tbl_Data[[#This Row],[Adjusted 2030]]/$L814,0)</f>
        <v>1</v>
      </c>
      <c r="BH814" s="77">
        <f>ROUNDUP(tbl_Data[[#This Row],[Adjusted 2031]]/$L814,0)</f>
        <v>1</v>
      </c>
      <c r="BI814" s="77">
        <f>ROUNDUP(tbl_Data[[#This Row],[Adjusted 2032]]/$L814,0)</f>
        <v>1</v>
      </c>
      <c r="BJ814" s="77">
        <f>ROUNDUP(tbl_Data[[#This Row],[Adjusted 2033]]/$L814,0)</f>
        <v>1</v>
      </c>
      <c r="BK814" s="77">
        <f>ROUNDUP(tbl_Data[[#This Row],[Adjusted 2034]]/$L814,0)</f>
        <v>1</v>
      </c>
      <c r="BL814" s="80">
        <f t="shared" si="342"/>
        <v>0</v>
      </c>
      <c r="BM814" s="80">
        <f t="shared" si="343"/>
        <v>0</v>
      </c>
      <c r="BN814" s="80">
        <f t="shared" si="344"/>
        <v>0</v>
      </c>
      <c r="BO814" s="80">
        <f t="shared" si="345"/>
        <v>0</v>
      </c>
      <c r="BP814" s="80">
        <f t="shared" si="346"/>
        <v>0</v>
      </c>
      <c r="BQ814" s="80">
        <f t="shared" si="347"/>
        <v>0</v>
      </c>
      <c r="BR814" s="80">
        <f t="shared" si="348"/>
        <v>0</v>
      </c>
      <c r="BS814" s="80">
        <f t="shared" si="349"/>
        <v>0</v>
      </c>
      <c r="BT814" s="80">
        <f t="shared" si="350"/>
        <v>0</v>
      </c>
      <c r="BU814" s="80">
        <f t="shared" si="351"/>
        <v>0</v>
      </c>
      <c r="BV814" s="80" t="str">
        <f>IFERROR(VLOOKUP($H814,'1. Set Program Names'!$B$2:$D$15,3,0)*V814,"NA")</f>
        <v>NA</v>
      </c>
      <c r="BW814" s="80" t="str">
        <f>IFERROR(VLOOKUP($H814,'1. Set Program Names'!$B$2:$D$15,3,0)*W814,"NA")</f>
        <v>NA</v>
      </c>
      <c r="BX814" s="80" t="str">
        <f>IFERROR(VLOOKUP($H814,'1. Set Program Names'!$B$2:$D$15,3,0)*X814,"NA")</f>
        <v>NA</v>
      </c>
      <c r="BY814" s="80" t="str">
        <f>IFERROR(VLOOKUP($H814,'1. Set Program Names'!$B$2:$D$15,3,0)*Y814,"NA")</f>
        <v>NA</v>
      </c>
      <c r="BZ814" s="80" t="str">
        <f>IFERROR(VLOOKUP($H814,'1. Set Program Names'!$B$2:$D$15,3,0)*Z814,"NA")</f>
        <v>NA</v>
      </c>
      <c r="CA814" s="80" t="str">
        <f>IFERROR(VLOOKUP($H814,'1. Set Program Names'!$B$2:$D$15,3,0)*AA814,"NA")</f>
        <v>NA</v>
      </c>
      <c r="CB814" s="80" t="str">
        <f>IFERROR(VLOOKUP($H814,'1. Set Program Names'!$B$2:$D$15,3,0)*AB814,"NA")</f>
        <v>NA</v>
      </c>
      <c r="CC814" s="80" t="str">
        <f>IFERROR(VLOOKUP($H814,'1. Set Program Names'!$B$2:$D$15,3,0)*AC814,"NA")</f>
        <v>NA</v>
      </c>
      <c r="CD814" s="80" t="str">
        <f>IFERROR(VLOOKUP($H814,'1. Set Program Names'!$B$2:$D$15,3,0)*AD814,"NA")</f>
        <v>NA</v>
      </c>
      <c r="CE814" s="80" t="str">
        <f>IFERROR(VLOOKUP($H814,'1. Set Program Names'!$B$2:$D$15,3,0)*AE814,"NA")</f>
        <v>NA</v>
      </c>
    </row>
    <row r="815" spans="1:83" x14ac:dyDescent="0.25">
      <c r="A815" s="79" t="s">
        <v>115</v>
      </c>
      <c r="B815" s="79" t="s">
        <v>88</v>
      </c>
      <c r="C815" s="79" t="s">
        <v>176</v>
      </c>
      <c r="D815" s="79" t="s">
        <v>90</v>
      </c>
      <c r="E815" s="79" t="s">
        <v>91</v>
      </c>
      <c r="F815" s="79" t="s">
        <v>90</v>
      </c>
      <c r="G815" s="79" t="s">
        <v>92</v>
      </c>
      <c r="H815" s="79" t="s">
        <v>268</v>
      </c>
      <c r="I815" s="79" t="s">
        <v>193</v>
      </c>
      <c r="J815" s="79" t="s">
        <v>191</v>
      </c>
      <c r="K815" s="79" t="s">
        <v>98</v>
      </c>
      <c r="L815" s="79">
        <v>12009.57</v>
      </c>
      <c r="M815" s="79">
        <v>1.41674258810918</v>
      </c>
      <c r="N815" s="79">
        <v>1.38428653564094</v>
      </c>
      <c r="O815" s="79">
        <v>2450</v>
      </c>
      <c r="P815" s="79">
        <v>34.250530181900103</v>
      </c>
      <c r="Q815" s="79">
        <v>12.00957</v>
      </c>
      <c r="R815" s="79">
        <v>4997.0007566682498</v>
      </c>
      <c r="S815" s="79">
        <v>12205.544609214199</v>
      </c>
      <c r="T815" s="79">
        <v>14</v>
      </c>
      <c r="U815" s="79">
        <v>0.999999999999999</v>
      </c>
      <c r="V815" s="79">
        <f>tbl_Data_old[[#This Row],[2025 ]]*IFERROR(AVERAGEIFS('Participation Adjustment'!$C:$C,'Participation Adjustment'!$A:$A,$H815,'Participation Adjustment'!$B:$B,$I815),1)</f>
        <v>1.7149733387239501</v>
      </c>
      <c r="W815" s="79">
        <f>tbl_Data_old[[#This Row],[2026 ]]*IFERROR(AVERAGEIFS('Participation Adjustment'!$C:$C,'Participation Adjustment'!$A:$A,$H815,'Participation Adjustment'!$B:$B,$I815),1)</f>
        <v>3.6670690449038301</v>
      </c>
      <c r="X815" s="79">
        <f>tbl_Data_old[[#This Row],[2027 ]]*IFERROR(AVERAGEIFS('Participation Adjustment'!$C:$C,'Participation Adjustment'!$A:$A,$H815,'Participation Adjustment'!$B:$B,$I815),1)</f>
        <v>5.8261875452304102</v>
      </c>
      <c r="Y815" s="79">
        <f>tbl_Data_old[[#This Row],[2028 ]]*IFERROR(AVERAGEIFS('Participation Adjustment'!$C:$C,'Participation Adjustment'!$A:$A,$H815,'Participation Adjustment'!$B:$B,$I815),1)</f>
        <v>8.1905797654403099</v>
      </c>
      <c r="Z815" s="79">
        <f>tbl_Data_old[[#This Row],[2029 ]]*IFERROR(AVERAGEIFS('Participation Adjustment'!$C:$C,'Participation Adjustment'!$A:$A,$H815,'Participation Adjustment'!$B:$B,$I815),1)</f>
        <v>10.7330322739623</v>
      </c>
      <c r="AA815" s="79">
        <f>tbl_Data_old[[#This Row],[2030 ]]*IFERROR(AVERAGEIFS('Participation Adjustment'!$C:$C,'Participation Adjustment'!$A:$A,$H815,'Participation Adjustment'!$B:$B,$I815),1)</f>
        <v>13.441448211957701</v>
      </c>
      <c r="AB815" s="79">
        <f>tbl_Data_old[[#This Row],[2031 ]]*IFERROR(AVERAGEIFS('Participation Adjustment'!$C:$C,'Participation Adjustment'!$A:$A,$H815,'Participation Adjustment'!$B:$B,$I815),1)</f>
        <v>16.306101095713402</v>
      </c>
      <c r="AC815" s="79">
        <f>tbl_Data_old[[#This Row],[2032 ]]*IFERROR(AVERAGEIFS('Participation Adjustment'!$C:$C,'Participation Adjustment'!$A:$A,$H815,'Participation Adjustment'!$B:$B,$I815),1)</f>
        <v>19.312537642071</v>
      </c>
      <c r="AD815" s="79">
        <f>tbl_Data_old[[#This Row],[2033 ]]*IFERROR(AVERAGEIFS('Participation Adjustment'!$C:$C,'Participation Adjustment'!$A:$A,$H815,'Participation Adjustment'!$B:$B,$I815),1)</f>
        <v>22.457974083405301</v>
      </c>
      <c r="AE815" s="79">
        <f>tbl_Data_old[[#This Row],[2034 ]]*IFERROR(AVERAGEIFS('Participation Adjustment'!$C:$C,'Participation Adjustment'!$A:$A,$H815,'Participation Adjustment'!$B:$B,$I815),1)</f>
        <v>25.7352071251556</v>
      </c>
      <c r="AF815" s="77" t="str">
        <f t="shared" si="341"/>
        <v>NonResidential</v>
      </c>
      <c r="AG815" s="77" t="str">
        <f>tbl_Data[[#This Row],[All_Meas_Name_Append]]</f>
        <v>Synchronous Belt on 75hp ODP Motor</v>
      </c>
      <c r="AH815" s="77">
        <f>AVERAGEIFS('3. Incentive Adjustment'!G:G,'3. Incentive Adjustment'!A:A,tbl_Data[[#This Row],[Trimmed Sector]],'3. Incentive Adjustment'!B:B,tbl_Data[[#This Row],[Trimmed Measure Name]])</f>
        <v>0.99250334293493969</v>
      </c>
      <c r="AI815" s="77">
        <f>$AH815*tbl_Data[[#This Row],[2025 ]]</f>
        <v>1.7021167717278152</v>
      </c>
      <c r="AJ815" s="77">
        <f>$AH815*tbl_Data[[#This Row],[2026 ]]</f>
        <v>3.6395782858402881</v>
      </c>
      <c r="AK815" s="77">
        <f>$AH815*tbl_Data[[#This Row],[2027 ]]</f>
        <v>5.7825106152070926</v>
      </c>
      <c r="AL815" s="77">
        <f>$AH815*tbl_Data[[#This Row],[2028 ]]</f>
        <v>8.1291777977747817</v>
      </c>
      <c r="AM815" s="77">
        <f>$AH815*tbl_Data[[#This Row],[2029 ]]</f>
        <v>10.65257041173618</v>
      </c>
      <c r="AN815" s="77">
        <f>$AH815*tbl_Data[[#This Row],[2030 ]]</f>
        <v>13.340682284254886</v>
      </c>
      <c r="AO815" s="77">
        <f>$AH815*tbl_Data[[#This Row],[2031 ]]</f>
        <v>16.183859847730634</v>
      </c>
      <c r="AP815" s="77">
        <f>$AH815*tbl_Data[[#This Row],[2032 ]]</f>
        <v>19.167758170312325</v>
      </c>
      <c r="AQ815" s="77">
        <f>$AH815*tbl_Data[[#This Row],[2033 ]]</f>
        <v>22.289614353325998</v>
      </c>
      <c r="AR815" s="77">
        <f>$AH815*tbl_Data[[#This Row],[2034 ]]</f>
        <v>25.542279102840013</v>
      </c>
      <c r="AS815" s="77">
        <f>SUM(tbl_Data[[#This Row],[Adjusted 2025]:[Adjusted 2034]])</f>
        <v>126.43014764075001</v>
      </c>
      <c r="AT815" s="80">
        <f>AVERAGEIFS('3. Incentive Adjustment'!F:F,'3. Incentive Adjustment'!A:A,tbl_Data[[#This Row],[Trimmed Sector]],'3. Incentive Adjustment'!B:B,tbl_Data[[#This Row],[Trimmed Measure Name]])</f>
        <v>0</v>
      </c>
      <c r="AU815" s="80">
        <f>IFERROR(VLOOKUP(tbl_Data[[#This Row],[All_Meas_Name_Append]],'IRA Tax Credits'!$A$3:$D$46,4,0),0)</f>
        <v>0</v>
      </c>
      <c r="AV815" s="81">
        <f>tbl_Data[[#This Row],[Adj. per unit Incentive ($)]]/tbl_Data[[#This Row],[kWh Savings]]*tbl_Data[[#This Row],[Sum of Annuals]]</f>
        <v>0</v>
      </c>
      <c r="AW815" s="81" t="str">
        <f>IFERROR(VLOOKUP(tbl_Data[[#This Row],[Column1]],'1. Set Program Names'!$B$2:$D$15,3,0)*tbl_Data[[#This Row],[Sum of Annuals]],"")</f>
        <v/>
      </c>
      <c r="AX815" s="81">
        <f>tbl_Data[[#This Row],[per unit IRA tax ($)]]/tbl_Data[[#This Row],[kWh Savings]]*tbl_Data[[#This Row],[Sum of Annuals]]</f>
        <v>0</v>
      </c>
      <c r="AY815" s="81">
        <f>tbl_Data[[#This Row],[Avoided Costs ($/unit)]]/tbl_Data[[#This Row],[kWh Savings]]*tbl_Data[[#This Row],[Sum of Annuals]]</f>
        <v>52.605675592590437</v>
      </c>
      <c r="AZ815" s="81">
        <f>tbl_Data[[#This Row],[Lost Revenue ($/unit)]]/tbl_Data[[#This Row],[kWh Savings]]*tbl_Data[[#This Row],[Sum of Annuals]]</f>
        <v>128.49326053961229</v>
      </c>
      <c r="BA815" s="81">
        <f>tbl_Data[[#This Row],[Incremental Cost ($/unit)]]/tbl_Data[[#This Row],[kWh Savings]]*tbl_Data[[#This Row],[Sum of Annuals]]</f>
        <v>25.792252488626779</v>
      </c>
      <c r="BB815" s="77">
        <f>ROUNDUP(tbl_Data[[#This Row],[Adjusted 2025]]/$L815,0)</f>
        <v>1</v>
      </c>
      <c r="BC815" s="77">
        <f>ROUNDUP(tbl_Data[[#This Row],[Adjusted 2026]]/$L815,0)</f>
        <v>1</v>
      </c>
      <c r="BD815" s="77">
        <f>ROUNDUP(tbl_Data[[#This Row],[Adjusted 2027]]/$L815,0)</f>
        <v>1</v>
      </c>
      <c r="BE815" s="77">
        <f>ROUNDUP(tbl_Data[[#This Row],[Adjusted 2028]]/$L815,0)</f>
        <v>1</v>
      </c>
      <c r="BF815" s="77">
        <f>ROUNDUP(tbl_Data[[#This Row],[Adjusted 2029]]/$L815,0)</f>
        <v>1</v>
      </c>
      <c r="BG815" s="77">
        <f>ROUNDUP(tbl_Data[[#This Row],[Adjusted 2030]]/$L815,0)</f>
        <v>1</v>
      </c>
      <c r="BH815" s="77">
        <f>ROUNDUP(tbl_Data[[#This Row],[Adjusted 2031]]/$L815,0)</f>
        <v>1</v>
      </c>
      <c r="BI815" s="77">
        <f>ROUNDUP(tbl_Data[[#This Row],[Adjusted 2032]]/$L815,0)</f>
        <v>1</v>
      </c>
      <c r="BJ815" s="77">
        <f>ROUNDUP(tbl_Data[[#This Row],[Adjusted 2033]]/$L815,0)</f>
        <v>1</v>
      </c>
      <c r="BK815" s="77">
        <f>ROUNDUP(tbl_Data[[#This Row],[Adjusted 2034]]/$L815,0)</f>
        <v>1</v>
      </c>
      <c r="BL815" s="80">
        <f t="shared" si="342"/>
        <v>0</v>
      </c>
      <c r="BM815" s="80">
        <f t="shared" si="343"/>
        <v>0</v>
      </c>
      <c r="BN815" s="80">
        <f t="shared" si="344"/>
        <v>0</v>
      </c>
      <c r="BO815" s="80">
        <f t="shared" si="345"/>
        <v>0</v>
      </c>
      <c r="BP815" s="80">
        <f t="shared" si="346"/>
        <v>0</v>
      </c>
      <c r="BQ815" s="80">
        <f t="shared" si="347"/>
        <v>0</v>
      </c>
      <c r="BR815" s="80">
        <f t="shared" si="348"/>
        <v>0</v>
      </c>
      <c r="BS815" s="80">
        <f t="shared" si="349"/>
        <v>0</v>
      </c>
      <c r="BT815" s="80">
        <f t="shared" si="350"/>
        <v>0</v>
      </c>
      <c r="BU815" s="80">
        <f t="shared" si="351"/>
        <v>0</v>
      </c>
      <c r="BV815" s="80" t="str">
        <f>IFERROR(VLOOKUP($H815,'1. Set Program Names'!$B$2:$D$15,3,0)*V815,"NA")</f>
        <v>NA</v>
      </c>
      <c r="BW815" s="80" t="str">
        <f>IFERROR(VLOOKUP($H815,'1. Set Program Names'!$B$2:$D$15,3,0)*W815,"NA")</f>
        <v>NA</v>
      </c>
      <c r="BX815" s="80" t="str">
        <f>IFERROR(VLOOKUP($H815,'1. Set Program Names'!$B$2:$D$15,3,0)*X815,"NA")</f>
        <v>NA</v>
      </c>
      <c r="BY815" s="80" t="str">
        <f>IFERROR(VLOOKUP($H815,'1. Set Program Names'!$B$2:$D$15,3,0)*Y815,"NA")</f>
        <v>NA</v>
      </c>
      <c r="BZ815" s="80" t="str">
        <f>IFERROR(VLOOKUP($H815,'1. Set Program Names'!$B$2:$D$15,3,0)*Z815,"NA")</f>
        <v>NA</v>
      </c>
      <c r="CA815" s="80" t="str">
        <f>IFERROR(VLOOKUP($H815,'1. Set Program Names'!$B$2:$D$15,3,0)*AA815,"NA")</f>
        <v>NA</v>
      </c>
      <c r="CB815" s="80" t="str">
        <f>IFERROR(VLOOKUP($H815,'1. Set Program Names'!$B$2:$D$15,3,0)*AB815,"NA")</f>
        <v>NA</v>
      </c>
      <c r="CC815" s="80" t="str">
        <f>IFERROR(VLOOKUP($H815,'1. Set Program Names'!$B$2:$D$15,3,0)*AC815,"NA")</f>
        <v>NA</v>
      </c>
      <c r="CD815" s="80" t="str">
        <f>IFERROR(VLOOKUP($H815,'1. Set Program Names'!$B$2:$D$15,3,0)*AD815,"NA")</f>
        <v>NA</v>
      </c>
      <c r="CE815" s="80" t="str">
        <f>IFERROR(VLOOKUP($H815,'1. Set Program Names'!$B$2:$D$15,3,0)*AE815,"NA")</f>
        <v>NA</v>
      </c>
    </row>
    <row r="816" spans="1:83" x14ac:dyDescent="0.25">
      <c r="A816" s="79" t="s">
        <v>116</v>
      </c>
      <c r="B816" s="79" t="s">
        <v>88</v>
      </c>
      <c r="C816" s="79" t="s">
        <v>176</v>
      </c>
      <c r="D816" s="79" t="s">
        <v>90</v>
      </c>
      <c r="E816" s="79" t="s">
        <v>91</v>
      </c>
      <c r="F816" s="79" t="s">
        <v>90</v>
      </c>
      <c r="G816" s="79" t="s">
        <v>92</v>
      </c>
      <c r="H816" s="79" t="s">
        <v>268</v>
      </c>
      <c r="I816" s="79" t="s">
        <v>179</v>
      </c>
      <c r="J816" s="79" t="s">
        <v>180</v>
      </c>
      <c r="K816" s="79" t="s">
        <v>98</v>
      </c>
      <c r="L816" s="79">
        <v>2684</v>
      </c>
      <c r="M816" s="79">
        <v>0.32197664062426901</v>
      </c>
      <c r="N816" s="79">
        <v>0.310035778837426</v>
      </c>
      <c r="O816" s="79">
        <v>1119</v>
      </c>
      <c r="P816" s="79">
        <v>579.10793250784297</v>
      </c>
      <c r="Q816" s="79">
        <v>2.6840000000000002</v>
      </c>
      <c r="R816" s="79">
        <v>1432.5808011563199</v>
      </c>
      <c r="S816" s="79">
        <v>4046.00364167834</v>
      </c>
      <c r="T816" s="79">
        <v>30</v>
      </c>
      <c r="U816" s="79">
        <v>1</v>
      </c>
      <c r="V816" s="79">
        <f>tbl_Data_old[[#This Row],[2025 ]]*IFERROR(AVERAGEIFS('Participation Adjustment'!$C:$C,'Participation Adjustment'!$A:$A,$H816,'Participation Adjustment'!$B:$B,$I816),1)</f>
        <v>0.17565712838057301</v>
      </c>
      <c r="W816" s="79">
        <f>tbl_Data_old[[#This Row],[2026 ]]*IFERROR(AVERAGEIFS('Participation Adjustment'!$C:$C,'Participation Adjustment'!$A:$A,$H816,'Participation Adjustment'!$B:$B,$I816),1)</f>
        <v>0.243478938205999</v>
      </c>
      <c r="X816" s="79">
        <f>tbl_Data_old[[#This Row],[2027 ]]*IFERROR(AVERAGEIFS('Participation Adjustment'!$C:$C,'Participation Adjustment'!$A:$A,$H816,'Participation Adjustment'!$B:$B,$I816),1)</f>
        <v>0.319697419509202</v>
      </c>
      <c r="Y816" s="79">
        <f>tbl_Data_old[[#This Row],[2028 ]]*IFERROR(AVERAGEIFS('Participation Adjustment'!$C:$C,'Participation Adjustment'!$A:$A,$H816,'Participation Adjustment'!$B:$B,$I816),1)</f>
        <v>0.40548079213237498</v>
      </c>
      <c r="Z816" s="79">
        <f>tbl_Data_old[[#This Row],[2029 ]]*IFERROR(AVERAGEIFS('Participation Adjustment'!$C:$C,'Participation Adjustment'!$A:$A,$H816,'Participation Adjustment'!$B:$B,$I816),1)</f>
        <v>0.487597497309044</v>
      </c>
      <c r="AA816" s="79">
        <f>tbl_Data_old[[#This Row],[2030 ]]*IFERROR(AVERAGEIFS('Participation Adjustment'!$C:$C,'Participation Adjustment'!$A:$A,$H816,'Participation Adjustment'!$B:$B,$I816),1)</f>
        <v>0.56426295045279595</v>
      </c>
      <c r="AB816" s="79">
        <f>tbl_Data_old[[#This Row],[2031 ]]*IFERROR(AVERAGEIFS('Participation Adjustment'!$C:$C,'Participation Adjustment'!$A:$A,$H816,'Participation Adjustment'!$B:$B,$I816),1)</f>
        <v>0.63076499540072895</v>
      </c>
      <c r="AC816" s="79">
        <f>tbl_Data_old[[#This Row],[2032 ]]*IFERROR(AVERAGEIFS('Participation Adjustment'!$C:$C,'Participation Adjustment'!$A:$A,$H816,'Participation Adjustment'!$B:$B,$I816),1)</f>
        <v>0.68219924575222202</v>
      </c>
      <c r="AD816" s="79">
        <f>tbl_Data_old[[#This Row],[2033 ]]*IFERROR(AVERAGEIFS('Participation Adjustment'!$C:$C,'Participation Adjustment'!$A:$A,$H816,'Participation Adjustment'!$B:$B,$I816),1)</f>
        <v>0.72399039565730305</v>
      </c>
      <c r="AE816" s="79">
        <f>tbl_Data_old[[#This Row],[2034 ]]*IFERROR(AVERAGEIFS('Participation Adjustment'!$C:$C,'Participation Adjustment'!$A:$A,$H816,'Participation Adjustment'!$B:$B,$I816),1)</f>
        <v>0.75606606766475704</v>
      </c>
      <c r="AF816" s="77" t="str">
        <f t="shared" si="341"/>
        <v>NonResidential</v>
      </c>
      <c r="AG816" s="77" t="str">
        <f>tbl_Data[[#This Row],[All_Meas_Name_Append]]</f>
        <v>Energy Efficient Transformers</v>
      </c>
      <c r="AH816" s="77">
        <f>AVERAGEIFS('3. Incentive Adjustment'!G:G,'3. Incentive Adjustment'!A:A,tbl_Data[[#This Row],[Trimmed Sector]],'3. Incentive Adjustment'!B:B,tbl_Data[[#This Row],[Trimmed Measure Name]])</f>
        <v>0.56592396099637965</v>
      </c>
      <c r="AI816" s="77">
        <f>$AH816*tbl_Data[[#This Row],[2025 ]]</f>
        <v>9.9408577870383458E-2</v>
      </c>
      <c r="AJ816" s="77">
        <f>$AH816*tbl_Data[[#This Row],[2026 ]]</f>
        <v>0.13779056512873172</v>
      </c>
      <c r="AK816" s="77">
        <f>$AH816*tbl_Data[[#This Row],[2027 ]]</f>
        <v>0.18092442996896885</v>
      </c>
      <c r="AL816" s="77">
        <f>$AH816*tbl_Data[[#This Row],[2028 ]]</f>
        <v>0.22947129599150329</v>
      </c>
      <c r="AM816" s="77">
        <f>$AH816*tbl_Data[[#This Row],[2029 ]]</f>
        <v>0.27594310704905572</v>
      </c>
      <c r="AN816" s="77">
        <f>$AH816*tbl_Data[[#This Row],[2030 ]]</f>
        <v>0.31932992396375021</v>
      </c>
      <c r="AO816" s="77">
        <f>$AH816*tbl_Data[[#This Row],[2031 ]]</f>
        <v>0.35696502465504371</v>
      </c>
      <c r="AP816" s="77">
        <f>$AH816*tbl_Data[[#This Row],[2032 ]]</f>
        <v>0.38607289934484013</v>
      </c>
      <c r="AQ816" s="77">
        <f>$AH816*tbl_Data[[#This Row],[2033 ]]</f>
        <v>0.40972351243371702</v>
      </c>
      <c r="AR816" s="77">
        <f>$AH816*tbl_Data[[#This Row],[2034 ]]</f>
        <v>0.42787590378779611</v>
      </c>
      <c r="AS816" s="77">
        <f>SUM(tbl_Data[[#This Row],[Adjusted 2025]:[Adjusted 2034]])</f>
        <v>2.8235052401937901</v>
      </c>
      <c r="AT816" s="80">
        <f>AVERAGEIFS('3. Incentive Adjustment'!F:F,'3. Incentive Adjustment'!A:A,tbl_Data[[#This Row],[Trimmed Sector]],'3. Incentive Adjustment'!B:B,tbl_Data[[#This Row],[Trimmed Measure Name]])</f>
        <v>0</v>
      </c>
      <c r="AU816" s="80">
        <f>IFERROR(VLOOKUP(tbl_Data[[#This Row],[All_Meas_Name_Append]],'IRA Tax Credits'!$A$3:$D$46,4,0),0)</f>
        <v>0</v>
      </c>
      <c r="AV816" s="81">
        <f>tbl_Data[[#This Row],[Adj. per unit Incentive ($)]]/tbl_Data[[#This Row],[kWh Savings]]*tbl_Data[[#This Row],[Sum of Annuals]]</f>
        <v>0</v>
      </c>
      <c r="AW816" s="81" t="str">
        <f>IFERROR(VLOOKUP(tbl_Data[[#This Row],[Column1]],'1. Set Program Names'!$B$2:$D$15,3,0)*tbl_Data[[#This Row],[Sum of Annuals]],"")</f>
        <v/>
      </c>
      <c r="AX816" s="81">
        <f>tbl_Data[[#This Row],[per unit IRA tax ($)]]/tbl_Data[[#This Row],[kWh Savings]]*tbl_Data[[#This Row],[Sum of Annuals]]</f>
        <v>0</v>
      </c>
      <c r="AY816" s="81">
        <f>tbl_Data[[#This Row],[Avoided Costs ($/unit)]]/tbl_Data[[#This Row],[kWh Savings]]*tbl_Data[[#This Row],[Sum of Annuals]]</f>
        <v>1.5070415048680654</v>
      </c>
      <c r="AZ816" s="81">
        <f>tbl_Data[[#This Row],[Lost Revenue ($/unit)]]/tbl_Data[[#This Row],[kWh Savings]]*tbl_Data[[#This Row],[Sum of Annuals]]</f>
        <v>4.2563012235923807</v>
      </c>
      <c r="BA816" s="81">
        <f>tbl_Data[[#This Row],[Incremental Cost ($/unit)]]/tbl_Data[[#This Row],[kWh Savings]]*tbl_Data[[#This Row],[Sum of Annuals]]</f>
        <v>1.1771618344921204</v>
      </c>
      <c r="BB816" s="77">
        <f>ROUNDUP(tbl_Data[[#This Row],[Adjusted 2025]]/$L816,0)</f>
        <v>1</v>
      </c>
      <c r="BC816" s="77">
        <f>ROUNDUP(tbl_Data[[#This Row],[Adjusted 2026]]/$L816,0)</f>
        <v>1</v>
      </c>
      <c r="BD816" s="77">
        <f>ROUNDUP(tbl_Data[[#This Row],[Adjusted 2027]]/$L816,0)</f>
        <v>1</v>
      </c>
      <c r="BE816" s="77">
        <f>ROUNDUP(tbl_Data[[#This Row],[Adjusted 2028]]/$L816,0)</f>
        <v>1</v>
      </c>
      <c r="BF816" s="77">
        <f>ROUNDUP(tbl_Data[[#This Row],[Adjusted 2029]]/$L816,0)</f>
        <v>1</v>
      </c>
      <c r="BG816" s="77">
        <f>ROUNDUP(tbl_Data[[#This Row],[Adjusted 2030]]/$L816,0)</f>
        <v>1</v>
      </c>
      <c r="BH816" s="77">
        <f>ROUNDUP(tbl_Data[[#This Row],[Adjusted 2031]]/$L816,0)</f>
        <v>1</v>
      </c>
      <c r="BI816" s="77">
        <f>ROUNDUP(tbl_Data[[#This Row],[Adjusted 2032]]/$L816,0)</f>
        <v>1</v>
      </c>
      <c r="BJ816" s="77">
        <f>ROUNDUP(tbl_Data[[#This Row],[Adjusted 2033]]/$L816,0)</f>
        <v>1</v>
      </c>
      <c r="BK816" s="77">
        <f>ROUNDUP(tbl_Data[[#This Row],[Adjusted 2034]]/$L816,0)</f>
        <v>1</v>
      </c>
      <c r="BL816" s="80">
        <f t="shared" si="342"/>
        <v>0</v>
      </c>
      <c r="BM816" s="80">
        <f t="shared" si="343"/>
        <v>0</v>
      </c>
      <c r="BN816" s="80">
        <f t="shared" si="344"/>
        <v>0</v>
      </c>
      <c r="BO816" s="80">
        <f t="shared" si="345"/>
        <v>0</v>
      </c>
      <c r="BP816" s="80">
        <f t="shared" si="346"/>
        <v>0</v>
      </c>
      <c r="BQ816" s="80">
        <f t="shared" si="347"/>
        <v>0</v>
      </c>
      <c r="BR816" s="80">
        <f t="shared" si="348"/>
        <v>0</v>
      </c>
      <c r="BS816" s="80">
        <f t="shared" si="349"/>
        <v>0</v>
      </c>
      <c r="BT816" s="80">
        <f t="shared" si="350"/>
        <v>0</v>
      </c>
      <c r="BU816" s="80">
        <f t="shared" si="351"/>
        <v>0</v>
      </c>
      <c r="BV816" s="80" t="str">
        <f>IFERROR(VLOOKUP($H816,'1. Set Program Names'!$B$2:$D$15,3,0)*V816,"NA")</f>
        <v>NA</v>
      </c>
      <c r="BW816" s="80" t="str">
        <f>IFERROR(VLOOKUP($H816,'1. Set Program Names'!$B$2:$D$15,3,0)*W816,"NA")</f>
        <v>NA</v>
      </c>
      <c r="BX816" s="80" t="str">
        <f>IFERROR(VLOOKUP($H816,'1. Set Program Names'!$B$2:$D$15,3,0)*X816,"NA")</f>
        <v>NA</v>
      </c>
      <c r="BY816" s="80" t="str">
        <f>IFERROR(VLOOKUP($H816,'1. Set Program Names'!$B$2:$D$15,3,0)*Y816,"NA")</f>
        <v>NA</v>
      </c>
      <c r="BZ816" s="80" t="str">
        <f>IFERROR(VLOOKUP($H816,'1. Set Program Names'!$B$2:$D$15,3,0)*Z816,"NA")</f>
        <v>NA</v>
      </c>
      <c r="CA816" s="80" t="str">
        <f>IFERROR(VLOOKUP($H816,'1. Set Program Names'!$B$2:$D$15,3,0)*AA816,"NA")</f>
        <v>NA</v>
      </c>
      <c r="CB816" s="80" t="str">
        <f>IFERROR(VLOOKUP($H816,'1. Set Program Names'!$B$2:$D$15,3,0)*AB816,"NA")</f>
        <v>NA</v>
      </c>
      <c r="CC816" s="80" t="str">
        <f>IFERROR(VLOOKUP($H816,'1. Set Program Names'!$B$2:$D$15,3,0)*AC816,"NA")</f>
        <v>NA</v>
      </c>
      <c r="CD816" s="80" t="str">
        <f>IFERROR(VLOOKUP($H816,'1. Set Program Names'!$B$2:$D$15,3,0)*AD816,"NA")</f>
        <v>NA</v>
      </c>
      <c r="CE816" s="80" t="str">
        <f>IFERROR(VLOOKUP($H816,'1. Set Program Names'!$B$2:$D$15,3,0)*AE816,"NA")</f>
        <v>NA</v>
      </c>
    </row>
    <row r="817" spans="1:83" x14ac:dyDescent="0.25">
      <c r="A817" s="79" t="s">
        <v>116</v>
      </c>
      <c r="B817" s="79" t="s">
        <v>88</v>
      </c>
      <c r="C817" s="79" t="s">
        <v>176</v>
      </c>
      <c r="D817" s="79" t="s">
        <v>90</v>
      </c>
      <c r="E817" s="79" t="s">
        <v>91</v>
      </c>
      <c r="F817" s="79" t="s">
        <v>90</v>
      </c>
      <c r="G817" s="79" t="s">
        <v>92</v>
      </c>
      <c r="H817" s="79" t="s">
        <v>268</v>
      </c>
      <c r="I817" s="79" t="s">
        <v>186</v>
      </c>
      <c r="J817" s="79" t="s">
        <v>180</v>
      </c>
      <c r="K817" s="79" t="s">
        <v>102</v>
      </c>
      <c r="L817" s="79">
        <v>27897.5999999999</v>
      </c>
      <c r="M817" s="79">
        <v>3.34663767864367</v>
      </c>
      <c r="N817" s="79">
        <v>3.2225238985450702</v>
      </c>
      <c r="O817" s="79">
        <v>8000</v>
      </c>
      <c r="P817" s="79">
        <v>2762.04801865338</v>
      </c>
      <c r="Q817" s="79">
        <v>27.897599999999901</v>
      </c>
      <c r="R817" s="79">
        <v>11926.089110639999</v>
      </c>
      <c r="S817" s="79">
        <v>29629.215249514</v>
      </c>
      <c r="T817" s="79">
        <v>15</v>
      </c>
      <c r="U817" s="79">
        <v>1</v>
      </c>
      <c r="V817" s="79">
        <f>tbl_Data_old[[#This Row],[2025 ]]*IFERROR(AVERAGEIFS('Participation Adjustment'!$C:$C,'Participation Adjustment'!$A:$A,$H817,'Participation Adjustment'!$B:$B,$I817),1)</f>
        <v>2.8484098883790401E-2</v>
      </c>
      <c r="W817" s="79">
        <f>tbl_Data_old[[#This Row],[2026 ]]*IFERROR(AVERAGEIFS('Participation Adjustment'!$C:$C,'Participation Adjustment'!$A:$A,$H817,'Participation Adjustment'!$B:$B,$I817),1)</f>
        <v>3.2085199479661097E-2</v>
      </c>
      <c r="X817" s="79">
        <f>tbl_Data_old[[#This Row],[2027 ]]*IFERROR(AVERAGEIFS('Participation Adjustment'!$C:$C,'Participation Adjustment'!$A:$A,$H817,'Participation Adjustment'!$B:$B,$I817),1)</f>
        <v>3.56913489954859E-2</v>
      </c>
      <c r="Y817" s="79">
        <f>tbl_Data_old[[#This Row],[2028 ]]*IFERROR(AVERAGEIFS('Participation Adjustment'!$C:$C,'Participation Adjustment'!$A:$A,$H817,'Participation Adjustment'!$B:$B,$I817),1)</f>
        <v>4.0194360266771499E-2</v>
      </c>
      <c r="Z817" s="79">
        <f>tbl_Data_old[[#This Row],[2029 ]]*IFERROR(AVERAGEIFS('Participation Adjustment'!$C:$C,'Participation Adjustment'!$A:$A,$H817,'Participation Adjustment'!$B:$B,$I817),1)</f>
        <v>4.4191647932249098E-2</v>
      </c>
      <c r="AA817" s="79">
        <f>tbl_Data_old[[#This Row],[2030 ]]*IFERROR(AVERAGEIFS('Participation Adjustment'!$C:$C,'Participation Adjustment'!$A:$A,$H817,'Participation Adjustment'!$B:$B,$I817),1)</f>
        <v>4.8646703643431898E-2</v>
      </c>
      <c r="AB817" s="79">
        <f>tbl_Data_old[[#This Row],[2031 ]]*IFERROR(AVERAGEIFS('Participation Adjustment'!$C:$C,'Participation Adjustment'!$A:$A,$H817,'Participation Adjustment'!$B:$B,$I817),1)</f>
        <v>5.3491498488433903E-2</v>
      </c>
      <c r="AC817" s="79">
        <f>tbl_Data_old[[#This Row],[2032 ]]*IFERROR(AVERAGEIFS('Participation Adjustment'!$C:$C,'Participation Adjustment'!$A:$A,$H817,'Participation Adjustment'!$B:$B,$I817),1)</f>
        <v>5.8086584344033299E-2</v>
      </c>
      <c r="AD817" s="79">
        <f>tbl_Data_old[[#This Row],[2033 ]]*IFERROR(AVERAGEIFS('Participation Adjustment'!$C:$C,'Participation Adjustment'!$A:$A,$H817,'Participation Adjustment'!$B:$B,$I817),1)</f>
        <v>6.3283441130007306E-2</v>
      </c>
      <c r="AE817" s="79">
        <f>tbl_Data_old[[#This Row],[2034 ]]*IFERROR(AVERAGEIFS('Participation Adjustment'!$C:$C,'Participation Adjustment'!$A:$A,$H817,'Participation Adjustment'!$B:$B,$I817),1)</f>
        <v>6.8548618300049394E-2</v>
      </c>
      <c r="AF817" s="77" t="str">
        <f t="shared" si="341"/>
        <v>NonResidential</v>
      </c>
      <c r="AG817" s="77" t="str">
        <f>tbl_Data[[#This Row],[All_Meas_Name_Append]]</f>
        <v>Grain Bin Aeration Control System</v>
      </c>
      <c r="AH817" s="77">
        <f>AVERAGEIFS('3. Incentive Adjustment'!G:G,'3. Incentive Adjustment'!A:A,tbl_Data[[#This Row],[Trimmed Sector]],'3. Incentive Adjustment'!B:B,tbl_Data[[#This Row],[Trimmed Measure Name]])</f>
        <v>0.77010279279185057</v>
      </c>
      <c r="AI817" s="77">
        <f>$AH817*tbl_Data[[#This Row],[2025 ]]</f>
        <v>2.1935684100566222E-2</v>
      </c>
      <c r="AJ817" s="77">
        <f>$AH817*tbl_Data[[#This Row],[2026 ]]</f>
        <v>2.4708901726570642E-2</v>
      </c>
      <c r="AK817" s="77">
        <f>$AH817*tbl_Data[[#This Row],[2027 ]]</f>
        <v>2.74860075399323E-2</v>
      </c>
      <c r="AL817" s="77">
        <f>$AH817*tbl_Data[[#This Row],[2028 ]]</f>
        <v>3.0953789095922522E-2</v>
      </c>
      <c r="AM817" s="77">
        <f>$AH817*tbl_Data[[#This Row],[2029 ]]</f>
        <v>3.4032111490699242E-2</v>
      </c>
      <c r="AN817" s="77">
        <f>$AH817*tbl_Data[[#This Row],[2030 ]]</f>
        <v>3.7462962335924395E-2</v>
      </c>
      <c r="AO817" s="77">
        <f>$AH817*tbl_Data[[#This Row],[2031 ]]</f>
        <v>4.1193952376564001E-2</v>
      </c>
      <c r="AP817" s="77">
        <f>$AH817*tbl_Data[[#This Row],[2032 ]]</f>
        <v>4.473264082707943E-2</v>
      </c>
      <c r="AQ817" s="77">
        <f>$AH817*tbl_Data[[#This Row],[2033 ]]</f>
        <v>4.8734754751697293E-2</v>
      </c>
      <c r="AR817" s="77">
        <f>$AH817*tbl_Data[[#This Row],[2034 ]]</f>
        <v>5.2789482394890591E-2</v>
      </c>
      <c r="AS817" s="77">
        <f>SUM(tbl_Data[[#This Row],[Adjusted 2025]:[Adjusted 2034]])</f>
        <v>0.3640302866398466</v>
      </c>
      <c r="AT817" s="80">
        <f>AVERAGEIFS('3. Incentive Adjustment'!F:F,'3. Incentive Adjustment'!A:A,tbl_Data[[#This Row],[Trimmed Sector]],'3. Incentive Adjustment'!B:B,tbl_Data[[#This Row],[Trimmed Measure Name]])</f>
        <v>0</v>
      </c>
      <c r="AU817" s="80">
        <f>IFERROR(VLOOKUP(tbl_Data[[#This Row],[All_Meas_Name_Append]],'IRA Tax Credits'!$A$3:$D$46,4,0),0)</f>
        <v>0</v>
      </c>
      <c r="AV817" s="81">
        <f>tbl_Data[[#This Row],[Adj. per unit Incentive ($)]]/tbl_Data[[#This Row],[kWh Savings]]*tbl_Data[[#This Row],[Sum of Annuals]]</f>
        <v>0</v>
      </c>
      <c r="AW817" s="81" t="str">
        <f>IFERROR(VLOOKUP(tbl_Data[[#This Row],[Column1]],'1. Set Program Names'!$B$2:$D$15,3,0)*tbl_Data[[#This Row],[Sum of Annuals]],"")</f>
        <v/>
      </c>
      <c r="AX817" s="81">
        <f>tbl_Data[[#This Row],[per unit IRA tax ($)]]/tbl_Data[[#This Row],[kWh Savings]]*tbl_Data[[#This Row],[Sum of Annuals]]</f>
        <v>0</v>
      </c>
      <c r="AY817" s="81">
        <f>tbl_Data[[#This Row],[Avoided Costs ($/unit)]]/tbl_Data[[#This Row],[kWh Savings]]*tbl_Data[[#This Row],[Sum of Annuals]]</f>
        <v>0.1556211873938492</v>
      </c>
      <c r="AZ817" s="81">
        <f>tbl_Data[[#This Row],[Lost Revenue ($/unit)]]/tbl_Data[[#This Row],[kWh Savings]]*tbl_Data[[#This Row],[Sum of Annuals]]</f>
        <v>0.38662579290671362</v>
      </c>
      <c r="BA817" s="81">
        <f>tbl_Data[[#This Row],[Incremental Cost ($/unit)]]/tbl_Data[[#This Row],[kWh Savings]]*tbl_Data[[#This Row],[Sum of Annuals]]</f>
        <v>0.10439042401922687</v>
      </c>
      <c r="BB817" s="77">
        <f>ROUNDUP(tbl_Data[[#This Row],[Adjusted 2025]]/$L817,0)</f>
        <v>1</v>
      </c>
      <c r="BC817" s="77">
        <f>ROUNDUP(tbl_Data[[#This Row],[Adjusted 2026]]/$L817,0)</f>
        <v>1</v>
      </c>
      <c r="BD817" s="77">
        <f>ROUNDUP(tbl_Data[[#This Row],[Adjusted 2027]]/$L817,0)</f>
        <v>1</v>
      </c>
      <c r="BE817" s="77">
        <f>ROUNDUP(tbl_Data[[#This Row],[Adjusted 2028]]/$L817,0)</f>
        <v>1</v>
      </c>
      <c r="BF817" s="77">
        <f>ROUNDUP(tbl_Data[[#This Row],[Adjusted 2029]]/$L817,0)</f>
        <v>1</v>
      </c>
      <c r="BG817" s="77">
        <f>ROUNDUP(tbl_Data[[#This Row],[Adjusted 2030]]/$L817,0)</f>
        <v>1</v>
      </c>
      <c r="BH817" s="77">
        <f>ROUNDUP(tbl_Data[[#This Row],[Adjusted 2031]]/$L817,0)</f>
        <v>1</v>
      </c>
      <c r="BI817" s="77">
        <f>ROUNDUP(tbl_Data[[#This Row],[Adjusted 2032]]/$L817,0)</f>
        <v>1</v>
      </c>
      <c r="BJ817" s="77">
        <f>ROUNDUP(tbl_Data[[#This Row],[Adjusted 2033]]/$L817,0)</f>
        <v>1</v>
      </c>
      <c r="BK817" s="77">
        <f>ROUNDUP(tbl_Data[[#This Row],[Adjusted 2034]]/$L817,0)</f>
        <v>1</v>
      </c>
      <c r="BL817" s="80">
        <f t="shared" si="342"/>
        <v>0</v>
      </c>
      <c r="BM817" s="80">
        <f t="shared" si="343"/>
        <v>0</v>
      </c>
      <c r="BN817" s="80">
        <f t="shared" si="344"/>
        <v>0</v>
      </c>
      <c r="BO817" s="80">
        <f t="shared" si="345"/>
        <v>0</v>
      </c>
      <c r="BP817" s="80">
        <f t="shared" si="346"/>
        <v>0</v>
      </c>
      <c r="BQ817" s="80">
        <f t="shared" si="347"/>
        <v>0</v>
      </c>
      <c r="BR817" s="80">
        <f t="shared" si="348"/>
        <v>0</v>
      </c>
      <c r="BS817" s="80">
        <f t="shared" si="349"/>
        <v>0</v>
      </c>
      <c r="BT817" s="80">
        <f t="shared" si="350"/>
        <v>0</v>
      </c>
      <c r="BU817" s="80">
        <f t="shared" si="351"/>
        <v>0</v>
      </c>
      <c r="BV817" s="80" t="str">
        <f>IFERROR(VLOOKUP($H817,'1. Set Program Names'!$B$2:$D$15,3,0)*V817,"NA")</f>
        <v>NA</v>
      </c>
      <c r="BW817" s="80" t="str">
        <f>IFERROR(VLOOKUP($H817,'1. Set Program Names'!$B$2:$D$15,3,0)*W817,"NA")</f>
        <v>NA</v>
      </c>
      <c r="BX817" s="80" t="str">
        <f>IFERROR(VLOOKUP($H817,'1. Set Program Names'!$B$2:$D$15,3,0)*X817,"NA")</f>
        <v>NA</v>
      </c>
      <c r="BY817" s="80" t="str">
        <f>IFERROR(VLOOKUP($H817,'1. Set Program Names'!$B$2:$D$15,3,0)*Y817,"NA")</f>
        <v>NA</v>
      </c>
      <c r="BZ817" s="80" t="str">
        <f>IFERROR(VLOOKUP($H817,'1. Set Program Names'!$B$2:$D$15,3,0)*Z817,"NA")</f>
        <v>NA</v>
      </c>
      <c r="CA817" s="80" t="str">
        <f>IFERROR(VLOOKUP($H817,'1. Set Program Names'!$B$2:$D$15,3,0)*AA817,"NA")</f>
        <v>NA</v>
      </c>
      <c r="CB817" s="80" t="str">
        <f>IFERROR(VLOOKUP($H817,'1. Set Program Names'!$B$2:$D$15,3,0)*AB817,"NA")</f>
        <v>NA</v>
      </c>
      <c r="CC817" s="80" t="str">
        <f>IFERROR(VLOOKUP($H817,'1. Set Program Names'!$B$2:$D$15,3,0)*AC817,"NA")</f>
        <v>NA</v>
      </c>
      <c r="CD817" s="80" t="str">
        <f>IFERROR(VLOOKUP($H817,'1. Set Program Names'!$B$2:$D$15,3,0)*AD817,"NA")</f>
        <v>NA</v>
      </c>
      <c r="CE817" s="80" t="str">
        <f>IFERROR(VLOOKUP($H817,'1. Set Program Names'!$B$2:$D$15,3,0)*AE817,"NA")</f>
        <v>NA</v>
      </c>
    </row>
    <row r="818" spans="1:83" x14ac:dyDescent="0.25">
      <c r="A818" s="79" t="s">
        <v>116</v>
      </c>
      <c r="B818" s="79" t="s">
        <v>88</v>
      </c>
      <c r="C818" s="79" t="s">
        <v>176</v>
      </c>
      <c r="D818" s="79" t="s">
        <v>90</v>
      </c>
      <c r="E818" s="79" t="s">
        <v>91</v>
      </c>
      <c r="F818" s="79" t="s">
        <v>90</v>
      </c>
      <c r="G818" s="79" t="s">
        <v>92</v>
      </c>
      <c r="H818" s="79" t="s">
        <v>268</v>
      </c>
      <c r="I818" s="79" t="s">
        <v>181</v>
      </c>
      <c r="J818" s="79" t="s">
        <v>182</v>
      </c>
      <c r="K818" s="79" t="s">
        <v>98</v>
      </c>
      <c r="L818" s="79">
        <v>21140.159999999902</v>
      </c>
      <c r="M818" s="79">
        <v>2.4928340912459501</v>
      </c>
      <c r="N818" s="79">
        <v>2.4353939910039801</v>
      </c>
      <c r="O818" s="79">
        <v>4269.76</v>
      </c>
      <c r="P818" s="79">
        <v>17.441519984740999</v>
      </c>
      <c r="Q818" s="79">
        <v>21.140159999999899</v>
      </c>
      <c r="R818" s="79">
        <v>7174.5673333962905</v>
      </c>
      <c r="S818" s="79">
        <v>17003.9302734632</v>
      </c>
      <c r="T818" s="79">
        <v>10</v>
      </c>
      <c r="U818" s="79">
        <v>1</v>
      </c>
      <c r="V818" s="79">
        <f>tbl_Data_old[[#This Row],[2025 ]]*IFERROR(AVERAGEIFS('Participation Adjustment'!$C:$C,'Participation Adjustment'!$A:$A,$H818,'Participation Adjustment'!$B:$B,$I818),1)</f>
        <v>0.74369003741442796</v>
      </c>
      <c r="W818" s="79">
        <f>tbl_Data_old[[#This Row],[2026 ]]*IFERROR(AVERAGEIFS('Participation Adjustment'!$C:$C,'Participation Adjustment'!$A:$A,$H818,'Participation Adjustment'!$B:$B,$I818),1)</f>
        <v>0.84651702506680604</v>
      </c>
      <c r="X818" s="79">
        <f>tbl_Data_old[[#This Row],[2027 ]]*IFERROR(AVERAGEIFS('Participation Adjustment'!$C:$C,'Participation Adjustment'!$A:$A,$H818,'Participation Adjustment'!$B:$B,$I818),1)</f>
        <v>0.93629147581082195</v>
      </c>
      <c r="Y818" s="79">
        <f>tbl_Data_old[[#This Row],[2028 ]]*IFERROR(AVERAGEIFS('Participation Adjustment'!$C:$C,'Participation Adjustment'!$A:$A,$H818,'Participation Adjustment'!$B:$B,$I818),1)</f>
        <v>1.0253074488135401</v>
      </c>
      <c r="Z818" s="79">
        <f>tbl_Data_old[[#This Row],[2029 ]]*IFERROR(AVERAGEIFS('Participation Adjustment'!$C:$C,'Participation Adjustment'!$A:$A,$H818,'Participation Adjustment'!$B:$B,$I818),1)</f>
        <v>1.10252244655536</v>
      </c>
      <c r="AA818" s="79">
        <f>tbl_Data_old[[#This Row],[2030 ]]*IFERROR(AVERAGEIFS('Participation Adjustment'!$C:$C,'Participation Adjustment'!$A:$A,$H818,'Participation Adjustment'!$B:$B,$I818),1)</f>
        <v>1.1744916989557299</v>
      </c>
      <c r="AB818" s="79">
        <f>tbl_Data_old[[#This Row],[2031 ]]*IFERROR(AVERAGEIFS('Participation Adjustment'!$C:$C,'Participation Adjustment'!$A:$A,$H818,'Participation Adjustment'!$B:$B,$I818),1)</f>
        <v>1.2422431079219001</v>
      </c>
      <c r="AC818" s="79">
        <f>tbl_Data_old[[#This Row],[2032 ]]*IFERROR(AVERAGEIFS('Participation Adjustment'!$C:$C,'Participation Adjustment'!$A:$A,$H818,'Participation Adjustment'!$B:$B,$I818),1)</f>
        <v>1.3037269193400001</v>
      </c>
      <c r="AD818" s="79">
        <f>tbl_Data_old[[#This Row],[2033 ]]*IFERROR(AVERAGEIFS('Participation Adjustment'!$C:$C,'Participation Adjustment'!$A:$A,$H818,'Participation Adjustment'!$B:$B,$I818),1)</f>
        <v>1.36400356315813</v>
      </c>
      <c r="AE818" s="79">
        <f>tbl_Data_old[[#This Row],[2034 ]]*IFERROR(AVERAGEIFS('Participation Adjustment'!$C:$C,'Participation Adjustment'!$A:$A,$H818,'Participation Adjustment'!$B:$B,$I818),1)</f>
        <v>1.42115653252578</v>
      </c>
      <c r="AF818" s="77" t="str">
        <f t="shared" si="341"/>
        <v>NonResidential</v>
      </c>
      <c r="AG818" s="77" t="str">
        <f>tbl_Data[[#This Row],[All_Meas_Name_Append]]</f>
        <v>High Volume Low Speed Fan (HVLS)</v>
      </c>
      <c r="AH818" s="77">
        <f>AVERAGEIFS('3. Incentive Adjustment'!G:G,'3. Incentive Adjustment'!A:A,tbl_Data[[#This Row],[Trimmed Sector]],'3. Incentive Adjustment'!B:B,tbl_Data[[#This Row],[Trimmed Measure Name]])</f>
        <v>0.99782547587781634</v>
      </c>
      <c r="AI818" s="77">
        <f>$AH818*tbl_Data[[#This Row],[2025 ]]</f>
        <v>0.7420728654886426</v>
      </c>
      <c r="AJ818" s="77">
        <f>$AH818*tbl_Data[[#This Row],[2026 ]]</f>
        <v>0.84467625337595909</v>
      </c>
      <c r="AK818" s="77">
        <f>$AH818*tbl_Data[[#This Row],[2027 ]]</f>
        <v>0.9342554874112764</v>
      </c>
      <c r="AL818" s="77">
        <f>$AH818*tbl_Data[[#This Row],[2028 ]]</f>
        <v>1.0230778930334405</v>
      </c>
      <c r="AM818" s="77">
        <f>$AH818*tbl_Data[[#This Row],[2029 ]]</f>
        <v>1.1001249849000765</v>
      </c>
      <c r="AN818" s="77">
        <f>$AH818*tbl_Data[[#This Row],[2030 ]]</f>
        <v>1.1719377384250462</v>
      </c>
      <c r="AO818" s="77">
        <f>$AH818*tbl_Data[[#This Row],[2031 ]]</f>
        <v>1.2395418203181074</v>
      </c>
      <c r="AP818" s="77">
        <f>$AH818*tbl_Data[[#This Row],[2032 ]]</f>
        <v>1.300891933705155</v>
      </c>
      <c r="AQ818" s="77">
        <f>$AH818*tbl_Data[[#This Row],[2033 ]]</f>
        <v>1.3610375045072982</v>
      </c>
      <c r="AR818" s="77">
        <f>$AH818*tbl_Data[[#This Row],[2034 ]]</f>
        <v>1.4180661933644039</v>
      </c>
      <c r="AS818" s="77">
        <f>SUM(tbl_Data[[#This Row],[Adjusted 2025]:[Adjusted 2034]])</f>
        <v>11.135682674529406</v>
      </c>
      <c r="AT818" s="80">
        <f>AVERAGEIFS('3. Incentive Adjustment'!F:F,'3. Incentive Adjustment'!A:A,tbl_Data[[#This Row],[Trimmed Sector]],'3. Incentive Adjustment'!B:B,tbl_Data[[#This Row],[Trimmed Measure Name]])</f>
        <v>0</v>
      </c>
      <c r="AU818" s="80">
        <f>IFERROR(VLOOKUP(tbl_Data[[#This Row],[All_Meas_Name_Append]],'IRA Tax Credits'!$A$3:$D$46,4,0),0)</f>
        <v>0</v>
      </c>
      <c r="AV818" s="81">
        <f>tbl_Data[[#This Row],[Adj. per unit Incentive ($)]]/tbl_Data[[#This Row],[kWh Savings]]*tbl_Data[[#This Row],[Sum of Annuals]]</f>
        <v>0</v>
      </c>
      <c r="AW818" s="81" t="str">
        <f>IFERROR(VLOOKUP(tbl_Data[[#This Row],[Column1]],'1. Set Program Names'!$B$2:$D$15,3,0)*tbl_Data[[#This Row],[Sum of Annuals]],"")</f>
        <v/>
      </c>
      <c r="AX818" s="81">
        <f>tbl_Data[[#This Row],[per unit IRA tax ($)]]/tbl_Data[[#This Row],[kWh Savings]]*tbl_Data[[#This Row],[Sum of Annuals]]</f>
        <v>0</v>
      </c>
      <c r="AY818" s="81">
        <f>tbl_Data[[#This Row],[Avoided Costs ($/unit)]]/tbl_Data[[#This Row],[kWh Savings]]*tbl_Data[[#This Row],[Sum of Annuals]]</f>
        <v>3.7792384329989024</v>
      </c>
      <c r="AZ818" s="81">
        <f>tbl_Data[[#This Row],[Lost Revenue ($/unit)]]/tbl_Data[[#This Row],[kWh Savings]]*tbl_Data[[#This Row],[Sum of Annuals]]</f>
        <v>8.95690343616657</v>
      </c>
      <c r="BA818" s="81">
        <f>tbl_Data[[#This Row],[Incremental Cost ($/unit)]]/tbl_Data[[#This Row],[kWh Savings]]*tbl_Data[[#This Row],[Sum of Annuals]]</f>
        <v>2.2491169629936056</v>
      </c>
      <c r="BB818" s="77">
        <f>ROUNDUP(tbl_Data[[#This Row],[Adjusted 2025]]/$L818,0)</f>
        <v>1</v>
      </c>
      <c r="BC818" s="77">
        <f>ROUNDUP(tbl_Data[[#This Row],[Adjusted 2026]]/$L818,0)</f>
        <v>1</v>
      </c>
      <c r="BD818" s="77">
        <f>ROUNDUP(tbl_Data[[#This Row],[Adjusted 2027]]/$L818,0)</f>
        <v>1</v>
      </c>
      <c r="BE818" s="77">
        <f>ROUNDUP(tbl_Data[[#This Row],[Adjusted 2028]]/$L818,0)</f>
        <v>1</v>
      </c>
      <c r="BF818" s="77">
        <f>ROUNDUP(tbl_Data[[#This Row],[Adjusted 2029]]/$L818,0)</f>
        <v>1</v>
      </c>
      <c r="BG818" s="77">
        <f>ROUNDUP(tbl_Data[[#This Row],[Adjusted 2030]]/$L818,0)</f>
        <v>1</v>
      </c>
      <c r="BH818" s="77">
        <f>ROUNDUP(tbl_Data[[#This Row],[Adjusted 2031]]/$L818,0)</f>
        <v>1</v>
      </c>
      <c r="BI818" s="77">
        <f>ROUNDUP(tbl_Data[[#This Row],[Adjusted 2032]]/$L818,0)</f>
        <v>1</v>
      </c>
      <c r="BJ818" s="77">
        <f>ROUNDUP(tbl_Data[[#This Row],[Adjusted 2033]]/$L818,0)</f>
        <v>1</v>
      </c>
      <c r="BK818" s="77">
        <f>ROUNDUP(tbl_Data[[#This Row],[Adjusted 2034]]/$L818,0)</f>
        <v>1</v>
      </c>
      <c r="BL818" s="80">
        <f t="shared" si="342"/>
        <v>0</v>
      </c>
      <c r="BM818" s="80">
        <f t="shared" si="343"/>
        <v>0</v>
      </c>
      <c r="BN818" s="80">
        <f t="shared" si="344"/>
        <v>0</v>
      </c>
      <c r="BO818" s="80">
        <f t="shared" si="345"/>
        <v>0</v>
      </c>
      <c r="BP818" s="80">
        <f t="shared" si="346"/>
        <v>0</v>
      </c>
      <c r="BQ818" s="80">
        <f t="shared" si="347"/>
        <v>0</v>
      </c>
      <c r="BR818" s="80">
        <f t="shared" si="348"/>
        <v>0</v>
      </c>
      <c r="BS818" s="80">
        <f t="shared" si="349"/>
        <v>0</v>
      </c>
      <c r="BT818" s="80">
        <f t="shared" si="350"/>
        <v>0</v>
      </c>
      <c r="BU818" s="80">
        <f t="shared" si="351"/>
        <v>0</v>
      </c>
      <c r="BV818" s="80" t="str">
        <f>IFERROR(VLOOKUP($H818,'1. Set Program Names'!$B$2:$D$15,3,0)*V818,"NA")</f>
        <v>NA</v>
      </c>
      <c r="BW818" s="80" t="str">
        <f>IFERROR(VLOOKUP($H818,'1. Set Program Names'!$B$2:$D$15,3,0)*W818,"NA")</f>
        <v>NA</v>
      </c>
      <c r="BX818" s="80" t="str">
        <f>IFERROR(VLOOKUP($H818,'1. Set Program Names'!$B$2:$D$15,3,0)*X818,"NA")</f>
        <v>NA</v>
      </c>
      <c r="BY818" s="80" t="str">
        <f>IFERROR(VLOOKUP($H818,'1. Set Program Names'!$B$2:$D$15,3,0)*Y818,"NA")</f>
        <v>NA</v>
      </c>
      <c r="BZ818" s="80" t="str">
        <f>IFERROR(VLOOKUP($H818,'1. Set Program Names'!$B$2:$D$15,3,0)*Z818,"NA")</f>
        <v>NA</v>
      </c>
      <c r="CA818" s="80" t="str">
        <f>IFERROR(VLOOKUP($H818,'1. Set Program Names'!$B$2:$D$15,3,0)*AA818,"NA")</f>
        <v>NA</v>
      </c>
      <c r="CB818" s="80" t="str">
        <f>IFERROR(VLOOKUP($H818,'1. Set Program Names'!$B$2:$D$15,3,0)*AB818,"NA")</f>
        <v>NA</v>
      </c>
      <c r="CC818" s="80" t="str">
        <f>IFERROR(VLOOKUP($H818,'1. Set Program Names'!$B$2:$D$15,3,0)*AC818,"NA")</f>
        <v>NA</v>
      </c>
      <c r="CD818" s="80" t="str">
        <f>IFERROR(VLOOKUP($H818,'1. Set Program Names'!$B$2:$D$15,3,0)*AD818,"NA")</f>
        <v>NA</v>
      </c>
      <c r="CE818" s="80" t="str">
        <f>IFERROR(VLOOKUP($H818,'1. Set Program Names'!$B$2:$D$15,3,0)*AE818,"NA")</f>
        <v>NA</v>
      </c>
    </row>
    <row r="819" spans="1:83" x14ac:dyDescent="0.25">
      <c r="A819" s="79" t="s">
        <v>116</v>
      </c>
      <c r="B819" s="79" t="s">
        <v>88</v>
      </c>
      <c r="C819" s="79" t="s">
        <v>176</v>
      </c>
      <c r="D819" s="79" t="s">
        <v>90</v>
      </c>
      <c r="E819" s="79" t="s">
        <v>91</v>
      </c>
      <c r="F819" s="79" t="s">
        <v>90</v>
      </c>
      <c r="G819" s="79" t="s">
        <v>92</v>
      </c>
      <c r="H819" s="79" t="s">
        <v>268</v>
      </c>
      <c r="I819" s="79" t="s">
        <v>183</v>
      </c>
      <c r="J819" s="79" t="s">
        <v>178</v>
      </c>
      <c r="K819" s="79" t="s">
        <v>130</v>
      </c>
      <c r="L819" s="79">
        <v>113444.97999999901</v>
      </c>
      <c r="M819" s="79">
        <v>13.5911727914499</v>
      </c>
      <c r="N819" s="79">
        <v>13.0925103405659</v>
      </c>
      <c r="O819" s="79">
        <v>42343.199999999997</v>
      </c>
      <c r="P819" s="79">
        <v>19818.792281260001</v>
      </c>
      <c r="Q819" s="79">
        <v>113.44497999999901</v>
      </c>
      <c r="R819" s="79">
        <v>54449.419529642699</v>
      </c>
      <c r="S819" s="79">
        <v>142371.22131797599</v>
      </c>
      <c r="T819" s="79">
        <v>20</v>
      </c>
      <c r="U819" s="79">
        <v>1</v>
      </c>
      <c r="V819" s="79">
        <f>tbl_Data_old[[#This Row],[2025 ]]*IFERROR(AVERAGEIFS('Participation Adjustment'!$C:$C,'Participation Adjustment'!$A:$A,$H819,'Participation Adjustment'!$B:$B,$I819),1)</f>
        <v>8.9262230922656796E-2</v>
      </c>
      <c r="W819" s="79">
        <f>tbl_Data_old[[#This Row],[2026 ]]*IFERROR(AVERAGEIFS('Participation Adjustment'!$C:$C,'Participation Adjustment'!$A:$A,$H819,'Participation Adjustment'!$B:$B,$I819),1)</f>
        <v>8.7639370097715705E-2</v>
      </c>
      <c r="X819" s="79">
        <f>tbl_Data_old[[#This Row],[2027 ]]*IFERROR(AVERAGEIFS('Participation Adjustment'!$C:$C,'Participation Adjustment'!$A:$A,$H819,'Participation Adjustment'!$B:$B,$I819),1)</f>
        <v>8.5249093189037006E-2</v>
      </c>
      <c r="Y819" s="79">
        <f>tbl_Data_old[[#This Row],[2028 ]]*IFERROR(AVERAGEIFS('Participation Adjustment'!$C:$C,'Participation Adjustment'!$A:$A,$H819,'Participation Adjustment'!$B:$B,$I819),1)</f>
        <v>8.2812657164757497E-2</v>
      </c>
      <c r="Z819" s="79">
        <f>tbl_Data_old[[#This Row],[2029 ]]*IFERROR(AVERAGEIFS('Participation Adjustment'!$C:$C,'Participation Adjustment'!$A:$A,$H819,'Participation Adjustment'!$B:$B,$I819),1)</f>
        <v>8.0481372840849996E-2</v>
      </c>
      <c r="AA819" s="79">
        <f>tbl_Data_old[[#This Row],[2030 ]]*IFERROR(AVERAGEIFS('Participation Adjustment'!$C:$C,'Participation Adjustment'!$A:$A,$H819,'Participation Adjustment'!$B:$B,$I819),1)</f>
        <v>7.7946143286643094E-2</v>
      </c>
      <c r="AB819" s="79">
        <f>tbl_Data_old[[#This Row],[2031 ]]*IFERROR(AVERAGEIFS('Participation Adjustment'!$C:$C,'Participation Adjustment'!$A:$A,$H819,'Participation Adjustment'!$B:$B,$I819),1)</f>
        <v>7.5381737365890794E-2</v>
      </c>
      <c r="AC819" s="79">
        <f>tbl_Data_old[[#This Row],[2032 ]]*IFERROR(AVERAGEIFS('Participation Adjustment'!$C:$C,'Participation Adjustment'!$A:$A,$H819,'Participation Adjustment'!$B:$B,$I819),1)</f>
        <v>7.2963873300498597E-2</v>
      </c>
      <c r="AD819" s="79">
        <f>tbl_Data_old[[#This Row],[2033 ]]*IFERROR(AVERAGEIFS('Participation Adjustment'!$C:$C,'Participation Adjustment'!$A:$A,$H819,'Participation Adjustment'!$B:$B,$I819),1)</f>
        <v>7.0539349560611503E-2</v>
      </c>
      <c r="AE819" s="79">
        <f>tbl_Data_old[[#This Row],[2034 ]]*IFERROR(AVERAGEIFS('Participation Adjustment'!$C:$C,'Participation Adjustment'!$A:$A,$H819,'Participation Adjustment'!$B:$B,$I819),1)</f>
        <v>6.8195208356464601E-2</v>
      </c>
      <c r="AF819" s="77" t="str">
        <f t="shared" si="341"/>
        <v>NonResidential</v>
      </c>
      <c r="AG819" s="77" t="str">
        <f>tbl_Data[[#This Row],[All_Meas_Name_Append]]</f>
        <v>Industrial Duct Sealing</v>
      </c>
      <c r="AH819" s="77">
        <f>AVERAGEIFS('3. Incentive Adjustment'!G:G,'3. Incentive Adjustment'!A:A,tbl_Data[[#This Row],[Trimmed Sector]],'3. Incentive Adjustment'!B:B,tbl_Data[[#This Row],[Trimmed Measure Name]])</f>
        <v>0.63068496474049041</v>
      </c>
      <c r="AI819" s="77">
        <f>$AH819*tbl_Data[[#This Row],[2025 ]]</f>
        <v>5.6296346962113317E-2</v>
      </c>
      <c r="AJ819" s="77">
        <f>$AH819*tbl_Data[[#This Row],[2026 ]]</f>
        <v>5.5272833039956622E-2</v>
      </c>
      <c r="AK819" s="77">
        <f>$AH819*tbl_Data[[#This Row],[2027 ]]</f>
        <v>5.3765321332086585E-2</v>
      </c>
      <c r="AL819" s="77">
        <f>$AH819*tbl_Data[[#This Row],[2028 ]]</f>
        <v>5.2228697764021399E-2</v>
      </c>
      <c r="AM819" s="77">
        <f>$AH819*tbl_Data[[#This Row],[2029 ]]</f>
        <v>5.0758391792397745E-2</v>
      </c>
      <c r="AN819" s="77">
        <f>$AH819*tbl_Data[[#This Row],[2030 ]]</f>
        <v>4.9159460630393711E-2</v>
      </c>
      <c r="AO819" s="77">
        <f>$AH819*tbl_Data[[#This Row],[2031 ]]</f>
        <v>4.7542128372683741E-2</v>
      </c>
      <c r="AP819" s="77">
        <f>$AH819*tbl_Data[[#This Row],[2032 ]]</f>
        <v>4.6017217859854569E-2</v>
      </c>
      <c r="AQ819" s="77">
        <f>$AH819*tbl_Data[[#This Row],[2033 ]]</f>
        <v>4.448810719045139E-2</v>
      </c>
      <c r="AR819" s="77">
        <f>$AH819*tbl_Data[[#This Row],[2034 ]]</f>
        <v>4.3009692577767274E-2</v>
      </c>
      <c r="AS819" s="77">
        <f>SUM(tbl_Data[[#This Row],[Adjusted 2025]:[Adjusted 2034]])</f>
        <v>0.49853819752172635</v>
      </c>
      <c r="AT819" s="80">
        <f>AVERAGEIFS('3. Incentive Adjustment'!F:F,'3. Incentive Adjustment'!A:A,tbl_Data[[#This Row],[Trimmed Sector]],'3. Incentive Adjustment'!B:B,tbl_Data[[#This Row],[Trimmed Measure Name]])</f>
        <v>0</v>
      </c>
      <c r="AU819" s="80">
        <f>IFERROR(VLOOKUP(tbl_Data[[#This Row],[All_Meas_Name_Append]],'IRA Tax Credits'!$A$3:$D$46,4,0),0)</f>
        <v>0</v>
      </c>
      <c r="AV819" s="81">
        <f>tbl_Data[[#This Row],[Adj. per unit Incentive ($)]]/tbl_Data[[#This Row],[kWh Savings]]*tbl_Data[[#This Row],[Sum of Annuals]]</f>
        <v>0</v>
      </c>
      <c r="AW819" s="81" t="str">
        <f>IFERROR(VLOOKUP(tbl_Data[[#This Row],[Column1]],'1. Set Program Names'!$B$2:$D$15,3,0)*tbl_Data[[#This Row],[Sum of Annuals]],"")</f>
        <v/>
      </c>
      <c r="AX819" s="81">
        <f>tbl_Data[[#This Row],[per unit IRA tax ($)]]/tbl_Data[[#This Row],[kWh Savings]]*tbl_Data[[#This Row],[Sum of Annuals]]</f>
        <v>0</v>
      </c>
      <c r="AY819" s="81">
        <f>tbl_Data[[#This Row],[Avoided Costs ($/unit)]]/tbl_Data[[#This Row],[kWh Savings]]*tbl_Data[[#This Row],[Sum of Annuals]]</f>
        <v>0.23928000576502012</v>
      </c>
      <c r="AZ819" s="81">
        <f>tbl_Data[[#This Row],[Lost Revenue ($/unit)]]/tbl_Data[[#This Row],[kWh Savings]]*tbl_Data[[#This Row],[Sum of Annuals]]</f>
        <v>0.62565564430291365</v>
      </c>
      <c r="BA819" s="81">
        <f>tbl_Data[[#This Row],[Incremental Cost ($/unit)]]/tbl_Data[[#This Row],[kWh Savings]]*tbl_Data[[#This Row],[Sum of Annuals]]</f>
        <v>0.18607877232912506</v>
      </c>
      <c r="BB819" s="77">
        <f>ROUNDUP(tbl_Data[[#This Row],[Adjusted 2025]]/$L819,0)</f>
        <v>1</v>
      </c>
      <c r="BC819" s="77">
        <f>ROUNDUP(tbl_Data[[#This Row],[Adjusted 2026]]/$L819,0)</f>
        <v>1</v>
      </c>
      <c r="BD819" s="77">
        <f>ROUNDUP(tbl_Data[[#This Row],[Adjusted 2027]]/$L819,0)</f>
        <v>1</v>
      </c>
      <c r="BE819" s="77">
        <f>ROUNDUP(tbl_Data[[#This Row],[Adjusted 2028]]/$L819,0)</f>
        <v>1</v>
      </c>
      <c r="BF819" s="77">
        <f>ROUNDUP(tbl_Data[[#This Row],[Adjusted 2029]]/$L819,0)</f>
        <v>1</v>
      </c>
      <c r="BG819" s="77">
        <f>ROUNDUP(tbl_Data[[#This Row],[Adjusted 2030]]/$L819,0)</f>
        <v>1</v>
      </c>
      <c r="BH819" s="77">
        <f>ROUNDUP(tbl_Data[[#This Row],[Adjusted 2031]]/$L819,0)</f>
        <v>1</v>
      </c>
      <c r="BI819" s="77">
        <f>ROUNDUP(tbl_Data[[#This Row],[Adjusted 2032]]/$L819,0)</f>
        <v>1</v>
      </c>
      <c r="BJ819" s="77">
        <f>ROUNDUP(tbl_Data[[#This Row],[Adjusted 2033]]/$L819,0)</f>
        <v>1</v>
      </c>
      <c r="BK819" s="77">
        <f>ROUNDUP(tbl_Data[[#This Row],[Adjusted 2034]]/$L819,0)</f>
        <v>1</v>
      </c>
      <c r="BL819" s="80">
        <f t="shared" si="342"/>
        <v>0</v>
      </c>
      <c r="BM819" s="80">
        <f t="shared" si="343"/>
        <v>0</v>
      </c>
      <c r="BN819" s="80">
        <f t="shared" si="344"/>
        <v>0</v>
      </c>
      <c r="BO819" s="80">
        <f t="shared" si="345"/>
        <v>0</v>
      </c>
      <c r="BP819" s="80">
        <f t="shared" si="346"/>
        <v>0</v>
      </c>
      <c r="BQ819" s="80">
        <f t="shared" si="347"/>
        <v>0</v>
      </c>
      <c r="BR819" s="80">
        <f t="shared" si="348"/>
        <v>0</v>
      </c>
      <c r="BS819" s="80">
        <f t="shared" si="349"/>
        <v>0</v>
      </c>
      <c r="BT819" s="80">
        <f t="shared" si="350"/>
        <v>0</v>
      </c>
      <c r="BU819" s="80">
        <f t="shared" si="351"/>
        <v>0</v>
      </c>
      <c r="BV819" s="80" t="str">
        <f>IFERROR(VLOOKUP($H819,'1. Set Program Names'!$B$2:$D$15,3,0)*V819,"NA")</f>
        <v>NA</v>
      </c>
      <c r="BW819" s="80" t="str">
        <f>IFERROR(VLOOKUP($H819,'1. Set Program Names'!$B$2:$D$15,3,0)*W819,"NA")</f>
        <v>NA</v>
      </c>
      <c r="BX819" s="80" t="str">
        <f>IFERROR(VLOOKUP($H819,'1. Set Program Names'!$B$2:$D$15,3,0)*X819,"NA")</f>
        <v>NA</v>
      </c>
      <c r="BY819" s="80" t="str">
        <f>IFERROR(VLOOKUP($H819,'1. Set Program Names'!$B$2:$D$15,3,0)*Y819,"NA")</f>
        <v>NA</v>
      </c>
      <c r="BZ819" s="80" t="str">
        <f>IFERROR(VLOOKUP($H819,'1. Set Program Names'!$B$2:$D$15,3,0)*Z819,"NA")</f>
        <v>NA</v>
      </c>
      <c r="CA819" s="80" t="str">
        <f>IFERROR(VLOOKUP($H819,'1. Set Program Names'!$B$2:$D$15,3,0)*AA819,"NA")</f>
        <v>NA</v>
      </c>
      <c r="CB819" s="80" t="str">
        <f>IFERROR(VLOOKUP($H819,'1. Set Program Names'!$B$2:$D$15,3,0)*AB819,"NA")</f>
        <v>NA</v>
      </c>
      <c r="CC819" s="80" t="str">
        <f>IFERROR(VLOOKUP($H819,'1. Set Program Names'!$B$2:$D$15,3,0)*AC819,"NA")</f>
        <v>NA</v>
      </c>
      <c r="CD819" s="80" t="str">
        <f>IFERROR(VLOOKUP($H819,'1. Set Program Names'!$B$2:$D$15,3,0)*AD819,"NA")</f>
        <v>NA</v>
      </c>
      <c r="CE819" s="80" t="str">
        <f>IFERROR(VLOOKUP($H819,'1. Set Program Names'!$B$2:$D$15,3,0)*AE819,"NA")</f>
        <v>NA</v>
      </c>
    </row>
    <row r="820" spans="1:83" x14ac:dyDescent="0.25">
      <c r="A820" s="79" t="s">
        <v>116</v>
      </c>
      <c r="B820" s="79" t="s">
        <v>88</v>
      </c>
      <c r="C820" s="79" t="s">
        <v>176</v>
      </c>
      <c r="D820" s="79" t="s">
        <v>90</v>
      </c>
      <c r="E820" s="79" t="s">
        <v>91</v>
      </c>
      <c r="F820" s="79" t="s">
        <v>90</v>
      </c>
      <c r="G820" s="79" t="s">
        <v>92</v>
      </c>
      <c r="H820" s="79" t="s">
        <v>268</v>
      </c>
      <c r="I820" s="79" t="s">
        <v>270</v>
      </c>
      <c r="J820" s="79" t="s">
        <v>191</v>
      </c>
      <c r="K820" s="79" t="s">
        <v>98</v>
      </c>
      <c r="L820" s="79">
        <v>2628</v>
      </c>
      <c r="M820" s="79">
        <v>0.31001938633530801</v>
      </c>
      <c r="N820" s="79">
        <v>0.30291717485841702</v>
      </c>
      <c r="O820" s="79">
        <v>810.229999999999</v>
      </c>
      <c r="P820" s="79">
        <v>281.60244658368498</v>
      </c>
      <c r="Q820" s="79">
        <v>2.6280000000000001</v>
      </c>
      <c r="R820" s="79">
        <v>891.847172411815</v>
      </c>
      <c r="S820" s="79">
        <v>2113.8122303076898</v>
      </c>
      <c r="T820" s="79">
        <v>10</v>
      </c>
      <c r="U820" s="79">
        <v>1</v>
      </c>
      <c r="V820" s="79">
        <f>tbl_Data_old[[#This Row],[2025 ]]*IFERROR(AVERAGEIFS('Participation Adjustment'!$C:$C,'Participation Adjustment'!$A:$A,$H820,'Participation Adjustment'!$B:$B,$I820),1)</f>
        <v>2.0457529843032298</v>
      </c>
      <c r="W820" s="79">
        <f>tbl_Data_old[[#This Row],[2026 ]]*IFERROR(AVERAGEIFS('Participation Adjustment'!$C:$C,'Participation Adjustment'!$A:$A,$H820,'Participation Adjustment'!$B:$B,$I820),1)</f>
        <v>2.8356662388650902</v>
      </c>
      <c r="X820" s="79">
        <f>tbl_Data_old[[#This Row],[2027 ]]*IFERROR(AVERAGEIFS('Participation Adjustment'!$C:$C,'Participation Adjustment'!$A:$A,$H820,'Participation Adjustment'!$B:$B,$I820),1)</f>
        <v>3.7239847668584001</v>
      </c>
      <c r="Y820" s="79">
        <f>tbl_Data_old[[#This Row],[2028 ]]*IFERROR(AVERAGEIFS('Participation Adjustment'!$C:$C,'Participation Adjustment'!$A:$A,$H820,'Participation Adjustment'!$B:$B,$I820),1)</f>
        <v>4.7069948788837603</v>
      </c>
      <c r="Z820" s="79">
        <f>tbl_Data_old[[#This Row],[2029 ]]*IFERROR(AVERAGEIFS('Participation Adjustment'!$C:$C,'Participation Adjustment'!$A:$A,$H820,'Participation Adjustment'!$B:$B,$I820),1)</f>
        <v>5.6676455223790798</v>
      </c>
      <c r="AA820" s="79">
        <f>tbl_Data_old[[#This Row],[2030 ]]*IFERROR(AVERAGEIFS('Participation Adjustment'!$C:$C,'Participation Adjustment'!$A:$A,$H820,'Participation Adjustment'!$B:$B,$I820),1)</f>
        <v>6.5560365402137597</v>
      </c>
      <c r="AB820" s="79">
        <f>tbl_Data_old[[#This Row],[2031 ]]*IFERROR(AVERAGEIFS('Participation Adjustment'!$C:$C,'Participation Adjustment'!$A:$A,$H820,'Participation Adjustment'!$B:$B,$I820),1)</f>
        <v>7.3200750762774902</v>
      </c>
      <c r="AC820" s="79">
        <f>tbl_Data_old[[#This Row],[2032 ]]*IFERROR(AVERAGEIFS('Participation Adjustment'!$C:$C,'Participation Adjustment'!$A:$A,$H820,'Participation Adjustment'!$B:$B,$I820),1)</f>
        <v>7.9233094090454701</v>
      </c>
      <c r="AD820" s="79">
        <f>tbl_Data_old[[#This Row],[2033 ]]*IFERROR(AVERAGEIFS('Participation Adjustment'!$C:$C,'Participation Adjustment'!$A:$A,$H820,'Participation Adjustment'!$B:$B,$I820),1)</f>
        <v>8.4013198805883906</v>
      </c>
      <c r="AE820" s="79">
        <f>tbl_Data_old[[#This Row],[2034 ]]*IFERROR(AVERAGEIFS('Participation Adjustment'!$C:$C,'Participation Adjustment'!$A:$A,$H820,'Participation Adjustment'!$B:$B,$I820),1)</f>
        <v>8.7682129348036995</v>
      </c>
      <c r="AF820" s="77" t="str">
        <f t="shared" si="341"/>
        <v>NonResidential</v>
      </c>
      <c r="AG820" s="77" t="str">
        <f>tbl_Data[[#This Row],[All_Meas_Name_Append]]</f>
        <v>Low Energy Livestock Waterer</v>
      </c>
      <c r="AH820" s="77">
        <f>AVERAGEIFS('3. Incentive Adjustment'!G:G,'3. Incentive Adjustment'!A:A,tbl_Data[[#This Row],[Trimmed Sector]],'3. Incentive Adjustment'!B:B,tbl_Data[[#This Row],[Trimmed Measure Name]])</f>
        <v>0.7537232854794027</v>
      </c>
      <c r="AI820" s="77">
        <f>$AH820*tbl_Data[[#This Row],[2025 ]]</f>
        <v>1.5419316606083233</v>
      </c>
      <c r="AJ820" s="77">
        <f>$AH820*tbl_Data[[#This Row],[2026 ]]</f>
        <v>2.1373076740804167</v>
      </c>
      <c r="AK820" s="77">
        <f>$AH820*tbl_Data[[#This Row],[2027 ]]</f>
        <v>2.8068540335517609</v>
      </c>
      <c r="AL820" s="77">
        <f>$AH820*tbl_Data[[#This Row],[2028 ]]</f>
        <v>3.5477716448469909</v>
      </c>
      <c r="AM820" s="77">
        <f>$AH820*tbl_Data[[#This Row],[2029 ]]</f>
        <v>4.2718364040601857</v>
      </c>
      <c r="AN820" s="77">
        <f>$AH820*tbl_Data[[#This Row],[2030 ]]</f>
        <v>4.9414374008129309</v>
      </c>
      <c r="AO820" s="77">
        <f>$AH820*tbl_Data[[#This Row],[2031 ]]</f>
        <v>5.5173110364477589</v>
      </c>
      <c r="AP820" s="77">
        <f>$AH820*tbl_Data[[#This Row],[2032 ]]</f>
        <v>5.9719827996556161</v>
      </c>
      <c r="AQ820" s="77">
        <f>$AH820*tbl_Data[[#This Row],[2033 ]]</f>
        <v>6.3322704227605051</v>
      </c>
      <c r="AR820" s="77">
        <f>$AH820*tbl_Data[[#This Row],[2034 ]]</f>
        <v>6.6088062610032399</v>
      </c>
      <c r="AS820" s="77">
        <f>SUM(tbl_Data[[#This Row],[Adjusted 2025]:[Adjusted 2034]])</f>
        <v>43.677509337827729</v>
      </c>
      <c r="AT820" s="80">
        <f>AVERAGEIFS('3. Incentive Adjustment'!F:F,'3. Incentive Adjustment'!A:A,tbl_Data[[#This Row],[Trimmed Sector]],'3. Incentive Adjustment'!B:B,tbl_Data[[#This Row],[Trimmed Measure Name]])</f>
        <v>0</v>
      </c>
      <c r="AU820" s="80">
        <f>IFERROR(VLOOKUP(tbl_Data[[#This Row],[All_Meas_Name_Append]],'IRA Tax Credits'!$A$3:$D$46,4,0),0)</f>
        <v>0</v>
      </c>
      <c r="AV820" s="81">
        <f>tbl_Data[[#This Row],[Adj. per unit Incentive ($)]]/tbl_Data[[#This Row],[kWh Savings]]*tbl_Data[[#This Row],[Sum of Annuals]]</f>
        <v>0</v>
      </c>
      <c r="AW820" s="81" t="str">
        <f>IFERROR(VLOOKUP(tbl_Data[[#This Row],[Column1]],'1. Set Program Names'!$B$2:$D$15,3,0)*tbl_Data[[#This Row],[Sum of Annuals]],"")</f>
        <v/>
      </c>
      <c r="AX820" s="81">
        <f>tbl_Data[[#This Row],[per unit IRA tax ($)]]/tbl_Data[[#This Row],[kWh Savings]]*tbl_Data[[#This Row],[Sum of Annuals]]</f>
        <v>0</v>
      </c>
      <c r="AY820" s="81">
        <f>tbl_Data[[#This Row],[Avoided Costs ($/unit)]]/tbl_Data[[#This Row],[kWh Savings]]*tbl_Data[[#This Row],[Sum of Annuals]]</f>
        <v>14.822550685286265</v>
      </c>
      <c r="AZ820" s="81">
        <f>tbl_Data[[#This Row],[Lost Revenue ($/unit)]]/tbl_Data[[#This Row],[kWh Savings]]*tbl_Data[[#This Row],[Sum of Annuals]]</f>
        <v>35.131679386483476</v>
      </c>
      <c r="BA820" s="81">
        <f>tbl_Data[[#This Row],[Incremental Cost ($/unit)]]/tbl_Data[[#This Row],[kWh Savings]]*tbl_Data[[#This Row],[Sum of Annuals]]</f>
        <v>13.466068641852402</v>
      </c>
      <c r="BB820" s="77">
        <f>ROUNDUP(tbl_Data[[#This Row],[Adjusted 2025]]/$L820,0)</f>
        <v>1</v>
      </c>
      <c r="BC820" s="77">
        <f>ROUNDUP(tbl_Data[[#This Row],[Adjusted 2026]]/$L820,0)</f>
        <v>1</v>
      </c>
      <c r="BD820" s="77">
        <f>ROUNDUP(tbl_Data[[#This Row],[Adjusted 2027]]/$L820,0)</f>
        <v>1</v>
      </c>
      <c r="BE820" s="77">
        <f>ROUNDUP(tbl_Data[[#This Row],[Adjusted 2028]]/$L820,0)</f>
        <v>1</v>
      </c>
      <c r="BF820" s="77">
        <f>ROUNDUP(tbl_Data[[#This Row],[Adjusted 2029]]/$L820,0)</f>
        <v>1</v>
      </c>
      <c r="BG820" s="77">
        <f>ROUNDUP(tbl_Data[[#This Row],[Adjusted 2030]]/$L820,0)</f>
        <v>1</v>
      </c>
      <c r="BH820" s="77">
        <f>ROUNDUP(tbl_Data[[#This Row],[Adjusted 2031]]/$L820,0)</f>
        <v>1</v>
      </c>
      <c r="BI820" s="77">
        <f>ROUNDUP(tbl_Data[[#This Row],[Adjusted 2032]]/$L820,0)</f>
        <v>1</v>
      </c>
      <c r="BJ820" s="77">
        <f>ROUNDUP(tbl_Data[[#This Row],[Adjusted 2033]]/$L820,0)</f>
        <v>1</v>
      </c>
      <c r="BK820" s="77">
        <f>ROUNDUP(tbl_Data[[#This Row],[Adjusted 2034]]/$L820,0)</f>
        <v>1</v>
      </c>
      <c r="BL820" s="80">
        <f t="shared" si="342"/>
        <v>0</v>
      </c>
      <c r="BM820" s="80">
        <f t="shared" si="343"/>
        <v>0</v>
      </c>
      <c r="BN820" s="80">
        <f t="shared" si="344"/>
        <v>0</v>
      </c>
      <c r="BO820" s="80">
        <f t="shared" si="345"/>
        <v>0</v>
      </c>
      <c r="BP820" s="80">
        <f t="shared" si="346"/>
        <v>0</v>
      </c>
      <c r="BQ820" s="80">
        <f t="shared" si="347"/>
        <v>0</v>
      </c>
      <c r="BR820" s="80">
        <f t="shared" si="348"/>
        <v>0</v>
      </c>
      <c r="BS820" s="80">
        <f t="shared" si="349"/>
        <v>0</v>
      </c>
      <c r="BT820" s="80">
        <f t="shared" si="350"/>
        <v>0</v>
      </c>
      <c r="BU820" s="80">
        <f t="shared" si="351"/>
        <v>0</v>
      </c>
      <c r="BV820" s="80" t="str">
        <f>IFERROR(VLOOKUP($H820,'1. Set Program Names'!$B$2:$D$15,3,0)*V820,"NA")</f>
        <v>NA</v>
      </c>
      <c r="BW820" s="80" t="str">
        <f>IFERROR(VLOOKUP($H820,'1. Set Program Names'!$B$2:$D$15,3,0)*W820,"NA")</f>
        <v>NA</v>
      </c>
      <c r="BX820" s="80" t="str">
        <f>IFERROR(VLOOKUP($H820,'1. Set Program Names'!$B$2:$D$15,3,0)*X820,"NA")</f>
        <v>NA</v>
      </c>
      <c r="BY820" s="80" t="str">
        <f>IFERROR(VLOOKUP($H820,'1. Set Program Names'!$B$2:$D$15,3,0)*Y820,"NA")</f>
        <v>NA</v>
      </c>
      <c r="BZ820" s="80" t="str">
        <f>IFERROR(VLOOKUP($H820,'1. Set Program Names'!$B$2:$D$15,3,0)*Z820,"NA")</f>
        <v>NA</v>
      </c>
      <c r="CA820" s="80" t="str">
        <f>IFERROR(VLOOKUP($H820,'1. Set Program Names'!$B$2:$D$15,3,0)*AA820,"NA")</f>
        <v>NA</v>
      </c>
      <c r="CB820" s="80" t="str">
        <f>IFERROR(VLOOKUP($H820,'1. Set Program Names'!$B$2:$D$15,3,0)*AB820,"NA")</f>
        <v>NA</v>
      </c>
      <c r="CC820" s="80" t="str">
        <f>IFERROR(VLOOKUP($H820,'1. Set Program Names'!$B$2:$D$15,3,0)*AC820,"NA")</f>
        <v>NA</v>
      </c>
      <c r="CD820" s="80" t="str">
        <f>IFERROR(VLOOKUP($H820,'1. Set Program Names'!$B$2:$D$15,3,0)*AD820,"NA")</f>
        <v>NA</v>
      </c>
      <c r="CE820" s="80" t="str">
        <f>IFERROR(VLOOKUP($H820,'1. Set Program Names'!$B$2:$D$15,3,0)*AE820,"NA")</f>
        <v>NA</v>
      </c>
    </row>
    <row r="821" spans="1:83" x14ac:dyDescent="0.25">
      <c r="A821" s="79" t="s">
        <v>116</v>
      </c>
      <c r="B821" s="79" t="s">
        <v>88</v>
      </c>
      <c r="C821" s="79" t="s">
        <v>176</v>
      </c>
      <c r="D821" s="79" t="s">
        <v>90</v>
      </c>
      <c r="E821" s="79" t="s">
        <v>91</v>
      </c>
      <c r="F821" s="79" t="s">
        <v>90</v>
      </c>
      <c r="G821" s="79" t="s">
        <v>92</v>
      </c>
      <c r="H821" s="79" t="s">
        <v>268</v>
      </c>
      <c r="I821" s="79" t="s">
        <v>184</v>
      </c>
      <c r="J821" s="79" t="s">
        <v>180</v>
      </c>
      <c r="K821" s="79" t="s">
        <v>98</v>
      </c>
      <c r="L821" s="79">
        <v>3514.8091666666501</v>
      </c>
      <c r="M821" s="79">
        <v>0.421134949485237</v>
      </c>
      <c r="N821" s="79">
        <v>0.40566942535109901</v>
      </c>
      <c r="O821" s="79">
        <v>1028.8599999999999</v>
      </c>
      <c r="P821" s="79">
        <v>322.03243304134497</v>
      </c>
      <c r="Q821" s="79">
        <v>3.5148091666666499</v>
      </c>
      <c r="R821" s="79">
        <v>1184.78167438478</v>
      </c>
      <c r="S821" s="79">
        <v>2827.1105797935802</v>
      </c>
      <c r="T821" s="79">
        <v>10</v>
      </c>
      <c r="U821" s="79">
        <v>1</v>
      </c>
      <c r="V821" s="79">
        <f>tbl_Data_old[[#This Row],[2025 ]]*IFERROR(AVERAGEIFS('Participation Adjustment'!$C:$C,'Participation Adjustment'!$A:$A,$H821,'Participation Adjustment'!$B:$B,$I821),1)</f>
        <v>0.23953934200494201</v>
      </c>
      <c r="W821" s="79">
        <f>tbl_Data_old[[#This Row],[2026 ]]*IFERROR(AVERAGEIFS('Participation Adjustment'!$C:$C,'Participation Adjustment'!$A:$A,$H821,'Participation Adjustment'!$B:$B,$I821),1)</f>
        <v>0.33035903451674498</v>
      </c>
      <c r="X821" s="79">
        <f>tbl_Data_old[[#This Row],[2027 ]]*IFERROR(AVERAGEIFS('Participation Adjustment'!$C:$C,'Participation Adjustment'!$A:$A,$H821,'Participation Adjustment'!$B:$B,$I821),1)</f>
        <v>0.44113194346399098</v>
      </c>
      <c r="Y821" s="79">
        <f>tbl_Data_old[[#This Row],[2028 ]]*IFERROR(AVERAGEIFS('Participation Adjustment'!$C:$C,'Participation Adjustment'!$A:$A,$H821,'Participation Adjustment'!$B:$B,$I821),1)</f>
        <v>0.57414124590228399</v>
      </c>
      <c r="Z821" s="79">
        <f>tbl_Data_old[[#This Row],[2029 ]]*IFERROR(AVERAGEIFS('Participation Adjustment'!$C:$C,'Participation Adjustment'!$A:$A,$H821,'Participation Adjustment'!$B:$B,$I821),1)</f>
        <v>0.71441492394478501</v>
      </c>
      <c r="AA821" s="79">
        <f>tbl_Data_old[[#This Row],[2030 ]]*IFERROR(AVERAGEIFS('Participation Adjustment'!$C:$C,'Participation Adjustment'!$A:$A,$H821,'Participation Adjustment'!$B:$B,$I821),1)</f>
        <v>0.84495655350682597</v>
      </c>
      <c r="AB821" s="79">
        <f>tbl_Data_old[[#This Row],[2031 ]]*IFERROR(AVERAGEIFS('Participation Adjustment'!$C:$C,'Participation Adjustment'!$A:$A,$H821,'Participation Adjustment'!$B:$B,$I821),1)</f>
        <v>0.93821114595470501</v>
      </c>
      <c r="AC821" s="79">
        <f>tbl_Data_old[[#This Row],[2032 ]]*IFERROR(AVERAGEIFS('Participation Adjustment'!$C:$C,'Participation Adjustment'!$A:$A,$H821,'Participation Adjustment'!$B:$B,$I821),1)</f>
        <v>0.96421493555896798</v>
      </c>
      <c r="AD821" s="79">
        <f>tbl_Data_old[[#This Row],[2033 ]]*IFERROR(AVERAGEIFS('Participation Adjustment'!$C:$C,'Participation Adjustment'!$A:$A,$H821,'Participation Adjustment'!$B:$B,$I821),1)</f>
        <v>0.91077400066750203</v>
      </c>
      <c r="AE821" s="79">
        <f>tbl_Data_old[[#This Row],[2034 ]]*IFERROR(AVERAGEIFS('Participation Adjustment'!$C:$C,'Participation Adjustment'!$A:$A,$H821,'Participation Adjustment'!$B:$B,$I821),1)</f>
        <v>0.787194541510705</v>
      </c>
      <c r="AF821" s="77" t="str">
        <f t="shared" si="341"/>
        <v>NonResidential</v>
      </c>
      <c r="AG821" s="77" t="str">
        <f>tbl_Data[[#This Row],[All_Meas_Name_Append]]</f>
        <v>Low Pressure-drop Filters</v>
      </c>
      <c r="AH821" s="77">
        <f>AVERAGEIFS('3. Incentive Adjustment'!G:G,'3. Incentive Adjustment'!A:A,tbl_Data[[#This Row],[Trimmed Sector]],'3. Incentive Adjustment'!B:B,tbl_Data[[#This Row],[Trimmed Measure Name]])</f>
        <v>0.78525588861759776</v>
      </c>
      <c r="AI821" s="77">
        <f>$AH821*tbl_Data[[#This Row],[2025 ]]</f>
        <v>0.1880996788649654</v>
      </c>
      <c r="AJ821" s="77">
        <f>$AH821*tbl_Data[[#This Row],[2026 ]]</f>
        <v>0.25941637721229821</v>
      </c>
      <c r="AK821" s="77">
        <f>$AH821*tbl_Data[[#This Row],[2027 ]]</f>
        <v>0.34640145626242413</v>
      </c>
      <c r="AL821" s="77">
        <f>$AH821*tbl_Data[[#This Row],[2028 ]]</f>
        <v>0.45084779424301274</v>
      </c>
      <c r="AM821" s="77">
        <f>$AH821*tbl_Data[[#This Row],[2029 ]]</f>
        <v>0.56099852594393562</v>
      </c>
      <c r="AN821" s="77">
        <f>$AH821*tbl_Data[[#This Row],[2030 ]]</f>
        <v>0.66350710926726542</v>
      </c>
      <c r="AO821" s="77">
        <f>$AH821*tbl_Data[[#This Row],[2031 ]]</f>
        <v>0.73673582712759655</v>
      </c>
      <c r="AP821" s="77">
        <f>$AH821*tbl_Data[[#This Row],[2032 ]]</f>
        <v>0.75715545604071721</v>
      </c>
      <c r="AQ821" s="77">
        <f>$AH821*tbl_Data[[#This Row],[2033 ]]</f>
        <v>0.71519064722396386</v>
      </c>
      <c r="AR821" s="77">
        <f>$AH821*tbl_Data[[#This Row],[2034 ]]</f>
        <v>0.61814914920891106</v>
      </c>
      <c r="AS821" s="77">
        <f>SUM(tbl_Data[[#This Row],[Adjusted 2025]:[Adjusted 2034]])</f>
        <v>5.2965020213950895</v>
      </c>
      <c r="AT821" s="80">
        <f>AVERAGEIFS('3. Incentive Adjustment'!F:F,'3. Incentive Adjustment'!A:A,tbl_Data[[#This Row],[Trimmed Sector]],'3. Incentive Adjustment'!B:B,tbl_Data[[#This Row],[Trimmed Measure Name]])</f>
        <v>0</v>
      </c>
      <c r="AU821" s="80">
        <f>IFERROR(VLOOKUP(tbl_Data[[#This Row],[All_Meas_Name_Append]],'IRA Tax Credits'!$A$3:$D$46,4,0),0)</f>
        <v>0</v>
      </c>
      <c r="AV821" s="81">
        <f>tbl_Data[[#This Row],[Adj. per unit Incentive ($)]]/tbl_Data[[#This Row],[kWh Savings]]*tbl_Data[[#This Row],[Sum of Annuals]]</f>
        <v>0</v>
      </c>
      <c r="AW821" s="81" t="str">
        <f>IFERROR(VLOOKUP(tbl_Data[[#This Row],[Column1]],'1. Set Program Names'!$B$2:$D$15,3,0)*tbl_Data[[#This Row],[Sum of Annuals]],"")</f>
        <v/>
      </c>
      <c r="AX821" s="81">
        <f>tbl_Data[[#This Row],[per unit IRA tax ($)]]/tbl_Data[[#This Row],[kWh Savings]]*tbl_Data[[#This Row],[Sum of Annuals]]</f>
        <v>0</v>
      </c>
      <c r="AY821" s="81">
        <f>tbl_Data[[#This Row],[Avoided Costs ($/unit)]]/tbl_Data[[#This Row],[kWh Savings]]*tbl_Data[[#This Row],[Sum of Annuals]]</f>
        <v>1.7853596698230063</v>
      </c>
      <c r="AZ821" s="81">
        <f>tbl_Data[[#This Row],[Lost Revenue ($/unit)]]/tbl_Data[[#This Row],[kWh Savings]]*tbl_Data[[#This Row],[Sum of Annuals]]</f>
        <v>4.2602019599217344</v>
      </c>
      <c r="BA821" s="81">
        <f>tbl_Data[[#This Row],[Incremental Cost ($/unit)]]/tbl_Data[[#This Row],[kWh Savings]]*tbl_Data[[#This Row],[Sum of Annuals]]</f>
        <v>1.5503996977737986</v>
      </c>
      <c r="BB821" s="77">
        <f>ROUNDUP(tbl_Data[[#This Row],[Adjusted 2025]]/$L821,0)</f>
        <v>1</v>
      </c>
      <c r="BC821" s="77">
        <f>ROUNDUP(tbl_Data[[#This Row],[Adjusted 2026]]/$L821,0)</f>
        <v>1</v>
      </c>
      <c r="BD821" s="77">
        <f>ROUNDUP(tbl_Data[[#This Row],[Adjusted 2027]]/$L821,0)</f>
        <v>1</v>
      </c>
      <c r="BE821" s="77">
        <f>ROUNDUP(tbl_Data[[#This Row],[Adjusted 2028]]/$L821,0)</f>
        <v>1</v>
      </c>
      <c r="BF821" s="77">
        <f>ROUNDUP(tbl_Data[[#This Row],[Adjusted 2029]]/$L821,0)</f>
        <v>1</v>
      </c>
      <c r="BG821" s="77">
        <f>ROUNDUP(tbl_Data[[#This Row],[Adjusted 2030]]/$L821,0)</f>
        <v>1</v>
      </c>
      <c r="BH821" s="77">
        <f>ROUNDUP(tbl_Data[[#This Row],[Adjusted 2031]]/$L821,0)</f>
        <v>1</v>
      </c>
      <c r="BI821" s="77">
        <f>ROUNDUP(tbl_Data[[#This Row],[Adjusted 2032]]/$L821,0)</f>
        <v>1</v>
      </c>
      <c r="BJ821" s="77">
        <f>ROUNDUP(tbl_Data[[#This Row],[Adjusted 2033]]/$L821,0)</f>
        <v>1</v>
      </c>
      <c r="BK821" s="77">
        <f>ROUNDUP(tbl_Data[[#This Row],[Adjusted 2034]]/$L821,0)</f>
        <v>1</v>
      </c>
      <c r="BL821" s="80">
        <f t="shared" si="342"/>
        <v>0</v>
      </c>
      <c r="BM821" s="80">
        <f t="shared" si="343"/>
        <v>0</v>
      </c>
      <c r="BN821" s="80">
        <f t="shared" si="344"/>
        <v>0</v>
      </c>
      <c r="BO821" s="80">
        <f t="shared" si="345"/>
        <v>0</v>
      </c>
      <c r="BP821" s="80">
        <f t="shared" si="346"/>
        <v>0</v>
      </c>
      <c r="BQ821" s="80">
        <f t="shared" si="347"/>
        <v>0</v>
      </c>
      <c r="BR821" s="80">
        <f t="shared" si="348"/>
        <v>0</v>
      </c>
      <c r="BS821" s="80">
        <f t="shared" si="349"/>
        <v>0</v>
      </c>
      <c r="BT821" s="80">
        <f t="shared" si="350"/>
        <v>0</v>
      </c>
      <c r="BU821" s="80">
        <f t="shared" si="351"/>
        <v>0</v>
      </c>
      <c r="BV821" s="80" t="str">
        <f>IFERROR(VLOOKUP($H821,'1. Set Program Names'!$B$2:$D$15,3,0)*V821,"NA")</f>
        <v>NA</v>
      </c>
      <c r="BW821" s="80" t="str">
        <f>IFERROR(VLOOKUP($H821,'1. Set Program Names'!$B$2:$D$15,3,0)*W821,"NA")</f>
        <v>NA</v>
      </c>
      <c r="BX821" s="80" t="str">
        <f>IFERROR(VLOOKUP($H821,'1. Set Program Names'!$B$2:$D$15,3,0)*X821,"NA")</f>
        <v>NA</v>
      </c>
      <c r="BY821" s="80" t="str">
        <f>IFERROR(VLOOKUP($H821,'1. Set Program Names'!$B$2:$D$15,3,0)*Y821,"NA")</f>
        <v>NA</v>
      </c>
      <c r="BZ821" s="80" t="str">
        <f>IFERROR(VLOOKUP($H821,'1. Set Program Names'!$B$2:$D$15,3,0)*Z821,"NA")</f>
        <v>NA</v>
      </c>
      <c r="CA821" s="80" t="str">
        <f>IFERROR(VLOOKUP($H821,'1. Set Program Names'!$B$2:$D$15,3,0)*AA821,"NA")</f>
        <v>NA</v>
      </c>
      <c r="CB821" s="80" t="str">
        <f>IFERROR(VLOOKUP($H821,'1. Set Program Names'!$B$2:$D$15,3,0)*AB821,"NA")</f>
        <v>NA</v>
      </c>
      <c r="CC821" s="80" t="str">
        <f>IFERROR(VLOOKUP($H821,'1. Set Program Names'!$B$2:$D$15,3,0)*AC821,"NA")</f>
        <v>NA</v>
      </c>
      <c r="CD821" s="80" t="str">
        <f>IFERROR(VLOOKUP($H821,'1. Set Program Names'!$B$2:$D$15,3,0)*AD821,"NA")</f>
        <v>NA</v>
      </c>
      <c r="CE821" s="80" t="str">
        <f>IFERROR(VLOOKUP($H821,'1. Set Program Names'!$B$2:$D$15,3,0)*AE821,"NA")</f>
        <v>NA</v>
      </c>
    </row>
    <row r="822" spans="1:83" x14ac:dyDescent="0.25">
      <c r="A822" s="79" t="s">
        <v>116</v>
      </c>
      <c r="B822" s="79" t="s">
        <v>88</v>
      </c>
      <c r="C822" s="79" t="s">
        <v>176</v>
      </c>
      <c r="D822" s="79" t="s">
        <v>90</v>
      </c>
      <c r="E822" s="79" t="s">
        <v>91</v>
      </c>
      <c r="F822" s="79" t="s">
        <v>90</v>
      </c>
      <c r="G822" s="79" t="s">
        <v>92</v>
      </c>
      <c r="H822" s="79" t="s">
        <v>268</v>
      </c>
      <c r="I822" s="79" t="s">
        <v>271</v>
      </c>
      <c r="J822" s="79" t="s">
        <v>180</v>
      </c>
      <c r="K822" s="79" t="s">
        <v>272</v>
      </c>
      <c r="L822" s="79">
        <v>8742.5400000000009</v>
      </c>
      <c r="M822" s="79">
        <v>1.04876812955413</v>
      </c>
      <c r="N822" s="79">
        <v>1.0098733971376099</v>
      </c>
      <c r="O822" s="79">
        <v>3543.39</v>
      </c>
      <c r="P822" s="79">
        <v>1784.8102698461601</v>
      </c>
      <c r="Q822" s="79">
        <v>8.74254</v>
      </c>
      <c r="R822" s="79">
        <v>3737.3935784201899</v>
      </c>
      <c r="S822" s="79">
        <v>9285.1929731405908</v>
      </c>
      <c r="T822" s="79">
        <v>15</v>
      </c>
      <c r="U822" s="79">
        <v>1</v>
      </c>
      <c r="V822" s="79">
        <f>tbl_Data_old[[#This Row],[2025 ]]*IFERROR(AVERAGEIFS('Participation Adjustment'!$C:$C,'Participation Adjustment'!$A:$A,$H822,'Participation Adjustment'!$B:$B,$I822),1)</f>
        <v>1.8707976293336599E-2</v>
      </c>
      <c r="W822" s="79">
        <f>tbl_Data_old[[#This Row],[2026 ]]*IFERROR(AVERAGEIFS('Participation Adjustment'!$C:$C,'Participation Adjustment'!$A:$A,$H822,'Participation Adjustment'!$B:$B,$I822),1)</f>
        <v>2.4276751145538799E-2</v>
      </c>
      <c r="X822" s="79">
        <f>tbl_Data_old[[#This Row],[2027 ]]*IFERROR(AVERAGEIFS('Participation Adjustment'!$C:$C,'Participation Adjustment'!$A:$A,$H822,'Participation Adjustment'!$B:$B,$I822),1)</f>
        <v>3.07129625408946E-2</v>
      </c>
      <c r="Y822" s="79">
        <f>tbl_Data_old[[#This Row],[2028 ]]*IFERROR(AVERAGEIFS('Participation Adjustment'!$C:$C,'Participation Adjustment'!$A:$A,$H822,'Participation Adjustment'!$B:$B,$I822),1)</f>
        <v>3.8340514759613302E-2</v>
      </c>
      <c r="Z822" s="79">
        <f>tbl_Data_old[[#This Row],[2029 ]]*IFERROR(AVERAGEIFS('Participation Adjustment'!$C:$C,'Participation Adjustment'!$A:$A,$H822,'Participation Adjustment'!$B:$B,$I822),1)</f>
        <v>4.6372126986616101E-2</v>
      </c>
      <c r="AA822" s="79">
        <f>tbl_Data_old[[#This Row],[2030 ]]*IFERROR(AVERAGEIFS('Participation Adjustment'!$C:$C,'Participation Adjustment'!$A:$A,$H822,'Participation Adjustment'!$B:$B,$I822),1)</f>
        <v>5.4578933073252699E-2</v>
      </c>
      <c r="AB822" s="79">
        <f>tbl_Data_old[[#This Row],[2031 ]]*IFERROR(AVERAGEIFS('Participation Adjustment'!$C:$C,'Participation Adjustment'!$A:$A,$H822,'Participation Adjustment'!$B:$B,$I822),1)</f>
        <v>6.2219387864586202E-2</v>
      </c>
      <c r="AC822" s="79">
        <f>tbl_Data_old[[#This Row],[2032 ]]*IFERROR(AVERAGEIFS('Participation Adjustment'!$C:$C,'Participation Adjustment'!$A:$A,$H822,'Participation Adjustment'!$B:$B,$I822),1)</f>
        <v>6.8175638125606799E-2</v>
      </c>
      <c r="AD822" s="79">
        <f>tbl_Data_old[[#This Row],[2033 ]]*IFERROR(AVERAGEIFS('Participation Adjustment'!$C:$C,'Participation Adjustment'!$A:$A,$H822,'Participation Adjustment'!$B:$B,$I822),1)</f>
        <v>7.1775599848136196E-2</v>
      </c>
      <c r="AE822" s="79">
        <f>tbl_Data_old[[#This Row],[2034 ]]*IFERROR(AVERAGEIFS('Participation Adjustment'!$C:$C,'Participation Adjustment'!$A:$A,$H822,'Participation Adjustment'!$B:$B,$I822),1)</f>
        <v>7.2150772028380397E-2</v>
      </c>
      <c r="AF822" s="77" t="str">
        <f t="shared" si="341"/>
        <v>NonResidential</v>
      </c>
      <c r="AG822" s="77" t="str">
        <f>tbl_Data[[#This Row],[All_Meas_Name_Append]]</f>
        <v>Milk Pre-Cooler</v>
      </c>
      <c r="AH822" s="77">
        <f>AVERAGEIFS('3. Incentive Adjustment'!G:G,'3. Incentive Adjustment'!A:A,tbl_Data[[#This Row],[Trimmed Sector]],'3. Incentive Adjustment'!B:B,tbl_Data[[#This Row],[Trimmed Measure Name]])</f>
        <v>0.58352930274688986</v>
      </c>
      <c r="AI822" s="77">
        <f>$AH822*tbl_Data[[#This Row],[2025 ]]</f>
        <v>1.091665236225605E-2</v>
      </c>
      <c r="AJ822" s="77">
        <f>$AH822*tbl_Data[[#This Row],[2026 ]]</f>
        <v>1.4166195668916014E-2</v>
      </c>
      <c r="AK822" s="77">
        <f>$AH822*tbl_Data[[#This Row],[2027 ]]</f>
        <v>1.7921913616779573E-2</v>
      </c>
      <c r="AL822" s="77">
        <f>$AH822*tbl_Data[[#This Row],[2028 ]]</f>
        <v>2.237281384463399E-2</v>
      </c>
      <c r="AM822" s="77">
        <f>$AH822*tbl_Data[[#This Row],[2029 ]]</f>
        <v>2.7059494927390328E-2</v>
      </c>
      <c r="AN822" s="77">
        <f>$AH822*tbl_Data[[#This Row],[2030 ]]</f>
        <v>3.1848406760904314E-2</v>
      </c>
      <c r="AO822" s="77">
        <f>$AH822*tbl_Data[[#This Row],[2031 ]]</f>
        <v>3.6306836017960288E-2</v>
      </c>
      <c r="AP822" s="77">
        <f>$AH822*tbl_Data[[#This Row],[2032 ]]</f>
        <v>3.9782482579759616E-2</v>
      </c>
      <c r="AQ822" s="77">
        <f>$AH822*tbl_Data[[#This Row],[2033 ]]</f>
        <v>4.188316573362269E-2</v>
      </c>
      <c r="AR822" s="77">
        <f>$AH822*tbl_Data[[#This Row],[2034 ]]</f>
        <v>4.2102089694370619E-2</v>
      </c>
      <c r="AS822" s="77">
        <f>SUM(tbl_Data[[#This Row],[Adjusted 2025]:[Adjusted 2034]])</f>
        <v>0.28436005120659347</v>
      </c>
      <c r="AT822" s="80">
        <f>AVERAGEIFS('3. Incentive Adjustment'!F:F,'3. Incentive Adjustment'!A:A,tbl_Data[[#This Row],[Trimmed Sector]],'3. Incentive Adjustment'!B:B,tbl_Data[[#This Row],[Trimmed Measure Name]])</f>
        <v>0</v>
      </c>
      <c r="AU822" s="80">
        <f>IFERROR(VLOOKUP(tbl_Data[[#This Row],[All_Meas_Name_Append]],'IRA Tax Credits'!$A$3:$D$46,4,0),0)</f>
        <v>0</v>
      </c>
      <c r="AV822" s="81">
        <f>tbl_Data[[#This Row],[Adj. per unit Incentive ($)]]/tbl_Data[[#This Row],[kWh Savings]]*tbl_Data[[#This Row],[Sum of Annuals]]</f>
        <v>0</v>
      </c>
      <c r="AW822" s="81" t="str">
        <f>IFERROR(VLOOKUP(tbl_Data[[#This Row],[Column1]],'1. Set Program Names'!$B$2:$D$15,3,0)*tbl_Data[[#This Row],[Sum of Annuals]],"")</f>
        <v/>
      </c>
      <c r="AX822" s="81">
        <f>tbl_Data[[#This Row],[per unit IRA tax ($)]]/tbl_Data[[#This Row],[kWh Savings]]*tbl_Data[[#This Row],[Sum of Annuals]]</f>
        <v>0</v>
      </c>
      <c r="AY822" s="81">
        <f>tbl_Data[[#This Row],[Avoided Costs ($/unit)]]/tbl_Data[[#This Row],[kWh Savings]]*tbl_Data[[#This Row],[Sum of Annuals]]</f>
        <v>0.12156254696447014</v>
      </c>
      <c r="AZ822" s="81">
        <f>tbl_Data[[#This Row],[Lost Revenue ($/unit)]]/tbl_Data[[#This Row],[kWh Savings]]*tbl_Data[[#This Row],[Sum of Annuals]]</f>
        <v>0.3020103939250332</v>
      </c>
      <c r="BA822" s="81">
        <f>tbl_Data[[#This Row],[Incremental Cost ($/unit)]]/tbl_Data[[#This Row],[kWh Savings]]*tbl_Data[[#This Row],[Sum of Annuals]]</f>
        <v>0.11525238224188063</v>
      </c>
      <c r="BB822" s="77">
        <f>ROUNDUP(tbl_Data[[#This Row],[Adjusted 2025]]/$L822,0)</f>
        <v>1</v>
      </c>
      <c r="BC822" s="77">
        <f>ROUNDUP(tbl_Data[[#This Row],[Adjusted 2026]]/$L822,0)</f>
        <v>1</v>
      </c>
      <c r="BD822" s="77">
        <f>ROUNDUP(tbl_Data[[#This Row],[Adjusted 2027]]/$L822,0)</f>
        <v>1</v>
      </c>
      <c r="BE822" s="77">
        <f>ROUNDUP(tbl_Data[[#This Row],[Adjusted 2028]]/$L822,0)</f>
        <v>1</v>
      </c>
      <c r="BF822" s="77">
        <f>ROUNDUP(tbl_Data[[#This Row],[Adjusted 2029]]/$L822,0)</f>
        <v>1</v>
      </c>
      <c r="BG822" s="77">
        <f>ROUNDUP(tbl_Data[[#This Row],[Adjusted 2030]]/$L822,0)</f>
        <v>1</v>
      </c>
      <c r="BH822" s="77">
        <f>ROUNDUP(tbl_Data[[#This Row],[Adjusted 2031]]/$L822,0)</f>
        <v>1</v>
      </c>
      <c r="BI822" s="77">
        <f>ROUNDUP(tbl_Data[[#This Row],[Adjusted 2032]]/$L822,0)</f>
        <v>1</v>
      </c>
      <c r="BJ822" s="77">
        <f>ROUNDUP(tbl_Data[[#This Row],[Adjusted 2033]]/$L822,0)</f>
        <v>1</v>
      </c>
      <c r="BK822" s="77">
        <f>ROUNDUP(tbl_Data[[#This Row],[Adjusted 2034]]/$L822,0)</f>
        <v>1</v>
      </c>
      <c r="BL822" s="80">
        <f t="shared" si="342"/>
        <v>0</v>
      </c>
      <c r="BM822" s="80">
        <f t="shared" si="343"/>
        <v>0</v>
      </c>
      <c r="BN822" s="80">
        <f t="shared" si="344"/>
        <v>0</v>
      </c>
      <c r="BO822" s="80">
        <f t="shared" si="345"/>
        <v>0</v>
      </c>
      <c r="BP822" s="80">
        <f t="shared" si="346"/>
        <v>0</v>
      </c>
      <c r="BQ822" s="80">
        <f t="shared" si="347"/>
        <v>0</v>
      </c>
      <c r="BR822" s="80">
        <f t="shared" si="348"/>
        <v>0</v>
      </c>
      <c r="BS822" s="80">
        <f t="shared" si="349"/>
        <v>0</v>
      </c>
      <c r="BT822" s="80">
        <f t="shared" si="350"/>
        <v>0</v>
      </c>
      <c r="BU822" s="80">
        <f t="shared" si="351"/>
        <v>0</v>
      </c>
      <c r="BV822" s="80" t="str">
        <f>IFERROR(VLOOKUP($H822,'1. Set Program Names'!$B$2:$D$15,3,0)*V822,"NA")</f>
        <v>NA</v>
      </c>
      <c r="BW822" s="80" t="str">
        <f>IFERROR(VLOOKUP($H822,'1. Set Program Names'!$B$2:$D$15,3,0)*W822,"NA")</f>
        <v>NA</v>
      </c>
      <c r="BX822" s="80" t="str">
        <f>IFERROR(VLOOKUP($H822,'1. Set Program Names'!$B$2:$D$15,3,0)*X822,"NA")</f>
        <v>NA</v>
      </c>
      <c r="BY822" s="80" t="str">
        <f>IFERROR(VLOOKUP($H822,'1. Set Program Names'!$B$2:$D$15,3,0)*Y822,"NA")</f>
        <v>NA</v>
      </c>
      <c r="BZ822" s="80" t="str">
        <f>IFERROR(VLOOKUP($H822,'1. Set Program Names'!$B$2:$D$15,3,0)*Z822,"NA")</f>
        <v>NA</v>
      </c>
      <c r="CA822" s="80" t="str">
        <f>IFERROR(VLOOKUP($H822,'1. Set Program Names'!$B$2:$D$15,3,0)*AA822,"NA")</f>
        <v>NA</v>
      </c>
      <c r="CB822" s="80" t="str">
        <f>IFERROR(VLOOKUP($H822,'1. Set Program Names'!$B$2:$D$15,3,0)*AB822,"NA")</f>
        <v>NA</v>
      </c>
      <c r="CC822" s="80" t="str">
        <f>IFERROR(VLOOKUP($H822,'1. Set Program Names'!$B$2:$D$15,3,0)*AC822,"NA")</f>
        <v>NA</v>
      </c>
      <c r="CD822" s="80" t="str">
        <f>IFERROR(VLOOKUP($H822,'1. Set Program Names'!$B$2:$D$15,3,0)*AD822,"NA")</f>
        <v>NA</v>
      </c>
      <c r="CE822" s="80" t="str">
        <f>IFERROR(VLOOKUP($H822,'1. Set Program Names'!$B$2:$D$15,3,0)*AE822,"NA")</f>
        <v>NA</v>
      </c>
    </row>
    <row r="823" spans="1:83" x14ac:dyDescent="0.25">
      <c r="A823" s="79" t="s">
        <v>116</v>
      </c>
      <c r="B823" s="79" t="s">
        <v>88</v>
      </c>
      <c r="C823" s="79" t="s">
        <v>176</v>
      </c>
      <c r="D823" s="79" t="s">
        <v>90</v>
      </c>
      <c r="E823" s="79" t="s">
        <v>91</v>
      </c>
      <c r="F823" s="79" t="s">
        <v>90</v>
      </c>
      <c r="G823" s="79" t="s">
        <v>92</v>
      </c>
      <c r="H823" s="79" t="s">
        <v>268</v>
      </c>
      <c r="I823" s="79" t="s">
        <v>190</v>
      </c>
      <c r="J823" s="79" t="s">
        <v>191</v>
      </c>
      <c r="K823" s="79" t="s">
        <v>98</v>
      </c>
      <c r="L823" s="79">
        <v>1561.28</v>
      </c>
      <c r="M823" s="79">
        <v>0.18418077149832199</v>
      </c>
      <c r="N823" s="79">
        <v>0.17996138765713399</v>
      </c>
      <c r="O823" s="79">
        <v>490</v>
      </c>
      <c r="P823" s="79">
        <v>175.94534756551599</v>
      </c>
      <c r="Q823" s="79">
        <v>1.56128</v>
      </c>
      <c r="R823" s="79">
        <v>649.62503581485396</v>
      </c>
      <c r="S823" s="79">
        <v>1586.7572850213601</v>
      </c>
      <c r="T823" s="79">
        <v>14</v>
      </c>
      <c r="U823" s="79">
        <v>0.999999999999999</v>
      </c>
      <c r="V823" s="79">
        <f>tbl_Data_old[[#This Row],[2025 ]]*IFERROR(AVERAGEIFS('Participation Adjustment'!$C:$C,'Participation Adjustment'!$A:$A,$H823,'Participation Adjustment'!$B:$B,$I823),1)</f>
        <v>1.6698779221195199</v>
      </c>
      <c r="W823" s="79">
        <f>tbl_Data_old[[#This Row],[2026 ]]*IFERROR(AVERAGEIFS('Participation Adjustment'!$C:$C,'Participation Adjustment'!$A:$A,$H823,'Participation Adjustment'!$B:$B,$I823),1)</f>
        <v>1.8996482928847001</v>
      </c>
      <c r="X823" s="79">
        <f>tbl_Data_old[[#This Row],[2027 ]]*IFERROR(AVERAGEIFS('Participation Adjustment'!$C:$C,'Participation Adjustment'!$A:$A,$H823,'Participation Adjustment'!$B:$B,$I823),1)</f>
        <v>2.09989683398822</v>
      </c>
      <c r="Y823" s="79">
        <f>tbl_Data_old[[#This Row],[2028 ]]*IFERROR(AVERAGEIFS('Participation Adjustment'!$C:$C,'Participation Adjustment'!$A:$A,$H823,'Participation Adjustment'!$B:$B,$I823),1)</f>
        <v>2.2980716792544702</v>
      </c>
      <c r="Z823" s="79">
        <f>tbl_Data_old[[#This Row],[2029 ]]*IFERROR(AVERAGEIFS('Participation Adjustment'!$C:$C,'Participation Adjustment'!$A:$A,$H823,'Participation Adjustment'!$B:$B,$I823),1)</f>
        <v>2.4699282012386798</v>
      </c>
      <c r="AA823" s="79">
        <f>tbl_Data_old[[#This Row],[2030 ]]*IFERROR(AVERAGEIFS('Participation Adjustment'!$C:$C,'Participation Adjustment'!$A:$A,$H823,'Participation Adjustment'!$B:$B,$I823),1)</f>
        <v>2.6299224552884901</v>
      </c>
      <c r="AB823" s="79">
        <f>tbl_Data_old[[#This Row],[2031 ]]*IFERROR(AVERAGEIFS('Participation Adjustment'!$C:$C,'Participation Adjustment'!$A:$A,$H823,'Participation Adjustment'!$B:$B,$I823),1)</f>
        <v>2.7804563311207602</v>
      </c>
      <c r="AC823" s="79">
        <f>tbl_Data_old[[#This Row],[2032 ]]*IFERROR(AVERAGEIFS('Participation Adjustment'!$C:$C,'Participation Adjustment'!$A:$A,$H823,'Participation Adjustment'!$B:$B,$I823),1)</f>
        <v>2.9172678828181899</v>
      </c>
      <c r="AD823" s="79">
        <f>tbl_Data_old[[#This Row],[2033 ]]*IFERROR(AVERAGEIFS('Participation Adjustment'!$C:$C,'Participation Adjustment'!$A:$A,$H823,'Participation Adjustment'!$B:$B,$I823),1)</f>
        <v>3.05131835050096</v>
      </c>
      <c r="AE823" s="79">
        <f>tbl_Data_old[[#This Row],[2034 ]]*IFERROR(AVERAGEIFS('Participation Adjustment'!$C:$C,'Participation Adjustment'!$A:$A,$H823,'Participation Adjustment'!$B:$B,$I823),1)</f>
        <v>3.1785119434559701</v>
      </c>
      <c r="AF823" s="77" t="str">
        <f t="shared" si="341"/>
        <v>NonResidential</v>
      </c>
      <c r="AG823" s="77" t="str">
        <f>tbl_Data[[#This Row],[All_Meas_Name_Append]]</f>
        <v>Synchronous Belt on 15hp ODP Motor</v>
      </c>
      <c r="AH823" s="77">
        <f>AVERAGEIFS('3. Incentive Adjustment'!G:G,'3. Incentive Adjustment'!A:A,tbl_Data[[#This Row],[Trimmed Sector]],'3. Incentive Adjustment'!B:B,tbl_Data[[#This Row],[Trimmed Measure Name]])</f>
        <v>0.74278916032473408</v>
      </c>
      <c r="AI823" s="77">
        <f>$AH823*tbl_Data[[#This Row],[2025 ]]</f>
        <v>1.2403672196159699</v>
      </c>
      <c r="AJ823" s="77">
        <f>$AH823*tbl_Data[[#This Row],[2026 ]]</f>
        <v>1.4110381603841409</v>
      </c>
      <c r="AK823" s="77">
        <f>$AH823*tbl_Data[[#This Row],[2027 ]]</f>
        <v>1.5597806060866775</v>
      </c>
      <c r="AL823" s="77">
        <f>$AH823*tbl_Data[[#This Row],[2028 ]]</f>
        <v>1.7069827329994796</v>
      </c>
      <c r="AM823" s="77">
        <f>$AH823*tbl_Data[[#This Row],[2029 ]]</f>
        <v>1.8346358946604597</v>
      </c>
      <c r="AN823" s="77">
        <f>$AH823*tbl_Data[[#This Row],[2030 ]]</f>
        <v>1.9534778922829006</v>
      </c>
      <c r="AO823" s="77">
        <f>$AH823*tbl_Data[[#This Row],[2031 ]]</f>
        <v>2.0652928235127801</v>
      </c>
      <c r="AP823" s="77">
        <f>$AH823*tbl_Data[[#This Row],[2032 ]]</f>
        <v>2.1669149611208378</v>
      </c>
      <c r="AQ823" s="77">
        <f>$AH823*tbl_Data[[#This Row],[2033 ]]</f>
        <v>2.2664861954520608</v>
      </c>
      <c r="AR823" s="77">
        <f>$AH823*tbl_Data[[#This Row],[2034 ]]</f>
        <v>2.3609642175617989</v>
      </c>
      <c r="AS823" s="77">
        <f>SUM(tbl_Data[[#This Row],[Adjusted 2025]:[Adjusted 2034]])</f>
        <v>18.565940703677107</v>
      </c>
      <c r="AT823" s="80">
        <f>AVERAGEIFS('3. Incentive Adjustment'!F:F,'3. Incentive Adjustment'!A:A,tbl_Data[[#This Row],[Trimmed Sector]],'3. Incentive Adjustment'!B:B,tbl_Data[[#This Row],[Trimmed Measure Name]])</f>
        <v>0</v>
      </c>
      <c r="AU823" s="80">
        <f>IFERROR(VLOOKUP(tbl_Data[[#This Row],[All_Meas_Name_Append]],'IRA Tax Credits'!$A$3:$D$46,4,0),0)</f>
        <v>0</v>
      </c>
      <c r="AV823" s="81">
        <f>tbl_Data[[#This Row],[Adj. per unit Incentive ($)]]/tbl_Data[[#This Row],[kWh Savings]]*tbl_Data[[#This Row],[Sum of Annuals]]</f>
        <v>0</v>
      </c>
      <c r="AW823" s="81" t="str">
        <f>IFERROR(VLOOKUP(tbl_Data[[#This Row],[Column1]],'1. Set Program Names'!$B$2:$D$15,3,0)*tbl_Data[[#This Row],[Sum of Annuals]],"")</f>
        <v/>
      </c>
      <c r="AX823" s="81">
        <f>tbl_Data[[#This Row],[per unit IRA tax ($)]]/tbl_Data[[#This Row],[kWh Savings]]*tbl_Data[[#This Row],[Sum of Annuals]]</f>
        <v>0</v>
      </c>
      <c r="AY823" s="81">
        <f>tbl_Data[[#This Row],[Avoided Costs ($/unit)]]/tbl_Data[[#This Row],[kWh Savings]]*tbl_Data[[#This Row],[Sum of Annuals]]</f>
        <v>7.7250076184686263</v>
      </c>
      <c r="AZ823" s="81">
        <f>tbl_Data[[#This Row],[Lost Revenue ($/unit)]]/tbl_Data[[#This Row],[kWh Savings]]*tbl_Data[[#This Row],[Sum of Annuals]]</f>
        <v>18.868903505350897</v>
      </c>
      <c r="BA823" s="81">
        <f>tbl_Data[[#This Row],[Incremental Cost ($/unit)]]/tbl_Data[[#This Row],[kWh Savings]]*tbl_Data[[#This Row],[Sum of Annuals]]</f>
        <v>5.8268285924381162</v>
      </c>
      <c r="BB823" s="77">
        <f>ROUNDUP(tbl_Data[[#This Row],[Adjusted 2025]]/$L823,0)</f>
        <v>1</v>
      </c>
      <c r="BC823" s="77">
        <f>ROUNDUP(tbl_Data[[#This Row],[Adjusted 2026]]/$L823,0)</f>
        <v>1</v>
      </c>
      <c r="BD823" s="77">
        <f>ROUNDUP(tbl_Data[[#This Row],[Adjusted 2027]]/$L823,0)</f>
        <v>1</v>
      </c>
      <c r="BE823" s="77">
        <f>ROUNDUP(tbl_Data[[#This Row],[Adjusted 2028]]/$L823,0)</f>
        <v>1</v>
      </c>
      <c r="BF823" s="77">
        <f>ROUNDUP(tbl_Data[[#This Row],[Adjusted 2029]]/$L823,0)</f>
        <v>1</v>
      </c>
      <c r="BG823" s="77">
        <f>ROUNDUP(tbl_Data[[#This Row],[Adjusted 2030]]/$L823,0)</f>
        <v>1</v>
      </c>
      <c r="BH823" s="77">
        <f>ROUNDUP(tbl_Data[[#This Row],[Adjusted 2031]]/$L823,0)</f>
        <v>1</v>
      </c>
      <c r="BI823" s="77">
        <f>ROUNDUP(tbl_Data[[#This Row],[Adjusted 2032]]/$L823,0)</f>
        <v>1</v>
      </c>
      <c r="BJ823" s="77">
        <f>ROUNDUP(tbl_Data[[#This Row],[Adjusted 2033]]/$L823,0)</f>
        <v>1</v>
      </c>
      <c r="BK823" s="77">
        <f>ROUNDUP(tbl_Data[[#This Row],[Adjusted 2034]]/$L823,0)</f>
        <v>1</v>
      </c>
      <c r="BL823" s="80">
        <f t="shared" si="342"/>
        <v>0</v>
      </c>
      <c r="BM823" s="80">
        <f t="shared" si="343"/>
        <v>0</v>
      </c>
      <c r="BN823" s="80">
        <f t="shared" si="344"/>
        <v>0</v>
      </c>
      <c r="BO823" s="80">
        <f t="shared" si="345"/>
        <v>0</v>
      </c>
      <c r="BP823" s="80">
        <f t="shared" si="346"/>
        <v>0</v>
      </c>
      <c r="BQ823" s="80">
        <f t="shared" si="347"/>
        <v>0</v>
      </c>
      <c r="BR823" s="80">
        <f t="shared" si="348"/>
        <v>0</v>
      </c>
      <c r="BS823" s="80">
        <f t="shared" si="349"/>
        <v>0</v>
      </c>
      <c r="BT823" s="80">
        <f t="shared" si="350"/>
        <v>0</v>
      </c>
      <c r="BU823" s="80">
        <f t="shared" si="351"/>
        <v>0</v>
      </c>
      <c r="BV823" s="80" t="str">
        <f>IFERROR(VLOOKUP($H823,'1. Set Program Names'!$B$2:$D$15,3,0)*V823,"NA")</f>
        <v>NA</v>
      </c>
      <c r="BW823" s="80" t="str">
        <f>IFERROR(VLOOKUP($H823,'1. Set Program Names'!$B$2:$D$15,3,0)*W823,"NA")</f>
        <v>NA</v>
      </c>
      <c r="BX823" s="80" t="str">
        <f>IFERROR(VLOOKUP($H823,'1. Set Program Names'!$B$2:$D$15,3,0)*X823,"NA")</f>
        <v>NA</v>
      </c>
      <c r="BY823" s="80" t="str">
        <f>IFERROR(VLOOKUP($H823,'1. Set Program Names'!$B$2:$D$15,3,0)*Y823,"NA")</f>
        <v>NA</v>
      </c>
      <c r="BZ823" s="80" t="str">
        <f>IFERROR(VLOOKUP($H823,'1. Set Program Names'!$B$2:$D$15,3,0)*Z823,"NA")</f>
        <v>NA</v>
      </c>
      <c r="CA823" s="80" t="str">
        <f>IFERROR(VLOOKUP($H823,'1. Set Program Names'!$B$2:$D$15,3,0)*AA823,"NA")</f>
        <v>NA</v>
      </c>
      <c r="CB823" s="80" t="str">
        <f>IFERROR(VLOOKUP($H823,'1. Set Program Names'!$B$2:$D$15,3,0)*AB823,"NA")</f>
        <v>NA</v>
      </c>
      <c r="CC823" s="80" t="str">
        <f>IFERROR(VLOOKUP($H823,'1. Set Program Names'!$B$2:$D$15,3,0)*AC823,"NA")</f>
        <v>NA</v>
      </c>
      <c r="CD823" s="80" t="str">
        <f>IFERROR(VLOOKUP($H823,'1. Set Program Names'!$B$2:$D$15,3,0)*AD823,"NA")</f>
        <v>NA</v>
      </c>
      <c r="CE823" s="80" t="str">
        <f>IFERROR(VLOOKUP($H823,'1. Set Program Names'!$B$2:$D$15,3,0)*AE823,"NA")</f>
        <v>NA</v>
      </c>
    </row>
    <row r="824" spans="1:83" x14ac:dyDescent="0.25">
      <c r="A824" s="79" t="s">
        <v>116</v>
      </c>
      <c r="B824" s="79" t="s">
        <v>88</v>
      </c>
      <c r="C824" s="79" t="s">
        <v>176</v>
      </c>
      <c r="D824" s="79" t="s">
        <v>90</v>
      </c>
      <c r="E824" s="79" t="s">
        <v>91</v>
      </c>
      <c r="F824" s="79" t="s">
        <v>90</v>
      </c>
      <c r="G824" s="79" t="s">
        <v>92</v>
      </c>
      <c r="H824" s="79" t="s">
        <v>268</v>
      </c>
      <c r="I824" s="79" t="s">
        <v>192</v>
      </c>
      <c r="J824" s="79" t="s">
        <v>191</v>
      </c>
      <c r="K824" s="79" t="s">
        <v>98</v>
      </c>
      <c r="L824" s="79">
        <v>437.76000000000101</v>
      </c>
      <c r="M824" s="79">
        <v>5.1641585449826798E-2</v>
      </c>
      <c r="N824" s="79">
        <v>5.0458532140799497E-2</v>
      </c>
      <c r="O824" s="79">
        <v>163</v>
      </c>
      <c r="P824" s="79">
        <v>74.943684252843894</v>
      </c>
      <c r="Q824" s="79">
        <v>0.43776000000000098</v>
      </c>
      <c r="R824" s="79">
        <v>182.14532670521001</v>
      </c>
      <c r="S824" s="79">
        <v>444.90345683730902</v>
      </c>
      <c r="T824" s="79">
        <v>14</v>
      </c>
      <c r="U824" s="79">
        <v>0.999999999999999</v>
      </c>
      <c r="V824" s="79">
        <f>tbl_Data_old[[#This Row],[2025 ]]*IFERROR(AVERAGEIFS('Participation Adjustment'!$C:$C,'Participation Adjustment'!$A:$A,$H824,'Participation Adjustment'!$B:$B,$I824),1)</f>
        <v>1.6652276060025999</v>
      </c>
      <c r="W824" s="79">
        <f>tbl_Data_old[[#This Row],[2026 ]]*IFERROR(AVERAGEIFS('Participation Adjustment'!$C:$C,'Participation Adjustment'!$A:$A,$H824,'Participation Adjustment'!$B:$B,$I824),1)</f>
        <v>1.8937488421676101</v>
      </c>
      <c r="X824" s="79">
        <f>tbl_Data_old[[#This Row],[2027 ]]*IFERROR(AVERAGEIFS('Participation Adjustment'!$C:$C,'Participation Adjustment'!$A:$A,$H824,'Participation Adjustment'!$B:$B,$I824),1)</f>
        <v>2.0927705795345601</v>
      </c>
      <c r="Y824" s="79">
        <f>tbl_Data_old[[#This Row],[2028 ]]*IFERROR(AVERAGEIFS('Participation Adjustment'!$C:$C,'Participation Adjustment'!$A:$A,$H824,'Participation Adjustment'!$B:$B,$I824),1)</f>
        <v>2.2896804871667298</v>
      </c>
      <c r="Z824" s="79">
        <f>tbl_Data_old[[#This Row],[2029 ]]*IFERROR(AVERAGEIFS('Participation Adjustment'!$C:$C,'Participation Adjustment'!$A:$A,$H824,'Participation Adjustment'!$B:$B,$I824),1)</f>
        <v>2.4603415007890899</v>
      </c>
      <c r="AA824" s="79">
        <f>tbl_Data_old[[#This Row],[2030 ]]*IFERROR(AVERAGEIFS('Participation Adjustment'!$C:$C,'Participation Adjustment'!$A:$A,$H824,'Participation Adjustment'!$B:$B,$I824),1)</f>
        <v>2.61917688765159</v>
      </c>
      <c r="AB824" s="79">
        <f>tbl_Data_old[[#This Row],[2031 ]]*IFERROR(AVERAGEIFS('Participation Adjustment'!$C:$C,'Participation Adjustment'!$A:$A,$H824,'Participation Adjustment'!$B:$B,$I824),1)</f>
        <v>2.7685912698481898</v>
      </c>
      <c r="AC824" s="79">
        <f>tbl_Data_old[[#This Row],[2032 ]]*IFERROR(AVERAGEIFS('Participation Adjustment'!$C:$C,'Participation Adjustment'!$A:$A,$H824,'Participation Adjustment'!$B:$B,$I824),1)</f>
        <v>2.9043505550780799</v>
      </c>
      <c r="AD824" s="79">
        <f>tbl_Data_old[[#This Row],[2033 ]]*IFERROR(AVERAGEIFS('Participation Adjustment'!$C:$C,'Participation Adjustment'!$A:$A,$H824,'Participation Adjustment'!$B:$B,$I824),1)</f>
        <v>3.03737475694526</v>
      </c>
      <c r="AE824" s="79">
        <f>tbl_Data_old[[#This Row],[2034 ]]*IFERROR(AVERAGEIFS('Participation Adjustment'!$C:$C,'Participation Adjustment'!$A:$A,$H824,'Participation Adjustment'!$B:$B,$I824),1)</f>
        <v>3.1635897424217001</v>
      </c>
      <c r="AF824" s="77" t="str">
        <f t="shared" si="341"/>
        <v>NonResidential</v>
      </c>
      <c r="AG824" s="77" t="str">
        <f>tbl_Data[[#This Row],[All_Meas_Name_Append]]</f>
        <v>Synchronous Belt on 5hp ODP Motor</v>
      </c>
      <c r="AH824" s="77">
        <f>AVERAGEIFS('3. Incentive Adjustment'!G:G,'3. Incentive Adjustment'!A:A,tbl_Data[[#This Row],[Trimmed Sector]],'3. Incentive Adjustment'!B:B,tbl_Data[[#This Row],[Trimmed Measure Name]])</f>
        <v>0.63653870706597271</v>
      </c>
      <c r="AI824" s="77">
        <f>$AH824*tbl_Data[[#This Row],[2025 ]]</f>
        <v>1.05998182729546</v>
      </c>
      <c r="AJ824" s="77">
        <f>$AH824*tbl_Data[[#This Row],[2026 ]]</f>
        <v>1.2054444395010533</v>
      </c>
      <c r="AK824" s="77">
        <f>$AH824*tbl_Data[[#This Row],[2027 ]]</f>
        <v>1.3321294788826352</v>
      </c>
      <c r="AL824" s="77">
        <f>$AH824*tbl_Data[[#This Row],[2028 ]]</f>
        <v>1.4574702568952966</v>
      </c>
      <c r="AM824" s="77">
        <f>$AH824*tbl_Data[[#This Row],[2029 ]]</f>
        <v>1.5661025978530421</v>
      </c>
      <c r="AN824" s="77">
        <f>$AH824*tbl_Data[[#This Row],[2030 ]]</f>
        <v>1.6672074696428216</v>
      </c>
      <c r="AO824" s="77">
        <f>$AH824*tbl_Data[[#This Row],[2031 ]]</f>
        <v>1.7623155073033063</v>
      </c>
      <c r="AP824" s="77">
        <f>$AH824*tbl_Data[[#This Row],[2032 ]]</f>
        <v>1.8487315471957411</v>
      </c>
      <c r="AQ824" s="77">
        <f>$AH824*tbl_Data[[#This Row],[2033 ]]</f>
        <v>1.9334066006607589</v>
      </c>
      <c r="AR824" s="77">
        <f>$AH824*tbl_Data[[#This Row],[2034 ]]</f>
        <v>2.0137473243282824</v>
      </c>
      <c r="AS824" s="77">
        <f>SUM(tbl_Data[[#This Row],[Adjusted 2025]:[Adjusted 2034]])</f>
        <v>15.846537049558398</v>
      </c>
      <c r="AT824" s="80">
        <f>AVERAGEIFS('3. Incentive Adjustment'!F:F,'3. Incentive Adjustment'!A:A,tbl_Data[[#This Row],[Trimmed Sector]],'3. Incentive Adjustment'!B:B,tbl_Data[[#This Row],[Trimmed Measure Name]])</f>
        <v>0</v>
      </c>
      <c r="AU824" s="80">
        <f>IFERROR(VLOOKUP(tbl_Data[[#This Row],[All_Meas_Name_Append]],'IRA Tax Credits'!$A$3:$D$46,4,0),0)</f>
        <v>0</v>
      </c>
      <c r="AV824" s="81">
        <f>tbl_Data[[#This Row],[Adj. per unit Incentive ($)]]/tbl_Data[[#This Row],[kWh Savings]]*tbl_Data[[#This Row],[Sum of Annuals]]</f>
        <v>0</v>
      </c>
      <c r="AW824" s="81" t="str">
        <f>IFERROR(VLOOKUP(tbl_Data[[#This Row],[Column1]],'1. Set Program Names'!$B$2:$D$15,3,0)*tbl_Data[[#This Row],[Sum of Annuals]],"")</f>
        <v/>
      </c>
      <c r="AX824" s="81">
        <f>tbl_Data[[#This Row],[per unit IRA tax ($)]]/tbl_Data[[#This Row],[kWh Savings]]*tbl_Data[[#This Row],[Sum of Annuals]]</f>
        <v>0</v>
      </c>
      <c r="AY824" s="81">
        <f>tbl_Data[[#This Row],[Avoided Costs ($/unit)]]/tbl_Data[[#This Row],[kWh Savings]]*tbl_Data[[#This Row],[Sum of Annuals]]</f>
        <v>6.5935048155108333</v>
      </c>
      <c r="AZ824" s="81">
        <f>tbl_Data[[#This Row],[Lost Revenue ($/unit)]]/tbl_Data[[#This Row],[kWh Savings]]*tbl_Data[[#This Row],[Sum of Annuals]]</f>
        <v>16.105124068551277</v>
      </c>
      <c r="BA824" s="81">
        <f>tbl_Data[[#This Row],[Incremental Cost ($/unit)]]/tbl_Data[[#This Row],[kWh Savings]]*tbl_Data[[#This Row],[Sum of Annuals]]</f>
        <v>5.9004603871482386</v>
      </c>
      <c r="BB824" s="77">
        <f>ROUNDUP(tbl_Data[[#This Row],[Adjusted 2025]]/$L824,0)</f>
        <v>1</v>
      </c>
      <c r="BC824" s="77">
        <f>ROUNDUP(tbl_Data[[#This Row],[Adjusted 2026]]/$L824,0)</f>
        <v>1</v>
      </c>
      <c r="BD824" s="77">
        <f>ROUNDUP(tbl_Data[[#This Row],[Adjusted 2027]]/$L824,0)</f>
        <v>1</v>
      </c>
      <c r="BE824" s="77">
        <f>ROUNDUP(tbl_Data[[#This Row],[Adjusted 2028]]/$L824,0)</f>
        <v>1</v>
      </c>
      <c r="BF824" s="77">
        <f>ROUNDUP(tbl_Data[[#This Row],[Adjusted 2029]]/$L824,0)</f>
        <v>1</v>
      </c>
      <c r="BG824" s="77">
        <f>ROUNDUP(tbl_Data[[#This Row],[Adjusted 2030]]/$L824,0)</f>
        <v>1</v>
      </c>
      <c r="BH824" s="77">
        <f>ROUNDUP(tbl_Data[[#This Row],[Adjusted 2031]]/$L824,0)</f>
        <v>1</v>
      </c>
      <c r="BI824" s="77">
        <f>ROUNDUP(tbl_Data[[#This Row],[Adjusted 2032]]/$L824,0)</f>
        <v>1</v>
      </c>
      <c r="BJ824" s="77">
        <f>ROUNDUP(tbl_Data[[#This Row],[Adjusted 2033]]/$L824,0)</f>
        <v>1</v>
      </c>
      <c r="BK824" s="77">
        <f>ROUNDUP(tbl_Data[[#This Row],[Adjusted 2034]]/$L824,0)</f>
        <v>1</v>
      </c>
      <c r="BL824" s="80">
        <f t="shared" si="342"/>
        <v>0</v>
      </c>
      <c r="BM824" s="80">
        <f t="shared" si="343"/>
        <v>0</v>
      </c>
      <c r="BN824" s="80">
        <f t="shared" si="344"/>
        <v>0</v>
      </c>
      <c r="BO824" s="80">
        <f t="shared" si="345"/>
        <v>0</v>
      </c>
      <c r="BP824" s="80">
        <f t="shared" si="346"/>
        <v>0</v>
      </c>
      <c r="BQ824" s="80">
        <f t="shared" si="347"/>
        <v>0</v>
      </c>
      <c r="BR824" s="80">
        <f t="shared" si="348"/>
        <v>0</v>
      </c>
      <c r="BS824" s="80">
        <f t="shared" si="349"/>
        <v>0</v>
      </c>
      <c r="BT824" s="80">
        <f t="shared" si="350"/>
        <v>0</v>
      </c>
      <c r="BU824" s="80">
        <f t="shared" si="351"/>
        <v>0</v>
      </c>
      <c r="BV824" s="80" t="str">
        <f>IFERROR(VLOOKUP($H824,'1. Set Program Names'!$B$2:$D$15,3,0)*V824,"NA")</f>
        <v>NA</v>
      </c>
      <c r="BW824" s="80" t="str">
        <f>IFERROR(VLOOKUP($H824,'1. Set Program Names'!$B$2:$D$15,3,0)*W824,"NA")</f>
        <v>NA</v>
      </c>
      <c r="BX824" s="80" t="str">
        <f>IFERROR(VLOOKUP($H824,'1. Set Program Names'!$B$2:$D$15,3,0)*X824,"NA")</f>
        <v>NA</v>
      </c>
      <c r="BY824" s="80" t="str">
        <f>IFERROR(VLOOKUP($H824,'1. Set Program Names'!$B$2:$D$15,3,0)*Y824,"NA")</f>
        <v>NA</v>
      </c>
      <c r="BZ824" s="80" t="str">
        <f>IFERROR(VLOOKUP($H824,'1. Set Program Names'!$B$2:$D$15,3,0)*Z824,"NA")</f>
        <v>NA</v>
      </c>
      <c r="CA824" s="80" t="str">
        <f>IFERROR(VLOOKUP($H824,'1. Set Program Names'!$B$2:$D$15,3,0)*AA824,"NA")</f>
        <v>NA</v>
      </c>
      <c r="CB824" s="80" t="str">
        <f>IFERROR(VLOOKUP($H824,'1. Set Program Names'!$B$2:$D$15,3,0)*AB824,"NA")</f>
        <v>NA</v>
      </c>
      <c r="CC824" s="80" t="str">
        <f>IFERROR(VLOOKUP($H824,'1. Set Program Names'!$B$2:$D$15,3,0)*AC824,"NA")</f>
        <v>NA</v>
      </c>
      <c r="CD824" s="80" t="str">
        <f>IFERROR(VLOOKUP($H824,'1. Set Program Names'!$B$2:$D$15,3,0)*AD824,"NA")</f>
        <v>NA</v>
      </c>
      <c r="CE824" s="80" t="str">
        <f>IFERROR(VLOOKUP($H824,'1. Set Program Names'!$B$2:$D$15,3,0)*AE824,"NA")</f>
        <v>NA</v>
      </c>
    </row>
    <row r="825" spans="1:83" x14ac:dyDescent="0.25">
      <c r="A825" s="79" t="s">
        <v>116</v>
      </c>
      <c r="B825" s="79" t="s">
        <v>88</v>
      </c>
      <c r="C825" s="79" t="s">
        <v>176</v>
      </c>
      <c r="D825" s="79" t="s">
        <v>90</v>
      </c>
      <c r="E825" s="79" t="s">
        <v>91</v>
      </c>
      <c r="F825" s="79" t="s">
        <v>90</v>
      </c>
      <c r="G825" s="79" t="s">
        <v>92</v>
      </c>
      <c r="H825" s="79" t="s">
        <v>268</v>
      </c>
      <c r="I825" s="79" t="s">
        <v>193</v>
      </c>
      <c r="J825" s="79" t="s">
        <v>191</v>
      </c>
      <c r="K825" s="79" t="s">
        <v>98</v>
      </c>
      <c r="L825" s="79">
        <v>12009.57</v>
      </c>
      <c r="M825" s="79">
        <v>1.41674258810918</v>
      </c>
      <c r="N825" s="79">
        <v>1.38428653564094</v>
      </c>
      <c r="O825" s="79">
        <v>2450</v>
      </c>
      <c r="P825" s="79">
        <v>34.250530181900103</v>
      </c>
      <c r="Q825" s="79">
        <v>12.00957</v>
      </c>
      <c r="R825" s="79">
        <v>4997.0007566682498</v>
      </c>
      <c r="S825" s="79">
        <v>12205.544609214199</v>
      </c>
      <c r="T825" s="79">
        <v>14</v>
      </c>
      <c r="U825" s="79">
        <v>0.999999999999999</v>
      </c>
      <c r="V825" s="79">
        <f>tbl_Data_old[[#This Row],[2025 ]]*IFERROR(AVERAGEIFS('Participation Adjustment'!$C:$C,'Participation Adjustment'!$A:$A,$H825,'Participation Adjustment'!$B:$B,$I825),1)</f>
        <v>1.67590217174394</v>
      </c>
      <c r="W825" s="79">
        <f>tbl_Data_old[[#This Row],[2026 ]]*IFERROR(AVERAGEIFS('Participation Adjustment'!$C:$C,'Participation Adjustment'!$A:$A,$H825,'Participation Adjustment'!$B:$B,$I825),1)</f>
        <v>1.9076223283290901</v>
      </c>
      <c r="X825" s="79">
        <f>tbl_Data_old[[#This Row],[2027 ]]*IFERROR(AVERAGEIFS('Participation Adjustment'!$C:$C,'Participation Adjustment'!$A:$A,$H825,'Participation Adjustment'!$B:$B,$I825),1)</f>
        <v>2.10992865139362</v>
      </c>
      <c r="Y825" s="79">
        <f>tbl_Data_old[[#This Row],[2028 ]]*IFERROR(AVERAGEIFS('Participation Adjustment'!$C:$C,'Participation Adjustment'!$A:$A,$H825,'Participation Adjustment'!$B:$B,$I825),1)</f>
        <v>2.31052574826183</v>
      </c>
      <c r="Z825" s="79">
        <f>tbl_Data_old[[#This Row],[2029 ]]*IFERROR(AVERAGEIFS('Participation Adjustment'!$C:$C,'Participation Adjustment'!$A:$A,$H825,'Participation Adjustment'!$B:$B,$I825),1)</f>
        <v>2.48452940018195</v>
      </c>
      <c r="AA825" s="79">
        <f>tbl_Data_old[[#This Row],[2030 ]]*IFERROR(AVERAGEIFS('Participation Adjustment'!$C:$C,'Participation Adjustment'!$A:$A,$H825,'Participation Adjustment'!$B:$B,$I825),1)</f>
        <v>2.64671178844667</v>
      </c>
      <c r="AB825" s="79">
        <f>tbl_Data_old[[#This Row],[2031 ]]*IFERROR(AVERAGEIFS('Participation Adjustment'!$C:$C,'Participation Adjustment'!$A:$A,$H825,'Participation Adjustment'!$B:$B,$I825),1)</f>
        <v>2.7993892854048101</v>
      </c>
      <c r="AC825" s="79">
        <f>tbl_Data_old[[#This Row],[2032 ]]*IFERROR(AVERAGEIFS('Participation Adjustment'!$C:$C,'Participation Adjustment'!$A:$A,$H825,'Participation Adjustment'!$B:$B,$I825),1)</f>
        <v>2.93794277933207</v>
      </c>
      <c r="AD825" s="79">
        <f>tbl_Data_old[[#This Row],[2033 ]]*IFERROR(AVERAGEIFS('Participation Adjustment'!$C:$C,'Participation Adjustment'!$A:$A,$H825,'Participation Adjustment'!$B:$B,$I825),1)</f>
        <v>3.0737759264742102</v>
      </c>
      <c r="AE825" s="79">
        <f>tbl_Data_old[[#This Row],[2034 ]]*IFERROR(AVERAGEIFS('Participation Adjustment'!$C:$C,'Participation Adjustment'!$A:$A,$H825,'Participation Adjustment'!$B:$B,$I825),1)</f>
        <v>3.2025698872187598</v>
      </c>
      <c r="AF825" s="77" t="str">
        <f t="shared" si="341"/>
        <v>NonResidential</v>
      </c>
      <c r="AG825" s="77" t="str">
        <f>tbl_Data[[#This Row],[All_Meas_Name_Append]]</f>
        <v>Synchronous Belt on 75hp ODP Motor</v>
      </c>
      <c r="AH825" s="77">
        <f>AVERAGEIFS('3. Incentive Adjustment'!G:G,'3. Incentive Adjustment'!A:A,tbl_Data[[#This Row],[Trimmed Sector]],'3. Incentive Adjustment'!B:B,tbl_Data[[#This Row],[Trimmed Measure Name]])</f>
        <v>0.99250334293493969</v>
      </c>
      <c r="AI825" s="77">
        <f>$AH825*tbl_Data[[#This Row],[2025 ]]</f>
        <v>1.6633385078877858</v>
      </c>
      <c r="AJ825" s="77">
        <f>$AH825*tbl_Data[[#This Row],[2026 ]]</f>
        <v>1.893321537923955</v>
      </c>
      <c r="AK825" s="77">
        <f>$AH825*tbl_Data[[#This Row],[2027 ]]</f>
        <v>2.0941112398623769</v>
      </c>
      <c r="AL825" s="77">
        <f>$AH825*tbl_Data[[#This Row],[2028 ]]</f>
        <v>2.2932045290871192</v>
      </c>
      <c r="AM825" s="77">
        <f>$AH825*tbl_Data[[#This Row],[2029 ]]</f>
        <v>2.465903735300726</v>
      </c>
      <c r="AN825" s="77">
        <f>$AH825*tbl_Data[[#This Row],[2030 ]]</f>
        <v>2.6268702978186327</v>
      </c>
      <c r="AO825" s="77">
        <f>$AH825*tbl_Data[[#This Row],[2031 ]]</f>
        <v>2.7784032239405261</v>
      </c>
      <c r="AP825" s="77">
        <f>$AH825*tbl_Data[[#This Row],[2032 ]]</f>
        <v>2.9159180298386476</v>
      </c>
      <c r="AQ825" s="77">
        <f>$AH825*tbl_Data[[#This Row],[2033 ]]</f>
        <v>3.0507328824585951</v>
      </c>
      <c r="AR825" s="77">
        <f>$AH825*tbl_Data[[#This Row],[2034 ]]</f>
        <v>3.1785613190473918</v>
      </c>
      <c r="AS825" s="77">
        <f>SUM(tbl_Data[[#This Row],[Adjusted 2025]:[Adjusted 2034]])</f>
        <v>24.960365303165755</v>
      </c>
      <c r="AT825" s="80">
        <f>AVERAGEIFS('3. Incentive Adjustment'!F:F,'3. Incentive Adjustment'!A:A,tbl_Data[[#This Row],[Trimmed Sector]],'3. Incentive Adjustment'!B:B,tbl_Data[[#This Row],[Trimmed Measure Name]])</f>
        <v>0</v>
      </c>
      <c r="AU825" s="80">
        <f>IFERROR(VLOOKUP(tbl_Data[[#This Row],[All_Meas_Name_Append]],'IRA Tax Credits'!$A$3:$D$46,4,0),0)</f>
        <v>0</v>
      </c>
      <c r="AV825" s="81">
        <f>tbl_Data[[#This Row],[Adj. per unit Incentive ($)]]/tbl_Data[[#This Row],[kWh Savings]]*tbl_Data[[#This Row],[Sum of Annuals]]</f>
        <v>0</v>
      </c>
      <c r="AW825" s="81" t="str">
        <f>IFERROR(VLOOKUP(tbl_Data[[#This Row],[Column1]],'1. Set Program Names'!$B$2:$D$15,3,0)*tbl_Data[[#This Row],[Sum of Annuals]],"")</f>
        <v/>
      </c>
      <c r="AX825" s="81">
        <f>tbl_Data[[#This Row],[per unit IRA tax ($)]]/tbl_Data[[#This Row],[kWh Savings]]*tbl_Data[[#This Row],[Sum of Annuals]]</f>
        <v>0</v>
      </c>
      <c r="AY825" s="81">
        <f>tbl_Data[[#This Row],[Avoided Costs ($/unit)]]/tbl_Data[[#This Row],[kWh Savings]]*tbl_Data[[#This Row],[Sum of Annuals]]</f>
        <v>10.385631151376378</v>
      </c>
      <c r="AZ825" s="81">
        <f>tbl_Data[[#This Row],[Lost Revenue ($/unit)]]/tbl_Data[[#This Row],[kWh Savings]]*tbl_Data[[#This Row],[Sum of Annuals]]</f>
        <v>25.367673627787834</v>
      </c>
      <c r="BA825" s="81">
        <f>tbl_Data[[#This Row],[Incremental Cost ($/unit)]]/tbl_Data[[#This Row],[kWh Savings]]*tbl_Data[[#This Row],[Sum of Annuals]]</f>
        <v>5.0920137018024878</v>
      </c>
      <c r="BB825" s="77">
        <f>ROUNDUP(tbl_Data[[#This Row],[Adjusted 2025]]/$L825,0)</f>
        <v>1</v>
      </c>
      <c r="BC825" s="77">
        <f>ROUNDUP(tbl_Data[[#This Row],[Adjusted 2026]]/$L825,0)</f>
        <v>1</v>
      </c>
      <c r="BD825" s="77">
        <f>ROUNDUP(tbl_Data[[#This Row],[Adjusted 2027]]/$L825,0)</f>
        <v>1</v>
      </c>
      <c r="BE825" s="77">
        <f>ROUNDUP(tbl_Data[[#This Row],[Adjusted 2028]]/$L825,0)</f>
        <v>1</v>
      </c>
      <c r="BF825" s="77">
        <f>ROUNDUP(tbl_Data[[#This Row],[Adjusted 2029]]/$L825,0)</f>
        <v>1</v>
      </c>
      <c r="BG825" s="77">
        <f>ROUNDUP(tbl_Data[[#This Row],[Adjusted 2030]]/$L825,0)</f>
        <v>1</v>
      </c>
      <c r="BH825" s="77">
        <f>ROUNDUP(tbl_Data[[#This Row],[Adjusted 2031]]/$L825,0)</f>
        <v>1</v>
      </c>
      <c r="BI825" s="77">
        <f>ROUNDUP(tbl_Data[[#This Row],[Adjusted 2032]]/$L825,0)</f>
        <v>1</v>
      </c>
      <c r="BJ825" s="77">
        <f>ROUNDUP(tbl_Data[[#This Row],[Adjusted 2033]]/$L825,0)</f>
        <v>1</v>
      </c>
      <c r="BK825" s="77">
        <f>ROUNDUP(tbl_Data[[#This Row],[Adjusted 2034]]/$L825,0)</f>
        <v>1</v>
      </c>
      <c r="BL825" s="80">
        <f t="shared" si="342"/>
        <v>0</v>
      </c>
      <c r="BM825" s="80">
        <f t="shared" si="343"/>
        <v>0</v>
      </c>
      <c r="BN825" s="80">
        <f t="shared" si="344"/>
        <v>0</v>
      </c>
      <c r="BO825" s="80">
        <f t="shared" si="345"/>
        <v>0</v>
      </c>
      <c r="BP825" s="80">
        <f t="shared" si="346"/>
        <v>0</v>
      </c>
      <c r="BQ825" s="80">
        <f t="shared" si="347"/>
        <v>0</v>
      </c>
      <c r="BR825" s="80">
        <f t="shared" si="348"/>
        <v>0</v>
      </c>
      <c r="BS825" s="80">
        <f t="shared" si="349"/>
        <v>0</v>
      </c>
      <c r="BT825" s="80">
        <f t="shared" si="350"/>
        <v>0</v>
      </c>
      <c r="BU825" s="80">
        <f t="shared" si="351"/>
        <v>0</v>
      </c>
      <c r="BV825" s="80" t="str">
        <f>IFERROR(VLOOKUP($H825,'1. Set Program Names'!$B$2:$D$15,3,0)*V825,"NA")</f>
        <v>NA</v>
      </c>
      <c r="BW825" s="80" t="str">
        <f>IFERROR(VLOOKUP($H825,'1. Set Program Names'!$B$2:$D$15,3,0)*W825,"NA")</f>
        <v>NA</v>
      </c>
      <c r="BX825" s="80" t="str">
        <f>IFERROR(VLOOKUP($H825,'1. Set Program Names'!$B$2:$D$15,3,0)*X825,"NA")</f>
        <v>NA</v>
      </c>
      <c r="BY825" s="80" t="str">
        <f>IFERROR(VLOOKUP($H825,'1. Set Program Names'!$B$2:$D$15,3,0)*Y825,"NA")</f>
        <v>NA</v>
      </c>
      <c r="BZ825" s="80" t="str">
        <f>IFERROR(VLOOKUP($H825,'1. Set Program Names'!$B$2:$D$15,3,0)*Z825,"NA")</f>
        <v>NA</v>
      </c>
      <c r="CA825" s="80" t="str">
        <f>IFERROR(VLOOKUP($H825,'1. Set Program Names'!$B$2:$D$15,3,0)*AA825,"NA")</f>
        <v>NA</v>
      </c>
      <c r="CB825" s="80" t="str">
        <f>IFERROR(VLOOKUP($H825,'1. Set Program Names'!$B$2:$D$15,3,0)*AB825,"NA")</f>
        <v>NA</v>
      </c>
      <c r="CC825" s="80" t="str">
        <f>IFERROR(VLOOKUP($H825,'1. Set Program Names'!$B$2:$D$15,3,0)*AC825,"NA")</f>
        <v>NA</v>
      </c>
      <c r="CD825" s="80" t="str">
        <f>IFERROR(VLOOKUP($H825,'1. Set Program Names'!$B$2:$D$15,3,0)*AD825,"NA")</f>
        <v>NA</v>
      </c>
      <c r="CE825" s="80" t="str">
        <f>IFERROR(VLOOKUP($H825,'1. Set Program Names'!$B$2:$D$15,3,0)*AE825,"NA")</f>
        <v>NA</v>
      </c>
    </row>
    <row r="826" spans="1:83" x14ac:dyDescent="0.25">
      <c r="A826" s="79" t="s">
        <v>117</v>
      </c>
      <c r="B826" s="79" t="s">
        <v>88</v>
      </c>
      <c r="C826" s="79" t="s">
        <v>176</v>
      </c>
      <c r="D826" s="79" t="s">
        <v>90</v>
      </c>
      <c r="E826" s="79" t="s">
        <v>91</v>
      </c>
      <c r="F826" s="79" t="s">
        <v>90</v>
      </c>
      <c r="G826" s="79" t="s">
        <v>92</v>
      </c>
      <c r="H826" s="79" t="s">
        <v>268</v>
      </c>
      <c r="I826" s="79" t="s">
        <v>179</v>
      </c>
      <c r="J826" s="79" t="s">
        <v>180</v>
      </c>
      <c r="K826" s="79" t="s">
        <v>98</v>
      </c>
      <c r="L826" s="79">
        <v>2684</v>
      </c>
      <c r="M826" s="79">
        <v>0.32197664062426901</v>
      </c>
      <c r="N826" s="79">
        <v>0.310035778837426</v>
      </c>
      <c r="O826" s="79">
        <v>1119</v>
      </c>
      <c r="P826" s="79">
        <v>579.10793250784297</v>
      </c>
      <c r="Q826" s="79">
        <v>2.6840000000000002</v>
      </c>
      <c r="R826" s="79">
        <v>1432.5808011563199</v>
      </c>
      <c r="S826" s="79">
        <v>4046.00364167834</v>
      </c>
      <c r="T826" s="79">
        <v>30</v>
      </c>
      <c r="U826" s="79">
        <v>1</v>
      </c>
      <c r="V826" s="79">
        <f>tbl_Data_old[[#This Row],[2025 ]]*IFERROR(AVERAGEIFS('Participation Adjustment'!$C:$C,'Participation Adjustment'!$A:$A,$H826,'Participation Adjustment'!$B:$B,$I826),1)</f>
        <v>0.17565712838057301</v>
      </c>
      <c r="W826" s="79">
        <f>tbl_Data_old[[#This Row],[2026 ]]*IFERROR(AVERAGEIFS('Participation Adjustment'!$C:$C,'Participation Adjustment'!$A:$A,$H826,'Participation Adjustment'!$B:$B,$I826),1)</f>
        <v>0.41913606658657299</v>
      </c>
      <c r="X826" s="79">
        <f>tbl_Data_old[[#This Row],[2027 ]]*IFERROR(AVERAGEIFS('Participation Adjustment'!$C:$C,'Participation Adjustment'!$A:$A,$H826,'Participation Adjustment'!$B:$B,$I826),1)</f>
        <v>0.73883348609577504</v>
      </c>
      <c r="Y826" s="79">
        <f>tbl_Data_old[[#This Row],[2028 ]]*IFERROR(AVERAGEIFS('Participation Adjustment'!$C:$C,'Participation Adjustment'!$A:$A,$H826,'Participation Adjustment'!$B:$B,$I826),1)</f>
        <v>1.1443142782281499</v>
      </c>
      <c r="Z826" s="79">
        <f>tbl_Data_old[[#This Row],[2029 ]]*IFERROR(AVERAGEIFS('Participation Adjustment'!$C:$C,'Participation Adjustment'!$A:$A,$H826,'Participation Adjustment'!$B:$B,$I826),1)</f>
        <v>1.6319117755371899</v>
      </c>
      <c r="AA826" s="79">
        <f>tbl_Data_old[[#This Row],[2030 ]]*IFERROR(AVERAGEIFS('Participation Adjustment'!$C:$C,'Participation Adjustment'!$A:$A,$H826,'Participation Adjustment'!$B:$B,$I826),1)</f>
        <v>2.19617472598999</v>
      </c>
      <c r="AB826" s="79">
        <f>tbl_Data_old[[#This Row],[2031 ]]*IFERROR(AVERAGEIFS('Participation Adjustment'!$C:$C,'Participation Adjustment'!$A:$A,$H826,'Participation Adjustment'!$B:$B,$I826),1)</f>
        <v>2.8269397213907199</v>
      </c>
      <c r="AC826" s="79">
        <f>tbl_Data_old[[#This Row],[2032 ]]*IFERROR(AVERAGEIFS('Participation Adjustment'!$C:$C,'Participation Adjustment'!$A:$A,$H826,'Participation Adjustment'!$B:$B,$I826),1)</f>
        <v>3.50913896714294</v>
      </c>
      <c r="AD826" s="79">
        <f>tbl_Data_old[[#This Row],[2033 ]]*IFERROR(AVERAGEIFS('Participation Adjustment'!$C:$C,'Participation Adjustment'!$A:$A,$H826,'Participation Adjustment'!$B:$B,$I826),1)</f>
        <v>4.2331293628002404</v>
      </c>
      <c r="AE826" s="79">
        <f>tbl_Data_old[[#This Row],[2034 ]]*IFERROR(AVERAGEIFS('Participation Adjustment'!$C:$C,'Participation Adjustment'!$A:$A,$H826,'Participation Adjustment'!$B:$B,$I826),1)</f>
        <v>4.9891954304650001</v>
      </c>
      <c r="AF826" s="77" t="str">
        <f t="shared" si="341"/>
        <v>NonResidential</v>
      </c>
      <c r="AG826" s="77" t="str">
        <f>tbl_Data[[#This Row],[All_Meas_Name_Append]]</f>
        <v>Energy Efficient Transformers</v>
      </c>
      <c r="AH826" s="77">
        <f>AVERAGEIFS('3. Incentive Adjustment'!G:G,'3. Incentive Adjustment'!A:A,tbl_Data[[#This Row],[Trimmed Sector]],'3. Incentive Adjustment'!B:B,tbl_Data[[#This Row],[Trimmed Measure Name]])</f>
        <v>0.56592396099637965</v>
      </c>
      <c r="AI826" s="77">
        <f>$AH826*tbl_Data[[#This Row],[2025 ]]</f>
        <v>9.9408577870383458E-2</v>
      </c>
      <c r="AJ826" s="77">
        <f>$AH826*tbl_Data[[#This Row],[2026 ]]</f>
        <v>0.23719914299911571</v>
      </c>
      <c r="AK826" s="77">
        <f>$AH826*tbl_Data[[#This Row],[2027 ]]</f>
        <v>0.41812357296808461</v>
      </c>
      <c r="AL826" s="77">
        <f>$AH826*tbl_Data[[#This Row],[2028 ]]</f>
        <v>0.64759486895958784</v>
      </c>
      <c r="AM826" s="77">
        <f>$AH826*tbl_Data[[#This Row],[2029 ]]</f>
        <v>0.92353797600864129</v>
      </c>
      <c r="AN826" s="77">
        <f>$AH826*tbl_Data[[#This Row],[2030 ]]</f>
        <v>1.2428678999723939</v>
      </c>
      <c r="AO826" s="77">
        <f>$AH826*tbl_Data[[#This Row],[2031 ]]</f>
        <v>1.5998329246274381</v>
      </c>
      <c r="AP826" s="77">
        <f>$AH826*tbl_Data[[#This Row],[2032 ]]</f>
        <v>1.9859058239722771</v>
      </c>
      <c r="AQ826" s="77">
        <f>$AH826*tbl_Data[[#This Row],[2033 ]]</f>
        <v>2.3956293364059928</v>
      </c>
      <c r="AR826" s="77">
        <f>$AH826*tbl_Data[[#This Row],[2034 ]]</f>
        <v>2.8235052401937901</v>
      </c>
      <c r="AS826" s="77">
        <f>SUM(tbl_Data[[#This Row],[Adjusted 2025]:[Adjusted 2034]])</f>
        <v>12.373605363977706</v>
      </c>
      <c r="AT826" s="80">
        <f>AVERAGEIFS('3. Incentive Adjustment'!F:F,'3. Incentive Adjustment'!A:A,tbl_Data[[#This Row],[Trimmed Sector]],'3. Incentive Adjustment'!B:B,tbl_Data[[#This Row],[Trimmed Measure Name]])</f>
        <v>0</v>
      </c>
      <c r="AU826" s="80">
        <f>IFERROR(VLOOKUP(tbl_Data[[#This Row],[All_Meas_Name_Append]],'IRA Tax Credits'!$A$3:$D$46,4,0),0)</f>
        <v>0</v>
      </c>
      <c r="AV826" s="81">
        <f>tbl_Data[[#This Row],[Adj. per unit Incentive ($)]]/tbl_Data[[#This Row],[kWh Savings]]*tbl_Data[[#This Row],[Sum of Annuals]]</f>
        <v>0</v>
      </c>
      <c r="AW826" s="81" t="str">
        <f>IFERROR(VLOOKUP(tbl_Data[[#This Row],[Column1]],'1. Set Program Names'!$B$2:$D$15,3,0)*tbl_Data[[#This Row],[Sum of Annuals]],"")</f>
        <v/>
      </c>
      <c r="AX826" s="81">
        <f>tbl_Data[[#This Row],[per unit IRA tax ($)]]/tbl_Data[[#This Row],[kWh Savings]]*tbl_Data[[#This Row],[Sum of Annuals]]</f>
        <v>0</v>
      </c>
      <c r="AY826" s="81">
        <f>tbl_Data[[#This Row],[Avoided Costs ($/unit)]]/tbl_Data[[#This Row],[kWh Savings]]*tbl_Data[[#This Row],[Sum of Annuals]]</f>
        <v>6.6043925057821609</v>
      </c>
      <c r="AZ826" s="81">
        <f>tbl_Data[[#This Row],[Lost Revenue ($/unit)]]/tbl_Data[[#This Row],[kWh Savings]]*tbl_Data[[#This Row],[Sum of Annuals]]</f>
        <v>18.652627557132803</v>
      </c>
      <c r="BA826" s="81">
        <f>tbl_Data[[#This Row],[Incremental Cost ($/unit)]]/tbl_Data[[#This Row],[kWh Savings]]*tbl_Data[[#This Row],[Sum of Annuals]]</f>
        <v>5.158742325741823</v>
      </c>
      <c r="BB826" s="77">
        <f>ROUNDUP(tbl_Data[[#This Row],[Adjusted 2025]]/$L826,0)</f>
        <v>1</v>
      </c>
      <c r="BC826" s="77">
        <f>ROUNDUP(tbl_Data[[#This Row],[Adjusted 2026]]/$L826,0)</f>
        <v>1</v>
      </c>
      <c r="BD826" s="77">
        <f>ROUNDUP(tbl_Data[[#This Row],[Adjusted 2027]]/$L826,0)</f>
        <v>1</v>
      </c>
      <c r="BE826" s="77">
        <f>ROUNDUP(tbl_Data[[#This Row],[Adjusted 2028]]/$L826,0)</f>
        <v>1</v>
      </c>
      <c r="BF826" s="77">
        <f>ROUNDUP(tbl_Data[[#This Row],[Adjusted 2029]]/$L826,0)</f>
        <v>1</v>
      </c>
      <c r="BG826" s="77">
        <f>ROUNDUP(tbl_Data[[#This Row],[Adjusted 2030]]/$L826,0)</f>
        <v>1</v>
      </c>
      <c r="BH826" s="77">
        <f>ROUNDUP(tbl_Data[[#This Row],[Adjusted 2031]]/$L826,0)</f>
        <v>1</v>
      </c>
      <c r="BI826" s="77">
        <f>ROUNDUP(tbl_Data[[#This Row],[Adjusted 2032]]/$L826,0)</f>
        <v>1</v>
      </c>
      <c r="BJ826" s="77">
        <f>ROUNDUP(tbl_Data[[#This Row],[Adjusted 2033]]/$L826,0)</f>
        <v>1</v>
      </c>
      <c r="BK826" s="77">
        <f>ROUNDUP(tbl_Data[[#This Row],[Adjusted 2034]]/$L826,0)</f>
        <v>1</v>
      </c>
      <c r="BL826" s="80">
        <f t="shared" si="342"/>
        <v>0</v>
      </c>
      <c r="BM826" s="80">
        <f t="shared" si="343"/>
        <v>0</v>
      </c>
      <c r="BN826" s="80">
        <f t="shared" si="344"/>
        <v>0</v>
      </c>
      <c r="BO826" s="80">
        <f t="shared" si="345"/>
        <v>0</v>
      </c>
      <c r="BP826" s="80">
        <f t="shared" si="346"/>
        <v>0</v>
      </c>
      <c r="BQ826" s="80">
        <f t="shared" si="347"/>
        <v>0</v>
      </c>
      <c r="BR826" s="80">
        <f t="shared" si="348"/>
        <v>0</v>
      </c>
      <c r="BS826" s="80">
        <f t="shared" si="349"/>
        <v>0</v>
      </c>
      <c r="BT826" s="80">
        <f t="shared" si="350"/>
        <v>0</v>
      </c>
      <c r="BU826" s="80">
        <f t="shared" si="351"/>
        <v>0</v>
      </c>
      <c r="BV826" s="80" t="str">
        <f>IFERROR(VLOOKUP($H826,'1. Set Program Names'!$B$2:$D$15,3,0)*V826,"NA")</f>
        <v>NA</v>
      </c>
      <c r="BW826" s="80" t="str">
        <f>IFERROR(VLOOKUP($H826,'1. Set Program Names'!$B$2:$D$15,3,0)*W826,"NA")</f>
        <v>NA</v>
      </c>
      <c r="BX826" s="80" t="str">
        <f>IFERROR(VLOOKUP($H826,'1. Set Program Names'!$B$2:$D$15,3,0)*X826,"NA")</f>
        <v>NA</v>
      </c>
      <c r="BY826" s="80" t="str">
        <f>IFERROR(VLOOKUP($H826,'1. Set Program Names'!$B$2:$D$15,3,0)*Y826,"NA")</f>
        <v>NA</v>
      </c>
      <c r="BZ826" s="80" t="str">
        <f>IFERROR(VLOOKUP($H826,'1. Set Program Names'!$B$2:$D$15,3,0)*Z826,"NA")</f>
        <v>NA</v>
      </c>
      <c r="CA826" s="80" t="str">
        <f>IFERROR(VLOOKUP($H826,'1. Set Program Names'!$B$2:$D$15,3,0)*AA826,"NA")</f>
        <v>NA</v>
      </c>
      <c r="CB826" s="80" t="str">
        <f>IFERROR(VLOOKUP($H826,'1. Set Program Names'!$B$2:$D$15,3,0)*AB826,"NA")</f>
        <v>NA</v>
      </c>
      <c r="CC826" s="80" t="str">
        <f>IFERROR(VLOOKUP($H826,'1. Set Program Names'!$B$2:$D$15,3,0)*AC826,"NA")</f>
        <v>NA</v>
      </c>
      <c r="CD826" s="80" t="str">
        <f>IFERROR(VLOOKUP($H826,'1. Set Program Names'!$B$2:$D$15,3,0)*AD826,"NA")</f>
        <v>NA</v>
      </c>
      <c r="CE826" s="80" t="str">
        <f>IFERROR(VLOOKUP($H826,'1. Set Program Names'!$B$2:$D$15,3,0)*AE826,"NA")</f>
        <v>NA</v>
      </c>
    </row>
    <row r="827" spans="1:83" x14ac:dyDescent="0.25">
      <c r="A827" s="79" t="s">
        <v>117</v>
      </c>
      <c r="B827" s="79" t="s">
        <v>88</v>
      </c>
      <c r="C827" s="79" t="s">
        <v>176</v>
      </c>
      <c r="D827" s="79" t="s">
        <v>90</v>
      </c>
      <c r="E827" s="79" t="s">
        <v>91</v>
      </c>
      <c r="F827" s="79" t="s">
        <v>90</v>
      </c>
      <c r="G827" s="79" t="s">
        <v>92</v>
      </c>
      <c r="H827" s="79" t="s">
        <v>268</v>
      </c>
      <c r="I827" s="79" t="s">
        <v>186</v>
      </c>
      <c r="J827" s="79" t="s">
        <v>180</v>
      </c>
      <c r="K827" s="79" t="s">
        <v>102</v>
      </c>
      <c r="L827" s="79">
        <v>27897.5999999999</v>
      </c>
      <c r="M827" s="79">
        <v>3.34663767864367</v>
      </c>
      <c r="N827" s="79">
        <v>3.2225238985450702</v>
      </c>
      <c r="O827" s="79">
        <v>8000</v>
      </c>
      <c r="P827" s="79">
        <v>2762.04801865338</v>
      </c>
      <c r="Q827" s="79">
        <v>27.897599999999901</v>
      </c>
      <c r="R827" s="79">
        <v>11926.089110639999</v>
      </c>
      <c r="S827" s="79">
        <v>29629.215249514</v>
      </c>
      <c r="T827" s="79">
        <v>15</v>
      </c>
      <c r="U827" s="79">
        <v>1</v>
      </c>
      <c r="V827" s="79">
        <f>tbl_Data_old[[#This Row],[2025 ]]*IFERROR(AVERAGEIFS('Participation Adjustment'!$C:$C,'Participation Adjustment'!$A:$A,$H827,'Participation Adjustment'!$B:$B,$I827),1)</f>
        <v>2.8484098883790401E-2</v>
      </c>
      <c r="W827" s="79">
        <f>tbl_Data_old[[#This Row],[2026 ]]*IFERROR(AVERAGEIFS('Participation Adjustment'!$C:$C,'Participation Adjustment'!$A:$A,$H827,'Participation Adjustment'!$B:$B,$I827),1)</f>
        <v>6.0569298363451499E-2</v>
      </c>
      <c r="X827" s="79">
        <f>tbl_Data_old[[#This Row],[2027 ]]*IFERROR(AVERAGEIFS('Participation Adjustment'!$C:$C,'Participation Adjustment'!$A:$A,$H827,'Participation Adjustment'!$B:$B,$I827),1)</f>
        <v>9.6260647358937496E-2</v>
      </c>
      <c r="Y827" s="79">
        <f>tbl_Data_old[[#This Row],[2028 ]]*IFERROR(AVERAGEIFS('Participation Adjustment'!$C:$C,'Participation Adjustment'!$A:$A,$H827,'Participation Adjustment'!$B:$B,$I827),1)</f>
        <v>0.136455007625709</v>
      </c>
      <c r="Z827" s="79">
        <f>tbl_Data_old[[#This Row],[2029 ]]*IFERROR(AVERAGEIFS('Participation Adjustment'!$C:$C,'Participation Adjustment'!$A:$A,$H827,'Participation Adjustment'!$B:$B,$I827),1)</f>
        <v>0.180646655557958</v>
      </c>
      <c r="AA827" s="79">
        <f>tbl_Data_old[[#This Row],[2030 ]]*IFERROR(AVERAGEIFS('Participation Adjustment'!$C:$C,'Participation Adjustment'!$A:$A,$H827,'Participation Adjustment'!$B:$B,$I827),1)</f>
        <v>0.22929335920138999</v>
      </c>
      <c r="AB827" s="79">
        <f>tbl_Data_old[[#This Row],[2031 ]]*IFERROR(AVERAGEIFS('Participation Adjustment'!$C:$C,'Participation Adjustment'!$A:$A,$H827,'Participation Adjustment'!$B:$B,$I827),1)</f>
        <v>0.28278485768982398</v>
      </c>
      <c r="AC827" s="79">
        <f>tbl_Data_old[[#This Row],[2032 ]]*IFERROR(AVERAGEIFS('Participation Adjustment'!$C:$C,'Participation Adjustment'!$A:$A,$H827,'Participation Adjustment'!$B:$B,$I827),1)</f>
        <v>0.340871442033857</v>
      </c>
      <c r="AD827" s="79">
        <f>tbl_Data_old[[#This Row],[2033 ]]*IFERROR(AVERAGEIFS('Participation Adjustment'!$C:$C,'Participation Adjustment'!$A:$A,$H827,'Participation Adjustment'!$B:$B,$I827),1)</f>
        <v>0.404154883163864</v>
      </c>
      <c r="AE827" s="79">
        <f>tbl_Data_old[[#This Row],[2034 ]]*IFERROR(AVERAGEIFS('Participation Adjustment'!$C:$C,'Participation Adjustment'!$A:$A,$H827,'Participation Adjustment'!$B:$B,$I827),1)</f>
        <v>0.47270350146391399</v>
      </c>
      <c r="AF827" s="77" t="str">
        <f t="shared" si="341"/>
        <v>NonResidential</v>
      </c>
      <c r="AG827" s="77" t="str">
        <f>tbl_Data[[#This Row],[All_Meas_Name_Append]]</f>
        <v>Grain Bin Aeration Control System</v>
      </c>
      <c r="AH827" s="77">
        <f>AVERAGEIFS('3. Incentive Adjustment'!G:G,'3. Incentive Adjustment'!A:A,tbl_Data[[#This Row],[Trimmed Sector]],'3. Incentive Adjustment'!B:B,tbl_Data[[#This Row],[Trimmed Measure Name]])</f>
        <v>0.77010279279185057</v>
      </c>
      <c r="AI827" s="77">
        <f>$AH827*tbl_Data[[#This Row],[2025 ]]</f>
        <v>2.1935684100566222E-2</v>
      </c>
      <c r="AJ827" s="77">
        <f>$AH827*tbl_Data[[#This Row],[2026 ]]</f>
        <v>4.6644585827136861E-2</v>
      </c>
      <c r="AK827" s="77">
        <f>$AH827*tbl_Data[[#This Row],[2027 ]]</f>
        <v>7.4130593367069245E-2</v>
      </c>
      <c r="AL827" s="77">
        <f>$AH827*tbl_Data[[#This Row],[2028 ]]</f>
        <v>0.10508438246299177</v>
      </c>
      <c r="AM827" s="77">
        <f>$AH827*tbl_Data[[#This Row],[2029 ]]</f>
        <v>0.13911649395369094</v>
      </c>
      <c r="AN827" s="77">
        <f>$AH827*tbl_Data[[#This Row],[2030 ]]</f>
        <v>0.17657945628961541</v>
      </c>
      <c r="AO827" s="77">
        <f>$AH827*tbl_Data[[#This Row],[2031 ]]</f>
        <v>0.21777340866617947</v>
      </c>
      <c r="AP827" s="77">
        <f>$AH827*tbl_Data[[#This Row],[2032 ]]</f>
        <v>0.26250604949325868</v>
      </c>
      <c r="AQ827" s="77">
        <f>$AH827*tbl_Data[[#This Row],[2033 ]]</f>
        <v>0.3112408042449557</v>
      </c>
      <c r="AR827" s="77">
        <f>$AH827*tbl_Data[[#This Row],[2034 ]]</f>
        <v>0.36403028663984677</v>
      </c>
      <c r="AS827" s="77">
        <f>SUM(tbl_Data[[#This Row],[Adjusted 2025]:[Adjusted 2034]])</f>
        <v>1.719041745045311</v>
      </c>
      <c r="AT827" s="80">
        <f>AVERAGEIFS('3. Incentive Adjustment'!F:F,'3. Incentive Adjustment'!A:A,tbl_Data[[#This Row],[Trimmed Sector]],'3. Incentive Adjustment'!B:B,tbl_Data[[#This Row],[Trimmed Measure Name]])</f>
        <v>0</v>
      </c>
      <c r="AU827" s="80">
        <f>IFERROR(VLOOKUP(tbl_Data[[#This Row],[All_Meas_Name_Append]],'IRA Tax Credits'!$A$3:$D$46,4,0),0)</f>
        <v>0</v>
      </c>
      <c r="AV827" s="81">
        <f>tbl_Data[[#This Row],[Adj. per unit Incentive ($)]]/tbl_Data[[#This Row],[kWh Savings]]*tbl_Data[[#This Row],[Sum of Annuals]]</f>
        <v>0</v>
      </c>
      <c r="AW827" s="81" t="str">
        <f>IFERROR(VLOOKUP(tbl_Data[[#This Row],[Column1]],'1. Set Program Names'!$B$2:$D$15,3,0)*tbl_Data[[#This Row],[Sum of Annuals]],"")</f>
        <v/>
      </c>
      <c r="AX827" s="81">
        <f>tbl_Data[[#This Row],[per unit IRA tax ($)]]/tbl_Data[[#This Row],[kWh Savings]]*tbl_Data[[#This Row],[Sum of Annuals]]</f>
        <v>0</v>
      </c>
      <c r="AY827" s="81">
        <f>tbl_Data[[#This Row],[Avoided Costs ($/unit)]]/tbl_Data[[#This Row],[kWh Savings]]*tbl_Data[[#This Row],[Sum of Annuals]]</f>
        <v>0.73488203416496545</v>
      </c>
      <c r="AZ827" s="81">
        <f>tbl_Data[[#This Row],[Lost Revenue ($/unit)]]/tbl_Data[[#This Row],[kWh Savings]]*tbl_Data[[#This Row],[Sum of Annuals]]</f>
        <v>1.8257433573801283</v>
      </c>
      <c r="BA827" s="81">
        <f>tbl_Data[[#This Row],[Incremental Cost ($/unit)]]/tbl_Data[[#This Row],[kWh Savings]]*tbl_Data[[#This Row],[Sum of Annuals]]</f>
        <v>0.49295760066681499</v>
      </c>
      <c r="BB827" s="77">
        <f>ROUNDUP(tbl_Data[[#This Row],[Adjusted 2025]]/$L827,0)</f>
        <v>1</v>
      </c>
      <c r="BC827" s="77">
        <f>ROUNDUP(tbl_Data[[#This Row],[Adjusted 2026]]/$L827,0)</f>
        <v>1</v>
      </c>
      <c r="BD827" s="77">
        <f>ROUNDUP(tbl_Data[[#This Row],[Adjusted 2027]]/$L827,0)</f>
        <v>1</v>
      </c>
      <c r="BE827" s="77">
        <f>ROUNDUP(tbl_Data[[#This Row],[Adjusted 2028]]/$L827,0)</f>
        <v>1</v>
      </c>
      <c r="BF827" s="77">
        <f>ROUNDUP(tbl_Data[[#This Row],[Adjusted 2029]]/$L827,0)</f>
        <v>1</v>
      </c>
      <c r="BG827" s="77">
        <f>ROUNDUP(tbl_Data[[#This Row],[Adjusted 2030]]/$L827,0)</f>
        <v>1</v>
      </c>
      <c r="BH827" s="77">
        <f>ROUNDUP(tbl_Data[[#This Row],[Adjusted 2031]]/$L827,0)</f>
        <v>1</v>
      </c>
      <c r="BI827" s="77">
        <f>ROUNDUP(tbl_Data[[#This Row],[Adjusted 2032]]/$L827,0)</f>
        <v>1</v>
      </c>
      <c r="BJ827" s="77">
        <f>ROUNDUP(tbl_Data[[#This Row],[Adjusted 2033]]/$L827,0)</f>
        <v>1</v>
      </c>
      <c r="BK827" s="77">
        <f>ROUNDUP(tbl_Data[[#This Row],[Adjusted 2034]]/$L827,0)</f>
        <v>1</v>
      </c>
      <c r="BL827" s="80">
        <f t="shared" si="342"/>
        <v>0</v>
      </c>
      <c r="BM827" s="80">
        <f t="shared" si="343"/>
        <v>0</v>
      </c>
      <c r="BN827" s="80">
        <f t="shared" si="344"/>
        <v>0</v>
      </c>
      <c r="BO827" s="80">
        <f t="shared" si="345"/>
        <v>0</v>
      </c>
      <c r="BP827" s="80">
        <f t="shared" si="346"/>
        <v>0</v>
      </c>
      <c r="BQ827" s="80">
        <f t="shared" si="347"/>
        <v>0</v>
      </c>
      <c r="BR827" s="80">
        <f t="shared" si="348"/>
        <v>0</v>
      </c>
      <c r="BS827" s="80">
        <f t="shared" si="349"/>
        <v>0</v>
      </c>
      <c r="BT827" s="80">
        <f t="shared" si="350"/>
        <v>0</v>
      </c>
      <c r="BU827" s="80">
        <f t="shared" si="351"/>
        <v>0</v>
      </c>
      <c r="BV827" s="80" t="str">
        <f>IFERROR(VLOOKUP($H827,'1. Set Program Names'!$B$2:$D$15,3,0)*V827,"NA")</f>
        <v>NA</v>
      </c>
      <c r="BW827" s="80" t="str">
        <f>IFERROR(VLOOKUP($H827,'1. Set Program Names'!$B$2:$D$15,3,0)*W827,"NA")</f>
        <v>NA</v>
      </c>
      <c r="BX827" s="80" t="str">
        <f>IFERROR(VLOOKUP($H827,'1. Set Program Names'!$B$2:$D$15,3,0)*X827,"NA")</f>
        <v>NA</v>
      </c>
      <c r="BY827" s="80" t="str">
        <f>IFERROR(VLOOKUP($H827,'1. Set Program Names'!$B$2:$D$15,3,0)*Y827,"NA")</f>
        <v>NA</v>
      </c>
      <c r="BZ827" s="80" t="str">
        <f>IFERROR(VLOOKUP($H827,'1. Set Program Names'!$B$2:$D$15,3,0)*Z827,"NA")</f>
        <v>NA</v>
      </c>
      <c r="CA827" s="80" t="str">
        <f>IFERROR(VLOOKUP($H827,'1. Set Program Names'!$B$2:$D$15,3,0)*AA827,"NA")</f>
        <v>NA</v>
      </c>
      <c r="CB827" s="80" t="str">
        <f>IFERROR(VLOOKUP($H827,'1. Set Program Names'!$B$2:$D$15,3,0)*AB827,"NA")</f>
        <v>NA</v>
      </c>
      <c r="CC827" s="80" t="str">
        <f>IFERROR(VLOOKUP($H827,'1. Set Program Names'!$B$2:$D$15,3,0)*AC827,"NA")</f>
        <v>NA</v>
      </c>
      <c r="CD827" s="80" t="str">
        <f>IFERROR(VLOOKUP($H827,'1. Set Program Names'!$B$2:$D$15,3,0)*AD827,"NA")</f>
        <v>NA</v>
      </c>
      <c r="CE827" s="80" t="str">
        <f>IFERROR(VLOOKUP($H827,'1. Set Program Names'!$B$2:$D$15,3,0)*AE827,"NA")</f>
        <v>NA</v>
      </c>
    </row>
    <row r="828" spans="1:83" x14ac:dyDescent="0.25">
      <c r="A828" s="79" t="s">
        <v>117</v>
      </c>
      <c r="B828" s="79" t="s">
        <v>88</v>
      </c>
      <c r="C828" s="79" t="s">
        <v>176</v>
      </c>
      <c r="D828" s="79" t="s">
        <v>90</v>
      </c>
      <c r="E828" s="79" t="s">
        <v>91</v>
      </c>
      <c r="F828" s="79" t="s">
        <v>90</v>
      </c>
      <c r="G828" s="79" t="s">
        <v>92</v>
      </c>
      <c r="H828" s="79" t="s">
        <v>268</v>
      </c>
      <c r="I828" s="79" t="s">
        <v>181</v>
      </c>
      <c r="J828" s="79" t="s">
        <v>182</v>
      </c>
      <c r="K828" s="79" t="s">
        <v>98</v>
      </c>
      <c r="L828" s="79">
        <v>21140.159999999902</v>
      </c>
      <c r="M828" s="79">
        <v>2.4928340912459501</v>
      </c>
      <c r="N828" s="79">
        <v>2.4353939910039801</v>
      </c>
      <c r="O828" s="79">
        <v>4269.76</v>
      </c>
      <c r="P828" s="79">
        <v>17.441519984740999</v>
      </c>
      <c r="Q828" s="79">
        <v>21.140159999999899</v>
      </c>
      <c r="R828" s="79">
        <v>7174.5673333962905</v>
      </c>
      <c r="S828" s="79">
        <v>17003.9302734632</v>
      </c>
      <c r="T828" s="79">
        <v>10</v>
      </c>
      <c r="U828" s="79">
        <v>1</v>
      </c>
      <c r="V828" s="79">
        <f>tbl_Data_old[[#This Row],[2025 ]]*IFERROR(AVERAGEIFS('Participation Adjustment'!$C:$C,'Participation Adjustment'!$A:$A,$H828,'Participation Adjustment'!$B:$B,$I828),1)</f>
        <v>0.74369003741442796</v>
      </c>
      <c r="W828" s="79">
        <f>tbl_Data_old[[#This Row],[2026 ]]*IFERROR(AVERAGEIFS('Participation Adjustment'!$C:$C,'Participation Adjustment'!$A:$A,$H828,'Participation Adjustment'!$B:$B,$I828),1)</f>
        <v>1.5902070624812299</v>
      </c>
      <c r="X828" s="79">
        <f>tbl_Data_old[[#This Row],[2027 ]]*IFERROR(AVERAGEIFS('Participation Adjustment'!$C:$C,'Participation Adjustment'!$A:$A,$H828,'Participation Adjustment'!$B:$B,$I828),1)</f>
        <v>2.5264985382920502</v>
      </c>
      <c r="Y828" s="79">
        <f>tbl_Data_old[[#This Row],[2028 ]]*IFERROR(AVERAGEIFS('Participation Adjustment'!$C:$C,'Participation Adjustment'!$A:$A,$H828,'Participation Adjustment'!$B:$B,$I828),1)</f>
        <v>3.5518059871055998</v>
      </c>
      <c r="Z828" s="79">
        <f>tbl_Data_old[[#This Row],[2029 ]]*IFERROR(AVERAGEIFS('Participation Adjustment'!$C:$C,'Participation Adjustment'!$A:$A,$H828,'Participation Adjustment'!$B:$B,$I828),1)</f>
        <v>4.6543284336609601</v>
      </c>
      <c r="AA828" s="79">
        <f>tbl_Data_old[[#This Row],[2030 ]]*IFERROR(AVERAGEIFS('Participation Adjustment'!$C:$C,'Participation Adjustment'!$A:$A,$H828,'Participation Adjustment'!$B:$B,$I828),1)</f>
        <v>5.8288201326166904</v>
      </c>
      <c r="AB828" s="79">
        <f>tbl_Data_old[[#This Row],[2031 ]]*IFERROR(AVERAGEIFS('Participation Adjustment'!$C:$C,'Participation Adjustment'!$A:$A,$H828,'Participation Adjustment'!$B:$B,$I828),1)</f>
        <v>7.0710632405385896</v>
      </c>
      <c r="AC828" s="79">
        <f>tbl_Data_old[[#This Row],[2032 ]]*IFERROR(AVERAGEIFS('Participation Adjustment'!$C:$C,'Participation Adjustment'!$A:$A,$H828,'Participation Adjustment'!$B:$B,$I828),1)</f>
        <v>8.3747901598785894</v>
      </c>
      <c r="AD828" s="79">
        <f>tbl_Data_old[[#This Row],[2033 ]]*IFERROR(AVERAGEIFS('Participation Adjustment'!$C:$C,'Participation Adjustment'!$A:$A,$H828,'Participation Adjustment'!$B:$B,$I828),1)</f>
        <v>9.7387937230367196</v>
      </c>
      <c r="AE828" s="79">
        <f>tbl_Data_old[[#This Row],[2034 ]]*IFERROR(AVERAGEIFS('Participation Adjustment'!$C:$C,'Participation Adjustment'!$A:$A,$H828,'Participation Adjustment'!$B:$B,$I828),1)</f>
        <v>11.159950255562499</v>
      </c>
      <c r="AF828" s="77" t="str">
        <f t="shared" si="341"/>
        <v>NonResidential</v>
      </c>
      <c r="AG828" s="77" t="str">
        <f>tbl_Data[[#This Row],[All_Meas_Name_Append]]</f>
        <v>High Volume Low Speed Fan (HVLS)</v>
      </c>
      <c r="AH828" s="77">
        <f>AVERAGEIFS('3. Incentive Adjustment'!G:G,'3. Incentive Adjustment'!A:A,tbl_Data[[#This Row],[Trimmed Sector]],'3. Incentive Adjustment'!B:B,tbl_Data[[#This Row],[Trimmed Measure Name]])</f>
        <v>0.99782547587781634</v>
      </c>
      <c r="AI828" s="77">
        <f>$AH828*tbl_Data[[#This Row],[2025 ]]</f>
        <v>0.7420728654886426</v>
      </c>
      <c r="AJ828" s="77">
        <f>$AH828*tbl_Data[[#This Row],[2026 ]]</f>
        <v>1.5867491188645977</v>
      </c>
      <c r="AK828" s="77">
        <f>$AH828*tbl_Data[[#This Row],[2027 ]]</f>
        <v>2.5210046062758722</v>
      </c>
      <c r="AL828" s="77">
        <f>$AH828*tbl_Data[[#This Row],[2028 ]]</f>
        <v>3.5440824993093223</v>
      </c>
      <c r="AM828" s="77">
        <f>$AH828*tbl_Data[[#This Row],[2029 ]]</f>
        <v>4.6442074842093986</v>
      </c>
      <c r="AN828" s="77">
        <f>$AH828*tbl_Data[[#This Row],[2030 ]]</f>
        <v>5.8161452226344457</v>
      </c>
      <c r="AO828" s="77">
        <f>$AH828*tbl_Data[[#This Row],[2031 ]]</f>
        <v>7.0556870429525524</v>
      </c>
      <c r="AP828" s="77">
        <f>$AH828*tbl_Data[[#This Row],[2032 ]]</f>
        <v>8.3565789766577065</v>
      </c>
      <c r="AQ828" s="77">
        <f>$AH828*tbl_Data[[#This Row],[2033 ]]</f>
        <v>9.7176164811650061</v>
      </c>
      <c r="AR828" s="77">
        <f>$AH828*tbl_Data[[#This Row],[2034 ]]</f>
        <v>11.135682674529409</v>
      </c>
      <c r="AS828" s="77">
        <f>SUM(tbl_Data[[#This Row],[Adjusted 2025]:[Adjusted 2034]])</f>
        <v>55.119826972086955</v>
      </c>
      <c r="AT828" s="80">
        <f>AVERAGEIFS('3. Incentive Adjustment'!F:F,'3. Incentive Adjustment'!A:A,tbl_Data[[#This Row],[Trimmed Sector]],'3. Incentive Adjustment'!B:B,tbl_Data[[#This Row],[Trimmed Measure Name]])</f>
        <v>0</v>
      </c>
      <c r="AU828" s="80">
        <f>IFERROR(VLOOKUP(tbl_Data[[#This Row],[All_Meas_Name_Append]],'IRA Tax Credits'!$A$3:$D$46,4,0),0)</f>
        <v>0</v>
      </c>
      <c r="AV828" s="81">
        <f>tbl_Data[[#This Row],[Adj. per unit Incentive ($)]]/tbl_Data[[#This Row],[kWh Savings]]*tbl_Data[[#This Row],[Sum of Annuals]]</f>
        <v>0</v>
      </c>
      <c r="AW828" s="81" t="str">
        <f>IFERROR(VLOOKUP(tbl_Data[[#This Row],[Column1]],'1. Set Program Names'!$B$2:$D$15,3,0)*tbl_Data[[#This Row],[Sum of Annuals]],"")</f>
        <v/>
      </c>
      <c r="AX828" s="81">
        <f>tbl_Data[[#This Row],[per unit IRA tax ($)]]/tbl_Data[[#This Row],[kWh Savings]]*tbl_Data[[#This Row],[Sum of Annuals]]</f>
        <v>0</v>
      </c>
      <c r="AY828" s="81">
        <f>tbl_Data[[#This Row],[Avoided Costs ($/unit)]]/tbl_Data[[#This Row],[kWh Savings]]*tbl_Data[[#This Row],[Sum of Annuals]]</f>
        <v>18.706618588335786</v>
      </c>
      <c r="AZ828" s="81">
        <f>tbl_Data[[#This Row],[Lost Revenue ($/unit)]]/tbl_Data[[#This Row],[kWh Savings]]*tbl_Data[[#This Row],[Sum of Annuals]]</f>
        <v>44.335222369117695</v>
      </c>
      <c r="BA828" s="81">
        <f>tbl_Data[[#This Row],[Incremental Cost ($/unit)]]/tbl_Data[[#This Row],[kWh Savings]]*tbl_Data[[#This Row],[Sum of Annuals]]</f>
        <v>11.132764956005021</v>
      </c>
      <c r="BB828" s="77">
        <f>ROUNDUP(tbl_Data[[#This Row],[Adjusted 2025]]/$L828,0)</f>
        <v>1</v>
      </c>
      <c r="BC828" s="77">
        <f>ROUNDUP(tbl_Data[[#This Row],[Adjusted 2026]]/$L828,0)</f>
        <v>1</v>
      </c>
      <c r="BD828" s="77">
        <f>ROUNDUP(tbl_Data[[#This Row],[Adjusted 2027]]/$L828,0)</f>
        <v>1</v>
      </c>
      <c r="BE828" s="77">
        <f>ROUNDUP(tbl_Data[[#This Row],[Adjusted 2028]]/$L828,0)</f>
        <v>1</v>
      </c>
      <c r="BF828" s="77">
        <f>ROUNDUP(tbl_Data[[#This Row],[Adjusted 2029]]/$L828,0)</f>
        <v>1</v>
      </c>
      <c r="BG828" s="77">
        <f>ROUNDUP(tbl_Data[[#This Row],[Adjusted 2030]]/$L828,0)</f>
        <v>1</v>
      </c>
      <c r="BH828" s="77">
        <f>ROUNDUP(tbl_Data[[#This Row],[Adjusted 2031]]/$L828,0)</f>
        <v>1</v>
      </c>
      <c r="BI828" s="77">
        <f>ROUNDUP(tbl_Data[[#This Row],[Adjusted 2032]]/$L828,0)</f>
        <v>1</v>
      </c>
      <c r="BJ828" s="77">
        <f>ROUNDUP(tbl_Data[[#This Row],[Adjusted 2033]]/$L828,0)</f>
        <v>1</v>
      </c>
      <c r="BK828" s="77">
        <f>ROUNDUP(tbl_Data[[#This Row],[Adjusted 2034]]/$L828,0)</f>
        <v>1</v>
      </c>
      <c r="BL828" s="80">
        <f t="shared" si="342"/>
        <v>0</v>
      </c>
      <c r="BM828" s="80">
        <f t="shared" si="343"/>
        <v>0</v>
      </c>
      <c r="BN828" s="80">
        <f t="shared" si="344"/>
        <v>0</v>
      </c>
      <c r="BO828" s="80">
        <f t="shared" si="345"/>
        <v>0</v>
      </c>
      <c r="BP828" s="80">
        <f t="shared" si="346"/>
        <v>0</v>
      </c>
      <c r="BQ828" s="80">
        <f t="shared" si="347"/>
        <v>0</v>
      </c>
      <c r="BR828" s="80">
        <f t="shared" si="348"/>
        <v>0</v>
      </c>
      <c r="BS828" s="80">
        <f t="shared" si="349"/>
        <v>0</v>
      </c>
      <c r="BT828" s="80">
        <f t="shared" si="350"/>
        <v>0</v>
      </c>
      <c r="BU828" s="80">
        <f t="shared" si="351"/>
        <v>0</v>
      </c>
      <c r="BV828" s="80" t="str">
        <f>IFERROR(VLOOKUP($H828,'1. Set Program Names'!$B$2:$D$15,3,0)*V828,"NA")</f>
        <v>NA</v>
      </c>
      <c r="BW828" s="80" t="str">
        <f>IFERROR(VLOOKUP($H828,'1. Set Program Names'!$B$2:$D$15,3,0)*W828,"NA")</f>
        <v>NA</v>
      </c>
      <c r="BX828" s="80" t="str">
        <f>IFERROR(VLOOKUP($H828,'1. Set Program Names'!$B$2:$D$15,3,0)*X828,"NA")</f>
        <v>NA</v>
      </c>
      <c r="BY828" s="80" t="str">
        <f>IFERROR(VLOOKUP($H828,'1. Set Program Names'!$B$2:$D$15,3,0)*Y828,"NA")</f>
        <v>NA</v>
      </c>
      <c r="BZ828" s="80" t="str">
        <f>IFERROR(VLOOKUP($H828,'1. Set Program Names'!$B$2:$D$15,3,0)*Z828,"NA")</f>
        <v>NA</v>
      </c>
      <c r="CA828" s="80" t="str">
        <f>IFERROR(VLOOKUP($H828,'1. Set Program Names'!$B$2:$D$15,3,0)*AA828,"NA")</f>
        <v>NA</v>
      </c>
      <c r="CB828" s="80" t="str">
        <f>IFERROR(VLOOKUP($H828,'1. Set Program Names'!$B$2:$D$15,3,0)*AB828,"NA")</f>
        <v>NA</v>
      </c>
      <c r="CC828" s="80" t="str">
        <f>IFERROR(VLOOKUP($H828,'1. Set Program Names'!$B$2:$D$15,3,0)*AC828,"NA")</f>
        <v>NA</v>
      </c>
      <c r="CD828" s="80" t="str">
        <f>IFERROR(VLOOKUP($H828,'1. Set Program Names'!$B$2:$D$15,3,0)*AD828,"NA")</f>
        <v>NA</v>
      </c>
      <c r="CE828" s="80" t="str">
        <f>IFERROR(VLOOKUP($H828,'1. Set Program Names'!$B$2:$D$15,3,0)*AE828,"NA")</f>
        <v>NA</v>
      </c>
    </row>
    <row r="829" spans="1:83" x14ac:dyDescent="0.25">
      <c r="A829" s="79" t="s">
        <v>117</v>
      </c>
      <c r="B829" s="79" t="s">
        <v>88</v>
      </c>
      <c r="C829" s="79" t="s">
        <v>176</v>
      </c>
      <c r="D829" s="79" t="s">
        <v>90</v>
      </c>
      <c r="E829" s="79" t="s">
        <v>91</v>
      </c>
      <c r="F829" s="79" t="s">
        <v>90</v>
      </c>
      <c r="G829" s="79" t="s">
        <v>92</v>
      </c>
      <c r="H829" s="79" t="s">
        <v>268</v>
      </c>
      <c r="I829" s="79" t="s">
        <v>183</v>
      </c>
      <c r="J829" s="79" t="s">
        <v>178</v>
      </c>
      <c r="K829" s="79" t="s">
        <v>130</v>
      </c>
      <c r="L829" s="79">
        <v>113444.97999999901</v>
      </c>
      <c r="M829" s="79">
        <v>13.5911727914499</v>
      </c>
      <c r="N829" s="79">
        <v>13.0925103405659</v>
      </c>
      <c r="O829" s="79">
        <v>42343.199999999997</v>
      </c>
      <c r="P829" s="79">
        <v>19818.792281260001</v>
      </c>
      <c r="Q829" s="79">
        <v>113.44497999999901</v>
      </c>
      <c r="R829" s="79">
        <v>54449.419529642699</v>
      </c>
      <c r="S829" s="79">
        <v>142371.22131797599</v>
      </c>
      <c r="T829" s="79">
        <v>20</v>
      </c>
      <c r="U829" s="79">
        <v>1</v>
      </c>
      <c r="V829" s="79">
        <f>tbl_Data_old[[#This Row],[2025 ]]*IFERROR(AVERAGEIFS('Participation Adjustment'!$C:$C,'Participation Adjustment'!$A:$A,$H829,'Participation Adjustment'!$B:$B,$I829),1)</f>
        <v>8.9262230922656796E-2</v>
      </c>
      <c r="W829" s="79">
        <f>tbl_Data_old[[#This Row],[2026 ]]*IFERROR(AVERAGEIFS('Participation Adjustment'!$C:$C,'Participation Adjustment'!$A:$A,$H829,'Participation Adjustment'!$B:$B,$I829),1)</f>
        <v>0.176901601020372</v>
      </c>
      <c r="X829" s="79">
        <f>tbl_Data_old[[#This Row],[2027 ]]*IFERROR(AVERAGEIFS('Participation Adjustment'!$C:$C,'Participation Adjustment'!$A:$A,$H829,'Participation Adjustment'!$B:$B,$I829),1)</f>
        <v>0.26215069420940901</v>
      </c>
      <c r="Y829" s="79">
        <f>tbl_Data_old[[#This Row],[2028 ]]*IFERROR(AVERAGEIFS('Participation Adjustment'!$C:$C,'Participation Adjustment'!$A:$A,$H829,'Participation Adjustment'!$B:$B,$I829),1)</f>
        <v>0.344963351374167</v>
      </c>
      <c r="Z829" s="79">
        <f>tbl_Data_old[[#This Row],[2029 ]]*IFERROR(AVERAGEIFS('Participation Adjustment'!$C:$C,'Participation Adjustment'!$A:$A,$H829,'Participation Adjustment'!$B:$B,$I829),1)</f>
        <v>0.425444724215017</v>
      </c>
      <c r="AA829" s="79">
        <f>tbl_Data_old[[#This Row],[2030 ]]*IFERROR(AVERAGEIFS('Participation Adjustment'!$C:$C,'Participation Adjustment'!$A:$A,$H829,'Participation Adjustment'!$B:$B,$I829),1)</f>
        <v>0.50339086750165996</v>
      </c>
      <c r="AB829" s="79">
        <f>tbl_Data_old[[#This Row],[2031 ]]*IFERROR(AVERAGEIFS('Participation Adjustment'!$C:$C,'Participation Adjustment'!$A:$A,$H829,'Participation Adjustment'!$B:$B,$I829),1)</f>
        <v>0.578772604867551</v>
      </c>
      <c r="AC829" s="79">
        <f>tbl_Data_old[[#This Row],[2032 ]]*IFERROR(AVERAGEIFS('Participation Adjustment'!$C:$C,'Participation Adjustment'!$A:$A,$H829,'Participation Adjustment'!$B:$B,$I829),1)</f>
        <v>0.65173647816804903</v>
      </c>
      <c r="AD829" s="79">
        <f>tbl_Data_old[[#This Row],[2033 ]]*IFERROR(AVERAGEIFS('Participation Adjustment'!$C:$C,'Participation Adjustment'!$A:$A,$H829,'Participation Adjustment'!$B:$B,$I829),1)</f>
        <v>0.72227582772866095</v>
      </c>
      <c r="AE829" s="79">
        <f>tbl_Data_old[[#This Row],[2034 ]]*IFERROR(AVERAGEIFS('Participation Adjustment'!$C:$C,'Participation Adjustment'!$A:$A,$H829,'Participation Adjustment'!$B:$B,$I829),1)</f>
        <v>0.79047103608512503</v>
      </c>
      <c r="AF829" s="77" t="str">
        <f t="shared" si="341"/>
        <v>NonResidential</v>
      </c>
      <c r="AG829" s="77" t="str">
        <f>tbl_Data[[#This Row],[All_Meas_Name_Append]]</f>
        <v>Industrial Duct Sealing</v>
      </c>
      <c r="AH829" s="77">
        <f>AVERAGEIFS('3. Incentive Adjustment'!G:G,'3. Incentive Adjustment'!A:A,tbl_Data[[#This Row],[Trimmed Sector]],'3. Incentive Adjustment'!B:B,tbl_Data[[#This Row],[Trimmed Measure Name]])</f>
        <v>0.63068496474049041</v>
      </c>
      <c r="AI829" s="77">
        <f>$AH829*tbl_Data[[#This Row],[2025 ]]</f>
        <v>5.6296346962113317E-2</v>
      </c>
      <c r="AJ829" s="77">
        <f>$AH829*tbl_Data[[#This Row],[2026 ]]</f>
        <v>0.11156918000206961</v>
      </c>
      <c r="AK829" s="77">
        <f>$AH829*tbl_Data[[#This Row],[2027 ]]</f>
        <v>0.1653345013341562</v>
      </c>
      <c r="AL829" s="77">
        <f>$AH829*tbl_Data[[#This Row],[2028 ]]</f>
        <v>0.21756319909817792</v>
      </c>
      <c r="AM829" s="77">
        <f>$AH829*tbl_Data[[#This Row],[2029 ]]</f>
        <v>0.26832159089057567</v>
      </c>
      <c r="AN829" s="77">
        <f>$AH829*tbl_Data[[#This Row],[2030 ]]</f>
        <v>0.31748105152096928</v>
      </c>
      <c r="AO829" s="77">
        <f>$AH829*tbl_Data[[#This Row],[2031 ]]</f>
        <v>0.36502317989365318</v>
      </c>
      <c r="AP829" s="77">
        <f>$AH829*tbl_Data[[#This Row],[2032 ]]</f>
        <v>0.41104039775350737</v>
      </c>
      <c r="AQ829" s="77">
        <f>$AH829*tbl_Data[[#This Row],[2033 ]]</f>
        <v>0.45552850494395908</v>
      </c>
      <c r="AR829" s="77">
        <f>$AH829*tbl_Data[[#This Row],[2034 ]]</f>
        <v>0.49853819752172601</v>
      </c>
      <c r="AS829" s="77">
        <f>SUM(tbl_Data[[#This Row],[Adjusted 2025]:[Adjusted 2034]])</f>
        <v>2.8666961499209078</v>
      </c>
      <c r="AT829" s="80">
        <f>AVERAGEIFS('3. Incentive Adjustment'!F:F,'3. Incentive Adjustment'!A:A,tbl_Data[[#This Row],[Trimmed Sector]],'3. Incentive Adjustment'!B:B,tbl_Data[[#This Row],[Trimmed Measure Name]])</f>
        <v>0</v>
      </c>
      <c r="AU829" s="80">
        <f>IFERROR(VLOOKUP(tbl_Data[[#This Row],[All_Meas_Name_Append]],'IRA Tax Credits'!$A$3:$D$46,4,0),0)</f>
        <v>0</v>
      </c>
      <c r="AV829" s="81">
        <f>tbl_Data[[#This Row],[Adj. per unit Incentive ($)]]/tbl_Data[[#This Row],[kWh Savings]]*tbl_Data[[#This Row],[Sum of Annuals]]</f>
        <v>0</v>
      </c>
      <c r="AW829" s="81" t="str">
        <f>IFERROR(VLOOKUP(tbl_Data[[#This Row],[Column1]],'1. Set Program Names'!$B$2:$D$15,3,0)*tbl_Data[[#This Row],[Sum of Annuals]],"")</f>
        <v/>
      </c>
      <c r="AX829" s="81">
        <f>tbl_Data[[#This Row],[per unit IRA tax ($)]]/tbl_Data[[#This Row],[kWh Savings]]*tbl_Data[[#This Row],[Sum of Annuals]]</f>
        <v>0</v>
      </c>
      <c r="AY829" s="81">
        <f>tbl_Data[[#This Row],[Avoided Costs ($/unit)]]/tbl_Data[[#This Row],[kWh Savings]]*tbl_Data[[#This Row],[Sum of Annuals]]</f>
        <v>1.3759087562187096</v>
      </c>
      <c r="AZ829" s="81">
        <f>tbl_Data[[#This Row],[Lost Revenue ($/unit)]]/tbl_Data[[#This Row],[kWh Savings]]*tbl_Data[[#This Row],[Sum of Annuals]]</f>
        <v>3.5976473530321291</v>
      </c>
      <c r="BA829" s="81">
        <f>tbl_Data[[#This Row],[Incremental Cost ($/unit)]]/tbl_Data[[#This Row],[kWh Savings]]*tbl_Data[[#This Row],[Sum of Annuals]]</f>
        <v>1.0699908309325987</v>
      </c>
      <c r="BB829" s="77">
        <f>ROUNDUP(tbl_Data[[#This Row],[Adjusted 2025]]/$L829,0)</f>
        <v>1</v>
      </c>
      <c r="BC829" s="77">
        <f>ROUNDUP(tbl_Data[[#This Row],[Adjusted 2026]]/$L829,0)</f>
        <v>1</v>
      </c>
      <c r="BD829" s="77">
        <f>ROUNDUP(tbl_Data[[#This Row],[Adjusted 2027]]/$L829,0)</f>
        <v>1</v>
      </c>
      <c r="BE829" s="77">
        <f>ROUNDUP(tbl_Data[[#This Row],[Adjusted 2028]]/$L829,0)</f>
        <v>1</v>
      </c>
      <c r="BF829" s="77">
        <f>ROUNDUP(tbl_Data[[#This Row],[Adjusted 2029]]/$L829,0)</f>
        <v>1</v>
      </c>
      <c r="BG829" s="77">
        <f>ROUNDUP(tbl_Data[[#This Row],[Adjusted 2030]]/$L829,0)</f>
        <v>1</v>
      </c>
      <c r="BH829" s="77">
        <f>ROUNDUP(tbl_Data[[#This Row],[Adjusted 2031]]/$L829,0)</f>
        <v>1</v>
      </c>
      <c r="BI829" s="77">
        <f>ROUNDUP(tbl_Data[[#This Row],[Adjusted 2032]]/$L829,0)</f>
        <v>1</v>
      </c>
      <c r="BJ829" s="77">
        <f>ROUNDUP(tbl_Data[[#This Row],[Adjusted 2033]]/$L829,0)</f>
        <v>1</v>
      </c>
      <c r="BK829" s="77">
        <f>ROUNDUP(tbl_Data[[#This Row],[Adjusted 2034]]/$L829,0)</f>
        <v>1</v>
      </c>
      <c r="BL829" s="80">
        <f t="shared" si="342"/>
        <v>0</v>
      </c>
      <c r="BM829" s="80">
        <f t="shared" si="343"/>
        <v>0</v>
      </c>
      <c r="BN829" s="80">
        <f t="shared" si="344"/>
        <v>0</v>
      </c>
      <c r="BO829" s="80">
        <f t="shared" si="345"/>
        <v>0</v>
      </c>
      <c r="BP829" s="80">
        <f t="shared" si="346"/>
        <v>0</v>
      </c>
      <c r="BQ829" s="80">
        <f t="shared" si="347"/>
        <v>0</v>
      </c>
      <c r="BR829" s="80">
        <f t="shared" si="348"/>
        <v>0</v>
      </c>
      <c r="BS829" s="80">
        <f t="shared" si="349"/>
        <v>0</v>
      </c>
      <c r="BT829" s="80">
        <f t="shared" si="350"/>
        <v>0</v>
      </c>
      <c r="BU829" s="80">
        <f t="shared" si="351"/>
        <v>0</v>
      </c>
      <c r="BV829" s="80" t="str">
        <f>IFERROR(VLOOKUP($H829,'1. Set Program Names'!$B$2:$D$15,3,0)*V829,"NA")</f>
        <v>NA</v>
      </c>
      <c r="BW829" s="80" t="str">
        <f>IFERROR(VLOOKUP($H829,'1. Set Program Names'!$B$2:$D$15,3,0)*W829,"NA")</f>
        <v>NA</v>
      </c>
      <c r="BX829" s="80" t="str">
        <f>IFERROR(VLOOKUP($H829,'1. Set Program Names'!$B$2:$D$15,3,0)*X829,"NA")</f>
        <v>NA</v>
      </c>
      <c r="BY829" s="80" t="str">
        <f>IFERROR(VLOOKUP($H829,'1. Set Program Names'!$B$2:$D$15,3,0)*Y829,"NA")</f>
        <v>NA</v>
      </c>
      <c r="BZ829" s="80" t="str">
        <f>IFERROR(VLOOKUP($H829,'1. Set Program Names'!$B$2:$D$15,3,0)*Z829,"NA")</f>
        <v>NA</v>
      </c>
      <c r="CA829" s="80" t="str">
        <f>IFERROR(VLOOKUP($H829,'1. Set Program Names'!$B$2:$D$15,3,0)*AA829,"NA")</f>
        <v>NA</v>
      </c>
      <c r="CB829" s="80" t="str">
        <f>IFERROR(VLOOKUP($H829,'1. Set Program Names'!$B$2:$D$15,3,0)*AB829,"NA")</f>
        <v>NA</v>
      </c>
      <c r="CC829" s="80" t="str">
        <f>IFERROR(VLOOKUP($H829,'1. Set Program Names'!$B$2:$D$15,3,0)*AC829,"NA")</f>
        <v>NA</v>
      </c>
      <c r="CD829" s="80" t="str">
        <f>IFERROR(VLOOKUP($H829,'1. Set Program Names'!$B$2:$D$15,3,0)*AD829,"NA")</f>
        <v>NA</v>
      </c>
      <c r="CE829" s="80" t="str">
        <f>IFERROR(VLOOKUP($H829,'1. Set Program Names'!$B$2:$D$15,3,0)*AE829,"NA")</f>
        <v>NA</v>
      </c>
    </row>
    <row r="830" spans="1:83" x14ac:dyDescent="0.25">
      <c r="A830" s="79" t="s">
        <v>117</v>
      </c>
      <c r="B830" s="79" t="s">
        <v>88</v>
      </c>
      <c r="C830" s="79" t="s">
        <v>176</v>
      </c>
      <c r="D830" s="79" t="s">
        <v>90</v>
      </c>
      <c r="E830" s="79" t="s">
        <v>91</v>
      </c>
      <c r="F830" s="79" t="s">
        <v>90</v>
      </c>
      <c r="G830" s="79" t="s">
        <v>92</v>
      </c>
      <c r="H830" s="79" t="s">
        <v>268</v>
      </c>
      <c r="I830" s="79" t="s">
        <v>270</v>
      </c>
      <c r="J830" s="79" t="s">
        <v>191</v>
      </c>
      <c r="K830" s="79" t="s">
        <v>98</v>
      </c>
      <c r="L830" s="79">
        <v>2628</v>
      </c>
      <c r="M830" s="79">
        <v>0.31001938633530801</v>
      </c>
      <c r="N830" s="79">
        <v>0.30291717485841702</v>
      </c>
      <c r="O830" s="79">
        <v>810.229999999999</v>
      </c>
      <c r="P830" s="79">
        <v>281.60244658368498</v>
      </c>
      <c r="Q830" s="79">
        <v>2.6280000000000001</v>
      </c>
      <c r="R830" s="79">
        <v>891.847172411815</v>
      </c>
      <c r="S830" s="79">
        <v>2113.8122303076898</v>
      </c>
      <c r="T830" s="79">
        <v>10</v>
      </c>
      <c r="U830" s="79">
        <v>1</v>
      </c>
      <c r="V830" s="79">
        <f>tbl_Data_old[[#This Row],[2025 ]]*IFERROR(AVERAGEIFS('Participation Adjustment'!$C:$C,'Participation Adjustment'!$A:$A,$H830,'Participation Adjustment'!$B:$B,$I830),1)</f>
        <v>2.0457529843032298</v>
      </c>
      <c r="W830" s="79">
        <f>tbl_Data_old[[#This Row],[2026 ]]*IFERROR(AVERAGEIFS('Participation Adjustment'!$C:$C,'Participation Adjustment'!$A:$A,$H830,'Participation Adjustment'!$B:$B,$I830),1)</f>
        <v>4.8814192231683302</v>
      </c>
      <c r="X830" s="79">
        <f>tbl_Data_old[[#This Row],[2027 ]]*IFERROR(AVERAGEIFS('Participation Adjustment'!$C:$C,'Participation Adjustment'!$A:$A,$H830,'Participation Adjustment'!$B:$B,$I830),1)</f>
        <v>8.6054039900267298</v>
      </c>
      <c r="Y830" s="79">
        <f>tbl_Data_old[[#This Row],[2028 ]]*IFERROR(AVERAGEIFS('Participation Adjustment'!$C:$C,'Participation Adjustment'!$A:$A,$H830,'Participation Adjustment'!$B:$B,$I830),1)</f>
        <v>13.3123988689104</v>
      </c>
      <c r="Z830" s="79">
        <f>tbl_Data_old[[#This Row],[2029 ]]*IFERROR(AVERAGEIFS('Participation Adjustment'!$C:$C,'Participation Adjustment'!$A:$A,$H830,'Participation Adjustment'!$B:$B,$I830),1)</f>
        <v>18.9800443912895</v>
      </c>
      <c r="AA830" s="79">
        <f>tbl_Data_old[[#This Row],[2030 ]]*IFERROR(AVERAGEIFS('Participation Adjustment'!$C:$C,'Participation Adjustment'!$A:$A,$H830,'Participation Adjustment'!$B:$B,$I830),1)</f>
        <v>25.536080931503299</v>
      </c>
      <c r="AB830" s="79">
        <f>tbl_Data_old[[#This Row],[2031 ]]*IFERROR(AVERAGEIFS('Participation Adjustment'!$C:$C,'Participation Adjustment'!$A:$A,$H830,'Participation Adjustment'!$B:$B,$I830),1)</f>
        <v>32.856156007780797</v>
      </c>
      <c r="AC830" s="79">
        <f>tbl_Data_old[[#This Row],[2032 ]]*IFERROR(AVERAGEIFS('Participation Adjustment'!$C:$C,'Participation Adjustment'!$A:$A,$H830,'Participation Adjustment'!$B:$B,$I830),1)</f>
        <v>40.779465416826298</v>
      </c>
      <c r="AD830" s="79">
        <f>tbl_Data_old[[#This Row],[2033 ]]*IFERROR(AVERAGEIFS('Participation Adjustment'!$C:$C,'Participation Adjustment'!$A:$A,$H830,'Participation Adjustment'!$B:$B,$I830),1)</f>
        <v>49.180785297414701</v>
      </c>
      <c r="AE830" s="79">
        <f>tbl_Data_old[[#This Row],[2034 ]]*IFERROR(AVERAGEIFS('Participation Adjustment'!$C:$C,'Participation Adjustment'!$A:$A,$H830,'Participation Adjustment'!$B:$B,$I830),1)</f>
        <v>57.948998232218401</v>
      </c>
      <c r="AF830" s="77" t="str">
        <f t="shared" si="341"/>
        <v>NonResidential</v>
      </c>
      <c r="AG830" s="77" t="str">
        <f>tbl_Data[[#This Row],[All_Meas_Name_Append]]</f>
        <v>Low Energy Livestock Waterer</v>
      </c>
      <c r="AH830" s="77">
        <f>AVERAGEIFS('3. Incentive Adjustment'!G:G,'3. Incentive Adjustment'!A:A,tbl_Data[[#This Row],[Trimmed Sector]],'3. Incentive Adjustment'!B:B,tbl_Data[[#This Row],[Trimmed Measure Name]])</f>
        <v>0.7537232854794027</v>
      </c>
      <c r="AI830" s="77">
        <f>$AH830*tbl_Data[[#This Row],[2025 ]]</f>
        <v>1.5419316606083233</v>
      </c>
      <c r="AJ830" s="77">
        <f>$AH830*tbl_Data[[#This Row],[2026 ]]</f>
        <v>3.6792393346887478</v>
      </c>
      <c r="AK830" s="77">
        <f>$AH830*tbl_Data[[#This Row],[2027 ]]</f>
        <v>6.4860933682405078</v>
      </c>
      <c r="AL830" s="77">
        <f>$AH830*tbl_Data[[#This Row],[2028 ]]</f>
        <v>10.03386501308743</v>
      </c>
      <c r="AM830" s="77">
        <f>$AH830*tbl_Data[[#This Row],[2029 ]]</f>
        <v>14.305701417147631</v>
      </c>
      <c r="AN830" s="77">
        <f>$AH830*tbl_Data[[#This Row],[2030 ]]</f>
        <v>19.247138817960593</v>
      </c>
      <c r="AO830" s="77">
        <f>$AH830*tbl_Data[[#This Row],[2031 ]]</f>
        <v>24.764449854408358</v>
      </c>
      <c r="AP830" s="77">
        <f>$AH830*tbl_Data[[#This Row],[2032 ]]</f>
        <v>30.736432654063996</v>
      </c>
      <c r="AQ830" s="77">
        <f>$AH830*tbl_Data[[#This Row],[2033 ]]</f>
        <v>37.068703076824512</v>
      </c>
      <c r="AR830" s="77">
        <f>$AH830*tbl_Data[[#This Row],[2034 ]]</f>
        <v>43.67750933782775</v>
      </c>
      <c r="AS830" s="77">
        <f>SUM(tbl_Data[[#This Row],[Adjusted 2025]:[Adjusted 2034]])</f>
        <v>191.54106453485784</v>
      </c>
      <c r="AT830" s="80">
        <f>AVERAGEIFS('3. Incentive Adjustment'!F:F,'3. Incentive Adjustment'!A:A,tbl_Data[[#This Row],[Trimmed Sector]],'3. Incentive Adjustment'!B:B,tbl_Data[[#This Row],[Trimmed Measure Name]])</f>
        <v>0</v>
      </c>
      <c r="AU830" s="80">
        <f>IFERROR(VLOOKUP(tbl_Data[[#This Row],[All_Meas_Name_Append]],'IRA Tax Credits'!$A$3:$D$46,4,0),0)</f>
        <v>0</v>
      </c>
      <c r="AV830" s="81">
        <f>tbl_Data[[#This Row],[Adj. per unit Incentive ($)]]/tbl_Data[[#This Row],[kWh Savings]]*tbl_Data[[#This Row],[Sum of Annuals]]</f>
        <v>0</v>
      </c>
      <c r="AW830" s="81" t="str">
        <f>IFERROR(VLOOKUP(tbl_Data[[#This Row],[Column1]],'1. Set Program Names'!$B$2:$D$15,3,0)*tbl_Data[[#This Row],[Sum of Annuals]],"")</f>
        <v/>
      </c>
      <c r="AX830" s="81">
        <f>tbl_Data[[#This Row],[per unit IRA tax ($)]]/tbl_Data[[#This Row],[kWh Savings]]*tbl_Data[[#This Row],[Sum of Annuals]]</f>
        <v>0</v>
      </c>
      <c r="AY830" s="81">
        <f>tbl_Data[[#This Row],[Avoided Costs ($/unit)]]/tbl_Data[[#This Row],[kWh Savings]]*tbl_Data[[#This Row],[Sum of Annuals]]</f>
        <v>65.002038358509111</v>
      </c>
      <c r="AZ830" s="81">
        <f>tbl_Data[[#This Row],[Lost Revenue ($/unit)]]/tbl_Data[[#This Row],[kWh Savings]]*tbl_Data[[#This Row],[Sum of Annuals]]</f>
        <v>154.06462892691667</v>
      </c>
      <c r="BA830" s="81">
        <f>tbl_Data[[#This Row],[Incremental Cost ($/unit)]]/tbl_Data[[#This Row],[kWh Savings]]*tbl_Data[[#This Row],[Sum of Annuals]]</f>
        <v>59.053392967305051</v>
      </c>
      <c r="BB830" s="77">
        <f>ROUNDUP(tbl_Data[[#This Row],[Adjusted 2025]]/$L830,0)</f>
        <v>1</v>
      </c>
      <c r="BC830" s="77">
        <f>ROUNDUP(tbl_Data[[#This Row],[Adjusted 2026]]/$L830,0)</f>
        <v>1</v>
      </c>
      <c r="BD830" s="77">
        <f>ROUNDUP(tbl_Data[[#This Row],[Adjusted 2027]]/$L830,0)</f>
        <v>1</v>
      </c>
      <c r="BE830" s="77">
        <f>ROUNDUP(tbl_Data[[#This Row],[Adjusted 2028]]/$L830,0)</f>
        <v>1</v>
      </c>
      <c r="BF830" s="77">
        <f>ROUNDUP(tbl_Data[[#This Row],[Adjusted 2029]]/$L830,0)</f>
        <v>1</v>
      </c>
      <c r="BG830" s="77">
        <f>ROUNDUP(tbl_Data[[#This Row],[Adjusted 2030]]/$L830,0)</f>
        <v>1</v>
      </c>
      <c r="BH830" s="77">
        <f>ROUNDUP(tbl_Data[[#This Row],[Adjusted 2031]]/$L830,0)</f>
        <v>1</v>
      </c>
      <c r="BI830" s="77">
        <f>ROUNDUP(tbl_Data[[#This Row],[Adjusted 2032]]/$L830,0)</f>
        <v>1</v>
      </c>
      <c r="BJ830" s="77">
        <f>ROUNDUP(tbl_Data[[#This Row],[Adjusted 2033]]/$L830,0)</f>
        <v>1</v>
      </c>
      <c r="BK830" s="77">
        <f>ROUNDUP(tbl_Data[[#This Row],[Adjusted 2034]]/$L830,0)</f>
        <v>1</v>
      </c>
      <c r="BL830" s="80">
        <f t="shared" si="342"/>
        <v>0</v>
      </c>
      <c r="BM830" s="80">
        <f t="shared" si="343"/>
        <v>0</v>
      </c>
      <c r="BN830" s="80">
        <f t="shared" si="344"/>
        <v>0</v>
      </c>
      <c r="BO830" s="80">
        <f t="shared" si="345"/>
        <v>0</v>
      </c>
      <c r="BP830" s="80">
        <f t="shared" si="346"/>
        <v>0</v>
      </c>
      <c r="BQ830" s="80">
        <f t="shared" si="347"/>
        <v>0</v>
      </c>
      <c r="BR830" s="80">
        <f t="shared" si="348"/>
        <v>0</v>
      </c>
      <c r="BS830" s="80">
        <f t="shared" si="349"/>
        <v>0</v>
      </c>
      <c r="BT830" s="80">
        <f t="shared" si="350"/>
        <v>0</v>
      </c>
      <c r="BU830" s="80">
        <f t="shared" si="351"/>
        <v>0</v>
      </c>
      <c r="BV830" s="80" t="str">
        <f>IFERROR(VLOOKUP($H830,'1. Set Program Names'!$B$2:$D$15,3,0)*V830,"NA")</f>
        <v>NA</v>
      </c>
      <c r="BW830" s="80" t="str">
        <f>IFERROR(VLOOKUP($H830,'1. Set Program Names'!$B$2:$D$15,3,0)*W830,"NA")</f>
        <v>NA</v>
      </c>
      <c r="BX830" s="80" t="str">
        <f>IFERROR(VLOOKUP($H830,'1. Set Program Names'!$B$2:$D$15,3,0)*X830,"NA")</f>
        <v>NA</v>
      </c>
      <c r="BY830" s="80" t="str">
        <f>IFERROR(VLOOKUP($H830,'1. Set Program Names'!$B$2:$D$15,3,0)*Y830,"NA")</f>
        <v>NA</v>
      </c>
      <c r="BZ830" s="80" t="str">
        <f>IFERROR(VLOOKUP($H830,'1. Set Program Names'!$B$2:$D$15,3,0)*Z830,"NA")</f>
        <v>NA</v>
      </c>
      <c r="CA830" s="80" t="str">
        <f>IFERROR(VLOOKUP($H830,'1. Set Program Names'!$B$2:$D$15,3,0)*AA830,"NA")</f>
        <v>NA</v>
      </c>
      <c r="CB830" s="80" t="str">
        <f>IFERROR(VLOOKUP($H830,'1. Set Program Names'!$B$2:$D$15,3,0)*AB830,"NA")</f>
        <v>NA</v>
      </c>
      <c r="CC830" s="80" t="str">
        <f>IFERROR(VLOOKUP($H830,'1. Set Program Names'!$B$2:$D$15,3,0)*AC830,"NA")</f>
        <v>NA</v>
      </c>
      <c r="CD830" s="80" t="str">
        <f>IFERROR(VLOOKUP($H830,'1. Set Program Names'!$B$2:$D$15,3,0)*AD830,"NA")</f>
        <v>NA</v>
      </c>
      <c r="CE830" s="80" t="str">
        <f>IFERROR(VLOOKUP($H830,'1. Set Program Names'!$B$2:$D$15,3,0)*AE830,"NA")</f>
        <v>NA</v>
      </c>
    </row>
    <row r="831" spans="1:83" x14ac:dyDescent="0.25">
      <c r="A831" s="79" t="s">
        <v>117</v>
      </c>
      <c r="B831" s="79" t="s">
        <v>88</v>
      </c>
      <c r="C831" s="79" t="s">
        <v>176</v>
      </c>
      <c r="D831" s="79" t="s">
        <v>90</v>
      </c>
      <c r="E831" s="79" t="s">
        <v>91</v>
      </c>
      <c r="F831" s="79" t="s">
        <v>90</v>
      </c>
      <c r="G831" s="79" t="s">
        <v>92</v>
      </c>
      <c r="H831" s="79" t="s">
        <v>268</v>
      </c>
      <c r="I831" s="79" t="s">
        <v>184</v>
      </c>
      <c r="J831" s="79" t="s">
        <v>180</v>
      </c>
      <c r="K831" s="79" t="s">
        <v>98</v>
      </c>
      <c r="L831" s="79">
        <v>3514.8091666666501</v>
      </c>
      <c r="M831" s="79">
        <v>0.421134949485237</v>
      </c>
      <c r="N831" s="79">
        <v>0.40566942535109901</v>
      </c>
      <c r="O831" s="79">
        <v>1028.8599999999999</v>
      </c>
      <c r="P831" s="79">
        <v>322.03243304134497</v>
      </c>
      <c r="Q831" s="79">
        <v>3.5148091666666499</v>
      </c>
      <c r="R831" s="79">
        <v>1184.78167438478</v>
      </c>
      <c r="S831" s="79">
        <v>2827.1105797935802</v>
      </c>
      <c r="T831" s="79">
        <v>10</v>
      </c>
      <c r="U831" s="79">
        <v>1</v>
      </c>
      <c r="V831" s="79">
        <f>tbl_Data_old[[#This Row],[2025 ]]*IFERROR(AVERAGEIFS('Participation Adjustment'!$C:$C,'Participation Adjustment'!$A:$A,$H831,'Participation Adjustment'!$B:$B,$I831),1)</f>
        <v>0.23953934200494201</v>
      </c>
      <c r="W831" s="79">
        <f>tbl_Data_old[[#This Row],[2026 ]]*IFERROR(AVERAGEIFS('Participation Adjustment'!$C:$C,'Participation Adjustment'!$A:$A,$H831,'Participation Adjustment'!$B:$B,$I831),1)</f>
        <v>0.56989837652168795</v>
      </c>
      <c r="X831" s="79">
        <f>tbl_Data_old[[#This Row],[2027 ]]*IFERROR(AVERAGEIFS('Participation Adjustment'!$C:$C,'Participation Adjustment'!$A:$A,$H831,'Participation Adjustment'!$B:$B,$I831),1)</f>
        <v>1.0110303199856701</v>
      </c>
      <c r="Y831" s="79">
        <f>tbl_Data_old[[#This Row],[2028 ]]*IFERROR(AVERAGEIFS('Participation Adjustment'!$C:$C,'Participation Adjustment'!$A:$A,$H831,'Participation Adjustment'!$B:$B,$I831),1)</f>
        <v>1.5851715658879599</v>
      </c>
      <c r="Z831" s="79">
        <f>tbl_Data_old[[#This Row],[2029 ]]*IFERROR(AVERAGEIFS('Participation Adjustment'!$C:$C,'Participation Adjustment'!$A:$A,$H831,'Participation Adjustment'!$B:$B,$I831),1)</f>
        <v>2.2995864898327398</v>
      </c>
      <c r="AA831" s="79">
        <f>tbl_Data_old[[#This Row],[2030 ]]*IFERROR(AVERAGEIFS('Participation Adjustment'!$C:$C,'Participation Adjustment'!$A:$A,$H831,'Participation Adjustment'!$B:$B,$I831),1)</f>
        <v>3.1445430433395698</v>
      </c>
      <c r="AB831" s="79">
        <f>tbl_Data_old[[#This Row],[2031 ]]*IFERROR(AVERAGEIFS('Participation Adjustment'!$C:$C,'Participation Adjustment'!$A:$A,$H831,'Participation Adjustment'!$B:$B,$I831),1)</f>
        <v>4.0827541892942802</v>
      </c>
      <c r="AC831" s="79">
        <f>tbl_Data_old[[#This Row],[2032 ]]*IFERROR(AVERAGEIFS('Participation Adjustment'!$C:$C,'Participation Adjustment'!$A:$A,$H831,'Participation Adjustment'!$B:$B,$I831),1)</f>
        <v>5.0469691248532502</v>
      </c>
      <c r="AD831" s="79">
        <f>tbl_Data_old[[#This Row],[2033 ]]*IFERROR(AVERAGEIFS('Participation Adjustment'!$C:$C,'Participation Adjustment'!$A:$A,$H831,'Participation Adjustment'!$B:$B,$I831),1)</f>
        <v>5.95774312552075</v>
      </c>
      <c r="AE831" s="79">
        <f>tbl_Data_old[[#This Row],[2034 ]]*IFERROR(AVERAGEIFS('Participation Adjustment'!$C:$C,'Participation Adjustment'!$A:$A,$H831,'Participation Adjustment'!$B:$B,$I831),1)</f>
        <v>6.7449376670314498</v>
      </c>
      <c r="AF831" s="77" t="str">
        <f t="shared" si="341"/>
        <v>NonResidential</v>
      </c>
      <c r="AG831" s="77" t="str">
        <f>tbl_Data[[#This Row],[All_Meas_Name_Append]]</f>
        <v>Low Pressure-drop Filters</v>
      </c>
      <c r="AH831" s="77">
        <f>AVERAGEIFS('3. Incentive Adjustment'!G:G,'3. Incentive Adjustment'!A:A,tbl_Data[[#This Row],[Trimmed Sector]],'3. Incentive Adjustment'!B:B,tbl_Data[[#This Row],[Trimmed Measure Name]])</f>
        <v>0.78525588861759776</v>
      </c>
      <c r="AI831" s="77">
        <f>$AH831*tbl_Data[[#This Row],[2025 ]]</f>
        <v>0.1880996788649654</v>
      </c>
      <c r="AJ831" s="77">
        <f>$AH831*tbl_Data[[#This Row],[2026 ]]</f>
        <v>0.44751605607726441</v>
      </c>
      <c r="AK831" s="77">
        <f>$AH831*tbl_Data[[#This Row],[2027 ]]</f>
        <v>0.79391751233968155</v>
      </c>
      <c r="AL831" s="77">
        <f>$AH831*tbl_Data[[#This Row],[2028 ]]</f>
        <v>1.2447653065826989</v>
      </c>
      <c r="AM831" s="77">
        <f>$AH831*tbl_Data[[#This Row],[2029 ]]</f>
        <v>1.8057638325266305</v>
      </c>
      <c r="AN831" s="77">
        <f>$AH831*tbl_Data[[#This Row],[2030 ]]</f>
        <v>2.4692709417938992</v>
      </c>
      <c r="AO831" s="77">
        <f>$AH831*tbl_Data[[#This Row],[2031 ]]</f>
        <v>3.2060067689215002</v>
      </c>
      <c r="AP831" s="77">
        <f>$AH831*tbl_Data[[#This Row],[2032 ]]</f>
        <v>3.9631622249622187</v>
      </c>
      <c r="AQ831" s="77">
        <f>$AH831*tbl_Data[[#This Row],[2033 ]]</f>
        <v>4.6783528721861805</v>
      </c>
      <c r="AR831" s="77">
        <f>$AH831*tbl_Data[[#This Row],[2034 ]]</f>
        <v>5.2965020213950877</v>
      </c>
      <c r="AS831" s="77">
        <f>SUM(tbl_Data[[#This Row],[Adjusted 2025]:[Adjusted 2034]])</f>
        <v>24.09335721565013</v>
      </c>
      <c r="AT831" s="80">
        <f>AVERAGEIFS('3. Incentive Adjustment'!F:F,'3. Incentive Adjustment'!A:A,tbl_Data[[#This Row],[Trimmed Sector]],'3. Incentive Adjustment'!B:B,tbl_Data[[#This Row],[Trimmed Measure Name]])</f>
        <v>0</v>
      </c>
      <c r="AU831" s="80">
        <f>IFERROR(VLOOKUP(tbl_Data[[#This Row],[All_Meas_Name_Append]],'IRA Tax Credits'!$A$3:$D$46,4,0),0)</f>
        <v>0</v>
      </c>
      <c r="AV831" s="81">
        <f>tbl_Data[[#This Row],[Adj. per unit Incentive ($)]]/tbl_Data[[#This Row],[kWh Savings]]*tbl_Data[[#This Row],[Sum of Annuals]]</f>
        <v>0</v>
      </c>
      <c r="AW831" s="81" t="str">
        <f>IFERROR(VLOOKUP(tbl_Data[[#This Row],[Column1]],'1. Set Program Names'!$B$2:$D$15,3,0)*tbl_Data[[#This Row],[Sum of Annuals]],"")</f>
        <v/>
      </c>
      <c r="AX831" s="81">
        <f>tbl_Data[[#This Row],[per unit IRA tax ($)]]/tbl_Data[[#This Row],[kWh Savings]]*tbl_Data[[#This Row],[Sum of Annuals]]</f>
        <v>0</v>
      </c>
      <c r="AY831" s="81">
        <f>tbl_Data[[#This Row],[Avoided Costs ($/unit)]]/tbl_Data[[#This Row],[kWh Savings]]*tbl_Data[[#This Row],[Sum of Annuals]]</f>
        <v>8.1214560307353008</v>
      </c>
      <c r="AZ831" s="81">
        <f>tbl_Data[[#This Row],[Lost Revenue ($/unit)]]/tbl_Data[[#This Row],[kWh Savings]]*tbl_Data[[#This Row],[Sum of Annuals]]</f>
        <v>19.379312462562087</v>
      </c>
      <c r="BA831" s="81">
        <f>tbl_Data[[#This Row],[Incremental Cost ($/unit)]]/tbl_Data[[#This Row],[kWh Savings]]*tbl_Data[[#This Row],[Sum of Annuals]]</f>
        <v>7.0526422145423942</v>
      </c>
      <c r="BB831" s="77">
        <f>ROUNDUP(tbl_Data[[#This Row],[Adjusted 2025]]/$L831,0)</f>
        <v>1</v>
      </c>
      <c r="BC831" s="77">
        <f>ROUNDUP(tbl_Data[[#This Row],[Adjusted 2026]]/$L831,0)</f>
        <v>1</v>
      </c>
      <c r="BD831" s="77">
        <f>ROUNDUP(tbl_Data[[#This Row],[Adjusted 2027]]/$L831,0)</f>
        <v>1</v>
      </c>
      <c r="BE831" s="77">
        <f>ROUNDUP(tbl_Data[[#This Row],[Adjusted 2028]]/$L831,0)</f>
        <v>1</v>
      </c>
      <c r="BF831" s="77">
        <f>ROUNDUP(tbl_Data[[#This Row],[Adjusted 2029]]/$L831,0)</f>
        <v>1</v>
      </c>
      <c r="BG831" s="77">
        <f>ROUNDUP(tbl_Data[[#This Row],[Adjusted 2030]]/$L831,0)</f>
        <v>1</v>
      </c>
      <c r="BH831" s="77">
        <f>ROUNDUP(tbl_Data[[#This Row],[Adjusted 2031]]/$L831,0)</f>
        <v>1</v>
      </c>
      <c r="BI831" s="77">
        <f>ROUNDUP(tbl_Data[[#This Row],[Adjusted 2032]]/$L831,0)</f>
        <v>1</v>
      </c>
      <c r="BJ831" s="77">
        <f>ROUNDUP(tbl_Data[[#This Row],[Adjusted 2033]]/$L831,0)</f>
        <v>1</v>
      </c>
      <c r="BK831" s="77">
        <f>ROUNDUP(tbl_Data[[#This Row],[Adjusted 2034]]/$L831,0)</f>
        <v>1</v>
      </c>
      <c r="BL831" s="80">
        <f t="shared" si="342"/>
        <v>0</v>
      </c>
      <c r="BM831" s="80">
        <f t="shared" si="343"/>
        <v>0</v>
      </c>
      <c r="BN831" s="80">
        <f t="shared" si="344"/>
        <v>0</v>
      </c>
      <c r="BO831" s="80">
        <f t="shared" si="345"/>
        <v>0</v>
      </c>
      <c r="BP831" s="80">
        <f t="shared" si="346"/>
        <v>0</v>
      </c>
      <c r="BQ831" s="80">
        <f t="shared" si="347"/>
        <v>0</v>
      </c>
      <c r="BR831" s="80">
        <f t="shared" si="348"/>
        <v>0</v>
      </c>
      <c r="BS831" s="80">
        <f t="shared" si="349"/>
        <v>0</v>
      </c>
      <c r="BT831" s="80">
        <f t="shared" si="350"/>
        <v>0</v>
      </c>
      <c r="BU831" s="80">
        <f t="shared" si="351"/>
        <v>0</v>
      </c>
      <c r="BV831" s="80" t="str">
        <f>IFERROR(VLOOKUP($H831,'1. Set Program Names'!$B$2:$D$15,3,0)*V831,"NA")</f>
        <v>NA</v>
      </c>
      <c r="BW831" s="80" t="str">
        <f>IFERROR(VLOOKUP($H831,'1. Set Program Names'!$B$2:$D$15,3,0)*W831,"NA")</f>
        <v>NA</v>
      </c>
      <c r="BX831" s="80" t="str">
        <f>IFERROR(VLOOKUP($H831,'1. Set Program Names'!$B$2:$D$15,3,0)*X831,"NA")</f>
        <v>NA</v>
      </c>
      <c r="BY831" s="80" t="str">
        <f>IFERROR(VLOOKUP($H831,'1. Set Program Names'!$B$2:$D$15,3,0)*Y831,"NA")</f>
        <v>NA</v>
      </c>
      <c r="BZ831" s="80" t="str">
        <f>IFERROR(VLOOKUP($H831,'1. Set Program Names'!$B$2:$D$15,3,0)*Z831,"NA")</f>
        <v>NA</v>
      </c>
      <c r="CA831" s="80" t="str">
        <f>IFERROR(VLOOKUP($H831,'1. Set Program Names'!$B$2:$D$15,3,0)*AA831,"NA")</f>
        <v>NA</v>
      </c>
      <c r="CB831" s="80" t="str">
        <f>IFERROR(VLOOKUP($H831,'1. Set Program Names'!$B$2:$D$15,3,0)*AB831,"NA")</f>
        <v>NA</v>
      </c>
      <c r="CC831" s="80" t="str">
        <f>IFERROR(VLOOKUP($H831,'1. Set Program Names'!$B$2:$D$15,3,0)*AC831,"NA")</f>
        <v>NA</v>
      </c>
      <c r="CD831" s="80" t="str">
        <f>IFERROR(VLOOKUP($H831,'1. Set Program Names'!$B$2:$D$15,3,0)*AD831,"NA")</f>
        <v>NA</v>
      </c>
      <c r="CE831" s="80" t="str">
        <f>IFERROR(VLOOKUP($H831,'1. Set Program Names'!$B$2:$D$15,3,0)*AE831,"NA")</f>
        <v>NA</v>
      </c>
    </row>
    <row r="832" spans="1:83" x14ac:dyDescent="0.25">
      <c r="A832" s="79" t="s">
        <v>117</v>
      </c>
      <c r="B832" s="79" t="s">
        <v>88</v>
      </c>
      <c r="C832" s="79" t="s">
        <v>176</v>
      </c>
      <c r="D832" s="79" t="s">
        <v>90</v>
      </c>
      <c r="E832" s="79" t="s">
        <v>91</v>
      </c>
      <c r="F832" s="79" t="s">
        <v>90</v>
      </c>
      <c r="G832" s="79" t="s">
        <v>92</v>
      </c>
      <c r="H832" s="79" t="s">
        <v>268</v>
      </c>
      <c r="I832" s="79" t="s">
        <v>271</v>
      </c>
      <c r="J832" s="79" t="s">
        <v>180</v>
      </c>
      <c r="K832" s="79" t="s">
        <v>272</v>
      </c>
      <c r="L832" s="79">
        <v>8742.5400000000009</v>
      </c>
      <c r="M832" s="79">
        <v>1.04876812955413</v>
      </c>
      <c r="N832" s="79">
        <v>1.0098733971376099</v>
      </c>
      <c r="O832" s="79">
        <v>3543.39</v>
      </c>
      <c r="P832" s="79">
        <v>1784.8102698461601</v>
      </c>
      <c r="Q832" s="79">
        <v>8.74254</v>
      </c>
      <c r="R832" s="79">
        <v>3737.3935784201899</v>
      </c>
      <c r="S832" s="79">
        <v>9285.1929731405908</v>
      </c>
      <c r="T832" s="79">
        <v>15</v>
      </c>
      <c r="U832" s="79">
        <v>1</v>
      </c>
      <c r="V832" s="79">
        <f>tbl_Data_old[[#This Row],[2025 ]]*IFERROR(AVERAGEIFS('Participation Adjustment'!$C:$C,'Participation Adjustment'!$A:$A,$H832,'Participation Adjustment'!$B:$B,$I832),1)</f>
        <v>1.8707976293336599E-2</v>
      </c>
      <c r="W832" s="79">
        <f>tbl_Data_old[[#This Row],[2026 ]]*IFERROR(AVERAGEIFS('Participation Adjustment'!$C:$C,'Participation Adjustment'!$A:$A,$H832,'Participation Adjustment'!$B:$B,$I832),1)</f>
        <v>4.2984727438875499E-2</v>
      </c>
      <c r="X832" s="79">
        <f>tbl_Data_old[[#This Row],[2027 ]]*IFERROR(AVERAGEIFS('Participation Adjustment'!$C:$C,'Participation Adjustment'!$A:$A,$H832,'Participation Adjustment'!$B:$B,$I832),1)</f>
        <v>7.3697689979770206E-2</v>
      </c>
      <c r="Y832" s="79">
        <f>tbl_Data_old[[#This Row],[2028 ]]*IFERROR(AVERAGEIFS('Participation Adjustment'!$C:$C,'Participation Adjustment'!$A:$A,$H832,'Participation Adjustment'!$B:$B,$I832),1)</f>
        <v>0.112038204739383</v>
      </c>
      <c r="Z832" s="79">
        <f>tbl_Data_old[[#This Row],[2029 ]]*IFERROR(AVERAGEIFS('Participation Adjustment'!$C:$C,'Participation Adjustment'!$A:$A,$H832,'Participation Adjustment'!$B:$B,$I832),1)</f>
        <v>0.158410331725999</v>
      </c>
      <c r="AA832" s="79">
        <f>tbl_Data_old[[#This Row],[2030 ]]*IFERROR(AVERAGEIFS('Participation Adjustment'!$C:$C,'Participation Adjustment'!$A:$A,$H832,'Participation Adjustment'!$B:$B,$I832),1)</f>
        <v>0.21298926479925201</v>
      </c>
      <c r="AB832" s="79">
        <f>tbl_Data_old[[#This Row],[2031 ]]*IFERROR(AVERAGEIFS('Participation Adjustment'!$C:$C,'Participation Adjustment'!$A:$A,$H832,'Participation Adjustment'!$B:$B,$I832),1)</f>
        <v>0.27520865266383798</v>
      </c>
      <c r="AC832" s="79">
        <f>tbl_Data_old[[#This Row],[2032 ]]*IFERROR(AVERAGEIFS('Participation Adjustment'!$C:$C,'Participation Adjustment'!$A:$A,$H832,'Participation Adjustment'!$B:$B,$I832),1)</f>
        <v>0.34338429078944499</v>
      </c>
      <c r="AD832" s="79">
        <f>tbl_Data_old[[#This Row],[2033 ]]*IFERROR(AVERAGEIFS('Participation Adjustment'!$C:$C,'Participation Adjustment'!$A:$A,$H832,'Participation Adjustment'!$B:$B,$I832),1)</f>
        <v>0.41515989063758102</v>
      </c>
      <c r="AE832" s="79">
        <f>tbl_Data_old[[#This Row],[2034 ]]*IFERROR(AVERAGEIFS('Participation Adjustment'!$C:$C,'Participation Adjustment'!$A:$A,$H832,'Participation Adjustment'!$B:$B,$I832),1)</f>
        <v>0.48731066266596201</v>
      </c>
      <c r="AF832" s="77" t="str">
        <f t="shared" si="341"/>
        <v>NonResidential</v>
      </c>
      <c r="AG832" s="77" t="str">
        <f>tbl_Data[[#This Row],[All_Meas_Name_Append]]</f>
        <v>Milk Pre-Cooler</v>
      </c>
      <c r="AH832" s="77">
        <f>AVERAGEIFS('3. Incentive Adjustment'!G:G,'3. Incentive Adjustment'!A:A,tbl_Data[[#This Row],[Trimmed Sector]],'3. Incentive Adjustment'!B:B,tbl_Data[[#This Row],[Trimmed Measure Name]])</f>
        <v>0.58352930274688986</v>
      </c>
      <c r="AI832" s="77">
        <f>$AH832*tbl_Data[[#This Row],[2025 ]]</f>
        <v>1.091665236225605E-2</v>
      </c>
      <c r="AJ832" s="77">
        <f>$AH832*tbl_Data[[#This Row],[2026 ]]</f>
        <v>2.5082848031172125E-2</v>
      </c>
      <c r="AK832" s="77">
        <f>$AH832*tbl_Data[[#This Row],[2027 ]]</f>
        <v>4.3004761647951757E-2</v>
      </c>
      <c r="AL832" s="77">
        <f>$AH832*tbl_Data[[#This Row],[2028 ]]</f>
        <v>6.5377575492585452E-2</v>
      </c>
      <c r="AM832" s="77">
        <f>$AH832*tbl_Data[[#This Row],[2029 ]]</f>
        <v>9.2437070419975717E-2</v>
      </c>
      <c r="AN832" s="77">
        <f>$AH832*tbl_Data[[#This Row],[2030 ]]</f>
        <v>0.12428547718088022</v>
      </c>
      <c r="AO832" s="77">
        <f>$AH832*tbl_Data[[#This Row],[2031 ]]</f>
        <v>0.16059231319884038</v>
      </c>
      <c r="AP832" s="77">
        <f>$AH832*tbl_Data[[#This Row],[2032 ]]</f>
        <v>0.2003747957786001</v>
      </c>
      <c r="AQ832" s="77">
        <f>$AH832*tbl_Data[[#This Row],[2033 ]]</f>
        <v>0.2422579615122227</v>
      </c>
      <c r="AR832" s="77">
        <f>$AH832*tbl_Data[[#This Row],[2034 ]]</f>
        <v>0.28436005120659369</v>
      </c>
      <c r="AS832" s="77">
        <f>SUM(tbl_Data[[#This Row],[Adjusted 2025]:[Adjusted 2034]])</f>
        <v>1.2486895068310782</v>
      </c>
      <c r="AT832" s="80">
        <f>AVERAGEIFS('3. Incentive Adjustment'!F:F,'3. Incentive Adjustment'!A:A,tbl_Data[[#This Row],[Trimmed Sector]],'3. Incentive Adjustment'!B:B,tbl_Data[[#This Row],[Trimmed Measure Name]])</f>
        <v>0</v>
      </c>
      <c r="AU832" s="80">
        <f>IFERROR(VLOOKUP(tbl_Data[[#This Row],[All_Meas_Name_Append]],'IRA Tax Credits'!$A$3:$D$46,4,0),0)</f>
        <v>0</v>
      </c>
      <c r="AV832" s="81">
        <f>tbl_Data[[#This Row],[Adj. per unit Incentive ($)]]/tbl_Data[[#This Row],[kWh Savings]]*tbl_Data[[#This Row],[Sum of Annuals]]</f>
        <v>0</v>
      </c>
      <c r="AW832" s="81" t="str">
        <f>IFERROR(VLOOKUP(tbl_Data[[#This Row],[Column1]],'1. Set Program Names'!$B$2:$D$15,3,0)*tbl_Data[[#This Row],[Sum of Annuals]],"")</f>
        <v/>
      </c>
      <c r="AX832" s="81">
        <f>tbl_Data[[#This Row],[per unit IRA tax ($)]]/tbl_Data[[#This Row],[kWh Savings]]*tbl_Data[[#This Row],[Sum of Annuals]]</f>
        <v>0</v>
      </c>
      <c r="AY832" s="81">
        <f>tbl_Data[[#This Row],[Avoided Costs ($/unit)]]/tbl_Data[[#This Row],[kWh Savings]]*tbl_Data[[#This Row],[Sum of Annuals]]</f>
        <v>0.53380872655671519</v>
      </c>
      <c r="AZ832" s="81">
        <f>tbl_Data[[#This Row],[Lost Revenue ($/unit)]]/tbl_Data[[#This Row],[kWh Savings]]*tbl_Data[[#This Row],[Sum of Annuals]]</f>
        <v>1.3261961666131714</v>
      </c>
      <c r="BA832" s="81">
        <f>tbl_Data[[#This Row],[Incremental Cost ($/unit)]]/tbl_Data[[#This Row],[kWh Savings]]*tbl_Data[[#This Row],[Sum of Annuals]]</f>
        <v>0.50609936146819723</v>
      </c>
      <c r="BB832" s="77">
        <f>ROUNDUP(tbl_Data[[#This Row],[Adjusted 2025]]/$L832,0)</f>
        <v>1</v>
      </c>
      <c r="BC832" s="77">
        <f>ROUNDUP(tbl_Data[[#This Row],[Adjusted 2026]]/$L832,0)</f>
        <v>1</v>
      </c>
      <c r="BD832" s="77">
        <f>ROUNDUP(tbl_Data[[#This Row],[Adjusted 2027]]/$L832,0)</f>
        <v>1</v>
      </c>
      <c r="BE832" s="77">
        <f>ROUNDUP(tbl_Data[[#This Row],[Adjusted 2028]]/$L832,0)</f>
        <v>1</v>
      </c>
      <c r="BF832" s="77">
        <f>ROUNDUP(tbl_Data[[#This Row],[Adjusted 2029]]/$L832,0)</f>
        <v>1</v>
      </c>
      <c r="BG832" s="77">
        <f>ROUNDUP(tbl_Data[[#This Row],[Adjusted 2030]]/$L832,0)</f>
        <v>1</v>
      </c>
      <c r="BH832" s="77">
        <f>ROUNDUP(tbl_Data[[#This Row],[Adjusted 2031]]/$L832,0)</f>
        <v>1</v>
      </c>
      <c r="BI832" s="77">
        <f>ROUNDUP(tbl_Data[[#This Row],[Adjusted 2032]]/$L832,0)</f>
        <v>1</v>
      </c>
      <c r="BJ832" s="77">
        <f>ROUNDUP(tbl_Data[[#This Row],[Adjusted 2033]]/$L832,0)</f>
        <v>1</v>
      </c>
      <c r="BK832" s="77">
        <f>ROUNDUP(tbl_Data[[#This Row],[Adjusted 2034]]/$L832,0)</f>
        <v>1</v>
      </c>
      <c r="BL832" s="80">
        <f t="shared" si="342"/>
        <v>0</v>
      </c>
      <c r="BM832" s="80">
        <f t="shared" si="343"/>
        <v>0</v>
      </c>
      <c r="BN832" s="80">
        <f t="shared" si="344"/>
        <v>0</v>
      </c>
      <c r="BO832" s="80">
        <f t="shared" si="345"/>
        <v>0</v>
      </c>
      <c r="BP832" s="80">
        <f t="shared" si="346"/>
        <v>0</v>
      </c>
      <c r="BQ832" s="80">
        <f t="shared" si="347"/>
        <v>0</v>
      </c>
      <c r="BR832" s="80">
        <f t="shared" si="348"/>
        <v>0</v>
      </c>
      <c r="BS832" s="80">
        <f t="shared" si="349"/>
        <v>0</v>
      </c>
      <c r="BT832" s="80">
        <f t="shared" si="350"/>
        <v>0</v>
      </c>
      <c r="BU832" s="80">
        <f t="shared" si="351"/>
        <v>0</v>
      </c>
      <c r="BV832" s="80" t="str">
        <f>IFERROR(VLOOKUP($H832,'1. Set Program Names'!$B$2:$D$15,3,0)*V832,"NA")</f>
        <v>NA</v>
      </c>
      <c r="BW832" s="80" t="str">
        <f>IFERROR(VLOOKUP($H832,'1. Set Program Names'!$B$2:$D$15,3,0)*W832,"NA")</f>
        <v>NA</v>
      </c>
      <c r="BX832" s="80" t="str">
        <f>IFERROR(VLOOKUP($H832,'1. Set Program Names'!$B$2:$D$15,3,0)*X832,"NA")</f>
        <v>NA</v>
      </c>
      <c r="BY832" s="80" t="str">
        <f>IFERROR(VLOOKUP($H832,'1. Set Program Names'!$B$2:$D$15,3,0)*Y832,"NA")</f>
        <v>NA</v>
      </c>
      <c r="BZ832" s="80" t="str">
        <f>IFERROR(VLOOKUP($H832,'1. Set Program Names'!$B$2:$D$15,3,0)*Z832,"NA")</f>
        <v>NA</v>
      </c>
      <c r="CA832" s="80" t="str">
        <f>IFERROR(VLOOKUP($H832,'1. Set Program Names'!$B$2:$D$15,3,0)*AA832,"NA")</f>
        <v>NA</v>
      </c>
      <c r="CB832" s="80" t="str">
        <f>IFERROR(VLOOKUP($H832,'1. Set Program Names'!$B$2:$D$15,3,0)*AB832,"NA")</f>
        <v>NA</v>
      </c>
      <c r="CC832" s="80" t="str">
        <f>IFERROR(VLOOKUP($H832,'1. Set Program Names'!$B$2:$D$15,3,0)*AC832,"NA")</f>
        <v>NA</v>
      </c>
      <c r="CD832" s="80" t="str">
        <f>IFERROR(VLOOKUP($H832,'1. Set Program Names'!$B$2:$D$15,3,0)*AD832,"NA")</f>
        <v>NA</v>
      </c>
      <c r="CE832" s="80" t="str">
        <f>IFERROR(VLOOKUP($H832,'1. Set Program Names'!$B$2:$D$15,3,0)*AE832,"NA")</f>
        <v>NA</v>
      </c>
    </row>
    <row r="833" spans="1:83" x14ac:dyDescent="0.25">
      <c r="A833" s="79" t="s">
        <v>117</v>
      </c>
      <c r="B833" s="79" t="s">
        <v>88</v>
      </c>
      <c r="C833" s="79" t="s">
        <v>176</v>
      </c>
      <c r="D833" s="79" t="s">
        <v>90</v>
      </c>
      <c r="E833" s="79" t="s">
        <v>91</v>
      </c>
      <c r="F833" s="79" t="s">
        <v>90</v>
      </c>
      <c r="G833" s="79" t="s">
        <v>92</v>
      </c>
      <c r="H833" s="79" t="s">
        <v>268</v>
      </c>
      <c r="I833" s="79" t="s">
        <v>190</v>
      </c>
      <c r="J833" s="79" t="s">
        <v>191</v>
      </c>
      <c r="K833" s="79" t="s">
        <v>98</v>
      </c>
      <c r="L833" s="79">
        <v>1561.28</v>
      </c>
      <c r="M833" s="79">
        <v>0.18418077149832199</v>
      </c>
      <c r="N833" s="79">
        <v>0.17996138765713399</v>
      </c>
      <c r="O833" s="79">
        <v>490</v>
      </c>
      <c r="P833" s="79">
        <v>175.94534756551599</v>
      </c>
      <c r="Q833" s="79">
        <v>1.56128</v>
      </c>
      <c r="R833" s="79">
        <v>649.62503581485396</v>
      </c>
      <c r="S833" s="79">
        <v>1586.7572850213601</v>
      </c>
      <c r="T833" s="79">
        <v>14</v>
      </c>
      <c r="U833" s="79">
        <v>0.999999999999999</v>
      </c>
      <c r="V833" s="79">
        <f>tbl_Data_old[[#This Row],[2025 ]]*IFERROR(AVERAGEIFS('Participation Adjustment'!$C:$C,'Participation Adjustment'!$A:$A,$H833,'Participation Adjustment'!$B:$B,$I833),1)</f>
        <v>1.6698779221195199</v>
      </c>
      <c r="W833" s="79">
        <f>tbl_Data_old[[#This Row],[2026 ]]*IFERROR(AVERAGEIFS('Participation Adjustment'!$C:$C,'Participation Adjustment'!$A:$A,$H833,'Participation Adjustment'!$B:$B,$I833),1)</f>
        <v>3.56952621500422</v>
      </c>
      <c r="X833" s="79">
        <f>tbl_Data_old[[#This Row],[2027 ]]*IFERROR(AVERAGEIFS('Participation Adjustment'!$C:$C,'Participation Adjustment'!$A:$A,$H833,'Participation Adjustment'!$B:$B,$I833),1)</f>
        <v>5.6694230489924502</v>
      </c>
      <c r="Y833" s="79">
        <f>tbl_Data_old[[#This Row],[2028 ]]*IFERROR(AVERAGEIFS('Participation Adjustment'!$C:$C,'Participation Adjustment'!$A:$A,$H833,'Participation Adjustment'!$B:$B,$I833),1)</f>
        <v>7.9674947282469297</v>
      </c>
      <c r="Z833" s="79">
        <f>tbl_Data_old[[#This Row],[2029 ]]*IFERROR(AVERAGEIFS('Participation Adjustment'!$C:$C,'Participation Adjustment'!$A:$A,$H833,'Participation Adjustment'!$B:$B,$I833),1)</f>
        <v>10.437422929485599</v>
      </c>
      <c r="AA833" s="79">
        <f>tbl_Data_old[[#This Row],[2030 ]]*IFERROR(AVERAGEIFS('Participation Adjustment'!$C:$C,'Participation Adjustment'!$A:$A,$H833,'Participation Adjustment'!$B:$B,$I833),1)</f>
        <v>13.0673453847741</v>
      </c>
      <c r="AB833" s="79">
        <f>tbl_Data_old[[#This Row],[2031 ]]*IFERROR(AVERAGEIFS('Participation Adjustment'!$C:$C,'Participation Adjustment'!$A:$A,$H833,'Participation Adjustment'!$B:$B,$I833),1)</f>
        <v>15.8478017158948</v>
      </c>
      <c r="AC833" s="79">
        <f>tbl_Data_old[[#This Row],[2032 ]]*IFERROR(AVERAGEIFS('Participation Adjustment'!$C:$C,'Participation Adjustment'!$A:$A,$H833,'Participation Adjustment'!$B:$B,$I833),1)</f>
        <v>18.765069598713001</v>
      </c>
      <c r="AD833" s="79">
        <f>tbl_Data_old[[#This Row],[2033 ]]*IFERROR(AVERAGEIFS('Participation Adjustment'!$C:$C,'Participation Adjustment'!$A:$A,$H833,'Participation Adjustment'!$B:$B,$I833),1)</f>
        <v>21.816387949214</v>
      </c>
      <c r="AE833" s="79">
        <f>tbl_Data_old[[#This Row],[2034 ]]*IFERROR(AVERAGEIFS('Participation Adjustment'!$C:$C,'Participation Adjustment'!$A:$A,$H833,'Participation Adjustment'!$B:$B,$I833),1)</f>
        <v>24.994899892669999</v>
      </c>
      <c r="AF833" s="77" t="str">
        <f t="shared" si="341"/>
        <v>NonResidential</v>
      </c>
      <c r="AG833" s="77" t="str">
        <f>tbl_Data[[#This Row],[All_Meas_Name_Append]]</f>
        <v>Synchronous Belt on 15hp ODP Motor</v>
      </c>
      <c r="AH833" s="77">
        <f>AVERAGEIFS('3. Incentive Adjustment'!G:G,'3. Incentive Adjustment'!A:A,tbl_Data[[#This Row],[Trimmed Sector]],'3. Incentive Adjustment'!B:B,tbl_Data[[#This Row],[Trimmed Measure Name]])</f>
        <v>0.74278916032473408</v>
      </c>
      <c r="AI833" s="77">
        <f>$AH833*tbl_Data[[#This Row],[2025 ]]</f>
        <v>1.2403672196159699</v>
      </c>
      <c r="AJ833" s="77">
        <f>$AH833*tbl_Data[[#This Row],[2026 ]]</f>
        <v>2.6514053800001109</v>
      </c>
      <c r="AK833" s="77">
        <f>$AH833*tbl_Data[[#This Row],[2027 ]]</f>
        <v>4.2111859860867957</v>
      </c>
      <c r="AL833" s="77">
        <f>$AH833*tbl_Data[[#This Row],[2028 ]]</f>
        <v>5.9181687190862826</v>
      </c>
      <c r="AM833" s="77">
        <f>$AH833*tbl_Data[[#This Row],[2029 ]]</f>
        <v>7.7528046137467346</v>
      </c>
      <c r="AN833" s="77">
        <f>$AH833*tbl_Data[[#This Row],[2030 ]]</f>
        <v>9.7062825060296429</v>
      </c>
      <c r="AO833" s="77">
        <f>$AH833*tbl_Data[[#This Row],[2031 ]]</f>
        <v>11.771575329542378</v>
      </c>
      <c r="AP833" s="77">
        <f>$AH833*tbl_Data[[#This Row],[2032 ]]</f>
        <v>13.938490290663225</v>
      </c>
      <c r="AQ833" s="77">
        <f>$AH833*tbl_Data[[#This Row],[2033 ]]</f>
        <v>16.204976486115314</v>
      </c>
      <c r="AR833" s="77">
        <f>$AH833*tbl_Data[[#This Row],[2034 ]]</f>
        <v>18.565940703677136</v>
      </c>
      <c r="AS833" s="77">
        <f>SUM(tbl_Data[[#This Row],[Adjusted 2025]:[Adjusted 2034]])</f>
        <v>91.961197234563599</v>
      </c>
      <c r="AT833" s="80">
        <f>AVERAGEIFS('3. Incentive Adjustment'!F:F,'3. Incentive Adjustment'!A:A,tbl_Data[[#This Row],[Trimmed Sector]],'3. Incentive Adjustment'!B:B,tbl_Data[[#This Row],[Trimmed Measure Name]])</f>
        <v>0</v>
      </c>
      <c r="AU833" s="80">
        <f>IFERROR(VLOOKUP(tbl_Data[[#This Row],[All_Meas_Name_Append]],'IRA Tax Credits'!$A$3:$D$46,4,0),0)</f>
        <v>0</v>
      </c>
      <c r="AV833" s="81">
        <f>tbl_Data[[#This Row],[Adj. per unit Incentive ($)]]/tbl_Data[[#This Row],[kWh Savings]]*tbl_Data[[#This Row],[Sum of Annuals]]</f>
        <v>0</v>
      </c>
      <c r="AW833" s="81" t="str">
        <f>IFERROR(VLOOKUP(tbl_Data[[#This Row],[Column1]],'1. Set Program Names'!$B$2:$D$15,3,0)*tbl_Data[[#This Row],[Sum of Annuals]],"")</f>
        <v/>
      </c>
      <c r="AX833" s="81">
        <f>tbl_Data[[#This Row],[per unit IRA tax ($)]]/tbl_Data[[#This Row],[kWh Savings]]*tbl_Data[[#This Row],[Sum of Annuals]]</f>
        <v>0</v>
      </c>
      <c r="AY833" s="81">
        <f>tbl_Data[[#This Row],[Avoided Costs ($/unit)]]/tbl_Data[[#This Row],[kWh Savings]]*tbl_Data[[#This Row],[Sum of Annuals]]</f>
        <v>38.263665740341409</v>
      </c>
      <c r="AZ833" s="81">
        <f>tbl_Data[[#This Row],[Lost Revenue ($/unit)]]/tbl_Data[[#This Row],[kWh Savings]]*tbl_Data[[#This Row],[Sum of Annuals]]</f>
        <v>93.46183878050698</v>
      </c>
      <c r="BA833" s="81">
        <f>tbl_Data[[#This Row],[Incremental Cost ($/unit)]]/tbl_Data[[#This Row],[kWh Savings]]*tbl_Data[[#This Row],[Sum of Annuals]]</f>
        <v>28.861566563932264</v>
      </c>
      <c r="BB833" s="77">
        <f>ROUNDUP(tbl_Data[[#This Row],[Adjusted 2025]]/$L833,0)</f>
        <v>1</v>
      </c>
      <c r="BC833" s="77">
        <f>ROUNDUP(tbl_Data[[#This Row],[Adjusted 2026]]/$L833,0)</f>
        <v>1</v>
      </c>
      <c r="BD833" s="77">
        <f>ROUNDUP(tbl_Data[[#This Row],[Adjusted 2027]]/$L833,0)</f>
        <v>1</v>
      </c>
      <c r="BE833" s="77">
        <f>ROUNDUP(tbl_Data[[#This Row],[Adjusted 2028]]/$L833,0)</f>
        <v>1</v>
      </c>
      <c r="BF833" s="77">
        <f>ROUNDUP(tbl_Data[[#This Row],[Adjusted 2029]]/$L833,0)</f>
        <v>1</v>
      </c>
      <c r="BG833" s="77">
        <f>ROUNDUP(tbl_Data[[#This Row],[Adjusted 2030]]/$L833,0)</f>
        <v>1</v>
      </c>
      <c r="BH833" s="77">
        <f>ROUNDUP(tbl_Data[[#This Row],[Adjusted 2031]]/$L833,0)</f>
        <v>1</v>
      </c>
      <c r="BI833" s="77">
        <f>ROUNDUP(tbl_Data[[#This Row],[Adjusted 2032]]/$L833,0)</f>
        <v>1</v>
      </c>
      <c r="BJ833" s="77">
        <f>ROUNDUP(tbl_Data[[#This Row],[Adjusted 2033]]/$L833,0)</f>
        <v>1</v>
      </c>
      <c r="BK833" s="77">
        <f>ROUNDUP(tbl_Data[[#This Row],[Adjusted 2034]]/$L833,0)</f>
        <v>1</v>
      </c>
      <c r="BL833" s="80">
        <f t="shared" si="342"/>
        <v>0</v>
      </c>
      <c r="BM833" s="80">
        <f t="shared" si="343"/>
        <v>0</v>
      </c>
      <c r="BN833" s="80">
        <f t="shared" si="344"/>
        <v>0</v>
      </c>
      <c r="BO833" s="80">
        <f t="shared" si="345"/>
        <v>0</v>
      </c>
      <c r="BP833" s="80">
        <f t="shared" si="346"/>
        <v>0</v>
      </c>
      <c r="BQ833" s="80">
        <f t="shared" si="347"/>
        <v>0</v>
      </c>
      <c r="BR833" s="80">
        <f t="shared" si="348"/>
        <v>0</v>
      </c>
      <c r="BS833" s="80">
        <f t="shared" si="349"/>
        <v>0</v>
      </c>
      <c r="BT833" s="80">
        <f t="shared" si="350"/>
        <v>0</v>
      </c>
      <c r="BU833" s="80">
        <f t="shared" si="351"/>
        <v>0</v>
      </c>
      <c r="BV833" s="80" t="str">
        <f>IFERROR(VLOOKUP($H833,'1. Set Program Names'!$B$2:$D$15,3,0)*V833,"NA")</f>
        <v>NA</v>
      </c>
      <c r="BW833" s="80" t="str">
        <f>IFERROR(VLOOKUP($H833,'1. Set Program Names'!$B$2:$D$15,3,0)*W833,"NA")</f>
        <v>NA</v>
      </c>
      <c r="BX833" s="80" t="str">
        <f>IFERROR(VLOOKUP($H833,'1. Set Program Names'!$B$2:$D$15,3,0)*X833,"NA")</f>
        <v>NA</v>
      </c>
      <c r="BY833" s="80" t="str">
        <f>IFERROR(VLOOKUP($H833,'1. Set Program Names'!$B$2:$D$15,3,0)*Y833,"NA")</f>
        <v>NA</v>
      </c>
      <c r="BZ833" s="80" t="str">
        <f>IFERROR(VLOOKUP($H833,'1. Set Program Names'!$B$2:$D$15,3,0)*Z833,"NA")</f>
        <v>NA</v>
      </c>
      <c r="CA833" s="80" t="str">
        <f>IFERROR(VLOOKUP($H833,'1. Set Program Names'!$B$2:$D$15,3,0)*AA833,"NA")</f>
        <v>NA</v>
      </c>
      <c r="CB833" s="80" t="str">
        <f>IFERROR(VLOOKUP($H833,'1. Set Program Names'!$B$2:$D$15,3,0)*AB833,"NA")</f>
        <v>NA</v>
      </c>
      <c r="CC833" s="80" t="str">
        <f>IFERROR(VLOOKUP($H833,'1. Set Program Names'!$B$2:$D$15,3,0)*AC833,"NA")</f>
        <v>NA</v>
      </c>
      <c r="CD833" s="80" t="str">
        <f>IFERROR(VLOOKUP($H833,'1. Set Program Names'!$B$2:$D$15,3,0)*AD833,"NA")</f>
        <v>NA</v>
      </c>
      <c r="CE833" s="80" t="str">
        <f>IFERROR(VLOOKUP($H833,'1. Set Program Names'!$B$2:$D$15,3,0)*AE833,"NA")</f>
        <v>NA</v>
      </c>
    </row>
    <row r="834" spans="1:83" x14ac:dyDescent="0.25">
      <c r="A834" s="79" t="s">
        <v>117</v>
      </c>
      <c r="B834" s="79" t="s">
        <v>88</v>
      </c>
      <c r="C834" s="79" t="s">
        <v>176</v>
      </c>
      <c r="D834" s="79" t="s">
        <v>90</v>
      </c>
      <c r="E834" s="79" t="s">
        <v>91</v>
      </c>
      <c r="F834" s="79" t="s">
        <v>90</v>
      </c>
      <c r="G834" s="79" t="s">
        <v>92</v>
      </c>
      <c r="H834" s="79" t="s">
        <v>268</v>
      </c>
      <c r="I834" s="79" t="s">
        <v>192</v>
      </c>
      <c r="J834" s="79" t="s">
        <v>191</v>
      </c>
      <c r="K834" s="79" t="s">
        <v>98</v>
      </c>
      <c r="L834" s="79">
        <v>437.76000000000101</v>
      </c>
      <c r="M834" s="79">
        <v>5.1641585449826798E-2</v>
      </c>
      <c r="N834" s="79">
        <v>5.0458532140799497E-2</v>
      </c>
      <c r="O834" s="79">
        <v>163</v>
      </c>
      <c r="P834" s="79">
        <v>74.943684252843894</v>
      </c>
      <c r="Q834" s="79">
        <v>0.43776000000000098</v>
      </c>
      <c r="R834" s="79">
        <v>182.14532670521001</v>
      </c>
      <c r="S834" s="79">
        <v>444.90345683730902</v>
      </c>
      <c r="T834" s="79">
        <v>14</v>
      </c>
      <c r="U834" s="79">
        <v>0.999999999999999</v>
      </c>
      <c r="V834" s="79">
        <f>tbl_Data_old[[#This Row],[2025 ]]*IFERROR(AVERAGEIFS('Participation Adjustment'!$C:$C,'Participation Adjustment'!$A:$A,$H834,'Participation Adjustment'!$B:$B,$I834),1)</f>
        <v>1.6652276060025999</v>
      </c>
      <c r="W834" s="79">
        <f>tbl_Data_old[[#This Row],[2026 ]]*IFERROR(AVERAGEIFS('Participation Adjustment'!$C:$C,'Participation Adjustment'!$A:$A,$H834,'Participation Adjustment'!$B:$B,$I834),1)</f>
        <v>3.55897644817022</v>
      </c>
      <c r="X834" s="79">
        <f>tbl_Data_old[[#This Row],[2027 ]]*IFERROR(AVERAGEIFS('Participation Adjustment'!$C:$C,'Participation Adjustment'!$A:$A,$H834,'Participation Adjustment'!$B:$B,$I834),1)</f>
        <v>5.6517470277047801</v>
      </c>
      <c r="Y834" s="79">
        <f>tbl_Data_old[[#This Row],[2028 ]]*IFERROR(AVERAGEIFS('Participation Adjustment'!$C:$C,'Participation Adjustment'!$A:$A,$H834,'Participation Adjustment'!$B:$B,$I834),1)</f>
        <v>7.9414275148715099</v>
      </c>
      <c r="Z834" s="79">
        <f>tbl_Data_old[[#This Row],[2029 ]]*IFERROR(AVERAGEIFS('Participation Adjustment'!$C:$C,'Participation Adjustment'!$A:$A,$H834,'Participation Adjustment'!$B:$B,$I834),1)</f>
        <v>10.4017690156606</v>
      </c>
      <c r="AA834" s="79">
        <f>tbl_Data_old[[#This Row],[2030 ]]*IFERROR(AVERAGEIFS('Participation Adjustment'!$C:$C,'Participation Adjustment'!$A:$A,$H834,'Participation Adjustment'!$B:$B,$I834),1)</f>
        <v>13.020945903312199</v>
      </c>
      <c r="AB834" s="79">
        <f>tbl_Data_old[[#This Row],[2031 ]]*IFERROR(AVERAGEIFS('Participation Adjustment'!$C:$C,'Participation Adjustment'!$A:$A,$H834,'Participation Adjustment'!$B:$B,$I834),1)</f>
        <v>15.789537173160401</v>
      </c>
      <c r="AC834" s="79">
        <f>tbl_Data_old[[#This Row],[2032 ]]*IFERROR(AVERAGEIFS('Participation Adjustment'!$C:$C,'Participation Adjustment'!$A:$A,$H834,'Participation Adjustment'!$B:$B,$I834),1)</f>
        <v>18.693887728238401</v>
      </c>
      <c r="AD834" s="79">
        <f>tbl_Data_old[[#This Row],[2033 ]]*IFERROR(AVERAGEIFS('Participation Adjustment'!$C:$C,'Participation Adjustment'!$A:$A,$H834,'Participation Adjustment'!$B:$B,$I834),1)</f>
        <v>21.731262485183699</v>
      </c>
      <c r="AE834" s="79">
        <f>tbl_Data_old[[#This Row],[2034 ]]*IFERROR(AVERAGEIFS('Participation Adjustment'!$C:$C,'Participation Adjustment'!$A:$A,$H834,'Participation Adjustment'!$B:$B,$I834),1)</f>
        <v>24.894852227605401</v>
      </c>
      <c r="AF834" s="77" t="str">
        <f t="shared" si="341"/>
        <v>NonResidential</v>
      </c>
      <c r="AG834" s="77" t="str">
        <f>tbl_Data[[#This Row],[All_Meas_Name_Append]]</f>
        <v>Synchronous Belt on 5hp ODP Motor</v>
      </c>
      <c r="AH834" s="77">
        <f>AVERAGEIFS('3. Incentive Adjustment'!G:G,'3. Incentive Adjustment'!A:A,tbl_Data[[#This Row],[Trimmed Sector]],'3. Incentive Adjustment'!B:B,tbl_Data[[#This Row],[Trimmed Measure Name]])</f>
        <v>0.63653870706597271</v>
      </c>
      <c r="AI834" s="77">
        <f>$AH834*tbl_Data[[#This Row],[2025 ]]</f>
        <v>1.05998182729546</v>
      </c>
      <c r="AJ834" s="77">
        <f>$AH834*tbl_Data[[#This Row],[2026 ]]</f>
        <v>2.2654262667965197</v>
      </c>
      <c r="AK834" s="77">
        <f>$AH834*tbl_Data[[#This Row],[2027 ]]</f>
        <v>3.5975557456791551</v>
      </c>
      <c r="AL834" s="77">
        <f>$AH834*tbl_Data[[#This Row],[2028 ]]</f>
        <v>5.0550260025744516</v>
      </c>
      <c r="AM834" s="77">
        <f>$AH834*tbl_Data[[#This Row],[2029 ]]</f>
        <v>6.6211286004274941</v>
      </c>
      <c r="AN834" s="77">
        <f>$AH834*tbl_Data[[#This Row],[2030 ]]</f>
        <v>8.2883360700703221</v>
      </c>
      <c r="AO834" s="77">
        <f>$AH834*tbl_Data[[#This Row],[2031 ]]</f>
        <v>10.050651577373635</v>
      </c>
      <c r="AP834" s="77">
        <f>$AH834*tbl_Data[[#This Row],[2032 ]]</f>
        <v>11.899383124569326</v>
      </c>
      <c r="AQ834" s="77">
        <f>$AH834*tbl_Data[[#This Row],[2033 ]]</f>
        <v>13.832789725230109</v>
      </c>
      <c r="AR834" s="77">
        <f>$AH834*tbl_Data[[#This Row],[2034 ]]</f>
        <v>15.846537049558393</v>
      </c>
      <c r="AS834" s="77">
        <f>SUM(tbl_Data[[#This Row],[Adjusted 2025]:[Adjusted 2034]])</f>
        <v>78.516815989574866</v>
      </c>
      <c r="AT834" s="80">
        <f>AVERAGEIFS('3. Incentive Adjustment'!F:F,'3. Incentive Adjustment'!A:A,tbl_Data[[#This Row],[Trimmed Sector]],'3. Incentive Adjustment'!B:B,tbl_Data[[#This Row],[Trimmed Measure Name]])</f>
        <v>0</v>
      </c>
      <c r="AU834" s="80">
        <f>IFERROR(VLOOKUP(tbl_Data[[#This Row],[All_Meas_Name_Append]],'IRA Tax Credits'!$A$3:$D$46,4,0),0)</f>
        <v>0</v>
      </c>
      <c r="AV834" s="81">
        <f>tbl_Data[[#This Row],[Adj. per unit Incentive ($)]]/tbl_Data[[#This Row],[kWh Savings]]*tbl_Data[[#This Row],[Sum of Annuals]]</f>
        <v>0</v>
      </c>
      <c r="AW834" s="81" t="str">
        <f>IFERROR(VLOOKUP(tbl_Data[[#This Row],[Column1]],'1. Set Program Names'!$B$2:$D$15,3,0)*tbl_Data[[#This Row],[Sum of Annuals]],"")</f>
        <v/>
      </c>
      <c r="AX834" s="81">
        <f>tbl_Data[[#This Row],[per unit IRA tax ($)]]/tbl_Data[[#This Row],[kWh Savings]]*tbl_Data[[#This Row],[Sum of Annuals]]</f>
        <v>0</v>
      </c>
      <c r="AY834" s="81">
        <f>tbl_Data[[#This Row],[Avoided Costs ($/unit)]]/tbl_Data[[#This Row],[kWh Savings]]*tbl_Data[[#This Row],[Sum of Annuals]]</f>
        <v>32.669661687394779</v>
      </c>
      <c r="AZ834" s="81">
        <f>tbl_Data[[#This Row],[Lost Revenue ($/unit)]]/tbl_Data[[#This Row],[kWh Savings]]*tbl_Data[[#This Row],[Sum of Annuals]]</f>
        <v>79.798069384184657</v>
      </c>
      <c r="BA834" s="81">
        <f>tbl_Data[[#This Row],[Incremental Cost ($/unit)]]/tbl_Data[[#This Row],[kWh Savings]]*tbl_Data[[#This Row],[Sum of Annuals]]</f>
        <v>29.235747912784799</v>
      </c>
      <c r="BB834" s="77">
        <f>ROUNDUP(tbl_Data[[#This Row],[Adjusted 2025]]/$L834,0)</f>
        <v>1</v>
      </c>
      <c r="BC834" s="77">
        <f>ROUNDUP(tbl_Data[[#This Row],[Adjusted 2026]]/$L834,0)</f>
        <v>1</v>
      </c>
      <c r="BD834" s="77">
        <f>ROUNDUP(tbl_Data[[#This Row],[Adjusted 2027]]/$L834,0)</f>
        <v>1</v>
      </c>
      <c r="BE834" s="77">
        <f>ROUNDUP(tbl_Data[[#This Row],[Adjusted 2028]]/$L834,0)</f>
        <v>1</v>
      </c>
      <c r="BF834" s="77">
        <f>ROUNDUP(tbl_Data[[#This Row],[Adjusted 2029]]/$L834,0)</f>
        <v>1</v>
      </c>
      <c r="BG834" s="77">
        <f>ROUNDUP(tbl_Data[[#This Row],[Adjusted 2030]]/$L834,0)</f>
        <v>1</v>
      </c>
      <c r="BH834" s="77">
        <f>ROUNDUP(tbl_Data[[#This Row],[Adjusted 2031]]/$L834,0)</f>
        <v>1</v>
      </c>
      <c r="BI834" s="77">
        <f>ROUNDUP(tbl_Data[[#This Row],[Adjusted 2032]]/$L834,0)</f>
        <v>1</v>
      </c>
      <c r="BJ834" s="77">
        <f>ROUNDUP(tbl_Data[[#This Row],[Adjusted 2033]]/$L834,0)</f>
        <v>1</v>
      </c>
      <c r="BK834" s="77">
        <f>ROUNDUP(tbl_Data[[#This Row],[Adjusted 2034]]/$L834,0)</f>
        <v>1</v>
      </c>
      <c r="BL834" s="80">
        <f t="shared" si="342"/>
        <v>0</v>
      </c>
      <c r="BM834" s="80">
        <f t="shared" si="343"/>
        <v>0</v>
      </c>
      <c r="BN834" s="80">
        <f t="shared" si="344"/>
        <v>0</v>
      </c>
      <c r="BO834" s="80">
        <f t="shared" si="345"/>
        <v>0</v>
      </c>
      <c r="BP834" s="80">
        <f t="shared" si="346"/>
        <v>0</v>
      </c>
      <c r="BQ834" s="80">
        <f t="shared" si="347"/>
        <v>0</v>
      </c>
      <c r="BR834" s="80">
        <f t="shared" si="348"/>
        <v>0</v>
      </c>
      <c r="BS834" s="80">
        <f t="shared" si="349"/>
        <v>0</v>
      </c>
      <c r="BT834" s="80">
        <f t="shared" si="350"/>
        <v>0</v>
      </c>
      <c r="BU834" s="80">
        <f t="shared" si="351"/>
        <v>0</v>
      </c>
      <c r="BV834" s="80" t="str">
        <f>IFERROR(VLOOKUP($H834,'1. Set Program Names'!$B$2:$D$15,3,0)*V834,"NA")</f>
        <v>NA</v>
      </c>
      <c r="BW834" s="80" t="str">
        <f>IFERROR(VLOOKUP($H834,'1. Set Program Names'!$B$2:$D$15,3,0)*W834,"NA")</f>
        <v>NA</v>
      </c>
      <c r="BX834" s="80" t="str">
        <f>IFERROR(VLOOKUP($H834,'1. Set Program Names'!$B$2:$D$15,3,0)*X834,"NA")</f>
        <v>NA</v>
      </c>
      <c r="BY834" s="80" t="str">
        <f>IFERROR(VLOOKUP($H834,'1. Set Program Names'!$B$2:$D$15,3,0)*Y834,"NA")</f>
        <v>NA</v>
      </c>
      <c r="BZ834" s="80" t="str">
        <f>IFERROR(VLOOKUP($H834,'1. Set Program Names'!$B$2:$D$15,3,0)*Z834,"NA")</f>
        <v>NA</v>
      </c>
      <c r="CA834" s="80" t="str">
        <f>IFERROR(VLOOKUP($H834,'1. Set Program Names'!$B$2:$D$15,3,0)*AA834,"NA")</f>
        <v>NA</v>
      </c>
      <c r="CB834" s="80" t="str">
        <f>IFERROR(VLOOKUP($H834,'1. Set Program Names'!$B$2:$D$15,3,0)*AB834,"NA")</f>
        <v>NA</v>
      </c>
      <c r="CC834" s="80" t="str">
        <f>IFERROR(VLOOKUP($H834,'1. Set Program Names'!$B$2:$D$15,3,0)*AC834,"NA")</f>
        <v>NA</v>
      </c>
      <c r="CD834" s="80" t="str">
        <f>IFERROR(VLOOKUP($H834,'1. Set Program Names'!$B$2:$D$15,3,0)*AD834,"NA")</f>
        <v>NA</v>
      </c>
      <c r="CE834" s="80" t="str">
        <f>IFERROR(VLOOKUP($H834,'1. Set Program Names'!$B$2:$D$15,3,0)*AE834,"NA")</f>
        <v>NA</v>
      </c>
    </row>
    <row r="835" spans="1:83" x14ac:dyDescent="0.25">
      <c r="A835" s="79" t="s">
        <v>117</v>
      </c>
      <c r="B835" s="79" t="s">
        <v>88</v>
      </c>
      <c r="C835" s="79" t="s">
        <v>176</v>
      </c>
      <c r="D835" s="79" t="s">
        <v>90</v>
      </c>
      <c r="E835" s="79" t="s">
        <v>91</v>
      </c>
      <c r="F835" s="79" t="s">
        <v>90</v>
      </c>
      <c r="G835" s="79" t="s">
        <v>92</v>
      </c>
      <c r="H835" s="79" t="s">
        <v>268</v>
      </c>
      <c r="I835" s="79" t="s">
        <v>193</v>
      </c>
      <c r="J835" s="79" t="s">
        <v>191</v>
      </c>
      <c r="K835" s="79" t="s">
        <v>98</v>
      </c>
      <c r="L835" s="79">
        <v>12009.57</v>
      </c>
      <c r="M835" s="79">
        <v>1.41674258810918</v>
      </c>
      <c r="N835" s="79">
        <v>1.38428653564094</v>
      </c>
      <c r="O835" s="79">
        <v>2450</v>
      </c>
      <c r="P835" s="79">
        <v>34.250530181900103</v>
      </c>
      <c r="Q835" s="79">
        <v>12.00957</v>
      </c>
      <c r="R835" s="79">
        <v>4997.0007566682498</v>
      </c>
      <c r="S835" s="79">
        <v>12205.544609214199</v>
      </c>
      <c r="T835" s="79">
        <v>14</v>
      </c>
      <c r="U835" s="79">
        <v>0.999999999999999</v>
      </c>
      <c r="V835" s="79">
        <f>tbl_Data_old[[#This Row],[2025 ]]*IFERROR(AVERAGEIFS('Participation Adjustment'!$C:$C,'Participation Adjustment'!$A:$A,$H835,'Participation Adjustment'!$B:$B,$I835),1)</f>
        <v>1.67590217174394</v>
      </c>
      <c r="W835" s="79">
        <f>tbl_Data_old[[#This Row],[2026 ]]*IFERROR(AVERAGEIFS('Participation Adjustment'!$C:$C,'Participation Adjustment'!$A:$A,$H835,'Participation Adjustment'!$B:$B,$I835),1)</f>
        <v>3.58352450007304</v>
      </c>
      <c r="X835" s="79">
        <f>tbl_Data_old[[#This Row],[2027 ]]*IFERROR(AVERAGEIFS('Participation Adjustment'!$C:$C,'Participation Adjustment'!$A:$A,$H835,'Participation Adjustment'!$B:$B,$I835),1)</f>
        <v>5.6934531514666604</v>
      </c>
      <c r="Y835" s="79">
        <f>tbl_Data_old[[#This Row],[2028 ]]*IFERROR(AVERAGEIFS('Participation Adjustment'!$C:$C,'Participation Adjustment'!$A:$A,$H835,'Participation Adjustment'!$B:$B,$I835),1)</f>
        <v>8.0039788997284997</v>
      </c>
      <c r="Z835" s="79">
        <f>tbl_Data_old[[#This Row],[2029 ]]*IFERROR(AVERAGEIFS('Participation Adjustment'!$C:$C,'Participation Adjustment'!$A:$A,$H835,'Participation Adjustment'!$B:$B,$I835),1)</f>
        <v>10.4885082999104</v>
      </c>
      <c r="AA835" s="79">
        <f>tbl_Data_old[[#This Row],[2030 ]]*IFERROR(AVERAGEIFS('Participation Adjustment'!$C:$C,'Participation Adjustment'!$A:$A,$H835,'Participation Adjustment'!$B:$B,$I835),1)</f>
        <v>13.1352200883571</v>
      </c>
      <c r="AB835" s="79">
        <f>tbl_Data_old[[#This Row],[2031 ]]*IFERROR(AVERAGEIFS('Participation Adjustment'!$C:$C,'Participation Adjustment'!$A:$A,$H835,'Participation Adjustment'!$B:$B,$I835),1)</f>
        <v>15.9346093737619</v>
      </c>
      <c r="AC835" s="79">
        <f>tbl_Data_old[[#This Row],[2032 ]]*IFERROR(AVERAGEIFS('Participation Adjustment'!$C:$C,'Participation Adjustment'!$A:$A,$H835,'Participation Adjustment'!$B:$B,$I835),1)</f>
        <v>18.872552153093999</v>
      </c>
      <c r="AD835" s="79">
        <f>tbl_Data_old[[#This Row],[2033 ]]*IFERROR(AVERAGEIFS('Participation Adjustment'!$C:$C,'Participation Adjustment'!$A:$A,$H835,'Participation Adjustment'!$B:$B,$I835),1)</f>
        <v>21.9463280795682</v>
      </c>
      <c r="AE835" s="79">
        <f>tbl_Data_old[[#This Row],[2034 ]]*IFERROR(AVERAGEIFS('Participation Adjustment'!$C:$C,'Participation Adjustment'!$A:$A,$H835,'Participation Adjustment'!$B:$B,$I835),1)</f>
        <v>25.148897966787001</v>
      </c>
      <c r="AF835" s="77" t="str">
        <f t="shared" si="341"/>
        <v>NonResidential</v>
      </c>
      <c r="AG835" s="77" t="str">
        <f>tbl_Data[[#This Row],[All_Meas_Name_Append]]</f>
        <v>Synchronous Belt on 75hp ODP Motor</v>
      </c>
      <c r="AH835" s="77">
        <f>AVERAGEIFS('3. Incentive Adjustment'!G:G,'3. Incentive Adjustment'!A:A,tbl_Data[[#This Row],[Trimmed Sector]],'3. Incentive Adjustment'!B:B,tbl_Data[[#This Row],[Trimmed Measure Name]])</f>
        <v>0.99250334293493969</v>
      </c>
      <c r="AI835" s="77">
        <f>$AH835*tbl_Data[[#This Row],[2025 ]]</f>
        <v>1.6633385078877858</v>
      </c>
      <c r="AJ835" s="77">
        <f>$AH835*tbl_Data[[#This Row],[2026 ]]</f>
        <v>3.5566600458117508</v>
      </c>
      <c r="AK835" s="77">
        <f>$AH835*tbl_Data[[#This Row],[2027 ]]</f>
        <v>5.6507712856741277</v>
      </c>
      <c r="AL835" s="77">
        <f>$AH835*tbl_Data[[#This Row],[2028 ]]</f>
        <v>7.9439758147612567</v>
      </c>
      <c r="AM835" s="77">
        <f>$AH835*tbl_Data[[#This Row],[2029 ]]</f>
        <v>10.409879550061934</v>
      </c>
      <c r="AN835" s="77">
        <f>$AH835*tbl_Data[[#This Row],[2030 ]]</f>
        <v>13.036749847880595</v>
      </c>
      <c r="AO835" s="77">
        <f>$AH835*tbl_Data[[#This Row],[2031 ]]</f>
        <v>15.815153071821111</v>
      </c>
      <c r="AP835" s="77">
        <f>$AH835*tbl_Data[[#This Row],[2032 ]]</f>
        <v>18.731071101659786</v>
      </c>
      <c r="AQ835" s="77">
        <f>$AH835*tbl_Data[[#This Row],[2033 ]]</f>
        <v>21.781803984118373</v>
      </c>
      <c r="AR835" s="77">
        <f>$AH835*tbl_Data[[#This Row],[2034 ]]</f>
        <v>24.960365303165805</v>
      </c>
      <c r="AS835" s="77">
        <f>SUM(tbl_Data[[#This Row],[Adjusted 2025]:[Adjusted 2034]])</f>
        <v>123.5497685128425</v>
      </c>
      <c r="AT835" s="80">
        <f>AVERAGEIFS('3. Incentive Adjustment'!F:F,'3. Incentive Adjustment'!A:A,tbl_Data[[#This Row],[Trimmed Sector]],'3. Incentive Adjustment'!B:B,tbl_Data[[#This Row],[Trimmed Measure Name]])</f>
        <v>0</v>
      </c>
      <c r="AU835" s="80">
        <f>IFERROR(VLOOKUP(tbl_Data[[#This Row],[All_Meas_Name_Append]],'IRA Tax Credits'!$A$3:$D$46,4,0),0)</f>
        <v>0</v>
      </c>
      <c r="AV835" s="81">
        <f>tbl_Data[[#This Row],[Adj. per unit Incentive ($)]]/tbl_Data[[#This Row],[kWh Savings]]*tbl_Data[[#This Row],[Sum of Annuals]]</f>
        <v>0</v>
      </c>
      <c r="AW835" s="81" t="str">
        <f>IFERROR(VLOOKUP(tbl_Data[[#This Row],[Column1]],'1. Set Program Names'!$B$2:$D$15,3,0)*tbl_Data[[#This Row],[Sum of Annuals]],"")</f>
        <v/>
      </c>
      <c r="AX835" s="81">
        <f>tbl_Data[[#This Row],[per unit IRA tax ($)]]/tbl_Data[[#This Row],[kWh Savings]]*tbl_Data[[#This Row],[Sum of Annuals]]</f>
        <v>0</v>
      </c>
      <c r="AY835" s="81">
        <f>tbl_Data[[#This Row],[Avoided Costs ($/unit)]]/tbl_Data[[#This Row],[kWh Savings]]*tbl_Data[[#This Row],[Sum of Annuals]]</f>
        <v>51.407193325394758</v>
      </c>
      <c r="AZ835" s="81">
        <f>tbl_Data[[#This Row],[Lost Revenue ($/unit)]]/tbl_Data[[#This Row],[kWh Savings]]*tbl_Data[[#This Row],[Sum of Annuals]]</f>
        <v>125.56587879845715</v>
      </c>
      <c r="BA835" s="81">
        <f>tbl_Data[[#This Row],[Incremental Cost ($/unit)]]/tbl_Data[[#This Row],[kWh Savings]]*tbl_Data[[#This Row],[Sum of Annuals]]</f>
        <v>25.204643701353515</v>
      </c>
      <c r="BB835" s="77">
        <f>ROUNDUP(tbl_Data[[#This Row],[Adjusted 2025]]/$L835,0)</f>
        <v>1</v>
      </c>
      <c r="BC835" s="77">
        <f>ROUNDUP(tbl_Data[[#This Row],[Adjusted 2026]]/$L835,0)</f>
        <v>1</v>
      </c>
      <c r="BD835" s="77">
        <f>ROUNDUP(tbl_Data[[#This Row],[Adjusted 2027]]/$L835,0)</f>
        <v>1</v>
      </c>
      <c r="BE835" s="77">
        <f>ROUNDUP(tbl_Data[[#This Row],[Adjusted 2028]]/$L835,0)</f>
        <v>1</v>
      </c>
      <c r="BF835" s="77">
        <f>ROUNDUP(tbl_Data[[#This Row],[Adjusted 2029]]/$L835,0)</f>
        <v>1</v>
      </c>
      <c r="BG835" s="77">
        <f>ROUNDUP(tbl_Data[[#This Row],[Adjusted 2030]]/$L835,0)</f>
        <v>1</v>
      </c>
      <c r="BH835" s="77">
        <f>ROUNDUP(tbl_Data[[#This Row],[Adjusted 2031]]/$L835,0)</f>
        <v>1</v>
      </c>
      <c r="BI835" s="77">
        <f>ROUNDUP(tbl_Data[[#This Row],[Adjusted 2032]]/$L835,0)</f>
        <v>1</v>
      </c>
      <c r="BJ835" s="77">
        <f>ROUNDUP(tbl_Data[[#This Row],[Adjusted 2033]]/$L835,0)</f>
        <v>1</v>
      </c>
      <c r="BK835" s="77">
        <f>ROUNDUP(tbl_Data[[#This Row],[Adjusted 2034]]/$L835,0)</f>
        <v>1</v>
      </c>
      <c r="BL835" s="80">
        <f t="shared" si="342"/>
        <v>0</v>
      </c>
      <c r="BM835" s="80">
        <f t="shared" si="343"/>
        <v>0</v>
      </c>
      <c r="BN835" s="80">
        <f t="shared" si="344"/>
        <v>0</v>
      </c>
      <c r="BO835" s="80">
        <f t="shared" si="345"/>
        <v>0</v>
      </c>
      <c r="BP835" s="80">
        <f t="shared" si="346"/>
        <v>0</v>
      </c>
      <c r="BQ835" s="80">
        <f t="shared" si="347"/>
        <v>0</v>
      </c>
      <c r="BR835" s="80">
        <f t="shared" si="348"/>
        <v>0</v>
      </c>
      <c r="BS835" s="80">
        <f t="shared" si="349"/>
        <v>0</v>
      </c>
      <c r="BT835" s="80">
        <f t="shared" si="350"/>
        <v>0</v>
      </c>
      <c r="BU835" s="80">
        <f t="shared" si="351"/>
        <v>0</v>
      </c>
      <c r="BV835" s="80" t="str">
        <f>IFERROR(VLOOKUP($H835,'1. Set Program Names'!$B$2:$D$15,3,0)*V835,"NA")</f>
        <v>NA</v>
      </c>
      <c r="BW835" s="80" t="str">
        <f>IFERROR(VLOOKUP($H835,'1. Set Program Names'!$B$2:$D$15,3,0)*W835,"NA")</f>
        <v>NA</v>
      </c>
      <c r="BX835" s="80" t="str">
        <f>IFERROR(VLOOKUP($H835,'1. Set Program Names'!$B$2:$D$15,3,0)*X835,"NA")</f>
        <v>NA</v>
      </c>
      <c r="BY835" s="80" t="str">
        <f>IFERROR(VLOOKUP($H835,'1. Set Program Names'!$B$2:$D$15,3,0)*Y835,"NA")</f>
        <v>NA</v>
      </c>
      <c r="BZ835" s="80" t="str">
        <f>IFERROR(VLOOKUP($H835,'1. Set Program Names'!$B$2:$D$15,3,0)*Z835,"NA")</f>
        <v>NA</v>
      </c>
      <c r="CA835" s="80" t="str">
        <f>IFERROR(VLOOKUP($H835,'1. Set Program Names'!$B$2:$D$15,3,0)*AA835,"NA")</f>
        <v>NA</v>
      </c>
      <c r="CB835" s="80" t="str">
        <f>IFERROR(VLOOKUP($H835,'1. Set Program Names'!$B$2:$D$15,3,0)*AB835,"NA")</f>
        <v>NA</v>
      </c>
      <c r="CC835" s="80" t="str">
        <f>IFERROR(VLOOKUP($H835,'1. Set Program Names'!$B$2:$D$15,3,0)*AC835,"NA")</f>
        <v>NA</v>
      </c>
      <c r="CD835" s="80" t="str">
        <f>IFERROR(VLOOKUP($H835,'1. Set Program Names'!$B$2:$D$15,3,0)*AD835,"NA")</f>
        <v>NA</v>
      </c>
      <c r="CE835" s="80" t="str">
        <f>IFERROR(VLOOKUP($H835,'1. Set Program Names'!$B$2:$D$15,3,0)*AE835,"NA")</f>
        <v>NA</v>
      </c>
    </row>
  </sheetData>
  <phoneticPr fontId="4" type="noConversion"/>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DE2E-E61B-48CA-A416-CDF91B6C9C57}">
  <dimension ref="A1:L1500"/>
  <sheetViews>
    <sheetView zoomScale="80" zoomScaleNormal="80" workbookViewId="0">
      <pane ySplit="1" topLeftCell="A2" activePane="bottomLeft" state="frozen"/>
      <selection pane="bottomLeft" activeCell="H26" sqref="H26"/>
    </sheetView>
  </sheetViews>
  <sheetFormatPr defaultRowHeight="14.45" customHeight="1" zeroHeight="1" x14ac:dyDescent="0.25"/>
  <cols>
    <col min="1" max="1" width="14.7109375" customWidth="1"/>
    <col min="2" max="2" width="68" customWidth="1"/>
    <col min="3" max="3" width="19.7109375" customWidth="1"/>
    <col min="4" max="4" width="23.7109375" customWidth="1"/>
    <col min="5" max="5" width="23.7109375" hidden="1" customWidth="1"/>
    <col min="6" max="6" width="22.7109375" style="39" customWidth="1"/>
    <col min="7" max="7" width="13.42578125" hidden="1" customWidth="1"/>
    <col min="8" max="8" width="8.85546875" style="77"/>
    <col min="10" max="10" width="10.140625" bestFit="1" customWidth="1"/>
    <col min="11" max="11" width="18.42578125" customWidth="1"/>
  </cols>
  <sheetData>
    <row r="1" spans="1:12" ht="15" x14ac:dyDescent="0.25">
      <c r="A1" s="1" t="s">
        <v>197</v>
      </c>
      <c r="B1" s="1" t="s">
        <v>198</v>
      </c>
      <c r="C1" s="1" t="s">
        <v>199</v>
      </c>
      <c r="D1" s="1" t="s">
        <v>200</v>
      </c>
      <c r="E1" s="1" t="s">
        <v>201</v>
      </c>
      <c r="F1" s="37" t="s">
        <v>202</v>
      </c>
      <c r="G1" s="1" t="s">
        <v>57</v>
      </c>
    </row>
    <row r="2" spans="1:12" ht="15" x14ac:dyDescent="0.25">
      <c r="A2" t="str" cm="1">
        <f t="array" ref="A2:B95">_xlfn.UNIQUE(UniqueMeasureName)</f>
        <v>Residential</v>
      </c>
      <c r="B2" t="str">
        <v>120v Heat Pump Water Heater 50 Gallons</v>
      </c>
      <c r="C2" s="4">
        <f>IFERROR(AVERAGEIFS('2. Program Allocation Output'!$P:$P,'2. Program Allocation Output'!$AF:$AF,$A2,'2. Program Allocation Output'!$AG:$AG,$B2),"")</f>
        <v>933.85922631496715</v>
      </c>
      <c r="D2" s="4">
        <f>IFERROR(AVERAGEIFS('2. Program Allocation Output'!$O:$O,'2. Program Allocation Output'!$AF:$AF,$A2,'2. Program Allocation Output'!$AG:$AG,$B2),"")</f>
        <v>1210</v>
      </c>
      <c r="E2" s="5">
        <f>IFERROR(AVERAGEIFS('2. Program Allocation Output'!$L:$L,'2. Program Allocation Output'!$AF:$AF,$A2,'2. Program Allocation Output'!$AG:$AG,$B2),"")</f>
        <v>1200.2266666666601</v>
      </c>
      <c r="F2" s="38">
        <v>500</v>
      </c>
      <c r="G2">
        <f>IFERROR(EXP(0.3*(F2-C2)/(E2*0.1137)),"")</f>
        <v>0.38528347196238832</v>
      </c>
      <c r="H2" s="77" t="s">
        <v>308</v>
      </c>
      <c r="J2" s="6"/>
    </row>
    <row r="3" spans="1:12" ht="15" x14ac:dyDescent="0.25">
      <c r="A3" t="str">
        <v>Residential</v>
      </c>
      <c r="B3" t="str">
        <v>ASHP - CEE Tier 2: 16.8 SEER/16 SEER2; 9.0 HSPF (from elec resistance)</v>
      </c>
      <c r="C3" s="4">
        <f>IFERROR(AVERAGEIFS('2. Program Allocation Output'!$P:$P,'2. Program Allocation Output'!$AF:$AF,$A3,'2. Program Allocation Output'!$AG:$AG,$B3),"")</f>
        <v>513.45064263862798</v>
      </c>
      <c r="D3" s="4">
        <f>IFERROR(AVERAGEIFS('2. Program Allocation Output'!$O:$O,'2. Program Allocation Output'!$AF:$AF,$A3,'2. Program Allocation Output'!$AG:$AG,$B3),"")</f>
        <v>1935.1666666666604</v>
      </c>
      <c r="E3" s="5">
        <f>IFERROR(AVERAGEIFS('2. Program Allocation Output'!$L:$L,'2. Program Allocation Output'!$AF:$AF,$A3,'2. Program Allocation Output'!$AG:$AG,$B3),"")</f>
        <v>5868.07</v>
      </c>
      <c r="F3" s="38">
        <v>353</v>
      </c>
      <c r="G3">
        <f t="shared" ref="G3:G4" si="0">IFERROR(EXP(0.3*(F3-C3)/(E3*0.1137)),"")</f>
        <v>0.9303958662075158</v>
      </c>
      <c r="H3" s="77" t="s">
        <v>309</v>
      </c>
      <c r="J3" s="6"/>
    </row>
    <row r="4" spans="1:12" ht="15" x14ac:dyDescent="0.25">
      <c r="A4" t="str">
        <v>Residential</v>
      </c>
      <c r="B4" t="str">
        <v>ASHP - ENERGY STAR/CEE Tier 1: 16 SEER/15.2 SEER2_ 9.0 HSPF</v>
      </c>
      <c r="C4" s="4">
        <f>IFERROR(AVERAGEIFS('2. Program Allocation Output'!$P:$P,'2. Program Allocation Output'!$AF:$AF,$A4,'2. Program Allocation Output'!$AG:$AG,$B4),"")</f>
        <v>813.46814839999922</v>
      </c>
      <c r="D4" s="4">
        <f>IFERROR(AVERAGEIFS('2. Program Allocation Output'!$O:$O,'2. Program Allocation Output'!$AF:$AF,$A4,'2. Program Allocation Output'!$AG:$AG,$B4),"")</f>
        <v>874.99999999999875</v>
      </c>
      <c r="E4" s="5">
        <f>IFERROR(AVERAGEIFS('2. Program Allocation Output'!$L:$L,'2. Program Allocation Output'!$AF:$AF,$A4,'2. Program Allocation Output'!$AG:$AG,$B4),"")</f>
        <v>253.96999999999801</v>
      </c>
      <c r="F4" s="38">
        <v>353</v>
      </c>
      <c r="G4">
        <f t="shared" si="0"/>
        <v>8.3636985731950567E-3</v>
      </c>
      <c r="H4" s="77" t="s">
        <v>309</v>
      </c>
      <c r="J4" s="6"/>
    </row>
    <row r="5" spans="1:12" ht="15" x14ac:dyDescent="0.25">
      <c r="A5" t="str">
        <v>Residential</v>
      </c>
      <c r="B5" t="str">
        <v>Ceiling Insulation(R2 to R38) Residential</v>
      </c>
      <c r="C5" s="4">
        <f>IFERROR(AVERAGEIFS('2. Program Allocation Output'!$P:$P,'2. Program Allocation Output'!$AF:$AF,$A5,'2. Program Allocation Output'!$AG:$AG,$B5),"")</f>
        <v>446.40188399649008</v>
      </c>
      <c r="D5" s="4">
        <f>IFERROR(AVERAGEIFS('2. Program Allocation Output'!$O:$O,'2. Program Allocation Output'!$AF:$AF,$A5,'2. Program Allocation Output'!$AG:$AG,$B5),"")</f>
        <v>1269.2699999999897</v>
      </c>
      <c r="E5" s="5">
        <f>IFERROR(AVERAGEIFS('2. Program Allocation Output'!$L:$L,'2. Program Allocation Output'!$AF:$AF,$A5,'2. Program Allocation Output'!$AG:$AG,$B5),"")</f>
        <v>3443.6666666666601</v>
      </c>
      <c r="F5" s="38">
        <v>164</v>
      </c>
      <c r="G5">
        <f>IFERROR(EXP(0.3*(F5-C5)/(E5*0.1137)),"")</f>
        <v>0.80543313072084111</v>
      </c>
      <c r="H5" s="78" t="s">
        <v>413</v>
      </c>
      <c r="K5" s="59"/>
    </row>
    <row r="6" spans="1:12" ht="15" x14ac:dyDescent="0.25">
      <c r="A6" t="str">
        <v>Residential</v>
      </c>
      <c r="B6" t="str">
        <v>Ceiling Insulation(R2 to R49) Residential</v>
      </c>
      <c r="C6" s="4">
        <f>IFERROR(AVERAGEIFS('2. Program Allocation Output'!$P:$P,'2. Program Allocation Output'!$AF:$AF,$A6,'2. Program Allocation Output'!$AG:$AG,$B6),"")</f>
        <v>465.31519597206898</v>
      </c>
      <c r="D6" s="4">
        <f>IFERROR(AVERAGEIFS('2. Program Allocation Output'!$O:$O,'2. Program Allocation Output'!$AF:$AF,$A6,'2. Program Allocation Output'!$AG:$AG,$B6),"")</f>
        <v>1306.5999999999897</v>
      </c>
      <c r="E6" s="5">
        <f>IFERROR(AVERAGEIFS('2. Program Allocation Output'!$L:$L,'2. Program Allocation Output'!$AF:$AF,$A6,'2. Program Allocation Output'!$AG:$AG,$B6),"")</f>
        <v>3523.57666666666</v>
      </c>
      <c r="F6" s="38">
        <v>164</v>
      </c>
      <c r="G6">
        <f>IFERROR(EXP(0.3*(F6-C6)/(E6*0.1137)),"")</f>
        <v>0.79801279130038982</v>
      </c>
      <c r="H6" s="78" t="s">
        <v>413</v>
      </c>
      <c r="J6" s="6"/>
    </row>
    <row r="7" spans="1:12" ht="15" x14ac:dyDescent="0.25">
      <c r="A7" t="str">
        <v>Residential</v>
      </c>
      <c r="B7" t="str">
        <v>Duct Repair</v>
      </c>
      <c r="C7" s="4">
        <f>IFERROR(AVERAGEIFS('2. Program Allocation Output'!$P:$P,'2. Program Allocation Output'!$AF:$AF,$A7,'2. Program Allocation Output'!$AG:$AG,$B7),"")</f>
        <v>458.12689399999903</v>
      </c>
      <c r="D7" s="4">
        <f>IFERROR(AVERAGEIFS('2. Program Allocation Output'!$O:$O,'2. Program Allocation Output'!$AF:$AF,$A7,'2. Program Allocation Output'!$AG:$AG,$B7),"")</f>
        <v>685.00999995999985</v>
      </c>
      <c r="E7" s="5">
        <f>IFERROR(AVERAGEIFS('2. Program Allocation Output'!$L:$L,'2. Program Allocation Output'!$AF:$AF,$A7,'2. Program Allocation Output'!$AG:$AG,$B7),"")</f>
        <v>936.44999999999993</v>
      </c>
      <c r="F7" s="38">
        <v>100</v>
      </c>
      <c r="G7">
        <f t="shared" ref="G7:G12" si="1">IFERROR(EXP(0.3*(F7-C7)/(E7*0.1137)),"")</f>
        <v>0.36456477469769399</v>
      </c>
      <c r="H7" s="78" t="s">
        <v>308</v>
      </c>
      <c r="J7" s="6"/>
    </row>
    <row r="8" spans="1:12" ht="15" x14ac:dyDescent="0.25">
      <c r="A8" t="str">
        <v>Residential</v>
      </c>
      <c r="B8" t="str">
        <v>Energy Star Windows Residential</v>
      </c>
      <c r="C8" s="4">
        <f>IFERROR(AVERAGEIFS('2. Program Allocation Output'!$P:$P,'2. Program Allocation Output'!$AF:$AF,$A8,'2. Program Allocation Output'!$AG:$AG,$B8),"")</f>
        <v>140.06582681793904</v>
      </c>
      <c r="D8" s="4">
        <f>IFERROR(AVERAGEIFS('2. Program Allocation Output'!$O:$O,'2. Program Allocation Output'!$AF:$AF,$A8,'2. Program Allocation Output'!$AG:$AG,$B8),"")</f>
        <v>154.1011072</v>
      </c>
      <c r="E8" s="5">
        <f>IFERROR(AVERAGEIFS('2. Program Allocation Output'!$L:$L,'2. Program Allocation Output'!$AF:$AF,$A8,'2. Program Allocation Output'!$AG:$AG,$B8),"")</f>
        <v>57.93</v>
      </c>
      <c r="F8" s="38">
        <f>1.5*100</f>
        <v>150</v>
      </c>
      <c r="G8">
        <f t="shared" si="1"/>
        <v>1.5721893920937398</v>
      </c>
      <c r="H8" s="78" t="s">
        <v>308</v>
      </c>
    </row>
    <row r="9" spans="1:12" ht="15" x14ac:dyDescent="0.25">
      <c r="A9" t="str">
        <v>Residential</v>
      </c>
      <c r="B9" t="str">
        <v>Heat Pump Water Heater 50 Gallons- CEE Advanced Tier</v>
      </c>
      <c r="C9" s="4">
        <f>IFERROR(AVERAGEIFS('2. Program Allocation Output'!$P:$P,'2. Program Allocation Output'!$AF:$AF,$A9,'2. Program Allocation Output'!$AG:$AG,$B9),"")</f>
        <v>988.78817699699368</v>
      </c>
      <c r="D9" s="4">
        <f>IFERROR(AVERAGEIFS('2. Program Allocation Output'!$O:$O,'2. Program Allocation Output'!$AF:$AF,$A9,'2. Program Allocation Output'!$AG:$AG,$B9),"")</f>
        <v>1389.5</v>
      </c>
      <c r="E9" s="5">
        <f>IFERROR(AVERAGEIFS('2. Program Allocation Output'!$L:$L,'2. Program Allocation Output'!$AF:$AF,$A9,'2. Program Allocation Output'!$AG:$AG,$B9),"")</f>
        <v>1663.1099999999899</v>
      </c>
      <c r="F9" s="38">
        <v>500</v>
      </c>
      <c r="G9">
        <f>IFERROR(EXP(0.3*(F9-C9)/(E9*0.1137)),"")</f>
        <v>0.46049099596140497</v>
      </c>
      <c r="H9" s="77" t="s">
        <v>308</v>
      </c>
    </row>
    <row r="10" spans="1:12" ht="15" x14ac:dyDescent="0.25">
      <c r="A10" t="str">
        <v>Residential</v>
      </c>
      <c r="B10" t="str">
        <v>Heat Pump Water Heater 50 Gallons-ENERGY STAR</v>
      </c>
      <c r="C10" s="4">
        <f>IFERROR(AVERAGEIFS('2. Program Allocation Output'!$P:$P,'2. Program Allocation Output'!$AF:$AF,$A10,'2. Program Allocation Output'!$AG:$AG,$B10),"")</f>
        <v>1006.4737286730501</v>
      </c>
      <c r="D10" s="4">
        <f>IFERROR(AVERAGEIFS('2. Program Allocation Output'!$O:$O,'2. Program Allocation Output'!$AF:$AF,$A10,'2. Program Allocation Output'!$AG:$AG,$B10),"")</f>
        <v>1389.5</v>
      </c>
      <c r="E10" s="5">
        <f>IFERROR(AVERAGEIFS('2. Program Allocation Output'!$L:$L,'2. Program Allocation Output'!$AF:$AF,$A10,'2. Program Allocation Output'!$AG:$AG,$B10),"")</f>
        <v>1590.1149999999905</v>
      </c>
      <c r="F10" s="38">
        <v>500</v>
      </c>
      <c r="G10">
        <f>IFERROR(EXP(0.3*(F10-C10)/(E10*0.1137)),"")</f>
        <v>0.43153525594917136</v>
      </c>
      <c r="H10" s="77" t="s">
        <v>308</v>
      </c>
      <c r="L10" s="47"/>
    </row>
    <row r="11" spans="1:12" ht="15" x14ac:dyDescent="0.25">
      <c r="A11" t="str">
        <v>Residential</v>
      </c>
      <c r="B11" t="str">
        <v>Heat Pump Water Heater 80 Gallons-ENERGY STAR</v>
      </c>
      <c r="C11" s="4">
        <f>IFERROR(AVERAGEIFS('2. Program Allocation Output'!$P:$P,'2. Program Allocation Output'!$AF:$AF,$A11,'2. Program Allocation Output'!$AG:$AG,$B11),"")</f>
        <v>1631.9996867488601</v>
      </c>
      <c r="D11" s="4">
        <f>IFERROR(AVERAGEIFS('2. Program Allocation Output'!$O:$O,'2. Program Allocation Output'!$AF:$AF,$A11,'2. Program Allocation Output'!$AG:$AG,$B11),"")</f>
        <v>1729.5</v>
      </c>
      <c r="E11" s="5">
        <f>IFERROR(AVERAGEIFS('2. Program Allocation Output'!$L:$L,'2. Program Allocation Output'!$AF:$AF,$A11,'2. Program Allocation Output'!$AG:$AG,$B11),"")</f>
        <v>461.909999999999</v>
      </c>
      <c r="F11" s="38">
        <v>500</v>
      </c>
      <c r="G11">
        <f>IFERROR(EXP(0.3*(F11-C11)/(E11*0.1137)),"")</f>
        <v>1.5551101216712928E-3</v>
      </c>
      <c r="H11" s="77" t="s">
        <v>308</v>
      </c>
    </row>
    <row r="12" spans="1:12" ht="15" x14ac:dyDescent="0.25">
      <c r="A12" t="str">
        <v>Residential</v>
      </c>
      <c r="B12" t="str">
        <v>Smart Thermostat Residential</v>
      </c>
      <c r="C12" s="4">
        <f>IFERROR(AVERAGEIFS('2. Program Allocation Output'!$P:$P,'2. Program Allocation Output'!$AF:$AF,$A12,'2. Program Allocation Output'!$AG:$AG,$B12),"")</f>
        <v>29.69192159999989</v>
      </c>
      <c r="D12" s="4">
        <f>IFERROR(AVERAGEIFS('2. Program Allocation Output'!$O:$O,'2. Program Allocation Output'!$AF:$AF,$A12,'2. Program Allocation Output'!$AG:$AG,$B12),"")</f>
        <v>128.60999999999996</v>
      </c>
      <c r="E12" s="5">
        <f>IFERROR(AVERAGEIFS('2. Program Allocation Output'!$L:$L,'2. Program Allocation Output'!$AF:$AF,$A12,'2. Program Allocation Output'!$AG:$AG,$B12),"")</f>
        <v>408.27999999999992</v>
      </c>
      <c r="F12" s="38">
        <v>50</v>
      </c>
      <c r="G12">
        <f t="shared" si="1"/>
        <v>1.1402432304340044</v>
      </c>
    </row>
    <row r="13" spans="1:12" ht="15" x14ac:dyDescent="0.25">
      <c r="A13" t="str">
        <v>Residential</v>
      </c>
      <c r="B13" t="str">
        <v>Solar Thermal Water Heating System</v>
      </c>
      <c r="C13" s="4">
        <f>IFERROR(AVERAGEIFS('2. Program Allocation Output'!$P:$P,'2. Program Allocation Output'!$AF:$AF,$A13,'2. Program Allocation Output'!$AG:$AG,$B13),"")</f>
        <v>8776.4394094329891</v>
      </c>
      <c r="D13" s="4">
        <f>IFERROR(AVERAGEIFS('2. Program Allocation Output'!$O:$O,'2. Program Allocation Output'!$AF:$AF,$A13,'2. Program Allocation Output'!$AG:$AG,$B13),"")</f>
        <v>8990.02</v>
      </c>
      <c r="E13" s="5">
        <f>IFERROR(AVERAGEIFS('2. Program Allocation Output'!$L:$L,'2. Program Allocation Output'!$AF:$AF,$A13,'2. Program Allocation Output'!$AG:$AG,$B13),"")</f>
        <v>1330.8133333333305</v>
      </c>
      <c r="F13" s="38">
        <v>0</v>
      </c>
      <c r="G13">
        <f>IFERROR(EXP(0.3*(F13-C13)/(E13*0.1137)),"")</f>
        <v>2.7736651842107431E-8</v>
      </c>
      <c r="H13" s="78"/>
    </row>
    <row r="14" spans="1:12" ht="15" x14ac:dyDescent="0.25">
      <c r="A14" t="str">
        <v>Residential</v>
      </c>
      <c r="B14" t="str">
        <v>120v Heat Pump Water Heater 50 Gallons_Efficiency Delivered</v>
      </c>
      <c r="C14" s="4">
        <f>IFERROR(AVERAGEIFS('2. Program Allocation Output'!$P:$P,'2. Program Allocation Output'!$AF:$AF,$A14,'2. Program Allocation Output'!$AG:$AG,$B14),"")</f>
        <v>933.85922631496703</v>
      </c>
      <c r="D14" s="4">
        <f>IFERROR(AVERAGEIFS('2. Program Allocation Output'!$O:$O,'2. Program Allocation Output'!$AF:$AF,$A14,'2. Program Allocation Output'!$AG:$AG,$B14),"")</f>
        <v>1210</v>
      </c>
      <c r="E14" s="5">
        <f>IFERROR(AVERAGEIFS('2. Program Allocation Output'!$L:$L,'2. Program Allocation Output'!$AF:$AF,$A14,'2. Program Allocation Output'!$AG:$AG,$B14),"")</f>
        <v>1200.2266666666601</v>
      </c>
      <c r="F14" s="38">
        <f t="shared" ref="F14:F24" si="2">IFERROR(MIN(C14*1, D14*0.5),"")</f>
        <v>605</v>
      </c>
      <c r="G14">
        <f t="shared" ref="G14:G77" si="3">IFERROR(EXP(0.3*(F14-C14)/(E14*0.1137)),"")</f>
        <v>0.48531902873530169</v>
      </c>
      <c r="H14" s="78"/>
    </row>
    <row r="15" spans="1:12" ht="15" x14ac:dyDescent="0.25">
      <c r="A15" t="str">
        <v>Residential</v>
      </c>
      <c r="B15" t="str">
        <v>Air Sealing-Infiltration Control_Efficiency Delivered</v>
      </c>
      <c r="C15" s="4">
        <f>IFERROR(AVERAGEIFS('2. Program Allocation Output'!$P:$P,'2. Program Allocation Output'!$AF:$AF,$A15,'2. Program Allocation Output'!$AG:$AG,$B15),"")</f>
        <v>561.40215199999886</v>
      </c>
      <c r="D15" s="4">
        <f>IFERROR(AVERAGEIFS('2. Program Allocation Output'!$O:$O,'2. Program Allocation Output'!$AF:$AF,$A15,'2. Program Allocation Output'!$AG:$AG,$B15),"")</f>
        <v>674.44999999999902</v>
      </c>
      <c r="E15" s="5">
        <f>IFERROR(AVERAGEIFS('2. Program Allocation Output'!$L:$L,'2. Program Allocation Output'!$AF:$AF,$A15,'2. Program Allocation Output'!$AG:$AG,$B15),"")</f>
        <v>466.599999999999</v>
      </c>
      <c r="F15" s="38">
        <f t="shared" si="2"/>
        <v>337.22499999999951</v>
      </c>
      <c r="G15">
        <f t="shared" si="3"/>
        <v>0.28148574428673256</v>
      </c>
      <c r="H15" s="78"/>
    </row>
    <row r="16" spans="1:12" ht="15" x14ac:dyDescent="0.25">
      <c r="A16" t="str">
        <v>Residential</v>
      </c>
      <c r="B16" t="str">
        <v>ASHP - CEE Tier 2: 16.8 SEER/16 SEER2; 9.0 HSPF (from elec resistance)_Efficiency Delivered</v>
      </c>
      <c r="C16" s="4">
        <f>IFERROR(AVERAGEIFS('2. Program Allocation Output'!$P:$P,'2. Program Allocation Output'!$AF:$AF,$A16,'2. Program Allocation Output'!$AG:$AG,$B16),"")</f>
        <v>513.45064263862798</v>
      </c>
      <c r="D16" s="4">
        <f>IFERROR(AVERAGEIFS('2. Program Allocation Output'!$O:$O,'2. Program Allocation Output'!$AF:$AF,$A16,'2. Program Allocation Output'!$AG:$AG,$B16),"")</f>
        <v>1935.1666666666599</v>
      </c>
      <c r="E16" s="5">
        <f>IFERROR(AVERAGEIFS('2. Program Allocation Output'!$L:$L,'2. Program Allocation Output'!$AF:$AF,$A16,'2. Program Allocation Output'!$AG:$AG,$B16),"")</f>
        <v>5868.07</v>
      </c>
      <c r="F16" s="38">
        <f t="shared" si="2"/>
        <v>513.45064263862798</v>
      </c>
      <c r="G16">
        <f t="shared" si="3"/>
        <v>1</v>
      </c>
      <c r="H16" s="78"/>
    </row>
    <row r="17" spans="1:8" ht="15" x14ac:dyDescent="0.25">
      <c r="A17" t="str">
        <v>Residential</v>
      </c>
      <c r="B17" t="str">
        <v>ASHP - ENERGY STAR/CEE Tier 1: 16 SEER/15.2 SEER2_ 9.0 HSPF_Efficiency Delivered</v>
      </c>
      <c r="C17" s="4">
        <f>IFERROR(AVERAGEIFS('2. Program Allocation Output'!$P:$P,'2. Program Allocation Output'!$AF:$AF,$A17,'2. Program Allocation Output'!$AG:$AG,$B17),"")</f>
        <v>813.468148399999</v>
      </c>
      <c r="D17" s="4">
        <f>IFERROR(AVERAGEIFS('2. Program Allocation Output'!$O:$O,'2. Program Allocation Output'!$AF:$AF,$A17,'2. Program Allocation Output'!$AG:$AG,$B17),"")</f>
        <v>874.99999999999898</v>
      </c>
      <c r="E17" s="5">
        <f>IFERROR(AVERAGEIFS('2. Program Allocation Output'!$L:$L,'2. Program Allocation Output'!$AF:$AF,$A17,'2. Program Allocation Output'!$AG:$AG,$B17),"")</f>
        <v>253.96999999999801</v>
      </c>
      <c r="F17" s="38">
        <f t="shared" si="2"/>
        <v>437.49999999999949</v>
      </c>
      <c r="G17">
        <f t="shared" si="3"/>
        <v>2.0121332905056414E-2</v>
      </c>
      <c r="H17" s="78"/>
    </row>
    <row r="18" spans="1:8" ht="15" x14ac:dyDescent="0.25">
      <c r="A18" t="str">
        <v>Residential</v>
      </c>
      <c r="B18" t="str">
        <v>Ceiling Insulation(R2 to R38) Residential_Efficiency Delivered</v>
      </c>
      <c r="C18" s="4">
        <f>IFERROR(AVERAGEIFS('2. Program Allocation Output'!$P:$P,'2. Program Allocation Output'!$AF:$AF,$A18,'2. Program Allocation Output'!$AG:$AG,$B18),"")</f>
        <v>446.40188399649008</v>
      </c>
      <c r="D18" s="4">
        <f>IFERROR(AVERAGEIFS('2. Program Allocation Output'!$O:$O,'2. Program Allocation Output'!$AF:$AF,$A18,'2. Program Allocation Output'!$AG:$AG,$B18),"")</f>
        <v>1269.2699999999897</v>
      </c>
      <c r="E18" s="5">
        <f>IFERROR(AVERAGEIFS('2. Program Allocation Output'!$L:$L,'2. Program Allocation Output'!$AF:$AF,$A18,'2. Program Allocation Output'!$AG:$AG,$B18),"")</f>
        <v>3443.6666666666601</v>
      </c>
      <c r="F18" s="38">
        <f t="shared" si="2"/>
        <v>446.40188399649008</v>
      </c>
      <c r="G18">
        <f t="shared" si="3"/>
        <v>1</v>
      </c>
      <c r="H18" s="78"/>
    </row>
    <row r="19" spans="1:8" ht="15" x14ac:dyDescent="0.25">
      <c r="A19" t="str">
        <v>Residential</v>
      </c>
      <c r="B19" t="str">
        <v>Ceiling Insulation(R2 to R49) Residential_Efficiency Delivered</v>
      </c>
      <c r="C19" s="4">
        <f>IFERROR(AVERAGEIFS('2. Program Allocation Output'!$P:$P,'2. Program Allocation Output'!$AF:$AF,$A19,'2. Program Allocation Output'!$AG:$AG,$B19),"")</f>
        <v>465.31519597206898</v>
      </c>
      <c r="D19" s="4">
        <f>IFERROR(AVERAGEIFS('2. Program Allocation Output'!$O:$O,'2. Program Allocation Output'!$AF:$AF,$A19,'2. Program Allocation Output'!$AG:$AG,$B19),"")</f>
        <v>1306.5999999999897</v>
      </c>
      <c r="E19" s="5">
        <f>IFERROR(AVERAGEIFS('2. Program Allocation Output'!$L:$L,'2. Program Allocation Output'!$AF:$AF,$A19,'2. Program Allocation Output'!$AG:$AG,$B19),"")</f>
        <v>3523.57666666666</v>
      </c>
      <c r="F19" s="38">
        <f t="shared" si="2"/>
        <v>465.31519597206898</v>
      </c>
      <c r="G19">
        <f t="shared" si="3"/>
        <v>1</v>
      </c>
      <c r="H19" s="78"/>
    </row>
    <row r="20" spans="1:8" ht="15" x14ac:dyDescent="0.25">
      <c r="A20" t="str">
        <v>Residential</v>
      </c>
      <c r="B20" t="str">
        <v>Duct Repair_Efficiency Delivered</v>
      </c>
      <c r="C20" s="4">
        <f>IFERROR(AVERAGEIFS('2. Program Allocation Output'!$P:$P,'2. Program Allocation Output'!$AF:$AF,$A20,'2. Program Allocation Output'!$AG:$AG,$B20),"")</f>
        <v>458.12689399999903</v>
      </c>
      <c r="D20" s="4">
        <f>IFERROR(AVERAGEIFS('2. Program Allocation Output'!$O:$O,'2. Program Allocation Output'!$AF:$AF,$A20,'2. Program Allocation Output'!$AG:$AG,$B20),"")</f>
        <v>685.00999995999985</v>
      </c>
      <c r="E20" s="5">
        <f>IFERROR(AVERAGEIFS('2. Program Allocation Output'!$L:$L,'2. Program Allocation Output'!$AF:$AF,$A20,'2. Program Allocation Output'!$AG:$AG,$B20),"")</f>
        <v>936.44999999999993</v>
      </c>
      <c r="F20" s="38">
        <f t="shared" si="2"/>
        <v>342.50499997999992</v>
      </c>
      <c r="G20">
        <f t="shared" si="3"/>
        <v>0.72196841234229292</v>
      </c>
      <c r="H20" s="78"/>
    </row>
    <row r="21" spans="1:8" ht="15" x14ac:dyDescent="0.25">
      <c r="A21" t="str">
        <v>Residential</v>
      </c>
      <c r="B21" t="str">
        <v>Energy Star Windows Residential_Efficiency Delivered</v>
      </c>
      <c r="C21" s="4">
        <f>IFERROR(AVERAGEIFS('2. Program Allocation Output'!$P:$P,'2. Program Allocation Output'!$AF:$AF,$A21,'2. Program Allocation Output'!$AG:$AG,$B21),"")</f>
        <v>140.06582681793904</v>
      </c>
      <c r="D21" s="4">
        <f>IFERROR(AVERAGEIFS('2. Program Allocation Output'!$O:$O,'2. Program Allocation Output'!$AF:$AF,$A21,'2. Program Allocation Output'!$AG:$AG,$B21),"")</f>
        <v>154.1011072</v>
      </c>
      <c r="E21" s="5">
        <f>IFERROR(AVERAGEIFS('2. Program Allocation Output'!$L:$L,'2. Program Allocation Output'!$AF:$AF,$A21,'2. Program Allocation Output'!$AG:$AG,$B21),"")</f>
        <v>57.93</v>
      </c>
      <c r="F21" s="38">
        <f t="shared" si="2"/>
        <v>77.050553600000001</v>
      </c>
      <c r="G21">
        <f t="shared" si="3"/>
        <v>5.6690987860076834E-2</v>
      </c>
      <c r="H21" s="78"/>
    </row>
    <row r="22" spans="1:8" ht="15" x14ac:dyDescent="0.25">
      <c r="A22" t="str">
        <v>Residential</v>
      </c>
      <c r="B22" t="str">
        <v>Heat Pump Water Heater 50 Gallons- CEE Advanced Tier_Efficiency Delivered</v>
      </c>
      <c r="C22" s="4">
        <f>IFERROR(AVERAGEIFS('2. Program Allocation Output'!$P:$P,'2. Program Allocation Output'!$AF:$AF,$A22,'2. Program Allocation Output'!$AG:$AG,$B22),"")</f>
        <v>988.78817699699391</v>
      </c>
      <c r="D22" s="4">
        <f>IFERROR(AVERAGEIFS('2. Program Allocation Output'!$O:$O,'2. Program Allocation Output'!$AF:$AF,$A22,'2. Program Allocation Output'!$AG:$AG,$B22),"")</f>
        <v>1389.5</v>
      </c>
      <c r="E22" s="5">
        <f>IFERROR(AVERAGEIFS('2. Program Allocation Output'!$L:$L,'2. Program Allocation Output'!$AF:$AF,$A22,'2. Program Allocation Output'!$AG:$AG,$B22),"")</f>
        <v>1663.1099999999899</v>
      </c>
      <c r="F22" s="38">
        <f t="shared" si="2"/>
        <v>694.75</v>
      </c>
      <c r="G22">
        <f t="shared" si="3"/>
        <v>0.62719907351402515</v>
      </c>
      <c r="H22" s="78"/>
    </row>
    <row r="23" spans="1:8" ht="15" x14ac:dyDescent="0.25">
      <c r="A23" t="str">
        <v>Residential</v>
      </c>
      <c r="B23" t="str">
        <v>Heat Pump Water Heater 50 Gallons-ENERGY STAR_Efficiency Delivered</v>
      </c>
      <c r="C23" s="4">
        <f>IFERROR(AVERAGEIFS('2. Program Allocation Output'!$P:$P,'2. Program Allocation Output'!$AF:$AF,$A23,'2. Program Allocation Output'!$AG:$AG,$B23),"")</f>
        <v>1006.47372867305</v>
      </c>
      <c r="D23" s="4">
        <f>IFERROR(AVERAGEIFS('2. Program Allocation Output'!$O:$O,'2. Program Allocation Output'!$AF:$AF,$A23,'2. Program Allocation Output'!$AG:$AG,$B23),"")</f>
        <v>1389.5</v>
      </c>
      <c r="E23" s="5">
        <f>IFERROR(AVERAGEIFS('2. Program Allocation Output'!$L:$L,'2. Program Allocation Output'!$AF:$AF,$A23,'2. Program Allocation Output'!$AG:$AG,$B23),"")</f>
        <v>1590.11499999999</v>
      </c>
      <c r="F23" s="38">
        <f t="shared" si="2"/>
        <v>694.75</v>
      </c>
      <c r="G23">
        <f t="shared" si="3"/>
        <v>0.59615658026245322</v>
      </c>
      <c r="H23" s="78"/>
    </row>
    <row r="24" spans="1:8" ht="15" x14ac:dyDescent="0.25">
      <c r="A24" t="str">
        <v>Residential</v>
      </c>
      <c r="B24" t="str">
        <v>Heat Pump Water Heater 80 Gallons-ENERGY STAR_Efficiency Delivered</v>
      </c>
      <c r="C24" s="4">
        <f>IFERROR(AVERAGEIFS('2. Program Allocation Output'!$P:$P,'2. Program Allocation Output'!$AF:$AF,$A24,'2. Program Allocation Output'!$AG:$AG,$B24),"")</f>
        <v>1631.9996867488601</v>
      </c>
      <c r="D24" s="4">
        <f>IFERROR(AVERAGEIFS('2. Program Allocation Output'!$O:$O,'2. Program Allocation Output'!$AF:$AF,$A24,'2. Program Allocation Output'!$AG:$AG,$B24),"")</f>
        <v>1729.5</v>
      </c>
      <c r="E24" s="5">
        <f>IFERROR(AVERAGEIFS('2. Program Allocation Output'!$L:$L,'2. Program Allocation Output'!$AF:$AF,$A24,'2. Program Allocation Output'!$AG:$AG,$B24),"")</f>
        <v>461.909999999999</v>
      </c>
      <c r="F24" s="38">
        <f t="shared" si="2"/>
        <v>864.75</v>
      </c>
      <c r="G24">
        <f t="shared" si="3"/>
        <v>1.2491787269958169E-2</v>
      </c>
      <c r="H24" s="78"/>
    </row>
    <row r="25" spans="1:8" ht="15" x14ac:dyDescent="0.25">
      <c r="A25" t="str">
        <v>Residential</v>
      </c>
      <c r="B25" t="str">
        <v>Smart Thermostat Residential_Efficiency Delivered</v>
      </c>
      <c r="C25" s="4">
        <f>IFERROR(AVERAGEIFS('2. Program Allocation Output'!$P:$P,'2. Program Allocation Output'!$AF:$AF,$A25,'2. Program Allocation Output'!$AG:$AG,$B25),"")</f>
        <v>29.691921599999898</v>
      </c>
      <c r="D25" s="4">
        <f>IFERROR(AVERAGEIFS('2. Program Allocation Output'!$O:$O,'2. Program Allocation Output'!$AF:$AF,$A25,'2. Program Allocation Output'!$AG:$AG,$B25),"")</f>
        <v>128.60999999999999</v>
      </c>
      <c r="E25" s="5">
        <f>IFERROR(AVERAGEIFS('2. Program Allocation Output'!$L:$L,'2. Program Allocation Output'!$AF:$AF,$A25,'2. Program Allocation Output'!$AG:$AG,$B25),"")</f>
        <v>408.28</v>
      </c>
      <c r="F25" s="38">
        <f>IFERROR(MIN(C25*1, D25*0.5),"")</f>
        <v>29.691921599999898</v>
      </c>
      <c r="G25">
        <f t="shared" si="3"/>
        <v>1</v>
      </c>
      <c r="H25" s="78"/>
    </row>
    <row r="26" spans="1:8" ht="15" x14ac:dyDescent="0.25">
      <c r="A26" t="str">
        <v>Residential</v>
      </c>
      <c r="B26" t="str">
        <v>New Construction - Whole Home Improvements - Tier 1</v>
      </c>
      <c r="C26" s="4">
        <f>IFERROR(AVERAGEIFS('2. Program Allocation Output'!$P:$P,'2. Program Allocation Output'!$AF:$AF,$A26,'2. Program Allocation Output'!$AG:$AG,$B26),"")</f>
        <v>647.28493209175997</v>
      </c>
      <c r="D26" s="4">
        <f>IFERROR(AVERAGEIFS('2. Program Allocation Output'!$O:$O,'2. Program Allocation Output'!$AF:$AF,$A26,'2. Program Allocation Output'!$AG:$AG,$B26),"")</f>
        <v>1475.381509522</v>
      </c>
      <c r="E26" s="5">
        <f>IFERROR(AVERAGEIFS('2. Program Allocation Output'!$L:$L,'2. Program Allocation Output'!$AF:$AF,$A26,'2. Program Allocation Output'!$AG:$AG,$B26),"")</f>
        <v>1988.02171595288</v>
      </c>
      <c r="F26" s="38">
        <v>0</v>
      </c>
      <c r="G26">
        <f t="shared" ref="G26:G27" si="4">IFERROR(EXP(0.3*(F26-C26)/(E26*0.1137)),"")</f>
        <v>0.42355026786158312</v>
      </c>
      <c r="H26" s="78"/>
    </row>
    <row r="27" spans="1:8" ht="15" x14ac:dyDescent="0.25">
      <c r="A27" t="str">
        <v>Residential</v>
      </c>
      <c r="B27" t="str">
        <v>New Construction - Whole Home Improvements - Tier 2</v>
      </c>
      <c r="C27" s="4">
        <f>IFERROR(AVERAGEIFS('2. Program Allocation Output'!$P:$P,'2. Program Allocation Output'!$AF:$AF,$A27,'2. Program Allocation Output'!$AG:$AG,$B27),"")</f>
        <v>549.54451231238193</v>
      </c>
      <c r="D27" s="4">
        <f>IFERROR(AVERAGEIFS('2. Program Allocation Output'!$O:$O,'2. Program Allocation Output'!$AF:$AF,$A27,'2. Program Allocation Output'!$AG:$AG,$B27),"")</f>
        <v>2151.0039802452807</v>
      </c>
      <c r="E27" s="5">
        <f>IFERROR(AVERAGEIFS('2. Program Allocation Output'!$L:$L,'2. Program Allocation Output'!$AF:$AF,$A27,'2. Program Allocation Output'!$AG:$AG,$B27),"")</f>
        <v>6673.4968833372905</v>
      </c>
      <c r="F27" s="38">
        <v>0</v>
      </c>
      <c r="G27">
        <f t="shared" si="4"/>
        <v>0.80470846489720416</v>
      </c>
      <c r="H27" s="78"/>
    </row>
    <row r="28" spans="1:8" ht="15" x14ac:dyDescent="0.25">
      <c r="A28" t="str">
        <v>Residential</v>
      </c>
      <c r="B28" t="str">
        <v>Energy Star Clothes Washer</v>
      </c>
      <c r="C28" s="4">
        <f>IFERROR(AVERAGEIFS('2. Program Allocation Output'!$P:$P,'2. Program Allocation Output'!$AF:$AF,$A28,'2. Program Allocation Output'!$AG:$AG,$B28),"")</f>
        <v>19.6355180000002</v>
      </c>
      <c r="D28" s="4">
        <f>IFERROR(AVERAGEIFS('2. Program Allocation Output'!$O:$O,'2. Program Allocation Output'!$AF:$AF,$A28,'2. Program Allocation Output'!$AG:$AG,$B28),"")</f>
        <v>86.42</v>
      </c>
      <c r="E28" s="5">
        <f>IFERROR(AVERAGEIFS('2. Program Allocation Output'!$L:$L,'2. Program Allocation Output'!$AF:$AF,$A28,'2. Program Allocation Output'!$AG:$AG,$B28),"")</f>
        <v>275.64999999999901</v>
      </c>
      <c r="F28" s="38">
        <v>0</v>
      </c>
      <c r="G28">
        <f t="shared" si="3"/>
        <v>0.8286551255656105</v>
      </c>
      <c r="H28" s="78"/>
    </row>
    <row r="29" spans="1:8" ht="15" x14ac:dyDescent="0.25">
      <c r="A29" t="str">
        <v>Residential</v>
      </c>
      <c r="B29" t="str">
        <v>Energy Star Ground Source Heat Pump</v>
      </c>
      <c r="C29" s="4">
        <f>IFERROR(AVERAGEIFS('2. Program Allocation Output'!$P:$P,'2. Program Allocation Output'!$AF:$AF,$A29,'2. Program Allocation Output'!$AG:$AG,$B29),"")</f>
        <v>15564.4191191999</v>
      </c>
      <c r="D29" s="4">
        <f>IFERROR(AVERAGEIFS('2. Program Allocation Output'!$O:$O,'2. Program Allocation Output'!$AF:$AF,$A29,'2. Program Allocation Output'!$AG:$AG,$B29),"")</f>
        <v>15905.9999999999</v>
      </c>
      <c r="E29" s="5">
        <f>IFERROR(AVERAGEIFS('2. Program Allocation Output'!$L:$L,'2. Program Allocation Output'!$AF:$AF,$A29,'2. Program Allocation Output'!$AG:$AG,$B29),"")</f>
        <v>1409.8599999999899</v>
      </c>
      <c r="F29" s="38">
        <v>0</v>
      </c>
      <c r="G29">
        <f t="shared" si="3"/>
        <v>2.2369945105234762E-13</v>
      </c>
      <c r="H29" s="78"/>
    </row>
    <row r="30" spans="1:8" ht="15" x14ac:dyDescent="0.25">
      <c r="A30" t="str">
        <v>Residential</v>
      </c>
      <c r="B30" t="str">
        <v>Energy Star Room AC Residential</v>
      </c>
      <c r="C30" s="4">
        <f>IFERROR(AVERAGEIFS('2. Program Allocation Output'!$P:$P,'2. Program Allocation Output'!$AF:$AF,$A30,'2. Program Allocation Output'!$AG:$AG,$B30),"")</f>
        <v>10.3198699999999</v>
      </c>
      <c r="D30" s="4">
        <f>IFERROR(AVERAGEIFS('2. Program Allocation Output'!$O:$O,'2. Program Allocation Output'!$AF:$AF,$A30,'2. Program Allocation Output'!$AG:$AG,$B30),"")</f>
        <v>41.15</v>
      </c>
      <c r="E30" s="5">
        <f>IFERROR(AVERAGEIFS('2. Program Allocation Output'!$L:$L,'2. Program Allocation Output'!$AF:$AF,$A30,'2. Program Allocation Output'!$AG:$AG,$B30),"")</f>
        <v>127.25</v>
      </c>
      <c r="F30" s="38">
        <v>0</v>
      </c>
      <c r="G30">
        <f t="shared" si="3"/>
        <v>0.8073629241290271</v>
      </c>
      <c r="H30" s="78"/>
    </row>
    <row r="31" spans="1:8" ht="15" x14ac:dyDescent="0.25">
      <c r="A31" t="str">
        <v>Residential</v>
      </c>
      <c r="B31" t="str">
        <v>Properly Sized CAC</v>
      </c>
      <c r="C31" s="4">
        <f>IFERROR(AVERAGEIFS('2. Program Allocation Output'!$P:$P,'2. Program Allocation Output'!$AF:$AF,$A31,'2. Program Allocation Output'!$AG:$AG,$B31),"")</f>
        <v>142.46266525790699</v>
      </c>
      <c r="D31" s="4">
        <f>IFERROR(AVERAGEIFS('2. Program Allocation Output'!$O:$O,'2. Program Allocation Output'!$AF:$AF,$A31,'2. Program Allocation Output'!$AG:$AG,$B31),"")</f>
        <v>250</v>
      </c>
      <c r="E31" s="5">
        <f>IFERROR(AVERAGEIFS('2. Program Allocation Output'!$L:$L,'2. Program Allocation Output'!$AF:$AF,$A31,'2. Program Allocation Output'!$AG:$AG,$B31),"")</f>
        <v>586.59333333333313</v>
      </c>
      <c r="F31" s="38">
        <v>0</v>
      </c>
      <c r="G31">
        <f t="shared" si="3"/>
        <v>0.52686902587198514</v>
      </c>
      <c r="H31" s="78"/>
    </row>
    <row r="32" spans="1:8" ht="15" x14ac:dyDescent="0.25">
      <c r="A32" t="str">
        <v>NonResidential</v>
      </c>
      <c r="B32" t="str">
        <v>Ceiling Insulation(R19 to R38)</v>
      </c>
      <c r="C32" s="4">
        <f>IFERROR(AVERAGEIFS('2. Program Allocation Output'!$P:$P,'2. Program Allocation Output'!$AF:$AF,$A32,'2. Program Allocation Output'!$AG:$AG,$B32),"")</f>
        <v>35498.089296558108</v>
      </c>
      <c r="D32" s="4">
        <f>IFERROR(AVERAGEIFS('2. Program Allocation Output'!$O:$O,'2. Program Allocation Output'!$AF:$AF,$A32,'2. Program Allocation Output'!$AG:$AG,$B32),"")</f>
        <v>24941.126894725781</v>
      </c>
      <c r="E32" s="5">
        <f>IFERROR(AVERAGEIFS('2. Program Allocation Output'!$L:$L,'2. Program Allocation Output'!$AF:$AF,$A32,'2. Program Allocation Output'!$AG:$AG,$B32),"")</f>
        <v>2568.1199999999699</v>
      </c>
      <c r="F32" s="38">
        <f>D32*$F$5/$D$5</f>
        <v>3222.5963039661074</v>
      </c>
      <c r="G32">
        <f t="shared" si="3"/>
        <v>3.9688771318830651E-15</v>
      </c>
      <c r="H32" s="78" t="s">
        <v>414</v>
      </c>
    </row>
    <row r="33" spans="1:8" ht="15" x14ac:dyDescent="0.25">
      <c r="A33" t="str">
        <v>NonResidential</v>
      </c>
      <c r="B33" t="str">
        <v>Ceiling Insulation(R19 to R49)</v>
      </c>
      <c r="C33" s="4">
        <f>IFERROR(AVERAGEIFS('2. Program Allocation Output'!$P:$P,'2. Program Allocation Output'!$AF:$AF,$A33,'2. Program Allocation Output'!$AG:$AG,$B33),"")</f>
        <v>44221.719775682497</v>
      </c>
      <c r="D33" s="4">
        <f>IFERROR(AVERAGEIFS('2. Program Allocation Output'!$O:$O,'2. Program Allocation Output'!$AF:$AF,$A33,'2. Program Allocation Output'!$AG:$AG,$B33),"")</f>
        <v>36797.200768623174</v>
      </c>
      <c r="E33" s="5">
        <f>IFERROR(AVERAGEIFS('2. Program Allocation Output'!$L:$L,'2. Program Allocation Output'!$AF:$AF,$A33,'2. Program Allocation Output'!$AG:$AG,$B33),"")</f>
        <v>4477.6116666666294</v>
      </c>
      <c r="F33" s="38">
        <f>D33*$F$5/$D$5</f>
        <v>4754.4974087894998</v>
      </c>
      <c r="G33">
        <f t="shared" si="3"/>
        <v>7.9373870200739678E-11</v>
      </c>
      <c r="H33" s="78" t="s">
        <v>414</v>
      </c>
    </row>
    <row r="34" spans="1:8" ht="15" x14ac:dyDescent="0.25">
      <c r="A34" t="str">
        <v>NonResidential</v>
      </c>
      <c r="B34" t="str">
        <v>Ceiling Insulation(R2 to R38)</v>
      </c>
      <c r="C34" s="4">
        <f>IFERROR(AVERAGEIFS('2. Program Allocation Output'!$P:$P,'2. Program Allocation Output'!$AF:$AF,$A34,'2. Program Allocation Output'!$AG:$AG,$B34),"")</f>
        <v>45532.278837645601</v>
      </c>
      <c r="D34" s="4">
        <f>IFERROR(AVERAGEIFS('2. Program Allocation Output'!$O:$O,'2. Program Allocation Output'!$AF:$AF,$A34,'2. Program Allocation Output'!$AG:$AG,$B34),"")</f>
        <v>33848.063405139306</v>
      </c>
      <c r="E34" s="5">
        <f>IFERROR(AVERAGEIFS('2. Program Allocation Output'!$L:$L,'2. Program Allocation Output'!$AF:$AF,$A34,'2. Program Allocation Output'!$AG:$AG,$B34),"")</f>
        <v>18717.787500000002</v>
      </c>
      <c r="F34" s="38">
        <f>D34*$F$5/$D$5</f>
        <v>4373.4448922946976</v>
      </c>
      <c r="G34">
        <f t="shared" si="3"/>
        <v>3.0218441517909909E-3</v>
      </c>
      <c r="H34" s="78" t="s">
        <v>414</v>
      </c>
    </row>
    <row r="35" spans="1:8" ht="15" x14ac:dyDescent="0.25">
      <c r="A35" t="str">
        <v>NonResidential</v>
      </c>
      <c r="B35" t="str">
        <v>Ceiling Insulation(R2 to R49)</v>
      </c>
      <c r="C35" s="4">
        <f>IFERROR(AVERAGEIFS('2. Program Allocation Output'!$P:$P,'2. Program Allocation Output'!$AF:$AF,$A35,'2. Program Allocation Output'!$AG:$AG,$B35),"")</f>
        <v>25197.386166847802</v>
      </c>
      <c r="D35" s="4">
        <f>IFERROR(AVERAGEIFS('2. Program Allocation Output'!$O:$O,'2. Program Allocation Output'!$AF:$AF,$A35,'2. Program Allocation Output'!$AG:$AG,$B35),"")</f>
        <v>34538.782334161624</v>
      </c>
      <c r="E35" s="5">
        <f>IFERROR(AVERAGEIFS('2. Program Allocation Output'!$L:$L,'2. Program Allocation Output'!$AF:$AF,$A35,'2. Program Allocation Output'!$AG:$AG,$B35),"")</f>
        <v>19185.113333333295</v>
      </c>
      <c r="F35" s="38">
        <f>D35*$F$6/$D$6</f>
        <v>4335.1908026959672</v>
      </c>
      <c r="G35">
        <f t="shared" si="3"/>
        <v>5.674595082038876E-2</v>
      </c>
      <c r="H35" s="78" t="s">
        <v>414</v>
      </c>
    </row>
    <row r="36" spans="1:8" ht="15" x14ac:dyDescent="0.25">
      <c r="A36" t="str">
        <v>NonResidential</v>
      </c>
      <c r="B36" t="str">
        <v>Commercial Duct Sealing</v>
      </c>
      <c r="C36" s="4">
        <f>IFERROR(AVERAGEIFS('2. Program Allocation Output'!$P:$P,'2. Program Allocation Output'!$AF:$AF,$A36,'2. Program Allocation Output'!$AG:$AG,$B36),"")</f>
        <v>384.51331501042563</v>
      </c>
      <c r="D36" s="4">
        <f>IFERROR(AVERAGEIFS('2. Program Allocation Output'!$O:$O,'2. Program Allocation Output'!$AF:$AF,$A36,'2. Program Allocation Output'!$AG:$AG,$B36),"")</f>
        <v>666.0246805310087</v>
      </c>
      <c r="E36" s="5">
        <f>IFERROR(AVERAGEIFS('2. Program Allocation Output'!$L:$L,'2. Program Allocation Output'!$AF:$AF,$A36,'2. Program Allocation Output'!$AG:$AG,$B36),"")</f>
        <v>2045.1799999999992</v>
      </c>
      <c r="F36" s="38">
        <v>100</v>
      </c>
      <c r="G36">
        <f t="shared" si="3"/>
        <v>0.69277112909915817</v>
      </c>
      <c r="H36" s="78"/>
    </row>
    <row r="37" spans="1:8" ht="15" x14ac:dyDescent="0.25">
      <c r="A37" t="str">
        <v>NonResidential</v>
      </c>
      <c r="B37" t="str">
        <v>Energy Star windows</v>
      </c>
      <c r="C37" s="4">
        <f>IFERROR(AVERAGEIFS('2. Program Allocation Output'!$P:$P,'2. Program Allocation Output'!$AF:$AF,$A37,'2. Program Allocation Output'!$AG:$AG,$B37),"")</f>
        <v>9094.9443435978374</v>
      </c>
      <c r="D37" s="4">
        <f>IFERROR(AVERAGEIFS('2. Program Allocation Output'!$O:$O,'2. Program Allocation Output'!$AF:$AF,$A37,'2. Program Allocation Output'!$AG:$AG,$B37),"")</f>
        <v>1278.9912095238199</v>
      </c>
      <c r="E37" s="5">
        <f>IFERROR(AVERAGEIFS('2. Program Allocation Output'!$L:$L,'2. Program Allocation Output'!$AF:$AF,$A37,'2. Program Allocation Output'!$AG:$AG,$B37),"")</f>
        <v>2407.8671428571402</v>
      </c>
      <c r="F37" s="38">
        <f>D37*$F$8/$D$8</f>
        <v>1244.9532966663394</v>
      </c>
      <c r="G37">
        <f t="shared" si="3"/>
        <v>1.8374525511831319E-4</v>
      </c>
      <c r="H37" s="78" t="s">
        <v>414</v>
      </c>
    </row>
    <row r="38" spans="1:8" ht="15" x14ac:dyDescent="0.25">
      <c r="A38" t="str">
        <v>NonResidential</v>
      </c>
      <c r="B38" t="str">
        <v>Heat Pump Water Heater</v>
      </c>
      <c r="C38" s="4">
        <f>IFERROR(AVERAGEIFS('2. Program Allocation Output'!$P:$P,'2. Program Allocation Output'!$AF:$AF,$A38,'2. Program Allocation Output'!$AG:$AG,$B38),"")</f>
        <v>977.24379425036398</v>
      </c>
      <c r="D38" s="4">
        <f>IFERROR(AVERAGEIFS('2. Program Allocation Output'!$O:$O,'2. Program Allocation Output'!$AF:$AF,$A38,'2. Program Allocation Output'!$AG:$AG,$B38),"")</f>
        <v>2431.625</v>
      </c>
      <c r="E38" s="5">
        <f>IFERROR(AVERAGEIFS('2. Program Allocation Output'!$L:$L,'2. Program Allocation Output'!$AF:$AF,$A38,'2. Program Allocation Output'!$AG:$AG,$B38),"")</f>
        <v>6670.6049999999914</v>
      </c>
      <c r="F38" s="38">
        <v>500</v>
      </c>
      <c r="G38">
        <f t="shared" si="3"/>
        <v>0.82797588322898052</v>
      </c>
      <c r="H38" s="77" t="s">
        <v>308</v>
      </c>
    </row>
    <row r="39" spans="1:8" ht="15" x14ac:dyDescent="0.25">
      <c r="A39" t="str">
        <v>NonResidential</v>
      </c>
      <c r="B39" t="str">
        <v>LED Exterior Wall Packs</v>
      </c>
      <c r="C39" s="4">
        <f>IFERROR(AVERAGEIFS('2. Program Allocation Output'!$P:$P,'2. Program Allocation Output'!$AF:$AF,$A39,'2. Program Allocation Output'!$AG:$AG,$B39),"")</f>
        <v>54.566840905469043</v>
      </c>
      <c r="D39" s="4">
        <f>IFERROR(AVERAGEIFS('2. Program Allocation Output'!$O:$O,'2. Program Allocation Output'!$AF:$AF,$A39,'2. Program Allocation Output'!$AG:$AG,$B39),"")</f>
        <v>169</v>
      </c>
      <c r="E39" s="5">
        <f>IFERROR(AVERAGEIFS('2. Program Allocation Output'!$L:$L,'2. Program Allocation Output'!$AF:$AF,$A39,'2. Program Allocation Output'!$AG:$AG,$B39),"")</f>
        <v>562.52000000000032</v>
      </c>
      <c r="F39" s="38">
        <v>8.6864493556481861</v>
      </c>
      <c r="G39">
        <f t="shared" si="3"/>
        <v>0.80637708305213962</v>
      </c>
      <c r="H39" s="77" t="s">
        <v>310</v>
      </c>
    </row>
    <row r="40" spans="1:8" ht="15" x14ac:dyDescent="0.25">
      <c r="A40" t="str">
        <v>NonResidential</v>
      </c>
      <c r="B40" t="str">
        <v>LED High Bay_HID Baseline</v>
      </c>
      <c r="C40" s="4">
        <f>IFERROR(AVERAGEIFS('2. Program Allocation Output'!$P:$P,'2. Program Allocation Output'!$AF:$AF,$A40,'2. Program Allocation Output'!$AG:$AG,$B40),"")</f>
        <v>5.0437849584490522</v>
      </c>
      <c r="D40" s="4">
        <f>IFERROR(AVERAGEIFS('2. Program Allocation Output'!$O:$O,'2. Program Allocation Output'!$AF:$AF,$A40,'2. Program Allocation Output'!$AG:$AG,$B40),"")</f>
        <v>179</v>
      </c>
      <c r="E40" s="5">
        <f>IFERROR(AVERAGEIFS('2. Program Allocation Output'!$L:$L,'2. Program Allocation Output'!$AF:$AF,$A40,'2. Program Allocation Output'!$AG:$AG,$B40),"")</f>
        <v>1059.6621428571411</v>
      </c>
      <c r="F40" s="38">
        <v>28.590998621954778</v>
      </c>
      <c r="G40">
        <f t="shared" si="3"/>
        <v>1.0603846876879557</v>
      </c>
      <c r="H40" s="77" t="s">
        <v>310</v>
      </c>
    </row>
    <row r="41" spans="1:8" ht="15" x14ac:dyDescent="0.25">
      <c r="A41" t="str">
        <v>NonResidential</v>
      </c>
      <c r="B41" t="str">
        <v>LED High Bay_LF Baseline</v>
      </c>
      <c r="C41" s="4">
        <f>IFERROR(AVERAGEIFS('2. Program Allocation Output'!$P:$P,'2. Program Allocation Output'!$AF:$AF,$A41,'2. Program Allocation Output'!$AG:$AG,$B41),"")</f>
        <v>42.487257924351475</v>
      </c>
      <c r="D41" s="4">
        <f>IFERROR(AVERAGEIFS('2. Program Allocation Output'!$O:$O,'2. Program Allocation Output'!$AF:$AF,$A41,'2. Program Allocation Output'!$AG:$AG,$B41),"")</f>
        <v>179</v>
      </c>
      <c r="E41" s="5">
        <f>IFERROR(AVERAGEIFS('2. Program Allocation Output'!$L:$L,'2. Program Allocation Output'!$AF:$AF,$A41,'2. Program Allocation Output'!$AG:$AG,$B41),"")</f>
        <v>679.04779761904763</v>
      </c>
      <c r="F41" s="38">
        <v>23.858858929800434</v>
      </c>
      <c r="G41">
        <f t="shared" si="3"/>
        <v>0.93017466414143679</v>
      </c>
      <c r="H41" s="77" t="s">
        <v>310</v>
      </c>
    </row>
    <row r="42" spans="1:8" ht="15" x14ac:dyDescent="0.25">
      <c r="A42" t="str">
        <v>NonResidential</v>
      </c>
      <c r="B42" t="str">
        <v>LED Linear - Fixture Replacement</v>
      </c>
      <c r="C42" s="4">
        <f>IFERROR(AVERAGEIFS('2. Program Allocation Output'!$P:$P,'2. Program Allocation Output'!$AF:$AF,$A42,'2. Program Allocation Output'!$AG:$AG,$B42),"")</f>
        <v>64.428955263702647</v>
      </c>
      <c r="D42" s="4">
        <f>IFERROR(AVERAGEIFS('2. Program Allocation Output'!$O:$O,'2. Program Allocation Output'!$AF:$AF,$A42,'2. Program Allocation Output'!$AG:$AG,$B42),"")</f>
        <v>109.07999999999994</v>
      </c>
      <c r="E42" s="5">
        <f>IFERROR(AVERAGEIFS('2. Program Allocation Output'!$L:$L,'2. Program Allocation Output'!$AF:$AF,$A42,'2. Program Allocation Output'!$AG:$AG,$B42),"")</f>
        <v>217.06142857142825</v>
      </c>
      <c r="F42" s="38">
        <v>16.810726621008875</v>
      </c>
      <c r="G42">
        <f t="shared" si="3"/>
        <v>0.56055357916158088</v>
      </c>
      <c r="H42" s="77" t="s">
        <v>310</v>
      </c>
    </row>
    <row r="43" spans="1:8" ht="15" x14ac:dyDescent="0.25">
      <c r="A43" t="str">
        <v>NonResidential</v>
      </c>
      <c r="B43" t="str">
        <v>LED Parking Lighting</v>
      </c>
      <c r="C43" s="4">
        <f>IFERROR(AVERAGEIFS('2. Program Allocation Output'!$P:$P,'2. Program Allocation Output'!$AF:$AF,$A43,'2. Program Allocation Output'!$AG:$AG,$B43),"")</f>
        <v>129.09500333079717</v>
      </c>
      <c r="D43" s="4">
        <f>IFERROR(AVERAGEIFS('2. Program Allocation Output'!$O:$O,'2. Program Allocation Output'!$AF:$AF,$A43,'2. Program Allocation Output'!$AG:$AG,$B43),"")</f>
        <v>255</v>
      </c>
      <c r="E43" s="5">
        <f>IFERROR(AVERAGEIFS('2. Program Allocation Output'!$L:$L,'2. Program Allocation Output'!$AF:$AF,$A43,'2. Program Allocation Output'!$AG:$AG,$B43),"")</f>
        <v>612.0599999999996</v>
      </c>
      <c r="F43" s="38">
        <v>9.4514474020799994</v>
      </c>
      <c r="G43">
        <f t="shared" si="3"/>
        <v>0.59704067730377497</v>
      </c>
      <c r="H43" s="77" t="s">
        <v>310</v>
      </c>
    </row>
    <row r="44" spans="1:8" ht="15" x14ac:dyDescent="0.25">
      <c r="A44" t="str">
        <v>NonResidential</v>
      </c>
      <c r="B44" t="str">
        <v>Occupancy Sensors_ Ceiling Mounted</v>
      </c>
      <c r="C44" s="4">
        <f>IFERROR(AVERAGEIFS('2. Program Allocation Output'!$P:$P,'2. Program Allocation Output'!$AF:$AF,$A44,'2. Program Allocation Output'!$AG:$AG,$B44),"")</f>
        <v>20.881161327725188</v>
      </c>
      <c r="D44" s="4">
        <f>IFERROR(AVERAGEIFS('2. Program Allocation Output'!$O:$O,'2. Program Allocation Output'!$AF:$AF,$A44,'2. Program Allocation Output'!$AG:$AG,$B44),"")</f>
        <v>129</v>
      </c>
      <c r="E44" s="5">
        <f>IFERROR(AVERAGEIFS('2. Program Allocation Output'!$L:$L,'2. Program Allocation Output'!$AF:$AF,$A44,'2. Program Allocation Output'!$AG:$AG,$B44),"")</f>
        <v>537.99499999999978</v>
      </c>
      <c r="F44" s="38">
        <v>19.547634357270656</v>
      </c>
      <c r="G44">
        <f t="shared" si="3"/>
        <v>0.99348124042467356</v>
      </c>
      <c r="H44" s="77" t="s">
        <v>310</v>
      </c>
    </row>
    <row r="45" spans="1:8" ht="15" x14ac:dyDescent="0.25">
      <c r="A45" t="str">
        <v>NonResidential</v>
      </c>
      <c r="B45" t="str">
        <v>Reflective Roof Treatment</v>
      </c>
      <c r="C45" s="4">
        <f>IFERROR(AVERAGEIFS('2. Program Allocation Output'!$P:$P,'2. Program Allocation Output'!$AF:$AF,$A45,'2. Program Allocation Output'!$AG:$AG,$B45),"")</f>
        <v>17605.607636663397</v>
      </c>
      <c r="D45" s="4">
        <f>IFERROR(AVERAGEIFS('2. Program Allocation Output'!$O:$O,'2. Program Allocation Output'!$AF:$AF,$A45,'2. Program Allocation Output'!$AG:$AG,$B45),"")</f>
        <v>40257.674999999996</v>
      </c>
      <c r="E45" s="5">
        <f>IFERROR(AVERAGEIFS('2. Program Allocation Output'!$L:$L,'2. Program Allocation Output'!$AF:$AF,$A45,'2. Program Allocation Output'!$AG:$AG,$B45),"")</f>
        <v>111105.09249999902</v>
      </c>
      <c r="F45" s="38">
        <v>12077.302499999998</v>
      </c>
      <c r="G45">
        <f t="shared" si="3"/>
        <v>0.87696681614875649</v>
      </c>
    </row>
    <row r="46" spans="1:8" ht="15" x14ac:dyDescent="0.25">
      <c r="A46" t="str">
        <v>NonResidential</v>
      </c>
      <c r="B46" t="str">
        <v>Refrigerated Display Case LED Lighting</v>
      </c>
      <c r="C46" s="4">
        <f>IFERROR(AVERAGEIFS('2. Program Allocation Output'!$P:$P,'2. Program Allocation Output'!$AF:$AF,$A46,'2. Program Allocation Output'!$AG:$AG,$B46),"")</f>
        <v>25.402483751835913</v>
      </c>
      <c r="D46" s="4">
        <f>IFERROR(AVERAGEIFS('2. Program Allocation Output'!$O:$O,'2. Program Allocation Output'!$AF:$AF,$A46,'2. Program Allocation Output'!$AG:$AG,$B46),"")</f>
        <v>56.599999999999994</v>
      </c>
      <c r="E46" s="5">
        <f>IFERROR(AVERAGEIFS('2. Program Allocation Output'!$L:$L,'2. Program Allocation Output'!$AF:$AF,$A46,'2. Program Allocation Output'!$AG:$AG,$B46),"")</f>
        <v>151.65999999999991</v>
      </c>
      <c r="F46" s="38">
        <v>6.879122352287844</v>
      </c>
      <c r="G46">
        <f t="shared" si="3"/>
        <v>0.72450810749703154</v>
      </c>
      <c r="H46" s="77" t="s">
        <v>310</v>
      </c>
    </row>
    <row r="47" spans="1:8" ht="15" x14ac:dyDescent="0.25">
      <c r="A47" t="str">
        <v>NonResidential</v>
      </c>
      <c r="B47" t="str">
        <v>Smart thermostat</v>
      </c>
      <c r="C47" s="4">
        <f>IFERROR(AVERAGEIFS('2. Program Allocation Output'!$P:$P,'2. Program Allocation Output'!$AF:$AF,$A47,'2. Program Allocation Output'!$AG:$AG,$B47),"")</f>
        <v>1270.4017266154999</v>
      </c>
      <c r="D47" s="4">
        <f>IFERROR(AVERAGEIFS('2. Program Allocation Output'!$O:$O,'2. Program Allocation Output'!$AF:$AF,$A47,'2. Program Allocation Output'!$AG:$AG,$B47),"")</f>
        <v>5699.0575371059058</v>
      </c>
      <c r="E47" s="5">
        <f>IFERROR(AVERAGEIFS('2. Program Allocation Output'!$L:$L,'2. Program Allocation Output'!$AF:$AF,$A47,'2. Program Allocation Output'!$AG:$AG,$B47),"")</f>
        <v>24210.894999999899</v>
      </c>
      <c r="F47" s="38">
        <v>50</v>
      </c>
      <c r="G47">
        <f t="shared" si="3"/>
        <v>0.87546479230069263</v>
      </c>
      <c r="H47" s="78"/>
    </row>
    <row r="48" spans="1:8" ht="15" x14ac:dyDescent="0.25">
      <c r="A48" t="str">
        <v>NonResidential</v>
      </c>
      <c r="B48" t="str">
        <v>Solar Thermal Water Heating System Commercial</v>
      </c>
      <c r="C48" s="4">
        <f>IFERROR(AVERAGEIFS('2. Program Allocation Output'!$P:$P,'2. Program Allocation Output'!$AF:$AF,$A48,'2. Program Allocation Output'!$AG:$AG,$B48),"")</f>
        <v>219059.38064062802</v>
      </c>
      <c r="D48" s="4">
        <f>IFERROR(AVERAGEIFS('2. Program Allocation Output'!$O:$O,'2. Program Allocation Output'!$AF:$AF,$A48,'2. Program Allocation Output'!$AG:$AG,$B48),"")</f>
        <v>21366.564901045898</v>
      </c>
      <c r="E48" s="5">
        <f>IFERROR(AVERAGEIFS('2. Program Allocation Output'!$L:$L,'2. Program Allocation Output'!$AF:$AF,$A48,'2. Program Allocation Output'!$AG:$AG,$B48),"")</f>
        <v>71859.953750000001</v>
      </c>
      <c r="F48" s="38">
        <v>0</v>
      </c>
      <c r="G48">
        <f t="shared" si="3"/>
        <v>3.2123848810070607E-4</v>
      </c>
      <c r="H48" s="78"/>
    </row>
    <row r="49" spans="1:8" ht="15" x14ac:dyDescent="0.25">
      <c r="A49" t="str">
        <v>NonResidential</v>
      </c>
      <c r="B49" t="str">
        <v>Window shade film</v>
      </c>
      <c r="C49" s="4">
        <f>IFERROR(AVERAGEIFS('2. Program Allocation Output'!$P:$P,'2. Program Allocation Output'!$AF:$AF,$A49,'2. Program Allocation Output'!$AG:$AG,$B49),"")</f>
        <v>13015.025349926</v>
      </c>
      <c r="D49" s="4">
        <f>IFERROR(AVERAGEIFS('2. Program Allocation Output'!$O:$O,'2. Program Allocation Output'!$AF:$AF,$A49,'2. Program Allocation Output'!$AG:$AG,$B49),"")</f>
        <v>442.61899981344203</v>
      </c>
      <c r="E49" s="5">
        <f>IFERROR(AVERAGEIFS('2. Program Allocation Output'!$L:$L,'2. Program Allocation Output'!$AF:$AF,$A49,'2. Program Allocation Output'!$AG:$AG,$B49),"")</f>
        <v>1181.5866666666602</v>
      </c>
      <c r="F49" s="38">
        <f>IFERROR(MIN(C49*1, D49*0.3),"")</f>
        <v>132.78569994403261</v>
      </c>
      <c r="G49">
        <f t="shared" si="3"/>
        <v>3.2127764592544555E-13</v>
      </c>
    </row>
    <row r="50" spans="1:8" ht="15" x14ac:dyDescent="0.25">
      <c r="A50" t="str">
        <v>NonResidential</v>
      </c>
      <c r="B50" t="str">
        <v>Chilled Water Reset</v>
      </c>
      <c r="C50" s="4">
        <f>IFERROR(AVERAGEIFS('2. Program Allocation Output'!$P:$P,'2. Program Allocation Output'!$AF:$AF,$A50,'2. Program Allocation Output'!$AG:$AG,$B50),"")</f>
        <v>130.44720079847704</v>
      </c>
      <c r="D50" s="4">
        <f>IFERROR(AVERAGEIFS('2. Program Allocation Output'!$O:$O,'2. Program Allocation Output'!$AF:$AF,$A50,'2. Program Allocation Output'!$AG:$AG,$B50),"")</f>
        <v>742</v>
      </c>
      <c r="E50" s="5">
        <f>IFERROR(AVERAGEIFS('2. Program Allocation Output'!$L:$L,'2. Program Allocation Output'!$AF:$AF,$A50,'2. Program Allocation Output'!$AG:$AG,$B50),"")</f>
        <v>3050.4666666666599</v>
      </c>
      <c r="F50" s="38">
        <v>725.0262900596623</v>
      </c>
      <c r="G50">
        <f t="shared" si="3"/>
        <v>1.6724428329362533</v>
      </c>
      <c r="H50" s="77" t="s">
        <v>311</v>
      </c>
    </row>
    <row r="51" spans="1:8" ht="15" x14ac:dyDescent="0.25">
      <c r="A51" t="str">
        <v>NonResidential</v>
      </c>
      <c r="B51" t="str">
        <v>Custom measure - Non-lighting_69</v>
      </c>
      <c r="C51" s="4">
        <f>IFERROR(AVERAGEIFS('2. Program Allocation Output'!$P:$P,'2. Program Allocation Output'!$AF:$AF,$A51,'2. Program Allocation Output'!$AG:$AG,$B51),"")</f>
        <v>2140.1781094578296</v>
      </c>
      <c r="D51" s="4">
        <f>IFERROR(AVERAGEIFS('2. Program Allocation Output'!$O:$O,'2. Program Allocation Output'!$AF:$AF,$A51,'2. Program Allocation Output'!$AG:$AG,$B51),"")</f>
        <v>4666.0778571428391</v>
      </c>
      <c r="E51" s="5">
        <f>IFERROR(AVERAGEIFS('2. Program Allocation Output'!$L:$L,'2. Program Allocation Output'!$AF:$AF,$A51,'2. Program Allocation Output'!$AG:$AG,$B51),"")</f>
        <v>12279.148571428501</v>
      </c>
      <c r="F51" s="38">
        <v>1864.5735288999113</v>
      </c>
      <c r="G51">
        <f t="shared" si="3"/>
        <v>0.94249803878007732</v>
      </c>
      <c r="H51" s="77" t="s">
        <v>311</v>
      </c>
    </row>
    <row r="52" spans="1:8" ht="15" x14ac:dyDescent="0.25">
      <c r="A52" t="str">
        <v>NonResidential</v>
      </c>
      <c r="B52" t="str">
        <v>Demand Controlled Circulating Systems</v>
      </c>
      <c r="C52" s="4">
        <f>IFERROR(AVERAGEIFS('2. Program Allocation Output'!$P:$P,'2. Program Allocation Output'!$AF:$AF,$A52,'2. Program Allocation Output'!$AG:$AG,$B52),"")</f>
        <v>1123.5242193223601</v>
      </c>
      <c r="D52" s="4">
        <f>IFERROR(AVERAGEIFS('2. Program Allocation Output'!$O:$O,'2. Program Allocation Output'!$AF:$AF,$A52,'2. Program Allocation Output'!$AG:$AG,$B52),"")</f>
        <v>2274</v>
      </c>
      <c r="E52" s="5">
        <f>IFERROR(AVERAGEIFS('2. Program Allocation Output'!$L:$L,'2. Program Allocation Output'!$AF:$AF,$A52,'2. Program Allocation Output'!$AG:$AG,$B52),"")</f>
        <v>5592.79</v>
      </c>
      <c r="F52" s="38">
        <v>716.2547365811331</v>
      </c>
      <c r="G52">
        <f t="shared" si="3"/>
        <v>0.82519266246945677</v>
      </c>
      <c r="H52" s="77" t="s">
        <v>311</v>
      </c>
    </row>
    <row r="53" spans="1:8" ht="15" x14ac:dyDescent="0.25">
      <c r="A53" t="str">
        <v>NonResidential</v>
      </c>
      <c r="B53" t="str">
        <v>Drain water heat recovery</v>
      </c>
      <c r="C53" s="4">
        <f>IFERROR(AVERAGEIFS('2. Program Allocation Output'!$P:$P,'2. Program Allocation Output'!$AF:$AF,$A53,'2. Program Allocation Output'!$AG:$AG,$B53),"")</f>
        <v>2505.3610009054501</v>
      </c>
      <c r="D53" s="4">
        <f>IFERROR(AVERAGEIFS('2. Program Allocation Output'!$O:$O,'2. Program Allocation Output'!$AF:$AF,$A53,'2. Program Allocation Output'!$AG:$AG,$B53),"")</f>
        <v>5343.87</v>
      </c>
      <c r="E53" s="5">
        <f>IFERROR(AVERAGEIFS('2. Program Allocation Output'!$L:$L,'2. Program Allocation Output'!$AF:$AF,$A53,'2. Program Allocation Output'!$AG:$AG,$B53),"")</f>
        <v>18085.229999999898</v>
      </c>
      <c r="F53" s="38">
        <v>0</v>
      </c>
      <c r="G53">
        <f t="shared" si="3"/>
        <v>0.69383814414313949</v>
      </c>
      <c r="H53" s="78"/>
    </row>
    <row r="54" spans="1:8" ht="15" x14ac:dyDescent="0.25">
      <c r="A54" t="str">
        <v>NonResidential</v>
      </c>
      <c r="B54" t="str">
        <v>Efficient Exhaust Hood</v>
      </c>
      <c r="C54" s="4">
        <f>IFERROR(AVERAGEIFS('2. Program Allocation Output'!$P:$P,'2. Program Allocation Output'!$AF:$AF,$A54,'2. Program Allocation Output'!$AG:$AG,$B54),"")</f>
        <v>1127.1986160539</v>
      </c>
      <c r="D54" s="4">
        <f>IFERROR(AVERAGEIFS('2. Program Allocation Output'!$O:$O,'2. Program Allocation Output'!$AF:$AF,$A54,'2. Program Allocation Output'!$AG:$AG,$B54),"")</f>
        <v>2050</v>
      </c>
      <c r="E54" s="5">
        <f>IFERROR(AVERAGEIFS('2. Program Allocation Output'!$L:$L,'2. Program Allocation Output'!$AF:$AF,$A54,'2. Program Allocation Output'!$AG:$AG,$B54),"")</f>
        <v>4486</v>
      </c>
      <c r="F54" s="38">
        <v>0</v>
      </c>
      <c r="G54">
        <f t="shared" si="3"/>
        <v>0.51531219842413434</v>
      </c>
      <c r="H54" s="78"/>
    </row>
    <row r="55" spans="1:8" ht="15" x14ac:dyDescent="0.25">
      <c r="A55" t="str">
        <v>NonResidential</v>
      </c>
      <c r="B55" t="str">
        <v>Facility Energy Management System_SC</v>
      </c>
      <c r="C55" s="4">
        <f>IFERROR(AVERAGEIFS('2. Program Allocation Output'!$P:$P,'2. Program Allocation Output'!$AF:$AF,$A55,'2. Program Allocation Output'!$AG:$AG,$B55),"")</f>
        <v>29333.707886282904</v>
      </c>
      <c r="D55" s="4">
        <f>IFERROR(AVERAGEIFS('2. Program Allocation Output'!$O:$O,'2. Program Allocation Output'!$AF:$AF,$A55,'2. Program Allocation Output'!$AG:$AG,$B55),"")</f>
        <v>59303.302436563892</v>
      </c>
      <c r="E55" s="5">
        <f>IFERROR(AVERAGEIFS('2. Program Allocation Output'!$L:$L,'2. Program Allocation Output'!$AF:$AF,$A55,'2. Program Allocation Output'!$AG:$AG,$B55),"")</f>
        <v>142641.03499999901</v>
      </c>
      <c r="F55" s="38">
        <v>21679.111511953593</v>
      </c>
      <c r="G55">
        <f t="shared" si="3"/>
        <v>0.86797534995247072</v>
      </c>
      <c r="H55" s="77" t="s">
        <v>311</v>
      </c>
    </row>
    <row r="56" spans="1:8" ht="15" x14ac:dyDescent="0.25">
      <c r="A56" t="str">
        <v>NonResidential</v>
      </c>
      <c r="B56" t="str">
        <v>Facility Energy Management System_SH</v>
      </c>
      <c r="C56" s="4">
        <f>IFERROR(AVERAGEIFS('2. Program Allocation Output'!$P:$P,'2. Program Allocation Output'!$AF:$AF,$A56,'2. Program Allocation Output'!$AG:$AG,$B56),"")</f>
        <v>534.12671770284112</v>
      </c>
      <c r="D56" s="4">
        <f>IFERROR(AVERAGEIFS('2. Program Allocation Output'!$O:$O,'2. Program Allocation Output'!$AF:$AF,$A56,'2. Program Allocation Output'!$AG:$AG,$B56),"")</f>
        <v>1080.72711480357</v>
      </c>
      <c r="E56" s="5">
        <f>IFERROR(AVERAGEIFS('2. Program Allocation Output'!$L:$L,'2. Program Allocation Output'!$AF:$AF,$A56,'2. Program Allocation Output'!$AG:$AG,$B56),"")</f>
        <v>2657.18</v>
      </c>
      <c r="F56" s="38">
        <v>79.715399999999988</v>
      </c>
      <c r="G56">
        <f t="shared" si="3"/>
        <v>0.63685031373688805</v>
      </c>
      <c r="H56" s="77" t="s">
        <v>311</v>
      </c>
    </row>
    <row r="57" spans="1:8" ht="15" x14ac:dyDescent="0.25">
      <c r="A57" t="str">
        <v>NonResidential</v>
      </c>
      <c r="B57" t="str">
        <v>HE DX Less than 5.4 Tons Elect Heat</v>
      </c>
      <c r="C57" s="4">
        <f>IFERROR(AVERAGEIFS('2. Program Allocation Output'!$P:$P,'2. Program Allocation Output'!$AF:$AF,$A57,'2. Program Allocation Output'!$AG:$AG,$B57),"")</f>
        <v>358.56061649158113</v>
      </c>
      <c r="D57" s="4">
        <f>IFERROR(AVERAGEIFS('2. Program Allocation Output'!$O:$O,'2. Program Allocation Output'!$AF:$AF,$A57,'2. Program Allocation Output'!$AG:$AG,$B57),"")</f>
        <v>654.99999999999898</v>
      </c>
      <c r="E57" s="5">
        <f>IFERROR(AVERAGEIFS('2. Program Allocation Output'!$L:$L,'2. Program Allocation Output'!$AF:$AF,$A57,'2. Program Allocation Output'!$AG:$AG,$B57),"")</f>
        <v>1452.1399999999796</v>
      </c>
      <c r="F57" s="38">
        <f>D57*0.3</f>
        <v>196.49999999999969</v>
      </c>
      <c r="G57">
        <f t="shared" si="3"/>
        <v>0.74493198517309978</v>
      </c>
    </row>
    <row r="58" spans="1:8" ht="15" x14ac:dyDescent="0.25">
      <c r="A58" t="str">
        <v>NonResidential</v>
      </c>
      <c r="B58" t="str">
        <v>HE Water Cooled Chiller - Centrifugal Compressor - 200 Tons</v>
      </c>
      <c r="C58" s="4">
        <f>IFERROR(AVERAGEIFS('2. Program Allocation Output'!$P:$P,'2. Program Allocation Output'!$AF:$AF,$A58,'2. Program Allocation Output'!$AG:$AG,$B58),"")</f>
        <v>6681.8656442185193</v>
      </c>
      <c r="D58" s="4">
        <f>IFERROR(AVERAGEIFS('2. Program Allocation Output'!$O:$O,'2. Program Allocation Output'!$AF:$AF,$A58,'2. Program Allocation Output'!$AG:$AG,$B58),"")</f>
        <v>11386</v>
      </c>
      <c r="E58" s="5">
        <f>IFERROR(AVERAGEIFS('2. Program Allocation Output'!$L:$L,'2. Program Allocation Output'!$AF:$AF,$A58,'2. Program Allocation Output'!$AG:$AG,$B58),"")</f>
        <v>23719.439999999999</v>
      </c>
      <c r="F58" s="38">
        <v>3415.7999999999997</v>
      </c>
      <c r="G58">
        <f t="shared" si="3"/>
        <v>0.69536855707903378</v>
      </c>
    </row>
    <row r="59" spans="1:8" ht="15" x14ac:dyDescent="0.25">
      <c r="A59" t="str">
        <v>NonResidential</v>
      </c>
      <c r="B59" t="str">
        <v>HE Water Cooled Chiller - Centrifugal Compressor - 500 Tons</v>
      </c>
      <c r="C59" s="4">
        <f>IFERROR(AVERAGEIFS('2. Program Allocation Output'!$P:$P,'2. Program Allocation Output'!$AF:$AF,$A59,'2. Program Allocation Output'!$AG:$AG,$B59),"")</f>
        <v>9503.5476574024997</v>
      </c>
      <c r="D59" s="4">
        <f>IFERROR(AVERAGEIFS('2. Program Allocation Output'!$O:$O,'2. Program Allocation Output'!$AF:$AF,$A59,'2. Program Allocation Output'!$AG:$AG,$B59),"")</f>
        <v>19806</v>
      </c>
      <c r="E59" s="5">
        <f>IFERROR(AVERAGEIFS('2. Program Allocation Output'!$L:$L,'2. Program Allocation Output'!$AF:$AF,$A59,'2. Program Allocation Output'!$AG:$AG,$B59),"")</f>
        <v>51564</v>
      </c>
      <c r="F59" s="38">
        <v>5941.8</v>
      </c>
      <c r="G59">
        <f t="shared" si="3"/>
        <v>0.83338953851620801</v>
      </c>
    </row>
    <row r="60" spans="1:8" ht="15" x14ac:dyDescent="0.25">
      <c r="A60" t="str">
        <v>NonResidential</v>
      </c>
      <c r="B60" t="str">
        <v>High Efficiency PTAC</v>
      </c>
      <c r="C60" s="4">
        <f>IFERROR(AVERAGEIFS('2. Program Allocation Output'!$P:$P,'2. Program Allocation Output'!$AF:$AF,$A60,'2. Program Allocation Output'!$AG:$AG,$B60),"")</f>
        <v>16.094343022650296</v>
      </c>
      <c r="D60" s="4">
        <f>IFERROR(AVERAGEIFS('2. Program Allocation Output'!$O:$O,'2. Program Allocation Output'!$AF:$AF,$A60,'2. Program Allocation Output'!$AG:$AG,$B60),"")</f>
        <v>129</v>
      </c>
      <c r="E60" s="5">
        <f>IFERROR(AVERAGEIFS('2. Program Allocation Output'!$L:$L,'2. Program Allocation Output'!$AF:$AF,$A60,'2. Program Allocation Output'!$AG:$AG,$B60),"")</f>
        <v>552.5139999999991</v>
      </c>
      <c r="F60" s="38">
        <v>50</v>
      </c>
      <c r="G60">
        <f t="shared" si="3"/>
        <v>1.1757614296438725</v>
      </c>
    </row>
    <row r="61" spans="1:8" ht="15" x14ac:dyDescent="0.25">
      <c r="A61" t="str">
        <v>NonResidential</v>
      </c>
      <c r="B61" t="str">
        <v>High Efficiency PTHP</v>
      </c>
      <c r="C61" s="4">
        <f>IFERROR(AVERAGEIFS('2. Program Allocation Output'!$P:$P,'2. Program Allocation Output'!$AF:$AF,$A61,'2. Program Allocation Output'!$AG:$AG,$B61),"")</f>
        <v>23.4690947103329</v>
      </c>
      <c r="D61" s="4">
        <f>IFERROR(AVERAGEIFS('2. Program Allocation Output'!$O:$O,'2. Program Allocation Output'!$AF:$AF,$A61,'2. Program Allocation Output'!$AG:$AG,$B61),"")</f>
        <v>128.99999999999901</v>
      </c>
      <c r="E61" s="5">
        <f>IFERROR(AVERAGEIFS('2. Program Allocation Output'!$L:$L,'2. Program Allocation Output'!$AF:$AF,$A61,'2. Program Allocation Output'!$AG:$AG,$B61),"")</f>
        <v>540.79749999999888</v>
      </c>
      <c r="F61" s="38">
        <v>50</v>
      </c>
      <c r="G61">
        <f t="shared" si="3"/>
        <v>1.138194101705527</v>
      </c>
    </row>
    <row r="62" spans="1:8" ht="15" x14ac:dyDescent="0.25">
      <c r="A62" t="str">
        <v>NonResidential</v>
      </c>
      <c r="B62" t="str">
        <v>Anti-Sweat Controls</v>
      </c>
      <c r="C62" s="4">
        <f>IFERROR(AVERAGEIFS('2. Program Allocation Output'!$P:$P,'2. Program Allocation Output'!$AF:$AF,$A62,'2. Program Allocation Output'!$AG:$AG,$B62),"")</f>
        <v>14.1467127741815</v>
      </c>
      <c r="D62" s="4">
        <f>IFERROR(AVERAGEIFS('2. Program Allocation Output'!$O:$O,'2. Program Allocation Output'!$AF:$AF,$A62,'2. Program Allocation Output'!$AG:$AG,$B62),"")</f>
        <v>71</v>
      </c>
      <c r="E62" s="5">
        <f>IFERROR(AVERAGEIFS('2. Program Allocation Output'!$L:$L,'2. Program Allocation Output'!$AF:$AF,$A62,'2. Program Allocation Output'!$AG:$AG,$B62),"")</f>
        <v>276.38000000000102</v>
      </c>
      <c r="F62" s="38">
        <v>0</v>
      </c>
      <c r="G62">
        <f t="shared" si="3"/>
        <v>0.87366811775307662</v>
      </c>
      <c r="H62" s="78"/>
    </row>
    <row r="63" spans="1:8" ht="15" x14ac:dyDescent="0.25">
      <c r="A63" t="str">
        <v>NonResidential</v>
      </c>
      <c r="B63" t="str">
        <v>Chiller maintenance</v>
      </c>
      <c r="C63" s="4">
        <f>IFERROR(AVERAGEIFS('2. Program Allocation Output'!$P:$P,'2. Program Allocation Output'!$AF:$AF,$A63,'2. Program Allocation Output'!$AG:$AG,$B63),"")</f>
        <v>706.838432647388</v>
      </c>
      <c r="D63" s="4">
        <f>IFERROR(AVERAGEIFS('2. Program Allocation Output'!$O:$O,'2. Program Allocation Output'!$AF:$AF,$A63,'2. Program Allocation Output'!$AG:$AG,$B63),"")</f>
        <v>2861.52</v>
      </c>
      <c r="E63" s="5">
        <f>IFERROR(AVERAGEIFS('2. Program Allocation Output'!$L:$L,'2. Program Allocation Output'!$AF:$AF,$A63,'2. Program Allocation Output'!$AG:$AG,$B63),"")</f>
        <v>10474.513428571399</v>
      </c>
      <c r="F63" s="38">
        <v>0</v>
      </c>
      <c r="G63">
        <f t="shared" si="3"/>
        <v>0.83689882434423457</v>
      </c>
      <c r="H63" s="78"/>
    </row>
    <row r="64" spans="1:8" ht="15" x14ac:dyDescent="0.25">
      <c r="A64" t="str">
        <v>NonResidential</v>
      </c>
      <c r="B64" t="str">
        <v>ECM Motors on Furnaces</v>
      </c>
      <c r="C64" s="4">
        <f>IFERROR(AVERAGEIFS('2. Program Allocation Output'!$P:$P,'2. Program Allocation Output'!$AF:$AF,$A64,'2. Program Allocation Output'!$AG:$AG,$B64),"")</f>
        <v>104.06901074138399</v>
      </c>
      <c r="D64" s="4">
        <f>IFERROR(AVERAGEIFS('2. Program Allocation Output'!$O:$O,'2. Program Allocation Output'!$AF:$AF,$A64,'2. Program Allocation Output'!$AG:$AG,$B64),"")</f>
        <v>313</v>
      </c>
      <c r="E64" s="5">
        <f>IFERROR(AVERAGEIFS('2. Program Allocation Output'!$L:$L,'2. Program Allocation Output'!$AF:$AF,$A64,'2. Program Allocation Output'!$AG:$AG,$B64),"")</f>
        <v>1121.1428571428498</v>
      </c>
      <c r="F64" s="38">
        <v>0</v>
      </c>
      <c r="G64">
        <f t="shared" si="3"/>
        <v>0.7827684764944346</v>
      </c>
      <c r="H64" s="78"/>
    </row>
    <row r="65" spans="1:8" ht="15" x14ac:dyDescent="0.25">
      <c r="A65" t="str">
        <v>NonResidential</v>
      </c>
      <c r="B65" t="str">
        <v>Efficient Battery Charger</v>
      </c>
      <c r="C65" s="4">
        <f>IFERROR(AVERAGEIFS('2. Program Allocation Output'!$P:$P,'2. Program Allocation Output'!$AF:$AF,$A65,'2. Program Allocation Output'!$AG:$AG,$B65),"")</f>
        <v>183.41637854330403</v>
      </c>
      <c r="D65" s="4">
        <f>IFERROR(AVERAGEIFS('2. Program Allocation Output'!$O:$O,'2. Program Allocation Output'!$AF:$AF,$A65,'2. Program Allocation Output'!$AG:$AG,$B65),"")</f>
        <v>412</v>
      </c>
      <c r="E65" s="5">
        <f>IFERROR(AVERAGEIFS('2. Program Allocation Output'!$L:$L,'2. Program Allocation Output'!$AF:$AF,$A65,'2. Program Allocation Output'!$AG:$AG,$B65),"")</f>
        <v>1111.20999999999</v>
      </c>
      <c r="F65" s="38">
        <v>0</v>
      </c>
      <c r="G65">
        <f t="shared" si="3"/>
        <v>0.64693164144446047</v>
      </c>
      <c r="H65" s="78"/>
    </row>
    <row r="66" spans="1:8" ht="15" x14ac:dyDescent="0.25">
      <c r="A66" t="str">
        <v>NonResidential</v>
      </c>
      <c r="B66" t="str">
        <v>Energy Star Combination Oven</v>
      </c>
      <c r="C66" s="4">
        <f>IFERROR(AVERAGEIFS('2. Program Allocation Output'!$P:$P,'2. Program Allocation Output'!$AF:$AF,$A66,'2. Program Allocation Output'!$AG:$AG,$B66),"")</f>
        <v>270.05813353350192</v>
      </c>
      <c r="D66" s="4">
        <f>IFERROR(AVERAGEIFS('2. Program Allocation Output'!$O:$O,'2. Program Allocation Output'!$AF:$AF,$A66,'2. Program Allocation Output'!$AG:$AG,$B66),"")</f>
        <v>1580</v>
      </c>
      <c r="E66" s="5">
        <f>IFERROR(AVERAGEIFS('2. Program Allocation Output'!$L:$L,'2. Program Allocation Output'!$AF:$AF,$A66,'2. Program Allocation Output'!$AG:$AG,$B66),"")</f>
        <v>6368</v>
      </c>
      <c r="F66" s="38">
        <v>0</v>
      </c>
      <c r="G66">
        <f t="shared" si="3"/>
        <v>0.89413714267910538</v>
      </c>
      <c r="H66" s="78"/>
    </row>
    <row r="67" spans="1:8" ht="15" x14ac:dyDescent="0.25">
      <c r="A67" t="str">
        <v>NonResidential</v>
      </c>
      <c r="B67" t="str">
        <v>Energy Star Commercial Clothes Washer</v>
      </c>
      <c r="C67" s="4">
        <f>IFERROR(AVERAGEIFS('2. Program Allocation Output'!$P:$P,'2. Program Allocation Output'!$AF:$AF,$A67,'2. Program Allocation Output'!$AG:$AG,$B67),"")</f>
        <v>57.356798677055799</v>
      </c>
      <c r="D67" s="4">
        <f>IFERROR(AVERAGEIFS('2. Program Allocation Output'!$O:$O,'2. Program Allocation Output'!$AF:$AF,$A67,'2. Program Allocation Output'!$AG:$AG,$B67),"")</f>
        <v>224</v>
      </c>
      <c r="E67" s="5">
        <f>IFERROR(AVERAGEIFS('2. Program Allocation Output'!$L:$L,'2. Program Allocation Output'!$AF:$AF,$A67,'2. Program Allocation Output'!$AG:$AG,$B67),"")</f>
        <v>810.099999999999</v>
      </c>
      <c r="F67" s="38">
        <v>0</v>
      </c>
      <c r="G67">
        <f t="shared" si="3"/>
        <v>0.82959886877160749</v>
      </c>
      <c r="H67" s="78"/>
    </row>
    <row r="68" spans="1:8" ht="15" x14ac:dyDescent="0.25">
      <c r="A68" t="str">
        <v>NonResidential</v>
      </c>
      <c r="B68" t="str">
        <v>Energy Star Commercial Glass Door Freezer</v>
      </c>
      <c r="C68" s="4">
        <f>IFERROR(AVERAGEIFS('2. Program Allocation Output'!$P:$P,'2. Program Allocation Output'!$AF:$AF,$A68,'2. Program Allocation Output'!$AG:$AG,$B68),"")</f>
        <v>186.06881936911</v>
      </c>
      <c r="D68" s="4">
        <f>IFERROR(AVERAGEIFS('2. Program Allocation Output'!$O:$O,'2. Program Allocation Output'!$AF:$AF,$A68,'2. Program Allocation Output'!$AG:$AG,$B68),"")</f>
        <v>1154.6399999999901</v>
      </c>
      <c r="E68" s="5">
        <f>IFERROR(AVERAGEIFS('2. Program Allocation Output'!$L:$L,'2. Program Allocation Output'!$AF:$AF,$A68,'2. Program Allocation Output'!$AG:$AG,$B68),"")</f>
        <v>4708.5</v>
      </c>
      <c r="F68" s="38">
        <v>0</v>
      </c>
      <c r="G68">
        <f t="shared" si="3"/>
        <v>0.90098363397891501</v>
      </c>
      <c r="H68" s="78"/>
    </row>
    <row r="69" spans="1:8" ht="15" x14ac:dyDescent="0.25">
      <c r="A69" t="str">
        <v>NonResidential</v>
      </c>
      <c r="B69" t="str">
        <v>Energy Star convection oven</v>
      </c>
      <c r="C69" s="4">
        <f>IFERROR(AVERAGEIFS('2. Program Allocation Output'!$P:$P,'2. Program Allocation Output'!$AF:$AF,$A69,'2. Program Allocation Output'!$AG:$AG,$B69),"")</f>
        <v>232.91563515301399</v>
      </c>
      <c r="D69" s="4">
        <f>IFERROR(AVERAGEIFS('2. Program Allocation Output'!$O:$O,'2. Program Allocation Output'!$AF:$AF,$A69,'2. Program Allocation Output'!$AG:$AG,$B69),"")</f>
        <v>631.37</v>
      </c>
      <c r="E69" s="5">
        <f>IFERROR(AVERAGEIFS('2. Program Allocation Output'!$L:$L,'2. Program Allocation Output'!$AF:$AF,$A69,'2. Program Allocation Output'!$AG:$AG,$B69),"")</f>
        <v>1937</v>
      </c>
      <c r="F69" s="38">
        <v>0</v>
      </c>
      <c r="G69">
        <f t="shared" si="3"/>
        <v>0.72813370493976592</v>
      </c>
      <c r="H69" s="78"/>
    </row>
    <row r="70" spans="1:8" ht="15" x14ac:dyDescent="0.25">
      <c r="A70" t="str">
        <v>NonResidential</v>
      </c>
      <c r="B70" t="str">
        <v>Energy Star room AC_137</v>
      </c>
      <c r="C70" s="4">
        <f>IFERROR(AVERAGEIFS('2. Program Allocation Output'!$P:$P,'2. Program Allocation Output'!$AF:$AF,$A70,'2. Program Allocation Output'!$AG:$AG,$B70),"")</f>
        <v>12.5942011456304</v>
      </c>
      <c r="D70" s="4">
        <f>IFERROR(AVERAGEIFS('2. Program Allocation Output'!$O:$O,'2. Program Allocation Output'!$AF:$AF,$A70,'2. Program Allocation Output'!$AG:$AG,$B70),"")</f>
        <v>41.15</v>
      </c>
      <c r="E70" s="5">
        <f>IFERROR(AVERAGEIFS('2. Program Allocation Output'!$L:$L,'2. Program Allocation Output'!$AF:$AF,$A70,'2. Program Allocation Output'!$AG:$AG,$B70),"")</f>
        <v>145.64999999999898</v>
      </c>
      <c r="F70" s="38">
        <v>0</v>
      </c>
      <c r="G70">
        <f t="shared" si="3"/>
        <v>0.79600466062818009</v>
      </c>
      <c r="H70" s="78"/>
    </row>
    <row r="71" spans="1:8" ht="15" x14ac:dyDescent="0.25">
      <c r="A71" t="str">
        <v>NonResidential</v>
      </c>
      <c r="B71" t="str">
        <v>Energy Star Steamer</v>
      </c>
      <c r="C71" s="4">
        <f>IFERROR(AVERAGEIFS('2. Program Allocation Output'!$P:$P,'2. Program Allocation Output'!$AF:$AF,$A71,'2. Program Allocation Output'!$AG:$AG,$B71),"")</f>
        <v>607.94061759330305</v>
      </c>
      <c r="D71" s="4">
        <f>IFERROR(AVERAGEIFS('2. Program Allocation Output'!$O:$O,'2. Program Allocation Output'!$AF:$AF,$A71,'2. Program Allocation Output'!$AG:$AG,$B71),"")</f>
        <v>3109.4399999999901</v>
      </c>
      <c r="E71" s="5">
        <f>IFERROR(AVERAGEIFS('2. Program Allocation Output'!$L:$L,'2. Program Allocation Output'!$AF:$AF,$A71,'2. Program Allocation Output'!$AG:$AG,$B71),"")</f>
        <v>12160.5</v>
      </c>
      <c r="F71" s="38">
        <v>0</v>
      </c>
      <c r="G71">
        <f t="shared" si="3"/>
        <v>0.87642178647683033</v>
      </c>
      <c r="H71" s="78"/>
    </row>
    <row r="72" spans="1:8" ht="15" x14ac:dyDescent="0.25">
      <c r="A72" t="str">
        <v>NonResidential</v>
      </c>
      <c r="B72" t="str">
        <v>Escalator Motor Efficiency Controller</v>
      </c>
      <c r="C72" s="4">
        <f>IFERROR(AVERAGEIFS('2. Program Allocation Output'!$P:$P,'2. Program Allocation Output'!$AF:$AF,$A72,'2. Program Allocation Output'!$AG:$AG,$B72),"")</f>
        <v>832.79679683603899</v>
      </c>
      <c r="D72" s="4">
        <f>IFERROR(AVERAGEIFS('2. Program Allocation Output'!$O:$O,'2. Program Allocation Output'!$AF:$AF,$A72,'2. Program Allocation Output'!$AG:$AG,$B72),"")</f>
        <v>3147</v>
      </c>
      <c r="E72" s="5">
        <f>IFERROR(AVERAGEIFS('2. Program Allocation Output'!$L:$L,'2. Program Allocation Output'!$AF:$AF,$A72,'2. Program Allocation Output'!$AG:$AG,$B72),"")</f>
        <v>11250</v>
      </c>
      <c r="F72" s="38">
        <v>0</v>
      </c>
      <c r="G72">
        <f t="shared" si="3"/>
        <v>0.82257117184015105</v>
      </c>
      <c r="H72" s="78"/>
    </row>
    <row r="73" spans="1:8" ht="15" x14ac:dyDescent="0.25">
      <c r="A73" t="str">
        <v>NonResidential</v>
      </c>
      <c r="B73" t="str">
        <v>Faucet Aerator</v>
      </c>
      <c r="C73" s="4">
        <f>IFERROR(AVERAGEIFS('2. Program Allocation Output'!$P:$P,'2. Program Allocation Output'!$AF:$AF,$A73,'2. Program Allocation Output'!$AG:$AG,$B73),"")</f>
        <v>19.8471936238772</v>
      </c>
      <c r="D73" s="4">
        <f>IFERROR(AVERAGEIFS('2. Program Allocation Output'!$O:$O,'2. Program Allocation Output'!$AF:$AF,$A73,'2. Program Allocation Output'!$AG:$AG,$B73),"")</f>
        <v>74.159999999999982</v>
      </c>
      <c r="E73" s="5">
        <f>IFERROR(AVERAGEIFS('2. Program Allocation Output'!$L:$L,'2. Program Allocation Output'!$AF:$AF,$A73,'2. Program Allocation Output'!$AG:$AG,$B73),"")</f>
        <v>264.02999999999997</v>
      </c>
      <c r="F73" s="38">
        <v>0</v>
      </c>
      <c r="G73">
        <f t="shared" si="3"/>
        <v>0.82009235606746977</v>
      </c>
      <c r="H73" s="78"/>
    </row>
    <row r="74" spans="1:8" ht="15" x14ac:dyDescent="0.25">
      <c r="A74" t="str">
        <v>NonResidential</v>
      </c>
      <c r="B74" t="str">
        <v>Infiltration Reduction - Air Sealing</v>
      </c>
      <c r="C74" s="4">
        <f>IFERROR(AVERAGEIFS('2. Program Allocation Output'!$P:$P,'2. Program Allocation Output'!$AF:$AF,$A74,'2. Program Allocation Output'!$AG:$AG,$B74),"")</f>
        <v>8652.3043908691998</v>
      </c>
      <c r="D74" s="4">
        <f>IFERROR(AVERAGEIFS('2. Program Allocation Output'!$O:$O,'2. Program Allocation Output'!$AF:$AF,$A74,'2. Program Allocation Output'!$AG:$AG,$B74),"")</f>
        <v>17160.122499999899</v>
      </c>
      <c r="E74" s="5">
        <f>IFERROR(AVERAGEIFS('2. Program Allocation Output'!$L:$L,'2. Program Allocation Output'!$AF:$AF,$A74,'2. Program Allocation Output'!$AG:$AG,$B74),"")</f>
        <v>56016.9549999999</v>
      </c>
      <c r="F74" s="38">
        <v>0</v>
      </c>
      <c r="G74">
        <f t="shared" si="3"/>
        <v>0.66528306579610585</v>
      </c>
      <c r="H74" s="78"/>
    </row>
    <row r="75" spans="1:8" ht="15" x14ac:dyDescent="0.25">
      <c r="A75" t="str">
        <v>NonResidential</v>
      </c>
      <c r="B75" t="str">
        <v>Low Flow Shower Head</v>
      </c>
      <c r="C75" s="4">
        <f>IFERROR(AVERAGEIFS('2. Program Allocation Output'!$P:$P,'2. Program Allocation Output'!$AF:$AF,$A75,'2. Program Allocation Output'!$AG:$AG,$B75),"")</f>
        <v>12.4845629759592</v>
      </c>
      <c r="D75" s="4">
        <f>IFERROR(AVERAGEIFS('2. Program Allocation Output'!$O:$O,'2. Program Allocation Output'!$AF:$AF,$A75,'2. Program Allocation Output'!$AG:$AG,$B75),"")</f>
        <v>32.906666666666602</v>
      </c>
      <c r="E75" s="5">
        <f>IFERROR(AVERAGEIFS('2. Program Allocation Output'!$L:$L,'2. Program Allocation Output'!$AF:$AF,$A75,'2. Program Allocation Output'!$AG:$AG,$B75),"")</f>
        <v>114.663333333333</v>
      </c>
      <c r="F75" s="38">
        <v>0</v>
      </c>
      <c r="G75">
        <f t="shared" si="3"/>
        <v>0.75029954061989002</v>
      </c>
      <c r="H75" s="78"/>
    </row>
    <row r="76" spans="1:8" ht="15" x14ac:dyDescent="0.25">
      <c r="A76" t="str">
        <v>NonResidential</v>
      </c>
      <c r="B76" t="str">
        <v>Ozone Laundry Commercial</v>
      </c>
      <c r="C76" s="4">
        <f>IFERROR(AVERAGEIFS('2. Program Allocation Output'!$P:$P,'2. Program Allocation Output'!$AF:$AF,$A76,'2. Program Allocation Output'!$AG:$AG,$B76),"")</f>
        <v>79.822614261305304</v>
      </c>
      <c r="D76" s="4">
        <f>IFERROR(AVERAGEIFS('2. Program Allocation Output'!$O:$O,'2. Program Allocation Output'!$AF:$AF,$A76,'2. Program Allocation Output'!$AG:$AG,$B76),"")</f>
        <v>233.28</v>
      </c>
      <c r="E76" s="5">
        <f>IFERROR(AVERAGEIFS('2. Program Allocation Output'!$L:$L,'2. Program Allocation Output'!$AF:$AF,$A76,'2. Program Allocation Output'!$AG:$AG,$B76),"")</f>
        <v>746</v>
      </c>
      <c r="F76" s="38">
        <v>0</v>
      </c>
      <c r="G76">
        <f t="shared" si="3"/>
        <v>0.75402928491932286</v>
      </c>
      <c r="H76" s="78"/>
    </row>
    <row r="77" spans="1:8" ht="15" x14ac:dyDescent="0.25">
      <c r="A77" t="str">
        <v>NonResidential</v>
      </c>
      <c r="B77" t="str">
        <v>Programmable thermostat</v>
      </c>
      <c r="C77" s="4">
        <f>IFERROR(AVERAGEIFS('2. Program Allocation Output'!$P:$P,'2. Program Allocation Output'!$AF:$AF,$A77,'2. Program Allocation Output'!$AG:$AG,$B77),"")</f>
        <v>39.904344316796902</v>
      </c>
      <c r="D77" s="4">
        <f>IFERROR(AVERAGEIFS('2. Program Allocation Output'!$O:$O,'2. Program Allocation Output'!$AF:$AF,$A77,'2. Program Allocation Output'!$AG:$AG,$B77),"")</f>
        <v>304.38999999999902</v>
      </c>
      <c r="E77" s="5">
        <f>IFERROR(AVERAGEIFS('2. Program Allocation Output'!$L:$L,'2. Program Allocation Output'!$AF:$AF,$A77,'2. Program Allocation Output'!$AG:$AG,$B77),"")</f>
        <v>1285.73999999999</v>
      </c>
      <c r="F77" s="38">
        <v>0</v>
      </c>
      <c r="G77">
        <f t="shared" si="3"/>
        <v>0.92137383531364503</v>
      </c>
      <c r="H77" s="78"/>
    </row>
    <row r="78" spans="1:8" ht="15" x14ac:dyDescent="0.25">
      <c r="A78" t="str">
        <v>NonResidential</v>
      </c>
      <c r="B78" t="str">
        <v>Water source heat pump</v>
      </c>
      <c r="C78" s="4">
        <f>IFERROR(AVERAGEIFS('2. Program Allocation Output'!$P:$P,'2. Program Allocation Output'!$AF:$AF,$A78,'2. Program Allocation Output'!$AG:$AG,$B78),"")</f>
        <v>112.47094868606099</v>
      </c>
      <c r="D78" s="4">
        <f>IFERROR(AVERAGEIFS('2. Program Allocation Output'!$O:$O,'2. Program Allocation Output'!$AF:$AF,$A78,'2. Program Allocation Output'!$AG:$AG,$B78),"")</f>
        <v>322.49999999999903</v>
      </c>
      <c r="E78" s="5">
        <f>IFERROR(AVERAGEIFS('2. Program Allocation Output'!$L:$L,'2. Program Allocation Output'!$AF:$AF,$A78,'2. Program Allocation Output'!$AG:$AG,$B78),"")</f>
        <v>1074.99714285714</v>
      </c>
      <c r="F78" s="38">
        <v>0</v>
      </c>
      <c r="G78">
        <f t="shared" ref="G78:G141" si="5">IFERROR(EXP(0.3*(F78-C78)/(E78*0.1137)),"")</f>
        <v>0.75877205530206748</v>
      </c>
      <c r="H78" s="78"/>
    </row>
    <row r="79" spans="1:8" ht="15" x14ac:dyDescent="0.25">
      <c r="A79" t="str">
        <v>NonResidential</v>
      </c>
      <c r="B79" t="str">
        <v>Airside economizer_13</v>
      </c>
      <c r="C79" s="4">
        <f>IFERROR(AVERAGEIFS('2. Program Allocation Output'!$P:$P,'2. Program Allocation Output'!$AF:$AF,$A79,'2. Program Allocation Output'!$AG:$AG,$B79),"")</f>
        <v>2094.8798923726795</v>
      </c>
      <c r="D79" s="4">
        <f>IFERROR(AVERAGEIFS('2. Program Allocation Output'!$O:$O,'2. Program Allocation Output'!$AF:$AF,$A79,'2. Program Allocation Output'!$AG:$AG,$B79),"")</f>
        <v>7160.5200000000013</v>
      </c>
      <c r="E79" s="5">
        <f>IFERROR(AVERAGEIFS('2. Program Allocation Output'!$L:$L,'2. Program Allocation Output'!$AF:$AF,$A79,'2. Program Allocation Output'!$AG:$AG,$B79),"")</f>
        <v>25265.069999999901</v>
      </c>
      <c r="F79" s="38">
        <v>2094.8798923726795</v>
      </c>
      <c r="G79">
        <f>IFERROR(EXP(0.3*(F79-C79)/(E79*0.1137)),"")</f>
        <v>1</v>
      </c>
      <c r="H79" s="78"/>
    </row>
    <row r="80" spans="1:8" ht="15" x14ac:dyDescent="0.25">
      <c r="A80" t="str">
        <v>NonResidential</v>
      </c>
      <c r="B80" t="str">
        <v>Custom Measure - Non-Lighting_70</v>
      </c>
      <c r="C80" s="4">
        <f>IFERROR(AVERAGEIFS('2. Program Allocation Output'!$P:$P,'2. Program Allocation Output'!$AF:$AF,$A80,'2. Program Allocation Output'!$AG:$AG,$B80),"")</f>
        <v>6684.0523958317799</v>
      </c>
      <c r="D80" s="4">
        <f>IFERROR(AVERAGEIFS('2. Program Allocation Output'!$O:$O,'2. Program Allocation Output'!$AF:$AF,$A80,'2. Program Allocation Output'!$AG:$AG,$B80),"")</f>
        <v>14201.670833333303</v>
      </c>
      <c r="E80" s="5">
        <f>IFERROR(AVERAGEIFS('2. Program Allocation Output'!$L:$L,'2. Program Allocation Output'!$AF:$AF,$A80,'2. Program Allocation Output'!$AG:$AG,$B80),"")</f>
        <v>37372.818333333191</v>
      </c>
      <c r="F80" s="38">
        <v>3919.5698976361523</v>
      </c>
      <c r="G80">
        <f t="shared" si="5"/>
        <v>0.82269267220071174</v>
      </c>
      <c r="H80" s="78" t="s">
        <v>311</v>
      </c>
    </row>
    <row r="81" spans="1:8" ht="15" x14ac:dyDescent="0.25">
      <c r="A81" t="str">
        <v>NonResidential</v>
      </c>
      <c r="B81" t="str">
        <v>High Efficiency Air Compressor</v>
      </c>
      <c r="C81" s="4">
        <f>IFERROR(AVERAGEIFS('2. Program Allocation Output'!$P:$P,'2. Program Allocation Output'!$AF:$AF,$A81,'2. Program Allocation Output'!$AG:$AG,$B81),"")</f>
        <v>2106.6717861739999</v>
      </c>
      <c r="D81" s="4">
        <f>IFERROR(AVERAGEIFS('2. Program Allocation Output'!$O:$O,'2. Program Allocation Output'!$AF:$AF,$A81,'2. Program Allocation Output'!$AG:$AG,$B81),"")</f>
        <v>5440</v>
      </c>
      <c r="E81" s="5">
        <f>IFERROR(AVERAGEIFS('2. Program Allocation Output'!$L:$L,'2. Program Allocation Output'!$AF:$AF,$A81,'2. Program Allocation Output'!$AG:$AG,$B81),"")</f>
        <v>16575.9941666665</v>
      </c>
      <c r="F81" s="38">
        <v>1738.5866300231887</v>
      </c>
      <c r="G81">
        <f t="shared" si="5"/>
        <v>0.94309259342294038</v>
      </c>
      <c r="H81" s="78" t="s">
        <v>311</v>
      </c>
    </row>
    <row r="82" spans="1:8" ht="15" x14ac:dyDescent="0.25">
      <c r="A82" t="str">
        <v>NonResidential</v>
      </c>
      <c r="B82" t="str">
        <v>Strategic Energy Management</v>
      </c>
      <c r="C82" s="4">
        <f>IFERROR(AVERAGEIFS('2. Program Allocation Output'!$P:$P,'2. Program Allocation Output'!$AF:$AF,$A82,'2. Program Allocation Output'!$AG:$AG,$B82),"")</f>
        <v>3217.2191279034701</v>
      </c>
      <c r="D82" s="4">
        <f>IFERROR(AVERAGEIFS('2. Program Allocation Output'!$O:$O,'2. Program Allocation Output'!$AF:$AF,$A82,'2. Program Allocation Output'!$AG:$AG,$B82),"")</f>
        <v>15000</v>
      </c>
      <c r="E82" s="5">
        <f>IFERROR(AVERAGEIFS('2. Program Allocation Output'!$L:$L,'2. Program Allocation Output'!$AF:$AF,$A82,'2. Program Allocation Output'!$AG:$AG,$B82),"")</f>
        <v>58755.825000000092</v>
      </c>
      <c r="F82" s="38">
        <v>6162.1674053779652</v>
      </c>
      <c r="G82">
        <f t="shared" si="5"/>
        <v>1.1413908001130193</v>
      </c>
      <c r="H82" s="77" t="s">
        <v>311</v>
      </c>
    </row>
    <row r="83" spans="1:8" ht="15" x14ac:dyDescent="0.25">
      <c r="A83" t="str">
        <v>NonResidential</v>
      </c>
      <c r="B83" t="str">
        <v>VFD on HVAC Fan</v>
      </c>
      <c r="C83" s="4">
        <f>IFERROR(AVERAGEIFS('2. Program Allocation Output'!$P:$P,'2. Program Allocation Output'!$AF:$AF,$A83,'2. Program Allocation Output'!$AG:$AG,$B83),"")</f>
        <v>512.76464645414296</v>
      </c>
      <c r="D83" s="4">
        <f>IFERROR(AVERAGEIFS('2. Program Allocation Output'!$O:$O,'2. Program Allocation Output'!$AF:$AF,$A83,'2. Program Allocation Output'!$AG:$AG,$B83),"")</f>
        <v>2314.9299999999998</v>
      </c>
      <c r="E83" s="5">
        <f>IFERROR(AVERAGEIFS('2. Program Allocation Output'!$L:$L,'2. Program Allocation Output'!$AF:$AF,$A83,'2. Program Allocation Output'!$AG:$AG,$B83),"")</f>
        <v>8959.2199999999993</v>
      </c>
      <c r="F83" s="38">
        <v>930.02043037501858</v>
      </c>
      <c r="G83">
        <f t="shared" si="5"/>
        <v>1.1307524828118058</v>
      </c>
      <c r="H83" s="77" t="s">
        <v>311</v>
      </c>
    </row>
    <row r="84" spans="1:8" ht="15" x14ac:dyDescent="0.25">
      <c r="A84" t="str">
        <v>NonResidential</v>
      </c>
      <c r="B84" t="str">
        <v>VFD on process pump</v>
      </c>
      <c r="C84" s="4">
        <f>IFERROR(AVERAGEIFS('2. Program Allocation Output'!$P:$P,'2. Program Allocation Output'!$AF:$AF,$A84,'2. Program Allocation Output'!$AG:$AG,$B84),"")</f>
        <v>1110.9469872966299</v>
      </c>
      <c r="D84" s="4">
        <f>IFERROR(AVERAGEIFS('2. Program Allocation Output'!$O:$O,'2. Program Allocation Output'!$AF:$AF,$A84,'2. Program Allocation Output'!$AG:$AG,$B84),"")</f>
        <v>5194</v>
      </c>
      <c r="E84" s="5">
        <f>IFERROR(AVERAGEIFS('2. Program Allocation Output'!$L:$L,'2. Program Allocation Output'!$AF:$AF,$A84,'2. Program Allocation Output'!$AG:$AG,$B84),"")</f>
        <v>20302.931666666602</v>
      </c>
      <c r="F84" s="38">
        <v>2106.0249622508104</v>
      </c>
      <c r="G84">
        <f t="shared" si="5"/>
        <v>1.1380520252658823</v>
      </c>
      <c r="H84" s="77" t="s">
        <v>311</v>
      </c>
    </row>
    <row r="85" spans="1:8" ht="15" x14ac:dyDescent="0.25">
      <c r="A85" t="str">
        <v>NonResidential</v>
      </c>
      <c r="B85" t="str">
        <v>LEED New Construction Whole Building</v>
      </c>
      <c r="C85" s="4">
        <f>IFERROR(AVERAGEIFS('2. Program Allocation Output'!$P:$P,'2. Program Allocation Output'!$AF:$AF,$A85,'2. Program Allocation Output'!$AG:$AG,$B85),"")</f>
        <v>37957.822069457201</v>
      </c>
      <c r="D85" s="4">
        <f>IFERROR(AVERAGEIFS('2. Program Allocation Output'!$O:$O,'2. Program Allocation Output'!$AF:$AF,$A85,'2. Program Allocation Output'!$AG:$AG,$B85),"")</f>
        <v>125734.46</v>
      </c>
      <c r="E85" s="5">
        <f>IFERROR(AVERAGEIFS('2. Program Allocation Output'!$L:$L,'2. Program Allocation Output'!$AF:$AF,$A85,'2. Program Allocation Output'!$AG:$AG,$B85),"")</f>
        <v>450182.94333333202</v>
      </c>
      <c r="F85" s="38">
        <v>37720.338000000003</v>
      </c>
      <c r="G85">
        <f t="shared" si="5"/>
        <v>0.99860907400071952</v>
      </c>
    </row>
    <row r="86" spans="1:8" ht="15" x14ac:dyDescent="0.25">
      <c r="A86" t="str">
        <v>NonResidential</v>
      </c>
      <c r="B86" t="str">
        <v>Energy Efficient Transformers</v>
      </c>
      <c r="C86" s="4">
        <f>IFERROR(AVERAGEIFS('2. Program Allocation Output'!$P:$P,'2. Program Allocation Output'!$AF:$AF,$A86,'2. Program Allocation Output'!$AG:$AG,$B86),"")</f>
        <v>579.10793250784297</v>
      </c>
      <c r="D86" s="4">
        <f>IFERROR(AVERAGEIFS('2. Program Allocation Output'!$O:$O,'2. Program Allocation Output'!$AF:$AF,$A86,'2. Program Allocation Output'!$AG:$AG,$B86),"")</f>
        <v>1119</v>
      </c>
      <c r="E86" s="5">
        <f>IFERROR(AVERAGEIFS('2. Program Allocation Output'!$L:$L,'2. Program Allocation Output'!$AF:$AF,$A86,'2. Program Allocation Output'!$AG:$AG,$B86),"")</f>
        <v>2684</v>
      </c>
      <c r="F86" s="38">
        <v>0</v>
      </c>
      <c r="G86">
        <f t="shared" si="5"/>
        <v>0.56592396099637965</v>
      </c>
      <c r="H86" s="78"/>
    </row>
    <row r="87" spans="1:8" ht="15" x14ac:dyDescent="0.25">
      <c r="A87" t="str">
        <v>NonResidential</v>
      </c>
      <c r="B87" t="str">
        <v>Grain Bin Aeration Control System</v>
      </c>
      <c r="C87" s="4">
        <f>IFERROR(AVERAGEIFS('2. Program Allocation Output'!$P:$P,'2. Program Allocation Output'!$AF:$AF,$A87,'2. Program Allocation Output'!$AG:$AG,$B87),"")</f>
        <v>2762.04801865338</v>
      </c>
      <c r="D87" s="4">
        <f>IFERROR(AVERAGEIFS('2. Program Allocation Output'!$O:$O,'2. Program Allocation Output'!$AF:$AF,$A87,'2. Program Allocation Output'!$AG:$AG,$B87),"")</f>
        <v>8000</v>
      </c>
      <c r="E87" s="5">
        <f>IFERROR(AVERAGEIFS('2. Program Allocation Output'!$L:$L,'2. Program Allocation Output'!$AF:$AF,$A87,'2. Program Allocation Output'!$AG:$AG,$B87),"")</f>
        <v>27897.5999999999</v>
      </c>
      <c r="F87" s="38">
        <v>0</v>
      </c>
      <c r="G87">
        <f t="shared" si="5"/>
        <v>0.77010279279185057</v>
      </c>
      <c r="H87" s="78"/>
    </row>
    <row r="88" spans="1:8" ht="15" x14ac:dyDescent="0.25">
      <c r="A88" t="str">
        <v>NonResidential</v>
      </c>
      <c r="B88" t="str">
        <v>High Volume Low Speed Fan (HVLS)</v>
      </c>
      <c r="C88" s="4">
        <f>IFERROR(AVERAGEIFS('2. Program Allocation Output'!$P:$P,'2. Program Allocation Output'!$AF:$AF,$A88,'2. Program Allocation Output'!$AG:$AG,$B88),"")</f>
        <v>17.441519984741003</v>
      </c>
      <c r="D88" s="4">
        <f>IFERROR(AVERAGEIFS('2. Program Allocation Output'!$O:$O,'2. Program Allocation Output'!$AF:$AF,$A88,'2. Program Allocation Output'!$AG:$AG,$B88),"")</f>
        <v>4269.7600000000011</v>
      </c>
      <c r="E88" s="5">
        <f>IFERROR(AVERAGEIFS('2. Program Allocation Output'!$L:$L,'2. Program Allocation Output'!$AF:$AF,$A88,'2. Program Allocation Output'!$AG:$AG,$B88),"")</f>
        <v>21140.159999999902</v>
      </c>
      <c r="F88" s="38">
        <v>0</v>
      </c>
      <c r="G88">
        <f t="shared" si="5"/>
        <v>0.99782547587781634</v>
      </c>
      <c r="H88" s="78"/>
    </row>
    <row r="89" spans="1:8" ht="15" x14ac:dyDescent="0.25">
      <c r="A89" t="str">
        <v>NonResidential</v>
      </c>
      <c r="B89" t="str">
        <v>Industrial Duct Sealing</v>
      </c>
      <c r="C89" s="4">
        <f>IFERROR(AVERAGEIFS('2. Program Allocation Output'!$P:$P,'2. Program Allocation Output'!$AF:$AF,$A89,'2. Program Allocation Output'!$AG:$AG,$B89),"")</f>
        <v>19818.792281260001</v>
      </c>
      <c r="D89" s="4">
        <f>IFERROR(AVERAGEIFS('2. Program Allocation Output'!$O:$O,'2. Program Allocation Output'!$AF:$AF,$A89,'2. Program Allocation Output'!$AG:$AG,$B89),"")</f>
        <v>42343.200000000004</v>
      </c>
      <c r="E89" s="5">
        <f>IFERROR(AVERAGEIFS('2. Program Allocation Output'!$L:$L,'2. Program Allocation Output'!$AF:$AF,$A89,'2. Program Allocation Output'!$AG:$AG,$B89),"")</f>
        <v>113444.97999999901</v>
      </c>
      <c r="F89" s="38">
        <v>0</v>
      </c>
      <c r="G89">
        <f t="shared" si="5"/>
        <v>0.63068496474049041</v>
      </c>
      <c r="H89" s="78"/>
    </row>
    <row r="90" spans="1:8" ht="15" x14ac:dyDescent="0.25">
      <c r="A90" t="str">
        <v>NonResidential</v>
      </c>
      <c r="B90" t="str">
        <v>Low Energy Livestock Waterer</v>
      </c>
      <c r="C90" s="4">
        <f>IFERROR(AVERAGEIFS('2. Program Allocation Output'!$P:$P,'2. Program Allocation Output'!$AF:$AF,$A90,'2. Program Allocation Output'!$AG:$AG,$B90),"")</f>
        <v>281.60244658368498</v>
      </c>
      <c r="D90" s="4">
        <f>IFERROR(AVERAGEIFS('2. Program Allocation Output'!$O:$O,'2. Program Allocation Output'!$AF:$AF,$A90,'2. Program Allocation Output'!$AG:$AG,$B90),"")</f>
        <v>810.229999999999</v>
      </c>
      <c r="E90" s="5">
        <f>IFERROR(AVERAGEIFS('2. Program Allocation Output'!$L:$L,'2. Program Allocation Output'!$AF:$AF,$A90,'2. Program Allocation Output'!$AG:$AG,$B90),"")</f>
        <v>2628</v>
      </c>
      <c r="F90" s="38">
        <v>0</v>
      </c>
      <c r="G90">
        <f t="shared" si="5"/>
        <v>0.7537232854794027</v>
      </c>
      <c r="H90" s="78"/>
    </row>
    <row r="91" spans="1:8" ht="15" x14ac:dyDescent="0.25">
      <c r="A91" t="str">
        <v>NonResidential</v>
      </c>
      <c r="B91" t="str">
        <v>Low Pressure-drop Filters</v>
      </c>
      <c r="C91" s="4">
        <f>IFERROR(AVERAGEIFS('2. Program Allocation Output'!$P:$P,'2. Program Allocation Output'!$AF:$AF,$A91,'2. Program Allocation Output'!$AG:$AG,$B91),"")</f>
        <v>322.03243304134497</v>
      </c>
      <c r="D91" s="4">
        <f>IFERROR(AVERAGEIFS('2. Program Allocation Output'!$O:$O,'2. Program Allocation Output'!$AF:$AF,$A91,'2. Program Allocation Output'!$AG:$AG,$B91),"")</f>
        <v>1028.8599999999999</v>
      </c>
      <c r="E91" s="5">
        <f>IFERROR(AVERAGEIFS('2. Program Allocation Output'!$L:$L,'2. Program Allocation Output'!$AF:$AF,$A91,'2. Program Allocation Output'!$AG:$AG,$B91),"")</f>
        <v>3514.8091666666501</v>
      </c>
      <c r="F91" s="38">
        <v>0</v>
      </c>
      <c r="G91">
        <f t="shared" si="5"/>
        <v>0.78525588861759776</v>
      </c>
      <c r="H91" s="78"/>
    </row>
    <row r="92" spans="1:8" ht="15" x14ac:dyDescent="0.25">
      <c r="A92" t="str">
        <v>NonResidential</v>
      </c>
      <c r="B92" t="str">
        <v>Milk Pre-Cooler</v>
      </c>
      <c r="C92" s="4">
        <f>IFERROR(AVERAGEIFS('2. Program Allocation Output'!$P:$P,'2. Program Allocation Output'!$AF:$AF,$A92,'2. Program Allocation Output'!$AG:$AG,$B92),"")</f>
        <v>1784.8102698461601</v>
      </c>
      <c r="D92" s="4">
        <f>IFERROR(AVERAGEIFS('2. Program Allocation Output'!$O:$O,'2. Program Allocation Output'!$AF:$AF,$A92,'2. Program Allocation Output'!$AG:$AG,$B92),"")</f>
        <v>3543.39</v>
      </c>
      <c r="E92" s="5">
        <f>IFERROR(AVERAGEIFS('2. Program Allocation Output'!$L:$L,'2. Program Allocation Output'!$AF:$AF,$A92,'2. Program Allocation Output'!$AG:$AG,$B92),"")</f>
        <v>8742.5400000000009</v>
      </c>
      <c r="F92" s="38">
        <v>0</v>
      </c>
      <c r="G92">
        <f t="shared" si="5"/>
        <v>0.58352930274688986</v>
      </c>
      <c r="H92" s="78"/>
    </row>
    <row r="93" spans="1:8" ht="15" x14ac:dyDescent="0.25">
      <c r="A93" t="str">
        <v>NonResidential</v>
      </c>
      <c r="B93" t="str">
        <v>Synchronous Belt on 15hp ODP Motor</v>
      </c>
      <c r="C93" s="4">
        <f>IFERROR(AVERAGEIFS('2. Program Allocation Output'!$P:$P,'2. Program Allocation Output'!$AF:$AF,$A93,'2. Program Allocation Output'!$AG:$AG,$B93),"")</f>
        <v>175.94534756551596</v>
      </c>
      <c r="D93" s="4">
        <f>IFERROR(AVERAGEIFS('2. Program Allocation Output'!$O:$O,'2. Program Allocation Output'!$AF:$AF,$A93,'2. Program Allocation Output'!$AG:$AG,$B93),"")</f>
        <v>490</v>
      </c>
      <c r="E93" s="5">
        <f>IFERROR(AVERAGEIFS('2. Program Allocation Output'!$L:$L,'2. Program Allocation Output'!$AF:$AF,$A93,'2. Program Allocation Output'!$AG:$AG,$B93),"")</f>
        <v>1561.28</v>
      </c>
      <c r="F93" s="38">
        <v>0</v>
      </c>
      <c r="G93">
        <f t="shared" si="5"/>
        <v>0.74278916032473408</v>
      </c>
      <c r="H93" s="78"/>
    </row>
    <row r="94" spans="1:8" ht="15" x14ac:dyDescent="0.25">
      <c r="A94" t="str">
        <v>NonResidential</v>
      </c>
      <c r="B94" t="str">
        <v>Synchronous Belt on 5hp ODP Motor</v>
      </c>
      <c r="C94" s="4">
        <f>IFERROR(AVERAGEIFS('2. Program Allocation Output'!$P:$P,'2. Program Allocation Output'!$AF:$AF,$A94,'2. Program Allocation Output'!$AG:$AG,$B94),"")</f>
        <v>74.943684252843909</v>
      </c>
      <c r="D94" s="4">
        <f>IFERROR(AVERAGEIFS('2. Program Allocation Output'!$O:$O,'2. Program Allocation Output'!$AF:$AF,$A94,'2. Program Allocation Output'!$AG:$AG,$B94),"")</f>
        <v>163</v>
      </c>
      <c r="E94" s="5">
        <f>IFERROR(AVERAGEIFS('2. Program Allocation Output'!$L:$L,'2. Program Allocation Output'!$AF:$AF,$A94,'2. Program Allocation Output'!$AG:$AG,$B94),"")</f>
        <v>437.76000000000107</v>
      </c>
      <c r="F94" s="38">
        <v>0</v>
      </c>
      <c r="G94">
        <f t="shared" si="5"/>
        <v>0.63653870706597271</v>
      </c>
      <c r="H94" s="78"/>
    </row>
    <row r="95" spans="1:8" ht="15" x14ac:dyDescent="0.25">
      <c r="A95" t="str">
        <v>NonResidential</v>
      </c>
      <c r="B95" t="str">
        <v>Synchronous Belt on 75hp ODP Motor</v>
      </c>
      <c r="C95" s="4">
        <f>IFERROR(AVERAGEIFS('2. Program Allocation Output'!$P:$P,'2. Program Allocation Output'!$AF:$AF,$A95,'2. Program Allocation Output'!$AG:$AG,$B95),"")</f>
        <v>34.250530181900103</v>
      </c>
      <c r="D95" s="4">
        <f>IFERROR(AVERAGEIFS('2. Program Allocation Output'!$O:$O,'2. Program Allocation Output'!$AF:$AF,$A95,'2. Program Allocation Output'!$AG:$AG,$B95),"")</f>
        <v>2450</v>
      </c>
      <c r="E95" s="5">
        <f>IFERROR(AVERAGEIFS('2. Program Allocation Output'!$L:$L,'2. Program Allocation Output'!$AF:$AF,$A95,'2. Program Allocation Output'!$AG:$AG,$B95),"")</f>
        <v>12009.57</v>
      </c>
      <c r="F95" s="38">
        <v>0</v>
      </c>
      <c r="G95">
        <f t="shared" si="5"/>
        <v>0.99250334293493969</v>
      </c>
      <c r="H95" s="78"/>
    </row>
    <row r="96" spans="1:8" ht="15" x14ac:dyDescent="0.25">
      <c r="C96" s="4" t="str">
        <f>IFERROR(AVERAGEIFS('2. Program Allocation Output'!$P:$P,'2. Program Allocation Output'!$AF:$AF,$A96,'2. Program Allocation Output'!$AG:$AG,$B96),"")</f>
        <v/>
      </c>
      <c r="D96" s="4" t="str">
        <f>IFERROR(AVERAGEIFS('2. Program Allocation Output'!$O:$O,'2. Program Allocation Output'!$AF:$AF,$A96,'2. Program Allocation Output'!$AG:$AG,$B96),"")</f>
        <v/>
      </c>
      <c r="E96" s="5" t="str">
        <f>IFERROR(AVERAGEIFS('2. Program Allocation Output'!$L:$L,'2. Program Allocation Output'!$AF:$AF,$A96,'2. Program Allocation Output'!$AG:$AG,$B96),"")</f>
        <v/>
      </c>
      <c r="F96" s="38" t="str">
        <f t="shared" ref="F96:F130" si="6">IFERROR(C96*1,"")</f>
        <v/>
      </c>
      <c r="G96" t="str">
        <f t="shared" si="5"/>
        <v/>
      </c>
    </row>
    <row r="97" spans="3:7" ht="15" x14ac:dyDescent="0.25">
      <c r="C97" s="4" t="str">
        <f>IFERROR(AVERAGEIFS('2. Program Allocation Output'!$P:$P,'2. Program Allocation Output'!$AF:$AF,$A97,'2. Program Allocation Output'!$AG:$AG,$B97),"")</f>
        <v/>
      </c>
      <c r="D97" s="4" t="str">
        <f>IFERROR(AVERAGEIFS('2. Program Allocation Output'!$O:$O,'2. Program Allocation Output'!$AF:$AF,$A97,'2. Program Allocation Output'!$AG:$AG,$B97),"")</f>
        <v/>
      </c>
      <c r="E97" s="5" t="str">
        <f>IFERROR(AVERAGEIFS('2. Program Allocation Output'!$L:$L,'2. Program Allocation Output'!$AF:$AF,$A97,'2. Program Allocation Output'!$AG:$AG,$B97),"")</f>
        <v/>
      </c>
      <c r="F97" s="38" t="str">
        <f t="shared" si="6"/>
        <v/>
      </c>
      <c r="G97" t="str">
        <f t="shared" si="5"/>
        <v/>
      </c>
    </row>
    <row r="98" spans="3:7" ht="15" x14ac:dyDescent="0.25">
      <c r="C98" s="4" t="str">
        <f>IFERROR(AVERAGEIFS('2. Program Allocation Output'!$P:$P,'2. Program Allocation Output'!$AF:$AF,$A98,'2. Program Allocation Output'!$AG:$AG,$B98),"")</f>
        <v/>
      </c>
      <c r="D98" s="4" t="str">
        <f>IFERROR(AVERAGEIFS('2. Program Allocation Output'!$O:$O,'2. Program Allocation Output'!$AF:$AF,$A98,'2. Program Allocation Output'!$AG:$AG,$B98),"")</f>
        <v/>
      </c>
      <c r="E98" s="5" t="str">
        <f>IFERROR(AVERAGEIFS('2. Program Allocation Output'!$L:$L,'2. Program Allocation Output'!$AF:$AF,$A98,'2. Program Allocation Output'!$AG:$AG,$B98),"")</f>
        <v/>
      </c>
      <c r="F98" s="38" t="str">
        <f t="shared" si="6"/>
        <v/>
      </c>
      <c r="G98" t="str">
        <f t="shared" si="5"/>
        <v/>
      </c>
    </row>
    <row r="99" spans="3:7" ht="15" x14ac:dyDescent="0.25">
      <c r="C99" s="4" t="str">
        <f>IFERROR(AVERAGEIFS('2. Program Allocation Output'!$P:$P,'2. Program Allocation Output'!$AF:$AF,$A99,'2. Program Allocation Output'!$AG:$AG,$B99),"")</f>
        <v/>
      </c>
      <c r="D99" s="4" t="str">
        <f>IFERROR(AVERAGEIFS('2. Program Allocation Output'!$O:$O,'2. Program Allocation Output'!$AF:$AF,$A99,'2. Program Allocation Output'!$AG:$AG,$B99),"")</f>
        <v/>
      </c>
      <c r="E99" s="5" t="str">
        <f>IFERROR(AVERAGEIFS('2. Program Allocation Output'!$L:$L,'2. Program Allocation Output'!$AF:$AF,$A99,'2. Program Allocation Output'!$AG:$AG,$B99),"")</f>
        <v/>
      </c>
      <c r="F99" s="38" t="str">
        <f t="shared" si="6"/>
        <v/>
      </c>
      <c r="G99" t="str">
        <f t="shared" si="5"/>
        <v/>
      </c>
    </row>
    <row r="100" spans="3:7" ht="15" x14ac:dyDescent="0.25">
      <c r="C100" s="4" t="str">
        <f>IFERROR(AVERAGEIFS('2. Program Allocation Output'!$P:$P,'2. Program Allocation Output'!$AF:$AF,$A100,'2. Program Allocation Output'!$AG:$AG,$B100),"")</f>
        <v/>
      </c>
      <c r="D100" s="4" t="str">
        <f>IFERROR(AVERAGEIFS('2. Program Allocation Output'!$O:$O,'2. Program Allocation Output'!$AF:$AF,$A100,'2. Program Allocation Output'!$AG:$AG,$B100),"")</f>
        <v/>
      </c>
      <c r="E100" s="5" t="str">
        <f>IFERROR(AVERAGEIFS('2. Program Allocation Output'!$L:$L,'2. Program Allocation Output'!$AF:$AF,$A100,'2. Program Allocation Output'!$AG:$AG,$B100),"")</f>
        <v/>
      </c>
      <c r="F100" s="38" t="str">
        <f t="shared" si="6"/>
        <v/>
      </c>
      <c r="G100" t="str">
        <f t="shared" si="5"/>
        <v/>
      </c>
    </row>
    <row r="101" spans="3:7" ht="15" x14ac:dyDescent="0.25">
      <c r="C101" s="4" t="str">
        <f>IFERROR(AVERAGEIFS('2. Program Allocation Output'!$P:$P,'2. Program Allocation Output'!$AF:$AF,$A101,'2. Program Allocation Output'!$AG:$AG,$B101),"")</f>
        <v/>
      </c>
      <c r="D101" s="4" t="str">
        <f>IFERROR(AVERAGEIFS('2. Program Allocation Output'!$O:$O,'2. Program Allocation Output'!$AF:$AF,$A101,'2. Program Allocation Output'!$AG:$AG,$B101),"")</f>
        <v/>
      </c>
      <c r="E101" s="5" t="str">
        <f>IFERROR(AVERAGEIFS('2. Program Allocation Output'!$L:$L,'2. Program Allocation Output'!$AF:$AF,$A101,'2. Program Allocation Output'!$AG:$AG,$B101),"")</f>
        <v/>
      </c>
      <c r="F101" s="38" t="str">
        <f t="shared" si="6"/>
        <v/>
      </c>
      <c r="G101" t="str">
        <f t="shared" si="5"/>
        <v/>
      </c>
    </row>
    <row r="102" spans="3:7" ht="15" x14ac:dyDescent="0.25">
      <c r="C102" s="4" t="str">
        <f>IFERROR(AVERAGEIFS('2. Program Allocation Output'!$P:$P,'2. Program Allocation Output'!$AF:$AF,$A102,'2. Program Allocation Output'!$AG:$AG,$B102),"")</f>
        <v/>
      </c>
      <c r="D102" s="4" t="str">
        <f>IFERROR(AVERAGEIFS('2. Program Allocation Output'!$O:$O,'2. Program Allocation Output'!$AF:$AF,$A102,'2. Program Allocation Output'!$AG:$AG,$B102),"")</f>
        <v/>
      </c>
      <c r="E102" s="5" t="str">
        <f>IFERROR(AVERAGEIFS('2. Program Allocation Output'!$L:$L,'2. Program Allocation Output'!$AF:$AF,$A102,'2. Program Allocation Output'!$AG:$AG,$B102),"")</f>
        <v/>
      </c>
      <c r="F102" s="38" t="str">
        <f t="shared" si="6"/>
        <v/>
      </c>
      <c r="G102" t="str">
        <f t="shared" si="5"/>
        <v/>
      </c>
    </row>
    <row r="103" spans="3:7" ht="15" x14ac:dyDescent="0.25">
      <c r="C103" s="4" t="str">
        <f>IFERROR(AVERAGEIFS('2. Program Allocation Output'!$P:$P,'2. Program Allocation Output'!$AF:$AF,$A103,'2. Program Allocation Output'!$AG:$AG,$B103),"")</f>
        <v/>
      </c>
      <c r="D103" s="4" t="str">
        <f>IFERROR(AVERAGEIFS('2. Program Allocation Output'!$O:$O,'2. Program Allocation Output'!$AF:$AF,$A103,'2. Program Allocation Output'!$AG:$AG,$B103),"")</f>
        <v/>
      </c>
      <c r="E103" s="5" t="str">
        <f>IFERROR(AVERAGEIFS('2. Program Allocation Output'!$L:$L,'2. Program Allocation Output'!$AF:$AF,$A103,'2. Program Allocation Output'!$AG:$AG,$B103),"")</f>
        <v/>
      </c>
      <c r="F103" s="38" t="str">
        <f t="shared" si="6"/>
        <v/>
      </c>
      <c r="G103" t="str">
        <f t="shared" si="5"/>
        <v/>
      </c>
    </row>
    <row r="104" spans="3:7" ht="15" x14ac:dyDescent="0.25">
      <c r="C104" s="4" t="str">
        <f>IFERROR(AVERAGEIFS('2. Program Allocation Output'!$P:$P,'2. Program Allocation Output'!$AF:$AF,$A104,'2. Program Allocation Output'!$AG:$AG,$B104),"")</f>
        <v/>
      </c>
      <c r="D104" s="4" t="str">
        <f>IFERROR(AVERAGEIFS('2. Program Allocation Output'!$O:$O,'2. Program Allocation Output'!$AF:$AF,$A104,'2. Program Allocation Output'!$AG:$AG,$B104),"")</f>
        <v/>
      </c>
      <c r="E104" s="5" t="str">
        <f>IFERROR(AVERAGEIFS('2. Program Allocation Output'!$L:$L,'2. Program Allocation Output'!$AF:$AF,$A104,'2. Program Allocation Output'!$AG:$AG,$B104),"")</f>
        <v/>
      </c>
      <c r="F104" s="38" t="str">
        <f t="shared" si="6"/>
        <v/>
      </c>
      <c r="G104" t="str">
        <f t="shared" si="5"/>
        <v/>
      </c>
    </row>
    <row r="105" spans="3:7" ht="15" x14ac:dyDescent="0.25">
      <c r="C105" s="4" t="str">
        <f>IFERROR(AVERAGEIFS('2. Program Allocation Output'!$P:$P,'2. Program Allocation Output'!$AF:$AF,$A105,'2. Program Allocation Output'!$AG:$AG,$B105),"")</f>
        <v/>
      </c>
      <c r="D105" s="4" t="str">
        <f>IFERROR(AVERAGEIFS('2. Program Allocation Output'!$O:$O,'2. Program Allocation Output'!$AF:$AF,$A105,'2. Program Allocation Output'!$AG:$AG,$B105),"")</f>
        <v/>
      </c>
      <c r="E105" s="5" t="str">
        <f>IFERROR(AVERAGEIFS('2. Program Allocation Output'!$L:$L,'2. Program Allocation Output'!$AF:$AF,$A105,'2. Program Allocation Output'!$AG:$AG,$B105),"")</f>
        <v/>
      </c>
      <c r="F105" s="38" t="str">
        <f t="shared" si="6"/>
        <v/>
      </c>
      <c r="G105" t="str">
        <f t="shared" si="5"/>
        <v/>
      </c>
    </row>
    <row r="106" spans="3:7" ht="15" x14ac:dyDescent="0.25">
      <c r="C106" s="4" t="str">
        <f>IFERROR(AVERAGEIFS('2. Program Allocation Output'!$P:$P,'2. Program Allocation Output'!$AF:$AF,$A106,'2. Program Allocation Output'!$AG:$AG,$B106),"")</f>
        <v/>
      </c>
      <c r="D106" s="4" t="str">
        <f>IFERROR(AVERAGEIFS('2. Program Allocation Output'!$O:$O,'2. Program Allocation Output'!$AF:$AF,$A106,'2. Program Allocation Output'!$AG:$AG,$B106),"")</f>
        <v/>
      </c>
      <c r="E106" s="5" t="str">
        <f>IFERROR(AVERAGEIFS('2. Program Allocation Output'!$L:$L,'2. Program Allocation Output'!$AF:$AF,$A106,'2. Program Allocation Output'!$AG:$AG,$B106),"")</f>
        <v/>
      </c>
      <c r="F106" s="38" t="str">
        <f t="shared" si="6"/>
        <v/>
      </c>
      <c r="G106" t="str">
        <f t="shared" si="5"/>
        <v/>
      </c>
    </row>
    <row r="107" spans="3:7" ht="15" x14ac:dyDescent="0.25">
      <c r="C107" s="4" t="str">
        <f>IFERROR(AVERAGEIFS('2. Program Allocation Output'!$P:$P,'2. Program Allocation Output'!$AF:$AF,$A107,'2. Program Allocation Output'!$AG:$AG,$B107),"")</f>
        <v/>
      </c>
      <c r="D107" s="4" t="str">
        <f>IFERROR(AVERAGEIFS('2. Program Allocation Output'!$O:$O,'2. Program Allocation Output'!$AF:$AF,$A107,'2. Program Allocation Output'!$AG:$AG,$B107),"")</f>
        <v/>
      </c>
      <c r="E107" s="5" t="str">
        <f>IFERROR(AVERAGEIFS('2. Program Allocation Output'!$L:$L,'2. Program Allocation Output'!$AF:$AF,$A107,'2. Program Allocation Output'!$AG:$AG,$B107),"")</f>
        <v/>
      </c>
      <c r="F107" s="38" t="str">
        <f t="shared" si="6"/>
        <v/>
      </c>
      <c r="G107" t="str">
        <f t="shared" si="5"/>
        <v/>
      </c>
    </row>
    <row r="108" spans="3:7" ht="15" x14ac:dyDescent="0.25">
      <c r="C108" s="4" t="str">
        <f>IFERROR(AVERAGEIFS('2. Program Allocation Output'!$P:$P,'2. Program Allocation Output'!$AF:$AF,$A108,'2. Program Allocation Output'!$AG:$AG,$B108),"")</f>
        <v/>
      </c>
      <c r="D108" s="4" t="str">
        <f>IFERROR(AVERAGEIFS('2. Program Allocation Output'!$O:$O,'2. Program Allocation Output'!$AF:$AF,$A108,'2. Program Allocation Output'!$AG:$AG,$B108),"")</f>
        <v/>
      </c>
      <c r="E108" s="5" t="str">
        <f>IFERROR(AVERAGEIFS('2. Program Allocation Output'!$L:$L,'2. Program Allocation Output'!$AF:$AF,$A108,'2. Program Allocation Output'!$AG:$AG,$B108),"")</f>
        <v/>
      </c>
      <c r="F108" s="38" t="str">
        <f t="shared" si="6"/>
        <v/>
      </c>
      <c r="G108" t="str">
        <f t="shared" si="5"/>
        <v/>
      </c>
    </row>
    <row r="109" spans="3:7" ht="15" x14ac:dyDescent="0.25">
      <c r="C109" s="4" t="str">
        <f>IFERROR(AVERAGEIFS('2. Program Allocation Output'!$P:$P,'2. Program Allocation Output'!$AF:$AF,$A109,'2. Program Allocation Output'!$AG:$AG,$B109),"")</f>
        <v/>
      </c>
      <c r="D109" s="4" t="str">
        <f>IFERROR(AVERAGEIFS('2. Program Allocation Output'!$O:$O,'2. Program Allocation Output'!$AF:$AF,$A109,'2. Program Allocation Output'!$AG:$AG,$B109),"")</f>
        <v/>
      </c>
      <c r="E109" s="5" t="str">
        <f>IFERROR(AVERAGEIFS('2. Program Allocation Output'!$L:$L,'2. Program Allocation Output'!$AF:$AF,$A109,'2. Program Allocation Output'!$AG:$AG,$B109),"")</f>
        <v/>
      </c>
      <c r="F109" s="38" t="str">
        <f t="shared" si="6"/>
        <v/>
      </c>
      <c r="G109" t="str">
        <f t="shared" si="5"/>
        <v/>
      </c>
    </row>
    <row r="110" spans="3:7" ht="15" x14ac:dyDescent="0.25">
      <c r="C110" s="4" t="str">
        <f>IFERROR(AVERAGEIFS('2. Program Allocation Output'!$P:$P,'2. Program Allocation Output'!$AF:$AF,$A110,'2. Program Allocation Output'!$AG:$AG,$B110),"")</f>
        <v/>
      </c>
      <c r="D110" s="4" t="str">
        <f>IFERROR(AVERAGEIFS('2. Program Allocation Output'!$O:$O,'2. Program Allocation Output'!$AF:$AF,$A110,'2. Program Allocation Output'!$AG:$AG,$B110),"")</f>
        <v/>
      </c>
      <c r="E110" s="5" t="str">
        <f>IFERROR(AVERAGEIFS('2. Program Allocation Output'!$L:$L,'2. Program Allocation Output'!$AF:$AF,$A110,'2. Program Allocation Output'!$AG:$AG,$B110),"")</f>
        <v/>
      </c>
      <c r="F110" s="38" t="str">
        <f t="shared" si="6"/>
        <v/>
      </c>
      <c r="G110" t="str">
        <f t="shared" si="5"/>
        <v/>
      </c>
    </row>
    <row r="111" spans="3:7" ht="15" x14ac:dyDescent="0.25">
      <c r="C111" s="4" t="str">
        <f>IFERROR(AVERAGEIFS('2. Program Allocation Output'!$P:$P,'2. Program Allocation Output'!$AF:$AF,$A111,'2. Program Allocation Output'!$AG:$AG,$B111),"")</f>
        <v/>
      </c>
      <c r="D111" s="4" t="str">
        <f>IFERROR(AVERAGEIFS('2. Program Allocation Output'!$O:$O,'2. Program Allocation Output'!$AF:$AF,$A111,'2. Program Allocation Output'!$AG:$AG,$B111),"")</f>
        <v/>
      </c>
      <c r="E111" s="5" t="str">
        <f>IFERROR(AVERAGEIFS('2. Program Allocation Output'!$L:$L,'2. Program Allocation Output'!$AF:$AF,$A111,'2. Program Allocation Output'!$AG:$AG,$B111),"")</f>
        <v/>
      </c>
      <c r="F111" s="38" t="str">
        <f t="shared" si="6"/>
        <v/>
      </c>
      <c r="G111" t="str">
        <f t="shared" si="5"/>
        <v/>
      </c>
    </row>
    <row r="112" spans="3:7" ht="15" x14ac:dyDescent="0.25">
      <c r="C112" s="4" t="str">
        <f>IFERROR(AVERAGEIFS('2. Program Allocation Output'!$P:$P,'2. Program Allocation Output'!$AF:$AF,$A112,'2. Program Allocation Output'!$AG:$AG,$B112),"")</f>
        <v/>
      </c>
      <c r="D112" s="4" t="str">
        <f>IFERROR(AVERAGEIFS('2. Program Allocation Output'!$O:$O,'2. Program Allocation Output'!$AF:$AF,$A112,'2. Program Allocation Output'!$AG:$AG,$B112),"")</f>
        <v/>
      </c>
      <c r="E112" s="5" t="str">
        <f>IFERROR(AVERAGEIFS('2. Program Allocation Output'!$L:$L,'2. Program Allocation Output'!$AF:$AF,$A112,'2. Program Allocation Output'!$AG:$AG,$B112),"")</f>
        <v/>
      </c>
      <c r="F112" s="38" t="str">
        <f t="shared" si="6"/>
        <v/>
      </c>
      <c r="G112" t="str">
        <f t="shared" si="5"/>
        <v/>
      </c>
    </row>
    <row r="113" spans="3:7" ht="15" x14ac:dyDescent="0.25">
      <c r="C113" s="4" t="str">
        <f>IFERROR(AVERAGEIFS('2. Program Allocation Output'!$P:$P,'2. Program Allocation Output'!$AF:$AF,$A113,'2. Program Allocation Output'!$AG:$AG,$B113),"")</f>
        <v/>
      </c>
      <c r="D113" s="4" t="str">
        <f>IFERROR(AVERAGEIFS('2. Program Allocation Output'!$O:$O,'2. Program Allocation Output'!$AF:$AF,$A113,'2. Program Allocation Output'!$AG:$AG,$B113),"")</f>
        <v/>
      </c>
      <c r="E113" s="5" t="str">
        <f>IFERROR(AVERAGEIFS('2. Program Allocation Output'!$L:$L,'2. Program Allocation Output'!$AF:$AF,$A113,'2. Program Allocation Output'!$AG:$AG,$B113),"")</f>
        <v/>
      </c>
      <c r="F113" s="38" t="str">
        <f t="shared" si="6"/>
        <v/>
      </c>
      <c r="G113" t="str">
        <f t="shared" si="5"/>
        <v/>
      </c>
    </row>
    <row r="114" spans="3:7" ht="15" x14ac:dyDescent="0.25">
      <c r="C114" s="4" t="str">
        <f>IFERROR(AVERAGEIFS('2. Program Allocation Output'!$P:$P,'2. Program Allocation Output'!$AF:$AF,$A114,'2. Program Allocation Output'!$AG:$AG,$B114),"")</f>
        <v/>
      </c>
      <c r="D114" s="4" t="str">
        <f>IFERROR(AVERAGEIFS('2. Program Allocation Output'!$O:$O,'2. Program Allocation Output'!$AF:$AF,$A114,'2. Program Allocation Output'!$AG:$AG,$B114),"")</f>
        <v/>
      </c>
      <c r="E114" s="5" t="str">
        <f>IFERROR(AVERAGEIFS('2. Program Allocation Output'!$L:$L,'2. Program Allocation Output'!$AF:$AF,$A114,'2. Program Allocation Output'!$AG:$AG,$B114),"")</f>
        <v/>
      </c>
      <c r="F114" s="38" t="str">
        <f t="shared" si="6"/>
        <v/>
      </c>
      <c r="G114" t="str">
        <f t="shared" si="5"/>
        <v/>
      </c>
    </row>
    <row r="115" spans="3:7" ht="15" x14ac:dyDescent="0.25">
      <c r="C115" s="4" t="str">
        <f>IFERROR(AVERAGEIFS('2. Program Allocation Output'!$P:$P,'2. Program Allocation Output'!$AF:$AF,$A115,'2. Program Allocation Output'!$AG:$AG,$B115),"")</f>
        <v/>
      </c>
      <c r="D115" s="4" t="str">
        <f>IFERROR(AVERAGEIFS('2. Program Allocation Output'!$O:$O,'2. Program Allocation Output'!$AF:$AF,$A115,'2. Program Allocation Output'!$AG:$AG,$B115),"")</f>
        <v/>
      </c>
      <c r="E115" s="5" t="str">
        <f>IFERROR(AVERAGEIFS('2. Program Allocation Output'!$L:$L,'2. Program Allocation Output'!$AF:$AF,$A115,'2. Program Allocation Output'!$AG:$AG,$B115),"")</f>
        <v/>
      </c>
      <c r="F115" s="38" t="str">
        <f t="shared" si="6"/>
        <v/>
      </c>
      <c r="G115" t="str">
        <f t="shared" si="5"/>
        <v/>
      </c>
    </row>
    <row r="116" spans="3:7" ht="15" x14ac:dyDescent="0.25">
      <c r="C116" s="4" t="str">
        <f>IFERROR(AVERAGEIFS('2. Program Allocation Output'!$P:$P,'2. Program Allocation Output'!$AF:$AF,$A116,'2. Program Allocation Output'!$AG:$AG,$B116),"")</f>
        <v/>
      </c>
      <c r="D116" s="4" t="str">
        <f>IFERROR(AVERAGEIFS('2. Program Allocation Output'!$O:$O,'2. Program Allocation Output'!$AF:$AF,$A116,'2. Program Allocation Output'!$AG:$AG,$B116),"")</f>
        <v/>
      </c>
      <c r="E116" s="5" t="str">
        <f>IFERROR(AVERAGEIFS('2. Program Allocation Output'!$L:$L,'2. Program Allocation Output'!$AF:$AF,$A116,'2. Program Allocation Output'!$AG:$AG,$B116),"")</f>
        <v/>
      </c>
      <c r="F116" s="38" t="str">
        <f t="shared" si="6"/>
        <v/>
      </c>
      <c r="G116" t="str">
        <f t="shared" si="5"/>
        <v/>
      </c>
    </row>
    <row r="117" spans="3:7" ht="15" x14ac:dyDescent="0.25">
      <c r="C117" s="4" t="str">
        <f>IFERROR(AVERAGEIFS('2. Program Allocation Output'!$P:$P,'2. Program Allocation Output'!$AF:$AF,$A117,'2. Program Allocation Output'!$AG:$AG,$B117),"")</f>
        <v/>
      </c>
      <c r="D117" s="4" t="str">
        <f>IFERROR(AVERAGEIFS('2. Program Allocation Output'!$O:$O,'2. Program Allocation Output'!$AF:$AF,$A117,'2. Program Allocation Output'!$AG:$AG,$B117),"")</f>
        <v/>
      </c>
      <c r="E117" s="5" t="str">
        <f>IFERROR(AVERAGEIFS('2. Program Allocation Output'!$L:$L,'2. Program Allocation Output'!$AF:$AF,$A117,'2. Program Allocation Output'!$AG:$AG,$B117),"")</f>
        <v/>
      </c>
      <c r="F117" s="38" t="str">
        <f t="shared" si="6"/>
        <v/>
      </c>
      <c r="G117" t="str">
        <f t="shared" si="5"/>
        <v/>
      </c>
    </row>
    <row r="118" spans="3:7" ht="15" x14ac:dyDescent="0.25">
      <c r="C118" s="4" t="str">
        <f>IFERROR(AVERAGEIFS('2. Program Allocation Output'!$P:$P,'2. Program Allocation Output'!$AF:$AF,$A118,'2. Program Allocation Output'!$AG:$AG,$B118),"")</f>
        <v/>
      </c>
      <c r="D118" s="4" t="str">
        <f>IFERROR(AVERAGEIFS('2. Program Allocation Output'!$O:$O,'2. Program Allocation Output'!$AF:$AF,$A118,'2. Program Allocation Output'!$AG:$AG,$B118),"")</f>
        <v/>
      </c>
      <c r="E118" s="5" t="str">
        <f>IFERROR(AVERAGEIFS('2. Program Allocation Output'!$L:$L,'2. Program Allocation Output'!$AF:$AF,$A118,'2. Program Allocation Output'!$AG:$AG,$B118),"")</f>
        <v/>
      </c>
      <c r="F118" s="38" t="str">
        <f t="shared" si="6"/>
        <v/>
      </c>
      <c r="G118" t="str">
        <f t="shared" si="5"/>
        <v/>
      </c>
    </row>
    <row r="119" spans="3:7" ht="15" x14ac:dyDescent="0.25">
      <c r="C119" s="4" t="str">
        <f>IFERROR(AVERAGEIFS('2. Program Allocation Output'!$P:$P,'2. Program Allocation Output'!$AF:$AF,$A119,'2. Program Allocation Output'!$AG:$AG,$B119),"")</f>
        <v/>
      </c>
      <c r="D119" s="4" t="str">
        <f>IFERROR(AVERAGEIFS('2. Program Allocation Output'!$O:$O,'2. Program Allocation Output'!$AF:$AF,$A119,'2. Program Allocation Output'!$AG:$AG,$B119),"")</f>
        <v/>
      </c>
      <c r="E119" s="5" t="str">
        <f>IFERROR(AVERAGEIFS('2. Program Allocation Output'!$L:$L,'2. Program Allocation Output'!$AF:$AF,$A119,'2. Program Allocation Output'!$AG:$AG,$B119),"")</f>
        <v/>
      </c>
      <c r="F119" s="38" t="str">
        <f t="shared" si="6"/>
        <v/>
      </c>
      <c r="G119" t="str">
        <f t="shared" si="5"/>
        <v/>
      </c>
    </row>
    <row r="120" spans="3:7" ht="15" x14ac:dyDescent="0.25">
      <c r="C120" s="4" t="str">
        <f>IFERROR(AVERAGEIFS('2. Program Allocation Output'!$P:$P,'2. Program Allocation Output'!$AF:$AF,$A120,'2. Program Allocation Output'!$AG:$AG,$B120),"")</f>
        <v/>
      </c>
      <c r="D120" s="4" t="str">
        <f>IFERROR(AVERAGEIFS('2. Program Allocation Output'!$O:$O,'2. Program Allocation Output'!$AF:$AF,$A120,'2. Program Allocation Output'!$AG:$AG,$B120),"")</f>
        <v/>
      </c>
      <c r="E120" s="5" t="str">
        <f>IFERROR(AVERAGEIFS('2. Program Allocation Output'!$L:$L,'2. Program Allocation Output'!$AF:$AF,$A120,'2. Program Allocation Output'!$AG:$AG,$B120),"")</f>
        <v/>
      </c>
      <c r="F120" s="38" t="str">
        <f t="shared" si="6"/>
        <v/>
      </c>
      <c r="G120" t="str">
        <f t="shared" si="5"/>
        <v/>
      </c>
    </row>
    <row r="121" spans="3:7" ht="15" x14ac:dyDescent="0.25">
      <c r="C121" s="4" t="str">
        <f>IFERROR(AVERAGEIFS('2. Program Allocation Output'!$P:$P,'2. Program Allocation Output'!$AF:$AF,$A121,'2. Program Allocation Output'!$AG:$AG,$B121),"")</f>
        <v/>
      </c>
      <c r="D121" s="4" t="str">
        <f>IFERROR(AVERAGEIFS('2. Program Allocation Output'!$O:$O,'2. Program Allocation Output'!$AF:$AF,$A121,'2. Program Allocation Output'!$AG:$AG,$B121),"")</f>
        <v/>
      </c>
      <c r="E121" s="5" t="str">
        <f>IFERROR(AVERAGEIFS('2. Program Allocation Output'!$L:$L,'2. Program Allocation Output'!$AF:$AF,$A121,'2. Program Allocation Output'!$AG:$AG,$B121),"")</f>
        <v/>
      </c>
      <c r="F121" s="38" t="str">
        <f t="shared" si="6"/>
        <v/>
      </c>
      <c r="G121" t="str">
        <f t="shared" si="5"/>
        <v/>
      </c>
    </row>
    <row r="122" spans="3:7" ht="15" x14ac:dyDescent="0.25">
      <c r="C122" s="4" t="str">
        <f>IFERROR(AVERAGEIFS('2. Program Allocation Output'!$P:$P,'2. Program Allocation Output'!$AF:$AF,$A122,'2. Program Allocation Output'!$AG:$AG,$B122),"")</f>
        <v/>
      </c>
      <c r="D122" s="4" t="str">
        <f>IFERROR(AVERAGEIFS('2. Program Allocation Output'!$O:$O,'2. Program Allocation Output'!$AF:$AF,$A122,'2. Program Allocation Output'!$AG:$AG,$B122),"")</f>
        <v/>
      </c>
      <c r="E122" s="5" t="str">
        <f>IFERROR(AVERAGEIFS('2. Program Allocation Output'!$L:$L,'2. Program Allocation Output'!$AF:$AF,$A122,'2. Program Allocation Output'!$AG:$AG,$B122),"")</f>
        <v/>
      </c>
      <c r="F122" s="38" t="str">
        <f t="shared" si="6"/>
        <v/>
      </c>
      <c r="G122" t="str">
        <f t="shared" si="5"/>
        <v/>
      </c>
    </row>
    <row r="123" spans="3:7" ht="15" x14ac:dyDescent="0.25">
      <c r="C123" s="4" t="str">
        <f>IFERROR(AVERAGEIFS('2. Program Allocation Output'!$P:$P,'2. Program Allocation Output'!$AF:$AF,$A123,'2. Program Allocation Output'!$AG:$AG,$B123),"")</f>
        <v/>
      </c>
      <c r="D123" s="4" t="str">
        <f>IFERROR(AVERAGEIFS('2. Program Allocation Output'!$O:$O,'2. Program Allocation Output'!$AF:$AF,$A123,'2. Program Allocation Output'!$AG:$AG,$B123),"")</f>
        <v/>
      </c>
      <c r="E123" s="5" t="str">
        <f>IFERROR(AVERAGEIFS('2. Program Allocation Output'!$L:$L,'2. Program Allocation Output'!$AF:$AF,$A123,'2. Program Allocation Output'!$AG:$AG,$B123),"")</f>
        <v/>
      </c>
      <c r="F123" s="38" t="str">
        <f t="shared" si="6"/>
        <v/>
      </c>
      <c r="G123" t="str">
        <f t="shared" si="5"/>
        <v/>
      </c>
    </row>
    <row r="124" spans="3:7" ht="15" x14ac:dyDescent="0.25">
      <c r="C124" s="4" t="str">
        <f>IFERROR(AVERAGEIFS('2. Program Allocation Output'!$P:$P,'2. Program Allocation Output'!$AF:$AF,$A124,'2. Program Allocation Output'!$AG:$AG,$B124),"")</f>
        <v/>
      </c>
      <c r="D124" s="4" t="str">
        <f>IFERROR(AVERAGEIFS('2. Program Allocation Output'!$O:$O,'2. Program Allocation Output'!$AF:$AF,$A124,'2. Program Allocation Output'!$AG:$AG,$B124),"")</f>
        <v/>
      </c>
      <c r="E124" s="5" t="str">
        <f>IFERROR(AVERAGEIFS('2. Program Allocation Output'!$L:$L,'2. Program Allocation Output'!$AF:$AF,$A124,'2. Program Allocation Output'!$AG:$AG,$B124),"")</f>
        <v/>
      </c>
      <c r="F124" s="38" t="str">
        <f t="shared" si="6"/>
        <v/>
      </c>
      <c r="G124" t="str">
        <f t="shared" si="5"/>
        <v/>
      </c>
    </row>
    <row r="125" spans="3:7" ht="15" x14ac:dyDescent="0.25">
      <c r="C125" s="4" t="str">
        <f>IFERROR(AVERAGEIFS('2. Program Allocation Output'!$P:$P,'2. Program Allocation Output'!$AF:$AF,$A125,'2. Program Allocation Output'!$AG:$AG,$B125),"")</f>
        <v/>
      </c>
      <c r="D125" s="4" t="str">
        <f>IFERROR(AVERAGEIFS('2. Program Allocation Output'!$O:$O,'2. Program Allocation Output'!$AF:$AF,$A125,'2. Program Allocation Output'!$AG:$AG,$B125),"")</f>
        <v/>
      </c>
      <c r="E125" s="5" t="str">
        <f>IFERROR(AVERAGEIFS('2. Program Allocation Output'!$L:$L,'2. Program Allocation Output'!$AF:$AF,$A125,'2. Program Allocation Output'!$AG:$AG,$B125),"")</f>
        <v/>
      </c>
      <c r="F125" s="38" t="str">
        <f t="shared" si="6"/>
        <v/>
      </c>
      <c r="G125" t="str">
        <f t="shared" si="5"/>
        <v/>
      </c>
    </row>
    <row r="126" spans="3:7" ht="15" x14ac:dyDescent="0.25">
      <c r="C126" s="4" t="str">
        <f>IFERROR(AVERAGEIFS('2. Program Allocation Output'!$P:$P,'2. Program Allocation Output'!$AF:$AF,$A126,'2. Program Allocation Output'!$AG:$AG,$B126),"")</f>
        <v/>
      </c>
      <c r="D126" s="4" t="str">
        <f>IFERROR(AVERAGEIFS('2. Program Allocation Output'!$O:$O,'2. Program Allocation Output'!$AF:$AF,$A126,'2. Program Allocation Output'!$AG:$AG,$B126),"")</f>
        <v/>
      </c>
      <c r="E126" s="5" t="str">
        <f>IFERROR(AVERAGEIFS('2. Program Allocation Output'!$L:$L,'2. Program Allocation Output'!$AF:$AF,$A126,'2. Program Allocation Output'!$AG:$AG,$B126),"")</f>
        <v/>
      </c>
      <c r="F126" s="38" t="str">
        <f t="shared" si="6"/>
        <v/>
      </c>
      <c r="G126" t="str">
        <f t="shared" si="5"/>
        <v/>
      </c>
    </row>
    <row r="127" spans="3:7" ht="15" x14ac:dyDescent="0.25">
      <c r="C127" s="4" t="str">
        <f>IFERROR(AVERAGEIFS('2. Program Allocation Output'!$P:$P,'2. Program Allocation Output'!$AF:$AF,$A127,'2. Program Allocation Output'!$AG:$AG,$B127),"")</f>
        <v/>
      </c>
      <c r="D127" s="4" t="str">
        <f>IFERROR(AVERAGEIFS('2. Program Allocation Output'!$O:$O,'2. Program Allocation Output'!$AF:$AF,$A127,'2. Program Allocation Output'!$AG:$AG,$B127),"")</f>
        <v/>
      </c>
      <c r="E127" s="5" t="str">
        <f>IFERROR(AVERAGEIFS('2. Program Allocation Output'!$L:$L,'2. Program Allocation Output'!$AF:$AF,$A127,'2. Program Allocation Output'!$AG:$AG,$B127),"")</f>
        <v/>
      </c>
      <c r="F127" s="38" t="str">
        <f t="shared" si="6"/>
        <v/>
      </c>
      <c r="G127" t="str">
        <f t="shared" si="5"/>
        <v/>
      </c>
    </row>
    <row r="128" spans="3:7" ht="15" x14ac:dyDescent="0.25">
      <c r="C128" s="4" t="str">
        <f>IFERROR(AVERAGEIFS('2. Program Allocation Output'!$P:$P,'2. Program Allocation Output'!$AF:$AF,$A128,'2. Program Allocation Output'!$AG:$AG,$B128),"")</f>
        <v/>
      </c>
      <c r="D128" s="4" t="str">
        <f>IFERROR(AVERAGEIFS('2. Program Allocation Output'!$O:$O,'2. Program Allocation Output'!$AF:$AF,$A128,'2. Program Allocation Output'!$AG:$AG,$B128),"")</f>
        <v/>
      </c>
      <c r="E128" s="5" t="str">
        <f>IFERROR(AVERAGEIFS('2. Program Allocation Output'!$L:$L,'2. Program Allocation Output'!$AF:$AF,$A128,'2. Program Allocation Output'!$AG:$AG,$B128),"")</f>
        <v/>
      </c>
      <c r="F128" s="38" t="str">
        <f t="shared" si="6"/>
        <v/>
      </c>
      <c r="G128" t="str">
        <f t="shared" si="5"/>
        <v/>
      </c>
    </row>
    <row r="129" spans="3:7" ht="15" x14ac:dyDescent="0.25">
      <c r="C129" s="4" t="str">
        <f>IFERROR(AVERAGEIFS('2. Program Allocation Output'!$P:$P,'2. Program Allocation Output'!$AF:$AF,$A129,'2. Program Allocation Output'!$AG:$AG,$B129),"")</f>
        <v/>
      </c>
      <c r="D129" s="4" t="str">
        <f>IFERROR(AVERAGEIFS('2. Program Allocation Output'!$O:$O,'2. Program Allocation Output'!$AF:$AF,$A129,'2. Program Allocation Output'!$AG:$AG,$B129),"")</f>
        <v/>
      </c>
      <c r="E129" s="5" t="str">
        <f>IFERROR(AVERAGEIFS('2. Program Allocation Output'!$L:$L,'2. Program Allocation Output'!$AF:$AF,$A129,'2. Program Allocation Output'!$AG:$AG,$B129),"")</f>
        <v/>
      </c>
      <c r="F129" s="38" t="str">
        <f t="shared" si="6"/>
        <v/>
      </c>
      <c r="G129" t="str">
        <f t="shared" si="5"/>
        <v/>
      </c>
    </row>
    <row r="130" spans="3:7" ht="15" x14ac:dyDescent="0.25">
      <c r="C130" s="4" t="str">
        <f>IFERROR(AVERAGEIFS('2. Program Allocation Output'!$P:$P,'2. Program Allocation Output'!$AF:$AF,$A130,'2. Program Allocation Output'!$AG:$AG,$B130),"")</f>
        <v/>
      </c>
      <c r="D130" s="4" t="str">
        <f>IFERROR(AVERAGEIFS('2. Program Allocation Output'!$O:$O,'2. Program Allocation Output'!$AF:$AF,$A130,'2. Program Allocation Output'!$AG:$AG,$B130),"")</f>
        <v/>
      </c>
      <c r="E130" s="5" t="str">
        <f>IFERROR(AVERAGEIFS('2. Program Allocation Output'!$L:$L,'2. Program Allocation Output'!$AF:$AF,$A130,'2. Program Allocation Output'!$AG:$AG,$B130),"")</f>
        <v/>
      </c>
      <c r="F130" s="38" t="str">
        <f t="shared" si="6"/>
        <v/>
      </c>
      <c r="G130" t="str">
        <f t="shared" si="5"/>
        <v/>
      </c>
    </row>
    <row r="131" spans="3:7" ht="15" x14ac:dyDescent="0.25">
      <c r="C131" s="4" t="str">
        <f>IFERROR(AVERAGEIFS('2. Program Allocation Output'!$P:$P,'2. Program Allocation Output'!$AF:$AF,$A131,'2. Program Allocation Output'!$AG:$AG,$B131),"")</f>
        <v/>
      </c>
      <c r="D131" s="4" t="str">
        <f>IFERROR(AVERAGEIFS('2. Program Allocation Output'!$O:$O,'2. Program Allocation Output'!$AF:$AF,$A131,'2. Program Allocation Output'!$AG:$AG,$B131),"")</f>
        <v/>
      </c>
      <c r="E131" s="5" t="str">
        <f>IFERROR(AVERAGEIFS('2. Program Allocation Output'!$L:$L,'2. Program Allocation Output'!$AF:$AF,$A131,'2. Program Allocation Output'!$AG:$AG,$B131),"")</f>
        <v/>
      </c>
      <c r="F131" s="38" t="str">
        <f t="shared" ref="F131:F194" si="7">IFERROR(C131*1,"")</f>
        <v/>
      </c>
      <c r="G131" t="str">
        <f t="shared" si="5"/>
        <v/>
      </c>
    </row>
    <row r="132" spans="3:7" ht="15" x14ac:dyDescent="0.25">
      <c r="C132" s="4" t="str">
        <f>IFERROR(AVERAGEIFS('2. Program Allocation Output'!$P:$P,'2. Program Allocation Output'!$AF:$AF,$A132,'2. Program Allocation Output'!$AG:$AG,$B132),"")</f>
        <v/>
      </c>
      <c r="D132" s="4" t="str">
        <f>IFERROR(AVERAGEIFS('2. Program Allocation Output'!$O:$O,'2. Program Allocation Output'!$AF:$AF,$A132,'2. Program Allocation Output'!$AG:$AG,$B132),"")</f>
        <v/>
      </c>
      <c r="E132" s="5" t="str">
        <f>IFERROR(AVERAGEIFS('2. Program Allocation Output'!$L:$L,'2. Program Allocation Output'!$AF:$AF,$A132,'2. Program Allocation Output'!$AG:$AG,$B132),"")</f>
        <v/>
      </c>
      <c r="F132" s="38" t="str">
        <f t="shared" si="7"/>
        <v/>
      </c>
      <c r="G132" t="str">
        <f t="shared" si="5"/>
        <v/>
      </c>
    </row>
    <row r="133" spans="3:7" ht="15" x14ac:dyDescent="0.25">
      <c r="C133" s="4" t="str">
        <f>IFERROR(AVERAGEIFS('2. Program Allocation Output'!$P:$P,'2. Program Allocation Output'!$AF:$AF,$A133,'2. Program Allocation Output'!$AG:$AG,$B133),"")</f>
        <v/>
      </c>
      <c r="D133" s="4" t="str">
        <f>IFERROR(AVERAGEIFS('2. Program Allocation Output'!$O:$O,'2. Program Allocation Output'!$AF:$AF,$A133,'2. Program Allocation Output'!$AG:$AG,$B133),"")</f>
        <v/>
      </c>
      <c r="E133" s="5" t="str">
        <f>IFERROR(AVERAGEIFS('2. Program Allocation Output'!$L:$L,'2. Program Allocation Output'!$AF:$AF,$A133,'2. Program Allocation Output'!$AG:$AG,$B133),"")</f>
        <v/>
      </c>
      <c r="F133" s="38" t="str">
        <f t="shared" si="7"/>
        <v/>
      </c>
      <c r="G133" t="str">
        <f t="shared" si="5"/>
        <v/>
      </c>
    </row>
    <row r="134" spans="3:7" ht="15" x14ac:dyDescent="0.25">
      <c r="C134" s="4" t="str">
        <f>IFERROR(AVERAGEIFS('2. Program Allocation Output'!$P:$P,'2. Program Allocation Output'!$AF:$AF,$A134,'2. Program Allocation Output'!$AG:$AG,$B134),"")</f>
        <v/>
      </c>
      <c r="D134" s="4" t="str">
        <f>IFERROR(AVERAGEIFS('2. Program Allocation Output'!$O:$O,'2. Program Allocation Output'!$AF:$AF,$A134,'2. Program Allocation Output'!$AG:$AG,$B134),"")</f>
        <v/>
      </c>
      <c r="E134" s="5" t="str">
        <f>IFERROR(AVERAGEIFS('2. Program Allocation Output'!$L:$L,'2. Program Allocation Output'!$AF:$AF,$A134,'2. Program Allocation Output'!$AG:$AG,$B134),"")</f>
        <v/>
      </c>
      <c r="F134" s="38" t="str">
        <f t="shared" si="7"/>
        <v/>
      </c>
      <c r="G134" t="str">
        <f t="shared" si="5"/>
        <v/>
      </c>
    </row>
    <row r="135" spans="3:7" ht="15" x14ac:dyDescent="0.25">
      <c r="C135" s="4" t="str">
        <f>IFERROR(AVERAGEIFS('2. Program Allocation Output'!$P:$P,'2. Program Allocation Output'!$AF:$AF,$A135,'2. Program Allocation Output'!$AG:$AG,$B135),"")</f>
        <v/>
      </c>
      <c r="D135" s="4" t="str">
        <f>IFERROR(AVERAGEIFS('2. Program Allocation Output'!$O:$O,'2. Program Allocation Output'!$AF:$AF,$A135,'2. Program Allocation Output'!$AG:$AG,$B135),"")</f>
        <v/>
      </c>
      <c r="E135" s="5" t="str">
        <f>IFERROR(AVERAGEIFS('2. Program Allocation Output'!$L:$L,'2. Program Allocation Output'!$AF:$AF,$A135,'2. Program Allocation Output'!$AG:$AG,$B135),"")</f>
        <v/>
      </c>
      <c r="F135" s="38" t="str">
        <f t="shared" si="7"/>
        <v/>
      </c>
      <c r="G135" t="str">
        <f t="shared" si="5"/>
        <v/>
      </c>
    </row>
    <row r="136" spans="3:7" ht="15" x14ac:dyDescent="0.25">
      <c r="C136" s="4" t="str">
        <f>IFERROR(AVERAGEIFS('2. Program Allocation Output'!$P:$P,'2. Program Allocation Output'!$AF:$AF,$A136,'2. Program Allocation Output'!$AG:$AG,$B136),"")</f>
        <v/>
      </c>
      <c r="D136" s="4" t="str">
        <f>IFERROR(AVERAGEIFS('2. Program Allocation Output'!$O:$O,'2. Program Allocation Output'!$AF:$AF,$A136,'2. Program Allocation Output'!$AG:$AG,$B136),"")</f>
        <v/>
      </c>
      <c r="E136" s="5" t="str">
        <f>IFERROR(AVERAGEIFS('2. Program Allocation Output'!$L:$L,'2. Program Allocation Output'!$AF:$AF,$A136,'2. Program Allocation Output'!$AG:$AG,$B136),"")</f>
        <v/>
      </c>
      <c r="F136" s="38" t="str">
        <f t="shared" si="7"/>
        <v/>
      </c>
      <c r="G136" t="str">
        <f t="shared" si="5"/>
        <v/>
      </c>
    </row>
    <row r="137" spans="3:7" ht="15" x14ac:dyDescent="0.25">
      <c r="C137" s="4" t="str">
        <f>IFERROR(AVERAGEIFS('2. Program Allocation Output'!$P:$P,'2. Program Allocation Output'!$AF:$AF,$A137,'2. Program Allocation Output'!$AG:$AG,$B137),"")</f>
        <v/>
      </c>
      <c r="D137" s="4" t="str">
        <f>IFERROR(AVERAGEIFS('2. Program Allocation Output'!$O:$O,'2. Program Allocation Output'!$AF:$AF,$A137,'2. Program Allocation Output'!$AG:$AG,$B137),"")</f>
        <v/>
      </c>
      <c r="E137" s="5" t="str">
        <f>IFERROR(AVERAGEIFS('2. Program Allocation Output'!$L:$L,'2. Program Allocation Output'!$AF:$AF,$A137,'2. Program Allocation Output'!$AG:$AG,$B137),"")</f>
        <v/>
      </c>
      <c r="F137" s="38" t="str">
        <f t="shared" si="7"/>
        <v/>
      </c>
      <c r="G137" t="str">
        <f t="shared" si="5"/>
        <v/>
      </c>
    </row>
    <row r="138" spans="3:7" ht="15" x14ac:dyDescent="0.25">
      <c r="C138" s="4" t="str">
        <f>IFERROR(AVERAGEIFS('2. Program Allocation Output'!$P:$P,'2. Program Allocation Output'!$AF:$AF,$A138,'2. Program Allocation Output'!$AG:$AG,$B138),"")</f>
        <v/>
      </c>
      <c r="D138" s="4" t="str">
        <f>IFERROR(AVERAGEIFS('2. Program Allocation Output'!$O:$O,'2. Program Allocation Output'!$AF:$AF,$A138,'2. Program Allocation Output'!$AG:$AG,$B138),"")</f>
        <v/>
      </c>
      <c r="E138" s="5" t="str">
        <f>IFERROR(AVERAGEIFS('2. Program Allocation Output'!$L:$L,'2. Program Allocation Output'!$AF:$AF,$A138,'2. Program Allocation Output'!$AG:$AG,$B138),"")</f>
        <v/>
      </c>
      <c r="F138" s="38" t="str">
        <f t="shared" si="7"/>
        <v/>
      </c>
      <c r="G138" t="str">
        <f t="shared" si="5"/>
        <v/>
      </c>
    </row>
    <row r="139" spans="3:7" ht="15" x14ac:dyDescent="0.25">
      <c r="C139" s="4" t="str">
        <f>IFERROR(AVERAGEIFS('2. Program Allocation Output'!$P:$P,'2. Program Allocation Output'!$AF:$AF,$A139,'2. Program Allocation Output'!$AG:$AG,$B139),"")</f>
        <v/>
      </c>
      <c r="D139" s="4" t="str">
        <f>IFERROR(AVERAGEIFS('2. Program Allocation Output'!$O:$O,'2. Program Allocation Output'!$AF:$AF,$A139,'2. Program Allocation Output'!$AG:$AG,$B139),"")</f>
        <v/>
      </c>
      <c r="E139" s="5" t="str">
        <f>IFERROR(AVERAGEIFS('2. Program Allocation Output'!$L:$L,'2. Program Allocation Output'!$AF:$AF,$A139,'2. Program Allocation Output'!$AG:$AG,$B139),"")</f>
        <v/>
      </c>
      <c r="F139" s="38" t="str">
        <f t="shared" si="7"/>
        <v/>
      </c>
      <c r="G139" t="str">
        <f t="shared" si="5"/>
        <v/>
      </c>
    </row>
    <row r="140" spans="3:7" ht="15" x14ac:dyDescent="0.25">
      <c r="C140" s="4" t="str">
        <f>IFERROR(AVERAGEIFS('2. Program Allocation Output'!$P:$P,'2. Program Allocation Output'!$AF:$AF,$A140,'2. Program Allocation Output'!$AG:$AG,$B140),"")</f>
        <v/>
      </c>
      <c r="D140" s="4" t="str">
        <f>IFERROR(AVERAGEIFS('2. Program Allocation Output'!$O:$O,'2. Program Allocation Output'!$AF:$AF,$A140,'2. Program Allocation Output'!$AG:$AG,$B140),"")</f>
        <v/>
      </c>
      <c r="E140" s="5" t="str">
        <f>IFERROR(AVERAGEIFS('2. Program Allocation Output'!$L:$L,'2. Program Allocation Output'!$AF:$AF,$A140,'2. Program Allocation Output'!$AG:$AG,$B140),"")</f>
        <v/>
      </c>
      <c r="F140" s="38" t="str">
        <f t="shared" si="7"/>
        <v/>
      </c>
      <c r="G140" t="str">
        <f t="shared" si="5"/>
        <v/>
      </c>
    </row>
    <row r="141" spans="3:7" ht="15" x14ac:dyDescent="0.25">
      <c r="C141" s="4" t="str">
        <f>IFERROR(AVERAGEIFS('2. Program Allocation Output'!$P:$P,'2. Program Allocation Output'!$AF:$AF,$A141,'2. Program Allocation Output'!$AG:$AG,$B141),"")</f>
        <v/>
      </c>
      <c r="D141" s="4" t="str">
        <f>IFERROR(AVERAGEIFS('2. Program Allocation Output'!$O:$O,'2. Program Allocation Output'!$AF:$AF,$A141,'2. Program Allocation Output'!$AG:$AG,$B141),"")</f>
        <v/>
      </c>
      <c r="E141" s="5" t="str">
        <f>IFERROR(AVERAGEIFS('2. Program Allocation Output'!$L:$L,'2. Program Allocation Output'!$AF:$AF,$A141,'2. Program Allocation Output'!$AG:$AG,$B141),"")</f>
        <v/>
      </c>
      <c r="F141" s="38" t="str">
        <f t="shared" si="7"/>
        <v/>
      </c>
      <c r="G141" t="str">
        <f t="shared" si="5"/>
        <v/>
      </c>
    </row>
    <row r="142" spans="3:7" ht="15" x14ac:dyDescent="0.25">
      <c r="C142" s="4" t="str">
        <f>IFERROR(AVERAGEIFS('2. Program Allocation Output'!$P:$P,'2. Program Allocation Output'!$AF:$AF,$A142,'2. Program Allocation Output'!$AG:$AG,$B142),"")</f>
        <v/>
      </c>
      <c r="D142" s="4" t="str">
        <f>IFERROR(AVERAGEIFS('2. Program Allocation Output'!$O:$O,'2. Program Allocation Output'!$AF:$AF,$A142,'2. Program Allocation Output'!$AG:$AG,$B142),"")</f>
        <v/>
      </c>
      <c r="E142" s="5" t="str">
        <f>IFERROR(AVERAGEIFS('2. Program Allocation Output'!$L:$L,'2. Program Allocation Output'!$AF:$AF,$A142,'2. Program Allocation Output'!$AG:$AG,$B142),"")</f>
        <v/>
      </c>
      <c r="F142" s="38" t="str">
        <f t="shared" si="7"/>
        <v/>
      </c>
      <c r="G142" t="str">
        <f t="shared" ref="G142:G205" si="8">IFERROR(EXP(0.3*(F142-C142)/(E142*0.1137)),"")</f>
        <v/>
      </c>
    </row>
    <row r="143" spans="3:7" ht="15" x14ac:dyDescent="0.25">
      <c r="C143" s="4" t="str">
        <f>IFERROR(AVERAGEIFS('2. Program Allocation Output'!$P:$P,'2. Program Allocation Output'!$AF:$AF,$A143,'2. Program Allocation Output'!$AG:$AG,$B143),"")</f>
        <v/>
      </c>
      <c r="D143" s="4" t="str">
        <f>IFERROR(AVERAGEIFS('2. Program Allocation Output'!$O:$O,'2. Program Allocation Output'!$AF:$AF,$A143,'2. Program Allocation Output'!$AG:$AG,$B143),"")</f>
        <v/>
      </c>
      <c r="E143" s="5" t="str">
        <f>IFERROR(AVERAGEIFS('2. Program Allocation Output'!$L:$L,'2. Program Allocation Output'!$AF:$AF,$A143,'2. Program Allocation Output'!$AG:$AG,$B143),"")</f>
        <v/>
      </c>
      <c r="F143" s="38" t="str">
        <f t="shared" si="7"/>
        <v/>
      </c>
      <c r="G143" t="str">
        <f t="shared" si="8"/>
        <v/>
      </c>
    </row>
    <row r="144" spans="3:7" ht="15" x14ac:dyDescent="0.25">
      <c r="C144" s="4" t="str">
        <f>IFERROR(AVERAGEIFS('2. Program Allocation Output'!$P:$P,'2. Program Allocation Output'!$AF:$AF,$A144,'2. Program Allocation Output'!$AG:$AG,$B144),"")</f>
        <v/>
      </c>
      <c r="D144" s="4" t="str">
        <f>IFERROR(AVERAGEIFS('2. Program Allocation Output'!$O:$O,'2. Program Allocation Output'!$AF:$AF,$A144,'2. Program Allocation Output'!$AG:$AG,$B144),"")</f>
        <v/>
      </c>
      <c r="E144" s="5" t="str">
        <f>IFERROR(AVERAGEIFS('2. Program Allocation Output'!$L:$L,'2. Program Allocation Output'!$AF:$AF,$A144,'2. Program Allocation Output'!$AG:$AG,$B144),"")</f>
        <v/>
      </c>
      <c r="F144" s="38" t="str">
        <f t="shared" si="7"/>
        <v/>
      </c>
      <c r="G144" t="str">
        <f t="shared" si="8"/>
        <v/>
      </c>
    </row>
    <row r="145" spans="3:7" ht="15" x14ac:dyDescent="0.25">
      <c r="C145" s="4" t="str">
        <f>IFERROR(AVERAGEIFS('2. Program Allocation Output'!$P:$P,'2. Program Allocation Output'!$AF:$AF,$A145,'2. Program Allocation Output'!$AG:$AG,$B145),"")</f>
        <v/>
      </c>
      <c r="D145" s="4" t="str">
        <f>IFERROR(AVERAGEIFS('2. Program Allocation Output'!$O:$O,'2. Program Allocation Output'!$AF:$AF,$A145,'2. Program Allocation Output'!$AG:$AG,$B145),"")</f>
        <v/>
      </c>
      <c r="E145" s="5" t="str">
        <f>IFERROR(AVERAGEIFS('2. Program Allocation Output'!$L:$L,'2. Program Allocation Output'!$AF:$AF,$A145,'2. Program Allocation Output'!$AG:$AG,$B145),"")</f>
        <v/>
      </c>
      <c r="F145" s="38" t="str">
        <f t="shared" si="7"/>
        <v/>
      </c>
      <c r="G145" t="str">
        <f t="shared" si="8"/>
        <v/>
      </c>
    </row>
    <row r="146" spans="3:7" ht="15" x14ac:dyDescent="0.25">
      <c r="C146" s="4" t="str">
        <f>IFERROR(AVERAGEIFS('2. Program Allocation Output'!$P:$P,'2. Program Allocation Output'!$AF:$AF,$A146,'2. Program Allocation Output'!$AG:$AG,$B146),"")</f>
        <v/>
      </c>
      <c r="D146" s="4" t="str">
        <f>IFERROR(AVERAGEIFS('2. Program Allocation Output'!$O:$O,'2. Program Allocation Output'!$AF:$AF,$A146,'2. Program Allocation Output'!$AG:$AG,$B146),"")</f>
        <v/>
      </c>
      <c r="E146" s="5" t="str">
        <f>IFERROR(AVERAGEIFS('2. Program Allocation Output'!$L:$L,'2. Program Allocation Output'!$AF:$AF,$A146,'2. Program Allocation Output'!$AG:$AG,$B146),"")</f>
        <v/>
      </c>
      <c r="F146" s="38" t="str">
        <f t="shared" si="7"/>
        <v/>
      </c>
      <c r="G146" t="str">
        <f t="shared" si="8"/>
        <v/>
      </c>
    </row>
    <row r="147" spans="3:7" ht="15" x14ac:dyDescent="0.25">
      <c r="C147" s="4" t="str">
        <f>IFERROR(AVERAGEIFS('2. Program Allocation Output'!$P:$P,'2. Program Allocation Output'!$AF:$AF,$A147,'2. Program Allocation Output'!$AG:$AG,$B147),"")</f>
        <v/>
      </c>
      <c r="D147" s="4" t="str">
        <f>IFERROR(AVERAGEIFS('2. Program Allocation Output'!$O:$O,'2. Program Allocation Output'!$AF:$AF,$A147,'2. Program Allocation Output'!$AG:$AG,$B147),"")</f>
        <v/>
      </c>
      <c r="E147" s="5" t="str">
        <f>IFERROR(AVERAGEIFS('2. Program Allocation Output'!$L:$L,'2. Program Allocation Output'!$AF:$AF,$A147,'2. Program Allocation Output'!$AG:$AG,$B147),"")</f>
        <v/>
      </c>
      <c r="F147" s="38" t="str">
        <f t="shared" si="7"/>
        <v/>
      </c>
      <c r="G147" t="str">
        <f t="shared" si="8"/>
        <v/>
      </c>
    </row>
    <row r="148" spans="3:7" ht="15" x14ac:dyDescent="0.25">
      <c r="C148" s="4" t="str">
        <f>IFERROR(AVERAGEIFS('2. Program Allocation Output'!$P:$P,'2. Program Allocation Output'!$AF:$AF,$A148,'2. Program Allocation Output'!$AG:$AG,$B148),"")</f>
        <v/>
      </c>
      <c r="D148" s="4" t="str">
        <f>IFERROR(AVERAGEIFS('2. Program Allocation Output'!$O:$O,'2. Program Allocation Output'!$AF:$AF,$A148,'2. Program Allocation Output'!$AG:$AG,$B148),"")</f>
        <v/>
      </c>
      <c r="E148" s="5" t="str">
        <f>IFERROR(AVERAGEIFS('2. Program Allocation Output'!$L:$L,'2. Program Allocation Output'!$AF:$AF,$A148,'2. Program Allocation Output'!$AG:$AG,$B148),"")</f>
        <v/>
      </c>
      <c r="F148" s="38" t="str">
        <f t="shared" si="7"/>
        <v/>
      </c>
      <c r="G148" t="str">
        <f t="shared" si="8"/>
        <v/>
      </c>
    </row>
    <row r="149" spans="3:7" ht="15" x14ac:dyDescent="0.25">
      <c r="C149" s="4" t="str">
        <f>IFERROR(AVERAGEIFS('2. Program Allocation Output'!$P:$P,'2. Program Allocation Output'!$AF:$AF,$A149,'2. Program Allocation Output'!$AG:$AG,$B149),"")</f>
        <v/>
      </c>
      <c r="D149" s="4" t="str">
        <f>IFERROR(AVERAGEIFS('2. Program Allocation Output'!$O:$O,'2. Program Allocation Output'!$AF:$AF,$A149,'2. Program Allocation Output'!$AG:$AG,$B149),"")</f>
        <v/>
      </c>
      <c r="E149" s="5" t="str">
        <f>IFERROR(AVERAGEIFS('2. Program Allocation Output'!$L:$L,'2. Program Allocation Output'!$AF:$AF,$A149,'2. Program Allocation Output'!$AG:$AG,$B149),"")</f>
        <v/>
      </c>
      <c r="F149" s="38" t="str">
        <f t="shared" si="7"/>
        <v/>
      </c>
      <c r="G149" t="str">
        <f t="shared" si="8"/>
        <v/>
      </c>
    </row>
    <row r="150" spans="3:7" ht="15" x14ac:dyDescent="0.25">
      <c r="C150" s="4" t="str">
        <f>IFERROR(AVERAGEIFS('2. Program Allocation Output'!$P:$P,'2. Program Allocation Output'!$AF:$AF,$A150,'2. Program Allocation Output'!$AG:$AG,$B150),"")</f>
        <v/>
      </c>
      <c r="D150" s="4" t="str">
        <f>IFERROR(AVERAGEIFS('2. Program Allocation Output'!$O:$O,'2. Program Allocation Output'!$AF:$AF,$A150,'2. Program Allocation Output'!$AG:$AG,$B150),"")</f>
        <v/>
      </c>
      <c r="E150" s="5" t="str">
        <f>IFERROR(AVERAGEIFS('2. Program Allocation Output'!$L:$L,'2. Program Allocation Output'!$AF:$AF,$A150,'2. Program Allocation Output'!$AG:$AG,$B150),"")</f>
        <v/>
      </c>
      <c r="F150" s="38" t="str">
        <f t="shared" si="7"/>
        <v/>
      </c>
      <c r="G150" t="str">
        <f t="shared" si="8"/>
        <v/>
      </c>
    </row>
    <row r="151" spans="3:7" ht="15" x14ac:dyDescent="0.25">
      <c r="C151" s="4" t="str">
        <f>IFERROR(AVERAGEIFS('2. Program Allocation Output'!$P:$P,'2. Program Allocation Output'!$AF:$AF,$A151,'2. Program Allocation Output'!$AG:$AG,$B151),"")</f>
        <v/>
      </c>
      <c r="D151" s="4" t="str">
        <f>IFERROR(AVERAGEIFS('2. Program Allocation Output'!$O:$O,'2. Program Allocation Output'!$AF:$AF,$A151,'2. Program Allocation Output'!$AG:$AG,$B151),"")</f>
        <v/>
      </c>
      <c r="E151" s="5" t="str">
        <f>IFERROR(AVERAGEIFS('2. Program Allocation Output'!$L:$L,'2. Program Allocation Output'!$AF:$AF,$A151,'2. Program Allocation Output'!$AG:$AG,$B151),"")</f>
        <v/>
      </c>
      <c r="F151" s="38" t="str">
        <f t="shared" si="7"/>
        <v/>
      </c>
      <c r="G151" t="str">
        <f t="shared" si="8"/>
        <v/>
      </c>
    </row>
    <row r="152" spans="3:7" ht="15" x14ac:dyDescent="0.25">
      <c r="C152" s="4" t="str">
        <f>IFERROR(AVERAGEIFS('2. Program Allocation Output'!$P:$P,'2. Program Allocation Output'!$AF:$AF,$A152,'2. Program Allocation Output'!$AG:$AG,$B152),"")</f>
        <v/>
      </c>
      <c r="D152" s="4" t="str">
        <f>IFERROR(AVERAGEIFS('2. Program Allocation Output'!$O:$O,'2. Program Allocation Output'!$AF:$AF,$A152,'2. Program Allocation Output'!$AG:$AG,$B152),"")</f>
        <v/>
      </c>
      <c r="E152" s="5" t="str">
        <f>IFERROR(AVERAGEIFS('2. Program Allocation Output'!$L:$L,'2. Program Allocation Output'!$AF:$AF,$A152,'2. Program Allocation Output'!$AG:$AG,$B152),"")</f>
        <v/>
      </c>
      <c r="F152" s="38" t="str">
        <f t="shared" si="7"/>
        <v/>
      </c>
      <c r="G152" t="str">
        <f t="shared" si="8"/>
        <v/>
      </c>
    </row>
    <row r="153" spans="3:7" ht="15" x14ac:dyDescent="0.25">
      <c r="C153" s="4" t="str">
        <f>IFERROR(AVERAGEIFS('2. Program Allocation Output'!$P:$P,'2. Program Allocation Output'!$AF:$AF,$A153,'2. Program Allocation Output'!$AG:$AG,$B153),"")</f>
        <v/>
      </c>
      <c r="D153" s="4" t="str">
        <f>IFERROR(AVERAGEIFS('2. Program Allocation Output'!$O:$O,'2. Program Allocation Output'!$AF:$AF,$A153,'2. Program Allocation Output'!$AG:$AG,$B153),"")</f>
        <v/>
      </c>
      <c r="E153" s="5" t="str">
        <f>IFERROR(AVERAGEIFS('2. Program Allocation Output'!$L:$L,'2. Program Allocation Output'!$AF:$AF,$A153,'2. Program Allocation Output'!$AG:$AG,$B153),"")</f>
        <v/>
      </c>
      <c r="F153" s="38" t="str">
        <f t="shared" si="7"/>
        <v/>
      </c>
      <c r="G153" t="str">
        <f t="shared" si="8"/>
        <v/>
      </c>
    </row>
    <row r="154" spans="3:7" ht="15" x14ac:dyDescent="0.25">
      <c r="C154" s="4" t="str">
        <f>IFERROR(AVERAGEIFS('2. Program Allocation Output'!$P:$P,'2. Program Allocation Output'!$AF:$AF,$A154,'2. Program Allocation Output'!$AG:$AG,$B154),"")</f>
        <v/>
      </c>
      <c r="D154" s="4" t="str">
        <f>IFERROR(AVERAGEIFS('2. Program Allocation Output'!$O:$O,'2. Program Allocation Output'!$AF:$AF,$A154,'2. Program Allocation Output'!$AG:$AG,$B154),"")</f>
        <v/>
      </c>
      <c r="E154" s="5" t="str">
        <f>IFERROR(AVERAGEIFS('2. Program Allocation Output'!$L:$L,'2. Program Allocation Output'!$AF:$AF,$A154,'2. Program Allocation Output'!$AG:$AG,$B154),"")</f>
        <v/>
      </c>
      <c r="F154" s="38" t="str">
        <f t="shared" si="7"/>
        <v/>
      </c>
      <c r="G154" t="str">
        <f t="shared" si="8"/>
        <v/>
      </c>
    </row>
    <row r="155" spans="3:7" ht="15" x14ac:dyDescent="0.25">
      <c r="C155" s="4" t="str">
        <f>IFERROR(AVERAGEIFS('2. Program Allocation Output'!$P:$P,'2. Program Allocation Output'!$AF:$AF,$A155,'2. Program Allocation Output'!$AG:$AG,$B155),"")</f>
        <v/>
      </c>
      <c r="D155" s="4" t="str">
        <f>IFERROR(AVERAGEIFS('2. Program Allocation Output'!$O:$O,'2. Program Allocation Output'!$AF:$AF,$A155,'2. Program Allocation Output'!$AG:$AG,$B155),"")</f>
        <v/>
      </c>
      <c r="E155" s="5" t="str">
        <f>IFERROR(AVERAGEIFS('2. Program Allocation Output'!$L:$L,'2. Program Allocation Output'!$AF:$AF,$A155,'2. Program Allocation Output'!$AG:$AG,$B155),"")</f>
        <v/>
      </c>
      <c r="F155" s="38" t="str">
        <f t="shared" si="7"/>
        <v/>
      </c>
      <c r="G155" t="str">
        <f t="shared" si="8"/>
        <v/>
      </c>
    </row>
    <row r="156" spans="3:7" ht="15" x14ac:dyDescent="0.25">
      <c r="C156" s="4" t="str">
        <f>IFERROR(AVERAGEIFS('2. Program Allocation Output'!$P:$P,'2. Program Allocation Output'!$AF:$AF,$A156,'2. Program Allocation Output'!$AG:$AG,$B156),"")</f>
        <v/>
      </c>
      <c r="D156" s="4" t="str">
        <f>IFERROR(AVERAGEIFS('2. Program Allocation Output'!$O:$O,'2. Program Allocation Output'!$AF:$AF,$A156,'2. Program Allocation Output'!$AG:$AG,$B156),"")</f>
        <v/>
      </c>
      <c r="E156" s="5" t="str">
        <f>IFERROR(AVERAGEIFS('2. Program Allocation Output'!$L:$L,'2. Program Allocation Output'!$AF:$AF,$A156,'2. Program Allocation Output'!$AG:$AG,$B156),"")</f>
        <v/>
      </c>
      <c r="F156" s="38" t="str">
        <f t="shared" si="7"/>
        <v/>
      </c>
      <c r="G156" t="str">
        <f t="shared" si="8"/>
        <v/>
      </c>
    </row>
    <row r="157" spans="3:7" ht="15" x14ac:dyDescent="0.25">
      <c r="C157" s="4" t="str">
        <f>IFERROR(AVERAGEIFS('2. Program Allocation Output'!$P:$P,'2. Program Allocation Output'!$AF:$AF,$A157,'2. Program Allocation Output'!$AG:$AG,$B157),"")</f>
        <v/>
      </c>
      <c r="D157" s="4" t="str">
        <f>IFERROR(AVERAGEIFS('2. Program Allocation Output'!$O:$O,'2. Program Allocation Output'!$AF:$AF,$A157,'2. Program Allocation Output'!$AG:$AG,$B157),"")</f>
        <v/>
      </c>
      <c r="E157" s="5" t="str">
        <f>IFERROR(AVERAGEIFS('2. Program Allocation Output'!$L:$L,'2. Program Allocation Output'!$AF:$AF,$A157,'2. Program Allocation Output'!$AG:$AG,$B157),"")</f>
        <v/>
      </c>
      <c r="F157" s="38" t="str">
        <f t="shared" si="7"/>
        <v/>
      </c>
      <c r="G157" t="str">
        <f t="shared" si="8"/>
        <v/>
      </c>
    </row>
    <row r="158" spans="3:7" ht="15" x14ac:dyDescent="0.25">
      <c r="C158" s="4" t="str">
        <f>IFERROR(AVERAGEIFS('2. Program Allocation Output'!$P:$P,'2. Program Allocation Output'!$AF:$AF,$A158,'2. Program Allocation Output'!$AG:$AG,$B158),"")</f>
        <v/>
      </c>
      <c r="D158" s="4" t="str">
        <f>IFERROR(AVERAGEIFS('2. Program Allocation Output'!$O:$O,'2. Program Allocation Output'!$AF:$AF,$A158,'2. Program Allocation Output'!$AG:$AG,$B158),"")</f>
        <v/>
      </c>
      <c r="E158" s="5" t="str">
        <f>IFERROR(AVERAGEIFS('2. Program Allocation Output'!$L:$L,'2. Program Allocation Output'!$AF:$AF,$A158,'2. Program Allocation Output'!$AG:$AG,$B158),"")</f>
        <v/>
      </c>
      <c r="F158" s="38" t="str">
        <f t="shared" si="7"/>
        <v/>
      </c>
      <c r="G158" t="str">
        <f t="shared" si="8"/>
        <v/>
      </c>
    </row>
    <row r="159" spans="3:7" ht="15" x14ac:dyDescent="0.25">
      <c r="C159" s="4" t="str">
        <f>IFERROR(AVERAGEIFS('2. Program Allocation Output'!$P:$P,'2. Program Allocation Output'!$AF:$AF,$A159,'2. Program Allocation Output'!$AG:$AG,$B159),"")</f>
        <v/>
      </c>
      <c r="D159" s="4" t="str">
        <f>IFERROR(AVERAGEIFS('2. Program Allocation Output'!$O:$O,'2. Program Allocation Output'!$AF:$AF,$A159,'2. Program Allocation Output'!$AG:$AG,$B159),"")</f>
        <v/>
      </c>
      <c r="E159" s="5" t="str">
        <f>IFERROR(AVERAGEIFS('2. Program Allocation Output'!$L:$L,'2. Program Allocation Output'!$AF:$AF,$A159,'2. Program Allocation Output'!$AG:$AG,$B159),"")</f>
        <v/>
      </c>
      <c r="F159" s="38" t="str">
        <f t="shared" si="7"/>
        <v/>
      </c>
      <c r="G159" t="str">
        <f t="shared" si="8"/>
        <v/>
      </c>
    </row>
    <row r="160" spans="3:7" ht="15" x14ac:dyDescent="0.25">
      <c r="C160" s="4" t="str">
        <f>IFERROR(AVERAGEIFS('2. Program Allocation Output'!$P:$P,'2. Program Allocation Output'!$AF:$AF,$A160,'2. Program Allocation Output'!$AG:$AG,$B160),"")</f>
        <v/>
      </c>
      <c r="D160" s="4" t="str">
        <f>IFERROR(AVERAGEIFS('2. Program Allocation Output'!$O:$O,'2. Program Allocation Output'!$AF:$AF,$A160,'2. Program Allocation Output'!$AG:$AG,$B160),"")</f>
        <v/>
      </c>
      <c r="E160" s="5" t="str">
        <f>IFERROR(AVERAGEIFS('2. Program Allocation Output'!$L:$L,'2. Program Allocation Output'!$AF:$AF,$A160,'2. Program Allocation Output'!$AG:$AG,$B160),"")</f>
        <v/>
      </c>
      <c r="F160" s="38" t="str">
        <f t="shared" si="7"/>
        <v/>
      </c>
      <c r="G160" t="str">
        <f t="shared" si="8"/>
        <v/>
      </c>
    </row>
    <row r="161" spans="3:7" ht="15" x14ac:dyDescent="0.25">
      <c r="C161" s="4" t="str">
        <f>IFERROR(AVERAGEIFS('2. Program Allocation Output'!$P:$P,'2. Program Allocation Output'!$AF:$AF,$A161,'2. Program Allocation Output'!$AG:$AG,$B161),"")</f>
        <v/>
      </c>
      <c r="D161" s="4" t="str">
        <f>IFERROR(AVERAGEIFS('2. Program Allocation Output'!$O:$O,'2. Program Allocation Output'!$AF:$AF,$A161,'2. Program Allocation Output'!$AG:$AG,$B161),"")</f>
        <v/>
      </c>
      <c r="E161" s="5" t="str">
        <f>IFERROR(AVERAGEIFS('2. Program Allocation Output'!$L:$L,'2. Program Allocation Output'!$AF:$AF,$A161,'2. Program Allocation Output'!$AG:$AG,$B161),"")</f>
        <v/>
      </c>
      <c r="F161" s="38" t="str">
        <f t="shared" si="7"/>
        <v/>
      </c>
      <c r="G161" t="str">
        <f t="shared" si="8"/>
        <v/>
      </c>
    </row>
    <row r="162" spans="3:7" ht="15" x14ac:dyDescent="0.25">
      <c r="C162" s="4" t="str">
        <f>IFERROR(AVERAGEIFS('2. Program Allocation Output'!$P:$P,'2. Program Allocation Output'!$AF:$AF,$A162,'2. Program Allocation Output'!$AG:$AG,$B162),"")</f>
        <v/>
      </c>
      <c r="D162" s="4" t="str">
        <f>IFERROR(AVERAGEIFS('2. Program Allocation Output'!$O:$O,'2. Program Allocation Output'!$AF:$AF,$A162,'2. Program Allocation Output'!$AG:$AG,$B162),"")</f>
        <v/>
      </c>
      <c r="E162" s="5" t="str">
        <f>IFERROR(AVERAGEIFS('2. Program Allocation Output'!$L:$L,'2. Program Allocation Output'!$AF:$AF,$A162,'2. Program Allocation Output'!$AG:$AG,$B162),"")</f>
        <v/>
      </c>
      <c r="F162" s="38" t="str">
        <f t="shared" si="7"/>
        <v/>
      </c>
      <c r="G162" t="str">
        <f t="shared" si="8"/>
        <v/>
      </c>
    </row>
    <row r="163" spans="3:7" ht="15" x14ac:dyDescent="0.25">
      <c r="C163" s="4" t="str">
        <f>IFERROR(AVERAGEIFS('2. Program Allocation Output'!$P:$P,'2. Program Allocation Output'!$AF:$AF,$A163,'2. Program Allocation Output'!$AG:$AG,$B163),"")</f>
        <v/>
      </c>
      <c r="D163" s="4" t="str">
        <f>IFERROR(AVERAGEIFS('2. Program Allocation Output'!$O:$O,'2. Program Allocation Output'!$AF:$AF,$A163,'2. Program Allocation Output'!$AG:$AG,$B163),"")</f>
        <v/>
      </c>
      <c r="E163" s="5" t="str">
        <f>IFERROR(AVERAGEIFS('2. Program Allocation Output'!$L:$L,'2. Program Allocation Output'!$AF:$AF,$A163,'2. Program Allocation Output'!$AG:$AG,$B163),"")</f>
        <v/>
      </c>
      <c r="F163" s="38" t="str">
        <f t="shared" si="7"/>
        <v/>
      </c>
      <c r="G163" t="str">
        <f t="shared" si="8"/>
        <v/>
      </c>
    </row>
    <row r="164" spans="3:7" ht="15" x14ac:dyDescent="0.25">
      <c r="C164" s="4" t="str">
        <f>IFERROR(AVERAGEIFS('2. Program Allocation Output'!$P:$P,'2. Program Allocation Output'!$AF:$AF,$A164,'2. Program Allocation Output'!$AG:$AG,$B164),"")</f>
        <v/>
      </c>
      <c r="D164" s="4" t="str">
        <f>IFERROR(AVERAGEIFS('2. Program Allocation Output'!$O:$O,'2. Program Allocation Output'!$AF:$AF,$A164,'2. Program Allocation Output'!$AG:$AG,$B164),"")</f>
        <v/>
      </c>
      <c r="E164" s="5" t="str">
        <f>IFERROR(AVERAGEIFS('2. Program Allocation Output'!$L:$L,'2. Program Allocation Output'!$AF:$AF,$A164,'2. Program Allocation Output'!$AG:$AG,$B164),"")</f>
        <v/>
      </c>
      <c r="F164" s="38" t="str">
        <f t="shared" si="7"/>
        <v/>
      </c>
      <c r="G164" t="str">
        <f t="shared" si="8"/>
        <v/>
      </c>
    </row>
    <row r="165" spans="3:7" ht="15" x14ac:dyDescent="0.25">
      <c r="C165" s="4" t="str">
        <f>IFERROR(AVERAGEIFS('2. Program Allocation Output'!$P:$P,'2. Program Allocation Output'!$AF:$AF,$A165,'2. Program Allocation Output'!$AG:$AG,$B165),"")</f>
        <v/>
      </c>
      <c r="D165" s="4" t="str">
        <f>IFERROR(AVERAGEIFS('2. Program Allocation Output'!$O:$O,'2. Program Allocation Output'!$AF:$AF,$A165,'2. Program Allocation Output'!$AG:$AG,$B165),"")</f>
        <v/>
      </c>
      <c r="E165" s="5" t="str">
        <f>IFERROR(AVERAGEIFS('2. Program Allocation Output'!$L:$L,'2. Program Allocation Output'!$AF:$AF,$A165,'2. Program Allocation Output'!$AG:$AG,$B165),"")</f>
        <v/>
      </c>
      <c r="F165" s="38" t="str">
        <f t="shared" si="7"/>
        <v/>
      </c>
      <c r="G165" t="str">
        <f t="shared" si="8"/>
        <v/>
      </c>
    </row>
    <row r="166" spans="3:7" ht="15" x14ac:dyDescent="0.25">
      <c r="C166" s="4" t="str">
        <f>IFERROR(AVERAGEIFS('2. Program Allocation Output'!$P:$P,'2. Program Allocation Output'!$AF:$AF,$A166,'2. Program Allocation Output'!$AG:$AG,$B166),"")</f>
        <v/>
      </c>
      <c r="D166" s="4" t="str">
        <f>IFERROR(AVERAGEIFS('2. Program Allocation Output'!$O:$O,'2. Program Allocation Output'!$AF:$AF,$A166,'2. Program Allocation Output'!$AG:$AG,$B166),"")</f>
        <v/>
      </c>
      <c r="E166" s="5" t="str">
        <f>IFERROR(AVERAGEIFS('2. Program Allocation Output'!$L:$L,'2. Program Allocation Output'!$AF:$AF,$A166,'2. Program Allocation Output'!$AG:$AG,$B166),"")</f>
        <v/>
      </c>
      <c r="F166" s="38" t="str">
        <f t="shared" si="7"/>
        <v/>
      </c>
      <c r="G166" t="str">
        <f t="shared" si="8"/>
        <v/>
      </c>
    </row>
    <row r="167" spans="3:7" ht="15" x14ac:dyDescent="0.25">
      <c r="C167" s="4" t="str">
        <f>IFERROR(AVERAGEIFS('2. Program Allocation Output'!$P:$P,'2. Program Allocation Output'!$AF:$AF,$A167,'2. Program Allocation Output'!$AG:$AG,$B167),"")</f>
        <v/>
      </c>
      <c r="D167" s="4" t="str">
        <f>IFERROR(AVERAGEIFS('2. Program Allocation Output'!$O:$O,'2. Program Allocation Output'!$AF:$AF,$A167,'2. Program Allocation Output'!$AG:$AG,$B167),"")</f>
        <v/>
      </c>
      <c r="E167" s="5" t="str">
        <f>IFERROR(AVERAGEIFS('2. Program Allocation Output'!$L:$L,'2. Program Allocation Output'!$AF:$AF,$A167,'2. Program Allocation Output'!$AG:$AG,$B167),"")</f>
        <v/>
      </c>
      <c r="F167" s="38" t="str">
        <f t="shared" si="7"/>
        <v/>
      </c>
      <c r="G167" t="str">
        <f t="shared" si="8"/>
        <v/>
      </c>
    </row>
    <row r="168" spans="3:7" ht="15" x14ac:dyDescent="0.25">
      <c r="C168" s="4" t="str">
        <f>IFERROR(AVERAGEIFS('2. Program Allocation Output'!$P:$P,'2. Program Allocation Output'!$AF:$AF,$A168,'2. Program Allocation Output'!$AG:$AG,$B168),"")</f>
        <v/>
      </c>
      <c r="D168" s="4" t="str">
        <f>IFERROR(AVERAGEIFS('2. Program Allocation Output'!$O:$O,'2. Program Allocation Output'!$AF:$AF,$A168,'2. Program Allocation Output'!$AG:$AG,$B168),"")</f>
        <v/>
      </c>
      <c r="E168" s="5" t="str">
        <f>IFERROR(AVERAGEIFS('2. Program Allocation Output'!$L:$L,'2. Program Allocation Output'!$AF:$AF,$A168,'2. Program Allocation Output'!$AG:$AG,$B168),"")</f>
        <v/>
      </c>
      <c r="F168" s="38" t="str">
        <f t="shared" si="7"/>
        <v/>
      </c>
      <c r="G168" t="str">
        <f t="shared" si="8"/>
        <v/>
      </c>
    </row>
    <row r="169" spans="3:7" ht="15" x14ac:dyDescent="0.25">
      <c r="C169" s="4" t="str">
        <f>IFERROR(AVERAGEIFS('2. Program Allocation Output'!$P:$P,'2. Program Allocation Output'!$AF:$AF,$A169,'2. Program Allocation Output'!$AG:$AG,$B169),"")</f>
        <v/>
      </c>
      <c r="D169" s="4" t="str">
        <f>IFERROR(AVERAGEIFS('2. Program Allocation Output'!$O:$O,'2. Program Allocation Output'!$AF:$AF,$A169,'2. Program Allocation Output'!$AG:$AG,$B169),"")</f>
        <v/>
      </c>
      <c r="E169" s="5" t="str">
        <f>IFERROR(AVERAGEIFS('2. Program Allocation Output'!$L:$L,'2. Program Allocation Output'!$AF:$AF,$A169,'2. Program Allocation Output'!$AG:$AG,$B169),"")</f>
        <v/>
      </c>
      <c r="F169" s="38" t="str">
        <f t="shared" si="7"/>
        <v/>
      </c>
      <c r="G169" t="str">
        <f t="shared" si="8"/>
        <v/>
      </c>
    </row>
    <row r="170" spans="3:7" ht="15" x14ac:dyDescent="0.25">
      <c r="C170" s="4" t="str">
        <f>IFERROR(AVERAGEIFS('2. Program Allocation Output'!$P:$P,'2. Program Allocation Output'!$AF:$AF,$A170,'2. Program Allocation Output'!$AG:$AG,$B170),"")</f>
        <v/>
      </c>
      <c r="D170" s="4" t="str">
        <f>IFERROR(AVERAGEIFS('2. Program Allocation Output'!$O:$O,'2. Program Allocation Output'!$AF:$AF,$A170,'2. Program Allocation Output'!$AG:$AG,$B170),"")</f>
        <v/>
      </c>
      <c r="E170" s="5" t="str">
        <f>IFERROR(AVERAGEIFS('2. Program Allocation Output'!$L:$L,'2. Program Allocation Output'!$AF:$AF,$A170,'2. Program Allocation Output'!$AG:$AG,$B170),"")</f>
        <v/>
      </c>
      <c r="F170" s="38" t="str">
        <f t="shared" si="7"/>
        <v/>
      </c>
      <c r="G170" t="str">
        <f t="shared" si="8"/>
        <v/>
      </c>
    </row>
    <row r="171" spans="3:7" ht="15" x14ac:dyDescent="0.25">
      <c r="C171" s="4" t="str">
        <f>IFERROR(AVERAGEIFS('2. Program Allocation Output'!$P:$P,'2. Program Allocation Output'!$AF:$AF,$A171,'2. Program Allocation Output'!$AG:$AG,$B171),"")</f>
        <v/>
      </c>
      <c r="D171" s="4" t="str">
        <f>IFERROR(AVERAGEIFS('2. Program Allocation Output'!$O:$O,'2. Program Allocation Output'!$AF:$AF,$A171,'2. Program Allocation Output'!$AG:$AG,$B171),"")</f>
        <v/>
      </c>
      <c r="E171" s="5" t="str">
        <f>IFERROR(AVERAGEIFS('2. Program Allocation Output'!$L:$L,'2. Program Allocation Output'!$AF:$AF,$A171,'2. Program Allocation Output'!$AG:$AG,$B171),"")</f>
        <v/>
      </c>
      <c r="F171" s="38" t="str">
        <f t="shared" si="7"/>
        <v/>
      </c>
      <c r="G171" t="str">
        <f t="shared" si="8"/>
        <v/>
      </c>
    </row>
    <row r="172" spans="3:7" ht="15" x14ac:dyDescent="0.25">
      <c r="C172" s="4" t="str">
        <f>IFERROR(AVERAGEIFS('2. Program Allocation Output'!$P:$P,'2. Program Allocation Output'!$AF:$AF,$A172,'2. Program Allocation Output'!$AG:$AG,$B172),"")</f>
        <v/>
      </c>
      <c r="D172" s="4" t="str">
        <f>IFERROR(AVERAGEIFS('2. Program Allocation Output'!$O:$O,'2. Program Allocation Output'!$AF:$AF,$A172,'2. Program Allocation Output'!$AG:$AG,$B172),"")</f>
        <v/>
      </c>
      <c r="E172" s="5" t="str">
        <f>IFERROR(AVERAGEIFS('2. Program Allocation Output'!$L:$L,'2. Program Allocation Output'!$AF:$AF,$A172,'2. Program Allocation Output'!$AG:$AG,$B172),"")</f>
        <v/>
      </c>
      <c r="F172" s="38" t="str">
        <f t="shared" si="7"/>
        <v/>
      </c>
      <c r="G172" t="str">
        <f t="shared" si="8"/>
        <v/>
      </c>
    </row>
    <row r="173" spans="3:7" ht="15" x14ac:dyDescent="0.25">
      <c r="C173" s="4" t="str">
        <f>IFERROR(AVERAGEIFS('2. Program Allocation Output'!$P:$P,'2. Program Allocation Output'!$AF:$AF,$A173,'2. Program Allocation Output'!$AG:$AG,$B173),"")</f>
        <v/>
      </c>
      <c r="D173" s="4" t="str">
        <f>IFERROR(AVERAGEIFS('2. Program Allocation Output'!$O:$O,'2. Program Allocation Output'!$AF:$AF,$A173,'2. Program Allocation Output'!$AG:$AG,$B173),"")</f>
        <v/>
      </c>
      <c r="E173" s="5" t="str">
        <f>IFERROR(AVERAGEIFS('2. Program Allocation Output'!$L:$L,'2. Program Allocation Output'!$AF:$AF,$A173,'2. Program Allocation Output'!$AG:$AG,$B173),"")</f>
        <v/>
      </c>
      <c r="F173" s="38" t="str">
        <f t="shared" si="7"/>
        <v/>
      </c>
      <c r="G173" t="str">
        <f t="shared" si="8"/>
        <v/>
      </c>
    </row>
    <row r="174" spans="3:7" ht="15" x14ac:dyDescent="0.25">
      <c r="C174" s="4" t="str">
        <f>IFERROR(AVERAGEIFS('2. Program Allocation Output'!$P:$P,'2. Program Allocation Output'!$AF:$AF,$A174,'2. Program Allocation Output'!$AG:$AG,$B174),"")</f>
        <v/>
      </c>
      <c r="D174" s="4" t="str">
        <f>IFERROR(AVERAGEIFS('2. Program Allocation Output'!$O:$O,'2. Program Allocation Output'!$AF:$AF,$A174,'2. Program Allocation Output'!$AG:$AG,$B174),"")</f>
        <v/>
      </c>
      <c r="E174" s="5" t="str">
        <f>IFERROR(AVERAGEIFS('2. Program Allocation Output'!$L:$L,'2. Program Allocation Output'!$AF:$AF,$A174,'2. Program Allocation Output'!$AG:$AG,$B174),"")</f>
        <v/>
      </c>
      <c r="F174" s="38" t="str">
        <f t="shared" si="7"/>
        <v/>
      </c>
      <c r="G174" t="str">
        <f t="shared" si="8"/>
        <v/>
      </c>
    </row>
    <row r="175" spans="3:7" ht="15" x14ac:dyDescent="0.25">
      <c r="C175" s="4" t="str">
        <f>IFERROR(AVERAGEIFS('2. Program Allocation Output'!$P:$P,'2. Program Allocation Output'!$AF:$AF,$A175,'2. Program Allocation Output'!$AG:$AG,$B175),"")</f>
        <v/>
      </c>
      <c r="D175" s="4" t="str">
        <f>IFERROR(AVERAGEIFS('2. Program Allocation Output'!$O:$O,'2. Program Allocation Output'!$AF:$AF,$A175,'2. Program Allocation Output'!$AG:$AG,$B175),"")</f>
        <v/>
      </c>
      <c r="E175" s="5" t="str">
        <f>IFERROR(AVERAGEIFS('2. Program Allocation Output'!$L:$L,'2. Program Allocation Output'!$AF:$AF,$A175,'2. Program Allocation Output'!$AG:$AG,$B175),"")</f>
        <v/>
      </c>
      <c r="F175" s="38" t="str">
        <f t="shared" si="7"/>
        <v/>
      </c>
      <c r="G175" t="str">
        <f t="shared" si="8"/>
        <v/>
      </c>
    </row>
    <row r="176" spans="3:7" ht="15" x14ac:dyDescent="0.25">
      <c r="C176" s="4" t="str">
        <f>IFERROR(AVERAGEIFS('2. Program Allocation Output'!$P:$P,'2. Program Allocation Output'!$AF:$AF,$A176,'2. Program Allocation Output'!$AG:$AG,$B176),"")</f>
        <v/>
      </c>
      <c r="D176" s="4" t="str">
        <f>IFERROR(AVERAGEIFS('2. Program Allocation Output'!$O:$O,'2. Program Allocation Output'!$AF:$AF,$A176,'2. Program Allocation Output'!$AG:$AG,$B176),"")</f>
        <v/>
      </c>
      <c r="E176" s="5" t="str">
        <f>IFERROR(AVERAGEIFS('2. Program Allocation Output'!$L:$L,'2. Program Allocation Output'!$AF:$AF,$A176,'2. Program Allocation Output'!$AG:$AG,$B176),"")</f>
        <v/>
      </c>
      <c r="F176" s="38" t="str">
        <f t="shared" si="7"/>
        <v/>
      </c>
      <c r="G176" t="str">
        <f t="shared" si="8"/>
        <v/>
      </c>
    </row>
    <row r="177" spans="3:7" ht="15" x14ac:dyDescent="0.25">
      <c r="C177" s="4" t="str">
        <f>IFERROR(AVERAGEIFS('2. Program Allocation Output'!$P:$P,'2. Program Allocation Output'!$AF:$AF,$A177,'2. Program Allocation Output'!$AG:$AG,$B177),"")</f>
        <v/>
      </c>
      <c r="D177" s="4" t="str">
        <f>IFERROR(AVERAGEIFS('2. Program Allocation Output'!$O:$O,'2. Program Allocation Output'!$AF:$AF,$A177,'2. Program Allocation Output'!$AG:$AG,$B177),"")</f>
        <v/>
      </c>
      <c r="E177" s="5" t="str">
        <f>IFERROR(AVERAGEIFS('2. Program Allocation Output'!$L:$L,'2. Program Allocation Output'!$AF:$AF,$A177,'2. Program Allocation Output'!$AG:$AG,$B177),"")</f>
        <v/>
      </c>
      <c r="F177" s="38" t="str">
        <f t="shared" si="7"/>
        <v/>
      </c>
      <c r="G177" t="str">
        <f t="shared" si="8"/>
        <v/>
      </c>
    </row>
    <row r="178" spans="3:7" ht="15" x14ac:dyDescent="0.25">
      <c r="C178" s="4" t="str">
        <f>IFERROR(AVERAGEIFS('2. Program Allocation Output'!$P:$P,'2. Program Allocation Output'!$AF:$AF,$A178,'2. Program Allocation Output'!$AG:$AG,$B178),"")</f>
        <v/>
      </c>
      <c r="D178" s="4" t="str">
        <f>IFERROR(AVERAGEIFS('2. Program Allocation Output'!$O:$O,'2. Program Allocation Output'!$AF:$AF,$A178,'2. Program Allocation Output'!$AG:$AG,$B178),"")</f>
        <v/>
      </c>
      <c r="E178" s="5" t="str">
        <f>IFERROR(AVERAGEIFS('2. Program Allocation Output'!$L:$L,'2. Program Allocation Output'!$AF:$AF,$A178,'2. Program Allocation Output'!$AG:$AG,$B178),"")</f>
        <v/>
      </c>
      <c r="F178" s="38" t="str">
        <f t="shared" si="7"/>
        <v/>
      </c>
      <c r="G178" t="str">
        <f t="shared" si="8"/>
        <v/>
      </c>
    </row>
    <row r="179" spans="3:7" ht="15" x14ac:dyDescent="0.25">
      <c r="C179" s="4" t="str">
        <f>IFERROR(AVERAGEIFS('2. Program Allocation Output'!$P:$P,'2. Program Allocation Output'!$AF:$AF,$A179,'2. Program Allocation Output'!$AG:$AG,$B179),"")</f>
        <v/>
      </c>
      <c r="D179" s="4" t="str">
        <f>IFERROR(AVERAGEIFS('2. Program Allocation Output'!$O:$O,'2. Program Allocation Output'!$AF:$AF,$A179,'2. Program Allocation Output'!$AG:$AG,$B179),"")</f>
        <v/>
      </c>
      <c r="E179" s="5" t="str">
        <f>IFERROR(AVERAGEIFS('2. Program Allocation Output'!$L:$L,'2. Program Allocation Output'!$AF:$AF,$A179,'2. Program Allocation Output'!$AG:$AG,$B179),"")</f>
        <v/>
      </c>
      <c r="F179" s="38" t="str">
        <f t="shared" si="7"/>
        <v/>
      </c>
      <c r="G179" t="str">
        <f t="shared" si="8"/>
        <v/>
      </c>
    </row>
    <row r="180" spans="3:7" ht="15" x14ac:dyDescent="0.25">
      <c r="C180" s="4" t="str">
        <f>IFERROR(AVERAGEIFS('2. Program Allocation Output'!$P:$P,'2. Program Allocation Output'!$AF:$AF,$A180,'2. Program Allocation Output'!$AG:$AG,$B180),"")</f>
        <v/>
      </c>
      <c r="D180" s="4" t="str">
        <f>IFERROR(AVERAGEIFS('2. Program Allocation Output'!$O:$O,'2. Program Allocation Output'!$AF:$AF,$A180,'2. Program Allocation Output'!$AG:$AG,$B180),"")</f>
        <v/>
      </c>
      <c r="E180" s="5" t="str">
        <f>IFERROR(AVERAGEIFS('2. Program Allocation Output'!$L:$L,'2. Program Allocation Output'!$AF:$AF,$A180,'2. Program Allocation Output'!$AG:$AG,$B180),"")</f>
        <v/>
      </c>
      <c r="F180" s="38" t="str">
        <f t="shared" si="7"/>
        <v/>
      </c>
      <c r="G180" t="str">
        <f t="shared" si="8"/>
        <v/>
      </c>
    </row>
    <row r="181" spans="3:7" ht="15" x14ac:dyDescent="0.25">
      <c r="C181" s="4" t="str">
        <f>IFERROR(AVERAGEIFS('2. Program Allocation Output'!$P:$P,'2. Program Allocation Output'!$AF:$AF,$A181,'2. Program Allocation Output'!$AG:$AG,$B181),"")</f>
        <v/>
      </c>
      <c r="D181" s="4" t="str">
        <f>IFERROR(AVERAGEIFS('2. Program Allocation Output'!$O:$O,'2. Program Allocation Output'!$AF:$AF,$A181,'2. Program Allocation Output'!$AG:$AG,$B181),"")</f>
        <v/>
      </c>
      <c r="E181" s="5" t="str">
        <f>IFERROR(AVERAGEIFS('2. Program Allocation Output'!$L:$L,'2. Program Allocation Output'!$AF:$AF,$A181,'2. Program Allocation Output'!$AG:$AG,$B181),"")</f>
        <v/>
      </c>
      <c r="F181" s="38" t="str">
        <f t="shared" si="7"/>
        <v/>
      </c>
      <c r="G181" t="str">
        <f t="shared" si="8"/>
        <v/>
      </c>
    </row>
    <row r="182" spans="3:7" ht="15" x14ac:dyDescent="0.25">
      <c r="C182" s="4" t="str">
        <f>IFERROR(AVERAGEIFS('2. Program Allocation Output'!$P:$P,'2. Program Allocation Output'!$AF:$AF,$A182,'2. Program Allocation Output'!$AG:$AG,$B182),"")</f>
        <v/>
      </c>
      <c r="D182" s="4" t="str">
        <f>IFERROR(AVERAGEIFS('2. Program Allocation Output'!$O:$O,'2. Program Allocation Output'!$AF:$AF,$A182,'2. Program Allocation Output'!$AG:$AG,$B182),"")</f>
        <v/>
      </c>
      <c r="E182" s="5" t="str">
        <f>IFERROR(AVERAGEIFS('2. Program Allocation Output'!$L:$L,'2. Program Allocation Output'!$AF:$AF,$A182,'2. Program Allocation Output'!$AG:$AG,$B182),"")</f>
        <v/>
      </c>
      <c r="F182" s="38" t="str">
        <f t="shared" si="7"/>
        <v/>
      </c>
      <c r="G182" t="str">
        <f t="shared" si="8"/>
        <v/>
      </c>
    </row>
    <row r="183" spans="3:7" ht="15" x14ac:dyDescent="0.25">
      <c r="C183" s="4" t="str">
        <f>IFERROR(AVERAGEIFS('2. Program Allocation Output'!$P:$P,'2. Program Allocation Output'!$AF:$AF,$A183,'2. Program Allocation Output'!$AG:$AG,$B183),"")</f>
        <v/>
      </c>
      <c r="D183" s="4" t="str">
        <f>IFERROR(AVERAGEIFS('2. Program Allocation Output'!$O:$O,'2. Program Allocation Output'!$AF:$AF,$A183,'2. Program Allocation Output'!$AG:$AG,$B183),"")</f>
        <v/>
      </c>
      <c r="E183" s="5" t="str">
        <f>IFERROR(AVERAGEIFS('2. Program Allocation Output'!$L:$L,'2. Program Allocation Output'!$AF:$AF,$A183,'2. Program Allocation Output'!$AG:$AG,$B183),"")</f>
        <v/>
      </c>
      <c r="F183" s="38" t="str">
        <f t="shared" si="7"/>
        <v/>
      </c>
      <c r="G183" t="str">
        <f t="shared" si="8"/>
        <v/>
      </c>
    </row>
    <row r="184" spans="3:7" ht="15" x14ac:dyDescent="0.25">
      <c r="C184" s="4" t="str">
        <f>IFERROR(AVERAGEIFS('2. Program Allocation Output'!$P:$P,'2. Program Allocation Output'!$AF:$AF,$A184,'2. Program Allocation Output'!$AG:$AG,$B184),"")</f>
        <v/>
      </c>
      <c r="D184" s="4" t="str">
        <f>IFERROR(AVERAGEIFS('2. Program Allocation Output'!$O:$O,'2. Program Allocation Output'!$AF:$AF,$A184,'2. Program Allocation Output'!$AG:$AG,$B184),"")</f>
        <v/>
      </c>
      <c r="E184" s="5" t="str">
        <f>IFERROR(AVERAGEIFS('2. Program Allocation Output'!$L:$L,'2. Program Allocation Output'!$AF:$AF,$A184,'2. Program Allocation Output'!$AG:$AG,$B184),"")</f>
        <v/>
      </c>
      <c r="F184" s="38" t="str">
        <f t="shared" si="7"/>
        <v/>
      </c>
      <c r="G184" t="str">
        <f t="shared" si="8"/>
        <v/>
      </c>
    </row>
    <row r="185" spans="3:7" ht="15" x14ac:dyDescent="0.25">
      <c r="C185" s="4" t="str">
        <f>IFERROR(AVERAGEIFS('2. Program Allocation Output'!$P:$P,'2. Program Allocation Output'!$AF:$AF,$A185,'2. Program Allocation Output'!$AG:$AG,$B185),"")</f>
        <v/>
      </c>
      <c r="D185" s="4" t="str">
        <f>IFERROR(AVERAGEIFS('2. Program Allocation Output'!$O:$O,'2. Program Allocation Output'!$AF:$AF,$A185,'2. Program Allocation Output'!$AG:$AG,$B185),"")</f>
        <v/>
      </c>
      <c r="E185" s="5" t="str">
        <f>IFERROR(AVERAGEIFS('2. Program Allocation Output'!$L:$L,'2. Program Allocation Output'!$AF:$AF,$A185,'2. Program Allocation Output'!$AG:$AG,$B185),"")</f>
        <v/>
      </c>
      <c r="F185" s="38" t="str">
        <f t="shared" si="7"/>
        <v/>
      </c>
      <c r="G185" t="str">
        <f t="shared" si="8"/>
        <v/>
      </c>
    </row>
    <row r="186" spans="3:7" ht="15" x14ac:dyDescent="0.25">
      <c r="C186" s="4" t="str">
        <f>IFERROR(AVERAGEIFS('2. Program Allocation Output'!$P:$P,'2. Program Allocation Output'!$AF:$AF,$A186,'2. Program Allocation Output'!$AG:$AG,$B186),"")</f>
        <v/>
      </c>
      <c r="D186" s="4" t="str">
        <f>IFERROR(AVERAGEIFS('2. Program Allocation Output'!$O:$O,'2. Program Allocation Output'!$AF:$AF,$A186,'2. Program Allocation Output'!$AG:$AG,$B186),"")</f>
        <v/>
      </c>
      <c r="E186" s="5" t="str">
        <f>IFERROR(AVERAGEIFS('2. Program Allocation Output'!$L:$L,'2. Program Allocation Output'!$AF:$AF,$A186,'2. Program Allocation Output'!$AG:$AG,$B186),"")</f>
        <v/>
      </c>
      <c r="F186" s="38" t="str">
        <f t="shared" si="7"/>
        <v/>
      </c>
      <c r="G186" t="str">
        <f t="shared" si="8"/>
        <v/>
      </c>
    </row>
    <row r="187" spans="3:7" ht="15" x14ac:dyDescent="0.25">
      <c r="C187" s="4" t="str">
        <f>IFERROR(AVERAGEIFS('2. Program Allocation Output'!$P:$P,'2. Program Allocation Output'!$AF:$AF,$A187,'2. Program Allocation Output'!$AG:$AG,$B187),"")</f>
        <v/>
      </c>
      <c r="D187" s="4" t="str">
        <f>IFERROR(AVERAGEIFS('2. Program Allocation Output'!$O:$O,'2. Program Allocation Output'!$AF:$AF,$A187,'2. Program Allocation Output'!$AG:$AG,$B187),"")</f>
        <v/>
      </c>
      <c r="E187" s="5" t="str">
        <f>IFERROR(AVERAGEIFS('2. Program Allocation Output'!$L:$L,'2. Program Allocation Output'!$AF:$AF,$A187,'2. Program Allocation Output'!$AG:$AG,$B187),"")</f>
        <v/>
      </c>
      <c r="F187" s="38" t="str">
        <f t="shared" si="7"/>
        <v/>
      </c>
      <c r="G187" t="str">
        <f t="shared" si="8"/>
        <v/>
      </c>
    </row>
    <row r="188" spans="3:7" ht="15" x14ac:dyDescent="0.25">
      <c r="C188" s="4" t="str">
        <f>IFERROR(AVERAGEIFS('2. Program Allocation Output'!$P:$P,'2. Program Allocation Output'!$AF:$AF,$A188,'2. Program Allocation Output'!$AG:$AG,$B188),"")</f>
        <v/>
      </c>
      <c r="D188" s="4" t="str">
        <f>IFERROR(AVERAGEIFS('2. Program Allocation Output'!$O:$O,'2. Program Allocation Output'!$AF:$AF,$A188,'2. Program Allocation Output'!$AG:$AG,$B188),"")</f>
        <v/>
      </c>
      <c r="E188" s="5" t="str">
        <f>IFERROR(AVERAGEIFS('2. Program Allocation Output'!$L:$L,'2. Program Allocation Output'!$AF:$AF,$A188,'2. Program Allocation Output'!$AG:$AG,$B188),"")</f>
        <v/>
      </c>
      <c r="F188" s="38" t="str">
        <f t="shared" si="7"/>
        <v/>
      </c>
      <c r="G188" t="str">
        <f t="shared" si="8"/>
        <v/>
      </c>
    </row>
    <row r="189" spans="3:7" ht="15" x14ac:dyDescent="0.25">
      <c r="C189" s="4" t="str">
        <f>IFERROR(AVERAGEIFS('2. Program Allocation Output'!$P:$P,'2. Program Allocation Output'!$AF:$AF,$A189,'2. Program Allocation Output'!$AG:$AG,$B189),"")</f>
        <v/>
      </c>
      <c r="D189" s="4" t="str">
        <f>IFERROR(AVERAGEIFS('2. Program Allocation Output'!$O:$O,'2. Program Allocation Output'!$AF:$AF,$A189,'2. Program Allocation Output'!$AG:$AG,$B189),"")</f>
        <v/>
      </c>
      <c r="E189" s="5" t="str">
        <f>IFERROR(AVERAGEIFS('2. Program Allocation Output'!$L:$L,'2. Program Allocation Output'!$AF:$AF,$A189,'2. Program Allocation Output'!$AG:$AG,$B189),"")</f>
        <v/>
      </c>
      <c r="F189" s="38" t="str">
        <f t="shared" si="7"/>
        <v/>
      </c>
      <c r="G189" t="str">
        <f t="shared" si="8"/>
        <v/>
      </c>
    </row>
    <row r="190" spans="3:7" ht="15" x14ac:dyDescent="0.25">
      <c r="C190" s="4" t="str">
        <f>IFERROR(AVERAGEIFS('2. Program Allocation Output'!$P:$P,'2. Program Allocation Output'!$AF:$AF,$A190,'2. Program Allocation Output'!$AG:$AG,$B190),"")</f>
        <v/>
      </c>
      <c r="D190" s="4" t="str">
        <f>IFERROR(AVERAGEIFS('2. Program Allocation Output'!$O:$O,'2. Program Allocation Output'!$AF:$AF,$A190,'2. Program Allocation Output'!$AG:$AG,$B190),"")</f>
        <v/>
      </c>
      <c r="E190" s="5" t="str">
        <f>IFERROR(AVERAGEIFS('2. Program Allocation Output'!$L:$L,'2. Program Allocation Output'!$AF:$AF,$A190,'2. Program Allocation Output'!$AG:$AG,$B190),"")</f>
        <v/>
      </c>
      <c r="F190" s="38" t="str">
        <f t="shared" si="7"/>
        <v/>
      </c>
      <c r="G190" t="str">
        <f t="shared" si="8"/>
        <v/>
      </c>
    </row>
    <row r="191" spans="3:7" ht="15" x14ac:dyDescent="0.25">
      <c r="C191" s="4" t="str">
        <f>IFERROR(AVERAGEIFS('2. Program Allocation Output'!$P:$P,'2. Program Allocation Output'!$AF:$AF,$A191,'2. Program Allocation Output'!$AG:$AG,$B191),"")</f>
        <v/>
      </c>
      <c r="D191" s="4" t="str">
        <f>IFERROR(AVERAGEIFS('2. Program Allocation Output'!$O:$O,'2. Program Allocation Output'!$AF:$AF,$A191,'2. Program Allocation Output'!$AG:$AG,$B191),"")</f>
        <v/>
      </c>
      <c r="E191" s="5" t="str">
        <f>IFERROR(AVERAGEIFS('2. Program Allocation Output'!$L:$L,'2. Program Allocation Output'!$AF:$AF,$A191,'2. Program Allocation Output'!$AG:$AG,$B191),"")</f>
        <v/>
      </c>
      <c r="F191" s="38" t="str">
        <f t="shared" si="7"/>
        <v/>
      </c>
      <c r="G191" t="str">
        <f t="shared" si="8"/>
        <v/>
      </c>
    </row>
    <row r="192" spans="3:7" ht="15" x14ac:dyDescent="0.25">
      <c r="C192" s="4" t="str">
        <f>IFERROR(AVERAGEIFS('2. Program Allocation Output'!$P:$P,'2. Program Allocation Output'!$AF:$AF,$A192,'2. Program Allocation Output'!$AG:$AG,$B192),"")</f>
        <v/>
      </c>
      <c r="D192" s="4" t="str">
        <f>IFERROR(AVERAGEIFS('2. Program Allocation Output'!$O:$O,'2. Program Allocation Output'!$AF:$AF,$A192,'2. Program Allocation Output'!$AG:$AG,$B192),"")</f>
        <v/>
      </c>
      <c r="E192" s="5" t="str">
        <f>IFERROR(AVERAGEIFS('2. Program Allocation Output'!$L:$L,'2. Program Allocation Output'!$AF:$AF,$A192,'2. Program Allocation Output'!$AG:$AG,$B192),"")</f>
        <v/>
      </c>
      <c r="F192" s="38" t="str">
        <f t="shared" si="7"/>
        <v/>
      </c>
      <c r="G192" t="str">
        <f t="shared" si="8"/>
        <v/>
      </c>
    </row>
    <row r="193" spans="3:7" ht="15" x14ac:dyDescent="0.25">
      <c r="C193" s="4" t="str">
        <f>IFERROR(AVERAGEIFS('2. Program Allocation Output'!$P:$P,'2. Program Allocation Output'!$AF:$AF,$A193,'2. Program Allocation Output'!$AG:$AG,$B193),"")</f>
        <v/>
      </c>
      <c r="D193" s="4" t="str">
        <f>IFERROR(AVERAGEIFS('2. Program Allocation Output'!$O:$O,'2. Program Allocation Output'!$AF:$AF,$A193,'2. Program Allocation Output'!$AG:$AG,$B193),"")</f>
        <v/>
      </c>
      <c r="E193" s="5" t="str">
        <f>IFERROR(AVERAGEIFS('2. Program Allocation Output'!$L:$L,'2. Program Allocation Output'!$AF:$AF,$A193,'2. Program Allocation Output'!$AG:$AG,$B193),"")</f>
        <v/>
      </c>
      <c r="F193" s="38" t="str">
        <f t="shared" si="7"/>
        <v/>
      </c>
      <c r="G193" t="str">
        <f t="shared" si="8"/>
        <v/>
      </c>
    </row>
    <row r="194" spans="3:7" ht="15" x14ac:dyDescent="0.25">
      <c r="C194" s="4" t="str">
        <f>IFERROR(AVERAGEIFS('2. Program Allocation Output'!$P:$P,'2. Program Allocation Output'!$AF:$AF,$A194,'2. Program Allocation Output'!$AG:$AG,$B194),"")</f>
        <v/>
      </c>
      <c r="D194" s="4" t="str">
        <f>IFERROR(AVERAGEIFS('2. Program Allocation Output'!$O:$O,'2. Program Allocation Output'!$AF:$AF,$A194,'2. Program Allocation Output'!$AG:$AG,$B194),"")</f>
        <v/>
      </c>
      <c r="E194" s="5" t="str">
        <f>IFERROR(AVERAGEIFS('2. Program Allocation Output'!$L:$L,'2. Program Allocation Output'!$AF:$AF,$A194,'2. Program Allocation Output'!$AG:$AG,$B194),"")</f>
        <v/>
      </c>
      <c r="F194" s="38" t="str">
        <f t="shared" si="7"/>
        <v/>
      </c>
      <c r="G194" t="str">
        <f t="shared" si="8"/>
        <v/>
      </c>
    </row>
    <row r="195" spans="3:7" ht="15" x14ac:dyDescent="0.25">
      <c r="C195" s="4" t="str">
        <f>IFERROR(AVERAGEIFS('2. Program Allocation Output'!$P:$P,'2. Program Allocation Output'!$AF:$AF,$A195,'2. Program Allocation Output'!$AG:$AG,$B195),"")</f>
        <v/>
      </c>
      <c r="D195" s="4" t="str">
        <f>IFERROR(AVERAGEIFS('2. Program Allocation Output'!$O:$O,'2. Program Allocation Output'!$AF:$AF,$A195,'2. Program Allocation Output'!$AG:$AG,$B195),"")</f>
        <v/>
      </c>
      <c r="E195" s="5" t="str">
        <f>IFERROR(AVERAGEIFS('2. Program Allocation Output'!$L:$L,'2. Program Allocation Output'!$AF:$AF,$A195,'2. Program Allocation Output'!$AG:$AG,$B195),"")</f>
        <v/>
      </c>
      <c r="F195" s="38" t="str">
        <f t="shared" ref="F195:F258" si="9">IFERROR(C195*1,"")</f>
        <v/>
      </c>
      <c r="G195" t="str">
        <f t="shared" si="8"/>
        <v/>
      </c>
    </row>
    <row r="196" spans="3:7" ht="15" x14ac:dyDescent="0.25">
      <c r="C196" s="4" t="str">
        <f>IFERROR(AVERAGEIFS('2. Program Allocation Output'!$P:$P,'2. Program Allocation Output'!$AF:$AF,$A196,'2. Program Allocation Output'!$AG:$AG,$B196),"")</f>
        <v/>
      </c>
      <c r="D196" s="4" t="str">
        <f>IFERROR(AVERAGEIFS('2. Program Allocation Output'!$O:$O,'2. Program Allocation Output'!$AF:$AF,$A196,'2. Program Allocation Output'!$AG:$AG,$B196),"")</f>
        <v/>
      </c>
      <c r="E196" s="5" t="str">
        <f>IFERROR(AVERAGEIFS('2. Program Allocation Output'!$L:$L,'2. Program Allocation Output'!$AF:$AF,$A196,'2. Program Allocation Output'!$AG:$AG,$B196),"")</f>
        <v/>
      </c>
      <c r="F196" s="38" t="str">
        <f t="shared" si="9"/>
        <v/>
      </c>
      <c r="G196" t="str">
        <f t="shared" si="8"/>
        <v/>
      </c>
    </row>
    <row r="197" spans="3:7" ht="15" x14ac:dyDescent="0.25">
      <c r="C197" s="4" t="str">
        <f>IFERROR(AVERAGEIFS('2. Program Allocation Output'!$P:$P,'2. Program Allocation Output'!$AF:$AF,$A197,'2. Program Allocation Output'!$AG:$AG,$B197),"")</f>
        <v/>
      </c>
      <c r="D197" s="4" t="str">
        <f>IFERROR(AVERAGEIFS('2. Program Allocation Output'!$O:$O,'2. Program Allocation Output'!$AF:$AF,$A197,'2. Program Allocation Output'!$AG:$AG,$B197),"")</f>
        <v/>
      </c>
      <c r="E197" s="5" t="str">
        <f>IFERROR(AVERAGEIFS('2. Program Allocation Output'!$L:$L,'2. Program Allocation Output'!$AF:$AF,$A197,'2. Program Allocation Output'!$AG:$AG,$B197),"")</f>
        <v/>
      </c>
      <c r="F197" s="38" t="str">
        <f t="shared" si="9"/>
        <v/>
      </c>
      <c r="G197" t="str">
        <f t="shared" si="8"/>
        <v/>
      </c>
    </row>
    <row r="198" spans="3:7" ht="15" x14ac:dyDescent="0.25">
      <c r="C198" s="4" t="str">
        <f>IFERROR(AVERAGEIFS('2. Program Allocation Output'!$P:$P,'2. Program Allocation Output'!$AF:$AF,$A198,'2. Program Allocation Output'!$AG:$AG,$B198),"")</f>
        <v/>
      </c>
      <c r="D198" s="4" t="str">
        <f>IFERROR(AVERAGEIFS('2. Program Allocation Output'!$O:$O,'2. Program Allocation Output'!$AF:$AF,$A198,'2. Program Allocation Output'!$AG:$AG,$B198),"")</f>
        <v/>
      </c>
      <c r="E198" s="5" t="str">
        <f>IFERROR(AVERAGEIFS('2. Program Allocation Output'!$L:$L,'2. Program Allocation Output'!$AF:$AF,$A198,'2. Program Allocation Output'!$AG:$AG,$B198),"")</f>
        <v/>
      </c>
      <c r="F198" s="38" t="str">
        <f t="shared" si="9"/>
        <v/>
      </c>
      <c r="G198" t="str">
        <f t="shared" si="8"/>
        <v/>
      </c>
    </row>
    <row r="199" spans="3:7" ht="15" x14ac:dyDescent="0.25">
      <c r="C199" s="4" t="str">
        <f>IFERROR(AVERAGEIFS('2. Program Allocation Output'!$P:$P,'2. Program Allocation Output'!$AF:$AF,$A199,'2. Program Allocation Output'!$AG:$AG,$B199),"")</f>
        <v/>
      </c>
      <c r="D199" s="4" t="str">
        <f>IFERROR(AVERAGEIFS('2. Program Allocation Output'!$O:$O,'2. Program Allocation Output'!$AF:$AF,$A199,'2. Program Allocation Output'!$AG:$AG,$B199),"")</f>
        <v/>
      </c>
      <c r="E199" s="5" t="str">
        <f>IFERROR(AVERAGEIFS('2. Program Allocation Output'!$L:$L,'2. Program Allocation Output'!$AF:$AF,$A199,'2. Program Allocation Output'!$AG:$AG,$B199),"")</f>
        <v/>
      </c>
      <c r="F199" s="38" t="str">
        <f t="shared" si="9"/>
        <v/>
      </c>
      <c r="G199" t="str">
        <f t="shared" si="8"/>
        <v/>
      </c>
    </row>
    <row r="200" spans="3:7" ht="15" x14ac:dyDescent="0.25">
      <c r="C200" s="4" t="str">
        <f>IFERROR(AVERAGEIFS('2. Program Allocation Output'!$P:$P,'2. Program Allocation Output'!$AF:$AF,$A200,'2. Program Allocation Output'!$AG:$AG,$B200),"")</f>
        <v/>
      </c>
      <c r="D200" s="4" t="str">
        <f>IFERROR(AVERAGEIFS('2. Program Allocation Output'!$O:$O,'2. Program Allocation Output'!$AF:$AF,$A200,'2. Program Allocation Output'!$AG:$AG,$B200),"")</f>
        <v/>
      </c>
      <c r="E200" s="5" t="str">
        <f>IFERROR(AVERAGEIFS('2. Program Allocation Output'!$L:$L,'2. Program Allocation Output'!$AF:$AF,$A200,'2. Program Allocation Output'!$AG:$AG,$B200),"")</f>
        <v/>
      </c>
      <c r="F200" s="38" t="str">
        <f t="shared" si="9"/>
        <v/>
      </c>
      <c r="G200" t="str">
        <f t="shared" si="8"/>
        <v/>
      </c>
    </row>
    <row r="201" spans="3:7" ht="15" hidden="1" x14ac:dyDescent="0.25">
      <c r="C201" s="4" t="str">
        <f>IFERROR(AVERAGEIFS('2. Program Allocation Output'!$P:$P,'2. Program Allocation Output'!$AF:$AF,$A201,'2. Program Allocation Output'!$AG:$AG,$B201),"")</f>
        <v/>
      </c>
      <c r="D201" s="4" t="str">
        <f>IFERROR(AVERAGEIFS('2. Program Allocation Output'!$O:$O,'2. Program Allocation Output'!$AF:$AF,$A201,'2. Program Allocation Output'!$AG:$AG,$B201),"")</f>
        <v/>
      </c>
      <c r="E201" s="5" t="str">
        <f>IFERROR(AVERAGEIFS('2. Program Allocation Output'!$L:$L,'2. Program Allocation Output'!$AF:$AF,$A201,'2. Program Allocation Output'!$AG:$AG,$B201),"")</f>
        <v/>
      </c>
      <c r="F201" s="39" t="str">
        <f t="shared" si="9"/>
        <v/>
      </c>
      <c r="G201" t="str">
        <f t="shared" si="8"/>
        <v/>
      </c>
    </row>
    <row r="202" spans="3:7" ht="15" hidden="1" x14ac:dyDescent="0.25">
      <c r="C202" s="4" t="str">
        <f>IFERROR(AVERAGEIFS('2. Program Allocation Output'!$P:$P,'2. Program Allocation Output'!$AF:$AF,$A202,'2. Program Allocation Output'!$AG:$AG,$B202),"")</f>
        <v/>
      </c>
      <c r="D202" s="4" t="str">
        <f>IFERROR(AVERAGEIFS('2. Program Allocation Output'!$O:$O,'2. Program Allocation Output'!$AF:$AF,$A202,'2. Program Allocation Output'!$AG:$AG,$B202),"")</f>
        <v/>
      </c>
      <c r="E202" s="5" t="str">
        <f>IFERROR(AVERAGEIFS('2. Program Allocation Output'!$L:$L,'2. Program Allocation Output'!$AF:$AF,$A202,'2. Program Allocation Output'!$AG:$AG,$B202),"")</f>
        <v/>
      </c>
      <c r="F202" s="39" t="str">
        <f t="shared" si="9"/>
        <v/>
      </c>
      <c r="G202" t="str">
        <f t="shared" si="8"/>
        <v/>
      </c>
    </row>
    <row r="203" spans="3:7" ht="15" hidden="1" x14ac:dyDescent="0.25">
      <c r="C203" s="4" t="str">
        <f>IFERROR(AVERAGEIFS('2. Program Allocation Output'!$P:$P,'2. Program Allocation Output'!$AF:$AF,$A203,'2. Program Allocation Output'!$AG:$AG,$B203),"")</f>
        <v/>
      </c>
      <c r="D203" s="4" t="str">
        <f>IFERROR(AVERAGEIFS('2. Program Allocation Output'!$O:$O,'2. Program Allocation Output'!$AF:$AF,$A203,'2. Program Allocation Output'!$AG:$AG,$B203),"")</f>
        <v/>
      </c>
      <c r="E203" s="5" t="str">
        <f>IFERROR(AVERAGEIFS('2. Program Allocation Output'!$L:$L,'2. Program Allocation Output'!$AF:$AF,$A203,'2. Program Allocation Output'!$AG:$AG,$B203),"")</f>
        <v/>
      </c>
      <c r="F203" s="39" t="str">
        <f t="shared" si="9"/>
        <v/>
      </c>
      <c r="G203" t="str">
        <f t="shared" si="8"/>
        <v/>
      </c>
    </row>
    <row r="204" spans="3:7" ht="15" hidden="1" x14ac:dyDescent="0.25">
      <c r="C204" s="4" t="str">
        <f>IFERROR(AVERAGEIFS('2. Program Allocation Output'!$P:$P,'2. Program Allocation Output'!$AF:$AF,$A204,'2. Program Allocation Output'!$AG:$AG,$B204),"")</f>
        <v/>
      </c>
      <c r="D204" s="4" t="str">
        <f>IFERROR(AVERAGEIFS('2. Program Allocation Output'!$O:$O,'2. Program Allocation Output'!$AF:$AF,$A204,'2. Program Allocation Output'!$AG:$AG,$B204),"")</f>
        <v/>
      </c>
      <c r="E204" s="5" t="str">
        <f>IFERROR(AVERAGEIFS('2. Program Allocation Output'!$L:$L,'2. Program Allocation Output'!$AF:$AF,$A204,'2. Program Allocation Output'!$AG:$AG,$B204),"")</f>
        <v/>
      </c>
      <c r="F204" s="39" t="str">
        <f t="shared" si="9"/>
        <v/>
      </c>
      <c r="G204" t="str">
        <f t="shared" si="8"/>
        <v/>
      </c>
    </row>
    <row r="205" spans="3:7" ht="15" hidden="1" x14ac:dyDescent="0.25">
      <c r="C205" s="4" t="str">
        <f>IFERROR(AVERAGEIFS('2. Program Allocation Output'!$P:$P,'2. Program Allocation Output'!$AF:$AF,$A205,'2. Program Allocation Output'!$AG:$AG,$B205),"")</f>
        <v/>
      </c>
      <c r="D205" s="4" t="str">
        <f>IFERROR(AVERAGEIFS('2. Program Allocation Output'!$O:$O,'2. Program Allocation Output'!$AF:$AF,$A205,'2. Program Allocation Output'!$AG:$AG,$B205),"")</f>
        <v/>
      </c>
      <c r="E205" s="5" t="str">
        <f>IFERROR(AVERAGEIFS('2. Program Allocation Output'!$L:$L,'2. Program Allocation Output'!$AF:$AF,$A205,'2. Program Allocation Output'!$AG:$AG,$B205),"")</f>
        <v/>
      </c>
      <c r="F205" s="39" t="str">
        <f t="shared" si="9"/>
        <v/>
      </c>
      <c r="G205" t="str">
        <f t="shared" si="8"/>
        <v/>
      </c>
    </row>
    <row r="206" spans="3:7" ht="15" hidden="1" x14ac:dyDescent="0.25">
      <c r="C206" s="4" t="str">
        <f>IFERROR(AVERAGEIFS('2. Program Allocation Output'!$P:$P,'2. Program Allocation Output'!$AF:$AF,$A206,'2. Program Allocation Output'!$AG:$AG,$B206),"")</f>
        <v/>
      </c>
      <c r="D206" s="4" t="str">
        <f>IFERROR(AVERAGEIFS('2. Program Allocation Output'!$O:$O,'2. Program Allocation Output'!$AF:$AF,$A206,'2. Program Allocation Output'!$AG:$AG,$B206),"")</f>
        <v/>
      </c>
      <c r="E206" s="5" t="str">
        <f>IFERROR(AVERAGEIFS('2. Program Allocation Output'!$L:$L,'2. Program Allocation Output'!$AF:$AF,$A206,'2. Program Allocation Output'!$AG:$AG,$B206),"")</f>
        <v/>
      </c>
      <c r="F206" s="39" t="str">
        <f t="shared" si="9"/>
        <v/>
      </c>
      <c r="G206" t="str">
        <f t="shared" ref="G206:G269" si="10">IFERROR(EXP(0.3*(F206-C206)/(E206*0.1137)),"")</f>
        <v/>
      </c>
    </row>
    <row r="207" spans="3:7" ht="15" hidden="1" x14ac:dyDescent="0.25">
      <c r="C207" s="4" t="str">
        <f>IFERROR(AVERAGEIFS('2. Program Allocation Output'!$P:$P,'2. Program Allocation Output'!$AF:$AF,$A207,'2. Program Allocation Output'!$AG:$AG,$B207),"")</f>
        <v/>
      </c>
      <c r="D207" s="4" t="str">
        <f>IFERROR(AVERAGEIFS('2. Program Allocation Output'!$O:$O,'2. Program Allocation Output'!$AF:$AF,$A207,'2. Program Allocation Output'!$AG:$AG,$B207),"")</f>
        <v/>
      </c>
      <c r="E207" s="5" t="str">
        <f>IFERROR(AVERAGEIFS('2. Program Allocation Output'!$L:$L,'2. Program Allocation Output'!$AF:$AF,$A207,'2. Program Allocation Output'!$AG:$AG,$B207),"")</f>
        <v/>
      </c>
      <c r="F207" s="39" t="str">
        <f t="shared" si="9"/>
        <v/>
      </c>
      <c r="G207" t="str">
        <f t="shared" si="10"/>
        <v/>
      </c>
    </row>
    <row r="208" spans="3:7" ht="15" hidden="1" x14ac:dyDescent="0.25">
      <c r="C208" s="4" t="str">
        <f>IFERROR(AVERAGEIFS('2. Program Allocation Output'!$P:$P,'2. Program Allocation Output'!$AF:$AF,$A208,'2. Program Allocation Output'!$AG:$AG,$B208),"")</f>
        <v/>
      </c>
      <c r="D208" s="4" t="str">
        <f>IFERROR(AVERAGEIFS('2. Program Allocation Output'!$O:$O,'2. Program Allocation Output'!$AF:$AF,$A208,'2. Program Allocation Output'!$AG:$AG,$B208),"")</f>
        <v/>
      </c>
      <c r="E208" s="5" t="str">
        <f>IFERROR(AVERAGEIFS('2. Program Allocation Output'!$L:$L,'2. Program Allocation Output'!$AF:$AF,$A208,'2. Program Allocation Output'!$AG:$AG,$B208),"")</f>
        <v/>
      </c>
      <c r="F208" s="39" t="str">
        <f t="shared" si="9"/>
        <v/>
      </c>
      <c r="G208" t="str">
        <f t="shared" si="10"/>
        <v/>
      </c>
    </row>
    <row r="209" spans="3:7" ht="15" hidden="1" x14ac:dyDescent="0.25">
      <c r="C209" s="4" t="str">
        <f>IFERROR(AVERAGEIFS('2. Program Allocation Output'!$P:$P,'2. Program Allocation Output'!$AF:$AF,$A209,'2. Program Allocation Output'!$AG:$AG,$B209),"")</f>
        <v/>
      </c>
      <c r="D209" s="4" t="str">
        <f>IFERROR(AVERAGEIFS('2. Program Allocation Output'!$O:$O,'2. Program Allocation Output'!$AF:$AF,$A209,'2. Program Allocation Output'!$AG:$AG,$B209),"")</f>
        <v/>
      </c>
      <c r="E209" s="5" t="str">
        <f>IFERROR(AVERAGEIFS('2. Program Allocation Output'!$L:$L,'2. Program Allocation Output'!$AF:$AF,$A209,'2. Program Allocation Output'!$AG:$AG,$B209),"")</f>
        <v/>
      </c>
      <c r="F209" s="39" t="str">
        <f t="shared" si="9"/>
        <v/>
      </c>
      <c r="G209" t="str">
        <f t="shared" si="10"/>
        <v/>
      </c>
    </row>
    <row r="210" spans="3:7" ht="15" hidden="1" x14ac:dyDescent="0.25">
      <c r="C210" s="4" t="str">
        <f>IFERROR(AVERAGEIFS('2. Program Allocation Output'!$P:$P,'2. Program Allocation Output'!$AF:$AF,$A210,'2. Program Allocation Output'!$AG:$AG,$B210),"")</f>
        <v/>
      </c>
      <c r="D210" s="4" t="str">
        <f>IFERROR(AVERAGEIFS('2. Program Allocation Output'!$O:$O,'2. Program Allocation Output'!$AF:$AF,$A210,'2. Program Allocation Output'!$AG:$AG,$B210),"")</f>
        <v/>
      </c>
      <c r="E210" s="5" t="str">
        <f>IFERROR(AVERAGEIFS('2. Program Allocation Output'!$L:$L,'2. Program Allocation Output'!$AF:$AF,$A210,'2. Program Allocation Output'!$AG:$AG,$B210),"")</f>
        <v/>
      </c>
      <c r="F210" s="39" t="str">
        <f t="shared" si="9"/>
        <v/>
      </c>
      <c r="G210" t="str">
        <f t="shared" si="10"/>
        <v/>
      </c>
    </row>
    <row r="211" spans="3:7" ht="15" hidden="1" x14ac:dyDescent="0.25">
      <c r="C211" s="4" t="str">
        <f>IFERROR(AVERAGEIFS('2. Program Allocation Output'!$P:$P,'2. Program Allocation Output'!$AF:$AF,$A211,'2. Program Allocation Output'!$AG:$AG,$B211),"")</f>
        <v/>
      </c>
      <c r="D211" s="4" t="str">
        <f>IFERROR(AVERAGEIFS('2. Program Allocation Output'!$O:$O,'2. Program Allocation Output'!$AF:$AF,$A211,'2. Program Allocation Output'!$AG:$AG,$B211),"")</f>
        <v/>
      </c>
      <c r="E211" s="5" t="str">
        <f>IFERROR(AVERAGEIFS('2. Program Allocation Output'!$L:$L,'2. Program Allocation Output'!$AF:$AF,$A211,'2. Program Allocation Output'!$AG:$AG,$B211),"")</f>
        <v/>
      </c>
      <c r="F211" s="39" t="str">
        <f t="shared" si="9"/>
        <v/>
      </c>
      <c r="G211" t="str">
        <f t="shared" si="10"/>
        <v/>
      </c>
    </row>
    <row r="212" spans="3:7" ht="15" hidden="1" x14ac:dyDescent="0.25">
      <c r="C212" s="4" t="str">
        <f>IFERROR(AVERAGEIFS('2. Program Allocation Output'!$P:$P,'2. Program Allocation Output'!$AF:$AF,$A212,'2. Program Allocation Output'!$AG:$AG,$B212),"")</f>
        <v/>
      </c>
      <c r="D212" s="4" t="str">
        <f>IFERROR(AVERAGEIFS('2. Program Allocation Output'!$O:$O,'2. Program Allocation Output'!$AF:$AF,$A212,'2. Program Allocation Output'!$AG:$AG,$B212),"")</f>
        <v/>
      </c>
      <c r="E212" s="5" t="str">
        <f>IFERROR(AVERAGEIFS('2. Program Allocation Output'!$L:$L,'2. Program Allocation Output'!$AF:$AF,$A212,'2. Program Allocation Output'!$AG:$AG,$B212),"")</f>
        <v/>
      </c>
      <c r="F212" s="39" t="str">
        <f t="shared" si="9"/>
        <v/>
      </c>
      <c r="G212" t="str">
        <f t="shared" si="10"/>
        <v/>
      </c>
    </row>
    <row r="213" spans="3:7" ht="15" hidden="1" x14ac:dyDescent="0.25">
      <c r="C213" s="4" t="str">
        <f>IFERROR(AVERAGEIFS('2. Program Allocation Output'!$P:$P,'2. Program Allocation Output'!$AF:$AF,$A213,'2. Program Allocation Output'!$AG:$AG,$B213),"")</f>
        <v/>
      </c>
      <c r="D213" s="4" t="str">
        <f>IFERROR(AVERAGEIFS('2. Program Allocation Output'!$O:$O,'2. Program Allocation Output'!$AF:$AF,$A213,'2. Program Allocation Output'!$AG:$AG,$B213),"")</f>
        <v/>
      </c>
      <c r="E213" s="5" t="str">
        <f>IFERROR(AVERAGEIFS('2. Program Allocation Output'!$L:$L,'2. Program Allocation Output'!$AF:$AF,$A213,'2. Program Allocation Output'!$AG:$AG,$B213),"")</f>
        <v/>
      </c>
      <c r="F213" s="39" t="str">
        <f t="shared" si="9"/>
        <v/>
      </c>
      <c r="G213" t="str">
        <f t="shared" si="10"/>
        <v/>
      </c>
    </row>
    <row r="214" spans="3:7" ht="15" hidden="1" x14ac:dyDescent="0.25">
      <c r="C214" s="4" t="str">
        <f>IFERROR(AVERAGEIFS('2. Program Allocation Output'!$P:$P,'2. Program Allocation Output'!$AF:$AF,$A214,'2. Program Allocation Output'!$AG:$AG,$B214),"")</f>
        <v/>
      </c>
      <c r="D214" s="4" t="str">
        <f>IFERROR(AVERAGEIFS('2. Program Allocation Output'!$O:$O,'2. Program Allocation Output'!$AF:$AF,$A214,'2. Program Allocation Output'!$AG:$AG,$B214),"")</f>
        <v/>
      </c>
      <c r="E214" s="5" t="str">
        <f>IFERROR(AVERAGEIFS('2. Program Allocation Output'!$L:$L,'2. Program Allocation Output'!$AF:$AF,$A214,'2. Program Allocation Output'!$AG:$AG,$B214),"")</f>
        <v/>
      </c>
      <c r="F214" s="39" t="str">
        <f t="shared" si="9"/>
        <v/>
      </c>
      <c r="G214" t="str">
        <f t="shared" si="10"/>
        <v/>
      </c>
    </row>
    <row r="215" spans="3:7" ht="15" hidden="1" x14ac:dyDescent="0.25">
      <c r="C215" s="4" t="str">
        <f>IFERROR(AVERAGEIFS('2. Program Allocation Output'!$P:$P,'2. Program Allocation Output'!$AF:$AF,$A215,'2. Program Allocation Output'!$AG:$AG,$B215),"")</f>
        <v/>
      </c>
      <c r="D215" s="4" t="str">
        <f>IFERROR(AVERAGEIFS('2. Program Allocation Output'!$O:$O,'2. Program Allocation Output'!$AF:$AF,$A215,'2. Program Allocation Output'!$AG:$AG,$B215),"")</f>
        <v/>
      </c>
      <c r="E215" s="5" t="str">
        <f>IFERROR(AVERAGEIFS('2. Program Allocation Output'!$L:$L,'2. Program Allocation Output'!$AF:$AF,$A215,'2. Program Allocation Output'!$AG:$AG,$B215),"")</f>
        <v/>
      </c>
      <c r="F215" s="39" t="str">
        <f t="shared" si="9"/>
        <v/>
      </c>
      <c r="G215" t="str">
        <f t="shared" si="10"/>
        <v/>
      </c>
    </row>
    <row r="216" spans="3:7" ht="15" hidden="1" x14ac:dyDescent="0.25">
      <c r="C216" s="4" t="str">
        <f>IFERROR(AVERAGEIFS('2. Program Allocation Output'!$P:$P,'2. Program Allocation Output'!$AF:$AF,$A216,'2. Program Allocation Output'!$AG:$AG,$B216),"")</f>
        <v/>
      </c>
      <c r="D216" s="4" t="str">
        <f>IFERROR(AVERAGEIFS('2. Program Allocation Output'!$O:$O,'2. Program Allocation Output'!$AF:$AF,$A216,'2. Program Allocation Output'!$AG:$AG,$B216),"")</f>
        <v/>
      </c>
      <c r="E216" s="5" t="str">
        <f>IFERROR(AVERAGEIFS('2. Program Allocation Output'!$L:$L,'2. Program Allocation Output'!$AF:$AF,$A216,'2. Program Allocation Output'!$AG:$AG,$B216),"")</f>
        <v/>
      </c>
      <c r="F216" s="39" t="str">
        <f t="shared" si="9"/>
        <v/>
      </c>
      <c r="G216" t="str">
        <f t="shared" si="10"/>
        <v/>
      </c>
    </row>
    <row r="217" spans="3:7" ht="15" hidden="1" x14ac:dyDescent="0.25">
      <c r="C217" s="4" t="str">
        <f>IFERROR(AVERAGEIFS('2. Program Allocation Output'!$P:$P,'2. Program Allocation Output'!$AF:$AF,$A217,'2. Program Allocation Output'!$AG:$AG,$B217),"")</f>
        <v/>
      </c>
      <c r="D217" s="4" t="str">
        <f>IFERROR(AVERAGEIFS('2. Program Allocation Output'!$O:$O,'2. Program Allocation Output'!$AF:$AF,$A217,'2. Program Allocation Output'!$AG:$AG,$B217),"")</f>
        <v/>
      </c>
      <c r="E217" s="5" t="str">
        <f>IFERROR(AVERAGEIFS('2. Program Allocation Output'!$L:$L,'2. Program Allocation Output'!$AF:$AF,$A217,'2. Program Allocation Output'!$AG:$AG,$B217),"")</f>
        <v/>
      </c>
      <c r="F217" s="39" t="str">
        <f t="shared" si="9"/>
        <v/>
      </c>
      <c r="G217" t="str">
        <f t="shared" si="10"/>
        <v/>
      </c>
    </row>
    <row r="218" spans="3:7" ht="15" hidden="1" x14ac:dyDescent="0.25">
      <c r="C218" s="4" t="str">
        <f>IFERROR(AVERAGEIFS('2. Program Allocation Output'!$P:$P,'2. Program Allocation Output'!$AF:$AF,$A218,'2. Program Allocation Output'!$AG:$AG,$B218),"")</f>
        <v/>
      </c>
      <c r="D218" s="4" t="str">
        <f>IFERROR(AVERAGEIFS('2. Program Allocation Output'!$O:$O,'2. Program Allocation Output'!$AF:$AF,$A218,'2. Program Allocation Output'!$AG:$AG,$B218),"")</f>
        <v/>
      </c>
      <c r="E218" s="5" t="str">
        <f>IFERROR(AVERAGEIFS('2. Program Allocation Output'!$L:$L,'2. Program Allocation Output'!$AF:$AF,$A218,'2. Program Allocation Output'!$AG:$AG,$B218),"")</f>
        <v/>
      </c>
      <c r="F218" s="39" t="str">
        <f t="shared" si="9"/>
        <v/>
      </c>
      <c r="G218" t="str">
        <f t="shared" si="10"/>
        <v/>
      </c>
    </row>
    <row r="219" spans="3:7" ht="15" hidden="1" x14ac:dyDescent="0.25">
      <c r="C219" s="4" t="str">
        <f>IFERROR(AVERAGEIFS('2. Program Allocation Output'!$P:$P,'2. Program Allocation Output'!$AF:$AF,$A219,'2. Program Allocation Output'!$AG:$AG,$B219),"")</f>
        <v/>
      </c>
      <c r="D219" s="4" t="str">
        <f>IFERROR(AVERAGEIFS('2. Program Allocation Output'!$O:$O,'2. Program Allocation Output'!$AF:$AF,$A219,'2. Program Allocation Output'!$AG:$AG,$B219),"")</f>
        <v/>
      </c>
      <c r="E219" s="5" t="str">
        <f>IFERROR(AVERAGEIFS('2. Program Allocation Output'!$L:$L,'2. Program Allocation Output'!$AF:$AF,$A219,'2. Program Allocation Output'!$AG:$AG,$B219),"")</f>
        <v/>
      </c>
      <c r="F219" s="39" t="str">
        <f t="shared" si="9"/>
        <v/>
      </c>
      <c r="G219" t="str">
        <f t="shared" si="10"/>
        <v/>
      </c>
    </row>
    <row r="220" spans="3:7" ht="15" hidden="1" x14ac:dyDescent="0.25">
      <c r="C220" s="4" t="str">
        <f>IFERROR(AVERAGEIFS('2. Program Allocation Output'!$P:$P,'2. Program Allocation Output'!$AF:$AF,$A220,'2. Program Allocation Output'!$AG:$AG,$B220),"")</f>
        <v/>
      </c>
      <c r="D220" s="4" t="str">
        <f>IFERROR(AVERAGEIFS('2. Program Allocation Output'!$O:$O,'2. Program Allocation Output'!$AF:$AF,$A220,'2. Program Allocation Output'!$AG:$AG,$B220),"")</f>
        <v/>
      </c>
      <c r="E220" s="5" t="str">
        <f>IFERROR(AVERAGEIFS('2. Program Allocation Output'!$L:$L,'2. Program Allocation Output'!$AF:$AF,$A220,'2. Program Allocation Output'!$AG:$AG,$B220),"")</f>
        <v/>
      </c>
      <c r="F220" s="39" t="str">
        <f t="shared" si="9"/>
        <v/>
      </c>
      <c r="G220" t="str">
        <f t="shared" si="10"/>
        <v/>
      </c>
    </row>
    <row r="221" spans="3:7" ht="15" hidden="1" x14ac:dyDescent="0.25">
      <c r="C221" s="4" t="str">
        <f>IFERROR(AVERAGEIFS('2. Program Allocation Output'!$P:$P,'2. Program Allocation Output'!$AF:$AF,$A221,'2. Program Allocation Output'!$AG:$AG,$B221),"")</f>
        <v/>
      </c>
      <c r="D221" s="4" t="str">
        <f>IFERROR(AVERAGEIFS('2. Program Allocation Output'!$O:$O,'2. Program Allocation Output'!$AF:$AF,$A221,'2. Program Allocation Output'!$AG:$AG,$B221),"")</f>
        <v/>
      </c>
      <c r="E221" s="5" t="str">
        <f>IFERROR(AVERAGEIFS('2. Program Allocation Output'!$L:$L,'2. Program Allocation Output'!$AF:$AF,$A221,'2. Program Allocation Output'!$AG:$AG,$B221),"")</f>
        <v/>
      </c>
      <c r="F221" s="39" t="str">
        <f t="shared" si="9"/>
        <v/>
      </c>
      <c r="G221" t="str">
        <f t="shared" si="10"/>
        <v/>
      </c>
    </row>
    <row r="222" spans="3:7" ht="15" hidden="1" x14ac:dyDescent="0.25">
      <c r="C222" s="4" t="str">
        <f>IFERROR(AVERAGEIFS('2. Program Allocation Output'!$P:$P,'2. Program Allocation Output'!$AF:$AF,$A222,'2. Program Allocation Output'!$AG:$AG,$B222),"")</f>
        <v/>
      </c>
      <c r="D222" s="4" t="str">
        <f>IFERROR(AVERAGEIFS('2. Program Allocation Output'!$O:$O,'2. Program Allocation Output'!$AF:$AF,$A222,'2. Program Allocation Output'!$AG:$AG,$B222),"")</f>
        <v/>
      </c>
      <c r="E222" s="5" t="str">
        <f>IFERROR(AVERAGEIFS('2. Program Allocation Output'!$L:$L,'2. Program Allocation Output'!$AF:$AF,$A222,'2. Program Allocation Output'!$AG:$AG,$B222),"")</f>
        <v/>
      </c>
      <c r="F222" s="39" t="str">
        <f t="shared" si="9"/>
        <v/>
      </c>
      <c r="G222" t="str">
        <f t="shared" si="10"/>
        <v/>
      </c>
    </row>
    <row r="223" spans="3:7" ht="15" hidden="1" x14ac:dyDescent="0.25">
      <c r="C223" s="4" t="str">
        <f>IFERROR(AVERAGEIFS('2. Program Allocation Output'!$P:$P,'2. Program Allocation Output'!$AF:$AF,$A223,'2. Program Allocation Output'!$AG:$AG,$B223),"")</f>
        <v/>
      </c>
      <c r="D223" s="4" t="str">
        <f>IFERROR(AVERAGEIFS('2. Program Allocation Output'!$O:$O,'2. Program Allocation Output'!$AF:$AF,$A223,'2. Program Allocation Output'!$AG:$AG,$B223),"")</f>
        <v/>
      </c>
      <c r="E223" s="5" t="str">
        <f>IFERROR(AVERAGEIFS('2. Program Allocation Output'!$L:$L,'2. Program Allocation Output'!$AF:$AF,$A223,'2. Program Allocation Output'!$AG:$AG,$B223),"")</f>
        <v/>
      </c>
      <c r="F223" s="39" t="str">
        <f t="shared" si="9"/>
        <v/>
      </c>
      <c r="G223" t="str">
        <f t="shared" si="10"/>
        <v/>
      </c>
    </row>
    <row r="224" spans="3:7" ht="15" hidden="1" x14ac:dyDescent="0.25">
      <c r="C224" s="4" t="str">
        <f>IFERROR(AVERAGEIFS('2. Program Allocation Output'!$P:$P,'2. Program Allocation Output'!$AF:$AF,$A224,'2. Program Allocation Output'!$AG:$AG,$B224),"")</f>
        <v/>
      </c>
      <c r="D224" s="4" t="str">
        <f>IFERROR(AVERAGEIFS('2. Program Allocation Output'!$O:$O,'2. Program Allocation Output'!$AF:$AF,$A224,'2. Program Allocation Output'!$AG:$AG,$B224),"")</f>
        <v/>
      </c>
      <c r="E224" s="5" t="str">
        <f>IFERROR(AVERAGEIFS('2. Program Allocation Output'!$L:$L,'2. Program Allocation Output'!$AF:$AF,$A224,'2. Program Allocation Output'!$AG:$AG,$B224),"")</f>
        <v/>
      </c>
      <c r="F224" s="39" t="str">
        <f t="shared" si="9"/>
        <v/>
      </c>
      <c r="G224" t="str">
        <f t="shared" si="10"/>
        <v/>
      </c>
    </row>
    <row r="225" spans="3:7" ht="15" hidden="1" x14ac:dyDescent="0.25">
      <c r="C225" s="4" t="str">
        <f>IFERROR(AVERAGEIFS('2. Program Allocation Output'!$P:$P,'2. Program Allocation Output'!$AF:$AF,$A225,'2. Program Allocation Output'!$AG:$AG,$B225),"")</f>
        <v/>
      </c>
      <c r="D225" s="4" t="str">
        <f>IFERROR(AVERAGEIFS('2. Program Allocation Output'!$O:$O,'2. Program Allocation Output'!$AF:$AF,$A225,'2. Program Allocation Output'!$AG:$AG,$B225),"")</f>
        <v/>
      </c>
      <c r="E225" s="5" t="str">
        <f>IFERROR(AVERAGEIFS('2. Program Allocation Output'!$L:$L,'2. Program Allocation Output'!$AF:$AF,$A225,'2. Program Allocation Output'!$AG:$AG,$B225),"")</f>
        <v/>
      </c>
      <c r="F225" s="39" t="str">
        <f t="shared" si="9"/>
        <v/>
      </c>
      <c r="G225" t="str">
        <f t="shared" si="10"/>
        <v/>
      </c>
    </row>
    <row r="226" spans="3:7" ht="15" hidden="1" x14ac:dyDescent="0.25">
      <c r="C226" s="4" t="str">
        <f>IFERROR(AVERAGEIFS('2. Program Allocation Output'!$P:$P,'2. Program Allocation Output'!$AF:$AF,$A226,'2. Program Allocation Output'!$AG:$AG,$B226),"")</f>
        <v/>
      </c>
      <c r="D226" s="4" t="str">
        <f>IFERROR(AVERAGEIFS('2. Program Allocation Output'!$O:$O,'2. Program Allocation Output'!$AF:$AF,$A226,'2. Program Allocation Output'!$AG:$AG,$B226),"")</f>
        <v/>
      </c>
      <c r="E226" s="5" t="str">
        <f>IFERROR(AVERAGEIFS('2. Program Allocation Output'!$L:$L,'2. Program Allocation Output'!$AF:$AF,$A226,'2. Program Allocation Output'!$AG:$AG,$B226),"")</f>
        <v/>
      </c>
      <c r="F226" s="39" t="str">
        <f t="shared" si="9"/>
        <v/>
      </c>
      <c r="G226" t="str">
        <f t="shared" si="10"/>
        <v/>
      </c>
    </row>
    <row r="227" spans="3:7" ht="15" hidden="1" x14ac:dyDescent="0.25">
      <c r="C227" s="4" t="str">
        <f>IFERROR(AVERAGEIFS('2. Program Allocation Output'!$P:$P,'2. Program Allocation Output'!$AF:$AF,$A227,'2. Program Allocation Output'!$AG:$AG,$B227),"")</f>
        <v/>
      </c>
      <c r="D227" s="4" t="str">
        <f>IFERROR(AVERAGEIFS('2. Program Allocation Output'!$O:$O,'2. Program Allocation Output'!$AF:$AF,$A227,'2. Program Allocation Output'!$AG:$AG,$B227),"")</f>
        <v/>
      </c>
      <c r="E227" s="5" t="str">
        <f>IFERROR(AVERAGEIFS('2. Program Allocation Output'!$L:$L,'2. Program Allocation Output'!$AF:$AF,$A227,'2. Program Allocation Output'!$AG:$AG,$B227),"")</f>
        <v/>
      </c>
      <c r="F227" s="39" t="str">
        <f t="shared" si="9"/>
        <v/>
      </c>
      <c r="G227" t="str">
        <f t="shared" si="10"/>
        <v/>
      </c>
    </row>
    <row r="228" spans="3:7" ht="15" hidden="1" x14ac:dyDescent="0.25">
      <c r="C228" s="4" t="str">
        <f>IFERROR(AVERAGEIFS('2. Program Allocation Output'!$P:$P,'2. Program Allocation Output'!$AF:$AF,$A228,'2. Program Allocation Output'!$AG:$AG,$B228),"")</f>
        <v/>
      </c>
      <c r="D228" s="4" t="str">
        <f>IFERROR(AVERAGEIFS('2. Program Allocation Output'!$O:$O,'2. Program Allocation Output'!$AF:$AF,$A228,'2. Program Allocation Output'!$AG:$AG,$B228),"")</f>
        <v/>
      </c>
      <c r="E228" s="5" t="str">
        <f>IFERROR(AVERAGEIFS('2. Program Allocation Output'!$L:$L,'2. Program Allocation Output'!$AF:$AF,$A228,'2. Program Allocation Output'!$AG:$AG,$B228),"")</f>
        <v/>
      </c>
      <c r="F228" s="39" t="str">
        <f t="shared" si="9"/>
        <v/>
      </c>
      <c r="G228" t="str">
        <f t="shared" si="10"/>
        <v/>
      </c>
    </row>
    <row r="229" spans="3:7" ht="15" hidden="1" x14ac:dyDescent="0.25">
      <c r="C229" s="4" t="str">
        <f>IFERROR(AVERAGEIFS('2. Program Allocation Output'!$P:$P,'2. Program Allocation Output'!$AF:$AF,$A229,'2. Program Allocation Output'!$AG:$AG,$B229),"")</f>
        <v/>
      </c>
      <c r="D229" s="4" t="str">
        <f>IFERROR(AVERAGEIFS('2. Program Allocation Output'!$O:$O,'2. Program Allocation Output'!$AF:$AF,$A229,'2. Program Allocation Output'!$AG:$AG,$B229),"")</f>
        <v/>
      </c>
      <c r="E229" s="5" t="str">
        <f>IFERROR(AVERAGEIFS('2. Program Allocation Output'!$L:$L,'2. Program Allocation Output'!$AF:$AF,$A229,'2. Program Allocation Output'!$AG:$AG,$B229),"")</f>
        <v/>
      </c>
      <c r="F229" s="39" t="str">
        <f t="shared" si="9"/>
        <v/>
      </c>
      <c r="G229" t="str">
        <f t="shared" si="10"/>
        <v/>
      </c>
    </row>
    <row r="230" spans="3:7" ht="15" hidden="1" x14ac:dyDescent="0.25">
      <c r="C230" s="4" t="str">
        <f>IFERROR(AVERAGEIFS('2. Program Allocation Output'!$P:$P,'2. Program Allocation Output'!$AF:$AF,$A230,'2. Program Allocation Output'!$AG:$AG,$B230),"")</f>
        <v/>
      </c>
      <c r="D230" s="4" t="str">
        <f>IFERROR(AVERAGEIFS('2. Program Allocation Output'!$O:$O,'2. Program Allocation Output'!$AF:$AF,$A230,'2. Program Allocation Output'!$AG:$AG,$B230),"")</f>
        <v/>
      </c>
      <c r="E230" s="5" t="str">
        <f>IFERROR(AVERAGEIFS('2. Program Allocation Output'!$L:$L,'2. Program Allocation Output'!$AF:$AF,$A230,'2. Program Allocation Output'!$AG:$AG,$B230),"")</f>
        <v/>
      </c>
      <c r="F230" s="39" t="str">
        <f t="shared" si="9"/>
        <v/>
      </c>
      <c r="G230" t="str">
        <f t="shared" si="10"/>
        <v/>
      </c>
    </row>
    <row r="231" spans="3:7" ht="15" hidden="1" x14ac:dyDescent="0.25">
      <c r="C231" s="4" t="str">
        <f>IFERROR(AVERAGEIFS('2. Program Allocation Output'!$P:$P,'2. Program Allocation Output'!$AF:$AF,$A231,'2. Program Allocation Output'!$AG:$AG,$B231),"")</f>
        <v/>
      </c>
      <c r="D231" s="4" t="str">
        <f>IFERROR(AVERAGEIFS('2. Program Allocation Output'!$O:$O,'2. Program Allocation Output'!$AF:$AF,$A231,'2. Program Allocation Output'!$AG:$AG,$B231),"")</f>
        <v/>
      </c>
      <c r="E231" s="5" t="str">
        <f>IFERROR(AVERAGEIFS('2. Program Allocation Output'!$L:$L,'2. Program Allocation Output'!$AF:$AF,$A231,'2. Program Allocation Output'!$AG:$AG,$B231),"")</f>
        <v/>
      </c>
      <c r="F231" s="39" t="str">
        <f t="shared" si="9"/>
        <v/>
      </c>
      <c r="G231" t="str">
        <f t="shared" si="10"/>
        <v/>
      </c>
    </row>
    <row r="232" spans="3:7" ht="15" hidden="1" x14ac:dyDescent="0.25">
      <c r="C232" s="4" t="str">
        <f>IFERROR(AVERAGEIFS('2. Program Allocation Output'!$P:$P,'2. Program Allocation Output'!$AF:$AF,$A232,'2. Program Allocation Output'!$AG:$AG,$B232),"")</f>
        <v/>
      </c>
      <c r="D232" s="4" t="str">
        <f>IFERROR(AVERAGEIFS('2. Program Allocation Output'!$O:$O,'2. Program Allocation Output'!$AF:$AF,$A232,'2. Program Allocation Output'!$AG:$AG,$B232),"")</f>
        <v/>
      </c>
      <c r="E232" s="5" t="str">
        <f>IFERROR(AVERAGEIFS('2. Program Allocation Output'!$L:$L,'2. Program Allocation Output'!$AF:$AF,$A232,'2. Program Allocation Output'!$AG:$AG,$B232),"")</f>
        <v/>
      </c>
      <c r="F232" s="39" t="str">
        <f t="shared" si="9"/>
        <v/>
      </c>
      <c r="G232" t="str">
        <f t="shared" si="10"/>
        <v/>
      </c>
    </row>
    <row r="233" spans="3:7" ht="15" hidden="1" x14ac:dyDescent="0.25">
      <c r="C233" s="4" t="str">
        <f>IFERROR(AVERAGEIFS('2. Program Allocation Output'!$P:$P,'2. Program Allocation Output'!$AF:$AF,$A233,'2. Program Allocation Output'!$AG:$AG,$B233),"")</f>
        <v/>
      </c>
      <c r="D233" s="4" t="str">
        <f>IFERROR(AVERAGEIFS('2. Program Allocation Output'!$O:$O,'2. Program Allocation Output'!$AF:$AF,$A233,'2. Program Allocation Output'!$AG:$AG,$B233),"")</f>
        <v/>
      </c>
      <c r="E233" s="5" t="str">
        <f>IFERROR(AVERAGEIFS('2. Program Allocation Output'!$L:$L,'2. Program Allocation Output'!$AF:$AF,$A233,'2. Program Allocation Output'!$AG:$AG,$B233),"")</f>
        <v/>
      </c>
      <c r="F233" s="39" t="str">
        <f t="shared" si="9"/>
        <v/>
      </c>
      <c r="G233" t="str">
        <f t="shared" si="10"/>
        <v/>
      </c>
    </row>
    <row r="234" spans="3:7" ht="15" hidden="1" x14ac:dyDescent="0.25">
      <c r="C234" s="4" t="str">
        <f>IFERROR(AVERAGEIFS('2. Program Allocation Output'!$P:$P,'2. Program Allocation Output'!$AF:$AF,$A234,'2. Program Allocation Output'!$AG:$AG,$B234),"")</f>
        <v/>
      </c>
      <c r="D234" s="4" t="str">
        <f>IFERROR(AVERAGEIFS('2. Program Allocation Output'!$O:$O,'2. Program Allocation Output'!$AF:$AF,$A234,'2. Program Allocation Output'!$AG:$AG,$B234),"")</f>
        <v/>
      </c>
      <c r="E234" s="5" t="str">
        <f>IFERROR(AVERAGEIFS('2. Program Allocation Output'!$L:$L,'2. Program Allocation Output'!$AF:$AF,$A234,'2. Program Allocation Output'!$AG:$AG,$B234),"")</f>
        <v/>
      </c>
      <c r="F234" s="39" t="str">
        <f t="shared" si="9"/>
        <v/>
      </c>
      <c r="G234" t="str">
        <f t="shared" si="10"/>
        <v/>
      </c>
    </row>
    <row r="235" spans="3:7" ht="15" hidden="1" x14ac:dyDescent="0.25">
      <c r="C235" s="4" t="str">
        <f>IFERROR(AVERAGEIFS('2. Program Allocation Output'!$P:$P,'2. Program Allocation Output'!$AF:$AF,$A235,'2. Program Allocation Output'!$AG:$AG,$B235),"")</f>
        <v/>
      </c>
      <c r="D235" s="4" t="str">
        <f>IFERROR(AVERAGEIFS('2. Program Allocation Output'!$O:$O,'2. Program Allocation Output'!$AF:$AF,$A235,'2. Program Allocation Output'!$AG:$AG,$B235),"")</f>
        <v/>
      </c>
      <c r="E235" s="5" t="str">
        <f>IFERROR(AVERAGEIFS('2. Program Allocation Output'!$L:$L,'2. Program Allocation Output'!$AF:$AF,$A235,'2. Program Allocation Output'!$AG:$AG,$B235),"")</f>
        <v/>
      </c>
      <c r="F235" s="39" t="str">
        <f t="shared" si="9"/>
        <v/>
      </c>
      <c r="G235" t="str">
        <f t="shared" si="10"/>
        <v/>
      </c>
    </row>
    <row r="236" spans="3:7" ht="15" hidden="1" x14ac:dyDescent="0.25">
      <c r="C236" s="4" t="str">
        <f>IFERROR(AVERAGEIFS('2. Program Allocation Output'!$P:$P,'2. Program Allocation Output'!$AF:$AF,$A236,'2. Program Allocation Output'!$AG:$AG,$B236),"")</f>
        <v/>
      </c>
      <c r="D236" s="4" t="str">
        <f>IFERROR(AVERAGEIFS('2. Program Allocation Output'!$O:$O,'2. Program Allocation Output'!$AF:$AF,$A236,'2. Program Allocation Output'!$AG:$AG,$B236),"")</f>
        <v/>
      </c>
      <c r="E236" s="5" t="str">
        <f>IFERROR(AVERAGEIFS('2. Program Allocation Output'!$L:$L,'2. Program Allocation Output'!$AF:$AF,$A236,'2. Program Allocation Output'!$AG:$AG,$B236),"")</f>
        <v/>
      </c>
      <c r="F236" s="39" t="str">
        <f t="shared" si="9"/>
        <v/>
      </c>
      <c r="G236" t="str">
        <f t="shared" si="10"/>
        <v/>
      </c>
    </row>
    <row r="237" spans="3:7" ht="15" hidden="1" x14ac:dyDescent="0.25">
      <c r="C237" s="4" t="str">
        <f>IFERROR(AVERAGEIFS('2. Program Allocation Output'!$P:$P,'2. Program Allocation Output'!$AF:$AF,$A237,'2. Program Allocation Output'!$AG:$AG,$B237),"")</f>
        <v/>
      </c>
      <c r="D237" s="4" t="str">
        <f>IFERROR(AVERAGEIFS('2. Program Allocation Output'!$O:$O,'2. Program Allocation Output'!$AF:$AF,$A237,'2. Program Allocation Output'!$AG:$AG,$B237),"")</f>
        <v/>
      </c>
      <c r="E237" s="5" t="str">
        <f>IFERROR(AVERAGEIFS('2. Program Allocation Output'!$L:$L,'2. Program Allocation Output'!$AF:$AF,$A237,'2. Program Allocation Output'!$AG:$AG,$B237),"")</f>
        <v/>
      </c>
      <c r="F237" s="39" t="str">
        <f t="shared" si="9"/>
        <v/>
      </c>
      <c r="G237" t="str">
        <f t="shared" si="10"/>
        <v/>
      </c>
    </row>
    <row r="238" spans="3:7" ht="15" hidden="1" x14ac:dyDescent="0.25">
      <c r="C238" s="4" t="str">
        <f>IFERROR(AVERAGEIFS('2. Program Allocation Output'!$P:$P,'2. Program Allocation Output'!$AF:$AF,$A238,'2. Program Allocation Output'!$AG:$AG,$B238),"")</f>
        <v/>
      </c>
      <c r="D238" s="4" t="str">
        <f>IFERROR(AVERAGEIFS('2. Program Allocation Output'!$O:$O,'2. Program Allocation Output'!$AF:$AF,$A238,'2. Program Allocation Output'!$AG:$AG,$B238),"")</f>
        <v/>
      </c>
      <c r="E238" s="5" t="str">
        <f>IFERROR(AVERAGEIFS('2. Program Allocation Output'!$L:$L,'2. Program Allocation Output'!$AF:$AF,$A238,'2. Program Allocation Output'!$AG:$AG,$B238),"")</f>
        <v/>
      </c>
      <c r="F238" s="39" t="str">
        <f t="shared" si="9"/>
        <v/>
      </c>
      <c r="G238" t="str">
        <f t="shared" si="10"/>
        <v/>
      </c>
    </row>
    <row r="239" spans="3:7" ht="15" hidden="1" x14ac:dyDescent="0.25">
      <c r="C239" s="4" t="str">
        <f>IFERROR(AVERAGEIFS('2. Program Allocation Output'!$P:$P,'2. Program Allocation Output'!$AF:$AF,$A239,'2. Program Allocation Output'!$AG:$AG,$B239),"")</f>
        <v/>
      </c>
      <c r="D239" s="4" t="str">
        <f>IFERROR(AVERAGEIFS('2. Program Allocation Output'!$O:$O,'2. Program Allocation Output'!$AF:$AF,$A239,'2. Program Allocation Output'!$AG:$AG,$B239),"")</f>
        <v/>
      </c>
      <c r="E239" s="5" t="str">
        <f>IFERROR(AVERAGEIFS('2. Program Allocation Output'!$L:$L,'2. Program Allocation Output'!$AF:$AF,$A239,'2. Program Allocation Output'!$AG:$AG,$B239),"")</f>
        <v/>
      </c>
      <c r="F239" s="39" t="str">
        <f t="shared" si="9"/>
        <v/>
      </c>
      <c r="G239" t="str">
        <f t="shared" si="10"/>
        <v/>
      </c>
    </row>
    <row r="240" spans="3:7" ht="15" hidden="1" x14ac:dyDescent="0.25">
      <c r="C240" s="4" t="str">
        <f>IFERROR(AVERAGEIFS('2. Program Allocation Output'!$P:$P,'2. Program Allocation Output'!$AF:$AF,$A240,'2. Program Allocation Output'!$AG:$AG,$B240),"")</f>
        <v/>
      </c>
      <c r="D240" s="4" t="str">
        <f>IFERROR(AVERAGEIFS('2. Program Allocation Output'!$O:$O,'2. Program Allocation Output'!$AF:$AF,$A240,'2. Program Allocation Output'!$AG:$AG,$B240),"")</f>
        <v/>
      </c>
      <c r="E240" s="5" t="str">
        <f>IFERROR(AVERAGEIFS('2. Program Allocation Output'!$L:$L,'2. Program Allocation Output'!$AF:$AF,$A240,'2. Program Allocation Output'!$AG:$AG,$B240),"")</f>
        <v/>
      </c>
      <c r="F240" s="39" t="str">
        <f t="shared" si="9"/>
        <v/>
      </c>
      <c r="G240" t="str">
        <f t="shared" si="10"/>
        <v/>
      </c>
    </row>
    <row r="241" spans="3:7" ht="15" hidden="1" x14ac:dyDescent="0.25">
      <c r="C241" s="4" t="str">
        <f>IFERROR(AVERAGEIFS('2. Program Allocation Output'!$P:$P,'2. Program Allocation Output'!$AF:$AF,$A241,'2. Program Allocation Output'!$AG:$AG,$B241),"")</f>
        <v/>
      </c>
      <c r="D241" s="4" t="str">
        <f>IFERROR(AVERAGEIFS('2. Program Allocation Output'!$O:$O,'2. Program Allocation Output'!$AF:$AF,$A241,'2. Program Allocation Output'!$AG:$AG,$B241),"")</f>
        <v/>
      </c>
      <c r="E241" s="5" t="str">
        <f>IFERROR(AVERAGEIFS('2. Program Allocation Output'!$L:$L,'2. Program Allocation Output'!$AF:$AF,$A241,'2. Program Allocation Output'!$AG:$AG,$B241),"")</f>
        <v/>
      </c>
      <c r="F241" s="39" t="str">
        <f t="shared" si="9"/>
        <v/>
      </c>
      <c r="G241" t="str">
        <f t="shared" si="10"/>
        <v/>
      </c>
    </row>
    <row r="242" spans="3:7" ht="15" hidden="1" x14ac:dyDescent="0.25">
      <c r="C242" s="4" t="str">
        <f>IFERROR(AVERAGEIFS('2. Program Allocation Output'!$P:$P,'2. Program Allocation Output'!$AF:$AF,$A242,'2. Program Allocation Output'!$AG:$AG,$B242),"")</f>
        <v/>
      </c>
      <c r="D242" s="4" t="str">
        <f>IFERROR(AVERAGEIFS('2. Program Allocation Output'!$O:$O,'2. Program Allocation Output'!$AF:$AF,$A242,'2. Program Allocation Output'!$AG:$AG,$B242),"")</f>
        <v/>
      </c>
      <c r="E242" s="5" t="str">
        <f>IFERROR(AVERAGEIFS('2. Program Allocation Output'!$L:$L,'2. Program Allocation Output'!$AF:$AF,$A242,'2. Program Allocation Output'!$AG:$AG,$B242),"")</f>
        <v/>
      </c>
      <c r="F242" s="39" t="str">
        <f t="shared" si="9"/>
        <v/>
      </c>
      <c r="G242" t="str">
        <f t="shared" si="10"/>
        <v/>
      </c>
    </row>
    <row r="243" spans="3:7" ht="15" hidden="1" x14ac:dyDescent="0.25">
      <c r="C243" s="4" t="str">
        <f>IFERROR(AVERAGEIFS('2. Program Allocation Output'!$P:$P,'2. Program Allocation Output'!$AF:$AF,$A243,'2. Program Allocation Output'!$AG:$AG,$B243),"")</f>
        <v/>
      </c>
      <c r="D243" s="4" t="str">
        <f>IFERROR(AVERAGEIFS('2. Program Allocation Output'!$O:$O,'2. Program Allocation Output'!$AF:$AF,$A243,'2. Program Allocation Output'!$AG:$AG,$B243),"")</f>
        <v/>
      </c>
      <c r="E243" s="5" t="str">
        <f>IFERROR(AVERAGEIFS('2. Program Allocation Output'!$L:$L,'2. Program Allocation Output'!$AF:$AF,$A243,'2. Program Allocation Output'!$AG:$AG,$B243),"")</f>
        <v/>
      </c>
      <c r="F243" s="39" t="str">
        <f t="shared" si="9"/>
        <v/>
      </c>
      <c r="G243" t="str">
        <f t="shared" si="10"/>
        <v/>
      </c>
    </row>
    <row r="244" spans="3:7" ht="15" hidden="1" x14ac:dyDescent="0.25">
      <c r="C244" s="4" t="str">
        <f>IFERROR(AVERAGEIFS('2. Program Allocation Output'!$P:$P,'2. Program Allocation Output'!$AF:$AF,$A244,'2. Program Allocation Output'!$AG:$AG,$B244),"")</f>
        <v/>
      </c>
      <c r="D244" s="4" t="str">
        <f>IFERROR(AVERAGEIFS('2. Program Allocation Output'!$O:$O,'2. Program Allocation Output'!$AF:$AF,$A244,'2. Program Allocation Output'!$AG:$AG,$B244),"")</f>
        <v/>
      </c>
      <c r="E244" s="5" t="str">
        <f>IFERROR(AVERAGEIFS('2. Program Allocation Output'!$L:$L,'2. Program Allocation Output'!$AF:$AF,$A244,'2. Program Allocation Output'!$AG:$AG,$B244),"")</f>
        <v/>
      </c>
      <c r="F244" s="39" t="str">
        <f t="shared" si="9"/>
        <v/>
      </c>
      <c r="G244" t="str">
        <f t="shared" si="10"/>
        <v/>
      </c>
    </row>
    <row r="245" spans="3:7" ht="15" hidden="1" x14ac:dyDescent="0.25">
      <c r="C245" s="4" t="str">
        <f>IFERROR(AVERAGEIFS('2. Program Allocation Output'!$P:$P,'2. Program Allocation Output'!$AF:$AF,$A245,'2. Program Allocation Output'!$AG:$AG,$B245),"")</f>
        <v/>
      </c>
      <c r="D245" s="4" t="str">
        <f>IFERROR(AVERAGEIFS('2. Program Allocation Output'!$O:$O,'2. Program Allocation Output'!$AF:$AF,$A245,'2. Program Allocation Output'!$AG:$AG,$B245),"")</f>
        <v/>
      </c>
      <c r="E245" s="5" t="str">
        <f>IFERROR(AVERAGEIFS('2. Program Allocation Output'!$L:$L,'2. Program Allocation Output'!$AF:$AF,$A245,'2. Program Allocation Output'!$AG:$AG,$B245),"")</f>
        <v/>
      </c>
      <c r="F245" s="39" t="str">
        <f t="shared" si="9"/>
        <v/>
      </c>
      <c r="G245" t="str">
        <f t="shared" si="10"/>
        <v/>
      </c>
    </row>
    <row r="246" spans="3:7" ht="15" hidden="1" x14ac:dyDescent="0.25">
      <c r="C246" s="4" t="str">
        <f>IFERROR(AVERAGEIFS('2. Program Allocation Output'!$P:$P,'2. Program Allocation Output'!$AF:$AF,$A246,'2. Program Allocation Output'!$AG:$AG,$B246),"")</f>
        <v/>
      </c>
      <c r="D246" s="4" t="str">
        <f>IFERROR(AVERAGEIFS('2. Program Allocation Output'!$O:$O,'2. Program Allocation Output'!$AF:$AF,$A246,'2. Program Allocation Output'!$AG:$AG,$B246),"")</f>
        <v/>
      </c>
      <c r="E246" s="5" t="str">
        <f>IFERROR(AVERAGEIFS('2. Program Allocation Output'!$L:$L,'2. Program Allocation Output'!$AF:$AF,$A246,'2. Program Allocation Output'!$AG:$AG,$B246),"")</f>
        <v/>
      </c>
      <c r="F246" s="39" t="str">
        <f t="shared" si="9"/>
        <v/>
      </c>
      <c r="G246" t="str">
        <f t="shared" si="10"/>
        <v/>
      </c>
    </row>
    <row r="247" spans="3:7" ht="15" hidden="1" x14ac:dyDescent="0.25">
      <c r="C247" s="4" t="str">
        <f>IFERROR(AVERAGEIFS('2. Program Allocation Output'!$P:$P,'2. Program Allocation Output'!$AF:$AF,$A247,'2. Program Allocation Output'!$AG:$AG,$B247),"")</f>
        <v/>
      </c>
      <c r="D247" s="4" t="str">
        <f>IFERROR(AVERAGEIFS('2. Program Allocation Output'!$O:$O,'2. Program Allocation Output'!$AF:$AF,$A247,'2. Program Allocation Output'!$AG:$AG,$B247),"")</f>
        <v/>
      </c>
      <c r="E247" s="5" t="str">
        <f>IFERROR(AVERAGEIFS('2. Program Allocation Output'!$L:$L,'2. Program Allocation Output'!$AF:$AF,$A247,'2. Program Allocation Output'!$AG:$AG,$B247),"")</f>
        <v/>
      </c>
      <c r="F247" s="39" t="str">
        <f t="shared" si="9"/>
        <v/>
      </c>
      <c r="G247" t="str">
        <f t="shared" si="10"/>
        <v/>
      </c>
    </row>
    <row r="248" spans="3:7" ht="15" hidden="1" x14ac:dyDescent="0.25">
      <c r="C248" s="4" t="str">
        <f>IFERROR(AVERAGEIFS('2. Program Allocation Output'!$P:$P,'2. Program Allocation Output'!$AF:$AF,$A248,'2. Program Allocation Output'!$AG:$AG,$B248),"")</f>
        <v/>
      </c>
      <c r="D248" s="4" t="str">
        <f>IFERROR(AVERAGEIFS('2. Program Allocation Output'!$O:$O,'2. Program Allocation Output'!$AF:$AF,$A248,'2. Program Allocation Output'!$AG:$AG,$B248),"")</f>
        <v/>
      </c>
      <c r="E248" s="5" t="str">
        <f>IFERROR(AVERAGEIFS('2. Program Allocation Output'!$L:$L,'2. Program Allocation Output'!$AF:$AF,$A248,'2. Program Allocation Output'!$AG:$AG,$B248),"")</f>
        <v/>
      </c>
      <c r="F248" s="39" t="str">
        <f t="shared" si="9"/>
        <v/>
      </c>
      <c r="G248" t="str">
        <f t="shared" si="10"/>
        <v/>
      </c>
    </row>
    <row r="249" spans="3:7" ht="15" hidden="1" x14ac:dyDescent="0.25">
      <c r="C249" s="4" t="str">
        <f>IFERROR(AVERAGEIFS('2. Program Allocation Output'!$P:$P,'2. Program Allocation Output'!$AF:$AF,$A249,'2. Program Allocation Output'!$AG:$AG,$B249),"")</f>
        <v/>
      </c>
      <c r="D249" s="4" t="str">
        <f>IFERROR(AVERAGEIFS('2. Program Allocation Output'!$O:$O,'2. Program Allocation Output'!$AF:$AF,$A249,'2. Program Allocation Output'!$AG:$AG,$B249),"")</f>
        <v/>
      </c>
      <c r="E249" s="5" t="str">
        <f>IFERROR(AVERAGEIFS('2. Program Allocation Output'!$L:$L,'2. Program Allocation Output'!$AF:$AF,$A249,'2. Program Allocation Output'!$AG:$AG,$B249),"")</f>
        <v/>
      </c>
      <c r="F249" s="39" t="str">
        <f t="shared" si="9"/>
        <v/>
      </c>
      <c r="G249" t="str">
        <f t="shared" si="10"/>
        <v/>
      </c>
    </row>
    <row r="250" spans="3:7" ht="15" hidden="1" x14ac:dyDescent="0.25">
      <c r="C250" s="4" t="str">
        <f>IFERROR(AVERAGEIFS('2. Program Allocation Output'!$P:$P,'2. Program Allocation Output'!$AF:$AF,$A250,'2. Program Allocation Output'!$AG:$AG,$B250),"")</f>
        <v/>
      </c>
      <c r="D250" s="4" t="str">
        <f>IFERROR(AVERAGEIFS('2. Program Allocation Output'!$O:$O,'2. Program Allocation Output'!$AF:$AF,$A250,'2. Program Allocation Output'!$AG:$AG,$B250),"")</f>
        <v/>
      </c>
      <c r="E250" s="5" t="str">
        <f>IFERROR(AVERAGEIFS('2. Program Allocation Output'!$L:$L,'2. Program Allocation Output'!$AF:$AF,$A250,'2. Program Allocation Output'!$AG:$AG,$B250),"")</f>
        <v/>
      </c>
      <c r="F250" s="39" t="str">
        <f t="shared" si="9"/>
        <v/>
      </c>
      <c r="G250" t="str">
        <f t="shared" si="10"/>
        <v/>
      </c>
    </row>
    <row r="251" spans="3:7" ht="15" hidden="1" x14ac:dyDescent="0.25">
      <c r="C251" s="4" t="str">
        <f>IFERROR(AVERAGEIFS('2. Program Allocation Output'!$P:$P,'2. Program Allocation Output'!$AF:$AF,$A251,'2. Program Allocation Output'!$AG:$AG,$B251),"")</f>
        <v/>
      </c>
      <c r="D251" s="4" t="str">
        <f>IFERROR(AVERAGEIFS('2. Program Allocation Output'!$O:$O,'2. Program Allocation Output'!$AF:$AF,$A251,'2. Program Allocation Output'!$AG:$AG,$B251),"")</f>
        <v/>
      </c>
      <c r="E251" s="5" t="str">
        <f>IFERROR(AVERAGEIFS('2. Program Allocation Output'!$L:$L,'2. Program Allocation Output'!$AF:$AF,$A251,'2. Program Allocation Output'!$AG:$AG,$B251),"")</f>
        <v/>
      </c>
      <c r="F251" s="39" t="str">
        <f t="shared" si="9"/>
        <v/>
      </c>
      <c r="G251" t="str">
        <f t="shared" si="10"/>
        <v/>
      </c>
    </row>
    <row r="252" spans="3:7" ht="15" hidden="1" x14ac:dyDescent="0.25">
      <c r="C252" s="4" t="str">
        <f>IFERROR(AVERAGEIFS('2. Program Allocation Output'!$P:$P,'2. Program Allocation Output'!$AF:$AF,$A252,'2. Program Allocation Output'!$AG:$AG,$B252),"")</f>
        <v/>
      </c>
      <c r="D252" s="4" t="str">
        <f>IFERROR(AVERAGEIFS('2. Program Allocation Output'!$O:$O,'2. Program Allocation Output'!$AF:$AF,$A252,'2. Program Allocation Output'!$AG:$AG,$B252),"")</f>
        <v/>
      </c>
      <c r="E252" s="5" t="str">
        <f>IFERROR(AVERAGEIFS('2. Program Allocation Output'!$L:$L,'2. Program Allocation Output'!$AF:$AF,$A252,'2. Program Allocation Output'!$AG:$AG,$B252),"")</f>
        <v/>
      </c>
      <c r="F252" s="39" t="str">
        <f t="shared" si="9"/>
        <v/>
      </c>
      <c r="G252" t="str">
        <f t="shared" si="10"/>
        <v/>
      </c>
    </row>
    <row r="253" spans="3:7" ht="15" hidden="1" x14ac:dyDescent="0.25">
      <c r="C253" s="4" t="str">
        <f>IFERROR(AVERAGEIFS('2. Program Allocation Output'!$P:$P,'2. Program Allocation Output'!$AF:$AF,$A253,'2. Program Allocation Output'!$AG:$AG,$B253),"")</f>
        <v/>
      </c>
      <c r="D253" s="4" t="str">
        <f>IFERROR(AVERAGEIFS('2. Program Allocation Output'!$O:$O,'2. Program Allocation Output'!$AF:$AF,$A253,'2. Program Allocation Output'!$AG:$AG,$B253),"")</f>
        <v/>
      </c>
      <c r="E253" s="5" t="str">
        <f>IFERROR(AVERAGEIFS('2. Program Allocation Output'!$L:$L,'2. Program Allocation Output'!$AF:$AF,$A253,'2. Program Allocation Output'!$AG:$AG,$B253),"")</f>
        <v/>
      </c>
      <c r="F253" s="39" t="str">
        <f t="shared" si="9"/>
        <v/>
      </c>
      <c r="G253" t="str">
        <f t="shared" si="10"/>
        <v/>
      </c>
    </row>
    <row r="254" spans="3:7" ht="15" hidden="1" x14ac:dyDescent="0.25">
      <c r="C254" s="4" t="str">
        <f>IFERROR(AVERAGEIFS('2. Program Allocation Output'!$P:$P,'2. Program Allocation Output'!$AF:$AF,$A254,'2. Program Allocation Output'!$AG:$AG,$B254),"")</f>
        <v/>
      </c>
      <c r="D254" s="4" t="str">
        <f>IFERROR(AVERAGEIFS('2. Program Allocation Output'!$O:$O,'2. Program Allocation Output'!$AF:$AF,$A254,'2. Program Allocation Output'!$AG:$AG,$B254),"")</f>
        <v/>
      </c>
      <c r="E254" s="5" t="str">
        <f>IFERROR(AVERAGEIFS('2. Program Allocation Output'!$L:$L,'2. Program Allocation Output'!$AF:$AF,$A254,'2. Program Allocation Output'!$AG:$AG,$B254),"")</f>
        <v/>
      </c>
      <c r="F254" s="39" t="str">
        <f t="shared" si="9"/>
        <v/>
      </c>
      <c r="G254" t="str">
        <f t="shared" si="10"/>
        <v/>
      </c>
    </row>
    <row r="255" spans="3:7" ht="15" hidden="1" x14ac:dyDescent="0.25">
      <c r="C255" s="4" t="str">
        <f>IFERROR(AVERAGEIFS('2. Program Allocation Output'!$P:$P,'2. Program Allocation Output'!$AF:$AF,$A255,'2. Program Allocation Output'!$AG:$AG,$B255),"")</f>
        <v/>
      </c>
      <c r="D255" s="4" t="str">
        <f>IFERROR(AVERAGEIFS('2. Program Allocation Output'!$O:$O,'2. Program Allocation Output'!$AF:$AF,$A255,'2. Program Allocation Output'!$AG:$AG,$B255),"")</f>
        <v/>
      </c>
      <c r="E255" s="5" t="str">
        <f>IFERROR(AVERAGEIFS('2. Program Allocation Output'!$L:$L,'2. Program Allocation Output'!$AF:$AF,$A255,'2. Program Allocation Output'!$AG:$AG,$B255),"")</f>
        <v/>
      </c>
      <c r="F255" s="39" t="str">
        <f t="shared" si="9"/>
        <v/>
      </c>
      <c r="G255" t="str">
        <f t="shared" si="10"/>
        <v/>
      </c>
    </row>
    <row r="256" spans="3:7" ht="15" hidden="1" x14ac:dyDescent="0.25">
      <c r="C256" s="4" t="str">
        <f>IFERROR(AVERAGEIFS('2. Program Allocation Output'!$P:$P,'2. Program Allocation Output'!$AF:$AF,$A256,'2. Program Allocation Output'!$AG:$AG,$B256),"")</f>
        <v/>
      </c>
      <c r="D256" s="4" t="str">
        <f>IFERROR(AVERAGEIFS('2. Program Allocation Output'!$O:$O,'2. Program Allocation Output'!$AF:$AF,$A256,'2. Program Allocation Output'!$AG:$AG,$B256),"")</f>
        <v/>
      </c>
      <c r="E256" s="5" t="str">
        <f>IFERROR(AVERAGEIFS('2. Program Allocation Output'!$L:$L,'2. Program Allocation Output'!$AF:$AF,$A256,'2. Program Allocation Output'!$AG:$AG,$B256),"")</f>
        <v/>
      </c>
      <c r="F256" s="39" t="str">
        <f t="shared" si="9"/>
        <v/>
      </c>
      <c r="G256" t="str">
        <f t="shared" si="10"/>
        <v/>
      </c>
    </row>
    <row r="257" spans="3:7" ht="15" hidden="1" x14ac:dyDescent="0.25">
      <c r="C257" s="4" t="str">
        <f>IFERROR(AVERAGEIFS('2. Program Allocation Output'!$P:$P,'2. Program Allocation Output'!$AF:$AF,$A257,'2. Program Allocation Output'!$AG:$AG,$B257),"")</f>
        <v/>
      </c>
      <c r="D257" s="4" t="str">
        <f>IFERROR(AVERAGEIFS('2. Program Allocation Output'!$O:$O,'2. Program Allocation Output'!$AF:$AF,$A257,'2. Program Allocation Output'!$AG:$AG,$B257),"")</f>
        <v/>
      </c>
      <c r="E257" s="5" t="str">
        <f>IFERROR(AVERAGEIFS('2. Program Allocation Output'!$L:$L,'2. Program Allocation Output'!$AF:$AF,$A257,'2. Program Allocation Output'!$AG:$AG,$B257),"")</f>
        <v/>
      </c>
      <c r="F257" s="39" t="str">
        <f t="shared" si="9"/>
        <v/>
      </c>
      <c r="G257" t="str">
        <f t="shared" si="10"/>
        <v/>
      </c>
    </row>
    <row r="258" spans="3:7" ht="15" hidden="1" x14ac:dyDescent="0.25">
      <c r="C258" s="4" t="str">
        <f>IFERROR(AVERAGEIFS('2. Program Allocation Output'!$P:$P,'2. Program Allocation Output'!$AF:$AF,$A258,'2. Program Allocation Output'!$AG:$AG,$B258),"")</f>
        <v/>
      </c>
      <c r="D258" s="4" t="str">
        <f>IFERROR(AVERAGEIFS('2. Program Allocation Output'!$O:$O,'2. Program Allocation Output'!$AF:$AF,$A258,'2. Program Allocation Output'!$AG:$AG,$B258),"")</f>
        <v/>
      </c>
      <c r="E258" s="5" t="str">
        <f>IFERROR(AVERAGEIFS('2. Program Allocation Output'!$L:$L,'2. Program Allocation Output'!$AF:$AF,$A258,'2. Program Allocation Output'!$AG:$AG,$B258),"")</f>
        <v/>
      </c>
      <c r="F258" s="39" t="str">
        <f t="shared" si="9"/>
        <v/>
      </c>
      <c r="G258" t="str">
        <f t="shared" si="10"/>
        <v/>
      </c>
    </row>
    <row r="259" spans="3:7" ht="15" hidden="1" x14ac:dyDescent="0.25">
      <c r="C259" s="4" t="str">
        <f>IFERROR(AVERAGEIFS('2. Program Allocation Output'!$P:$P,'2. Program Allocation Output'!$AF:$AF,$A259,'2. Program Allocation Output'!$AG:$AG,$B259),"")</f>
        <v/>
      </c>
      <c r="D259" s="4" t="str">
        <f>IFERROR(AVERAGEIFS('2. Program Allocation Output'!$O:$O,'2. Program Allocation Output'!$AF:$AF,$A259,'2. Program Allocation Output'!$AG:$AG,$B259),"")</f>
        <v/>
      </c>
      <c r="E259" s="5" t="str">
        <f>IFERROR(AVERAGEIFS('2. Program Allocation Output'!$L:$L,'2. Program Allocation Output'!$AF:$AF,$A259,'2. Program Allocation Output'!$AG:$AG,$B259),"")</f>
        <v/>
      </c>
      <c r="F259" s="39" t="str">
        <f t="shared" ref="F259:F322" si="11">IFERROR(C259*1,"")</f>
        <v/>
      </c>
      <c r="G259" t="str">
        <f t="shared" si="10"/>
        <v/>
      </c>
    </row>
    <row r="260" spans="3:7" ht="15" hidden="1" x14ac:dyDescent="0.25">
      <c r="C260" s="4" t="str">
        <f>IFERROR(AVERAGEIFS('2. Program Allocation Output'!$P:$P,'2. Program Allocation Output'!$AF:$AF,$A260,'2. Program Allocation Output'!$AG:$AG,$B260),"")</f>
        <v/>
      </c>
      <c r="D260" s="4" t="str">
        <f>IFERROR(AVERAGEIFS('2. Program Allocation Output'!$O:$O,'2. Program Allocation Output'!$AF:$AF,$A260,'2. Program Allocation Output'!$AG:$AG,$B260),"")</f>
        <v/>
      </c>
      <c r="E260" s="5" t="str">
        <f>IFERROR(AVERAGEIFS('2. Program Allocation Output'!$L:$L,'2. Program Allocation Output'!$AF:$AF,$A260,'2. Program Allocation Output'!$AG:$AG,$B260),"")</f>
        <v/>
      </c>
      <c r="F260" s="39" t="str">
        <f t="shared" si="11"/>
        <v/>
      </c>
      <c r="G260" t="str">
        <f t="shared" si="10"/>
        <v/>
      </c>
    </row>
    <row r="261" spans="3:7" ht="15" hidden="1" x14ac:dyDescent="0.25">
      <c r="C261" s="4" t="str">
        <f>IFERROR(AVERAGEIFS('2. Program Allocation Output'!$P:$P,'2. Program Allocation Output'!$AF:$AF,$A261,'2. Program Allocation Output'!$AG:$AG,$B261),"")</f>
        <v/>
      </c>
      <c r="D261" s="4" t="str">
        <f>IFERROR(AVERAGEIFS('2. Program Allocation Output'!$O:$O,'2. Program Allocation Output'!$AF:$AF,$A261,'2. Program Allocation Output'!$AG:$AG,$B261),"")</f>
        <v/>
      </c>
      <c r="E261" s="5" t="str">
        <f>IFERROR(AVERAGEIFS('2. Program Allocation Output'!$L:$L,'2. Program Allocation Output'!$AF:$AF,$A261,'2. Program Allocation Output'!$AG:$AG,$B261),"")</f>
        <v/>
      </c>
      <c r="F261" s="39" t="str">
        <f t="shared" si="11"/>
        <v/>
      </c>
      <c r="G261" t="str">
        <f t="shared" si="10"/>
        <v/>
      </c>
    </row>
    <row r="262" spans="3:7" ht="15" hidden="1" x14ac:dyDescent="0.25">
      <c r="C262" s="4" t="str">
        <f>IFERROR(AVERAGEIFS('2. Program Allocation Output'!$P:$P,'2. Program Allocation Output'!$AF:$AF,$A262,'2. Program Allocation Output'!$AG:$AG,$B262),"")</f>
        <v/>
      </c>
      <c r="D262" s="4" t="str">
        <f>IFERROR(AVERAGEIFS('2. Program Allocation Output'!$O:$O,'2. Program Allocation Output'!$AF:$AF,$A262,'2. Program Allocation Output'!$AG:$AG,$B262),"")</f>
        <v/>
      </c>
      <c r="E262" s="5" t="str">
        <f>IFERROR(AVERAGEIFS('2. Program Allocation Output'!$L:$L,'2. Program Allocation Output'!$AF:$AF,$A262,'2. Program Allocation Output'!$AG:$AG,$B262),"")</f>
        <v/>
      </c>
      <c r="F262" s="39" t="str">
        <f t="shared" si="11"/>
        <v/>
      </c>
      <c r="G262" t="str">
        <f t="shared" si="10"/>
        <v/>
      </c>
    </row>
    <row r="263" spans="3:7" ht="15" hidden="1" x14ac:dyDescent="0.25">
      <c r="C263" s="4" t="str">
        <f>IFERROR(AVERAGEIFS('2. Program Allocation Output'!$P:$P,'2. Program Allocation Output'!$AF:$AF,$A263,'2. Program Allocation Output'!$AG:$AG,$B263),"")</f>
        <v/>
      </c>
      <c r="D263" s="4" t="str">
        <f>IFERROR(AVERAGEIFS('2. Program Allocation Output'!$O:$O,'2. Program Allocation Output'!$AF:$AF,$A263,'2. Program Allocation Output'!$AG:$AG,$B263),"")</f>
        <v/>
      </c>
      <c r="E263" s="5" t="str">
        <f>IFERROR(AVERAGEIFS('2. Program Allocation Output'!$L:$L,'2. Program Allocation Output'!$AF:$AF,$A263,'2. Program Allocation Output'!$AG:$AG,$B263),"")</f>
        <v/>
      </c>
      <c r="F263" s="39" t="str">
        <f t="shared" si="11"/>
        <v/>
      </c>
      <c r="G263" t="str">
        <f t="shared" si="10"/>
        <v/>
      </c>
    </row>
    <row r="264" spans="3:7" ht="15" hidden="1" x14ac:dyDescent="0.25">
      <c r="C264" s="4" t="str">
        <f>IFERROR(AVERAGEIFS('2. Program Allocation Output'!$P:$P,'2. Program Allocation Output'!$AF:$AF,$A264,'2. Program Allocation Output'!$AG:$AG,$B264),"")</f>
        <v/>
      </c>
      <c r="D264" s="4" t="str">
        <f>IFERROR(AVERAGEIFS('2. Program Allocation Output'!$O:$O,'2. Program Allocation Output'!$AF:$AF,$A264,'2. Program Allocation Output'!$AG:$AG,$B264),"")</f>
        <v/>
      </c>
      <c r="E264" s="5" t="str">
        <f>IFERROR(AVERAGEIFS('2. Program Allocation Output'!$L:$L,'2. Program Allocation Output'!$AF:$AF,$A264,'2. Program Allocation Output'!$AG:$AG,$B264),"")</f>
        <v/>
      </c>
      <c r="F264" s="39" t="str">
        <f t="shared" si="11"/>
        <v/>
      </c>
      <c r="G264" t="str">
        <f t="shared" si="10"/>
        <v/>
      </c>
    </row>
    <row r="265" spans="3:7" ht="15" hidden="1" x14ac:dyDescent="0.25">
      <c r="C265" s="4" t="str">
        <f>IFERROR(AVERAGEIFS('2. Program Allocation Output'!$P:$P,'2. Program Allocation Output'!$AF:$AF,$A265,'2. Program Allocation Output'!$AG:$AG,$B265),"")</f>
        <v/>
      </c>
      <c r="D265" s="4" t="str">
        <f>IFERROR(AVERAGEIFS('2. Program Allocation Output'!$O:$O,'2. Program Allocation Output'!$AF:$AF,$A265,'2. Program Allocation Output'!$AG:$AG,$B265),"")</f>
        <v/>
      </c>
      <c r="E265" s="5" t="str">
        <f>IFERROR(AVERAGEIFS('2. Program Allocation Output'!$L:$L,'2. Program Allocation Output'!$AF:$AF,$A265,'2. Program Allocation Output'!$AG:$AG,$B265),"")</f>
        <v/>
      </c>
      <c r="F265" s="39" t="str">
        <f t="shared" si="11"/>
        <v/>
      </c>
      <c r="G265" t="str">
        <f t="shared" si="10"/>
        <v/>
      </c>
    </row>
    <row r="266" spans="3:7" ht="15" hidden="1" x14ac:dyDescent="0.25">
      <c r="C266" s="4" t="str">
        <f>IFERROR(AVERAGEIFS('2. Program Allocation Output'!$P:$P,'2. Program Allocation Output'!$AF:$AF,$A266,'2. Program Allocation Output'!$AG:$AG,$B266),"")</f>
        <v/>
      </c>
      <c r="D266" s="4" t="str">
        <f>IFERROR(AVERAGEIFS('2. Program Allocation Output'!$O:$O,'2. Program Allocation Output'!$AF:$AF,$A266,'2. Program Allocation Output'!$AG:$AG,$B266),"")</f>
        <v/>
      </c>
      <c r="E266" s="5" t="str">
        <f>IFERROR(AVERAGEIFS('2. Program Allocation Output'!$L:$L,'2. Program Allocation Output'!$AF:$AF,$A266,'2. Program Allocation Output'!$AG:$AG,$B266),"")</f>
        <v/>
      </c>
      <c r="F266" s="39" t="str">
        <f t="shared" si="11"/>
        <v/>
      </c>
      <c r="G266" t="str">
        <f t="shared" si="10"/>
        <v/>
      </c>
    </row>
    <row r="267" spans="3:7" ht="15" hidden="1" x14ac:dyDescent="0.25">
      <c r="C267" s="4" t="str">
        <f>IFERROR(AVERAGEIFS('2. Program Allocation Output'!$P:$P,'2. Program Allocation Output'!$AF:$AF,$A267,'2. Program Allocation Output'!$AG:$AG,$B267),"")</f>
        <v/>
      </c>
      <c r="D267" s="4" t="str">
        <f>IFERROR(AVERAGEIFS('2. Program Allocation Output'!$O:$O,'2. Program Allocation Output'!$AF:$AF,$A267,'2. Program Allocation Output'!$AG:$AG,$B267),"")</f>
        <v/>
      </c>
      <c r="E267" s="5" t="str">
        <f>IFERROR(AVERAGEIFS('2. Program Allocation Output'!$L:$L,'2. Program Allocation Output'!$AF:$AF,$A267,'2. Program Allocation Output'!$AG:$AG,$B267),"")</f>
        <v/>
      </c>
      <c r="F267" s="39" t="str">
        <f t="shared" si="11"/>
        <v/>
      </c>
      <c r="G267" t="str">
        <f t="shared" si="10"/>
        <v/>
      </c>
    </row>
    <row r="268" spans="3:7" ht="15" hidden="1" x14ac:dyDescent="0.25">
      <c r="C268" s="4" t="str">
        <f>IFERROR(AVERAGEIFS('2. Program Allocation Output'!$P:$P,'2. Program Allocation Output'!$AF:$AF,$A268,'2. Program Allocation Output'!$AG:$AG,$B268),"")</f>
        <v/>
      </c>
      <c r="D268" s="4" t="str">
        <f>IFERROR(AVERAGEIFS('2. Program Allocation Output'!$O:$O,'2. Program Allocation Output'!$AF:$AF,$A268,'2. Program Allocation Output'!$AG:$AG,$B268),"")</f>
        <v/>
      </c>
      <c r="E268" s="5" t="str">
        <f>IFERROR(AVERAGEIFS('2. Program Allocation Output'!$L:$L,'2. Program Allocation Output'!$AF:$AF,$A268,'2. Program Allocation Output'!$AG:$AG,$B268),"")</f>
        <v/>
      </c>
      <c r="F268" s="39" t="str">
        <f t="shared" si="11"/>
        <v/>
      </c>
      <c r="G268" t="str">
        <f t="shared" si="10"/>
        <v/>
      </c>
    </row>
    <row r="269" spans="3:7" ht="15" hidden="1" x14ac:dyDescent="0.25">
      <c r="C269" s="4" t="str">
        <f>IFERROR(AVERAGEIFS('2. Program Allocation Output'!$P:$P,'2. Program Allocation Output'!$AF:$AF,$A269,'2. Program Allocation Output'!$AG:$AG,$B269),"")</f>
        <v/>
      </c>
      <c r="D269" s="4" t="str">
        <f>IFERROR(AVERAGEIFS('2. Program Allocation Output'!$O:$O,'2. Program Allocation Output'!$AF:$AF,$A269,'2. Program Allocation Output'!$AG:$AG,$B269),"")</f>
        <v/>
      </c>
      <c r="E269" s="5" t="str">
        <f>IFERROR(AVERAGEIFS('2. Program Allocation Output'!$L:$L,'2. Program Allocation Output'!$AF:$AF,$A269,'2. Program Allocation Output'!$AG:$AG,$B269),"")</f>
        <v/>
      </c>
      <c r="F269" s="39" t="str">
        <f t="shared" si="11"/>
        <v/>
      </c>
      <c r="G269" t="str">
        <f t="shared" si="10"/>
        <v/>
      </c>
    </row>
    <row r="270" spans="3:7" ht="15" hidden="1" x14ac:dyDescent="0.25">
      <c r="C270" s="4" t="str">
        <f>IFERROR(AVERAGEIFS('2. Program Allocation Output'!$P:$P,'2. Program Allocation Output'!$AF:$AF,$A270,'2. Program Allocation Output'!$AG:$AG,$B270),"")</f>
        <v/>
      </c>
      <c r="D270" s="4" t="str">
        <f>IFERROR(AVERAGEIFS('2. Program Allocation Output'!$O:$O,'2. Program Allocation Output'!$AF:$AF,$A270,'2. Program Allocation Output'!$AG:$AG,$B270),"")</f>
        <v/>
      </c>
      <c r="E270" s="5" t="str">
        <f>IFERROR(AVERAGEIFS('2. Program Allocation Output'!$L:$L,'2. Program Allocation Output'!$AF:$AF,$A270,'2. Program Allocation Output'!$AG:$AG,$B270),"")</f>
        <v/>
      </c>
      <c r="F270" s="39" t="str">
        <f t="shared" si="11"/>
        <v/>
      </c>
      <c r="G270" t="str">
        <f t="shared" ref="G270:G333" si="12">IFERROR(EXP(0.3*(F270-C270)/(E270*0.1137)),"")</f>
        <v/>
      </c>
    </row>
    <row r="271" spans="3:7" ht="15" hidden="1" x14ac:dyDescent="0.25">
      <c r="C271" s="4" t="str">
        <f>IFERROR(AVERAGEIFS('2. Program Allocation Output'!$P:$P,'2. Program Allocation Output'!$AF:$AF,$A271,'2. Program Allocation Output'!$AG:$AG,$B271),"")</f>
        <v/>
      </c>
      <c r="D271" s="4" t="str">
        <f>IFERROR(AVERAGEIFS('2. Program Allocation Output'!$O:$O,'2. Program Allocation Output'!$AF:$AF,$A271,'2. Program Allocation Output'!$AG:$AG,$B271),"")</f>
        <v/>
      </c>
      <c r="E271" s="5" t="str">
        <f>IFERROR(AVERAGEIFS('2. Program Allocation Output'!$L:$L,'2. Program Allocation Output'!$AF:$AF,$A271,'2. Program Allocation Output'!$AG:$AG,$B271),"")</f>
        <v/>
      </c>
      <c r="F271" s="39" t="str">
        <f t="shared" si="11"/>
        <v/>
      </c>
      <c r="G271" t="str">
        <f t="shared" si="12"/>
        <v/>
      </c>
    </row>
    <row r="272" spans="3:7" ht="15" hidden="1" x14ac:dyDescent="0.25">
      <c r="C272" s="4" t="str">
        <f>IFERROR(AVERAGEIFS('2. Program Allocation Output'!$P:$P,'2. Program Allocation Output'!$AF:$AF,$A272,'2. Program Allocation Output'!$AG:$AG,$B272),"")</f>
        <v/>
      </c>
      <c r="D272" s="4" t="str">
        <f>IFERROR(AVERAGEIFS('2. Program Allocation Output'!$O:$O,'2. Program Allocation Output'!$AF:$AF,$A272,'2. Program Allocation Output'!$AG:$AG,$B272),"")</f>
        <v/>
      </c>
      <c r="E272" s="5" t="str">
        <f>IFERROR(AVERAGEIFS('2. Program Allocation Output'!$L:$L,'2. Program Allocation Output'!$AF:$AF,$A272,'2. Program Allocation Output'!$AG:$AG,$B272),"")</f>
        <v/>
      </c>
      <c r="F272" s="39" t="str">
        <f t="shared" si="11"/>
        <v/>
      </c>
      <c r="G272" t="str">
        <f t="shared" si="12"/>
        <v/>
      </c>
    </row>
    <row r="273" spans="3:7" ht="15" hidden="1" x14ac:dyDescent="0.25">
      <c r="C273" s="4" t="str">
        <f>IFERROR(AVERAGEIFS('2. Program Allocation Output'!$P:$P,'2. Program Allocation Output'!$AF:$AF,$A273,'2. Program Allocation Output'!$AG:$AG,$B273),"")</f>
        <v/>
      </c>
      <c r="D273" s="4" t="str">
        <f>IFERROR(AVERAGEIFS('2. Program Allocation Output'!$O:$O,'2. Program Allocation Output'!$AF:$AF,$A273,'2. Program Allocation Output'!$AG:$AG,$B273),"")</f>
        <v/>
      </c>
      <c r="E273" s="5" t="str">
        <f>IFERROR(AVERAGEIFS('2. Program Allocation Output'!$L:$L,'2. Program Allocation Output'!$AF:$AF,$A273,'2. Program Allocation Output'!$AG:$AG,$B273),"")</f>
        <v/>
      </c>
      <c r="F273" s="39" t="str">
        <f t="shared" si="11"/>
        <v/>
      </c>
      <c r="G273" t="str">
        <f t="shared" si="12"/>
        <v/>
      </c>
    </row>
    <row r="274" spans="3:7" ht="15" hidden="1" x14ac:dyDescent="0.25">
      <c r="C274" s="4" t="str">
        <f>IFERROR(AVERAGEIFS('2. Program Allocation Output'!$P:$P,'2. Program Allocation Output'!$AF:$AF,$A274,'2. Program Allocation Output'!$AG:$AG,$B274),"")</f>
        <v/>
      </c>
      <c r="D274" s="4" t="str">
        <f>IFERROR(AVERAGEIFS('2. Program Allocation Output'!$O:$O,'2. Program Allocation Output'!$AF:$AF,$A274,'2. Program Allocation Output'!$AG:$AG,$B274),"")</f>
        <v/>
      </c>
      <c r="E274" s="5" t="str">
        <f>IFERROR(AVERAGEIFS('2. Program Allocation Output'!$L:$L,'2. Program Allocation Output'!$AF:$AF,$A274,'2. Program Allocation Output'!$AG:$AG,$B274),"")</f>
        <v/>
      </c>
      <c r="F274" s="39" t="str">
        <f t="shared" si="11"/>
        <v/>
      </c>
      <c r="G274" t="str">
        <f t="shared" si="12"/>
        <v/>
      </c>
    </row>
    <row r="275" spans="3:7" ht="15" hidden="1" x14ac:dyDescent="0.25">
      <c r="C275" s="4" t="str">
        <f>IFERROR(AVERAGEIFS('2. Program Allocation Output'!$P:$P,'2. Program Allocation Output'!$AF:$AF,$A275,'2. Program Allocation Output'!$AG:$AG,$B275),"")</f>
        <v/>
      </c>
      <c r="D275" s="4" t="str">
        <f>IFERROR(AVERAGEIFS('2. Program Allocation Output'!$O:$O,'2. Program Allocation Output'!$AF:$AF,$A275,'2. Program Allocation Output'!$AG:$AG,$B275),"")</f>
        <v/>
      </c>
      <c r="E275" s="5" t="str">
        <f>IFERROR(AVERAGEIFS('2. Program Allocation Output'!$L:$L,'2. Program Allocation Output'!$AF:$AF,$A275,'2. Program Allocation Output'!$AG:$AG,$B275),"")</f>
        <v/>
      </c>
      <c r="F275" s="39" t="str">
        <f t="shared" si="11"/>
        <v/>
      </c>
      <c r="G275" t="str">
        <f t="shared" si="12"/>
        <v/>
      </c>
    </row>
    <row r="276" spans="3:7" ht="15" hidden="1" x14ac:dyDescent="0.25">
      <c r="C276" s="4" t="str">
        <f>IFERROR(AVERAGEIFS('2. Program Allocation Output'!$P:$P,'2. Program Allocation Output'!$AF:$AF,$A276,'2. Program Allocation Output'!$AG:$AG,$B276),"")</f>
        <v/>
      </c>
      <c r="D276" s="4" t="str">
        <f>IFERROR(AVERAGEIFS('2. Program Allocation Output'!$O:$O,'2. Program Allocation Output'!$AF:$AF,$A276,'2. Program Allocation Output'!$AG:$AG,$B276),"")</f>
        <v/>
      </c>
      <c r="E276" s="5" t="str">
        <f>IFERROR(AVERAGEIFS('2. Program Allocation Output'!$L:$L,'2. Program Allocation Output'!$AF:$AF,$A276,'2. Program Allocation Output'!$AG:$AG,$B276),"")</f>
        <v/>
      </c>
      <c r="F276" s="39" t="str">
        <f t="shared" si="11"/>
        <v/>
      </c>
      <c r="G276" t="str">
        <f t="shared" si="12"/>
        <v/>
      </c>
    </row>
    <row r="277" spans="3:7" ht="15" hidden="1" x14ac:dyDescent="0.25">
      <c r="C277" s="4" t="str">
        <f>IFERROR(AVERAGEIFS('2. Program Allocation Output'!$P:$P,'2. Program Allocation Output'!$AF:$AF,$A277,'2. Program Allocation Output'!$AG:$AG,$B277),"")</f>
        <v/>
      </c>
      <c r="D277" s="4" t="str">
        <f>IFERROR(AVERAGEIFS('2. Program Allocation Output'!$O:$O,'2. Program Allocation Output'!$AF:$AF,$A277,'2. Program Allocation Output'!$AG:$AG,$B277),"")</f>
        <v/>
      </c>
      <c r="E277" s="5" t="str">
        <f>IFERROR(AVERAGEIFS('2. Program Allocation Output'!$L:$L,'2. Program Allocation Output'!$AF:$AF,$A277,'2. Program Allocation Output'!$AG:$AG,$B277),"")</f>
        <v/>
      </c>
      <c r="F277" s="39" t="str">
        <f t="shared" si="11"/>
        <v/>
      </c>
      <c r="G277" t="str">
        <f t="shared" si="12"/>
        <v/>
      </c>
    </row>
    <row r="278" spans="3:7" ht="15" hidden="1" x14ac:dyDescent="0.25">
      <c r="C278" s="4" t="str">
        <f>IFERROR(AVERAGEIFS('2. Program Allocation Output'!$P:$P,'2. Program Allocation Output'!$AF:$AF,$A278,'2. Program Allocation Output'!$AG:$AG,$B278),"")</f>
        <v/>
      </c>
      <c r="D278" s="4" t="str">
        <f>IFERROR(AVERAGEIFS('2. Program Allocation Output'!$O:$O,'2. Program Allocation Output'!$AF:$AF,$A278,'2. Program Allocation Output'!$AG:$AG,$B278),"")</f>
        <v/>
      </c>
      <c r="E278" s="5" t="str">
        <f>IFERROR(AVERAGEIFS('2. Program Allocation Output'!$L:$L,'2. Program Allocation Output'!$AF:$AF,$A278,'2. Program Allocation Output'!$AG:$AG,$B278),"")</f>
        <v/>
      </c>
      <c r="F278" s="39" t="str">
        <f t="shared" si="11"/>
        <v/>
      </c>
      <c r="G278" t="str">
        <f t="shared" si="12"/>
        <v/>
      </c>
    </row>
    <row r="279" spans="3:7" ht="15" hidden="1" x14ac:dyDescent="0.25">
      <c r="C279" s="4" t="str">
        <f>IFERROR(AVERAGEIFS('2. Program Allocation Output'!$P:$P,'2. Program Allocation Output'!$AF:$AF,$A279,'2. Program Allocation Output'!$AG:$AG,$B279),"")</f>
        <v/>
      </c>
      <c r="D279" s="4" t="str">
        <f>IFERROR(AVERAGEIFS('2. Program Allocation Output'!$O:$O,'2. Program Allocation Output'!$AF:$AF,$A279,'2. Program Allocation Output'!$AG:$AG,$B279),"")</f>
        <v/>
      </c>
      <c r="E279" s="5" t="str">
        <f>IFERROR(AVERAGEIFS('2. Program Allocation Output'!$L:$L,'2. Program Allocation Output'!$AF:$AF,$A279,'2. Program Allocation Output'!$AG:$AG,$B279),"")</f>
        <v/>
      </c>
      <c r="F279" s="39" t="str">
        <f t="shared" si="11"/>
        <v/>
      </c>
      <c r="G279" t="str">
        <f t="shared" si="12"/>
        <v/>
      </c>
    </row>
    <row r="280" spans="3:7" ht="15" hidden="1" x14ac:dyDescent="0.25">
      <c r="C280" s="4" t="str">
        <f>IFERROR(AVERAGEIFS('2. Program Allocation Output'!$P:$P,'2. Program Allocation Output'!$AF:$AF,$A280,'2. Program Allocation Output'!$AG:$AG,$B280),"")</f>
        <v/>
      </c>
      <c r="D280" s="4" t="str">
        <f>IFERROR(AVERAGEIFS('2. Program Allocation Output'!$O:$O,'2. Program Allocation Output'!$AF:$AF,$A280,'2. Program Allocation Output'!$AG:$AG,$B280),"")</f>
        <v/>
      </c>
      <c r="E280" s="5" t="str">
        <f>IFERROR(AVERAGEIFS('2. Program Allocation Output'!$L:$L,'2. Program Allocation Output'!$AF:$AF,$A280,'2. Program Allocation Output'!$AG:$AG,$B280),"")</f>
        <v/>
      </c>
      <c r="F280" s="39" t="str">
        <f t="shared" si="11"/>
        <v/>
      </c>
      <c r="G280" t="str">
        <f t="shared" si="12"/>
        <v/>
      </c>
    </row>
    <row r="281" spans="3:7" ht="15" hidden="1" x14ac:dyDescent="0.25">
      <c r="C281" s="4" t="str">
        <f>IFERROR(AVERAGEIFS('2. Program Allocation Output'!$P:$P,'2. Program Allocation Output'!$AF:$AF,$A281,'2. Program Allocation Output'!$AG:$AG,$B281),"")</f>
        <v/>
      </c>
      <c r="D281" s="4" t="str">
        <f>IFERROR(AVERAGEIFS('2. Program Allocation Output'!$O:$O,'2. Program Allocation Output'!$AF:$AF,$A281,'2. Program Allocation Output'!$AG:$AG,$B281),"")</f>
        <v/>
      </c>
      <c r="E281" s="5" t="str">
        <f>IFERROR(AVERAGEIFS('2. Program Allocation Output'!$L:$L,'2. Program Allocation Output'!$AF:$AF,$A281,'2. Program Allocation Output'!$AG:$AG,$B281),"")</f>
        <v/>
      </c>
      <c r="F281" s="39" t="str">
        <f t="shared" si="11"/>
        <v/>
      </c>
      <c r="G281" t="str">
        <f t="shared" si="12"/>
        <v/>
      </c>
    </row>
    <row r="282" spans="3:7" ht="15" hidden="1" x14ac:dyDescent="0.25">
      <c r="C282" s="4" t="str">
        <f>IFERROR(AVERAGEIFS('2. Program Allocation Output'!$P:$P,'2. Program Allocation Output'!$AF:$AF,$A282,'2. Program Allocation Output'!$AG:$AG,$B282),"")</f>
        <v/>
      </c>
      <c r="D282" s="4" t="str">
        <f>IFERROR(AVERAGEIFS('2. Program Allocation Output'!$O:$O,'2. Program Allocation Output'!$AF:$AF,$A282,'2. Program Allocation Output'!$AG:$AG,$B282),"")</f>
        <v/>
      </c>
      <c r="E282" s="5" t="str">
        <f>IFERROR(AVERAGEIFS('2. Program Allocation Output'!$L:$L,'2. Program Allocation Output'!$AF:$AF,$A282,'2. Program Allocation Output'!$AG:$AG,$B282),"")</f>
        <v/>
      </c>
      <c r="F282" s="39" t="str">
        <f t="shared" si="11"/>
        <v/>
      </c>
      <c r="G282" t="str">
        <f t="shared" si="12"/>
        <v/>
      </c>
    </row>
    <row r="283" spans="3:7" ht="15" hidden="1" x14ac:dyDescent="0.25">
      <c r="C283" s="4" t="str">
        <f>IFERROR(AVERAGEIFS('2. Program Allocation Output'!$P:$P,'2. Program Allocation Output'!$AF:$AF,$A283,'2. Program Allocation Output'!$AG:$AG,$B283),"")</f>
        <v/>
      </c>
      <c r="D283" s="4" t="str">
        <f>IFERROR(AVERAGEIFS('2. Program Allocation Output'!$O:$O,'2. Program Allocation Output'!$AF:$AF,$A283,'2. Program Allocation Output'!$AG:$AG,$B283),"")</f>
        <v/>
      </c>
      <c r="E283" s="5" t="str">
        <f>IFERROR(AVERAGEIFS('2. Program Allocation Output'!$L:$L,'2. Program Allocation Output'!$AF:$AF,$A283,'2. Program Allocation Output'!$AG:$AG,$B283),"")</f>
        <v/>
      </c>
      <c r="F283" s="39" t="str">
        <f t="shared" si="11"/>
        <v/>
      </c>
      <c r="G283" t="str">
        <f t="shared" si="12"/>
        <v/>
      </c>
    </row>
    <row r="284" spans="3:7" ht="15" hidden="1" x14ac:dyDescent="0.25">
      <c r="C284" s="4" t="str">
        <f>IFERROR(AVERAGEIFS('2. Program Allocation Output'!$P:$P,'2. Program Allocation Output'!$AF:$AF,$A284,'2. Program Allocation Output'!$AG:$AG,$B284),"")</f>
        <v/>
      </c>
      <c r="D284" s="4" t="str">
        <f>IFERROR(AVERAGEIFS('2. Program Allocation Output'!$O:$O,'2. Program Allocation Output'!$AF:$AF,$A284,'2. Program Allocation Output'!$AG:$AG,$B284),"")</f>
        <v/>
      </c>
      <c r="E284" s="5" t="str">
        <f>IFERROR(AVERAGEIFS('2. Program Allocation Output'!$L:$L,'2. Program Allocation Output'!$AF:$AF,$A284,'2. Program Allocation Output'!$AG:$AG,$B284),"")</f>
        <v/>
      </c>
      <c r="F284" s="39" t="str">
        <f t="shared" si="11"/>
        <v/>
      </c>
      <c r="G284" t="str">
        <f t="shared" si="12"/>
        <v/>
      </c>
    </row>
    <row r="285" spans="3:7" ht="15" hidden="1" x14ac:dyDescent="0.25">
      <c r="C285" s="4" t="str">
        <f>IFERROR(AVERAGEIFS('2. Program Allocation Output'!$P:$P,'2. Program Allocation Output'!$AF:$AF,$A285,'2. Program Allocation Output'!$AG:$AG,$B285),"")</f>
        <v/>
      </c>
      <c r="D285" s="4" t="str">
        <f>IFERROR(AVERAGEIFS('2. Program Allocation Output'!$O:$O,'2. Program Allocation Output'!$AF:$AF,$A285,'2. Program Allocation Output'!$AG:$AG,$B285),"")</f>
        <v/>
      </c>
      <c r="E285" s="5" t="str">
        <f>IFERROR(AVERAGEIFS('2. Program Allocation Output'!$L:$L,'2. Program Allocation Output'!$AF:$AF,$A285,'2. Program Allocation Output'!$AG:$AG,$B285),"")</f>
        <v/>
      </c>
      <c r="F285" s="39" t="str">
        <f t="shared" si="11"/>
        <v/>
      </c>
      <c r="G285" t="str">
        <f t="shared" si="12"/>
        <v/>
      </c>
    </row>
    <row r="286" spans="3:7" ht="15" hidden="1" x14ac:dyDescent="0.25">
      <c r="C286" s="4" t="str">
        <f>IFERROR(AVERAGEIFS('2. Program Allocation Output'!$P:$P,'2. Program Allocation Output'!$AF:$AF,$A286,'2. Program Allocation Output'!$AG:$AG,$B286),"")</f>
        <v/>
      </c>
      <c r="D286" s="4" t="str">
        <f>IFERROR(AVERAGEIFS('2. Program Allocation Output'!$O:$O,'2. Program Allocation Output'!$AF:$AF,$A286,'2. Program Allocation Output'!$AG:$AG,$B286),"")</f>
        <v/>
      </c>
      <c r="E286" s="5" t="str">
        <f>IFERROR(AVERAGEIFS('2. Program Allocation Output'!$L:$L,'2. Program Allocation Output'!$AF:$AF,$A286,'2. Program Allocation Output'!$AG:$AG,$B286),"")</f>
        <v/>
      </c>
      <c r="F286" s="39" t="str">
        <f t="shared" si="11"/>
        <v/>
      </c>
      <c r="G286" t="str">
        <f t="shared" si="12"/>
        <v/>
      </c>
    </row>
    <row r="287" spans="3:7" ht="15" hidden="1" x14ac:dyDescent="0.25">
      <c r="C287" s="4" t="str">
        <f>IFERROR(AVERAGEIFS('2. Program Allocation Output'!$P:$P,'2. Program Allocation Output'!$AF:$AF,$A287,'2. Program Allocation Output'!$AG:$AG,$B287),"")</f>
        <v/>
      </c>
      <c r="D287" s="4" t="str">
        <f>IFERROR(AVERAGEIFS('2. Program Allocation Output'!$O:$O,'2. Program Allocation Output'!$AF:$AF,$A287,'2. Program Allocation Output'!$AG:$AG,$B287),"")</f>
        <v/>
      </c>
      <c r="E287" s="5" t="str">
        <f>IFERROR(AVERAGEIFS('2. Program Allocation Output'!$L:$L,'2. Program Allocation Output'!$AF:$AF,$A287,'2. Program Allocation Output'!$AG:$AG,$B287),"")</f>
        <v/>
      </c>
      <c r="F287" s="39" t="str">
        <f t="shared" si="11"/>
        <v/>
      </c>
      <c r="G287" t="str">
        <f t="shared" si="12"/>
        <v/>
      </c>
    </row>
    <row r="288" spans="3:7" ht="15" hidden="1" x14ac:dyDescent="0.25">
      <c r="C288" s="4" t="str">
        <f>IFERROR(AVERAGEIFS('2. Program Allocation Output'!$P:$P,'2. Program Allocation Output'!$AF:$AF,$A288,'2. Program Allocation Output'!$AG:$AG,$B288),"")</f>
        <v/>
      </c>
      <c r="D288" s="4" t="str">
        <f>IFERROR(AVERAGEIFS('2. Program Allocation Output'!$O:$O,'2. Program Allocation Output'!$AF:$AF,$A288,'2. Program Allocation Output'!$AG:$AG,$B288),"")</f>
        <v/>
      </c>
      <c r="E288" s="5" t="str">
        <f>IFERROR(AVERAGEIFS('2. Program Allocation Output'!$L:$L,'2. Program Allocation Output'!$AF:$AF,$A288,'2. Program Allocation Output'!$AG:$AG,$B288),"")</f>
        <v/>
      </c>
      <c r="F288" s="39" t="str">
        <f t="shared" si="11"/>
        <v/>
      </c>
      <c r="G288" t="str">
        <f t="shared" si="12"/>
        <v/>
      </c>
    </row>
    <row r="289" spans="3:7" ht="15" hidden="1" x14ac:dyDescent="0.25">
      <c r="C289" s="4" t="str">
        <f>IFERROR(AVERAGEIFS('2. Program Allocation Output'!$P:$P,'2. Program Allocation Output'!$AF:$AF,$A289,'2. Program Allocation Output'!$AG:$AG,$B289),"")</f>
        <v/>
      </c>
      <c r="D289" s="4" t="str">
        <f>IFERROR(AVERAGEIFS('2. Program Allocation Output'!$O:$O,'2. Program Allocation Output'!$AF:$AF,$A289,'2. Program Allocation Output'!$AG:$AG,$B289),"")</f>
        <v/>
      </c>
      <c r="E289" s="5" t="str">
        <f>IFERROR(AVERAGEIFS('2. Program Allocation Output'!$L:$L,'2. Program Allocation Output'!$AF:$AF,$A289,'2. Program Allocation Output'!$AG:$AG,$B289),"")</f>
        <v/>
      </c>
      <c r="F289" s="39" t="str">
        <f t="shared" si="11"/>
        <v/>
      </c>
      <c r="G289" t="str">
        <f t="shared" si="12"/>
        <v/>
      </c>
    </row>
    <row r="290" spans="3:7" ht="15" hidden="1" x14ac:dyDescent="0.25">
      <c r="C290" s="4" t="str">
        <f>IFERROR(AVERAGEIFS('2. Program Allocation Output'!$P:$P,'2. Program Allocation Output'!$AF:$AF,$A290,'2. Program Allocation Output'!$AG:$AG,$B290),"")</f>
        <v/>
      </c>
      <c r="D290" s="4" t="str">
        <f>IFERROR(AVERAGEIFS('2. Program Allocation Output'!$O:$O,'2. Program Allocation Output'!$AF:$AF,$A290,'2. Program Allocation Output'!$AG:$AG,$B290),"")</f>
        <v/>
      </c>
      <c r="E290" s="5" t="str">
        <f>IFERROR(AVERAGEIFS('2. Program Allocation Output'!$L:$L,'2. Program Allocation Output'!$AF:$AF,$A290,'2. Program Allocation Output'!$AG:$AG,$B290),"")</f>
        <v/>
      </c>
      <c r="F290" s="39" t="str">
        <f t="shared" si="11"/>
        <v/>
      </c>
      <c r="G290" t="str">
        <f t="shared" si="12"/>
        <v/>
      </c>
    </row>
    <row r="291" spans="3:7" ht="15" hidden="1" x14ac:dyDescent="0.25">
      <c r="C291" s="4" t="str">
        <f>IFERROR(AVERAGEIFS('2. Program Allocation Output'!$P:$P,'2. Program Allocation Output'!$AF:$AF,$A291,'2. Program Allocation Output'!$AG:$AG,$B291),"")</f>
        <v/>
      </c>
      <c r="D291" s="4" t="str">
        <f>IFERROR(AVERAGEIFS('2. Program Allocation Output'!$O:$O,'2. Program Allocation Output'!$AF:$AF,$A291,'2. Program Allocation Output'!$AG:$AG,$B291),"")</f>
        <v/>
      </c>
      <c r="E291" s="5" t="str">
        <f>IFERROR(AVERAGEIFS('2. Program Allocation Output'!$L:$L,'2. Program Allocation Output'!$AF:$AF,$A291,'2. Program Allocation Output'!$AG:$AG,$B291),"")</f>
        <v/>
      </c>
      <c r="F291" s="39" t="str">
        <f t="shared" si="11"/>
        <v/>
      </c>
      <c r="G291" t="str">
        <f t="shared" si="12"/>
        <v/>
      </c>
    </row>
    <row r="292" spans="3:7" ht="15" hidden="1" x14ac:dyDescent="0.25">
      <c r="C292" s="4" t="str">
        <f>IFERROR(AVERAGEIFS('2. Program Allocation Output'!$P:$P,'2. Program Allocation Output'!$AF:$AF,$A292,'2. Program Allocation Output'!$AG:$AG,$B292),"")</f>
        <v/>
      </c>
      <c r="D292" s="4" t="str">
        <f>IFERROR(AVERAGEIFS('2. Program Allocation Output'!$O:$O,'2. Program Allocation Output'!$AF:$AF,$A292,'2. Program Allocation Output'!$AG:$AG,$B292),"")</f>
        <v/>
      </c>
      <c r="E292" s="5" t="str">
        <f>IFERROR(AVERAGEIFS('2. Program Allocation Output'!$L:$L,'2. Program Allocation Output'!$AF:$AF,$A292,'2. Program Allocation Output'!$AG:$AG,$B292),"")</f>
        <v/>
      </c>
      <c r="F292" s="39" t="str">
        <f t="shared" si="11"/>
        <v/>
      </c>
      <c r="G292" t="str">
        <f t="shared" si="12"/>
        <v/>
      </c>
    </row>
    <row r="293" spans="3:7" ht="15" hidden="1" x14ac:dyDescent="0.25">
      <c r="C293" s="4" t="str">
        <f>IFERROR(AVERAGEIFS('2. Program Allocation Output'!$P:$P,'2. Program Allocation Output'!$AF:$AF,$A293,'2. Program Allocation Output'!$AG:$AG,$B293),"")</f>
        <v/>
      </c>
      <c r="D293" s="4" t="str">
        <f>IFERROR(AVERAGEIFS('2. Program Allocation Output'!$O:$O,'2. Program Allocation Output'!$AF:$AF,$A293,'2. Program Allocation Output'!$AG:$AG,$B293),"")</f>
        <v/>
      </c>
      <c r="E293" s="5" t="str">
        <f>IFERROR(AVERAGEIFS('2. Program Allocation Output'!$L:$L,'2. Program Allocation Output'!$AF:$AF,$A293,'2. Program Allocation Output'!$AG:$AG,$B293),"")</f>
        <v/>
      </c>
      <c r="F293" s="39" t="str">
        <f t="shared" si="11"/>
        <v/>
      </c>
      <c r="G293" t="str">
        <f t="shared" si="12"/>
        <v/>
      </c>
    </row>
    <row r="294" spans="3:7" ht="15" hidden="1" x14ac:dyDescent="0.25">
      <c r="C294" s="4" t="str">
        <f>IFERROR(AVERAGEIFS('2. Program Allocation Output'!$P:$P,'2. Program Allocation Output'!$AF:$AF,$A294,'2. Program Allocation Output'!$AG:$AG,$B294),"")</f>
        <v/>
      </c>
      <c r="D294" s="4" t="str">
        <f>IFERROR(AVERAGEIFS('2. Program Allocation Output'!$O:$O,'2. Program Allocation Output'!$AF:$AF,$A294,'2. Program Allocation Output'!$AG:$AG,$B294),"")</f>
        <v/>
      </c>
      <c r="E294" s="5" t="str">
        <f>IFERROR(AVERAGEIFS('2. Program Allocation Output'!$L:$L,'2. Program Allocation Output'!$AF:$AF,$A294,'2. Program Allocation Output'!$AG:$AG,$B294),"")</f>
        <v/>
      </c>
      <c r="F294" s="39" t="str">
        <f t="shared" si="11"/>
        <v/>
      </c>
      <c r="G294" t="str">
        <f t="shared" si="12"/>
        <v/>
      </c>
    </row>
    <row r="295" spans="3:7" ht="15" hidden="1" x14ac:dyDescent="0.25">
      <c r="C295" s="4" t="str">
        <f>IFERROR(AVERAGEIFS('2. Program Allocation Output'!$P:$P,'2. Program Allocation Output'!$AF:$AF,$A295,'2. Program Allocation Output'!$AG:$AG,$B295),"")</f>
        <v/>
      </c>
      <c r="D295" s="4" t="str">
        <f>IFERROR(AVERAGEIFS('2. Program Allocation Output'!$O:$O,'2. Program Allocation Output'!$AF:$AF,$A295,'2. Program Allocation Output'!$AG:$AG,$B295),"")</f>
        <v/>
      </c>
      <c r="E295" s="5" t="str">
        <f>IFERROR(AVERAGEIFS('2. Program Allocation Output'!$L:$L,'2. Program Allocation Output'!$AF:$AF,$A295,'2. Program Allocation Output'!$AG:$AG,$B295),"")</f>
        <v/>
      </c>
      <c r="F295" s="39" t="str">
        <f t="shared" si="11"/>
        <v/>
      </c>
      <c r="G295" t="str">
        <f t="shared" si="12"/>
        <v/>
      </c>
    </row>
    <row r="296" spans="3:7" ht="15" hidden="1" x14ac:dyDescent="0.25">
      <c r="C296" s="4" t="str">
        <f>IFERROR(AVERAGEIFS('2. Program Allocation Output'!$P:$P,'2. Program Allocation Output'!$AF:$AF,$A296,'2. Program Allocation Output'!$AG:$AG,$B296),"")</f>
        <v/>
      </c>
      <c r="D296" s="4" t="str">
        <f>IFERROR(AVERAGEIFS('2. Program Allocation Output'!$O:$O,'2. Program Allocation Output'!$AF:$AF,$A296,'2. Program Allocation Output'!$AG:$AG,$B296),"")</f>
        <v/>
      </c>
      <c r="E296" s="5" t="str">
        <f>IFERROR(AVERAGEIFS('2. Program Allocation Output'!$L:$L,'2. Program Allocation Output'!$AF:$AF,$A296,'2. Program Allocation Output'!$AG:$AG,$B296),"")</f>
        <v/>
      </c>
      <c r="F296" s="39" t="str">
        <f t="shared" si="11"/>
        <v/>
      </c>
      <c r="G296" t="str">
        <f t="shared" si="12"/>
        <v/>
      </c>
    </row>
    <row r="297" spans="3:7" ht="15" hidden="1" x14ac:dyDescent="0.25">
      <c r="C297" s="4" t="str">
        <f>IFERROR(AVERAGEIFS('2. Program Allocation Output'!$P:$P,'2. Program Allocation Output'!$AF:$AF,$A297,'2. Program Allocation Output'!$AG:$AG,$B297),"")</f>
        <v/>
      </c>
      <c r="D297" s="4" t="str">
        <f>IFERROR(AVERAGEIFS('2. Program Allocation Output'!$O:$O,'2. Program Allocation Output'!$AF:$AF,$A297,'2. Program Allocation Output'!$AG:$AG,$B297),"")</f>
        <v/>
      </c>
      <c r="E297" s="5" t="str">
        <f>IFERROR(AVERAGEIFS('2. Program Allocation Output'!$L:$L,'2. Program Allocation Output'!$AF:$AF,$A297,'2. Program Allocation Output'!$AG:$AG,$B297),"")</f>
        <v/>
      </c>
      <c r="F297" s="39" t="str">
        <f t="shared" si="11"/>
        <v/>
      </c>
      <c r="G297" t="str">
        <f t="shared" si="12"/>
        <v/>
      </c>
    </row>
    <row r="298" spans="3:7" ht="15" hidden="1" x14ac:dyDescent="0.25">
      <c r="C298" s="4" t="str">
        <f>IFERROR(AVERAGEIFS('2. Program Allocation Output'!$P:$P,'2. Program Allocation Output'!$AF:$AF,$A298,'2. Program Allocation Output'!$AG:$AG,$B298),"")</f>
        <v/>
      </c>
      <c r="D298" s="4" t="str">
        <f>IFERROR(AVERAGEIFS('2. Program Allocation Output'!$O:$O,'2. Program Allocation Output'!$AF:$AF,$A298,'2. Program Allocation Output'!$AG:$AG,$B298),"")</f>
        <v/>
      </c>
      <c r="E298" s="5" t="str">
        <f>IFERROR(AVERAGEIFS('2. Program Allocation Output'!$L:$L,'2. Program Allocation Output'!$AF:$AF,$A298,'2. Program Allocation Output'!$AG:$AG,$B298),"")</f>
        <v/>
      </c>
      <c r="F298" s="39" t="str">
        <f t="shared" si="11"/>
        <v/>
      </c>
      <c r="G298" t="str">
        <f t="shared" si="12"/>
        <v/>
      </c>
    </row>
    <row r="299" spans="3:7" ht="15" hidden="1" x14ac:dyDescent="0.25">
      <c r="C299" s="4" t="str">
        <f>IFERROR(AVERAGEIFS('2. Program Allocation Output'!$P:$P,'2. Program Allocation Output'!$AF:$AF,$A299,'2. Program Allocation Output'!$AG:$AG,$B299),"")</f>
        <v/>
      </c>
      <c r="D299" s="4" t="str">
        <f>IFERROR(AVERAGEIFS('2. Program Allocation Output'!$O:$O,'2. Program Allocation Output'!$AF:$AF,$A299,'2. Program Allocation Output'!$AG:$AG,$B299),"")</f>
        <v/>
      </c>
      <c r="E299" s="5" t="str">
        <f>IFERROR(AVERAGEIFS('2. Program Allocation Output'!$L:$L,'2. Program Allocation Output'!$AF:$AF,$A299,'2. Program Allocation Output'!$AG:$AG,$B299),"")</f>
        <v/>
      </c>
      <c r="F299" s="39" t="str">
        <f t="shared" si="11"/>
        <v/>
      </c>
      <c r="G299" t="str">
        <f t="shared" si="12"/>
        <v/>
      </c>
    </row>
    <row r="300" spans="3:7" ht="15" hidden="1" x14ac:dyDescent="0.25">
      <c r="C300" s="4" t="str">
        <f>IFERROR(AVERAGEIFS('2. Program Allocation Output'!$P:$P,'2. Program Allocation Output'!$AF:$AF,$A300,'2. Program Allocation Output'!$AG:$AG,$B300),"")</f>
        <v/>
      </c>
      <c r="D300" s="4" t="str">
        <f>IFERROR(AVERAGEIFS('2. Program Allocation Output'!$O:$O,'2. Program Allocation Output'!$AF:$AF,$A300,'2. Program Allocation Output'!$AG:$AG,$B300),"")</f>
        <v/>
      </c>
      <c r="E300" s="5" t="str">
        <f>IFERROR(AVERAGEIFS('2. Program Allocation Output'!$L:$L,'2. Program Allocation Output'!$AF:$AF,$A300,'2. Program Allocation Output'!$AG:$AG,$B300),"")</f>
        <v/>
      </c>
      <c r="F300" s="39" t="str">
        <f t="shared" si="11"/>
        <v/>
      </c>
      <c r="G300" t="str">
        <f t="shared" si="12"/>
        <v/>
      </c>
    </row>
    <row r="301" spans="3:7" ht="15" hidden="1" x14ac:dyDescent="0.25">
      <c r="C301" s="4" t="str">
        <f>IFERROR(AVERAGEIFS('2. Program Allocation Output'!$P:$P,'2. Program Allocation Output'!$AF:$AF,$A301,'2. Program Allocation Output'!$AG:$AG,$B301),"")</f>
        <v/>
      </c>
      <c r="D301" s="4" t="str">
        <f>IFERROR(AVERAGEIFS('2. Program Allocation Output'!$O:$O,'2. Program Allocation Output'!$AF:$AF,$A301,'2. Program Allocation Output'!$AG:$AG,$B301),"")</f>
        <v/>
      </c>
      <c r="E301" s="5" t="str">
        <f>IFERROR(AVERAGEIFS('2. Program Allocation Output'!$L:$L,'2. Program Allocation Output'!$AF:$AF,$A301,'2. Program Allocation Output'!$AG:$AG,$B301),"")</f>
        <v/>
      </c>
      <c r="F301" s="39" t="str">
        <f t="shared" si="11"/>
        <v/>
      </c>
      <c r="G301" t="str">
        <f t="shared" si="12"/>
        <v/>
      </c>
    </row>
    <row r="302" spans="3:7" ht="15" hidden="1" x14ac:dyDescent="0.25">
      <c r="C302" s="4" t="str">
        <f>IFERROR(AVERAGEIFS('2. Program Allocation Output'!$P:$P,'2. Program Allocation Output'!$AF:$AF,$A302,'2. Program Allocation Output'!$AG:$AG,$B302),"")</f>
        <v/>
      </c>
      <c r="D302" s="4" t="str">
        <f>IFERROR(AVERAGEIFS('2. Program Allocation Output'!$O:$O,'2. Program Allocation Output'!$AF:$AF,$A302,'2. Program Allocation Output'!$AG:$AG,$B302),"")</f>
        <v/>
      </c>
      <c r="E302" s="5" t="str">
        <f>IFERROR(AVERAGEIFS('2. Program Allocation Output'!$L:$L,'2. Program Allocation Output'!$AF:$AF,$A302,'2. Program Allocation Output'!$AG:$AG,$B302),"")</f>
        <v/>
      </c>
      <c r="F302" s="39" t="str">
        <f t="shared" si="11"/>
        <v/>
      </c>
      <c r="G302" t="str">
        <f t="shared" si="12"/>
        <v/>
      </c>
    </row>
    <row r="303" spans="3:7" ht="15" hidden="1" x14ac:dyDescent="0.25">
      <c r="C303" s="4" t="str">
        <f>IFERROR(AVERAGEIFS('2. Program Allocation Output'!$P:$P,'2. Program Allocation Output'!$AF:$AF,$A303,'2. Program Allocation Output'!$AG:$AG,$B303),"")</f>
        <v/>
      </c>
      <c r="D303" s="4" t="str">
        <f>IFERROR(AVERAGEIFS('2. Program Allocation Output'!$O:$O,'2. Program Allocation Output'!$AF:$AF,$A303,'2. Program Allocation Output'!$AG:$AG,$B303),"")</f>
        <v/>
      </c>
      <c r="E303" s="5" t="str">
        <f>IFERROR(AVERAGEIFS('2. Program Allocation Output'!$L:$L,'2. Program Allocation Output'!$AF:$AF,$A303,'2. Program Allocation Output'!$AG:$AG,$B303),"")</f>
        <v/>
      </c>
      <c r="F303" s="39" t="str">
        <f t="shared" si="11"/>
        <v/>
      </c>
      <c r="G303" t="str">
        <f t="shared" si="12"/>
        <v/>
      </c>
    </row>
    <row r="304" spans="3:7" ht="15" hidden="1" x14ac:dyDescent="0.25">
      <c r="C304" s="4" t="str">
        <f>IFERROR(AVERAGEIFS('2. Program Allocation Output'!$P:$P,'2. Program Allocation Output'!$AF:$AF,$A304,'2. Program Allocation Output'!$AG:$AG,$B304),"")</f>
        <v/>
      </c>
      <c r="D304" s="4" t="str">
        <f>IFERROR(AVERAGEIFS('2. Program Allocation Output'!$O:$O,'2. Program Allocation Output'!$AF:$AF,$A304,'2. Program Allocation Output'!$AG:$AG,$B304),"")</f>
        <v/>
      </c>
      <c r="E304" s="5" t="str">
        <f>IFERROR(AVERAGEIFS('2. Program Allocation Output'!$L:$L,'2. Program Allocation Output'!$AF:$AF,$A304,'2. Program Allocation Output'!$AG:$AG,$B304),"")</f>
        <v/>
      </c>
      <c r="F304" s="39" t="str">
        <f t="shared" si="11"/>
        <v/>
      </c>
      <c r="G304" t="str">
        <f t="shared" si="12"/>
        <v/>
      </c>
    </row>
    <row r="305" spans="3:7" ht="15" hidden="1" x14ac:dyDescent="0.25">
      <c r="C305" s="4" t="str">
        <f>IFERROR(AVERAGEIFS('2. Program Allocation Output'!$P:$P,'2. Program Allocation Output'!$AF:$AF,$A305,'2. Program Allocation Output'!$AG:$AG,$B305),"")</f>
        <v/>
      </c>
      <c r="D305" s="4" t="str">
        <f>IFERROR(AVERAGEIFS('2. Program Allocation Output'!$O:$O,'2. Program Allocation Output'!$AF:$AF,$A305,'2. Program Allocation Output'!$AG:$AG,$B305),"")</f>
        <v/>
      </c>
      <c r="E305" s="5" t="str">
        <f>IFERROR(AVERAGEIFS('2. Program Allocation Output'!$L:$L,'2. Program Allocation Output'!$AF:$AF,$A305,'2. Program Allocation Output'!$AG:$AG,$B305),"")</f>
        <v/>
      </c>
      <c r="F305" s="39" t="str">
        <f t="shared" si="11"/>
        <v/>
      </c>
      <c r="G305" t="str">
        <f t="shared" si="12"/>
        <v/>
      </c>
    </row>
    <row r="306" spans="3:7" ht="15" hidden="1" x14ac:dyDescent="0.25">
      <c r="C306" s="4" t="str">
        <f>IFERROR(AVERAGEIFS('2. Program Allocation Output'!$P:$P,'2. Program Allocation Output'!$AF:$AF,$A306,'2. Program Allocation Output'!$AG:$AG,$B306),"")</f>
        <v/>
      </c>
      <c r="D306" s="4" t="str">
        <f>IFERROR(AVERAGEIFS('2. Program Allocation Output'!$O:$O,'2. Program Allocation Output'!$AF:$AF,$A306,'2. Program Allocation Output'!$AG:$AG,$B306),"")</f>
        <v/>
      </c>
      <c r="E306" s="5" t="str">
        <f>IFERROR(AVERAGEIFS('2. Program Allocation Output'!$L:$L,'2. Program Allocation Output'!$AF:$AF,$A306,'2. Program Allocation Output'!$AG:$AG,$B306),"")</f>
        <v/>
      </c>
      <c r="F306" s="39" t="str">
        <f t="shared" si="11"/>
        <v/>
      </c>
      <c r="G306" t="str">
        <f t="shared" si="12"/>
        <v/>
      </c>
    </row>
    <row r="307" spans="3:7" ht="15" hidden="1" x14ac:dyDescent="0.25">
      <c r="C307" s="4" t="str">
        <f>IFERROR(AVERAGEIFS('2. Program Allocation Output'!$P:$P,'2. Program Allocation Output'!$AF:$AF,$A307,'2. Program Allocation Output'!$AG:$AG,$B307),"")</f>
        <v/>
      </c>
      <c r="D307" s="4" t="str">
        <f>IFERROR(AVERAGEIFS('2. Program Allocation Output'!$O:$O,'2. Program Allocation Output'!$AF:$AF,$A307,'2. Program Allocation Output'!$AG:$AG,$B307),"")</f>
        <v/>
      </c>
      <c r="E307" s="5" t="str">
        <f>IFERROR(AVERAGEIFS('2. Program Allocation Output'!$L:$L,'2. Program Allocation Output'!$AF:$AF,$A307,'2. Program Allocation Output'!$AG:$AG,$B307),"")</f>
        <v/>
      </c>
      <c r="F307" s="39" t="str">
        <f t="shared" si="11"/>
        <v/>
      </c>
      <c r="G307" t="str">
        <f t="shared" si="12"/>
        <v/>
      </c>
    </row>
    <row r="308" spans="3:7" ht="15" hidden="1" x14ac:dyDescent="0.25">
      <c r="C308" s="4" t="str">
        <f>IFERROR(AVERAGEIFS('2. Program Allocation Output'!$P:$P,'2. Program Allocation Output'!$AF:$AF,$A308,'2. Program Allocation Output'!$AG:$AG,$B308),"")</f>
        <v/>
      </c>
      <c r="D308" s="4" t="str">
        <f>IFERROR(AVERAGEIFS('2. Program Allocation Output'!$O:$O,'2. Program Allocation Output'!$AF:$AF,$A308,'2. Program Allocation Output'!$AG:$AG,$B308),"")</f>
        <v/>
      </c>
      <c r="E308" s="5" t="str">
        <f>IFERROR(AVERAGEIFS('2. Program Allocation Output'!$L:$L,'2. Program Allocation Output'!$AF:$AF,$A308,'2. Program Allocation Output'!$AG:$AG,$B308),"")</f>
        <v/>
      </c>
      <c r="F308" s="39" t="str">
        <f t="shared" si="11"/>
        <v/>
      </c>
      <c r="G308" t="str">
        <f t="shared" si="12"/>
        <v/>
      </c>
    </row>
    <row r="309" spans="3:7" ht="15" hidden="1" x14ac:dyDescent="0.25">
      <c r="C309" s="4" t="str">
        <f>IFERROR(AVERAGEIFS('2. Program Allocation Output'!$P:$P,'2. Program Allocation Output'!$AF:$AF,$A309,'2. Program Allocation Output'!$AG:$AG,$B309),"")</f>
        <v/>
      </c>
      <c r="D309" s="4" t="str">
        <f>IFERROR(AVERAGEIFS('2. Program Allocation Output'!$O:$O,'2. Program Allocation Output'!$AF:$AF,$A309,'2. Program Allocation Output'!$AG:$AG,$B309),"")</f>
        <v/>
      </c>
      <c r="E309" s="5" t="str">
        <f>IFERROR(AVERAGEIFS('2. Program Allocation Output'!$L:$L,'2. Program Allocation Output'!$AF:$AF,$A309,'2. Program Allocation Output'!$AG:$AG,$B309),"")</f>
        <v/>
      </c>
      <c r="F309" s="39" t="str">
        <f t="shared" si="11"/>
        <v/>
      </c>
      <c r="G309" t="str">
        <f t="shared" si="12"/>
        <v/>
      </c>
    </row>
    <row r="310" spans="3:7" ht="15" hidden="1" x14ac:dyDescent="0.25">
      <c r="C310" s="4" t="str">
        <f>IFERROR(AVERAGEIFS('2. Program Allocation Output'!$P:$P,'2. Program Allocation Output'!$AF:$AF,$A310,'2. Program Allocation Output'!$AG:$AG,$B310),"")</f>
        <v/>
      </c>
      <c r="D310" s="4" t="str">
        <f>IFERROR(AVERAGEIFS('2. Program Allocation Output'!$O:$O,'2. Program Allocation Output'!$AF:$AF,$A310,'2. Program Allocation Output'!$AG:$AG,$B310),"")</f>
        <v/>
      </c>
      <c r="E310" s="5" t="str">
        <f>IFERROR(AVERAGEIFS('2. Program Allocation Output'!$L:$L,'2. Program Allocation Output'!$AF:$AF,$A310,'2. Program Allocation Output'!$AG:$AG,$B310),"")</f>
        <v/>
      </c>
      <c r="F310" s="39" t="str">
        <f t="shared" si="11"/>
        <v/>
      </c>
      <c r="G310" t="str">
        <f t="shared" si="12"/>
        <v/>
      </c>
    </row>
    <row r="311" spans="3:7" ht="15" hidden="1" x14ac:dyDescent="0.25">
      <c r="C311" s="4" t="str">
        <f>IFERROR(AVERAGEIFS('2. Program Allocation Output'!$P:$P,'2. Program Allocation Output'!$AF:$AF,$A311,'2. Program Allocation Output'!$AG:$AG,$B311),"")</f>
        <v/>
      </c>
      <c r="D311" s="4" t="str">
        <f>IFERROR(AVERAGEIFS('2. Program Allocation Output'!$O:$O,'2. Program Allocation Output'!$AF:$AF,$A311,'2. Program Allocation Output'!$AG:$AG,$B311),"")</f>
        <v/>
      </c>
      <c r="E311" s="5" t="str">
        <f>IFERROR(AVERAGEIFS('2. Program Allocation Output'!$L:$L,'2. Program Allocation Output'!$AF:$AF,$A311,'2. Program Allocation Output'!$AG:$AG,$B311),"")</f>
        <v/>
      </c>
      <c r="F311" s="39" t="str">
        <f t="shared" si="11"/>
        <v/>
      </c>
      <c r="G311" t="str">
        <f t="shared" si="12"/>
        <v/>
      </c>
    </row>
    <row r="312" spans="3:7" ht="15" hidden="1" x14ac:dyDescent="0.25">
      <c r="C312" s="4" t="str">
        <f>IFERROR(AVERAGEIFS('2. Program Allocation Output'!$P:$P,'2. Program Allocation Output'!$AF:$AF,$A312,'2. Program Allocation Output'!$AG:$AG,$B312),"")</f>
        <v/>
      </c>
      <c r="D312" s="4" t="str">
        <f>IFERROR(AVERAGEIFS('2. Program Allocation Output'!$O:$O,'2. Program Allocation Output'!$AF:$AF,$A312,'2. Program Allocation Output'!$AG:$AG,$B312),"")</f>
        <v/>
      </c>
      <c r="E312" s="5" t="str">
        <f>IFERROR(AVERAGEIFS('2. Program Allocation Output'!$L:$L,'2. Program Allocation Output'!$AF:$AF,$A312,'2. Program Allocation Output'!$AG:$AG,$B312),"")</f>
        <v/>
      </c>
      <c r="F312" s="39" t="str">
        <f t="shared" si="11"/>
        <v/>
      </c>
      <c r="G312" t="str">
        <f t="shared" si="12"/>
        <v/>
      </c>
    </row>
    <row r="313" spans="3:7" ht="15" hidden="1" x14ac:dyDescent="0.25">
      <c r="C313" s="4" t="str">
        <f>IFERROR(AVERAGEIFS('2. Program Allocation Output'!$P:$P,'2. Program Allocation Output'!$AF:$AF,$A313,'2. Program Allocation Output'!$AG:$AG,$B313),"")</f>
        <v/>
      </c>
      <c r="D313" s="4" t="str">
        <f>IFERROR(AVERAGEIFS('2. Program Allocation Output'!$O:$O,'2. Program Allocation Output'!$AF:$AF,$A313,'2. Program Allocation Output'!$AG:$AG,$B313),"")</f>
        <v/>
      </c>
      <c r="E313" s="5" t="str">
        <f>IFERROR(AVERAGEIFS('2. Program Allocation Output'!$L:$L,'2. Program Allocation Output'!$AF:$AF,$A313,'2. Program Allocation Output'!$AG:$AG,$B313),"")</f>
        <v/>
      </c>
      <c r="F313" s="39" t="str">
        <f t="shared" si="11"/>
        <v/>
      </c>
      <c r="G313" t="str">
        <f t="shared" si="12"/>
        <v/>
      </c>
    </row>
    <row r="314" spans="3:7" ht="15" hidden="1" x14ac:dyDescent="0.25">
      <c r="C314" s="4" t="str">
        <f>IFERROR(AVERAGEIFS('2. Program Allocation Output'!$P:$P,'2. Program Allocation Output'!$AF:$AF,$A314,'2. Program Allocation Output'!$AG:$AG,$B314),"")</f>
        <v/>
      </c>
      <c r="D314" s="4" t="str">
        <f>IFERROR(AVERAGEIFS('2. Program Allocation Output'!$O:$O,'2. Program Allocation Output'!$AF:$AF,$A314,'2. Program Allocation Output'!$AG:$AG,$B314),"")</f>
        <v/>
      </c>
      <c r="E314" s="5" t="str">
        <f>IFERROR(AVERAGEIFS('2. Program Allocation Output'!$L:$L,'2. Program Allocation Output'!$AF:$AF,$A314,'2. Program Allocation Output'!$AG:$AG,$B314),"")</f>
        <v/>
      </c>
      <c r="F314" s="39" t="str">
        <f t="shared" si="11"/>
        <v/>
      </c>
      <c r="G314" t="str">
        <f t="shared" si="12"/>
        <v/>
      </c>
    </row>
    <row r="315" spans="3:7" ht="15" hidden="1" x14ac:dyDescent="0.25">
      <c r="C315" s="4" t="str">
        <f>IFERROR(AVERAGEIFS('2. Program Allocation Output'!$P:$P,'2. Program Allocation Output'!$AF:$AF,$A315,'2. Program Allocation Output'!$AG:$AG,$B315),"")</f>
        <v/>
      </c>
      <c r="D315" s="4" t="str">
        <f>IFERROR(AVERAGEIFS('2. Program Allocation Output'!$O:$O,'2. Program Allocation Output'!$AF:$AF,$A315,'2. Program Allocation Output'!$AG:$AG,$B315),"")</f>
        <v/>
      </c>
      <c r="E315" s="5" t="str">
        <f>IFERROR(AVERAGEIFS('2. Program Allocation Output'!$L:$L,'2. Program Allocation Output'!$AF:$AF,$A315,'2. Program Allocation Output'!$AG:$AG,$B315),"")</f>
        <v/>
      </c>
      <c r="F315" s="39" t="str">
        <f t="shared" si="11"/>
        <v/>
      </c>
      <c r="G315" t="str">
        <f t="shared" si="12"/>
        <v/>
      </c>
    </row>
    <row r="316" spans="3:7" ht="15" hidden="1" x14ac:dyDescent="0.25">
      <c r="C316" s="4" t="str">
        <f>IFERROR(AVERAGEIFS('2. Program Allocation Output'!$P:$P,'2. Program Allocation Output'!$AF:$AF,$A316,'2. Program Allocation Output'!$AG:$AG,$B316),"")</f>
        <v/>
      </c>
      <c r="D316" s="4" t="str">
        <f>IFERROR(AVERAGEIFS('2. Program Allocation Output'!$O:$O,'2. Program Allocation Output'!$AF:$AF,$A316,'2. Program Allocation Output'!$AG:$AG,$B316),"")</f>
        <v/>
      </c>
      <c r="E316" s="5" t="str">
        <f>IFERROR(AVERAGEIFS('2. Program Allocation Output'!$L:$L,'2. Program Allocation Output'!$AF:$AF,$A316,'2. Program Allocation Output'!$AG:$AG,$B316),"")</f>
        <v/>
      </c>
      <c r="F316" s="39" t="str">
        <f t="shared" si="11"/>
        <v/>
      </c>
      <c r="G316" t="str">
        <f t="shared" si="12"/>
        <v/>
      </c>
    </row>
    <row r="317" spans="3:7" ht="15" hidden="1" x14ac:dyDescent="0.25">
      <c r="C317" s="4" t="str">
        <f>IFERROR(AVERAGEIFS('2. Program Allocation Output'!$P:$P,'2. Program Allocation Output'!$AF:$AF,$A317,'2. Program Allocation Output'!$AG:$AG,$B317),"")</f>
        <v/>
      </c>
      <c r="D317" s="4" t="str">
        <f>IFERROR(AVERAGEIFS('2. Program Allocation Output'!$O:$O,'2. Program Allocation Output'!$AF:$AF,$A317,'2. Program Allocation Output'!$AG:$AG,$B317),"")</f>
        <v/>
      </c>
      <c r="E317" s="5" t="str">
        <f>IFERROR(AVERAGEIFS('2. Program Allocation Output'!$L:$L,'2. Program Allocation Output'!$AF:$AF,$A317,'2. Program Allocation Output'!$AG:$AG,$B317),"")</f>
        <v/>
      </c>
      <c r="F317" s="39" t="str">
        <f t="shared" si="11"/>
        <v/>
      </c>
      <c r="G317" t="str">
        <f t="shared" si="12"/>
        <v/>
      </c>
    </row>
    <row r="318" spans="3:7" ht="15" hidden="1" x14ac:dyDescent="0.25">
      <c r="C318" s="4" t="str">
        <f>IFERROR(AVERAGEIFS('2. Program Allocation Output'!$P:$P,'2. Program Allocation Output'!$AF:$AF,$A318,'2. Program Allocation Output'!$AG:$AG,$B318),"")</f>
        <v/>
      </c>
      <c r="D318" s="4" t="str">
        <f>IFERROR(AVERAGEIFS('2. Program Allocation Output'!$O:$O,'2. Program Allocation Output'!$AF:$AF,$A318,'2. Program Allocation Output'!$AG:$AG,$B318),"")</f>
        <v/>
      </c>
      <c r="E318" s="5" t="str">
        <f>IFERROR(AVERAGEIFS('2. Program Allocation Output'!$L:$L,'2. Program Allocation Output'!$AF:$AF,$A318,'2. Program Allocation Output'!$AG:$AG,$B318),"")</f>
        <v/>
      </c>
      <c r="F318" s="39" t="str">
        <f t="shared" si="11"/>
        <v/>
      </c>
      <c r="G318" t="str">
        <f t="shared" si="12"/>
        <v/>
      </c>
    </row>
    <row r="319" spans="3:7" ht="15" hidden="1" x14ac:dyDescent="0.25">
      <c r="C319" s="4" t="str">
        <f>IFERROR(AVERAGEIFS('2. Program Allocation Output'!$P:$P,'2. Program Allocation Output'!$AF:$AF,$A319,'2. Program Allocation Output'!$AG:$AG,$B319),"")</f>
        <v/>
      </c>
      <c r="D319" s="4" t="str">
        <f>IFERROR(AVERAGEIFS('2. Program Allocation Output'!$O:$O,'2. Program Allocation Output'!$AF:$AF,$A319,'2. Program Allocation Output'!$AG:$AG,$B319),"")</f>
        <v/>
      </c>
      <c r="E319" s="5" t="str">
        <f>IFERROR(AVERAGEIFS('2. Program Allocation Output'!$L:$L,'2. Program Allocation Output'!$AF:$AF,$A319,'2. Program Allocation Output'!$AG:$AG,$B319),"")</f>
        <v/>
      </c>
      <c r="F319" s="39" t="str">
        <f t="shared" si="11"/>
        <v/>
      </c>
      <c r="G319" t="str">
        <f t="shared" si="12"/>
        <v/>
      </c>
    </row>
    <row r="320" spans="3:7" ht="15" hidden="1" x14ac:dyDescent="0.25">
      <c r="C320" s="4" t="str">
        <f>IFERROR(AVERAGEIFS('2. Program Allocation Output'!$P:$P,'2. Program Allocation Output'!$AF:$AF,$A320,'2. Program Allocation Output'!$AG:$AG,$B320),"")</f>
        <v/>
      </c>
      <c r="D320" s="4" t="str">
        <f>IFERROR(AVERAGEIFS('2. Program Allocation Output'!$O:$O,'2. Program Allocation Output'!$AF:$AF,$A320,'2. Program Allocation Output'!$AG:$AG,$B320),"")</f>
        <v/>
      </c>
      <c r="E320" s="5" t="str">
        <f>IFERROR(AVERAGEIFS('2. Program Allocation Output'!$L:$L,'2. Program Allocation Output'!$AF:$AF,$A320,'2. Program Allocation Output'!$AG:$AG,$B320),"")</f>
        <v/>
      </c>
      <c r="F320" s="39" t="str">
        <f t="shared" si="11"/>
        <v/>
      </c>
      <c r="G320" t="str">
        <f t="shared" si="12"/>
        <v/>
      </c>
    </row>
    <row r="321" spans="3:7" ht="15" hidden="1" x14ac:dyDescent="0.25">
      <c r="C321" s="4" t="str">
        <f>IFERROR(AVERAGEIFS('2. Program Allocation Output'!$P:$P,'2. Program Allocation Output'!$AF:$AF,$A321,'2. Program Allocation Output'!$AG:$AG,$B321),"")</f>
        <v/>
      </c>
      <c r="D321" s="4" t="str">
        <f>IFERROR(AVERAGEIFS('2. Program Allocation Output'!$O:$O,'2. Program Allocation Output'!$AF:$AF,$A321,'2. Program Allocation Output'!$AG:$AG,$B321),"")</f>
        <v/>
      </c>
      <c r="E321" s="5" t="str">
        <f>IFERROR(AVERAGEIFS('2. Program Allocation Output'!$L:$L,'2. Program Allocation Output'!$AF:$AF,$A321,'2. Program Allocation Output'!$AG:$AG,$B321),"")</f>
        <v/>
      </c>
      <c r="F321" s="39" t="str">
        <f t="shared" si="11"/>
        <v/>
      </c>
      <c r="G321" t="str">
        <f t="shared" si="12"/>
        <v/>
      </c>
    </row>
    <row r="322" spans="3:7" ht="15" hidden="1" x14ac:dyDescent="0.25">
      <c r="C322" s="4" t="str">
        <f>IFERROR(AVERAGEIFS('2. Program Allocation Output'!$P:$P,'2. Program Allocation Output'!$AF:$AF,$A322,'2. Program Allocation Output'!$AG:$AG,$B322),"")</f>
        <v/>
      </c>
      <c r="D322" s="4" t="str">
        <f>IFERROR(AVERAGEIFS('2. Program Allocation Output'!$O:$O,'2. Program Allocation Output'!$AF:$AF,$A322,'2. Program Allocation Output'!$AG:$AG,$B322),"")</f>
        <v/>
      </c>
      <c r="E322" s="5" t="str">
        <f>IFERROR(AVERAGEIFS('2. Program Allocation Output'!$L:$L,'2. Program Allocation Output'!$AF:$AF,$A322,'2. Program Allocation Output'!$AG:$AG,$B322),"")</f>
        <v/>
      </c>
      <c r="F322" s="39" t="str">
        <f t="shared" si="11"/>
        <v/>
      </c>
      <c r="G322" t="str">
        <f t="shared" si="12"/>
        <v/>
      </c>
    </row>
    <row r="323" spans="3:7" ht="15" hidden="1" x14ac:dyDescent="0.25">
      <c r="C323" s="4" t="str">
        <f>IFERROR(AVERAGEIFS('2. Program Allocation Output'!$P:$P,'2. Program Allocation Output'!$AF:$AF,$A323,'2. Program Allocation Output'!$AG:$AG,$B323),"")</f>
        <v/>
      </c>
      <c r="D323" s="4" t="str">
        <f>IFERROR(AVERAGEIFS('2. Program Allocation Output'!$O:$O,'2. Program Allocation Output'!$AF:$AF,$A323,'2. Program Allocation Output'!$AG:$AG,$B323),"")</f>
        <v/>
      </c>
      <c r="E323" s="5" t="str">
        <f>IFERROR(AVERAGEIFS('2. Program Allocation Output'!$L:$L,'2. Program Allocation Output'!$AF:$AF,$A323,'2. Program Allocation Output'!$AG:$AG,$B323),"")</f>
        <v/>
      </c>
      <c r="F323" s="39" t="str">
        <f t="shared" ref="F323:F386" si="13">IFERROR(C323*1,"")</f>
        <v/>
      </c>
      <c r="G323" t="str">
        <f t="shared" si="12"/>
        <v/>
      </c>
    </row>
    <row r="324" spans="3:7" ht="15" hidden="1" x14ac:dyDescent="0.25">
      <c r="C324" s="4" t="str">
        <f>IFERROR(AVERAGEIFS('2. Program Allocation Output'!$P:$P,'2. Program Allocation Output'!$AF:$AF,$A324,'2. Program Allocation Output'!$AG:$AG,$B324),"")</f>
        <v/>
      </c>
      <c r="D324" s="4" t="str">
        <f>IFERROR(AVERAGEIFS('2. Program Allocation Output'!$O:$O,'2. Program Allocation Output'!$AF:$AF,$A324,'2. Program Allocation Output'!$AG:$AG,$B324),"")</f>
        <v/>
      </c>
      <c r="E324" s="5" t="str">
        <f>IFERROR(AVERAGEIFS('2. Program Allocation Output'!$L:$L,'2. Program Allocation Output'!$AF:$AF,$A324,'2. Program Allocation Output'!$AG:$AG,$B324),"")</f>
        <v/>
      </c>
      <c r="F324" s="39" t="str">
        <f t="shared" si="13"/>
        <v/>
      </c>
      <c r="G324" t="str">
        <f t="shared" si="12"/>
        <v/>
      </c>
    </row>
    <row r="325" spans="3:7" ht="15" hidden="1" x14ac:dyDescent="0.25">
      <c r="C325" s="4" t="str">
        <f>IFERROR(AVERAGEIFS('2. Program Allocation Output'!$P:$P,'2. Program Allocation Output'!$AF:$AF,$A325,'2. Program Allocation Output'!$AG:$AG,$B325),"")</f>
        <v/>
      </c>
      <c r="D325" s="4" t="str">
        <f>IFERROR(AVERAGEIFS('2. Program Allocation Output'!$O:$O,'2. Program Allocation Output'!$AF:$AF,$A325,'2. Program Allocation Output'!$AG:$AG,$B325),"")</f>
        <v/>
      </c>
      <c r="E325" s="5" t="str">
        <f>IFERROR(AVERAGEIFS('2. Program Allocation Output'!$L:$L,'2. Program Allocation Output'!$AF:$AF,$A325,'2. Program Allocation Output'!$AG:$AG,$B325),"")</f>
        <v/>
      </c>
      <c r="F325" s="39" t="str">
        <f t="shared" si="13"/>
        <v/>
      </c>
      <c r="G325" t="str">
        <f t="shared" si="12"/>
        <v/>
      </c>
    </row>
    <row r="326" spans="3:7" ht="15" hidden="1" x14ac:dyDescent="0.25">
      <c r="C326" s="4" t="str">
        <f>IFERROR(AVERAGEIFS('2. Program Allocation Output'!$P:$P,'2. Program Allocation Output'!$AF:$AF,$A326,'2. Program Allocation Output'!$AG:$AG,$B326),"")</f>
        <v/>
      </c>
      <c r="D326" s="4" t="str">
        <f>IFERROR(AVERAGEIFS('2. Program Allocation Output'!$O:$O,'2. Program Allocation Output'!$AF:$AF,$A326,'2. Program Allocation Output'!$AG:$AG,$B326),"")</f>
        <v/>
      </c>
      <c r="E326" s="5" t="str">
        <f>IFERROR(AVERAGEIFS('2. Program Allocation Output'!$L:$L,'2. Program Allocation Output'!$AF:$AF,$A326,'2. Program Allocation Output'!$AG:$AG,$B326),"")</f>
        <v/>
      </c>
      <c r="F326" s="39" t="str">
        <f t="shared" si="13"/>
        <v/>
      </c>
      <c r="G326" t="str">
        <f t="shared" si="12"/>
        <v/>
      </c>
    </row>
    <row r="327" spans="3:7" ht="15" hidden="1" x14ac:dyDescent="0.25">
      <c r="C327" s="4" t="str">
        <f>IFERROR(AVERAGEIFS('2. Program Allocation Output'!$P:$P,'2. Program Allocation Output'!$AF:$AF,$A327,'2. Program Allocation Output'!$AG:$AG,$B327),"")</f>
        <v/>
      </c>
      <c r="D327" s="4" t="str">
        <f>IFERROR(AVERAGEIFS('2. Program Allocation Output'!$O:$O,'2. Program Allocation Output'!$AF:$AF,$A327,'2. Program Allocation Output'!$AG:$AG,$B327),"")</f>
        <v/>
      </c>
      <c r="E327" s="5" t="str">
        <f>IFERROR(AVERAGEIFS('2. Program Allocation Output'!$L:$L,'2. Program Allocation Output'!$AF:$AF,$A327,'2. Program Allocation Output'!$AG:$AG,$B327),"")</f>
        <v/>
      </c>
      <c r="F327" s="39" t="str">
        <f t="shared" si="13"/>
        <v/>
      </c>
      <c r="G327" t="str">
        <f t="shared" si="12"/>
        <v/>
      </c>
    </row>
    <row r="328" spans="3:7" ht="15" hidden="1" x14ac:dyDescent="0.25">
      <c r="C328" s="4" t="str">
        <f>IFERROR(AVERAGEIFS('2. Program Allocation Output'!$P:$P,'2. Program Allocation Output'!$AF:$AF,$A328,'2. Program Allocation Output'!$AG:$AG,$B328),"")</f>
        <v/>
      </c>
      <c r="D328" s="4" t="str">
        <f>IFERROR(AVERAGEIFS('2. Program Allocation Output'!$O:$O,'2. Program Allocation Output'!$AF:$AF,$A328,'2. Program Allocation Output'!$AG:$AG,$B328),"")</f>
        <v/>
      </c>
      <c r="E328" s="5" t="str">
        <f>IFERROR(AVERAGEIFS('2. Program Allocation Output'!$L:$L,'2. Program Allocation Output'!$AF:$AF,$A328,'2. Program Allocation Output'!$AG:$AG,$B328),"")</f>
        <v/>
      </c>
      <c r="F328" s="39" t="str">
        <f t="shared" si="13"/>
        <v/>
      </c>
      <c r="G328" t="str">
        <f t="shared" si="12"/>
        <v/>
      </c>
    </row>
    <row r="329" spans="3:7" ht="15" hidden="1" x14ac:dyDescent="0.25">
      <c r="C329" s="4" t="str">
        <f>IFERROR(AVERAGEIFS('2. Program Allocation Output'!$P:$P,'2. Program Allocation Output'!$AF:$AF,$A329,'2. Program Allocation Output'!$AG:$AG,$B329),"")</f>
        <v/>
      </c>
      <c r="D329" s="4" t="str">
        <f>IFERROR(AVERAGEIFS('2. Program Allocation Output'!$O:$O,'2. Program Allocation Output'!$AF:$AF,$A329,'2. Program Allocation Output'!$AG:$AG,$B329),"")</f>
        <v/>
      </c>
      <c r="E329" s="5" t="str">
        <f>IFERROR(AVERAGEIFS('2. Program Allocation Output'!$L:$L,'2. Program Allocation Output'!$AF:$AF,$A329,'2. Program Allocation Output'!$AG:$AG,$B329),"")</f>
        <v/>
      </c>
      <c r="F329" s="39" t="str">
        <f t="shared" si="13"/>
        <v/>
      </c>
      <c r="G329" t="str">
        <f t="shared" si="12"/>
        <v/>
      </c>
    </row>
    <row r="330" spans="3:7" ht="15" hidden="1" x14ac:dyDescent="0.25">
      <c r="C330" s="4" t="str">
        <f>IFERROR(AVERAGEIFS('2. Program Allocation Output'!$P:$P,'2. Program Allocation Output'!$AF:$AF,$A330,'2. Program Allocation Output'!$AG:$AG,$B330),"")</f>
        <v/>
      </c>
      <c r="D330" s="4" t="str">
        <f>IFERROR(AVERAGEIFS('2. Program Allocation Output'!$O:$O,'2. Program Allocation Output'!$AF:$AF,$A330,'2. Program Allocation Output'!$AG:$AG,$B330),"")</f>
        <v/>
      </c>
      <c r="E330" s="5" t="str">
        <f>IFERROR(AVERAGEIFS('2. Program Allocation Output'!$L:$L,'2. Program Allocation Output'!$AF:$AF,$A330,'2. Program Allocation Output'!$AG:$AG,$B330),"")</f>
        <v/>
      </c>
      <c r="F330" s="39" t="str">
        <f t="shared" si="13"/>
        <v/>
      </c>
      <c r="G330" t="str">
        <f t="shared" si="12"/>
        <v/>
      </c>
    </row>
    <row r="331" spans="3:7" ht="15" hidden="1" x14ac:dyDescent="0.25">
      <c r="C331" s="4" t="str">
        <f>IFERROR(AVERAGEIFS('2. Program Allocation Output'!$P:$P,'2. Program Allocation Output'!$AF:$AF,$A331,'2. Program Allocation Output'!$AG:$AG,$B331),"")</f>
        <v/>
      </c>
      <c r="D331" s="4" t="str">
        <f>IFERROR(AVERAGEIFS('2. Program Allocation Output'!$O:$O,'2. Program Allocation Output'!$AF:$AF,$A331,'2. Program Allocation Output'!$AG:$AG,$B331),"")</f>
        <v/>
      </c>
      <c r="E331" s="5" t="str">
        <f>IFERROR(AVERAGEIFS('2. Program Allocation Output'!$L:$L,'2. Program Allocation Output'!$AF:$AF,$A331,'2. Program Allocation Output'!$AG:$AG,$B331),"")</f>
        <v/>
      </c>
      <c r="F331" s="39" t="str">
        <f t="shared" si="13"/>
        <v/>
      </c>
      <c r="G331" t="str">
        <f t="shared" si="12"/>
        <v/>
      </c>
    </row>
    <row r="332" spans="3:7" ht="15" hidden="1" x14ac:dyDescent="0.25">
      <c r="C332" s="4" t="str">
        <f>IFERROR(AVERAGEIFS('2. Program Allocation Output'!$P:$P,'2. Program Allocation Output'!$AF:$AF,$A332,'2. Program Allocation Output'!$AG:$AG,$B332),"")</f>
        <v/>
      </c>
      <c r="D332" s="4" t="str">
        <f>IFERROR(AVERAGEIFS('2. Program Allocation Output'!$O:$O,'2. Program Allocation Output'!$AF:$AF,$A332,'2. Program Allocation Output'!$AG:$AG,$B332),"")</f>
        <v/>
      </c>
      <c r="E332" s="5" t="str">
        <f>IFERROR(AVERAGEIFS('2. Program Allocation Output'!$L:$L,'2. Program Allocation Output'!$AF:$AF,$A332,'2. Program Allocation Output'!$AG:$AG,$B332),"")</f>
        <v/>
      </c>
      <c r="F332" s="39" t="str">
        <f t="shared" si="13"/>
        <v/>
      </c>
      <c r="G332" t="str">
        <f t="shared" si="12"/>
        <v/>
      </c>
    </row>
    <row r="333" spans="3:7" ht="15" hidden="1" x14ac:dyDescent="0.25">
      <c r="C333" s="4" t="str">
        <f>IFERROR(AVERAGEIFS('2. Program Allocation Output'!$P:$P,'2. Program Allocation Output'!$AF:$AF,$A333,'2. Program Allocation Output'!$AG:$AG,$B333),"")</f>
        <v/>
      </c>
      <c r="D333" s="4" t="str">
        <f>IFERROR(AVERAGEIFS('2. Program Allocation Output'!$O:$O,'2. Program Allocation Output'!$AF:$AF,$A333,'2. Program Allocation Output'!$AG:$AG,$B333),"")</f>
        <v/>
      </c>
      <c r="E333" s="5" t="str">
        <f>IFERROR(AVERAGEIFS('2. Program Allocation Output'!$L:$L,'2. Program Allocation Output'!$AF:$AF,$A333,'2. Program Allocation Output'!$AG:$AG,$B333),"")</f>
        <v/>
      </c>
      <c r="F333" s="39" t="str">
        <f t="shared" si="13"/>
        <v/>
      </c>
      <c r="G333" t="str">
        <f t="shared" si="12"/>
        <v/>
      </c>
    </row>
    <row r="334" spans="3:7" ht="15" hidden="1" x14ac:dyDescent="0.25">
      <c r="C334" s="4" t="str">
        <f>IFERROR(AVERAGEIFS('2. Program Allocation Output'!$P:$P,'2. Program Allocation Output'!$AF:$AF,$A334,'2. Program Allocation Output'!$AG:$AG,$B334),"")</f>
        <v/>
      </c>
      <c r="D334" s="4" t="str">
        <f>IFERROR(AVERAGEIFS('2. Program Allocation Output'!$O:$O,'2. Program Allocation Output'!$AF:$AF,$A334,'2. Program Allocation Output'!$AG:$AG,$B334),"")</f>
        <v/>
      </c>
      <c r="E334" s="5" t="str">
        <f>IFERROR(AVERAGEIFS('2. Program Allocation Output'!$L:$L,'2. Program Allocation Output'!$AF:$AF,$A334,'2. Program Allocation Output'!$AG:$AG,$B334),"")</f>
        <v/>
      </c>
      <c r="F334" s="39" t="str">
        <f t="shared" si="13"/>
        <v/>
      </c>
      <c r="G334" t="str">
        <f t="shared" ref="G334:G397" si="14">IFERROR(EXP(0.3*(F334-C334)/(E334*0.1137)),"")</f>
        <v/>
      </c>
    </row>
    <row r="335" spans="3:7" ht="15" hidden="1" x14ac:dyDescent="0.25">
      <c r="C335" s="4" t="str">
        <f>IFERROR(AVERAGEIFS('2. Program Allocation Output'!$P:$P,'2. Program Allocation Output'!$AF:$AF,$A335,'2. Program Allocation Output'!$AG:$AG,$B335),"")</f>
        <v/>
      </c>
      <c r="D335" s="4" t="str">
        <f>IFERROR(AVERAGEIFS('2. Program Allocation Output'!$O:$O,'2. Program Allocation Output'!$AF:$AF,$A335,'2. Program Allocation Output'!$AG:$AG,$B335),"")</f>
        <v/>
      </c>
      <c r="E335" s="5" t="str">
        <f>IFERROR(AVERAGEIFS('2. Program Allocation Output'!$L:$L,'2. Program Allocation Output'!$AF:$AF,$A335,'2. Program Allocation Output'!$AG:$AG,$B335),"")</f>
        <v/>
      </c>
      <c r="F335" s="39" t="str">
        <f t="shared" si="13"/>
        <v/>
      </c>
      <c r="G335" t="str">
        <f t="shared" si="14"/>
        <v/>
      </c>
    </row>
    <row r="336" spans="3:7" ht="15" hidden="1" x14ac:dyDescent="0.25">
      <c r="C336" s="4" t="str">
        <f>IFERROR(AVERAGEIFS('2. Program Allocation Output'!$P:$P,'2. Program Allocation Output'!$AF:$AF,$A336,'2. Program Allocation Output'!$AG:$AG,$B336),"")</f>
        <v/>
      </c>
      <c r="D336" s="4" t="str">
        <f>IFERROR(AVERAGEIFS('2. Program Allocation Output'!$O:$O,'2. Program Allocation Output'!$AF:$AF,$A336,'2. Program Allocation Output'!$AG:$AG,$B336),"")</f>
        <v/>
      </c>
      <c r="E336" s="5" t="str">
        <f>IFERROR(AVERAGEIFS('2. Program Allocation Output'!$L:$L,'2. Program Allocation Output'!$AF:$AF,$A336,'2. Program Allocation Output'!$AG:$AG,$B336),"")</f>
        <v/>
      </c>
      <c r="F336" s="39" t="str">
        <f t="shared" si="13"/>
        <v/>
      </c>
      <c r="G336" t="str">
        <f t="shared" si="14"/>
        <v/>
      </c>
    </row>
    <row r="337" spans="3:7" ht="15" hidden="1" x14ac:dyDescent="0.25">
      <c r="C337" s="4" t="str">
        <f>IFERROR(AVERAGEIFS('2. Program Allocation Output'!$P:$P,'2. Program Allocation Output'!$AF:$AF,$A337,'2. Program Allocation Output'!$AG:$AG,$B337),"")</f>
        <v/>
      </c>
      <c r="D337" s="4" t="str">
        <f>IFERROR(AVERAGEIFS('2. Program Allocation Output'!$O:$O,'2. Program Allocation Output'!$AF:$AF,$A337,'2. Program Allocation Output'!$AG:$AG,$B337),"")</f>
        <v/>
      </c>
      <c r="E337" s="5" t="str">
        <f>IFERROR(AVERAGEIFS('2. Program Allocation Output'!$L:$L,'2. Program Allocation Output'!$AF:$AF,$A337,'2. Program Allocation Output'!$AG:$AG,$B337),"")</f>
        <v/>
      </c>
      <c r="F337" s="39" t="str">
        <f t="shared" si="13"/>
        <v/>
      </c>
      <c r="G337" t="str">
        <f t="shared" si="14"/>
        <v/>
      </c>
    </row>
    <row r="338" spans="3:7" ht="15" hidden="1" x14ac:dyDescent="0.25">
      <c r="C338" s="4" t="str">
        <f>IFERROR(AVERAGEIFS('2. Program Allocation Output'!$P:$P,'2. Program Allocation Output'!$AF:$AF,$A338,'2. Program Allocation Output'!$AG:$AG,$B338),"")</f>
        <v/>
      </c>
      <c r="D338" s="4" t="str">
        <f>IFERROR(AVERAGEIFS('2. Program Allocation Output'!$O:$O,'2. Program Allocation Output'!$AF:$AF,$A338,'2. Program Allocation Output'!$AG:$AG,$B338),"")</f>
        <v/>
      </c>
      <c r="E338" s="5" t="str">
        <f>IFERROR(AVERAGEIFS('2. Program Allocation Output'!$L:$L,'2. Program Allocation Output'!$AF:$AF,$A338,'2. Program Allocation Output'!$AG:$AG,$B338),"")</f>
        <v/>
      </c>
      <c r="F338" s="39" t="str">
        <f t="shared" si="13"/>
        <v/>
      </c>
      <c r="G338" t="str">
        <f t="shared" si="14"/>
        <v/>
      </c>
    </row>
    <row r="339" spans="3:7" ht="15" hidden="1" x14ac:dyDescent="0.25">
      <c r="C339" s="4" t="str">
        <f>IFERROR(AVERAGEIFS('2. Program Allocation Output'!$P:$P,'2. Program Allocation Output'!$AF:$AF,$A339,'2. Program Allocation Output'!$AG:$AG,$B339),"")</f>
        <v/>
      </c>
      <c r="D339" s="4" t="str">
        <f>IFERROR(AVERAGEIFS('2. Program Allocation Output'!$O:$O,'2. Program Allocation Output'!$AF:$AF,$A339,'2. Program Allocation Output'!$AG:$AG,$B339),"")</f>
        <v/>
      </c>
      <c r="E339" s="5" t="str">
        <f>IFERROR(AVERAGEIFS('2. Program Allocation Output'!$L:$L,'2. Program Allocation Output'!$AF:$AF,$A339,'2. Program Allocation Output'!$AG:$AG,$B339),"")</f>
        <v/>
      </c>
      <c r="F339" s="39" t="str">
        <f t="shared" si="13"/>
        <v/>
      </c>
      <c r="G339" t="str">
        <f t="shared" si="14"/>
        <v/>
      </c>
    </row>
    <row r="340" spans="3:7" ht="15" hidden="1" x14ac:dyDescent="0.25">
      <c r="C340" s="4" t="str">
        <f>IFERROR(AVERAGEIFS('2. Program Allocation Output'!$P:$P,'2. Program Allocation Output'!$AF:$AF,$A340,'2. Program Allocation Output'!$AG:$AG,$B340),"")</f>
        <v/>
      </c>
      <c r="D340" s="4" t="str">
        <f>IFERROR(AVERAGEIFS('2. Program Allocation Output'!$O:$O,'2. Program Allocation Output'!$AF:$AF,$A340,'2. Program Allocation Output'!$AG:$AG,$B340),"")</f>
        <v/>
      </c>
      <c r="E340" s="5" t="str">
        <f>IFERROR(AVERAGEIFS('2. Program Allocation Output'!$L:$L,'2. Program Allocation Output'!$AF:$AF,$A340,'2. Program Allocation Output'!$AG:$AG,$B340),"")</f>
        <v/>
      </c>
      <c r="F340" s="39" t="str">
        <f t="shared" si="13"/>
        <v/>
      </c>
      <c r="G340" t="str">
        <f t="shared" si="14"/>
        <v/>
      </c>
    </row>
    <row r="341" spans="3:7" ht="15" hidden="1" x14ac:dyDescent="0.25">
      <c r="C341" s="4" t="str">
        <f>IFERROR(AVERAGEIFS('2. Program Allocation Output'!$P:$P,'2. Program Allocation Output'!$AF:$AF,$A341,'2. Program Allocation Output'!$AG:$AG,$B341),"")</f>
        <v/>
      </c>
      <c r="D341" s="4" t="str">
        <f>IFERROR(AVERAGEIFS('2. Program Allocation Output'!$O:$O,'2. Program Allocation Output'!$AF:$AF,$A341,'2. Program Allocation Output'!$AG:$AG,$B341),"")</f>
        <v/>
      </c>
      <c r="E341" s="5" t="str">
        <f>IFERROR(AVERAGEIFS('2. Program Allocation Output'!$L:$L,'2. Program Allocation Output'!$AF:$AF,$A341,'2. Program Allocation Output'!$AG:$AG,$B341),"")</f>
        <v/>
      </c>
      <c r="F341" s="39" t="str">
        <f t="shared" si="13"/>
        <v/>
      </c>
      <c r="G341" t="str">
        <f t="shared" si="14"/>
        <v/>
      </c>
    </row>
    <row r="342" spans="3:7" ht="15" hidden="1" x14ac:dyDescent="0.25">
      <c r="C342" s="4" t="str">
        <f>IFERROR(AVERAGEIFS('2. Program Allocation Output'!$P:$P,'2. Program Allocation Output'!$AF:$AF,$A342,'2. Program Allocation Output'!$AG:$AG,$B342),"")</f>
        <v/>
      </c>
      <c r="D342" s="4" t="str">
        <f>IFERROR(AVERAGEIFS('2. Program Allocation Output'!$O:$O,'2. Program Allocation Output'!$AF:$AF,$A342,'2. Program Allocation Output'!$AG:$AG,$B342),"")</f>
        <v/>
      </c>
      <c r="E342" s="5" t="str">
        <f>IFERROR(AVERAGEIFS('2. Program Allocation Output'!$L:$L,'2. Program Allocation Output'!$AF:$AF,$A342,'2. Program Allocation Output'!$AG:$AG,$B342),"")</f>
        <v/>
      </c>
      <c r="F342" s="39" t="str">
        <f t="shared" si="13"/>
        <v/>
      </c>
      <c r="G342" t="str">
        <f t="shared" si="14"/>
        <v/>
      </c>
    </row>
    <row r="343" spans="3:7" ht="15" hidden="1" x14ac:dyDescent="0.25">
      <c r="C343" s="4" t="str">
        <f>IFERROR(AVERAGEIFS('2. Program Allocation Output'!$P:$P,'2. Program Allocation Output'!$AF:$AF,$A343,'2. Program Allocation Output'!$AG:$AG,$B343),"")</f>
        <v/>
      </c>
      <c r="D343" s="4" t="str">
        <f>IFERROR(AVERAGEIFS('2. Program Allocation Output'!$O:$O,'2. Program Allocation Output'!$AF:$AF,$A343,'2. Program Allocation Output'!$AG:$AG,$B343),"")</f>
        <v/>
      </c>
      <c r="E343" s="5" t="str">
        <f>IFERROR(AVERAGEIFS('2. Program Allocation Output'!$L:$L,'2. Program Allocation Output'!$AF:$AF,$A343,'2. Program Allocation Output'!$AG:$AG,$B343),"")</f>
        <v/>
      </c>
      <c r="F343" s="39" t="str">
        <f t="shared" si="13"/>
        <v/>
      </c>
      <c r="G343" t="str">
        <f t="shared" si="14"/>
        <v/>
      </c>
    </row>
    <row r="344" spans="3:7" ht="15" hidden="1" x14ac:dyDescent="0.25">
      <c r="C344" s="4" t="str">
        <f>IFERROR(AVERAGEIFS('2. Program Allocation Output'!$P:$P,'2. Program Allocation Output'!$AF:$AF,$A344,'2. Program Allocation Output'!$AG:$AG,$B344),"")</f>
        <v/>
      </c>
      <c r="D344" s="4" t="str">
        <f>IFERROR(AVERAGEIFS('2. Program Allocation Output'!$O:$O,'2. Program Allocation Output'!$AF:$AF,$A344,'2. Program Allocation Output'!$AG:$AG,$B344),"")</f>
        <v/>
      </c>
      <c r="E344" s="5" t="str">
        <f>IFERROR(AVERAGEIFS('2. Program Allocation Output'!$L:$L,'2. Program Allocation Output'!$AF:$AF,$A344,'2. Program Allocation Output'!$AG:$AG,$B344),"")</f>
        <v/>
      </c>
      <c r="F344" s="39" t="str">
        <f t="shared" si="13"/>
        <v/>
      </c>
      <c r="G344" t="str">
        <f t="shared" si="14"/>
        <v/>
      </c>
    </row>
    <row r="345" spans="3:7" ht="15" hidden="1" x14ac:dyDescent="0.25">
      <c r="C345" s="4" t="str">
        <f>IFERROR(AVERAGEIFS('2. Program Allocation Output'!$P:$P,'2. Program Allocation Output'!$AF:$AF,$A345,'2. Program Allocation Output'!$AG:$AG,$B345),"")</f>
        <v/>
      </c>
      <c r="D345" s="4" t="str">
        <f>IFERROR(AVERAGEIFS('2. Program Allocation Output'!$O:$O,'2. Program Allocation Output'!$AF:$AF,$A345,'2. Program Allocation Output'!$AG:$AG,$B345),"")</f>
        <v/>
      </c>
      <c r="E345" s="5" t="str">
        <f>IFERROR(AVERAGEIFS('2. Program Allocation Output'!$L:$L,'2. Program Allocation Output'!$AF:$AF,$A345,'2. Program Allocation Output'!$AG:$AG,$B345),"")</f>
        <v/>
      </c>
      <c r="F345" s="39" t="str">
        <f t="shared" si="13"/>
        <v/>
      </c>
      <c r="G345" t="str">
        <f t="shared" si="14"/>
        <v/>
      </c>
    </row>
    <row r="346" spans="3:7" ht="15" hidden="1" x14ac:dyDescent="0.25">
      <c r="C346" s="4" t="str">
        <f>IFERROR(AVERAGEIFS('2. Program Allocation Output'!$P:$P,'2. Program Allocation Output'!$AF:$AF,$A346,'2. Program Allocation Output'!$AG:$AG,$B346),"")</f>
        <v/>
      </c>
      <c r="D346" s="4" t="str">
        <f>IFERROR(AVERAGEIFS('2. Program Allocation Output'!$O:$O,'2. Program Allocation Output'!$AF:$AF,$A346,'2. Program Allocation Output'!$AG:$AG,$B346),"")</f>
        <v/>
      </c>
      <c r="E346" s="5" t="str">
        <f>IFERROR(AVERAGEIFS('2. Program Allocation Output'!$L:$L,'2. Program Allocation Output'!$AF:$AF,$A346,'2. Program Allocation Output'!$AG:$AG,$B346),"")</f>
        <v/>
      </c>
      <c r="F346" s="39" t="str">
        <f t="shared" si="13"/>
        <v/>
      </c>
      <c r="G346" t="str">
        <f t="shared" si="14"/>
        <v/>
      </c>
    </row>
    <row r="347" spans="3:7" ht="15" hidden="1" x14ac:dyDescent="0.25">
      <c r="C347" s="4" t="str">
        <f>IFERROR(AVERAGEIFS('2. Program Allocation Output'!$P:$P,'2. Program Allocation Output'!$AF:$AF,$A347,'2. Program Allocation Output'!$AG:$AG,$B347),"")</f>
        <v/>
      </c>
      <c r="D347" s="4" t="str">
        <f>IFERROR(AVERAGEIFS('2. Program Allocation Output'!$O:$O,'2. Program Allocation Output'!$AF:$AF,$A347,'2. Program Allocation Output'!$AG:$AG,$B347),"")</f>
        <v/>
      </c>
      <c r="E347" s="5" t="str">
        <f>IFERROR(AVERAGEIFS('2. Program Allocation Output'!$L:$L,'2. Program Allocation Output'!$AF:$AF,$A347,'2. Program Allocation Output'!$AG:$AG,$B347),"")</f>
        <v/>
      </c>
      <c r="F347" s="39" t="str">
        <f t="shared" si="13"/>
        <v/>
      </c>
      <c r="G347" t="str">
        <f t="shared" si="14"/>
        <v/>
      </c>
    </row>
    <row r="348" spans="3:7" ht="15" hidden="1" x14ac:dyDescent="0.25">
      <c r="C348" s="4" t="str">
        <f>IFERROR(AVERAGEIFS('2. Program Allocation Output'!$P:$P,'2. Program Allocation Output'!$AF:$AF,$A348,'2. Program Allocation Output'!$AG:$AG,$B348),"")</f>
        <v/>
      </c>
      <c r="D348" s="4" t="str">
        <f>IFERROR(AVERAGEIFS('2. Program Allocation Output'!$O:$O,'2. Program Allocation Output'!$AF:$AF,$A348,'2. Program Allocation Output'!$AG:$AG,$B348),"")</f>
        <v/>
      </c>
      <c r="E348" s="5" t="str">
        <f>IFERROR(AVERAGEIFS('2. Program Allocation Output'!$L:$L,'2. Program Allocation Output'!$AF:$AF,$A348,'2. Program Allocation Output'!$AG:$AG,$B348),"")</f>
        <v/>
      </c>
      <c r="F348" s="39" t="str">
        <f t="shared" si="13"/>
        <v/>
      </c>
      <c r="G348" t="str">
        <f t="shared" si="14"/>
        <v/>
      </c>
    </row>
    <row r="349" spans="3:7" ht="15" hidden="1" x14ac:dyDescent="0.25">
      <c r="C349" s="4" t="str">
        <f>IFERROR(AVERAGEIFS('2. Program Allocation Output'!$P:$P,'2. Program Allocation Output'!$AF:$AF,$A349,'2. Program Allocation Output'!$AG:$AG,$B349),"")</f>
        <v/>
      </c>
      <c r="D349" s="4" t="str">
        <f>IFERROR(AVERAGEIFS('2. Program Allocation Output'!$O:$O,'2. Program Allocation Output'!$AF:$AF,$A349,'2. Program Allocation Output'!$AG:$AG,$B349),"")</f>
        <v/>
      </c>
      <c r="E349" s="5" t="str">
        <f>IFERROR(AVERAGEIFS('2. Program Allocation Output'!$L:$L,'2. Program Allocation Output'!$AF:$AF,$A349,'2. Program Allocation Output'!$AG:$AG,$B349),"")</f>
        <v/>
      </c>
      <c r="F349" s="39" t="str">
        <f t="shared" si="13"/>
        <v/>
      </c>
      <c r="G349" t="str">
        <f t="shared" si="14"/>
        <v/>
      </c>
    </row>
    <row r="350" spans="3:7" ht="15" hidden="1" x14ac:dyDescent="0.25">
      <c r="C350" s="4" t="str">
        <f>IFERROR(AVERAGEIFS('2. Program Allocation Output'!$P:$P,'2. Program Allocation Output'!$AF:$AF,$A350,'2. Program Allocation Output'!$AG:$AG,$B350),"")</f>
        <v/>
      </c>
      <c r="D350" s="4" t="str">
        <f>IFERROR(AVERAGEIFS('2. Program Allocation Output'!$O:$O,'2. Program Allocation Output'!$AF:$AF,$A350,'2. Program Allocation Output'!$AG:$AG,$B350),"")</f>
        <v/>
      </c>
      <c r="E350" s="5" t="str">
        <f>IFERROR(AVERAGEIFS('2. Program Allocation Output'!$L:$L,'2. Program Allocation Output'!$AF:$AF,$A350,'2. Program Allocation Output'!$AG:$AG,$B350),"")</f>
        <v/>
      </c>
      <c r="F350" s="39" t="str">
        <f t="shared" si="13"/>
        <v/>
      </c>
      <c r="G350" t="str">
        <f t="shared" si="14"/>
        <v/>
      </c>
    </row>
    <row r="351" spans="3:7" ht="15" hidden="1" x14ac:dyDescent="0.25">
      <c r="C351" s="4" t="str">
        <f>IFERROR(AVERAGEIFS('2. Program Allocation Output'!$P:$P,'2. Program Allocation Output'!$AF:$AF,$A351,'2. Program Allocation Output'!$AG:$AG,$B351),"")</f>
        <v/>
      </c>
      <c r="D351" s="4" t="str">
        <f>IFERROR(AVERAGEIFS('2. Program Allocation Output'!$O:$O,'2. Program Allocation Output'!$AF:$AF,$A351,'2. Program Allocation Output'!$AG:$AG,$B351),"")</f>
        <v/>
      </c>
      <c r="E351" s="5" t="str">
        <f>IFERROR(AVERAGEIFS('2. Program Allocation Output'!$L:$L,'2. Program Allocation Output'!$AF:$AF,$A351,'2. Program Allocation Output'!$AG:$AG,$B351),"")</f>
        <v/>
      </c>
      <c r="F351" s="39" t="str">
        <f t="shared" si="13"/>
        <v/>
      </c>
      <c r="G351" t="str">
        <f t="shared" si="14"/>
        <v/>
      </c>
    </row>
    <row r="352" spans="3:7" ht="15" hidden="1" x14ac:dyDescent="0.25">
      <c r="C352" s="4" t="str">
        <f>IFERROR(AVERAGEIFS('2. Program Allocation Output'!$P:$P,'2. Program Allocation Output'!$AF:$AF,$A352,'2. Program Allocation Output'!$AG:$AG,$B352),"")</f>
        <v/>
      </c>
      <c r="D352" s="4" t="str">
        <f>IFERROR(AVERAGEIFS('2. Program Allocation Output'!$O:$O,'2. Program Allocation Output'!$AF:$AF,$A352,'2. Program Allocation Output'!$AG:$AG,$B352),"")</f>
        <v/>
      </c>
      <c r="E352" s="5" t="str">
        <f>IFERROR(AVERAGEIFS('2. Program Allocation Output'!$L:$L,'2. Program Allocation Output'!$AF:$AF,$A352,'2. Program Allocation Output'!$AG:$AG,$B352),"")</f>
        <v/>
      </c>
      <c r="F352" s="39" t="str">
        <f t="shared" si="13"/>
        <v/>
      </c>
      <c r="G352" t="str">
        <f t="shared" si="14"/>
        <v/>
      </c>
    </row>
    <row r="353" spans="3:7" ht="15" hidden="1" x14ac:dyDescent="0.25">
      <c r="C353" s="4" t="str">
        <f>IFERROR(AVERAGEIFS('2. Program Allocation Output'!$P:$P,'2. Program Allocation Output'!$AF:$AF,$A353,'2. Program Allocation Output'!$AG:$AG,$B353),"")</f>
        <v/>
      </c>
      <c r="D353" s="4" t="str">
        <f>IFERROR(AVERAGEIFS('2. Program Allocation Output'!$O:$O,'2. Program Allocation Output'!$AF:$AF,$A353,'2. Program Allocation Output'!$AG:$AG,$B353),"")</f>
        <v/>
      </c>
      <c r="E353" s="5" t="str">
        <f>IFERROR(AVERAGEIFS('2. Program Allocation Output'!$L:$L,'2. Program Allocation Output'!$AF:$AF,$A353,'2. Program Allocation Output'!$AG:$AG,$B353),"")</f>
        <v/>
      </c>
      <c r="F353" s="39" t="str">
        <f t="shared" si="13"/>
        <v/>
      </c>
      <c r="G353" t="str">
        <f t="shared" si="14"/>
        <v/>
      </c>
    </row>
    <row r="354" spans="3:7" ht="15" hidden="1" x14ac:dyDescent="0.25">
      <c r="C354" s="4" t="str">
        <f>IFERROR(AVERAGEIFS('2. Program Allocation Output'!$P:$P,'2. Program Allocation Output'!$AF:$AF,$A354,'2. Program Allocation Output'!$AG:$AG,$B354),"")</f>
        <v/>
      </c>
      <c r="D354" s="4" t="str">
        <f>IFERROR(AVERAGEIFS('2. Program Allocation Output'!$O:$O,'2. Program Allocation Output'!$AF:$AF,$A354,'2. Program Allocation Output'!$AG:$AG,$B354),"")</f>
        <v/>
      </c>
      <c r="E354" s="5" t="str">
        <f>IFERROR(AVERAGEIFS('2. Program Allocation Output'!$L:$L,'2. Program Allocation Output'!$AF:$AF,$A354,'2. Program Allocation Output'!$AG:$AG,$B354),"")</f>
        <v/>
      </c>
      <c r="F354" s="39" t="str">
        <f t="shared" si="13"/>
        <v/>
      </c>
      <c r="G354" t="str">
        <f t="shared" si="14"/>
        <v/>
      </c>
    </row>
    <row r="355" spans="3:7" ht="15" hidden="1" x14ac:dyDescent="0.25">
      <c r="C355" s="4" t="str">
        <f>IFERROR(AVERAGEIFS('2. Program Allocation Output'!$P:$P,'2. Program Allocation Output'!$AF:$AF,$A355,'2. Program Allocation Output'!$AG:$AG,$B355),"")</f>
        <v/>
      </c>
      <c r="D355" s="4" t="str">
        <f>IFERROR(AVERAGEIFS('2. Program Allocation Output'!$O:$O,'2. Program Allocation Output'!$AF:$AF,$A355,'2. Program Allocation Output'!$AG:$AG,$B355),"")</f>
        <v/>
      </c>
      <c r="E355" s="5" t="str">
        <f>IFERROR(AVERAGEIFS('2. Program Allocation Output'!$L:$L,'2. Program Allocation Output'!$AF:$AF,$A355,'2. Program Allocation Output'!$AG:$AG,$B355),"")</f>
        <v/>
      </c>
      <c r="F355" s="39" t="str">
        <f t="shared" si="13"/>
        <v/>
      </c>
      <c r="G355" t="str">
        <f t="shared" si="14"/>
        <v/>
      </c>
    </row>
    <row r="356" spans="3:7" ht="15" hidden="1" x14ac:dyDescent="0.25">
      <c r="C356" s="4" t="str">
        <f>IFERROR(AVERAGEIFS('2. Program Allocation Output'!$P:$P,'2. Program Allocation Output'!$AF:$AF,$A356,'2. Program Allocation Output'!$AG:$AG,$B356),"")</f>
        <v/>
      </c>
      <c r="D356" s="4" t="str">
        <f>IFERROR(AVERAGEIFS('2. Program Allocation Output'!$O:$O,'2. Program Allocation Output'!$AF:$AF,$A356,'2. Program Allocation Output'!$AG:$AG,$B356),"")</f>
        <v/>
      </c>
      <c r="E356" s="5" t="str">
        <f>IFERROR(AVERAGEIFS('2. Program Allocation Output'!$L:$L,'2. Program Allocation Output'!$AF:$AF,$A356,'2. Program Allocation Output'!$AG:$AG,$B356),"")</f>
        <v/>
      </c>
      <c r="F356" s="39" t="str">
        <f t="shared" si="13"/>
        <v/>
      </c>
      <c r="G356" t="str">
        <f t="shared" si="14"/>
        <v/>
      </c>
    </row>
    <row r="357" spans="3:7" ht="15" hidden="1" x14ac:dyDescent="0.25">
      <c r="C357" s="4" t="str">
        <f>IFERROR(AVERAGEIFS('2. Program Allocation Output'!$P:$P,'2. Program Allocation Output'!$AF:$AF,$A357,'2. Program Allocation Output'!$AG:$AG,$B357),"")</f>
        <v/>
      </c>
      <c r="D357" s="4" t="str">
        <f>IFERROR(AVERAGEIFS('2. Program Allocation Output'!$O:$O,'2. Program Allocation Output'!$AF:$AF,$A357,'2. Program Allocation Output'!$AG:$AG,$B357),"")</f>
        <v/>
      </c>
      <c r="E357" s="5" t="str">
        <f>IFERROR(AVERAGEIFS('2. Program Allocation Output'!$L:$L,'2. Program Allocation Output'!$AF:$AF,$A357,'2. Program Allocation Output'!$AG:$AG,$B357),"")</f>
        <v/>
      </c>
      <c r="F357" s="39" t="str">
        <f t="shared" si="13"/>
        <v/>
      </c>
      <c r="G357" t="str">
        <f t="shared" si="14"/>
        <v/>
      </c>
    </row>
    <row r="358" spans="3:7" ht="15" hidden="1" x14ac:dyDescent="0.25">
      <c r="C358" s="4" t="str">
        <f>IFERROR(AVERAGEIFS('2. Program Allocation Output'!$P:$P,'2. Program Allocation Output'!$AF:$AF,$A358,'2. Program Allocation Output'!$AG:$AG,$B358),"")</f>
        <v/>
      </c>
      <c r="D358" s="4" t="str">
        <f>IFERROR(AVERAGEIFS('2. Program Allocation Output'!$O:$O,'2. Program Allocation Output'!$AF:$AF,$A358,'2. Program Allocation Output'!$AG:$AG,$B358),"")</f>
        <v/>
      </c>
      <c r="E358" s="5" t="str">
        <f>IFERROR(AVERAGEIFS('2. Program Allocation Output'!$L:$L,'2. Program Allocation Output'!$AF:$AF,$A358,'2. Program Allocation Output'!$AG:$AG,$B358),"")</f>
        <v/>
      </c>
      <c r="F358" s="39" t="str">
        <f t="shared" si="13"/>
        <v/>
      </c>
      <c r="G358" t="str">
        <f t="shared" si="14"/>
        <v/>
      </c>
    </row>
    <row r="359" spans="3:7" ht="15" hidden="1" x14ac:dyDescent="0.25">
      <c r="C359" s="4" t="str">
        <f>IFERROR(AVERAGEIFS('2. Program Allocation Output'!$P:$P,'2. Program Allocation Output'!$AF:$AF,$A359,'2. Program Allocation Output'!$AG:$AG,$B359),"")</f>
        <v/>
      </c>
      <c r="D359" s="4" t="str">
        <f>IFERROR(AVERAGEIFS('2. Program Allocation Output'!$O:$O,'2. Program Allocation Output'!$AF:$AF,$A359,'2. Program Allocation Output'!$AG:$AG,$B359),"")</f>
        <v/>
      </c>
      <c r="E359" s="5" t="str">
        <f>IFERROR(AVERAGEIFS('2. Program Allocation Output'!$L:$L,'2. Program Allocation Output'!$AF:$AF,$A359,'2. Program Allocation Output'!$AG:$AG,$B359),"")</f>
        <v/>
      </c>
      <c r="F359" s="39" t="str">
        <f t="shared" si="13"/>
        <v/>
      </c>
      <c r="G359" t="str">
        <f t="shared" si="14"/>
        <v/>
      </c>
    </row>
    <row r="360" spans="3:7" ht="15" hidden="1" x14ac:dyDescent="0.25">
      <c r="C360" s="4" t="str">
        <f>IFERROR(AVERAGEIFS('2. Program Allocation Output'!$P:$P,'2. Program Allocation Output'!$AF:$AF,$A360,'2. Program Allocation Output'!$AG:$AG,$B360),"")</f>
        <v/>
      </c>
      <c r="D360" s="4" t="str">
        <f>IFERROR(AVERAGEIFS('2. Program Allocation Output'!$O:$O,'2. Program Allocation Output'!$AF:$AF,$A360,'2. Program Allocation Output'!$AG:$AG,$B360),"")</f>
        <v/>
      </c>
      <c r="E360" s="5" t="str">
        <f>IFERROR(AVERAGEIFS('2. Program Allocation Output'!$L:$L,'2. Program Allocation Output'!$AF:$AF,$A360,'2. Program Allocation Output'!$AG:$AG,$B360),"")</f>
        <v/>
      </c>
      <c r="F360" s="39" t="str">
        <f t="shared" si="13"/>
        <v/>
      </c>
      <c r="G360" t="str">
        <f t="shared" si="14"/>
        <v/>
      </c>
    </row>
    <row r="361" spans="3:7" ht="15" hidden="1" x14ac:dyDescent="0.25">
      <c r="C361" s="4" t="str">
        <f>IFERROR(AVERAGEIFS('2. Program Allocation Output'!$P:$P,'2. Program Allocation Output'!$AF:$AF,$A361,'2. Program Allocation Output'!$AG:$AG,$B361),"")</f>
        <v/>
      </c>
      <c r="D361" s="4" t="str">
        <f>IFERROR(AVERAGEIFS('2. Program Allocation Output'!$O:$O,'2. Program Allocation Output'!$AF:$AF,$A361,'2. Program Allocation Output'!$AG:$AG,$B361),"")</f>
        <v/>
      </c>
      <c r="E361" s="5" t="str">
        <f>IFERROR(AVERAGEIFS('2. Program Allocation Output'!$L:$L,'2. Program Allocation Output'!$AF:$AF,$A361,'2. Program Allocation Output'!$AG:$AG,$B361),"")</f>
        <v/>
      </c>
      <c r="F361" s="39" t="str">
        <f t="shared" si="13"/>
        <v/>
      </c>
      <c r="G361" t="str">
        <f t="shared" si="14"/>
        <v/>
      </c>
    </row>
    <row r="362" spans="3:7" ht="15" hidden="1" x14ac:dyDescent="0.25">
      <c r="C362" s="4" t="str">
        <f>IFERROR(AVERAGEIFS('2. Program Allocation Output'!$P:$P,'2. Program Allocation Output'!$AF:$AF,$A362,'2. Program Allocation Output'!$AG:$AG,$B362),"")</f>
        <v/>
      </c>
      <c r="D362" s="4" t="str">
        <f>IFERROR(AVERAGEIFS('2. Program Allocation Output'!$O:$O,'2. Program Allocation Output'!$AF:$AF,$A362,'2. Program Allocation Output'!$AG:$AG,$B362),"")</f>
        <v/>
      </c>
      <c r="E362" s="5" t="str">
        <f>IFERROR(AVERAGEIFS('2. Program Allocation Output'!$L:$L,'2. Program Allocation Output'!$AF:$AF,$A362,'2. Program Allocation Output'!$AG:$AG,$B362),"")</f>
        <v/>
      </c>
      <c r="F362" s="39" t="str">
        <f t="shared" si="13"/>
        <v/>
      </c>
      <c r="G362" t="str">
        <f t="shared" si="14"/>
        <v/>
      </c>
    </row>
    <row r="363" spans="3:7" ht="15" hidden="1" x14ac:dyDescent="0.25">
      <c r="C363" s="4" t="str">
        <f>IFERROR(AVERAGEIFS('2. Program Allocation Output'!$P:$P,'2. Program Allocation Output'!$AF:$AF,$A363,'2. Program Allocation Output'!$AG:$AG,$B363),"")</f>
        <v/>
      </c>
      <c r="D363" s="4" t="str">
        <f>IFERROR(AVERAGEIFS('2. Program Allocation Output'!$O:$O,'2. Program Allocation Output'!$AF:$AF,$A363,'2. Program Allocation Output'!$AG:$AG,$B363),"")</f>
        <v/>
      </c>
      <c r="E363" s="5" t="str">
        <f>IFERROR(AVERAGEIFS('2. Program Allocation Output'!$L:$L,'2. Program Allocation Output'!$AF:$AF,$A363,'2. Program Allocation Output'!$AG:$AG,$B363),"")</f>
        <v/>
      </c>
      <c r="F363" s="39" t="str">
        <f t="shared" si="13"/>
        <v/>
      </c>
      <c r="G363" t="str">
        <f t="shared" si="14"/>
        <v/>
      </c>
    </row>
    <row r="364" spans="3:7" ht="15" hidden="1" x14ac:dyDescent="0.25">
      <c r="C364" s="4" t="str">
        <f>IFERROR(AVERAGEIFS('2. Program Allocation Output'!$P:$P,'2. Program Allocation Output'!$AF:$AF,$A364,'2. Program Allocation Output'!$AG:$AG,$B364),"")</f>
        <v/>
      </c>
      <c r="D364" s="4" t="str">
        <f>IFERROR(AVERAGEIFS('2. Program Allocation Output'!$O:$O,'2. Program Allocation Output'!$AF:$AF,$A364,'2. Program Allocation Output'!$AG:$AG,$B364),"")</f>
        <v/>
      </c>
      <c r="E364" s="5" t="str">
        <f>IFERROR(AVERAGEIFS('2. Program Allocation Output'!$L:$L,'2. Program Allocation Output'!$AF:$AF,$A364,'2. Program Allocation Output'!$AG:$AG,$B364),"")</f>
        <v/>
      </c>
      <c r="F364" s="39" t="str">
        <f t="shared" si="13"/>
        <v/>
      </c>
      <c r="G364" t="str">
        <f t="shared" si="14"/>
        <v/>
      </c>
    </row>
    <row r="365" spans="3:7" ht="15" hidden="1" x14ac:dyDescent="0.25">
      <c r="C365" s="4" t="str">
        <f>IFERROR(AVERAGEIFS('2. Program Allocation Output'!$P:$P,'2. Program Allocation Output'!$AF:$AF,$A365,'2. Program Allocation Output'!$AG:$AG,$B365),"")</f>
        <v/>
      </c>
      <c r="D365" s="4" t="str">
        <f>IFERROR(AVERAGEIFS('2. Program Allocation Output'!$O:$O,'2. Program Allocation Output'!$AF:$AF,$A365,'2. Program Allocation Output'!$AG:$AG,$B365),"")</f>
        <v/>
      </c>
      <c r="E365" s="5" t="str">
        <f>IFERROR(AVERAGEIFS('2. Program Allocation Output'!$L:$L,'2. Program Allocation Output'!$AF:$AF,$A365,'2. Program Allocation Output'!$AG:$AG,$B365),"")</f>
        <v/>
      </c>
      <c r="F365" s="39" t="str">
        <f t="shared" si="13"/>
        <v/>
      </c>
      <c r="G365" t="str">
        <f t="shared" si="14"/>
        <v/>
      </c>
    </row>
    <row r="366" spans="3:7" ht="15" hidden="1" x14ac:dyDescent="0.25">
      <c r="C366" s="4" t="str">
        <f>IFERROR(AVERAGEIFS('2. Program Allocation Output'!$P:$P,'2. Program Allocation Output'!$AF:$AF,$A366,'2. Program Allocation Output'!$AG:$AG,$B366),"")</f>
        <v/>
      </c>
      <c r="D366" s="4" t="str">
        <f>IFERROR(AVERAGEIFS('2. Program Allocation Output'!$O:$O,'2. Program Allocation Output'!$AF:$AF,$A366,'2. Program Allocation Output'!$AG:$AG,$B366),"")</f>
        <v/>
      </c>
      <c r="E366" s="5" t="str">
        <f>IFERROR(AVERAGEIFS('2. Program Allocation Output'!$L:$L,'2. Program Allocation Output'!$AF:$AF,$A366,'2. Program Allocation Output'!$AG:$AG,$B366),"")</f>
        <v/>
      </c>
      <c r="F366" s="39" t="str">
        <f t="shared" si="13"/>
        <v/>
      </c>
      <c r="G366" t="str">
        <f t="shared" si="14"/>
        <v/>
      </c>
    </row>
    <row r="367" spans="3:7" ht="15" hidden="1" x14ac:dyDescent="0.25">
      <c r="C367" s="4" t="str">
        <f>IFERROR(AVERAGEIFS('2. Program Allocation Output'!$P:$P,'2. Program Allocation Output'!$AF:$AF,$A367,'2. Program Allocation Output'!$AG:$AG,$B367),"")</f>
        <v/>
      </c>
      <c r="D367" s="4" t="str">
        <f>IFERROR(AVERAGEIFS('2. Program Allocation Output'!$O:$O,'2. Program Allocation Output'!$AF:$AF,$A367,'2. Program Allocation Output'!$AG:$AG,$B367),"")</f>
        <v/>
      </c>
      <c r="E367" s="5" t="str">
        <f>IFERROR(AVERAGEIFS('2. Program Allocation Output'!$L:$L,'2. Program Allocation Output'!$AF:$AF,$A367,'2. Program Allocation Output'!$AG:$AG,$B367),"")</f>
        <v/>
      </c>
      <c r="F367" s="39" t="str">
        <f t="shared" si="13"/>
        <v/>
      </c>
      <c r="G367" t="str">
        <f t="shared" si="14"/>
        <v/>
      </c>
    </row>
    <row r="368" spans="3:7" ht="15" hidden="1" x14ac:dyDescent="0.25">
      <c r="C368" s="4" t="str">
        <f>IFERROR(AVERAGEIFS('2. Program Allocation Output'!$P:$P,'2. Program Allocation Output'!$AF:$AF,$A368,'2. Program Allocation Output'!$AG:$AG,$B368),"")</f>
        <v/>
      </c>
      <c r="D368" s="4" t="str">
        <f>IFERROR(AVERAGEIFS('2. Program Allocation Output'!$O:$O,'2. Program Allocation Output'!$AF:$AF,$A368,'2. Program Allocation Output'!$AG:$AG,$B368),"")</f>
        <v/>
      </c>
      <c r="E368" s="5" t="str">
        <f>IFERROR(AVERAGEIFS('2. Program Allocation Output'!$L:$L,'2. Program Allocation Output'!$AF:$AF,$A368,'2. Program Allocation Output'!$AG:$AG,$B368),"")</f>
        <v/>
      </c>
      <c r="F368" s="39" t="str">
        <f t="shared" si="13"/>
        <v/>
      </c>
      <c r="G368" t="str">
        <f t="shared" si="14"/>
        <v/>
      </c>
    </row>
    <row r="369" spans="3:7" ht="15" hidden="1" x14ac:dyDescent="0.25">
      <c r="C369" s="4" t="str">
        <f>IFERROR(AVERAGEIFS('2. Program Allocation Output'!$P:$P,'2. Program Allocation Output'!$AF:$AF,$A369,'2. Program Allocation Output'!$AG:$AG,$B369),"")</f>
        <v/>
      </c>
      <c r="D369" s="4" t="str">
        <f>IFERROR(AVERAGEIFS('2. Program Allocation Output'!$O:$O,'2. Program Allocation Output'!$AF:$AF,$A369,'2. Program Allocation Output'!$AG:$AG,$B369),"")</f>
        <v/>
      </c>
      <c r="E369" s="5" t="str">
        <f>IFERROR(AVERAGEIFS('2. Program Allocation Output'!$L:$L,'2. Program Allocation Output'!$AF:$AF,$A369,'2. Program Allocation Output'!$AG:$AG,$B369),"")</f>
        <v/>
      </c>
      <c r="F369" s="39" t="str">
        <f t="shared" si="13"/>
        <v/>
      </c>
      <c r="G369" t="str">
        <f t="shared" si="14"/>
        <v/>
      </c>
    </row>
    <row r="370" spans="3:7" ht="15" hidden="1" x14ac:dyDescent="0.25">
      <c r="C370" s="4" t="str">
        <f>IFERROR(AVERAGEIFS('2. Program Allocation Output'!$P:$P,'2. Program Allocation Output'!$AF:$AF,$A370,'2. Program Allocation Output'!$AG:$AG,$B370),"")</f>
        <v/>
      </c>
      <c r="D370" s="4" t="str">
        <f>IFERROR(AVERAGEIFS('2. Program Allocation Output'!$O:$O,'2. Program Allocation Output'!$AF:$AF,$A370,'2. Program Allocation Output'!$AG:$AG,$B370),"")</f>
        <v/>
      </c>
      <c r="E370" s="5" t="str">
        <f>IFERROR(AVERAGEIFS('2. Program Allocation Output'!$L:$L,'2. Program Allocation Output'!$AF:$AF,$A370,'2. Program Allocation Output'!$AG:$AG,$B370),"")</f>
        <v/>
      </c>
      <c r="F370" s="39" t="str">
        <f t="shared" si="13"/>
        <v/>
      </c>
      <c r="G370" t="str">
        <f t="shared" si="14"/>
        <v/>
      </c>
    </row>
    <row r="371" spans="3:7" ht="15" hidden="1" x14ac:dyDescent="0.25">
      <c r="C371" s="4" t="str">
        <f>IFERROR(AVERAGEIFS('2. Program Allocation Output'!$P:$P,'2. Program Allocation Output'!$AF:$AF,$A371,'2. Program Allocation Output'!$AG:$AG,$B371),"")</f>
        <v/>
      </c>
      <c r="D371" s="4" t="str">
        <f>IFERROR(AVERAGEIFS('2. Program Allocation Output'!$O:$O,'2. Program Allocation Output'!$AF:$AF,$A371,'2. Program Allocation Output'!$AG:$AG,$B371),"")</f>
        <v/>
      </c>
      <c r="E371" s="5" t="str">
        <f>IFERROR(AVERAGEIFS('2. Program Allocation Output'!$L:$L,'2. Program Allocation Output'!$AF:$AF,$A371,'2. Program Allocation Output'!$AG:$AG,$B371),"")</f>
        <v/>
      </c>
      <c r="F371" s="39" t="str">
        <f t="shared" si="13"/>
        <v/>
      </c>
      <c r="G371" t="str">
        <f t="shared" si="14"/>
        <v/>
      </c>
    </row>
    <row r="372" spans="3:7" ht="15" hidden="1" x14ac:dyDescent="0.25">
      <c r="C372" s="4" t="str">
        <f>IFERROR(AVERAGEIFS('2. Program Allocation Output'!$P:$P,'2. Program Allocation Output'!$AF:$AF,$A372,'2. Program Allocation Output'!$AG:$AG,$B372),"")</f>
        <v/>
      </c>
      <c r="D372" s="4" t="str">
        <f>IFERROR(AVERAGEIFS('2. Program Allocation Output'!$O:$O,'2. Program Allocation Output'!$AF:$AF,$A372,'2. Program Allocation Output'!$AG:$AG,$B372),"")</f>
        <v/>
      </c>
      <c r="E372" s="5" t="str">
        <f>IFERROR(AVERAGEIFS('2. Program Allocation Output'!$L:$L,'2. Program Allocation Output'!$AF:$AF,$A372,'2. Program Allocation Output'!$AG:$AG,$B372),"")</f>
        <v/>
      </c>
      <c r="F372" s="39" t="str">
        <f t="shared" si="13"/>
        <v/>
      </c>
      <c r="G372" t="str">
        <f t="shared" si="14"/>
        <v/>
      </c>
    </row>
    <row r="373" spans="3:7" ht="15" hidden="1" x14ac:dyDescent="0.25">
      <c r="C373" s="4" t="str">
        <f>IFERROR(AVERAGEIFS('2. Program Allocation Output'!$P:$P,'2. Program Allocation Output'!$AF:$AF,$A373,'2. Program Allocation Output'!$AG:$AG,$B373),"")</f>
        <v/>
      </c>
      <c r="D373" s="4" t="str">
        <f>IFERROR(AVERAGEIFS('2. Program Allocation Output'!$O:$O,'2. Program Allocation Output'!$AF:$AF,$A373,'2. Program Allocation Output'!$AG:$AG,$B373),"")</f>
        <v/>
      </c>
      <c r="E373" s="5" t="str">
        <f>IFERROR(AVERAGEIFS('2. Program Allocation Output'!$L:$L,'2. Program Allocation Output'!$AF:$AF,$A373,'2. Program Allocation Output'!$AG:$AG,$B373),"")</f>
        <v/>
      </c>
      <c r="F373" s="39" t="str">
        <f t="shared" si="13"/>
        <v/>
      </c>
      <c r="G373" t="str">
        <f t="shared" si="14"/>
        <v/>
      </c>
    </row>
    <row r="374" spans="3:7" ht="15" hidden="1" x14ac:dyDescent="0.25">
      <c r="C374" s="4" t="str">
        <f>IFERROR(AVERAGEIFS('2. Program Allocation Output'!$P:$P,'2. Program Allocation Output'!$AF:$AF,$A374,'2. Program Allocation Output'!$AG:$AG,$B374),"")</f>
        <v/>
      </c>
      <c r="D374" s="4" t="str">
        <f>IFERROR(AVERAGEIFS('2. Program Allocation Output'!$O:$O,'2. Program Allocation Output'!$AF:$AF,$A374,'2. Program Allocation Output'!$AG:$AG,$B374),"")</f>
        <v/>
      </c>
      <c r="E374" s="5" t="str">
        <f>IFERROR(AVERAGEIFS('2. Program Allocation Output'!$L:$L,'2. Program Allocation Output'!$AF:$AF,$A374,'2. Program Allocation Output'!$AG:$AG,$B374),"")</f>
        <v/>
      </c>
      <c r="F374" s="39" t="str">
        <f t="shared" si="13"/>
        <v/>
      </c>
      <c r="G374" t="str">
        <f t="shared" si="14"/>
        <v/>
      </c>
    </row>
    <row r="375" spans="3:7" ht="15" hidden="1" x14ac:dyDescent="0.25">
      <c r="C375" s="4" t="str">
        <f>IFERROR(AVERAGEIFS('2. Program Allocation Output'!$P:$P,'2. Program Allocation Output'!$AF:$AF,$A375,'2. Program Allocation Output'!$AG:$AG,$B375),"")</f>
        <v/>
      </c>
      <c r="D375" s="4" t="str">
        <f>IFERROR(AVERAGEIFS('2. Program Allocation Output'!$O:$O,'2. Program Allocation Output'!$AF:$AF,$A375,'2. Program Allocation Output'!$AG:$AG,$B375),"")</f>
        <v/>
      </c>
      <c r="E375" s="5" t="str">
        <f>IFERROR(AVERAGEIFS('2. Program Allocation Output'!$L:$L,'2. Program Allocation Output'!$AF:$AF,$A375,'2. Program Allocation Output'!$AG:$AG,$B375),"")</f>
        <v/>
      </c>
      <c r="F375" s="39" t="str">
        <f t="shared" si="13"/>
        <v/>
      </c>
      <c r="G375" t="str">
        <f t="shared" si="14"/>
        <v/>
      </c>
    </row>
    <row r="376" spans="3:7" ht="15" hidden="1" x14ac:dyDescent="0.25">
      <c r="C376" s="4" t="str">
        <f>IFERROR(AVERAGEIFS('2. Program Allocation Output'!$P:$P,'2. Program Allocation Output'!$AF:$AF,$A376,'2. Program Allocation Output'!$AG:$AG,$B376),"")</f>
        <v/>
      </c>
      <c r="D376" s="4" t="str">
        <f>IFERROR(AVERAGEIFS('2. Program Allocation Output'!$O:$O,'2. Program Allocation Output'!$AF:$AF,$A376,'2. Program Allocation Output'!$AG:$AG,$B376),"")</f>
        <v/>
      </c>
      <c r="E376" s="5" t="str">
        <f>IFERROR(AVERAGEIFS('2. Program Allocation Output'!$L:$L,'2. Program Allocation Output'!$AF:$AF,$A376,'2. Program Allocation Output'!$AG:$AG,$B376),"")</f>
        <v/>
      </c>
      <c r="F376" s="39" t="str">
        <f t="shared" si="13"/>
        <v/>
      </c>
      <c r="G376" t="str">
        <f t="shared" si="14"/>
        <v/>
      </c>
    </row>
    <row r="377" spans="3:7" ht="15" hidden="1" x14ac:dyDescent="0.25">
      <c r="C377" s="4" t="str">
        <f>IFERROR(AVERAGEIFS('2. Program Allocation Output'!$P:$P,'2. Program Allocation Output'!$AF:$AF,$A377,'2. Program Allocation Output'!$AG:$AG,$B377),"")</f>
        <v/>
      </c>
      <c r="D377" s="4" t="str">
        <f>IFERROR(AVERAGEIFS('2. Program Allocation Output'!$O:$O,'2. Program Allocation Output'!$AF:$AF,$A377,'2. Program Allocation Output'!$AG:$AG,$B377),"")</f>
        <v/>
      </c>
      <c r="E377" s="5" t="str">
        <f>IFERROR(AVERAGEIFS('2. Program Allocation Output'!$L:$L,'2. Program Allocation Output'!$AF:$AF,$A377,'2. Program Allocation Output'!$AG:$AG,$B377),"")</f>
        <v/>
      </c>
      <c r="F377" s="39" t="str">
        <f t="shared" si="13"/>
        <v/>
      </c>
      <c r="G377" t="str">
        <f t="shared" si="14"/>
        <v/>
      </c>
    </row>
    <row r="378" spans="3:7" ht="15" hidden="1" x14ac:dyDescent="0.25">
      <c r="C378" s="4" t="str">
        <f>IFERROR(AVERAGEIFS('2. Program Allocation Output'!$P:$P,'2. Program Allocation Output'!$AF:$AF,$A378,'2. Program Allocation Output'!$AG:$AG,$B378),"")</f>
        <v/>
      </c>
      <c r="D378" s="4" t="str">
        <f>IFERROR(AVERAGEIFS('2. Program Allocation Output'!$O:$O,'2. Program Allocation Output'!$AF:$AF,$A378,'2. Program Allocation Output'!$AG:$AG,$B378),"")</f>
        <v/>
      </c>
      <c r="E378" s="5" t="str">
        <f>IFERROR(AVERAGEIFS('2. Program Allocation Output'!$L:$L,'2. Program Allocation Output'!$AF:$AF,$A378,'2. Program Allocation Output'!$AG:$AG,$B378),"")</f>
        <v/>
      </c>
      <c r="F378" s="39" t="str">
        <f t="shared" si="13"/>
        <v/>
      </c>
      <c r="G378" t="str">
        <f t="shared" si="14"/>
        <v/>
      </c>
    </row>
    <row r="379" spans="3:7" ht="15" hidden="1" x14ac:dyDescent="0.25">
      <c r="C379" s="4" t="str">
        <f>IFERROR(AVERAGEIFS('2. Program Allocation Output'!$P:$P,'2. Program Allocation Output'!$AF:$AF,$A379,'2. Program Allocation Output'!$AG:$AG,$B379),"")</f>
        <v/>
      </c>
      <c r="D379" s="4" t="str">
        <f>IFERROR(AVERAGEIFS('2. Program Allocation Output'!$O:$O,'2. Program Allocation Output'!$AF:$AF,$A379,'2. Program Allocation Output'!$AG:$AG,$B379),"")</f>
        <v/>
      </c>
      <c r="E379" s="5" t="str">
        <f>IFERROR(AVERAGEIFS('2. Program Allocation Output'!$L:$L,'2. Program Allocation Output'!$AF:$AF,$A379,'2. Program Allocation Output'!$AG:$AG,$B379),"")</f>
        <v/>
      </c>
      <c r="F379" s="39" t="str">
        <f t="shared" si="13"/>
        <v/>
      </c>
      <c r="G379" t="str">
        <f t="shared" si="14"/>
        <v/>
      </c>
    </row>
    <row r="380" spans="3:7" ht="15" hidden="1" x14ac:dyDescent="0.25">
      <c r="C380" s="4" t="str">
        <f>IFERROR(AVERAGEIFS('2. Program Allocation Output'!$P:$P,'2. Program Allocation Output'!$AF:$AF,$A380,'2. Program Allocation Output'!$AG:$AG,$B380),"")</f>
        <v/>
      </c>
      <c r="D380" s="4" t="str">
        <f>IFERROR(AVERAGEIFS('2. Program Allocation Output'!$O:$O,'2. Program Allocation Output'!$AF:$AF,$A380,'2. Program Allocation Output'!$AG:$AG,$B380),"")</f>
        <v/>
      </c>
      <c r="E380" s="5" t="str">
        <f>IFERROR(AVERAGEIFS('2. Program Allocation Output'!$L:$L,'2. Program Allocation Output'!$AF:$AF,$A380,'2. Program Allocation Output'!$AG:$AG,$B380),"")</f>
        <v/>
      </c>
      <c r="F380" s="39" t="str">
        <f t="shared" si="13"/>
        <v/>
      </c>
      <c r="G380" t="str">
        <f t="shared" si="14"/>
        <v/>
      </c>
    </row>
    <row r="381" spans="3:7" ht="15" hidden="1" x14ac:dyDescent="0.25">
      <c r="C381" s="4" t="str">
        <f>IFERROR(AVERAGEIFS('2. Program Allocation Output'!$P:$P,'2. Program Allocation Output'!$AF:$AF,$A381,'2. Program Allocation Output'!$AG:$AG,$B381),"")</f>
        <v/>
      </c>
      <c r="D381" s="4" t="str">
        <f>IFERROR(AVERAGEIFS('2. Program Allocation Output'!$O:$O,'2. Program Allocation Output'!$AF:$AF,$A381,'2. Program Allocation Output'!$AG:$AG,$B381),"")</f>
        <v/>
      </c>
      <c r="E381" s="5" t="str">
        <f>IFERROR(AVERAGEIFS('2. Program Allocation Output'!$L:$L,'2. Program Allocation Output'!$AF:$AF,$A381,'2. Program Allocation Output'!$AG:$AG,$B381),"")</f>
        <v/>
      </c>
      <c r="F381" s="39" t="str">
        <f t="shared" si="13"/>
        <v/>
      </c>
      <c r="G381" t="str">
        <f t="shared" si="14"/>
        <v/>
      </c>
    </row>
    <row r="382" spans="3:7" ht="15" hidden="1" x14ac:dyDescent="0.25">
      <c r="C382" s="4" t="str">
        <f>IFERROR(AVERAGEIFS('2. Program Allocation Output'!$P:$P,'2. Program Allocation Output'!$AF:$AF,$A382,'2. Program Allocation Output'!$AG:$AG,$B382),"")</f>
        <v/>
      </c>
      <c r="D382" s="4" t="str">
        <f>IFERROR(AVERAGEIFS('2. Program Allocation Output'!$O:$O,'2. Program Allocation Output'!$AF:$AF,$A382,'2. Program Allocation Output'!$AG:$AG,$B382),"")</f>
        <v/>
      </c>
      <c r="E382" s="5" t="str">
        <f>IFERROR(AVERAGEIFS('2. Program Allocation Output'!$L:$L,'2. Program Allocation Output'!$AF:$AF,$A382,'2. Program Allocation Output'!$AG:$AG,$B382),"")</f>
        <v/>
      </c>
      <c r="F382" s="39" t="str">
        <f t="shared" si="13"/>
        <v/>
      </c>
      <c r="G382" t="str">
        <f t="shared" si="14"/>
        <v/>
      </c>
    </row>
    <row r="383" spans="3:7" ht="15" hidden="1" x14ac:dyDescent="0.25">
      <c r="C383" s="4" t="str">
        <f>IFERROR(AVERAGEIFS('2. Program Allocation Output'!$P:$P,'2. Program Allocation Output'!$AF:$AF,$A383,'2. Program Allocation Output'!$AG:$AG,$B383),"")</f>
        <v/>
      </c>
      <c r="D383" s="4" t="str">
        <f>IFERROR(AVERAGEIFS('2. Program Allocation Output'!$O:$O,'2. Program Allocation Output'!$AF:$AF,$A383,'2. Program Allocation Output'!$AG:$AG,$B383),"")</f>
        <v/>
      </c>
      <c r="E383" s="5" t="str">
        <f>IFERROR(AVERAGEIFS('2. Program Allocation Output'!$L:$L,'2. Program Allocation Output'!$AF:$AF,$A383,'2. Program Allocation Output'!$AG:$AG,$B383),"")</f>
        <v/>
      </c>
      <c r="F383" s="39" t="str">
        <f t="shared" si="13"/>
        <v/>
      </c>
      <c r="G383" t="str">
        <f t="shared" si="14"/>
        <v/>
      </c>
    </row>
    <row r="384" spans="3:7" ht="15" hidden="1" x14ac:dyDescent="0.25">
      <c r="C384" s="4" t="str">
        <f>IFERROR(AVERAGEIFS('2. Program Allocation Output'!$P:$P,'2. Program Allocation Output'!$AF:$AF,$A384,'2. Program Allocation Output'!$AG:$AG,$B384),"")</f>
        <v/>
      </c>
      <c r="D384" s="4" t="str">
        <f>IFERROR(AVERAGEIFS('2. Program Allocation Output'!$O:$O,'2. Program Allocation Output'!$AF:$AF,$A384,'2. Program Allocation Output'!$AG:$AG,$B384),"")</f>
        <v/>
      </c>
      <c r="E384" s="5" t="str">
        <f>IFERROR(AVERAGEIFS('2. Program Allocation Output'!$L:$L,'2. Program Allocation Output'!$AF:$AF,$A384,'2. Program Allocation Output'!$AG:$AG,$B384),"")</f>
        <v/>
      </c>
      <c r="F384" s="39" t="str">
        <f t="shared" si="13"/>
        <v/>
      </c>
      <c r="G384" t="str">
        <f t="shared" si="14"/>
        <v/>
      </c>
    </row>
    <row r="385" spans="3:7" ht="15" hidden="1" x14ac:dyDescent="0.25">
      <c r="C385" s="4" t="str">
        <f>IFERROR(AVERAGEIFS('2. Program Allocation Output'!$P:$P,'2. Program Allocation Output'!$AF:$AF,$A385,'2. Program Allocation Output'!$AG:$AG,$B385),"")</f>
        <v/>
      </c>
      <c r="D385" s="4" t="str">
        <f>IFERROR(AVERAGEIFS('2. Program Allocation Output'!$O:$O,'2. Program Allocation Output'!$AF:$AF,$A385,'2. Program Allocation Output'!$AG:$AG,$B385),"")</f>
        <v/>
      </c>
      <c r="E385" s="5" t="str">
        <f>IFERROR(AVERAGEIFS('2. Program Allocation Output'!$L:$L,'2. Program Allocation Output'!$AF:$AF,$A385,'2. Program Allocation Output'!$AG:$AG,$B385),"")</f>
        <v/>
      </c>
      <c r="F385" s="39" t="str">
        <f t="shared" si="13"/>
        <v/>
      </c>
      <c r="G385" t="str">
        <f t="shared" si="14"/>
        <v/>
      </c>
    </row>
    <row r="386" spans="3:7" ht="15" hidden="1" x14ac:dyDescent="0.25">
      <c r="C386" s="4" t="str">
        <f>IFERROR(AVERAGEIFS('2. Program Allocation Output'!$P:$P,'2. Program Allocation Output'!$AF:$AF,$A386,'2. Program Allocation Output'!$AG:$AG,$B386),"")</f>
        <v/>
      </c>
      <c r="D386" s="4" t="str">
        <f>IFERROR(AVERAGEIFS('2. Program Allocation Output'!$O:$O,'2. Program Allocation Output'!$AF:$AF,$A386,'2. Program Allocation Output'!$AG:$AG,$B386),"")</f>
        <v/>
      </c>
      <c r="E386" s="5" t="str">
        <f>IFERROR(AVERAGEIFS('2. Program Allocation Output'!$L:$L,'2. Program Allocation Output'!$AF:$AF,$A386,'2. Program Allocation Output'!$AG:$AG,$B386),"")</f>
        <v/>
      </c>
      <c r="F386" s="39" t="str">
        <f t="shared" si="13"/>
        <v/>
      </c>
      <c r="G386" t="str">
        <f t="shared" si="14"/>
        <v/>
      </c>
    </row>
    <row r="387" spans="3:7" ht="15" hidden="1" x14ac:dyDescent="0.25">
      <c r="C387" s="4" t="str">
        <f>IFERROR(AVERAGEIFS('2. Program Allocation Output'!$P:$P,'2. Program Allocation Output'!$AF:$AF,$A387,'2. Program Allocation Output'!$AG:$AG,$B387),"")</f>
        <v/>
      </c>
      <c r="D387" s="4" t="str">
        <f>IFERROR(AVERAGEIFS('2. Program Allocation Output'!$O:$O,'2. Program Allocation Output'!$AF:$AF,$A387,'2. Program Allocation Output'!$AG:$AG,$B387),"")</f>
        <v/>
      </c>
      <c r="E387" s="5" t="str">
        <f>IFERROR(AVERAGEIFS('2. Program Allocation Output'!$L:$L,'2. Program Allocation Output'!$AF:$AF,$A387,'2. Program Allocation Output'!$AG:$AG,$B387),"")</f>
        <v/>
      </c>
      <c r="F387" s="39" t="str">
        <f t="shared" ref="F387:F450" si="15">IFERROR(C387*1,"")</f>
        <v/>
      </c>
      <c r="G387" t="str">
        <f t="shared" si="14"/>
        <v/>
      </c>
    </row>
    <row r="388" spans="3:7" ht="15" hidden="1" x14ac:dyDescent="0.25">
      <c r="C388" s="4" t="str">
        <f>IFERROR(AVERAGEIFS('2. Program Allocation Output'!$P:$P,'2. Program Allocation Output'!$AF:$AF,$A388,'2. Program Allocation Output'!$AG:$AG,$B388),"")</f>
        <v/>
      </c>
      <c r="D388" s="4" t="str">
        <f>IFERROR(AVERAGEIFS('2. Program Allocation Output'!$O:$O,'2. Program Allocation Output'!$AF:$AF,$A388,'2. Program Allocation Output'!$AG:$AG,$B388),"")</f>
        <v/>
      </c>
      <c r="E388" s="5" t="str">
        <f>IFERROR(AVERAGEIFS('2. Program Allocation Output'!$L:$L,'2. Program Allocation Output'!$AF:$AF,$A388,'2. Program Allocation Output'!$AG:$AG,$B388),"")</f>
        <v/>
      </c>
      <c r="F388" s="39" t="str">
        <f t="shared" si="15"/>
        <v/>
      </c>
      <c r="G388" t="str">
        <f t="shared" si="14"/>
        <v/>
      </c>
    </row>
    <row r="389" spans="3:7" ht="15" hidden="1" x14ac:dyDescent="0.25">
      <c r="C389" s="4" t="str">
        <f>IFERROR(AVERAGEIFS('2. Program Allocation Output'!$P:$P,'2. Program Allocation Output'!$AF:$AF,$A389,'2. Program Allocation Output'!$AG:$AG,$B389),"")</f>
        <v/>
      </c>
      <c r="D389" s="4" t="str">
        <f>IFERROR(AVERAGEIFS('2. Program Allocation Output'!$O:$O,'2. Program Allocation Output'!$AF:$AF,$A389,'2. Program Allocation Output'!$AG:$AG,$B389),"")</f>
        <v/>
      </c>
      <c r="E389" s="5" t="str">
        <f>IFERROR(AVERAGEIFS('2. Program Allocation Output'!$L:$L,'2. Program Allocation Output'!$AF:$AF,$A389,'2. Program Allocation Output'!$AG:$AG,$B389),"")</f>
        <v/>
      </c>
      <c r="F389" s="39" t="str">
        <f t="shared" si="15"/>
        <v/>
      </c>
      <c r="G389" t="str">
        <f t="shared" si="14"/>
        <v/>
      </c>
    </row>
    <row r="390" spans="3:7" ht="15" hidden="1" x14ac:dyDescent="0.25">
      <c r="C390" s="4" t="str">
        <f>IFERROR(AVERAGEIFS('2. Program Allocation Output'!$P:$P,'2. Program Allocation Output'!$AF:$AF,$A390,'2. Program Allocation Output'!$AG:$AG,$B390),"")</f>
        <v/>
      </c>
      <c r="D390" s="4" t="str">
        <f>IFERROR(AVERAGEIFS('2. Program Allocation Output'!$O:$O,'2. Program Allocation Output'!$AF:$AF,$A390,'2. Program Allocation Output'!$AG:$AG,$B390),"")</f>
        <v/>
      </c>
      <c r="E390" s="5" t="str">
        <f>IFERROR(AVERAGEIFS('2. Program Allocation Output'!$L:$L,'2. Program Allocation Output'!$AF:$AF,$A390,'2. Program Allocation Output'!$AG:$AG,$B390),"")</f>
        <v/>
      </c>
      <c r="F390" s="39" t="str">
        <f t="shared" si="15"/>
        <v/>
      </c>
      <c r="G390" t="str">
        <f t="shared" si="14"/>
        <v/>
      </c>
    </row>
    <row r="391" spans="3:7" ht="15" hidden="1" x14ac:dyDescent="0.25">
      <c r="C391" s="4" t="str">
        <f>IFERROR(AVERAGEIFS('2. Program Allocation Output'!$P:$P,'2. Program Allocation Output'!$AF:$AF,$A391,'2. Program Allocation Output'!$AG:$AG,$B391),"")</f>
        <v/>
      </c>
      <c r="D391" s="4" t="str">
        <f>IFERROR(AVERAGEIFS('2. Program Allocation Output'!$O:$O,'2. Program Allocation Output'!$AF:$AF,$A391,'2. Program Allocation Output'!$AG:$AG,$B391),"")</f>
        <v/>
      </c>
      <c r="E391" s="5" t="str">
        <f>IFERROR(AVERAGEIFS('2. Program Allocation Output'!$L:$L,'2. Program Allocation Output'!$AF:$AF,$A391,'2. Program Allocation Output'!$AG:$AG,$B391),"")</f>
        <v/>
      </c>
      <c r="F391" s="39" t="str">
        <f t="shared" si="15"/>
        <v/>
      </c>
      <c r="G391" t="str">
        <f t="shared" si="14"/>
        <v/>
      </c>
    </row>
    <row r="392" spans="3:7" ht="15" hidden="1" x14ac:dyDescent="0.25">
      <c r="C392" s="4" t="str">
        <f>IFERROR(AVERAGEIFS('2. Program Allocation Output'!$P:$P,'2. Program Allocation Output'!$AF:$AF,$A392,'2. Program Allocation Output'!$AG:$AG,$B392),"")</f>
        <v/>
      </c>
      <c r="D392" s="4" t="str">
        <f>IFERROR(AVERAGEIFS('2. Program Allocation Output'!$O:$O,'2. Program Allocation Output'!$AF:$AF,$A392,'2. Program Allocation Output'!$AG:$AG,$B392),"")</f>
        <v/>
      </c>
      <c r="E392" s="5" t="str">
        <f>IFERROR(AVERAGEIFS('2. Program Allocation Output'!$L:$L,'2. Program Allocation Output'!$AF:$AF,$A392,'2. Program Allocation Output'!$AG:$AG,$B392),"")</f>
        <v/>
      </c>
      <c r="F392" s="39" t="str">
        <f t="shared" si="15"/>
        <v/>
      </c>
      <c r="G392" t="str">
        <f t="shared" si="14"/>
        <v/>
      </c>
    </row>
    <row r="393" spans="3:7" ht="15" hidden="1" x14ac:dyDescent="0.25">
      <c r="C393" s="4" t="str">
        <f>IFERROR(AVERAGEIFS('2. Program Allocation Output'!$P:$P,'2. Program Allocation Output'!$AF:$AF,$A393,'2. Program Allocation Output'!$AG:$AG,$B393),"")</f>
        <v/>
      </c>
      <c r="D393" s="4" t="str">
        <f>IFERROR(AVERAGEIFS('2. Program Allocation Output'!$O:$O,'2. Program Allocation Output'!$AF:$AF,$A393,'2. Program Allocation Output'!$AG:$AG,$B393),"")</f>
        <v/>
      </c>
      <c r="E393" s="5" t="str">
        <f>IFERROR(AVERAGEIFS('2. Program Allocation Output'!$L:$L,'2. Program Allocation Output'!$AF:$AF,$A393,'2. Program Allocation Output'!$AG:$AG,$B393),"")</f>
        <v/>
      </c>
      <c r="F393" s="39" t="str">
        <f t="shared" si="15"/>
        <v/>
      </c>
      <c r="G393" t="str">
        <f t="shared" si="14"/>
        <v/>
      </c>
    </row>
    <row r="394" spans="3:7" ht="15" hidden="1" x14ac:dyDescent="0.25">
      <c r="C394" s="4" t="str">
        <f>IFERROR(AVERAGEIFS('2. Program Allocation Output'!$P:$P,'2. Program Allocation Output'!$AF:$AF,$A394,'2. Program Allocation Output'!$AG:$AG,$B394),"")</f>
        <v/>
      </c>
      <c r="D394" s="4" t="str">
        <f>IFERROR(AVERAGEIFS('2. Program Allocation Output'!$O:$O,'2. Program Allocation Output'!$AF:$AF,$A394,'2. Program Allocation Output'!$AG:$AG,$B394),"")</f>
        <v/>
      </c>
      <c r="E394" s="5" t="str">
        <f>IFERROR(AVERAGEIFS('2. Program Allocation Output'!$L:$L,'2. Program Allocation Output'!$AF:$AF,$A394,'2. Program Allocation Output'!$AG:$AG,$B394),"")</f>
        <v/>
      </c>
      <c r="F394" s="39" t="str">
        <f t="shared" si="15"/>
        <v/>
      </c>
      <c r="G394" t="str">
        <f t="shared" si="14"/>
        <v/>
      </c>
    </row>
    <row r="395" spans="3:7" ht="15" hidden="1" x14ac:dyDescent="0.25">
      <c r="C395" s="4" t="str">
        <f>IFERROR(AVERAGEIFS('2. Program Allocation Output'!$P:$P,'2. Program Allocation Output'!$AF:$AF,$A395,'2. Program Allocation Output'!$AG:$AG,$B395),"")</f>
        <v/>
      </c>
      <c r="D395" s="4" t="str">
        <f>IFERROR(AVERAGEIFS('2. Program Allocation Output'!$O:$O,'2. Program Allocation Output'!$AF:$AF,$A395,'2. Program Allocation Output'!$AG:$AG,$B395),"")</f>
        <v/>
      </c>
      <c r="E395" s="5" t="str">
        <f>IFERROR(AVERAGEIFS('2. Program Allocation Output'!$L:$L,'2. Program Allocation Output'!$AF:$AF,$A395,'2. Program Allocation Output'!$AG:$AG,$B395),"")</f>
        <v/>
      </c>
      <c r="F395" s="39" t="str">
        <f t="shared" si="15"/>
        <v/>
      </c>
      <c r="G395" t="str">
        <f t="shared" si="14"/>
        <v/>
      </c>
    </row>
    <row r="396" spans="3:7" ht="15" hidden="1" x14ac:dyDescent="0.25">
      <c r="C396" s="4" t="str">
        <f>IFERROR(AVERAGEIFS('2. Program Allocation Output'!$P:$P,'2. Program Allocation Output'!$AF:$AF,$A396,'2. Program Allocation Output'!$AG:$AG,$B396),"")</f>
        <v/>
      </c>
      <c r="D396" s="4" t="str">
        <f>IFERROR(AVERAGEIFS('2. Program Allocation Output'!$O:$O,'2. Program Allocation Output'!$AF:$AF,$A396,'2. Program Allocation Output'!$AG:$AG,$B396),"")</f>
        <v/>
      </c>
      <c r="E396" s="5" t="str">
        <f>IFERROR(AVERAGEIFS('2. Program Allocation Output'!$L:$L,'2. Program Allocation Output'!$AF:$AF,$A396,'2. Program Allocation Output'!$AG:$AG,$B396),"")</f>
        <v/>
      </c>
      <c r="F396" s="39" t="str">
        <f t="shared" si="15"/>
        <v/>
      </c>
      <c r="G396" t="str">
        <f t="shared" si="14"/>
        <v/>
      </c>
    </row>
    <row r="397" spans="3:7" ht="15" hidden="1" x14ac:dyDescent="0.25">
      <c r="C397" s="4" t="str">
        <f>IFERROR(AVERAGEIFS('2. Program Allocation Output'!$P:$P,'2. Program Allocation Output'!$AF:$AF,$A397,'2. Program Allocation Output'!$AG:$AG,$B397),"")</f>
        <v/>
      </c>
      <c r="D397" s="4" t="str">
        <f>IFERROR(AVERAGEIFS('2. Program Allocation Output'!$O:$O,'2. Program Allocation Output'!$AF:$AF,$A397,'2. Program Allocation Output'!$AG:$AG,$B397),"")</f>
        <v/>
      </c>
      <c r="E397" s="5" t="str">
        <f>IFERROR(AVERAGEIFS('2. Program Allocation Output'!$L:$L,'2. Program Allocation Output'!$AF:$AF,$A397,'2. Program Allocation Output'!$AG:$AG,$B397),"")</f>
        <v/>
      </c>
      <c r="F397" s="39" t="str">
        <f t="shared" si="15"/>
        <v/>
      </c>
      <c r="G397" t="str">
        <f t="shared" si="14"/>
        <v/>
      </c>
    </row>
    <row r="398" spans="3:7" ht="15" hidden="1" x14ac:dyDescent="0.25">
      <c r="C398" s="4" t="str">
        <f>IFERROR(AVERAGEIFS('2. Program Allocation Output'!$P:$P,'2. Program Allocation Output'!$AF:$AF,$A398,'2. Program Allocation Output'!$AG:$AG,$B398),"")</f>
        <v/>
      </c>
      <c r="D398" s="4" t="str">
        <f>IFERROR(AVERAGEIFS('2. Program Allocation Output'!$O:$O,'2. Program Allocation Output'!$AF:$AF,$A398,'2. Program Allocation Output'!$AG:$AG,$B398),"")</f>
        <v/>
      </c>
      <c r="E398" s="5" t="str">
        <f>IFERROR(AVERAGEIFS('2. Program Allocation Output'!$L:$L,'2. Program Allocation Output'!$AF:$AF,$A398,'2. Program Allocation Output'!$AG:$AG,$B398),"")</f>
        <v/>
      </c>
      <c r="F398" s="39" t="str">
        <f t="shared" si="15"/>
        <v/>
      </c>
      <c r="G398" t="str">
        <f t="shared" ref="G398:G461" si="16">IFERROR(EXP(0.3*(F398-C398)/(E398*0.1137)),"")</f>
        <v/>
      </c>
    </row>
    <row r="399" spans="3:7" ht="15" hidden="1" x14ac:dyDescent="0.25">
      <c r="C399" s="4" t="str">
        <f>IFERROR(AVERAGEIFS('2. Program Allocation Output'!$P:$P,'2. Program Allocation Output'!$AF:$AF,$A399,'2. Program Allocation Output'!$AG:$AG,$B399),"")</f>
        <v/>
      </c>
      <c r="D399" s="4" t="str">
        <f>IFERROR(AVERAGEIFS('2. Program Allocation Output'!$O:$O,'2. Program Allocation Output'!$AF:$AF,$A399,'2. Program Allocation Output'!$AG:$AG,$B399),"")</f>
        <v/>
      </c>
      <c r="E399" s="5" t="str">
        <f>IFERROR(AVERAGEIFS('2. Program Allocation Output'!$L:$L,'2. Program Allocation Output'!$AF:$AF,$A399,'2. Program Allocation Output'!$AG:$AG,$B399),"")</f>
        <v/>
      </c>
      <c r="F399" s="39" t="str">
        <f t="shared" si="15"/>
        <v/>
      </c>
      <c r="G399" t="str">
        <f t="shared" si="16"/>
        <v/>
      </c>
    </row>
    <row r="400" spans="3:7" ht="15" hidden="1" x14ac:dyDescent="0.25">
      <c r="C400" s="4" t="str">
        <f>IFERROR(AVERAGEIFS('2. Program Allocation Output'!$P:$P,'2. Program Allocation Output'!$AF:$AF,$A400,'2. Program Allocation Output'!$AG:$AG,$B400),"")</f>
        <v/>
      </c>
      <c r="D400" s="4" t="str">
        <f>IFERROR(AVERAGEIFS('2. Program Allocation Output'!$O:$O,'2. Program Allocation Output'!$AF:$AF,$A400,'2. Program Allocation Output'!$AG:$AG,$B400),"")</f>
        <v/>
      </c>
      <c r="E400" s="5" t="str">
        <f>IFERROR(AVERAGEIFS('2. Program Allocation Output'!$L:$L,'2. Program Allocation Output'!$AF:$AF,$A400,'2. Program Allocation Output'!$AG:$AG,$B400),"")</f>
        <v/>
      </c>
      <c r="F400" s="39" t="str">
        <f t="shared" si="15"/>
        <v/>
      </c>
      <c r="G400" t="str">
        <f t="shared" si="16"/>
        <v/>
      </c>
    </row>
    <row r="401" spans="3:7" ht="15" hidden="1" x14ac:dyDescent="0.25">
      <c r="C401" s="4" t="str">
        <f>IFERROR(AVERAGEIFS('2. Program Allocation Output'!$P:$P,'2. Program Allocation Output'!$AF:$AF,$A401,'2. Program Allocation Output'!$AG:$AG,$B401),"")</f>
        <v/>
      </c>
      <c r="D401" s="4" t="str">
        <f>IFERROR(AVERAGEIFS('2. Program Allocation Output'!$O:$O,'2. Program Allocation Output'!$AF:$AF,$A401,'2. Program Allocation Output'!$AG:$AG,$B401),"")</f>
        <v/>
      </c>
      <c r="E401" s="5" t="str">
        <f>IFERROR(AVERAGEIFS('2. Program Allocation Output'!$L:$L,'2. Program Allocation Output'!$AF:$AF,$A401,'2. Program Allocation Output'!$AG:$AG,$B401),"")</f>
        <v/>
      </c>
      <c r="F401" s="39" t="str">
        <f t="shared" si="15"/>
        <v/>
      </c>
      <c r="G401" t="str">
        <f t="shared" si="16"/>
        <v/>
      </c>
    </row>
    <row r="402" spans="3:7" ht="15" hidden="1" x14ac:dyDescent="0.25">
      <c r="C402" s="4" t="str">
        <f>IFERROR(AVERAGEIFS('2. Program Allocation Output'!$P:$P,'2. Program Allocation Output'!$AF:$AF,$A402,'2. Program Allocation Output'!$AG:$AG,$B402),"")</f>
        <v/>
      </c>
      <c r="D402" s="4" t="str">
        <f>IFERROR(AVERAGEIFS('2. Program Allocation Output'!$O:$O,'2. Program Allocation Output'!$AF:$AF,$A402,'2. Program Allocation Output'!$AG:$AG,$B402),"")</f>
        <v/>
      </c>
      <c r="E402" s="5" t="str">
        <f>IFERROR(AVERAGEIFS('2. Program Allocation Output'!$L:$L,'2. Program Allocation Output'!$AF:$AF,$A402,'2. Program Allocation Output'!$AG:$AG,$B402),"")</f>
        <v/>
      </c>
      <c r="F402" s="39" t="str">
        <f t="shared" si="15"/>
        <v/>
      </c>
      <c r="G402" t="str">
        <f t="shared" si="16"/>
        <v/>
      </c>
    </row>
    <row r="403" spans="3:7" ht="15" hidden="1" x14ac:dyDescent="0.25">
      <c r="C403" s="4" t="str">
        <f>IFERROR(AVERAGEIFS('2. Program Allocation Output'!$P:$P,'2. Program Allocation Output'!$AF:$AF,$A403,'2. Program Allocation Output'!$AG:$AG,$B403),"")</f>
        <v/>
      </c>
      <c r="D403" s="4" t="str">
        <f>IFERROR(AVERAGEIFS('2. Program Allocation Output'!$O:$O,'2. Program Allocation Output'!$AF:$AF,$A403,'2. Program Allocation Output'!$AG:$AG,$B403),"")</f>
        <v/>
      </c>
      <c r="E403" s="5" t="str">
        <f>IFERROR(AVERAGEIFS('2. Program Allocation Output'!$L:$L,'2. Program Allocation Output'!$AF:$AF,$A403,'2. Program Allocation Output'!$AG:$AG,$B403),"")</f>
        <v/>
      </c>
      <c r="F403" s="39" t="str">
        <f t="shared" si="15"/>
        <v/>
      </c>
      <c r="G403" t="str">
        <f t="shared" si="16"/>
        <v/>
      </c>
    </row>
    <row r="404" spans="3:7" ht="15" hidden="1" x14ac:dyDescent="0.25">
      <c r="C404" s="4" t="str">
        <f>IFERROR(AVERAGEIFS('2. Program Allocation Output'!$P:$P,'2. Program Allocation Output'!$AF:$AF,$A404,'2. Program Allocation Output'!$AG:$AG,$B404),"")</f>
        <v/>
      </c>
      <c r="D404" s="4" t="str">
        <f>IFERROR(AVERAGEIFS('2. Program Allocation Output'!$O:$O,'2. Program Allocation Output'!$AF:$AF,$A404,'2. Program Allocation Output'!$AG:$AG,$B404),"")</f>
        <v/>
      </c>
      <c r="E404" s="5" t="str">
        <f>IFERROR(AVERAGEIFS('2. Program Allocation Output'!$L:$L,'2. Program Allocation Output'!$AF:$AF,$A404,'2. Program Allocation Output'!$AG:$AG,$B404),"")</f>
        <v/>
      </c>
      <c r="F404" s="39" t="str">
        <f t="shared" si="15"/>
        <v/>
      </c>
      <c r="G404" t="str">
        <f t="shared" si="16"/>
        <v/>
      </c>
    </row>
    <row r="405" spans="3:7" ht="15" hidden="1" x14ac:dyDescent="0.25">
      <c r="C405" s="4" t="str">
        <f>IFERROR(AVERAGEIFS('2. Program Allocation Output'!$P:$P,'2. Program Allocation Output'!$AF:$AF,$A405,'2. Program Allocation Output'!$AG:$AG,$B405),"")</f>
        <v/>
      </c>
      <c r="D405" s="4" t="str">
        <f>IFERROR(AVERAGEIFS('2. Program Allocation Output'!$O:$O,'2. Program Allocation Output'!$AF:$AF,$A405,'2. Program Allocation Output'!$AG:$AG,$B405),"")</f>
        <v/>
      </c>
      <c r="E405" s="5" t="str">
        <f>IFERROR(AVERAGEIFS('2. Program Allocation Output'!$L:$L,'2. Program Allocation Output'!$AF:$AF,$A405,'2. Program Allocation Output'!$AG:$AG,$B405),"")</f>
        <v/>
      </c>
      <c r="F405" s="39" t="str">
        <f t="shared" si="15"/>
        <v/>
      </c>
      <c r="G405" t="str">
        <f t="shared" si="16"/>
        <v/>
      </c>
    </row>
    <row r="406" spans="3:7" ht="15" hidden="1" x14ac:dyDescent="0.25">
      <c r="C406" s="4" t="str">
        <f>IFERROR(AVERAGEIFS('2. Program Allocation Output'!$P:$P,'2. Program Allocation Output'!$AF:$AF,$A406,'2. Program Allocation Output'!$AG:$AG,$B406),"")</f>
        <v/>
      </c>
      <c r="D406" s="4" t="str">
        <f>IFERROR(AVERAGEIFS('2. Program Allocation Output'!$O:$O,'2. Program Allocation Output'!$AF:$AF,$A406,'2. Program Allocation Output'!$AG:$AG,$B406),"")</f>
        <v/>
      </c>
      <c r="E406" s="5" t="str">
        <f>IFERROR(AVERAGEIFS('2. Program Allocation Output'!$L:$L,'2. Program Allocation Output'!$AF:$AF,$A406,'2. Program Allocation Output'!$AG:$AG,$B406),"")</f>
        <v/>
      </c>
      <c r="F406" s="39" t="str">
        <f t="shared" si="15"/>
        <v/>
      </c>
      <c r="G406" t="str">
        <f t="shared" si="16"/>
        <v/>
      </c>
    </row>
    <row r="407" spans="3:7" ht="15" hidden="1" x14ac:dyDescent="0.25">
      <c r="C407" s="4" t="str">
        <f>IFERROR(AVERAGEIFS('2. Program Allocation Output'!$P:$P,'2. Program Allocation Output'!$AF:$AF,$A407,'2. Program Allocation Output'!$AG:$AG,$B407),"")</f>
        <v/>
      </c>
      <c r="D407" s="4" t="str">
        <f>IFERROR(AVERAGEIFS('2. Program Allocation Output'!$O:$O,'2. Program Allocation Output'!$AF:$AF,$A407,'2. Program Allocation Output'!$AG:$AG,$B407),"")</f>
        <v/>
      </c>
      <c r="E407" s="5" t="str">
        <f>IFERROR(AVERAGEIFS('2. Program Allocation Output'!$L:$L,'2. Program Allocation Output'!$AF:$AF,$A407,'2. Program Allocation Output'!$AG:$AG,$B407),"")</f>
        <v/>
      </c>
      <c r="F407" s="39" t="str">
        <f t="shared" si="15"/>
        <v/>
      </c>
      <c r="G407" t="str">
        <f t="shared" si="16"/>
        <v/>
      </c>
    </row>
    <row r="408" spans="3:7" ht="15" hidden="1" x14ac:dyDescent="0.25">
      <c r="C408" s="4" t="str">
        <f>IFERROR(AVERAGEIFS('2. Program Allocation Output'!$P:$P,'2. Program Allocation Output'!$AF:$AF,$A408,'2. Program Allocation Output'!$AG:$AG,$B408),"")</f>
        <v/>
      </c>
      <c r="D408" s="4" t="str">
        <f>IFERROR(AVERAGEIFS('2. Program Allocation Output'!$O:$O,'2. Program Allocation Output'!$AF:$AF,$A408,'2. Program Allocation Output'!$AG:$AG,$B408),"")</f>
        <v/>
      </c>
      <c r="E408" s="5" t="str">
        <f>IFERROR(AVERAGEIFS('2. Program Allocation Output'!$L:$L,'2. Program Allocation Output'!$AF:$AF,$A408,'2. Program Allocation Output'!$AG:$AG,$B408),"")</f>
        <v/>
      </c>
      <c r="F408" s="39" t="str">
        <f t="shared" si="15"/>
        <v/>
      </c>
      <c r="G408" t="str">
        <f t="shared" si="16"/>
        <v/>
      </c>
    </row>
    <row r="409" spans="3:7" ht="15" hidden="1" x14ac:dyDescent="0.25">
      <c r="C409" s="4" t="str">
        <f>IFERROR(AVERAGEIFS('2. Program Allocation Output'!$P:$P,'2. Program Allocation Output'!$AF:$AF,$A409,'2. Program Allocation Output'!$AG:$AG,$B409),"")</f>
        <v/>
      </c>
      <c r="D409" s="4" t="str">
        <f>IFERROR(AVERAGEIFS('2. Program Allocation Output'!$O:$O,'2. Program Allocation Output'!$AF:$AF,$A409,'2. Program Allocation Output'!$AG:$AG,$B409),"")</f>
        <v/>
      </c>
      <c r="E409" s="5" t="str">
        <f>IFERROR(AVERAGEIFS('2. Program Allocation Output'!$L:$L,'2. Program Allocation Output'!$AF:$AF,$A409,'2. Program Allocation Output'!$AG:$AG,$B409),"")</f>
        <v/>
      </c>
      <c r="F409" s="39" t="str">
        <f t="shared" si="15"/>
        <v/>
      </c>
      <c r="G409" t="str">
        <f t="shared" si="16"/>
        <v/>
      </c>
    </row>
    <row r="410" spans="3:7" ht="15" hidden="1" x14ac:dyDescent="0.25">
      <c r="C410" s="4" t="str">
        <f>IFERROR(AVERAGEIFS('2. Program Allocation Output'!$P:$P,'2. Program Allocation Output'!$AF:$AF,$A410,'2. Program Allocation Output'!$AG:$AG,$B410),"")</f>
        <v/>
      </c>
      <c r="D410" s="4" t="str">
        <f>IFERROR(AVERAGEIFS('2. Program Allocation Output'!$O:$O,'2. Program Allocation Output'!$AF:$AF,$A410,'2. Program Allocation Output'!$AG:$AG,$B410),"")</f>
        <v/>
      </c>
      <c r="E410" s="5" t="str">
        <f>IFERROR(AVERAGEIFS('2. Program Allocation Output'!$L:$L,'2. Program Allocation Output'!$AF:$AF,$A410,'2. Program Allocation Output'!$AG:$AG,$B410),"")</f>
        <v/>
      </c>
      <c r="F410" s="39" t="str">
        <f t="shared" si="15"/>
        <v/>
      </c>
      <c r="G410" t="str">
        <f t="shared" si="16"/>
        <v/>
      </c>
    </row>
    <row r="411" spans="3:7" ht="15" hidden="1" x14ac:dyDescent="0.25">
      <c r="C411" s="4" t="str">
        <f>IFERROR(AVERAGEIFS('2. Program Allocation Output'!$P:$P,'2. Program Allocation Output'!$AF:$AF,$A411,'2. Program Allocation Output'!$AG:$AG,$B411),"")</f>
        <v/>
      </c>
      <c r="D411" s="4" t="str">
        <f>IFERROR(AVERAGEIFS('2. Program Allocation Output'!$O:$O,'2. Program Allocation Output'!$AF:$AF,$A411,'2. Program Allocation Output'!$AG:$AG,$B411),"")</f>
        <v/>
      </c>
      <c r="E411" s="5" t="str">
        <f>IFERROR(AVERAGEIFS('2. Program Allocation Output'!$L:$L,'2. Program Allocation Output'!$AF:$AF,$A411,'2. Program Allocation Output'!$AG:$AG,$B411),"")</f>
        <v/>
      </c>
      <c r="F411" s="39" t="str">
        <f t="shared" si="15"/>
        <v/>
      </c>
      <c r="G411" t="str">
        <f t="shared" si="16"/>
        <v/>
      </c>
    </row>
    <row r="412" spans="3:7" ht="15" hidden="1" x14ac:dyDescent="0.25">
      <c r="C412" s="4" t="str">
        <f>IFERROR(AVERAGEIFS('2. Program Allocation Output'!$P:$P,'2. Program Allocation Output'!$AF:$AF,$A412,'2. Program Allocation Output'!$AG:$AG,$B412),"")</f>
        <v/>
      </c>
      <c r="D412" s="4" t="str">
        <f>IFERROR(AVERAGEIFS('2. Program Allocation Output'!$O:$O,'2. Program Allocation Output'!$AF:$AF,$A412,'2. Program Allocation Output'!$AG:$AG,$B412),"")</f>
        <v/>
      </c>
      <c r="E412" s="5" t="str">
        <f>IFERROR(AVERAGEIFS('2. Program Allocation Output'!$L:$L,'2. Program Allocation Output'!$AF:$AF,$A412,'2. Program Allocation Output'!$AG:$AG,$B412),"")</f>
        <v/>
      </c>
      <c r="F412" s="39" t="str">
        <f t="shared" si="15"/>
        <v/>
      </c>
      <c r="G412" t="str">
        <f t="shared" si="16"/>
        <v/>
      </c>
    </row>
    <row r="413" spans="3:7" ht="15" hidden="1" x14ac:dyDescent="0.25">
      <c r="C413" s="4" t="str">
        <f>IFERROR(AVERAGEIFS('2. Program Allocation Output'!$P:$P,'2. Program Allocation Output'!$AF:$AF,$A413,'2. Program Allocation Output'!$AG:$AG,$B413),"")</f>
        <v/>
      </c>
      <c r="D413" s="4" t="str">
        <f>IFERROR(AVERAGEIFS('2. Program Allocation Output'!$O:$O,'2. Program Allocation Output'!$AF:$AF,$A413,'2. Program Allocation Output'!$AG:$AG,$B413),"")</f>
        <v/>
      </c>
      <c r="E413" s="5" t="str">
        <f>IFERROR(AVERAGEIFS('2. Program Allocation Output'!$L:$L,'2. Program Allocation Output'!$AF:$AF,$A413,'2. Program Allocation Output'!$AG:$AG,$B413),"")</f>
        <v/>
      </c>
      <c r="F413" s="39" t="str">
        <f t="shared" si="15"/>
        <v/>
      </c>
      <c r="G413" t="str">
        <f t="shared" si="16"/>
        <v/>
      </c>
    </row>
    <row r="414" spans="3:7" ht="15" hidden="1" x14ac:dyDescent="0.25">
      <c r="C414" s="4" t="str">
        <f>IFERROR(AVERAGEIFS('2. Program Allocation Output'!$P:$P,'2. Program Allocation Output'!$AF:$AF,$A414,'2. Program Allocation Output'!$AG:$AG,$B414),"")</f>
        <v/>
      </c>
      <c r="D414" s="4" t="str">
        <f>IFERROR(AVERAGEIFS('2. Program Allocation Output'!$O:$O,'2. Program Allocation Output'!$AF:$AF,$A414,'2. Program Allocation Output'!$AG:$AG,$B414),"")</f>
        <v/>
      </c>
      <c r="E414" s="5" t="str">
        <f>IFERROR(AVERAGEIFS('2. Program Allocation Output'!$L:$L,'2. Program Allocation Output'!$AF:$AF,$A414,'2. Program Allocation Output'!$AG:$AG,$B414),"")</f>
        <v/>
      </c>
      <c r="F414" s="39" t="str">
        <f t="shared" si="15"/>
        <v/>
      </c>
      <c r="G414" t="str">
        <f t="shared" si="16"/>
        <v/>
      </c>
    </row>
    <row r="415" spans="3:7" ht="15" hidden="1" x14ac:dyDescent="0.25">
      <c r="C415" s="4" t="str">
        <f>IFERROR(AVERAGEIFS('2. Program Allocation Output'!$P:$P,'2. Program Allocation Output'!$AF:$AF,$A415,'2. Program Allocation Output'!$AG:$AG,$B415),"")</f>
        <v/>
      </c>
      <c r="D415" s="4" t="str">
        <f>IFERROR(AVERAGEIFS('2. Program Allocation Output'!$O:$O,'2. Program Allocation Output'!$AF:$AF,$A415,'2. Program Allocation Output'!$AG:$AG,$B415),"")</f>
        <v/>
      </c>
      <c r="E415" s="5" t="str">
        <f>IFERROR(AVERAGEIFS('2. Program Allocation Output'!$L:$L,'2. Program Allocation Output'!$AF:$AF,$A415,'2. Program Allocation Output'!$AG:$AG,$B415),"")</f>
        <v/>
      </c>
      <c r="F415" s="39" t="str">
        <f t="shared" si="15"/>
        <v/>
      </c>
      <c r="G415" t="str">
        <f t="shared" si="16"/>
        <v/>
      </c>
    </row>
    <row r="416" spans="3:7" ht="15" hidden="1" x14ac:dyDescent="0.25">
      <c r="C416" s="4" t="str">
        <f>IFERROR(AVERAGEIFS('2. Program Allocation Output'!$P:$P,'2. Program Allocation Output'!$AF:$AF,$A416,'2. Program Allocation Output'!$AG:$AG,$B416),"")</f>
        <v/>
      </c>
      <c r="D416" s="4" t="str">
        <f>IFERROR(AVERAGEIFS('2. Program Allocation Output'!$O:$O,'2. Program Allocation Output'!$AF:$AF,$A416,'2. Program Allocation Output'!$AG:$AG,$B416),"")</f>
        <v/>
      </c>
      <c r="E416" s="5" t="str">
        <f>IFERROR(AVERAGEIFS('2. Program Allocation Output'!$L:$L,'2. Program Allocation Output'!$AF:$AF,$A416,'2. Program Allocation Output'!$AG:$AG,$B416),"")</f>
        <v/>
      </c>
      <c r="F416" s="39" t="str">
        <f t="shared" si="15"/>
        <v/>
      </c>
      <c r="G416" t="str">
        <f t="shared" si="16"/>
        <v/>
      </c>
    </row>
    <row r="417" spans="3:7" ht="15" hidden="1" x14ac:dyDescent="0.25">
      <c r="C417" s="4" t="str">
        <f>IFERROR(AVERAGEIFS('2. Program Allocation Output'!$P:$P,'2. Program Allocation Output'!$AF:$AF,$A417,'2. Program Allocation Output'!$AG:$AG,$B417),"")</f>
        <v/>
      </c>
      <c r="D417" s="4" t="str">
        <f>IFERROR(AVERAGEIFS('2. Program Allocation Output'!$O:$O,'2. Program Allocation Output'!$AF:$AF,$A417,'2. Program Allocation Output'!$AG:$AG,$B417),"")</f>
        <v/>
      </c>
      <c r="E417" s="5" t="str">
        <f>IFERROR(AVERAGEIFS('2. Program Allocation Output'!$L:$L,'2. Program Allocation Output'!$AF:$AF,$A417,'2. Program Allocation Output'!$AG:$AG,$B417),"")</f>
        <v/>
      </c>
      <c r="F417" s="39" t="str">
        <f t="shared" si="15"/>
        <v/>
      </c>
      <c r="G417" t="str">
        <f t="shared" si="16"/>
        <v/>
      </c>
    </row>
    <row r="418" spans="3:7" ht="15" hidden="1" x14ac:dyDescent="0.25">
      <c r="C418" s="4" t="str">
        <f>IFERROR(AVERAGEIFS('2. Program Allocation Output'!$P:$P,'2. Program Allocation Output'!$AF:$AF,$A418,'2. Program Allocation Output'!$AG:$AG,$B418),"")</f>
        <v/>
      </c>
      <c r="D418" s="4" t="str">
        <f>IFERROR(AVERAGEIFS('2. Program Allocation Output'!$O:$O,'2. Program Allocation Output'!$AF:$AF,$A418,'2. Program Allocation Output'!$AG:$AG,$B418),"")</f>
        <v/>
      </c>
      <c r="E418" s="5" t="str">
        <f>IFERROR(AVERAGEIFS('2. Program Allocation Output'!$L:$L,'2. Program Allocation Output'!$AF:$AF,$A418,'2. Program Allocation Output'!$AG:$AG,$B418),"")</f>
        <v/>
      </c>
      <c r="F418" s="39" t="str">
        <f t="shared" si="15"/>
        <v/>
      </c>
      <c r="G418" t="str">
        <f t="shared" si="16"/>
        <v/>
      </c>
    </row>
    <row r="419" spans="3:7" ht="15" hidden="1" x14ac:dyDescent="0.25">
      <c r="C419" s="4" t="str">
        <f>IFERROR(AVERAGEIFS('2. Program Allocation Output'!$P:$P,'2. Program Allocation Output'!$AF:$AF,$A419,'2. Program Allocation Output'!$AG:$AG,$B419),"")</f>
        <v/>
      </c>
      <c r="D419" s="4" t="str">
        <f>IFERROR(AVERAGEIFS('2. Program Allocation Output'!$O:$O,'2. Program Allocation Output'!$AF:$AF,$A419,'2. Program Allocation Output'!$AG:$AG,$B419),"")</f>
        <v/>
      </c>
      <c r="E419" s="5" t="str">
        <f>IFERROR(AVERAGEIFS('2. Program Allocation Output'!$L:$L,'2. Program Allocation Output'!$AF:$AF,$A419,'2. Program Allocation Output'!$AG:$AG,$B419),"")</f>
        <v/>
      </c>
      <c r="F419" s="39" t="str">
        <f t="shared" si="15"/>
        <v/>
      </c>
      <c r="G419" t="str">
        <f t="shared" si="16"/>
        <v/>
      </c>
    </row>
    <row r="420" spans="3:7" ht="15" hidden="1" x14ac:dyDescent="0.25">
      <c r="C420" s="4" t="str">
        <f>IFERROR(AVERAGEIFS('2. Program Allocation Output'!$P:$P,'2. Program Allocation Output'!$AF:$AF,$A420,'2. Program Allocation Output'!$AG:$AG,$B420),"")</f>
        <v/>
      </c>
      <c r="D420" s="4" t="str">
        <f>IFERROR(AVERAGEIFS('2. Program Allocation Output'!$O:$O,'2. Program Allocation Output'!$AF:$AF,$A420,'2. Program Allocation Output'!$AG:$AG,$B420),"")</f>
        <v/>
      </c>
      <c r="E420" s="5" t="str">
        <f>IFERROR(AVERAGEIFS('2. Program Allocation Output'!$L:$L,'2. Program Allocation Output'!$AF:$AF,$A420,'2. Program Allocation Output'!$AG:$AG,$B420),"")</f>
        <v/>
      </c>
      <c r="F420" s="39" t="str">
        <f t="shared" si="15"/>
        <v/>
      </c>
      <c r="G420" t="str">
        <f t="shared" si="16"/>
        <v/>
      </c>
    </row>
    <row r="421" spans="3:7" ht="15" hidden="1" x14ac:dyDescent="0.25">
      <c r="C421" s="4" t="str">
        <f>IFERROR(AVERAGEIFS('2. Program Allocation Output'!$P:$P,'2. Program Allocation Output'!$AF:$AF,$A421,'2. Program Allocation Output'!$AG:$AG,$B421),"")</f>
        <v/>
      </c>
      <c r="D421" s="4" t="str">
        <f>IFERROR(AVERAGEIFS('2. Program Allocation Output'!$O:$O,'2. Program Allocation Output'!$AF:$AF,$A421,'2. Program Allocation Output'!$AG:$AG,$B421),"")</f>
        <v/>
      </c>
      <c r="E421" s="5" t="str">
        <f>IFERROR(AVERAGEIFS('2. Program Allocation Output'!$L:$L,'2. Program Allocation Output'!$AF:$AF,$A421,'2. Program Allocation Output'!$AG:$AG,$B421),"")</f>
        <v/>
      </c>
      <c r="F421" s="39" t="str">
        <f t="shared" si="15"/>
        <v/>
      </c>
      <c r="G421" t="str">
        <f t="shared" si="16"/>
        <v/>
      </c>
    </row>
    <row r="422" spans="3:7" ht="15" hidden="1" x14ac:dyDescent="0.25">
      <c r="C422" s="4" t="str">
        <f>IFERROR(AVERAGEIFS('2. Program Allocation Output'!$P:$P,'2. Program Allocation Output'!$AF:$AF,$A422,'2. Program Allocation Output'!$AG:$AG,$B422),"")</f>
        <v/>
      </c>
      <c r="D422" s="4" t="str">
        <f>IFERROR(AVERAGEIFS('2. Program Allocation Output'!$O:$O,'2. Program Allocation Output'!$AF:$AF,$A422,'2. Program Allocation Output'!$AG:$AG,$B422),"")</f>
        <v/>
      </c>
      <c r="E422" s="5" t="str">
        <f>IFERROR(AVERAGEIFS('2. Program Allocation Output'!$L:$L,'2. Program Allocation Output'!$AF:$AF,$A422,'2. Program Allocation Output'!$AG:$AG,$B422),"")</f>
        <v/>
      </c>
      <c r="F422" s="39" t="str">
        <f t="shared" si="15"/>
        <v/>
      </c>
      <c r="G422" t="str">
        <f t="shared" si="16"/>
        <v/>
      </c>
    </row>
    <row r="423" spans="3:7" ht="15" hidden="1" x14ac:dyDescent="0.25">
      <c r="C423" s="4" t="str">
        <f>IFERROR(AVERAGEIFS('2. Program Allocation Output'!$P:$P,'2. Program Allocation Output'!$AF:$AF,$A423,'2. Program Allocation Output'!$AG:$AG,$B423),"")</f>
        <v/>
      </c>
      <c r="D423" s="4" t="str">
        <f>IFERROR(AVERAGEIFS('2. Program Allocation Output'!$O:$O,'2. Program Allocation Output'!$AF:$AF,$A423,'2. Program Allocation Output'!$AG:$AG,$B423),"")</f>
        <v/>
      </c>
      <c r="E423" s="5" t="str">
        <f>IFERROR(AVERAGEIFS('2. Program Allocation Output'!$L:$L,'2. Program Allocation Output'!$AF:$AF,$A423,'2. Program Allocation Output'!$AG:$AG,$B423),"")</f>
        <v/>
      </c>
      <c r="F423" s="39" t="str">
        <f t="shared" si="15"/>
        <v/>
      </c>
      <c r="G423" t="str">
        <f t="shared" si="16"/>
        <v/>
      </c>
    </row>
    <row r="424" spans="3:7" ht="15" hidden="1" x14ac:dyDescent="0.25">
      <c r="C424" s="4" t="str">
        <f>IFERROR(AVERAGEIFS('2. Program Allocation Output'!$P:$P,'2. Program Allocation Output'!$AF:$AF,$A424,'2. Program Allocation Output'!$AG:$AG,$B424),"")</f>
        <v/>
      </c>
      <c r="D424" s="4" t="str">
        <f>IFERROR(AVERAGEIFS('2. Program Allocation Output'!$O:$O,'2. Program Allocation Output'!$AF:$AF,$A424,'2. Program Allocation Output'!$AG:$AG,$B424),"")</f>
        <v/>
      </c>
      <c r="E424" s="5" t="str">
        <f>IFERROR(AVERAGEIFS('2. Program Allocation Output'!$L:$L,'2. Program Allocation Output'!$AF:$AF,$A424,'2. Program Allocation Output'!$AG:$AG,$B424),"")</f>
        <v/>
      </c>
      <c r="F424" s="39" t="str">
        <f t="shared" si="15"/>
        <v/>
      </c>
      <c r="G424" t="str">
        <f t="shared" si="16"/>
        <v/>
      </c>
    </row>
    <row r="425" spans="3:7" ht="15" hidden="1" x14ac:dyDescent="0.25">
      <c r="C425" s="4" t="str">
        <f>IFERROR(AVERAGEIFS('2. Program Allocation Output'!$P:$P,'2. Program Allocation Output'!$AF:$AF,$A425,'2. Program Allocation Output'!$AG:$AG,$B425),"")</f>
        <v/>
      </c>
      <c r="D425" s="4" t="str">
        <f>IFERROR(AVERAGEIFS('2. Program Allocation Output'!$O:$O,'2. Program Allocation Output'!$AF:$AF,$A425,'2. Program Allocation Output'!$AG:$AG,$B425),"")</f>
        <v/>
      </c>
      <c r="E425" s="5" t="str">
        <f>IFERROR(AVERAGEIFS('2. Program Allocation Output'!$L:$L,'2. Program Allocation Output'!$AF:$AF,$A425,'2. Program Allocation Output'!$AG:$AG,$B425),"")</f>
        <v/>
      </c>
      <c r="F425" s="39" t="str">
        <f t="shared" si="15"/>
        <v/>
      </c>
      <c r="G425" t="str">
        <f t="shared" si="16"/>
        <v/>
      </c>
    </row>
    <row r="426" spans="3:7" ht="15" hidden="1" x14ac:dyDescent="0.25">
      <c r="C426" s="4" t="str">
        <f>IFERROR(AVERAGEIFS('2. Program Allocation Output'!$P:$P,'2. Program Allocation Output'!$AF:$AF,$A426,'2. Program Allocation Output'!$AG:$AG,$B426),"")</f>
        <v/>
      </c>
      <c r="D426" s="4" t="str">
        <f>IFERROR(AVERAGEIFS('2. Program Allocation Output'!$O:$O,'2. Program Allocation Output'!$AF:$AF,$A426,'2. Program Allocation Output'!$AG:$AG,$B426),"")</f>
        <v/>
      </c>
      <c r="E426" s="5" t="str">
        <f>IFERROR(AVERAGEIFS('2. Program Allocation Output'!$L:$L,'2. Program Allocation Output'!$AF:$AF,$A426,'2. Program Allocation Output'!$AG:$AG,$B426),"")</f>
        <v/>
      </c>
      <c r="F426" s="39" t="str">
        <f t="shared" si="15"/>
        <v/>
      </c>
      <c r="G426" t="str">
        <f t="shared" si="16"/>
        <v/>
      </c>
    </row>
    <row r="427" spans="3:7" ht="15" hidden="1" x14ac:dyDescent="0.25">
      <c r="C427" s="4" t="str">
        <f>IFERROR(AVERAGEIFS('2. Program Allocation Output'!$P:$P,'2. Program Allocation Output'!$AF:$AF,$A427,'2. Program Allocation Output'!$AG:$AG,$B427),"")</f>
        <v/>
      </c>
      <c r="D427" s="4" t="str">
        <f>IFERROR(AVERAGEIFS('2. Program Allocation Output'!$O:$O,'2. Program Allocation Output'!$AF:$AF,$A427,'2. Program Allocation Output'!$AG:$AG,$B427),"")</f>
        <v/>
      </c>
      <c r="E427" s="5" t="str">
        <f>IFERROR(AVERAGEIFS('2. Program Allocation Output'!$L:$L,'2. Program Allocation Output'!$AF:$AF,$A427,'2. Program Allocation Output'!$AG:$AG,$B427),"")</f>
        <v/>
      </c>
      <c r="F427" s="39" t="str">
        <f t="shared" si="15"/>
        <v/>
      </c>
      <c r="G427" t="str">
        <f t="shared" si="16"/>
        <v/>
      </c>
    </row>
    <row r="428" spans="3:7" ht="15" hidden="1" x14ac:dyDescent="0.25">
      <c r="C428" s="4" t="str">
        <f>IFERROR(AVERAGEIFS('2. Program Allocation Output'!$P:$P,'2. Program Allocation Output'!$AF:$AF,$A428,'2. Program Allocation Output'!$AG:$AG,$B428),"")</f>
        <v/>
      </c>
      <c r="D428" s="4" t="str">
        <f>IFERROR(AVERAGEIFS('2. Program Allocation Output'!$O:$O,'2. Program Allocation Output'!$AF:$AF,$A428,'2. Program Allocation Output'!$AG:$AG,$B428),"")</f>
        <v/>
      </c>
      <c r="E428" s="5" t="str">
        <f>IFERROR(AVERAGEIFS('2. Program Allocation Output'!$L:$L,'2. Program Allocation Output'!$AF:$AF,$A428,'2. Program Allocation Output'!$AG:$AG,$B428),"")</f>
        <v/>
      </c>
      <c r="F428" s="39" t="str">
        <f t="shared" si="15"/>
        <v/>
      </c>
      <c r="G428" t="str">
        <f t="shared" si="16"/>
        <v/>
      </c>
    </row>
    <row r="429" spans="3:7" ht="15" hidden="1" x14ac:dyDescent="0.25">
      <c r="C429" s="4" t="str">
        <f>IFERROR(AVERAGEIFS('2. Program Allocation Output'!$P:$P,'2. Program Allocation Output'!$AF:$AF,$A429,'2. Program Allocation Output'!$AG:$AG,$B429),"")</f>
        <v/>
      </c>
      <c r="D429" s="4" t="str">
        <f>IFERROR(AVERAGEIFS('2. Program Allocation Output'!$O:$O,'2. Program Allocation Output'!$AF:$AF,$A429,'2. Program Allocation Output'!$AG:$AG,$B429),"")</f>
        <v/>
      </c>
      <c r="E429" s="5" t="str">
        <f>IFERROR(AVERAGEIFS('2. Program Allocation Output'!$L:$L,'2. Program Allocation Output'!$AF:$AF,$A429,'2. Program Allocation Output'!$AG:$AG,$B429),"")</f>
        <v/>
      </c>
      <c r="F429" s="39" t="str">
        <f t="shared" si="15"/>
        <v/>
      </c>
      <c r="G429" t="str">
        <f t="shared" si="16"/>
        <v/>
      </c>
    </row>
    <row r="430" spans="3:7" ht="15" hidden="1" x14ac:dyDescent="0.25">
      <c r="C430" s="4" t="str">
        <f>IFERROR(AVERAGEIFS('2. Program Allocation Output'!$P:$P,'2. Program Allocation Output'!$AF:$AF,$A430,'2. Program Allocation Output'!$AG:$AG,$B430),"")</f>
        <v/>
      </c>
      <c r="D430" s="4" t="str">
        <f>IFERROR(AVERAGEIFS('2. Program Allocation Output'!$O:$O,'2. Program Allocation Output'!$AF:$AF,$A430,'2. Program Allocation Output'!$AG:$AG,$B430),"")</f>
        <v/>
      </c>
      <c r="E430" s="5" t="str">
        <f>IFERROR(AVERAGEIFS('2. Program Allocation Output'!$L:$L,'2. Program Allocation Output'!$AF:$AF,$A430,'2. Program Allocation Output'!$AG:$AG,$B430),"")</f>
        <v/>
      </c>
      <c r="F430" s="39" t="str">
        <f t="shared" si="15"/>
        <v/>
      </c>
      <c r="G430" t="str">
        <f t="shared" si="16"/>
        <v/>
      </c>
    </row>
    <row r="431" spans="3:7" ht="15" hidden="1" x14ac:dyDescent="0.25">
      <c r="C431" s="4" t="str">
        <f>IFERROR(AVERAGEIFS('2. Program Allocation Output'!$P:$P,'2. Program Allocation Output'!$AF:$AF,$A431,'2. Program Allocation Output'!$AG:$AG,$B431),"")</f>
        <v/>
      </c>
      <c r="D431" s="4" t="str">
        <f>IFERROR(AVERAGEIFS('2. Program Allocation Output'!$O:$O,'2. Program Allocation Output'!$AF:$AF,$A431,'2. Program Allocation Output'!$AG:$AG,$B431),"")</f>
        <v/>
      </c>
      <c r="E431" s="5" t="str">
        <f>IFERROR(AVERAGEIFS('2. Program Allocation Output'!$L:$L,'2. Program Allocation Output'!$AF:$AF,$A431,'2. Program Allocation Output'!$AG:$AG,$B431),"")</f>
        <v/>
      </c>
      <c r="F431" s="39" t="str">
        <f t="shared" si="15"/>
        <v/>
      </c>
      <c r="G431" t="str">
        <f t="shared" si="16"/>
        <v/>
      </c>
    </row>
    <row r="432" spans="3:7" ht="15" hidden="1" x14ac:dyDescent="0.25">
      <c r="C432" s="4" t="str">
        <f>IFERROR(AVERAGEIFS('2. Program Allocation Output'!$P:$P,'2. Program Allocation Output'!$AF:$AF,$A432,'2. Program Allocation Output'!$AG:$AG,$B432),"")</f>
        <v/>
      </c>
      <c r="D432" s="4" t="str">
        <f>IFERROR(AVERAGEIFS('2. Program Allocation Output'!$O:$O,'2. Program Allocation Output'!$AF:$AF,$A432,'2. Program Allocation Output'!$AG:$AG,$B432),"")</f>
        <v/>
      </c>
      <c r="E432" s="5" t="str">
        <f>IFERROR(AVERAGEIFS('2. Program Allocation Output'!$L:$L,'2. Program Allocation Output'!$AF:$AF,$A432,'2. Program Allocation Output'!$AG:$AG,$B432),"")</f>
        <v/>
      </c>
      <c r="F432" s="39" t="str">
        <f t="shared" si="15"/>
        <v/>
      </c>
      <c r="G432" t="str">
        <f t="shared" si="16"/>
        <v/>
      </c>
    </row>
    <row r="433" spans="3:7" ht="15" hidden="1" x14ac:dyDescent="0.25">
      <c r="C433" s="4" t="str">
        <f>IFERROR(AVERAGEIFS('2. Program Allocation Output'!$P:$P,'2. Program Allocation Output'!$AF:$AF,$A433,'2. Program Allocation Output'!$AG:$AG,$B433),"")</f>
        <v/>
      </c>
      <c r="D433" s="4" t="str">
        <f>IFERROR(AVERAGEIFS('2. Program Allocation Output'!$O:$O,'2. Program Allocation Output'!$AF:$AF,$A433,'2. Program Allocation Output'!$AG:$AG,$B433),"")</f>
        <v/>
      </c>
      <c r="E433" s="5" t="str">
        <f>IFERROR(AVERAGEIFS('2. Program Allocation Output'!$L:$L,'2. Program Allocation Output'!$AF:$AF,$A433,'2. Program Allocation Output'!$AG:$AG,$B433),"")</f>
        <v/>
      </c>
      <c r="F433" s="39" t="str">
        <f t="shared" si="15"/>
        <v/>
      </c>
      <c r="G433" t="str">
        <f t="shared" si="16"/>
        <v/>
      </c>
    </row>
    <row r="434" spans="3:7" ht="15" hidden="1" x14ac:dyDescent="0.25">
      <c r="C434" s="4" t="str">
        <f>IFERROR(AVERAGEIFS('2. Program Allocation Output'!$P:$P,'2. Program Allocation Output'!$AF:$AF,$A434,'2. Program Allocation Output'!$AG:$AG,$B434),"")</f>
        <v/>
      </c>
      <c r="D434" s="4" t="str">
        <f>IFERROR(AVERAGEIFS('2. Program Allocation Output'!$O:$O,'2. Program Allocation Output'!$AF:$AF,$A434,'2. Program Allocation Output'!$AG:$AG,$B434),"")</f>
        <v/>
      </c>
      <c r="E434" s="5" t="str">
        <f>IFERROR(AVERAGEIFS('2. Program Allocation Output'!$L:$L,'2. Program Allocation Output'!$AF:$AF,$A434,'2. Program Allocation Output'!$AG:$AG,$B434),"")</f>
        <v/>
      </c>
      <c r="F434" s="39" t="str">
        <f t="shared" si="15"/>
        <v/>
      </c>
      <c r="G434" t="str">
        <f t="shared" si="16"/>
        <v/>
      </c>
    </row>
    <row r="435" spans="3:7" ht="15" hidden="1" x14ac:dyDescent="0.25">
      <c r="C435" s="4" t="str">
        <f>IFERROR(AVERAGEIFS('2. Program Allocation Output'!$P:$P,'2. Program Allocation Output'!$AF:$AF,$A435,'2. Program Allocation Output'!$AG:$AG,$B435),"")</f>
        <v/>
      </c>
      <c r="D435" s="4" t="str">
        <f>IFERROR(AVERAGEIFS('2. Program Allocation Output'!$O:$O,'2. Program Allocation Output'!$AF:$AF,$A435,'2. Program Allocation Output'!$AG:$AG,$B435),"")</f>
        <v/>
      </c>
      <c r="E435" s="5" t="str">
        <f>IFERROR(AVERAGEIFS('2. Program Allocation Output'!$L:$L,'2. Program Allocation Output'!$AF:$AF,$A435,'2. Program Allocation Output'!$AG:$AG,$B435),"")</f>
        <v/>
      </c>
      <c r="F435" s="39" t="str">
        <f t="shared" si="15"/>
        <v/>
      </c>
      <c r="G435" t="str">
        <f t="shared" si="16"/>
        <v/>
      </c>
    </row>
    <row r="436" spans="3:7" ht="15" hidden="1" x14ac:dyDescent="0.25">
      <c r="C436" s="4" t="str">
        <f>IFERROR(AVERAGEIFS('2. Program Allocation Output'!$P:$P,'2. Program Allocation Output'!$AF:$AF,$A436,'2. Program Allocation Output'!$AG:$AG,$B436),"")</f>
        <v/>
      </c>
      <c r="D436" s="4" t="str">
        <f>IFERROR(AVERAGEIFS('2. Program Allocation Output'!$O:$O,'2. Program Allocation Output'!$AF:$AF,$A436,'2. Program Allocation Output'!$AG:$AG,$B436),"")</f>
        <v/>
      </c>
      <c r="E436" s="5" t="str">
        <f>IFERROR(AVERAGEIFS('2. Program Allocation Output'!$L:$L,'2. Program Allocation Output'!$AF:$AF,$A436,'2. Program Allocation Output'!$AG:$AG,$B436),"")</f>
        <v/>
      </c>
      <c r="F436" s="39" t="str">
        <f t="shared" si="15"/>
        <v/>
      </c>
      <c r="G436" t="str">
        <f t="shared" si="16"/>
        <v/>
      </c>
    </row>
    <row r="437" spans="3:7" ht="15" hidden="1" x14ac:dyDescent="0.25">
      <c r="C437" s="4" t="str">
        <f>IFERROR(AVERAGEIFS('2. Program Allocation Output'!$P:$P,'2. Program Allocation Output'!$AF:$AF,$A437,'2. Program Allocation Output'!$AG:$AG,$B437),"")</f>
        <v/>
      </c>
      <c r="D437" s="4" t="str">
        <f>IFERROR(AVERAGEIFS('2. Program Allocation Output'!$O:$O,'2. Program Allocation Output'!$AF:$AF,$A437,'2. Program Allocation Output'!$AG:$AG,$B437),"")</f>
        <v/>
      </c>
      <c r="E437" s="5" t="str">
        <f>IFERROR(AVERAGEIFS('2. Program Allocation Output'!$L:$L,'2. Program Allocation Output'!$AF:$AF,$A437,'2. Program Allocation Output'!$AG:$AG,$B437),"")</f>
        <v/>
      </c>
      <c r="F437" s="39" t="str">
        <f t="shared" si="15"/>
        <v/>
      </c>
      <c r="G437" t="str">
        <f t="shared" si="16"/>
        <v/>
      </c>
    </row>
    <row r="438" spans="3:7" ht="15" hidden="1" x14ac:dyDescent="0.25">
      <c r="C438" s="4" t="str">
        <f>IFERROR(AVERAGEIFS('2. Program Allocation Output'!$P:$P,'2. Program Allocation Output'!$AF:$AF,$A438,'2. Program Allocation Output'!$AG:$AG,$B438),"")</f>
        <v/>
      </c>
      <c r="D438" s="4" t="str">
        <f>IFERROR(AVERAGEIFS('2. Program Allocation Output'!$O:$O,'2. Program Allocation Output'!$AF:$AF,$A438,'2. Program Allocation Output'!$AG:$AG,$B438),"")</f>
        <v/>
      </c>
      <c r="E438" s="5" t="str">
        <f>IFERROR(AVERAGEIFS('2. Program Allocation Output'!$L:$L,'2. Program Allocation Output'!$AF:$AF,$A438,'2. Program Allocation Output'!$AG:$AG,$B438),"")</f>
        <v/>
      </c>
      <c r="F438" s="39" t="str">
        <f t="shared" si="15"/>
        <v/>
      </c>
      <c r="G438" t="str">
        <f t="shared" si="16"/>
        <v/>
      </c>
    </row>
    <row r="439" spans="3:7" ht="15" hidden="1" x14ac:dyDescent="0.25">
      <c r="C439" s="4" t="str">
        <f>IFERROR(AVERAGEIFS('2. Program Allocation Output'!$P:$P,'2. Program Allocation Output'!$AF:$AF,$A439,'2. Program Allocation Output'!$AG:$AG,$B439),"")</f>
        <v/>
      </c>
      <c r="D439" s="4" t="str">
        <f>IFERROR(AVERAGEIFS('2. Program Allocation Output'!$O:$O,'2. Program Allocation Output'!$AF:$AF,$A439,'2. Program Allocation Output'!$AG:$AG,$B439),"")</f>
        <v/>
      </c>
      <c r="E439" s="5" t="str">
        <f>IFERROR(AVERAGEIFS('2. Program Allocation Output'!$L:$L,'2. Program Allocation Output'!$AF:$AF,$A439,'2. Program Allocation Output'!$AG:$AG,$B439),"")</f>
        <v/>
      </c>
      <c r="F439" s="39" t="str">
        <f t="shared" si="15"/>
        <v/>
      </c>
      <c r="G439" t="str">
        <f t="shared" si="16"/>
        <v/>
      </c>
    </row>
    <row r="440" spans="3:7" ht="15" hidden="1" x14ac:dyDescent="0.25">
      <c r="C440" s="4" t="str">
        <f>IFERROR(AVERAGEIFS('2. Program Allocation Output'!$P:$P,'2. Program Allocation Output'!$AF:$AF,$A440,'2. Program Allocation Output'!$AG:$AG,$B440),"")</f>
        <v/>
      </c>
      <c r="D440" s="4" t="str">
        <f>IFERROR(AVERAGEIFS('2. Program Allocation Output'!$O:$O,'2. Program Allocation Output'!$AF:$AF,$A440,'2. Program Allocation Output'!$AG:$AG,$B440),"")</f>
        <v/>
      </c>
      <c r="E440" s="5" t="str">
        <f>IFERROR(AVERAGEIFS('2. Program Allocation Output'!$L:$L,'2. Program Allocation Output'!$AF:$AF,$A440,'2. Program Allocation Output'!$AG:$AG,$B440),"")</f>
        <v/>
      </c>
      <c r="F440" s="39" t="str">
        <f t="shared" si="15"/>
        <v/>
      </c>
      <c r="G440" t="str">
        <f t="shared" si="16"/>
        <v/>
      </c>
    </row>
    <row r="441" spans="3:7" ht="15" hidden="1" x14ac:dyDescent="0.25">
      <c r="C441" s="4" t="str">
        <f>IFERROR(AVERAGEIFS('2. Program Allocation Output'!$P:$P,'2. Program Allocation Output'!$AF:$AF,$A441,'2. Program Allocation Output'!$AG:$AG,$B441),"")</f>
        <v/>
      </c>
      <c r="D441" s="4" t="str">
        <f>IFERROR(AVERAGEIFS('2. Program Allocation Output'!$O:$O,'2. Program Allocation Output'!$AF:$AF,$A441,'2. Program Allocation Output'!$AG:$AG,$B441),"")</f>
        <v/>
      </c>
      <c r="E441" s="5" t="str">
        <f>IFERROR(AVERAGEIFS('2. Program Allocation Output'!$L:$L,'2. Program Allocation Output'!$AF:$AF,$A441,'2. Program Allocation Output'!$AG:$AG,$B441),"")</f>
        <v/>
      </c>
      <c r="F441" s="39" t="str">
        <f t="shared" si="15"/>
        <v/>
      </c>
      <c r="G441" t="str">
        <f t="shared" si="16"/>
        <v/>
      </c>
    </row>
    <row r="442" spans="3:7" ht="15" hidden="1" x14ac:dyDescent="0.25">
      <c r="C442" s="4" t="str">
        <f>IFERROR(AVERAGEIFS('2. Program Allocation Output'!$P:$P,'2. Program Allocation Output'!$AF:$AF,$A442,'2. Program Allocation Output'!$AG:$AG,$B442),"")</f>
        <v/>
      </c>
      <c r="D442" s="4" t="str">
        <f>IFERROR(AVERAGEIFS('2. Program Allocation Output'!$O:$O,'2. Program Allocation Output'!$AF:$AF,$A442,'2. Program Allocation Output'!$AG:$AG,$B442),"")</f>
        <v/>
      </c>
      <c r="E442" s="5" t="str">
        <f>IFERROR(AVERAGEIFS('2. Program Allocation Output'!$L:$L,'2. Program Allocation Output'!$AF:$AF,$A442,'2. Program Allocation Output'!$AG:$AG,$B442),"")</f>
        <v/>
      </c>
      <c r="F442" s="39" t="str">
        <f t="shared" si="15"/>
        <v/>
      </c>
      <c r="G442" t="str">
        <f t="shared" si="16"/>
        <v/>
      </c>
    </row>
    <row r="443" spans="3:7" ht="15" hidden="1" x14ac:dyDescent="0.25">
      <c r="C443" s="4" t="str">
        <f>IFERROR(AVERAGEIFS('2. Program Allocation Output'!$P:$P,'2. Program Allocation Output'!$AF:$AF,$A443,'2. Program Allocation Output'!$AG:$AG,$B443),"")</f>
        <v/>
      </c>
      <c r="D443" s="4" t="str">
        <f>IFERROR(AVERAGEIFS('2. Program Allocation Output'!$O:$O,'2. Program Allocation Output'!$AF:$AF,$A443,'2. Program Allocation Output'!$AG:$AG,$B443),"")</f>
        <v/>
      </c>
      <c r="E443" s="5" t="str">
        <f>IFERROR(AVERAGEIFS('2. Program Allocation Output'!$L:$L,'2. Program Allocation Output'!$AF:$AF,$A443,'2. Program Allocation Output'!$AG:$AG,$B443),"")</f>
        <v/>
      </c>
      <c r="F443" s="39" t="str">
        <f t="shared" si="15"/>
        <v/>
      </c>
      <c r="G443" t="str">
        <f t="shared" si="16"/>
        <v/>
      </c>
    </row>
    <row r="444" spans="3:7" ht="15" hidden="1" x14ac:dyDescent="0.25">
      <c r="C444" s="4" t="str">
        <f>IFERROR(AVERAGEIFS('2. Program Allocation Output'!$P:$P,'2. Program Allocation Output'!$AF:$AF,$A444,'2. Program Allocation Output'!$AG:$AG,$B444),"")</f>
        <v/>
      </c>
      <c r="D444" s="4" t="str">
        <f>IFERROR(AVERAGEIFS('2. Program Allocation Output'!$O:$O,'2. Program Allocation Output'!$AF:$AF,$A444,'2. Program Allocation Output'!$AG:$AG,$B444),"")</f>
        <v/>
      </c>
      <c r="E444" s="5" t="str">
        <f>IFERROR(AVERAGEIFS('2. Program Allocation Output'!$L:$L,'2. Program Allocation Output'!$AF:$AF,$A444,'2. Program Allocation Output'!$AG:$AG,$B444),"")</f>
        <v/>
      </c>
      <c r="F444" s="39" t="str">
        <f t="shared" si="15"/>
        <v/>
      </c>
      <c r="G444" t="str">
        <f t="shared" si="16"/>
        <v/>
      </c>
    </row>
    <row r="445" spans="3:7" ht="15" hidden="1" x14ac:dyDescent="0.25">
      <c r="C445" s="4" t="str">
        <f>IFERROR(AVERAGEIFS('2. Program Allocation Output'!$P:$P,'2. Program Allocation Output'!$AF:$AF,$A445,'2. Program Allocation Output'!$AG:$AG,$B445),"")</f>
        <v/>
      </c>
      <c r="D445" s="4" t="str">
        <f>IFERROR(AVERAGEIFS('2. Program Allocation Output'!$O:$O,'2. Program Allocation Output'!$AF:$AF,$A445,'2. Program Allocation Output'!$AG:$AG,$B445),"")</f>
        <v/>
      </c>
      <c r="E445" s="5" t="str">
        <f>IFERROR(AVERAGEIFS('2. Program Allocation Output'!$L:$L,'2. Program Allocation Output'!$AF:$AF,$A445,'2. Program Allocation Output'!$AG:$AG,$B445),"")</f>
        <v/>
      </c>
      <c r="F445" s="39" t="str">
        <f t="shared" si="15"/>
        <v/>
      </c>
      <c r="G445" t="str">
        <f t="shared" si="16"/>
        <v/>
      </c>
    </row>
    <row r="446" spans="3:7" ht="15" hidden="1" x14ac:dyDescent="0.25">
      <c r="C446" s="4" t="str">
        <f>IFERROR(AVERAGEIFS('2. Program Allocation Output'!$P:$P,'2. Program Allocation Output'!$AF:$AF,$A446,'2. Program Allocation Output'!$AG:$AG,$B446),"")</f>
        <v/>
      </c>
      <c r="D446" s="4" t="str">
        <f>IFERROR(AVERAGEIFS('2. Program Allocation Output'!$O:$O,'2. Program Allocation Output'!$AF:$AF,$A446,'2. Program Allocation Output'!$AG:$AG,$B446),"")</f>
        <v/>
      </c>
      <c r="E446" s="5" t="str">
        <f>IFERROR(AVERAGEIFS('2. Program Allocation Output'!$L:$L,'2. Program Allocation Output'!$AF:$AF,$A446,'2. Program Allocation Output'!$AG:$AG,$B446),"")</f>
        <v/>
      </c>
      <c r="F446" s="39" t="str">
        <f t="shared" si="15"/>
        <v/>
      </c>
      <c r="G446" t="str">
        <f t="shared" si="16"/>
        <v/>
      </c>
    </row>
    <row r="447" spans="3:7" ht="15" hidden="1" x14ac:dyDescent="0.25">
      <c r="C447" s="4" t="str">
        <f>IFERROR(AVERAGEIFS('2. Program Allocation Output'!$P:$P,'2. Program Allocation Output'!$AF:$AF,$A447,'2. Program Allocation Output'!$AG:$AG,$B447),"")</f>
        <v/>
      </c>
      <c r="D447" s="4" t="str">
        <f>IFERROR(AVERAGEIFS('2. Program Allocation Output'!$O:$O,'2. Program Allocation Output'!$AF:$AF,$A447,'2. Program Allocation Output'!$AG:$AG,$B447),"")</f>
        <v/>
      </c>
      <c r="E447" s="5" t="str">
        <f>IFERROR(AVERAGEIFS('2. Program Allocation Output'!$L:$L,'2. Program Allocation Output'!$AF:$AF,$A447,'2. Program Allocation Output'!$AG:$AG,$B447),"")</f>
        <v/>
      </c>
      <c r="F447" s="39" t="str">
        <f t="shared" si="15"/>
        <v/>
      </c>
      <c r="G447" t="str">
        <f t="shared" si="16"/>
        <v/>
      </c>
    </row>
    <row r="448" spans="3:7" ht="15" hidden="1" x14ac:dyDescent="0.25">
      <c r="C448" s="4" t="str">
        <f>IFERROR(AVERAGEIFS('2. Program Allocation Output'!$P:$P,'2. Program Allocation Output'!$AF:$AF,$A448,'2. Program Allocation Output'!$AG:$AG,$B448),"")</f>
        <v/>
      </c>
      <c r="D448" s="4" t="str">
        <f>IFERROR(AVERAGEIFS('2. Program Allocation Output'!$O:$O,'2. Program Allocation Output'!$AF:$AF,$A448,'2. Program Allocation Output'!$AG:$AG,$B448),"")</f>
        <v/>
      </c>
      <c r="E448" s="5" t="str">
        <f>IFERROR(AVERAGEIFS('2. Program Allocation Output'!$L:$L,'2. Program Allocation Output'!$AF:$AF,$A448,'2. Program Allocation Output'!$AG:$AG,$B448),"")</f>
        <v/>
      </c>
      <c r="F448" s="39" t="str">
        <f t="shared" si="15"/>
        <v/>
      </c>
      <c r="G448" t="str">
        <f t="shared" si="16"/>
        <v/>
      </c>
    </row>
    <row r="449" spans="3:7" ht="15" hidden="1" x14ac:dyDescent="0.25">
      <c r="C449" s="4" t="str">
        <f>IFERROR(AVERAGEIFS('2. Program Allocation Output'!$P:$P,'2. Program Allocation Output'!$AF:$AF,$A449,'2. Program Allocation Output'!$AG:$AG,$B449),"")</f>
        <v/>
      </c>
      <c r="D449" s="4" t="str">
        <f>IFERROR(AVERAGEIFS('2. Program Allocation Output'!$O:$O,'2. Program Allocation Output'!$AF:$AF,$A449,'2. Program Allocation Output'!$AG:$AG,$B449),"")</f>
        <v/>
      </c>
      <c r="E449" s="5" t="str">
        <f>IFERROR(AVERAGEIFS('2. Program Allocation Output'!$L:$L,'2. Program Allocation Output'!$AF:$AF,$A449,'2. Program Allocation Output'!$AG:$AG,$B449),"")</f>
        <v/>
      </c>
      <c r="F449" s="39" t="str">
        <f t="shared" si="15"/>
        <v/>
      </c>
      <c r="G449" t="str">
        <f t="shared" si="16"/>
        <v/>
      </c>
    </row>
    <row r="450" spans="3:7" ht="15" hidden="1" x14ac:dyDescent="0.25">
      <c r="C450" s="4" t="str">
        <f>IFERROR(AVERAGEIFS('2. Program Allocation Output'!$P:$P,'2. Program Allocation Output'!$AF:$AF,$A450,'2. Program Allocation Output'!$AG:$AG,$B450),"")</f>
        <v/>
      </c>
      <c r="D450" s="4" t="str">
        <f>IFERROR(AVERAGEIFS('2. Program Allocation Output'!$O:$O,'2. Program Allocation Output'!$AF:$AF,$A450,'2. Program Allocation Output'!$AG:$AG,$B450),"")</f>
        <v/>
      </c>
      <c r="E450" s="5" t="str">
        <f>IFERROR(AVERAGEIFS('2. Program Allocation Output'!$L:$L,'2. Program Allocation Output'!$AF:$AF,$A450,'2. Program Allocation Output'!$AG:$AG,$B450),"")</f>
        <v/>
      </c>
      <c r="F450" s="39" t="str">
        <f t="shared" si="15"/>
        <v/>
      </c>
      <c r="G450" t="str">
        <f t="shared" si="16"/>
        <v/>
      </c>
    </row>
    <row r="451" spans="3:7" ht="15" hidden="1" x14ac:dyDescent="0.25">
      <c r="C451" s="4" t="str">
        <f>IFERROR(AVERAGEIFS('2. Program Allocation Output'!$P:$P,'2. Program Allocation Output'!$AF:$AF,$A451,'2. Program Allocation Output'!$AG:$AG,$B451),"")</f>
        <v/>
      </c>
      <c r="D451" s="4" t="str">
        <f>IFERROR(AVERAGEIFS('2. Program Allocation Output'!$O:$O,'2. Program Allocation Output'!$AF:$AF,$A451,'2. Program Allocation Output'!$AG:$AG,$B451),"")</f>
        <v/>
      </c>
      <c r="E451" s="5" t="str">
        <f>IFERROR(AVERAGEIFS('2. Program Allocation Output'!$L:$L,'2. Program Allocation Output'!$AF:$AF,$A451,'2. Program Allocation Output'!$AG:$AG,$B451),"")</f>
        <v/>
      </c>
      <c r="F451" s="39" t="str">
        <f t="shared" ref="F451:F514" si="17">IFERROR(C451*1,"")</f>
        <v/>
      </c>
      <c r="G451" t="str">
        <f t="shared" si="16"/>
        <v/>
      </c>
    </row>
    <row r="452" spans="3:7" ht="15" hidden="1" x14ac:dyDescent="0.25">
      <c r="C452" s="4" t="str">
        <f>IFERROR(AVERAGEIFS('2. Program Allocation Output'!$P:$P,'2. Program Allocation Output'!$AF:$AF,$A452,'2. Program Allocation Output'!$AG:$AG,$B452),"")</f>
        <v/>
      </c>
      <c r="D452" s="4" t="str">
        <f>IFERROR(AVERAGEIFS('2. Program Allocation Output'!$O:$O,'2. Program Allocation Output'!$AF:$AF,$A452,'2. Program Allocation Output'!$AG:$AG,$B452),"")</f>
        <v/>
      </c>
      <c r="E452" s="5" t="str">
        <f>IFERROR(AVERAGEIFS('2. Program Allocation Output'!$L:$L,'2. Program Allocation Output'!$AF:$AF,$A452,'2. Program Allocation Output'!$AG:$AG,$B452),"")</f>
        <v/>
      </c>
      <c r="F452" s="39" t="str">
        <f t="shared" si="17"/>
        <v/>
      </c>
      <c r="G452" t="str">
        <f t="shared" si="16"/>
        <v/>
      </c>
    </row>
    <row r="453" spans="3:7" ht="15" hidden="1" x14ac:dyDescent="0.25">
      <c r="C453" s="4" t="str">
        <f>IFERROR(AVERAGEIFS('2. Program Allocation Output'!$P:$P,'2. Program Allocation Output'!$AF:$AF,$A453,'2. Program Allocation Output'!$AG:$AG,$B453),"")</f>
        <v/>
      </c>
      <c r="D453" s="4" t="str">
        <f>IFERROR(AVERAGEIFS('2. Program Allocation Output'!$O:$O,'2. Program Allocation Output'!$AF:$AF,$A453,'2. Program Allocation Output'!$AG:$AG,$B453),"")</f>
        <v/>
      </c>
      <c r="E453" s="5" t="str">
        <f>IFERROR(AVERAGEIFS('2. Program Allocation Output'!$L:$L,'2. Program Allocation Output'!$AF:$AF,$A453,'2. Program Allocation Output'!$AG:$AG,$B453),"")</f>
        <v/>
      </c>
      <c r="F453" s="39" t="str">
        <f t="shared" si="17"/>
        <v/>
      </c>
      <c r="G453" t="str">
        <f t="shared" si="16"/>
        <v/>
      </c>
    </row>
    <row r="454" spans="3:7" ht="15" hidden="1" x14ac:dyDescent="0.25">
      <c r="C454" s="4" t="str">
        <f>IFERROR(AVERAGEIFS('2. Program Allocation Output'!$P:$P,'2. Program Allocation Output'!$AF:$AF,$A454,'2. Program Allocation Output'!$AG:$AG,$B454),"")</f>
        <v/>
      </c>
      <c r="D454" s="4" t="str">
        <f>IFERROR(AVERAGEIFS('2. Program Allocation Output'!$O:$O,'2. Program Allocation Output'!$AF:$AF,$A454,'2. Program Allocation Output'!$AG:$AG,$B454),"")</f>
        <v/>
      </c>
      <c r="E454" s="5" t="str">
        <f>IFERROR(AVERAGEIFS('2. Program Allocation Output'!$L:$L,'2. Program Allocation Output'!$AF:$AF,$A454,'2. Program Allocation Output'!$AG:$AG,$B454),"")</f>
        <v/>
      </c>
      <c r="F454" s="39" t="str">
        <f t="shared" si="17"/>
        <v/>
      </c>
      <c r="G454" t="str">
        <f t="shared" si="16"/>
        <v/>
      </c>
    </row>
    <row r="455" spans="3:7" ht="15" hidden="1" x14ac:dyDescent="0.25">
      <c r="C455" s="4" t="str">
        <f>IFERROR(AVERAGEIFS('2. Program Allocation Output'!$P:$P,'2. Program Allocation Output'!$AF:$AF,$A455,'2. Program Allocation Output'!$AG:$AG,$B455),"")</f>
        <v/>
      </c>
      <c r="D455" s="4" t="str">
        <f>IFERROR(AVERAGEIFS('2. Program Allocation Output'!$O:$O,'2. Program Allocation Output'!$AF:$AF,$A455,'2. Program Allocation Output'!$AG:$AG,$B455),"")</f>
        <v/>
      </c>
      <c r="E455" s="5" t="str">
        <f>IFERROR(AVERAGEIFS('2. Program Allocation Output'!$L:$L,'2. Program Allocation Output'!$AF:$AF,$A455,'2. Program Allocation Output'!$AG:$AG,$B455),"")</f>
        <v/>
      </c>
      <c r="F455" s="39" t="str">
        <f t="shared" si="17"/>
        <v/>
      </c>
      <c r="G455" t="str">
        <f t="shared" si="16"/>
        <v/>
      </c>
    </row>
    <row r="456" spans="3:7" ht="15" hidden="1" x14ac:dyDescent="0.25">
      <c r="C456" s="4" t="str">
        <f>IFERROR(AVERAGEIFS('2. Program Allocation Output'!$P:$P,'2. Program Allocation Output'!$AF:$AF,$A456,'2. Program Allocation Output'!$AG:$AG,$B456),"")</f>
        <v/>
      </c>
      <c r="D456" s="4" t="str">
        <f>IFERROR(AVERAGEIFS('2. Program Allocation Output'!$O:$O,'2. Program Allocation Output'!$AF:$AF,$A456,'2. Program Allocation Output'!$AG:$AG,$B456),"")</f>
        <v/>
      </c>
      <c r="E456" s="5" t="str">
        <f>IFERROR(AVERAGEIFS('2. Program Allocation Output'!$L:$L,'2. Program Allocation Output'!$AF:$AF,$A456,'2. Program Allocation Output'!$AG:$AG,$B456),"")</f>
        <v/>
      </c>
      <c r="F456" s="39" t="str">
        <f t="shared" si="17"/>
        <v/>
      </c>
      <c r="G456" t="str">
        <f t="shared" si="16"/>
        <v/>
      </c>
    </row>
    <row r="457" spans="3:7" ht="15" hidden="1" x14ac:dyDescent="0.25">
      <c r="C457" s="4" t="str">
        <f>IFERROR(AVERAGEIFS('2. Program Allocation Output'!$P:$P,'2. Program Allocation Output'!$AF:$AF,$A457,'2. Program Allocation Output'!$AG:$AG,$B457),"")</f>
        <v/>
      </c>
      <c r="D457" s="4" t="str">
        <f>IFERROR(AVERAGEIFS('2. Program Allocation Output'!$O:$O,'2. Program Allocation Output'!$AF:$AF,$A457,'2. Program Allocation Output'!$AG:$AG,$B457),"")</f>
        <v/>
      </c>
      <c r="E457" s="5" t="str">
        <f>IFERROR(AVERAGEIFS('2. Program Allocation Output'!$L:$L,'2. Program Allocation Output'!$AF:$AF,$A457,'2. Program Allocation Output'!$AG:$AG,$B457),"")</f>
        <v/>
      </c>
      <c r="F457" s="39" t="str">
        <f t="shared" si="17"/>
        <v/>
      </c>
      <c r="G457" t="str">
        <f t="shared" si="16"/>
        <v/>
      </c>
    </row>
    <row r="458" spans="3:7" ht="15" hidden="1" x14ac:dyDescent="0.25">
      <c r="C458" s="4" t="str">
        <f>IFERROR(AVERAGEIFS('2. Program Allocation Output'!$P:$P,'2. Program Allocation Output'!$AF:$AF,$A458,'2. Program Allocation Output'!$AG:$AG,$B458),"")</f>
        <v/>
      </c>
      <c r="D458" s="4" t="str">
        <f>IFERROR(AVERAGEIFS('2. Program Allocation Output'!$O:$O,'2. Program Allocation Output'!$AF:$AF,$A458,'2. Program Allocation Output'!$AG:$AG,$B458),"")</f>
        <v/>
      </c>
      <c r="E458" s="5" t="str">
        <f>IFERROR(AVERAGEIFS('2. Program Allocation Output'!$L:$L,'2. Program Allocation Output'!$AF:$AF,$A458,'2. Program Allocation Output'!$AG:$AG,$B458),"")</f>
        <v/>
      </c>
      <c r="F458" s="39" t="str">
        <f t="shared" si="17"/>
        <v/>
      </c>
      <c r="G458" t="str">
        <f t="shared" si="16"/>
        <v/>
      </c>
    </row>
    <row r="459" spans="3:7" ht="15" hidden="1" x14ac:dyDescent="0.25">
      <c r="C459" s="4" t="str">
        <f>IFERROR(AVERAGEIFS('2. Program Allocation Output'!$P:$P,'2. Program Allocation Output'!$AF:$AF,$A459,'2. Program Allocation Output'!$AG:$AG,$B459),"")</f>
        <v/>
      </c>
      <c r="D459" s="4" t="str">
        <f>IFERROR(AVERAGEIFS('2. Program Allocation Output'!$O:$O,'2. Program Allocation Output'!$AF:$AF,$A459,'2. Program Allocation Output'!$AG:$AG,$B459),"")</f>
        <v/>
      </c>
      <c r="E459" s="5" t="str">
        <f>IFERROR(AVERAGEIFS('2. Program Allocation Output'!$L:$L,'2. Program Allocation Output'!$AF:$AF,$A459,'2. Program Allocation Output'!$AG:$AG,$B459),"")</f>
        <v/>
      </c>
      <c r="F459" s="39" t="str">
        <f t="shared" si="17"/>
        <v/>
      </c>
      <c r="G459" t="str">
        <f t="shared" si="16"/>
        <v/>
      </c>
    </row>
    <row r="460" spans="3:7" ht="15" hidden="1" x14ac:dyDescent="0.25">
      <c r="C460" s="4" t="str">
        <f>IFERROR(AVERAGEIFS('2. Program Allocation Output'!$P:$P,'2. Program Allocation Output'!$AF:$AF,$A460,'2. Program Allocation Output'!$AG:$AG,$B460),"")</f>
        <v/>
      </c>
      <c r="D460" s="4" t="str">
        <f>IFERROR(AVERAGEIFS('2. Program Allocation Output'!$O:$O,'2. Program Allocation Output'!$AF:$AF,$A460,'2. Program Allocation Output'!$AG:$AG,$B460),"")</f>
        <v/>
      </c>
      <c r="E460" s="5" t="str">
        <f>IFERROR(AVERAGEIFS('2. Program Allocation Output'!$L:$L,'2. Program Allocation Output'!$AF:$AF,$A460,'2. Program Allocation Output'!$AG:$AG,$B460),"")</f>
        <v/>
      </c>
      <c r="F460" s="39" t="str">
        <f t="shared" si="17"/>
        <v/>
      </c>
      <c r="G460" t="str">
        <f t="shared" si="16"/>
        <v/>
      </c>
    </row>
    <row r="461" spans="3:7" ht="15" hidden="1" x14ac:dyDescent="0.25">
      <c r="C461" s="4" t="str">
        <f>IFERROR(AVERAGEIFS('2. Program Allocation Output'!$P:$P,'2. Program Allocation Output'!$AF:$AF,$A461,'2. Program Allocation Output'!$AG:$AG,$B461),"")</f>
        <v/>
      </c>
      <c r="D461" s="4" t="str">
        <f>IFERROR(AVERAGEIFS('2. Program Allocation Output'!$O:$O,'2. Program Allocation Output'!$AF:$AF,$A461,'2. Program Allocation Output'!$AG:$AG,$B461),"")</f>
        <v/>
      </c>
      <c r="E461" s="5" t="str">
        <f>IFERROR(AVERAGEIFS('2. Program Allocation Output'!$L:$L,'2. Program Allocation Output'!$AF:$AF,$A461,'2. Program Allocation Output'!$AG:$AG,$B461),"")</f>
        <v/>
      </c>
      <c r="F461" s="39" t="str">
        <f t="shared" si="17"/>
        <v/>
      </c>
      <c r="G461" t="str">
        <f t="shared" si="16"/>
        <v/>
      </c>
    </row>
    <row r="462" spans="3:7" ht="15" hidden="1" x14ac:dyDescent="0.25">
      <c r="C462" s="4" t="str">
        <f>IFERROR(AVERAGEIFS('2. Program Allocation Output'!$P:$P,'2. Program Allocation Output'!$AF:$AF,$A462,'2. Program Allocation Output'!$AG:$AG,$B462),"")</f>
        <v/>
      </c>
      <c r="D462" s="4" t="str">
        <f>IFERROR(AVERAGEIFS('2. Program Allocation Output'!$O:$O,'2. Program Allocation Output'!$AF:$AF,$A462,'2. Program Allocation Output'!$AG:$AG,$B462),"")</f>
        <v/>
      </c>
      <c r="E462" s="5" t="str">
        <f>IFERROR(AVERAGEIFS('2. Program Allocation Output'!$L:$L,'2. Program Allocation Output'!$AF:$AF,$A462,'2. Program Allocation Output'!$AG:$AG,$B462),"")</f>
        <v/>
      </c>
      <c r="F462" s="39" t="str">
        <f t="shared" si="17"/>
        <v/>
      </c>
      <c r="G462" t="str">
        <f t="shared" ref="G462:G525" si="18">IFERROR(EXP(0.3*(F462-C462)/(E462*0.1137)),"")</f>
        <v/>
      </c>
    </row>
    <row r="463" spans="3:7" ht="15" hidden="1" x14ac:dyDescent="0.25">
      <c r="C463" s="4" t="str">
        <f>IFERROR(AVERAGEIFS('2. Program Allocation Output'!$P:$P,'2. Program Allocation Output'!$AF:$AF,$A463,'2. Program Allocation Output'!$AG:$AG,$B463),"")</f>
        <v/>
      </c>
      <c r="D463" s="4" t="str">
        <f>IFERROR(AVERAGEIFS('2. Program Allocation Output'!$O:$O,'2. Program Allocation Output'!$AF:$AF,$A463,'2. Program Allocation Output'!$AG:$AG,$B463),"")</f>
        <v/>
      </c>
      <c r="E463" s="5" t="str">
        <f>IFERROR(AVERAGEIFS('2. Program Allocation Output'!$L:$L,'2. Program Allocation Output'!$AF:$AF,$A463,'2. Program Allocation Output'!$AG:$AG,$B463),"")</f>
        <v/>
      </c>
      <c r="F463" s="39" t="str">
        <f t="shared" si="17"/>
        <v/>
      </c>
      <c r="G463" t="str">
        <f t="shared" si="18"/>
        <v/>
      </c>
    </row>
    <row r="464" spans="3:7" ht="15" hidden="1" x14ac:dyDescent="0.25">
      <c r="C464" s="4" t="str">
        <f>IFERROR(AVERAGEIFS('2. Program Allocation Output'!$P:$P,'2. Program Allocation Output'!$AF:$AF,$A464,'2. Program Allocation Output'!$AG:$AG,$B464),"")</f>
        <v/>
      </c>
      <c r="D464" s="4" t="str">
        <f>IFERROR(AVERAGEIFS('2. Program Allocation Output'!$O:$O,'2. Program Allocation Output'!$AF:$AF,$A464,'2. Program Allocation Output'!$AG:$AG,$B464),"")</f>
        <v/>
      </c>
      <c r="E464" s="5" t="str">
        <f>IFERROR(AVERAGEIFS('2. Program Allocation Output'!$L:$L,'2. Program Allocation Output'!$AF:$AF,$A464,'2. Program Allocation Output'!$AG:$AG,$B464),"")</f>
        <v/>
      </c>
      <c r="F464" s="39" t="str">
        <f t="shared" si="17"/>
        <v/>
      </c>
      <c r="G464" t="str">
        <f t="shared" si="18"/>
        <v/>
      </c>
    </row>
    <row r="465" spans="3:7" ht="15" hidden="1" x14ac:dyDescent="0.25">
      <c r="C465" s="4" t="str">
        <f>IFERROR(AVERAGEIFS('2. Program Allocation Output'!$P:$P,'2. Program Allocation Output'!$AF:$AF,$A465,'2. Program Allocation Output'!$AG:$AG,$B465),"")</f>
        <v/>
      </c>
      <c r="D465" s="4" t="str">
        <f>IFERROR(AVERAGEIFS('2. Program Allocation Output'!$O:$O,'2. Program Allocation Output'!$AF:$AF,$A465,'2. Program Allocation Output'!$AG:$AG,$B465),"")</f>
        <v/>
      </c>
      <c r="E465" s="5" t="str">
        <f>IFERROR(AVERAGEIFS('2. Program Allocation Output'!$L:$L,'2. Program Allocation Output'!$AF:$AF,$A465,'2. Program Allocation Output'!$AG:$AG,$B465),"")</f>
        <v/>
      </c>
      <c r="F465" s="39" t="str">
        <f t="shared" si="17"/>
        <v/>
      </c>
      <c r="G465" t="str">
        <f t="shared" si="18"/>
        <v/>
      </c>
    </row>
    <row r="466" spans="3:7" ht="15" hidden="1" x14ac:dyDescent="0.25">
      <c r="C466" s="4" t="str">
        <f>IFERROR(AVERAGEIFS('2. Program Allocation Output'!$P:$P,'2. Program Allocation Output'!$AF:$AF,$A466,'2. Program Allocation Output'!$AG:$AG,$B466),"")</f>
        <v/>
      </c>
      <c r="D466" s="4" t="str">
        <f>IFERROR(AVERAGEIFS('2. Program Allocation Output'!$O:$O,'2. Program Allocation Output'!$AF:$AF,$A466,'2. Program Allocation Output'!$AG:$AG,$B466),"")</f>
        <v/>
      </c>
      <c r="E466" s="5" t="str">
        <f>IFERROR(AVERAGEIFS('2. Program Allocation Output'!$L:$L,'2. Program Allocation Output'!$AF:$AF,$A466,'2. Program Allocation Output'!$AG:$AG,$B466),"")</f>
        <v/>
      </c>
      <c r="F466" s="39" t="str">
        <f t="shared" si="17"/>
        <v/>
      </c>
      <c r="G466" t="str">
        <f t="shared" si="18"/>
        <v/>
      </c>
    </row>
    <row r="467" spans="3:7" ht="15" hidden="1" x14ac:dyDescent="0.25">
      <c r="C467" s="4" t="str">
        <f>IFERROR(AVERAGEIFS('2. Program Allocation Output'!$P:$P,'2. Program Allocation Output'!$AF:$AF,$A467,'2. Program Allocation Output'!$AG:$AG,$B467),"")</f>
        <v/>
      </c>
      <c r="D467" s="4" t="str">
        <f>IFERROR(AVERAGEIFS('2. Program Allocation Output'!$O:$O,'2. Program Allocation Output'!$AF:$AF,$A467,'2. Program Allocation Output'!$AG:$AG,$B467),"")</f>
        <v/>
      </c>
      <c r="E467" s="5" t="str">
        <f>IFERROR(AVERAGEIFS('2. Program Allocation Output'!$L:$L,'2. Program Allocation Output'!$AF:$AF,$A467,'2. Program Allocation Output'!$AG:$AG,$B467),"")</f>
        <v/>
      </c>
      <c r="F467" s="39" t="str">
        <f t="shared" si="17"/>
        <v/>
      </c>
      <c r="G467" t="str">
        <f t="shared" si="18"/>
        <v/>
      </c>
    </row>
    <row r="468" spans="3:7" ht="15" hidden="1" x14ac:dyDescent="0.25">
      <c r="C468" s="4" t="str">
        <f>IFERROR(AVERAGEIFS('2. Program Allocation Output'!$P:$P,'2. Program Allocation Output'!$AF:$AF,$A468,'2. Program Allocation Output'!$AG:$AG,$B468),"")</f>
        <v/>
      </c>
      <c r="D468" s="4" t="str">
        <f>IFERROR(AVERAGEIFS('2. Program Allocation Output'!$O:$O,'2. Program Allocation Output'!$AF:$AF,$A468,'2. Program Allocation Output'!$AG:$AG,$B468),"")</f>
        <v/>
      </c>
      <c r="E468" s="5" t="str">
        <f>IFERROR(AVERAGEIFS('2. Program Allocation Output'!$L:$L,'2. Program Allocation Output'!$AF:$AF,$A468,'2. Program Allocation Output'!$AG:$AG,$B468),"")</f>
        <v/>
      </c>
      <c r="F468" s="39" t="str">
        <f t="shared" si="17"/>
        <v/>
      </c>
      <c r="G468" t="str">
        <f t="shared" si="18"/>
        <v/>
      </c>
    </row>
    <row r="469" spans="3:7" ht="15" hidden="1" x14ac:dyDescent="0.25">
      <c r="C469" s="4" t="str">
        <f>IFERROR(AVERAGEIFS('2. Program Allocation Output'!$P:$P,'2. Program Allocation Output'!$AF:$AF,$A469,'2. Program Allocation Output'!$AG:$AG,$B469),"")</f>
        <v/>
      </c>
      <c r="D469" s="4" t="str">
        <f>IFERROR(AVERAGEIFS('2. Program Allocation Output'!$O:$O,'2. Program Allocation Output'!$AF:$AF,$A469,'2. Program Allocation Output'!$AG:$AG,$B469),"")</f>
        <v/>
      </c>
      <c r="E469" s="5" t="str">
        <f>IFERROR(AVERAGEIFS('2. Program Allocation Output'!$L:$L,'2. Program Allocation Output'!$AF:$AF,$A469,'2. Program Allocation Output'!$AG:$AG,$B469),"")</f>
        <v/>
      </c>
      <c r="F469" s="39" t="str">
        <f t="shared" si="17"/>
        <v/>
      </c>
      <c r="G469" t="str">
        <f t="shared" si="18"/>
        <v/>
      </c>
    </row>
    <row r="470" spans="3:7" ht="15" hidden="1" x14ac:dyDescent="0.25">
      <c r="C470" s="4" t="str">
        <f>IFERROR(AVERAGEIFS('2. Program Allocation Output'!$P:$P,'2. Program Allocation Output'!$AF:$AF,$A470,'2. Program Allocation Output'!$AG:$AG,$B470),"")</f>
        <v/>
      </c>
      <c r="D470" s="4" t="str">
        <f>IFERROR(AVERAGEIFS('2. Program Allocation Output'!$O:$O,'2. Program Allocation Output'!$AF:$AF,$A470,'2. Program Allocation Output'!$AG:$AG,$B470),"")</f>
        <v/>
      </c>
      <c r="E470" s="5" t="str">
        <f>IFERROR(AVERAGEIFS('2. Program Allocation Output'!$L:$L,'2. Program Allocation Output'!$AF:$AF,$A470,'2. Program Allocation Output'!$AG:$AG,$B470),"")</f>
        <v/>
      </c>
      <c r="F470" s="39" t="str">
        <f t="shared" si="17"/>
        <v/>
      </c>
      <c r="G470" t="str">
        <f t="shared" si="18"/>
        <v/>
      </c>
    </row>
    <row r="471" spans="3:7" ht="15" hidden="1" x14ac:dyDescent="0.25">
      <c r="C471" s="4" t="str">
        <f>IFERROR(AVERAGEIFS('2. Program Allocation Output'!$P:$P,'2. Program Allocation Output'!$AF:$AF,$A471,'2. Program Allocation Output'!$AG:$AG,$B471),"")</f>
        <v/>
      </c>
      <c r="D471" s="4" t="str">
        <f>IFERROR(AVERAGEIFS('2. Program Allocation Output'!$O:$O,'2. Program Allocation Output'!$AF:$AF,$A471,'2. Program Allocation Output'!$AG:$AG,$B471),"")</f>
        <v/>
      </c>
      <c r="E471" s="5" t="str">
        <f>IFERROR(AVERAGEIFS('2. Program Allocation Output'!$L:$L,'2. Program Allocation Output'!$AF:$AF,$A471,'2. Program Allocation Output'!$AG:$AG,$B471),"")</f>
        <v/>
      </c>
      <c r="F471" s="39" t="str">
        <f t="shared" si="17"/>
        <v/>
      </c>
      <c r="G471" t="str">
        <f t="shared" si="18"/>
        <v/>
      </c>
    </row>
    <row r="472" spans="3:7" ht="15" hidden="1" x14ac:dyDescent="0.25">
      <c r="C472" s="4" t="str">
        <f>IFERROR(AVERAGEIFS('2. Program Allocation Output'!$P:$P,'2. Program Allocation Output'!$AF:$AF,$A472,'2. Program Allocation Output'!$AG:$AG,$B472),"")</f>
        <v/>
      </c>
      <c r="D472" s="4" t="str">
        <f>IFERROR(AVERAGEIFS('2. Program Allocation Output'!$O:$O,'2. Program Allocation Output'!$AF:$AF,$A472,'2. Program Allocation Output'!$AG:$AG,$B472),"")</f>
        <v/>
      </c>
      <c r="E472" s="5" t="str">
        <f>IFERROR(AVERAGEIFS('2. Program Allocation Output'!$L:$L,'2. Program Allocation Output'!$AF:$AF,$A472,'2. Program Allocation Output'!$AG:$AG,$B472),"")</f>
        <v/>
      </c>
      <c r="F472" s="39" t="str">
        <f t="shared" si="17"/>
        <v/>
      </c>
      <c r="G472" t="str">
        <f t="shared" si="18"/>
        <v/>
      </c>
    </row>
    <row r="473" spans="3:7" ht="15" hidden="1" x14ac:dyDescent="0.25">
      <c r="C473" s="4" t="str">
        <f>IFERROR(AVERAGEIFS('2. Program Allocation Output'!$P:$P,'2. Program Allocation Output'!$AF:$AF,$A473,'2. Program Allocation Output'!$AG:$AG,$B473),"")</f>
        <v/>
      </c>
      <c r="D473" s="4" t="str">
        <f>IFERROR(AVERAGEIFS('2. Program Allocation Output'!$O:$O,'2. Program Allocation Output'!$AF:$AF,$A473,'2. Program Allocation Output'!$AG:$AG,$B473),"")</f>
        <v/>
      </c>
      <c r="E473" s="5" t="str">
        <f>IFERROR(AVERAGEIFS('2. Program Allocation Output'!$L:$L,'2. Program Allocation Output'!$AF:$AF,$A473,'2. Program Allocation Output'!$AG:$AG,$B473),"")</f>
        <v/>
      </c>
      <c r="F473" s="39" t="str">
        <f t="shared" si="17"/>
        <v/>
      </c>
      <c r="G473" t="str">
        <f t="shared" si="18"/>
        <v/>
      </c>
    </row>
    <row r="474" spans="3:7" ht="15" hidden="1" x14ac:dyDescent="0.25">
      <c r="C474" s="4" t="str">
        <f>IFERROR(AVERAGEIFS('2. Program Allocation Output'!$P:$P,'2. Program Allocation Output'!$AF:$AF,$A474,'2. Program Allocation Output'!$AG:$AG,$B474),"")</f>
        <v/>
      </c>
      <c r="D474" s="4" t="str">
        <f>IFERROR(AVERAGEIFS('2. Program Allocation Output'!$O:$O,'2. Program Allocation Output'!$AF:$AF,$A474,'2. Program Allocation Output'!$AG:$AG,$B474),"")</f>
        <v/>
      </c>
      <c r="E474" s="5" t="str">
        <f>IFERROR(AVERAGEIFS('2. Program Allocation Output'!$L:$L,'2. Program Allocation Output'!$AF:$AF,$A474,'2. Program Allocation Output'!$AG:$AG,$B474),"")</f>
        <v/>
      </c>
      <c r="F474" s="39" t="str">
        <f t="shared" si="17"/>
        <v/>
      </c>
      <c r="G474" t="str">
        <f t="shared" si="18"/>
        <v/>
      </c>
    </row>
    <row r="475" spans="3:7" ht="15" hidden="1" x14ac:dyDescent="0.25">
      <c r="C475" s="4" t="str">
        <f>IFERROR(AVERAGEIFS('2. Program Allocation Output'!$P:$P,'2. Program Allocation Output'!$AF:$AF,$A475,'2. Program Allocation Output'!$AG:$AG,$B475),"")</f>
        <v/>
      </c>
      <c r="D475" s="4" t="str">
        <f>IFERROR(AVERAGEIFS('2. Program Allocation Output'!$O:$O,'2. Program Allocation Output'!$AF:$AF,$A475,'2. Program Allocation Output'!$AG:$AG,$B475),"")</f>
        <v/>
      </c>
      <c r="E475" s="5" t="str">
        <f>IFERROR(AVERAGEIFS('2. Program Allocation Output'!$L:$L,'2. Program Allocation Output'!$AF:$AF,$A475,'2. Program Allocation Output'!$AG:$AG,$B475),"")</f>
        <v/>
      </c>
      <c r="F475" s="39" t="str">
        <f t="shared" si="17"/>
        <v/>
      </c>
      <c r="G475" t="str">
        <f t="shared" si="18"/>
        <v/>
      </c>
    </row>
    <row r="476" spans="3:7" ht="15" hidden="1" x14ac:dyDescent="0.25">
      <c r="C476" s="4" t="str">
        <f>IFERROR(AVERAGEIFS('2. Program Allocation Output'!$P:$P,'2. Program Allocation Output'!$AF:$AF,$A476,'2. Program Allocation Output'!$AG:$AG,$B476),"")</f>
        <v/>
      </c>
      <c r="D476" s="4" t="str">
        <f>IFERROR(AVERAGEIFS('2. Program Allocation Output'!$O:$O,'2. Program Allocation Output'!$AF:$AF,$A476,'2. Program Allocation Output'!$AG:$AG,$B476),"")</f>
        <v/>
      </c>
      <c r="E476" s="5" t="str">
        <f>IFERROR(AVERAGEIFS('2. Program Allocation Output'!$L:$L,'2. Program Allocation Output'!$AF:$AF,$A476,'2. Program Allocation Output'!$AG:$AG,$B476),"")</f>
        <v/>
      </c>
      <c r="F476" s="39" t="str">
        <f t="shared" si="17"/>
        <v/>
      </c>
      <c r="G476" t="str">
        <f t="shared" si="18"/>
        <v/>
      </c>
    </row>
    <row r="477" spans="3:7" ht="15" hidden="1" x14ac:dyDescent="0.25">
      <c r="C477" s="4" t="str">
        <f>IFERROR(AVERAGEIFS('2. Program Allocation Output'!$P:$P,'2. Program Allocation Output'!$AF:$AF,$A477,'2. Program Allocation Output'!$AG:$AG,$B477),"")</f>
        <v/>
      </c>
      <c r="D477" s="4" t="str">
        <f>IFERROR(AVERAGEIFS('2. Program Allocation Output'!$O:$O,'2. Program Allocation Output'!$AF:$AF,$A477,'2. Program Allocation Output'!$AG:$AG,$B477),"")</f>
        <v/>
      </c>
      <c r="E477" s="5" t="str">
        <f>IFERROR(AVERAGEIFS('2. Program Allocation Output'!$L:$L,'2. Program Allocation Output'!$AF:$AF,$A477,'2. Program Allocation Output'!$AG:$AG,$B477),"")</f>
        <v/>
      </c>
      <c r="F477" s="39" t="str">
        <f t="shared" si="17"/>
        <v/>
      </c>
      <c r="G477" t="str">
        <f t="shared" si="18"/>
        <v/>
      </c>
    </row>
    <row r="478" spans="3:7" ht="15" hidden="1" x14ac:dyDescent="0.25">
      <c r="C478" s="4" t="str">
        <f>IFERROR(AVERAGEIFS('2. Program Allocation Output'!$P:$P,'2. Program Allocation Output'!$AF:$AF,$A478,'2. Program Allocation Output'!$AG:$AG,$B478),"")</f>
        <v/>
      </c>
      <c r="D478" s="4" t="str">
        <f>IFERROR(AVERAGEIFS('2. Program Allocation Output'!$O:$O,'2. Program Allocation Output'!$AF:$AF,$A478,'2. Program Allocation Output'!$AG:$AG,$B478),"")</f>
        <v/>
      </c>
      <c r="E478" s="5" t="str">
        <f>IFERROR(AVERAGEIFS('2. Program Allocation Output'!$L:$L,'2. Program Allocation Output'!$AF:$AF,$A478,'2. Program Allocation Output'!$AG:$AG,$B478),"")</f>
        <v/>
      </c>
      <c r="F478" s="39" t="str">
        <f t="shared" si="17"/>
        <v/>
      </c>
      <c r="G478" t="str">
        <f t="shared" si="18"/>
        <v/>
      </c>
    </row>
    <row r="479" spans="3:7" ht="15" hidden="1" x14ac:dyDescent="0.25">
      <c r="C479" s="4" t="str">
        <f>IFERROR(AVERAGEIFS('2. Program Allocation Output'!$P:$P,'2. Program Allocation Output'!$AF:$AF,$A479,'2. Program Allocation Output'!$AG:$AG,$B479),"")</f>
        <v/>
      </c>
      <c r="D479" s="4" t="str">
        <f>IFERROR(AVERAGEIFS('2. Program Allocation Output'!$O:$O,'2. Program Allocation Output'!$AF:$AF,$A479,'2. Program Allocation Output'!$AG:$AG,$B479),"")</f>
        <v/>
      </c>
      <c r="E479" s="5" t="str">
        <f>IFERROR(AVERAGEIFS('2. Program Allocation Output'!$L:$L,'2. Program Allocation Output'!$AF:$AF,$A479,'2. Program Allocation Output'!$AG:$AG,$B479),"")</f>
        <v/>
      </c>
      <c r="F479" s="39" t="str">
        <f t="shared" si="17"/>
        <v/>
      </c>
      <c r="G479" t="str">
        <f t="shared" si="18"/>
        <v/>
      </c>
    </row>
    <row r="480" spans="3:7" ht="15" hidden="1" x14ac:dyDescent="0.25">
      <c r="C480" s="4" t="str">
        <f>IFERROR(AVERAGEIFS('2. Program Allocation Output'!$P:$P,'2. Program Allocation Output'!$AF:$AF,$A480,'2. Program Allocation Output'!$AG:$AG,$B480),"")</f>
        <v/>
      </c>
      <c r="D480" s="4" t="str">
        <f>IFERROR(AVERAGEIFS('2. Program Allocation Output'!$O:$O,'2. Program Allocation Output'!$AF:$AF,$A480,'2. Program Allocation Output'!$AG:$AG,$B480),"")</f>
        <v/>
      </c>
      <c r="E480" s="5" t="str">
        <f>IFERROR(AVERAGEIFS('2. Program Allocation Output'!$L:$L,'2. Program Allocation Output'!$AF:$AF,$A480,'2. Program Allocation Output'!$AG:$AG,$B480),"")</f>
        <v/>
      </c>
      <c r="F480" s="39" t="str">
        <f t="shared" si="17"/>
        <v/>
      </c>
      <c r="G480" t="str">
        <f t="shared" si="18"/>
        <v/>
      </c>
    </row>
    <row r="481" spans="3:7" ht="15" hidden="1" x14ac:dyDescent="0.25">
      <c r="C481" s="4" t="str">
        <f>IFERROR(AVERAGEIFS('2. Program Allocation Output'!$P:$P,'2. Program Allocation Output'!$AF:$AF,$A481,'2. Program Allocation Output'!$AG:$AG,$B481),"")</f>
        <v/>
      </c>
      <c r="D481" s="4" t="str">
        <f>IFERROR(AVERAGEIFS('2. Program Allocation Output'!$O:$O,'2. Program Allocation Output'!$AF:$AF,$A481,'2. Program Allocation Output'!$AG:$AG,$B481),"")</f>
        <v/>
      </c>
      <c r="E481" s="5" t="str">
        <f>IFERROR(AVERAGEIFS('2. Program Allocation Output'!$L:$L,'2. Program Allocation Output'!$AF:$AF,$A481,'2. Program Allocation Output'!$AG:$AG,$B481),"")</f>
        <v/>
      </c>
      <c r="F481" s="39" t="str">
        <f t="shared" si="17"/>
        <v/>
      </c>
      <c r="G481" t="str">
        <f t="shared" si="18"/>
        <v/>
      </c>
    </row>
    <row r="482" spans="3:7" ht="15" hidden="1" x14ac:dyDescent="0.25">
      <c r="C482" s="4" t="str">
        <f>IFERROR(AVERAGEIFS('2. Program Allocation Output'!$P:$P,'2. Program Allocation Output'!$AF:$AF,$A482,'2. Program Allocation Output'!$AG:$AG,$B482),"")</f>
        <v/>
      </c>
      <c r="D482" s="4" t="str">
        <f>IFERROR(AVERAGEIFS('2. Program Allocation Output'!$O:$O,'2. Program Allocation Output'!$AF:$AF,$A482,'2. Program Allocation Output'!$AG:$AG,$B482),"")</f>
        <v/>
      </c>
      <c r="E482" s="5" t="str">
        <f>IFERROR(AVERAGEIFS('2. Program Allocation Output'!$L:$L,'2. Program Allocation Output'!$AF:$AF,$A482,'2. Program Allocation Output'!$AG:$AG,$B482),"")</f>
        <v/>
      </c>
      <c r="F482" s="39" t="str">
        <f t="shared" si="17"/>
        <v/>
      </c>
      <c r="G482" t="str">
        <f t="shared" si="18"/>
        <v/>
      </c>
    </row>
    <row r="483" spans="3:7" ht="15" hidden="1" x14ac:dyDescent="0.25">
      <c r="C483" s="4" t="str">
        <f>IFERROR(AVERAGEIFS('2. Program Allocation Output'!$P:$P,'2. Program Allocation Output'!$AF:$AF,$A483,'2. Program Allocation Output'!$AG:$AG,$B483),"")</f>
        <v/>
      </c>
      <c r="D483" s="4" t="str">
        <f>IFERROR(AVERAGEIFS('2. Program Allocation Output'!$O:$O,'2. Program Allocation Output'!$AF:$AF,$A483,'2. Program Allocation Output'!$AG:$AG,$B483),"")</f>
        <v/>
      </c>
      <c r="E483" s="5" t="str">
        <f>IFERROR(AVERAGEIFS('2. Program Allocation Output'!$L:$L,'2. Program Allocation Output'!$AF:$AF,$A483,'2. Program Allocation Output'!$AG:$AG,$B483),"")</f>
        <v/>
      </c>
      <c r="F483" s="39" t="str">
        <f t="shared" si="17"/>
        <v/>
      </c>
      <c r="G483" t="str">
        <f t="shared" si="18"/>
        <v/>
      </c>
    </row>
    <row r="484" spans="3:7" ht="15" hidden="1" x14ac:dyDescent="0.25">
      <c r="C484" s="4" t="str">
        <f>IFERROR(AVERAGEIFS('2. Program Allocation Output'!$P:$P,'2. Program Allocation Output'!$AF:$AF,$A484,'2. Program Allocation Output'!$AG:$AG,$B484),"")</f>
        <v/>
      </c>
      <c r="D484" s="4" t="str">
        <f>IFERROR(AVERAGEIFS('2. Program Allocation Output'!$O:$O,'2. Program Allocation Output'!$AF:$AF,$A484,'2. Program Allocation Output'!$AG:$AG,$B484),"")</f>
        <v/>
      </c>
      <c r="E484" s="5" t="str">
        <f>IFERROR(AVERAGEIFS('2. Program Allocation Output'!$L:$L,'2. Program Allocation Output'!$AF:$AF,$A484,'2. Program Allocation Output'!$AG:$AG,$B484),"")</f>
        <v/>
      </c>
      <c r="F484" s="39" t="str">
        <f t="shared" si="17"/>
        <v/>
      </c>
      <c r="G484" t="str">
        <f t="shared" si="18"/>
        <v/>
      </c>
    </row>
    <row r="485" spans="3:7" ht="15" hidden="1" x14ac:dyDescent="0.25">
      <c r="C485" s="4" t="str">
        <f>IFERROR(AVERAGEIFS('2. Program Allocation Output'!$P:$P,'2. Program Allocation Output'!$AF:$AF,$A485,'2. Program Allocation Output'!$AG:$AG,$B485),"")</f>
        <v/>
      </c>
      <c r="D485" s="4" t="str">
        <f>IFERROR(AVERAGEIFS('2. Program Allocation Output'!$O:$O,'2. Program Allocation Output'!$AF:$AF,$A485,'2. Program Allocation Output'!$AG:$AG,$B485),"")</f>
        <v/>
      </c>
      <c r="E485" s="5" t="str">
        <f>IFERROR(AVERAGEIFS('2. Program Allocation Output'!$L:$L,'2. Program Allocation Output'!$AF:$AF,$A485,'2. Program Allocation Output'!$AG:$AG,$B485),"")</f>
        <v/>
      </c>
      <c r="F485" s="39" t="str">
        <f t="shared" si="17"/>
        <v/>
      </c>
      <c r="G485" t="str">
        <f t="shared" si="18"/>
        <v/>
      </c>
    </row>
    <row r="486" spans="3:7" ht="15" hidden="1" x14ac:dyDescent="0.25">
      <c r="C486" s="4" t="str">
        <f>IFERROR(AVERAGEIFS('2. Program Allocation Output'!$P:$P,'2. Program Allocation Output'!$AF:$AF,$A486,'2. Program Allocation Output'!$AG:$AG,$B486),"")</f>
        <v/>
      </c>
      <c r="D486" s="4" t="str">
        <f>IFERROR(AVERAGEIFS('2. Program Allocation Output'!$O:$O,'2. Program Allocation Output'!$AF:$AF,$A486,'2. Program Allocation Output'!$AG:$AG,$B486),"")</f>
        <v/>
      </c>
      <c r="E486" s="5" t="str">
        <f>IFERROR(AVERAGEIFS('2. Program Allocation Output'!$L:$L,'2. Program Allocation Output'!$AF:$AF,$A486,'2. Program Allocation Output'!$AG:$AG,$B486),"")</f>
        <v/>
      </c>
      <c r="F486" s="39" t="str">
        <f t="shared" si="17"/>
        <v/>
      </c>
      <c r="G486" t="str">
        <f t="shared" si="18"/>
        <v/>
      </c>
    </row>
    <row r="487" spans="3:7" ht="15" hidden="1" x14ac:dyDescent="0.25">
      <c r="C487" s="4" t="str">
        <f>IFERROR(AVERAGEIFS('2. Program Allocation Output'!$P:$P,'2. Program Allocation Output'!$AF:$AF,$A487,'2. Program Allocation Output'!$AG:$AG,$B487),"")</f>
        <v/>
      </c>
      <c r="D487" s="4" t="str">
        <f>IFERROR(AVERAGEIFS('2. Program Allocation Output'!$O:$O,'2. Program Allocation Output'!$AF:$AF,$A487,'2. Program Allocation Output'!$AG:$AG,$B487),"")</f>
        <v/>
      </c>
      <c r="E487" s="5" t="str">
        <f>IFERROR(AVERAGEIFS('2. Program Allocation Output'!$L:$L,'2. Program Allocation Output'!$AF:$AF,$A487,'2. Program Allocation Output'!$AG:$AG,$B487),"")</f>
        <v/>
      </c>
      <c r="F487" s="39" t="str">
        <f t="shared" si="17"/>
        <v/>
      </c>
      <c r="G487" t="str">
        <f t="shared" si="18"/>
        <v/>
      </c>
    </row>
    <row r="488" spans="3:7" ht="15" hidden="1" x14ac:dyDescent="0.25">
      <c r="C488" s="4" t="str">
        <f>IFERROR(AVERAGEIFS('2. Program Allocation Output'!$P:$P,'2. Program Allocation Output'!$AF:$AF,$A488,'2. Program Allocation Output'!$AG:$AG,$B488),"")</f>
        <v/>
      </c>
      <c r="D488" s="4" t="str">
        <f>IFERROR(AVERAGEIFS('2. Program Allocation Output'!$O:$O,'2. Program Allocation Output'!$AF:$AF,$A488,'2. Program Allocation Output'!$AG:$AG,$B488),"")</f>
        <v/>
      </c>
      <c r="E488" s="5" t="str">
        <f>IFERROR(AVERAGEIFS('2. Program Allocation Output'!$L:$L,'2. Program Allocation Output'!$AF:$AF,$A488,'2. Program Allocation Output'!$AG:$AG,$B488),"")</f>
        <v/>
      </c>
      <c r="F488" s="39" t="str">
        <f t="shared" si="17"/>
        <v/>
      </c>
      <c r="G488" t="str">
        <f t="shared" si="18"/>
        <v/>
      </c>
    </row>
    <row r="489" spans="3:7" ht="15" hidden="1" x14ac:dyDescent="0.25">
      <c r="C489" s="4" t="str">
        <f>IFERROR(AVERAGEIFS('2. Program Allocation Output'!$P:$P,'2. Program Allocation Output'!$AF:$AF,$A489,'2. Program Allocation Output'!$AG:$AG,$B489),"")</f>
        <v/>
      </c>
      <c r="D489" s="4" t="str">
        <f>IFERROR(AVERAGEIFS('2. Program Allocation Output'!$O:$O,'2. Program Allocation Output'!$AF:$AF,$A489,'2. Program Allocation Output'!$AG:$AG,$B489),"")</f>
        <v/>
      </c>
      <c r="E489" s="5" t="str">
        <f>IFERROR(AVERAGEIFS('2. Program Allocation Output'!$L:$L,'2. Program Allocation Output'!$AF:$AF,$A489,'2. Program Allocation Output'!$AG:$AG,$B489),"")</f>
        <v/>
      </c>
      <c r="F489" s="39" t="str">
        <f t="shared" si="17"/>
        <v/>
      </c>
      <c r="G489" t="str">
        <f t="shared" si="18"/>
        <v/>
      </c>
    </row>
    <row r="490" spans="3:7" ht="15" hidden="1" x14ac:dyDescent="0.25">
      <c r="C490" s="4" t="str">
        <f>IFERROR(AVERAGEIFS('2. Program Allocation Output'!$P:$P,'2. Program Allocation Output'!$AF:$AF,$A490,'2. Program Allocation Output'!$AG:$AG,$B490),"")</f>
        <v/>
      </c>
      <c r="D490" s="4" t="str">
        <f>IFERROR(AVERAGEIFS('2. Program Allocation Output'!$O:$O,'2. Program Allocation Output'!$AF:$AF,$A490,'2. Program Allocation Output'!$AG:$AG,$B490),"")</f>
        <v/>
      </c>
      <c r="E490" s="5" t="str">
        <f>IFERROR(AVERAGEIFS('2. Program Allocation Output'!$L:$L,'2. Program Allocation Output'!$AF:$AF,$A490,'2. Program Allocation Output'!$AG:$AG,$B490),"")</f>
        <v/>
      </c>
      <c r="F490" s="39" t="str">
        <f t="shared" si="17"/>
        <v/>
      </c>
      <c r="G490" t="str">
        <f t="shared" si="18"/>
        <v/>
      </c>
    </row>
    <row r="491" spans="3:7" ht="15" hidden="1" x14ac:dyDescent="0.25">
      <c r="C491" s="4" t="str">
        <f>IFERROR(AVERAGEIFS('2. Program Allocation Output'!$P:$P,'2. Program Allocation Output'!$AF:$AF,$A491,'2. Program Allocation Output'!$AG:$AG,$B491),"")</f>
        <v/>
      </c>
      <c r="D491" s="4" t="str">
        <f>IFERROR(AVERAGEIFS('2. Program Allocation Output'!$O:$O,'2. Program Allocation Output'!$AF:$AF,$A491,'2. Program Allocation Output'!$AG:$AG,$B491),"")</f>
        <v/>
      </c>
      <c r="E491" s="5" t="str">
        <f>IFERROR(AVERAGEIFS('2. Program Allocation Output'!$L:$L,'2. Program Allocation Output'!$AF:$AF,$A491,'2. Program Allocation Output'!$AG:$AG,$B491),"")</f>
        <v/>
      </c>
      <c r="F491" s="39" t="str">
        <f t="shared" si="17"/>
        <v/>
      </c>
      <c r="G491" t="str">
        <f t="shared" si="18"/>
        <v/>
      </c>
    </row>
    <row r="492" spans="3:7" ht="15" hidden="1" x14ac:dyDescent="0.25">
      <c r="C492" s="4" t="str">
        <f>IFERROR(AVERAGEIFS('2. Program Allocation Output'!$P:$P,'2. Program Allocation Output'!$AF:$AF,$A492,'2. Program Allocation Output'!$AG:$AG,$B492),"")</f>
        <v/>
      </c>
      <c r="D492" s="4" t="str">
        <f>IFERROR(AVERAGEIFS('2. Program Allocation Output'!$O:$O,'2. Program Allocation Output'!$AF:$AF,$A492,'2. Program Allocation Output'!$AG:$AG,$B492),"")</f>
        <v/>
      </c>
      <c r="E492" s="5" t="str">
        <f>IFERROR(AVERAGEIFS('2. Program Allocation Output'!$L:$L,'2. Program Allocation Output'!$AF:$AF,$A492,'2. Program Allocation Output'!$AG:$AG,$B492),"")</f>
        <v/>
      </c>
      <c r="F492" s="39" t="str">
        <f t="shared" si="17"/>
        <v/>
      </c>
      <c r="G492" t="str">
        <f t="shared" si="18"/>
        <v/>
      </c>
    </row>
    <row r="493" spans="3:7" ht="15" hidden="1" x14ac:dyDescent="0.25">
      <c r="C493" s="4" t="str">
        <f>IFERROR(AVERAGEIFS('2. Program Allocation Output'!$P:$P,'2. Program Allocation Output'!$AF:$AF,$A493,'2. Program Allocation Output'!$AG:$AG,$B493),"")</f>
        <v/>
      </c>
      <c r="D493" s="4" t="str">
        <f>IFERROR(AVERAGEIFS('2. Program Allocation Output'!$O:$O,'2. Program Allocation Output'!$AF:$AF,$A493,'2. Program Allocation Output'!$AG:$AG,$B493),"")</f>
        <v/>
      </c>
      <c r="E493" s="5" t="str">
        <f>IFERROR(AVERAGEIFS('2. Program Allocation Output'!$L:$L,'2. Program Allocation Output'!$AF:$AF,$A493,'2. Program Allocation Output'!$AG:$AG,$B493),"")</f>
        <v/>
      </c>
      <c r="F493" s="39" t="str">
        <f t="shared" si="17"/>
        <v/>
      </c>
      <c r="G493" t="str">
        <f t="shared" si="18"/>
        <v/>
      </c>
    </row>
    <row r="494" spans="3:7" ht="15" hidden="1" x14ac:dyDescent="0.25">
      <c r="C494" s="4" t="str">
        <f>IFERROR(AVERAGEIFS('2. Program Allocation Output'!$P:$P,'2. Program Allocation Output'!$AF:$AF,$A494,'2. Program Allocation Output'!$AG:$AG,$B494),"")</f>
        <v/>
      </c>
      <c r="D494" s="4" t="str">
        <f>IFERROR(AVERAGEIFS('2. Program Allocation Output'!$O:$O,'2. Program Allocation Output'!$AF:$AF,$A494,'2. Program Allocation Output'!$AG:$AG,$B494),"")</f>
        <v/>
      </c>
      <c r="E494" s="5" t="str">
        <f>IFERROR(AVERAGEIFS('2. Program Allocation Output'!$L:$L,'2. Program Allocation Output'!$AF:$AF,$A494,'2. Program Allocation Output'!$AG:$AG,$B494),"")</f>
        <v/>
      </c>
      <c r="F494" s="39" t="str">
        <f t="shared" si="17"/>
        <v/>
      </c>
      <c r="G494" t="str">
        <f t="shared" si="18"/>
        <v/>
      </c>
    </row>
    <row r="495" spans="3:7" ht="15" hidden="1" x14ac:dyDescent="0.25">
      <c r="C495" s="4" t="str">
        <f>IFERROR(AVERAGEIFS('2. Program Allocation Output'!$P:$P,'2. Program Allocation Output'!$AF:$AF,$A495,'2. Program Allocation Output'!$AG:$AG,$B495),"")</f>
        <v/>
      </c>
      <c r="D495" s="4" t="str">
        <f>IFERROR(AVERAGEIFS('2. Program Allocation Output'!$O:$O,'2. Program Allocation Output'!$AF:$AF,$A495,'2. Program Allocation Output'!$AG:$AG,$B495),"")</f>
        <v/>
      </c>
      <c r="E495" s="5" t="str">
        <f>IFERROR(AVERAGEIFS('2. Program Allocation Output'!$L:$L,'2. Program Allocation Output'!$AF:$AF,$A495,'2. Program Allocation Output'!$AG:$AG,$B495),"")</f>
        <v/>
      </c>
      <c r="F495" s="39" t="str">
        <f t="shared" si="17"/>
        <v/>
      </c>
      <c r="G495" t="str">
        <f t="shared" si="18"/>
        <v/>
      </c>
    </row>
    <row r="496" spans="3:7" ht="15" hidden="1" x14ac:dyDescent="0.25">
      <c r="C496" s="4" t="str">
        <f>IFERROR(AVERAGEIFS('2. Program Allocation Output'!$P:$P,'2. Program Allocation Output'!$AF:$AF,$A496,'2. Program Allocation Output'!$AG:$AG,$B496),"")</f>
        <v/>
      </c>
      <c r="D496" s="4" t="str">
        <f>IFERROR(AVERAGEIFS('2. Program Allocation Output'!$O:$O,'2. Program Allocation Output'!$AF:$AF,$A496,'2. Program Allocation Output'!$AG:$AG,$B496),"")</f>
        <v/>
      </c>
      <c r="E496" s="5" t="str">
        <f>IFERROR(AVERAGEIFS('2. Program Allocation Output'!$L:$L,'2. Program Allocation Output'!$AF:$AF,$A496,'2. Program Allocation Output'!$AG:$AG,$B496),"")</f>
        <v/>
      </c>
      <c r="F496" s="39" t="str">
        <f t="shared" si="17"/>
        <v/>
      </c>
      <c r="G496" t="str">
        <f t="shared" si="18"/>
        <v/>
      </c>
    </row>
    <row r="497" spans="3:7" ht="15" hidden="1" x14ac:dyDescent="0.25">
      <c r="C497" s="4" t="str">
        <f>IFERROR(AVERAGEIFS('2. Program Allocation Output'!$P:$P,'2. Program Allocation Output'!$AF:$AF,$A497,'2. Program Allocation Output'!$AG:$AG,$B497),"")</f>
        <v/>
      </c>
      <c r="D497" s="4" t="str">
        <f>IFERROR(AVERAGEIFS('2. Program Allocation Output'!$O:$O,'2. Program Allocation Output'!$AF:$AF,$A497,'2. Program Allocation Output'!$AG:$AG,$B497),"")</f>
        <v/>
      </c>
      <c r="E497" s="5" t="str">
        <f>IFERROR(AVERAGEIFS('2. Program Allocation Output'!$L:$L,'2. Program Allocation Output'!$AF:$AF,$A497,'2. Program Allocation Output'!$AG:$AG,$B497),"")</f>
        <v/>
      </c>
      <c r="F497" s="39" t="str">
        <f t="shared" si="17"/>
        <v/>
      </c>
      <c r="G497" t="str">
        <f t="shared" si="18"/>
        <v/>
      </c>
    </row>
    <row r="498" spans="3:7" ht="15" hidden="1" x14ac:dyDescent="0.25">
      <c r="C498" s="4" t="str">
        <f>IFERROR(AVERAGEIFS('2. Program Allocation Output'!$P:$P,'2. Program Allocation Output'!$AF:$AF,$A498,'2. Program Allocation Output'!$AG:$AG,$B498),"")</f>
        <v/>
      </c>
      <c r="D498" s="4" t="str">
        <f>IFERROR(AVERAGEIFS('2. Program Allocation Output'!$O:$O,'2. Program Allocation Output'!$AF:$AF,$A498,'2. Program Allocation Output'!$AG:$AG,$B498),"")</f>
        <v/>
      </c>
      <c r="E498" s="5" t="str">
        <f>IFERROR(AVERAGEIFS('2. Program Allocation Output'!$L:$L,'2. Program Allocation Output'!$AF:$AF,$A498,'2. Program Allocation Output'!$AG:$AG,$B498),"")</f>
        <v/>
      </c>
      <c r="F498" s="39" t="str">
        <f t="shared" si="17"/>
        <v/>
      </c>
      <c r="G498" t="str">
        <f t="shared" si="18"/>
        <v/>
      </c>
    </row>
    <row r="499" spans="3:7" ht="15" hidden="1" x14ac:dyDescent="0.25">
      <c r="C499" s="4" t="str">
        <f>IFERROR(AVERAGEIFS('2. Program Allocation Output'!$P:$P,'2. Program Allocation Output'!$AF:$AF,$A499,'2. Program Allocation Output'!$AG:$AG,$B499),"")</f>
        <v/>
      </c>
      <c r="D499" s="4" t="str">
        <f>IFERROR(AVERAGEIFS('2. Program Allocation Output'!$O:$O,'2. Program Allocation Output'!$AF:$AF,$A499,'2. Program Allocation Output'!$AG:$AG,$B499),"")</f>
        <v/>
      </c>
      <c r="E499" s="5" t="str">
        <f>IFERROR(AVERAGEIFS('2. Program Allocation Output'!$L:$L,'2. Program Allocation Output'!$AF:$AF,$A499,'2. Program Allocation Output'!$AG:$AG,$B499),"")</f>
        <v/>
      </c>
      <c r="F499" s="39" t="str">
        <f t="shared" si="17"/>
        <v/>
      </c>
      <c r="G499" t="str">
        <f t="shared" si="18"/>
        <v/>
      </c>
    </row>
    <row r="500" spans="3:7" ht="15" hidden="1" x14ac:dyDescent="0.25">
      <c r="C500" s="4" t="str">
        <f>IFERROR(AVERAGEIFS('2. Program Allocation Output'!$P:$P,'2. Program Allocation Output'!$AF:$AF,$A500,'2. Program Allocation Output'!$AG:$AG,$B500),"")</f>
        <v/>
      </c>
      <c r="D500" s="4" t="str">
        <f>IFERROR(AVERAGEIFS('2. Program Allocation Output'!$O:$O,'2. Program Allocation Output'!$AF:$AF,$A500,'2. Program Allocation Output'!$AG:$AG,$B500),"")</f>
        <v/>
      </c>
      <c r="E500" s="5" t="str">
        <f>IFERROR(AVERAGEIFS('2. Program Allocation Output'!$L:$L,'2. Program Allocation Output'!$AF:$AF,$A500,'2. Program Allocation Output'!$AG:$AG,$B500),"")</f>
        <v/>
      </c>
      <c r="F500" s="39" t="str">
        <f t="shared" si="17"/>
        <v/>
      </c>
      <c r="G500" t="str">
        <f t="shared" si="18"/>
        <v/>
      </c>
    </row>
    <row r="501" spans="3:7" ht="15" hidden="1" x14ac:dyDescent="0.25">
      <c r="C501" s="4" t="str">
        <f>IFERROR(AVERAGEIFS('2. Program Allocation Output'!$P:$P,'2. Program Allocation Output'!$AF:$AF,$A501,'2. Program Allocation Output'!$AG:$AG,$B501),"")</f>
        <v/>
      </c>
      <c r="D501" s="4" t="str">
        <f>IFERROR(AVERAGEIFS('2. Program Allocation Output'!$O:$O,'2. Program Allocation Output'!$AF:$AF,$A501,'2. Program Allocation Output'!$AG:$AG,$B501),"")</f>
        <v/>
      </c>
      <c r="E501" s="5" t="str">
        <f>IFERROR(AVERAGEIFS('2. Program Allocation Output'!$L:$L,'2. Program Allocation Output'!$AF:$AF,$A501,'2. Program Allocation Output'!$AG:$AG,$B501),"")</f>
        <v/>
      </c>
      <c r="F501" s="39" t="str">
        <f t="shared" si="17"/>
        <v/>
      </c>
      <c r="G501" t="str">
        <f t="shared" si="18"/>
        <v/>
      </c>
    </row>
    <row r="502" spans="3:7" ht="15" hidden="1" x14ac:dyDescent="0.25">
      <c r="C502" s="4" t="str">
        <f>IFERROR(AVERAGEIFS('2. Program Allocation Output'!$P:$P,'2. Program Allocation Output'!$AF:$AF,$A502,'2. Program Allocation Output'!$AG:$AG,$B502),"")</f>
        <v/>
      </c>
      <c r="D502" s="4" t="str">
        <f>IFERROR(AVERAGEIFS('2. Program Allocation Output'!$O:$O,'2. Program Allocation Output'!$AF:$AF,$A502,'2. Program Allocation Output'!$AG:$AG,$B502),"")</f>
        <v/>
      </c>
      <c r="E502" s="5" t="str">
        <f>IFERROR(AVERAGEIFS('2. Program Allocation Output'!$L:$L,'2. Program Allocation Output'!$AF:$AF,$A502,'2. Program Allocation Output'!$AG:$AG,$B502),"")</f>
        <v/>
      </c>
      <c r="F502" s="39" t="str">
        <f t="shared" si="17"/>
        <v/>
      </c>
      <c r="G502" t="str">
        <f t="shared" si="18"/>
        <v/>
      </c>
    </row>
    <row r="503" spans="3:7" ht="15" hidden="1" x14ac:dyDescent="0.25">
      <c r="C503" s="4" t="str">
        <f>IFERROR(AVERAGEIFS('2. Program Allocation Output'!$P:$P,'2. Program Allocation Output'!$AF:$AF,$A503,'2. Program Allocation Output'!$AG:$AG,$B503),"")</f>
        <v/>
      </c>
      <c r="D503" s="4" t="str">
        <f>IFERROR(AVERAGEIFS('2. Program Allocation Output'!$O:$O,'2. Program Allocation Output'!$AF:$AF,$A503,'2. Program Allocation Output'!$AG:$AG,$B503),"")</f>
        <v/>
      </c>
      <c r="E503" s="5" t="str">
        <f>IFERROR(AVERAGEIFS('2. Program Allocation Output'!$L:$L,'2. Program Allocation Output'!$AF:$AF,$A503,'2. Program Allocation Output'!$AG:$AG,$B503),"")</f>
        <v/>
      </c>
      <c r="F503" s="39" t="str">
        <f t="shared" si="17"/>
        <v/>
      </c>
      <c r="G503" t="str">
        <f t="shared" si="18"/>
        <v/>
      </c>
    </row>
    <row r="504" spans="3:7" ht="15" hidden="1" x14ac:dyDescent="0.25">
      <c r="C504" s="4" t="str">
        <f>IFERROR(AVERAGEIFS('2. Program Allocation Output'!$P:$P,'2. Program Allocation Output'!$AF:$AF,$A504,'2. Program Allocation Output'!$AG:$AG,$B504),"")</f>
        <v/>
      </c>
      <c r="D504" s="4" t="str">
        <f>IFERROR(AVERAGEIFS('2. Program Allocation Output'!$O:$O,'2. Program Allocation Output'!$AF:$AF,$A504,'2. Program Allocation Output'!$AG:$AG,$B504),"")</f>
        <v/>
      </c>
      <c r="E504" s="5" t="str">
        <f>IFERROR(AVERAGEIFS('2. Program Allocation Output'!$L:$L,'2. Program Allocation Output'!$AF:$AF,$A504,'2. Program Allocation Output'!$AG:$AG,$B504),"")</f>
        <v/>
      </c>
      <c r="F504" s="39" t="str">
        <f t="shared" si="17"/>
        <v/>
      </c>
      <c r="G504" t="str">
        <f t="shared" si="18"/>
        <v/>
      </c>
    </row>
    <row r="505" spans="3:7" ht="15" hidden="1" x14ac:dyDescent="0.25">
      <c r="C505" s="4" t="str">
        <f>IFERROR(AVERAGEIFS('2. Program Allocation Output'!$P:$P,'2. Program Allocation Output'!$AF:$AF,$A505,'2. Program Allocation Output'!$AG:$AG,$B505),"")</f>
        <v/>
      </c>
      <c r="D505" s="4" t="str">
        <f>IFERROR(AVERAGEIFS('2. Program Allocation Output'!$O:$O,'2. Program Allocation Output'!$AF:$AF,$A505,'2. Program Allocation Output'!$AG:$AG,$B505),"")</f>
        <v/>
      </c>
      <c r="E505" s="5" t="str">
        <f>IFERROR(AVERAGEIFS('2. Program Allocation Output'!$L:$L,'2. Program Allocation Output'!$AF:$AF,$A505,'2. Program Allocation Output'!$AG:$AG,$B505),"")</f>
        <v/>
      </c>
      <c r="F505" s="39" t="str">
        <f t="shared" si="17"/>
        <v/>
      </c>
      <c r="G505" t="str">
        <f t="shared" si="18"/>
        <v/>
      </c>
    </row>
    <row r="506" spans="3:7" ht="15" hidden="1" x14ac:dyDescent="0.25">
      <c r="C506" s="4" t="str">
        <f>IFERROR(AVERAGEIFS('2. Program Allocation Output'!$P:$P,'2. Program Allocation Output'!$AF:$AF,$A506,'2. Program Allocation Output'!$AG:$AG,$B506),"")</f>
        <v/>
      </c>
      <c r="D506" s="4" t="str">
        <f>IFERROR(AVERAGEIFS('2. Program Allocation Output'!$O:$O,'2. Program Allocation Output'!$AF:$AF,$A506,'2. Program Allocation Output'!$AG:$AG,$B506),"")</f>
        <v/>
      </c>
      <c r="E506" s="5" t="str">
        <f>IFERROR(AVERAGEIFS('2. Program Allocation Output'!$L:$L,'2. Program Allocation Output'!$AF:$AF,$A506,'2. Program Allocation Output'!$AG:$AG,$B506),"")</f>
        <v/>
      </c>
      <c r="F506" s="39" t="str">
        <f t="shared" si="17"/>
        <v/>
      </c>
      <c r="G506" t="str">
        <f t="shared" si="18"/>
        <v/>
      </c>
    </row>
    <row r="507" spans="3:7" ht="15" hidden="1" x14ac:dyDescent="0.25">
      <c r="C507" s="4" t="str">
        <f>IFERROR(AVERAGEIFS('2. Program Allocation Output'!$P:$P,'2. Program Allocation Output'!$AF:$AF,$A507,'2. Program Allocation Output'!$AG:$AG,$B507),"")</f>
        <v/>
      </c>
      <c r="D507" s="4" t="str">
        <f>IFERROR(AVERAGEIFS('2. Program Allocation Output'!$O:$O,'2. Program Allocation Output'!$AF:$AF,$A507,'2. Program Allocation Output'!$AG:$AG,$B507),"")</f>
        <v/>
      </c>
      <c r="E507" s="5" t="str">
        <f>IFERROR(AVERAGEIFS('2. Program Allocation Output'!$L:$L,'2. Program Allocation Output'!$AF:$AF,$A507,'2. Program Allocation Output'!$AG:$AG,$B507),"")</f>
        <v/>
      </c>
      <c r="F507" s="39" t="str">
        <f t="shared" si="17"/>
        <v/>
      </c>
      <c r="G507" t="str">
        <f t="shared" si="18"/>
        <v/>
      </c>
    </row>
    <row r="508" spans="3:7" ht="15" hidden="1" x14ac:dyDescent="0.25">
      <c r="C508" s="4" t="str">
        <f>IFERROR(AVERAGEIFS('2. Program Allocation Output'!$P:$P,'2. Program Allocation Output'!$AF:$AF,$A508,'2. Program Allocation Output'!$AG:$AG,$B508),"")</f>
        <v/>
      </c>
      <c r="D508" s="4" t="str">
        <f>IFERROR(AVERAGEIFS('2. Program Allocation Output'!$O:$O,'2. Program Allocation Output'!$AF:$AF,$A508,'2. Program Allocation Output'!$AG:$AG,$B508),"")</f>
        <v/>
      </c>
      <c r="E508" s="5" t="str">
        <f>IFERROR(AVERAGEIFS('2. Program Allocation Output'!$L:$L,'2. Program Allocation Output'!$AF:$AF,$A508,'2. Program Allocation Output'!$AG:$AG,$B508),"")</f>
        <v/>
      </c>
      <c r="F508" s="39" t="str">
        <f t="shared" si="17"/>
        <v/>
      </c>
      <c r="G508" t="str">
        <f t="shared" si="18"/>
        <v/>
      </c>
    </row>
    <row r="509" spans="3:7" ht="15" hidden="1" x14ac:dyDescent="0.25">
      <c r="C509" s="4" t="str">
        <f>IFERROR(AVERAGEIFS('2. Program Allocation Output'!$P:$P,'2. Program Allocation Output'!$AF:$AF,$A509,'2. Program Allocation Output'!$AG:$AG,$B509),"")</f>
        <v/>
      </c>
      <c r="D509" s="4" t="str">
        <f>IFERROR(AVERAGEIFS('2. Program Allocation Output'!$O:$O,'2. Program Allocation Output'!$AF:$AF,$A509,'2. Program Allocation Output'!$AG:$AG,$B509),"")</f>
        <v/>
      </c>
      <c r="E509" s="5" t="str">
        <f>IFERROR(AVERAGEIFS('2. Program Allocation Output'!$L:$L,'2. Program Allocation Output'!$AF:$AF,$A509,'2. Program Allocation Output'!$AG:$AG,$B509),"")</f>
        <v/>
      </c>
      <c r="F509" s="39" t="str">
        <f t="shared" si="17"/>
        <v/>
      </c>
      <c r="G509" t="str">
        <f t="shared" si="18"/>
        <v/>
      </c>
    </row>
    <row r="510" spans="3:7" ht="15" hidden="1" x14ac:dyDescent="0.25">
      <c r="C510" s="4" t="str">
        <f>IFERROR(AVERAGEIFS('2. Program Allocation Output'!$P:$P,'2. Program Allocation Output'!$AF:$AF,$A510,'2. Program Allocation Output'!$AG:$AG,$B510),"")</f>
        <v/>
      </c>
      <c r="D510" s="4" t="str">
        <f>IFERROR(AVERAGEIFS('2. Program Allocation Output'!$O:$O,'2. Program Allocation Output'!$AF:$AF,$A510,'2. Program Allocation Output'!$AG:$AG,$B510),"")</f>
        <v/>
      </c>
      <c r="E510" s="5" t="str">
        <f>IFERROR(AVERAGEIFS('2. Program Allocation Output'!$L:$L,'2. Program Allocation Output'!$AF:$AF,$A510,'2. Program Allocation Output'!$AG:$AG,$B510),"")</f>
        <v/>
      </c>
      <c r="F510" s="39" t="str">
        <f t="shared" si="17"/>
        <v/>
      </c>
      <c r="G510" t="str">
        <f t="shared" si="18"/>
        <v/>
      </c>
    </row>
    <row r="511" spans="3:7" ht="15" hidden="1" x14ac:dyDescent="0.25">
      <c r="C511" s="4" t="str">
        <f>IFERROR(AVERAGEIFS('2. Program Allocation Output'!$P:$P,'2. Program Allocation Output'!$AF:$AF,$A511,'2. Program Allocation Output'!$AG:$AG,$B511),"")</f>
        <v/>
      </c>
      <c r="D511" s="4" t="str">
        <f>IFERROR(AVERAGEIFS('2. Program Allocation Output'!$O:$O,'2. Program Allocation Output'!$AF:$AF,$A511,'2. Program Allocation Output'!$AG:$AG,$B511),"")</f>
        <v/>
      </c>
      <c r="E511" s="5" t="str">
        <f>IFERROR(AVERAGEIFS('2. Program Allocation Output'!$L:$L,'2. Program Allocation Output'!$AF:$AF,$A511,'2. Program Allocation Output'!$AG:$AG,$B511),"")</f>
        <v/>
      </c>
      <c r="F511" s="39" t="str">
        <f t="shared" si="17"/>
        <v/>
      </c>
      <c r="G511" t="str">
        <f t="shared" si="18"/>
        <v/>
      </c>
    </row>
    <row r="512" spans="3:7" ht="15" hidden="1" x14ac:dyDescent="0.25">
      <c r="C512" s="4" t="str">
        <f>IFERROR(AVERAGEIFS('2. Program Allocation Output'!$P:$P,'2. Program Allocation Output'!$AF:$AF,$A512,'2. Program Allocation Output'!$AG:$AG,$B512),"")</f>
        <v/>
      </c>
      <c r="D512" s="4" t="str">
        <f>IFERROR(AVERAGEIFS('2. Program Allocation Output'!$O:$O,'2. Program Allocation Output'!$AF:$AF,$A512,'2. Program Allocation Output'!$AG:$AG,$B512),"")</f>
        <v/>
      </c>
      <c r="E512" s="5" t="str">
        <f>IFERROR(AVERAGEIFS('2. Program Allocation Output'!$L:$L,'2. Program Allocation Output'!$AF:$AF,$A512,'2. Program Allocation Output'!$AG:$AG,$B512),"")</f>
        <v/>
      </c>
      <c r="F512" s="39" t="str">
        <f t="shared" si="17"/>
        <v/>
      </c>
      <c r="G512" t="str">
        <f t="shared" si="18"/>
        <v/>
      </c>
    </row>
    <row r="513" spans="3:7" ht="15" hidden="1" x14ac:dyDescent="0.25">
      <c r="C513" s="4" t="str">
        <f>IFERROR(AVERAGEIFS('2. Program Allocation Output'!$P:$P,'2. Program Allocation Output'!$AF:$AF,$A513,'2. Program Allocation Output'!$AG:$AG,$B513),"")</f>
        <v/>
      </c>
      <c r="D513" s="4" t="str">
        <f>IFERROR(AVERAGEIFS('2. Program Allocation Output'!$O:$O,'2. Program Allocation Output'!$AF:$AF,$A513,'2. Program Allocation Output'!$AG:$AG,$B513),"")</f>
        <v/>
      </c>
      <c r="E513" s="5" t="str">
        <f>IFERROR(AVERAGEIFS('2. Program Allocation Output'!$L:$L,'2. Program Allocation Output'!$AF:$AF,$A513,'2. Program Allocation Output'!$AG:$AG,$B513),"")</f>
        <v/>
      </c>
      <c r="F513" s="39" t="str">
        <f t="shared" si="17"/>
        <v/>
      </c>
      <c r="G513" t="str">
        <f t="shared" si="18"/>
        <v/>
      </c>
    </row>
    <row r="514" spans="3:7" ht="15" hidden="1" x14ac:dyDescent="0.25">
      <c r="C514" s="4" t="str">
        <f>IFERROR(AVERAGEIFS('2. Program Allocation Output'!$P:$P,'2. Program Allocation Output'!$AF:$AF,$A514,'2. Program Allocation Output'!$AG:$AG,$B514),"")</f>
        <v/>
      </c>
      <c r="D514" s="4" t="str">
        <f>IFERROR(AVERAGEIFS('2. Program Allocation Output'!$O:$O,'2. Program Allocation Output'!$AF:$AF,$A514,'2. Program Allocation Output'!$AG:$AG,$B514),"")</f>
        <v/>
      </c>
      <c r="E514" s="5" t="str">
        <f>IFERROR(AVERAGEIFS('2. Program Allocation Output'!$L:$L,'2. Program Allocation Output'!$AF:$AF,$A514,'2. Program Allocation Output'!$AG:$AG,$B514),"")</f>
        <v/>
      </c>
      <c r="F514" s="39" t="str">
        <f t="shared" si="17"/>
        <v/>
      </c>
      <c r="G514" t="str">
        <f t="shared" si="18"/>
        <v/>
      </c>
    </row>
    <row r="515" spans="3:7" ht="15" hidden="1" x14ac:dyDescent="0.25">
      <c r="C515" s="4" t="str">
        <f>IFERROR(AVERAGEIFS('2. Program Allocation Output'!$P:$P,'2. Program Allocation Output'!$AF:$AF,$A515,'2. Program Allocation Output'!$AG:$AG,$B515),"")</f>
        <v/>
      </c>
      <c r="D515" s="4" t="str">
        <f>IFERROR(AVERAGEIFS('2. Program Allocation Output'!$O:$O,'2. Program Allocation Output'!$AF:$AF,$A515,'2. Program Allocation Output'!$AG:$AG,$B515),"")</f>
        <v/>
      </c>
      <c r="E515" s="5" t="str">
        <f>IFERROR(AVERAGEIFS('2. Program Allocation Output'!$L:$L,'2. Program Allocation Output'!$AF:$AF,$A515,'2. Program Allocation Output'!$AG:$AG,$B515),"")</f>
        <v/>
      </c>
      <c r="F515" s="39" t="str">
        <f t="shared" ref="F515:F578" si="19">IFERROR(C515*1,"")</f>
        <v/>
      </c>
      <c r="G515" t="str">
        <f t="shared" si="18"/>
        <v/>
      </c>
    </row>
    <row r="516" spans="3:7" ht="15" hidden="1" x14ac:dyDescent="0.25">
      <c r="C516" s="4" t="str">
        <f>IFERROR(AVERAGEIFS('2. Program Allocation Output'!$P:$P,'2. Program Allocation Output'!$AF:$AF,$A516,'2. Program Allocation Output'!$AG:$AG,$B516),"")</f>
        <v/>
      </c>
      <c r="D516" s="4" t="str">
        <f>IFERROR(AVERAGEIFS('2. Program Allocation Output'!$O:$O,'2. Program Allocation Output'!$AF:$AF,$A516,'2. Program Allocation Output'!$AG:$AG,$B516),"")</f>
        <v/>
      </c>
      <c r="E516" s="5" t="str">
        <f>IFERROR(AVERAGEIFS('2. Program Allocation Output'!$L:$L,'2. Program Allocation Output'!$AF:$AF,$A516,'2. Program Allocation Output'!$AG:$AG,$B516),"")</f>
        <v/>
      </c>
      <c r="F516" s="39" t="str">
        <f t="shared" si="19"/>
        <v/>
      </c>
      <c r="G516" t="str">
        <f t="shared" si="18"/>
        <v/>
      </c>
    </row>
    <row r="517" spans="3:7" ht="15" hidden="1" x14ac:dyDescent="0.25">
      <c r="C517" s="4" t="str">
        <f>IFERROR(AVERAGEIFS('2. Program Allocation Output'!$P:$P,'2. Program Allocation Output'!$AF:$AF,$A517,'2. Program Allocation Output'!$AG:$AG,$B517),"")</f>
        <v/>
      </c>
      <c r="D517" s="4" t="str">
        <f>IFERROR(AVERAGEIFS('2. Program Allocation Output'!$O:$O,'2. Program Allocation Output'!$AF:$AF,$A517,'2. Program Allocation Output'!$AG:$AG,$B517),"")</f>
        <v/>
      </c>
      <c r="E517" s="5" t="str">
        <f>IFERROR(AVERAGEIFS('2. Program Allocation Output'!$L:$L,'2. Program Allocation Output'!$AF:$AF,$A517,'2. Program Allocation Output'!$AG:$AG,$B517),"")</f>
        <v/>
      </c>
      <c r="F517" s="39" t="str">
        <f t="shared" si="19"/>
        <v/>
      </c>
      <c r="G517" t="str">
        <f t="shared" si="18"/>
        <v/>
      </c>
    </row>
    <row r="518" spans="3:7" ht="15" hidden="1" x14ac:dyDescent="0.25">
      <c r="C518" s="4" t="str">
        <f>IFERROR(AVERAGEIFS('2. Program Allocation Output'!$P:$P,'2. Program Allocation Output'!$AF:$AF,$A518,'2. Program Allocation Output'!$AG:$AG,$B518),"")</f>
        <v/>
      </c>
      <c r="D518" s="4" t="str">
        <f>IFERROR(AVERAGEIFS('2. Program Allocation Output'!$O:$O,'2. Program Allocation Output'!$AF:$AF,$A518,'2. Program Allocation Output'!$AG:$AG,$B518),"")</f>
        <v/>
      </c>
      <c r="E518" s="5" t="str">
        <f>IFERROR(AVERAGEIFS('2. Program Allocation Output'!$L:$L,'2. Program Allocation Output'!$AF:$AF,$A518,'2. Program Allocation Output'!$AG:$AG,$B518),"")</f>
        <v/>
      </c>
      <c r="F518" s="39" t="str">
        <f t="shared" si="19"/>
        <v/>
      </c>
      <c r="G518" t="str">
        <f t="shared" si="18"/>
        <v/>
      </c>
    </row>
    <row r="519" spans="3:7" ht="15" hidden="1" x14ac:dyDescent="0.25">
      <c r="C519" s="4" t="str">
        <f>IFERROR(AVERAGEIFS('2. Program Allocation Output'!$P:$P,'2. Program Allocation Output'!$AF:$AF,$A519,'2. Program Allocation Output'!$AG:$AG,$B519),"")</f>
        <v/>
      </c>
      <c r="D519" s="4" t="str">
        <f>IFERROR(AVERAGEIFS('2. Program Allocation Output'!$O:$O,'2. Program Allocation Output'!$AF:$AF,$A519,'2. Program Allocation Output'!$AG:$AG,$B519),"")</f>
        <v/>
      </c>
      <c r="E519" s="5" t="str">
        <f>IFERROR(AVERAGEIFS('2. Program Allocation Output'!$L:$L,'2. Program Allocation Output'!$AF:$AF,$A519,'2. Program Allocation Output'!$AG:$AG,$B519),"")</f>
        <v/>
      </c>
      <c r="F519" s="39" t="str">
        <f t="shared" si="19"/>
        <v/>
      </c>
      <c r="G519" t="str">
        <f t="shared" si="18"/>
        <v/>
      </c>
    </row>
    <row r="520" spans="3:7" ht="15" hidden="1" x14ac:dyDescent="0.25">
      <c r="C520" s="4" t="str">
        <f>IFERROR(AVERAGEIFS('2. Program Allocation Output'!$P:$P,'2. Program Allocation Output'!$AF:$AF,$A520,'2. Program Allocation Output'!$AG:$AG,$B520),"")</f>
        <v/>
      </c>
      <c r="D520" s="4" t="str">
        <f>IFERROR(AVERAGEIFS('2. Program Allocation Output'!$O:$O,'2. Program Allocation Output'!$AF:$AF,$A520,'2. Program Allocation Output'!$AG:$AG,$B520),"")</f>
        <v/>
      </c>
      <c r="E520" s="5" t="str">
        <f>IFERROR(AVERAGEIFS('2. Program Allocation Output'!$L:$L,'2. Program Allocation Output'!$AF:$AF,$A520,'2. Program Allocation Output'!$AG:$AG,$B520),"")</f>
        <v/>
      </c>
      <c r="F520" s="39" t="str">
        <f t="shared" si="19"/>
        <v/>
      </c>
      <c r="G520" t="str">
        <f t="shared" si="18"/>
        <v/>
      </c>
    </row>
    <row r="521" spans="3:7" ht="15" hidden="1" x14ac:dyDescent="0.25">
      <c r="C521" s="4" t="str">
        <f>IFERROR(AVERAGEIFS('2. Program Allocation Output'!$P:$P,'2. Program Allocation Output'!$AF:$AF,$A521,'2. Program Allocation Output'!$AG:$AG,$B521),"")</f>
        <v/>
      </c>
      <c r="D521" s="4" t="str">
        <f>IFERROR(AVERAGEIFS('2. Program Allocation Output'!$O:$O,'2. Program Allocation Output'!$AF:$AF,$A521,'2. Program Allocation Output'!$AG:$AG,$B521),"")</f>
        <v/>
      </c>
      <c r="E521" s="5" t="str">
        <f>IFERROR(AVERAGEIFS('2. Program Allocation Output'!$L:$L,'2. Program Allocation Output'!$AF:$AF,$A521,'2. Program Allocation Output'!$AG:$AG,$B521),"")</f>
        <v/>
      </c>
      <c r="F521" s="39" t="str">
        <f t="shared" si="19"/>
        <v/>
      </c>
      <c r="G521" t="str">
        <f t="shared" si="18"/>
        <v/>
      </c>
    </row>
    <row r="522" spans="3:7" ht="15" hidden="1" x14ac:dyDescent="0.25">
      <c r="C522" s="4" t="str">
        <f>IFERROR(AVERAGEIFS('2. Program Allocation Output'!$P:$P,'2. Program Allocation Output'!$AF:$AF,$A522,'2. Program Allocation Output'!$AG:$AG,$B522),"")</f>
        <v/>
      </c>
      <c r="D522" s="4" t="str">
        <f>IFERROR(AVERAGEIFS('2. Program Allocation Output'!$O:$O,'2. Program Allocation Output'!$AF:$AF,$A522,'2. Program Allocation Output'!$AG:$AG,$B522),"")</f>
        <v/>
      </c>
      <c r="E522" s="5" t="str">
        <f>IFERROR(AVERAGEIFS('2. Program Allocation Output'!$L:$L,'2. Program Allocation Output'!$AF:$AF,$A522,'2. Program Allocation Output'!$AG:$AG,$B522),"")</f>
        <v/>
      </c>
      <c r="F522" s="39" t="str">
        <f t="shared" si="19"/>
        <v/>
      </c>
      <c r="G522" t="str">
        <f t="shared" si="18"/>
        <v/>
      </c>
    </row>
    <row r="523" spans="3:7" ht="15" hidden="1" x14ac:dyDescent="0.25">
      <c r="C523" s="4" t="str">
        <f>IFERROR(AVERAGEIFS('2. Program Allocation Output'!$P:$P,'2. Program Allocation Output'!$AF:$AF,$A523,'2. Program Allocation Output'!$AG:$AG,$B523),"")</f>
        <v/>
      </c>
      <c r="D523" s="4" t="str">
        <f>IFERROR(AVERAGEIFS('2. Program Allocation Output'!$O:$O,'2. Program Allocation Output'!$AF:$AF,$A523,'2. Program Allocation Output'!$AG:$AG,$B523),"")</f>
        <v/>
      </c>
      <c r="E523" s="5" t="str">
        <f>IFERROR(AVERAGEIFS('2. Program Allocation Output'!$L:$L,'2. Program Allocation Output'!$AF:$AF,$A523,'2. Program Allocation Output'!$AG:$AG,$B523),"")</f>
        <v/>
      </c>
      <c r="F523" s="39" t="str">
        <f t="shared" si="19"/>
        <v/>
      </c>
      <c r="G523" t="str">
        <f t="shared" si="18"/>
        <v/>
      </c>
    </row>
    <row r="524" spans="3:7" ht="15" hidden="1" x14ac:dyDescent="0.25">
      <c r="C524" s="4" t="str">
        <f>IFERROR(AVERAGEIFS('2. Program Allocation Output'!$P:$P,'2. Program Allocation Output'!$AF:$AF,$A524,'2. Program Allocation Output'!$AG:$AG,$B524),"")</f>
        <v/>
      </c>
      <c r="D524" s="4" t="str">
        <f>IFERROR(AVERAGEIFS('2. Program Allocation Output'!$O:$O,'2. Program Allocation Output'!$AF:$AF,$A524,'2. Program Allocation Output'!$AG:$AG,$B524),"")</f>
        <v/>
      </c>
      <c r="E524" s="5" t="str">
        <f>IFERROR(AVERAGEIFS('2. Program Allocation Output'!$L:$L,'2. Program Allocation Output'!$AF:$AF,$A524,'2. Program Allocation Output'!$AG:$AG,$B524),"")</f>
        <v/>
      </c>
      <c r="F524" s="39" t="str">
        <f t="shared" si="19"/>
        <v/>
      </c>
      <c r="G524" t="str">
        <f t="shared" si="18"/>
        <v/>
      </c>
    </row>
    <row r="525" spans="3:7" ht="15" hidden="1" x14ac:dyDescent="0.25">
      <c r="C525" s="4" t="str">
        <f>IFERROR(AVERAGEIFS('2. Program Allocation Output'!$P:$P,'2. Program Allocation Output'!$AF:$AF,$A525,'2. Program Allocation Output'!$AG:$AG,$B525),"")</f>
        <v/>
      </c>
      <c r="D525" s="4" t="str">
        <f>IFERROR(AVERAGEIFS('2. Program Allocation Output'!$O:$O,'2. Program Allocation Output'!$AF:$AF,$A525,'2. Program Allocation Output'!$AG:$AG,$B525),"")</f>
        <v/>
      </c>
      <c r="E525" s="5" t="str">
        <f>IFERROR(AVERAGEIFS('2. Program Allocation Output'!$L:$L,'2. Program Allocation Output'!$AF:$AF,$A525,'2. Program Allocation Output'!$AG:$AG,$B525),"")</f>
        <v/>
      </c>
      <c r="F525" s="39" t="str">
        <f t="shared" si="19"/>
        <v/>
      </c>
      <c r="G525" t="str">
        <f t="shared" si="18"/>
        <v/>
      </c>
    </row>
    <row r="526" spans="3:7" ht="15" hidden="1" x14ac:dyDescent="0.25">
      <c r="C526" s="4" t="str">
        <f>IFERROR(AVERAGEIFS('2. Program Allocation Output'!$P:$P,'2. Program Allocation Output'!$AF:$AF,$A526,'2. Program Allocation Output'!$AG:$AG,$B526),"")</f>
        <v/>
      </c>
      <c r="D526" s="4" t="str">
        <f>IFERROR(AVERAGEIFS('2. Program Allocation Output'!$O:$O,'2. Program Allocation Output'!$AF:$AF,$A526,'2. Program Allocation Output'!$AG:$AG,$B526),"")</f>
        <v/>
      </c>
      <c r="E526" s="5" t="str">
        <f>IFERROR(AVERAGEIFS('2. Program Allocation Output'!$L:$L,'2. Program Allocation Output'!$AF:$AF,$A526,'2. Program Allocation Output'!$AG:$AG,$B526),"")</f>
        <v/>
      </c>
      <c r="F526" s="39" t="str">
        <f t="shared" si="19"/>
        <v/>
      </c>
      <c r="G526" t="str">
        <f t="shared" ref="G526:G589" si="20">IFERROR(EXP(0.3*(F526-C526)/(E526*0.1137)),"")</f>
        <v/>
      </c>
    </row>
    <row r="527" spans="3:7" ht="15" hidden="1" x14ac:dyDescent="0.25">
      <c r="C527" s="4" t="str">
        <f>IFERROR(AVERAGEIFS('2. Program Allocation Output'!$P:$P,'2. Program Allocation Output'!$AF:$AF,$A527,'2. Program Allocation Output'!$AG:$AG,$B527),"")</f>
        <v/>
      </c>
      <c r="D527" s="4" t="str">
        <f>IFERROR(AVERAGEIFS('2. Program Allocation Output'!$O:$O,'2. Program Allocation Output'!$AF:$AF,$A527,'2. Program Allocation Output'!$AG:$AG,$B527),"")</f>
        <v/>
      </c>
      <c r="E527" s="5" t="str">
        <f>IFERROR(AVERAGEIFS('2. Program Allocation Output'!$L:$L,'2. Program Allocation Output'!$AF:$AF,$A527,'2. Program Allocation Output'!$AG:$AG,$B527),"")</f>
        <v/>
      </c>
      <c r="F527" s="39" t="str">
        <f t="shared" si="19"/>
        <v/>
      </c>
      <c r="G527" t="str">
        <f t="shared" si="20"/>
        <v/>
      </c>
    </row>
    <row r="528" spans="3:7" ht="15" hidden="1" x14ac:dyDescent="0.25">
      <c r="C528" s="4" t="str">
        <f>IFERROR(AVERAGEIFS('2. Program Allocation Output'!$P:$P,'2. Program Allocation Output'!$AF:$AF,$A528,'2. Program Allocation Output'!$AG:$AG,$B528),"")</f>
        <v/>
      </c>
      <c r="D528" s="4" t="str">
        <f>IFERROR(AVERAGEIFS('2. Program Allocation Output'!$O:$O,'2. Program Allocation Output'!$AF:$AF,$A528,'2. Program Allocation Output'!$AG:$AG,$B528),"")</f>
        <v/>
      </c>
      <c r="E528" s="5" t="str">
        <f>IFERROR(AVERAGEIFS('2. Program Allocation Output'!$L:$L,'2. Program Allocation Output'!$AF:$AF,$A528,'2. Program Allocation Output'!$AG:$AG,$B528),"")</f>
        <v/>
      </c>
      <c r="F528" s="39" t="str">
        <f t="shared" si="19"/>
        <v/>
      </c>
      <c r="G528" t="str">
        <f t="shared" si="20"/>
        <v/>
      </c>
    </row>
    <row r="529" spans="3:7" ht="15" hidden="1" x14ac:dyDescent="0.25">
      <c r="C529" s="4" t="str">
        <f>IFERROR(AVERAGEIFS('2. Program Allocation Output'!$P:$P,'2. Program Allocation Output'!$AF:$AF,$A529,'2. Program Allocation Output'!$AG:$AG,$B529),"")</f>
        <v/>
      </c>
      <c r="D529" s="4" t="str">
        <f>IFERROR(AVERAGEIFS('2. Program Allocation Output'!$O:$O,'2. Program Allocation Output'!$AF:$AF,$A529,'2. Program Allocation Output'!$AG:$AG,$B529),"")</f>
        <v/>
      </c>
      <c r="E529" s="5" t="str">
        <f>IFERROR(AVERAGEIFS('2. Program Allocation Output'!$L:$L,'2. Program Allocation Output'!$AF:$AF,$A529,'2. Program Allocation Output'!$AG:$AG,$B529),"")</f>
        <v/>
      </c>
      <c r="F529" s="39" t="str">
        <f t="shared" si="19"/>
        <v/>
      </c>
      <c r="G529" t="str">
        <f t="shared" si="20"/>
        <v/>
      </c>
    </row>
    <row r="530" spans="3:7" ht="15" hidden="1" x14ac:dyDescent="0.25">
      <c r="C530" s="4" t="str">
        <f>IFERROR(AVERAGEIFS('2. Program Allocation Output'!$P:$P,'2. Program Allocation Output'!$AF:$AF,$A530,'2. Program Allocation Output'!$AG:$AG,$B530),"")</f>
        <v/>
      </c>
      <c r="D530" s="4" t="str">
        <f>IFERROR(AVERAGEIFS('2. Program Allocation Output'!$O:$O,'2. Program Allocation Output'!$AF:$AF,$A530,'2. Program Allocation Output'!$AG:$AG,$B530),"")</f>
        <v/>
      </c>
      <c r="E530" s="5" t="str">
        <f>IFERROR(AVERAGEIFS('2. Program Allocation Output'!$L:$L,'2. Program Allocation Output'!$AF:$AF,$A530,'2. Program Allocation Output'!$AG:$AG,$B530),"")</f>
        <v/>
      </c>
      <c r="F530" s="39" t="str">
        <f t="shared" si="19"/>
        <v/>
      </c>
      <c r="G530" t="str">
        <f t="shared" si="20"/>
        <v/>
      </c>
    </row>
    <row r="531" spans="3:7" ht="15" hidden="1" x14ac:dyDescent="0.25">
      <c r="C531" s="4" t="str">
        <f>IFERROR(AVERAGEIFS('2. Program Allocation Output'!$P:$P,'2. Program Allocation Output'!$AF:$AF,$A531,'2. Program Allocation Output'!$AG:$AG,$B531),"")</f>
        <v/>
      </c>
      <c r="D531" s="4" t="str">
        <f>IFERROR(AVERAGEIFS('2. Program Allocation Output'!$O:$O,'2. Program Allocation Output'!$AF:$AF,$A531,'2. Program Allocation Output'!$AG:$AG,$B531),"")</f>
        <v/>
      </c>
      <c r="E531" s="5" t="str">
        <f>IFERROR(AVERAGEIFS('2. Program Allocation Output'!$L:$L,'2. Program Allocation Output'!$AF:$AF,$A531,'2. Program Allocation Output'!$AG:$AG,$B531),"")</f>
        <v/>
      </c>
      <c r="F531" s="39" t="str">
        <f t="shared" si="19"/>
        <v/>
      </c>
      <c r="G531" t="str">
        <f t="shared" si="20"/>
        <v/>
      </c>
    </row>
    <row r="532" spans="3:7" ht="15" hidden="1" x14ac:dyDescent="0.25">
      <c r="C532" s="4" t="str">
        <f>IFERROR(AVERAGEIFS('2. Program Allocation Output'!$P:$P,'2. Program Allocation Output'!$AF:$AF,$A532,'2. Program Allocation Output'!$AG:$AG,$B532),"")</f>
        <v/>
      </c>
      <c r="D532" s="4" t="str">
        <f>IFERROR(AVERAGEIFS('2. Program Allocation Output'!$O:$O,'2. Program Allocation Output'!$AF:$AF,$A532,'2. Program Allocation Output'!$AG:$AG,$B532),"")</f>
        <v/>
      </c>
      <c r="E532" s="5" t="str">
        <f>IFERROR(AVERAGEIFS('2. Program Allocation Output'!$L:$L,'2. Program Allocation Output'!$AF:$AF,$A532,'2. Program Allocation Output'!$AG:$AG,$B532),"")</f>
        <v/>
      </c>
      <c r="F532" s="39" t="str">
        <f t="shared" si="19"/>
        <v/>
      </c>
      <c r="G532" t="str">
        <f t="shared" si="20"/>
        <v/>
      </c>
    </row>
    <row r="533" spans="3:7" ht="15" hidden="1" x14ac:dyDescent="0.25">
      <c r="C533" s="4" t="str">
        <f>IFERROR(AVERAGEIFS('2. Program Allocation Output'!$P:$P,'2. Program Allocation Output'!$AF:$AF,$A533,'2. Program Allocation Output'!$AG:$AG,$B533),"")</f>
        <v/>
      </c>
      <c r="D533" s="4" t="str">
        <f>IFERROR(AVERAGEIFS('2. Program Allocation Output'!$O:$O,'2. Program Allocation Output'!$AF:$AF,$A533,'2. Program Allocation Output'!$AG:$AG,$B533),"")</f>
        <v/>
      </c>
      <c r="E533" s="5" t="str">
        <f>IFERROR(AVERAGEIFS('2. Program Allocation Output'!$L:$L,'2. Program Allocation Output'!$AF:$AF,$A533,'2. Program Allocation Output'!$AG:$AG,$B533),"")</f>
        <v/>
      </c>
      <c r="F533" s="39" t="str">
        <f t="shared" si="19"/>
        <v/>
      </c>
      <c r="G533" t="str">
        <f t="shared" si="20"/>
        <v/>
      </c>
    </row>
    <row r="534" spans="3:7" ht="15" hidden="1" x14ac:dyDescent="0.25">
      <c r="C534" s="4" t="str">
        <f>IFERROR(AVERAGEIFS('2. Program Allocation Output'!$P:$P,'2. Program Allocation Output'!$AF:$AF,$A534,'2. Program Allocation Output'!$AG:$AG,$B534),"")</f>
        <v/>
      </c>
      <c r="D534" s="4" t="str">
        <f>IFERROR(AVERAGEIFS('2. Program Allocation Output'!$O:$O,'2. Program Allocation Output'!$AF:$AF,$A534,'2. Program Allocation Output'!$AG:$AG,$B534),"")</f>
        <v/>
      </c>
      <c r="E534" s="5" t="str">
        <f>IFERROR(AVERAGEIFS('2. Program Allocation Output'!$L:$L,'2. Program Allocation Output'!$AF:$AF,$A534,'2. Program Allocation Output'!$AG:$AG,$B534),"")</f>
        <v/>
      </c>
      <c r="F534" s="39" t="str">
        <f t="shared" si="19"/>
        <v/>
      </c>
      <c r="G534" t="str">
        <f t="shared" si="20"/>
        <v/>
      </c>
    </row>
    <row r="535" spans="3:7" ht="15" hidden="1" x14ac:dyDescent="0.25">
      <c r="C535" s="4" t="str">
        <f>IFERROR(AVERAGEIFS('2. Program Allocation Output'!$P:$P,'2. Program Allocation Output'!$AF:$AF,$A535,'2. Program Allocation Output'!$AG:$AG,$B535),"")</f>
        <v/>
      </c>
      <c r="D535" s="4" t="str">
        <f>IFERROR(AVERAGEIFS('2. Program Allocation Output'!$O:$O,'2. Program Allocation Output'!$AF:$AF,$A535,'2. Program Allocation Output'!$AG:$AG,$B535),"")</f>
        <v/>
      </c>
      <c r="E535" s="5" t="str">
        <f>IFERROR(AVERAGEIFS('2. Program Allocation Output'!$L:$L,'2. Program Allocation Output'!$AF:$AF,$A535,'2. Program Allocation Output'!$AG:$AG,$B535),"")</f>
        <v/>
      </c>
      <c r="F535" s="39" t="str">
        <f t="shared" si="19"/>
        <v/>
      </c>
      <c r="G535" t="str">
        <f t="shared" si="20"/>
        <v/>
      </c>
    </row>
    <row r="536" spans="3:7" ht="15" hidden="1" x14ac:dyDescent="0.25">
      <c r="C536" s="4" t="str">
        <f>IFERROR(AVERAGEIFS('2. Program Allocation Output'!$P:$P,'2. Program Allocation Output'!$AF:$AF,$A536,'2. Program Allocation Output'!$AG:$AG,$B536),"")</f>
        <v/>
      </c>
      <c r="D536" s="4" t="str">
        <f>IFERROR(AVERAGEIFS('2. Program Allocation Output'!$O:$O,'2. Program Allocation Output'!$AF:$AF,$A536,'2. Program Allocation Output'!$AG:$AG,$B536),"")</f>
        <v/>
      </c>
      <c r="E536" s="5" t="str">
        <f>IFERROR(AVERAGEIFS('2. Program Allocation Output'!$L:$L,'2. Program Allocation Output'!$AF:$AF,$A536,'2. Program Allocation Output'!$AG:$AG,$B536),"")</f>
        <v/>
      </c>
      <c r="F536" s="39" t="str">
        <f t="shared" si="19"/>
        <v/>
      </c>
      <c r="G536" t="str">
        <f t="shared" si="20"/>
        <v/>
      </c>
    </row>
    <row r="537" spans="3:7" ht="15" hidden="1" x14ac:dyDescent="0.25">
      <c r="C537" s="4" t="str">
        <f>IFERROR(AVERAGEIFS('2. Program Allocation Output'!$P:$P,'2. Program Allocation Output'!$AF:$AF,$A537,'2. Program Allocation Output'!$AG:$AG,$B537),"")</f>
        <v/>
      </c>
      <c r="D537" s="4" t="str">
        <f>IFERROR(AVERAGEIFS('2. Program Allocation Output'!$O:$O,'2. Program Allocation Output'!$AF:$AF,$A537,'2. Program Allocation Output'!$AG:$AG,$B537),"")</f>
        <v/>
      </c>
      <c r="E537" s="5" t="str">
        <f>IFERROR(AVERAGEIFS('2. Program Allocation Output'!$L:$L,'2. Program Allocation Output'!$AF:$AF,$A537,'2. Program Allocation Output'!$AG:$AG,$B537),"")</f>
        <v/>
      </c>
      <c r="F537" s="39" t="str">
        <f t="shared" si="19"/>
        <v/>
      </c>
      <c r="G537" t="str">
        <f t="shared" si="20"/>
        <v/>
      </c>
    </row>
    <row r="538" spans="3:7" ht="15" hidden="1" x14ac:dyDescent="0.25">
      <c r="C538" s="4" t="str">
        <f>IFERROR(AVERAGEIFS('2. Program Allocation Output'!$P:$P,'2. Program Allocation Output'!$AF:$AF,$A538,'2. Program Allocation Output'!$AG:$AG,$B538),"")</f>
        <v/>
      </c>
      <c r="D538" s="4" t="str">
        <f>IFERROR(AVERAGEIFS('2. Program Allocation Output'!$O:$O,'2. Program Allocation Output'!$AF:$AF,$A538,'2. Program Allocation Output'!$AG:$AG,$B538),"")</f>
        <v/>
      </c>
      <c r="E538" s="5" t="str">
        <f>IFERROR(AVERAGEIFS('2. Program Allocation Output'!$L:$L,'2. Program Allocation Output'!$AF:$AF,$A538,'2. Program Allocation Output'!$AG:$AG,$B538),"")</f>
        <v/>
      </c>
      <c r="F538" s="39" t="str">
        <f t="shared" si="19"/>
        <v/>
      </c>
      <c r="G538" t="str">
        <f t="shared" si="20"/>
        <v/>
      </c>
    </row>
    <row r="539" spans="3:7" ht="15" hidden="1" x14ac:dyDescent="0.25">
      <c r="C539" s="4" t="str">
        <f>IFERROR(AVERAGEIFS('2. Program Allocation Output'!$P:$P,'2. Program Allocation Output'!$AF:$AF,$A539,'2. Program Allocation Output'!$AG:$AG,$B539),"")</f>
        <v/>
      </c>
      <c r="D539" s="4" t="str">
        <f>IFERROR(AVERAGEIFS('2. Program Allocation Output'!$O:$O,'2. Program Allocation Output'!$AF:$AF,$A539,'2. Program Allocation Output'!$AG:$AG,$B539),"")</f>
        <v/>
      </c>
      <c r="E539" s="5" t="str">
        <f>IFERROR(AVERAGEIFS('2. Program Allocation Output'!$L:$L,'2. Program Allocation Output'!$AF:$AF,$A539,'2. Program Allocation Output'!$AG:$AG,$B539),"")</f>
        <v/>
      </c>
      <c r="F539" s="39" t="str">
        <f t="shared" si="19"/>
        <v/>
      </c>
      <c r="G539" t="str">
        <f t="shared" si="20"/>
        <v/>
      </c>
    </row>
    <row r="540" spans="3:7" ht="15" hidden="1" x14ac:dyDescent="0.25">
      <c r="C540" s="4" t="str">
        <f>IFERROR(AVERAGEIFS('2. Program Allocation Output'!$P:$P,'2. Program Allocation Output'!$AF:$AF,$A540,'2. Program Allocation Output'!$AG:$AG,$B540),"")</f>
        <v/>
      </c>
      <c r="D540" s="4" t="str">
        <f>IFERROR(AVERAGEIFS('2. Program Allocation Output'!$O:$O,'2. Program Allocation Output'!$AF:$AF,$A540,'2. Program Allocation Output'!$AG:$AG,$B540),"")</f>
        <v/>
      </c>
      <c r="E540" s="5" t="str">
        <f>IFERROR(AVERAGEIFS('2. Program Allocation Output'!$L:$L,'2. Program Allocation Output'!$AF:$AF,$A540,'2. Program Allocation Output'!$AG:$AG,$B540),"")</f>
        <v/>
      </c>
      <c r="F540" s="39" t="str">
        <f t="shared" si="19"/>
        <v/>
      </c>
      <c r="G540" t="str">
        <f t="shared" si="20"/>
        <v/>
      </c>
    </row>
    <row r="541" spans="3:7" ht="15" hidden="1" x14ac:dyDescent="0.25">
      <c r="C541" s="4" t="str">
        <f>IFERROR(AVERAGEIFS('2. Program Allocation Output'!$P:$P,'2. Program Allocation Output'!$AF:$AF,$A541,'2. Program Allocation Output'!$AG:$AG,$B541),"")</f>
        <v/>
      </c>
      <c r="D541" s="4" t="str">
        <f>IFERROR(AVERAGEIFS('2. Program Allocation Output'!$O:$O,'2. Program Allocation Output'!$AF:$AF,$A541,'2. Program Allocation Output'!$AG:$AG,$B541),"")</f>
        <v/>
      </c>
      <c r="E541" s="5" t="str">
        <f>IFERROR(AVERAGEIFS('2. Program Allocation Output'!$L:$L,'2. Program Allocation Output'!$AF:$AF,$A541,'2. Program Allocation Output'!$AG:$AG,$B541),"")</f>
        <v/>
      </c>
      <c r="F541" s="39" t="str">
        <f t="shared" si="19"/>
        <v/>
      </c>
      <c r="G541" t="str">
        <f t="shared" si="20"/>
        <v/>
      </c>
    </row>
    <row r="542" spans="3:7" ht="15" hidden="1" x14ac:dyDescent="0.25">
      <c r="C542" s="4" t="str">
        <f>IFERROR(AVERAGEIFS('2. Program Allocation Output'!$P:$P,'2. Program Allocation Output'!$AF:$AF,$A542,'2. Program Allocation Output'!$AG:$AG,$B542),"")</f>
        <v/>
      </c>
      <c r="D542" s="4" t="str">
        <f>IFERROR(AVERAGEIFS('2. Program Allocation Output'!$O:$O,'2. Program Allocation Output'!$AF:$AF,$A542,'2. Program Allocation Output'!$AG:$AG,$B542),"")</f>
        <v/>
      </c>
      <c r="E542" s="5" t="str">
        <f>IFERROR(AVERAGEIFS('2. Program Allocation Output'!$L:$L,'2. Program Allocation Output'!$AF:$AF,$A542,'2. Program Allocation Output'!$AG:$AG,$B542),"")</f>
        <v/>
      </c>
      <c r="F542" s="39" t="str">
        <f t="shared" si="19"/>
        <v/>
      </c>
      <c r="G542" t="str">
        <f t="shared" si="20"/>
        <v/>
      </c>
    </row>
    <row r="543" spans="3:7" ht="15" hidden="1" x14ac:dyDescent="0.25">
      <c r="C543" s="4" t="str">
        <f>IFERROR(AVERAGEIFS('2. Program Allocation Output'!$P:$P,'2. Program Allocation Output'!$AF:$AF,$A543,'2. Program Allocation Output'!$AG:$AG,$B543),"")</f>
        <v/>
      </c>
      <c r="D543" s="4" t="str">
        <f>IFERROR(AVERAGEIFS('2. Program Allocation Output'!$O:$O,'2. Program Allocation Output'!$AF:$AF,$A543,'2. Program Allocation Output'!$AG:$AG,$B543),"")</f>
        <v/>
      </c>
      <c r="E543" s="5" t="str">
        <f>IFERROR(AVERAGEIFS('2. Program Allocation Output'!$L:$L,'2. Program Allocation Output'!$AF:$AF,$A543,'2. Program Allocation Output'!$AG:$AG,$B543),"")</f>
        <v/>
      </c>
      <c r="F543" s="39" t="str">
        <f t="shared" si="19"/>
        <v/>
      </c>
      <c r="G543" t="str">
        <f t="shared" si="20"/>
        <v/>
      </c>
    </row>
    <row r="544" spans="3:7" ht="15" hidden="1" x14ac:dyDescent="0.25">
      <c r="C544" s="4" t="str">
        <f>IFERROR(AVERAGEIFS('2. Program Allocation Output'!$P:$P,'2. Program Allocation Output'!$AF:$AF,$A544,'2. Program Allocation Output'!$AG:$AG,$B544),"")</f>
        <v/>
      </c>
      <c r="D544" s="4" t="str">
        <f>IFERROR(AVERAGEIFS('2. Program Allocation Output'!$O:$O,'2. Program Allocation Output'!$AF:$AF,$A544,'2. Program Allocation Output'!$AG:$AG,$B544),"")</f>
        <v/>
      </c>
      <c r="E544" s="5" t="str">
        <f>IFERROR(AVERAGEIFS('2. Program Allocation Output'!$L:$L,'2. Program Allocation Output'!$AF:$AF,$A544,'2. Program Allocation Output'!$AG:$AG,$B544),"")</f>
        <v/>
      </c>
      <c r="F544" s="39" t="str">
        <f t="shared" si="19"/>
        <v/>
      </c>
      <c r="G544" t="str">
        <f t="shared" si="20"/>
        <v/>
      </c>
    </row>
    <row r="545" spans="3:7" ht="15" hidden="1" x14ac:dyDescent="0.25">
      <c r="C545" s="4" t="str">
        <f>IFERROR(AVERAGEIFS('2. Program Allocation Output'!$P:$P,'2. Program Allocation Output'!$AF:$AF,$A545,'2. Program Allocation Output'!$AG:$AG,$B545),"")</f>
        <v/>
      </c>
      <c r="D545" s="4" t="str">
        <f>IFERROR(AVERAGEIFS('2. Program Allocation Output'!$O:$O,'2. Program Allocation Output'!$AF:$AF,$A545,'2. Program Allocation Output'!$AG:$AG,$B545),"")</f>
        <v/>
      </c>
      <c r="E545" s="5" t="str">
        <f>IFERROR(AVERAGEIFS('2. Program Allocation Output'!$L:$L,'2. Program Allocation Output'!$AF:$AF,$A545,'2. Program Allocation Output'!$AG:$AG,$B545),"")</f>
        <v/>
      </c>
      <c r="F545" s="39" t="str">
        <f t="shared" si="19"/>
        <v/>
      </c>
      <c r="G545" t="str">
        <f t="shared" si="20"/>
        <v/>
      </c>
    </row>
    <row r="546" spans="3:7" ht="15" hidden="1" x14ac:dyDescent="0.25">
      <c r="C546" s="4" t="str">
        <f>IFERROR(AVERAGEIFS('2. Program Allocation Output'!$P:$P,'2. Program Allocation Output'!$AF:$AF,$A546,'2. Program Allocation Output'!$AG:$AG,$B546),"")</f>
        <v/>
      </c>
      <c r="D546" s="4" t="str">
        <f>IFERROR(AVERAGEIFS('2. Program Allocation Output'!$O:$O,'2. Program Allocation Output'!$AF:$AF,$A546,'2. Program Allocation Output'!$AG:$AG,$B546),"")</f>
        <v/>
      </c>
      <c r="E546" s="5" t="str">
        <f>IFERROR(AVERAGEIFS('2. Program Allocation Output'!$L:$L,'2. Program Allocation Output'!$AF:$AF,$A546,'2. Program Allocation Output'!$AG:$AG,$B546),"")</f>
        <v/>
      </c>
      <c r="F546" s="39" t="str">
        <f t="shared" si="19"/>
        <v/>
      </c>
      <c r="G546" t="str">
        <f t="shared" si="20"/>
        <v/>
      </c>
    </row>
    <row r="547" spans="3:7" ht="15" hidden="1" x14ac:dyDescent="0.25">
      <c r="C547" s="4" t="str">
        <f>IFERROR(AVERAGEIFS('2. Program Allocation Output'!$P:$P,'2. Program Allocation Output'!$AF:$AF,$A547,'2. Program Allocation Output'!$AG:$AG,$B547),"")</f>
        <v/>
      </c>
      <c r="D547" s="4" t="str">
        <f>IFERROR(AVERAGEIFS('2. Program Allocation Output'!$O:$O,'2. Program Allocation Output'!$AF:$AF,$A547,'2. Program Allocation Output'!$AG:$AG,$B547),"")</f>
        <v/>
      </c>
      <c r="E547" s="5" t="str">
        <f>IFERROR(AVERAGEIFS('2. Program Allocation Output'!$L:$L,'2. Program Allocation Output'!$AF:$AF,$A547,'2. Program Allocation Output'!$AG:$AG,$B547),"")</f>
        <v/>
      </c>
      <c r="F547" s="39" t="str">
        <f t="shared" si="19"/>
        <v/>
      </c>
      <c r="G547" t="str">
        <f t="shared" si="20"/>
        <v/>
      </c>
    </row>
    <row r="548" spans="3:7" ht="15" hidden="1" x14ac:dyDescent="0.25">
      <c r="C548" s="4" t="str">
        <f>IFERROR(AVERAGEIFS('2. Program Allocation Output'!$P:$P,'2. Program Allocation Output'!$AF:$AF,$A548,'2. Program Allocation Output'!$AG:$AG,$B548),"")</f>
        <v/>
      </c>
      <c r="D548" s="4" t="str">
        <f>IFERROR(AVERAGEIFS('2. Program Allocation Output'!$O:$O,'2. Program Allocation Output'!$AF:$AF,$A548,'2. Program Allocation Output'!$AG:$AG,$B548),"")</f>
        <v/>
      </c>
      <c r="E548" s="5" t="str">
        <f>IFERROR(AVERAGEIFS('2. Program Allocation Output'!$L:$L,'2. Program Allocation Output'!$AF:$AF,$A548,'2. Program Allocation Output'!$AG:$AG,$B548),"")</f>
        <v/>
      </c>
      <c r="F548" s="39" t="str">
        <f t="shared" si="19"/>
        <v/>
      </c>
      <c r="G548" t="str">
        <f t="shared" si="20"/>
        <v/>
      </c>
    </row>
    <row r="549" spans="3:7" ht="15" hidden="1" x14ac:dyDescent="0.25">
      <c r="C549" s="4" t="str">
        <f>IFERROR(AVERAGEIFS('2. Program Allocation Output'!$P:$P,'2. Program Allocation Output'!$AF:$AF,$A549,'2. Program Allocation Output'!$AG:$AG,$B549),"")</f>
        <v/>
      </c>
      <c r="D549" s="4" t="str">
        <f>IFERROR(AVERAGEIFS('2. Program Allocation Output'!$O:$O,'2. Program Allocation Output'!$AF:$AF,$A549,'2. Program Allocation Output'!$AG:$AG,$B549),"")</f>
        <v/>
      </c>
      <c r="E549" s="5" t="str">
        <f>IFERROR(AVERAGEIFS('2. Program Allocation Output'!$L:$L,'2. Program Allocation Output'!$AF:$AF,$A549,'2. Program Allocation Output'!$AG:$AG,$B549),"")</f>
        <v/>
      </c>
      <c r="F549" s="39" t="str">
        <f t="shared" si="19"/>
        <v/>
      </c>
      <c r="G549" t="str">
        <f t="shared" si="20"/>
        <v/>
      </c>
    </row>
    <row r="550" spans="3:7" ht="15" hidden="1" x14ac:dyDescent="0.25">
      <c r="C550" s="4" t="str">
        <f>IFERROR(AVERAGEIFS('2. Program Allocation Output'!$P:$P,'2. Program Allocation Output'!$AF:$AF,$A550,'2. Program Allocation Output'!$AG:$AG,$B550),"")</f>
        <v/>
      </c>
      <c r="D550" s="4" t="str">
        <f>IFERROR(AVERAGEIFS('2. Program Allocation Output'!$O:$O,'2. Program Allocation Output'!$AF:$AF,$A550,'2. Program Allocation Output'!$AG:$AG,$B550),"")</f>
        <v/>
      </c>
      <c r="E550" s="5" t="str">
        <f>IFERROR(AVERAGEIFS('2. Program Allocation Output'!$L:$L,'2. Program Allocation Output'!$AF:$AF,$A550,'2. Program Allocation Output'!$AG:$AG,$B550),"")</f>
        <v/>
      </c>
      <c r="F550" s="39" t="str">
        <f t="shared" si="19"/>
        <v/>
      </c>
      <c r="G550" t="str">
        <f t="shared" si="20"/>
        <v/>
      </c>
    </row>
    <row r="551" spans="3:7" ht="15" hidden="1" x14ac:dyDescent="0.25">
      <c r="C551" s="4" t="str">
        <f>IFERROR(AVERAGEIFS('2. Program Allocation Output'!$P:$P,'2. Program Allocation Output'!$AF:$AF,$A551,'2. Program Allocation Output'!$AG:$AG,$B551),"")</f>
        <v/>
      </c>
      <c r="D551" s="4" t="str">
        <f>IFERROR(AVERAGEIFS('2. Program Allocation Output'!$O:$O,'2. Program Allocation Output'!$AF:$AF,$A551,'2. Program Allocation Output'!$AG:$AG,$B551),"")</f>
        <v/>
      </c>
      <c r="E551" s="5" t="str">
        <f>IFERROR(AVERAGEIFS('2. Program Allocation Output'!$L:$L,'2. Program Allocation Output'!$AF:$AF,$A551,'2. Program Allocation Output'!$AG:$AG,$B551),"")</f>
        <v/>
      </c>
      <c r="F551" s="39" t="str">
        <f t="shared" si="19"/>
        <v/>
      </c>
      <c r="G551" t="str">
        <f t="shared" si="20"/>
        <v/>
      </c>
    </row>
    <row r="552" spans="3:7" ht="15" hidden="1" x14ac:dyDescent="0.25">
      <c r="C552" s="4" t="str">
        <f>IFERROR(AVERAGEIFS('2. Program Allocation Output'!$P:$P,'2. Program Allocation Output'!$AF:$AF,$A552,'2. Program Allocation Output'!$AG:$AG,$B552),"")</f>
        <v/>
      </c>
      <c r="D552" s="4" t="str">
        <f>IFERROR(AVERAGEIFS('2. Program Allocation Output'!$O:$O,'2. Program Allocation Output'!$AF:$AF,$A552,'2. Program Allocation Output'!$AG:$AG,$B552),"")</f>
        <v/>
      </c>
      <c r="E552" s="5" t="str">
        <f>IFERROR(AVERAGEIFS('2. Program Allocation Output'!$L:$L,'2. Program Allocation Output'!$AF:$AF,$A552,'2. Program Allocation Output'!$AG:$AG,$B552),"")</f>
        <v/>
      </c>
      <c r="F552" s="39" t="str">
        <f t="shared" si="19"/>
        <v/>
      </c>
      <c r="G552" t="str">
        <f t="shared" si="20"/>
        <v/>
      </c>
    </row>
    <row r="553" spans="3:7" ht="15" hidden="1" x14ac:dyDescent="0.25">
      <c r="C553" s="4" t="str">
        <f>IFERROR(AVERAGEIFS('2. Program Allocation Output'!$P:$P,'2. Program Allocation Output'!$AF:$AF,$A553,'2. Program Allocation Output'!$AG:$AG,$B553),"")</f>
        <v/>
      </c>
      <c r="D553" s="4" t="str">
        <f>IFERROR(AVERAGEIFS('2. Program Allocation Output'!$O:$O,'2. Program Allocation Output'!$AF:$AF,$A553,'2. Program Allocation Output'!$AG:$AG,$B553),"")</f>
        <v/>
      </c>
      <c r="E553" s="5" t="str">
        <f>IFERROR(AVERAGEIFS('2. Program Allocation Output'!$L:$L,'2. Program Allocation Output'!$AF:$AF,$A553,'2. Program Allocation Output'!$AG:$AG,$B553),"")</f>
        <v/>
      </c>
      <c r="F553" s="39" t="str">
        <f t="shared" si="19"/>
        <v/>
      </c>
      <c r="G553" t="str">
        <f t="shared" si="20"/>
        <v/>
      </c>
    </row>
    <row r="554" spans="3:7" ht="15" hidden="1" x14ac:dyDescent="0.25">
      <c r="C554" s="4" t="str">
        <f>IFERROR(AVERAGEIFS('2. Program Allocation Output'!$P:$P,'2. Program Allocation Output'!$AF:$AF,$A554,'2. Program Allocation Output'!$AG:$AG,$B554),"")</f>
        <v/>
      </c>
      <c r="D554" s="4" t="str">
        <f>IFERROR(AVERAGEIFS('2. Program Allocation Output'!$O:$O,'2. Program Allocation Output'!$AF:$AF,$A554,'2. Program Allocation Output'!$AG:$AG,$B554),"")</f>
        <v/>
      </c>
      <c r="E554" s="5" t="str">
        <f>IFERROR(AVERAGEIFS('2. Program Allocation Output'!$L:$L,'2. Program Allocation Output'!$AF:$AF,$A554,'2. Program Allocation Output'!$AG:$AG,$B554),"")</f>
        <v/>
      </c>
      <c r="F554" s="39" t="str">
        <f t="shared" si="19"/>
        <v/>
      </c>
      <c r="G554" t="str">
        <f t="shared" si="20"/>
        <v/>
      </c>
    </row>
    <row r="555" spans="3:7" ht="15" hidden="1" x14ac:dyDescent="0.25">
      <c r="C555" s="4" t="str">
        <f>IFERROR(AVERAGEIFS('2. Program Allocation Output'!$P:$P,'2. Program Allocation Output'!$AF:$AF,$A555,'2. Program Allocation Output'!$AG:$AG,$B555),"")</f>
        <v/>
      </c>
      <c r="D555" s="4" t="str">
        <f>IFERROR(AVERAGEIFS('2. Program Allocation Output'!$O:$O,'2. Program Allocation Output'!$AF:$AF,$A555,'2. Program Allocation Output'!$AG:$AG,$B555),"")</f>
        <v/>
      </c>
      <c r="E555" s="5" t="str">
        <f>IFERROR(AVERAGEIFS('2. Program Allocation Output'!$L:$L,'2. Program Allocation Output'!$AF:$AF,$A555,'2. Program Allocation Output'!$AG:$AG,$B555),"")</f>
        <v/>
      </c>
      <c r="F555" s="39" t="str">
        <f t="shared" si="19"/>
        <v/>
      </c>
      <c r="G555" t="str">
        <f t="shared" si="20"/>
        <v/>
      </c>
    </row>
    <row r="556" spans="3:7" ht="15" hidden="1" x14ac:dyDescent="0.25">
      <c r="C556" s="4" t="str">
        <f>IFERROR(AVERAGEIFS('2. Program Allocation Output'!$P:$P,'2. Program Allocation Output'!$AF:$AF,$A556,'2. Program Allocation Output'!$AG:$AG,$B556),"")</f>
        <v/>
      </c>
      <c r="D556" s="4" t="str">
        <f>IFERROR(AVERAGEIFS('2. Program Allocation Output'!$O:$O,'2. Program Allocation Output'!$AF:$AF,$A556,'2. Program Allocation Output'!$AG:$AG,$B556),"")</f>
        <v/>
      </c>
      <c r="E556" s="5" t="str">
        <f>IFERROR(AVERAGEIFS('2. Program Allocation Output'!$L:$L,'2. Program Allocation Output'!$AF:$AF,$A556,'2. Program Allocation Output'!$AG:$AG,$B556),"")</f>
        <v/>
      </c>
      <c r="F556" s="39" t="str">
        <f t="shared" si="19"/>
        <v/>
      </c>
      <c r="G556" t="str">
        <f t="shared" si="20"/>
        <v/>
      </c>
    </row>
    <row r="557" spans="3:7" ht="15" hidden="1" x14ac:dyDescent="0.25">
      <c r="C557" s="4" t="str">
        <f>IFERROR(AVERAGEIFS('2. Program Allocation Output'!$P:$P,'2. Program Allocation Output'!$AF:$AF,$A557,'2. Program Allocation Output'!$AG:$AG,$B557),"")</f>
        <v/>
      </c>
      <c r="D557" s="4" t="str">
        <f>IFERROR(AVERAGEIFS('2. Program Allocation Output'!$O:$O,'2. Program Allocation Output'!$AF:$AF,$A557,'2. Program Allocation Output'!$AG:$AG,$B557),"")</f>
        <v/>
      </c>
      <c r="E557" s="5" t="str">
        <f>IFERROR(AVERAGEIFS('2. Program Allocation Output'!$L:$L,'2. Program Allocation Output'!$AF:$AF,$A557,'2. Program Allocation Output'!$AG:$AG,$B557),"")</f>
        <v/>
      </c>
      <c r="F557" s="39" t="str">
        <f t="shared" si="19"/>
        <v/>
      </c>
      <c r="G557" t="str">
        <f t="shared" si="20"/>
        <v/>
      </c>
    </row>
    <row r="558" spans="3:7" ht="15" hidden="1" x14ac:dyDescent="0.25">
      <c r="C558" s="4" t="str">
        <f>IFERROR(AVERAGEIFS('2. Program Allocation Output'!$P:$P,'2. Program Allocation Output'!$AF:$AF,$A558,'2. Program Allocation Output'!$AG:$AG,$B558),"")</f>
        <v/>
      </c>
      <c r="D558" s="4" t="str">
        <f>IFERROR(AVERAGEIFS('2. Program Allocation Output'!$O:$O,'2. Program Allocation Output'!$AF:$AF,$A558,'2. Program Allocation Output'!$AG:$AG,$B558),"")</f>
        <v/>
      </c>
      <c r="E558" s="5" t="str">
        <f>IFERROR(AVERAGEIFS('2. Program Allocation Output'!$L:$L,'2. Program Allocation Output'!$AF:$AF,$A558,'2. Program Allocation Output'!$AG:$AG,$B558),"")</f>
        <v/>
      </c>
      <c r="F558" s="39" t="str">
        <f t="shared" si="19"/>
        <v/>
      </c>
      <c r="G558" t="str">
        <f t="shared" si="20"/>
        <v/>
      </c>
    </row>
    <row r="559" spans="3:7" ht="15" hidden="1" x14ac:dyDescent="0.25">
      <c r="C559" s="4" t="str">
        <f>IFERROR(AVERAGEIFS('2. Program Allocation Output'!$P:$P,'2. Program Allocation Output'!$AF:$AF,$A559,'2. Program Allocation Output'!$AG:$AG,$B559),"")</f>
        <v/>
      </c>
      <c r="D559" s="4" t="str">
        <f>IFERROR(AVERAGEIFS('2. Program Allocation Output'!$O:$O,'2. Program Allocation Output'!$AF:$AF,$A559,'2. Program Allocation Output'!$AG:$AG,$B559),"")</f>
        <v/>
      </c>
      <c r="E559" s="5" t="str">
        <f>IFERROR(AVERAGEIFS('2. Program Allocation Output'!$L:$L,'2. Program Allocation Output'!$AF:$AF,$A559,'2. Program Allocation Output'!$AG:$AG,$B559),"")</f>
        <v/>
      </c>
      <c r="F559" s="39" t="str">
        <f t="shared" si="19"/>
        <v/>
      </c>
      <c r="G559" t="str">
        <f t="shared" si="20"/>
        <v/>
      </c>
    </row>
    <row r="560" spans="3:7" ht="15" hidden="1" x14ac:dyDescent="0.25">
      <c r="C560" s="4" t="str">
        <f>IFERROR(AVERAGEIFS('2. Program Allocation Output'!$P:$P,'2. Program Allocation Output'!$AF:$AF,$A560,'2. Program Allocation Output'!$AG:$AG,$B560),"")</f>
        <v/>
      </c>
      <c r="D560" s="4" t="str">
        <f>IFERROR(AVERAGEIFS('2. Program Allocation Output'!$O:$O,'2. Program Allocation Output'!$AF:$AF,$A560,'2. Program Allocation Output'!$AG:$AG,$B560),"")</f>
        <v/>
      </c>
      <c r="E560" s="5" t="str">
        <f>IFERROR(AVERAGEIFS('2. Program Allocation Output'!$L:$L,'2. Program Allocation Output'!$AF:$AF,$A560,'2. Program Allocation Output'!$AG:$AG,$B560),"")</f>
        <v/>
      </c>
      <c r="F560" s="39" t="str">
        <f t="shared" si="19"/>
        <v/>
      </c>
      <c r="G560" t="str">
        <f t="shared" si="20"/>
        <v/>
      </c>
    </row>
    <row r="561" spans="3:7" ht="15" hidden="1" x14ac:dyDescent="0.25">
      <c r="C561" s="4" t="str">
        <f>IFERROR(AVERAGEIFS('2. Program Allocation Output'!$P:$P,'2. Program Allocation Output'!$AF:$AF,$A561,'2. Program Allocation Output'!$AG:$AG,$B561),"")</f>
        <v/>
      </c>
      <c r="D561" s="4" t="str">
        <f>IFERROR(AVERAGEIFS('2. Program Allocation Output'!$O:$O,'2. Program Allocation Output'!$AF:$AF,$A561,'2. Program Allocation Output'!$AG:$AG,$B561),"")</f>
        <v/>
      </c>
      <c r="E561" s="5" t="str">
        <f>IFERROR(AVERAGEIFS('2. Program Allocation Output'!$L:$L,'2. Program Allocation Output'!$AF:$AF,$A561,'2. Program Allocation Output'!$AG:$AG,$B561),"")</f>
        <v/>
      </c>
      <c r="F561" s="39" t="str">
        <f t="shared" si="19"/>
        <v/>
      </c>
      <c r="G561" t="str">
        <f t="shared" si="20"/>
        <v/>
      </c>
    </row>
    <row r="562" spans="3:7" ht="15" hidden="1" x14ac:dyDescent="0.25">
      <c r="C562" s="4" t="str">
        <f>IFERROR(AVERAGEIFS('2. Program Allocation Output'!$P:$P,'2. Program Allocation Output'!$AF:$AF,$A562,'2. Program Allocation Output'!$AG:$AG,$B562),"")</f>
        <v/>
      </c>
      <c r="D562" s="4" t="str">
        <f>IFERROR(AVERAGEIFS('2. Program Allocation Output'!$O:$O,'2. Program Allocation Output'!$AF:$AF,$A562,'2. Program Allocation Output'!$AG:$AG,$B562),"")</f>
        <v/>
      </c>
      <c r="E562" s="5" t="str">
        <f>IFERROR(AVERAGEIFS('2. Program Allocation Output'!$L:$L,'2. Program Allocation Output'!$AF:$AF,$A562,'2. Program Allocation Output'!$AG:$AG,$B562),"")</f>
        <v/>
      </c>
      <c r="F562" s="39" t="str">
        <f t="shared" si="19"/>
        <v/>
      </c>
      <c r="G562" t="str">
        <f t="shared" si="20"/>
        <v/>
      </c>
    </row>
    <row r="563" spans="3:7" ht="15" hidden="1" x14ac:dyDescent="0.25">
      <c r="C563" s="4" t="str">
        <f>IFERROR(AVERAGEIFS('2. Program Allocation Output'!$P:$P,'2. Program Allocation Output'!$AF:$AF,$A563,'2. Program Allocation Output'!$AG:$AG,$B563),"")</f>
        <v/>
      </c>
      <c r="D563" s="4" t="str">
        <f>IFERROR(AVERAGEIFS('2. Program Allocation Output'!$O:$O,'2. Program Allocation Output'!$AF:$AF,$A563,'2. Program Allocation Output'!$AG:$AG,$B563),"")</f>
        <v/>
      </c>
      <c r="E563" s="5" t="str">
        <f>IFERROR(AVERAGEIFS('2. Program Allocation Output'!$L:$L,'2. Program Allocation Output'!$AF:$AF,$A563,'2. Program Allocation Output'!$AG:$AG,$B563),"")</f>
        <v/>
      </c>
      <c r="F563" s="39" t="str">
        <f t="shared" si="19"/>
        <v/>
      </c>
      <c r="G563" t="str">
        <f t="shared" si="20"/>
        <v/>
      </c>
    </row>
    <row r="564" spans="3:7" ht="15" hidden="1" x14ac:dyDescent="0.25">
      <c r="C564" s="4" t="str">
        <f>IFERROR(AVERAGEIFS('2. Program Allocation Output'!$P:$P,'2. Program Allocation Output'!$AF:$AF,$A564,'2. Program Allocation Output'!$AG:$AG,$B564),"")</f>
        <v/>
      </c>
      <c r="D564" s="4" t="str">
        <f>IFERROR(AVERAGEIFS('2. Program Allocation Output'!$O:$O,'2. Program Allocation Output'!$AF:$AF,$A564,'2. Program Allocation Output'!$AG:$AG,$B564),"")</f>
        <v/>
      </c>
      <c r="E564" s="5" t="str">
        <f>IFERROR(AVERAGEIFS('2. Program Allocation Output'!$L:$L,'2. Program Allocation Output'!$AF:$AF,$A564,'2. Program Allocation Output'!$AG:$AG,$B564),"")</f>
        <v/>
      </c>
      <c r="F564" s="39" t="str">
        <f t="shared" si="19"/>
        <v/>
      </c>
      <c r="G564" t="str">
        <f t="shared" si="20"/>
        <v/>
      </c>
    </row>
    <row r="565" spans="3:7" ht="15" hidden="1" x14ac:dyDescent="0.25">
      <c r="C565" s="4" t="str">
        <f>IFERROR(AVERAGEIFS('2. Program Allocation Output'!$P:$P,'2. Program Allocation Output'!$AF:$AF,$A565,'2. Program Allocation Output'!$AG:$AG,$B565),"")</f>
        <v/>
      </c>
      <c r="D565" s="4" t="str">
        <f>IFERROR(AVERAGEIFS('2. Program Allocation Output'!$O:$O,'2. Program Allocation Output'!$AF:$AF,$A565,'2. Program Allocation Output'!$AG:$AG,$B565),"")</f>
        <v/>
      </c>
      <c r="E565" s="5" t="str">
        <f>IFERROR(AVERAGEIFS('2. Program Allocation Output'!$L:$L,'2. Program Allocation Output'!$AF:$AF,$A565,'2. Program Allocation Output'!$AG:$AG,$B565),"")</f>
        <v/>
      </c>
      <c r="F565" s="39" t="str">
        <f t="shared" si="19"/>
        <v/>
      </c>
      <c r="G565" t="str">
        <f t="shared" si="20"/>
        <v/>
      </c>
    </row>
    <row r="566" spans="3:7" ht="15" hidden="1" x14ac:dyDescent="0.25">
      <c r="C566" s="4" t="str">
        <f>IFERROR(AVERAGEIFS('2. Program Allocation Output'!$P:$P,'2. Program Allocation Output'!$AF:$AF,$A566,'2. Program Allocation Output'!$AG:$AG,$B566),"")</f>
        <v/>
      </c>
      <c r="D566" s="4" t="str">
        <f>IFERROR(AVERAGEIFS('2. Program Allocation Output'!$O:$O,'2. Program Allocation Output'!$AF:$AF,$A566,'2. Program Allocation Output'!$AG:$AG,$B566),"")</f>
        <v/>
      </c>
      <c r="E566" s="5" t="str">
        <f>IFERROR(AVERAGEIFS('2. Program Allocation Output'!$L:$L,'2. Program Allocation Output'!$AF:$AF,$A566,'2. Program Allocation Output'!$AG:$AG,$B566),"")</f>
        <v/>
      </c>
      <c r="F566" s="39" t="str">
        <f t="shared" si="19"/>
        <v/>
      </c>
      <c r="G566" t="str">
        <f t="shared" si="20"/>
        <v/>
      </c>
    </row>
    <row r="567" spans="3:7" ht="15" hidden="1" x14ac:dyDescent="0.25">
      <c r="C567" s="4" t="str">
        <f>IFERROR(AVERAGEIFS('2. Program Allocation Output'!$P:$P,'2. Program Allocation Output'!$AF:$AF,$A567,'2. Program Allocation Output'!$AG:$AG,$B567),"")</f>
        <v/>
      </c>
      <c r="D567" s="4" t="str">
        <f>IFERROR(AVERAGEIFS('2. Program Allocation Output'!$O:$O,'2. Program Allocation Output'!$AF:$AF,$A567,'2. Program Allocation Output'!$AG:$AG,$B567),"")</f>
        <v/>
      </c>
      <c r="E567" s="5" t="str">
        <f>IFERROR(AVERAGEIFS('2. Program Allocation Output'!$L:$L,'2. Program Allocation Output'!$AF:$AF,$A567,'2. Program Allocation Output'!$AG:$AG,$B567),"")</f>
        <v/>
      </c>
      <c r="F567" s="39" t="str">
        <f t="shared" si="19"/>
        <v/>
      </c>
      <c r="G567" t="str">
        <f t="shared" si="20"/>
        <v/>
      </c>
    </row>
    <row r="568" spans="3:7" ht="15" hidden="1" x14ac:dyDescent="0.25">
      <c r="C568" s="4" t="str">
        <f>IFERROR(AVERAGEIFS('2. Program Allocation Output'!$P:$P,'2. Program Allocation Output'!$AF:$AF,$A568,'2. Program Allocation Output'!$AG:$AG,$B568),"")</f>
        <v/>
      </c>
      <c r="D568" s="4" t="str">
        <f>IFERROR(AVERAGEIFS('2. Program Allocation Output'!$O:$O,'2. Program Allocation Output'!$AF:$AF,$A568,'2. Program Allocation Output'!$AG:$AG,$B568),"")</f>
        <v/>
      </c>
      <c r="E568" s="5" t="str">
        <f>IFERROR(AVERAGEIFS('2. Program Allocation Output'!$L:$L,'2. Program Allocation Output'!$AF:$AF,$A568,'2. Program Allocation Output'!$AG:$AG,$B568),"")</f>
        <v/>
      </c>
      <c r="F568" s="39" t="str">
        <f t="shared" si="19"/>
        <v/>
      </c>
      <c r="G568" t="str">
        <f t="shared" si="20"/>
        <v/>
      </c>
    </row>
    <row r="569" spans="3:7" ht="15" hidden="1" x14ac:dyDescent="0.25">
      <c r="C569" s="4" t="str">
        <f>IFERROR(AVERAGEIFS('2. Program Allocation Output'!$P:$P,'2. Program Allocation Output'!$AF:$AF,$A569,'2. Program Allocation Output'!$AG:$AG,$B569),"")</f>
        <v/>
      </c>
      <c r="D569" s="4" t="str">
        <f>IFERROR(AVERAGEIFS('2. Program Allocation Output'!$O:$O,'2. Program Allocation Output'!$AF:$AF,$A569,'2. Program Allocation Output'!$AG:$AG,$B569),"")</f>
        <v/>
      </c>
      <c r="E569" s="5" t="str">
        <f>IFERROR(AVERAGEIFS('2. Program Allocation Output'!$L:$L,'2. Program Allocation Output'!$AF:$AF,$A569,'2. Program Allocation Output'!$AG:$AG,$B569),"")</f>
        <v/>
      </c>
      <c r="F569" s="39" t="str">
        <f t="shared" si="19"/>
        <v/>
      </c>
      <c r="G569" t="str">
        <f t="shared" si="20"/>
        <v/>
      </c>
    </row>
    <row r="570" spans="3:7" ht="15" hidden="1" x14ac:dyDescent="0.25">
      <c r="C570" s="4" t="str">
        <f>IFERROR(AVERAGEIFS('2. Program Allocation Output'!$P:$P,'2. Program Allocation Output'!$AF:$AF,$A570,'2. Program Allocation Output'!$AG:$AG,$B570),"")</f>
        <v/>
      </c>
      <c r="D570" s="4" t="str">
        <f>IFERROR(AVERAGEIFS('2. Program Allocation Output'!$O:$O,'2. Program Allocation Output'!$AF:$AF,$A570,'2. Program Allocation Output'!$AG:$AG,$B570),"")</f>
        <v/>
      </c>
      <c r="E570" s="5" t="str">
        <f>IFERROR(AVERAGEIFS('2. Program Allocation Output'!$L:$L,'2. Program Allocation Output'!$AF:$AF,$A570,'2. Program Allocation Output'!$AG:$AG,$B570),"")</f>
        <v/>
      </c>
      <c r="F570" s="39" t="str">
        <f t="shared" si="19"/>
        <v/>
      </c>
      <c r="G570" t="str">
        <f t="shared" si="20"/>
        <v/>
      </c>
    </row>
    <row r="571" spans="3:7" ht="15" hidden="1" x14ac:dyDescent="0.25">
      <c r="C571" s="4" t="str">
        <f>IFERROR(AVERAGEIFS('2. Program Allocation Output'!$P:$P,'2. Program Allocation Output'!$AF:$AF,$A571,'2. Program Allocation Output'!$AG:$AG,$B571),"")</f>
        <v/>
      </c>
      <c r="D571" s="4" t="str">
        <f>IFERROR(AVERAGEIFS('2. Program Allocation Output'!$O:$O,'2. Program Allocation Output'!$AF:$AF,$A571,'2. Program Allocation Output'!$AG:$AG,$B571),"")</f>
        <v/>
      </c>
      <c r="E571" s="5" t="str">
        <f>IFERROR(AVERAGEIFS('2. Program Allocation Output'!$L:$L,'2. Program Allocation Output'!$AF:$AF,$A571,'2. Program Allocation Output'!$AG:$AG,$B571),"")</f>
        <v/>
      </c>
      <c r="F571" s="39" t="str">
        <f t="shared" si="19"/>
        <v/>
      </c>
      <c r="G571" t="str">
        <f t="shared" si="20"/>
        <v/>
      </c>
    </row>
    <row r="572" spans="3:7" ht="15" hidden="1" x14ac:dyDescent="0.25">
      <c r="C572" s="4" t="str">
        <f>IFERROR(AVERAGEIFS('2. Program Allocation Output'!$P:$P,'2. Program Allocation Output'!$AF:$AF,$A572,'2. Program Allocation Output'!$AG:$AG,$B572),"")</f>
        <v/>
      </c>
      <c r="D572" s="4" t="str">
        <f>IFERROR(AVERAGEIFS('2. Program Allocation Output'!$O:$O,'2. Program Allocation Output'!$AF:$AF,$A572,'2. Program Allocation Output'!$AG:$AG,$B572),"")</f>
        <v/>
      </c>
      <c r="E572" s="5" t="str">
        <f>IFERROR(AVERAGEIFS('2. Program Allocation Output'!$L:$L,'2. Program Allocation Output'!$AF:$AF,$A572,'2. Program Allocation Output'!$AG:$AG,$B572),"")</f>
        <v/>
      </c>
      <c r="F572" s="39" t="str">
        <f t="shared" si="19"/>
        <v/>
      </c>
      <c r="G572" t="str">
        <f t="shared" si="20"/>
        <v/>
      </c>
    </row>
    <row r="573" spans="3:7" ht="15" hidden="1" x14ac:dyDescent="0.25">
      <c r="C573" s="4" t="str">
        <f>IFERROR(AVERAGEIFS('2. Program Allocation Output'!$P:$P,'2. Program Allocation Output'!$AF:$AF,$A573,'2. Program Allocation Output'!$AG:$AG,$B573),"")</f>
        <v/>
      </c>
      <c r="D573" s="4" t="str">
        <f>IFERROR(AVERAGEIFS('2. Program Allocation Output'!$O:$O,'2. Program Allocation Output'!$AF:$AF,$A573,'2. Program Allocation Output'!$AG:$AG,$B573),"")</f>
        <v/>
      </c>
      <c r="E573" s="5" t="str">
        <f>IFERROR(AVERAGEIFS('2. Program Allocation Output'!$L:$L,'2. Program Allocation Output'!$AF:$AF,$A573,'2. Program Allocation Output'!$AG:$AG,$B573),"")</f>
        <v/>
      </c>
      <c r="F573" s="39" t="str">
        <f t="shared" si="19"/>
        <v/>
      </c>
      <c r="G573" t="str">
        <f t="shared" si="20"/>
        <v/>
      </c>
    </row>
    <row r="574" spans="3:7" ht="15" hidden="1" x14ac:dyDescent="0.25">
      <c r="C574" s="4" t="str">
        <f>IFERROR(AVERAGEIFS('2. Program Allocation Output'!$P:$P,'2. Program Allocation Output'!$AF:$AF,$A574,'2. Program Allocation Output'!$AG:$AG,$B574),"")</f>
        <v/>
      </c>
      <c r="D574" s="4" t="str">
        <f>IFERROR(AVERAGEIFS('2. Program Allocation Output'!$O:$O,'2. Program Allocation Output'!$AF:$AF,$A574,'2. Program Allocation Output'!$AG:$AG,$B574),"")</f>
        <v/>
      </c>
      <c r="E574" s="5" t="str">
        <f>IFERROR(AVERAGEIFS('2. Program Allocation Output'!$L:$L,'2. Program Allocation Output'!$AF:$AF,$A574,'2. Program Allocation Output'!$AG:$AG,$B574),"")</f>
        <v/>
      </c>
      <c r="F574" s="39" t="str">
        <f t="shared" si="19"/>
        <v/>
      </c>
      <c r="G574" t="str">
        <f t="shared" si="20"/>
        <v/>
      </c>
    </row>
    <row r="575" spans="3:7" ht="15" hidden="1" x14ac:dyDescent="0.25">
      <c r="C575" s="4" t="str">
        <f>IFERROR(AVERAGEIFS('2. Program Allocation Output'!$P:$P,'2. Program Allocation Output'!$AF:$AF,$A575,'2. Program Allocation Output'!$AG:$AG,$B575),"")</f>
        <v/>
      </c>
      <c r="D575" s="4" t="str">
        <f>IFERROR(AVERAGEIFS('2. Program Allocation Output'!$O:$O,'2. Program Allocation Output'!$AF:$AF,$A575,'2. Program Allocation Output'!$AG:$AG,$B575),"")</f>
        <v/>
      </c>
      <c r="E575" s="5" t="str">
        <f>IFERROR(AVERAGEIFS('2. Program Allocation Output'!$L:$L,'2. Program Allocation Output'!$AF:$AF,$A575,'2. Program Allocation Output'!$AG:$AG,$B575),"")</f>
        <v/>
      </c>
      <c r="F575" s="39" t="str">
        <f t="shared" si="19"/>
        <v/>
      </c>
      <c r="G575" t="str">
        <f t="shared" si="20"/>
        <v/>
      </c>
    </row>
    <row r="576" spans="3:7" ht="15" hidden="1" x14ac:dyDescent="0.25">
      <c r="C576" s="4" t="str">
        <f>IFERROR(AVERAGEIFS('2. Program Allocation Output'!$P:$P,'2. Program Allocation Output'!$AF:$AF,$A576,'2. Program Allocation Output'!$AG:$AG,$B576),"")</f>
        <v/>
      </c>
      <c r="D576" s="4" t="str">
        <f>IFERROR(AVERAGEIFS('2. Program Allocation Output'!$O:$O,'2. Program Allocation Output'!$AF:$AF,$A576,'2. Program Allocation Output'!$AG:$AG,$B576),"")</f>
        <v/>
      </c>
      <c r="E576" s="5" t="str">
        <f>IFERROR(AVERAGEIFS('2. Program Allocation Output'!$L:$L,'2. Program Allocation Output'!$AF:$AF,$A576,'2. Program Allocation Output'!$AG:$AG,$B576),"")</f>
        <v/>
      </c>
      <c r="F576" s="39" t="str">
        <f t="shared" si="19"/>
        <v/>
      </c>
      <c r="G576" t="str">
        <f t="shared" si="20"/>
        <v/>
      </c>
    </row>
    <row r="577" spans="3:7" ht="15" hidden="1" x14ac:dyDescent="0.25">
      <c r="C577" s="4" t="str">
        <f>IFERROR(AVERAGEIFS('2. Program Allocation Output'!$P:$P,'2. Program Allocation Output'!$AF:$AF,$A577,'2. Program Allocation Output'!$AG:$AG,$B577),"")</f>
        <v/>
      </c>
      <c r="D577" s="4" t="str">
        <f>IFERROR(AVERAGEIFS('2. Program Allocation Output'!$O:$O,'2. Program Allocation Output'!$AF:$AF,$A577,'2. Program Allocation Output'!$AG:$AG,$B577),"")</f>
        <v/>
      </c>
      <c r="E577" s="5" t="str">
        <f>IFERROR(AVERAGEIFS('2. Program Allocation Output'!$L:$L,'2. Program Allocation Output'!$AF:$AF,$A577,'2. Program Allocation Output'!$AG:$AG,$B577),"")</f>
        <v/>
      </c>
      <c r="F577" s="39" t="str">
        <f t="shared" si="19"/>
        <v/>
      </c>
      <c r="G577" t="str">
        <f t="shared" si="20"/>
        <v/>
      </c>
    </row>
    <row r="578" spans="3:7" ht="15" hidden="1" x14ac:dyDescent="0.25">
      <c r="C578" s="4" t="str">
        <f>IFERROR(AVERAGEIFS('2. Program Allocation Output'!$P:$P,'2. Program Allocation Output'!$AF:$AF,$A578,'2. Program Allocation Output'!$AG:$AG,$B578),"")</f>
        <v/>
      </c>
      <c r="D578" s="4" t="str">
        <f>IFERROR(AVERAGEIFS('2. Program Allocation Output'!$O:$O,'2. Program Allocation Output'!$AF:$AF,$A578,'2. Program Allocation Output'!$AG:$AG,$B578),"")</f>
        <v/>
      </c>
      <c r="E578" s="5" t="str">
        <f>IFERROR(AVERAGEIFS('2. Program Allocation Output'!$L:$L,'2. Program Allocation Output'!$AF:$AF,$A578,'2. Program Allocation Output'!$AG:$AG,$B578),"")</f>
        <v/>
      </c>
      <c r="F578" s="39" t="str">
        <f t="shared" si="19"/>
        <v/>
      </c>
      <c r="G578" t="str">
        <f t="shared" si="20"/>
        <v/>
      </c>
    </row>
    <row r="579" spans="3:7" ht="15" hidden="1" x14ac:dyDescent="0.25">
      <c r="C579" s="4" t="str">
        <f>IFERROR(AVERAGEIFS('2. Program Allocation Output'!$P:$P,'2. Program Allocation Output'!$AF:$AF,$A579,'2. Program Allocation Output'!$AG:$AG,$B579),"")</f>
        <v/>
      </c>
      <c r="D579" s="4" t="str">
        <f>IFERROR(AVERAGEIFS('2. Program Allocation Output'!$O:$O,'2. Program Allocation Output'!$AF:$AF,$A579,'2. Program Allocation Output'!$AG:$AG,$B579),"")</f>
        <v/>
      </c>
      <c r="E579" s="5" t="str">
        <f>IFERROR(AVERAGEIFS('2. Program Allocation Output'!$L:$L,'2. Program Allocation Output'!$AF:$AF,$A579,'2. Program Allocation Output'!$AG:$AG,$B579),"")</f>
        <v/>
      </c>
      <c r="F579" s="39" t="str">
        <f t="shared" ref="F579:F642" si="21">IFERROR(C579*1,"")</f>
        <v/>
      </c>
      <c r="G579" t="str">
        <f t="shared" si="20"/>
        <v/>
      </c>
    </row>
    <row r="580" spans="3:7" ht="15" hidden="1" x14ac:dyDescent="0.25">
      <c r="C580" s="4" t="str">
        <f>IFERROR(AVERAGEIFS('2. Program Allocation Output'!$P:$P,'2. Program Allocation Output'!$AF:$AF,$A580,'2. Program Allocation Output'!$AG:$AG,$B580),"")</f>
        <v/>
      </c>
      <c r="D580" s="4" t="str">
        <f>IFERROR(AVERAGEIFS('2. Program Allocation Output'!$O:$O,'2. Program Allocation Output'!$AF:$AF,$A580,'2. Program Allocation Output'!$AG:$AG,$B580),"")</f>
        <v/>
      </c>
      <c r="E580" s="5" t="str">
        <f>IFERROR(AVERAGEIFS('2. Program Allocation Output'!$L:$L,'2. Program Allocation Output'!$AF:$AF,$A580,'2. Program Allocation Output'!$AG:$AG,$B580),"")</f>
        <v/>
      </c>
      <c r="F580" s="39" t="str">
        <f t="shared" si="21"/>
        <v/>
      </c>
      <c r="G580" t="str">
        <f t="shared" si="20"/>
        <v/>
      </c>
    </row>
    <row r="581" spans="3:7" ht="15" hidden="1" x14ac:dyDescent="0.25">
      <c r="C581" s="4" t="str">
        <f>IFERROR(AVERAGEIFS('2. Program Allocation Output'!$P:$P,'2. Program Allocation Output'!$AF:$AF,$A581,'2. Program Allocation Output'!$AG:$AG,$B581),"")</f>
        <v/>
      </c>
      <c r="D581" s="4" t="str">
        <f>IFERROR(AVERAGEIFS('2. Program Allocation Output'!$O:$O,'2. Program Allocation Output'!$AF:$AF,$A581,'2. Program Allocation Output'!$AG:$AG,$B581),"")</f>
        <v/>
      </c>
      <c r="E581" s="5" t="str">
        <f>IFERROR(AVERAGEIFS('2. Program Allocation Output'!$L:$L,'2. Program Allocation Output'!$AF:$AF,$A581,'2. Program Allocation Output'!$AG:$AG,$B581),"")</f>
        <v/>
      </c>
      <c r="F581" s="39" t="str">
        <f t="shared" si="21"/>
        <v/>
      </c>
      <c r="G581" t="str">
        <f t="shared" si="20"/>
        <v/>
      </c>
    </row>
    <row r="582" spans="3:7" ht="15" hidden="1" x14ac:dyDescent="0.25">
      <c r="C582" s="4" t="str">
        <f>IFERROR(AVERAGEIFS('2. Program Allocation Output'!$P:$P,'2. Program Allocation Output'!$AF:$AF,$A582,'2. Program Allocation Output'!$AG:$AG,$B582),"")</f>
        <v/>
      </c>
      <c r="D582" s="4" t="str">
        <f>IFERROR(AVERAGEIFS('2. Program Allocation Output'!$O:$O,'2. Program Allocation Output'!$AF:$AF,$A582,'2. Program Allocation Output'!$AG:$AG,$B582),"")</f>
        <v/>
      </c>
      <c r="E582" s="5" t="str">
        <f>IFERROR(AVERAGEIFS('2. Program Allocation Output'!$L:$L,'2. Program Allocation Output'!$AF:$AF,$A582,'2. Program Allocation Output'!$AG:$AG,$B582),"")</f>
        <v/>
      </c>
      <c r="F582" s="39" t="str">
        <f t="shared" si="21"/>
        <v/>
      </c>
      <c r="G582" t="str">
        <f t="shared" si="20"/>
        <v/>
      </c>
    </row>
    <row r="583" spans="3:7" ht="15" hidden="1" x14ac:dyDescent="0.25">
      <c r="C583" s="4" t="str">
        <f>IFERROR(AVERAGEIFS('2. Program Allocation Output'!$P:$P,'2. Program Allocation Output'!$AF:$AF,$A583,'2. Program Allocation Output'!$AG:$AG,$B583),"")</f>
        <v/>
      </c>
      <c r="D583" s="4" t="str">
        <f>IFERROR(AVERAGEIFS('2. Program Allocation Output'!$O:$O,'2. Program Allocation Output'!$AF:$AF,$A583,'2. Program Allocation Output'!$AG:$AG,$B583),"")</f>
        <v/>
      </c>
      <c r="E583" s="5" t="str">
        <f>IFERROR(AVERAGEIFS('2. Program Allocation Output'!$L:$L,'2. Program Allocation Output'!$AF:$AF,$A583,'2. Program Allocation Output'!$AG:$AG,$B583),"")</f>
        <v/>
      </c>
      <c r="F583" s="39" t="str">
        <f t="shared" si="21"/>
        <v/>
      </c>
      <c r="G583" t="str">
        <f t="shared" si="20"/>
        <v/>
      </c>
    </row>
    <row r="584" spans="3:7" ht="15" hidden="1" x14ac:dyDescent="0.25">
      <c r="C584" s="4" t="str">
        <f>IFERROR(AVERAGEIFS('2. Program Allocation Output'!$P:$P,'2. Program Allocation Output'!$AF:$AF,$A584,'2. Program Allocation Output'!$AG:$AG,$B584),"")</f>
        <v/>
      </c>
      <c r="D584" s="4" t="str">
        <f>IFERROR(AVERAGEIFS('2. Program Allocation Output'!$O:$O,'2. Program Allocation Output'!$AF:$AF,$A584,'2. Program Allocation Output'!$AG:$AG,$B584),"")</f>
        <v/>
      </c>
      <c r="E584" s="5" t="str">
        <f>IFERROR(AVERAGEIFS('2. Program Allocation Output'!$L:$L,'2. Program Allocation Output'!$AF:$AF,$A584,'2. Program Allocation Output'!$AG:$AG,$B584),"")</f>
        <v/>
      </c>
      <c r="F584" s="39" t="str">
        <f t="shared" si="21"/>
        <v/>
      </c>
      <c r="G584" t="str">
        <f t="shared" si="20"/>
        <v/>
      </c>
    </row>
    <row r="585" spans="3:7" ht="15" hidden="1" x14ac:dyDescent="0.25">
      <c r="C585" s="4" t="str">
        <f>IFERROR(AVERAGEIFS('2. Program Allocation Output'!$P:$P,'2. Program Allocation Output'!$AF:$AF,$A585,'2. Program Allocation Output'!$AG:$AG,$B585),"")</f>
        <v/>
      </c>
      <c r="D585" s="4" t="str">
        <f>IFERROR(AVERAGEIFS('2. Program Allocation Output'!$O:$O,'2. Program Allocation Output'!$AF:$AF,$A585,'2. Program Allocation Output'!$AG:$AG,$B585),"")</f>
        <v/>
      </c>
      <c r="E585" s="5" t="str">
        <f>IFERROR(AVERAGEIFS('2. Program Allocation Output'!$L:$L,'2. Program Allocation Output'!$AF:$AF,$A585,'2. Program Allocation Output'!$AG:$AG,$B585),"")</f>
        <v/>
      </c>
      <c r="F585" s="39" t="str">
        <f t="shared" si="21"/>
        <v/>
      </c>
      <c r="G585" t="str">
        <f t="shared" si="20"/>
        <v/>
      </c>
    </row>
    <row r="586" spans="3:7" ht="15" hidden="1" x14ac:dyDescent="0.25">
      <c r="C586" s="4" t="str">
        <f>IFERROR(AVERAGEIFS('2. Program Allocation Output'!$P:$P,'2. Program Allocation Output'!$AF:$AF,$A586,'2. Program Allocation Output'!$AG:$AG,$B586),"")</f>
        <v/>
      </c>
      <c r="D586" s="4" t="str">
        <f>IFERROR(AVERAGEIFS('2. Program Allocation Output'!$O:$O,'2. Program Allocation Output'!$AF:$AF,$A586,'2. Program Allocation Output'!$AG:$AG,$B586),"")</f>
        <v/>
      </c>
      <c r="E586" s="5" t="str">
        <f>IFERROR(AVERAGEIFS('2. Program Allocation Output'!$L:$L,'2. Program Allocation Output'!$AF:$AF,$A586,'2. Program Allocation Output'!$AG:$AG,$B586),"")</f>
        <v/>
      </c>
      <c r="F586" s="39" t="str">
        <f t="shared" si="21"/>
        <v/>
      </c>
      <c r="G586" t="str">
        <f t="shared" si="20"/>
        <v/>
      </c>
    </row>
    <row r="587" spans="3:7" ht="15" hidden="1" x14ac:dyDescent="0.25">
      <c r="C587" s="4" t="str">
        <f>IFERROR(AVERAGEIFS('2. Program Allocation Output'!$P:$P,'2. Program Allocation Output'!$AF:$AF,$A587,'2. Program Allocation Output'!$AG:$AG,$B587),"")</f>
        <v/>
      </c>
      <c r="D587" s="4" t="str">
        <f>IFERROR(AVERAGEIFS('2. Program Allocation Output'!$O:$O,'2. Program Allocation Output'!$AF:$AF,$A587,'2. Program Allocation Output'!$AG:$AG,$B587),"")</f>
        <v/>
      </c>
      <c r="E587" s="5" t="str">
        <f>IFERROR(AVERAGEIFS('2. Program Allocation Output'!$L:$L,'2. Program Allocation Output'!$AF:$AF,$A587,'2. Program Allocation Output'!$AG:$AG,$B587),"")</f>
        <v/>
      </c>
      <c r="F587" s="39" t="str">
        <f t="shared" si="21"/>
        <v/>
      </c>
      <c r="G587" t="str">
        <f t="shared" si="20"/>
        <v/>
      </c>
    </row>
    <row r="588" spans="3:7" ht="15" hidden="1" x14ac:dyDescent="0.25">
      <c r="C588" s="4" t="str">
        <f>IFERROR(AVERAGEIFS('2. Program Allocation Output'!$P:$P,'2. Program Allocation Output'!$AF:$AF,$A588,'2. Program Allocation Output'!$AG:$AG,$B588),"")</f>
        <v/>
      </c>
      <c r="D588" s="4" t="str">
        <f>IFERROR(AVERAGEIFS('2. Program Allocation Output'!$O:$O,'2. Program Allocation Output'!$AF:$AF,$A588,'2. Program Allocation Output'!$AG:$AG,$B588),"")</f>
        <v/>
      </c>
      <c r="E588" s="5" t="str">
        <f>IFERROR(AVERAGEIFS('2. Program Allocation Output'!$L:$L,'2. Program Allocation Output'!$AF:$AF,$A588,'2. Program Allocation Output'!$AG:$AG,$B588),"")</f>
        <v/>
      </c>
      <c r="F588" s="39" t="str">
        <f t="shared" si="21"/>
        <v/>
      </c>
      <c r="G588" t="str">
        <f t="shared" si="20"/>
        <v/>
      </c>
    </row>
    <row r="589" spans="3:7" ht="15" hidden="1" x14ac:dyDescent="0.25">
      <c r="C589" s="4" t="str">
        <f>IFERROR(AVERAGEIFS('2. Program Allocation Output'!$P:$P,'2. Program Allocation Output'!$AF:$AF,$A589,'2. Program Allocation Output'!$AG:$AG,$B589),"")</f>
        <v/>
      </c>
      <c r="D589" s="4" t="str">
        <f>IFERROR(AVERAGEIFS('2. Program Allocation Output'!$O:$O,'2. Program Allocation Output'!$AF:$AF,$A589,'2. Program Allocation Output'!$AG:$AG,$B589),"")</f>
        <v/>
      </c>
      <c r="E589" s="5" t="str">
        <f>IFERROR(AVERAGEIFS('2. Program Allocation Output'!$L:$L,'2. Program Allocation Output'!$AF:$AF,$A589,'2. Program Allocation Output'!$AG:$AG,$B589),"")</f>
        <v/>
      </c>
      <c r="F589" s="39" t="str">
        <f t="shared" si="21"/>
        <v/>
      </c>
      <c r="G589" t="str">
        <f t="shared" si="20"/>
        <v/>
      </c>
    </row>
    <row r="590" spans="3:7" ht="15" hidden="1" x14ac:dyDescent="0.25">
      <c r="C590" s="4" t="str">
        <f>IFERROR(AVERAGEIFS('2. Program Allocation Output'!$P:$P,'2. Program Allocation Output'!$AF:$AF,$A590,'2. Program Allocation Output'!$AG:$AG,$B590),"")</f>
        <v/>
      </c>
      <c r="D590" s="4" t="str">
        <f>IFERROR(AVERAGEIFS('2. Program Allocation Output'!$O:$O,'2. Program Allocation Output'!$AF:$AF,$A590,'2. Program Allocation Output'!$AG:$AG,$B590),"")</f>
        <v/>
      </c>
      <c r="E590" s="5" t="str">
        <f>IFERROR(AVERAGEIFS('2. Program Allocation Output'!$L:$L,'2. Program Allocation Output'!$AF:$AF,$A590,'2. Program Allocation Output'!$AG:$AG,$B590),"")</f>
        <v/>
      </c>
      <c r="F590" s="39" t="str">
        <f t="shared" si="21"/>
        <v/>
      </c>
      <c r="G590" t="str">
        <f t="shared" ref="G590:G653" si="22">IFERROR(EXP(0.3*(F590-C590)/(E590*0.1137)),"")</f>
        <v/>
      </c>
    </row>
    <row r="591" spans="3:7" ht="15" hidden="1" x14ac:dyDescent="0.25">
      <c r="C591" s="4" t="str">
        <f>IFERROR(AVERAGEIFS('2. Program Allocation Output'!$P:$P,'2. Program Allocation Output'!$AF:$AF,$A591,'2. Program Allocation Output'!$AG:$AG,$B591),"")</f>
        <v/>
      </c>
      <c r="D591" s="4" t="str">
        <f>IFERROR(AVERAGEIFS('2. Program Allocation Output'!$O:$O,'2. Program Allocation Output'!$AF:$AF,$A591,'2. Program Allocation Output'!$AG:$AG,$B591),"")</f>
        <v/>
      </c>
      <c r="E591" s="5" t="str">
        <f>IFERROR(AVERAGEIFS('2. Program Allocation Output'!$L:$L,'2. Program Allocation Output'!$AF:$AF,$A591,'2. Program Allocation Output'!$AG:$AG,$B591),"")</f>
        <v/>
      </c>
      <c r="F591" s="39" t="str">
        <f t="shared" si="21"/>
        <v/>
      </c>
      <c r="G591" t="str">
        <f t="shared" si="22"/>
        <v/>
      </c>
    </row>
    <row r="592" spans="3:7" ht="15" hidden="1" x14ac:dyDescent="0.25">
      <c r="C592" s="4" t="str">
        <f>IFERROR(AVERAGEIFS('2. Program Allocation Output'!$P:$P,'2. Program Allocation Output'!$AF:$AF,$A592,'2. Program Allocation Output'!$AG:$AG,$B592),"")</f>
        <v/>
      </c>
      <c r="D592" s="4" t="str">
        <f>IFERROR(AVERAGEIFS('2. Program Allocation Output'!$O:$O,'2. Program Allocation Output'!$AF:$AF,$A592,'2. Program Allocation Output'!$AG:$AG,$B592),"")</f>
        <v/>
      </c>
      <c r="E592" s="5" t="str">
        <f>IFERROR(AVERAGEIFS('2. Program Allocation Output'!$L:$L,'2. Program Allocation Output'!$AF:$AF,$A592,'2. Program Allocation Output'!$AG:$AG,$B592),"")</f>
        <v/>
      </c>
      <c r="F592" s="39" t="str">
        <f t="shared" si="21"/>
        <v/>
      </c>
      <c r="G592" t="str">
        <f t="shared" si="22"/>
        <v/>
      </c>
    </row>
    <row r="593" spans="3:7" ht="15" hidden="1" x14ac:dyDescent="0.25">
      <c r="C593" s="4" t="str">
        <f>IFERROR(AVERAGEIFS('2. Program Allocation Output'!$P:$P,'2. Program Allocation Output'!$AF:$AF,$A593,'2. Program Allocation Output'!$AG:$AG,$B593),"")</f>
        <v/>
      </c>
      <c r="D593" s="4" t="str">
        <f>IFERROR(AVERAGEIFS('2. Program Allocation Output'!$O:$O,'2. Program Allocation Output'!$AF:$AF,$A593,'2. Program Allocation Output'!$AG:$AG,$B593),"")</f>
        <v/>
      </c>
      <c r="E593" s="5" t="str">
        <f>IFERROR(AVERAGEIFS('2. Program Allocation Output'!$L:$L,'2. Program Allocation Output'!$AF:$AF,$A593,'2. Program Allocation Output'!$AG:$AG,$B593),"")</f>
        <v/>
      </c>
      <c r="F593" s="39" t="str">
        <f t="shared" si="21"/>
        <v/>
      </c>
      <c r="G593" t="str">
        <f t="shared" si="22"/>
        <v/>
      </c>
    </row>
    <row r="594" spans="3:7" ht="15" hidden="1" x14ac:dyDescent="0.25">
      <c r="C594" s="4" t="str">
        <f>IFERROR(AVERAGEIFS('2. Program Allocation Output'!$P:$P,'2. Program Allocation Output'!$AF:$AF,$A594,'2. Program Allocation Output'!$AG:$AG,$B594),"")</f>
        <v/>
      </c>
      <c r="D594" s="4" t="str">
        <f>IFERROR(AVERAGEIFS('2. Program Allocation Output'!$O:$O,'2. Program Allocation Output'!$AF:$AF,$A594,'2. Program Allocation Output'!$AG:$AG,$B594),"")</f>
        <v/>
      </c>
      <c r="E594" s="5" t="str">
        <f>IFERROR(AVERAGEIFS('2. Program Allocation Output'!$L:$L,'2. Program Allocation Output'!$AF:$AF,$A594,'2. Program Allocation Output'!$AG:$AG,$B594),"")</f>
        <v/>
      </c>
      <c r="F594" s="39" t="str">
        <f t="shared" si="21"/>
        <v/>
      </c>
      <c r="G594" t="str">
        <f t="shared" si="22"/>
        <v/>
      </c>
    </row>
    <row r="595" spans="3:7" ht="15" hidden="1" x14ac:dyDescent="0.25">
      <c r="C595" s="4" t="str">
        <f>IFERROR(AVERAGEIFS('2. Program Allocation Output'!$P:$P,'2. Program Allocation Output'!$AF:$AF,$A595,'2. Program Allocation Output'!$AG:$AG,$B595),"")</f>
        <v/>
      </c>
      <c r="D595" s="4" t="str">
        <f>IFERROR(AVERAGEIFS('2. Program Allocation Output'!$O:$O,'2. Program Allocation Output'!$AF:$AF,$A595,'2. Program Allocation Output'!$AG:$AG,$B595),"")</f>
        <v/>
      </c>
      <c r="E595" s="5" t="str">
        <f>IFERROR(AVERAGEIFS('2. Program Allocation Output'!$L:$L,'2. Program Allocation Output'!$AF:$AF,$A595,'2. Program Allocation Output'!$AG:$AG,$B595),"")</f>
        <v/>
      </c>
      <c r="F595" s="39" t="str">
        <f t="shared" si="21"/>
        <v/>
      </c>
      <c r="G595" t="str">
        <f t="shared" si="22"/>
        <v/>
      </c>
    </row>
    <row r="596" spans="3:7" ht="15" hidden="1" x14ac:dyDescent="0.25">
      <c r="C596" s="4" t="str">
        <f>IFERROR(AVERAGEIFS('2. Program Allocation Output'!$P:$P,'2. Program Allocation Output'!$AF:$AF,$A596,'2. Program Allocation Output'!$AG:$AG,$B596),"")</f>
        <v/>
      </c>
      <c r="D596" s="4" t="str">
        <f>IFERROR(AVERAGEIFS('2. Program Allocation Output'!$O:$O,'2. Program Allocation Output'!$AF:$AF,$A596,'2. Program Allocation Output'!$AG:$AG,$B596),"")</f>
        <v/>
      </c>
      <c r="E596" s="5" t="str">
        <f>IFERROR(AVERAGEIFS('2. Program Allocation Output'!$L:$L,'2. Program Allocation Output'!$AF:$AF,$A596,'2. Program Allocation Output'!$AG:$AG,$B596),"")</f>
        <v/>
      </c>
      <c r="F596" s="39" t="str">
        <f t="shared" si="21"/>
        <v/>
      </c>
      <c r="G596" t="str">
        <f t="shared" si="22"/>
        <v/>
      </c>
    </row>
    <row r="597" spans="3:7" ht="15" hidden="1" x14ac:dyDescent="0.25">
      <c r="C597" s="4" t="str">
        <f>IFERROR(AVERAGEIFS('2. Program Allocation Output'!$P:$P,'2. Program Allocation Output'!$AF:$AF,$A597,'2. Program Allocation Output'!$AG:$AG,$B597),"")</f>
        <v/>
      </c>
      <c r="D597" s="4" t="str">
        <f>IFERROR(AVERAGEIFS('2. Program Allocation Output'!$O:$O,'2. Program Allocation Output'!$AF:$AF,$A597,'2. Program Allocation Output'!$AG:$AG,$B597),"")</f>
        <v/>
      </c>
      <c r="E597" s="5" t="str">
        <f>IFERROR(AVERAGEIFS('2. Program Allocation Output'!$L:$L,'2. Program Allocation Output'!$AF:$AF,$A597,'2. Program Allocation Output'!$AG:$AG,$B597),"")</f>
        <v/>
      </c>
      <c r="F597" s="39" t="str">
        <f t="shared" si="21"/>
        <v/>
      </c>
      <c r="G597" t="str">
        <f t="shared" si="22"/>
        <v/>
      </c>
    </row>
    <row r="598" spans="3:7" ht="15" hidden="1" x14ac:dyDescent="0.25">
      <c r="C598" s="4" t="str">
        <f>IFERROR(AVERAGEIFS('2. Program Allocation Output'!$P:$P,'2. Program Allocation Output'!$AF:$AF,$A598,'2. Program Allocation Output'!$AG:$AG,$B598),"")</f>
        <v/>
      </c>
      <c r="D598" s="4" t="str">
        <f>IFERROR(AVERAGEIFS('2. Program Allocation Output'!$O:$O,'2. Program Allocation Output'!$AF:$AF,$A598,'2. Program Allocation Output'!$AG:$AG,$B598),"")</f>
        <v/>
      </c>
      <c r="E598" s="5" t="str">
        <f>IFERROR(AVERAGEIFS('2. Program Allocation Output'!$L:$L,'2. Program Allocation Output'!$AF:$AF,$A598,'2. Program Allocation Output'!$AG:$AG,$B598),"")</f>
        <v/>
      </c>
      <c r="F598" s="39" t="str">
        <f t="shared" si="21"/>
        <v/>
      </c>
      <c r="G598" t="str">
        <f t="shared" si="22"/>
        <v/>
      </c>
    </row>
    <row r="599" spans="3:7" ht="15" hidden="1" x14ac:dyDescent="0.25">
      <c r="C599" s="4" t="str">
        <f>IFERROR(AVERAGEIFS('2. Program Allocation Output'!$P:$P,'2. Program Allocation Output'!$AF:$AF,$A599,'2. Program Allocation Output'!$AG:$AG,$B599),"")</f>
        <v/>
      </c>
      <c r="D599" s="4" t="str">
        <f>IFERROR(AVERAGEIFS('2. Program Allocation Output'!$O:$O,'2. Program Allocation Output'!$AF:$AF,$A599,'2. Program Allocation Output'!$AG:$AG,$B599),"")</f>
        <v/>
      </c>
      <c r="E599" s="5" t="str">
        <f>IFERROR(AVERAGEIFS('2. Program Allocation Output'!$L:$L,'2. Program Allocation Output'!$AF:$AF,$A599,'2. Program Allocation Output'!$AG:$AG,$B599),"")</f>
        <v/>
      </c>
      <c r="F599" s="39" t="str">
        <f t="shared" si="21"/>
        <v/>
      </c>
      <c r="G599" t="str">
        <f t="shared" si="22"/>
        <v/>
      </c>
    </row>
    <row r="600" spans="3:7" ht="15" hidden="1" x14ac:dyDescent="0.25">
      <c r="C600" s="4" t="str">
        <f>IFERROR(AVERAGEIFS('2. Program Allocation Output'!$P:$P,'2. Program Allocation Output'!$AF:$AF,$A600,'2. Program Allocation Output'!$AG:$AG,$B600),"")</f>
        <v/>
      </c>
      <c r="D600" s="4" t="str">
        <f>IFERROR(AVERAGEIFS('2. Program Allocation Output'!$O:$O,'2. Program Allocation Output'!$AF:$AF,$A600,'2. Program Allocation Output'!$AG:$AG,$B600),"")</f>
        <v/>
      </c>
      <c r="E600" s="5" t="str">
        <f>IFERROR(AVERAGEIFS('2. Program Allocation Output'!$L:$L,'2. Program Allocation Output'!$AF:$AF,$A600,'2. Program Allocation Output'!$AG:$AG,$B600),"")</f>
        <v/>
      </c>
      <c r="F600" s="39" t="str">
        <f t="shared" si="21"/>
        <v/>
      </c>
      <c r="G600" t="str">
        <f t="shared" si="22"/>
        <v/>
      </c>
    </row>
    <row r="601" spans="3:7" ht="15" hidden="1" x14ac:dyDescent="0.25">
      <c r="C601" s="4" t="str">
        <f>IFERROR(AVERAGEIFS('2. Program Allocation Output'!$P:$P,'2. Program Allocation Output'!$AF:$AF,$A601,'2. Program Allocation Output'!$AG:$AG,$B601),"")</f>
        <v/>
      </c>
      <c r="D601" s="4" t="str">
        <f>IFERROR(AVERAGEIFS('2. Program Allocation Output'!$O:$O,'2. Program Allocation Output'!$AF:$AF,$A601,'2. Program Allocation Output'!$AG:$AG,$B601),"")</f>
        <v/>
      </c>
      <c r="E601" s="5" t="str">
        <f>IFERROR(AVERAGEIFS('2. Program Allocation Output'!$L:$L,'2. Program Allocation Output'!$AF:$AF,$A601,'2. Program Allocation Output'!$AG:$AG,$B601),"")</f>
        <v/>
      </c>
      <c r="F601" s="39" t="str">
        <f t="shared" si="21"/>
        <v/>
      </c>
      <c r="G601" t="str">
        <f t="shared" si="22"/>
        <v/>
      </c>
    </row>
    <row r="602" spans="3:7" ht="15" hidden="1" x14ac:dyDescent="0.25">
      <c r="C602" s="4" t="str">
        <f>IFERROR(AVERAGEIFS('2. Program Allocation Output'!$P:$P,'2. Program Allocation Output'!$AF:$AF,$A602,'2. Program Allocation Output'!$AG:$AG,$B602),"")</f>
        <v/>
      </c>
      <c r="D602" s="4" t="str">
        <f>IFERROR(AVERAGEIFS('2. Program Allocation Output'!$O:$O,'2. Program Allocation Output'!$AF:$AF,$A602,'2. Program Allocation Output'!$AG:$AG,$B602),"")</f>
        <v/>
      </c>
      <c r="E602" s="5" t="str">
        <f>IFERROR(AVERAGEIFS('2. Program Allocation Output'!$L:$L,'2. Program Allocation Output'!$AF:$AF,$A602,'2. Program Allocation Output'!$AG:$AG,$B602),"")</f>
        <v/>
      </c>
      <c r="F602" s="39" t="str">
        <f t="shared" si="21"/>
        <v/>
      </c>
      <c r="G602" t="str">
        <f t="shared" si="22"/>
        <v/>
      </c>
    </row>
    <row r="603" spans="3:7" ht="15" hidden="1" x14ac:dyDescent="0.25">
      <c r="C603" s="4" t="str">
        <f>IFERROR(AVERAGEIFS('2. Program Allocation Output'!$P:$P,'2. Program Allocation Output'!$AF:$AF,$A603,'2. Program Allocation Output'!$AG:$AG,$B603),"")</f>
        <v/>
      </c>
      <c r="D603" s="4" t="str">
        <f>IFERROR(AVERAGEIFS('2. Program Allocation Output'!$O:$O,'2. Program Allocation Output'!$AF:$AF,$A603,'2. Program Allocation Output'!$AG:$AG,$B603),"")</f>
        <v/>
      </c>
      <c r="E603" s="5" t="str">
        <f>IFERROR(AVERAGEIFS('2. Program Allocation Output'!$L:$L,'2. Program Allocation Output'!$AF:$AF,$A603,'2. Program Allocation Output'!$AG:$AG,$B603),"")</f>
        <v/>
      </c>
      <c r="F603" s="39" t="str">
        <f t="shared" si="21"/>
        <v/>
      </c>
      <c r="G603" t="str">
        <f t="shared" si="22"/>
        <v/>
      </c>
    </row>
    <row r="604" spans="3:7" ht="15" hidden="1" x14ac:dyDescent="0.25">
      <c r="C604" s="4" t="str">
        <f>IFERROR(AVERAGEIFS('2. Program Allocation Output'!$P:$P,'2. Program Allocation Output'!$AF:$AF,$A604,'2. Program Allocation Output'!$AG:$AG,$B604),"")</f>
        <v/>
      </c>
      <c r="D604" s="4" t="str">
        <f>IFERROR(AVERAGEIFS('2. Program Allocation Output'!$O:$O,'2. Program Allocation Output'!$AF:$AF,$A604,'2. Program Allocation Output'!$AG:$AG,$B604),"")</f>
        <v/>
      </c>
      <c r="E604" s="5" t="str">
        <f>IFERROR(AVERAGEIFS('2. Program Allocation Output'!$L:$L,'2. Program Allocation Output'!$AF:$AF,$A604,'2. Program Allocation Output'!$AG:$AG,$B604),"")</f>
        <v/>
      </c>
      <c r="F604" s="39" t="str">
        <f t="shared" si="21"/>
        <v/>
      </c>
      <c r="G604" t="str">
        <f t="shared" si="22"/>
        <v/>
      </c>
    </row>
    <row r="605" spans="3:7" ht="15" hidden="1" x14ac:dyDescent="0.25">
      <c r="C605" s="4" t="str">
        <f>IFERROR(AVERAGEIFS('2. Program Allocation Output'!$P:$P,'2. Program Allocation Output'!$AF:$AF,$A605,'2. Program Allocation Output'!$AG:$AG,$B605),"")</f>
        <v/>
      </c>
      <c r="D605" s="4" t="str">
        <f>IFERROR(AVERAGEIFS('2. Program Allocation Output'!$O:$O,'2. Program Allocation Output'!$AF:$AF,$A605,'2. Program Allocation Output'!$AG:$AG,$B605),"")</f>
        <v/>
      </c>
      <c r="E605" s="5" t="str">
        <f>IFERROR(AVERAGEIFS('2. Program Allocation Output'!$L:$L,'2. Program Allocation Output'!$AF:$AF,$A605,'2. Program Allocation Output'!$AG:$AG,$B605),"")</f>
        <v/>
      </c>
      <c r="F605" s="39" t="str">
        <f t="shared" si="21"/>
        <v/>
      </c>
      <c r="G605" t="str">
        <f t="shared" si="22"/>
        <v/>
      </c>
    </row>
    <row r="606" spans="3:7" ht="15" hidden="1" x14ac:dyDescent="0.25">
      <c r="C606" s="4" t="str">
        <f>IFERROR(AVERAGEIFS('2. Program Allocation Output'!$P:$P,'2. Program Allocation Output'!$AF:$AF,$A606,'2. Program Allocation Output'!$AG:$AG,$B606),"")</f>
        <v/>
      </c>
      <c r="D606" s="4" t="str">
        <f>IFERROR(AVERAGEIFS('2. Program Allocation Output'!$O:$O,'2. Program Allocation Output'!$AF:$AF,$A606,'2. Program Allocation Output'!$AG:$AG,$B606),"")</f>
        <v/>
      </c>
      <c r="E606" s="5" t="str">
        <f>IFERROR(AVERAGEIFS('2. Program Allocation Output'!$L:$L,'2. Program Allocation Output'!$AF:$AF,$A606,'2. Program Allocation Output'!$AG:$AG,$B606),"")</f>
        <v/>
      </c>
      <c r="F606" s="39" t="str">
        <f t="shared" si="21"/>
        <v/>
      </c>
      <c r="G606" t="str">
        <f t="shared" si="22"/>
        <v/>
      </c>
    </row>
    <row r="607" spans="3:7" ht="15" hidden="1" x14ac:dyDescent="0.25">
      <c r="C607" s="4" t="str">
        <f>IFERROR(AVERAGEIFS('2. Program Allocation Output'!$P:$P,'2. Program Allocation Output'!$AF:$AF,$A607,'2. Program Allocation Output'!$AG:$AG,$B607),"")</f>
        <v/>
      </c>
      <c r="D607" s="4" t="str">
        <f>IFERROR(AVERAGEIFS('2. Program Allocation Output'!$O:$O,'2. Program Allocation Output'!$AF:$AF,$A607,'2. Program Allocation Output'!$AG:$AG,$B607),"")</f>
        <v/>
      </c>
      <c r="E607" s="5" t="str">
        <f>IFERROR(AVERAGEIFS('2. Program Allocation Output'!$L:$L,'2. Program Allocation Output'!$AF:$AF,$A607,'2. Program Allocation Output'!$AG:$AG,$B607),"")</f>
        <v/>
      </c>
      <c r="F607" s="39" t="str">
        <f t="shared" si="21"/>
        <v/>
      </c>
      <c r="G607" t="str">
        <f t="shared" si="22"/>
        <v/>
      </c>
    </row>
    <row r="608" spans="3:7" ht="15" hidden="1" x14ac:dyDescent="0.25">
      <c r="C608" s="4" t="str">
        <f>IFERROR(AVERAGEIFS('2. Program Allocation Output'!$P:$P,'2. Program Allocation Output'!$AF:$AF,$A608,'2. Program Allocation Output'!$AG:$AG,$B608),"")</f>
        <v/>
      </c>
      <c r="D608" s="4" t="str">
        <f>IFERROR(AVERAGEIFS('2. Program Allocation Output'!$O:$O,'2. Program Allocation Output'!$AF:$AF,$A608,'2. Program Allocation Output'!$AG:$AG,$B608),"")</f>
        <v/>
      </c>
      <c r="E608" s="5" t="str">
        <f>IFERROR(AVERAGEIFS('2. Program Allocation Output'!$L:$L,'2. Program Allocation Output'!$AF:$AF,$A608,'2. Program Allocation Output'!$AG:$AG,$B608),"")</f>
        <v/>
      </c>
      <c r="F608" s="39" t="str">
        <f t="shared" si="21"/>
        <v/>
      </c>
      <c r="G608" t="str">
        <f t="shared" si="22"/>
        <v/>
      </c>
    </row>
    <row r="609" spans="3:7" ht="15" hidden="1" x14ac:dyDescent="0.25">
      <c r="C609" s="4" t="str">
        <f>IFERROR(AVERAGEIFS('2. Program Allocation Output'!$P:$P,'2. Program Allocation Output'!$AF:$AF,$A609,'2. Program Allocation Output'!$AG:$AG,$B609),"")</f>
        <v/>
      </c>
      <c r="D609" s="4" t="str">
        <f>IFERROR(AVERAGEIFS('2. Program Allocation Output'!$O:$O,'2. Program Allocation Output'!$AF:$AF,$A609,'2. Program Allocation Output'!$AG:$AG,$B609),"")</f>
        <v/>
      </c>
      <c r="E609" s="5" t="str">
        <f>IFERROR(AVERAGEIFS('2. Program Allocation Output'!$L:$L,'2. Program Allocation Output'!$AF:$AF,$A609,'2. Program Allocation Output'!$AG:$AG,$B609),"")</f>
        <v/>
      </c>
      <c r="F609" s="39" t="str">
        <f t="shared" si="21"/>
        <v/>
      </c>
      <c r="G609" t="str">
        <f t="shared" si="22"/>
        <v/>
      </c>
    </row>
    <row r="610" spans="3:7" ht="15" hidden="1" x14ac:dyDescent="0.25">
      <c r="C610" s="4" t="str">
        <f>IFERROR(AVERAGEIFS('2. Program Allocation Output'!$P:$P,'2. Program Allocation Output'!$AF:$AF,$A610,'2. Program Allocation Output'!$AG:$AG,$B610),"")</f>
        <v/>
      </c>
      <c r="D610" s="4" t="str">
        <f>IFERROR(AVERAGEIFS('2. Program Allocation Output'!$O:$O,'2. Program Allocation Output'!$AF:$AF,$A610,'2. Program Allocation Output'!$AG:$AG,$B610),"")</f>
        <v/>
      </c>
      <c r="E610" s="5" t="str">
        <f>IFERROR(AVERAGEIFS('2. Program Allocation Output'!$L:$L,'2. Program Allocation Output'!$AF:$AF,$A610,'2. Program Allocation Output'!$AG:$AG,$B610),"")</f>
        <v/>
      </c>
      <c r="F610" s="39" t="str">
        <f t="shared" si="21"/>
        <v/>
      </c>
      <c r="G610" t="str">
        <f t="shared" si="22"/>
        <v/>
      </c>
    </row>
    <row r="611" spans="3:7" ht="15" hidden="1" x14ac:dyDescent="0.25">
      <c r="C611" s="4" t="str">
        <f>IFERROR(AVERAGEIFS('2. Program Allocation Output'!$P:$P,'2. Program Allocation Output'!$AF:$AF,$A611,'2. Program Allocation Output'!$AG:$AG,$B611),"")</f>
        <v/>
      </c>
      <c r="D611" s="4" t="str">
        <f>IFERROR(AVERAGEIFS('2. Program Allocation Output'!$O:$O,'2. Program Allocation Output'!$AF:$AF,$A611,'2. Program Allocation Output'!$AG:$AG,$B611),"")</f>
        <v/>
      </c>
      <c r="E611" s="5" t="str">
        <f>IFERROR(AVERAGEIFS('2. Program Allocation Output'!$L:$L,'2. Program Allocation Output'!$AF:$AF,$A611,'2. Program Allocation Output'!$AG:$AG,$B611),"")</f>
        <v/>
      </c>
      <c r="F611" s="39" t="str">
        <f t="shared" si="21"/>
        <v/>
      </c>
      <c r="G611" t="str">
        <f t="shared" si="22"/>
        <v/>
      </c>
    </row>
    <row r="612" spans="3:7" ht="15" hidden="1" x14ac:dyDescent="0.25">
      <c r="C612" s="4" t="str">
        <f>IFERROR(AVERAGEIFS('2. Program Allocation Output'!$P:$P,'2. Program Allocation Output'!$AF:$AF,$A612,'2. Program Allocation Output'!$AG:$AG,$B612),"")</f>
        <v/>
      </c>
      <c r="D612" s="4" t="str">
        <f>IFERROR(AVERAGEIFS('2. Program Allocation Output'!$O:$O,'2. Program Allocation Output'!$AF:$AF,$A612,'2. Program Allocation Output'!$AG:$AG,$B612),"")</f>
        <v/>
      </c>
      <c r="E612" s="5" t="str">
        <f>IFERROR(AVERAGEIFS('2. Program Allocation Output'!$L:$L,'2. Program Allocation Output'!$AF:$AF,$A612,'2. Program Allocation Output'!$AG:$AG,$B612),"")</f>
        <v/>
      </c>
      <c r="F612" s="39" t="str">
        <f t="shared" si="21"/>
        <v/>
      </c>
      <c r="G612" t="str">
        <f t="shared" si="22"/>
        <v/>
      </c>
    </row>
    <row r="613" spans="3:7" ht="15" hidden="1" x14ac:dyDescent="0.25">
      <c r="C613" s="4" t="str">
        <f>IFERROR(AVERAGEIFS('2. Program Allocation Output'!$P:$P,'2. Program Allocation Output'!$AF:$AF,$A613,'2. Program Allocation Output'!$AG:$AG,$B613),"")</f>
        <v/>
      </c>
      <c r="D613" s="4" t="str">
        <f>IFERROR(AVERAGEIFS('2. Program Allocation Output'!$O:$O,'2. Program Allocation Output'!$AF:$AF,$A613,'2. Program Allocation Output'!$AG:$AG,$B613),"")</f>
        <v/>
      </c>
      <c r="E613" s="5" t="str">
        <f>IFERROR(AVERAGEIFS('2. Program Allocation Output'!$L:$L,'2. Program Allocation Output'!$AF:$AF,$A613,'2. Program Allocation Output'!$AG:$AG,$B613),"")</f>
        <v/>
      </c>
      <c r="F613" s="39" t="str">
        <f t="shared" si="21"/>
        <v/>
      </c>
      <c r="G613" t="str">
        <f t="shared" si="22"/>
        <v/>
      </c>
    </row>
    <row r="614" spans="3:7" ht="15" hidden="1" x14ac:dyDescent="0.25">
      <c r="C614" s="4" t="str">
        <f>IFERROR(AVERAGEIFS('2. Program Allocation Output'!$P:$P,'2. Program Allocation Output'!$AF:$AF,$A614,'2. Program Allocation Output'!$AG:$AG,$B614),"")</f>
        <v/>
      </c>
      <c r="D614" s="4" t="str">
        <f>IFERROR(AVERAGEIFS('2. Program Allocation Output'!$O:$O,'2. Program Allocation Output'!$AF:$AF,$A614,'2. Program Allocation Output'!$AG:$AG,$B614),"")</f>
        <v/>
      </c>
      <c r="E614" s="5" t="str">
        <f>IFERROR(AVERAGEIFS('2. Program Allocation Output'!$L:$L,'2. Program Allocation Output'!$AF:$AF,$A614,'2. Program Allocation Output'!$AG:$AG,$B614),"")</f>
        <v/>
      </c>
      <c r="F614" s="39" t="str">
        <f t="shared" si="21"/>
        <v/>
      </c>
      <c r="G614" t="str">
        <f t="shared" si="22"/>
        <v/>
      </c>
    </row>
    <row r="615" spans="3:7" ht="15" hidden="1" x14ac:dyDescent="0.25">
      <c r="C615" s="4" t="str">
        <f>IFERROR(AVERAGEIFS('2. Program Allocation Output'!$P:$P,'2. Program Allocation Output'!$AF:$AF,$A615,'2. Program Allocation Output'!$AG:$AG,$B615),"")</f>
        <v/>
      </c>
      <c r="D615" s="4" t="str">
        <f>IFERROR(AVERAGEIFS('2. Program Allocation Output'!$O:$O,'2. Program Allocation Output'!$AF:$AF,$A615,'2. Program Allocation Output'!$AG:$AG,$B615),"")</f>
        <v/>
      </c>
      <c r="E615" s="5" t="str">
        <f>IFERROR(AVERAGEIFS('2. Program Allocation Output'!$L:$L,'2. Program Allocation Output'!$AF:$AF,$A615,'2. Program Allocation Output'!$AG:$AG,$B615),"")</f>
        <v/>
      </c>
      <c r="F615" s="39" t="str">
        <f t="shared" si="21"/>
        <v/>
      </c>
      <c r="G615" t="str">
        <f t="shared" si="22"/>
        <v/>
      </c>
    </row>
    <row r="616" spans="3:7" ht="15" hidden="1" x14ac:dyDescent="0.25">
      <c r="C616" s="4" t="str">
        <f>IFERROR(AVERAGEIFS('2. Program Allocation Output'!$P:$P,'2. Program Allocation Output'!$AF:$AF,$A616,'2. Program Allocation Output'!$AG:$AG,$B616),"")</f>
        <v/>
      </c>
      <c r="D616" s="4" t="str">
        <f>IFERROR(AVERAGEIFS('2. Program Allocation Output'!$O:$O,'2. Program Allocation Output'!$AF:$AF,$A616,'2. Program Allocation Output'!$AG:$AG,$B616),"")</f>
        <v/>
      </c>
      <c r="E616" s="5" t="str">
        <f>IFERROR(AVERAGEIFS('2. Program Allocation Output'!$L:$L,'2. Program Allocation Output'!$AF:$AF,$A616,'2. Program Allocation Output'!$AG:$AG,$B616),"")</f>
        <v/>
      </c>
      <c r="F616" s="39" t="str">
        <f t="shared" si="21"/>
        <v/>
      </c>
      <c r="G616" t="str">
        <f t="shared" si="22"/>
        <v/>
      </c>
    </row>
    <row r="617" spans="3:7" ht="15" hidden="1" x14ac:dyDescent="0.25">
      <c r="C617" s="4" t="str">
        <f>IFERROR(AVERAGEIFS('2. Program Allocation Output'!$P:$P,'2. Program Allocation Output'!$AF:$AF,$A617,'2. Program Allocation Output'!$AG:$AG,$B617),"")</f>
        <v/>
      </c>
      <c r="D617" s="4" t="str">
        <f>IFERROR(AVERAGEIFS('2. Program Allocation Output'!$O:$O,'2. Program Allocation Output'!$AF:$AF,$A617,'2. Program Allocation Output'!$AG:$AG,$B617),"")</f>
        <v/>
      </c>
      <c r="E617" s="5" t="str">
        <f>IFERROR(AVERAGEIFS('2. Program Allocation Output'!$L:$L,'2. Program Allocation Output'!$AF:$AF,$A617,'2. Program Allocation Output'!$AG:$AG,$B617),"")</f>
        <v/>
      </c>
      <c r="F617" s="39" t="str">
        <f t="shared" si="21"/>
        <v/>
      </c>
      <c r="G617" t="str">
        <f t="shared" si="22"/>
        <v/>
      </c>
    </row>
    <row r="618" spans="3:7" ht="15" hidden="1" x14ac:dyDescent="0.25">
      <c r="C618" s="4" t="str">
        <f>IFERROR(AVERAGEIFS('2. Program Allocation Output'!$P:$P,'2. Program Allocation Output'!$AF:$AF,$A618,'2. Program Allocation Output'!$AG:$AG,$B618),"")</f>
        <v/>
      </c>
      <c r="D618" s="4" t="str">
        <f>IFERROR(AVERAGEIFS('2. Program Allocation Output'!$O:$O,'2. Program Allocation Output'!$AF:$AF,$A618,'2. Program Allocation Output'!$AG:$AG,$B618),"")</f>
        <v/>
      </c>
      <c r="E618" s="5" t="str">
        <f>IFERROR(AVERAGEIFS('2. Program Allocation Output'!$L:$L,'2. Program Allocation Output'!$AF:$AF,$A618,'2. Program Allocation Output'!$AG:$AG,$B618),"")</f>
        <v/>
      </c>
      <c r="F618" s="39" t="str">
        <f t="shared" si="21"/>
        <v/>
      </c>
      <c r="G618" t="str">
        <f t="shared" si="22"/>
        <v/>
      </c>
    </row>
    <row r="619" spans="3:7" ht="15" hidden="1" x14ac:dyDescent="0.25">
      <c r="C619" s="4" t="str">
        <f>IFERROR(AVERAGEIFS('2. Program Allocation Output'!$P:$P,'2. Program Allocation Output'!$AF:$AF,$A619,'2. Program Allocation Output'!$AG:$AG,$B619),"")</f>
        <v/>
      </c>
      <c r="D619" s="4" t="str">
        <f>IFERROR(AVERAGEIFS('2. Program Allocation Output'!$O:$O,'2. Program Allocation Output'!$AF:$AF,$A619,'2. Program Allocation Output'!$AG:$AG,$B619),"")</f>
        <v/>
      </c>
      <c r="E619" s="5" t="str">
        <f>IFERROR(AVERAGEIFS('2. Program Allocation Output'!$L:$L,'2. Program Allocation Output'!$AF:$AF,$A619,'2. Program Allocation Output'!$AG:$AG,$B619),"")</f>
        <v/>
      </c>
      <c r="F619" s="39" t="str">
        <f t="shared" si="21"/>
        <v/>
      </c>
      <c r="G619" t="str">
        <f t="shared" si="22"/>
        <v/>
      </c>
    </row>
    <row r="620" spans="3:7" ht="15" hidden="1" x14ac:dyDescent="0.25">
      <c r="C620" s="4" t="str">
        <f>IFERROR(AVERAGEIFS('2. Program Allocation Output'!$P:$P,'2. Program Allocation Output'!$AF:$AF,$A620,'2. Program Allocation Output'!$AG:$AG,$B620),"")</f>
        <v/>
      </c>
      <c r="D620" s="4" t="str">
        <f>IFERROR(AVERAGEIFS('2. Program Allocation Output'!$O:$O,'2. Program Allocation Output'!$AF:$AF,$A620,'2. Program Allocation Output'!$AG:$AG,$B620),"")</f>
        <v/>
      </c>
      <c r="E620" s="5" t="str">
        <f>IFERROR(AVERAGEIFS('2. Program Allocation Output'!$L:$L,'2. Program Allocation Output'!$AF:$AF,$A620,'2. Program Allocation Output'!$AG:$AG,$B620),"")</f>
        <v/>
      </c>
      <c r="F620" s="39" t="str">
        <f t="shared" si="21"/>
        <v/>
      </c>
      <c r="G620" t="str">
        <f t="shared" si="22"/>
        <v/>
      </c>
    </row>
    <row r="621" spans="3:7" ht="15" hidden="1" x14ac:dyDescent="0.25">
      <c r="C621" s="4" t="str">
        <f>IFERROR(AVERAGEIFS('2. Program Allocation Output'!$P:$P,'2. Program Allocation Output'!$AF:$AF,$A621,'2. Program Allocation Output'!$AG:$AG,$B621),"")</f>
        <v/>
      </c>
      <c r="D621" s="4" t="str">
        <f>IFERROR(AVERAGEIFS('2. Program Allocation Output'!$O:$O,'2. Program Allocation Output'!$AF:$AF,$A621,'2. Program Allocation Output'!$AG:$AG,$B621),"")</f>
        <v/>
      </c>
      <c r="E621" s="5" t="str">
        <f>IFERROR(AVERAGEIFS('2. Program Allocation Output'!$L:$L,'2. Program Allocation Output'!$AF:$AF,$A621,'2. Program Allocation Output'!$AG:$AG,$B621),"")</f>
        <v/>
      </c>
      <c r="F621" s="39" t="str">
        <f t="shared" si="21"/>
        <v/>
      </c>
      <c r="G621" t="str">
        <f t="shared" si="22"/>
        <v/>
      </c>
    </row>
    <row r="622" spans="3:7" ht="15" hidden="1" x14ac:dyDescent="0.25">
      <c r="C622" s="4" t="str">
        <f>IFERROR(AVERAGEIFS('2. Program Allocation Output'!$P:$P,'2. Program Allocation Output'!$AF:$AF,$A622,'2. Program Allocation Output'!$AG:$AG,$B622),"")</f>
        <v/>
      </c>
      <c r="D622" s="4" t="str">
        <f>IFERROR(AVERAGEIFS('2. Program Allocation Output'!$O:$O,'2. Program Allocation Output'!$AF:$AF,$A622,'2. Program Allocation Output'!$AG:$AG,$B622),"")</f>
        <v/>
      </c>
      <c r="E622" s="5" t="str">
        <f>IFERROR(AVERAGEIFS('2. Program Allocation Output'!$L:$L,'2. Program Allocation Output'!$AF:$AF,$A622,'2. Program Allocation Output'!$AG:$AG,$B622),"")</f>
        <v/>
      </c>
      <c r="F622" s="39" t="str">
        <f t="shared" si="21"/>
        <v/>
      </c>
      <c r="G622" t="str">
        <f t="shared" si="22"/>
        <v/>
      </c>
    </row>
    <row r="623" spans="3:7" ht="15" hidden="1" x14ac:dyDescent="0.25">
      <c r="C623" s="4" t="str">
        <f>IFERROR(AVERAGEIFS('2. Program Allocation Output'!$P:$P,'2. Program Allocation Output'!$AF:$AF,$A623,'2. Program Allocation Output'!$AG:$AG,$B623),"")</f>
        <v/>
      </c>
      <c r="D623" s="4" t="str">
        <f>IFERROR(AVERAGEIFS('2. Program Allocation Output'!$O:$O,'2. Program Allocation Output'!$AF:$AF,$A623,'2. Program Allocation Output'!$AG:$AG,$B623),"")</f>
        <v/>
      </c>
      <c r="E623" s="5" t="str">
        <f>IFERROR(AVERAGEIFS('2. Program Allocation Output'!$L:$L,'2. Program Allocation Output'!$AF:$AF,$A623,'2. Program Allocation Output'!$AG:$AG,$B623),"")</f>
        <v/>
      </c>
      <c r="F623" s="39" t="str">
        <f t="shared" si="21"/>
        <v/>
      </c>
      <c r="G623" t="str">
        <f t="shared" si="22"/>
        <v/>
      </c>
    </row>
    <row r="624" spans="3:7" ht="15" hidden="1" x14ac:dyDescent="0.25">
      <c r="C624" s="4" t="str">
        <f>IFERROR(AVERAGEIFS('2. Program Allocation Output'!$P:$P,'2. Program Allocation Output'!$AF:$AF,$A624,'2. Program Allocation Output'!$AG:$AG,$B624),"")</f>
        <v/>
      </c>
      <c r="D624" s="4" t="str">
        <f>IFERROR(AVERAGEIFS('2. Program Allocation Output'!$O:$O,'2. Program Allocation Output'!$AF:$AF,$A624,'2. Program Allocation Output'!$AG:$AG,$B624),"")</f>
        <v/>
      </c>
      <c r="E624" s="5" t="str">
        <f>IFERROR(AVERAGEIFS('2. Program Allocation Output'!$L:$L,'2. Program Allocation Output'!$AF:$AF,$A624,'2. Program Allocation Output'!$AG:$AG,$B624),"")</f>
        <v/>
      </c>
      <c r="F624" s="39" t="str">
        <f t="shared" si="21"/>
        <v/>
      </c>
      <c r="G624" t="str">
        <f t="shared" si="22"/>
        <v/>
      </c>
    </row>
    <row r="625" spans="3:7" ht="15" hidden="1" x14ac:dyDescent="0.25">
      <c r="C625" s="4" t="str">
        <f>IFERROR(AVERAGEIFS('2. Program Allocation Output'!$P:$P,'2. Program Allocation Output'!$AF:$AF,$A625,'2. Program Allocation Output'!$AG:$AG,$B625),"")</f>
        <v/>
      </c>
      <c r="D625" s="4" t="str">
        <f>IFERROR(AVERAGEIFS('2. Program Allocation Output'!$O:$O,'2. Program Allocation Output'!$AF:$AF,$A625,'2. Program Allocation Output'!$AG:$AG,$B625),"")</f>
        <v/>
      </c>
      <c r="E625" s="5" t="str">
        <f>IFERROR(AVERAGEIFS('2. Program Allocation Output'!$L:$L,'2. Program Allocation Output'!$AF:$AF,$A625,'2. Program Allocation Output'!$AG:$AG,$B625),"")</f>
        <v/>
      </c>
      <c r="F625" s="39" t="str">
        <f t="shared" si="21"/>
        <v/>
      </c>
      <c r="G625" t="str">
        <f t="shared" si="22"/>
        <v/>
      </c>
    </row>
    <row r="626" spans="3:7" ht="15" hidden="1" x14ac:dyDescent="0.25">
      <c r="C626" s="4" t="str">
        <f>IFERROR(AVERAGEIFS('2. Program Allocation Output'!$P:$P,'2. Program Allocation Output'!$AF:$AF,$A626,'2. Program Allocation Output'!$AG:$AG,$B626),"")</f>
        <v/>
      </c>
      <c r="D626" s="4" t="str">
        <f>IFERROR(AVERAGEIFS('2. Program Allocation Output'!$O:$O,'2. Program Allocation Output'!$AF:$AF,$A626,'2. Program Allocation Output'!$AG:$AG,$B626),"")</f>
        <v/>
      </c>
      <c r="E626" s="5" t="str">
        <f>IFERROR(AVERAGEIFS('2. Program Allocation Output'!$L:$L,'2. Program Allocation Output'!$AF:$AF,$A626,'2. Program Allocation Output'!$AG:$AG,$B626),"")</f>
        <v/>
      </c>
      <c r="F626" s="39" t="str">
        <f t="shared" si="21"/>
        <v/>
      </c>
      <c r="G626" t="str">
        <f t="shared" si="22"/>
        <v/>
      </c>
    </row>
    <row r="627" spans="3:7" ht="15" hidden="1" x14ac:dyDescent="0.25">
      <c r="C627" s="4" t="str">
        <f>IFERROR(AVERAGEIFS('2. Program Allocation Output'!$P:$P,'2. Program Allocation Output'!$AF:$AF,$A627,'2. Program Allocation Output'!$AG:$AG,$B627),"")</f>
        <v/>
      </c>
      <c r="D627" s="4" t="str">
        <f>IFERROR(AVERAGEIFS('2. Program Allocation Output'!$O:$O,'2. Program Allocation Output'!$AF:$AF,$A627,'2. Program Allocation Output'!$AG:$AG,$B627),"")</f>
        <v/>
      </c>
      <c r="E627" s="5" t="str">
        <f>IFERROR(AVERAGEIFS('2. Program Allocation Output'!$L:$L,'2. Program Allocation Output'!$AF:$AF,$A627,'2. Program Allocation Output'!$AG:$AG,$B627),"")</f>
        <v/>
      </c>
      <c r="F627" s="39" t="str">
        <f t="shared" si="21"/>
        <v/>
      </c>
      <c r="G627" t="str">
        <f t="shared" si="22"/>
        <v/>
      </c>
    </row>
    <row r="628" spans="3:7" ht="15" hidden="1" x14ac:dyDescent="0.25">
      <c r="C628" s="4" t="str">
        <f>IFERROR(AVERAGEIFS('2. Program Allocation Output'!$P:$P,'2. Program Allocation Output'!$AF:$AF,$A628,'2. Program Allocation Output'!$AG:$AG,$B628),"")</f>
        <v/>
      </c>
      <c r="D628" s="4" t="str">
        <f>IFERROR(AVERAGEIFS('2. Program Allocation Output'!$O:$O,'2. Program Allocation Output'!$AF:$AF,$A628,'2. Program Allocation Output'!$AG:$AG,$B628),"")</f>
        <v/>
      </c>
      <c r="E628" s="5" t="str">
        <f>IFERROR(AVERAGEIFS('2. Program Allocation Output'!$L:$L,'2. Program Allocation Output'!$AF:$AF,$A628,'2. Program Allocation Output'!$AG:$AG,$B628),"")</f>
        <v/>
      </c>
      <c r="F628" s="39" t="str">
        <f t="shared" si="21"/>
        <v/>
      </c>
      <c r="G628" t="str">
        <f t="shared" si="22"/>
        <v/>
      </c>
    </row>
    <row r="629" spans="3:7" ht="15" hidden="1" x14ac:dyDescent="0.25">
      <c r="C629" s="4" t="str">
        <f>IFERROR(AVERAGEIFS('2. Program Allocation Output'!$P:$P,'2. Program Allocation Output'!$AF:$AF,$A629,'2. Program Allocation Output'!$AG:$AG,$B629),"")</f>
        <v/>
      </c>
      <c r="D629" s="4" t="str">
        <f>IFERROR(AVERAGEIFS('2. Program Allocation Output'!$O:$O,'2. Program Allocation Output'!$AF:$AF,$A629,'2. Program Allocation Output'!$AG:$AG,$B629),"")</f>
        <v/>
      </c>
      <c r="E629" s="5" t="str">
        <f>IFERROR(AVERAGEIFS('2. Program Allocation Output'!$L:$L,'2. Program Allocation Output'!$AF:$AF,$A629,'2. Program Allocation Output'!$AG:$AG,$B629),"")</f>
        <v/>
      </c>
      <c r="F629" s="39" t="str">
        <f t="shared" si="21"/>
        <v/>
      </c>
      <c r="G629" t="str">
        <f t="shared" si="22"/>
        <v/>
      </c>
    </row>
    <row r="630" spans="3:7" ht="15" hidden="1" x14ac:dyDescent="0.25">
      <c r="C630" s="4" t="str">
        <f>IFERROR(AVERAGEIFS('2. Program Allocation Output'!$P:$P,'2. Program Allocation Output'!$AF:$AF,$A630,'2. Program Allocation Output'!$AG:$AG,$B630),"")</f>
        <v/>
      </c>
      <c r="D630" s="4" t="str">
        <f>IFERROR(AVERAGEIFS('2. Program Allocation Output'!$O:$O,'2. Program Allocation Output'!$AF:$AF,$A630,'2. Program Allocation Output'!$AG:$AG,$B630),"")</f>
        <v/>
      </c>
      <c r="E630" s="5" t="str">
        <f>IFERROR(AVERAGEIFS('2. Program Allocation Output'!$L:$L,'2. Program Allocation Output'!$AF:$AF,$A630,'2. Program Allocation Output'!$AG:$AG,$B630),"")</f>
        <v/>
      </c>
      <c r="F630" s="39" t="str">
        <f t="shared" si="21"/>
        <v/>
      </c>
      <c r="G630" t="str">
        <f t="shared" si="22"/>
        <v/>
      </c>
    </row>
    <row r="631" spans="3:7" ht="15" hidden="1" x14ac:dyDescent="0.25">
      <c r="C631" s="4" t="str">
        <f>IFERROR(AVERAGEIFS('2. Program Allocation Output'!$P:$P,'2. Program Allocation Output'!$AF:$AF,$A631,'2. Program Allocation Output'!$AG:$AG,$B631),"")</f>
        <v/>
      </c>
      <c r="D631" s="4" t="str">
        <f>IFERROR(AVERAGEIFS('2. Program Allocation Output'!$O:$O,'2. Program Allocation Output'!$AF:$AF,$A631,'2. Program Allocation Output'!$AG:$AG,$B631),"")</f>
        <v/>
      </c>
      <c r="E631" s="5" t="str">
        <f>IFERROR(AVERAGEIFS('2. Program Allocation Output'!$L:$L,'2. Program Allocation Output'!$AF:$AF,$A631,'2. Program Allocation Output'!$AG:$AG,$B631),"")</f>
        <v/>
      </c>
      <c r="F631" s="39" t="str">
        <f t="shared" si="21"/>
        <v/>
      </c>
      <c r="G631" t="str">
        <f t="shared" si="22"/>
        <v/>
      </c>
    </row>
    <row r="632" spans="3:7" ht="15" hidden="1" x14ac:dyDescent="0.25">
      <c r="C632" s="4" t="str">
        <f>IFERROR(AVERAGEIFS('2. Program Allocation Output'!$P:$P,'2. Program Allocation Output'!$AF:$AF,$A632,'2. Program Allocation Output'!$AG:$AG,$B632),"")</f>
        <v/>
      </c>
      <c r="D632" s="4" t="str">
        <f>IFERROR(AVERAGEIFS('2. Program Allocation Output'!$O:$O,'2. Program Allocation Output'!$AF:$AF,$A632,'2. Program Allocation Output'!$AG:$AG,$B632),"")</f>
        <v/>
      </c>
      <c r="E632" s="5" t="str">
        <f>IFERROR(AVERAGEIFS('2. Program Allocation Output'!$L:$L,'2. Program Allocation Output'!$AF:$AF,$A632,'2. Program Allocation Output'!$AG:$AG,$B632),"")</f>
        <v/>
      </c>
      <c r="F632" s="39" t="str">
        <f t="shared" si="21"/>
        <v/>
      </c>
      <c r="G632" t="str">
        <f t="shared" si="22"/>
        <v/>
      </c>
    </row>
    <row r="633" spans="3:7" ht="15" hidden="1" x14ac:dyDescent="0.25">
      <c r="C633" s="4" t="str">
        <f>IFERROR(AVERAGEIFS('2. Program Allocation Output'!$P:$P,'2. Program Allocation Output'!$AF:$AF,$A633,'2. Program Allocation Output'!$AG:$AG,$B633),"")</f>
        <v/>
      </c>
      <c r="D633" s="4" t="str">
        <f>IFERROR(AVERAGEIFS('2. Program Allocation Output'!$O:$O,'2. Program Allocation Output'!$AF:$AF,$A633,'2. Program Allocation Output'!$AG:$AG,$B633),"")</f>
        <v/>
      </c>
      <c r="E633" s="5" t="str">
        <f>IFERROR(AVERAGEIFS('2. Program Allocation Output'!$L:$L,'2. Program Allocation Output'!$AF:$AF,$A633,'2. Program Allocation Output'!$AG:$AG,$B633),"")</f>
        <v/>
      </c>
      <c r="F633" s="39" t="str">
        <f t="shared" si="21"/>
        <v/>
      </c>
      <c r="G633" t="str">
        <f t="shared" si="22"/>
        <v/>
      </c>
    </row>
    <row r="634" spans="3:7" ht="15" hidden="1" x14ac:dyDescent="0.25">
      <c r="C634" s="4" t="str">
        <f>IFERROR(AVERAGEIFS('2. Program Allocation Output'!$P:$P,'2. Program Allocation Output'!$AF:$AF,$A634,'2. Program Allocation Output'!$AG:$AG,$B634),"")</f>
        <v/>
      </c>
      <c r="D634" s="4" t="str">
        <f>IFERROR(AVERAGEIFS('2. Program Allocation Output'!$O:$O,'2. Program Allocation Output'!$AF:$AF,$A634,'2. Program Allocation Output'!$AG:$AG,$B634),"")</f>
        <v/>
      </c>
      <c r="E634" s="5" t="str">
        <f>IFERROR(AVERAGEIFS('2. Program Allocation Output'!$L:$L,'2. Program Allocation Output'!$AF:$AF,$A634,'2. Program Allocation Output'!$AG:$AG,$B634),"")</f>
        <v/>
      </c>
      <c r="F634" s="39" t="str">
        <f t="shared" si="21"/>
        <v/>
      </c>
      <c r="G634" t="str">
        <f t="shared" si="22"/>
        <v/>
      </c>
    </row>
    <row r="635" spans="3:7" ht="15" hidden="1" x14ac:dyDescent="0.25">
      <c r="C635" s="4" t="str">
        <f>IFERROR(AVERAGEIFS('2. Program Allocation Output'!$P:$P,'2. Program Allocation Output'!$AF:$AF,$A635,'2. Program Allocation Output'!$AG:$AG,$B635),"")</f>
        <v/>
      </c>
      <c r="D635" s="4" t="str">
        <f>IFERROR(AVERAGEIFS('2. Program Allocation Output'!$O:$O,'2. Program Allocation Output'!$AF:$AF,$A635,'2. Program Allocation Output'!$AG:$AG,$B635),"")</f>
        <v/>
      </c>
      <c r="E635" s="5" t="str">
        <f>IFERROR(AVERAGEIFS('2. Program Allocation Output'!$L:$L,'2. Program Allocation Output'!$AF:$AF,$A635,'2. Program Allocation Output'!$AG:$AG,$B635),"")</f>
        <v/>
      </c>
      <c r="F635" s="39" t="str">
        <f t="shared" si="21"/>
        <v/>
      </c>
      <c r="G635" t="str">
        <f t="shared" si="22"/>
        <v/>
      </c>
    </row>
    <row r="636" spans="3:7" ht="15" hidden="1" x14ac:dyDescent="0.25">
      <c r="C636" s="4" t="str">
        <f>IFERROR(AVERAGEIFS('2. Program Allocation Output'!$P:$P,'2. Program Allocation Output'!$AF:$AF,$A636,'2. Program Allocation Output'!$AG:$AG,$B636),"")</f>
        <v/>
      </c>
      <c r="D636" s="4" t="str">
        <f>IFERROR(AVERAGEIFS('2. Program Allocation Output'!$O:$O,'2. Program Allocation Output'!$AF:$AF,$A636,'2. Program Allocation Output'!$AG:$AG,$B636),"")</f>
        <v/>
      </c>
      <c r="E636" s="5" t="str">
        <f>IFERROR(AVERAGEIFS('2. Program Allocation Output'!$L:$L,'2. Program Allocation Output'!$AF:$AF,$A636,'2. Program Allocation Output'!$AG:$AG,$B636),"")</f>
        <v/>
      </c>
      <c r="F636" s="39" t="str">
        <f t="shared" si="21"/>
        <v/>
      </c>
      <c r="G636" t="str">
        <f t="shared" si="22"/>
        <v/>
      </c>
    </row>
    <row r="637" spans="3:7" ht="15" hidden="1" x14ac:dyDescent="0.25">
      <c r="C637" s="4" t="str">
        <f>IFERROR(AVERAGEIFS('2. Program Allocation Output'!$P:$P,'2. Program Allocation Output'!$AF:$AF,$A637,'2. Program Allocation Output'!$AG:$AG,$B637),"")</f>
        <v/>
      </c>
      <c r="D637" s="4" t="str">
        <f>IFERROR(AVERAGEIFS('2. Program Allocation Output'!$O:$O,'2. Program Allocation Output'!$AF:$AF,$A637,'2. Program Allocation Output'!$AG:$AG,$B637),"")</f>
        <v/>
      </c>
      <c r="E637" s="5" t="str">
        <f>IFERROR(AVERAGEIFS('2. Program Allocation Output'!$L:$L,'2. Program Allocation Output'!$AF:$AF,$A637,'2. Program Allocation Output'!$AG:$AG,$B637),"")</f>
        <v/>
      </c>
      <c r="F637" s="39" t="str">
        <f t="shared" si="21"/>
        <v/>
      </c>
      <c r="G637" t="str">
        <f t="shared" si="22"/>
        <v/>
      </c>
    </row>
    <row r="638" spans="3:7" ht="15" hidden="1" x14ac:dyDescent="0.25">
      <c r="C638" s="4" t="str">
        <f>IFERROR(AVERAGEIFS('2. Program Allocation Output'!$P:$P,'2. Program Allocation Output'!$AF:$AF,$A638,'2. Program Allocation Output'!$AG:$AG,$B638),"")</f>
        <v/>
      </c>
      <c r="D638" s="4" t="str">
        <f>IFERROR(AVERAGEIFS('2. Program Allocation Output'!$O:$O,'2. Program Allocation Output'!$AF:$AF,$A638,'2. Program Allocation Output'!$AG:$AG,$B638),"")</f>
        <v/>
      </c>
      <c r="E638" s="5" t="str">
        <f>IFERROR(AVERAGEIFS('2. Program Allocation Output'!$L:$L,'2. Program Allocation Output'!$AF:$AF,$A638,'2. Program Allocation Output'!$AG:$AG,$B638),"")</f>
        <v/>
      </c>
      <c r="F638" s="39" t="str">
        <f t="shared" si="21"/>
        <v/>
      </c>
      <c r="G638" t="str">
        <f t="shared" si="22"/>
        <v/>
      </c>
    </row>
    <row r="639" spans="3:7" ht="15" hidden="1" x14ac:dyDescent="0.25">
      <c r="C639" s="4" t="str">
        <f>IFERROR(AVERAGEIFS('2. Program Allocation Output'!$P:$P,'2. Program Allocation Output'!$AF:$AF,$A639,'2. Program Allocation Output'!$AG:$AG,$B639),"")</f>
        <v/>
      </c>
      <c r="D639" s="4" t="str">
        <f>IFERROR(AVERAGEIFS('2. Program Allocation Output'!$O:$O,'2. Program Allocation Output'!$AF:$AF,$A639,'2. Program Allocation Output'!$AG:$AG,$B639),"")</f>
        <v/>
      </c>
      <c r="E639" s="5" t="str">
        <f>IFERROR(AVERAGEIFS('2. Program Allocation Output'!$L:$L,'2. Program Allocation Output'!$AF:$AF,$A639,'2. Program Allocation Output'!$AG:$AG,$B639),"")</f>
        <v/>
      </c>
      <c r="F639" s="39" t="str">
        <f t="shared" si="21"/>
        <v/>
      </c>
      <c r="G639" t="str">
        <f t="shared" si="22"/>
        <v/>
      </c>
    </row>
    <row r="640" spans="3:7" ht="15" hidden="1" x14ac:dyDescent="0.25">
      <c r="C640" s="4" t="str">
        <f>IFERROR(AVERAGEIFS('2. Program Allocation Output'!$P:$P,'2. Program Allocation Output'!$AF:$AF,$A640,'2. Program Allocation Output'!$AG:$AG,$B640),"")</f>
        <v/>
      </c>
      <c r="D640" s="4" t="str">
        <f>IFERROR(AVERAGEIFS('2. Program Allocation Output'!$O:$O,'2. Program Allocation Output'!$AF:$AF,$A640,'2. Program Allocation Output'!$AG:$AG,$B640),"")</f>
        <v/>
      </c>
      <c r="E640" s="5" t="str">
        <f>IFERROR(AVERAGEIFS('2. Program Allocation Output'!$L:$L,'2. Program Allocation Output'!$AF:$AF,$A640,'2. Program Allocation Output'!$AG:$AG,$B640),"")</f>
        <v/>
      </c>
      <c r="F640" s="39" t="str">
        <f t="shared" si="21"/>
        <v/>
      </c>
      <c r="G640" t="str">
        <f t="shared" si="22"/>
        <v/>
      </c>
    </row>
    <row r="641" spans="3:7" ht="15" hidden="1" x14ac:dyDescent="0.25">
      <c r="C641" s="4" t="str">
        <f>IFERROR(AVERAGEIFS('2. Program Allocation Output'!$P:$P,'2. Program Allocation Output'!$AF:$AF,$A641,'2. Program Allocation Output'!$AG:$AG,$B641),"")</f>
        <v/>
      </c>
      <c r="D641" s="4" t="str">
        <f>IFERROR(AVERAGEIFS('2. Program Allocation Output'!$O:$O,'2. Program Allocation Output'!$AF:$AF,$A641,'2. Program Allocation Output'!$AG:$AG,$B641),"")</f>
        <v/>
      </c>
      <c r="E641" s="5" t="str">
        <f>IFERROR(AVERAGEIFS('2. Program Allocation Output'!$L:$L,'2. Program Allocation Output'!$AF:$AF,$A641,'2. Program Allocation Output'!$AG:$AG,$B641),"")</f>
        <v/>
      </c>
      <c r="F641" s="39" t="str">
        <f t="shared" si="21"/>
        <v/>
      </c>
      <c r="G641" t="str">
        <f t="shared" si="22"/>
        <v/>
      </c>
    </row>
    <row r="642" spans="3:7" ht="15" hidden="1" x14ac:dyDescent="0.25">
      <c r="C642" s="4" t="str">
        <f>IFERROR(AVERAGEIFS('2. Program Allocation Output'!$P:$P,'2. Program Allocation Output'!$AF:$AF,$A642,'2. Program Allocation Output'!$AG:$AG,$B642),"")</f>
        <v/>
      </c>
      <c r="D642" s="4" t="str">
        <f>IFERROR(AVERAGEIFS('2. Program Allocation Output'!$O:$O,'2. Program Allocation Output'!$AF:$AF,$A642,'2. Program Allocation Output'!$AG:$AG,$B642),"")</f>
        <v/>
      </c>
      <c r="E642" s="5" t="str">
        <f>IFERROR(AVERAGEIFS('2. Program Allocation Output'!$L:$L,'2. Program Allocation Output'!$AF:$AF,$A642,'2. Program Allocation Output'!$AG:$AG,$B642),"")</f>
        <v/>
      </c>
      <c r="F642" s="39" t="str">
        <f t="shared" si="21"/>
        <v/>
      </c>
      <c r="G642" t="str">
        <f t="shared" si="22"/>
        <v/>
      </c>
    </row>
    <row r="643" spans="3:7" ht="15" hidden="1" x14ac:dyDescent="0.25">
      <c r="C643" s="4" t="str">
        <f>IFERROR(AVERAGEIFS('2. Program Allocation Output'!$P:$P,'2. Program Allocation Output'!$AF:$AF,$A643,'2. Program Allocation Output'!$AG:$AG,$B643),"")</f>
        <v/>
      </c>
      <c r="D643" s="4" t="str">
        <f>IFERROR(AVERAGEIFS('2. Program Allocation Output'!$O:$O,'2. Program Allocation Output'!$AF:$AF,$A643,'2. Program Allocation Output'!$AG:$AG,$B643),"")</f>
        <v/>
      </c>
      <c r="E643" s="5" t="str">
        <f>IFERROR(AVERAGEIFS('2. Program Allocation Output'!$L:$L,'2. Program Allocation Output'!$AF:$AF,$A643,'2. Program Allocation Output'!$AG:$AG,$B643),"")</f>
        <v/>
      </c>
      <c r="F643" s="39" t="str">
        <f t="shared" ref="F643:F706" si="23">IFERROR(C643*1,"")</f>
        <v/>
      </c>
      <c r="G643" t="str">
        <f t="shared" si="22"/>
        <v/>
      </c>
    </row>
    <row r="644" spans="3:7" ht="15" hidden="1" x14ac:dyDescent="0.25">
      <c r="C644" s="4" t="str">
        <f>IFERROR(AVERAGEIFS('2. Program Allocation Output'!$P:$P,'2. Program Allocation Output'!$AF:$AF,$A644,'2. Program Allocation Output'!$AG:$AG,$B644),"")</f>
        <v/>
      </c>
      <c r="D644" s="4" t="str">
        <f>IFERROR(AVERAGEIFS('2. Program Allocation Output'!$O:$O,'2. Program Allocation Output'!$AF:$AF,$A644,'2. Program Allocation Output'!$AG:$AG,$B644),"")</f>
        <v/>
      </c>
      <c r="E644" s="5" t="str">
        <f>IFERROR(AVERAGEIFS('2. Program Allocation Output'!$L:$L,'2. Program Allocation Output'!$AF:$AF,$A644,'2. Program Allocation Output'!$AG:$AG,$B644),"")</f>
        <v/>
      </c>
      <c r="F644" s="39" t="str">
        <f t="shared" si="23"/>
        <v/>
      </c>
      <c r="G644" t="str">
        <f t="shared" si="22"/>
        <v/>
      </c>
    </row>
    <row r="645" spans="3:7" ht="15" hidden="1" x14ac:dyDescent="0.25">
      <c r="C645" s="4" t="str">
        <f>IFERROR(AVERAGEIFS('2. Program Allocation Output'!$P:$P,'2. Program Allocation Output'!$AF:$AF,$A645,'2. Program Allocation Output'!$AG:$AG,$B645),"")</f>
        <v/>
      </c>
      <c r="D645" s="4" t="str">
        <f>IFERROR(AVERAGEIFS('2. Program Allocation Output'!$O:$O,'2. Program Allocation Output'!$AF:$AF,$A645,'2. Program Allocation Output'!$AG:$AG,$B645),"")</f>
        <v/>
      </c>
      <c r="E645" s="5" t="str">
        <f>IFERROR(AVERAGEIFS('2. Program Allocation Output'!$L:$L,'2. Program Allocation Output'!$AF:$AF,$A645,'2. Program Allocation Output'!$AG:$AG,$B645),"")</f>
        <v/>
      </c>
      <c r="F645" s="39" t="str">
        <f t="shared" si="23"/>
        <v/>
      </c>
      <c r="G645" t="str">
        <f t="shared" si="22"/>
        <v/>
      </c>
    </row>
    <row r="646" spans="3:7" ht="15" hidden="1" x14ac:dyDescent="0.25">
      <c r="C646" s="4" t="str">
        <f>IFERROR(AVERAGEIFS('2. Program Allocation Output'!$P:$P,'2. Program Allocation Output'!$AF:$AF,$A646,'2. Program Allocation Output'!$AG:$AG,$B646),"")</f>
        <v/>
      </c>
      <c r="D646" s="4" t="str">
        <f>IFERROR(AVERAGEIFS('2. Program Allocation Output'!$O:$O,'2. Program Allocation Output'!$AF:$AF,$A646,'2. Program Allocation Output'!$AG:$AG,$B646),"")</f>
        <v/>
      </c>
      <c r="E646" s="5" t="str">
        <f>IFERROR(AVERAGEIFS('2. Program Allocation Output'!$L:$L,'2. Program Allocation Output'!$AF:$AF,$A646,'2. Program Allocation Output'!$AG:$AG,$B646),"")</f>
        <v/>
      </c>
      <c r="F646" s="39" t="str">
        <f t="shared" si="23"/>
        <v/>
      </c>
      <c r="G646" t="str">
        <f t="shared" si="22"/>
        <v/>
      </c>
    </row>
    <row r="647" spans="3:7" ht="15" hidden="1" x14ac:dyDescent="0.25">
      <c r="C647" s="4" t="str">
        <f>IFERROR(AVERAGEIFS('2. Program Allocation Output'!$P:$P,'2. Program Allocation Output'!$AF:$AF,$A647,'2. Program Allocation Output'!$AG:$AG,$B647),"")</f>
        <v/>
      </c>
      <c r="D647" s="4" t="str">
        <f>IFERROR(AVERAGEIFS('2. Program Allocation Output'!$O:$O,'2. Program Allocation Output'!$AF:$AF,$A647,'2. Program Allocation Output'!$AG:$AG,$B647),"")</f>
        <v/>
      </c>
      <c r="E647" s="5" t="str">
        <f>IFERROR(AVERAGEIFS('2. Program Allocation Output'!$L:$L,'2. Program Allocation Output'!$AF:$AF,$A647,'2. Program Allocation Output'!$AG:$AG,$B647),"")</f>
        <v/>
      </c>
      <c r="F647" s="39" t="str">
        <f t="shared" si="23"/>
        <v/>
      </c>
      <c r="G647" t="str">
        <f t="shared" si="22"/>
        <v/>
      </c>
    </row>
    <row r="648" spans="3:7" ht="15" hidden="1" x14ac:dyDescent="0.25">
      <c r="C648" s="4" t="str">
        <f>IFERROR(AVERAGEIFS('2. Program Allocation Output'!$P:$P,'2. Program Allocation Output'!$AF:$AF,$A648,'2. Program Allocation Output'!$AG:$AG,$B648),"")</f>
        <v/>
      </c>
      <c r="D648" s="4" t="str">
        <f>IFERROR(AVERAGEIFS('2. Program Allocation Output'!$O:$O,'2. Program Allocation Output'!$AF:$AF,$A648,'2. Program Allocation Output'!$AG:$AG,$B648),"")</f>
        <v/>
      </c>
      <c r="E648" s="5" t="str">
        <f>IFERROR(AVERAGEIFS('2. Program Allocation Output'!$L:$L,'2. Program Allocation Output'!$AF:$AF,$A648,'2. Program Allocation Output'!$AG:$AG,$B648),"")</f>
        <v/>
      </c>
      <c r="F648" s="39" t="str">
        <f t="shared" si="23"/>
        <v/>
      </c>
      <c r="G648" t="str">
        <f t="shared" si="22"/>
        <v/>
      </c>
    </row>
    <row r="649" spans="3:7" ht="15" hidden="1" x14ac:dyDescent="0.25">
      <c r="C649" s="4" t="str">
        <f>IFERROR(AVERAGEIFS('2. Program Allocation Output'!$P:$P,'2. Program Allocation Output'!$AF:$AF,$A649,'2. Program Allocation Output'!$AG:$AG,$B649),"")</f>
        <v/>
      </c>
      <c r="D649" s="4" t="str">
        <f>IFERROR(AVERAGEIFS('2. Program Allocation Output'!$O:$O,'2. Program Allocation Output'!$AF:$AF,$A649,'2. Program Allocation Output'!$AG:$AG,$B649),"")</f>
        <v/>
      </c>
      <c r="E649" s="5" t="str">
        <f>IFERROR(AVERAGEIFS('2. Program Allocation Output'!$L:$L,'2. Program Allocation Output'!$AF:$AF,$A649,'2. Program Allocation Output'!$AG:$AG,$B649),"")</f>
        <v/>
      </c>
      <c r="F649" s="39" t="str">
        <f t="shared" si="23"/>
        <v/>
      </c>
      <c r="G649" t="str">
        <f t="shared" si="22"/>
        <v/>
      </c>
    </row>
    <row r="650" spans="3:7" ht="15" hidden="1" x14ac:dyDescent="0.25">
      <c r="C650" s="4" t="str">
        <f>IFERROR(AVERAGEIFS('2. Program Allocation Output'!$P:$P,'2. Program Allocation Output'!$AF:$AF,$A650,'2. Program Allocation Output'!$AG:$AG,$B650),"")</f>
        <v/>
      </c>
      <c r="D650" s="4" t="str">
        <f>IFERROR(AVERAGEIFS('2. Program Allocation Output'!$O:$O,'2. Program Allocation Output'!$AF:$AF,$A650,'2. Program Allocation Output'!$AG:$AG,$B650),"")</f>
        <v/>
      </c>
      <c r="E650" s="5" t="str">
        <f>IFERROR(AVERAGEIFS('2. Program Allocation Output'!$L:$L,'2. Program Allocation Output'!$AF:$AF,$A650,'2. Program Allocation Output'!$AG:$AG,$B650),"")</f>
        <v/>
      </c>
      <c r="F650" s="39" t="str">
        <f t="shared" si="23"/>
        <v/>
      </c>
      <c r="G650" t="str">
        <f t="shared" si="22"/>
        <v/>
      </c>
    </row>
    <row r="651" spans="3:7" ht="15" hidden="1" x14ac:dyDescent="0.25">
      <c r="C651" s="4" t="str">
        <f>IFERROR(AVERAGEIFS('2. Program Allocation Output'!$P:$P,'2. Program Allocation Output'!$AF:$AF,$A651,'2. Program Allocation Output'!$AG:$AG,$B651),"")</f>
        <v/>
      </c>
      <c r="D651" s="4" t="str">
        <f>IFERROR(AVERAGEIFS('2. Program Allocation Output'!$O:$O,'2. Program Allocation Output'!$AF:$AF,$A651,'2. Program Allocation Output'!$AG:$AG,$B651),"")</f>
        <v/>
      </c>
      <c r="E651" s="5" t="str">
        <f>IFERROR(AVERAGEIFS('2. Program Allocation Output'!$L:$L,'2. Program Allocation Output'!$AF:$AF,$A651,'2. Program Allocation Output'!$AG:$AG,$B651),"")</f>
        <v/>
      </c>
      <c r="F651" s="39" t="str">
        <f t="shared" si="23"/>
        <v/>
      </c>
      <c r="G651" t="str">
        <f t="shared" si="22"/>
        <v/>
      </c>
    </row>
    <row r="652" spans="3:7" ht="15" hidden="1" x14ac:dyDescent="0.25">
      <c r="C652" s="4" t="str">
        <f>IFERROR(AVERAGEIFS('2. Program Allocation Output'!$P:$P,'2. Program Allocation Output'!$AF:$AF,$A652,'2. Program Allocation Output'!$AG:$AG,$B652),"")</f>
        <v/>
      </c>
      <c r="D652" s="4" t="str">
        <f>IFERROR(AVERAGEIFS('2. Program Allocation Output'!$O:$O,'2. Program Allocation Output'!$AF:$AF,$A652,'2. Program Allocation Output'!$AG:$AG,$B652),"")</f>
        <v/>
      </c>
      <c r="E652" s="5" t="str">
        <f>IFERROR(AVERAGEIFS('2. Program Allocation Output'!$L:$L,'2. Program Allocation Output'!$AF:$AF,$A652,'2. Program Allocation Output'!$AG:$AG,$B652),"")</f>
        <v/>
      </c>
      <c r="F652" s="39" t="str">
        <f t="shared" si="23"/>
        <v/>
      </c>
      <c r="G652" t="str">
        <f t="shared" si="22"/>
        <v/>
      </c>
    </row>
    <row r="653" spans="3:7" ht="15" hidden="1" x14ac:dyDescent="0.25">
      <c r="C653" s="4" t="str">
        <f>IFERROR(AVERAGEIFS('2. Program Allocation Output'!$P:$P,'2. Program Allocation Output'!$AF:$AF,$A653,'2. Program Allocation Output'!$AG:$AG,$B653),"")</f>
        <v/>
      </c>
      <c r="D653" s="4" t="str">
        <f>IFERROR(AVERAGEIFS('2. Program Allocation Output'!$O:$O,'2. Program Allocation Output'!$AF:$AF,$A653,'2. Program Allocation Output'!$AG:$AG,$B653),"")</f>
        <v/>
      </c>
      <c r="E653" s="5" t="str">
        <f>IFERROR(AVERAGEIFS('2. Program Allocation Output'!$L:$L,'2. Program Allocation Output'!$AF:$AF,$A653,'2. Program Allocation Output'!$AG:$AG,$B653),"")</f>
        <v/>
      </c>
      <c r="F653" s="39" t="str">
        <f t="shared" si="23"/>
        <v/>
      </c>
      <c r="G653" t="str">
        <f t="shared" si="22"/>
        <v/>
      </c>
    </row>
    <row r="654" spans="3:7" ht="15" hidden="1" x14ac:dyDescent="0.25">
      <c r="C654" s="4" t="str">
        <f>IFERROR(AVERAGEIFS('2. Program Allocation Output'!$P:$P,'2. Program Allocation Output'!$AF:$AF,$A654,'2. Program Allocation Output'!$AG:$AG,$B654),"")</f>
        <v/>
      </c>
      <c r="D654" s="4" t="str">
        <f>IFERROR(AVERAGEIFS('2. Program Allocation Output'!$O:$O,'2. Program Allocation Output'!$AF:$AF,$A654,'2. Program Allocation Output'!$AG:$AG,$B654),"")</f>
        <v/>
      </c>
      <c r="E654" s="5" t="str">
        <f>IFERROR(AVERAGEIFS('2. Program Allocation Output'!$L:$L,'2. Program Allocation Output'!$AF:$AF,$A654,'2. Program Allocation Output'!$AG:$AG,$B654),"")</f>
        <v/>
      </c>
      <c r="F654" s="39" t="str">
        <f t="shared" si="23"/>
        <v/>
      </c>
      <c r="G654" t="str">
        <f t="shared" ref="G654:G717" si="24">IFERROR(EXP(0.3*(F654-C654)/(E654*0.1137)),"")</f>
        <v/>
      </c>
    </row>
    <row r="655" spans="3:7" ht="15" hidden="1" x14ac:dyDescent="0.25">
      <c r="C655" s="4" t="str">
        <f>IFERROR(AVERAGEIFS('2. Program Allocation Output'!$P:$P,'2. Program Allocation Output'!$AF:$AF,$A655,'2. Program Allocation Output'!$AG:$AG,$B655),"")</f>
        <v/>
      </c>
      <c r="D655" s="4" t="str">
        <f>IFERROR(AVERAGEIFS('2. Program Allocation Output'!$O:$O,'2. Program Allocation Output'!$AF:$AF,$A655,'2. Program Allocation Output'!$AG:$AG,$B655),"")</f>
        <v/>
      </c>
      <c r="E655" s="5" t="str">
        <f>IFERROR(AVERAGEIFS('2. Program Allocation Output'!$L:$L,'2. Program Allocation Output'!$AF:$AF,$A655,'2. Program Allocation Output'!$AG:$AG,$B655),"")</f>
        <v/>
      </c>
      <c r="F655" s="39" t="str">
        <f t="shared" si="23"/>
        <v/>
      </c>
      <c r="G655" t="str">
        <f t="shared" si="24"/>
        <v/>
      </c>
    </row>
    <row r="656" spans="3:7" ht="15" hidden="1" x14ac:dyDescent="0.25">
      <c r="C656" s="4" t="str">
        <f>IFERROR(AVERAGEIFS('2. Program Allocation Output'!$P:$P,'2. Program Allocation Output'!$AF:$AF,$A656,'2. Program Allocation Output'!$AG:$AG,$B656),"")</f>
        <v/>
      </c>
      <c r="D656" s="4" t="str">
        <f>IFERROR(AVERAGEIFS('2. Program Allocation Output'!$O:$O,'2. Program Allocation Output'!$AF:$AF,$A656,'2. Program Allocation Output'!$AG:$AG,$B656),"")</f>
        <v/>
      </c>
      <c r="E656" s="5" t="str">
        <f>IFERROR(AVERAGEIFS('2. Program Allocation Output'!$L:$L,'2. Program Allocation Output'!$AF:$AF,$A656,'2. Program Allocation Output'!$AG:$AG,$B656),"")</f>
        <v/>
      </c>
      <c r="F656" s="39" t="str">
        <f t="shared" si="23"/>
        <v/>
      </c>
      <c r="G656" t="str">
        <f t="shared" si="24"/>
        <v/>
      </c>
    </row>
    <row r="657" spans="3:7" ht="15" hidden="1" x14ac:dyDescent="0.25">
      <c r="C657" s="4" t="str">
        <f>IFERROR(AVERAGEIFS('2. Program Allocation Output'!$P:$P,'2. Program Allocation Output'!$AF:$AF,$A657,'2. Program Allocation Output'!$AG:$AG,$B657),"")</f>
        <v/>
      </c>
      <c r="D657" s="4" t="str">
        <f>IFERROR(AVERAGEIFS('2. Program Allocation Output'!$O:$O,'2. Program Allocation Output'!$AF:$AF,$A657,'2. Program Allocation Output'!$AG:$AG,$B657),"")</f>
        <v/>
      </c>
      <c r="E657" s="5" t="str">
        <f>IFERROR(AVERAGEIFS('2. Program Allocation Output'!$L:$L,'2. Program Allocation Output'!$AF:$AF,$A657,'2. Program Allocation Output'!$AG:$AG,$B657),"")</f>
        <v/>
      </c>
      <c r="F657" s="39" t="str">
        <f t="shared" si="23"/>
        <v/>
      </c>
      <c r="G657" t="str">
        <f t="shared" si="24"/>
        <v/>
      </c>
    </row>
    <row r="658" spans="3:7" ht="15" hidden="1" x14ac:dyDescent="0.25">
      <c r="C658" s="4" t="str">
        <f>IFERROR(AVERAGEIFS('2. Program Allocation Output'!$P:$P,'2. Program Allocation Output'!$AF:$AF,$A658,'2. Program Allocation Output'!$AG:$AG,$B658),"")</f>
        <v/>
      </c>
      <c r="D658" s="4" t="str">
        <f>IFERROR(AVERAGEIFS('2. Program Allocation Output'!$O:$O,'2. Program Allocation Output'!$AF:$AF,$A658,'2. Program Allocation Output'!$AG:$AG,$B658),"")</f>
        <v/>
      </c>
      <c r="E658" s="5" t="str">
        <f>IFERROR(AVERAGEIFS('2. Program Allocation Output'!$L:$L,'2. Program Allocation Output'!$AF:$AF,$A658,'2. Program Allocation Output'!$AG:$AG,$B658),"")</f>
        <v/>
      </c>
      <c r="F658" s="39" t="str">
        <f t="shared" si="23"/>
        <v/>
      </c>
      <c r="G658" t="str">
        <f t="shared" si="24"/>
        <v/>
      </c>
    </row>
    <row r="659" spans="3:7" ht="15" hidden="1" x14ac:dyDescent="0.25">
      <c r="C659" s="4" t="str">
        <f>IFERROR(AVERAGEIFS('2. Program Allocation Output'!$P:$P,'2. Program Allocation Output'!$AF:$AF,$A659,'2. Program Allocation Output'!$AG:$AG,$B659),"")</f>
        <v/>
      </c>
      <c r="D659" s="4" t="str">
        <f>IFERROR(AVERAGEIFS('2. Program Allocation Output'!$O:$O,'2. Program Allocation Output'!$AF:$AF,$A659,'2. Program Allocation Output'!$AG:$AG,$B659),"")</f>
        <v/>
      </c>
      <c r="E659" s="5" t="str">
        <f>IFERROR(AVERAGEIFS('2. Program Allocation Output'!$L:$L,'2. Program Allocation Output'!$AF:$AF,$A659,'2. Program Allocation Output'!$AG:$AG,$B659),"")</f>
        <v/>
      </c>
      <c r="F659" s="39" t="str">
        <f t="shared" si="23"/>
        <v/>
      </c>
      <c r="G659" t="str">
        <f t="shared" si="24"/>
        <v/>
      </c>
    </row>
    <row r="660" spans="3:7" ht="15" hidden="1" x14ac:dyDescent="0.25">
      <c r="C660" s="4" t="str">
        <f>IFERROR(AVERAGEIFS('2. Program Allocation Output'!$P:$P,'2. Program Allocation Output'!$AF:$AF,$A660,'2. Program Allocation Output'!$AG:$AG,$B660),"")</f>
        <v/>
      </c>
      <c r="D660" s="4" t="str">
        <f>IFERROR(AVERAGEIFS('2. Program Allocation Output'!$O:$O,'2. Program Allocation Output'!$AF:$AF,$A660,'2. Program Allocation Output'!$AG:$AG,$B660),"")</f>
        <v/>
      </c>
      <c r="E660" s="5" t="str">
        <f>IFERROR(AVERAGEIFS('2. Program Allocation Output'!$L:$L,'2. Program Allocation Output'!$AF:$AF,$A660,'2. Program Allocation Output'!$AG:$AG,$B660),"")</f>
        <v/>
      </c>
      <c r="F660" s="39" t="str">
        <f t="shared" si="23"/>
        <v/>
      </c>
      <c r="G660" t="str">
        <f t="shared" si="24"/>
        <v/>
      </c>
    </row>
    <row r="661" spans="3:7" ht="15" hidden="1" x14ac:dyDescent="0.25">
      <c r="C661" s="4" t="str">
        <f>IFERROR(AVERAGEIFS('2. Program Allocation Output'!$P:$P,'2. Program Allocation Output'!$AF:$AF,$A661,'2. Program Allocation Output'!$AG:$AG,$B661),"")</f>
        <v/>
      </c>
      <c r="D661" s="4" t="str">
        <f>IFERROR(AVERAGEIFS('2. Program Allocation Output'!$O:$O,'2. Program Allocation Output'!$AF:$AF,$A661,'2. Program Allocation Output'!$AG:$AG,$B661),"")</f>
        <v/>
      </c>
      <c r="E661" s="5" t="str">
        <f>IFERROR(AVERAGEIFS('2. Program Allocation Output'!$L:$L,'2. Program Allocation Output'!$AF:$AF,$A661,'2. Program Allocation Output'!$AG:$AG,$B661),"")</f>
        <v/>
      </c>
      <c r="F661" s="39" t="str">
        <f t="shared" si="23"/>
        <v/>
      </c>
      <c r="G661" t="str">
        <f t="shared" si="24"/>
        <v/>
      </c>
    </row>
    <row r="662" spans="3:7" ht="15" hidden="1" x14ac:dyDescent="0.25">
      <c r="C662" s="4" t="str">
        <f>IFERROR(AVERAGEIFS('2. Program Allocation Output'!$P:$P,'2. Program Allocation Output'!$AF:$AF,$A662,'2. Program Allocation Output'!$AG:$AG,$B662),"")</f>
        <v/>
      </c>
      <c r="D662" s="4" t="str">
        <f>IFERROR(AVERAGEIFS('2. Program Allocation Output'!$O:$O,'2. Program Allocation Output'!$AF:$AF,$A662,'2. Program Allocation Output'!$AG:$AG,$B662),"")</f>
        <v/>
      </c>
      <c r="E662" s="5" t="str">
        <f>IFERROR(AVERAGEIFS('2. Program Allocation Output'!$L:$L,'2. Program Allocation Output'!$AF:$AF,$A662,'2. Program Allocation Output'!$AG:$AG,$B662),"")</f>
        <v/>
      </c>
      <c r="F662" s="39" t="str">
        <f t="shared" si="23"/>
        <v/>
      </c>
      <c r="G662" t="str">
        <f t="shared" si="24"/>
        <v/>
      </c>
    </row>
    <row r="663" spans="3:7" ht="15" hidden="1" x14ac:dyDescent="0.25">
      <c r="C663" s="4" t="str">
        <f>IFERROR(AVERAGEIFS('2. Program Allocation Output'!$P:$P,'2. Program Allocation Output'!$AF:$AF,$A663,'2. Program Allocation Output'!$AG:$AG,$B663),"")</f>
        <v/>
      </c>
      <c r="D663" s="4" t="str">
        <f>IFERROR(AVERAGEIFS('2. Program Allocation Output'!$O:$O,'2. Program Allocation Output'!$AF:$AF,$A663,'2. Program Allocation Output'!$AG:$AG,$B663),"")</f>
        <v/>
      </c>
      <c r="E663" s="5" t="str">
        <f>IFERROR(AVERAGEIFS('2. Program Allocation Output'!$L:$L,'2. Program Allocation Output'!$AF:$AF,$A663,'2. Program Allocation Output'!$AG:$AG,$B663),"")</f>
        <v/>
      </c>
      <c r="F663" s="39" t="str">
        <f t="shared" si="23"/>
        <v/>
      </c>
      <c r="G663" t="str">
        <f t="shared" si="24"/>
        <v/>
      </c>
    </row>
    <row r="664" spans="3:7" ht="15" hidden="1" x14ac:dyDescent="0.25">
      <c r="C664" s="4" t="str">
        <f>IFERROR(AVERAGEIFS('2. Program Allocation Output'!$P:$P,'2. Program Allocation Output'!$AF:$AF,$A664,'2. Program Allocation Output'!$AG:$AG,$B664),"")</f>
        <v/>
      </c>
      <c r="D664" s="4" t="str">
        <f>IFERROR(AVERAGEIFS('2. Program Allocation Output'!$O:$O,'2. Program Allocation Output'!$AF:$AF,$A664,'2. Program Allocation Output'!$AG:$AG,$B664),"")</f>
        <v/>
      </c>
      <c r="E664" s="5" t="str">
        <f>IFERROR(AVERAGEIFS('2. Program Allocation Output'!$L:$L,'2. Program Allocation Output'!$AF:$AF,$A664,'2. Program Allocation Output'!$AG:$AG,$B664),"")</f>
        <v/>
      </c>
      <c r="F664" s="39" t="str">
        <f t="shared" si="23"/>
        <v/>
      </c>
      <c r="G664" t="str">
        <f t="shared" si="24"/>
        <v/>
      </c>
    </row>
    <row r="665" spans="3:7" ht="15" hidden="1" x14ac:dyDescent="0.25">
      <c r="C665" s="4" t="str">
        <f>IFERROR(AVERAGEIFS('2. Program Allocation Output'!$P:$P,'2. Program Allocation Output'!$AF:$AF,$A665,'2. Program Allocation Output'!$AG:$AG,$B665),"")</f>
        <v/>
      </c>
      <c r="D665" s="4" t="str">
        <f>IFERROR(AVERAGEIFS('2. Program Allocation Output'!$O:$O,'2. Program Allocation Output'!$AF:$AF,$A665,'2. Program Allocation Output'!$AG:$AG,$B665),"")</f>
        <v/>
      </c>
      <c r="E665" s="5" t="str">
        <f>IFERROR(AVERAGEIFS('2. Program Allocation Output'!$L:$L,'2. Program Allocation Output'!$AF:$AF,$A665,'2. Program Allocation Output'!$AG:$AG,$B665),"")</f>
        <v/>
      </c>
      <c r="F665" s="39" t="str">
        <f t="shared" si="23"/>
        <v/>
      </c>
      <c r="G665" t="str">
        <f t="shared" si="24"/>
        <v/>
      </c>
    </row>
    <row r="666" spans="3:7" ht="15" hidden="1" x14ac:dyDescent="0.25">
      <c r="C666" s="4" t="str">
        <f>IFERROR(AVERAGEIFS('2. Program Allocation Output'!$P:$P,'2. Program Allocation Output'!$AF:$AF,$A666,'2. Program Allocation Output'!$AG:$AG,$B666),"")</f>
        <v/>
      </c>
      <c r="D666" s="4" t="str">
        <f>IFERROR(AVERAGEIFS('2. Program Allocation Output'!$O:$O,'2. Program Allocation Output'!$AF:$AF,$A666,'2. Program Allocation Output'!$AG:$AG,$B666),"")</f>
        <v/>
      </c>
      <c r="E666" s="5" t="str">
        <f>IFERROR(AVERAGEIFS('2. Program Allocation Output'!$L:$L,'2. Program Allocation Output'!$AF:$AF,$A666,'2. Program Allocation Output'!$AG:$AG,$B666),"")</f>
        <v/>
      </c>
      <c r="F666" s="39" t="str">
        <f t="shared" si="23"/>
        <v/>
      </c>
      <c r="G666" t="str">
        <f t="shared" si="24"/>
        <v/>
      </c>
    </row>
    <row r="667" spans="3:7" ht="15" hidden="1" x14ac:dyDescent="0.25">
      <c r="C667" s="4" t="str">
        <f>IFERROR(AVERAGEIFS('2. Program Allocation Output'!$P:$P,'2. Program Allocation Output'!$AF:$AF,$A667,'2. Program Allocation Output'!$AG:$AG,$B667),"")</f>
        <v/>
      </c>
      <c r="D667" s="4" t="str">
        <f>IFERROR(AVERAGEIFS('2. Program Allocation Output'!$O:$O,'2. Program Allocation Output'!$AF:$AF,$A667,'2. Program Allocation Output'!$AG:$AG,$B667),"")</f>
        <v/>
      </c>
      <c r="E667" s="5" t="str">
        <f>IFERROR(AVERAGEIFS('2. Program Allocation Output'!$L:$L,'2. Program Allocation Output'!$AF:$AF,$A667,'2. Program Allocation Output'!$AG:$AG,$B667),"")</f>
        <v/>
      </c>
      <c r="F667" s="39" t="str">
        <f t="shared" si="23"/>
        <v/>
      </c>
      <c r="G667" t="str">
        <f t="shared" si="24"/>
        <v/>
      </c>
    </row>
    <row r="668" spans="3:7" ht="15" hidden="1" x14ac:dyDescent="0.25">
      <c r="C668" s="4" t="str">
        <f>IFERROR(AVERAGEIFS('2. Program Allocation Output'!$P:$P,'2. Program Allocation Output'!$AF:$AF,$A668,'2. Program Allocation Output'!$AG:$AG,$B668),"")</f>
        <v/>
      </c>
      <c r="D668" s="4" t="str">
        <f>IFERROR(AVERAGEIFS('2. Program Allocation Output'!$O:$O,'2. Program Allocation Output'!$AF:$AF,$A668,'2. Program Allocation Output'!$AG:$AG,$B668),"")</f>
        <v/>
      </c>
      <c r="E668" s="5" t="str">
        <f>IFERROR(AVERAGEIFS('2. Program Allocation Output'!$L:$L,'2. Program Allocation Output'!$AF:$AF,$A668,'2. Program Allocation Output'!$AG:$AG,$B668),"")</f>
        <v/>
      </c>
      <c r="F668" s="39" t="str">
        <f t="shared" si="23"/>
        <v/>
      </c>
      <c r="G668" t="str">
        <f t="shared" si="24"/>
        <v/>
      </c>
    </row>
    <row r="669" spans="3:7" ht="15" hidden="1" x14ac:dyDescent="0.25">
      <c r="C669" s="4" t="str">
        <f>IFERROR(AVERAGEIFS('2. Program Allocation Output'!$P:$P,'2. Program Allocation Output'!$AF:$AF,$A669,'2. Program Allocation Output'!$AG:$AG,$B669),"")</f>
        <v/>
      </c>
      <c r="D669" s="4" t="str">
        <f>IFERROR(AVERAGEIFS('2. Program Allocation Output'!$O:$O,'2. Program Allocation Output'!$AF:$AF,$A669,'2. Program Allocation Output'!$AG:$AG,$B669),"")</f>
        <v/>
      </c>
      <c r="E669" s="5" t="str">
        <f>IFERROR(AVERAGEIFS('2. Program Allocation Output'!$L:$L,'2. Program Allocation Output'!$AF:$AF,$A669,'2. Program Allocation Output'!$AG:$AG,$B669),"")</f>
        <v/>
      </c>
      <c r="F669" s="39" t="str">
        <f t="shared" si="23"/>
        <v/>
      </c>
      <c r="G669" t="str">
        <f t="shared" si="24"/>
        <v/>
      </c>
    </row>
    <row r="670" spans="3:7" ht="15" hidden="1" x14ac:dyDescent="0.25">
      <c r="C670" s="4" t="str">
        <f>IFERROR(AVERAGEIFS('2. Program Allocation Output'!$P:$P,'2. Program Allocation Output'!$AF:$AF,$A670,'2. Program Allocation Output'!$AG:$AG,$B670),"")</f>
        <v/>
      </c>
      <c r="D670" s="4" t="str">
        <f>IFERROR(AVERAGEIFS('2. Program Allocation Output'!$O:$O,'2. Program Allocation Output'!$AF:$AF,$A670,'2. Program Allocation Output'!$AG:$AG,$B670),"")</f>
        <v/>
      </c>
      <c r="E670" s="5" t="str">
        <f>IFERROR(AVERAGEIFS('2. Program Allocation Output'!$L:$L,'2. Program Allocation Output'!$AF:$AF,$A670,'2. Program Allocation Output'!$AG:$AG,$B670),"")</f>
        <v/>
      </c>
      <c r="F670" s="39" t="str">
        <f t="shared" si="23"/>
        <v/>
      </c>
      <c r="G670" t="str">
        <f t="shared" si="24"/>
        <v/>
      </c>
    </row>
    <row r="671" spans="3:7" ht="15" hidden="1" x14ac:dyDescent="0.25">
      <c r="C671" s="4" t="str">
        <f>IFERROR(AVERAGEIFS('2. Program Allocation Output'!$P:$P,'2. Program Allocation Output'!$AF:$AF,$A671,'2. Program Allocation Output'!$AG:$AG,$B671),"")</f>
        <v/>
      </c>
      <c r="D671" s="4" t="str">
        <f>IFERROR(AVERAGEIFS('2. Program Allocation Output'!$O:$O,'2. Program Allocation Output'!$AF:$AF,$A671,'2. Program Allocation Output'!$AG:$AG,$B671),"")</f>
        <v/>
      </c>
      <c r="E671" s="5" t="str">
        <f>IFERROR(AVERAGEIFS('2. Program Allocation Output'!$L:$L,'2. Program Allocation Output'!$AF:$AF,$A671,'2. Program Allocation Output'!$AG:$AG,$B671),"")</f>
        <v/>
      </c>
      <c r="F671" s="39" t="str">
        <f t="shared" si="23"/>
        <v/>
      </c>
      <c r="G671" t="str">
        <f t="shared" si="24"/>
        <v/>
      </c>
    </row>
    <row r="672" spans="3:7" ht="15" hidden="1" x14ac:dyDescent="0.25">
      <c r="C672" s="4" t="str">
        <f>IFERROR(AVERAGEIFS('2. Program Allocation Output'!$P:$P,'2. Program Allocation Output'!$AF:$AF,$A672,'2. Program Allocation Output'!$AG:$AG,$B672),"")</f>
        <v/>
      </c>
      <c r="D672" s="4" t="str">
        <f>IFERROR(AVERAGEIFS('2. Program Allocation Output'!$O:$O,'2. Program Allocation Output'!$AF:$AF,$A672,'2. Program Allocation Output'!$AG:$AG,$B672),"")</f>
        <v/>
      </c>
      <c r="E672" s="5" t="str">
        <f>IFERROR(AVERAGEIFS('2. Program Allocation Output'!$L:$L,'2. Program Allocation Output'!$AF:$AF,$A672,'2. Program Allocation Output'!$AG:$AG,$B672),"")</f>
        <v/>
      </c>
      <c r="F672" s="39" t="str">
        <f t="shared" si="23"/>
        <v/>
      </c>
      <c r="G672" t="str">
        <f t="shared" si="24"/>
        <v/>
      </c>
    </row>
    <row r="673" spans="3:7" ht="15" hidden="1" x14ac:dyDescent="0.25">
      <c r="C673" s="4" t="str">
        <f>IFERROR(AVERAGEIFS('2. Program Allocation Output'!$P:$P,'2. Program Allocation Output'!$AF:$AF,$A673,'2. Program Allocation Output'!$AG:$AG,$B673),"")</f>
        <v/>
      </c>
      <c r="D673" s="4" t="str">
        <f>IFERROR(AVERAGEIFS('2. Program Allocation Output'!$O:$O,'2. Program Allocation Output'!$AF:$AF,$A673,'2. Program Allocation Output'!$AG:$AG,$B673),"")</f>
        <v/>
      </c>
      <c r="E673" s="5" t="str">
        <f>IFERROR(AVERAGEIFS('2. Program Allocation Output'!$L:$L,'2. Program Allocation Output'!$AF:$AF,$A673,'2. Program Allocation Output'!$AG:$AG,$B673),"")</f>
        <v/>
      </c>
      <c r="F673" s="39" t="str">
        <f t="shared" si="23"/>
        <v/>
      </c>
      <c r="G673" t="str">
        <f t="shared" si="24"/>
        <v/>
      </c>
    </row>
    <row r="674" spans="3:7" ht="15" hidden="1" x14ac:dyDescent="0.25">
      <c r="C674" s="4" t="str">
        <f>IFERROR(AVERAGEIFS('2. Program Allocation Output'!$P:$P,'2. Program Allocation Output'!$AF:$AF,$A674,'2. Program Allocation Output'!$AG:$AG,$B674),"")</f>
        <v/>
      </c>
      <c r="D674" s="4" t="str">
        <f>IFERROR(AVERAGEIFS('2. Program Allocation Output'!$O:$O,'2. Program Allocation Output'!$AF:$AF,$A674,'2. Program Allocation Output'!$AG:$AG,$B674),"")</f>
        <v/>
      </c>
      <c r="E674" s="5" t="str">
        <f>IFERROR(AVERAGEIFS('2. Program Allocation Output'!$L:$L,'2. Program Allocation Output'!$AF:$AF,$A674,'2. Program Allocation Output'!$AG:$AG,$B674),"")</f>
        <v/>
      </c>
      <c r="F674" s="39" t="str">
        <f t="shared" si="23"/>
        <v/>
      </c>
      <c r="G674" t="str">
        <f t="shared" si="24"/>
        <v/>
      </c>
    </row>
    <row r="675" spans="3:7" ht="15" hidden="1" x14ac:dyDescent="0.25">
      <c r="C675" s="4" t="str">
        <f>IFERROR(AVERAGEIFS('2. Program Allocation Output'!$P:$P,'2. Program Allocation Output'!$AF:$AF,$A675,'2. Program Allocation Output'!$AG:$AG,$B675),"")</f>
        <v/>
      </c>
      <c r="D675" s="4" t="str">
        <f>IFERROR(AVERAGEIFS('2. Program Allocation Output'!$O:$O,'2. Program Allocation Output'!$AF:$AF,$A675,'2. Program Allocation Output'!$AG:$AG,$B675),"")</f>
        <v/>
      </c>
      <c r="E675" s="5" t="str">
        <f>IFERROR(AVERAGEIFS('2. Program Allocation Output'!$L:$L,'2. Program Allocation Output'!$AF:$AF,$A675,'2. Program Allocation Output'!$AG:$AG,$B675),"")</f>
        <v/>
      </c>
      <c r="F675" s="39" t="str">
        <f t="shared" si="23"/>
        <v/>
      </c>
      <c r="G675" t="str">
        <f t="shared" si="24"/>
        <v/>
      </c>
    </row>
    <row r="676" spans="3:7" ht="15" hidden="1" x14ac:dyDescent="0.25">
      <c r="C676" s="4" t="str">
        <f>IFERROR(AVERAGEIFS('2. Program Allocation Output'!$P:$P,'2. Program Allocation Output'!$AF:$AF,$A676,'2. Program Allocation Output'!$AG:$AG,$B676),"")</f>
        <v/>
      </c>
      <c r="D676" s="4" t="str">
        <f>IFERROR(AVERAGEIFS('2. Program Allocation Output'!$O:$O,'2. Program Allocation Output'!$AF:$AF,$A676,'2. Program Allocation Output'!$AG:$AG,$B676),"")</f>
        <v/>
      </c>
      <c r="E676" s="5" t="str">
        <f>IFERROR(AVERAGEIFS('2. Program Allocation Output'!$L:$L,'2. Program Allocation Output'!$AF:$AF,$A676,'2. Program Allocation Output'!$AG:$AG,$B676),"")</f>
        <v/>
      </c>
      <c r="F676" s="39" t="str">
        <f t="shared" si="23"/>
        <v/>
      </c>
      <c r="G676" t="str">
        <f t="shared" si="24"/>
        <v/>
      </c>
    </row>
    <row r="677" spans="3:7" ht="15" hidden="1" x14ac:dyDescent="0.25">
      <c r="C677" s="4" t="str">
        <f>IFERROR(AVERAGEIFS('2. Program Allocation Output'!$P:$P,'2. Program Allocation Output'!$AF:$AF,$A677,'2. Program Allocation Output'!$AG:$AG,$B677),"")</f>
        <v/>
      </c>
      <c r="D677" s="4" t="str">
        <f>IFERROR(AVERAGEIFS('2. Program Allocation Output'!$O:$O,'2. Program Allocation Output'!$AF:$AF,$A677,'2. Program Allocation Output'!$AG:$AG,$B677),"")</f>
        <v/>
      </c>
      <c r="E677" s="5" t="str">
        <f>IFERROR(AVERAGEIFS('2. Program Allocation Output'!$L:$L,'2. Program Allocation Output'!$AF:$AF,$A677,'2. Program Allocation Output'!$AG:$AG,$B677),"")</f>
        <v/>
      </c>
      <c r="F677" s="39" t="str">
        <f t="shared" si="23"/>
        <v/>
      </c>
      <c r="G677" t="str">
        <f t="shared" si="24"/>
        <v/>
      </c>
    </row>
    <row r="678" spans="3:7" ht="15" hidden="1" x14ac:dyDescent="0.25">
      <c r="C678" s="4" t="str">
        <f>IFERROR(AVERAGEIFS('2. Program Allocation Output'!$P:$P,'2. Program Allocation Output'!$AF:$AF,$A678,'2. Program Allocation Output'!$AG:$AG,$B678),"")</f>
        <v/>
      </c>
      <c r="D678" s="4" t="str">
        <f>IFERROR(AVERAGEIFS('2. Program Allocation Output'!$O:$O,'2. Program Allocation Output'!$AF:$AF,$A678,'2. Program Allocation Output'!$AG:$AG,$B678),"")</f>
        <v/>
      </c>
      <c r="E678" s="5" t="str">
        <f>IFERROR(AVERAGEIFS('2. Program Allocation Output'!$L:$L,'2. Program Allocation Output'!$AF:$AF,$A678,'2. Program Allocation Output'!$AG:$AG,$B678),"")</f>
        <v/>
      </c>
      <c r="F678" s="39" t="str">
        <f t="shared" si="23"/>
        <v/>
      </c>
      <c r="G678" t="str">
        <f t="shared" si="24"/>
        <v/>
      </c>
    </row>
    <row r="679" spans="3:7" ht="15" hidden="1" x14ac:dyDescent="0.25">
      <c r="C679" s="4" t="str">
        <f>IFERROR(AVERAGEIFS('2. Program Allocation Output'!$P:$P,'2. Program Allocation Output'!$AF:$AF,$A679,'2. Program Allocation Output'!$AG:$AG,$B679),"")</f>
        <v/>
      </c>
      <c r="D679" s="4" t="str">
        <f>IFERROR(AVERAGEIFS('2. Program Allocation Output'!$O:$O,'2. Program Allocation Output'!$AF:$AF,$A679,'2. Program Allocation Output'!$AG:$AG,$B679),"")</f>
        <v/>
      </c>
      <c r="E679" s="5" t="str">
        <f>IFERROR(AVERAGEIFS('2. Program Allocation Output'!$L:$L,'2. Program Allocation Output'!$AF:$AF,$A679,'2. Program Allocation Output'!$AG:$AG,$B679),"")</f>
        <v/>
      </c>
      <c r="F679" s="39" t="str">
        <f t="shared" si="23"/>
        <v/>
      </c>
      <c r="G679" t="str">
        <f t="shared" si="24"/>
        <v/>
      </c>
    </row>
    <row r="680" spans="3:7" ht="15" hidden="1" x14ac:dyDescent="0.25">
      <c r="C680" s="4" t="str">
        <f>IFERROR(AVERAGEIFS('2. Program Allocation Output'!$P:$P,'2. Program Allocation Output'!$AF:$AF,$A680,'2. Program Allocation Output'!$AG:$AG,$B680),"")</f>
        <v/>
      </c>
      <c r="D680" s="4" t="str">
        <f>IFERROR(AVERAGEIFS('2. Program Allocation Output'!$O:$O,'2. Program Allocation Output'!$AF:$AF,$A680,'2. Program Allocation Output'!$AG:$AG,$B680),"")</f>
        <v/>
      </c>
      <c r="E680" s="5" t="str">
        <f>IFERROR(AVERAGEIFS('2. Program Allocation Output'!$L:$L,'2. Program Allocation Output'!$AF:$AF,$A680,'2. Program Allocation Output'!$AG:$AG,$B680),"")</f>
        <v/>
      </c>
      <c r="F680" s="39" t="str">
        <f t="shared" si="23"/>
        <v/>
      </c>
      <c r="G680" t="str">
        <f t="shared" si="24"/>
        <v/>
      </c>
    </row>
    <row r="681" spans="3:7" ht="15" hidden="1" x14ac:dyDescent="0.25">
      <c r="C681" s="4" t="str">
        <f>IFERROR(AVERAGEIFS('2. Program Allocation Output'!$P:$P,'2. Program Allocation Output'!$AF:$AF,$A681,'2. Program Allocation Output'!$AG:$AG,$B681),"")</f>
        <v/>
      </c>
      <c r="D681" s="4" t="str">
        <f>IFERROR(AVERAGEIFS('2. Program Allocation Output'!$O:$O,'2. Program Allocation Output'!$AF:$AF,$A681,'2. Program Allocation Output'!$AG:$AG,$B681),"")</f>
        <v/>
      </c>
      <c r="E681" s="5" t="str">
        <f>IFERROR(AVERAGEIFS('2. Program Allocation Output'!$L:$L,'2. Program Allocation Output'!$AF:$AF,$A681,'2. Program Allocation Output'!$AG:$AG,$B681),"")</f>
        <v/>
      </c>
      <c r="F681" s="39" t="str">
        <f t="shared" si="23"/>
        <v/>
      </c>
      <c r="G681" t="str">
        <f t="shared" si="24"/>
        <v/>
      </c>
    </row>
    <row r="682" spans="3:7" ht="15" hidden="1" x14ac:dyDescent="0.25">
      <c r="C682" s="4" t="str">
        <f>IFERROR(AVERAGEIFS('2. Program Allocation Output'!$P:$P,'2. Program Allocation Output'!$AF:$AF,$A682,'2. Program Allocation Output'!$AG:$AG,$B682),"")</f>
        <v/>
      </c>
      <c r="D682" s="4" t="str">
        <f>IFERROR(AVERAGEIFS('2. Program Allocation Output'!$O:$O,'2. Program Allocation Output'!$AF:$AF,$A682,'2. Program Allocation Output'!$AG:$AG,$B682),"")</f>
        <v/>
      </c>
      <c r="E682" s="5" t="str">
        <f>IFERROR(AVERAGEIFS('2. Program Allocation Output'!$L:$L,'2. Program Allocation Output'!$AF:$AF,$A682,'2. Program Allocation Output'!$AG:$AG,$B682),"")</f>
        <v/>
      </c>
      <c r="F682" s="39" t="str">
        <f t="shared" si="23"/>
        <v/>
      </c>
      <c r="G682" t="str">
        <f t="shared" si="24"/>
        <v/>
      </c>
    </row>
    <row r="683" spans="3:7" ht="15" hidden="1" x14ac:dyDescent="0.25">
      <c r="C683" s="4" t="str">
        <f>IFERROR(AVERAGEIFS('2. Program Allocation Output'!$P:$P,'2. Program Allocation Output'!$AF:$AF,$A683,'2. Program Allocation Output'!$AG:$AG,$B683),"")</f>
        <v/>
      </c>
      <c r="D683" s="4" t="str">
        <f>IFERROR(AVERAGEIFS('2. Program Allocation Output'!$O:$O,'2. Program Allocation Output'!$AF:$AF,$A683,'2. Program Allocation Output'!$AG:$AG,$B683),"")</f>
        <v/>
      </c>
      <c r="E683" s="5" t="str">
        <f>IFERROR(AVERAGEIFS('2. Program Allocation Output'!$L:$L,'2. Program Allocation Output'!$AF:$AF,$A683,'2. Program Allocation Output'!$AG:$AG,$B683),"")</f>
        <v/>
      </c>
      <c r="F683" s="39" t="str">
        <f t="shared" si="23"/>
        <v/>
      </c>
      <c r="G683" t="str">
        <f t="shared" si="24"/>
        <v/>
      </c>
    </row>
    <row r="684" spans="3:7" ht="15" hidden="1" x14ac:dyDescent="0.25">
      <c r="C684" s="4" t="str">
        <f>IFERROR(AVERAGEIFS('2. Program Allocation Output'!$P:$P,'2. Program Allocation Output'!$AF:$AF,$A684,'2. Program Allocation Output'!$AG:$AG,$B684),"")</f>
        <v/>
      </c>
      <c r="D684" s="4" t="str">
        <f>IFERROR(AVERAGEIFS('2. Program Allocation Output'!$O:$O,'2. Program Allocation Output'!$AF:$AF,$A684,'2. Program Allocation Output'!$AG:$AG,$B684),"")</f>
        <v/>
      </c>
      <c r="E684" s="5" t="str">
        <f>IFERROR(AVERAGEIFS('2. Program Allocation Output'!$L:$L,'2. Program Allocation Output'!$AF:$AF,$A684,'2. Program Allocation Output'!$AG:$AG,$B684),"")</f>
        <v/>
      </c>
      <c r="F684" s="39" t="str">
        <f t="shared" si="23"/>
        <v/>
      </c>
      <c r="G684" t="str">
        <f t="shared" si="24"/>
        <v/>
      </c>
    </row>
    <row r="685" spans="3:7" ht="15" hidden="1" x14ac:dyDescent="0.25">
      <c r="C685" s="4" t="str">
        <f>IFERROR(AVERAGEIFS('2. Program Allocation Output'!$P:$P,'2. Program Allocation Output'!$AF:$AF,$A685,'2. Program Allocation Output'!$AG:$AG,$B685),"")</f>
        <v/>
      </c>
      <c r="D685" s="4" t="str">
        <f>IFERROR(AVERAGEIFS('2. Program Allocation Output'!$O:$O,'2. Program Allocation Output'!$AF:$AF,$A685,'2. Program Allocation Output'!$AG:$AG,$B685),"")</f>
        <v/>
      </c>
      <c r="E685" s="5" t="str">
        <f>IFERROR(AVERAGEIFS('2. Program Allocation Output'!$L:$L,'2. Program Allocation Output'!$AF:$AF,$A685,'2. Program Allocation Output'!$AG:$AG,$B685),"")</f>
        <v/>
      </c>
      <c r="F685" s="39" t="str">
        <f t="shared" si="23"/>
        <v/>
      </c>
      <c r="G685" t="str">
        <f t="shared" si="24"/>
        <v/>
      </c>
    </row>
    <row r="686" spans="3:7" ht="15" hidden="1" x14ac:dyDescent="0.25">
      <c r="C686" s="4" t="str">
        <f>IFERROR(AVERAGEIFS('2. Program Allocation Output'!$P:$P,'2. Program Allocation Output'!$AF:$AF,$A686,'2. Program Allocation Output'!$AG:$AG,$B686),"")</f>
        <v/>
      </c>
      <c r="D686" s="4" t="str">
        <f>IFERROR(AVERAGEIFS('2. Program Allocation Output'!$O:$O,'2. Program Allocation Output'!$AF:$AF,$A686,'2. Program Allocation Output'!$AG:$AG,$B686),"")</f>
        <v/>
      </c>
      <c r="E686" s="5" t="str">
        <f>IFERROR(AVERAGEIFS('2. Program Allocation Output'!$L:$L,'2. Program Allocation Output'!$AF:$AF,$A686,'2. Program Allocation Output'!$AG:$AG,$B686),"")</f>
        <v/>
      </c>
      <c r="F686" s="39" t="str">
        <f t="shared" si="23"/>
        <v/>
      </c>
      <c r="G686" t="str">
        <f t="shared" si="24"/>
        <v/>
      </c>
    </row>
    <row r="687" spans="3:7" ht="15" hidden="1" x14ac:dyDescent="0.25">
      <c r="C687" s="4" t="str">
        <f>IFERROR(AVERAGEIFS('2. Program Allocation Output'!$P:$P,'2. Program Allocation Output'!$AF:$AF,$A687,'2. Program Allocation Output'!$AG:$AG,$B687),"")</f>
        <v/>
      </c>
      <c r="D687" s="4" t="str">
        <f>IFERROR(AVERAGEIFS('2. Program Allocation Output'!$O:$O,'2. Program Allocation Output'!$AF:$AF,$A687,'2. Program Allocation Output'!$AG:$AG,$B687),"")</f>
        <v/>
      </c>
      <c r="E687" s="5" t="str">
        <f>IFERROR(AVERAGEIFS('2. Program Allocation Output'!$L:$L,'2. Program Allocation Output'!$AF:$AF,$A687,'2. Program Allocation Output'!$AG:$AG,$B687),"")</f>
        <v/>
      </c>
      <c r="F687" s="39" t="str">
        <f t="shared" si="23"/>
        <v/>
      </c>
      <c r="G687" t="str">
        <f t="shared" si="24"/>
        <v/>
      </c>
    </row>
    <row r="688" spans="3:7" ht="15" hidden="1" x14ac:dyDescent="0.25">
      <c r="C688" s="4" t="str">
        <f>IFERROR(AVERAGEIFS('2. Program Allocation Output'!$P:$P,'2. Program Allocation Output'!$AF:$AF,$A688,'2. Program Allocation Output'!$AG:$AG,$B688),"")</f>
        <v/>
      </c>
      <c r="D688" s="4" t="str">
        <f>IFERROR(AVERAGEIFS('2. Program Allocation Output'!$O:$O,'2. Program Allocation Output'!$AF:$AF,$A688,'2. Program Allocation Output'!$AG:$AG,$B688),"")</f>
        <v/>
      </c>
      <c r="E688" s="5" t="str">
        <f>IFERROR(AVERAGEIFS('2. Program Allocation Output'!$L:$L,'2. Program Allocation Output'!$AF:$AF,$A688,'2. Program Allocation Output'!$AG:$AG,$B688),"")</f>
        <v/>
      </c>
      <c r="F688" s="39" t="str">
        <f t="shared" si="23"/>
        <v/>
      </c>
      <c r="G688" t="str">
        <f t="shared" si="24"/>
        <v/>
      </c>
    </row>
    <row r="689" spans="3:7" ht="15" hidden="1" x14ac:dyDescent="0.25">
      <c r="C689" s="4" t="str">
        <f>IFERROR(AVERAGEIFS('2. Program Allocation Output'!$P:$P,'2. Program Allocation Output'!$AF:$AF,$A689,'2. Program Allocation Output'!$AG:$AG,$B689),"")</f>
        <v/>
      </c>
      <c r="D689" s="4" t="str">
        <f>IFERROR(AVERAGEIFS('2. Program Allocation Output'!$O:$O,'2. Program Allocation Output'!$AF:$AF,$A689,'2. Program Allocation Output'!$AG:$AG,$B689),"")</f>
        <v/>
      </c>
      <c r="E689" s="5" t="str">
        <f>IFERROR(AVERAGEIFS('2. Program Allocation Output'!$L:$L,'2. Program Allocation Output'!$AF:$AF,$A689,'2. Program Allocation Output'!$AG:$AG,$B689),"")</f>
        <v/>
      </c>
      <c r="F689" s="39" t="str">
        <f t="shared" si="23"/>
        <v/>
      </c>
      <c r="G689" t="str">
        <f t="shared" si="24"/>
        <v/>
      </c>
    </row>
    <row r="690" spans="3:7" ht="15" hidden="1" x14ac:dyDescent="0.25">
      <c r="C690" s="4" t="str">
        <f>IFERROR(AVERAGEIFS('2. Program Allocation Output'!$P:$P,'2. Program Allocation Output'!$AF:$AF,$A690,'2. Program Allocation Output'!$AG:$AG,$B690),"")</f>
        <v/>
      </c>
      <c r="D690" s="4" t="str">
        <f>IFERROR(AVERAGEIFS('2. Program Allocation Output'!$O:$O,'2. Program Allocation Output'!$AF:$AF,$A690,'2. Program Allocation Output'!$AG:$AG,$B690),"")</f>
        <v/>
      </c>
      <c r="E690" s="5" t="str">
        <f>IFERROR(AVERAGEIFS('2. Program Allocation Output'!$L:$L,'2. Program Allocation Output'!$AF:$AF,$A690,'2. Program Allocation Output'!$AG:$AG,$B690),"")</f>
        <v/>
      </c>
      <c r="F690" s="39" t="str">
        <f t="shared" si="23"/>
        <v/>
      </c>
      <c r="G690" t="str">
        <f t="shared" si="24"/>
        <v/>
      </c>
    </row>
    <row r="691" spans="3:7" ht="15" hidden="1" x14ac:dyDescent="0.25">
      <c r="C691" s="4" t="str">
        <f>IFERROR(AVERAGEIFS('2. Program Allocation Output'!$P:$P,'2. Program Allocation Output'!$AF:$AF,$A691,'2. Program Allocation Output'!$AG:$AG,$B691),"")</f>
        <v/>
      </c>
      <c r="D691" s="4" t="str">
        <f>IFERROR(AVERAGEIFS('2. Program Allocation Output'!$O:$O,'2. Program Allocation Output'!$AF:$AF,$A691,'2. Program Allocation Output'!$AG:$AG,$B691),"")</f>
        <v/>
      </c>
      <c r="E691" s="5" t="str">
        <f>IFERROR(AVERAGEIFS('2. Program Allocation Output'!$L:$L,'2. Program Allocation Output'!$AF:$AF,$A691,'2. Program Allocation Output'!$AG:$AG,$B691),"")</f>
        <v/>
      </c>
      <c r="F691" s="39" t="str">
        <f t="shared" si="23"/>
        <v/>
      </c>
      <c r="G691" t="str">
        <f t="shared" si="24"/>
        <v/>
      </c>
    </row>
    <row r="692" spans="3:7" ht="15" hidden="1" x14ac:dyDescent="0.25">
      <c r="C692" s="4" t="str">
        <f>IFERROR(AVERAGEIFS('2. Program Allocation Output'!$P:$P,'2. Program Allocation Output'!$AF:$AF,$A692,'2. Program Allocation Output'!$AG:$AG,$B692),"")</f>
        <v/>
      </c>
      <c r="D692" s="4" t="str">
        <f>IFERROR(AVERAGEIFS('2. Program Allocation Output'!$O:$O,'2. Program Allocation Output'!$AF:$AF,$A692,'2. Program Allocation Output'!$AG:$AG,$B692),"")</f>
        <v/>
      </c>
      <c r="E692" s="5" t="str">
        <f>IFERROR(AVERAGEIFS('2. Program Allocation Output'!$L:$L,'2. Program Allocation Output'!$AF:$AF,$A692,'2. Program Allocation Output'!$AG:$AG,$B692),"")</f>
        <v/>
      </c>
      <c r="F692" s="39" t="str">
        <f t="shared" si="23"/>
        <v/>
      </c>
      <c r="G692" t="str">
        <f t="shared" si="24"/>
        <v/>
      </c>
    </row>
    <row r="693" spans="3:7" ht="15" hidden="1" x14ac:dyDescent="0.25">
      <c r="C693" s="4" t="str">
        <f>IFERROR(AVERAGEIFS('2. Program Allocation Output'!$P:$P,'2. Program Allocation Output'!$AF:$AF,$A693,'2. Program Allocation Output'!$AG:$AG,$B693),"")</f>
        <v/>
      </c>
      <c r="D693" s="4" t="str">
        <f>IFERROR(AVERAGEIFS('2. Program Allocation Output'!$O:$O,'2. Program Allocation Output'!$AF:$AF,$A693,'2. Program Allocation Output'!$AG:$AG,$B693),"")</f>
        <v/>
      </c>
      <c r="E693" s="5" t="str">
        <f>IFERROR(AVERAGEIFS('2. Program Allocation Output'!$L:$L,'2. Program Allocation Output'!$AF:$AF,$A693,'2. Program Allocation Output'!$AG:$AG,$B693),"")</f>
        <v/>
      </c>
      <c r="F693" s="39" t="str">
        <f t="shared" si="23"/>
        <v/>
      </c>
      <c r="G693" t="str">
        <f t="shared" si="24"/>
        <v/>
      </c>
    </row>
    <row r="694" spans="3:7" ht="15" hidden="1" x14ac:dyDescent="0.25">
      <c r="C694" s="4" t="str">
        <f>IFERROR(AVERAGEIFS('2. Program Allocation Output'!$P:$P,'2. Program Allocation Output'!$AF:$AF,$A694,'2. Program Allocation Output'!$AG:$AG,$B694),"")</f>
        <v/>
      </c>
      <c r="D694" s="4" t="str">
        <f>IFERROR(AVERAGEIFS('2. Program Allocation Output'!$O:$O,'2. Program Allocation Output'!$AF:$AF,$A694,'2. Program Allocation Output'!$AG:$AG,$B694),"")</f>
        <v/>
      </c>
      <c r="E694" s="5" t="str">
        <f>IFERROR(AVERAGEIFS('2. Program Allocation Output'!$L:$L,'2. Program Allocation Output'!$AF:$AF,$A694,'2. Program Allocation Output'!$AG:$AG,$B694),"")</f>
        <v/>
      </c>
      <c r="F694" s="39" t="str">
        <f t="shared" si="23"/>
        <v/>
      </c>
      <c r="G694" t="str">
        <f t="shared" si="24"/>
        <v/>
      </c>
    </row>
    <row r="695" spans="3:7" ht="15" hidden="1" x14ac:dyDescent="0.25">
      <c r="C695" s="4" t="str">
        <f>IFERROR(AVERAGEIFS('2. Program Allocation Output'!$P:$P,'2. Program Allocation Output'!$AF:$AF,$A695,'2. Program Allocation Output'!$AG:$AG,$B695),"")</f>
        <v/>
      </c>
      <c r="D695" s="4" t="str">
        <f>IFERROR(AVERAGEIFS('2. Program Allocation Output'!$O:$O,'2. Program Allocation Output'!$AF:$AF,$A695,'2. Program Allocation Output'!$AG:$AG,$B695),"")</f>
        <v/>
      </c>
      <c r="E695" s="5" t="str">
        <f>IFERROR(AVERAGEIFS('2. Program Allocation Output'!$L:$L,'2. Program Allocation Output'!$AF:$AF,$A695,'2. Program Allocation Output'!$AG:$AG,$B695),"")</f>
        <v/>
      </c>
      <c r="F695" s="39" t="str">
        <f t="shared" si="23"/>
        <v/>
      </c>
      <c r="G695" t="str">
        <f t="shared" si="24"/>
        <v/>
      </c>
    </row>
    <row r="696" spans="3:7" ht="15" hidden="1" x14ac:dyDescent="0.25">
      <c r="C696" s="4" t="str">
        <f>IFERROR(AVERAGEIFS('2. Program Allocation Output'!$P:$P,'2. Program Allocation Output'!$AF:$AF,$A696,'2. Program Allocation Output'!$AG:$AG,$B696),"")</f>
        <v/>
      </c>
      <c r="D696" s="4" t="str">
        <f>IFERROR(AVERAGEIFS('2. Program Allocation Output'!$O:$O,'2. Program Allocation Output'!$AF:$AF,$A696,'2. Program Allocation Output'!$AG:$AG,$B696),"")</f>
        <v/>
      </c>
      <c r="E696" s="5" t="str">
        <f>IFERROR(AVERAGEIFS('2. Program Allocation Output'!$L:$L,'2. Program Allocation Output'!$AF:$AF,$A696,'2. Program Allocation Output'!$AG:$AG,$B696),"")</f>
        <v/>
      </c>
      <c r="F696" s="39" t="str">
        <f t="shared" si="23"/>
        <v/>
      </c>
      <c r="G696" t="str">
        <f t="shared" si="24"/>
        <v/>
      </c>
    </row>
    <row r="697" spans="3:7" ht="15" hidden="1" x14ac:dyDescent="0.25">
      <c r="C697" s="4" t="str">
        <f>IFERROR(AVERAGEIFS('2. Program Allocation Output'!$P:$P,'2. Program Allocation Output'!$AF:$AF,$A697,'2. Program Allocation Output'!$AG:$AG,$B697),"")</f>
        <v/>
      </c>
      <c r="D697" s="4" t="str">
        <f>IFERROR(AVERAGEIFS('2. Program Allocation Output'!$O:$O,'2. Program Allocation Output'!$AF:$AF,$A697,'2. Program Allocation Output'!$AG:$AG,$B697),"")</f>
        <v/>
      </c>
      <c r="E697" s="5" t="str">
        <f>IFERROR(AVERAGEIFS('2. Program Allocation Output'!$L:$L,'2. Program Allocation Output'!$AF:$AF,$A697,'2. Program Allocation Output'!$AG:$AG,$B697),"")</f>
        <v/>
      </c>
      <c r="F697" s="39" t="str">
        <f t="shared" si="23"/>
        <v/>
      </c>
      <c r="G697" t="str">
        <f t="shared" si="24"/>
        <v/>
      </c>
    </row>
    <row r="698" spans="3:7" ht="15" hidden="1" x14ac:dyDescent="0.25">
      <c r="C698" s="4" t="str">
        <f>IFERROR(AVERAGEIFS('2. Program Allocation Output'!$P:$P,'2. Program Allocation Output'!$AF:$AF,$A698,'2. Program Allocation Output'!$AG:$AG,$B698),"")</f>
        <v/>
      </c>
      <c r="D698" s="4" t="str">
        <f>IFERROR(AVERAGEIFS('2. Program Allocation Output'!$O:$O,'2. Program Allocation Output'!$AF:$AF,$A698,'2. Program Allocation Output'!$AG:$AG,$B698),"")</f>
        <v/>
      </c>
      <c r="E698" s="5" t="str">
        <f>IFERROR(AVERAGEIFS('2. Program Allocation Output'!$L:$L,'2. Program Allocation Output'!$AF:$AF,$A698,'2. Program Allocation Output'!$AG:$AG,$B698),"")</f>
        <v/>
      </c>
      <c r="F698" s="39" t="str">
        <f t="shared" si="23"/>
        <v/>
      </c>
      <c r="G698" t="str">
        <f t="shared" si="24"/>
        <v/>
      </c>
    </row>
    <row r="699" spans="3:7" ht="15" hidden="1" x14ac:dyDescent="0.25">
      <c r="C699" s="4" t="str">
        <f>IFERROR(AVERAGEIFS('2. Program Allocation Output'!$P:$P,'2. Program Allocation Output'!$AF:$AF,$A699,'2. Program Allocation Output'!$AG:$AG,$B699),"")</f>
        <v/>
      </c>
      <c r="D699" s="4" t="str">
        <f>IFERROR(AVERAGEIFS('2. Program Allocation Output'!$O:$O,'2. Program Allocation Output'!$AF:$AF,$A699,'2. Program Allocation Output'!$AG:$AG,$B699),"")</f>
        <v/>
      </c>
      <c r="E699" s="5" t="str">
        <f>IFERROR(AVERAGEIFS('2. Program Allocation Output'!$L:$L,'2. Program Allocation Output'!$AF:$AF,$A699,'2. Program Allocation Output'!$AG:$AG,$B699),"")</f>
        <v/>
      </c>
      <c r="F699" s="39" t="str">
        <f t="shared" si="23"/>
        <v/>
      </c>
      <c r="G699" t="str">
        <f t="shared" si="24"/>
        <v/>
      </c>
    </row>
    <row r="700" spans="3:7" ht="15" hidden="1" x14ac:dyDescent="0.25">
      <c r="C700" s="4" t="str">
        <f>IFERROR(AVERAGEIFS('2. Program Allocation Output'!$P:$P,'2. Program Allocation Output'!$AF:$AF,$A700,'2. Program Allocation Output'!$AG:$AG,$B700),"")</f>
        <v/>
      </c>
      <c r="D700" s="4" t="str">
        <f>IFERROR(AVERAGEIFS('2. Program Allocation Output'!$O:$O,'2. Program Allocation Output'!$AF:$AF,$A700,'2. Program Allocation Output'!$AG:$AG,$B700),"")</f>
        <v/>
      </c>
      <c r="E700" s="5" t="str">
        <f>IFERROR(AVERAGEIFS('2. Program Allocation Output'!$L:$L,'2. Program Allocation Output'!$AF:$AF,$A700,'2. Program Allocation Output'!$AG:$AG,$B700),"")</f>
        <v/>
      </c>
      <c r="F700" s="39" t="str">
        <f t="shared" si="23"/>
        <v/>
      </c>
      <c r="G700" t="str">
        <f t="shared" si="24"/>
        <v/>
      </c>
    </row>
    <row r="701" spans="3:7" ht="15" hidden="1" x14ac:dyDescent="0.25">
      <c r="C701" s="4" t="str">
        <f>IFERROR(AVERAGEIFS('2. Program Allocation Output'!$P:$P,'2. Program Allocation Output'!$AF:$AF,$A701,'2. Program Allocation Output'!$AG:$AG,$B701),"")</f>
        <v/>
      </c>
      <c r="D701" s="4" t="str">
        <f>IFERROR(AVERAGEIFS('2. Program Allocation Output'!$O:$O,'2. Program Allocation Output'!$AF:$AF,$A701,'2. Program Allocation Output'!$AG:$AG,$B701),"")</f>
        <v/>
      </c>
      <c r="E701" s="5" t="str">
        <f>IFERROR(AVERAGEIFS('2. Program Allocation Output'!$L:$L,'2. Program Allocation Output'!$AF:$AF,$A701,'2. Program Allocation Output'!$AG:$AG,$B701),"")</f>
        <v/>
      </c>
      <c r="F701" s="39" t="str">
        <f t="shared" si="23"/>
        <v/>
      </c>
      <c r="G701" t="str">
        <f t="shared" si="24"/>
        <v/>
      </c>
    </row>
    <row r="702" spans="3:7" ht="15" hidden="1" x14ac:dyDescent="0.25">
      <c r="C702" s="4" t="str">
        <f>IFERROR(AVERAGEIFS('2. Program Allocation Output'!$P:$P,'2. Program Allocation Output'!$AF:$AF,$A702,'2. Program Allocation Output'!$AG:$AG,$B702),"")</f>
        <v/>
      </c>
      <c r="D702" s="4" t="str">
        <f>IFERROR(AVERAGEIFS('2. Program Allocation Output'!$O:$O,'2. Program Allocation Output'!$AF:$AF,$A702,'2. Program Allocation Output'!$AG:$AG,$B702),"")</f>
        <v/>
      </c>
      <c r="E702" s="5" t="str">
        <f>IFERROR(AVERAGEIFS('2. Program Allocation Output'!$L:$L,'2. Program Allocation Output'!$AF:$AF,$A702,'2. Program Allocation Output'!$AG:$AG,$B702),"")</f>
        <v/>
      </c>
      <c r="F702" s="39" t="str">
        <f t="shared" si="23"/>
        <v/>
      </c>
      <c r="G702" t="str">
        <f t="shared" si="24"/>
        <v/>
      </c>
    </row>
    <row r="703" spans="3:7" ht="15" hidden="1" x14ac:dyDescent="0.25">
      <c r="C703" s="4" t="str">
        <f>IFERROR(AVERAGEIFS('2. Program Allocation Output'!$P:$P,'2. Program Allocation Output'!$AF:$AF,$A703,'2. Program Allocation Output'!$AG:$AG,$B703),"")</f>
        <v/>
      </c>
      <c r="D703" s="4" t="str">
        <f>IFERROR(AVERAGEIFS('2. Program Allocation Output'!$O:$O,'2. Program Allocation Output'!$AF:$AF,$A703,'2. Program Allocation Output'!$AG:$AG,$B703),"")</f>
        <v/>
      </c>
      <c r="E703" s="5" t="str">
        <f>IFERROR(AVERAGEIFS('2. Program Allocation Output'!$L:$L,'2. Program Allocation Output'!$AF:$AF,$A703,'2. Program Allocation Output'!$AG:$AG,$B703),"")</f>
        <v/>
      </c>
      <c r="F703" s="39" t="str">
        <f t="shared" si="23"/>
        <v/>
      </c>
      <c r="G703" t="str">
        <f t="shared" si="24"/>
        <v/>
      </c>
    </row>
    <row r="704" spans="3:7" ht="15" hidden="1" x14ac:dyDescent="0.25">
      <c r="C704" s="4" t="str">
        <f>IFERROR(AVERAGEIFS('2. Program Allocation Output'!$P:$P,'2. Program Allocation Output'!$AF:$AF,$A704,'2. Program Allocation Output'!$AG:$AG,$B704),"")</f>
        <v/>
      </c>
      <c r="D704" s="4" t="str">
        <f>IFERROR(AVERAGEIFS('2. Program Allocation Output'!$O:$O,'2. Program Allocation Output'!$AF:$AF,$A704,'2. Program Allocation Output'!$AG:$AG,$B704),"")</f>
        <v/>
      </c>
      <c r="E704" s="5" t="str">
        <f>IFERROR(AVERAGEIFS('2. Program Allocation Output'!$L:$L,'2. Program Allocation Output'!$AF:$AF,$A704,'2. Program Allocation Output'!$AG:$AG,$B704),"")</f>
        <v/>
      </c>
      <c r="F704" s="39" t="str">
        <f t="shared" si="23"/>
        <v/>
      </c>
      <c r="G704" t="str">
        <f t="shared" si="24"/>
        <v/>
      </c>
    </row>
    <row r="705" spans="3:7" ht="15" hidden="1" x14ac:dyDescent="0.25">
      <c r="C705" s="4" t="str">
        <f>IFERROR(AVERAGEIFS('2. Program Allocation Output'!$P:$P,'2. Program Allocation Output'!$AF:$AF,$A705,'2. Program Allocation Output'!$AG:$AG,$B705),"")</f>
        <v/>
      </c>
      <c r="D705" s="4" t="str">
        <f>IFERROR(AVERAGEIFS('2. Program Allocation Output'!$O:$O,'2. Program Allocation Output'!$AF:$AF,$A705,'2. Program Allocation Output'!$AG:$AG,$B705),"")</f>
        <v/>
      </c>
      <c r="E705" s="5" t="str">
        <f>IFERROR(AVERAGEIFS('2. Program Allocation Output'!$L:$L,'2. Program Allocation Output'!$AF:$AF,$A705,'2. Program Allocation Output'!$AG:$AG,$B705),"")</f>
        <v/>
      </c>
      <c r="F705" s="39" t="str">
        <f t="shared" si="23"/>
        <v/>
      </c>
      <c r="G705" t="str">
        <f t="shared" si="24"/>
        <v/>
      </c>
    </row>
    <row r="706" spans="3:7" ht="15" hidden="1" x14ac:dyDescent="0.25">
      <c r="C706" s="4" t="str">
        <f>IFERROR(AVERAGEIFS('2. Program Allocation Output'!$P:$P,'2. Program Allocation Output'!$AF:$AF,$A706,'2. Program Allocation Output'!$AG:$AG,$B706),"")</f>
        <v/>
      </c>
      <c r="D706" s="4" t="str">
        <f>IFERROR(AVERAGEIFS('2. Program Allocation Output'!$O:$O,'2. Program Allocation Output'!$AF:$AF,$A706,'2. Program Allocation Output'!$AG:$AG,$B706),"")</f>
        <v/>
      </c>
      <c r="E706" s="5" t="str">
        <f>IFERROR(AVERAGEIFS('2. Program Allocation Output'!$L:$L,'2. Program Allocation Output'!$AF:$AF,$A706,'2. Program Allocation Output'!$AG:$AG,$B706),"")</f>
        <v/>
      </c>
      <c r="F706" s="39" t="str">
        <f t="shared" si="23"/>
        <v/>
      </c>
      <c r="G706" t="str">
        <f t="shared" si="24"/>
        <v/>
      </c>
    </row>
    <row r="707" spans="3:7" ht="15" hidden="1" x14ac:dyDescent="0.25">
      <c r="C707" s="4" t="str">
        <f>IFERROR(AVERAGEIFS('2. Program Allocation Output'!$P:$P,'2. Program Allocation Output'!$AF:$AF,$A707,'2. Program Allocation Output'!$AG:$AG,$B707),"")</f>
        <v/>
      </c>
      <c r="D707" s="4" t="str">
        <f>IFERROR(AVERAGEIFS('2. Program Allocation Output'!$O:$O,'2. Program Allocation Output'!$AF:$AF,$A707,'2. Program Allocation Output'!$AG:$AG,$B707),"")</f>
        <v/>
      </c>
      <c r="E707" s="5" t="str">
        <f>IFERROR(AVERAGEIFS('2. Program Allocation Output'!$L:$L,'2. Program Allocation Output'!$AF:$AF,$A707,'2. Program Allocation Output'!$AG:$AG,$B707),"")</f>
        <v/>
      </c>
      <c r="F707" s="39" t="str">
        <f t="shared" ref="F707:F770" si="25">IFERROR(C707*1,"")</f>
        <v/>
      </c>
      <c r="G707" t="str">
        <f t="shared" si="24"/>
        <v/>
      </c>
    </row>
    <row r="708" spans="3:7" ht="15" hidden="1" x14ac:dyDescent="0.25">
      <c r="C708" s="4" t="str">
        <f>IFERROR(AVERAGEIFS('2. Program Allocation Output'!$P:$P,'2. Program Allocation Output'!$AF:$AF,$A708,'2. Program Allocation Output'!$AG:$AG,$B708),"")</f>
        <v/>
      </c>
      <c r="D708" s="4" t="str">
        <f>IFERROR(AVERAGEIFS('2. Program Allocation Output'!$O:$O,'2. Program Allocation Output'!$AF:$AF,$A708,'2. Program Allocation Output'!$AG:$AG,$B708),"")</f>
        <v/>
      </c>
      <c r="E708" s="5" t="str">
        <f>IFERROR(AVERAGEIFS('2. Program Allocation Output'!$L:$L,'2. Program Allocation Output'!$AF:$AF,$A708,'2. Program Allocation Output'!$AG:$AG,$B708),"")</f>
        <v/>
      </c>
      <c r="F708" s="39" t="str">
        <f t="shared" si="25"/>
        <v/>
      </c>
      <c r="G708" t="str">
        <f t="shared" si="24"/>
        <v/>
      </c>
    </row>
    <row r="709" spans="3:7" ht="15" hidden="1" x14ac:dyDescent="0.25">
      <c r="C709" s="4" t="str">
        <f>IFERROR(AVERAGEIFS('2. Program Allocation Output'!$P:$P,'2. Program Allocation Output'!$AF:$AF,$A709,'2. Program Allocation Output'!$AG:$AG,$B709),"")</f>
        <v/>
      </c>
      <c r="D709" s="4" t="str">
        <f>IFERROR(AVERAGEIFS('2. Program Allocation Output'!$O:$O,'2. Program Allocation Output'!$AF:$AF,$A709,'2. Program Allocation Output'!$AG:$AG,$B709),"")</f>
        <v/>
      </c>
      <c r="E709" s="5" t="str">
        <f>IFERROR(AVERAGEIFS('2. Program Allocation Output'!$L:$L,'2. Program Allocation Output'!$AF:$AF,$A709,'2. Program Allocation Output'!$AG:$AG,$B709),"")</f>
        <v/>
      </c>
      <c r="F709" s="39" t="str">
        <f t="shared" si="25"/>
        <v/>
      </c>
      <c r="G709" t="str">
        <f t="shared" si="24"/>
        <v/>
      </c>
    </row>
    <row r="710" spans="3:7" ht="15" hidden="1" x14ac:dyDescent="0.25">
      <c r="C710" s="4" t="str">
        <f>IFERROR(AVERAGEIFS('2. Program Allocation Output'!$P:$P,'2. Program Allocation Output'!$AF:$AF,$A710,'2. Program Allocation Output'!$AG:$AG,$B710),"")</f>
        <v/>
      </c>
      <c r="D710" s="4" t="str">
        <f>IFERROR(AVERAGEIFS('2. Program Allocation Output'!$O:$O,'2. Program Allocation Output'!$AF:$AF,$A710,'2. Program Allocation Output'!$AG:$AG,$B710),"")</f>
        <v/>
      </c>
      <c r="E710" s="5" t="str">
        <f>IFERROR(AVERAGEIFS('2. Program Allocation Output'!$L:$L,'2. Program Allocation Output'!$AF:$AF,$A710,'2. Program Allocation Output'!$AG:$AG,$B710),"")</f>
        <v/>
      </c>
      <c r="F710" s="39" t="str">
        <f t="shared" si="25"/>
        <v/>
      </c>
      <c r="G710" t="str">
        <f t="shared" si="24"/>
        <v/>
      </c>
    </row>
    <row r="711" spans="3:7" ht="15" hidden="1" x14ac:dyDescent="0.25">
      <c r="C711" s="4" t="str">
        <f>IFERROR(AVERAGEIFS('2. Program Allocation Output'!$P:$P,'2. Program Allocation Output'!$AF:$AF,$A711,'2. Program Allocation Output'!$AG:$AG,$B711),"")</f>
        <v/>
      </c>
      <c r="D711" s="4" t="str">
        <f>IFERROR(AVERAGEIFS('2. Program Allocation Output'!$O:$O,'2. Program Allocation Output'!$AF:$AF,$A711,'2. Program Allocation Output'!$AG:$AG,$B711),"")</f>
        <v/>
      </c>
      <c r="E711" s="5" t="str">
        <f>IFERROR(AVERAGEIFS('2. Program Allocation Output'!$L:$L,'2. Program Allocation Output'!$AF:$AF,$A711,'2. Program Allocation Output'!$AG:$AG,$B711),"")</f>
        <v/>
      </c>
      <c r="F711" s="39" t="str">
        <f t="shared" si="25"/>
        <v/>
      </c>
      <c r="G711" t="str">
        <f t="shared" si="24"/>
        <v/>
      </c>
    </row>
    <row r="712" spans="3:7" ht="15" hidden="1" x14ac:dyDescent="0.25">
      <c r="C712" s="4" t="str">
        <f>IFERROR(AVERAGEIFS('2. Program Allocation Output'!$P:$P,'2. Program Allocation Output'!$AF:$AF,$A712,'2. Program Allocation Output'!$AG:$AG,$B712),"")</f>
        <v/>
      </c>
      <c r="D712" s="4" t="str">
        <f>IFERROR(AVERAGEIFS('2. Program Allocation Output'!$O:$O,'2. Program Allocation Output'!$AF:$AF,$A712,'2. Program Allocation Output'!$AG:$AG,$B712),"")</f>
        <v/>
      </c>
      <c r="E712" s="5" t="str">
        <f>IFERROR(AVERAGEIFS('2. Program Allocation Output'!$L:$L,'2. Program Allocation Output'!$AF:$AF,$A712,'2. Program Allocation Output'!$AG:$AG,$B712),"")</f>
        <v/>
      </c>
      <c r="F712" s="39" t="str">
        <f t="shared" si="25"/>
        <v/>
      </c>
      <c r="G712" t="str">
        <f t="shared" si="24"/>
        <v/>
      </c>
    </row>
    <row r="713" spans="3:7" ht="15" hidden="1" x14ac:dyDescent="0.25">
      <c r="C713" s="4" t="str">
        <f>IFERROR(AVERAGEIFS('2. Program Allocation Output'!$P:$P,'2. Program Allocation Output'!$AF:$AF,$A713,'2. Program Allocation Output'!$AG:$AG,$B713),"")</f>
        <v/>
      </c>
      <c r="D713" s="4" t="str">
        <f>IFERROR(AVERAGEIFS('2. Program Allocation Output'!$O:$O,'2. Program Allocation Output'!$AF:$AF,$A713,'2. Program Allocation Output'!$AG:$AG,$B713),"")</f>
        <v/>
      </c>
      <c r="E713" s="5" t="str">
        <f>IFERROR(AVERAGEIFS('2. Program Allocation Output'!$L:$L,'2. Program Allocation Output'!$AF:$AF,$A713,'2. Program Allocation Output'!$AG:$AG,$B713),"")</f>
        <v/>
      </c>
      <c r="F713" s="39" t="str">
        <f t="shared" si="25"/>
        <v/>
      </c>
      <c r="G713" t="str">
        <f t="shared" si="24"/>
        <v/>
      </c>
    </row>
    <row r="714" spans="3:7" ht="15" hidden="1" x14ac:dyDescent="0.25">
      <c r="C714" s="4" t="str">
        <f>IFERROR(AVERAGEIFS('2. Program Allocation Output'!$P:$P,'2. Program Allocation Output'!$AF:$AF,$A714,'2. Program Allocation Output'!$AG:$AG,$B714),"")</f>
        <v/>
      </c>
      <c r="D714" s="4" t="str">
        <f>IFERROR(AVERAGEIFS('2. Program Allocation Output'!$O:$O,'2. Program Allocation Output'!$AF:$AF,$A714,'2. Program Allocation Output'!$AG:$AG,$B714),"")</f>
        <v/>
      </c>
      <c r="E714" s="5" t="str">
        <f>IFERROR(AVERAGEIFS('2. Program Allocation Output'!$L:$L,'2. Program Allocation Output'!$AF:$AF,$A714,'2. Program Allocation Output'!$AG:$AG,$B714),"")</f>
        <v/>
      </c>
      <c r="F714" s="39" t="str">
        <f t="shared" si="25"/>
        <v/>
      </c>
      <c r="G714" t="str">
        <f t="shared" si="24"/>
        <v/>
      </c>
    </row>
    <row r="715" spans="3:7" ht="15" hidden="1" x14ac:dyDescent="0.25">
      <c r="C715" s="4" t="str">
        <f>IFERROR(AVERAGEIFS('2. Program Allocation Output'!$P:$P,'2. Program Allocation Output'!$AF:$AF,$A715,'2. Program Allocation Output'!$AG:$AG,$B715),"")</f>
        <v/>
      </c>
      <c r="D715" s="4" t="str">
        <f>IFERROR(AVERAGEIFS('2. Program Allocation Output'!$O:$O,'2. Program Allocation Output'!$AF:$AF,$A715,'2. Program Allocation Output'!$AG:$AG,$B715),"")</f>
        <v/>
      </c>
      <c r="E715" s="5" t="str">
        <f>IFERROR(AVERAGEIFS('2. Program Allocation Output'!$L:$L,'2. Program Allocation Output'!$AF:$AF,$A715,'2. Program Allocation Output'!$AG:$AG,$B715),"")</f>
        <v/>
      </c>
      <c r="F715" s="39" t="str">
        <f t="shared" si="25"/>
        <v/>
      </c>
      <c r="G715" t="str">
        <f t="shared" si="24"/>
        <v/>
      </c>
    </row>
    <row r="716" spans="3:7" ht="15" hidden="1" x14ac:dyDescent="0.25">
      <c r="C716" s="4" t="str">
        <f>IFERROR(AVERAGEIFS('2. Program Allocation Output'!$P:$P,'2. Program Allocation Output'!$AF:$AF,$A716,'2. Program Allocation Output'!$AG:$AG,$B716),"")</f>
        <v/>
      </c>
      <c r="D716" s="4" t="str">
        <f>IFERROR(AVERAGEIFS('2. Program Allocation Output'!$O:$O,'2. Program Allocation Output'!$AF:$AF,$A716,'2. Program Allocation Output'!$AG:$AG,$B716),"")</f>
        <v/>
      </c>
      <c r="E716" s="5" t="str">
        <f>IFERROR(AVERAGEIFS('2. Program Allocation Output'!$L:$L,'2. Program Allocation Output'!$AF:$AF,$A716,'2. Program Allocation Output'!$AG:$AG,$B716),"")</f>
        <v/>
      </c>
      <c r="F716" s="39" t="str">
        <f t="shared" si="25"/>
        <v/>
      </c>
      <c r="G716" t="str">
        <f t="shared" si="24"/>
        <v/>
      </c>
    </row>
    <row r="717" spans="3:7" ht="15" hidden="1" x14ac:dyDescent="0.25">
      <c r="C717" s="4" t="str">
        <f>IFERROR(AVERAGEIFS('2. Program Allocation Output'!$P:$P,'2. Program Allocation Output'!$AF:$AF,$A717,'2. Program Allocation Output'!$AG:$AG,$B717),"")</f>
        <v/>
      </c>
      <c r="D717" s="4" t="str">
        <f>IFERROR(AVERAGEIFS('2. Program Allocation Output'!$O:$O,'2. Program Allocation Output'!$AF:$AF,$A717,'2. Program Allocation Output'!$AG:$AG,$B717),"")</f>
        <v/>
      </c>
      <c r="E717" s="5" t="str">
        <f>IFERROR(AVERAGEIFS('2. Program Allocation Output'!$L:$L,'2. Program Allocation Output'!$AF:$AF,$A717,'2. Program Allocation Output'!$AG:$AG,$B717),"")</f>
        <v/>
      </c>
      <c r="F717" s="39" t="str">
        <f t="shared" si="25"/>
        <v/>
      </c>
      <c r="G717" t="str">
        <f t="shared" si="24"/>
        <v/>
      </c>
    </row>
    <row r="718" spans="3:7" ht="15" hidden="1" x14ac:dyDescent="0.25">
      <c r="C718" s="4" t="str">
        <f>IFERROR(AVERAGEIFS('2. Program Allocation Output'!$P:$P,'2. Program Allocation Output'!$AF:$AF,$A718,'2. Program Allocation Output'!$AG:$AG,$B718),"")</f>
        <v/>
      </c>
      <c r="D718" s="4" t="str">
        <f>IFERROR(AVERAGEIFS('2. Program Allocation Output'!$O:$O,'2. Program Allocation Output'!$AF:$AF,$A718,'2. Program Allocation Output'!$AG:$AG,$B718),"")</f>
        <v/>
      </c>
      <c r="E718" s="5" t="str">
        <f>IFERROR(AVERAGEIFS('2. Program Allocation Output'!$L:$L,'2. Program Allocation Output'!$AF:$AF,$A718,'2. Program Allocation Output'!$AG:$AG,$B718),"")</f>
        <v/>
      </c>
      <c r="F718" s="39" t="str">
        <f t="shared" si="25"/>
        <v/>
      </c>
      <c r="G718" t="str">
        <f t="shared" ref="G718:G781" si="26">IFERROR(EXP(0.3*(F718-C718)/(E718*0.1137)),"")</f>
        <v/>
      </c>
    </row>
    <row r="719" spans="3:7" ht="15" hidden="1" x14ac:dyDescent="0.25">
      <c r="C719" s="4" t="str">
        <f>IFERROR(AVERAGEIFS('2. Program Allocation Output'!$P:$P,'2. Program Allocation Output'!$AF:$AF,$A719,'2. Program Allocation Output'!$AG:$AG,$B719),"")</f>
        <v/>
      </c>
      <c r="D719" s="4" t="str">
        <f>IFERROR(AVERAGEIFS('2. Program Allocation Output'!$O:$O,'2. Program Allocation Output'!$AF:$AF,$A719,'2. Program Allocation Output'!$AG:$AG,$B719),"")</f>
        <v/>
      </c>
      <c r="E719" s="5" t="str">
        <f>IFERROR(AVERAGEIFS('2. Program Allocation Output'!$L:$L,'2. Program Allocation Output'!$AF:$AF,$A719,'2. Program Allocation Output'!$AG:$AG,$B719),"")</f>
        <v/>
      </c>
      <c r="F719" s="39" t="str">
        <f t="shared" si="25"/>
        <v/>
      </c>
      <c r="G719" t="str">
        <f t="shared" si="26"/>
        <v/>
      </c>
    </row>
    <row r="720" spans="3:7" ht="15" hidden="1" x14ac:dyDescent="0.25">
      <c r="C720" s="4" t="str">
        <f>IFERROR(AVERAGEIFS('2. Program Allocation Output'!$P:$P,'2. Program Allocation Output'!$AF:$AF,$A720,'2. Program Allocation Output'!$AG:$AG,$B720),"")</f>
        <v/>
      </c>
      <c r="D720" s="4" t="str">
        <f>IFERROR(AVERAGEIFS('2. Program Allocation Output'!$O:$O,'2. Program Allocation Output'!$AF:$AF,$A720,'2. Program Allocation Output'!$AG:$AG,$B720),"")</f>
        <v/>
      </c>
      <c r="E720" s="5" t="str">
        <f>IFERROR(AVERAGEIFS('2. Program Allocation Output'!$L:$L,'2. Program Allocation Output'!$AF:$AF,$A720,'2. Program Allocation Output'!$AG:$AG,$B720),"")</f>
        <v/>
      </c>
      <c r="F720" s="39" t="str">
        <f t="shared" si="25"/>
        <v/>
      </c>
      <c r="G720" t="str">
        <f t="shared" si="26"/>
        <v/>
      </c>
    </row>
    <row r="721" spans="3:7" ht="15" hidden="1" x14ac:dyDescent="0.25">
      <c r="C721" s="4" t="str">
        <f>IFERROR(AVERAGEIFS('2. Program Allocation Output'!$P:$P,'2. Program Allocation Output'!$AF:$AF,$A721,'2. Program Allocation Output'!$AG:$AG,$B721),"")</f>
        <v/>
      </c>
      <c r="D721" s="4" t="str">
        <f>IFERROR(AVERAGEIFS('2. Program Allocation Output'!$O:$O,'2. Program Allocation Output'!$AF:$AF,$A721,'2. Program Allocation Output'!$AG:$AG,$B721),"")</f>
        <v/>
      </c>
      <c r="E721" s="5" t="str">
        <f>IFERROR(AVERAGEIFS('2. Program Allocation Output'!$L:$L,'2. Program Allocation Output'!$AF:$AF,$A721,'2. Program Allocation Output'!$AG:$AG,$B721),"")</f>
        <v/>
      </c>
      <c r="F721" s="39" t="str">
        <f t="shared" si="25"/>
        <v/>
      </c>
      <c r="G721" t="str">
        <f t="shared" si="26"/>
        <v/>
      </c>
    </row>
    <row r="722" spans="3:7" ht="15" hidden="1" x14ac:dyDescent="0.25">
      <c r="C722" s="4" t="str">
        <f>IFERROR(AVERAGEIFS('2. Program Allocation Output'!$P:$P,'2. Program Allocation Output'!$AF:$AF,$A722,'2. Program Allocation Output'!$AG:$AG,$B722),"")</f>
        <v/>
      </c>
      <c r="D722" s="4" t="str">
        <f>IFERROR(AVERAGEIFS('2. Program Allocation Output'!$O:$O,'2. Program Allocation Output'!$AF:$AF,$A722,'2. Program Allocation Output'!$AG:$AG,$B722),"")</f>
        <v/>
      </c>
      <c r="E722" s="5" t="str">
        <f>IFERROR(AVERAGEIFS('2. Program Allocation Output'!$L:$L,'2. Program Allocation Output'!$AF:$AF,$A722,'2. Program Allocation Output'!$AG:$AG,$B722),"")</f>
        <v/>
      </c>
      <c r="F722" s="39" t="str">
        <f t="shared" si="25"/>
        <v/>
      </c>
      <c r="G722" t="str">
        <f t="shared" si="26"/>
        <v/>
      </c>
    </row>
    <row r="723" spans="3:7" ht="15" hidden="1" x14ac:dyDescent="0.25">
      <c r="C723" s="4" t="str">
        <f>IFERROR(AVERAGEIFS('2. Program Allocation Output'!$P:$P,'2. Program Allocation Output'!$AF:$AF,$A723,'2. Program Allocation Output'!$AG:$AG,$B723),"")</f>
        <v/>
      </c>
      <c r="D723" s="4" t="str">
        <f>IFERROR(AVERAGEIFS('2. Program Allocation Output'!$O:$O,'2. Program Allocation Output'!$AF:$AF,$A723,'2. Program Allocation Output'!$AG:$AG,$B723),"")</f>
        <v/>
      </c>
      <c r="E723" s="5" t="str">
        <f>IFERROR(AVERAGEIFS('2. Program Allocation Output'!$L:$L,'2. Program Allocation Output'!$AF:$AF,$A723,'2. Program Allocation Output'!$AG:$AG,$B723),"")</f>
        <v/>
      </c>
      <c r="F723" s="39" t="str">
        <f t="shared" si="25"/>
        <v/>
      </c>
      <c r="G723" t="str">
        <f t="shared" si="26"/>
        <v/>
      </c>
    </row>
    <row r="724" spans="3:7" ht="15" hidden="1" x14ac:dyDescent="0.25">
      <c r="C724" s="4" t="str">
        <f>IFERROR(AVERAGEIFS('2. Program Allocation Output'!$P:$P,'2. Program Allocation Output'!$AF:$AF,$A724,'2. Program Allocation Output'!$AG:$AG,$B724),"")</f>
        <v/>
      </c>
      <c r="D724" s="4" t="str">
        <f>IFERROR(AVERAGEIFS('2. Program Allocation Output'!$O:$O,'2. Program Allocation Output'!$AF:$AF,$A724,'2. Program Allocation Output'!$AG:$AG,$B724),"")</f>
        <v/>
      </c>
      <c r="E724" s="5" t="str">
        <f>IFERROR(AVERAGEIFS('2. Program Allocation Output'!$L:$L,'2. Program Allocation Output'!$AF:$AF,$A724,'2. Program Allocation Output'!$AG:$AG,$B724),"")</f>
        <v/>
      </c>
      <c r="F724" s="39" t="str">
        <f t="shared" si="25"/>
        <v/>
      </c>
      <c r="G724" t="str">
        <f t="shared" si="26"/>
        <v/>
      </c>
    </row>
    <row r="725" spans="3:7" ht="15" hidden="1" x14ac:dyDescent="0.25">
      <c r="C725" s="4" t="str">
        <f>IFERROR(AVERAGEIFS('2. Program Allocation Output'!$P:$P,'2. Program Allocation Output'!$AF:$AF,$A725,'2. Program Allocation Output'!$AG:$AG,$B725),"")</f>
        <v/>
      </c>
      <c r="D725" s="4" t="str">
        <f>IFERROR(AVERAGEIFS('2. Program Allocation Output'!$O:$O,'2. Program Allocation Output'!$AF:$AF,$A725,'2. Program Allocation Output'!$AG:$AG,$B725),"")</f>
        <v/>
      </c>
      <c r="E725" s="5" t="str">
        <f>IFERROR(AVERAGEIFS('2. Program Allocation Output'!$L:$L,'2. Program Allocation Output'!$AF:$AF,$A725,'2. Program Allocation Output'!$AG:$AG,$B725),"")</f>
        <v/>
      </c>
      <c r="F725" s="39" t="str">
        <f t="shared" si="25"/>
        <v/>
      </c>
      <c r="G725" t="str">
        <f t="shared" si="26"/>
        <v/>
      </c>
    </row>
    <row r="726" spans="3:7" ht="15" hidden="1" x14ac:dyDescent="0.25">
      <c r="C726" s="4" t="str">
        <f>IFERROR(AVERAGEIFS('2. Program Allocation Output'!$P:$P,'2. Program Allocation Output'!$AF:$AF,$A726,'2. Program Allocation Output'!$AG:$AG,$B726),"")</f>
        <v/>
      </c>
      <c r="D726" s="4" t="str">
        <f>IFERROR(AVERAGEIFS('2. Program Allocation Output'!$O:$O,'2. Program Allocation Output'!$AF:$AF,$A726,'2. Program Allocation Output'!$AG:$AG,$B726),"")</f>
        <v/>
      </c>
      <c r="E726" s="5" t="str">
        <f>IFERROR(AVERAGEIFS('2. Program Allocation Output'!$L:$L,'2. Program Allocation Output'!$AF:$AF,$A726,'2. Program Allocation Output'!$AG:$AG,$B726),"")</f>
        <v/>
      </c>
      <c r="F726" s="39" t="str">
        <f t="shared" si="25"/>
        <v/>
      </c>
      <c r="G726" t="str">
        <f t="shared" si="26"/>
        <v/>
      </c>
    </row>
    <row r="727" spans="3:7" ht="15" hidden="1" x14ac:dyDescent="0.25">
      <c r="C727" s="4" t="str">
        <f>IFERROR(AVERAGEIFS('2. Program Allocation Output'!$P:$P,'2. Program Allocation Output'!$AF:$AF,$A727,'2. Program Allocation Output'!$AG:$AG,$B727),"")</f>
        <v/>
      </c>
      <c r="D727" s="4" t="str">
        <f>IFERROR(AVERAGEIFS('2. Program Allocation Output'!$O:$O,'2. Program Allocation Output'!$AF:$AF,$A727,'2. Program Allocation Output'!$AG:$AG,$B727),"")</f>
        <v/>
      </c>
      <c r="E727" s="5" t="str">
        <f>IFERROR(AVERAGEIFS('2. Program Allocation Output'!$L:$L,'2. Program Allocation Output'!$AF:$AF,$A727,'2. Program Allocation Output'!$AG:$AG,$B727),"")</f>
        <v/>
      </c>
      <c r="F727" s="39" t="str">
        <f t="shared" si="25"/>
        <v/>
      </c>
      <c r="G727" t="str">
        <f t="shared" si="26"/>
        <v/>
      </c>
    </row>
    <row r="728" spans="3:7" ht="15" hidden="1" x14ac:dyDescent="0.25">
      <c r="C728" s="4" t="str">
        <f>IFERROR(AVERAGEIFS('2. Program Allocation Output'!$P:$P,'2. Program Allocation Output'!$AF:$AF,$A728,'2. Program Allocation Output'!$AG:$AG,$B728),"")</f>
        <v/>
      </c>
      <c r="D728" s="4" t="str">
        <f>IFERROR(AVERAGEIFS('2. Program Allocation Output'!$O:$O,'2. Program Allocation Output'!$AF:$AF,$A728,'2. Program Allocation Output'!$AG:$AG,$B728),"")</f>
        <v/>
      </c>
      <c r="E728" s="5" t="str">
        <f>IFERROR(AVERAGEIFS('2. Program Allocation Output'!$L:$L,'2. Program Allocation Output'!$AF:$AF,$A728,'2. Program Allocation Output'!$AG:$AG,$B728),"")</f>
        <v/>
      </c>
      <c r="F728" s="39" t="str">
        <f t="shared" si="25"/>
        <v/>
      </c>
      <c r="G728" t="str">
        <f t="shared" si="26"/>
        <v/>
      </c>
    </row>
    <row r="729" spans="3:7" ht="15" hidden="1" x14ac:dyDescent="0.25">
      <c r="C729" s="4" t="str">
        <f>IFERROR(AVERAGEIFS('2. Program Allocation Output'!$P:$P,'2. Program Allocation Output'!$AF:$AF,$A729,'2. Program Allocation Output'!$AG:$AG,$B729),"")</f>
        <v/>
      </c>
      <c r="D729" s="4" t="str">
        <f>IFERROR(AVERAGEIFS('2. Program Allocation Output'!$O:$O,'2. Program Allocation Output'!$AF:$AF,$A729,'2. Program Allocation Output'!$AG:$AG,$B729),"")</f>
        <v/>
      </c>
      <c r="E729" s="5" t="str">
        <f>IFERROR(AVERAGEIFS('2. Program Allocation Output'!$L:$L,'2. Program Allocation Output'!$AF:$AF,$A729,'2. Program Allocation Output'!$AG:$AG,$B729),"")</f>
        <v/>
      </c>
      <c r="F729" s="39" t="str">
        <f t="shared" si="25"/>
        <v/>
      </c>
      <c r="G729" t="str">
        <f t="shared" si="26"/>
        <v/>
      </c>
    </row>
    <row r="730" spans="3:7" ht="15" hidden="1" x14ac:dyDescent="0.25">
      <c r="C730" s="4" t="str">
        <f>IFERROR(AVERAGEIFS('2. Program Allocation Output'!$P:$P,'2. Program Allocation Output'!$AF:$AF,$A730,'2. Program Allocation Output'!$AG:$AG,$B730),"")</f>
        <v/>
      </c>
      <c r="D730" s="4" t="str">
        <f>IFERROR(AVERAGEIFS('2. Program Allocation Output'!$O:$O,'2. Program Allocation Output'!$AF:$AF,$A730,'2. Program Allocation Output'!$AG:$AG,$B730),"")</f>
        <v/>
      </c>
      <c r="E730" s="5" t="str">
        <f>IFERROR(AVERAGEIFS('2. Program Allocation Output'!$L:$L,'2. Program Allocation Output'!$AF:$AF,$A730,'2. Program Allocation Output'!$AG:$AG,$B730),"")</f>
        <v/>
      </c>
      <c r="F730" s="39" t="str">
        <f t="shared" si="25"/>
        <v/>
      </c>
      <c r="G730" t="str">
        <f t="shared" si="26"/>
        <v/>
      </c>
    </row>
    <row r="731" spans="3:7" ht="15" hidden="1" x14ac:dyDescent="0.25">
      <c r="C731" s="4" t="str">
        <f>IFERROR(AVERAGEIFS('2. Program Allocation Output'!$P:$P,'2. Program Allocation Output'!$AF:$AF,$A731,'2. Program Allocation Output'!$AG:$AG,$B731),"")</f>
        <v/>
      </c>
      <c r="D731" s="4" t="str">
        <f>IFERROR(AVERAGEIFS('2. Program Allocation Output'!$O:$O,'2. Program Allocation Output'!$AF:$AF,$A731,'2. Program Allocation Output'!$AG:$AG,$B731),"")</f>
        <v/>
      </c>
      <c r="E731" s="5" t="str">
        <f>IFERROR(AVERAGEIFS('2. Program Allocation Output'!$L:$L,'2. Program Allocation Output'!$AF:$AF,$A731,'2. Program Allocation Output'!$AG:$AG,$B731),"")</f>
        <v/>
      </c>
      <c r="F731" s="39" t="str">
        <f t="shared" si="25"/>
        <v/>
      </c>
      <c r="G731" t="str">
        <f t="shared" si="26"/>
        <v/>
      </c>
    </row>
    <row r="732" spans="3:7" ht="15" hidden="1" x14ac:dyDescent="0.25">
      <c r="C732" s="4" t="str">
        <f>IFERROR(AVERAGEIFS('2. Program Allocation Output'!$P:$P,'2. Program Allocation Output'!$AF:$AF,$A732,'2. Program Allocation Output'!$AG:$AG,$B732),"")</f>
        <v/>
      </c>
      <c r="D732" s="4" t="str">
        <f>IFERROR(AVERAGEIFS('2. Program Allocation Output'!$O:$O,'2. Program Allocation Output'!$AF:$AF,$A732,'2. Program Allocation Output'!$AG:$AG,$B732),"")</f>
        <v/>
      </c>
      <c r="E732" s="5" t="str">
        <f>IFERROR(AVERAGEIFS('2. Program Allocation Output'!$L:$L,'2. Program Allocation Output'!$AF:$AF,$A732,'2. Program Allocation Output'!$AG:$AG,$B732),"")</f>
        <v/>
      </c>
      <c r="F732" s="39" t="str">
        <f t="shared" si="25"/>
        <v/>
      </c>
      <c r="G732" t="str">
        <f t="shared" si="26"/>
        <v/>
      </c>
    </row>
    <row r="733" spans="3:7" ht="15" hidden="1" x14ac:dyDescent="0.25">
      <c r="C733" s="4" t="str">
        <f>IFERROR(AVERAGEIFS('2. Program Allocation Output'!$P:$P,'2. Program Allocation Output'!$AF:$AF,$A733,'2. Program Allocation Output'!$AG:$AG,$B733),"")</f>
        <v/>
      </c>
      <c r="D733" s="4" t="str">
        <f>IFERROR(AVERAGEIFS('2. Program Allocation Output'!$O:$O,'2. Program Allocation Output'!$AF:$AF,$A733,'2. Program Allocation Output'!$AG:$AG,$B733),"")</f>
        <v/>
      </c>
      <c r="E733" s="5" t="str">
        <f>IFERROR(AVERAGEIFS('2. Program Allocation Output'!$L:$L,'2. Program Allocation Output'!$AF:$AF,$A733,'2. Program Allocation Output'!$AG:$AG,$B733),"")</f>
        <v/>
      </c>
      <c r="F733" s="39" t="str">
        <f t="shared" si="25"/>
        <v/>
      </c>
      <c r="G733" t="str">
        <f t="shared" si="26"/>
        <v/>
      </c>
    </row>
    <row r="734" spans="3:7" ht="15" hidden="1" x14ac:dyDescent="0.25">
      <c r="C734" s="4" t="str">
        <f>IFERROR(AVERAGEIFS('2. Program Allocation Output'!$P:$P,'2. Program Allocation Output'!$AF:$AF,$A734,'2. Program Allocation Output'!$AG:$AG,$B734),"")</f>
        <v/>
      </c>
      <c r="D734" s="4" t="str">
        <f>IFERROR(AVERAGEIFS('2. Program Allocation Output'!$O:$O,'2. Program Allocation Output'!$AF:$AF,$A734,'2. Program Allocation Output'!$AG:$AG,$B734),"")</f>
        <v/>
      </c>
      <c r="E734" s="5" t="str">
        <f>IFERROR(AVERAGEIFS('2. Program Allocation Output'!$L:$L,'2. Program Allocation Output'!$AF:$AF,$A734,'2. Program Allocation Output'!$AG:$AG,$B734),"")</f>
        <v/>
      </c>
      <c r="F734" s="39" t="str">
        <f t="shared" si="25"/>
        <v/>
      </c>
      <c r="G734" t="str">
        <f t="shared" si="26"/>
        <v/>
      </c>
    </row>
    <row r="735" spans="3:7" ht="15" hidden="1" x14ac:dyDescent="0.25">
      <c r="C735" s="4" t="str">
        <f>IFERROR(AVERAGEIFS('2. Program Allocation Output'!$P:$P,'2. Program Allocation Output'!$AF:$AF,$A735,'2. Program Allocation Output'!$AG:$AG,$B735),"")</f>
        <v/>
      </c>
      <c r="D735" s="4" t="str">
        <f>IFERROR(AVERAGEIFS('2. Program Allocation Output'!$O:$O,'2. Program Allocation Output'!$AF:$AF,$A735,'2. Program Allocation Output'!$AG:$AG,$B735),"")</f>
        <v/>
      </c>
      <c r="E735" s="5" t="str">
        <f>IFERROR(AVERAGEIFS('2. Program Allocation Output'!$L:$L,'2. Program Allocation Output'!$AF:$AF,$A735,'2. Program Allocation Output'!$AG:$AG,$B735),"")</f>
        <v/>
      </c>
      <c r="F735" s="39" t="str">
        <f t="shared" si="25"/>
        <v/>
      </c>
      <c r="G735" t="str">
        <f t="shared" si="26"/>
        <v/>
      </c>
    </row>
    <row r="736" spans="3:7" ht="15" hidden="1" x14ac:dyDescent="0.25">
      <c r="C736" s="4" t="str">
        <f>IFERROR(AVERAGEIFS('2. Program Allocation Output'!$P:$P,'2. Program Allocation Output'!$AF:$AF,$A736,'2. Program Allocation Output'!$AG:$AG,$B736),"")</f>
        <v/>
      </c>
      <c r="D736" s="4" t="str">
        <f>IFERROR(AVERAGEIFS('2. Program Allocation Output'!$O:$O,'2. Program Allocation Output'!$AF:$AF,$A736,'2. Program Allocation Output'!$AG:$AG,$B736),"")</f>
        <v/>
      </c>
      <c r="E736" s="5" t="str">
        <f>IFERROR(AVERAGEIFS('2. Program Allocation Output'!$L:$L,'2. Program Allocation Output'!$AF:$AF,$A736,'2. Program Allocation Output'!$AG:$AG,$B736),"")</f>
        <v/>
      </c>
      <c r="F736" s="39" t="str">
        <f t="shared" si="25"/>
        <v/>
      </c>
      <c r="G736" t="str">
        <f t="shared" si="26"/>
        <v/>
      </c>
    </row>
    <row r="737" spans="3:7" ht="15" hidden="1" x14ac:dyDescent="0.25">
      <c r="C737" s="4" t="str">
        <f>IFERROR(AVERAGEIFS('2. Program Allocation Output'!$P:$P,'2. Program Allocation Output'!$AF:$AF,$A737,'2. Program Allocation Output'!$AG:$AG,$B737),"")</f>
        <v/>
      </c>
      <c r="D737" s="4" t="str">
        <f>IFERROR(AVERAGEIFS('2. Program Allocation Output'!$O:$O,'2. Program Allocation Output'!$AF:$AF,$A737,'2. Program Allocation Output'!$AG:$AG,$B737),"")</f>
        <v/>
      </c>
      <c r="E737" s="5" t="str">
        <f>IFERROR(AVERAGEIFS('2. Program Allocation Output'!$L:$L,'2. Program Allocation Output'!$AF:$AF,$A737,'2. Program Allocation Output'!$AG:$AG,$B737),"")</f>
        <v/>
      </c>
      <c r="F737" s="39" t="str">
        <f t="shared" si="25"/>
        <v/>
      </c>
      <c r="G737" t="str">
        <f t="shared" si="26"/>
        <v/>
      </c>
    </row>
    <row r="738" spans="3:7" ht="15" hidden="1" x14ac:dyDescent="0.25">
      <c r="C738" s="4" t="str">
        <f>IFERROR(AVERAGEIFS('2. Program Allocation Output'!$P:$P,'2. Program Allocation Output'!$AF:$AF,$A738,'2. Program Allocation Output'!$AG:$AG,$B738),"")</f>
        <v/>
      </c>
      <c r="D738" s="4" t="str">
        <f>IFERROR(AVERAGEIFS('2. Program Allocation Output'!$O:$O,'2. Program Allocation Output'!$AF:$AF,$A738,'2. Program Allocation Output'!$AG:$AG,$B738),"")</f>
        <v/>
      </c>
      <c r="E738" s="5" t="str">
        <f>IFERROR(AVERAGEIFS('2. Program Allocation Output'!$L:$L,'2. Program Allocation Output'!$AF:$AF,$A738,'2. Program Allocation Output'!$AG:$AG,$B738),"")</f>
        <v/>
      </c>
      <c r="F738" s="39" t="str">
        <f t="shared" si="25"/>
        <v/>
      </c>
      <c r="G738" t="str">
        <f t="shared" si="26"/>
        <v/>
      </c>
    </row>
    <row r="739" spans="3:7" ht="15" hidden="1" x14ac:dyDescent="0.25">
      <c r="C739" s="4" t="str">
        <f>IFERROR(AVERAGEIFS('2. Program Allocation Output'!$P:$P,'2. Program Allocation Output'!$AF:$AF,$A739,'2. Program Allocation Output'!$AG:$AG,$B739),"")</f>
        <v/>
      </c>
      <c r="D739" s="4" t="str">
        <f>IFERROR(AVERAGEIFS('2. Program Allocation Output'!$O:$O,'2. Program Allocation Output'!$AF:$AF,$A739,'2. Program Allocation Output'!$AG:$AG,$B739),"")</f>
        <v/>
      </c>
      <c r="E739" s="5" t="str">
        <f>IFERROR(AVERAGEIFS('2. Program Allocation Output'!$L:$L,'2. Program Allocation Output'!$AF:$AF,$A739,'2. Program Allocation Output'!$AG:$AG,$B739),"")</f>
        <v/>
      </c>
      <c r="F739" s="39" t="str">
        <f t="shared" si="25"/>
        <v/>
      </c>
      <c r="G739" t="str">
        <f t="shared" si="26"/>
        <v/>
      </c>
    </row>
    <row r="740" spans="3:7" ht="15" hidden="1" x14ac:dyDescent="0.25">
      <c r="C740" s="4" t="str">
        <f>IFERROR(AVERAGEIFS('2. Program Allocation Output'!$P:$P,'2. Program Allocation Output'!$AF:$AF,$A740,'2. Program Allocation Output'!$AG:$AG,$B740),"")</f>
        <v/>
      </c>
      <c r="D740" s="4" t="str">
        <f>IFERROR(AVERAGEIFS('2. Program Allocation Output'!$O:$O,'2. Program Allocation Output'!$AF:$AF,$A740,'2. Program Allocation Output'!$AG:$AG,$B740),"")</f>
        <v/>
      </c>
      <c r="E740" s="5" t="str">
        <f>IFERROR(AVERAGEIFS('2. Program Allocation Output'!$L:$L,'2. Program Allocation Output'!$AF:$AF,$A740,'2. Program Allocation Output'!$AG:$AG,$B740),"")</f>
        <v/>
      </c>
      <c r="F740" s="39" t="str">
        <f t="shared" si="25"/>
        <v/>
      </c>
      <c r="G740" t="str">
        <f t="shared" si="26"/>
        <v/>
      </c>
    </row>
    <row r="741" spans="3:7" ht="15" hidden="1" x14ac:dyDescent="0.25">
      <c r="C741" s="4" t="str">
        <f>IFERROR(AVERAGEIFS('2. Program Allocation Output'!$P:$P,'2. Program Allocation Output'!$AF:$AF,$A741,'2. Program Allocation Output'!$AG:$AG,$B741),"")</f>
        <v/>
      </c>
      <c r="D741" s="4" t="str">
        <f>IFERROR(AVERAGEIFS('2. Program Allocation Output'!$O:$O,'2. Program Allocation Output'!$AF:$AF,$A741,'2. Program Allocation Output'!$AG:$AG,$B741),"")</f>
        <v/>
      </c>
      <c r="E741" s="5" t="str">
        <f>IFERROR(AVERAGEIFS('2. Program Allocation Output'!$L:$L,'2. Program Allocation Output'!$AF:$AF,$A741,'2. Program Allocation Output'!$AG:$AG,$B741),"")</f>
        <v/>
      </c>
      <c r="F741" s="39" t="str">
        <f t="shared" si="25"/>
        <v/>
      </c>
      <c r="G741" t="str">
        <f t="shared" si="26"/>
        <v/>
      </c>
    </row>
    <row r="742" spans="3:7" ht="15" hidden="1" x14ac:dyDescent="0.25">
      <c r="C742" s="4" t="str">
        <f>IFERROR(AVERAGEIFS('2. Program Allocation Output'!$P:$P,'2. Program Allocation Output'!$AF:$AF,$A742,'2. Program Allocation Output'!$AG:$AG,$B742),"")</f>
        <v/>
      </c>
      <c r="D742" s="4" t="str">
        <f>IFERROR(AVERAGEIFS('2. Program Allocation Output'!$O:$O,'2. Program Allocation Output'!$AF:$AF,$A742,'2. Program Allocation Output'!$AG:$AG,$B742),"")</f>
        <v/>
      </c>
      <c r="E742" s="5" t="str">
        <f>IFERROR(AVERAGEIFS('2. Program Allocation Output'!$L:$L,'2. Program Allocation Output'!$AF:$AF,$A742,'2. Program Allocation Output'!$AG:$AG,$B742),"")</f>
        <v/>
      </c>
      <c r="F742" s="39" t="str">
        <f t="shared" si="25"/>
        <v/>
      </c>
      <c r="G742" t="str">
        <f t="shared" si="26"/>
        <v/>
      </c>
    </row>
    <row r="743" spans="3:7" ht="15" hidden="1" x14ac:dyDescent="0.25">
      <c r="C743" s="4" t="str">
        <f>IFERROR(AVERAGEIFS('2. Program Allocation Output'!$P:$P,'2. Program Allocation Output'!$AF:$AF,$A743,'2. Program Allocation Output'!$AG:$AG,$B743),"")</f>
        <v/>
      </c>
      <c r="D743" s="4" t="str">
        <f>IFERROR(AVERAGEIFS('2. Program Allocation Output'!$O:$O,'2. Program Allocation Output'!$AF:$AF,$A743,'2. Program Allocation Output'!$AG:$AG,$B743),"")</f>
        <v/>
      </c>
      <c r="E743" s="5" t="str">
        <f>IFERROR(AVERAGEIFS('2. Program Allocation Output'!$L:$L,'2. Program Allocation Output'!$AF:$AF,$A743,'2. Program Allocation Output'!$AG:$AG,$B743),"")</f>
        <v/>
      </c>
      <c r="F743" s="39" t="str">
        <f t="shared" si="25"/>
        <v/>
      </c>
      <c r="G743" t="str">
        <f t="shared" si="26"/>
        <v/>
      </c>
    </row>
    <row r="744" spans="3:7" ht="15" hidden="1" x14ac:dyDescent="0.25">
      <c r="C744" s="4" t="str">
        <f>IFERROR(AVERAGEIFS('2. Program Allocation Output'!$P:$P,'2. Program Allocation Output'!$AF:$AF,$A744,'2. Program Allocation Output'!$AG:$AG,$B744),"")</f>
        <v/>
      </c>
      <c r="D744" s="4" t="str">
        <f>IFERROR(AVERAGEIFS('2. Program Allocation Output'!$O:$O,'2. Program Allocation Output'!$AF:$AF,$A744,'2. Program Allocation Output'!$AG:$AG,$B744),"")</f>
        <v/>
      </c>
      <c r="E744" s="5" t="str">
        <f>IFERROR(AVERAGEIFS('2. Program Allocation Output'!$L:$L,'2. Program Allocation Output'!$AF:$AF,$A744,'2. Program Allocation Output'!$AG:$AG,$B744),"")</f>
        <v/>
      </c>
      <c r="F744" s="39" t="str">
        <f t="shared" si="25"/>
        <v/>
      </c>
      <c r="G744" t="str">
        <f t="shared" si="26"/>
        <v/>
      </c>
    </row>
    <row r="745" spans="3:7" ht="15" hidden="1" x14ac:dyDescent="0.25">
      <c r="C745" s="4" t="str">
        <f>IFERROR(AVERAGEIFS('2. Program Allocation Output'!$P:$P,'2. Program Allocation Output'!$AF:$AF,$A745,'2. Program Allocation Output'!$AG:$AG,$B745),"")</f>
        <v/>
      </c>
      <c r="D745" s="4" t="str">
        <f>IFERROR(AVERAGEIFS('2. Program Allocation Output'!$O:$O,'2. Program Allocation Output'!$AF:$AF,$A745,'2. Program Allocation Output'!$AG:$AG,$B745),"")</f>
        <v/>
      </c>
      <c r="E745" s="5" t="str">
        <f>IFERROR(AVERAGEIFS('2. Program Allocation Output'!$L:$L,'2. Program Allocation Output'!$AF:$AF,$A745,'2. Program Allocation Output'!$AG:$AG,$B745),"")</f>
        <v/>
      </c>
      <c r="F745" s="39" t="str">
        <f t="shared" si="25"/>
        <v/>
      </c>
      <c r="G745" t="str">
        <f t="shared" si="26"/>
        <v/>
      </c>
    </row>
    <row r="746" spans="3:7" ht="15" hidden="1" x14ac:dyDescent="0.25">
      <c r="C746" s="4" t="str">
        <f>IFERROR(AVERAGEIFS('2. Program Allocation Output'!$P:$P,'2. Program Allocation Output'!$AF:$AF,$A746,'2. Program Allocation Output'!$AG:$AG,$B746),"")</f>
        <v/>
      </c>
      <c r="D746" s="4" t="str">
        <f>IFERROR(AVERAGEIFS('2. Program Allocation Output'!$O:$O,'2. Program Allocation Output'!$AF:$AF,$A746,'2. Program Allocation Output'!$AG:$AG,$B746),"")</f>
        <v/>
      </c>
      <c r="E746" s="5" t="str">
        <f>IFERROR(AVERAGEIFS('2. Program Allocation Output'!$L:$L,'2. Program Allocation Output'!$AF:$AF,$A746,'2. Program Allocation Output'!$AG:$AG,$B746),"")</f>
        <v/>
      </c>
      <c r="F746" s="39" t="str">
        <f t="shared" si="25"/>
        <v/>
      </c>
      <c r="G746" t="str">
        <f t="shared" si="26"/>
        <v/>
      </c>
    </row>
    <row r="747" spans="3:7" ht="15" hidden="1" x14ac:dyDescent="0.25">
      <c r="C747" s="4" t="str">
        <f>IFERROR(AVERAGEIFS('2. Program Allocation Output'!$P:$P,'2. Program Allocation Output'!$AF:$AF,$A747,'2. Program Allocation Output'!$AG:$AG,$B747),"")</f>
        <v/>
      </c>
      <c r="D747" s="4" t="str">
        <f>IFERROR(AVERAGEIFS('2. Program Allocation Output'!$O:$O,'2. Program Allocation Output'!$AF:$AF,$A747,'2. Program Allocation Output'!$AG:$AG,$B747),"")</f>
        <v/>
      </c>
      <c r="E747" s="5" t="str">
        <f>IFERROR(AVERAGEIFS('2. Program Allocation Output'!$L:$L,'2. Program Allocation Output'!$AF:$AF,$A747,'2. Program Allocation Output'!$AG:$AG,$B747),"")</f>
        <v/>
      </c>
      <c r="F747" s="39" t="str">
        <f t="shared" si="25"/>
        <v/>
      </c>
      <c r="G747" t="str">
        <f t="shared" si="26"/>
        <v/>
      </c>
    </row>
    <row r="748" spans="3:7" ht="15" hidden="1" x14ac:dyDescent="0.25">
      <c r="C748" s="4" t="str">
        <f>IFERROR(AVERAGEIFS('2. Program Allocation Output'!$P:$P,'2. Program Allocation Output'!$AF:$AF,$A748,'2. Program Allocation Output'!$AG:$AG,$B748),"")</f>
        <v/>
      </c>
      <c r="D748" s="4" t="str">
        <f>IFERROR(AVERAGEIFS('2. Program Allocation Output'!$O:$O,'2. Program Allocation Output'!$AF:$AF,$A748,'2. Program Allocation Output'!$AG:$AG,$B748),"")</f>
        <v/>
      </c>
      <c r="E748" s="5" t="str">
        <f>IFERROR(AVERAGEIFS('2. Program Allocation Output'!$L:$L,'2. Program Allocation Output'!$AF:$AF,$A748,'2. Program Allocation Output'!$AG:$AG,$B748),"")</f>
        <v/>
      </c>
      <c r="F748" s="39" t="str">
        <f t="shared" si="25"/>
        <v/>
      </c>
      <c r="G748" t="str">
        <f t="shared" si="26"/>
        <v/>
      </c>
    </row>
    <row r="749" spans="3:7" ht="15" hidden="1" x14ac:dyDescent="0.25">
      <c r="C749" s="4" t="str">
        <f>IFERROR(AVERAGEIFS('2. Program Allocation Output'!$P:$P,'2. Program Allocation Output'!$AF:$AF,$A749,'2. Program Allocation Output'!$AG:$AG,$B749),"")</f>
        <v/>
      </c>
      <c r="D749" s="4" t="str">
        <f>IFERROR(AVERAGEIFS('2. Program Allocation Output'!$O:$O,'2. Program Allocation Output'!$AF:$AF,$A749,'2. Program Allocation Output'!$AG:$AG,$B749),"")</f>
        <v/>
      </c>
      <c r="E749" s="5" t="str">
        <f>IFERROR(AVERAGEIFS('2. Program Allocation Output'!$L:$L,'2. Program Allocation Output'!$AF:$AF,$A749,'2. Program Allocation Output'!$AG:$AG,$B749),"")</f>
        <v/>
      </c>
      <c r="F749" s="39" t="str">
        <f t="shared" si="25"/>
        <v/>
      </c>
      <c r="G749" t="str">
        <f t="shared" si="26"/>
        <v/>
      </c>
    </row>
    <row r="750" spans="3:7" ht="15" hidden="1" x14ac:dyDescent="0.25">
      <c r="C750" s="4" t="str">
        <f>IFERROR(AVERAGEIFS('2. Program Allocation Output'!$P:$P,'2. Program Allocation Output'!$AF:$AF,$A750,'2. Program Allocation Output'!$AG:$AG,$B750),"")</f>
        <v/>
      </c>
      <c r="D750" s="4" t="str">
        <f>IFERROR(AVERAGEIFS('2. Program Allocation Output'!$O:$O,'2. Program Allocation Output'!$AF:$AF,$A750,'2. Program Allocation Output'!$AG:$AG,$B750),"")</f>
        <v/>
      </c>
      <c r="E750" s="5" t="str">
        <f>IFERROR(AVERAGEIFS('2. Program Allocation Output'!$L:$L,'2. Program Allocation Output'!$AF:$AF,$A750,'2. Program Allocation Output'!$AG:$AG,$B750),"")</f>
        <v/>
      </c>
      <c r="F750" s="39" t="str">
        <f t="shared" si="25"/>
        <v/>
      </c>
      <c r="G750" t="str">
        <f t="shared" si="26"/>
        <v/>
      </c>
    </row>
    <row r="751" spans="3:7" ht="15" hidden="1" x14ac:dyDescent="0.25">
      <c r="C751" s="4" t="str">
        <f>IFERROR(AVERAGEIFS('2. Program Allocation Output'!$P:$P,'2. Program Allocation Output'!$AF:$AF,$A751,'2. Program Allocation Output'!$AG:$AG,$B751),"")</f>
        <v/>
      </c>
      <c r="D751" s="4" t="str">
        <f>IFERROR(AVERAGEIFS('2. Program Allocation Output'!$O:$O,'2. Program Allocation Output'!$AF:$AF,$A751,'2. Program Allocation Output'!$AG:$AG,$B751),"")</f>
        <v/>
      </c>
      <c r="E751" s="5" t="str">
        <f>IFERROR(AVERAGEIFS('2. Program Allocation Output'!$L:$L,'2. Program Allocation Output'!$AF:$AF,$A751,'2. Program Allocation Output'!$AG:$AG,$B751),"")</f>
        <v/>
      </c>
      <c r="F751" s="39" t="str">
        <f t="shared" si="25"/>
        <v/>
      </c>
      <c r="G751" t="str">
        <f t="shared" si="26"/>
        <v/>
      </c>
    </row>
    <row r="752" spans="3:7" ht="15" hidden="1" x14ac:dyDescent="0.25">
      <c r="C752" s="4" t="str">
        <f>IFERROR(AVERAGEIFS('2. Program Allocation Output'!$P:$P,'2. Program Allocation Output'!$AF:$AF,$A752,'2. Program Allocation Output'!$AG:$AG,$B752),"")</f>
        <v/>
      </c>
      <c r="D752" s="4" t="str">
        <f>IFERROR(AVERAGEIFS('2. Program Allocation Output'!$O:$O,'2. Program Allocation Output'!$AF:$AF,$A752,'2. Program Allocation Output'!$AG:$AG,$B752),"")</f>
        <v/>
      </c>
      <c r="E752" s="5" t="str">
        <f>IFERROR(AVERAGEIFS('2. Program Allocation Output'!$L:$L,'2. Program Allocation Output'!$AF:$AF,$A752,'2. Program Allocation Output'!$AG:$AG,$B752),"")</f>
        <v/>
      </c>
      <c r="F752" s="39" t="str">
        <f t="shared" si="25"/>
        <v/>
      </c>
      <c r="G752" t="str">
        <f t="shared" si="26"/>
        <v/>
      </c>
    </row>
    <row r="753" spans="3:7" ht="15" hidden="1" x14ac:dyDescent="0.25">
      <c r="C753" s="4" t="str">
        <f>IFERROR(AVERAGEIFS('2. Program Allocation Output'!$P:$P,'2. Program Allocation Output'!$AF:$AF,$A753,'2. Program Allocation Output'!$AG:$AG,$B753),"")</f>
        <v/>
      </c>
      <c r="D753" s="4" t="str">
        <f>IFERROR(AVERAGEIFS('2. Program Allocation Output'!$O:$O,'2. Program Allocation Output'!$AF:$AF,$A753,'2. Program Allocation Output'!$AG:$AG,$B753),"")</f>
        <v/>
      </c>
      <c r="E753" s="5" t="str">
        <f>IFERROR(AVERAGEIFS('2. Program Allocation Output'!$L:$L,'2. Program Allocation Output'!$AF:$AF,$A753,'2. Program Allocation Output'!$AG:$AG,$B753),"")</f>
        <v/>
      </c>
      <c r="F753" s="39" t="str">
        <f t="shared" si="25"/>
        <v/>
      </c>
      <c r="G753" t="str">
        <f t="shared" si="26"/>
        <v/>
      </c>
    </row>
    <row r="754" spans="3:7" ht="15" hidden="1" x14ac:dyDescent="0.25">
      <c r="C754" s="4" t="str">
        <f>IFERROR(AVERAGEIFS('2. Program Allocation Output'!$P:$P,'2. Program Allocation Output'!$AF:$AF,$A754,'2. Program Allocation Output'!$AG:$AG,$B754),"")</f>
        <v/>
      </c>
      <c r="D754" s="4" t="str">
        <f>IFERROR(AVERAGEIFS('2. Program Allocation Output'!$O:$O,'2. Program Allocation Output'!$AF:$AF,$A754,'2. Program Allocation Output'!$AG:$AG,$B754),"")</f>
        <v/>
      </c>
      <c r="E754" s="5" t="str">
        <f>IFERROR(AVERAGEIFS('2. Program Allocation Output'!$L:$L,'2. Program Allocation Output'!$AF:$AF,$A754,'2. Program Allocation Output'!$AG:$AG,$B754),"")</f>
        <v/>
      </c>
      <c r="F754" s="39" t="str">
        <f t="shared" si="25"/>
        <v/>
      </c>
      <c r="G754" t="str">
        <f t="shared" si="26"/>
        <v/>
      </c>
    </row>
    <row r="755" spans="3:7" ht="15" hidden="1" x14ac:dyDescent="0.25">
      <c r="C755" s="4" t="str">
        <f>IFERROR(AVERAGEIFS('2. Program Allocation Output'!$P:$P,'2. Program Allocation Output'!$AF:$AF,$A755,'2. Program Allocation Output'!$AG:$AG,$B755),"")</f>
        <v/>
      </c>
      <c r="D755" s="4" t="str">
        <f>IFERROR(AVERAGEIFS('2. Program Allocation Output'!$O:$O,'2. Program Allocation Output'!$AF:$AF,$A755,'2. Program Allocation Output'!$AG:$AG,$B755),"")</f>
        <v/>
      </c>
      <c r="E755" s="5" t="str">
        <f>IFERROR(AVERAGEIFS('2. Program Allocation Output'!$L:$L,'2. Program Allocation Output'!$AF:$AF,$A755,'2. Program Allocation Output'!$AG:$AG,$B755),"")</f>
        <v/>
      </c>
      <c r="F755" s="39" t="str">
        <f t="shared" si="25"/>
        <v/>
      </c>
      <c r="G755" t="str">
        <f t="shared" si="26"/>
        <v/>
      </c>
    </row>
    <row r="756" spans="3:7" ht="15" hidden="1" x14ac:dyDescent="0.25">
      <c r="C756" s="4" t="str">
        <f>IFERROR(AVERAGEIFS('2. Program Allocation Output'!$P:$P,'2. Program Allocation Output'!$AF:$AF,$A756,'2. Program Allocation Output'!$AG:$AG,$B756),"")</f>
        <v/>
      </c>
      <c r="D756" s="4" t="str">
        <f>IFERROR(AVERAGEIFS('2. Program Allocation Output'!$O:$O,'2. Program Allocation Output'!$AF:$AF,$A756,'2. Program Allocation Output'!$AG:$AG,$B756),"")</f>
        <v/>
      </c>
      <c r="E756" s="5" t="str">
        <f>IFERROR(AVERAGEIFS('2. Program Allocation Output'!$L:$L,'2. Program Allocation Output'!$AF:$AF,$A756,'2. Program Allocation Output'!$AG:$AG,$B756),"")</f>
        <v/>
      </c>
      <c r="F756" s="39" t="str">
        <f t="shared" si="25"/>
        <v/>
      </c>
      <c r="G756" t="str">
        <f t="shared" si="26"/>
        <v/>
      </c>
    </row>
    <row r="757" spans="3:7" ht="15" hidden="1" x14ac:dyDescent="0.25">
      <c r="C757" s="4" t="str">
        <f>IFERROR(AVERAGEIFS('2. Program Allocation Output'!$P:$P,'2. Program Allocation Output'!$AF:$AF,$A757,'2. Program Allocation Output'!$AG:$AG,$B757),"")</f>
        <v/>
      </c>
      <c r="D757" s="4" t="str">
        <f>IFERROR(AVERAGEIFS('2. Program Allocation Output'!$O:$O,'2. Program Allocation Output'!$AF:$AF,$A757,'2. Program Allocation Output'!$AG:$AG,$B757),"")</f>
        <v/>
      </c>
      <c r="E757" s="5" t="str">
        <f>IFERROR(AVERAGEIFS('2. Program Allocation Output'!$L:$L,'2. Program Allocation Output'!$AF:$AF,$A757,'2. Program Allocation Output'!$AG:$AG,$B757),"")</f>
        <v/>
      </c>
      <c r="F757" s="39" t="str">
        <f t="shared" si="25"/>
        <v/>
      </c>
      <c r="G757" t="str">
        <f t="shared" si="26"/>
        <v/>
      </c>
    </row>
    <row r="758" spans="3:7" ht="15" hidden="1" x14ac:dyDescent="0.25">
      <c r="C758" s="4" t="str">
        <f>IFERROR(AVERAGEIFS('2. Program Allocation Output'!$P:$P,'2. Program Allocation Output'!$AF:$AF,$A758,'2. Program Allocation Output'!$AG:$AG,$B758),"")</f>
        <v/>
      </c>
      <c r="D758" s="4" t="str">
        <f>IFERROR(AVERAGEIFS('2. Program Allocation Output'!$O:$O,'2. Program Allocation Output'!$AF:$AF,$A758,'2. Program Allocation Output'!$AG:$AG,$B758),"")</f>
        <v/>
      </c>
      <c r="E758" s="5" t="str">
        <f>IFERROR(AVERAGEIFS('2. Program Allocation Output'!$L:$L,'2. Program Allocation Output'!$AF:$AF,$A758,'2. Program Allocation Output'!$AG:$AG,$B758),"")</f>
        <v/>
      </c>
      <c r="F758" s="39" t="str">
        <f t="shared" si="25"/>
        <v/>
      </c>
      <c r="G758" t="str">
        <f t="shared" si="26"/>
        <v/>
      </c>
    </row>
    <row r="759" spans="3:7" ht="15" hidden="1" x14ac:dyDescent="0.25">
      <c r="C759" s="4" t="str">
        <f>IFERROR(AVERAGEIFS('2. Program Allocation Output'!$P:$P,'2. Program Allocation Output'!$AF:$AF,$A759,'2. Program Allocation Output'!$AG:$AG,$B759),"")</f>
        <v/>
      </c>
      <c r="D759" s="4" t="str">
        <f>IFERROR(AVERAGEIFS('2. Program Allocation Output'!$O:$O,'2. Program Allocation Output'!$AF:$AF,$A759,'2. Program Allocation Output'!$AG:$AG,$B759),"")</f>
        <v/>
      </c>
      <c r="E759" s="5" t="str">
        <f>IFERROR(AVERAGEIFS('2. Program Allocation Output'!$L:$L,'2. Program Allocation Output'!$AF:$AF,$A759,'2. Program Allocation Output'!$AG:$AG,$B759),"")</f>
        <v/>
      </c>
      <c r="F759" s="39" t="str">
        <f t="shared" si="25"/>
        <v/>
      </c>
      <c r="G759" t="str">
        <f t="shared" si="26"/>
        <v/>
      </c>
    </row>
    <row r="760" spans="3:7" ht="15" hidden="1" x14ac:dyDescent="0.25">
      <c r="C760" s="4" t="str">
        <f>IFERROR(AVERAGEIFS('2. Program Allocation Output'!$P:$P,'2. Program Allocation Output'!$AF:$AF,$A760,'2. Program Allocation Output'!$AG:$AG,$B760),"")</f>
        <v/>
      </c>
      <c r="D760" s="4" t="str">
        <f>IFERROR(AVERAGEIFS('2. Program Allocation Output'!$O:$O,'2. Program Allocation Output'!$AF:$AF,$A760,'2. Program Allocation Output'!$AG:$AG,$B760),"")</f>
        <v/>
      </c>
      <c r="E760" s="5" t="str">
        <f>IFERROR(AVERAGEIFS('2. Program Allocation Output'!$L:$L,'2. Program Allocation Output'!$AF:$AF,$A760,'2. Program Allocation Output'!$AG:$AG,$B760),"")</f>
        <v/>
      </c>
      <c r="F760" s="39" t="str">
        <f t="shared" si="25"/>
        <v/>
      </c>
      <c r="G760" t="str">
        <f t="shared" si="26"/>
        <v/>
      </c>
    </row>
    <row r="761" spans="3:7" ht="15" hidden="1" x14ac:dyDescent="0.25">
      <c r="C761" s="4" t="str">
        <f>IFERROR(AVERAGEIFS('2. Program Allocation Output'!$P:$P,'2. Program Allocation Output'!$AF:$AF,$A761,'2. Program Allocation Output'!$AG:$AG,$B761),"")</f>
        <v/>
      </c>
      <c r="D761" s="4" t="str">
        <f>IFERROR(AVERAGEIFS('2. Program Allocation Output'!$O:$O,'2. Program Allocation Output'!$AF:$AF,$A761,'2. Program Allocation Output'!$AG:$AG,$B761),"")</f>
        <v/>
      </c>
      <c r="E761" s="5" t="str">
        <f>IFERROR(AVERAGEIFS('2. Program Allocation Output'!$L:$L,'2. Program Allocation Output'!$AF:$AF,$A761,'2. Program Allocation Output'!$AG:$AG,$B761),"")</f>
        <v/>
      </c>
      <c r="F761" s="39" t="str">
        <f t="shared" si="25"/>
        <v/>
      </c>
      <c r="G761" t="str">
        <f t="shared" si="26"/>
        <v/>
      </c>
    </row>
    <row r="762" spans="3:7" ht="15" hidden="1" x14ac:dyDescent="0.25">
      <c r="C762" s="4" t="str">
        <f>IFERROR(AVERAGEIFS('2. Program Allocation Output'!$P:$P,'2. Program Allocation Output'!$AF:$AF,$A762,'2. Program Allocation Output'!$AG:$AG,$B762),"")</f>
        <v/>
      </c>
      <c r="D762" s="4" t="str">
        <f>IFERROR(AVERAGEIFS('2. Program Allocation Output'!$O:$O,'2. Program Allocation Output'!$AF:$AF,$A762,'2. Program Allocation Output'!$AG:$AG,$B762),"")</f>
        <v/>
      </c>
      <c r="E762" s="5" t="str">
        <f>IFERROR(AVERAGEIFS('2. Program Allocation Output'!$L:$L,'2. Program Allocation Output'!$AF:$AF,$A762,'2. Program Allocation Output'!$AG:$AG,$B762),"")</f>
        <v/>
      </c>
      <c r="F762" s="39" t="str">
        <f t="shared" si="25"/>
        <v/>
      </c>
      <c r="G762" t="str">
        <f t="shared" si="26"/>
        <v/>
      </c>
    </row>
    <row r="763" spans="3:7" ht="15" hidden="1" x14ac:dyDescent="0.25">
      <c r="C763" s="4" t="str">
        <f>IFERROR(AVERAGEIFS('2. Program Allocation Output'!$P:$P,'2. Program Allocation Output'!$AF:$AF,$A763,'2. Program Allocation Output'!$AG:$AG,$B763),"")</f>
        <v/>
      </c>
      <c r="D763" s="4" t="str">
        <f>IFERROR(AVERAGEIFS('2. Program Allocation Output'!$O:$O,'2. Program Allocation Output'!$AF:$AF,$A763,'2. Program Allocation Output'!$AG:$AG,$B763),"")</f>
        <v/>
      </c>
      <c r="E763" s="5" t="str">
        <f>IFERROR(AVERAGEIFS('2. Program Allocation Output'!$L:$L,'2. Program Allocation Output'!$AF:$AF,$A763,'2. Program Allocation Output'!$AG:$AG,$B763),"")</f>
        <v/>
      </c>
      <c r="F763" s="39" t="str">
        <f t="shared" si="25"/>
        <v/>
      </c>
      <c r="G763" t="str">
        <f t="shared" si="26"/>
        <v/>
      </c>
    </row>
    <row r="764" spans="3:7" ht="15" hidden="1" x14ac:dyDescent="0.25">
      <c r="C764" s="4" t="str">
        <f>IFERROR(AVERAGEIFS('2. Program Allocation Output'!$P:$P,'2. Program Allocation Output'!$AF:$AF,$A764,'2. Program Allocation Output'!$AG:$AG,$B764),"")</f>
        <v/>
      </c>
      <c r="D764" s="4" t="str">
        <f>IFERROR(AVERAGEIFS('2. Program Allocation Output'!$O:$O,'2. Program Allocation Output'!$AF:$AF,$A764,'2. Program Allocation Output'!$AG:$AG,$B764),"")</f>
        <v/>
      </c>
      <c r="E764" s="5" t="str">
        <f>IFERROR(AVERAGEIFS('2. Program Allocation Output'!$L:$L,'2. Program Allocation Output'!$AF:$AF,$A764,'2. Program Allocation Output'!$AG:$AG,$B764),"")</f>
        <v/>
      </c>
      <c r="F764" s="39" t="str">
        <f t="shared" si="25"/>
        <v/>
      </c>
      <c r="G764" t="str">
        <f t="shared" si="26"/>
        <v/>
      </c>
    </row>
    <row r="765" spans="3:7" ht="15" hidden="1" x14ac:dyDescent="0.25">
      <c r="C765" s="4" t="str">
        <f>IFERROR(AVERAGEIFS('2. Program Allocation Output'!$P:$P,'2. Program Allocation Output'!$AF:$AF,$A765,'2. Program Allocation Output'!$AG:$AG,$B765),"")</f>
        <v/>
      </c>
      <c r="D765" s="4" t="str">
        <f>IFERROR(AVERAGEIFS('2. Program Allocation Output'!$O:$O,'2. Program Allocation Output'!$AF:$AF,$A765,'2. Program Allocation Output'!$AG:$AG,$B765),"")</f>
        <v/>
      </c>
      <c r="E765" s="5" t="str">
        <f>IFERROR(AVERAGEIFS('2. Program Allocation Output'!$L:$L,'2. Program Allocation Output'!$AF:$AF,$A765,'2. Program Allocation Output'!$AG:$AG,$B765),"")</f>
        <v/>
      </c>
      <c r="F765" s="39" t="str">
        <f t="shared" si="25"/>
        <v/>
      </c>
      <c r="G765" t="str">
        <f t="shared" si="26"/>
        <v/>
      </c>
    </row>
    <row r="766" spans="3:7" ht="15" hidden="1" x14ac:dyDescent="0.25">
      <c r="C766" s="4" t="str">
        <f>IFERROR(AVERAGEIFS('2. Program Allocation Output'!$P:$P,'2. Program Allocation Output'!$AF:$AF,$A766,'2. Program Allocation Output'!$AG:$AG,$B766),"")</f>
        <v/>
      </c>
      <c r="D766" s="4" t="str">
        <f>IFERROR(AVERAGEIFS('2. Program Allocation Output'!$O:$O,'2. Program Allocation Output'!$AF:$AF,$A766,'2. Program Allocation Output'!$AG:$AG,$B766),"")</f>
        <v/>
      </c>
      <c r="E766" s="5" t="str">
        <f>IFERROR(AVERAGEIFS('2. Program Allocation Output'!$L:$L,'2. Program Allocation Output'!$AF:$AF,$A766,'2. Program Allocation Output'!$AG:$AG,$B766),"")</f>
        <v/>
      </c>
      <c r="F766" s="39" t="str">
        <f t="shared" si="25"/>
        <v/>
      </c>
      <c r="G766" t="str">
        <f t="shared" si="26"/>
        <v/>
      </c>
    </row>
    <row r="767" spans="3:7" ht="15" hidden="1" x14ac:dyDescent="0.25">
      <c r="C767" s="4" t="str">
        <f>IFERROR(AVERAGEIFS('2. Program Allocation Output'!$P:$P,'2. Program Allocation Output'!$AF:$AF,$A767,'2. Program Allocation Output'!$AG:$AG,$B767),"")</f>
        <v/>
      </c>
      <c r="D767" s="4" t="str">
        <f>IFERROR(AVERAGEIFS('2. Program Allocation Output'!$O:$O,'2. Program Allocation Output'!$AF:$AF,$A767,'2. Program Allocation Output'!$AG:$AG,$B767),"")</f>
        <v/>
      </c>
      <c r="E767" s="5" t="str">
        <f>IFERROR(AVERAGEIFS('2. Program Allocation Output'!$L:$L,'2. Program Allocation Output'!$AF:$AF,$A767,'2. Program Allocation Output'!$AG:$AG,$B767),"")</f>
        <v/>
      </c>
      <c r="F767" s="39" t="str">
        <f t="shared" si="25"/>
        <v/>
      </c>
      <c r="G767" t="str">
        <f t="shared" si="26"/>
        <v/>
      </c>
    </row>
    <row r="768" spans="3:7" ht="15" hidden="1" x14ac:dyDescent="0.25">
      <c r="C768" s="4" t="str">
        <f>IFERROR(AVERAGEIFS('2. Program Allocation Output'!$P:$P,'2. Program Allocation Output'!$AF:$AF,$A768,'2. Program Allocation Output'!$AG:$AG,$B768),"")</f>
        <v/>
      </c>
      <c r="D768" s="4" t="str">
        <f>IFERROR(AVERAGEIFS('2. Program Allocation Output'!$O:$O,'2. Program Allocation Output'!$AF:$AF,$A768,'2. Program Allocation Output'!$AG:$AG,$B768),"")</f>
        <v/>
      </c>
      <c r="E768" s="5" t="str">
        <f>IFERROR(AVERAGEIFS('2. Program Allocation Output'!$L:$L,'2. Program Allocation Output'!$AF:$AF,$A768,'2. Program Allocation Output'!$AG:$AG,$B768),"")</f>
        <v/>
      </c>
      <c r="F768" s="39" t="str">
        <f t="shared" si="25"/>
        <v/>
      </c>
      <c r="G768" t="str">
        <f t="shared" si="26"/>
        <v/>
      </c>
    </row>
    <row r="769" spans="3:7" ht="15" hidden="1" x14ac:dyDescent="0.25">
      <c r="C769" s="4" t="str">
        <f>IFERROR(AVERAGEIFS('2. Program Allocation Output'!$P:$P,'2. Program Allocation Output'!$AF:$AF,$A769,'2. Program Allocation Output'!$AG:$AG,$B769),"")</f>
        <v/>
      </c>
      <c r="D769" s="4" t="str">
        <f>IFERROR(AVERAGEIFS('2. Program Allocation Output'!$O:$O,'2. Program Allocation Output'!$AF:$AF,$A769,'2. Program Allocation Output'!$AG:$AG,$B769),"")</f>
        <v/>
      </c>
      <c r="E769" s="5" t="str">
        <f>IFERROR(AVERAGEIFS('2. Program Allocation Output'!$L:$L,'2. Program Allocation Output'!$AF:$AF,$A769,'2. Program Allocation Output'!$AG:$AG,$B769),"")</f>
        <v/>
      </c>
      <c r="F769" s="39" t="str">
        <f t="shared" si="25"/>
        <v/>
      </c>
      <c r="G769" t="str">
        <f t="shared" si="26"/>
        <v/>
      </c>
    </row>
    <row r="770" spans="3:7" ht="15" hidden="1" x14ac:dyDescent="0.25">
      <c r="C770" s="4" t="str">
        <f>IFERROR(AVERAGEIFS('2. Program Allocation Output'!$P:$P,'2. Program Allocation Output'!$AF:$AF,$A770,'2. Program Allocation Output'!$AG:$AG,$B770),"")</f>
        <v/>
      </c>
      <c r="D770" s="4" t="str">
        <f>IFERROR(AVERAGEIFS('2. Program Allocation Output'!$O:$O,'2. Program Allocation Output'!$AF:$AF,$A770,'2. Program Allocation Output'!$AG:$AG,$B770),"")</f>
        <v/>
      </c>
      <c r="E770" s="5" t="str">
        <f>IFERROR(AVERAGEIFS('2. Program Allocation Output'!$L:$L,'2. Program Allocation Output'!$AF:$AF,$A770,'2. Program Allocation Output'!$AG:$AG,$B770),"")</f>
        <v/>
      </c>
      <c r="F770" s="39" t="str">
        <f t="shared" si="25"/>
        <v/>
      </c>
      <c r="G770" t="str">
        <f t="shared" si="26"/>
        <v/>
      </c>
    </row>
    <row r="771" spans="3:7" ht="15" hidden="1" x14ac:dyDescent="0.25">
      <c r="C771" s="4" t="str">
        <f>IFERROR(AVERAGEIFS('2. Program Allocation Output'!$P:$P,'2. Program Allocation Output'!$AF:$AF,$A771,'2. Program Allocation Output'!$AG:$AG,$B771),"")</f>
        <v/>
      </c>
      <c r="D771" s="4" t="str">
        <f>IFERROR(AVERAGEIFS('2. Program Allocation Output'!$O:$O,'2. Program Allocation Output'!$AF:$AF,$A771,'2. Program Allocation Output'!$AG:$AG,$B771),"")</f>
        <v/>
      </c>
      <c r="E771" s="5" t="str">
        <f>IFERROR(AVERAGEIFS('2. Program Allocation Output'!$L:$L,'2. Program Allocation Output'!$AF:$AF,$A771,'2. Program Allocation Output'!$AG:$AG,$B771),"")</f>
        <v/>
      </c>
      <c r="F771" s="39" t="str">
        <f t="shared" ref="F771:F834" si="27">IFERROR(C771*1,"")</f>
        <v/>
      </c>
      <c r="G771" t="str">
        <f t="shared" si="26"/>
        <v/>
      </c>
    </row>
    <row r="772" spans="3:7" ht="15" hidden="1" x14ac:dyDescent="0.25">
      <c r="C772" s="4" t="str">
        <f>IFERROR(AVERAGEIFS('2. Program Allocation Output'!$P:$P,'2. Program Allocation Output'!$AF:$AF,$A772,'2. Program Allocation Output'!$AG:$AG,$B772),"")</f>
        <v/>
      </c>
      <c r="D772" s="4" t="str">
        <f>IFERROR(AVERAGEIFS('2. Program Allocation Output'!$O:$O,'2. Program Allocation Output'!$AF:$AF,$A772,'2. Program Allocation Output'!$AG:$AG,$B772),"")</f>
        <v/>
      </c>
      <c r="E772" s="5" t="str">
        <f>IFERROR(AVERAGEIFS('2. Program Allocation Output'!$L:$L,'2. Program Allocation Output'!$AF:$AF,$A772,'2. Program Allocation Output'!$AG:$AG,$B772),"")</f>
        <v/>
      </c>
      <c r="F772" s="39" t="str">
        <f t="shared" si="27"/>
        <v/>
      </c>
      <c r="G772" t="str">
        <f t="shared" si="26"/>
        <v/>
      </c>
    </row>
    <row r="773" spans="3:7" ht="15" hidden="1" x14ac:dyDescent="0.25">
      <c r="C773" s="4" t="str">
        <f>IFERROR(AVERAGEIFS('2. Program Allocation Output'!$P:$P,'2. Program Allocation Output'!$AF:$AF,$A773,'2. Program Allocation Output'!$AG:$AG,$B773),"")</f>
        <v/>
      </c>
      <c r="D773" s="4" t="str">
        <f>IFERROR(AVERAGEIFS('2. Program Allocation Output'!$O:$O,'2. Program Allocation Output'!$AF:$AF,$A773,'2. Program Allocation Output'!$AG:$AG,$B773),"")</f>
        <v/>
      </c>
      <c r="E773" s="5" t="str">
        <f>IFERROR(AVERAGEIFS('2. Program Allocation Output'!$L:$L,'2. Program Allocation Output'!$AF:$AF,$A773,'2. Program Allocation Output'!$AG:$AG,$B773),"")</f>
        <v/>
      </c>
      <c r="F773" s="39" t="str">
        <f t="shared" si="27"/>
        <v/>
      </c>
      <c r="G773" t="str">
        <f t="shared" si="26"/>
        <v/>
      </c>
    </row>
    <row r="774" spans="3:7" ht="15" hidden="1" x14ac:dyDescent="0.25">
      <c r="C774" s="4" t="str">
        <f>IFERROR(AVERAGEIFS('2. Program Allocation Output'!$P:$P,'2. Program Allocation Output'!$AF:$AF,$A774,'2. Program Allocation Output'!$AG:$AG,$B774),"")</f>
        <v/>
      </c>
      <c r="D774" s="4" t="str">
        <f>IFERROR(AVERAGEIFS('2. Program Allocation Output'!$O:$O,'2. Program Allocation Output'!$AF:$AF,$A774,'2. Program Allocation Output'!$AG:$AG,$B774),"")</f>
        <v/>
      </c>
      <c r="E774" s="5" t="str">
        <f>IFERROR(AVERAGEIFS('2. Program Allocation Output'!$L:$L,'2. Program Allocation Output'!$AF:$AF,$A774,'2. Program Allocation Output'!$AG:$AG,$B774),"")</f>
        <v/>
      </c>
      <c r="F774" s="39" t="str">
        <f t="shared" si="27"/>
        <v/>
      </c>
      <c r="G774" t="str">
        <f t="shared" si="26"/>
        <v/>
      </c>
    </row>
    <row r="775" spans="3:7" ht="15" hidden="1" x14ac:dyDescent="0.25">
      <c r="C775" s="4" t="str">
        <f>IFERROR(AVERAGEIFS('2. Program Allocation Output'!$P:$P,'2. Program Allocation Output'!$AF:$AF,$A775,'2. Program Allocation Output'!$AG:$AG,$B775),"")</f>
        <v/>
      </c>
      <c r="D775" s="4" t="str">
        <f>IFERROR(AVERAGEIFS('2. Program Allocation Output'!$O:$O,'2. Program Allocation Output'!$AF:$AF,$A775,'2. Program Allocation Output'!$AG:$AG,$B775),"")</f>
        <v/>
      </c>
      <c r="E775" s="5" t="str">
        <f>IFERROR(AVERAGEIFS('2. Program Allocation Output'!$L:$L,'2. Program Allocation Output'!$AF:$AF,$A775,'2. Program Allocation Output'!$AG:$AG,$B775),"")</f>
        <v/>
      </c>
      <c r="F775" s="39" t="str">
        <f t="shared" si="27"/>
        <v/>
      </c>
      <c r="G775" t="str">
        <f t="shared" si="26"/>
        <v/>
      </c>
    </row>
    <row r="776" spans="3:7" ht="15" hidden="1" x14ac:dyDescent="0.25">
      <c r="C776" s="4" t="str">
        <f>IFERROR(AVERAGEIFS('2. Program Allocation Output'!$P:$P,'2. Program Allocation Output'!$AF:$AF,$A776,'2. Program Allocation Output'!$AG:$AG,$B776),"")</f>
        <v/>
      </c>
      <c r="D776" s="4" t="str">
        <f>IFERROR(AVERAGEIFS('2. Program Allocation Output'!$O:$O,'2. Program Allocation Output'!$AF:$AF,$A776,'2. Program Allocation Output'!$AG:$AG,$B776),"")</f>
        <v/>
      </c>
      <c r="E776" s="5" t="str">
        <f>IFERROR(AVERAGEIFS('2. Program Allocation Output'!$L:$L,'2. Program Allocation Output'!$AF:$AF,$A776,'2. Program Allocation Output'!$AG:$AG,$B776),"")</f>
        <v/>
      </c>
      <c r="F776" s="39" t="str">
        <f t="shared" si="27"/>
        <v/>
      </c>
      <c r="G776" t="str">
        <f t="shared" si="26"/>
        <v/>
      </c>
    </row>
    <row r="777" spans="3:7" ht="15" hidden="1" x14ac:dyDescent="0.25">
      <c r="C777" s="4" t="str">
        <f>IFERROR(AVERAGEIFS('2. Program Allocation Output'!$P:$P,'2. Program Allocation Output'!$AF:$AF,$A777,'2. Program Allocation Output'!$AG:$AG,$B777),"")</f>
        <v/>
      </c>
      <c r="D777" s="4" t="str">
        <f>IFERROR(AVERAGEIFS('2. Program Allocation Output'!$O:$O,'2. Program Allocation Output'!$AF:$AF,$A777,'2. Program Allocation Output'!$AG:$AG,$B777),"")</f>
        <v/>
      </c>
      <c r="E777" s="5" t="str">
        <f>IFERROR(AVERAGEIFS('2. Program Allocation Output'!$L:$L,'2. Program Allocation Output'!$AF:$AF,$A777,'2. Program Allocation Output'!$AG:$AG,$B777),"")</f>
        <v/>
      </c>
      <c r="F777" s="39" t="str">
        <f t="shared" si="27"/>
        <v/>
      </c>
      <c r="G777" t="str">
        <f t="shared" si="26"/>
        <v/>
      </c>
    </row>
    <row r="778" spans="3:7" ht="15" hidden="1" x14ac:dyDescent="0.25">
      <c r="C778" s="4" t="str">
        <f>IFERROR(AVERAGEIFS('2. Program Allocation Output'!$P:$P,'2. Program Allocation Output'!$AF:$AF,$A778,'2. Program Allocation Output'!$AG:$AG,$B778),"")</f>
        <v/>
      </c>
      <c r="D778" s="4" t="str">
        <f>IFERROR(AVERAGEIFS('2. Program Allocation Output'!$O:$O,'2. Program Allocation Output'!$AF:$AF,$A778,'2. Program Allocation Output'!$AG:$AG,$B778),"")</f>
        <v/>
      </c>
      <c r="E778" s="5" t="str">
        <f>IFERROR(AVERAGEIFS('2. Program Allocation Output'!$L:$L,'2. Program Allocation Output'!$AF:$AF,$A778,'2. Program Allocation Output'!$AG:$AG,$B778),"")</f>
        <v/>
      </c>
      <c r="F778" s="39" t="str">
        <f t="shared" si="27"/>
        <v/>
      </c>
      <c r="G778" t="str">
        <f t="shared" si="26"/>
        <v/>
      </c>
    </row>
    <row r="779" spans="3:7" ht="15" hidden="1" x14ac:dyDescent="0.25">
      <c r="C779" s="4" t="str">
        <f>IFERROR(AVERAGEIFS('2. Program Allocation Output'!$P:$P,'2. Program Allocation Output'!$AF:$AF,$A779,'2. Program Allocation Output'!$AG:$AG,$B779),"")</f>
        <v/>
      </c>
      <c r="D779" s="4" t="str">
        <f>IFERROR(AVERAGEIFS('2. Program Allocation Output'!$O:$O,'2. Program Allocation Output'!$AF:$AF,$A779,'2. Program Allocation Output'!$AG:$AG,$B779),"")</f>
        <v/>
      </c>
      <c r="E779" s="5" t="str">
        <f>IFERROR(AVERAGEIFS('2. Program Allocation Output'!$L:$L,'2. Program Allocation Output'!$AF:$AF,$A779,'2. Program Allocation Output'!$AG:$AG,$B779),"")</f>
        <v/>
      </c>
      <c r="F779" s="39" t="str">
        <f t="shared" si="27"/>
        <v/>
      </c>
      <c r="G779" t="str">
        <f t="shared" si="26"/>
        <v/>
      </c>
    </row>
    <row r="780" spans="3:7" ht="15" hidden="1" x14ac:dyDescent="0.25">
      <c r="C780" s="4" t="str">
        <f>IFERROR(AVERAGEIFS('2. Program Allocation Output'!$P:$P,'2. Program Allocation Output'!$AF:$AF,$A780,'2. Program Allocation Output'!$AG:$AG,$B780),"")</f>
        <v/>
      </c>
      <c r="D780" s="4" t="str">
        <f>IFERROR(AVERAGEIFS('2. Program Allocation Output'!$O:$O,'2. Program Allocation Output'!$AF:$AF,$A780,'2. Program Allocation Output'!$AG:$AG,$B780),"")</f>
        <v/>
      </c>
      <c r="E780" s="5" t="str">
        <f>IFERROR(AVERAGEIFS('2. Program Allocation Output'!$L:$L,'2. Program Allocation Output'!$AF:$AF,$A780,'2. Program Allocation Output'!$AG:$AG,$B780),"")</f>
        <v/>
      </c>
      <c r="F780" s="39" t="str">
        <f t="shared" si="27"/>
        <v/>
      </c>
      <c r="G780" t="str">
        <f t="shared" si="26"/>
        <v/>
      </c>
    </row>
    <row r="781" spans="3:7" ht="15" hidden="1" x14ac:dyDescent="0.25">
      <c r="C781" s="4" t="str">
        <f>IFERROR(AVERAGEIFS('2. Program Allocation Output'!$P:$P,'2. Program Allocation Output'!$AF:$AF,$A781,'2. Program Allocation Output'!$AG:$AG,$B781),"")</f>
        <v/>
      </c>
      <c r="D781" s="4" t="str">
        <f>IFERROR(AVERAGEIFS('2. Program Allocation Output'!$O:$O,'2. Program Allocation Output'!$AF:$AF,$A781,'2. Program Allocation Output'!$AG:$AG,$B781),"")</f>
        <v/>
      </c>
      <c r="E781" s="5" t="str">
        <f>IFERROR(AVERAGEIFS('2. Program Allocation Output'!$L:$L,'2. Program Allocation Output'!$AF:$AF,$A781,'2. Program Allocation Output'!$AG:$AG,$B781),"")</f>
        <v/>
      </c>
      <c r="F781" s="39" t="str">
        <f t="shared" si="27"/>
        <v/>
      </c>
      <c r="G781" t="str">
        <f t="shared" si="26"/>
        <v/>
      </c>
    </row>
    <row r="782" spans="3:7" ht="15" hidden="1" x14ac:dyDescent="0.25">
      <c r="C782" s="4" t="str">
        <f>IFERROR(AVERAGEIFS('2. Program Allocation Output'!$P:$P,'2. Program Allocation Output'!$AF:$AF,$A782,'2. Program Allocation Output'!$AG:$AG,$B782),"")</f>
        <v/>
      </c>
      <c r="D782" s="4" t="str">
        <f>IFERROR(AVERAGEIFS('2. Program Allocation Output'!$O:$O,'2. Program Allocation Output'!$AF:$AF,$A782,'2. Program Allocation Output'!$AG:$AG,$B782),"")</f>
        <v/>
      </c>
      <c r="E782" s="5" t="str">
        <f>IFERROR(AVERAGEIFS('2. Program Allocation Output'!$L:$L,'2. Program Allocation Output'!$AF:$AF,$A782,'2. Program Allocation Output'!$AG:$AG,$B782),"")</f>
        <v/>
      </c>
      <c r="F782" s="39" t="str">
        <f t="shared" si="27"/>
        <v/>
      </c>
      <c r="G782" t="str">
        <f t="shared" ref="G782:G845" si="28">IFERROR(EXP(0.3*(F782-C782)/(E782*0.1137)),"")</f>
        <v/>
      </c>
    </row>
    <row r="783" spans="3:7" ht="15" hidden="1" x14ac:dyDescent="0.25">
      <c r="C783" s="4" t="str">
        <f>IFERROR(AVERAGEIFS('2. Program Allocation Output'!$P:$P,'2. Program Allocation Output'!$AF:$AF,$A783,'2. Program Allocation Output'!$AG:$AG,$B783),"")</f>
        <v/>
      </c>
      <c r="D783" s="4" t="str">
        <f>IFERROR(AVERAGEIFS('2. Program Allocation Output'!$O:$O,'2. Program Allocation Output'!$AF:$AF,$A783,'2. Program Allocation Output'!$AG:$AG,$B783),"")</f>
        <v/>
      </c>
      <c r="E783" s="5" t="str">
        <f>IFERROR(AVERAGEIFS('2. Program Allocation Output'!$L:$L,'2. Program Allocation Output'!$AF:$AF,$A783,'2. Program Allocation Output'!$AG:$AG,$B783),"")</f>
        <v/>
      </c>
      <c r="F783" s="39" t="str">
        <f t="shared" si="27"/>
        <v/>
      </c>
      <c r="G783" t="str">
        <f t="shared" si="28"/>
        <v/>
      </c>
    </row>
    <row r="784" spans="3:7" ht="15" hidden="1" x14ac:dyDescent="0.25">
      <c r="C784" s="4" t="str">
        <f>IFERROR(AVERAGEIFS('2. Program Allocation Output'!$P:$P,'2. Program Allocation Output'!$AF:$AF,$A784,'2. Program Allocation Output'!$AG:$AG,$B784),"")</f>
        <v/>
      </c>
      <c r="D784" s="4" t="str">
        <f>IFERROR(AVERAGEIFS('2. Program Allocation Output'!$O:$O,'2. Program Allocation Output'!$AF:$AF,$A784,'2. Program Allocation Output'!$AG:$AG,$B784),"")</f>
        <v/>
      </c>
      <c r="E784" s="5" t="str">
        <f>IFERROR(AVERAGEIFS('2. Program Allocation Output'!$L:$L,'2. Program Allocation Output'!$AF:$AF,$A784,'2. Program Allocation Output'!$AG:$AG,$B784),"")</f>
        <v/>
      </c>
      <c r="F784" s="39" t="str">
        <f t="shared" si="27"/>
        <v/>
      </c>
      <c r="G784" t="str">
        <f t="shared" si="28"/>
        <v/>
      </c>
    </row>
    <row r="785" spans="3:7" ht="15" hidden="1" x14ac:dyDescent="0.25">
      <c r="C785" s="4" t="str">
        <f>IFERROR(AVERAGEIFS('2. Program Allocation Output'!$P:$P,'2. Program Allocation Output'!$AF:$AF,$A785,'2. Program Allocation Output'!$AG:$AG,$B785),"")</f>
        <v/>
      </c>
      <c r="D785" s="4" t="str">
        <f>IFERROR(AVERAGEIFS('2. Program Allocation Output'!$O:$O,'2. Program Allocation Output'!$AF:$AF,$A785,'2. Program Allocation Output'!$AG:$AG,$B785),"")</f>
        <v/>
      </c>
      <c r="E785" s="5" t="str">
        <f>IFERROR(AVERAGEIFS('2. Program Allocation Output'!$L:$L,'2. Program Allocation Output'!$AF:$AF,$A785,'2. Program Allocation Output'!$AG:$AG,$B785),"")</f>
        <v/>
      </c>
      <c r="F785" s="39" t="str">
        <f t="shared" si="27"/>
        <v/>
      </c>
      <c r="G785" t="str">
        <f t="shared" si="28"/>
        <v/>
      </c>
    </row>
    <row r="786" spans="3:7" ht="15" hidden="1" x14ac:dyDescent="0.25">
      <c r="C786" s="4" t="str">
        <f>IFERROR(AVERAGEIFS('2. Program Allocation Output'!$P:$P,'2. Program Allocation Output'!$AF:$AF,$A786,'2. Program Allocation Output'!$AG:$AG,$B786),"")</f>
        <v/>
      </c>
      <c r="D786" s="4" t="str">
        <f>IFERROR(AVERAGEIFS('2. Program Allocation Output'!$O:$O,'2. Program Allocation Output'!$AF:$AF,$A786,'2. Program Allocation Output'!$AG:$AG,$B786),"")</f>
        <v/>
      </c>
      <c r="E786" s="5" t="str">
        <f>IFERROR(AVERAGEIFS('2. Program Allocation Output'!$L:$L,'2. Program Allocation Output'!$AF:$AF,$A786,'2. Program Allocation Output'!$AG:$AG,$B786),"")</f>
        <v/>
      </c>
      <c r="F786" s="39" t="str">
        <f t="shared" si="27"/>
        <v/>
      </c>
      <c r="G786" t="str">
        <f t="shared" si="28"/>
        <v/>
      </c>
    </row>
    <row r="787" spans="3:7" ht="15" hidden="1" x14ac:dyDescent="0.25">
      <c r="C787" s="4" t="str">
        <f>IFERROR(AVERAGEIFS('2. Program Allocation Output'!$P:$P,'2. Program Allocation Output'!$AF:$AF,$A787,'2. Program Allocation Output'!$AG:$AG,$B787),"")</f>
        <v/>
      </c>
      <c r="D787" s="4" t="str">
        <f>IFERROR(AVERAGEIFS('2. Program Allocation Output'!$O:$O,'2. Program Allocation Output'!$AF:$AF,$A787,'2. Program Allocation Output'!$AG:$AG,$B787),"")</f>
        <v/>
      </c>
      <c r="E787" s="5" t="str">
        <f>IFERROR(AVERAGEIFS('2. Program Allocation Output'!$L:$L,'2. Program Allocation Output'!$AF:$AF,$A787,'2. Program Allocation Output'!$AG:$AG,$B787),"")</f>
        <v/>
      </c>
      <c r="F787" s="39" t="str">
        <f t="shared" si="27"/>
        <v/>
      </c>
      <c r="G787" t="str">
        <f t="shared" si="28"/>
        <v/>
      </c>
    </row>
    <row r="788" spans="3:7" ht="15" hidden="1" x14ac:dyDescent="0.25">
      <c r="C788" s="4" t="str">
        <f>IFERROR(AVERAGEIFS('2. Program Allocation Output'!$P:$P,'2. Program Allocation Output'!$AF:$AF,$A788,'2. Program Allocation Output'!$AG:$AG,$B788),"")</f>
        <v/>
      </c>
      <c r="D788" s="4" t="str">
        <f>IFERROR(AVERAGEIFS('2. Program Allocation Output'!$O:$O,'2. Program Allocation Output'!$AF:$AF,$A788,'2. Program Allocation Output'!$AG:$AG,$B788),"")</f>
        <v/>
      </c>
      <c r="E788" s="5" t="str">
        <f>IFERROR(AVERAGEIFS('2. Program Allocation Output'!$L:$L,'2. Program Allocation Output'!$AF:$AF,$A788,'2. Program Allocation Output'!$AG:$AG,$B788),"")</f>
        <v/>
      </c>
      <c r="F788" s="39" t="str">
        <f t="shared" si="27"/>
        <v/>
      </c>
      <c r="G788" t="str">
        <f t="shared" si="28"/>
        <v/>
      </c>
    </row>
    <row r="789" spans="3:7" ht="15" hidden="1" x14ac:dyDescent="0.25">
      <c r="C789" s="4" t="str">
        <f>IFERROR(AVERAGEIFS('2. Program Allocation Output'!$P:$P,'2. Program Allocation Output'!$AF:$AF,$A789,'2. Program Allocation Output'!$AG:$AG,$B789),"")</f>
        <v/>
      </c>
      <c r="D789" s="4" t="str">
        <f>IFERROR(AVERAGEIFS('2. Program Allocation Output'!$O:$O,'2. Program Allocation Output'!$AF:$AF,$A789,'2. Program Allocation Output'!$AG:$AG,$B789),"")</f>
        <v/>
      </c>
      <c r="E789" s="5" t="str">
        <f>IFERROR(AVERAGEIFS('2. Program Allocation Output'!$L:$L,'2. Program Allocation Output'!$AF:$AF,$A789,'2. Program Allocation Output'!$AG:$AG,$B789),"")</f>
        <v/>
      </c>
      <c r="F789" s="39" t="str">
        <f t="shared" si="27"/>
        <v/>
      </c>
      <c r="G789" t="str">
        <f t="shared" si="28"/>
        <v/>
      </c>
    </row>
    <row r="790" spans="3:7" ht="15" hidden="1" x14ac:dyDescent="0.25">
      <c r="C790" s="4" t="str">
        <f>IFERROR(AVERAGEIFS('2. Program Allocation Output'!$P:$P,'2. Program Allocation Output'!$AF:$AF,$A790,'2. Program Allocation Output'!$AG:$AG,$B790),"")</f>
        <v/>
      </c>
      <c r="D790" s="4" t="str">
        <f>IFERROR(AVERAGEIFS('2. Program Allocation Output'!$O:$O,'2. Program Allocation Output'!$AF:$AF,$A790,'2. Program Allocation Output'!$AG:$AG,$B790),"")</f>
        <v/>
      </c>
      <c r="E790" s="5" t="str">
        <f>IFERROR(AVERAGEIFS('2. Program Allocation Output'!$L:$L,'2. Program Allocation Output'!$AF:$AF,$A790,'2. Program Allocation Output'!$AG:$AG,$B790),"")</f>
        <v/>
      </c>
      <c r="F790" s="39" t="str">
        <f t="shared" si="27"/>
        <v/>
      </c>
      <c r="G790" t="str">
        <f t="shared" si="28"/>
        <v/>
      </c>
    </row>
    <row r="791" spans="3:7" ht="15" hidden="1" x14ac:dyDescent="0.25">
      <c r="C791" s="4" t="str">
        <f>IFERROR(AVERAGEIFS('2. Program Allocation Output'!$P:$P,'2. Program Allocation Output'!$AF:$AF,$A791,'2. Program Allocation Output'!$AG:$AG,$B791),"")</f>
        <v/>
      </c>
      <c r="D791" s="4" t="str">
        <f>IFERROR(AVERAGEIFS('2. Program Allocation Output'!$O:$O,'2. Program Allocation Output'!$AF:$AF,$A791,'2. Program Allocation Output'!$AG:$AG,$B791),"")</f>
        <v/>
      </c>
      <c r="E791" s="5" t="str">
        <f>IFERROR(AVERAGEIFS('2. Program Allocation Output'!$L:$L,'2. Program Allocation Output'!$AF:$AF,$A791,'2. Program Allocation Output'!$AG:$AG,$B791),"")</f>
        <v/>
      </c>
      <c r="F791" s="39" t="str">
        <f t="shared" si="27"/>
        <v/>
      </c>
      <c r="G791" t="str">
        <f t="shared" si="28"/>
        <v/>
      </c>
    </row>
    <row r="792" spans="3:7" ht="15" hidden="1" x14ac:dyDescent="0.25">
      <c r="C792" s="4" t="str">
        <f>IFERROR(AVERAGEIFS('2. Program Allocation Output'!$P:$P,'2. Program Allocation Output'!$AF:$AF,$A792,'2. Program Allocation Output'!$AG:$AG,$B792),"")</f>
        <v/>
      </c>
      <c r="D792" s="4" t="str">
        <f>IFERROR(AVERAGEIFS('2. Program Allocation Output'!$O:$O,'2. Program Allocation Output'!$AF:$AF,$A792,'2. Program Allocation Output'!$AG:$AG,$B792),"")</f>
        <v/>
      </c>
      <c r="E792" s="5" t="str">
        <f>IFERROR(AVERAGEIFS('2. Program Allocation Output'!$L:$L,'2. Program Allocation Output'!$AF:$AF,$A792,'2. Program Allocation Output'!$AG:$AG,$B792),"")</f>
        <v/>
      </c>
      <c r="F792" s="39" t="str">
        <f t="shared" si="27"/>
        <v/>
      </c>
      <c r="G792" t="str">
        <f t="shared" si="28"/>
        <v/>
      </c>
    </row>
    <row r="793" spans="3:7" ht="15" hidden="1" x14ac:dyDescent="0.25">
      <c r="C793" s="4" t="str">
        <f>IFERROR(AVERAGEIFS('2. Program Allocation Output'!$P:$P,'2. Program Allocation Output'!$AF:$AF,$A793,'2. Program Allocation Output'!$AG:$AG,$B793),"")</f>
        <v/>
      </c>
      <c r="D793" s="4" t="str">
        <f>IFERROR(AVERAGEIFS('2. Program Allocation Output'!$O:$O,'2. Program Allocation Output'!$AF:$AF,$A793,'2. Program Allocation Output'!$AG:$AG,$B793),"")</f>
        <v/>
      </c>
      <c r="E793" s="5" t="str">
        <f>IFERROR(AVERAGEIFS('2. Program Allocation Output'!$L:$L,'2. Program Allocation Output'!$AF:$AF,$A793,'2. Program Allocation Output'!$AG:$AG,$B793),"")</f>
        <v/>
      </c>
      <c r="F793" s="39" t="str">
        <f t="shared" si="27"/>
        <v/>
      </c>
      <c r="G793" t="str">
        <f t="shared" si="28"/>
        <v/>
      </c>
    </row>
    <row r="794" spans="3:7" ht="15" hidden="1" x14ac:dyDescent="0.25">
      <c r="C794" s="4" t="str">
        <f>IFERROR(AVERAGEIFS('2. Program Allocation Output'!$P:$P,'2. Program Allocation Output'!$AF:$AF,$A794,'2. Program Allocation Output'!$AG:$AG,$B794),"")</f>
        <v/>
      </c>
      <c r="D794" s="4" t="str">
        <f>IFERROR(AVERAGEIFS('2. Program Allocation Output'!$O:$O,'2. Program Allocation Output'!$AF:$AF,$A794,'2. Program Allocation Output'!$AG:$AG,$B794),"")</f>
        <v/>
      </c>
      <c r="E794" s="5" t="str">
        <f>IFERROR(AVERAGEIFS('2. Program Allocation Output'!$L:$L,'2. Program Allocation Output'!$AF:$AF,$A794,'2. Program Allocation Output'!$AG:$AG,$B794),"")</f>
        <v/>
      </c>
      <c r="F794" s="39" t="str">
        <f t="shared" si="27"/>
        <v/>
      </c>
      <c r="G794" t="str">
        <f t="shared" si="28"/>
        <v/>
      </c>
    </row>
    <row r="795" spans="3:7" ht="15" hidden="1" x14ac:dyDescent="0.25">
      <c r="C795" s="4" t="str">
        <f>IFERROR(AVERAGEIFS('2. Program Allocation Output'!$P:$P,'2. Program Allocation Output'!$AF:$AF,$A795,'2. Program Allocation Output'!$AG:$AG,$B795),"")</f>
        <v/>
      </c>
      <c r="D795" s="4" t="str">
        <f>IFERROR(AVERAGEIFS('2. Program Allocation Output'!$O:$O,'2. Program Allocation Output'!$AF:$AF,$A795,'2. Program Allocation Output'!$AG:$AG,$B795),"")</f>
        <v/>
      </c>
      <c r="E795" s="5" t="str">
        <f>IFERROR(AVERAGEIFS('2. Program Allocation Output'!$L:$L,'2. Program Allocation Output'!$AF:$AF,$A795,'2. Program Allocation Output'!$AG:$AG,$B795),"")</f>
        <v/>
      </c>
      <c r="F795" s="39" t="str">
        <f t="shared" si="27"/>
        <v/>
      </c>
      <c r="G795" t="str">
        <f t="shared" si="28"/>
        <v/>
      </c>
    </row>
    <row r="796" spans="3:7" ht="15" hidden="1" x14ac:dyDescent="0.25">
      <c r="C796" s="4" t="str">
        <f>IFERROR(AVERAGEIFS('2. Program Allocation Output'!$P:$P,'2. Program Allocation Output'!$AF:$AF,$A796,'2. Program Allocation Output'!$AG:$AG,$B796),"")</f>
        <v/>
      </c>
      <c r="D796" s="4" t="str">
        <f>IFERROR(AVERAGEIFS('2. Program Allocation Output'!$O:$O,'2. Program Allocation Output'!$AF:$AF,$A796,'2. Program Allocation Output'!$AG:$AG,$B796),"")</f>
        <v/>
      </c>
      <c r="E796" s="5" t="str">
        <f>IFERROR(AVERAGEIFS('2. Program Allocation Output'!$L:$L,'2. Program Allocation Output'!$AF:$AF,$A796,'2. Program Allocation Output'!$AG:$AG,$B796),"")</f>
        <v/>
      </c>
      <c r="F796" s="39" t="str">
        <f t="shared" si="27"/>
        <v/>
      </c>
      <c r="G796" t="str">
        <f t="shared" si="28"/>
        <v/>
      </c>
    </row>
    <row r="797" spans="3:7" ht="15" hidden="1" x14ac:dyDescent="0.25">
      <c r="C797" s="4" t="str">
        <f>IFERROR(AVERAGEIFS('2. Program Allocation Output'!$P:$P,'2. Program Allocation Output'!$AF:$AF,$A797,'2. Program Allocation Output'!$AG:$AG,$B797),"")</f>
        <v/>
      </c>
      <c r="D797" s="4" t="str">
        <f>IFERROR(AVERAGEIFS('2. Program Allocation Output'!$O:$O,'2. Program Allocation Output'!$AF:$AF,$A797,'2. Program Allocation Output'!$AG:$AG,$B797),"")</f>
        <v/>
      </c>
      <c r="E797" s="5" t="str">
        <f>IFERROR(AVERAGEIFS('2. Program Allocation Output'!$L:$L,'2. Program Allocation Output'!$AF:$AF,$A797,'2. Program Allocation Output'!$AG:$AG,$B797),"")</f>
        <v/>
      </c>
      <c r="F797" s="39" t="str">
        <f t="shared" si="27"/>
        <v/>
      </c>
      <c r="G797" t="str">
        <f t="shared" si="28"/>
        <v/>
      </c>
    </row>
    <row r="798" spans="3:7" ht="15" hidden="1" x14ac:dyDescent="0.25">
      <c r="C798" s="4" t="str">
        <f>IFERROR(AVERAGEIFS('2. Program Allocation Output'!$P:$P,'2. Program Allocation Output'!$AF:$AF,$A798,'2. Program Allocation Output'!$AG:$AG,$B798),"")</f>
        <v/>
      </c>
      <c r="D798" s="4" t="str">
        <f>IFERROR(AVERAGEIFS('2. Program Allocation Output'!$O:$O,'2. Program Allocation Output'!$AF:$AF,$A798,'2. Program Allocation Output'!$AG:$AG,$B798),"")</f>
        <v/>
      </c>
      <c r="E798" s="5" t="str">
        <f>IFERROR(AVERAGEIFS('2. Program Allocation Output'!$L:$L,'2. Program Allocation Output'!$AF:$AF,$A798,'2. Program Allocation Output'!$AG:$AG,$B798),"")</f>
        <v/>
      </c>
      <c r="F798" s="39" t="str">
        <f t="shared" si="27"/>
        <v/>
      </c>
      <c r="G798" t="str">
        <f t="shared" si="28"/>
        <v/>
      </c>
    </row>
    <row r="799" spans="3:7" ht="15" hidden="1" x14ac:dyDescent="0.25">
      <c r="C799" s="4" t="str">
        <f>IFERROR(AVERAGEIFS('2. Program Allocation Output'!$P:$P,'2. Program Allocation Output'!$AF:$AF,$A799,'2. Program Allocation Output'!$AG:$AG,$B799),"")</f>
        <v/>
      </c>
      <c r="D799" s="4" t="str">
        <f>IFERROR(AVERAGEIFS('2. Program Allocation Output'!$O:$O,'2. Program Allocation Output'!$AF:$AF,$A799,'2. Program Allocation Output'!$AG:$AG,$B799),"")</f>
        <v/>
      </c>
      <c r="E799" s="5" t="str">
        <f>IFERROR(AVERAGEIFS('2. Program Allocation Output'!$L:$L,'2. Program Allocation Output'!$AF:$AF,$A799,'2. Program Allocation Output'!$AG:$AG,$B799),"")</f>
        <v/>
      </c>
      <c r="F799" s="39" t="str">
        <f t="shared" si="27"/>
        <v/>
      </c>
      <c r="G799" t="str">
        <f t="shared" si="28"/>
        <v/>
      </c>
    </row>
    <row r="800" spans="3:7" ht="15" hidden="1" x14ac:dyDescent="0.25">
      <c r="C800" s="4" t="str">
        <f>IFERROR(AVERAGEIFS('2. Program Allocation Output'!$P:$P,'2. Program Allocation Output'!$AF:$AF,$A800,'2. Program Allocation Output'!$AG:$AG,$B800),"")</f>
        <v/>
      </c>
      <c r="D800" s="4" t="str">
        <f>IFERROR(AVERAGEIFS('2. Program Allocation Output'!$O:$O,'2. Program Allocation Output'!$AF:$AF,$A800,'2. Program Allocation Output'!$AG:$AG,$B800),"")</f>
        <v/>
      </c>
      <c r="E800" s="5" t="str">
        <f>IFERROR(AVERAGEIFS('2. Program Allocation Output'!$L:$L,'2. Program Allocation Output'!$AF:$AF,$A800,'2. Program Allocation Output'!$AG:$AG,$B800),"")</f>
        <v/>
      </c>
      <c r="F800" s="39" t="str">
        <f t="shared" si="27"/>
        <v/>
      </c>
      <c r="G800" t="str">
        <f t="shared" si="28"/>
        <v/>
      </c>
    </row>
    <row r="801" spans="3:7" ht="15" hidden="1" x14ac:dyDescent="0.25">
      <c r="C801" s="4" t="str">
        <f>IFERROR(AVERAGEIFS('2. Program Allocation Output'!$P:$P,'2. Program Allocation Output'!$AF:$AF,$A801,'2. Program Allocation Output'!$AG:$AG,$B801),"")</f>
        <v/>
      </c>
      <c r="D801" s="4" t="str">
        <f>IFERROR(AVERAGEIFS('2. Program Allocation Output'!$O:$O,'2. Program Allocation Output'!$AF:$AF,$A801,'2. Program Allocation Output'!$AG:$AG,$B801),"")</f>
        <v/>
      </c>
      <c r="E801" s="5" t="str">
        <f>IFERROR(AVERAGEIFS('2. Program Allocation Output'!$L:$L,'2. Program Allocation Output'!$AF:$AF,$A801,'2. Program Allocation Output'!$AG:$AG,$B801),"")</f>
        <v/>
      </c>
      <c r="F801" s="39" t="str">
        <f t="shared" si="27"/>
        <v/>
      </c>
      <c r="G801" t="str">
        <f t="shared" si="28"/>
        <v/>
      </c>
    </row>
    <row r="802" spans="3:7" ht="15" hidden="1" x14ac:dyDescent="0.25">
      <c r="C802" s="4" t="str">
        <f>IFERROR(AVERAGEIFS('2. Program Allocation Output'!$P:$P,'2. Program Allocation Output'!$AF:$AF,$A802,'2. Program Allocation Output'!$AG:$AG,$B802),"")</f>
        <v/>
      </c>
      <c r="D802" s="4" t="str">
        <f>IFERROR(AVERAGEIFS('2. Program Allocation Output'!$O:$O,'2. Program Allocation Output'!$AF:$AF,$A802,'2. Program Allocation Output'!$AG:$AG,$B802),"")</f>
        <v/>
      </c>
      <c r="E802" s="5" t="str">
        <f>IFERROR(AVERAGEIFS('2. Program Allocation Output'!$L:$L,'2. Program Allocation Output'!$AF:$AF,$A802,'2. Program Allocation Output'!$AG:$AG,$B802),"")</f>
        <v/>
      </c>
      <c r="F802" s="39" t="str">
        <f t="shared" si="27"/>
        <v/>
      </c>
      <c r="G802" t="str">
        <f t="shared" si="28"/>
        <v/>
      </c>
    </row>
    <row r="803" spans="3:7" ht="15" hidden="1" x14ac:dyDescent="0.25">
      <c r="C803" s="4" t="str">
        <f>IFERROR(AVERAGEIFS('2. Program Allocation Output'!$P:$P,'2. Program Allocation Output'!$AF:$AF,$A803,'2. Program Allocation Output'!$AG:$AG,$B803),"")</f>
        <v/>
      </c>
      <c r="D803" s="4" t="str">
        <f>IFERROR(AVERAGEIFS('2. Program Allocation Output'!$O:$O,'2. Program Allocation Output'!$AF:$AF,$A803,'2. Program Allocation Output'!$AG:$AG,$B803),"")</f>
        <v/>
      </c>
      <c r="E803" s="5" t="str">
        <f>IFERROR(AVERAGEIFS('2. Program Allocation Output'!$L:$L,'2. Program Allocation Output'!$AF:$AF,$A803,'2. Program Allocation Output'!$AG:$AG,$B803),"")</f>
        <v/>
      </c>
      <c r="F803" s="39" t="str">
        <f t="shared" si="27"/>
        <v/>
      </c>
      <c r="G803" t="str">
        <f t="shared" si="28"/>
        <v/>
      </c>
    </row>
    <row r="804" spans="3:7" ht="15" hidden="1" x14ac:dyDescent="0.25">
      <c r="C804" s="4" t="str">
        <f>IFERROR(AVERAGEIFS('2. Program Allocation Output'!$P:$P,'2. Program Allocation Output'!$AF:$AF,$A804,'2. Program Allocation Output'!$AG:$AG,$B804),"")</f>
        <v/>
      </c>
      <c r="D804" s="4" t="str">
        <f>IFERROR(AVERAGEIFS('2. Program Allocation Output'!$O:$O,'2. Program Allocation Output'!$AF:$AF,$A804,'2. Program Allocation Output'!$AG:$AG,$B804),"")</f>
        <v/>
      </c>
      <c r="E804" s="5" t="str">
        <f>IFERROR(AVERAGEIFS('2. Program Allocation Output'!$L:$L,'2. Program Allocation Output'!$AF:$AF,$A804,'2. Program Allocation Output'!$AG:$AG,$B804),"")</f>
        <v/>
      </c>
      <c r="F804" s="39" t="str">
        <f t="shared" si="27"/>
        <v/>
      </c>
      <c r="G804" t="str">
        <f t="shared" si="28"/>
        <v/>
      </c>
    </row>
    <row r="805" spans="3:7" ht="15" hidden="1" x14ac:dyDescent="0.25">
      <c r="C805" s="4" t="str">
        <f>IFERROR(AVERAGEIFS('2. Program Allocation Output'!$P:$P,'2. Program Allocation Output'!$AF:$AF,$A805,'2. Program Allocation Output'!$AG:$AG,$B805),"")</f>
        <v/>
      </c>
      <c r="D805" s="4" t="str">
        <f>IFERROR(AVERAGEIFS('2. Program Allocation Output'!$O:$O,'2. Program Allocation Output'!$AF:$AF,$A805,'2. Program Allocation Output'!$AG:$AG,$B805),"")</f>
        <v/>
      </c>
      <c r="E805" s="5" t="str">
        <f>IFERROR(AVERAGEIFS('2. Program Allocation Output'!$L:$L,'2. Program Allocation Output'!$AF:$AF,$A805,'2. Program Allocation Output'!$AG:$AG,$B805),"")</f>
        <v/>
      </c>
      <c r="F805" s="39" t="str">
        <f t="shared" si="27"/>
        <v/>
      </c>
      <c r="G805" t="str">
        <f t="shared" si="28"/>
        <v/>
      </c>
    </row>
    <row r="806" spans="3:7" ht="15" hidden="1" x14ac:dyDescent="0.25">
      <c r="C806" s="4" t="str">
        <f>IFERROR(AVERAGEIFS('2. Program Allocation Output'!$P:$P,'2. Program Allocation Output'!$AF:$AF,$A806,'2. Program Allocation Output'!$AG:$AG,$B806),"")</f>
        <v/>
      </c>
      <c r="D806" s="4" t="str">
        <f>IFERROR(AVERAGEIFS('2. Program Allocation Output'!$O:$O,'2. Program Allocation Output'!$AF:$AF,$A806,'2. Program Allocation Output'!$AG:$AG,$B806),"")</f>
        <v/>
      </c>
      <c r="E806" s="5" t="str">
        <f>IFERROR(AVERAGEIFS('2. Program Allocation Output'!$L:$L,'2. Program Allocation Output'!$AF:$AF,$A806,'2. Program Allocation Output'!$AG:$AG,$B806),"")</f>
        <v/>
      </c>
      <c r="F806" s="39" t="str">
        <f t="shared" si="27"/>
        <v/>
      </c>
      <c r="G806" t="str">
        <f t="shared" si="28"/>
        <v/>
      </c>
    </row>
    <row r="807" spans="3:7" ht="15" hidden="1" x14ac:dyDescent="0.25">
      <c r="C807" s="4" t="str">
        <f>IFERROR(AVERAGEIFS('2. Program Allocation Output'!$P:$P,'2. Program Allocation Output'!$AF:$AF,$A807,'2. Program Allocation Output'!$AG:$AG,$B807),"")</f>
        <v/>
      </c>
      <c r="D807" s="4" t="str">
        <f>IFERROR(AVERAGEIFS('2. Program Allocation Output'!$O:$O,'2. Program Allocation Output'!$AF:$AF,$A807,'2. Program Allocation Output'!$AG:$AG,$B807),"")</f>
        <v/>
      </c>
      <c r="E807" s="5" t="str">
        <f>IFERROR(AVERAGEIFS('2. Program Allocation Output'!$L:$L,'2. Program Allocation Output'!$AF:$AF,$A807,'2. Program Allocation Output'!$AG:$AG,$B807),"")</f>
        <v/>
      </c>
      <c r="F807" s="39" t="str">
        <f t="shared" si="27"/>
        <v/>
      </c>
      <c r="G807" t="str">
        <f t="shared" si="28"/>
        <v/>
      </c>
    </row>
    <row r="808" spans="3:7" ht="15" hidden="1" x14ac:dyDescent="0.25">
      <c r="C808" s="4" t="str">
        <f>IFERROR(AVERAGEIFS('2. Program Allocation Output'!$P:$P,'2. Program Allocation Output'!$AF:$AF,$A808,'2. Program Allocation Output'!$AG:$AG,$B808),"")</f>
        <v/>
      </c>
      <c r="D808" s="4" t="str">
        <f>IFERROR(AVERAGEIFS('2. Program Allocation Output'!$O:$O,'2. Program Allocation Output'!$AF:$AF,$A808,'2. Program Allocation Output'!$AG:$AG,$B808),"")</f>
        <v/>
      </c>
      <c r="E808" s="5" t="str">
        <f>IFERROR(AVERAGEIFS('2. Program Allocation Output'!$L:$L,'2. Program Allocation Output'!$AF:$AF,$A808,'2. Program Allocation Output'!$AG:$AG,$B808),"")</f>
        <v/>
      </c>
      <c r="F808" s="39" t="str">
        <f t="shared" si="27"/>
        <v/>
      </c>
      <c r="G808" t="str">
        <f t="shared" si="28"/>
        <v/>
      </c>
    </row>
    <row r="809" spans="3:7" ht="15" hidden="1" x14ac:dyDescent="0.25">
      <c r="C809" s="4" t="str">
        <f>IFERROR(AVERAGEIFS('2. Program Allocation Output'!$P:$P,'2. Program Allocation Output'!$AF:$AF,$A809,'2. Program Allocation Output'!$AG:$AG,$B809),"")</f>
        <v/>
      </c>
      <c r="D809" s="4" t="str">
        <f>IFERROR(AVERAGEIFS('2. Program Allocation Output'!$O:$O,'2. Program Allocation Output'!$AF:$AF,$A809,'2. Program Allocation Output'!$AG:$AG,$B809),"")</f>
        <v/>
      </c>
      <c r="E809" s="5" t="str">
        <f>IFERROR(AVERAGEIFS('2. Program Allocation Output'!$L:$L,'2. Program Allocation Output'!$AF:$AF,$A809,'2. Program Allocation Output'!$AG:$AG,$B809),"")</f>
        <v/>
      </c>
      <c r="F809" s="39" t="str">
        <f t="shared" si="27"/>
        <v/>
      </c>
      <c r="G809" t="str">
        <f t="shared" si="28"/>
        <v/>
      </c>
    </row>
    <row r="810" spans="3:7" ht="15" hidden="1" x14ac:dyDescent="0.25">
      <c r="C810" s="4" t="str">
        <f>IFERROR(AVERAGEIFS('2. Program Allocation Output'!$P:$P,'2. Program Allocation Output'!$AF:$AF,$A810,'2. Program Allocation Output'!$AG:$AG,$B810),"")</f>
        <v/>
      </c>
      <c r="D810" s="4" t="str">
        <f>IFERROR(AVERAGEIFS('2. Program Allocation Output'!$O:$O,'2. Program Allocation Output'!$AF:$AF,$A810,'2. Program Allocation Output'!$AG:$AG,$B810),"")</f>
        <v/>
      </c>
      <c r="E810" s="5" t="str">
        <f>IFERROR(AVERAGEIFS('2. Program Allocation Output'!$L:$L,'2. Program Allocation Output'!$AF:$AF,$A810,'2. Program Allocation Output'!$AG:$AG,$B810),"")</f>
        <v/>
      </c>
      <c r="F810" s="39" t="str">
        <f t="shared" si="27"/>
        <v/>
      </c>
      <c r="G810" t="str">
        <f t="shared" si="28"/>
        <v/>
      </c>
    </row>
    <row r="811" spans="3:7" ht="15" hidden="1" x14ac:dyDescent="0.25">
      <c r="C811" s="4" t="str">
        <f>IFERROR(AVERAGEIFS('2. Program Allocation Output'!$P:$P,'2. Program Allocation Output'!$AF:$AF,$A811,'2. Program Allocation Output'!$AG:$AG,$B811),"")</f>
        <v/>
      </c>
      <c r="D811" s="4" t="str">
        <f>IFERROR(AVERAGEIFS('2. Program Allocation Output'!$O:$O,'2. Program Allocation Output'!$AF:$AF,$A811,'2. Program Allocation Output'!$AG:$AG,$B811),"")</f>
        <v/>
      </c>
      <c r="E811" s="5" t="str">
        <f>IFERROR(AVERAGEIFS('2. Program Allocation Output'!$L:$L,'2. Program Allocation Output'!$AF:$AF,$A811,'2. Program Allocation Output'!$AG:$AG,$B811),"")</f>
        <v/>
      </c>
      <c r="F811" s="39" t="str">
        <f t="shared" si="27"/>
        <v/>
      </c>
      <c r="G811" t="str">
        <f t="shared" si="28"/>
        <v/>
      </c>
    </row>
    <row r="812" spans="3:7" ht="15" hidden="1" x14ac:dyDescent="0.25">
      <c r="C812" s="4" t="str">
        <f>IFERROR(AVERAGEIFS('2. Program Allocation Output'!$P:$P,'2. Program Allocation Output'!$AF:$AF,$A812,'2. Program Allocation Output'!$AG:$AG,$B812),"")</f>
        <v/>
      </c>
      <c r="D812" s="4" t="str">
        <f>IFERROR(AVERAGEIFS('2. Program Allocation Output'!$O:$O,'2. Program Allocation Output'!$AF:$AF,$A812,'2. Program Allocation Output'!$AG:$AG,$B812),"")</f>
        <v/>
      </c>
      <c r="E812" s="5" t="str">
        <f>IFERROR(AVERAGEIFS('2. Program Allocation Output'!$L:$L,'2. Program Allocation Output'!$AF:$AF,$A812,'2. Program Allocation Output'!$AG:$AG,$B812),"")</f>
        <v/>
      </c>
      <c r="F812" s="39" t="str">
        <f t="shared" si="27"/>
        <v/>
      </c>
      <c r="G812" t="str">
        <f t="shared" si="28"/>
        <v/>
      </c>
    </row>
    <row r="813" spans="3:7" ht="15" hidden="1" x14ac:dyDescent="0.25">
      <c r="C813" s="4" t="str">
        <f>IFERROR(AVERAGEIFS('2. Program Allocation Output'!$P:$P,'2. Program Allocation Output'!$AF:$AF,$A813,'2. Program Allocation Output'!$AG:$AG,$B813),"")</f>
        <v/>
      </c>
      <c r="D813" s="4" t="str">
        <f>IFERROR(AVERAGEIFS('2. Program Allocation Output'!$O:$O,'2. Program Allocation Output'!$AF:$AF,$A813,'2. Program Allocation Output'!$AG:$AG,$B813),"")</f>
        <v/>
      </c>
      <c r="E813" s="5" t="str">
        <f>IFERROR(AVERAGEIFS('2. Program Allocation Output'!$L:$L,'2. Program Allocation Output'!$AF:$AF,$A813,'2. Program Allocation Output'!$AG:$AG,$B813),"")</f>
        <v/>
      </c>
      <c r="F813" s="39" t="str">
        <f t="shared" si="27"/>
        <v/>
      </c>
      <c r="G813" t="str">
        <f t="shared" si="28"/>
        <v/>
      </c>
    </row>
    <row r="814" spans="3:7" ht="15" hidden="1" x14ac:dyDescent="0.25">
      <c r="C814" s="4" t="str">
        <f>IFERROR(AVERAGEIFS('2. Program Allocation Output'!$P:$P,'2. Program Allocation Output'!$AF:$AF,$A814,'2. Program Allocation Output'!$AG:$AG,$B814),"")</f>
        <v/>
      </c>
      <c r="D814" s="4" t="str">
        <f>IFERROR(AVERAGEIFS('2. Program Allocation Output'!$O:$O,'2. Program Allocation Output'!$AF:$AF,$A814,'2. Program Allocation Output'!$AG:$AG,$B814),"")</f>
        <v/>
      </c>
      <c r="E814" s="5" t="str">
        <f>IFERROR(AVERAGEIFS('2. Program Allocation Output'!$L:$L,'2. Program Allocation Output'!$AF:$AF,$A814,'2. Program Allocation Output'!$AG:$AG,$B814),"")</f>
        <v/>
      </c>
      <c r="F814" s="39" t="str">
        <f t="shared" si="27"/>
        <v/>
      </c>
      <c r="G814" t="str">
        <f t="shared" si="28"/>
        <v/>
      </c>
    </row>
    <row r="815" spans="3:7" ht="15" hidden="1" x14ac:dyDescent="0.25">
      <c r="C815" s="4" t="str">
        <f>IFERROR(AVERAGEIFS('2. Program Allocation Output'!$P:$P,'2. Program Allocation Output'!$AF:$AF,$A815,'2. Program Allocation Output'!$AG:$AG,$B815),"")</f>
        <v/>
      </c>
      <c r="D815" s="4" t="str">
        <f>IFERROR(AVERAGEIFS('2. Program Allocation Output'!$O:$O,'2. Program Allocation Output'!$AF:$AF,$A815,'2. Program Allocation Output'!$AG:$AG,$B815),"")</f>
        <v/>
      </c>
      <c r="E815" s="5" t="str">
        <f>IFERROR(AVERAGEIFS('2. Program Allocation Output'!$L:$L,'2. Program Allocation Output'!$AF:$AF,$A815,'2. Program Allocation Output'!$AG:$AG,$B815),"")</f>
        <v/>
      </c>
      <c r="F815" s="39" t="str">
        <f t="shared" si="27"/>
        <v/>
      </c>
      <c r="G815" t="str">
        <f t="shared" si="28"/>
        <v/>
      </c>
    </row>
    <row r="816" spans="3:7" ht="15" hidden="1" x14ac:dyDescent="0.25">
      <c r="C816" s="4" t="str">
        <f>IFERROR(AVERAGEIFS('2. Program Allocation Output'!$P:$P,'2. Program Allocation Output'!$AF:$AF,$A816,'2. Program Allocation Output'!$AG:$AG,$B816),"")</f>
        <v/>
      </c>
      <c r="D816" s="4" t="str">
        <f>IFERROR(AVERAGEIFS('2. Program Allocation Output'!$O:$O,'2. Program Allocation Output'!$AF:$AF,$A816,'2. Program Allocation Output'!$AG:$AG,$B816),"")</f>
        <v/>
      </c>
      <c r="E816" s="5" t="str">
        <f>IFERROR(AVERAGEIFS('2. Program Allocation Output'!$L:$L,'2. Program Allocation Output'!$AF:$AF,$A816,'2. Program Allocation Output'!$AG:$AG,$B816),"")</f>
        <v/>
      </c>
      <c r="F816" s="39" t="str">
        <f t="shared" si="27"/>
        <v/>
      </c>
      <c r="G816" t="str">
        <f t="shared" si="28"/>
        <v/>
      </c>
    </row>
    <row r="817" spans="3:7" ht="15" hidden="1" x14ac:dyDescent="0.25">
      <c r="C817" s="4" t="str">
        <f>IFERROR(AVERAGEIFS('2. Program Allocation Output'!$P:$P,'2. Program Allocation Output'!$AF:$AF,$A817,'2. Program Allocation Output'!$AG:$AG,$B817),"")</f>
        <v/>
      </c>
      <c r="D817" s="4" t="str">
        <f>IFERROR(AVERAGEIFS('2. Program Allocation Output'!$O:$O,'2. Program Allocation Output'!$AF:$AF,$A817,'2. Program Allocation Output'!$AG:$AG,$B817),"")</f>
        <v/>
      </c>
      <c r="E817" s="5" t="str">
        <f>IFERROR(AVERAGEIFS('2. Program Allocation Output'!$L:$L,'2. Program Allocation Output'!$AF:$AF,$A817,'2. Program Allocation Output'!$AG:$AG,$B817),"")</f>
        <v/>
      </c>
      <c r="F817" s="39" t="str">
        <f t="shared" si="27"/>
        <v/>
      </c>
      <c r="G817" t="str">
        <f t="shared" si="28"/>
        <v/>
      </c>
    </row>
    <row r="818" spans="3:7" ht="15" hidden="1" x14ac:dyDescent="0.25">
      <c r="C818" s="4" t="str">
        <f>IFERROR(AVERAGEIFS('2. Program Allocation Output'!$P:$P,'2. Program Allocation Output'!$AF:$AF,$A818,'2. Program Allocation Output'!$AG:$AG,$B818),"")</f>
        <v/>
      </c>
      <c r="D818" s="4" t="str">
        <f>IFERROR(AVERAGEIFS('2. Program Allocation Output'!$O:$O,'2. Program Allocation Output'!$AF:$AF,$A818,'2. Program Allocation Output'!$AG:$AG,$B818),"")</f>
        <v/>
      </c>
      <c r="E818" s="5" t="str">
        <f>IFERROR(AVERAGEIFS('2. Program Allocation Output'!$L:$L,'2. Program Allocation Output'!$AF:$AF,$A818,'2. Program Allocation Output'!$AG:$AG,$B818),"")</f>
        <v/>
      </c>
      <c r="F818" s="39" t="str">
        <f t="shared" si="27"/>
        <v/>
      </c>
      <c r="G818" t="str">
        <f t="shared" si="28"/>
        <v/>
      </c>
    </row>
    <row r="819" spans="3:7" ht="15" hidden="1" x14ac:dyDescent="0.25">
      <c r="C819" s="4" t="str">
        <f>IFERROR(AVERAGEIFS('2. Program Allocation Output'!$P:$P,'2. Program Allocation Output'!$AF:$AF,$A819,'2. Program Allocation Output'!$AG:$AG,$B819),"")</f>
        <v/>
      </c>
      <c r="D819" s="4" t="str">
        <f>IFERROR(AVERAGEIFS('2. Program Allocation Output'!$O:$O,'2. Program Allocation Output'!$AF:$AF,$A819,'2. Program Allocation Output'!$AG:$AG,$B819),"")</f>
        <v/>
      </c>
      <c r="E819" s="5" t="str">
        <f>IFERROR(AVERAGEIFS('2. Program Allocation Output'!$L:$L,'2. Program Allocation Output'!$AF:$AF,$A819,'2. Program Allocation Output'!$AG:$AG,$B819),"")</f>
        <v/>
      </c>
      <c r="F819" s="39" t="str">
        <f t="shared" si="27"/>
        <v/>
      </c>
      <c r="G819" t="str">
        <f t="shared" si="28"/>
        <v/>
      </c>
    </row>
    <row r="820" spans="3:7" ht="15" hidden="1" x14ac:dyDescent="0.25">
      <c r="C820" s="4" t="str">
        <f>IFERROR(AVERAGEIFS('2. Program Allocation Output'!$P:$P,'2. Program Allocation Output'!$AF:$AF,$A820,'2. Program Allocation Output'!$AG:$AG,$B820),"")</f>
        <v/>
      </c>
      <c r="D820" s="4" t="str">
        <f>IFERROR(AVERAGEIFS('2. Program Allocation Output'!$O:$O,'2. Program Allocation Output'!$AF:$AF,$A820,'2. Program Allocation Output'!$AG:$AG,$B820),"")</f>
        <v/>
      </c>
      <c r="E820" s="5" t="str">
        <f>IFERROR(AVERAGEIFS('2. Program Allocation Output'!$L:$L,'2. Program Allocation Output'!$AF:$AF,$A820,'2. Program Allocation Output'!$AG:$AG,$B820),"")</f>
        <v/>
      </c>
      <c r="F820" s="39" t="str">
        <f t="shared" si="27"/>
        <v/>
      </c>
      <c r="G820" t="str">
        <f t="shared" si="28"/>
        <v/>
      </c>
    </row>
    <row r="821" spans="3:7" ht="15" hidden="1" x14ac:dyDescent="0.25">
      <c r="C821" s="4" t="str">
        <f>IFERROR(AVERAGEIFS('2. Program Allocation Output'!$P:$P,'2. Program Allocation Output'!$AF:$AF,$A821,'2. Program Allocation Output'!$AG:$AG,$B821),"")</f>
        <v/>
      </c>
      <c r="D821" s="4" t="str">
        <f>IFERROR(AVERAGEIFS('2. Program Allocation Output'!$O:$O,'2. Program Allocation Output'!$AF:$AF,$A821,'2. Program Allocation Output'!$AG:$AG,$B821),"")</f>
        <v/>
      </c>
      <c r="E821" s="5" t="str">
        <f>IFERROR(AVERAGEIFS('2. Program Allocation Output'!$L:$L,'2. Program Allocation Output'!$AF:$AF,$A821,'2. Program Allocation Output'!$AG:$AG,$B821),"")</f>
        <v/>
      </c>
      <c r="F821" s="39" t="str">
        <f t="shared" si="27"/>
        <v/>
      </c>
      <c r="G821" t="str">
        <f t="shared" si="28"/>
        <v/>
      </c>
    </row>
    <row r="822" spans="3:7" ht="15" hidden="1" x14ac:dyDescent="0.25">
      <c r="C822" s="4" t="str">
        <f>IFERROR(AVERAGEIFS('2. Program Allocation Output'!$P:$P,'2. Program Allocation Output'!$AF:$AF,$A822,'2. Program Allocation Output'!$AG:$AG,$B822),"")</f>
        <v/>
      </c>
      <c r="D822" s="4" t="str">
        <f>IFERROR(AVERAGEIFS('2. Program Allocation Output'!$O:$O,'2. Program Allocation Output'!$AF:$AF,$A822,'2. Program Allocation Output'!$AG:$AG,$B822),"")</f>
        <v/>
      </c>
      <c r="E822" s="5" t="str">
        <f>IFERROR(AVERAGEIFS('2. Program Allocation Output'!$L:$L,'2. Program Allocation Output'!$AF:$AF,$A822,'2. Program Allocation Output'!$AG:$AG,$B822),"")</f>
        <v/>
      </c>
      <c r="F822" s="39" t="str">
        <f t="shared" si="27"/>
        <v/>
      </c>
      <c r="G822" t="str">
        <f t="shared" si="28"/>
        <v/>
      </c>
    </row>
    <row r="823" spans="3:7" ht="15" hidden="1" x14ac:dyDescent="0.25">
      <c r="C823" s="4" t="str">
        <f>IFERROR(AVERAGEIFS('2. Program Allocation Output'!$P:$P,'2. Program Allocation Output'!$AF:$AF,$A823,'2. Program Allocation Output'!$AG:$AG,$B823),"")</f>
        <v/>
      </c>
      <c r="D823" s="4" t="str">
        <f>IFERROR(AVERAGEIFS('2. Program Allocation Output'!$O:$O,'2. Program Allocation Output'!$AF:$AF,$A823,'2. Program Allocation Output'!$AG:$AG,$B823),"")</f>
        <v/>
      </c>
      <c r="E823" s="5" t="str">
        <f>IFERROR(AVERAGEIFS('2. Program Allocation Output'!$L:$L,'2. Program Allocation Output'!$AF:$AF,$A823,'2. Program Allocation Output'!$AG:$AG,$B823),"")</f>
        <v/>
      </c>
      <c r="F823" s="39" t="str">
        <f t="shared" si="27"/>
        <v/>
      </c>
      <c r="G823" t="str">
        <f t="shared" si="28"/>
        <v/>
      </c>
    </row>
    <row r="824" spans="3:7" ht="15" hidden="1" x14ac:dyDescent="0.25">
      <c r="C824" s="4" t="str">
        <f>IFERROR(AVERAGEIFS('2. Program Allocation Output'!$P:$P,'2. Program Allocation Output'!$AF:$AF,$A824,'2. Program Allocation Output'!$AG:$AG,$B824),"")</f>
        <v/>
      </c>
      <c r="D824" s="4" t="str">
        <f>IFERROR(AVERAGEIFS('2. Program Allocation Output'!$O:$O,'2. Program Allocation Output'!$AF:$AF,$A824,'2. Program Allocation Output'!$AG:$AG,$B824),"")</f>
        <v/>
      </c>
      <c r="E824" s="5" t="str">
        <f>IFERROR(AVERAGEIFS('2. Program Allocation Output'!$L:$L,'2. Program Allocation Output'!$AF:$AF,$A824,'2. Program Allocation Output'!$AG:$AG,$B824),"")</f>
        <v/>
      </c>
      <c r="F824" s="39" t="str">
        <f t="shared" si="27"/>
        <v/>
      </c>
      <c r="G824" t="str">
        <f t="shared" si="28"/>
        <v/>
      </c>
    </row>
    <row r="825" spans="3:7" ht="15" hidden="1" x14ac:dyDescent="0.25">
      <c r="C825" s="4" t="str">
        <f>IFERROR(AVERAGEIFS('2. Program Allocation Output'!$P:$P,'2. Program Allocation Output'!$AF:$AF,$A825,'2. Program Allocation Output'!$AG:$AG,$B825),"")</f>
        <v/>
      </c>
      <c r="D825" s="4" t="str">
        <f>IFERROR(AVERAGEIFS('2. Program Allocation Output'!$O:$O,'2. Program Allocation Output'!$AF:$AF,$A825,'2. Program Allocation Output'!$AG:$AG,$B825),"")</f>
        <v/>
      </c>
      <c r="E825" s="5" t="str">
        <f>IFERROR(AVERAGEIFS('2. Program Allocation Output'!$L:$L,'2. Program Allocation Output'!$AF:$AF,$A825,'2. Program Allocation Output'!$AG:$AG,$B825),"")</f>
        <v/>
      </c>
      <c r="F825" s="39" t="str">
        <f t="shared" si="27"/>
        <v/>
      </c>
      <c r="G825" t="str">
        <f t="shared" si="28"/>
        <v/>
      </c>
    </row>
    <row r="826" spans="3:7" ht="15" hidden="1" x14ac:dyDescent="0.25">
      <c r="C826" s="4" t="str">
        <f>IFERROR(AVERAGEIFS('2. Program Allocation Output'!$P:$P,'2. Program Allocation Output'!$AF:$AF,$A826,'2. Program Allocation Output'!$AG:$AG,$B826),"")</f>
        <v/>
      </c>
      <c r="D826" s="4" t="str">
        <f>IFERROR(AVERAGEIFS('2. Program Allocation Output'!$O:$O,'2. Program Allocation Output'!$AF:$AF,$A826,'2. Program Allocation Output'!$AG:$AG,$B826),"")</f>
        <v/>
      </c>
      <c r="E826" s="5" t="str">
        <f>IFERROR(AVERAGEIFS('2. Program Allocation Output'!$L:$L,'2. Program Allocation Output'!$AF:$AF,$A826,'2. Program Allocation Output'!$AG:$AG,$B826),"")</f>
        <v/>
      </c>
      <c r="F826" s="39" t="str">
        <f t="shared" si="27"/>
        <v/>
      </c>
      <c r="G826" t="str">
        <f t="shared" si="28"/>
        <v/>
      </c>
    </row>
    <row r="827" spans="3:7" ht="15" hidden="1" x14ac:dyDescent="0.25">
      <c r="C827" s="4" t="str">
        <f>IFERROR(AVERAGEIFS('2. Program Allocation Output'!$P:$P,'2. Program Allocation Output'!$AF:$AF,$A827,'2. Program Allocation Output'!$AG:$AG,$B827),"")</f>
        <v/>
      </c>
      <c r="D827" s="4" t="str">
        <f>IFERROR(AVERAGEIFS('2. Program Allocation Output'!$O:$O,'2. Program Allocation Output'!$AF:$AF,$A827,'2. Program Allocation Output'!$AG:$AG,$B827),"")</f>
        <v/>
      </c>
      <c r="E827" s="5" t="str">
        <f>IFERROR(AVERAGEIFS('2. Program Allocation Output'!$L:$L,'2. Program Allocation Output'!$AF:$AF,$A827,'2. Program Allocation Output'!$AG:$AG,$B827),"")</f>
        <v/>
      </c>
      <c r="F827" s="39" t="str">
        <f t="shared" si="27"/>
        <v/>
      </c>
      <c r="G827" t="str">
        <f t="shared" si="28"/>
        <v/>
      </c>
    </row>
    <row r="828" spans="3:7" ht="15" hidden="1" x14ac:dyDescent="0.25">
      <c r="C828" s="4" t="str">
        <f>IFERROR(AVERAGEIFS('2. Program Allocation Output'!$P:$P,'2. Program Allocation Output'!$AF:$AF,$A828,'2. Program Allocation Output'!$AG:$AG,$B828),"")</f>
        <v/>
      </c>
      <c r="D828" s="4" t="str">
        <f>IFERROR(AVERAGEIFS('2. Program Allocation Output'!$O:$O,'2. Program Allocation Output'!$AF:$AF,$A828,'2. Program Allocation Output'!$AG:$AG,$B828),"")</f>
        <v/>
      </c>
      <c r="E828" s="5" t="str">
        <f>IFERROR(AVERAGEIFS('2. Program Allocation Output'!$L:$L,'2. Program Allocation Output'!$AF:$AF,$A828,'2. Program Allocation Output'!$AG:$AG,$B828),"")</f>
        <v/>
      </c>
      <c r="F828" s="39" t="str">
        <f t="shared" si="27"/>
        <v/>
      </c>
      <c r="G828" t="str">
        <f t="shared" si="28"/>
        <v/>
      </c>
    </row>
    <row r="829" spans="3:7" ht="15" hidden="1" x14ac:dyDescent="0.25">
      <c r="C829" s="4" t="str">
        <f>IFERROR(AVERAGEIFS('2. Program Allocation Output'!$P:$P,'2. Program Allocation Output'!$AF:$AF,$A829,'2. Program Allocation Output'!$AG:$AG,$B829),"")</f>
        <v/>
      </c>
      <c r="D829" s="4" t="str">
        <f>IFERROR(AVERAGEIFS('2. Program Allocation Output'!$O:$O,'2. Program Allocation Output'!$AF:$AF,$A829,'2. Program Allocation Output'!$AG:$AG,$B829),"")</f>
        <v/>
      </c>
      <c r="E829" s="5" t="str">
        <f>IFERROR(AVERAGEIFS('2. Program Allocation Output'!$L:$L,'2. Program Allocation Output'!$AF:$AF,$A829,'2. Program Allocation Output'!$AG:$AG,$B829),"")</f>
        <v/>
      </c>
      <c r="F829" s="39" t="str">
        <f t="shared" si="27"/>
        <v/>
      </c>
      <c r="G829" t="str">
        <f t="shared" si="28"/>
        <v/>
      </c>
    </row>
    <row r="830" spans="3:7" ht="15" hidden="1" x14ac:dyDescent="0.25">
      <c r="C830" s="4" t="str">
        <f>IFERROR(AVERAGEIFS('2. Program Allocation Output'!$P:$P,'2. Program Allocation Output'!$AF:$AF,$A830,'2. Program Allocation Output'!$AG:$AG,$B830),"")</f>
        <v/>
      </c>
      <c r="D830" s="4" t="str">
        <f>IFERROR(AVERAGEIFS('2. Program Allocation Output'!$O:$O,'2. Program Allocation Output'!$AF:$AF,$A830,'2. Program Allocation Output'!$AG:$AG,$B830),"")</f>
        <v/>
      </c>
      <c r="E830" s="5" t="str">
        <f>IFERROR(AVERAGEIFS('2. Program Allocation Output'!$L:$L,'2. Program Allocation Output'!$AF:$AF,$A830,'2. Program Allocation Output'!$AG:$AG,$B830),"")</f>
        <v/>
      </c>
      <c r="F830" s="39" t="str">
        <f t="shared" si="27"/>
        <v/>
      </c>
      <c r="G830" t="str">
        <f t="shared" si="28"/>
        <v/>
      </c>
    </row>
    <row r="831" spans="3:7" ht="15" hidden="1" x14ac:dyDescent="0.25">
      <c r="C831" s="4" t="str">
        <f>IFERROR(AVERAGEIFS('2. Program Allocation Output'!$P:$P,'2. Program Allocation Output'!$AF:$AF,$A831,'2. Program Allocation Output'!$AG:$AG,$B831),"")</f>
        <v/>
      </c>
      <c r="D831" s="4" t="str">
        <f>IFERROR(AVERAGEIFS('2. Program Allocation Output'!$O:$O,'2. Program Allocation Output'!$AF:$AF,$A831,'2. Program Allocation Output'!$AG:$AG,$B831),"")</f>
        <v/>
      </c>
      <c r="E831" s="5" t="str">
        <f>IFERROR(AVERAGEIFS('2. Program Allocation Output'!$L:$L,'2. Program Allocation Output'!$AF:$AF,$A831,'2. Program Allocation Output'!$AG:$AG,$B831),"")</f>
        <v/>
      </c>
      <c r="F831" s="39" t="str">
        <f t="shared" si="27"/>
        <v/>
      </c>
      <c r="G831" t="str">
        <f t="shared" si="28"/>
        <v/>
      </c>
    </row>
    <row r="832" spans="3:7" ht="15" hidden="1" x14ac:dyDescent="0.25">
      <c r="C832" s="4" t="str">
        <f>IFERROR(AVERAGEIFS('2. Program Allocation Output'!$P:$P,'2. Program Allocation Output'!$AF:$AF,$A832,'2. Program Allocation Output'!$AG:$AG,$B832),"")</f>
        <v/>
      </c>
      <c r="D832" s="4" t="str">
        <f>IFERROR(AVERAGEIFS('2. Program Allocation Output'!$O:$O,'2. Program Allocation Output'!$AF:$AF,$A832,'2. Program Allocation Output'!$AG:$AG,$B832),"")</f>
        <v/>
      </c>
      <c r="E832" s="5" t="str">
        <f>IFERROR(AVERAGEIFS('2. Program Allocation Output'!$L:$L,'2. Program Allocation Output'!$AF:$AF,$A832,'2. Program Allocation Output'!$AG:$AG,$B832),"")</f>
        <v/>
      </c>
      <c r="F832" s="39" t="str">
        <f t="shared" si="27"/>
        <v/>
      </c>
      <c r="G832" t="str">
        <f t="shared" si="28"/>
        <v/>
      </c>
    </row>
    <row r="833" spans="3:7" ht="15" hidden="1" x14ac:dyDescent="0.25">
      <c r="C833" s="4" t="str">
        <f>IFERROR(AVERAGEIFS('2. Program Allocation Output'!$P:$P,'2. Program Allocation Output'!$AF:$AF,$A833,'2. Program Allocation Output'!$AG:$AG,$B833),"")</f>
        <v/>
      </c>
      <c r="D833" s="4" t="str">
        <f>IFERROR(AVERAGEIFS('2. Program Allocation Output'!$O:$O,'2. Program Allocation Output'!$AF:$AF,$A833,'2. Program Allocation Output'!$AG:$AG,$B833),"")</f>
        <v/>
      </c>
      <c r="E833" s="5" t="str">
        <f>IFERROR(AVERAGEIFS('2. Program Allocation Output'!$L:$L,'2. Program Allocation Output'!$AF:$AF,$A833,'2. Program Allocation Output'!$AG:$AG,$B833),"")</f>
        <v/>
      </c>
      <c r="F833" s="39" t="str">
        <f t="shared" si="27"/>
        <v/>
      </c>
      <c r="G833" t="str">
        <f t="shared" si="28"/>
        <v/>
      </c>
    </row>
    <row r="834" spans="3:7" ht="15" hidden="1" x14ac:dyDescent="0.25">
      <c r="C834" s="4" t="str">
        <f>IFERROR(AVERAGEIFS('2. Program Allocation Output'!$P:$P,'2. Program Allocation Output'!$AF:$AF,$A834,'2. Program Allocation Output'!$AG:$AG,$B834),"")</f>
        <v/>
      </c>
      <c r="D834" s="4" t="str">
        <f>IFERROR(AVERAGEIFS('2. Program Allocation Output'!$O:$O,'2. Program Allocation Output'!$AF:$AF,$A834,'2. Program Allocation Output'!$AG:$AG,$B834),"")</f>
        <v/>
      </c>
      <c r="E834" s="5" t="str">
        <f>IFERROR(AVERAGEIFS('2. Program Allocation Output'!$L:$L,'2. Program Allocation Output'!$AF:$AF,$A834,'2. Program Allocation Output'!$AG:$AG,$B834),"")</f>
        <v/>
      </c>
      <c r="F834" s="39" t="str">
        <f t="shared" si="27"/>
        <v/>
      </c>
      <c r="G834" t="str">
        <f t="shared" si="28"/>
        <v/>
      </c>
    </row>
    <row r="835" spans="3:7" ht="15" hidden="1" x14ac:dyDescent="0.25">
      <c r="C835" s="4" t="str">
        <f>IFERROR(AVERAGEIFS('2. Program Allocation Output'!$P:$P,'2. Program Allocation Output'!$AF:$AF,$A835,'2. Program Allocation Output'!$AG:$AG,$B835),"")</f>
        <v/>
      </c>
      <c r="D835" s="4" t="str">
        <f>IFERROR(AVERAGEIFS('2. Program Allocation Output'!$O:$O,'2. Program Allocation Output'!$AF:$AF,$A835,'2. Program Allocation Output'!$AG:$AG,$B835),"")</f>
        <v/>
      </c>
      <c r="E835" s="5" t="str">
        <f>IFERROR(AVERAGEIFS('2. Program Allocation Output'!$L:$L,'2. Program Allocation Output'!$AF:$AF,$A835,'2. Program Allocation Output'!$AG:$AG,$B835),"")</f>
        <v/>
      </c>
      <c r="F835" s="39" t="str">
        <f t="shared" ref="F835:F898" si="29">IFERROR(C835*1,"")</f>
        <v/>
      </c>
      <c r="G835" t="str">
        <f t="shared" si="28"/>
        <v/>
      </c>
    </row>
    <row r="836" spans="3:7" ht="15" hidden="1" x14ac:dyDescent="0.25">
      <c r="C836" s="4" t="str">
        <f>IFERROR(AVERAGEIFS('2. Program Allocation Output'!$P:$P,'2. Program Allocation Output'!$AF:$AF,$A836,'2. Program Allocation Output'!$AG:$AG,$B836),"")</f>
        <v/>
      </c>
      <c r="D836" s="4" t="str">
        <f>IFERROR(AVERAGEIFS('2. Program Allocation Output'!$O:$O,'2. Program Allocation Output'!$AF:$AF,$A836,'2. Program Allocation Output'!$AG:$AG,$B836),"")</f>
        <v/>
      </c>
      <c r="E836" s="5" t="str">
        <f>IFERROR(AVERAGEIFS('2. Program Allocation Output'!$L:$L,'2. Program Allocation Output'!$AF:$AF,$A836,'2. Program Allocation Output'!$AG:$AG,$B836),"")</f>
        <v/>
      </c>
      <c r="F836" s="39" t="str">
        <f t="shared" si="29"/>
        <v/>
      </c>
      <c r="G836" t="str">
        <f t="shared" si="28"/>
        <v/>
      </c>
    </row>
    <row r="837" spans="3:7" ht="15" hidden="1" x14ac:dyDescent="0.25">
      <c r="C837" s="4" t="str">
        <f>IFERROR(AVERAGEIFS('2. Program Allocation Output'!$P:$P,'2. Program Allocation Output'!$AF:$AF,$A837,'2. Program Allocation Output'!$AG:$AG,$B837),"")</f>
        <v/>
      </c>
      <c r="D837" s="4" t="str">
        <f>IFERROR(AVERAGEIFS('2. Program Allocation Output'!$O:$O,'2. Program Allocation Output'!$AF:$AF,$A837,'2. Program Allocation Output'!$AG:$AG,$B837),"")</f>
        <v/>
      </c>
      <c r="E837" s="5" t="str">
        <f>IFERROR(AVERAGEIFS('2. Program Allocation Output'!$L:$L,'2. Program Allocation Output'!$AF:$AF,$A837,'2. Program Allocation Output'!$AG:$AG,$B837),"")</f>
        <v/>
      </c>
      <c r="F837" s="39" t="str">
        <f t="shared" si="29"/>
        <v/>
      </c>
      <c r="G837" t="str">
        <f t="shared" si="28"/>
        <v/>
      </c>
    </row>
    <row r="838" spans="3:7" ht="15" hidden="1" x14ac:dyDescent="0.25">
      <c r="C838" s="4" t="str">
        <f>IFERROR(AVERAGEIFS('2. Program Allocation Output'!$P:$P,'2. Program Allocation Output'!$AF:$AF,$A838,'2. Program Allocation Output'!$AG:$AG,$B838),"")</f>
        <v/>
      </c>
      <c r="D838" s="4" t="str">
        <f>IFERROR(AVERAGEIFS('2. Program Allocation Output'!$O:$O,'2. Program Allocation Output'!$AF:$AF,$A838,'2. Program Allocation Output'!$AG:$AG,$B838),"")</f>
        <v/>
      </c>
      <c r="E838" s="5" t="str">
        <f>IFERROR(AVERAGEIFS('2. Program Allocation Output'!$L:$L,'2. Program Allocation Output'!$AF:$AF,$A838,'2. Program Allocation Output'!$AG:$AG,$B838),"")</f>
        <v/>
      </c>
      <c r="F838" s="39" t="str">
        <f t="shared" si="29"/>
        <v/>
      </c>
      <c r="G838" t="str">
        <f t="shared" si="28"/>
        <v/>
      </c>
    </row>
    <row r="839" spans="3:7" ht="15" hidden="1" x14ac:dyDescent="0.25">
      <c r="C839" s="4" t="str">
        <f>IFERROR(AVERAGEIFS('2. Program Allocation Output'!$P:$P,'2. Program Allocation Output'!$AF:$AF,$A839,'2. Program Allocation Output'!$AG:$AG,$B839),"")</f>
        <v/>
      </c>
      <c r="D839" s="4" t="str">
        <f>IFERROR(AVERAGEIFS('2. Program Allocation Output'!$O:$O,'2. Program Allocation Output'!$AF:$AF,$A839,'2. Program Allocation Output'!$AG:$AG,$B839),"")</f>
        <v/>
      </c>
      <c r="E839" s="5" t="str">
        <f>IFERROR(AVERAGEIFS('2. Program Allocation Output'!$L:$L,'2. Program Allocation Output'!$AF:$AF,$A839,'2. Program Allocation Output'!$AG:$AG,$B839),"")</f>
        <v/>
      </c>
      <c r="F839" s="39" t="str">
        <f t="shared" si="29"/>
        <v/>
      </c>
      <c r="G839" t="str">
        <f t="shared" si="28"/>
        <v/>
      </c>
    </row>
    <row r="840" spans="3:7" ht="15" hidden="1" x14ac:dyDescent="0.25">
      <c r="C840" s="4" t="str">
        <f>IFERROR(AVERAGEIFS('2. Program Allocation Output'!$P:$P,'2. Program Allocation Output'!$AF:$AF,$A840,'2. Program Allocation Output'!$AG:$AG,$B840),"")</f>
        <v/>
      </c>
      <c r="D840" s="4" t="str">
        <f>IFERROR(AVERAGEIFS('2. Program Allocation Output'!$O:$O,'2. Program Allocation Output'!$AF:$AF,$A840,'2. Program Allocation Output'!$AG:$AG,$B840),"")</f>
        <v/>
      </c>
      <c r="E840" s="5" t="str">
        <f>IFERROR(AVERAGEIFS('2. Program Allocation Output'!$L:$L,'2. Program Allocation Output'!$AF:$AF,$A840,'2. Program Allocation Output'!$AG:$AG,$B840),"")</f>
        <v/>
      </c>
      <c r="F840" s="39" t="str">
        <f t="shared" si="29"/>
        <v/>
      </c>
      <c r="G840" t="str">
        <f t="shared" si="28"/>
        <v/>
      </c>
    </row>
    <row r="841" spans="3:7" ht="15" hidden="1" x14ac:dyDescent="0.25">
      <c r="C841" s="4" t="str">
        <f>IFERROR(AVERAGEIFS('2. Program Allocation Output'!$P:$P,'2. Program Allocation Output'!$AF:$AF,$A841,'2. Program Allocation Output'!$AG:$AG,$B841),"")</f>
        <v/>
      </c>
      <c r="D841" s="4" t="str">
        <f>IFERROR(AVERAGEIFS('2. Program Allocation Output'!$O:$O,'2. Program Allocation Output'!$AF:$AF,$A841,'2. Program Allocation Output'!$AG:$AG,$B841),"")</f>
        <v/>
      </c>
      <c r="E841" s="5" t="str">
        <f>IFERROR(AVERAGEIFS('2. Program Allocation Output'!$L:$L,'2. Program Allocation Output'!$AF:$AF,$A841,'2. Program Allocation Output'!$AG:$AG,$B841),"")</f>
        <v/>
      </c>
      <c r="F841" s="39" t="str">
        <f t="shared" si="29"/>
        <v/>
      </c>
      <c r="G841" t="str">
        <f t="shared" si="28"/>
        <v/>
      </c>
    </row>
    <row r="842" spans="3:7" ht="15" hidden="1" x14ac:dyDescent="0.25">
      <c r="C842" s="4" t="str">
        <f>IFERROR(AVERAGEIFS('2. Program Allocation Output'!$P:$P,'2. Program Allocation Output'!$AF:$AF,$A842,'2. Program Allocation Output'!$AG:$AG,$B842),"")</f>
        <v/>
      </c>
      <c r="D842" s="4" t="str">
        <f>IFERROR(AVERAGEIFS('2. Program Allocation Output'!$O:$O,'2. Program Allocation Output'!$AF:$AF,$A842,'2. Program Allocation Output'!$AG:$AG,$B842),"")</f>
        <v/>
      </c>
      <c r="E842" s="5" t="str">
        <f>IFERROR(AVERAGEIFS('2. Program Allocation Output'!$L:$L,'2. Program Allocation Output'!$AF:$AF,$A842,'2. Program Allocation Output'!$AG:$AG,$B842),"")</f>
        <v/>
      </c>
      <c r="F842" s="39" t="str">
        <f t="shared" si="29"/>
        <v/>
      </c>
      <c r="G842" t="str">
        <f t="shared" si="28"/>
        <v/>
      </c>
    </row>
    <row r="843" spans="3:7" ht="15" hidden="1" x14ac:dyDescent="0.25">
      <c r="C843" s="4" t="str">
        <f>IFERROR(AVERAGEIFS('2. Program Allocation Output'!$P:$P,'2. Program Allocation Output'!$AF:$AF,$A843,'2. Program Allocation Output'!$AG:$AG,$B843),"")</f>
        <v/>
      </c>
      <c r="D843" s="4" t="str">
        <f>IFERROR(AVERAGEIFS('2. Program Allocation Output'!$O:$O,'2. Program Allocation Output'!$AF:$AF,$A843,'2. Program Allocation Output'!$AG:$AG,$B843),"")</f>
        <v/>
      </c>
      <c r="E843" s="5" t="str">
        <f>IFERROR(AVERAGEIFS('2. Program Allocation Output'!$L:$L,'2. Program Allocation Output'!$AF:$AF,$A843,'2. Program Allocation Output'!$AG:$AG,$B843),"")</f>
        <v/>
      </c>
      <c r="F843" s="39" t="str">
        <f t="shared" si="29"/>
        <v/>
      </c>
      <c r="G843" t="str">
        <f t="shared" si="28"/>
        <v/>
      </c>
    </row>
    <row r="844" spans="3:7" ht="15" hidden="1" x14ac:dyDescent="0.25">
      <c r="C844" s="4" t="str">
        <f>IFERROR(AVERAGEIFS('2. Program Allocation Output'!$P:$P,'2. Program Allocation Output'!$AF:$AF,$A844,'2. Program Allocation Output'!$AG:$AG,$B844),"")</f>
        <v/>
      </c>
      <c r="D844" s="4" t="str">
        <f>IFERROR(AVERAGEIFS('2. Program Allocation Output'!$O:$O,'2. Program Allocation Output'!$AF:$AF,$A844,'2. Program Allocation Output'!$AG:$AG,$B844),"")</f>
        <v/>
      </c>
      <c r="E844" s="5" t="str">
        <f>IFERROR(AVERAGEIFS('2. Program Allocation Output'!$L:$L,'2. Program Allocation Output'!$AF:$AF,$A844,'2. Program Allocation Output'!$AG:$AG,$B844),"")</f>
        <v/>
      </c>
      <c r="F844" s="39" t="str">
        <f t="shared" si="29"/>
        <v/>
      </c>
      <c r="G844" t="str">
        <f t="shared" si="28"/>
        <v/>
      </c>
    </row>
    <row r="845" spans="3:7" ht="15" hidden="1" x14ac:dyDescent="0.25">
      <c r="C845" s="4" t="str">
        <f>IFERROR(AVERAGEIFS('2. Program Allocation Output'!$P:$P,'2. Program Allocation Output'!$AF:$AF,$A845,'2. Program Allocation Output'!$AG:$AG,$B845),"")</f>
        <v/>
      </c>
      <c r="D845" s="4" t="str">
        <f>IFERROR(AVERAGEIFS('2. Program Allocation Output'!$O:$O,'2. Program Allocation Output'!$AF:$AF,$A845,'2. Program Allocation Output'!$AG:$AG,$B845),"")</f>
        <v/>
      </c>
      <c r="E845" s="5" t="str">
        <f>IFERROR(AVERAGEIFS('2. Program Allocation Output'!$L:$L,'2. Program Allocation Output'!$AF:$AF,$A845,'2. Program Allocation Output'!$AG:$AG,$B845),"")</f>
        <v/>
      </c>
      <c r="F845" s="39" t="str">
        <f t="shared" si="29"/>
        <v/>
      </c>
      <c r="G845" t="str">
        <f t="shared" si="28"/>
        <v/>
      </c>
    </row>
    <row r="846" spans="3:7" ht="15" hidden="1" x14ac:dyDescent="0.25">
      <c r="C846" s="4" t="str">
        <f>IFERROR(AVERAGEIFS('2. Program Allocation Output'!$P:$P,'2. Program Allocation Output'!$AF:$AF,$A846,'2. Program Allocation Output'!$AG:$AG,$B846),"")</f>
        <v/>
      </c>
      <c r="D846" s="4" t="str">
        <f>IFERROR(AVERAGEIFS('2. Program Allocation Output'!$O:$O,'2. Program Allocation Output'!$AF:$AF,$A846,'2. Program Allocation Output'!$AG:$AG,$B846),"")</f>
        <v/>
      </c>
      <c r="E846" s="5" t="str">
        <f>IFERROR(AVERAGEIFS('2. Program Allocation Output'!$L:$L,'2. Program Allocation Output'!$AF:$AF,$A846,'2. Program Allocation Output'!$AG:$AG,$B846),"")</f>
        <v/>
      </c>
      <c r="F846" s="39" t="str">
        <f t="shared" si="29"/>
        <v/>
      </c>
      <c r="G846" t="str">
        <f t="shared" ref="G846:G909" si="30">IFERROR(EXP(0.3*(F846-C846)/(E846*0.1137)),"")</f>
        <v/>
      </c>
    </row>
    <row r="847" spans="3:7" ht="15" hidden="1" x14ac:dyDescent="0.25">
      <c r="C847" s="4" t="str">
        <f>IFERROR(AVERAGEIFS('2. Program Allocation Output'!$P:$P,'2. Program Allocation Output'!$AF:$AF,$A847,'2. Program Allocation Output'!$AG:$AG,$B847),"")</f>
        <v/>
      </c>
      <c r="D847" s="4" t="str">
        <f>IFERROR(AVERAGEIFS('2. Program Allocation Output'!$O:$O,'2. Program Allocation Output'!$AF:$AF,$A847,'2. Program Allocation Output'!$AG:$AG,$B847),"")</f>
        <v/>
      </c>
      <c r="E847" s="5" t="str">
        <f>IFERROR(AVERAGEIFS('2. Program Allocation Output'!$L:$L,'2. Program Allocation Output'!$AF:$AF,$A847,'2. Program Allocation Output'!$AG:$AG,$B847),"")</f>
        <v/>
      </c>
      <c r="F847" s="39" t="str">
        <f t="shared" si="29"/>
        <v/>
      </c>
      <c r="G847" t="str">
        <f t="shared" si="30"/>
        <v/>
      </c>
    </row>
    <row r="848" spans="3:7" ht="15" hidden="1" x14ac:dyDescent="0.25">
      <c r="C848" s="4" t="str">
        <f>IFERROR(AVERAGEIFS('2. Program Allocation Output'!$P:$P,'2. Program Allocation Output'!$AF:$AF,$A848,'2. Program Allocation Output'!$AG:$AG,$B848),"")</f>
        <v/>
      </c>
      <c r="D848" s="4" t="str">
        <f>IFERROR(AVERAGEIFS('2. Program Allocation Output'!$O:$O,'2. Program Allocation Output'!$AF:$AF,$A848,'2. Program Allocation Output'!$AG:$AG,$B848),"")</f>
        <v/>
      </c>
      <c r="E848" s="5" t="str">
        <f>IFERROR(AVERAGEIFS('2. Program Allocation Output'!$L:$L,'2. Program Allocation Output'!$AF:$AF,$A848,'2. Program Allocation Output'!$AG:$AG,$B848),"")</f>
        <v/>
      </c>
      <c r="F848" s="39" t="str">
        <f t="shared" si="29"/>
        <v/>
      </c>
      <c r="G848" t="str">
        <f t="shared" si="30"/>
        <v/>
      </c>
    </row>
    <row r="849" spans="3:7" ht="15" hidden="1" x14ac:dyDescent="0.25">
      <c r="C849" s="4" t="str">
        <f>IFERROR(AVERAGEIFS('2. Program Allocation Output'!$P:$P,'2. Program Allocation Output'!$AF:$AF,$A849,'2. Program Allocation Output'!$AG:$AG,$B849),"")</f>
        <v/>
      </c>
      <c r="D849" s="4" t="str">
        <f>IFERROR(AVERAGEIFS('2. Program Allocation Output'!$O:$O,'2. Program Allocation Output'!$AF:$AF,$A849,'2. Program Allocation Output'!$AG:$AG,$B849),"")</f>
        <v/>
      </c>
      <c r="E849" s="5" t="str">
        <f>IFERROR(AVERAGEIFS('2. Program Allocation Output'!$L:$L,'2. Program Allocation Output'!$AF:$AF,$A849,'2. Program Allocation Output'!$AG:$AG,$B849),"")</f>
        <v/>
      </c>
      <c r="F849" s="39" t="str">
        <f t="shared" si="29"/>
        <v/>
      </c>
      <c r="G849" t="str">
        <f t="shared" si="30"/>
        <v/>
      </c>
    </row>
    <row r="850" spans="3:7" ht="15" hidden="1" x14ac:dyDescent="0.25">
      <c r="C850" s="4" t="str">
        <f>IFERROR(AVERAGEIFS('2. Program Allocation Output'!$P:$P,'2. Program Allocation Output'!$AF:$AF,$A850,'2. Program Allocation Output'!$AG:$AG,$B850),"")</f>
        <v/>
      </c>
      <c r="D850" s="4" t="str">
        <f>IFERROR(AVERAGEIFS('2. Program Allocation Output'!$O:$O,'2. Program Allocation Output'!$AF:$AF,$A850,'2. Program Allocation Output'!$AG:$AG,$B850),"")</f>
        <v/>
      </c>
      <c r="E850" s="5" t="str">
        <f>IFERROR(AVERAGEIFS('2. Program Allocation Output'!$L:$L,'2. Program Allocation Output'!$AF:$AF,$A850,'2. Program Allocation Output'!$AG:$AG,$B850),"")</f>
        <v/>
      </c>
      <c r="F850" s="39" t="str">
        <f t="shared" si="29"/>
        <v/>
      </c>
      <c r="G850" t="str">
        <f t="shared" si="30"/>
        <v/>
      </c>
    </row>
    <row r="851" spans="3:7" ht="15" hidden="1" x14ac:dyDescent="0.25">
      <c r="C851" s="4" t="str">
        <f>IFERROR(AVERAGEIFS('2. Program Allocation Output'!$P:$P,'2. Program Allocation Output'!$AF:$AF,$A851,'2. Program Allocation Output'!$AG:$AG,$B851),"")</f>
        <v/>
      </c>
      <c r="D851" s="4" t="str">
        <f>IFERROR(AVERAGEIFS('2. Program Allocation Output'!$O:$O,'2. Program Allocation Output'!$AF:$AF,$A851,'2. Program Allocation Output'!$AG:$AG,$B851),"")</f>
        <v/>
      </c>
      <c r="E851" s="5" t="str">
        <f>IFERROR(AVERAGEIFS('2. Program Allocation Output'!$L:$L,'2. Program Allocation Output'!$AF:$AF,$A851,'2. Program Allocation Output'!$AG:$AG,$B851),"")</f>
        <v/>
      </c>
      <c r="F851" s="39" t="str">
        <f t="shared" si="29"/>
        <v/>
      </c>
      <c r="G851" t="str">
        <f t="shared" si="30"/>
        <v/>
      </c>
    </row>
    <row r="852" spans="3:7" ht="15" hidden="1" x14ac:dyDescent="0.25">
      <c r="C852" s="4" t="str">
        <f>IFERROR(AVERAGEIFS('2. Program Allocation Output'!$P:$P,'2. Program Allocation Output'!$AF:$AF,$A852,'2. Program Allocation Output'!$AG:$AG,$B852),"")</f>
        <v/>
      </c>
      <c r="D852" s="4" t="str">
        <f>IFERROR(AVERAGEIFS('2. Program Allocation Output'!$O:$O,'2. Program Allocation Output'!$AF:$AF,$A852,'2. Program Allocation Output'!$AG:$AG,$B852),"")</f>
        <v/>
      </c>
      <c r="E852" s="5" t="str">
        <f>IFERROR(AVERAGEIFS('2. Program Allocation Output'!$L:$L,'2. Program Allocation Output'!$AF:$AF,$A852,'2. Program Allocation Output'!$AG:$AG,$B852),"")</f>
        <v/>
      </c>
      <c r="F852" s="39" t="str">
        <f t="shared" si="29"/>
        <v/>
      </c>
      <c r="G852" t="str">
        <f t="shared" si="30"/>
        <v/>
      </c>
    </row>
    <row r="853" spans="3:7" ht="15" hidden="1" x14ac:dyDescent="0.25">
      <c r="C853" s="4" t="str">
        <f>IFERROR(AVERAGEIFS('2. Program Allocation Output'!$P:$P,'2. Program Allocation Output'!$AF:$AF,$A853,'2. Program Allocation Output'!$AG:$AG,$B853),"")</f>
        <v/>
      </c>
      <c r="D853" s="4" t="str">
        <f>IFERROR(AVERAGEIFS('2. Program Allocation Output'!$O:$O,'2. Program Allocation Output'!$AF:$AF,$A853,'2. Program Allocation Output'!$AG:$AG,$B853),"")</f>
        <v/>
      </c>
      <c r="E853" s="5" t="str">
        <f>IFERROR(AVERAGEIFS('2. Program Allocation Output'!$L:$L,'2. Program Allocation Output'!$AF:$AF,$A853,'2. Program Allocation Output'!$AG:$AG,$B853),"")</f>
        <v/>
      </c>
      <c r="F853" s="39" t="str">
        <f t="shared" si="29"/>
        <v/>
      </c>
      <c r="G853" t="str">
        <f t="shared" si="30"/>
        <v/>
      </c>
    </row>
    <row r="854" spans="3:7" ht="15" hidden="1" x14ac:dyDescent="0.25">
      <c r="C854" s="4" t="str">
        <f>IFERROR(AVERAGEIFS('2. Program Allocation Output'!$P:$P,'2. Program Allocation Output'!$AF:$AF,$A854,'2. Program Allocation Output'!$AG:$AG,$B854),"")</f>
        <v/>
      </c>
      <c r="D854" s="4" t="str">
        <f>IFERROR(AVERAGEIFS('2. Program Allocation Output'!$O:$O,'2. Program Allocation Output'!$AF:$AF,$A854,'2. Program Allocation Output'!$AG:$AG,$B854),"")</f>
        <v/>
      </c>
      <c r="E854" s="5" t="str">
        <f>IFERROR(AVERAGEIFS('2. Program Allocation Output'!$L:$L,'2. Program Allocation Output'!$AF:$AF,$A854,'2. Program Allocation Output'!$AG:$AG,$B854),"")</f>
        <v/>
      </c>
      <c r="F854" s="39" t="str">
        <f t="shared" si="29"/>
        <v/>
      </c>
      <c r="G854" t="str">
        <f t="shared" si="30"/>
        <v/>
      </c>
    </row>
    <row r="855" spans="3:7" ht="15" hidden="1" x14ac:dyDescent="0.25">
      <c r="C855" s="4" t="str">
        <f>IFERROR(AVERAGEIFS('2. Program Allocation Output'!$P:$P,'2. Program Allocation Output'!$AF:$AF,$A855,'2. Program Allocation Output'!$AG:$AG,$B855),"")</f>
        <v/>
      </c>
      <c r="D855" s="4" t="str">
        <f>IFERROR(AVERAGEIFS('2. Program Allocation Output'!$O:$O,'2. Program Allocation Output'!$AF:$AF,$A855,'2. Program Allocation Output'!$AG:$AG,$B855),"")</f>
        <v/>
      </c>
      <c r="E855" s="5" t="str">
        <f>IFERROR(AVERAGEIFS('2. Program Allocation Output'!$L:$L,'2. Program Allocation Output'!$AF:$AF,$A855,'2. Program Allocation Output'!$AG:$AG,$B855),"")</f>
        <v/>
      </c>
      <c r="F855" s="39" t="str">
        <f t="shared" si="29"/>
        <v/>
      </c>
      <c r="G855" t="str">
        <f t="shared" si="30"/>
        <v/>
      </c>
    </row>
    <row r="856" spans="3:7" ht="15" hidden="1" x14ac:dyDescent="0.25">
      <c r="C856" s="4" t="str">
        <f>IFERROR(AVERAGEIFS('2. Program Allocation Output'!$P:$P,'2. Program Allocation Output'!$AF:$AF,$A856,'2. Program Allocation Output'!$AG:$AG,$B856),"")</f>
        <v/>
      </c>
      <c r="D856" s="4" t="str">
        <f>IFERROR(AVERAGEIFS('2. Program Allocation Output'!$O:$O,'2. Program Allocation Output'!$AF:$AF,$A856,'2. Program Allocation Output'!$AG:$AG,$B856),"")</f>
        <v/>
      </c>
      <c r="E856" s="5" t="str">
        <f>IFERROR(AVERAGEIFS('2. Program Allocation Output'!$L:$L,'2. Program Allocation Output'!$AF:$AF,$A856,'2. Program Allocation Output'!$AG:$AG,$B856),"")</f>
        <v/>
      </c>
      <c r="F856" s="39" t="str">
        <f t="shared" si="29"/>
        <v/>
      </c>
      <c r="G856" t="str">
        <f t="shared" si="30"/>
        <v/>
      </c>
    </row>
    <row r="857" spans="3:7" ht="15" hidden="1" x14ac:dyDescent="0.25">
      <c r="C857" s="4" t="str">
        <f>IFERROR(AVERAGEIFS('2. Program Allocation Output'!$P:$P,'2. Program Allocation Output'!$AF:$AF,$A857,'2. Program Allocation Output'!$AG:$AG,$B857),"")</f>
        <v/>
      </c>
      <c r="D857" s="4" t="str">
        <f>IFERROR(AVERAGEIFS('2. Program Allocation Output'!$O:$O,'2. Program Allocation Output'!$AF:$AF,$A857,'2. Program Allocation Output'!$AG:$AG,$B857),"")</f>
        <v/>
      </c>
      <c r="E857" s="5" t="str">
        <f>IFERROR(AVERAGEIFS('2. Program Allocation Output'!$L:$L,'2. Program Allocation Output'!$AF:$AF,$A857,'2. Program Allocation Output'!$AG:$AG,$B857),"")</f>
        <v/>
      </c>
      <c r="F857" s="39" t="str">
        <f t="shared" si="29"/>
        <v/>
      </c>
      <c r="G857" t="str">
        <f t="shared" si="30"/>
        <v/>
      </c>
    </row>
    <row r="858" spans="3:7" ht="15" hidden="1" x14ac:dyDescent="0.25">
      <c r="C858" s="4" t="str">
        <f>IFERROR(AVERAGEIFS('2. Program Allocation Output'!$P:$P,'2. Program Allocation Output'!$AF:$AF,$A858,'2. Program Allocation Output'!$AG:$AG,$B858),"")</f>
        <v/>
      </c>
      <c r="D858" s="4" t="str">
        <f>IFERROR(AVERAGEIFS('2. Program Allocation Output'!$O:$O,'2. Program Allocation Output'!$AF:$AF,$A858,'2. Program Allocation Output'!$AG:$AG,$B858),"")</f>
        <v/>
      </c>
      <c r="E858" s="5" t="str">
        <f>IFERROR(AVERAGEIFS('2. Program Allocation Output'!$L:$L,'2. Program Allocation Output'!$AF:$AF,$A858,'2. Program Allocation Output'!$AG:$AG,$B858),"")</f>
        <v/>
      </c>
      <c r="F858" s="39" t="str">
        <f t="shared" si="29"/>
        <v/>
      </c>
      <c r="G858" t="str">
        <f t="shared" si="30"/>
        <v/>
      </c>
    </row>
    <row r="859" spans="3:7" ht="15" hidden="1" x14ac:dyDescent="0.25">
      <c r="C859" s="4" t="str">
        <f>IFERROR(AVERAGEIFS('2. Program Allocation Output'!$P:$P,'2. Program Allocation Output'!$AF:$AF,$A859,'2. Program Allocation Output'!$AG:$AG,$B859),"")</f>
        <v/>
      </c>
      <c r="D859" s="4" t="str">
        <f>IFERROR(AVERAGEIFS('2. Program Allocation Output'!$O:$O,'2. Program Allocation Output'!$AF:$AF,$A859,'2. Program Allocation Output'!$AG:$AG,$B859),"")</f>
        <v/>
      </c>
      <c r="E859" s="5" t="str">
        <f>IFERROR(AVERAGEIFS('2. Program Allocation Output'!$L:$L,'2. Program Allocation Output'!$AF:$AF,$A859,'2. Program Allocation Output'!$AG:$AG,$B859),"")</f>
        <v/>
      </c>
      <c r="F859" s="39" t="str">
        <f t="shared" si="29"/>
        <v/>
      </c>
      <c r="G859" t="str">
        <f t="shared" si="30"/>
        <v/>
      </c>
    </row>
    <row r="860" spans="3:7" ht="15" hidden="1" x14ac:dyDescent="0.25">
      <c r="C860" s="4" t="str">
        <f>IFERROR(AVERAGEIFS('2. Program Allocation Output'!$P:$P,'2. Program Allocation Output'!$AF:$AF,$A860,'2. Program Allocation Output'!$AG:$AG,$B860),"")</f>
        <v/>
      </c>
      <c r="D860" s="4" t="str">
        <f>IFERROR(AVERAGEIFS('2. Program Allocation Output'!$O:$O,'2. Program Allocation Output'!$AF:$AF,$A860,'2. Program Allocation Output'!$AG:$AG,$B860),"")</f>
        <v/>
      </c>
      <c r="E860" s="5" t="str">
        <f>IFERROR(AVERAGEIFS('2. Program Allocation Output'!$L:$L,'2. Program Allocation Output'!$AF:$AF,$A860,'2. Program Allocation Output'!$AG:$AG,$B860),"")</f>
        <v/>
      </c>
      <c r="F860" s="39" t="str">
        <f t="shared" si="29"/>
        <v/>
      </c>
      <c r="G860" t="str">
        <f t="shared" si="30"/>
        <v/>
      </c>
    </row>
    <row r="861" spans="3:7" ht="15" hidden="1" x14ac:dyDescent="0.25">
      <c r="C861" s="4" t="str">
        <f>IFERROR(AVERAGEIFS('2. Program Allocation Output'!$P:$P,'2. Program Allocation Output'!$AF:$AF,$A861,'2. Program Allocation Output'!$AG:$AG,$B861),"")</f>
        <v/>
      </c>
      <c r="D861" s="4" t="str">
        <f>IFERROR(AVERAGEIFS('2. Program Allocation Output'!$O:$O,'2. Program Allocation Output'!$AF:$AF,$A861,'2. Program Allocation Output'!$AG:$AG,$B861),"")</f>
        <v/>
      </c>
      <c r="E861" s="5" t="str">
        <f>IFERROR(AVERAGEIFS('2. Program Allocation Output'!$L:$L,'2. Program Allocation Output'!$AF:$AF,$A861,'2. Program Allocation Output'!$AG:$AG,$B861),"")</f>
        <v/>
      </c>
      <c r="F861" s="39" t="str">
        <f t="shared" si="29"/>
        <v/>
      </c>
      <c r="G861" t="str">
        <f t="shared" si="30"/>
        <v/>
      </c>
    </row>
    <row r="862" spans="3:7" ht="15" hidden="1" x14ac:dyDescent="0.25">
      <c r="C862" s="4" t="str">
        <f>IFERROR(AVERAGEIFS('2. Program Allocation Output'!$P:$P,'2. Program Allocation Output'!$AF:$AF,$A862,'2. Program Allocation Output'!$AG:$AG,$B862),"")</f>
        <v/>
      </c>
      <c r="D862" s="4" t="str">
        <f>IFERROR(AVERAGEIFS('2. Program Allocation Output'!$O:$O,'2. Program Allocation Output'!$AF:$AF,$A862,'2. Program Allocation Output'!$AG:$AG,$B862),"")</f>
        <v/>
      </c>
      <c r="E862" s="5" t="str">
        <f>IFERROR(AVERAGEIFS('2. Program Allocation Output'!$L:$L,'2. Program Allocation Output'!$AF:$AF,$A862,'2. Program Allocation Output'!$AG:$AG,$B862),"")</f>
        <v/>
      </c>
      <c r="F862" s="39" t="str">
        <f t="shared" si="29"/>
        <v/>
      </c>
      <c r="G862" t="str">
        <f t="shared" si="30"/>
        <v/>
      </c>
    </row>
    <row r="863" spans="3:7" ht="15" hidden="1" x14ac:dyDescent="0.25">
      <c r="C863" s="4" t="str">
        <f>IFERROR(AVERAGEIFS('2. Program Allocation Output'!$P:$P,'2. Program Allocation Output'!$AF:$AF,$A863,'2. Program Allocation Output'!$AG:$AG,$B863),"")</f>
        <v/>
      </c>
      <c r="D863" s="4" t="str">
        <f>IFERROR(AVERAGEIFS('2. Program Allocation Output'!$O:$O,'2. Program Allocation Output'!$AF:$AF,$A863,'2. Program Allocation Output'!$AG:$AG,$B863),"")</f>
        <v/>
      </c>
      <c r="E863" s="5" t="str">
        <f>IFERROR(AVERAGEIFS('2. Program Allocation Output'!$L:$L,'2. Program Allocation Output'!$AF:$AF,$A863,'2. Program Allocation Output'!$AG:$AG,$B863),"")</f>
        <v/>
      </c>
      <c r="F863" s="39" t="str">
        <f t="shared" si="29"/>
        <v/>
      </c>
      <c r="G863" t="str">
        <f t="shared" si="30"/>
        <v/>
      </c>
    </row>
    <row r="864" spans="3:7" ht="15" hidden="1" x14ac:dyDescent="0.25">
      <c r="C864" s="4" t="str">
        <f>IFERROR(AVERAGEIFS('2. Program Allocation Output'!$P:$P,'2. Program Allocation Output'!$AF:$AF,$A864,'2. Program Allocation Output'!$AG:$AG,$B864),"")</f>
        <v/>
      </c>
      <c r="D864" s="4" t="str">
        <f>IFERROR(AVERAGEIFS('2. Program Allocation Output'!$O:$O,'2. Program Allocation Output'!$AF:$AF,$A864,'2. Program Allocation Output'!$AG:$AG,$B864),"")</f>
        <v/>
      </c>
      <c r="E864" s="5" t="str">
        <f>IFERROR(AVERAGEIFS('2. Program Allocation Output'!$L:$L,'2. Program Allocation Output'!$AF:$AF,$A864,'2. Program Allocation Output'!$AG:$AG,$B864),"")</f>
        <v/>
      </c>
      <c r="F864" s="39" t="str">
        <f t="shared" si="29"/>
        <v/>
      </c>
      <c r="G864" t="str">
        <f t="shared" si="30"/>
        <v/>
      </c>
    </row>
    <row r="865" spans="3:7" ht="15" hidden="1" x14ac:dyDescent="0.25">
      <c r="C865" s="4" t="str">
        <f>IFERROR(AVERAGEIFS('2. Program Allocation Output'!$P:$P,'2. Program Allocation Output'!$AF:$AF,$A865,'2. Program Allocation Output'!$AG:$AG,$B865),"")</f>
        <v/>
      </c>
      <c r="D865" s="4" t="str">
        <f>IFERROR(AVERAGEIFS('2. Program Allocation Output'!$O:$O,'2. Program Allocation Output'!$AF:$AF,$A865,'2. Program Allocation Output'!$AG:$AG,$B865),"")</f>
        <v/>
      </c>
      <c r="E865" s="5" t="str">
        <f>IFERROR(AVERAGEIFS('2. Program Allocation Output'!$L:$L,'2. Program Allocation Output'!$AF:$AF,$A865,'2. Program Allocation Output'!$AG:$AG,$B865),"")</f>
        <v/>
      </c>
      <c r="F865" s="39" t="str">
        <f t="shared" si="29"/>
        <v/>
      </c>
      <c r="G865" t="str">
        <f t="shared" si="30"/>
        <v/>
      </c>
    </row>
    <row r="866" spans="3:7" ht="15" hidden="1" x14ac:dyDescent="0.25">
      <c r="C866" s="4" t="str">
        <f>IFERROR(AVERAGEIFS('2. Program Allocation Output'!$P:$P,'2. Program Allocation Output'!$AF:$AF,$A866,'2. Program Allocation Output'!$AG:$AG,$B866),"")</f>
        <v/>
      </c>
      <c r="D866" s="4" t="str">
        <f>IFERROR(AVERAGEIFS('2. Program Allocation Output'!$O:$O,'2. Program Allocation Output'!$AF:$AF,$A866,'2. Program Allocation Output'!$AG:$AG,$B866),"")</f>
        <v/>
      </c>
      <c r="E866" s="5" t="str">
        <f>IFERROR(AVERAGEIFS('2. Program Allocation Output'!$L:$L,'2. Program Allocation Output'!$AF:$AF,$A866,'2. Program Allocation Output'!$AG:$AG,$B866),"")</f>
        <v/>
      </c>
      <c r="F866" s="39" t="str">
        <f t="shared" si="29"/>
        <v/>
      </c>
      <c r="G866" t="str">
        <f t="shared" si="30"/>
        <v/>
      </c>
    </row>
    <row r="867" spans="3:7" ht="15" hidden="1" x14ac:dyDescent="0.25">
      <c r="C867" s="4" t="str">
        <f>IFERROR(AVERAGEIFS('2. Program Allocation Output'!$P:$P,'2. Program Allocation Output'!$AF:$AF,$A867,'2. Program Allocation Output'!$AG:$AG,$B867),"")</f>
        <v/>
      </c>
      <c r="D867" s="4" t="str">
        <f>IFERROR(AVERAGEIFS('2. Program Allocation Output'!$O:$O,'2. Program Allocation Output'!$AF:$AF,$A867,'2. Program Allocation Output'!$AG:$AG,$B867),"")</f>
        <v/>
      </c>
      <c r="E867" s="5" t="str">
        <f>IFERROR(AVERAGEIFS('2. Program Allocation Output'!$L:$L,'2. Program Allocation Output'!$AF:$AF,$A867,'2. Program Allocation Output'!$AG:$AG,$B867),"")</f>
        <v/>
      </c>
      <c r="F867" s="39" t="str">
        <f t="shared" si="29"/>
        <v/>
      </c>
      <c r="G867" t="str">
        <f t="shared" si="30"/>
        <v/>
      </c>
    </row>
    <row r="868" spans="3:7" ht="15" hidden="1" x14ac:dyDescent="0.25">
      <c r="C868" s="4" t="str">
        <f>IFERROR(AVERAGEIFS('2. Program Allocation Output'!$P:$P,'2. Program Allocation Output'!$AF:$AF,$A868,'2. Program Allocation Output'!$AG:$AG,$B868),"")</f>
        <v/>
      </c>
      <c r="D868" s="4" t="str">
        <f>IFERROR(AVERAGEIFS('2. Program Allocation Output'!$O:$O,'2. Program Allocation Output'!$AF:$AF,$A868,'2. Program Allocation Output'!$AG:$AG,$B868),"")</f>
        <v/>
      </c>
      <c r="E868" s="5" t="str">
        <f>IFERROR(AVERAGEIFS('2. Program Allocation Output'!$L:$L,'2. Program Allocation Output'!$AF:$AF,$A868,'2. Program Allocation Output'!$AG:$AG,$B868),"")</f>
        <v/>
      </c>
      <c r="F868" s="39" t="str">
        <f t="shared" si="29"/>
        <v/>
      </c>
      <c r="G868" t="str">
        <f t="shared" si="30"/>
        <v/>
      </c>
    </row>
    <row r="869" spans="3:7" ht="15" hidden="1" x14ac:dyDescent="0.25">
      <c r="C869" s="4" t="str">
        <f>IFERROR(AVERAGEIFS('2. Program Allocation Output'!$P:$P,'2. Program Allocation Output'!$AF:$AF,$A869,'2. Program Allocation Output'!$AG:$AG,$B869),"")</f>
        <v/>
      </c>
      <c r="D869" s="4" t="str">
        <f>IFERROR(AVERAGEIFS('2. Program Allocation Output'!$O:$O,'2. Program Allocation Output'!$AF:$AF,$A869,'2. Program Allocation Output'!$AG:$AG,$B869),"")</f>
        <v/>
      </c>
      <c r="E869" s="5" t="str">
        <f>IFERROR(AVERAGEIFS('2. Program Allocation Output'!$L:$L,'2. Program Allocation Output'!$AF:$AF,$A869,'2. Program Allocation Output'!$AG:$AG,$B869),"")</f>
        <v/>
      </c>
      <c r="F869" s="39" t="str">
        <f t="shared" si="29"/>
        <v/>
      </c>
      <c r="G869" t="str">
        <f t="shared" si="30"/>
        <v/>
      </c>
    </row>
    <row r="870" spans="3:7" ht="15" hidden="1" x14ac:dyDescent="0.25">
      <c r="C870" s="4" t="str">
        <f>IFERROR(AVERAGEIFS('2. Program Allocation Output'!$P:$P,'2. Program Allocation Output'!$AF:$AF,$A870,'2. Program Allocation Output'!$AG:$AG,$B870),"")</f>
        <v/>
      </c>
      <c r="D870" s="4" t="str">
        <f>IFERROR(AVERAGEIFS('2. Program Allocation Output'!$O:$O,'2. Program Allocation Output'!$AF:$AF,$A870,'2. Program Allocation Output'!$AG:$AG,$B870),"")</f>
        <v/>
      </c>
      <c r="E870" s="5" t="str">
        <f>IFERROR(AVERAGEIFS('2. Program Allocation Output'!$L:$L,'2. Program Allocation Output'!$AF:$AF,$A870,'2. Program Allocation Output'!$AG:$AG,$B870),"")</f>
        <v/>
      </c>
      <c r="F870" s="39" t="str">
        <f t="shared" si="29"/>
        <v/>
      </c>
      <c r="G870" t="str">
        <f t="shared" si="30"/>
        <v/>
      </c>
    </row>
    <row r="871" spans="3:7" ht="15" hidden="1" x14ac:dyDescent="0.25">
      <c r="C871" s="4" t="str">
        <f>IFERROR(AVERAGEIFS('2. Program Allocation Output'!$P:$P,'2. Program Allocation Output'!$AF:$AF,$A871,'2. Program Allocation Output'!$AG:$AG,$B871),"")</f>
        <v/>
      </c>
      <c r="D871" s="4" t="str">
        <f>IFERROR(AVERAGEIFS('2. Program Allocation Output'!$O:$O,'2. Program Allocation Output'!$AF:$AF,$A871,'2. Program Allocation Output'!$AG:$AG,$B871),"")</f>
        <v/>
      </c>
      <c r="E871" s="5" t="str">
        <f>IFERROR(AVERAGEIFS('2. Program Allocation Output'!$L:$L,'2. Program Allocation Output'!$AF:$AF,$A871,'2. Program Allocation Output'!$AG:$AG,$B871),"")</f>
        <v/>
      </c>
      <c r="F871" s="39" t="str">
        <f t="shared" si="29"/>
        <v/>
      </c>
      <c r="G871" t="str">
        <f t="shared" si="30"/>
        <v/>
      </c>
    </row>
    <row r="872" spans="3:7" ht="15" hidden="1" x14ac:dyDescent="0.25">
      <c r="C872" s="4" t="str">
        <f>IFERROR(AVERAGEIFS('2. Program Allocation Output'!$P:$P,'2. Program Allocation Output'!$AF:$AF,$A872,'2. Program Allocation Output'!$AG:$AG,$B872),"")</f>
        <v/>
      </c>
      <c r="D872" s="4" t="str">
        <f>IFERROR(AVERAGEIFS('2. Program Allocation Output'!$O:$O,'2. Program Allocation Output'!$AF:$AF,$A872,'2. Program Allocation Output'!$AG:$AG,$B872),"")</f>
        <v/>
      </c>
      <c r="E872" s="5" t="str">
        <f>IFERROR(AVERAGEIFS('2. Program Allocation Output'!$L:$L,'2. Program Allocation Output'!$AF:$AF,$A872,'2. Program Allocation Output'!$AG:$AG,$B872),"")</f>
        <v/>
      </c>
      <c r="F872" s="39" t="str">
        <f t="shared" si="29"/>
        <v/>
      </c>
      <c r="G872" t="str">
        <f t="shared" si="30"/>
        <v/>
      </c>
    </row>
    <row r="873" spans="3:7" ht="15" hidden="1" x14ac:dyDescent="0.25">
      <c r="C873" s="4" t="str">
        <f>IFERROR(AVERAGEIFS('2. Program Allocation Output'!$P:$P,'2. Program Allocation Output'!$AF:$AF,$A873,'2. Program Allocation Output'!$AG:$AG,$B873),"")</f>
        <v/>
      </c>
      <c r="D873" s="4" t="str">
        <f>IFERROR(AVERAGEIFS('2. Program Allocation Output'!$O:$O,'2. Program Allocation Output'!$AF:$AF,$A873,'2. Program Allocation Output'!$AG:$AG,$B873),"")</f>
        <v/>
      </c>
      <c r="E873" s="5" t="str">
        <f>IFERROR(AVERAGEIFS('2. Program Allocation Output'!$L:$L,'2. Program Allocation Output'!$AF:$AF,$A873,'2. Program Allocation Output'!$AG:$AG,$B873),"")</f>
        <v/>
      </c>
      <c r="F873" s="39" t="str">
        <f t="shared" si="29"/>
        <v/>
      </c>
      <c r="G873" t="str">
        <f t="shared" si="30"/>
        <v/>
      </c>
    </row>
    <row r="874" spans="3:7" ht="15" hidden="1" x14ac:dyDescent="0.25">
      <c r="C874" s="4" t="str">
        <f>IFERROR(AVERAGEIFS('2. Program Allocation Output'!$P:$P,'2. Program Allocation Output'!$AF:$AF,$A874,'2. Program Allocation Output'!$AG:$AG,$B874),"")</f>
        <v/>
      </c>
      <c r="D874" s="4" t="str">
        <f>IFERROR(AVERAGEIFS('2. Program Allocation Output'!$O:$O,'2. Program Allocation Output'!$AF:$AF,$A874,'2. Program Allocation Output'!$AG:$AG,$B874),"")</f>
        <v/>
      </c>
      <c r="E874" s="5" t="str">
        <f>IFERROR(AVERAGEIFS('2. Program Allocation Output'!$L:$L,'2. Program Allocation Output'!$AF:$AF,$A874,'2. Program Allocation Output'!$AG:$AG,$B874),"")</f>
        <v/>
      </c>
      <c r="F874" s="39" t="str">
        <f t="shared" si="29"/>
        <v/>
      </c>
      <c r="G874" t="str">
        <f t="shared" si="30"/>
        <v/>
      </c>
    </row>
    <row r="875" spans="3:7" ht="15" hidden="1" x14ac:dyDescent="0.25">
      <c r="C875" s="4" t="str">
        <f>IFERROR(AVERAGEIFS('2. Program Allocation Output'!$P:$P,'2. Program Allocation Output'!$AF:$AF,$A875,'2. Program Allocation Output'!$AG:$AG,$B875),"")</f>
        <v/>
      </c>
      <c r="D875" s="4" t="str">
        <f>IFERROR(AVERAGEIFS('2. Program Allocation Output'!$O:$O,'2. Program Allocation Output'!$AF:$AF,$A875,'2. Program Allocation Output'!$AG:$AG,$B875),"")</f>
        <v/>
      </c>
      <c r="E875" s="5" t="str">
        <f>IFERROR(AVERAGEIFS('2. Program Allocation Output'!$L:$L,'2. Program Allocation Output'!$AF:$AF,$A875,'2. Program Allocation Output'!$AG:$AG,$B875),"")</f>
        <v/>
      </c>
      <c r="F875" s="39" t="str">
        <f t="shared" si="29"/>
        <v/>
      </c>
      <c r="G875" t="str">
        <f t="shared" si="30"/>
        <v/>
      </c>
    </row>
    <row r="876" spans="3:7" ht="15" hidden="1" x14ac:dyDescent="0.25">
      <c r="C876" s="4" t="str">
        <f>IFERROR(AVERAGEIFS('2. Program Allocation Output'!$P:$P,'2. Program Allocation Output'!$AF:$AF,$A876,'2. Program Allocation Output'!$AG:$AG,$B876),"")</f>
        <v/>
      </c>
      <c r="D876" s="4" t="str">
        <f>IFERROR(AVERAGEIFS('2. Program Allocation Output'!$O:$O,'2. Program Allocation Output'!$AF:$AF,$A876,'2. Program Allocation Output'!$AG:$AG,$B876),"")</f>
        <v/>
      </c>
      <c r="E876" s="5" t="str">
        <f>IFERROR(AVERAGEIFS('2. Program Allocation Output'!$L:$L,'2. Program Allocation Output'!$AF:$AF,$A876,'2. Program Allocation Output'!$AG:$AG,$B876),"")</f>
        <v/>
      </c>
      <c r="F876" s="39" t="str">
        <f t="shared" si="29"/>
        <v/>
      </c>
      <c r="G876" t="str">
        <f t="shared" si="30"/>
        <v/>
      </c>
    </row>
    <row r="877" spans="3:7" ht="15" hidden="1" x14ac:dyDescent="0.25">
      <c r="C877" s="4" t="str">
        <f>IFERROR(AVERAGEIFS('2. Program Allocation Output'!$P:$P,'2. Program Allocation Output'!$AF:$AF,$A877,'2. Program Allocation Output'!$AG:$AG,$B877),"")</f>
        <v/>
      </c>
      <c r="D877" s="4" t="str">
        <f>IFERROR(AVERAGEIFS('2. Program Allocation Output'!$O:$O,'2. Program Allocation Output'!$AF:$AF,$A877,'2. Program Allocation Output'!$AG:$AG,$B877),"")</f>
        <v/>
      </c>
      <c r="E877" s="5" t="str">
        <f>IFERROR(AVERAGEIFS('2. Program Allocation Output'!$L:$L,'2. Program Allocation Output'!$AF:$AF,$A877,'2. Program Allocation Output'!$AG:$AG,$B877),"")</f>
        <v/>
      </c>
      <c r="F877" s="39" t="str">
        <f t="shared" si="29"/>
        <v/>
      </c>
      <c r="G877" t="str">
        <f t="shared" si="30"/>
        <v/>
      </c>
    </row>
    <row r="878" spans="3:7" ht="15" hidden="1" x14ac:dyDescent="0.25">
      <c r="C878" s="4" t="str">
        <f>IFERROR(AVERAGEIFS('2. Program Allocation Output'!$P:$P,'2. Program Allocation Output'!$AF:$AF,$A878,'2. Program Allocation Output'!$AG:$AG,$B878),"")</f>
        <v/>
      </c>
      <c r="D878" s="4" t="str">
        <f>IFERROR(AVERAGEIFS('2. Program Allocation Output'!$O:$O,'2. Program Allocation Output'!$AF:$AF,$A878,'2. Program Allocation Output'!$AG:$AG,$B878),"")</f>
        <v/>
      </c>
      <c r="E878" s="5" t="str">
        <f>IFERROR(AVERAGEIFS('2. Program Allocation Output'!$L:$L,'2. Program Allocation Output'!$AF:$AF,$A878,'2. Program Allocation Output'!$AG:$AG,$B878),"")</f>
        <v/>
      </c>
      <c r="F878" s="39" t="str">
        <f t="shared" si="29"/>
        <v/>
      </c>
      <c r="G878" t="str">
        <f t="shared" si="30"/>
        <v/>
      </c>
    </row>
    <row r="879" spans="3:7" ht="15" hidden="1" x14ac:dyDescent="0.25">
      <c r="C879" s="4" t="str">
        <f>IFERROR(AVERAGEIFS('2. Program Allocation Output'!$P:$P,'2. Program Allocation Output'!$AF:$AF,$A879,'2. Program Allocation Output'!$AG:$AG,$B879),"")</f>
        <v/>
      </c>
      <c r="D879" s="4" t="str">
        <f>IFERROR(AVERAGEIFS('2. Program Allocation Output'!$O:$O,'2. Program Allocation Output'!$AF:$AF,$A879,'2. Program Allocation Output'!$AG:$AG,$B879),"")</f>
        <v/>
      </c>
      <c r="E879" s="5" t="str">
        <f>IFERROR(AVERAGEIFS('2. Program Allocation Output'!$L:$L,'2. Program Allocation Output'!$AF:$AF,$A879,'2. Program Allocation Output'!$AG:$AG,$B879),"")</f>
        <v/>
      </c>
      <c r="F879" s="39" t="str">
        <f t="shared" si="29"/>
        <v/>
      </c>
      <c r="G879" t="str">
        <f t="shared" si="30"/>
        <v/>
      </c>
    </row>
    <row r="880" spans="3:7" ht="15" hidden="1" x14ac:dyDescent="0.25">
      <c r="C880" s="4" t="str">
        <f>IFERROR(AVERAGEIFS('2. Program Allocation Output'!$P:$P,'2. Program Allocation Output'!$AF:$AF,$A880,'2. Program Allocation Output'!$AG:$AG,$B880),"")</f>
        <v/>
      </c>
      <c r="D880" s="4" t="str">
        <f>IFERROR(AVERAGEIFS('2. Program Allocation Output'!$O:$O,'2. Program Allocation Output'!$AF:$AF,$A880,'2. Program Allocation Output'!$AG:$AG,$B880),"")</f>
        <v/>
      </c>
      <c r="E880" s="5" t="str">
        <f>IFERROR(AVERAGEIFS('2. Program Allocation Output'!$L:$L,'2. Program Allocation Output'!$AF:$AF,$A880,'2. Program Allocation Output'!$AG:$AG,$B880),"")</f>
        <v/>
      </c>
      <c r="F880" s="39" t="str">
        <f t="shared" si="29"/>
        <v/>
      </c>
      <c r="G880" t="str">
        <f t="shared" si="30"/>
        <v/>
      </c>
    </row>
    <row r="881" spans="3:7" ht="15" hidden="1" x14ac:dyDescent="0.25">
      <c r="C881" s="4" t="str">
        <f>IFERROR(AVERAGEIFS('2. Program Allocation Output'!$P:$P,'2. Program Allocation Output'!$AF:$AF,$A881,'2. Program Allocation Output'!$AG:$AG,$B881),"")</f>
        <v/>
      </c>
      <c r="D881" s="4" t="str">
        <f>IFERROR(AVERAGEIFS('2. Program Allocation Output'!$O:$O,'2. Program Allocation Output'!$AF:$AF,$A881,'2. Program Allocation Output'!$AG:$AG,$B881),"")</f>
        <v/>
      </c>
      <c r="E881" s="5" t="str">
        <f>IFERROR(AVERAGEIFS('2. Program Allocation Output'!$L:$L,'2. Program Allocation Output'!$AF:$AF,$A881,'2. Program Allocation Output'!$AG:$AG,$B881),"")</f>
        <v/>
      </c>
      <c r="F881" s="39" t="str">
        <f t="shared" si="29"/>
        <v/>
      </c>
      <c r="G881" t="str">
        <f t="shared" si="30"/>
        <v/>
      </c>
    </row>
    <row r="882" spans="3:7" ht="15" hidden="1" x14ac:dyDescent="0.25">
      <c r="C882" s="4" t="str">
        <f>IFERROR(AVERAGEIFS('2. Program Allocation Output'!$P:$P,'2. Program Allocation Output'!$AF:$AF,$A882,'2. Program Allocation Output'!$AG:$AG,$B882),"")</f>
        <v/>
      </c>
      <c r="D882" s="4" t="str">
        <f>IFERROR(AVERAGEIFS('2. Program Allocation Output'!$O:$O,'2. Program Allocation Output'!$AF:$AF,$A882,'2. Program Allocation Output'!$AG:$AG,$B882),"")</f>
        <v/>
      </c>
      <c r="E882" s="5" t="str">
        <f>IFERROR(AVERAGEIFS('2. Program Allocation Output'!$L:$L,'2. Program Allocation Output'!$AF:$AF,$A882,'2. Program Allocation Output'!$AG:$AG,$B882),"")</f>
        <v/>
      </c>
      <c r="F882" s="39" t="str">
        <f t="shared" si="29"/>
        <v/>
      </c>
      <c r="G882" t="str">
        <f t="shared" si="30"/>
        <v/>
      </c>
    </row>
    <row r="883" spans="3:7" ht="15" hidden="1" x14ac:dyDescent="0.25">
      <c r="C883" s="4" t="str">
        <f>IFERROR(AVERAGEIFS('2. Program Allocation Output'!$P:$P,'2. Program Allocation Output'!$AF:$AF,$A883,'2. Program Allocation Output'!$AG:$AG,$B883),"")</f>
        <v/>
      </c>
      <c r="D883" s="4" t="str">
        <f>IFERROR(AVERAGEIFS('2. Program Allocation Output'!$O:$O,'2. Program Allocation Output'!$AF:$AF,$A883,'2. Program Allocation Output'!$AG:$AG,$B883),"")</f>
        <v/>
      </c>
      <c r="E883" s="5" t="str">
        <f>IFERROR(AVERAGEIFS('2. Program Allocation Output'!$L:$L,'2. Program Allocation Output'!$AF:$AF,$A883,'2. Program Allocation Output'!$AG:$AG,$B883),"")</f>
        <v/>
      </c>
      <c r="F883" s="39" t="str">
        <f t="shared" si="29"/>
        <v/>
      </c>
      <c r="G883" t="str">
        <f t="shared" si="30"/>
        <v/>
      </c>
    </row>
    <row r="884" spans="3:7" ht="15" hidden="1" x14ac:dyDescent="0.25">
      <c r="C884" s="4" t="str">
        <f>IFERROR(AVERAGEIFS('2. Program Allocation Output'!$P:$P,'2. Program Allocation Output'!$AF:$AF,$A884,'2. Program Allocation Output'!$AG:$AG,$B884),"")</f>
        <v/>
      </c>
      <c r="D884" s="4" t="str">
        <f>IFERROR(AVERAGEIFS('2. Program Allocation Output'!$O:$O,'2. Program Allocation Output'!$AF:$AF,$A884,'2. Program Allocation Output'!$AG:$AG,$B884),"")</f>
        <v/>
      </c>
      <c r="E884" s="5" t="str">
        <f>IFERROR(AVERAGEIFS('2. Program Allocation Output'!$L:$L,'2. Program Allocation Output'!$AF:$AF,$A884,'2. Program Allocation Output'!$AG:$AG,$B884),"")</f>
        <v/>
      </c>
      <c r="F884" s="39" t="str">
        <f t="shared" si="29"/>
        <v/>
      </c>
      <c r="G884" t="str">
        <f t="shared" si="30"/>
        <v/>
      </c>
    </row>
    <row r="885" spans="3:7" ht="15" hidden="1" x14ac:dyDescent="0.25">
      <c r="C885" s="4" t="str">
        <f>IFERROR(AVERAGEIFS('2. Program Allocation Output'!$P:$P,'2. Program Allocation Output'!$AF:$AF,$A885,'2. Program Allocation Output'!$AG:$AG,$B885),"")</f>
        <v/>
      </c>
      <c r="D885" s="4" t="str">
        <f>IFERROR(AVERAGEIFS('2. Program Allocation Output'!$O:$O,'2. Program Allocation Output'!$AF:$AF,$A885,'2. Program Allocation Output'!$AG:$AG,$B885),"")</f>
        <v/>
      </c>
      <c r="E885" s="5" t="str">
        <f>IFERROR(AVERAGEIFS('2. Program Allocation Output'!$L:$L,'2. Program Allocation Output'!$AF:$AF,$A885,'2. Program Allocation Output'!$AG:$AG,$B885),"")</f>
        <v/>
      </c>
      <c r="F885" s="39" t="str">
        <f t="shared" si="29"/>
        <v/>
      </c>
      <c r="G885" t="str">
        <f t="shared" si="30"/>
        <v/>
      </c>
    </row>
    <row r="886" spans="3:7" ht="15" hidden="1" x14ac:dyDescent="0.25">
      <c r="C886" s="4" t="str">
        <f>IFERROR(AVERAGEIFS('2. Program Allocation Output'!$P:$P,'2. Program Allocation Output'!$AF:$AF,$A886,'2. Program Allocation Output'!$AG:$AG,$B886),"")</f>
        <v/>
      </c>
      <c r="D886" s="4" t="str">
        <f>IFERROR(AVERAGEIFS('2. Program Allocation Output'!$O:$O,'2. Program Allocation Output'!$AF:$AF,$A886,'2. Program Allocation Output'!$AG:$AG,$B886),"")</f>
        <v/>
      </c>
      <c r="E886" s="5" t="str">
        <f>IFERROR(AVERAGEIFS('2. Program Allocation Output'!$L:$L,'2. Program Allocation Output'!$AF:$AF,$A886,'2. Program Allocation Output'!$AG:$AG,$B886),"")</f>
        <v/>
      </c>
      <c r="F886" s="39" t="str">
        <f t="shared" si="29"/>
        <v/>
      </c>
      <c r="G886" t="str">
        <f t="shared" si="30"/>
        <v/>
      </c>
    </row>
    <row r="887" spans="3:7" ht="15" hidden="1" x14ac:dyDescent="0.25">
      <c r="C887" s="4" t="str">
        <f>IFERROR(AVERAGEIFS('2. Program Allocation Output'!$P:$P,'2. Program Allocation Output'!$AF:$AF,$A887,'2. Program Allocation Output'!$AG:$AG,$B887),"")</f>
        <v/>
      </c>
      <c r="D887" s="4" t="str">
        <f>IFERROR(AVERAGEIFS('2. Program Allocation Output'!$O:$O,'2. Program Allocation Output'!$AF:$AF,$A887,'2. Program Allocation Output'!$AG:$AG,$B887),"")</f>
        <v/>
      </c>
      <c r="E887" s="5" t="str">
        <f>IFERROR(AVERAGEIFS('2. Program Allocation Output'!$L:$L,'2. Program Allocation Output'!$AF:$AF,$A887,'2. Program Allocation Output'!$AG:$AG,$B887),"")</f>
        <v/>
      </c>
      <c r="F887" s="39" t="str">
        <f t="shared" si="29"/>
        <v/>
      </c>
      <c r="G887" t="str">
        <f t="shared" si="30"/>
        <v/>
      </c>
    </row>
    <row r="888" spans="3:7" ht="15" hidden="1" x14ac:dyDescent="0.25">
      <c r="C888" s="4" t="str">
        <f>IFERROR(AVERAGEIFS('2. Program Allocation Output'!$P:$P,'2. Program Allocation Output'!$AF:$AF,$A888,'2. Program Allocation Output'!$AG:$AG,$B888),"")</f>
        <v/>
      </c>
      <c r="D888" s="4" t="str">
        <f>IFERROR(AVERAGEIFS('2. Program Allocation Output'!$O:$O,'2. Program Allocation Output'!$AF:$AF,$A888,'2. Program Allocation Output'!$AG:$AG,$B888),"")</f>
        <v/>
      </c>
      <c r="E888" s="5" t="str">
        <f>IFERROR(AVERAGEIFS('2. Program Allocation Output'!$L:$L,'2. Program Allocation Output'!$AF:$AF,$A888,'2. Program Allocation Output'!$AG:$AG,$B888),"")</f>
        <v/>
      </c>
      <c r="F888" s="39" t="str">
        <f t="shared" si="29"/>
        <v/>
      </c>
      <c r="G888" t="str">
        <f t="shared" si="30"/>
        <v/>
      </c>
    </row>
    <row r="889" spans="3:7" ht="15" hidden="1" x14ac:dyDescent="0.25">
      <c r="C889" s="4" t="str">
        <f>IFERROR(AVERAGEIFS('2. Program Allocation Output'!$P:$P,'2. Program Allocation Output'!$AF:$AF,$A889,'2. Program Allocation Output'!$AG:$AG,$B889),"")</f>
        <v/>
      </c>
      <c r="D889" s="4" t="str">
        <f>IFERROR(AVERAGEIFS('2. Program Allocation Output'!$O:$O,'2. Program Allocation Output'!$AF:$AF,$A889,'2. Program Allocation Output'!$AG:$AG,$B889),"")</f>
        <v/>
      </c>
      <c r="E889" s="5" t="str">
        <f>IFERROR(AVERAGEIFS('2. Program Allocation Output'!$L:$L,'2. Program Allocation Output'!$AF:$AF,$A889,'2. Program Allocation Output'!$AG:$AG,$B889),"")</f>
        <v/>
      </c>
      <c r="F889" s="39" t="str">
        <f t="shared" si="29"/>
        <v/>
      </c>
      <c r="G889" t="str">
        <f t="shared" si="30"/>
        <v/>
      </c>
    </row>
    <row r="890" spans="3:7" ht="15" hidden="1" x14ac:dyDescent="0.25">
      <c r="C890" s="4" t="str">
        <f>IFERROR(AVERAGEIFS('2. Program Allocation Output'!$P:$P,'2. Program Allocation Output'!$AF:$AF,$A890,'2. Program Allocation Output'!$AG:$AG,$B890),"")</f>
        <v/>
      </c>
      <c r="D890" s="4" t="str">
        <f>IFERROR(AVERAGEIFS('2. Program Allocation Output'!$O:$O,'2. Program Allocation Output'!$AF:$AF,$A890,'2. Program Allocation Output'!$AG:$AG,$B890),"")</f>
        <v/>
      </c>
      <c r="E890" s="5" t="str">
        <f>IFERROR(AVERAGEIFS('2. Program Allocation Output'!$L:$L,'2. Program Allocation Output'!$AF:$AF,$A890,'2. Program Allocation Output'!$AG:$AG,$B890),"")</f>
        <v/>
      </c>
      <c r="F890" s="39" t="str">
        <f t="shared" si="29"/>
        <v/>
      </c>
      <c r="G890" t="str">
        <f t="shared" si="30"/>
        <v/>
      </c>
    </row>
    <row r="891" spans="3:7" ht="15" hidden="1" x14ac:dyDescent="0.25">
      <c r="C891" s="4" t="str">
        <f>IFERROR(AVERAGEIFS('2. Program Allocation Output'!$P:$P,'2. Program Allocation Output'!$AF:$AF,$A891,'2. Program Allocation Output'!$AG:$AG,$B891),"")</f>
        <v/>
      </c>
      <c r="D891" s="4" t="str">
        <f>IFERROR(AVERAGEIFS('2. Program Allocation Output'!$O:$O,'2. Program Allocation Output'!$AF:$AF,$A891,'2. Program Allocation Output'!$AG:$AG,$B891),"")</f>
        <v/>
      </c>
      <c r="E891" s="5" t="str">
        <f>IFERROR(AVERAGEIFS('2. Program Allocation Output'!$L:$L,'2. Program Allocation Output'!$AF:$AF,$A891,'2. Program Allocation Output'!$AG:$AG,$B891),"")</f>
        <v/>
      </c>
      <c r="F891" s="39" t="str">
        <f t="shared" si="29"/>
        <v/>
      </c>
      <c r="G891" t="str">
        <f t="shared" si="30"/>
        <v/>
      </c>
    </row>
    <row r="892" spans="3:7" ht="15" hidden="1" x14ac:dyDescent="0.25">
      <c r="C892" s="4" t="str">
        <f>IFERROR(AVERAGEIFS('2. Program Allocation Output'!$P:$P,'2. Program Allocation Output'!$AF:$AF,$A892,'2. Program Allocation Output'!$AG:$AG,$B892),"")</f>
        <v/>
      </c>
      <c r="D892" s="4" t="str">
        <f>IFERROR(AVERAGEIFS('2. Program Allocation Output'!$O:$O,'2. Program Allocation Output'!$AF:$AF,$A892,'2. Program Allocation Output'!$AG:$AG,$B892),"")</f>
        <v/>
      </c>
      <c r="E892" s="5" t="str">
        <f>IFERROR(AVERAGEIFS('2. Program Allocation Output'!$L:$L,'2. Program Allocation Output'!$AF:$AF,$A892,'2. Program Allocation Output'!$AG:$AG,$B892),"")</f>
        <v/>
      </c>
      <c r="F892" s="39" t="str">
        <f t="shared" si="29"/>
        <v/>
      </c>
      <c r="G892" t="str">
        <f t="shared" si="30"/>
        <v/>
      </c>
    </row>
    <row r="893" spans="3:7" ht="15" hidden="1" x14ac:dyDescent="0.25">
      <c r="C893" s="4" t="str">
        <f>IFERROR(AVERAGEIFS('2. Program Allocation Output'!$P:$P,'2. Program Allocation Output'!$AF:$AF,$A893,'2. Program Allocation Output'!$AG:$AG,$B893),"")</f>
        <v/>
      </c>
      <c r="D893" s="4" t="str">
        <f>IFERROR(AVERAGEIFS('2. Program Allocation Output'!$O:$O,'2. Program Allocation Output'!$AF:$AF,$A893,'2. Program Allocation Output'!$AG:$AG,$B893),"")</f>
        <v/>
      </c>
      <c r="E893" s="5" t="str">
        <f>IFERROR(AVERAGEIFS('2. Program Allocation Output'!$L:$L,'2. Program Allocation Output'!$AF:$AF,$A893,'2. Program Allocation Output'!$AG:$AG,$B893),"")</f>
        <v/>
      </c>
      <c r="F893" s="39" t="str">
        <f t="shared" si="29"/>
        <v/>
      </c>
      <c r="G893" t="str">
        <f t="shared" si="30"/>
        <v/>
      </c>
    </row>
    <row r="894" spans="3:7" ht="15" hidden="1" x14ac:dyDescent="0.25">
      <c r="C894" s="4" t="str">
        <f>IFERROR(AVERAGEIFS('2. Program Allocation Output'!$P:$P,'2. Program Allocation Output'!$AF:$AF,$A894,'2. Program Allocation Output'!$AG:$AG,$B894),"")</f>
        <v/>
      </c>
      <c r="D894" s="4" t="str">
        <f>IFERROR(AVERAGEIFS('2. Program Allocation Output'!$O:$O,'2. Program Allocation Output'!$AF:$AF,$A894,'2. Program Allocation Output'!$AG:$AG,$B894),"")</f>
        <v/>
      </c>
      <c r="E894" s="5" t="str">
        <f>IFERROR(AVERAGEIFS('2. Program Allocation Output'!$L:$L,'2. Program Allocation Output'!$AF:$AF,$A894,'2. Program Allocation Output'!$AG:$AG,$B894),"")</f>
        <v/>
      </c>
      <c r="F894" s="39" t="str">
        <f t="shared" si="29"/>
        <v/>
      </c>
      <c r="G894" t="str">
        <f t="shared" si="30"/>
        <v/>
      </c>
    </row>
    <row r="895" spans="3:7" ht="15" hidden="1" x14ac:dyDescent="0.25">
      <c r="C895" s="4" t="str">
        <f>IFERROR(AVERAGEIFS('2. Program Allocation Output'!$P:$P,'2. Program Allocation Output'!$AF:$AF,$A895,'2. Program Allocation Output'!$AG:$AG,$B895),"")</f>
        <v/>
      </c>
      <c r="D895" s="4" t="str">
        <f>IFERROR(AVERAGEIFS('2. Program Allocation Output'!$O:$O,'2. Program Allocation Output'!$AF:$AF,$A895,'2. Program Allocation Output'!$AG:$AG,$B895),"")</f>
        <v/>
      </c>
      <c r="E895" s="5" t="str">
        <f>IFERROR(AVERAGEIFS('2. Program Allocation Output'!$L:$L,'2. Program Allocation Output'!$AF:$AF,$A895,'2. Program Allocation Output'!$AG:$AG,$B895),"")</f>
        <v/>
      </c>
      <c r="F895" s="39" t="str">
        <f t="shared" si="29"/>
        <v/>
      </c>
      <c r="G895" t="str">
        <f t="shared" si="30"/>
        <v/>
      </c>
    </row>
    <row r="896" spans="3:7" ht="15" hidden="1" x14ac:dyDescent="0.25">
      <c r="C896" s="4" t="str">
        <f>IFERROR(AVERAGEIFS('2. Program Allocation Output'!$P:$P,'2. Program Allocation Output'!$AF:$AF,$A896,'2. Program Allocation Output'!$AG:$AG,$B896),"")</f>
        <v/>
      </c>
      <c r="D896" s="4" t="str">
        <f>IFERROR(AVERAGEIFS('2. Program Allocation Output'!$O:$O,'2. Program Allocation Output'!$AF:$AF,$A896,'2. Program Allocation Output'!$AG:$AG,$B896),"")</f>
        <v/>
      </c>
      <c r="E896" s="5" t="str">
        <f>IFERROR(AVERAGEIFS('2. Program Allocation Output'!$L:$L,'2. Program Allocation Output'!$AF:$AF,$A896,'2. Program Allocation Output'!$AG:$AG,$B896),"")</f>
        <v/>
      </c>
      <c r="F896" s="39" t="str">
        <f t="shared" si="29"/>
        <v/>
      </c>
      <c r="G896" t="str">
        <f t="shared" si="30"/>
        <v/>
      </c>
    </row>
    <row r="897" spans="3:7" ht="15" hidden="1" x14ac:dyDescent="0.25">
      <c r="C897" s="4" t="str">
        <f>IFERROR(AVERAGEIFS('2. Program Allocation Output'!$P:$P,'2. Program Allocation Output'!$AF:$AF,$A897,'2. Program Allocation Output'!$AG:$AG,$B897),"")</f>
        <v/>
      </c>
      <c r="D897" s="4" t="str">
        <f>IFERROR(AVERAGEIFS('2. Program Allocation Output'!$O:$O,'2. Program Allocation Output'!$AF:$AF,$A897,'2. Program Allocation Output'!$AG:$AG,$B897),"")</f>
        <v/>
      </c>
      <c r="E897" s="5" t="str">
        <f>IFERROR(AVERAGEIFS('2. Program Allocation Output'!$L:$L,'2. Program Allocation Output'!$AF:$AF,$A897,'2. Program Allocation Output'!$AG:$AG,$B897),"")</f>
        <v/>
      </c>
      <c r="F897" s="39" t="str">
        <f t="shared" si="29"/>
        <v/>
      </c>
      <c r="G897" t="str">
        <f t="shared" si="30"/>
        <v/>
      </c>
    </row>
    <row r="898" spans="3:7" ht="15" hidden="1" x14ac:dyDescent="0.25">
      <c r="C898" s="4" t="str">
        <f>IFERROR(AVERAGEIFS('2. Program Allocation Output'!$P:$P,'2. Program Allocation Output'!$AF:$AF,$A898,'2. Program Allocation Output'!$AG:$AG,$B898),"")</f>
        <v/>
      </c>
      <c r="D898" s="4" t="str">
        <f>IFERROR(AVERAGEIFS('2. Program Allocation Output'!$O:$O,'2. Program Allocation Output'!$AF:$AF,$A898,'2. Program Allocation Output'!$AG:$AG,$B898),"")</f>
        <v/>
      </c>
      <c r="E898" s="5" t="str">
        <f>IFERROR(AVERAGEIFS('2. Program Allocation Output'!$L:$L,'2. Program Allocation Output'!$AF:$AF,$A898,'2. Program Allocation Output'!$AG:$AG,$B898),"")</f>
        <v/>
      </c>
      <c r="F898" s="39" t="str">
        <f t="shared" si="29"/>
        <v/>
      </c>
      <c r="G898" t="str">
        <f t="shared" si="30"/>
        <v/>
      </c>
    </row>
    <row r="899" spans="3:7" ht="15" hidden="1" x14ac:dyDescent="0.25">
      <c r="C899" s="4" t="str">
        <f>IFERROR(AVERAGEIFS('2. Program Allocation Output'!$P:$P,'2. Program Allocation Output'!$AF:$AF,$A899,'2. Program Allocation Output'!$AG:$AG,$B899),"")</f>
        <v/>
      </c>
      <c r="D899" s="4" t="str">
        <f>IFERROR(AVERAGEIFS('2. Program Allocation Output'!$O:$O,'2. Program Allocation Output'!$AF:$AF,$A899,'2. Program Allocation Output'!$AG:$AG,$B899),"")</f>
        <v/>
      </c>
      <c r="E899" s="5" t="str">
        <f>IFERROR(AVERAGEIFS('2. Program Allocation Output'!$L:$L,'2. Program Allocation Output'!$AF:$AF,$A899,'2. Program Allocation Output'!$AG:$AG,$B899),"")</f>
        <v/>
      </c>
      <c r="F899" s="39" t="str">
        <f t="shared" ref="F899:F962" si="31">IFERROR(C899*1,"")</f>
        <v/>
      </c>
      <c r="G899" t="str">
        <f t="shared" si="30"/>
        <v/>
      </c>
    </row>
    <row r="900" spans="3:7" ht="15" hidden="1" x14ac:dyDescent="0.25">
      <c r="C900" s="4" t="str">
        <f>IFERROR(AVERAGEIFS('2. Program Allocation Output'!$P:$P,'2. Program Allocation Output'!$AF:$AF,$A900,'2. Program Allocation Output'!$AG:$AG,$B900),"")</f>
        <v/>
      </c>
      <c r="D900" s="4" t="str">
        <f>IFERROR(AVERAGEIFS('2. Program Allocation Output'!$O:$O,'2. Program Allocation Output'!$AF:$AF,$A900,'2. Program Allocation Output'!$AG:$AG,$B900),"")</f>
        <v/>
      </c>
      <c r="E900" s="5" t="str">
        <f>IFERROR(AVERAGEIFS('2. Program Allocation Output'!$L:$L,'2. Program Allocation Output'!$AF:$AF,$A900,'2. Program Allocation Output'!$AG:$AG,$B900),"")</f>
        <v/>
      </c>
      <c r="F900" s="39" t="str">
        <f t="shared" si="31"/>
        <v/>
      </c>
      <c r="G900" t="str">
        <f t="shared" si="30"/>
        <v/>
      </c>
    </row>
    <row r="901" spans="3:7" ht="15" hidden="1" x14ac:dyDescent="0.25">
      <c r="C901" s="4" t="str">
        <f>IFERROR(AVERAGEIFS('2. Program Allocation Output'!$P:$P,'2. Program Allocation Output'!$AF:$AF,$A901,'2. Program Allocation Output'!$AG:$AG,$B901),"")</f>
        <v/>
      </c>
      <c r="D901" s="4" t="str">
        <f>IFERROR(AVERAGEIFS('2. Program Allocation Output'!$O:$O,'2. Program Allocation Output'!$AF:$AF,$A901,'2. Program Allocation Output'!$AG:$AG,$B901),"")</f>
        <v/>
      </c>
      <c r="E901" s="5" t="str">
        <f>IFERROR(AVERAGEIFS('2. Program Allocation Output'!$L:$L,'2. Program Allocation Output'!$AF:$AF,$A901,'2. Program Allocation Output'!$AG:$AG,$B901),"")</f>
        <v/>
      </c>
      <c r="F901" s="39" t="str">
        <f t="shared" si="31"/>
        <v/>
      </c>
      <c r="G901" t="str">
        <f t="shared" si="30"/>
        <v/>
      </c>
    </row>
    <row r="902" spans="3:7" ht="15" hidden="1" x14ac:dyDescent="0.25">
      <c r="C902" s="4" t="str">
        <f>IFERROR(AVERAGEIFS('2. Program Allocation Output'!$P:$P,'2. Program Allocation Output'!$AF:$AF,$A902,'2. Program Allocation Output'!$AG:$AG,$B902),"")</f>
        <v/>
      </c>
      <c r="D902" s="4" t="str">
        <f>IFERROR(AVERAGEIFS('2. Program Allocation Output'!$O:$O,'2. Program Allocation Output'!$AF:$AF,$A902,'2. Program Allocation Output'!$AG:$AG,$B902),"")</f>
        <v/>
      </c>
      <c r="E902" s="5" t="str">
        <f>IFERROR(AVERAGEIFS('2. Program Allocation Output'!$L:$L,'2. Program Allocation Output'!$AF:$AF,$A902,'2. Program Allocation Output'!$AG:$AG,$B902),"")</f>
        <v/>
      </c>
      <c r="F902" s="39" t="str">
        <f t="shared" si="31"/>
        <v/>
      </c>
      <c r="G902" t="str">
        <f t="shared" si="30"/>
        <v/>
      </c>
    </row>
    <row r="903" spans="3:7" ht="15" hidden="1" x14ac:dyDescent="0.25">
      <c r="C903" s="4" t="str">
        <f>IFERROR(AVERAGEIFS('2. Program Allocation Output'!$P:$P,'2. Program Allocation Output'!$AF:$AF,$A903,'2. Program Allocation Output'!$AG:$AG,$B903),"")</f>
        <v/>
      </c>
      <c r="D903" s="4" t="str">
        <f>IFERROR(AVERAGEIFS('2. Program Allocation Output'!$O:$O,'2. Program Allocation Output'!$AF:$AF,$A903,'2. Program Allocation Output'!$AG:$AG,$B903),"")</f>
        <v/>
      </c>
      <c r="E903" s="5" t="str">
        <f>IFERROR(AVERAGEIFS('2. Program Allocation Output'!$L:$L,'2. Program Allocation Output'!$AF:$AF,$A903,'2. Program Allocation Output'!$AG:$AG,$B903),"")</f>
        <v/>
      </c>
      <c r="F903" s="39" t="str">
        <f t="shared" si="31"/>
        <v/>
      </c>
      <c r="G903" t="str">
        <f t="shared" si="30"/>
        <v/>
      </c>
    </row>
    <row r="904" spans="3:7" ht="15" hidden="1" x14ac:dyDescent="0.25">
      <c r="C904" s="4" t="str">
        <f>IFERROR(AVERAGEIFS('2. Program Allocation Output'!$P:$P,'2. Program Allocation Output'!$AF:$AF,$A904,'2. Program Allocation Output'!$AG:$AG,$B904),"")</f>
        <v/>
      </c>
      <c r="D904" s="4" t="str">
        <f>IFERROR(AVERAGEIFS('2. Program Allocation Output'!$O:$O,'2. Program Allocation Output'!$AF:$AF,$A904,'2. Program Allocation Output'!$AG:$AG,$B904),"")</f>
        <v/>
      </c>
      <c r="E904" s="5" t="str">
        <f>IFERROR(AVERAGEIFS('2. Program Allocation Output'!$L:$L,'2. Program Allocation Output'!$AF:$AF,$A904,'2. Program Allocation Output'!$AG:$AG,$B904),"")</f>
        <v/>
      </c>
      <c r="F904" s="39" t="str">
        <f t="shared" si="31"/>
        <v/>
      </c>
      <c r="G904" t="str">
        <f t="shared" si="30"/>
        <v/>
      </c>
    </row>
    <row r="905" spans="3:7" ht="15" hidden="1" x14ac:dyDescent="0.25">
      <c r="C905" s="4" t="str">
        <f>IFERROR(AVERAGEIFS('2. Program Allocation Output'!$P:$P,'2. Program Allocation Output'!$AF:$AF,$A905,'2. Program Allocation Output'!$AG:$AG,$B905),"")</f>
        <v/>
      </c>
      <c r="D905" s="4" t="str">
        <f>IFERROR(AVERAGEIFS('2. Program Allocation Output'!$O:$O,'2. Program Allocation Output'!$AF:$AF,$A905,'2. Program Allocation Output'!$AG:$AG,$B905),"")</f>
        <v/>
      </c>
      <c r="E905" s="5" t="str">
        <f>IFERROR(AVERAGEIFS('2. Program Allocation Output'!$L:$L,'2. Program Allocation Output'!$AF:$AF,$A905,'2. Program Allocation Output'!$AG:$AG,$B905),"")</f>
        <v/>
      </c>
      <c r="F905" s="39" t="str">
        <f t="shared" si="31"/>
        <v/>
      </c>
      <c r="G905" t="str">
        <f t="shared" si="30"/>
        <v/>
      </c>
    </row>
    <row r="906" spans="3:7" ht="15" hidden="1" x14ac:dyDescent="0.25">
      <c r="C906" s="4" t="str">
        <f>IFERROR(AVERAGEIFS('2. Program Allocation Output'!$P:$P,'2. Program Allocation Output'!$AF:$AF,$A906,'2. Program Allocation Output'!$AG:$AG,$B906),"")</f>
        <v/>
      </c>
      <c r="D906" s="4" t="str">
        <f>IFERROR(AVERAGEIFS('2. Program Allocation Output'!$O:$O,'2. Program Allocation Output'!$AF:$AF,$A906,'2. Program Allocation Output'!$AG:$AG,$B906),"")</f>
        <v/>
      </c>
      <c r="E906" s="5" t="str">
        <f>IFERROR(AVERAGEIFS('2. Program Allocation Output'!$L:$L,'2. Program Allocation Output'!$AF:$AF,$A906,'2. Program Allocation Output'!$AG:$AG,$B906),"")</f>
        <v/>
      </c>
      <c r="F906" s="39" t="str">
        <f t="shared" si="31"/>
        <v/>
      </c>
      <c r="G906" t="str">
        <f t="shared" si="30"/>
        <v/>
      </c>
    </row>
    <row r="907" spans="3:7" ht="15" hidden="1" x14ac:dyDescent="0.25">
      <c r="C907" s="4" t="str">
        <f>IFERROR(AVERAGEIFS('2. Program Allocation Output'!$P:$P,'2. Program Allocation Output'!$AF:$AF,$A907,'2. Program Allocation Output'!$AG:$AG,$B907),"")</f>
        <v/>
      </c>
      <c r="D907" s="4" t="str">
        <f>IFERROR(AVERAGEIFS('2. Program Allocation Output'!$O:$O,'2. Program Allocation Output'!$AF:$AF,$A907,'2. Program Allocation Output'!$AG:$AG,$B907),"")</f>
        <v/>
      </c>
      <c r="E907" s="5" t="str">
        <f>IFERROR(AVERAGEIFS('2. Program Allocation Output'!$L:$L,'2. Program Allocation Output'!$AF:$AF,$A907,'2. Program Allocation Output'!$AG:$AG,$B907),"")</f>
        <v/>
      </c>
      <c r="F907" s="39" t="str">
        <f t="shared" si="31"/>
        <v/>
      </c>
      <c r="G907" t="str">
        <f t="shared" si="30"/>
        <v/>
      </c>
    </row>
    <row r="908" spans="3:7" ht="15" hidden="1" x14ac:dyDescent="0.25">
      <c r="C908" s="4" t="str">
        <f>IFERROR(AVERAGEIFS('2. Program Allocation Output'!$P:$P,'2. Program Allocation Output'!$AF:$AF,$A908,'2. Program Allocation Output'!$AG:$AG,$B908),"")</f>
        <v/>
      </c>
      <c r="D908" s="4" t="str">
        <f>IFERROR(AVERAGEIFS('2. Program Allocation Output'!$O:$O,'2. Program Allocation Output'!$AF:$AF,$A908,'2. Program Allocation Output'!$AG:$AG,$B908),"")</f>
        <v/>
      </c>
      <c r="E908" s="5" t="str">
        <f>IFERROR(AVERAGEIFS('2. Program Allocation Output'!$L:$L,'2. Program Allocation Output'!$AF:$AF,$A908,'2. Program Allocation Output'!$AG:$AG,$B908),"")</f>
        <v/>
      </c>
      <c r="F908" s="39" t="str">
        <f t="shared" si="31"/>
        <v/>
      </c>
      <c r="G908" t="str">
        <f t="shared" si="30"/>
        <v/>
      </c>
    </row>
    <row r="909" spans="3:7" ht="15" hidden="1" x14ac:dyDescent="0.25">
      <c r="C909" s="4" t="str">
        <f>IFERROR(AVERAGEIFS('2. Program Allocation Output'!$P:$P,'2. Program Allocation Output'!$AF:$AF,$A909,'2. Program Allocation Output'!$AG:$AG,$B909),"")</f>
        <v/>
      </c>
      <c r="D909" s="4" t="str">
        <f>IFERROR(AVERAGEIFS('2. Program Allocation Output'!$O:$O,'2. Program Allocation Output'!$AF:$AF,$A909,'2. Program Allocation Output'!$AG:$AG,$B909),"")</f>
        <v/>
      </c>
      <c r="E909" s="5" t="str">
        <f>IFERROR(AVERAGEIFS('2. Program Allocation Output'!$L:$L,'2. Program Allocation Output'!$AF:$AF,$A909,'2. Program Allocation Output'!$AG:$AG,$B909),"")</f>
        <v/>
      </c>
      <c r="F909" s="39" t="str">
        <f t="shared" si="31"/>
        <v/>
      </c>
      <c r="G909" t="str">
        <f t="shared" si="30"/>
        <v/>
      </c>
    </row>
    <row r="910" spans="3:7" ht="15" hidden="1" x14ac:dyDescent="0.25">
      <c r="C910" s="4" t="str">
        <f>IFERROR(AVERAGEIFS('2. Program Allocation Output'!$P:$P,'2. Program Allocation Output'!$AF:$AF,$A910,'2. Program Allocation Output'!$AG:$AG,$B910),"")</f>
        <v/>
      </c>
      <c r="D910" s="4" t="str">
        <f>IFERROR(AVERAGEIFS('2. Program Allocation Output'!$O:$O,'2. Program Allocation Output'!$AF:$AF,$A910,'2. Program Allocation Output'!$AG:$AG,$B910),"")</f>
        <v/>
      </c>
      <c r="E910" s="5" t="str">
        <f>IFERROR(AVERAGEIFS('2. Program Allocation Output'!$L:$L,'2. Program Allocation Output'!$AF:$AF,$A910,'2. Program Allocation Output'!$AG:$AG,$B910),"")</f>
        <v/>
      </c>
      <c r="F910" s="39" t="str">
        <f t="shared" si="31"/>
        <v/>
      </c>
      <c r="G910" t="str">
        <f t="shared" ref="G910:G973" si="32">IFERROR(EXP(0.3*(F910-C910)/(E910*0.1137)),"")</f>
        <v/>
      </c>
    </row>
    <row r="911" spans="3:7" ht="15" hidden="1" x14ac:dyDescent="0.25">
      <c r="C911" s="4" t="str">
        <f>IFERROR(AVERAGEIFS('2. Program Allocation Output'!$P:$P,'2. Program Allocation Output'!$AF:$AF,$A911,'2. Program Allocation Output'!$AG:$AG,$B911),"")</f>
        <v/>
      </c>
      <c r="D911" s="4" t="str">
        <f>IFERROR(AVERAGEIFS('2. Program Allocation Output'!$O:$O,'2. Program Allocation Output'!$AF:$AF,$A911,'2. Program Allocation Output'!$AG:$AG,$B911),"")</f>
        <v/>
      </c>
      <c r="E911" s="5" t="str">
        <f>IFERROR(AVERAGEIFS('2. Program Allocation Output'!$L:$L,'2. Program Allocation Output'!$AF:$AF,$A911,'2. Program Allocation Output'!$AG:$AG,$B911),"")</f>
        <v/>
      </c>
      <c r="F911" s="39" t="str">
        <f t="shared" si="31"/>
        <v/>
      </c>
      <c r="G911" t="str">
        <f t="shared" si="32"/>
        <v/>
      </c>
    </row>
    <row r="912" spans="3:7" ht="15" hidden="1" x14ac:dyDescent="0.25">
      <c r="C912" s="4" t="str">
        <f>IFERROR(AVERAGEIFS('2. Program Allocation Output'!$P:$P,'2. Program Allocation Output'!$AF:$AF,$A912,'2. Program Allocation Output'!$AG:$AG,$B912),"")</f>
        <v/>
      </c>
      <c r="D912" s="4" t="str">
        <f>IFERROR(AVERAGEIFS('2. Program Allocation Output'!$O:$O,'2. Program Allocation Output'!$AF:$AF,$A912,'2. Program Allocation Output'!$AG:$AG,$B912),"")</f>
        <v/>
      </c>
      <c r="E912" s="5" t="str">
        <f>IFERROR(AVERAGEIFS('2. Program Allocation Output'!$L:$L,'2. Program Allocation Output'!$AF:$AF,$A912,'2. Program Allocation Output'!$AG:$AG,$B912),"")</f>
        <v/>
      </c>
      <c r="F912" s="39" t="str">
        <f t="shared" si="31"/>
        <v/>
      </c>
      <c r="G912" t="str">
        <f t="shared" si="32"/>
        <v/>
      </c>
    </row>
    <row r="913" spans="3:7" ht="15" hidden="1" x14ac:dyDescent="0.25">
      <c r="C913" s="4" t="str">
        <f>IFERROR(AVERAGEIFS('2. Program Allocation Output'!$P:$P,'2. Program Allocation Output'!$AF:$AF,$A913,'2. Program Allocation Output'!$AG:$AG,$B913),"")</f>
        <v/>
      </c>
      <c r="D913" s="4" t="str">
        <f>IFERROR(AVERAGEIFS('2. Program Allocation Output'!$O:$O,'2. Program Allocation Output'!$AF:$AF,$A913,'2. Program Allocation Output'!$AG:$AG,$B913),"")</f>
        <v/>
      </c>
      <c r="E913" s="5" t="str">
        <f>IFERROR(AVERAGEIFS('2. Program Allocation Output'!$L:$L,'2. Program Allocation Output'!$AF:$AF,$A913,'2. Program Allocation Output'!$AG:$AG,$B913),"")</f>
        <v/>
      </c>
      <c r="F913" s="39" t="str">
        <f t="shared" si="31"/>
        <v/>
      </c>
      <c r="G913" t="str">
        <f t="shared" si="32"/>
        <v/>
      </c>
    </row>
    <row r="914" spans="3:7" ht="15" hidden="1" x14ac:dyDescent="0.25">
      <c r="C914" s="4" t="str">
        <f>IFERROR(AVERAGEIFS('2. Program Allocation Output'!$P:$P,'2. Program Allocation Output'!$AF:$AF,$A914,'2. Program Allocation Output'!$AG:$AG,$B914),"")</f>
        <v/>
      </c>
      <c r="D914" s="4" t="str">
        <f>IFERROR(AVERAGEIFS('2. Program Allocation Output'!$O:$O,'2. Program Allocation Output'!$AF:$AF,$A914,'2. Program Allocation Output'!$AG:$AG,$B914),"")</f>
        <v/>
      </c>
      <c r="E914" s="5" t="str">
        <f>IFERROR(AVERAGEIFS('2. Program Allocation Output'!$L:$L,'2. Program Allocation Output'!$AF:$AF,$A914,'2. Program Allocation Output'!$AG:$AG,$B914),"")</f>
        <v/>
      </c>
      <c r="F914" s="39" t="str">
        <f t="shared" si="31"/>
        <v/>
      </c>
      <c r="G914" t="str">
        <f t="shared" si="32"/>
        <v/>
      </c>
    </row>
    <row r="915" spans="3:7" ht="15" hidden="1" x14ac:dyDescent="0.25">
      <c r="C915" s="4" t="str">
        <f>IFERROR(AVERAGEIFS('2. Program Allocation Output'!$P:$P,'2. Program Allocation Output'!$AF:$AF,$A915,'2. Program Allocation Output'!$AG:$AG,$B915),"")</f>
        <v/>
      </c>
      <c r="D915" s="4" t="str">
        <f>IFERROR(AVERAGEIFS('2. Program Allocation Output'!$O:$O,'2. Program Allocation Output'!$AF:$AF,$A915,'2. Program Allocation Output'!$AG:$AG,$B915),"")</f>
        <v/>
      </c>
      <c r="E915" s="5" t="str">
        <f>IFERROR(AVERAGEIFS('2. Program Allocation Output'!$L:$L,'2. Program Allocation Output'!$AF:$AF,$A915,'2. Program Allocation Output'!$AG:$AG,$B915),"")</f>
        <v/>
      </c>
      <c r="F915" s="39" t="str">
        <f t="shared" si="31"/>
        <v/>
      </c>
      <c r="G915" t="str">
        <f t="shared" si="32"/>
        <v/>
      </c>
    </row>
    <row r="916" spans="3:7" ht="15" hidden="1" x14ac:dyDescent="0.25">
      <c r="C916" s="4" t="str">
        <f>IFERROR(AVERAGEIFS('2. Program Allocation Output'!$P:$P,'2. Program Allocation Output'!$AF:$AF,$A916,'2. Program Allocation Output'!$AG:$AG,$B916),"")</f>
        <v/>
      </c>
      <c r="D916" s="4" t="str">
        <f>IFERROR(AVERAGEIFS('2. Program Allocation Output'!$O:$O,'2. Program Allocation Output'!$AF:$AF,$A916,'2. Program Allocation Output'!$AG:$AG,$B916),"")</f>
        <v/>
      </c>
      <c r="E916" s="5" t="str">
        <f>IFERROR(AVERAGEIFS('2. Program Allocation Output'!$L:$L,'2. Program Allocation Output'!$AF:$AF,$A916,'2. Program Allocation Output'!$AG:$AG,$B916),"")</f>
        <v/>
      </c>
      <c r="F916" s="39" t="str">
        <f t="shared" si="31"/>
        <v/>
      </c>
      <c r="G916" t="str">
        <f t="shared" si="32"/>
        <v/>
      </c>
    </row>
    <row r="917" spans="3:7" ht="15" hidden="1" x14ac:dyDescent="0.25">
      <c r="C917" s="4" t="str">
        <f>IFERROR(AVERAGEIFS('2. Program Allocation Output'!$P:$P,'2. Program Allocation Output'!$AF:$AF,$A917,'2. Program Allocation Output'!$AG:$AG,$B917),"")</f>
        <v/>
      </c>
      <c r="D917" s="4" t="str">
        <f>IFERROR(AVERAGEIFS('2. Program Allocation Output'!$O:$O,'2. Program Allocation Output'!$AF:$AF,$A917,'2. Program Allocation Output'!$AG:$AG,$B917),"")</f>
        <v/>
      </c>
      <c r="E917" s="5" t="str">
        <f>IFERROR(AVERAGEIFS('2. Program Allocation Output'!$L:$L,'2. Program Allocation Output'!$AF:$AF,$A917,'2. Program Allocation Output'!$AG:$AG,$B917),"")</f>
        <v/>
      </c>
      <c r="F917" s="39" t="str">
        <f t="shared" si="31"/>
        <v/>
      </c>
      <c r="G917" t="str">
        <f t="shared" si="32"/>
        <v/>
      </c>
    </row>
    <row r="918" spans="3:7" ht="15" hidden="1" x14ac:dyDescent="0.25">
      <c r="C918" s="4" t="str">
        <f>IFERROR(AVERAGEIFS('2. Program Allocation Output'!$P:$P,'2. Program Allocation Output'!$AF:$AF,$A918,'2. Program Allocation Output'!$AG:$AG,$B918),"")</f>
        <v/>
      </c>
      <c r="D918" s="4" t="str">
        <f>IFERROR(AVERAGEIFS('2. Program Allocation Output'!$O:$O,'2. Program Allocation Output'!$AF:$AF,$A918,'2. Program Allocation Output'!$AG:$AG,$B918),"")</f>
        <v/>
      </c>
      <c r="E918" s="5" t="str">
        <f>IFERROR(AVERAGEIFS('2. Program Allocation Output'!$L:$L,'2. Program Allocation Output'!$AF:$AF,$A918,'2. Program Allocation Output'!$AG:$AG,$B918),"")</f>
        <v/>
      </c>
      <c r="F918" s="39" t="str">
        <f t="shared" si="31"/>
        <v/>
      </c>
      <c r="G918" t="str">
        <f t="shared" si="32"/>
        <v/>
      </c>
    </row>
    <row r="919" spans="3:7" ht="15" hidden="1" x14ac:dyDescent="0.25">
      <c r="C919" s="4" t="str">
        <f>IFERROR(AVERAGEIFS('2. Program Allocation Output'!$P:$P,'2. Program Allocation Output'!$AF:$AF,$A919,'2. Program Allocation Output'!$AG:$AG,$B919),"")</f>
        <v/>
      </c>
      <c r="D919" s="4" t="str">
        <f>IFERROR(AVERAGEIFS('2. Program Allocation Output'!$O:$O,'2. Program Allocation Output'!$AF:$AF,$A919,'2. Program Allocation Output'!$AG:$AG,$B919),"")</f>
        <v/>
      </c>
      <c r="E919" s="5" t="str">
        <f>IFERROR(AVERAGEIFS('2. Program Allocation Output'!$L:$L,'2. Program Allocation Output'!$AF:$AF,$A919,'2. Program Allocation Output'!$AG:$AG,$B919),"")</f>
        <v/>
      </c>
      <c r="F919" s="39" t="str">
        <f t="shared" si="31"/>
        <v/>
      </c>
      <c r="G919" t="str">
        <f t="shared" si="32"/>
        <v/>
      </c>
    </row>
    <row r="920" spans="3:7" ht="15" hidden="1" x14ac:dyDescent="0.25">
      <c r="C920" s="4" t="str">
        <f>IFERROR(AVERAGEIFS('2. Program Allocation Output'!$P:$P,'2. Program Allocation Output'!$AF:$AF,$A920,'2. Program Allocation Output'!$AG:$AG,$B920),"")</f>
        <v/>
      </c>
      <c r="D920" s="4" t="str">
        <f>IFERROR(AVERAGEIFS('2. Program Allocation Output'!$O:$O,'2. Program Allocation Output'!$AF:$AF,$A920,'2. Program Allocation Output'!$AG:$AG,$B920),"")</f>
        <v/>
      </c>
      <c r="E920" s="5" t="str">
        <f>IFERROR(AVERAGEIFS('2. Program Allocation Output'!$L:$L,'2. Program Allocation Output'!$AF:$AF,$A920,'2. Program Allocation Output'!$AG:$AG,$B920),"")</f>
        <v/>
      </c>
      <c r="F920" s="39" t="str">
        <f t="shared" si="31"/>
        <v/>
      </c>
      <c r="G920" t="str">
        <f t="shared" si="32"/>
        <v/>
      </c>
    </row>
    <row r="921" spans="3:7" ht="15" hidden="1" x14ac:dyDescent="0.25">
      <c r="C921" s="4" t="str">
        <f>IFERROR(AVERAGEIFS('2. Program Allocation Output'!$P:$P,'2. Program Allocation Output'!$AF:$AF,$A921,'2. Program Allocation Output'!$AG:$AG,$B921),"")</f>
        <v/>
      </c>
      <c r="D921" s="4" t="str">
        <f>IFERROR(AVERAGEIFS('2. Program Allocation Output'!$O:$O,'2. Program Allocation Output'!$AF:$AF,$A921,'2. Program Allocation Output'!$AG:$AG,$B921),"")</f>
        <v/>
      </c>
      <c r="E921" s="5" t="str">
        <f>IFERROR(AVERAGEIFS('2. Program Allocation Output'!$L:$L,'2. Program Allocation Output'!$AF:$AF,$A921,'2. Program Allocation Output'!$AG:$AG,$B921),"")</f>
        <v/>
      </c>
      <c r="F921" s="39" t="str">
        <f t="shared" si="31"/>
        <v/>
      </c>
      <c r="G921" t="str">
        <f t="shared" si="32"/>
        <v/>
      </c>
    </row>
    <row r="922" spans="3:7" ht="15" hidden="1" x14ac:dyDescent="0.25">
      <c r="C922" s="4" t="str">
        <f>IFERROR(AVERAGEIFS('2. Program Allocation Output'!$P:$P,'2. Program Allocation Output'!$AF:$AF,$A922,'2. Program Allocation Output'!$AG:$AG,$B922),"")</f>
        <v/>
      </c>
      <c r="D922" s="4" t="str">
        <f>IFERROR(AVERAGEIFS('2. Program Allocation Output'!$O:$O,'2. Program Allocation Output'!$AF:$AF,$A922,'2. Program Allocation Output'!$AG:$AG,$B922),"")</f>
        <v/>
      </c>
      <c r="E922" s="5" t="str">
        <f>IFERROR(AVERAGEIFS('2. Program Allocation Output'!$L:$L,'2. Program Allocation Output'!$AF:$AF,$A922,'2. Program Allocation Output'!$AG:$AG,$B922),"")</f>
        <v/>
      </c>
      <c r="F922" s="39" t="str">
        <f t="shared" si="31"/>
        <v/>
      </c>
      <c r="G922" t="str">
        <f t="shared" si="32"/>
        <v/>
      </c>
    </row>
    <row r="923" spans="3:7" ht="15" hidden="1" x14ac:dyDescent="0.25">
      <c r="C923" s="4" t="str">
        <f>IFERROR(AVERAGEIFS('2. Program Allocation Output'!$P:$P,'2. Program Allocation Output'!$AF:$AF,$A923,'2. Program Allocation Output'!$AG:$AG,$B923),"")</f>
        <v/>
      </c>
      <c r="D923" s="4" t="str">
        <f>IFERROR(AVERAGEIFS('2. Program Allocation Output'!$O:$O,'2. Program Allocation Output'!$AF:$AF,$A923,'2. Program Allocation Output'!$AG:$AG,$B923),"")</f>
        <v/>
      </c>
      <c r="E923" s="5" t="str">
        <f>IFERROR(AVERAGEIFS('2. Program Allocation Output'!$L:$L,'2. Program Allocation Output'!$AF:$AF,$A923,'2. Program Allocation Output'!$AG:$AG,$B923),"")</f>
        <v/>
      </c>
      <c r="F923" s="39" t="str">
        <f t="shared" si="31"/>
        <v/>
      </c>
      <c r="G923" t="str">
        <f t="shared" si="32"/>
        <v/>
      </c>
    </row>
    <row r="924" spans="3:7" ht="15" hidden="1" x14ac:dyDescent="0.25">
      <c r="C924" s="4" t="str">
        <f>IFERROR(AVERAGEIFS('2. Program Allocation Output'!$P:$P,'2. Program Allocation Output'!$AF:$AF,$A924,'2. Program Allocation Output'!$AG:$AG,$B924),"")</f>
        <v/>
      </c>
      <c r="D924" s="4" t="str">
        <f>IFERROR(AVERAGEIFS('2. Program Allocation Output'!$O:$O,'2. Program Allocation Output'!$AF:$AF,$A924,'2. Program Allocation Output'!$AG:$AG,$B924),"")</f>
        <v/>
      </c>
      <c r="E924" s="5" t="str">
        <f>IFERROR(AVERAGEIFS('2. Program Allocation Output'!$L:$L,'2. Program Allocation Output'!$AF:$AF,$A924,'2. Program Allocation Output'!$AG:$AG,$B924),"")</f>
        <v/>
      </c>
      <c r="F924" s="39" t="str">
        <f t="shared" si="31"/>
        <v/>
      </c>
      <c r="G924" t="str">
        <f t="shared" si="32"/>
        <v/>
      </c>
    </row>
    <row r="925" spans="3:7" ht="15" hidden="1" x14ac:dyDescent="0.25">
      <c r="C925" s="4" t="str">
        <f>IFERROR(AVERAGEIFS('2. Program Allocation Output'!$P:$P,'2. Program Allocation Output'!$AF:$AF,$A925,'2. Program Allocation Output'!$AG:$AG,$B925),"")</f>
        <v/>
      </c>
      <c r="D925" s="4" t="str">
        <f>IFERROR(AVERAGEIFS('2. Program Allocation Output'!$O:$O,'2. Program Allocation Output'!$AF:$AF,$A925,'2. Program Allocation Output'!$AG:$AG,$B925),"")</f>
        <v/>
      </c>
      <c r="E925" s="5" t="str">
        <f>IFERROR(AVERAGEIFS('2. Program Allocation Output'!$L:$L,'2. Program Allocation Output'!$AF:$AF,$A925,'2. Program Allocation Output'!$AG:$AG,$B925),"")</f>
        <v/>
      </c>
      <c r="F925" s="39" t="str">
        <f t="shared" si="31"/>
        <v/>
      </c>
      <c r="G925" t="str">
        <f t="shared" si="32"/>
        <v/>
      </c>
    </row>
    <row r="926" spans="3:7" ht="15" hidden="1" x14ac:dyDescent="0.25">
      <c r="C926" s="4" t="str">
        <f>IFERROR(AVERAGEIFS('2. Program Allocation Output'!$P:$P,'2. Program Allocation Output'!$AF:$AF,$A926,'2. Program Allocation Output'!$AG:$AG,$B926),"")</f>
        <v/>
      </c>
      <c r="D926" s="4" t="str">
        <f>IFERROR(AVERAGEIFS('2. Program Allocation Output'!$O:$O,'2. Program Allocation Output'!$AF:$AF,$A926,'2. Program Allocation Output'!$AG:$AG,$B926),"")</f>
        <v/>
      </c>
      <c r="E926" s="5" t="str">
        <f>IFERROR(AVERAGEIFS('2. Program Allocation Output'!$L:$L,'2. Program Allocation Output'!$AF:$AF,$A926,'2. Program Allocation Output'!$AG:$AG,$B926),"")</f>
        <v/>
      </c>
      <c r="F926" s="39" t="str">
        <f t="shared" si="31"/>
        <v/>
      </c>
      <c r="G926" t="str">
        <f t="shared" si="32"/>
        <v/>
      </c>
    </row>
    <row r="927" spans="3:7" ht="15" hidden="1" x14ac:dyDescent="0.25">
      <c r="C927" s="4" t="str">
        <f>IFERROR(AVERAGEIFS('2. Program Allocation Output'!$P:$P,'2. Program Allocation Output'!$AF:$AF,$A927,'2. Program Allocation Output'!$AG:$AG,$B927),"")</f>
        <v/>
      </c>
      <c r="D927" s="4" t="str">
        <f>IFERROR(AVERAGEIFS('2. Program Allocation Output'!$O:$O,'2. Program Allocation Output'!$AF:$AF,$A927,'2. Program Allocation Output'!$AG:$AG,$B927),"")</f>
        <v/>
      </c>
      <c r="E927" s="5" t="str">
        <f>IFERROR(AVERAGEIFS('2. Program Allocation Output'!$L:$L,'2. Program Allocation Output'!$AF:$AF,$A927,'2. Program Allocation Output'!$AG:$AG,$B927),"")</f>
        <v/>
      </c>
      <c r="F927" s="39" t="str">
        <f t="shared" si="31"/>
        <v/>
      </c>
      <c r="G927" t="str">
        <f t="shared" si="32"/>
        <v/>
      </c>
    </row>
    <row r="928" spans="3:7" ht="15" hidden="1" x14ac:dyDescent="0.25">
      <c r="C928" s="4" t="str">
        <f>IFERROR(AVERAGEIFS('2. Program Allocation Output'!$P:$P,'2. Program Allocation Output'!$AF:$AF,$A928,'2. Program Allocation Output'!$AG:$AG,$B928),"")</f>
        <v/>
      </c>
      <c r="D928" s="4" t="str">
        <f>IFERROR(AVERAGEIFS('2. Program Allocation Output'!$O:$O,'2. Program Allocation Output'!$AF:$AF,$A928,'2. Program Allocation Output'!$AG:$AG,$B928),"")</f>
        <v/>
      </c>
      <c r="E928" s="5" t="str">
        <f>IFERROR(AVERAGEIFS('2. Program Allocation Output'!$L:$L,'2. Program Allocation Output'!$AF:$AF,$A928,'2. Program Allocation Output'!$AG:$AG,$B928),"")</f>
        <v/>
      </c>
      <c r="F928" s="39" t="str">
        <f t="shared" si="31"/>
        <v/>
      </c>
      <c r="G928" t="str">
        <f t="shared" si="32"/>
        <v/>
      </c>
    </row>
    <row r="929" spans="3:7" ht="15" hidden="1" x14ac:dyDescent="0.25">
      <c r="C929" s="4" t="str">
        <f>IFERROR(AVERAGEIFS('2. Program Allocation Output'!$P:$P,'2. Program Allocation Output'!$AF:$AF,$A929,'2. Program Allocation Output'!$AG:$AG,$B929),"")</f>
        <v/>
      </c>
      <c r="D929" s="4" t="str">
        <f>IFERROR(AVERAGEIFS('2. Program Allocation Output'!$O:$O,'2. Program Allocation Output'!$AF:$AF,$A929,'2. Program Allocation Output'!$AG:$AG,$B929),"")</f>
        <v/>
      </c>
      <c r="E929" s="5" t="str">
        <f>IFERROR(AVERAGEIFS('2. Program Allocation Output'!$L:$L,'2. Program Allocation Output'!$AF:$AF,$A929,'2. Program Allocation Output'!$AG:$AG,$B929),"")</f>
        <v/>
      </c>
      <c r="F929" s="39" t="str">
        <f t="shared" si="31"/>
        <v/>
      </c>
      <c r="G929" t="str">
        <f t="shared" si="32"/>
        <v/>
      </c>
    </row>
    <row r="930" spans="3:7" ht="15" hidden="1" x14ac:dyDescent="0.25">
      <c r="C930" s="4" t="str">
        <f>IFERROR(AVERAGEIFS('2. Program Allocation Output'!$P:$P,'2. Program Allocation Output'!$AF:$AF,$A930,'2. Program Allocation Output'!$AG:$AG,$B930),"")</f>
        <v/>
      </c>
      <c r="D930" s="4" t="str">
        <f>IFERROR(AVERAGEIFS('2. Program Allocation Output'!$O:$O,'2. Program Allocation Output'!$AF:$AF,$A930,'2. Program Allocation Output'!$AG:$AG,$B930),"")</f>
        <v/>
      </c>
      <c r="E930" s="5" t="str">
        <f>IFERROR(AVERAGEIFS('2. Program Allocation Output'!$L:$L,'2. Program Allocation Output'!$AF:$AF,$A930,'2. Program Allocation Output'!$AG:$AG,$B930),"")</f>
        <v/>
      </c>
      <c r="F930" s="39" t="str">
        <f t="shared" si="31"/>
        <v/>
      </c>
      <c r="G930" t="str">
        <f t="shared" si="32"/>
        <v/>
      </c>
    </row>
    <row r="931" spans="3:7" ht="15" hidden="1" x14ac:dyDescent="0.25">
      <c r="C931" s="4" t="str">
        <f>IFERROR(AVERAGEIFS('2. Program Allocation Output'!$P:$P,'2. Program Allocation Output'!$AF:$AF,$A931,'2. Program Allocation Output'!$AG:$AG,$B931),"")</f>
        <v/>
      </c>
      <c r="D931" s="4" t="str">
        <f>IFERROR(AVERAGEIFS('2. Program Allocation Output'!$O:$O,'2. Program Allocation Output'!$AF:$AF,$A931,'2. Program Allocation Output'!$AG:$AG,$B931),"")</f>
        <v/>
      </c>
      <c r="E931" s="5" t="str">
        <f>IFERROR(AVERAGEIFS('2. Program Allocation Output'!$L:$L,'2. Program Allocation Output'!$AF:$AF,$A931,'2. Program Allocation Output'!$AG:$AG,$B931),"")</f>
        <v/>
      </c>
      <c r="F931" s="39" t="str">
        <f t="shared" si="31"/>
        <v/>
      </c>
      <c r="G931" t="str">
        <f t="shared" si="32"/>
        <v/>
      </c>
    </row>
    <row r="932" spans="3:7" ht="15" hidden="1" x14ac:dyDescent="0.25">
      <c r="C932" s="4" t="str">
        <f>IFERROR(AVERAGEIFS('2. Program Allocation Output'!$P:$P,'2. Program Allocation Output'!$AF:$AF,$A932,'2. Program Allocation Output'!$AG:$AG,$B932),"")</f>
        <v/>
      </c>
      <c r="D932" s="4" t="str">
        <f>IFERROR(AVERAGEIFS('2. Program Allocation Output'!$O:$O,'2. Program Allocation Output'!$AF:$AF,$A932,'2. Program Allocation Output'!$AG:$AG,$B932),"")</f>
        <v/>
      </c>
      <c r="E932" s="5" t="str">
        <f>IFERROR(AVERAGEIFS('2. Program Allocation Output'!$L:$L,'2. Program Allocation Output'!$AF:$AF,$A932,'2. Program Allocation Output'!$AG:$AG,$B932),"")</f>
        <v/>
      </c>
      <c r="F932" s="39" t="str">
        <f t="shared" si="31"/>
        <v/>
      </c>
      <c r="G932" t="str">
        <f t="shared" si="32"/>
        <v/>
      </c>
    </row>
    <row r="933" spans="3:7" ht="15" hidden="1" x14ac:dyDescent="0.25">
      <c r="C933" s="4" t="str">
        <f>IFERROR(AVERAGEIFS('2. Program Allocation Output'!$P:$P,'2. Program Allocation Output'!$AF:$AF,$A933,'2. Program Allocation Output'!$AG:$AG,$B933),"")</f>
        <v/>
      </c>
      <c r="D933" s="4" t="str">
        <f>IFERROR(AVERAGEIFS('2. Program Allocation Output'!$O:$O,'2. Program Allocation Output'!$AF:$AF,$A933,'2. Program Allocation Output'!$AG:$AG,$B933),"")</f>
        <v/>
      </c>
      <c r="E933" s="5" t="str">
        <f>IFERROR(AVERAGEIFS('2. Program Allocation Output'!$L:$L,'2. Program Allocation Output'!$AF:$AF,$A933,'2. Program Allocation Output'!$AG:$AG,$B933),"")</f>
        <v/>
      </c>
      <c r="F933" s="39" t="str">
        <f t="shared" si="31"/>
        <v/>
      </c>
      <c r="G933" t="str">
        <f t="shared" si="32"/>
        <v/>
      </c>
    </row>
    <row r="934" spans="3:7" ht="15" hidden="1" x14ac:dyDescent="0.25">
      <c r="C934" s="4" t="str">
        <f>IFERROR(AVERAGEIFS('2. Program Allocation Output'!$P:$P,'2. Program Allocation Output'!$AF:$AF,$A934,'2. Program Allocation Output'!$AG:$AG,$B934),"")</f>
        <v/>
      </c>
      <c r="D934" s="4" t="str">
        <f>IFERROR(AVERAGEIFS('2. Program Allocation Output'!$O:$O,'2. Program Allocation Output'!$AF:$AF,$A934,'2. Program Allocation Output'!$AG:$AG,$B934),"")</f>
        <v/>
      </c>
      <c r="E934" s="5" t="str">
        <f>IFERROR(AVERAGEIFS('2. Program Allocation Output'!$L:$L,'2. Program Allocation Output'!$AF:$AF,$A934,'2. Program Allocation Output'!$AG:$AG,$B934),"")</f>
        <v/>
      </c>
      <c r="F934" s="39" t="str">
        <f t="shared" si="31"/>
        <v/>
      </c>
      <c r="G934" t="str">
        <f t="shared" si="32"/>
        <v/>
      </c>
    </row>
    <row r="935" spans="3:7" ht="15" hidden="1" x14ac:dyDescent="0.25">
      <c r="C935" s="4" t="str">
        <f>IFERROR(AVERAGEIFS('2. Program Allocation Output'!$P:$P,'2. Program Allocation Output'!$AF:$AF,$A935,'2. Program Allocation Output'!$AG:$AG,$B935),"")</f>
        <v/>
      </c>
      <c r="D935" s="4" t="str">
        <f>IFERROR(AVERAGEIFS('2. Program Allocation Output'!$O:$O,'2. Program Allocation Output'!$AF:$AF,$A935,'2. Program Allocation Output'!$AG:$AG,$B935),"")</f>
        <v/>
      </c>
      <c r="E935" s="5" t="str">
        <f>IFERROR(AVERAGEIFS('2. Program Allocation Output'!$L:$L,'2. Program Allocation Output'!$AF:$AF,$A935,'2. Program Allocation Output'!$AG:$AG,$B935),"")</f>
        <v/>
      </c>
      <c r="F935" s="39" t="str">
        <f t="shared" si="31"/>
        <v/>
      </c>
      <c r="G935" t="str">
        <f t="shared" si="32"/>
        <v/>
      </c>
    </row>
    <row r="936" spans="3:7" ht="15" hidden="1" x14ac:dyDescent="0.25">
      <c r="C936" s="4" t="str">
        <f>IFERROR(AVERAGEIFS('2. Program Allocation Output'!$P:$P,'2. Program Allocation Output'!$AF:$AF,$A936,'2. Program Allocation Output'!$AG:$AG,$B936),"")</f>
        <v/>
      </c>
      <c r="D936" s="4" t="str">
        <f>IFERROR(AVERAGEIFS('2. Program Allocation Output'!$O:$O,'2. Program Allocation Output'!$AF:$AF,$A936,'2. Program Allocation Output'!$AG:$AG,$B936),"")</f>
        <v/>
      </c>
      <c r="E936" s="5" t="str">
        <f>IFERROR(AVERAGEIFS('2. Program Allocation Output'!$L:$L,'2. Program Allocation Output'!$AF:$AF,$A936,'2. Program Allocation Output'!$AG:$AG,$B936),"")</f>
        <v/>
      </c>
      <c r="F936" s="39" t="str">
        <f t="shared" si="31"/>
        <v/>
      </c>
      <c r="G936" t="str">
        <f t="shared" si="32"/>
        <v/>
      </c>
    </row>
    <row r="937" spans="3:7" ht="15" hidden="1" x14ac:dyDescent="0.25">
      <c r="C937" s="4" t="str">
        <f>IFERROR(AVERAGEIFS('2. Program Allocation Output'!$P:$P,'2. Program Allocation Output'!$AF:$AF,$A937,'2. Program Allocation Output'!$AG:$AG,$B937),"")</f>
        <v/>
      </c>
      <c r="D937" s="4" t="str">
        <f>IFERROR(AVERAGEIFS('2. Program Allocation Output'!$O:$O,'2. Program Allocation Output'!$AF:$AF,$A937,'2. Program Allocation Output'!$AG:$AG,$B937),"")</f>
        <v/>
      </c>
      <c r="E937" s="5" t="str">
        <f>IFERROR(AVERAGEIFS('2. Program Allocation Output'!$L:$L,'2. Program Allocation Output'!$AF:$AF,$A937,'2. Program Allocation Output'!$AG:$AG,$B937),"")</f>
        <v/>
      </c>
      <c r="F937" s="39" t="str">
        <f t="shared" si="31"/>
        <v/>
      </c>
      <c r="G937" t="str">
        <f t="shared" si="32"/>
        <v/>
      </c>
    </row>
    <row r="938" spans="3:7" ht="15" hidden="1" x14ac:dyDescent="0.25">
      <c r="C938" s="4" t="str">
        <f>IFERROR(AVERAGEIFS('2. Program Allocation Output'!$P:$P,'2. Program Allocation Output'!$AF:$AF,$A938,'2. Program Allocation Output'!$AG:$AG,$B938),"")</f>
        <v/>
      </c>
      <c r="D938" s="4" t="str">
        <f>IFERROR(AVERAGEIFS('2. Program Allocation Output'!$O:$O,'2. Program Allocation Output'!$AF:$AF,$A938,'2. Program Allocation Output'!$AG:$AG,$B938),"")</f>
        <v/>
      </c>
      <c r="E938" s="5" t="str">
        <f>IFERROR(AVERAGEIFS('2. Program Allocation Output'!$L:$L,'2. Program Allocation Output'!$AF:$AF,$A938,'2. Program Allocation Output'!$AG:$AG,$B938),"")</f>
        <v/>
      </c>
      <c r="F938" s="39" t="str">
        <f t="shared" si="31"/>
        <v/>
      </c>
      <c r="G938" t="str">
        <f t="shared" si="32"/>
        <v/>
      </c>
    </row>
    <row r="939" spans="3:7" ht="15" hidden="1" x14ac:dyDescent="0.25">
      <c r="C939" s="4" t="str">
        <f>IFERROR(AVERAGEIFS('2. Program Allocation Output'!$P:$P,'2. Program Allocation Output'!$AF:$AF,$A939,'2. Program Allocation Output'!$AG:$AG,$B939),"")</f>
        <v/>
      </c>
      <c r="D939" s="4" t="str">
        <f>IFERROR(AVERAGEIFS('2. Program Allocation Output'!$O:$O,'2. Program Allocation Output'!$AF:$AF,$A939,'2. Program Allocation Output'!$AG:$AG,$B939),"")</f>
        <v/>
      </c>
      <c r="E939" s="5" t="str">
        <f>IFERROR(AVERAGEIFS('2. Program Allocation Output'!$L:$L,'2. Program Allocation Output'!$AF:$AF,$A939,'2. Program Allocation Output'!$AG:$AG,$B939),"")</f>
        <v/>
      </c>
      <c r="F939" s="39" t="str">
        <f t="shared" si="31"/>
        <v/>
      </c>
      <c r="G939" t="str">
        <f t="shared" si="32"/>
        <v/>
      </c>
    </row>
    <row r="940" spans="3:7" ht="15" hidden="1" x14ac:dyDescent="0.25">
      <c r="C940" s="4" t="str">
        <f>IFERROR(AVERAGEIFS('2. Program Allocation Output'!$P:$P,'2. Program Allocation Output'!$AF:$AF,$A940,'2. Program Allocation Output'!$AG:$AG,$B940),"")</f>
        <v/>
      </c>
      <c r="D940" s="4" t="str">
        <f>IFERROR(AVERAGEIFS('2. Program Allocation Output'!$O:$O,'2. Program Allocation Output'!$AF:$AF,$A940,'2. Program Allocation Output'!$AG:$AG,$B940),"")</f>
        <v/>
      </c>
      <c r="E940" s="5" t="str">
        <f>IFERROR(AVERAGEIFS('2. Program Allocation Output'!$L:$L,'2. Program Allocation Output'!$AF:$AF,$A940,'2. Program Allocation Output'!$AG:$AG,$B940),"")</f>
        <v/>
      </c>
      <c r="F940" s="39" t="str">
        <f t="shared" si="31"/>
        <v/>
      </c>
      <c r="G940" t="str">
        <f t="shared" si="32"/>
        <v/>
      </c>
    </row>
    <row r="941" spans="3:7" ht="15" hidden="1" x14ac:dyDescent="0.25">
      <c r="C941" s="4" t="str">
        <f>IFERROR(AVERAGEIFS('2. Program Allocation Output'!$P:$P,'2. Program Allocation Output'!$AF:$AF,$A941,'2. Program Allocation Output'!$AG:$AG,$B941),"")</f>
        <v/>
      </c>
      <c r="D941" s="4" t="str">
        <f>IFERROR(AVERAGEIFS('2. Program Allocation Output'!$O:$O,'2. Program Allocation Output'!$AF:$AF,$A941,'2. Program Allocation Output'!$AG:$AG,$B941),"")</f>
        <v/>
      </c>
      <c r="E941" s="5" t="str">
        <f>IFERROR(AVERAGEIFS('2. Program Allocation Output'!$L:$L,'2. Program Allocation Output'!$AF:$AF,$A941,'2. Program Allocation Output'!$AG:$AG,$B941),"")</f>
        <v/>
      </c>
      <c r="F941" s="39" t="str">
        <f t="shared" si="31"/>
        <v/>
      </c>
      <c r="G941" t="str">
        <f t="shared" si="32"/>
        <v/>
      </c>
    </row>
    <row r="942" spans="3:7" ht="15" hidden="1" x14ac:dyDescent="0.25">
      <c r="C942" s="4" t="str">
        <f>IFERROR(AVERAGEIFS('2. Program Allocation Output'!$P:$P,'2. Program Allocation Output'!$AF:$AF,$A942,'2. Program Allocation Output'!$AG:$AG,$B942),"")</f>
        <v/>
      </c>
      <c r="D942" s="4" t="str">
        <f>IFERROR(AVERAGEIFS('2. Program Allocation Output'!$O:$O,'2. Program Allocation Output'!$AF:$AF,$A942,'2. Program Allocation Output'!$AG:$AG,$B942),"")</f>
        <v/>
      </c>
      <c r="E942" s="5" t="str">
        <f>IFERROR(AVERAGEIFS('2. Program Allocation Output'!$L:$L,'2. Program Allocation Output'!$AF:$AF,$A942,'2. Program Allocation Output'!$AG:$AG,$B942),"")</f>
        <v/>
      </c>
      <c r="F942" s="39" t="str">
        <f t="shared" si="31"/>
        <v/>
      </c>
      <c r="G942" t="str">
        <f t="shared" si="32"/>
        <v/>
      </c>
    </row>
    <row r="943" spans="3:7" ht="15" hidden="1" x14ac:dyDescent="0.25">
      <c r="C943" s="4" t="str">
        <f>IFERROR(AVERAGEIFS('2. Program Allocation Output'!$P:$P,'2. Program Allocation Output'!$AF:$AF,$A943,'2. Program Allocation Output'!$AG:$AG,$B943),"")</f>
        <v/>
      </c>
      <c r="D943" s="4" t="str">
        <f>IFERROR(AVERAGEIFS('2. Program Allocation Output'!$O:$O,'2. Program Allocation Output'!$AF:$AF,$A943,'2. Program Allocation Output'!$AG:$AG,$B943),"")</f>
        <v/>
      </c>
      <c r="E943" s="5" t="str">
        <f>IFERROR(AVERAGEIFS('2. Program Allocation Output'!$L:$L,'2. Program Allocation Output'!$AF:$AF,$A943,'2. Program Allocation Output'!$AG:$AG,$B943),"")</f>
        <v/>
      </c>
      <c r="F943" s="39" t="str">
        <f t="shared" si="31"/>
        <v/>
      </c>
      <c r="G943" t="str">
        <f t="shared" si="32"/>
        <v/>
      </c>
    </row>
    <row r="944" spans="3:7" ht="15" hidden="1" x14ac:dyDescent="0.25">
      <c r="C944" s="4" t="str">
        <f>IFERROR(AVERAGEIFS('2. Program Allocation Output'!$P:$P,'2. Program Allocation Output'!$AF:$AF,$A944,'2. Program Allocation Output'!$AG:$AG,$B944),"")</f>
        <v/>
      </c>
      <c r="D944" s="4" t="str">
        <f>IFERROR(AVERAGEIFS('2. Program Allocation Output'!$O:$O,'2. Program Allocation Output'!$AF:$AF,$A944,'2. Program Allocation Output'!$AG:$AG,$B944),"")</f>
        <v/>
      </c>
      <c r="E944" s="5" t="str">
        <f>IFERROR(AVERAGEIFS('2. Program Allocation Output'!$L:$L,'2. Program Allocation Output'!$AF:$AF,$A944,'2. Program Allocation Output'!$AG:$AG,$B944),"")</f>
        <v/>
      </c>
      <c r="F944" s="39" t="str">
        <f t="shared" si="31"/>
        <v/>
      </c>
      <c r="G944" t="str">
        <f t="shared" si="32"/>
        <v/>
      </c>
    </row>
    <row r="945" spans="3:7" ht="15" hidden="1" x14ac:dyDescent="0.25">
      <c r="C945" s="4" t="str">
        <f>IFERROR(AVERAGEIFS('2. Program Allocation Output'!$P:$P,'2. Program Allocation Output'!$AF:$AF,$A945,'2. Program Allocation Output'!$AG:$AG,$B945),"")</f>
        <v/>
      </c>
      <c r="D945" s="4" t="str">
        <f>IFERROR(AVERAGEIFS('2. Program Allocation Output'!$O:$O,'2. Program Allocation Output'!$AF:$AF,$A945,'2. Program Allocation Output'!$AG:$AG,$B945),"")</f>
        <v/>
      </c>
      <c r="E945" s="5" t="str">
        <f>IFERROR(AVERAGEIFS('2. Program Allocation Output'!$L:$L,'2. Program Allocation Output'!$AF:$AF,$A945,'2. Program Allocation Output'!$AG:$AG,$B945),"")</f>
        <v/>
      </c>
      <c r="F945" s="39" t="str">
        <f t="shared" si="31"/>
        <v/>
      </c>
      <c r="G945" t="str">
        <f t="shared" si="32"/>
        <v/>
      </c>
    </row>
    <row r="946" spans="3:7" ht="15" hidden="1" x14ac:dyDescent="0.25">
      <c r="C946" s="4" t="str">
        <f>IFERROR(AVERAGEIFS('2. Program Allocation Output'!$P:$P,'2. Program Allocation Output'!$AF:$AF,$A946,'2. Program Allocation Output'!$AG:$AG,$B946),"")</f>
        <v/>
      </c>
      <c r="D946" s="4" t="str">
        <f>IFERROR(AVERAGEIFS('2. Program Allocation Output'!$O:$O,'2. Program Allocation Output'!$AF:$AF,$A946,'2. Program Allocation Output'!$AG:$AG,$B946),"")</f>
        <v/>
      </c>
      <c r="E946" s="5" t="str">
        <f>IFERROR(AVERAGEIFS('2. Program Allocation Output'!$L:$L,'2. Program Allocation Output'!$AF:$AF,$A946,'2. Program Allocation Output'!$AG:$AG,$B946),"")</f>
        <v/>
      </c>
      <c r="F946" s="39" t="str">
        <f t="shared" si="31"/>
        <v/>
      </c>
      <c r="G946" t="str">
        <f t="shared" si="32"/>
        <v/>
      </c>
    </row>
    <row r="947" spans="3:7" ht="15" hidden="1" x14ac:dyDescent="0.25">
      <c r="C947" s="4" t="str">
        <f>IFERROR(AVERAGEIFS('2. Program Allocation Output'!$P:$P,'2. Program Allocation Output'!$AF:$AF,$A947,'2. Program Allocation Output'!$AG:$AG,$B947),"")</f>
        <v/>
      </c>
      <c r="D947" s="4" t="str">
        <f>IFERROR(AVERAGEIFS('2. Program Allocation Output'!$O:$O,'2. Program Allocation Output'!$AF:$AF,$A947,'2. Program Allocation Output'!$AG:$AG,$B947),"")</f>
        <v/>
      </c>
      <c r="E947" s="5" t="str">
        <f>IFERROR(AVERAGEIFS('2. Program Allocation Output'!$L:$L,'2. Program Allocation Output'!$AF:$AF,$A947,'2. Program Allocation Output'!$AG:$AG,$B947),"")</f>
        <v/>
      </c>
      <c r="F947" s="39" t="str">
        <f t="shared" si="31"/>
        <v/>
      </c>
      <c r="G947" t="str">
        <f t="shared" si="32"/>
        <v/>
      </c>
    </row>
    <row r="948" spans="3:7" ht="15" hidden="1" x14ac:dyDescent="0.25">
      <c r="C948" s="4" t="str">
        <f>IFERROR(AVERAGEIFS('2. Program Allocation Output'!$P:$P,'2. Program Allocation Output'!$AF:$AF,$A948,'2. Program Allocation Output'!$AG:$AG,$B948),"")</f>
        <v/>
      </c>
      <c r="D948" s="4" t="str">
        <f>IFERROR(AVERAGEIFS('2. Program Allocation Output'!$O:$O,'2. Program Allocation Output'!$AF:$AF,$A948,'2. Program Allocation Output'!$AG:$AG,$B948),"")</f>
        <v/>
      </c>
      <c r="E948" s="5" t="str">
        <f>IFERROR(AVERAGEIFS('2. Program Allocation Output'!$L:$L,'2. Program Allocation Output'!$AF:$AF,$A948,'2. Program Allocation Output'!$AG:$AG,$B948),"")</f>
        <v/>
      </c>
      <c r="F948" s="39" t="str">
        <f t="shared" si="31"/>
        <v/>
      </c>
      <c r="G948" t="str">
        <f t="shared" si="32"/>
        <v/>
      </c>
    </row>
    <row r="949" spans="3:7" ht="15" hidden="1" x14ac:dyDescent="0.25">
      <c r="C949" s="4" t="str">
        <f>IFERROR(AVERAGEIFS('2. Program Allocation Output'!$P:$P,'2. Program Allocation Output'!$AF:$AF,$A949,'2. Program Allocation Output'!$AG:$AG,$B949),"")</f>
        <v/>
      </c>
      <c r="D949" s="4" t="str">
        <f>IFERROR(AVERAGEIFS('2. Program Allocation Output'!$O:$O,'2. Program Allocation Output'!$AF:$AF,$A949,'2. Program Allocation Output'!$AG:$AG,$B949),"")</f>
        <v/>
      </c>
      <c r="E949" s="5" t="str">
        <f>IFERROR(AVERAGEIFS('2. Program Allocation Output'!$L:$L,'2. Program Allocation Output'!$AF:$AF,$A949,'2. Program Allocation Output'!$AG:$AG,$B949),"")</f>
        <v/>
      </c>
      <c r="F949" s="39" t="str">
        <f t="shared" si="31"/>
        <v/>
      </c>
      <c r="G949" t="str">
        <f t="shared" si="32"/>
        <v/>
      </c>
    </row>
    <row r="950" spans="3:7" ht="15" hidden="1" x14ac:dyDescent="0.25">
      <c r="C950" s="4" t="str">
        <f>IFERROR(AVERAGEIFS('2. Program Allocation Output'!$P:$P,'2. Program Allocation Output'!$AF:$AF,$A950,'2. Program Allocation Output'!$AG:$AG,$B950),"")</f>
        <v/>
      </c>
      <c r="D950" s="4" t="str">
        <f>IFERROR(AVERAGEIFS('2. Program Allocation Output'!$O:$O,'2. Program Allocation Output'!$AF:$AF,$A950,'2. Program Allocation Output'!$AG:$AG,$B950),"")</f>
        <v/>
      </c>
      <c r="E950" s="5" t="str">
        <f>IFERROR(AVERAGEIFS('2. Program Allocation Output'!$L:$L,'2. Program Allocation Output'!$AF:$AF,$A950,'2. Program Allocation Output'!$AG:$AG,$B950),"")</f>
        <v/>
      </c>
      <c r="F950" s="39" t="str">
        <f t="shared" si="31"/>
        <v/>
      </c>
      <c r="G950" t="str">
        <f t="shared" si="32"/>
        <v/>
      </c>
    </row>
    <row r="951" spans="3:7" ht="15" hidden="1" x14ac:dyDescent="0.25">
      <c r="C951" s="4" t="str">
        <f>IFERROR(AVERAGEIFS('2. Program Allocation Output'!$P:$P,'2. Program Allocation Output'!$AF:$AF,$A951,'2. Program Allocation Output'!$AG:$AG,$B951),"")</f>
        <v/>
      </c>
      <c r="D951" s="4" t="str">
        <f>IFERROR(AVERAGEIFS('2. Program Allocation Output'!$O:$O,'2. Program Allocation Output'!$AF:$AF,$A951,'2. Program Allocation Output'!$AG:$AG,$B951),"")</f>
        <v/>
      </c>
      <c r="E951" s="5" t="str">
        <f>IFERROR(AVERAGEIFS('2. Program Allocation Output'!$L:$L,'2. Program Allocation Output'!$AF:$AF,$A951,'2. Program Allocation Output'!$AG:$AG,$B951),"")</f>
        <v/>
      </c>
      <c r="F951" s="39" t="str">
        <f t="shared" si="31"/>
        <v/>
      </c>
      <c r="G951" t="str">
        <f t="shared" si="32"/>
        <v/>
      </c>
    </row>
    <row r="952" spans="3:7" ht="15" hidden="1" x14ac:dyDescent="0.25">
      <c r="C952" s="4" t="str">
        <f>IFERROR(AVERAGEIFS('2. Program Allocation Output'!$P:$P,'2. Program Allocation Output'!$AF:$AF,$A952,'2. Program Allocation Output'!$AG:$AG,$B952),"")</f>
        <v/>
      </c>
      <c r="D952" s="4" t="str">
        <f>IFERROR(AVERAGEIFS('2. Program Allocation Output'!$O:$O,'2. Program Allocation Output'!$AF:$AF,$A952,'2. Program Allocation Output'!$AG:$AG,$B952),"")</f>
        <v/>
      </c>
      <c r="E952" s="5" t="str">
        <f>IFERROR(AVERAGEIFS('2. Program Allocation Output'!$L:$L,'2. Program Allocation Output'!$AF:$AF,$A952,'2. Program Allocation Output'!$AG:$AG,$B952),"")</f>
        <v/>
      </c>
      <c r="F952" s="39" t="str">
        <f t="shared" si="31"/>
        <v/>
      </c>
      <c r="G952" t="str">
        <f t="shared" si="32"/>
        <v/>
      </c>
    </row>
    <row r="953" spans="3:7" ht="15" hidden="1" x14ac:dyDescent="0.25">
      <c r="C953" s="4" t="str">
        <f>IFERROR(AVERAGEIFS('2. Program Allocation Output'!$P:$P,'2. Program Allocation Output'!$AF:$AF,$A953,'2. Program Allocation Output'!$AG:$AG,$B953),"")</f>
        <v/>
      </c>
      <c r="D953" s="4" t="str">
        <f>IFERROR(AVERAGEIFS('2. Program Allocation Output'!$O:$O,'2. Program Allocation Output'!$AF:$AF,$A953,'2. Program Allocation Output'!$AG:$AG,$B953),"")</f>
        <v/>
      </c>
      <c r="E953" s="5" t="str">
        <f>IFERROR(AVERAGEIFS('2. Program Allocation Output'!$L:$L,'2. Program Allocation Output'!$AF:$AF,$A953,'2. Program Allocation Output'!$AG:$AG,$B953),"")</f>
        <v/>
      </c>
      <c r="F953" s="39" t="str">
        <f t="shared" si="31"/>
        <v/>
      </c>
      <c r="G953" t="str">
        <f t="shared" si="32"/>
        <v/>
      </c>
    </row>
    <row r="954" spans="3:7" ht="15" hidden="1" x14ac:dyDescent="0.25">
      <c r="C954" s="4" t="str">
        <f>IFERROR(AVERAGEIFS('2. Program Allocation Output'!$P:$P,'2. Program Allocation Output'!$AF:$AF,$A954,'2. Program Allocation Output'!$AG:$AG,$B954),"")</f>
        <v/>
      </c>
      <c r="D954" s="4" t="str">
        <f>IFERROR(AVERAGEIFS('2. Program Allocation Output'!$O:$O,'2. Program Allocation Output'!$AF:$AF,$A954,'2. Program Allocation Output'!$AG:$AG,$B954),"")</f>
        <v/>
      </c>
      <c r="E954" s="5" t="str">
        <f>IFERROR(AVERAGEIFS('2. Program Allocation Output'!$L:$L,'2. Program Allocation Output'!$AF:$AF,$A954,'2. Program Allocation Output'!$AG:$AG,$B954),"")</f>
        <v/>
      </c>
      <c r="F954" s="39" t="str">
        <f t="shared" si="31"/>
        <v/>
      </c>
      <c r="G954" t="str">
        <f t="shared" si="32"/>
        <v/>
      </c>
    </row>
    <row r="955" spans="3:7" ht="15" hidden="1" x14ac:dyDescent="0.25">
      <c r="C955" s="4" t="str">
        <f>IFERROR(AVERAGEIFS('2. Program Allocation Output'!$P:$P,'2. Program Allocation Output'!$AF:$AF,$A955,'2. Program Allocation Output'!$AG:$AG,$B955),"")</f>
        <v/>
      </c>
      <c r="D955" s="4" t="str">
        <f>IFERROR(AVERAGEIFS('2. Program Allocation Output'!$O:$O,'2. Program Allocation Output'!$AF:$AF,$A955,'2. Program Allocation Output'!$AG:$AG,$B955),"")</f>
        <v/>
      </c>
      <c r="E955" s="5" t="str">
        <f>IFERROR(AVERAGEIFS('2. Program Allocation Output'!$L:$L,'2. Program Allocation Output'!$AF:$AF,$A955,'2. Program Allocation Output'!$AG:$AG,$B955),"")</f>
        <v/>
      </c>
      <c r="F955" s="39" t="str">
        <f t="shared" si="31"/>
        <v/>
      </c>
      <c r="G955" t="str">
        <f t="shared" si="32"/>
        <v/>
      </c>
    </row>
    <row r="956" spans="3:7" ht="15" hidden="1" x14ac:dyDescent="0.25">
      <c r="C956" s="4" t="str">
        <f>IFERROR(AVERAGEIFS('2. Program Allocation Output'!$P:$P,'2. Program Allocation Output'!$AF:$AF,$A956,'2. Program Allocation Output'!$AG:$AG,$B956),"")</f>
        <v/>
      </c>
      <c r="D956" s="4" t="str">
        <f>IFERROR(AVERAGEIFS('2. Program Allocation Output'!$O:$O,'2. Program Allocation Output'!$AF:$AF,$A956,'2. Program Allocation Output'!$AG:$AG,$B956),"")</f>
        <v/>
      </c>
      <c r="E956" s="5" t="str">
        <f>IFERROR(AVERAGEIFS('2. Program Allocation Output'!$L:$L,'2. Program Allocation Output'!$AF:$AF,$A956,'2. Program Allocation Output'!$AG:$AG,$B956),"")</f>
        <v/>
      </c>
      <c r="F956" s="39" t="str">
        <f t="shared" si="31"/>
        <v/>
      </c>
      <c r="G956" t="str">
        <f t="shared" si="32"/>
        <v/>
      </c>
    </row>
    <row r="957" spans="3:7" ht="15" hidden="1" x14ac:dyDescent="0.25">
      <c r="C957" s="4" t="str">
        <f>IFERROR(AVERAGEIFS('2. Program Allocation Output'!$P:$P,'2. Program Allocation Output'!$AF:$AF,$A957,'2. Program Allocation Output'!$AG:$AG,$B957),"")</f>
        <v/>
      </c>
      <c r="D957" s="4" t="str">
        <f>IFERROR(AVERAGEIFS('2. Program Allocation Output'!$O:$O,'2. Program Allocation Output'!$AF:$AF,$A957,'2. Program Allocation Output'!$AG:$AG,$B957),"")</f>
        <v/>
      </c>
      <c r="E957" s="5" t="str">
        <f>IFERROR(AVERAGEIFS('2. Program Allocation Output'!$L:$L,'2. Program Allocation Output'!$AF:$AF,$A957,'2. Program Allocation Output'!$AG:$AG,$B957),"")</f>
        <v/>
      </c>
      <c r="F957" s="39" t="str">
        <f t="shared" si="31"/>
        <v/>
      </c>
      <c r="G957" t="str">
        <f t="shared" si="32"/>
        <v/>
      </c>
    </row>
    <row r="958" spans="3:7" ht="15" hidden="1" x14ac:dyDescent="0.25">
      <c r="C958" s="4" t="str">
        <f>IFERROR(AVERAGEIFS('2. Program Allocation Output'!$P:$P,'2. Program Allocation Output'!$AF:$AF,$A958,'2. Program Allocation Output'!$AG:$AG,$B958),"")</f>
        <v/>
      </c>
      <c r="D958" s="4" t="str">
        <f>IFERROR(AVERAGEIFS('2. Program Allocation Output'!$O:$O,'2. Program Allocation Output'!$AF:$AF,$A958,'2. Program Allocation Output'!$AG:$AG,$B958),"")</f>
        <v/>
      </c>
      <c r="E958" s="5" t="str">
        <f>IFERROR(AVERAGEIFS('2. Program Allocation Output'!$L:$L,'2. Program Allocation Output'!$AF:$AF,$A958,'2. Program Allocation Output'!$AG:$AG,$B958),"")</f>
        <v/>
      </c>
      <c r="F958" s="39" t="str">
        <f t="shared" si="31"/>
        <v/>
      </c>
      <c r="G958" t="str">
        <f t="shared" si="32"/>
        <v/>
      </c>
    </row>
    <row r="959" spans="3:7" ht="15" hidden="1" x14ac:dyDescent="0.25">
      <c r="C959" s="4" t="str">
        <f>IFERROR(AVERAGEIFS('2. Program Allocation Output'!$P:$P,'2. Program Allocation Output'!$AF:$AF,$A959,'2. Program Allocation Output'!$AG:$AG,$B959),"")</f>
        <v/>
      </c>
      <c r="D959" s="4" t="str">
        <f>IFERROR(AVERAGEIFS('2. Program Allocation Output'!$O:$O,'2. Program Allocation Output'!$AF:$AF,$A959,'2. Program Allocation Output'!$AG:$AG,$B959),"")</f>
        <v/>
      </c>
      <c r="E959" s="5" t="str">
        <f>IFERROR(AVERAGEIFS('2. Program Allocation Output'!$L:$L,'2. Program Allocation Output'!$AF:$AF,$A959,'2. Program Allocation Output'!$AG:$AG,$B959),"")</f>
        <v/>
      </c>
      <c r="F959" s="39" t="str">
        <f t="shared" si="31"/>
        <v/>
      </c>
      <c r="G959" t="str">
        <f t="shared" si="32"/>
        <v/>
      </c>
    </row>
    <row r="960" spans="3:7" ht="15" hidden="1" x14ac:dyDescent="0.25">
      <c r="C960" s="4" t="str">
        <f>IFERROR(AVERAGEIFS('2. Program Allocation Output'!$P:$P,'2. Program Allocation Output'!$AF:$AF,$A960,'2. Program Allocation Output'!$AG:$AG,$B960),"")</f>
        <v/>
      </c>
      <c r="D960" s="4" t="str">
        <f>IFERROR(AVERAGEIFS('2. Program Allocation Output'!$O:$O,'2. Program Allocation Output'!$AF:$AF,$A960,'2. Program Allocation Output'!$AG:$AG,$B960),"")</f>
        <v/>
      </c>
      <c r="E960" s="5" t="str">
        <f>IFERROR(AVERAGEIFS('2. Program Allocation Output'!$L:$L,'2. Program Allocation Output'!$AF:$AF,$A960,'2. Program Allocation Output'!$AG:$AG,$B960),"")</f>
        <v/>
      </c>
      <c r="F960" s="39" t="str">
        <f t="shared" si="31"/>
        <v/>
      </c>
      <c r="G960" t="str">
        <f t="shared" si="32"/>
        <v/>
      </c>
    </row>
    <row r="961" spans="3:7" ht="15" hidden="1" x14ac:dyDescent="0.25">
      <c r="C961" s="4" t="str">
        <f>IFERROR(AVERAGEIFS('2. Program Allocation Output'!$P:$P,'2. Program Allocation Output'!$AF:$AF,$A961,'2. Program Allocation Output'!$AG:$AG,$B961),"")</f>
        <v/>
      </c>
      <c r="D961" s="4" t="str">
        <f>IFERROR(AVERAGEIFS('2. Program Allocation Output'!$O:$O,'2. Program Allocation Output'!$AF:$AF,$A961,'2. Program Allocation Output'!$AG:$AG,$B961),"")</f>
        <v/>
      </c>
      <c r="E961" s="5" t="str">
        <f>IFERROR(AVERAGEIFS('2. Program Allocation Output'!$L:$L,'2. Program Allocation Output'!$AF:$AF,$A961,'2. Program Allocation Output'!$AG:$AG,$B961),"")</f>
        <v/>
      </c>
      <c r="F961" s="39" t="str">
        <f t="shared" si="31"/>
        <v/>
      </c>
      <c r="G961" t="str">
        <f t="shared" si="32"/>
        <v/>
      </c>
    </row>
    <row r="962" spans="3:7" ht="15" hidden="1" x14ac:dyDescent="0.25">
      <c r="C962" s="4" t="str">
        <f>IFERROR(AVERAGEIFS('2. Program Allocation Output'!$P:$P,'2. Program Allocation Output'!$AF:$AF,$A962,'2. Program Allocation Output'!$AG:$AG,$B962),"")</f>
        <v/>
      </c>
      <c r="D962" s="4" t="str">
        <f>IFERROR(AVERAGEIFS('2. Program Allocation Output'!$O:$O,'2. Program Allocation Output'!$AF:$AF,$A962,'2. Program Allocation Output'!$AG:$AG,$B962),"")</f>
        <v/>
      </c>
      <c r="E962" s="5" t="str">
        <f>IFERROR(AVERAGEIFS('2. Program Allocation Output'!$L:$L,'2. Program Allocation Output'!$AF:$AF,$A962,'2. Program Allocation Output'!$AG:$AG,$B962),"")</f>
        <v/>
      </c>
      <c r="F962" s="39" t="str">
        <f t="shared" si="31"/>
        <v/>
      </c>
      <c r="G962" t="str">
        <f t="shared" si="32"/>
        <v/>
      </c>
    </row>
    <row r="963" spans="3:7" ht="15" hidden="1" x14ac:dyDescent="0.25">
      <c r="C963" s="4" t="str">
        <f>IFERROR(AVERAGEIFS('2. Program Allocation Output'!$P:$P,'2. Program Allocation Output'!$AF:$AF,$A963,'2. Program Allocation Output'!$AG:$AG,$B963),"")</f>
        <v/>
      </c>
      <c r="D963" s="4" t="str">
        <f>IFERROR(AVERAGEIFS('2. Program Allocation Output'!$O:$O,'2. Program Allocation Output'!$AF:$AF,$A963,'2. Program Allocation Output'!$AG:$AG,$B963),"")</f>
        <v/>
      </c>
      <c r="E963" s="5" t="str">
        <f>IFERROR(AVERAGEIFS('2. Program Allocation Output'!$L:$L,'2. Program Allocation Output'!$AF:$AF,$A963,'2. Program Allocation Output'!$AG:$AG,$B963),"")</f>
        <v/>
      </c>
      <c r="F963" s="39" t="str">
        <f t="shared" ref="F963:F1026" si="33">IFERROR(C963*1,"")</f>
        <v/>
      </c>
      <c r="G963" t="str">
        <f t="shared" si="32"/>
        <v/>
      </c>
    </row>
    <row r="964" spans="3:7" ht="15" hidden="1" x14ac:dyDescent="0.25">
      <c r="C964" s="4" t="str">
        <f>IFERROR(AVERAGEIFS('2. Program Allocation Output'!$P:$P,'2. Program Allocation Output'!$AF:$AF,$A964,'2. Program Allocation Output'!$AG:$AG,$B964),"")</f>
        <v/>
      </c>
      <c r="D964" s="4" t="str">
        <f>IFERROR(AVERAGEIFS('2. Program Allocation Output'!$O:$O,'2. Program Allocation Output'!$AF:$AF,$A964,'2. Program Allocation Output'!$AG:$AG,$B964),"")</f>
        <v/>
      </c>
      <c r="E964" s="5" t="str">
        <f>IFERROR(AVERAGEIFS('2. Program Allocation Output'!$L:$L,'2. Program Allocation Output'!$AF:$AF,$A964,'2. Program Allocation Output'!$AG:$AG,$B964),"")</f>
        <v/>
      </c>
      <c r="F964" s="39" t="str">
        <f t="shared" si="33"/>
        <v/>
      </c>
      <c r="G964" t="str">
        <f t="shared" si="32"/>
        <v/>
      </c>
    </row>
    <row r="965" spans="3:7" ht="15" hidden="1" x14ac:dyDescent="0.25">
      <c r="C965" s="4" t="str">
        <f>IFERROR(AVERAGEIFS('2. Program Allocation Output'!$P:$P,'2. Program Allocation Output'!$AF:$AF,$A965,'2. Program Allocation Output'!$AG:$AG,$B965),"")</f>
        <v/>
      </c>
      <c r="D965" s="4" t="str">
        <f>IFERROR(AVERAGEIFS('2. Program Allocation Output'!$O:$O,'2. Program Allocation Output'!$AF:$AF,$A965,'2. Program Allocation Output'!$AG:$AG,$B965),"")</f>
        <v/>
      </c>
      <c r="E965" s="5" t="str">
        <f>IFERROR(AVERAGEIFS('2. Program Allocation Output'!$L:$L,'2. Program Allocation Output'!$AF:$AF,$A965,'2. Program Allocation Output'!$AG:$AG,$B965),"")</f>
        <v/>
      </c>
      <c r="F965" s="39" t="str">
        <f t="shared" si="33"/>
        <v/>
      </c>
      <c r="G965" t="str">
        <f t="shared" si="32"/>
        <v/>
      </c>
    </row>
    <row r="966" spans="3:7" ht="15" hidden="1" x14ac:dyDescent="0.25">
      <c r="C966" s="4" t="str">
        <f>IFERROR(AVERAGEIFS('2. Program Allocation Output'!$P:$P,'2. Program Allocation Output'!$AF:$AF,$A966,'2. Program Allocation Output'!$AG:$AG,$B966),"")</f>
        <v/>
      </c>
      <c r="D966" s="4" t="str">
        <f>IFERROR(AVERAGEIFS('2. Program Allocation Output'!$O:$O,'2. Program Allocation Output'!$AF:$AF,$A966,'2. Program Allocation Output'!$AG:$AG,$B966),"")</f>
        <v/>
      </c>
      <c r="E966" s="5" t="str">
        <f>IFERROR(AVERAGEIFS('2. Program Allocation Output'!$L:$L,'2. Program Allocation Output'!$AF:$AF,$A966,'2. Program Allocation Output'!$AG:$AG,$B966),"")</f>
        <v/>
      </c>
      <c r="F966" s="39" t="str">
        <f t="shared" si="33"/>
        <v/>
      </c>
      <c r="G966" t="str">
        <f t="shared" si="32"/>
        <v/>
      </c>
    </row>
    <row r="967" spans="3:7" ht="15" hidden="1" x14ac:dyDescent="0.25">
      <c r="C967" s="4" t="str">
        <f>IFERROR(AVERAGEIFS('2. Program Allocation Output'!$P:$P,'2. Program Allocation Output'!$AF:$AF,$A967,'2. Program Allocation Output'!$AG:$AG,$B967),"")</f>
        <v/>
      </c>
      <c r="D967" s="4" t="str">
        <f>IFERROR(AVERAGEIFS('2. Program Allocation Output'!$O:$O,'2. Program Allocation Output'!$AF:$AF,$A967,'2. Program Allocation Output'!$AG:$AG,$B967),"")</f>
        <v/>
      </c>
      <c r="E967" s="5" t="str">
        <f>IFERROR(AVERAGEIFS('2. Program Allocation Output'!$L:$L,'2. Program Allocation Output'!$AF:$AF,$A967,'2. Program Allocation Output'!$AG:$AG,$B967),"")</f>
        <v/>
      </c>
      <c r="F967" s="39" t="str">
        <f t="shared" si="33"/>
        <v/>
      </c>
      <c r="G967" t="str">
        <f t="shared" si="32"/>
        <v/>
      </c>
    </row>
    <row r="968" spans="3:7" ht="15" hidden="1" x14ac:dyDescent="0.25">
      <c r="C968" s="4" t="str">
        <f>IFERROR(AVERAGEIFS('2. Program Allocation Output'!$P:$P,'2. Program Allocation Output'!$AF:$AF,$A968,'2. Program Allocation Output'!$AG:$AG,$B968),"")</f>
        <v/>
      </c>
      <c r="D968" s="4" t="str">
        <f>IFERROR(AVERAGEIFS('2. Program Allocation Output'!$O:$O,'2. Program Allocation Output'!$AF:$AF,$A968,'2. Program Allocation Output'!$AG:$AG,$B968),"")</f>
        <v/>
      </c>
      <c r="E968" s="5" t="str">
        <f>IFERROR(AVERAGEIFS('2. Program Allocation Output'!$L:$L,'2. Program Allocation Output'!$AF:$AF,$A968,'2. Program Allocation Output'!$AG:$AG,$B968),"")</f>
        <v/>
      </c>
      <c r="F968" s="39" t="str">
        <f t="shared" si="33"/>
        <v/>
      </c>
      <c r="G968" t="str">
        <f t="shared" si="32"/>
        <v/>
      </c>
    </row>
    <row r="969" spans="3:7" ht="15" hidden="1" x14ac:dyDescent="0.25">
      <c r="C969" s="4" t="str">
        <f>IFERROR(AVERAGEIFS('2. Program Allocation Output'!$P:$P,'2. Program Allocation Output'!$AF:$AF,$A969,'2. Program Allocation Output'!$AG:$AG,$B969),"")</f>
        <v/>
      </c>
      <c r="D969" s="4" t="str">
        <f>IFERROR(AVERAGEIFS('2. Program Allocation Output'!$O:$O,'2. Program Allocation Output'!$AF:$AF,$A969,'2. Program Allocation Output'!$AG:$AG,$B969),"")</f>
        <v/>
      </c>
      <c r="E969" s="5" t="str">
        <f>IFERROR(AVERAGEIFS('2. Program Allocation Output'!$L:$L,'2. Program Allocation Output'!$AF:$AF,$A969,'2. Program Allocation Output'!$AG:$AG,$B969),"")</f>
        <v/>
      </c>
      <c r="F969" s="39" t="str">
        <f t="shared" si="33"/>
        <v/>
      </c>
      <c r="G969" t="str">
        <f t="shared" si="32"/>
        <v/>
      </c>
    </row>
    <row r="970" spans="3:7" ht="15" hidden="1" x14ac:dyDescent="0.25">
      <c r="C970" s="4" t="str">
        <f>IFERROR(AVERAGEIFS('2. Program Allocation Output'!$P:$P,'2. Program Allocation Output'!$AF:$AF,$A970,'2. Program Allocation Output'!$AG:$AG,$B970),"")</f>
        <v/>
      </c>
      <c r="D970" s="4" t="str">
        <f>IFERROR(AVERAGEIFS('2. Program Allocation Output'!$O:$O,'2. Program Allocation Output'!$AF:$AF,$A970,'2. Program Allocation Output'!$AG:$AG,$B970),"")</f>
        <v/>
      </c>
      <c r="E970" s="5" t="str">
        <f>IFERROR(AVERAGEIFS('2. Program Allocation Output'!$L:$L,'2. Program Allocation Output'!$AF:$AF,$A970,'2. Program Allocation Output'!$AG:$AG,$B970),"")</f>
        <v/>
      </c>
      <c r="F970" s="39" t="str">
        <f t="shared" si="33"/>
        <v/>
      </c>
      <c r="G970" t="str">
        <f t="shared" si="32"/>
        <v/>
      </c>
    </row>
    <row r="971" spans="3:7" ht="15" hidden="1" x14ac:dyDescent="0.25">
      <c r="C971" s="4" t="str">
        <f>IFERROR(AVERAGEIFS('2. Program Allocation Output'!$P:$P,'2. Program Allocation Output'!$AF:$AF,$A971,'2. Program Allocation Output'!$AG:$AG,$B971),"")</f>
        <v/>
      </c>
      <c r="D971" s="4" t="str">
        <f>IFERROR(AVERAGEIFS('2. Program Allocation Output'!$O:$O,'2. Program Allocation Output'!$AF:$AF,$A971,'2. Program Allocation Output'!$AG:$AG,$B971),"")</f>
        <v/>
      </c>
      <c r="E971" s="5" t="str">
        <f>IFERROR(AVERAGEIFS('2. Program Allocation Output'!$L:$L,'2. Program Allocation Output'!$AF:$AF,$A971,'2. Program Allocation Output'!$AG:$AG,$B971),"")</f>
        <v/>
      </c>
      <c r="F971" s="39" t="str">
        <f t="shared" si="33"/>
        <v/>
      </c>
      <c r="G971" t="str">
        <f t="shared" si="32"/>
        <v/>
      </c>
    </row>
    <row r="972" spans="3:7" ht="15" hidden="1" x14ac:dyDescent="0.25">
      <c r="C972" s="4" t="str">
        <f>IFERROR(AVERAGEIFS('2. Program Allocation Output'!$P:$P,'2. Program Allocation Output'!$AF:$AF,$A972,'2. Program Allocation Output'!$AG:$AG,$B972),"")</f>
        <v/>
      </c>
      <c r="D972" s="4" t="str">
        <f>IFERROR(AVERAGEIFS('2. Program Allocation Output'!$O:$O,'2. Program Allocation Output'!$AF:$AF,$A972,'2. Program Allocation Output'!$AG:$AG,$B972),"")</f>
        <v/>
      </c>
      <c r="E972" s="5" t="str">
        <f>IFERROR(AVERAGEIFS('2. Program Allocation Output'!$L:$L,'2. Program Allocation Output'!$AF:$AF,$A972,'2. Program Allocation Output'!$AG:$AG,$B972),"")</f>
        <v/>
      </c>
      <c r="F972" s="39" t="str">
        <f t="shared" si="33"/>
        <v/>
      </c>
      <c r="G972" t="str">
        <f t="shared" si="32"/>
        <v/>
      </c>
    </row>
    <row r="973" spans="3:7" ht="15" hidden="1" x14ac:dyDescent="0.25">
      <c r="C973" s="4" t="str">
        <f>IFERROR(AVERAGEIFS('2. Program Allocation Output'!$P:$P,'2. Program Allocation Output'!$AF:$AF,$A973,'2. Program Allocation Output'!$AG:$AG,$B973),"")</f>
        <v/>
      </c>
      <c r="D973" s="4" t="str">
        <f>IFERROR(AVERAGEIFS('2. Program Allocation Output'!$O:$O,'2. Program Allocation Output'!$AF:$AF,$A973,'2. Program Allocation Output'!$AG:$AG,$B973),"")</f>
        <v/>
      </c>
      <c r="E973" s="5" t="str">
        <f>IFERROR(AVERAGEIFS('2. Program Allocation Output'!$L:$L,'2. Program Allocation Output'!$AF:$AF,$A973,'2. Program Allocation Output'!$AG:$AG,$B973),"")</f>
        <v/>
      </c>
      <c r="F973" s="39" t="str">
        <f t="shared" si="33"/>
        <v/>
      </c>
      <c r="G973" t="str">
        <f t="shared" si="32"/>
        <v/>
      </c>
    </row>
    <row r="974" spans="3:7" ht="15" hidden="1" x14ac:dyDescent="0.25">
      <c r="C974" s="4" t="str">
        <f>IFERROR(AVERAGEIFS('2. Program Allocation Output'!$P:$P,'2. Program Allocation Output'!$AF:$AF,$A974,'2. Program Allocation Output'!$AG:$AG,$B974),"")</f>
        <v/>
      </c>
      <c r="D974" s="4" t="str">
        <f>IFERROR(AVERAGEIFS('2. Program Allocation Output'!$O:$O,'2. Program Allocation Output'!$AF:$AF,$A974,'2. Program Allocation Output'!$AG:$AG,$B974),"")</f>
        <v/>
      </c>
      <c r="E974" s="5" t="str">
        <f>IFERROR(AVERAGEIFS('2. Program Allocation Output'!$L:$L,'2. Program Allocation Output'!$AF:$AF,$A974,'2. Program Allocation Output'!$AG:$AG,$B974),"")</f>
        <v/>
      </c>
      <c r="F974" s="39" t="str">
        <f t="shared" si="33"/>
        <v/>
      </c>
      <c r="G974" t="str">
        <f t="shared" ref="G974:G1037" si="34">IFERROR(EXP(0.3*(F974-C974)/(E974*0.1137)),"")</f>
        <v/>
      </c>
    </row>
    <row r="975" spans="3:7" ht="15" hidden="1" x14ac:dyDescent="0.25">
      <c r="C975" s="4" t="str">
        <f>IFERROR(AVERAGEIFS('2. Program Allocation Output'!$P:$P,'2. Program Allocation Output'!$AF:$AF,$A975,'2. Program Allocation Output'!$AG:$AG,$B975),"")</f>
        <v/>
      </c>
      <c r="D975" s="4" t="str">
        <f>IFERROR(AVERAGEIFS('2. Program Allocation Output'!$O:$O,'2. Program Allocation Output'!$AF:$AF,$A975,'2. Program Allocation Output'!$AG:$AG,$B975),"")</f>
        <v/>
      </c>
      <c r="E975" s="5" t="str">
        <f>IFERROR(AVERAGEIFS('2. Program Allocation Output'!$L:$L,'2. Program Allocation Output'!$AF:$AF,$A975,'2. Program Allocation Output'!$AG:$AG,$B975),"")</f>
        <v/>
      </c>
      <c r="F975" s="39" t="str">
        <f t="shared" si="33"/>
        <v/>
      </c>
      <c r="G975" t="str">
        <f t="shared" si="34"/>
        <v/>
      </c>
    </row>
    <row r="976" spans="3:7" ht="15" hidden="1" x14ac:dyDescent="0.25">
      <c r="C976" s="4" t="str">
        <f>IFERROR(AVERAGEIFS('2. Program Allocation Output'!$P:$P,'2. Program Allocation Output'!$AF:$AF,$A976,'2. Program Allocation Output'!$AG:$AG,$B976),"")</f>
        <v/>
      </c>
      <c r="D976" s="4" t="str">
        <f>IFERROR(AVERAGEIFS('2. Program Allocation Output'!$O:$O,'2. Program Allocation Output'!$AF:$AF,$A976,'2. Program Allocation Output'!$AG:$AG,$B976),"")</f>
        <v/>
      </c>
      <c r="E976" s="5" t="str">
        <f>IFERROR(AVERAGEIFS('2. Program Allocation Output'!$L:$L,'2. Program Allocation Output'!$AF:$AF,$A976,'2. Program Allocation Output'!$AG:$AG,$B976),"")</f>
        <v/>
      </c>
      <c r="F976" s="39" t="str">
        <f t="shared" si="33"/>
        <v/>
      </c>
      <c r="G976" t="str">
        <f t="shared" si="34"/>
        <v/>
      </c>
    </row>
    <row r="977" spans="3:7" ht="15" hidden="1" x14ac:dyDescent="0.25">
      <c r="C977" s="4" t="str">
        <f>IFERROR(AVERAGEIFS('2. Program Allocation Output'!$P:$P,'2. Program Allocation Output'!$AF:$AF,$A977,'2. Program Allocation Output'!$AG:$AG,$B977),"")</f>
        <v/>
      </c>
      <c r="D977" s="4" t="str">
        <f>IFERROR(AVERAGEIFS('2. Program Allocation Output'!$O:$O,'2. Program Allocation Output'!$AF:$AF,$A977,'2. Program Allocation Output'!$AG:$AG,$B977),"")</f>
        <v/>
      </c>
      <c r="E977" s="5" t="str">
        <f>IFERROR(AVERAGEIFS('2. Program Allocation Output'!$L:$L,'2. Program Allocation Output'!$AF:$AF,$A977,'2. Program Allocation Output'!$AG:$AG,$B977),"")</f>
        <v/>
      </c>
      <c r="F977" s="39" t="str">
        <f t="shared" si="33"/>
        <v/>
      </c>
      <c r="G977" t="str">
        <f t="shared" si="34"/>
        <v/>
      </c>
    </row>
    <row r="978" spans="3:7" ht="15" hidden="1" x14ac:dyDescent="0.25">
      <c r="C978" s="4" t="str">
        <f>IFERROR(AVERAGEIFS('2. Program Allocation Output'!$P:$P,'2. Program Allocation Output'!$AF:$AF,$A978,'2. Program Allocation Output'!$AG:$AG,$B978),"")</f>
        <v/>
      </c>
      <c r="D978" s="4" t="str">
        <f>IFERROR(AVERAGEIFS('2. Program Allocation Output'!$O:$O,'2. Program Allocation Output'!$AF:$AF,$A978,'2. Program Allocation Output'!$AG:$AG,$B978),"")</f>
        <v/>
      </c>
      <c r="E978" s="5" t="str">
        <f>IFERROR(AVERAGEIFS('2. Program Allocation Output'!$L:$L,'2. Program Allocation Output'!$AF:$AF,$A978,'2. Program Allocation Output'!$AG:$AG,$B978),"")</f>
        <v/>
      </c>
      <c r="F978" s="39" t="str">
        <f t="shared" si="33"/>
        <v/>
      </c>
      <c r="G978" t="str">
        <f t="shared" si="34"/>
        <v/>
      </c>
    </row>
    <row r="979" spans="3:7" ht="15" hidden="1" x14ac:dyDescent="0.25">
      <c r="C979" s="4" t="str">
        <f>IFERROR(AVERAGEIFS('2. Program Allocation Output'!$P:$P,'2. Program Allocation Output'!$AF:$AF,$A979,'2. Program Allocation Output'!$AG:$AG,$B979),"")</f>
        <v/>
      </c>
      <c r="D979" s="4" t="str">
        <f>IFERROR(AVERAGEIFS('2. Program Allocation Output'!$O:$O,'2. Program Allocation Output'!$AF:$AF,$A979,'2. Program Allocation Output'!$AG:$AG,$B979),"")</f>
        <v/>
      </c>
      <c r="E979" s="5" t="str">
        <f>IFERROR(AVERAGEIFS('2. Program Allocation Output'!$L:$L,'2. Program Allocation Output'!$AF:$AF,$A979,'2. Program Allocation Output'!$AG:$AG,$B979),"")</f>
        <v/>
      </c>
      <c r="F979" s="39" t="str">
        <f t="shared" si="33"/>
        <v/>
      </c>
      <c r="G979" t="str">
        <f t="shared" si="34"/>
        <v/>
      </c>
    </row>
    <row r="980" spans="3:7" ht="15" hidden="1" x14ac:dyDescent="0.25">
      <c r="C980" s="4" t="str">
        <f>IFERROR(AVERAGEIFS('2. Program Allocation Output'!$P:$P,'2. Program Allocation Output'!$AF:$AF,$A980,'2. Program Allocation Output'!$AG:$AG,$B980),"")</f>
        <v/>
      </c>
      <c r="D980" s="4" t="str">
        <f>IFERROR(AVERAGEIFS('2. Program Allocation Output'!$O:$O,'2. Program Allocation Output'!$AF:$AF,$A980,'2. Program Allocation Output'!$AG:$AG,$B980),"")</f>
        <v/>
      </c>
      <c r="E980" s="5" t="str">
        <f>IFERROR(AVERAGEIFS('2. Program Allocation Output'!$L:$L,'2. Program Allocation Output'!$AF:$AF,$A980,'2. Program Allocation Output'!$AG:$AG,$B980),"")</f>
        <v/>
      </c>
      <c r="F980" s="39" t="str">
        <f t="shared" si="33"/>
        <v/>
      </c>
      <c r="G980" t="str">
        <f t="shared" si="34"/>
        <v/>
      </c>
    </row>
    <row r="981" spans="3:7" ht="15" hidden="1" x14ac:dyDescent="0.25">
      <c r="C981" s="4" t="str">
        <f>IFERROR(AVERAGEIFS('2. Program Allocation Output'!$P:$P,'2. Program Allocation Output'!$AF:$AF,$A981,'2. Program Allocation Output'!$AG:$AG,$B981),"")</f>
        <v/>
      </c>
      <c r="D981" s="4" t="str">
        <f>IFERROR(AVERAGEIFS('2. Program Allocation Output'!$O:$O,'2. Program Allocation Output'!$AF:$AF,$A981,'2. Program Allocation Output'!$AG:$AG,$B981),"")</f>
        <v/>
      </c>
      <c r="E981" s="5" t="str">
        <f>IFERROR(AVERAGEIFS('2. Program Allocation Output'!$L:$L,'2. Program Allocation Output'!$AF:$AF,$A981,'2. Program Allocation Output'!$AG:$AG,$B981),"")</f>
        <v/>
      </c>
      <c r="F981" s="39" t="str">
        <f t="shared" si="33"/>
        <v/>
      </c>
      <c r="G981" t="str">
        <f t="shared" si="34"/>
        <v/>
      </c>
    </row>
    <row r="982" spans="3:7" ht="15" hidden="1" x14ac:dyDescent="0.25">
      <c r="C982" s="4" t="str">
        <f>IFERROR(AVERAGEIFS('2. Program Allocation Output'!$P:$P,'2. Program Allocation Output'!$AF:$AF,$A982,'2. Program Allocation Output'!$AG:$AG,$B982),"")</f>
        <v/>
      </c>
      <c r="D982" s="4" t="str">
        <f>IFERROR(AVERAGEIFS('2. Program Allocation Output'!$O:$O,'2. Program Allocation Output'!$AF:$AF,$A982,'2. Program Allocation Output'!$AG:$AG,$B982),"")</f>
        <v/>
      </c>
      <c r="E982" s="5" t="str">
        <f>IFERROR(AVERAGEIFS('2. Program Allocation Output'!$L:$L,'2. Program Allocation Output'!$AF:$AF,$A982,'2. Program Allocation Output'!$AG:$AG,$B982),"")</f>
        <v/>
      </c>
      <c r="F982" s="39" t="str">
        <f t="shared" si="33"/>
        <v/>
      </c>
      <c r="G982" t="str">
        <f t="shared" si="34"/>
        <v/>
      </c>
    </row>
    <row r="983" spans="3:7" ht="15" hidden="1" x14ac:dyDescent="0.25">
      <c r="C983" s="4" t="str">
        <f>IFERROR(AVERAGEIFS('2. Program Allocation Output'!$P:$P,'2. Program Allocation Output'!$AF:$AF,$A983,'2. Program Allocation Output'!$AG:$AG,$B983),"")</f>
        <v/>
      </c>
      <c r="D983" s="4" t="str">
        <f>IFERROR(AVERAGEIFS('2. Program Allocation Output'!$O:$O,'2. Program Allocation Output'!$AF:$AF,$A983,'2. Program Allocation Output'!$AG:$AG,$B983),"")</f>
        <v/>
      </c>
      <c r="E983" s="5" t="str">
        <f>IFERROR(AVERAGEIFS('2. Program Allocation Output'!$L:$L,'2. Program Allocation Output'!$AF:$AF,$A983,'2. Program Allocation Output'!$AG:$AG,$B983),"")</f>
        <v/>
      </c>
      <c r="F983" s="39" t="str">
        <f t="shared" si="33"/>
        <v/>
      </c>
      <c r="G983" t="str">
        <f t="shared" si="34"/>
        <v/>
      </c>
    </row>
    <row r="984" spans="3:7" ht="15" hidden="1" x14ac:dyDescent="0.25">
      <c r="C984" s="4" t="str">
        <f>IFERROR(AVERAGEIFS('2. Program Allocation Output'!$P:$P,'2. Program Allocation Output'!$AF:$AF,$A984,'2. Program Allocation Output'!$AG:$AG,$B984),"")</f>
        <v/>
      </c>
      <c r="D984" s="4" t="str">
        <f>IFERROR(AVERAGEIFS('2. Program Allocation Output'!$O:$O,'2. Program Allocation Output'!$AF:$AF,$A984,'2. Program Allocation Output'!$AG:$AG,$B984),"")</f>
        <v/>
      </c>
      <c r="E984" s="5" t="str">
        <f>IFERROR(AVERAGEIFS('2. Program Allocation Output'!$L:$L,'2. Program Allocation Output'!$AF:$AF,$A984,'2. Program Allocation Output'!$AG:$AG,$B984),"")</f>
        <v/>
      </c>
      <c r="F984" s="39" t="str">
        <f t="shared" si="33"/>
        <v/>
      </c>
      <c r="G984" t="str">
        <f t="shared" si="34"/>
        <v/>
      </c>
    </row>
    <row r="985" spans="3:7" ht="15" hidden="1" x14ac:dyDescent="0.25">
      <c r="C985" s="4" t="str">
        <f>IFERROR(AVERAGEIFS('2. Program Allocation Output'!$P:$P,'2. Program Allocation Output'!$AF:$AF,$A985,'2. Program Allocation Output'!$AG:$AG,$B985),"")</f>
        <v/>
      </c>
      <c r="D985" s="4" t="str">
        <f>IFERROR(AVERAGEIFS('2. Program Allocation Output'!$O:$O,'2. Program Allocation Output'!$AF:$AF,$A985,'2. Program Allocation Output'!$AG:$AG,$B985),"")</f>
        <v/>
      </c>
      <c r="E985" s="5" t="str">
        <f>IFERROR(AVERAGEIFS('2. Program Allocation Output'!$L:$L,'2. Program Allocation Output'!$AF:$AF,$A985,'2. Program Allocation Output'!$AG:$AG,$B985),"")</f>
        <v/>
      </c>
      <c r="F985" s="39" t="str">
        <f t="shared" si="33"/>
        <v/>
      </c>
      <c r="G985" t="str">
        <f t="shared" si="34"/>
        <v/>
      </c>
    </row>
    <row r="986" spans="3:7" ht="15" hidden="1" x14ac:dyDescent="0.25">
      <c r="C986" s="4" t="str">
        <f>IFERROR(AVERAGEIFS('2. Program Allocation Output'!$P:$P,'2. Program Allocation Output'!$AF:$AF,$A986,'2. Program Allocation Output'!$AG:$AG,$B986),"")</f>
        <v/>
      </c>
      <c r="D986" s="4" t="str">
        <f>IFERROR(AVERAGEIFS('2. Program Allocation Output'!$O:$O,'2. Program Allocation Output'!$AF:$AF,$A986,'2. Program Allocation Output'!$AG:$AG,$B986),"")</f>
        <v/>
      </c>
      <c r="E986" s="5" t="str">
        <f>IFERROR(AVERAGEIFS('2. Program Allocation Output'!$L:$L,'2. Program Allocation Output'!$AF:$AF,$A986,'2. Program Allocation Output'!$AG:$AG,$B986),"")</f>
        <v/>
      </c>
      <c r="F986" s="39" t="str">
        <f t="shared" si="33"/>
        <v/>
      </c>
      <c r="G986" t="str">
        <f t="shared" si="34"/>
        <v/>
      </c>
    </row>
    <row r="987" spans="3:7" ht="15" hidden="1" x14ac:dyDescent="0.25">
      <c r="C987" s="4" t="str">
        <f>IFERROR(AVERAGEIFS('2. Program Allocation Output'!$P:$P,'2. Program Allocation Output'!$AF:$AF,$A987,'2. Program Allocation Output'!$AG:$AG,$B987),"")</f>
        <v/>
      </c>
      <c r="D987" s="4" t="str">
        <f>IFERROR(AVERAGEIFS('2. Program Allocation Output'!$O:$O,'2. Program Allocation Output'!$AF:$AF,$A987,'2. Program Allocation Output'!$AG:$AG,$B987),"")</f>
        <v/>
      </c>
      <c r="E987" s="5" t="str">
        <f>IFERROR(AVERAGEIFS('2. Program Allocation Output'!$L:$L,'2. Program Allocation Output'!$AF:$AF,$A987,'2. Program Allocation Output'!$AG:$AG,$B987),"")</f>
        <v/>
      </c>
      <c r="F987" s="39" t="str">
        <f t="shared" si="33"/>
        <v/>
      </c>
      <c r="G987" t="str">
        <f t="shared" si="34"/>
        <v/>
      </c>
    </row>
    <row r="988" spans="3:7" ht="15" hidden="1" x14ac:dyDescent="0.25">
      <c r="C988" s="4" t="str">
        <f>IFERROR(AVERAGEIFS('2. Program Allocation Output'!$P:$P,'2. Program Allocation Output'!$AF:$AF,$A988,'2. Program Allocation Output'!$AG:$AG,$B988),"")</f>
        <v/>
      </c>
      <c r="D988" s="4" t="str">
        <f>IFERROR(AVERAGEIFS('2. Program Allocation Output'!$O:$O,'2. Program Allocation Output'!$AF:$AF,$A988,'2. Program Allocation Output'!$AG:$AG,$B988),"")</f>
        <v/>
      </c>
      <c r="E988" s="5" t="str">
        <f>IFERROR(AVERAGEIFS('2. Program Allocation Output'!$L:$L,'2. Program Allocation Output'!$AF:$AF,$A988,'2. Program Allocation Output'!$AG:$AG,$B988),"")</f>
        <v/>
      </c>
      <c r="F988" s="39" t="str">
        <f t="shared" si="33"/>
        <v/>
      </c>
      <c r="G988" t="str">
        <f t="shared" si="34"/>
        <v/>
      </c>
    </row>
    <row r="989" spans="3:7" ht="15" hidden="1" x14ac:dyDescent="0.25">
      <c r="C989" s="4" t="str">
        <f>IFERROR(AVERAGEIFS('2. Program Allocation Output'!$P:$P,'2. Program Allocation Output'!$AF:$AF,$A989,'2. Program Allocation Output'!$AG:$AG,$B989),"")</f>
        <v/>
      </c>
      <c r="D989" s="4" t="str">
        <f>IFERROR(AVERAGEIFS('2. Program Allocation Output'!$O:$O,'2. Program Allocation Output'!$AF:$AF,$A989,'2. Program Allocation Output'!$AG:$AG,$B989),"")</f>
        <v/>
      </c>
      <c r="E989" s="5" t="str">
        <f>IFERROR(AVERAGEIFS('2. Program Allocation Output'!$L:$L,'2. Program Allocation Output'!$AF:$AF,$A989,'2. Program Allocation Output'!$AG:$AG,$B989),"")</f>
        <v/>
      </c>
      <c r="F989" s="39" t="str">
        <f t="shared" si="33"/>
        <v/>
      </c>
      <c r="G989" t="str">
        <f t="shared" si="34"/>
        <v/>
      </c>
    </row>
    <row r="990" spans="3:7" ht="15" hidden="1" x14ac:dyDescent="0.25">
      <c r="C990" s="4" t="str">
        <f>IFERROR(AVERAGEIFS('2. Program Allocation Output'!$P:$P,'2. Program Allocation Output'!$AF:$AF,$A990,'2. Program Allocation Output'!$AG:$AG,$B990),"")</f>
        <v/>
      </c>
      <c r="D990" s="4" t="str">
        <f>IFERROR(AVERAGEIFS('2. Program Allocation Output'!$O:$O,'2. Program Allocation Output'!$AF:$AF,$A990,'2. Program Allocation Output'!$AG:$AG,$B990),"")</f>
        <v/>
      </c>
      <c r="E990" s="5" t="str">
        <f>IFERROR(AVERAGEIFS('2. Program Allocation Output'!$L:$L,'2. Program Allocation Output'!$AF:$AF,$A990,'2. Program Allocation Output'!$AG:$AG,$B990),"")</f>
        <v/>
      </c>
      <c r="F990" s="39" t="str">
        <f t="shared" si="33"/>
        <v/>
      </c>
      <c r="G990" t="str">
        <f t="shared" si="34"/>
        <v/>
      </c>
    </row>
    <row r="991" spans="3:7" ht="15" hidden="1" x14ac:dyDescent="0.25">
      <c r="C991" s="4" t="str">
        <f>IFERROR(AVERAGEIFS('2. Program Allocation Output'!$P:$P,'2. Program Allocation Output'!$AF:$AF,$A991,'2. Program Allocation Output'!$AG:$AG,$B991),"")</f>
        <v/>
      </c>
      <c r="D991" s="4" t="str">
        <f>IFERROR(AVERAGEIFS('2. Program Allocation Output'!$O:$O,'2. Program Allocation Output'!$AF:$AF,$A991,'2. Program Allocation Output'!$AG:$AG,$B991),"")</f>
        <v/>
      </c>
      <c r="E991" s="5" t="str">
        <f>IFERROR(AVERAGEIFS('2. Program Allocation Output'!$L:$L,'2. Program Allocation Output'!$AF:$AF,$A991,'2. Program Allocation Output'!$AG:$AG,$B991),"")</f>
        <v/>
      </c>
      <c r="F991" s="39" t="str">
        <f t="shared" si="33"/>
        <v/>
      </c>
      <c r="G991" t="str">
        <f t="shared" si="34"/>
        <v/>
      </c>
    </row>
    <row r="992" spans="3:7" ht="15" hidden="1" x14ac:dyDescent="0.25">
      <c r="C992" s="4" t="str">
        <f>IFERROR(AVERAGEIFS('2. Program Allocation Output'!$P:$P,'2. Program Allocation Output'!$AF:$AF,$A992,'2. Program Allocation Output'!$AG:$AG,$B992),"")</f>
        <v/>
      </c>
      <c r="D992" s="4" t="str">
        <f>IFERROR(AVERAGEIFS('2. Program Allocation Output'!$O:$O,'2. Program Allocation Output'!$AF:$AF,$A992,'2. Program Allocation Output'!$AG:$AG,$B992),"")</f>
        <v/>
      </c>
      <c r="E992" s="5" t="str">
        <f>IFERROR(AVERAGEIFS('2. Program Allocation Output'!$L:$L,'2. Program Allocation Output'!$AF:$AF,$A992,'2. Program Allocation Output'!$AG:$AG,$B992),"")</f>
        <v/>
      </c>
      <c r="F992" s="39" t="str">
        <f t="shared" si="33"/>
        <v/>
      </c>
      <c r="G992" t="str">
        <f t="shared" si="34"/>
        <v/>
      </c>
    </row>
    <row r="993" spans="3:7" ht="15" hidden="1" x14ac:dyDescent="0.25">
      <c r="C993" s="4" t="str">
        <f>IFERROR(AVERAGEIFS('2. Program Allocation Output'!$P:$P,'2. Program Allocation Output'!$AF:$AF,$A993,'2. Program Allocation Output'!$AG:$AG,$B993),"")</f>
        <v/>
      </c>
      <c r="D993" s="4" t="str">
        <f>IFERROR(AVERAGEIFS('2. Program Allocation Output'!$O:$O,'2. Program Allocation Output'!$AF:$AF,$A993,'2. Program Allocation Output'!$AG:$AG,$B993),"")</f>
        <v/>
      </c>
      <c r="E993" s="5" t="str">
        <f>IFERROR(AVERAGEIFS('2. Program Allocation Output'!$L:$L,'2. Program Allocation Output'!$AF:$AF,$A993,'2. Program Allocation Output'!$AG:$AG,$B993),"")</f>
        <v/>
      </c>
      <c r="F993" s="39" t="str">
        <f t="shared" si="33"/>
        <v/>
      </c>
      <c r="G993" t="str">
        <f t="shared" si="34"/>
        <v/>
      </c>
    </row>
    <row r="994" spans="3:7" ht="15" hidden="1" x14ac:dyDescent="0.25">
      <c r="C994" s="4" t="str">
        <f>IFERROR(AVERAGEIFS('2. Program Allocation Output'!$P:$P,'2. Program Allocation Output'!$AF:$AF,$A994,'2. Program Allocation Output'!$AG:$AG,$B994),"")</f>
        <v/>
      </c>
      <c r="D994" s="4" t="str">
        <f>IFERROR(AVERAGEIFS('2. Program Allocation Output'!$O:$O,'2. Program Allocation Output'!$AF:$AF,$A994,'2. Program Allocation Output'!$AG:$AG,$B994),"")</f>
        <v/>
      </c>
      <c r="E994" s="5" t="str">
        <f>IFERROR(AVERAGEIFS('2. Program Allocation Output'!$L:$L,'2. Program Allocation Output'!$AF:$AF,$A994,'2. Program Allocation Output'!$AG:$AG,$B994),"")</f>
        <v/>
      </c>
      <c r="F994" s="39" t="str">
        <f t="shared" si="33"/>
        <v/>
      </c>
      <c r="G994" t="str">
        <f t="shared" si="34"/>
        <v/>
      </c>
    </row>
    <row r="995" spans="3:7" ht="15" hidden="1" x14ac:dyDescent="0.25">
      <c r="C995" s="4" t="str">
        <f>IFERROR(AVERAGEIFS('2. Program Allocation Output'!$P:$P,'2. Program Allocation Output'!$AF:$AF,$A995,'2. Program Allocation Output'!$AG:$AG,$B995),"")</f>
        <v/>
      </c>
      <c r="D995" s="4" t="str">
        <f>IFERROR(AVERAGEIFS('2. Program Allocation Output'!$O:$O,'2. Program Allocation Output'!$AF:$AF,$A995,'2. Program Allocation Output'!$AG:$AG,$B995),"")</f>
        <v/>
      </c>
      <c r="E995" s="5" t="str">
        <f>IFERROR(AVERAGEIFS('2. Program Allocation Output'!$L:$L,'2. Program Allocation Output'!$AF:$AF,$A995,'2. Program Allocation Output'!$AG:$AG,$B995),"")</f>
        <v/>
      </c>
      <c r="F995" s="39" t="str">
        <f t="shared" si="33"/>
        <v/>
      </c>
      <c r="G995" t="str">
        <f t="shared" si="34"/>
        <v/>
      </c>
    </row>
    <row r="996" spans="3:7" ht="15" hidden="1" x14ac:dyDescent="0.25">
      <c r="C996" s="4" t="str">
        <f>IFERROR(AVERAGEIFS('2. Program Allocation Output'!$P:$P,'2. Program Allocation Output'!$AF:$AF,$A996,'2. Program Allocation Output'!$AG:$AG,$B996),"")</f>
        <v/>
      </c>
      <c r="D996" s="4" t="str">
        <f>IFERROR(AVERAGEIFS('2. Program Allocation Output'!$O:$O,'2. Program Allocation Output'!$AF:$AF,$A996,'2. Program Allocation Output'!$AG:$AG,$B996),"")</f>
        <v/>
      </c>
      <c r="E996" s="5" t="str">
        <f>IFERROR(AVERAGEIFS('2. Program Allocation Output'!$L:$L,'2. Program Allocation Output'!$AF:$AF,$A996,'2. Program Allocation Output'!$AG:$AG,$B996),"")</f>
        <v/>
      </c>
      <c r="F996" s="39" t="str">
        <f t="shared" si="33"/>
        <v/>
      </c>
      <c r="G996" t="str">
        <f t="shared" si="34"/>
        <v/>
      </c>
    </row>
    <row r="997" spans="3:7" ht="15" hidden="1" x14ac:dyDescent="0.25">
      <c r="C997" s="4" t="str">
        <f>IFERROR(AVERAGEIFS('2. Program Allocation Output'!$P:$P,'2. Program Allocation Output'!$AF:$AF,$A997,'2. Program Allocation Output'!$AG:$AG,$B997),"")</f>
        <v/>
      </c>
      <c r="D997" s="4" t="str">
        <f>IFERROR(AVERAGEIFS('2. Program Allocation Output'!$O:$O,'2. Program Allocation Output'!$AF:$AF,$A997,'2. Program Allocation Output'!$AG:$AG,$B997),"")</f>
        <v/>
      </c>
      <c r="E997" s="5" t="str">
        <f>IFERROR(AVERAGEIFS('2. Program Allocation Output'!$L:$L,'2. Program Allocation Output'!$AF:$AF,$A997,'2. Program Allocation Output'!$AG:$AG,$B997),"")</f>
        <v/>
      </c>
      <c r="F997" s="39" t="str">
        <f t="shared" si="33"/>
        <v/>
      </c>
      <c r="G997" t="str">
        <f t="shared" si="34"/>
        <v/>
      </c>
    </row>
    <row r="998" spans="3:7" ht="15" hidden="1" x14ac:dyDescent="0.25">
      <c r="C998" s="4" t="str">
        <f>IFERROR(AVERAGEIFS('2. Program Allocation Output'!$P:$P,'2. Program Allocation Output'!$AF:$AF,$A998,'2. Program Allocation Output'!$AG:$AG,$B998),"")</f>
        <v/>
      </c>
      <c r="D998" s="4" t="str">
        <f>IFERROR(AVERAGEIFS('2. Program Allocation Output'!$O:$O,'2. Program Allocation Output'!$AF:$AF,$A998,'2. Program Allocation Output'!$AG:$AG,$B998),"")</f>
        <v/>
      </c>
      <c r="E998" s="5" t="str">
        <f>IFERROR(AVERAGEIFS('2. Program Allocation Output'!$L:$L,'2. Program Allocation Output'!$AF:$AF,$A998,'2. Program Allocation Output'!$AG:$AG,$B998),"")</f>
        <v/>
      </c>
      <c r="F998" s="39" t="str">
        <f t="shared" si="33"/>
        <v/>
      </c>
      <c r="G998" t="str">
        <f t="shared" si="34"/>
        <v/>
      </c>
    </row>
    <row r="999" spans="3:7" ht="15" hidden="1" x14ac:dyDescent="0.25">
      <c r="C999" s="4" t="str">
        <f>IFERROR(AVERAGEIFS('2. Program Allocation Output'!$P:$P,'2. Program Allocation Output'!$AF:$AF,$A999,'2. Program Allocation Output'!$AG:$AG,$B999),"")</f>
        <v/>
      </c>
      <c r="D999" s="4" t="str">
        <f>IFERROR(AVERAGEIFS('2. Program Allocation Output'!$O:$O,'2. Program Allocation Output'!$AF:$AF,$A999,'2. Program Allocation Output'!$AG:$AG,$B999),"")</f>
        <v/>
      </c>
      <c r="E999" s="5" t="str">
        <f>IFERROR(AVERAGEIFS('2. Program Allocation Output'!$L:$L,'2. Program Allocation Output'!$AF:$AF,$A999,'2. Program Allocation Output'!$AG:$AG,$B999),"")</f>
        <v/>
      </c>
      <c r="F999" s="39" t="str">
        <f t="shared" si="33"/>
        <v/>
      </c>
      <c r="G999" t="str">
        <f t="shared" si="34"/>
        <v/>
      </c>
    </row>
    <row r="1000" spans="3:7" ht="15" hidden="1" x14ac:dyDescent="0.25">
      <c r="C1000" s="4" t="str">
        <f>IFERROR(AVERAGEIFS('2. Program Allocation Output'!$P:$P,'2. Program Allocation Output'!$AF:$AF,$A1000,'2. Program Allocation Output'!$AG:$AG,$B1000),"")</f>
        <v/>
      </c>
      <c r="D1000" s="4" t="str">
        <f>IFERROR(AVERAGEIFS('2. Program Allocation Output'!$O:$O,'2. Program Allocation Output'!$AF:$AF,$A1000,'2. Program Allocation Output'!$AG:$AG,$B1000),"")</f>
        <v/>
      </c>
      <c r="E1000" s="5" t="str">
        <f>IFERROR(AVERAGEIFS('2. Program Allocation Output'!$L:$L,'2. Program Allocation Output'!$AF:$AF,$A1000,'2. Program Allocation Output'!$AG:$AG,$B1000),"")</f>
        <v/>
      </c>
      <c r="F1000" s="39" t="str">
        <f t="shared" si="33"/>
        <v/>
      </c>
      <c r="G1000" t="str">
        <f t="shared" si="34"/>
        <v/>
      </c>
    </row>
    <row r="1001" spans="3:7" ht="15" hidden="1" x14ac:dyDescent="0.25">
      <c r="C1001" s="4" t="str">
        <f>IFERROR(AVERAGEIFS('2. Program Allocation Output'!$P:$P,'2. Program Allocation Output'!$AF:$AF,$A1001,'2. Program Allocation Output'!$AG:$AG,$B1001),"")</f>
        <v/>
      </c>
      <c r="D1001" s="4" t="str">
        <f>IFERROR(AVERAGEIFS('2. Program Allocation Output'!$O:$O,'2. Program Allocation Output'!$AF:$AF,$A1001,'2. Program Allocation Output'!$AG:$AG,$B1001),"")</f>
        <v/>
      </c>
      <c r="E1001" s="5" t="str">
        <f>IFERROR(AVERAGEIFS('2. Program Allocation Output'!$L:$L,'2. Program Allocation Output'!$AF:$AF,$A1001,'2. Program Allocation Output'!$AG:$AG,$B1001),"")</f>
        <v/>
      </c>
      <c r="F1001" s="39" t="str">
        <f t="shared" si="33"/>
        <v/>
      </c>
      <c r="G1001" t="str">
        <f t="shared" si="34"/>
        <v/>
      </c>
    </row>
    <row r="1002" spans="3:7" ht="15" hidden="1" x14ac:dyDescent="0.25">
      <c r="C1002" s="4" t="str">
        <f>IFERROR(AVERAGEIFS('2. Program Allocation Output'!$P:$P,'2. Program Allocation Output'!$AF:$AF,$A1002,'2. Program Allocation Output'!$AG:$AG,$B1002),"")</f>
        <v/>
      </c>
      <c r="D1002" s="4" t="str">
        <f>IFERROR(AVERAGEIFS('2. Program Allocation Output'!$O:$O,'2. Program Allocation Output'!$AF:$AF,$A1002,'2. Program Allocation Output'!$AG:$AG,$B1002),"")</f>
        <v/>
      </c>
      <c r="E1002" s="5" t="str">
        <f>IFERROR(AVERAGEIFS('2. Program Allocation Output'!$L:$L,'2. Program Allocation Output'!$AF:$AF,$A1002,'2. Program Allocation Output'!$AG:$AG,$B1002),"")</f>
        <v/>
      </c>
      <c r="F1002" s="39" t="str">
        <f t="shared" si="33"/>
        <v/>
      </c>
      <c r="G1002" t="str">
        <f t="shared" si="34"/>
        <v/>
      </c>
    </row>
    <row r="1003" spans="3:7" ht="15" hidden="1" x14ac:dyDescent="0.25">
      <c r="C1003" s="4" t="str">
        <f>IFERROR(AVERAGEIFS('2. Program Allocation Output'!$P:$P,'2. Program Allocation Output'!$AF:$AF,$A1003,'2. Program Allocation Output'!$AG:$AG,$B1003),"")</f>
        <v/>
      </c>
      <c r="D1003" s="4" t="str">
        <f>IFERROR(AVERAGEIFS('2. Program Allocation Output'!$O:$O,'2. Program Allocation Output'!$AF:$AF,$A1003,'2. Program Allocation Output'!$AG:$AG,$B1003),"")</f>
        <v/>
      </c>
      <c r="E1003" s="5" t="str">
        <f>IFERROR(AVERAGEIFS('2. Program Allocation Output'!$L:$L,'2. Program Allocation Output'!$AF:$AF,$A1003,'2. Program Allocation Output'!$AG:$AG,$B1003),"")</f>
        <v/>
      </c>
      <c r="F1003" s="39" t="str">
        <f t="shared" si="33"/>
        <v/>
      </c>
      <c r="G1003" t="str">
        <f t="shared" si="34"/>
        <v/>
      </c>
    </row>
    <row r="1004" spans="3:7" ht="15" hidden="1" x14ac:dyDescent="0.25">
      <c r="C1004" s="4" t="str">
        <f>IFERROR(AVERAGEIFS('2. Program Allocation Output'!$P:$P,'2. Program Allocation Output'!$AF:$AF,$A1004,'2. Program Allocation Output'!$AG:$AG,$B1004),"")</f>
        <v/>
      </c>
      <c r="D1004" s="4" t="str">
        <f>IFERROR(AVERAGEIFS('2. Program Allocation Output'!$O:$O,'2. Program Allocation Output'!$AF:$AF,$A1004,'2. Program Allocation Output'!$AG:$AG,$B1004),"")</f>
        <v/>
      </c>
      <c r="E1004" s="5" t="str">
        <f>IFERROR(AVERAGEIFS('2. Program Allocation Output'!$L:$L,'2. Program Allocation Output'!$AF:$AF,$A1004,'2. Program Allocation Output'!$AG:$AG,$B1004),"")</f>
        <v/>
      </c>
      <c r="F1004" s="39" t="str">
        <f t="shared" si="33"/>
        <v/>
      </c>
      <c r="G1004" t="str">
        <f t="shared" si="34"/>
        <v/>
      </c>
    </row>
    <row r="1005" spans="3:7" ht="15" hidden="1" x14ac:dyDescent="0.25">
      <c r="C1005" s="4" t="str">
        <f>IFERROR(AVERAGEIFS('2. Program Allocation Output'!$P:$P,'2. Program Allocation Output'!$AF:$AF,$A1005,'2. Program Allocation Output'!$AG:$AG,$B1005),"")</f>
        <v/>
      </c>
      <c r="D1005" s="4" t="str">
        <f>IFERROR(AVERAGEIFS('2. Program Allocation Output'!$O:$O,'2. Program Allocation Output'!$AF:$AF,$A1005,'2. Program Allocation Output'!$AG:$AG,$B1005),"")</f>
        <v/>
      </c>
      <c r="E1005" s="5" t="str">
        <f>IFERROR(AVERAGEIFS('2. Program Allocation Output'!$L:$L,'2. Program Allocation Output'!$AF:$AF,$A1005,'2. Program Allocation Output'!$AG:$AG,$B1005),"")</f>
        <v/>
      </c>
      <c r="F1005" s="39" t="str">
        <f t="shared" si="33"/>
        <v/>
      </c>
      <c r="G1005" t="str">
        <f t="shared" si="34"/>
        <v/>
      </c>
    </row>
    <row r="1006" spans="3:7" ht="15" hidden="1" x14ac:dyDescent="0.25">
      <c r="C1006" s="4" t="str">
        <f>IFERROR(AVERAGEIFS('2. Program Allocation Output'!$P:$P,'2. Program Allocation Output'!$AF:$AF,$A1006,'2. Program Allocation Output'!$AG:$AG,$B1006),"")</f>
        <v/>
      </c>
      <c r="D1006" s="4" t="str">
        <f>IFERROR(AVERAGEIFS('2. Program Allocation Output'!$O:$O,'2. Program Allocation Output'!$AF:$AF,$A1006,'2. Program Allocation Output'!$AG:$AG,$B1006),"")</f>
        <v/>
      </c>
      <c r="E1006" s="5" t="str">
        <f>IFERROR(AVERAGEIFS('2. Program Allocation Output'!$L:$L,'2. Program Allocation Output'!$AF:$AF,$A1006,'2. Program Allocation Output'!$AG:$AG,$B1006),"")</f>
        <v/>
      </c>
      <c r="F1006" s="39" t="str">
        <f t="shared" si="33"/>
        <v/>
      </c>
      <c r="G1006" t="str">
        <f t="shared" si="34"/>
        <v/>
      </c>
    </row>
    <row r="1007" spans="3:7" ht="15" hidden="1" x14ac:dyDescent="0.25">
      <c r="C1007" s="4" t="str">
        <f>IFERROR(AVERAGEIFS('2. Program Allocation Output'!$P:$P,'2. Program Allocation Output'!$AF:$AF,$A1007,'2. Program Allocation Output'!$AG:$AG,$B1007),"")</f>
        <v/>
      </c>
      <c r="D1007" s="4" t="str">
        <f>IFERROR(AVERAGEIFS('2. Program Allocation Output'!$O:$O,'2. Program Allocation Output'!$AF:$AF,$A1007,'2. Program Allocation Output'!$AG:$AG,$B1007),"")</f>
        <v/>
      </c>
      <c r="E1007" s="5" t="str">
        <f>IFERROR(AVERAGEIFS('2. Program Allocation Output'!$L:$L,'2. Program Allocation Output'!$AF:$AF,$A1007,'2. Program Allocation Output'!$AG:$AG,$B1007),"")</f>
        <v/>
      </c>
      <c r="F1007" s="39" t="str">
        <f t="shared" si="33"/>
        <v/>
      </c>
      <c r="G1007" t="str">
        <f t="shared" si="34"/>
        <v/>
      </c>
    </row>
    <row r="1008" spans="3:7" ht="15" hidden="1" x14ac:dyDescent="0.25">
      <c r="C1008" s="4" t="str">
        <f>IFERROR(AVERAGEIFS('2. Program Allocation Output'!$P:$P,'2. Program Allocation Output'!$AF:$AF,$A1008,'2. Program Allocation Output'!$AG:$AG,$B1008),"")</f>
        <v/>
      </c>
      <c r="D1008" s="4" t="str">
        <f>IFERROR(AVERAGEIFS('2. Program Allocation Output'!$O:$O,'2. Program Allocation Output'!$AF:$AF,$A1008,'2. Program Allocation Output'!$AG:$AG,$B1008),"")</f>
        <v/>
      </c>
      <c r="E1008" s="5" t="str">
        <f>IFERROR(AVERAGEIFS('2. Program Allocation Output'!$L:$L,'2. Program Allocation Output'!$AF:$AF,$A1008,'2. Program Allocation Output'!$AG:$AG,$B1008),"")</f>
        <v/>
      </c>
      <c r="F1008" s="39" t="str">
        <f t="shared" si="33"/>
        <v/>
      </c>
      <c r="G1008" t="str">
        <f t="shared" si="34"/>
        <v/>
      </c>
    </row>
    <row r="1009" spans="3:7" ht="15" hidden="1" x14ac:dyDescent="0.25">
      <c r="C1009" s="4" t="str">
        <f>IFERROR(AVERAGEIFS('2. Program Allocation Output'!$P:$P,'2. Program Allocation Output'!$AF:$AF,$A1009,'2. Program Allocation Output'!$AG:$AG,$B1009),"")</f>
        <v/>
      </c>
      <c r="D1009" s="4" t="str">
        <f>IFERROR(AVERAGEIFS('2. Program Allocation Output'!$O:$O,'2. Program Allocation Output'!$AF:$AF,$A1009,'2. Program Allocation Output'!$AG:$AG,$B1009),"")</f>
        <v/>
      </c>
      <c r="E1009" s="5" t="str">
        <f>IFERROR(AVERAGEIFS('2. Program Allocation Output'!$L:$L,'2. Program Allocation Output'!$AF:$AF,$A1009,'2. Program Allocation Output'!$AG:$AG,$B1009),"")</f>
        <v/>
      </c>
      <c r="F1009" s="39" t="str">
        <f t="shared" si="33"/>
        <v/>
      </c>
      <c r="G1009" t="str">
        <f t="shared" si="34"/>
        <v/>
      </c>
    </row>
    <row r="1010" spans="3:7" ht="15" hidden="1" x14ac:dyDescent="0.25">
      <c r="C1010" s="4" t="str">
        <f>IFERROR(AVERAGEIFS('2. Program Allocation Output'!$P:$P,'2. Program Allocation Output'!$AF:$AF,$A1010,'2. Program Allocation Output'!$AG:$AG,$B1010),"")</f>
        <v/>
      </c>
      <c r="D1010" s="4" t="str">
        <f>IFERROR(AVERAGEIFS('2. Program Allocation Output'!$O:$O,'2. Program Allocation Output'!$AF:$AF,$A1010,'2. Program Allocation Output'!$AG:$AG,$B1010),"")</f>
        <v/>
      </c>
      <c r="E1010" s="5" t="str">
        <f>IFERROR(AVERAGEIFS('2. Program Allocation Output'!$L:$L,'2. Program Allocation Output'!$AF:$AF,$A1010,'2. Program Allocation Output'!$AG:$AG,$B1010),"")</f>
        <v/>
      </c>
      <c r="F1010" s="39" t="str">
        <f t="shared" si="33"/>
        <v/>
      </c>
      <c r="G1010" t="str">
        <f t="shared" si="34"/>
        <v/>
      </c>
    </row>
    <row r="1011" spans="3:7" ht="15" hidden="1" x14ac:dyDescent="0.25">
      <c r="C1011" s="4" t="str">
        <f>IFERROR(AVERAGEIFS('2. Program Allocation Output'!$P:$P,'2. Program Allocation Output'!$AF:$AF,$A1011,'2. Program Allocation Output'!$AG:$AG,$B1011),"")</f>
        <v/>
      </c>
      <c r="D1011" s="4" t="str">
        <f>IFERROR(AVERAGEIFS('2. Program Allocation Output'!$O:$O,'2. Program Allocation Output'!$AF:$AF,$A1011,'2. Program Allocation Output'!$AG:$AG,$B1011),"")</f>
        <v/>
      </c>
      <c r="E1011" s="5" t="str">
        <f>IFERROR(AVERAGEIFS('2. Program Allocation Output'!$L:$L,'2. Program Allocation Output'!$AF:$AF,$A1011,'2. Program Allocation Output'!$AG:$AG,$B1011),"")</f>
        <v/>
      </c>
      <c r="F1011" s="39" t="str">
        <f t="shared" si="33"/>
        <v/>
      </c>
      <c r="G1011" t="str">
        <f t="shared" si="34"/>
        <v/>
      </c>
    </row>
    <row r="1012" spans="3:7" ht="15" hidden="1" x14ac:dyDescent="0.25">
      <c r="C1012" s="4" t="str">
        <f>IFERROR(AVERAGEIFS('2. Program Allocation Output'!$P:$P,'2. Program Allocation Output'!$AF:$AF,$A1012,'2. Program Allocation Output'!$AG:$AG,$B1012),"")</f>
        <v/>
      </c>
      <c r="D1012" s="4" t="str">
        <f>IFERROR(AVERAGEIFS('2. Program Allocation Output'!$O:$O,'2. Program Allocation Output'!$AF:$AF,$A1012,'2. Program Allocation Output'!$AG:$AG,$B1012),"")</f>
        <v/>
      </c>
      <c r="E1012" s="5" t="str">
        <f>IFERROR(AVERAGEIFS('2. Program Allocation Output'!$L:$L,'2. Program Allocation Output'!$AF:$AF,$A1012,'2. Program Allocation Output'!$AG:$AG,$B1012),"")</f>
        <v/>
      </c>
      <c r="F1012" s="39" t="str">
        <f t="shared" si="33"/>
        <v/>
      </c>
      <c r="G1012" t="str">
        <f t="shared" si="34"/>
        <v/>
      </c>
    </row>
    <row r="1013" spans="3:7" ht="15" hidden="1" x14ac:dyDescent="0.25">
      <c r="C1013" s="4" t="str">
        <f>IFERROR(AVERAGEIFS('2. Program Allocation Output'!$P:$P,'2. Program Allocation Output'!$AF:$AF,$A1013,'2. Program Allocation Output'!$AG:$AG,$B1013),"")</f>
        <v/>
      </c>
      <c r="D1013" s="4" t="str">
        <f>IFERROR(AVERAGEIFS('2. Program Allocation Output'!$O:$O,'2. Program Allocation Output'!$AF:$AF,$A1013,'2. Program Allocation Output'!$AG:$AG,$B1013),"")</f>
        <v/>
      </c>
      <c r="E1013" s="5" t="str">
        <f>IFERROR(AVERAGEIFS('2. Program Allocation Output'!$L:$L,'2. Program Allocation Output'!$AF:$AF,$A1013,'2. Program Allocation Output'!$AG:$AG,$B1013),"")</f>
        <v/>
      </c>
      <c r="F1013" s="39" t="str">
        <f t="shared" si="33"/>
        <v/>
      </c>
      <c r="G1013" t="str">
        <f t="shared" si="34"/>
        <v/>
      </c>
    </row>
    <row r="1014" spans="3:7" ht="15" hidden="1" x14ac:dyDescent="0.25">
      <c r="C1014" s="4" t="str">
        <f>IFERROR(AVERAGEIFS('2. Program Allocation Output'!$P:$P,'2. Program Allocation Output'!$AF:$AF,$A1014,'2. Program Allocation Output'!$AG:$AG,$B1014),"")</f>
        <v/>
      </c>
      <c r="D1014" s="4" t="str">
        <f>IFERROR(AVERAGEIFS('2. Program Allocation Output'!$O:$O,'2. Program Allocation Output'!$AF:$AF,$A1014,'2. Program Allocation Output'!$AG:$AG,$B1014),"")</f>
        <v/>
      </c>
      <c r="E1014" s="5" t="str">
        <f>IFERROR(AVERAGEIFS('2. Program Allocation Output'!$L:$L,'2. Program Allocation Output'!$AF:$AF,$A1014,'2. Program Allocation Output'!$AG:$AG,$B1014),"")</f>
        <v/>
      </c>
      <c r="F1014" s="39" t="str">
        <f t="shared" si="33"/>
        <v/>
      </c>
      <c r="G1014" t="str">
        <f t="shared" si="34"/>
        <v/>
      </c>
    </row>
    <row r="1015" spans="3:7" ht="15" hidden="1" x14ac:dyDescent="0.25">
      <c r="C1015" s="4" t="str">
        <f>IFERROR(AVERAGEIFS('2. Program Allocation Output'!$P:$P,'2. Program Allocation Output'!$AF:$AF,$A1015,'2. Program Allocation Output'!$AG:$AG,$B1015),"")</f>
        <v/>
      </c>
      <c r="D1015" s="4" t="str">
        <f>IFERROR(AVERAGEIFS('2. Program Allocation Output'!$O:$O,'2. Program Allocation Output'!$AF:$AF,$A1015,'2. Program Allocation Output'!$AG:$AG,$B1015),"")</f>
        <v/>
      </c>
      <c r="E1015" s="5" t="str">
        <f>IFERROR(AVERAGEIFS('2. Program Allocation Output'!$L:$L,'2. Program Allocation Output'!$AF:$AF,$A1015,'2. Program Allocation Output'!$AG:$AG,$B1015),"")</f>
        <v/>
      </c>
      <c r="F1015" s="39" t="str">
        <f t="shared" si="33"/>
        <v/>
      </c>
      <c r="G1015" t="str">
        <f t="shared" si="34"/>
        <v/>
      </c>
    </row>
    <row r="1016" spans="3:7" ht="15" hidden="1" x14ac:dyDescent="0.25">
      <c r="C1016" s="4" t="str">
        <f>IFERROR(AVERAGEIFS('2. Program Allocation Output'!$P:$P,'2. Program Allocation Output'!$AF:$AF,$A1016,'2. Program Allocation Output'!$AG:$AG,$B1016),"")</f>
        <v/>
      </c>
      <c r="D1016" s="4" t="str">
        <f>IFERROR(AVERAGEIFS('2. Program Allocation Output'!$O:$O,'2. Program Allocation Output'!$AF:$AF,$A1016,'2. Program Allocation Output'!$AG:$AG,$B1016),"")</f>
        <v/>
      </c>
      <c r="E1016" s="5" t="str">
        <f>IFERROR(AVERAGEIFS('2. Program Allocation Output'!$L:$L,'2. Program Allocation Output'!$AF:$AF,$A1016,'2. Program Allocation Output'!$AG:$AG,$B1016),"")</f>
        <v/>
      </c>
      <c r="F1016" s="39" t="str">
        <f t="shared" si="33"/>
        <v/>
      </c>
      <c r="G1016" t="str">
        <f t="shared" si="34"/>
        <v/>
      </c>
    </row>
    <row r="1017" spans="3:7" ht="15" hidden="1" x14ac:dyDescent="0.25">
      <c r="C1017" s="4" t="str">
        <f>IFERROR(AVERAGEIFS('2. Program Allocation Output'!$P:$P,'2. Program Allocation Output'!$AF:$AF,$A1017,'2. Program Allocation Output'!$AG:$AG,$B1017),"")</f>
        <v/>
      </c>
      <c r="D1017" s="4" t="str">
        <f>IFERROR(AVERAGEIFS('2. Program Allocation Output'!$O:$O,'2. Program Allocation Output'!$AF:$AF,$A1017,'2. Program Allocation Output'!$AG:$AG,$B1017),"")</f>
        <v/>
      </c>
      <c r="E1017" s="5" t="str">
        <f>IFERROR(AVERAGEIFS('2. Program Allocation Output'!$L:$L,'2. Program Allocation Output'!$AF:$AF,$A1017,'2. Program Allocation Output'!$AG:$AG,$B1017),"")</f>
        <v/>
      </c>
      <c r="F1017" s="39" t="str">
        <f t="shared" si="33"/>
        <v/>
      </c>
      <c r="G1017" t="str">
        <f t="shared" si="34"/>
        <v/>
      </c>
    </row>
    <row r="1018" spans="3:7" ht="15" hidden="1" x14ac:dyDescent="0.25">
      <c r="C1018" s="4" t="str">
        <f>IFERROR(AVERAGEIFS('2. Program Allocation Output'!$P:$P,'2. Program Allocation Output'!$AF:$AF,$A1018,'2. Program Allocation Output'!$AG:$AG,$B1018),"")</f>
        <v/>
      </c>
      <c r="D1018" s="4" t="str">
        <f>IFERROR(AVERAGEIFS('2. Program Allocation Output'!$O:$O,'2. Program Allocation Output'!$AF:$AF,$A1018,'2. Program Allocation Output'!$AG:$AG,$B1018),"")</f>
        <v/>
      </c>
      <c r="E1018" s="5" t="str">
        <f>IFERROR(AVERAGEIFS('2. Program Allocation Output'!$L:$L,'2. Program Allocation Output'!$AF:$AF,$A1018,'2. Program Allocation Output'!$AG:$AG,$B1018),"")</f>
        <v/>
      </c>
      <c r="F1018" s="39" t="str">
        <f t="shared" si="33"/>
        <v/>
      </c>
      <c r="G1018" t="str">
        <f t="shared" si="34"/>
        <v/>
      </c>
    </row>
    <row r="1019" spans="3:7" ht="15" hidden="1" x14ac:dyDescent="0.25">
      <c r="C1019" s="4" t="str">
        <f>IFERROR(AVERAGEIFS('2. Program Allocation Output'!$P:$P,'2. Program Allocation Output'!$AF:$AF,$A1019,'2. Program Allocation Output'!$AG:$AG,$B1019),"")</f>
        <v/>
      </c>
      <c r="D1019" s="4" t="str">
        <f>IFERROR(AVERAGEIFS('2. Program Allocation Output'!$O:$O,'2. Program Allocation Output'!$AF:$AF,$A1019,'2. Program Allocation Output'!$AG:$AG,$B1019),"")</f>
        <v/>
      </c>
      <c r="E1019" s="5" t="str">
        <f>IFERROR(AVERAGEIFS('2. Program Allocation Output'!$L:$L,'2. Program Allocation Output'!$AF:$AF,$A1019,'2. Program Allocation Output'!$AG:$AG,$B1019),"")</f>
        <v/>
      </c>
      <c r="F1019" s="39" t="str">
        <f t="shared" si="33"/>
        <v/>
      </c>
      <c r="G1019" t="str">
        <f t="shared" si="34"/>
        <v/>
      </c>
    </row>
    <row r="1020" spans="3:7" ht="15" hidden="1" x14ac:dyDescent="0.25">
      <c r="C1020" s="4" t="str">
        <f>IFERROR(AVERAGEIFS('2. Program Allocation Output'!$P:$P,'2. Program Allocation Output'!$AF:$AF,$A1020,'2. Program Allocation Output'!$AG:$AG,$B1020),"")</f>
        <v/>
      </c>
      <c r="D1020" s="4" t="str">
        <f>IFERROR(AVERAGEIFS('2. Program Allocation Output'!$O:$O,'2. Program Allocation Output'!$AF:$AF,$A1020,'2. Program Allocation Output'!$AG:$AG,$B1020),"")</f>
        <v/>
      </c>
      <c r="E1020" s="5" t="str">
        <f>IFERROR(AVERAGEIFS('2. Program Allocation Output'!$L:$L,'2. Program Allocation Output'!$AF:$AF,$A1020,'2. Program Allocation Output'!$AG:$AG,$B1020),"")</f>
        <v/>
      </c>
      <c r="F1020" s="39" t="str">
        <f t="shared" si="33"/>
        <v/>
      </c>
      <c r="G1020" t="str">
        <f t="shared" si="34"/>
        <v/>
      </c>
    </row>
    <row r="1021" spans="3:7" ht="15" hidden="1" x14ac:dyDescent="0.25">
      <c r="C1021" s="4" t="str">
        <f>IFERROR(AVERAGEIFS('2. Program Allocation Output'!$P:$P,'2. Program Allocation Output'!$AF:$AF,$A1021,'2. Program Allocation Output'!$AG:$AG,$B1021),"")</f>
        <v/>
      </c>
      <c r="D1021" s="4" t="str">
        <f>IFERROR(AVERAGEIFS('2. Program Allocation Output'!$O:$O,'2. Program Allocation Output'!$AF:$AF,$A1021,'2. Program Allocation Output'!$AG:$AG,$B1021),"")</f>
        <v/>
      </c>
      <c r="E1021" s="5" t="str">
        <f>IFERROR(AVERAGEIFS('2. Program Allocation Output'!$L:$L,'2. Program Allocation Output'!$AF:$AF,$A1021,'2. Program Allocation Output'!$AG:$AG,$B1021),"")</f>
        <v/>
      </c>
      <c r="F1021" s="39" t="str">
        <f t="shared" si="33"/>
        <v/>
      </c>
      <c r="G1021" t="str">
        <f t="shared" si="34"/>
        <v/>
      </c>
    </row>
    <row r="1022" spans="3:7" ht="15" hidden="1" x14ac:dyDescent="0.25">
      <c r="C1022" s="4" t="str">
        <f>IFERROR(AVERAGEIFS('2. Program Allocation Output'!$P:$P,'2. Program Allocation Output'!$AF:$AF,$A1022,'2. Program Allocation Output'!$AG:$AG,$B1022),"")</f>
        <v/>
      </c>
      <c r="D1022" s="4" t="str">
        <f>IFERROR(AVERAGEIFS('2. Program Allocation Output'!$O:$O,'2. Program Allocation Output'!$AF:$AF,$A1022,'2. Program Allocation Output'!$AG:$AG,$B1022),"")</f>
        <v/>
      </c>
      <c r="E1022" s="5" t="str">
        <f>IFERROR(AVERAGEIFS('2. Program Allocation Output'!$L:$L,'2. Program Allocation Output'!$AF:$AF,$A1022,'2. Program Allocation Output'!$AG:$AG,$B1022),"")</f>
        <v/>
      </c>
      <c r="F1022" s="39" t="str">
        <f t="shared" si="33"/>
        <v/>
      </c>
      <c r="G1022" t="str">
        <f t="shared" si="34"/>
        <v/>
      </c>
    </row>
    <row r="1023" spans="3:7" ht="15" hidden="1" x14ac:dyDescent="0.25">
      <c r="C1023" s="4" t="str">
        <f>IFERROR(AVERAGEIFS('2. Program Allocation Output'!$P:$P,'2. Program Allocation Output'!$AF:$AF,$A1023,'2. Program Allocation Output'!$AG:$AG,$B1023),"")</f>
        <v/>
      </c>
      <c r="D1023" s="4" t="str">
        <f>IFERROR(AVERAGEIFS('2. Program Allocation Output'!$O:$O,'2. Program Allocation Output'!$AF:$AF,$A1023,'2. Program Allocation Output'!$AG:$AG,$B1023),"")</f>
        <v/>
      </c>
      <c r="E1023" s="5" t="str">
        <f>IFERROR(AVERAGEIFS('2. Program Allocation Output'!$L:$L,'2. Program Allocation Output'!$AF:$AF,$A1023,'2. Program Allocation Output'!$AG:$AG,$B1023),"")</f>
        <v/>
      </c>
      <c r="F1023" s="39" t="str">
        <f t="shared" si="33"/>
        <v/>
      </c>
      <c r="G1023" t="str">
        <f t="shared" si="34"/>
        <v/>
      </c>
    </row>
    <row r="1024" spans="3:7" ht="15" hidden="1" x14ac:dyDescent="0.25">
      <c r="C1024" s="4" t="str">
        <f>IFERROR(AVERAGEIFS('2. Program Allocation Output'!$P:$P,'2. Program Allocation Output'!$AF:$AF,$A1024,'2. Program Allocation Output'!$AG:$AG,$B1024),"")</f>
        <v/>
      </c>
      <c r="D1024" s="4" t="str">
        <f>IFERROR(AVERAGEIFS('2. Program Allocation Output'!$O:$O,'2. Program Allocation Output'!$AF:$AF,$A1024,'2. Program Allocation Output'!$AG:$AG,$B1024),"")</f>
        <v/>
      </c>
      <c r="E1024" s="5" t="str">
        <f>IFERROR(AVERAGEIFS('2. Program Allocation Output'!$L:$L,'2. Program Allocation Output'!$AF:$AF,$A1024,'2. Program Allocation Output'!$AG:$AG,$B1024),"")</f>
        <v/>
      </c>
      <c r="F1024" s="39" t="str">
        <f t="shared" si="33"/>
        <v/>
      </c>
      <c r="G1024" t="str">
        <f t="shared" si="34"/>
        <v/>
      </c>
    </row>
    <row r="1025" spans="3:7" ht="15" hidden="1" x14ac:dyDescent="0.25">
      <c r="C1025" s="4" t="str">
        <f>IFERROR(AVERAGEIFS('2. Program Allocation Output'!$P:$P,'2. Program Allocation Output'!$AF:$AF,$A1025,'2. Program Allocation Output'!$AG:$AG,$B1025),"")</f>
        <v/>
      </c>
      <c r="D1025" s="4" t="str">
        <f>IFERROR(AVERAGEIFS('2. Program Allocation Output'!$O:$O,'2. Program Allocation Output'!$AF:$AF,$A1025,'2. Program Allocation Output'!$AG:$AG,$B1025),"")</f>
        <v/>
      </c>
      <c r="E1025" s="5" t="str">
        <f>IFERROR(AVERAGEIFS('2. Program Allocation Output'!$L:$L,'2. Program Allocation Output'!$AF:$AF,$A1025,'2. Program Allocation Output'!$AG:$AG,$B1025),"")</f>
        <v/>
      </c>
      <c r="F1025" s="39" t="str">
        <f t="shared" si="33"/>
        <v/>
      </c>
      <c r="G1025" t="str">
        <f t="shared" si="34"/>
        <v/>
      </c>
    </row>
    <row r="1026" spans="3:7" ht="15" hidden="1" x14ac:dyDescent="0.25">
      <c r="C1026" s="4" t="str">
        <f>IFERROR(AVERAGEIFS('2. Program Allocation Output'!$P:$P,'2. Program Allocation Output'!$AF:$AF,$A1026,'2. Program Allocation Output'!$AG:$AG,$B1026),"")</f>
        <v/>
      </c>
      <c r="D1026" s="4" t="str">
        <f>IFERROR(AVERAGEIFS('2. Program Allocation Output'!$O:$O,'2. Program Allocation Output'!$AF:$AF,$A1026,'2. Program Allocation Output'!$AG:$AG,$B1026),"")</f>
        <v/>
      </c>
      <c r="E1026" s="5" t="str">
        <f>IFERROR(AVERAGEIFS('2. Program Allocation Output'!$L:$L,'2. Program Allocation Output'!$AF:$AF,$A1026,'2. Program Allocation Output'!$AG:$AG,$B1026),"")</f>
        <v/>
      </c>
      <c r="F1026" s="39" t="str">
        <f t="shared" si="33"/>
        <v/>
      </c>
      <c r="G1026" t="str">
        <f t="shared" si="34"/>
        <v/>
      </c>
    </row>
    <row r="1027" spans="3:7" ht="15" hidden="1" x14ac:dyDescent="0.25">
      <c r="C1027" s="4" t="str">
        <f>IFERROR(AVERAGEIFS('2. Program Allocation Output'!$P:$P,'2. Program Allocation Output'!$AF:$AF,$A1027,'2. Program Allocation Output'!$AG:$AG,$B1027),"")</f>
        <v/>
      </c>
      <c r="D1027" s="4" t="str">
        <f>IFERROR(AVERAGEIFS('2. Program Allocation Output'!$O:$O,'2. Program Allocation Output'!$AF:$AF,$A1027,'2. Program Allocation Output'!$AG:$AG,$B1027),"")</f>
        <v/>
      </c>
      <c r="E1027" s="5" t="str">
        <f>IFERROR(AVERAGEIFS('2. Program Allocation Output'!$L:$L,'2. Program Allocation Output'!$AF:$AF,$A1027,'2. Program Allocation Output'!$AG:$AG,$B1027),"")</f>
        <v/>
      </c>
      <c r="F1027" s="39" t="str">
        <f t="shared" ref="F1027:F1090" si="35">IFERROR(C1027*1,"")</f>
        <v/>
      </c>
      <c r="G1027" t="str">
        <f t="shared" si="34"/>
        <v/>
      </c>
    </row>
    <row r="1028" spans="3:7" ht="15" hidden="1" x14ac:dyDescent="0.25">
      <c r="C1028" s="4" t="str">
        <f>IFERROR(AVERAGEIFS('2. Program Allocation Output'!$P:$P,'2. Program Allocation Output'!$AF:$AF,$A1028,'2. Program Allocation Output'!$AG:$AG,$B1028),"")</f>
        <v/>
      </c>
      <c r="D1028" s="4" t="str">
        <f>IFERROR(AVERAGEIFS('2. Program Allocation Output'!$O:$O,'2. Program Allocation Output'!$AF:$AF,$A1028,'2. Program Allocation Output'!$AG:$AG,$B1028),"")</f>
        <v/>
      </c>
      <c r="E1028" s="5" t="str">
        <f>IFERROR(AVERAGEIFS('2. Program Allocation Output'!$L:$L,'2. Program Allocation Output'!$AF:$AF,$A1028,'2. Program Allocation Output'!$AG:$AG,$B1028),"")</f>
        <v/>
      </c>
      <c r="F1028" s="39" t="str">
        <f t="shared" si="35"/>
        <v/>
      </c>
      <c r="G1028" t="str">
        <f t="shared" si="34"/>
        <v/>
      </c>
    </row>
    <row r="1029" spans="3:7" ht="15" hidden="1" x14ac:dyDescent="0.25">
      <c r="C1029" s="4" t="str">
        <f>IFERROR(AVERAGEIFS('2. Program Allocation Output'!$P:$P,'2. Program Allocation Output'!$AF:$AF,$A1029,'2. Program Allocation Output'!$AG:$AG,$B1029),"")</f>
        <v/>
      </c>
      <c r="D1029" s="4" t="str">
        <f>IFERROR(AVERAGEIFS('2. Program Allocation Output'!$O:$O,'2. Program Allocation Output'!$AF:$AF,$A1029,'2. Program Allocation Output'!$AG:$AG,$B1029),"")</f>
        <v/>
      </c>
      <c r="E1029" s="5" t="str">
        <f>IFERROR(AVERAGEIFS('2. Program Allocation Output'!$L:$L,'2. Program Allocation Output'!$AF:$AF,$A1029,'2. Program Allocation Output'!$AG:$AG,$B1029),"")</f>
        <v/>
      </c>
      <c r="F1029" s="39" t="str">
        <f t="shared" si="35"/>
        <v/>
      </c>
      <c r="G1029" t="str">
        <f t="shared" si="34"/>
        <v/>
      </c>
    </row>
    <row r="1030" spans="3:7" ht="15" hidden="1" x14ac:dyDescent="0.25">
      <c r="C1030" s="4" t="str">
        <f>IFERROR(AVERAGEIFS('2. Program Allocation Output'!$P:$P,'2. Program Allocation Output'!$AF:$AF,$A1030,'2. Program Allocation Output'!$AG:$AG,$B1030),"")</f>
        <v/>
      </c>
      <c r="D1030" s="4" t="str">
        <f>IFERROR(AVERAGEIFS('2. Program Allocation Output'!$O:$O,'2. Program Allocation Output'!$AF:$AF,$A1030,'2. Program Allocation Output'!$AG:$AG,$B1030),"")</f>
        <v/>
      </c>
      <c r="E1030" s="5" t="str">
        <f>IFERROR(AVERAGEIFS('2. Program Allocation Output'!$L:$L,'2. Program Allocation Output'!$AF:$AF,$A1030,'2. Program Allocation Output'!$AG:$AG,$B1030),"")</f>
        <v/>
      </c>
      <c r="F1030" s="39" t="str">
        <f t="shared" si="35"/>
        <v/>
      </c>
      <c r="G1030" t="str">
        <f t="shared" si="34"/>
        <v/>
      </c>
    </row>
    <row r="1031" spans="3:7" ht="15" hidden="1" x14ac:dyDescent="0.25">
      <c r="C1031" s="4" t="str">
        <f>IFERROR(AVERAGEIFS('2. Program Allocation Output'!$P:$P,'2. Program Allocation Output'!$AF:$AF,$A1031,'2. Program Allocation Output'!$AG:$AG,$B1031),"")</f>
        <v/>
      </c>
      <c r="D1031" s="4" t="str">
        <f>IFERROR(AVERAGEIFS('2. Program Allocation Output'!$O:$O,'2. Program Allocation Output'!$AF:$AF,$A1031,'2. Program Allocation Output'!$AG:$AG,$B1031),"")</f>
        <v/>
      </c>
      <c r="E1031" s="5" t="str">
        <f>IFERROR(AVERAGEIFS('2. Program Allocation Output'!$L:$L,'2. Program Allocation Output'!$AF:$AF,$A1031,'2. Program Allocation Output'!$AG:$AG,$B1031),"")</f>
        <v/>
      </c>
      <c r="F1031" s="39" t="str">
        <f t="shared" si="35"/>
        <v/>
      </c>
      <c r="G1031" t="str">
        <f t="shared" si="34"/>
        <v/>
      </c>
    </row>
    <row r="1032" spans="3:7" ht="15" hidden="1" x14ac:dyDescent="0.25">
      <c r="C1032" s="4" t="str">
        <f>IFERROR(AVERAGEIFS('2. Program Allocation Output'!$P:$P,'2. Program Allocation Output'!$AF:$AF,$A1032,'2. Program Allocation Output'!$AG:$AG,$B1032),"")</f>
        <v/>
      </c>
      <c r="D1032" s="4" t="str">
        <f>IFERROR(AVERAGEIFS('2. Program Allocation Output'!$O:$O,'2. Program Allocation Output'!$AF:$AF,$A1032,'2. Program Allocation Output'!$AG:$AG,$B1032),"")</f>
        <v/>
      </c>
      <c r="E1032" s="5" t="str">
        <f>IFERROR(AVERAGEIFS('2. Program Allocation Output'!$L:$L,'2. Program Allocation Output'!$AF:$AF,$A1032,'2. Program Allocation Output'!$AG:$AG,$B1032),"")</f>
        <v/>
      </c>
      <c r="F1032" s="39" t="str">
        <f t="shared" si="35"/>
        <v/>
      </c>
      <c r="G1032" t="str">
        <f t="shared" si="34"/>
        <v/>
      </c>
    </row>
    <row r="1033" spans="3:7" ht="15" hidden="1" x14ac:dyDescent="0.25">
      <c r="C1033" s="4" t="str">
        <f>IFERROR(AVERAGEIFS('2. Program Allocation Output'!$P:$P,'2. Program Allocation Output'!$AF:$AF,$A1033,'2. Program Allocation Output'!$AG:$AG,$B1033),"")</f>
        <v/>
      </c>
      <c r="D1033" s="4" t="str">
        <f>IFERROR(AVERAGEIFS('2. Program Allocation Output'!$O:$O,'2. Program Allocation Output'!$AF:$AF,$A1033,'2. Program Allocation Output'!$AG:$AG,$B1033),"")</f>
        <v/>
      </c>
      <c r="E1033" s="5" t="str">
        <f>IFERROR(AVERAGEIFS('2. Program Allocation Output'!$L:$L,'2. Program Allocation Output'!$AF:$AF,$A1033,'2. Program Allocation Output'!$AG:$AG,$B1033),"")</f>
        <v/>
      </c>
      <c r="F1033" s="39" t="str">
        <f t="shared" si="35"/>
        <v/>
      </c>
      <c r="G1033" t="str">
        <f t="shared" si="34"/>
        <v/>
      </c>
    </row>
    <row r="1034" spans="3:7" ht="15" hidden="1" x14ac:dyDescent="0.25">
      <c r="C1034" s="4" t="str">
        <f>IFERROR(AVERAGEIFS('2. Program Allocation Output'!$P:$P,'2. Program Allocation Output'!$AF:$AF,$A1034,'2. Program Allocation Output'!$AG:$AG,$B1034),"")</f>
        <v/>
      </c>
      <c r="D1034" s="4" t="str">
        <f>IFERROR(AVERAGEIFS('2. Program Allocation Output'!$O:$O,'2. Program Allocation Output'!$AF:$AF,$A1034,'2. Program Allocation Output'!$AG:$AG,$B1034),"")</f>
        <v/>
      </c>
      <c r="E1034" s="5" t="str">
        <f>IFERROR(AVERAGEIFS('2. Program Allocation Output'!$L:$L,'2. Program Allocation Output'!$AF:$AF,$A1034,'2. Program Allocation Output'!$AG:$AG,$B1034),"")</f>
        <v/>
      </c>
      <c r="F1034" s="39" t="str">
        <f t="shared" si="35"/>
        <v/>
      </c>
      <c r="G1034" t="str">
        <f t="shared" si="34"/>
        <v/>
      </c>
    </row>
    <row r="1035" spans="3:7" ht="15" hidden="1" x14ac:dyDescent="0.25">
      <c r="C1035" s="4" t="str">
        <f>IFERROR(AVERAGEIFS('2. Program Allocation Output'!$P:$P,'2. Program Allocation Output'!$AF:$AF,$A1035,'2. Program Allocation Output'!$AG:$AG,$B1035),"")</f>
        <v/>
      </c>
      <c r="D1035" s="4" t="str">
        <f>IFERROR(AVERAGEIFS('2. Program Allocation Output'!$O:$O,'2. Program Allocation Output'!$AF:$AF,$A1035,'2. Program Allocation Output'!$AG:$AG,$B1035),"")</f>
        <v/>
      </c>
      <c r="E1035" s="5" t="str">
        <f>IFERROR(AVERAGEIFS('2. Program Allocation Output'!$L:$L,'2. Program Allocation Output'!$AF:$AF,$A1035,'2. Program Allocation Output'!$AG:$AG,$B1035),"")</f>
        <v/>
      </c>
      <c r="F1035" s="39" t="str">
        <f t="shared" si="35"/>
        <v/>
      </c>
      <c r="G1035" t="str">
        <f t="shared" si="34"/>
        <v/>
      </c>
    </row>
    <row r="1036" spans="3:7" ht="15" hidden="1" x14ac:dyDescent="0.25">
      <c r="C1036" s="4" t="str">
        <f>IFERROR(AVERAGEIFS('2. Program Allocation Output'!$P:$P,'2. Program Allocation Output'!$AF:$AF,$A1036,'2. Program Allocation Output'!$AG:$AG,$B1036),"")</f>
        <v/>
      </c>
      <c r="D1036" s="4" t="str">
        <f>IFERROR(AVERAGEIFS('2. Program Allocation Output'!$O:$O,'2. Program Allocation Output'!$AF:$AF,$A1036,'2. Program Allocation Output'!$AG:$AG,$B1036),"")</f>
        <v/>
      </c>
      <c r="E1036" s="5" t="str">
        <f>IFERROR(AVERAGEIFS('2. Program Allocation Output'!$L:$L,'2. Program Allocation Output'!$AF:$AF,$A1036,'2. Program Allocation Output'!$AG:$AG,$B1036),"")</f>
        <v/>
      </c>
      <c r="F1036" s="39" t="str">
        <f t="shared" si="35"/>
        <v/>
      </c>
      <c r="G1036" t="str">
        <f t="shared" si="34"/>
        <v/>
      </c>
    </row>
    <row r="1037" spans="3:7" ht="15" hidden="1" x14ac:dyDescent="0.25">
      <c r="C1037" s="4" t="str">
        <f>IFERROR(AVERAGEIFS('2. Program Allocation Output'!$P:$P,'2. Program Allocation Output'!$AF:$AF,$A1037,'2. Program Allocation Output'!$AG:$AG,$B1037),"")</f>
        <v/>
      </c>
      <c r="D1037" s="4" t="str">
        <f>IFERROR(AVERAGEIFS('2. Program Allocation Output'!$O:$O,'2. Program Allocation Output'!$AF:$AF,$A1037,'2. Program Allocation Output'!$AG:$AG,$B1037),"")</f>
        <v/>
      </c>
      <c r="E1037" s="5" t="str">
        <f>IFERROR(AVERAGEIFS('2. Program Allocation Output'!$L:$L,'2. Program Allocation Output'!$AF:$AF,$A1037,'2. Program Allocation Output'!$AG:$AG,$B1037),"")</f>
        <v/>
      </c>
      <c r="F1037" s="39" t="str">
        <f t="shared" si="35"/>
        <v/>
      </c>
      <c r="G1037" t="str">
        <f t="shared" si="34"/>
        <v/>
      </c>
    </row>
    <row r="1038" spans="3:7" ht="15" hidden="1" x14ac:dyDescent="0.25">
      <c r="C1038" s="4" t="str">
        <f>IFERROR(AVERAGEIFS('2. Program Allocation Output'!$P:$P,'2. Program Allocation Output'!$AF:$AF,$A1038,'2. Program Allocation Output'!$AG:$AG,$B1038),"")</f>
        <v/>
      </c>
      <c r="D1038" s="4" t="str">
        <f>IFERROR(AVERAGEIFS('2. Program Allocation Output'!$O:$O,'2. Program Allocation Output'!$AF:$AF,$A1038,'2. Program Allocation Output'!$AG:$AG,$B1038),"")</f>
        <v/>
      </c>
      <c r="E1038" s="5" t="str">
        <f>IFERROR(AVERAGEIFS('2. Program Allocation Output'!$L:$L,'2. Program Allocation Output'!$AF:$AF,$A1038,'2. Program Allocation Output'!$AG:$AG,$B1038),"")</f>
        <v/>
      </c>
      <c r="F1038" s="39" t="str">
        <f t="shared" si="35"/>
        <v/>
      </c>
      <c r="G1038" t="str">
        <f t="shared" ref="G1038:G1101" si="36">IFERROR(EXP(0.3*(F1038-C1038)/(E1038*0.1137)),"")</f>
        <v/>
      </c>
    </row>
    <row r="1039" spans="3:7" ht="15" hidden="1" x14ac:dyDescent="0.25">
      <c r="C1039" s="4" t="str">
        <f>IFERROR(AVERAGEIFS('2. Program Allocation Output'!$P:$P,'2. Program Allocation Output'!$AF:$AF,$A1039,'2. Program Allocation Output'!$AG:$AG,$B1039),"")</f>
        <v/>
      </c>
      <c r="D1039" s="4" t="str">
        <f>IFERROR(AVERAGEIFS('2. Program Allocation Output'!$O:$O,'2. Program Allocation Output'!$AF:$AF,$A1039,'2. Program Allocation Output'!$AG:$AG,$B1039),"")</f>
        <v/>
      </c>
      <c r="E1039" s="5" t="str">
        <f>IFERROR(AVERAGEIFS('2. Program Allocation Output'!$L:$L,'2. Program Allocation Output'!$AF:$AF,$A1039,'2. Program Allocation Output'!$AG:$AG,$B1039),"")</f>
        <v/>
      </c>
      <c r="F1039" s="39" t="str">
        <f t="shared" si="35"/>
        <v/>
      </c>
      <c r="G1039" t="str">
        <f t="shared" si="36"/>
        <v/>
      </c>
    </row>
    <row r="1040" spans="3:7" ht="15" hidden="1" x14ac:dyDescent="0.25">
      <c r="C1040" s="4" t="str">
        <f>IFERROR(AVERAGEIFS('2. Program Allocation Output'!$P:$P,'2. Program Allocation Output'!$AF:$AF,$A1040,'2. Program Allocation Output'!$AG:$AG,$B1040),"")</f>
        <v/>
      </c>
      <c r="D1040" s="4" t="str">
        <f>IFERROR(AVERAGEIFS('2. Program Allocation Output'!$O:$O,'2. Program Allocation Output'!$AF:$AF,$A1040,'2. Program Allocation Output'!$AG:$AG,$B1040),"")</f>
        <v/>
      </c>
      <c r="E1040" s="5" t="str">
        <f>IFERROR(AVERAGEIFS('2. Program Allocation Output'!$L:$L,'2. Program Allocation Output'!$AF:$AF,$A1040,'2. Program Allocation Output'!$AG:$AG,$B1040),"")</f>
        <v/>
      </c>
      <c r="F1040" s="39" t="str">
        <f t="shared" si="35"/>
        <v/>
      </c>
      <c r="G1040" t="str">
        <f t="shared" si="36"/>
        <v/>
      </c>
    </row>
    <row r="1041" spans="3:7" ht="15" hidden="1" x14ac:dyDescent="0.25">
      <c r="C1041" s="4" t="str">
        <f>IFERROR(AVERAGEIFS('2. Program Allocation Output'!$P:$P,'2. Program Allocation Output'!$AF:$AF,$A1041,'2. Program Allocation Output'!$AG:$AG,$B1041),"")</f>
        <v/>
      </c>
      <c r="D1041" s="4" t="str">
        <f>IFERROR(AVERAGEIFS('2. Program Allocation Output'!$O:$O,'2. Program Allocation Output'!$AF:$AF,$A1041,'2. Program Allocation Output'!$AG:$AG,$B1041),"")</f>
        <v/>
      </c>
      <c r="E1041" s="5" t="str">
        <f>IFERROR(AVERAGEIFS('2. Program Allocation Output'!$L:$L,'2. Program Allocation Output'!$AF:$AF,$A1041,'2. Program Allocation Output'!$AG:$AG,$B1041),"")</f>
        <v/>
      </c>
      <c r="F1041" s="39" t="str">
        <f t="shared" si="35"/>
        <v/>
      </c>
      <c r="G1041" t="str">
        <f t="shared" si="36"/>
        <v/>
      </c>
    </row>
    <row r="1042" spans="3:7" ht="15" hidden="1" x14ac:dyDescent="0.25">
      <c r="C1042" s="4" t="str">
        <f>IFERROR(AVERAGEIFS('2. Program Allocation Output'!$P:$P,'2. Program Allocation Output'!$AF:$AF,$A1042,'2. Program Allocation Output'!$AG:$AG,$B1042),"")</f>
        <v/>
      </c>
      <c r="D1042" s="4" t="str">
        <f>IFERROR(AVERAGEIFS('2. Program Allocation Output'!$O:$O,'2. Program Allocation Output'!$AF:$AF,$A1042,'2. Program Allocation Output'!$AG:$AG,$B1042),"")</f>
        <v/>
      </c>
      <c r="E1042" s="5" t="str">
        <f>IFERROR(AVERAGEIFS('2. Program Allocation Output'!$L:$L,'2. Program Allocation Output'!$AF:$AF,$A1042,'2. Program Allocation Output'!$AG:$AG,$B1042),"")</f>
        <v/>
      </c>
      <c r="F1042" s="39" t="str">
        <f t="shared" si="35"/>
        <v/>
      </c>
      <c r="G1042" t="str">
        <f t="shared" si="36"/>
        <v/>
      </c>
    </row>
    <row r="1043" spans="3:7" ht="15" hidden="1" x14ac:dyDescent="0.25">
      <c r="C1043" s="4" t="str">
        <f>IFERROR(AVERAGEIFS('2. Program Allocation Output'!$P:$P,'2. Program Allocation Output'!$AF:$AF,$A1043,'2. Program Allocation Output'!$AG:$AG,$B1043),"")</f>
        <v/>
      </c>
      <c r="D1043" s="4" t="str">
        <f>IFERROR(AVERAGEIFS('2. Program Allocation Output'!$O:$O,'2. Program Allocation Output'!$AF:$AF,$A1043,'2. Program Allocation Output'!$AG:$AG,$B1043),"")</f>
        <v/>
      </c>
      <c r="E1043" s="5" t="str">
        <f>IFERROR(AVERAGEIFS('2. Program Allocation Output'!$L:$L,'2. Program Allocation Output'!$AF:$AF,$A1043,'2. Program Allocation Output'!$AG:$AG,$B1043),"")</f>
        <v/>
      </c>
      <c r="F1043" s="39" t="str">
        <f t="shared" si="35"/>
        <v/>
      </c>
      <c r="G1043" t="str">
        <f t="shared" si="36"/>
        <v/>
      </c>
    </row>
    <row r="1044" spans="3:7" ht="15" hidden="1" x14ac:dyDescent="0.25">
      <c r="C1044" s="4" t="str">
        <f>IFERROR(AVERAGEIFS('2. Program Allocation Output'!$P:$P,'2. Program Allocation Output'!$AF:$AF,$A1044,'2. Program Allocation Output'!$AG:$AG,$B1044),"")</f>
        <v/>
      </c>
      <c r="D1044" s="4" t="str">
        <f>IFERROR(AVERAGEIFS('2. Program Allocation Output'!$O:$O,'2. Program Allocation Output'!$AF:$AF,$A1044,'2. Program Allocation Output'!$AG:$AG,$B1044),"")</f>
        <v/>
      </c>
      <c r="E1044" s="5" t="str">
        <f>IFERROR(AVERAGEIFS('2. Program Allocation Output'!$L:$L,'2. Program Allocation Output'!$AF:$AF,$A1044,'2. Program Allocation Output'!$AG:$AG,$B1044),"")</f>
        <v/>
      </c>
      <c r="F1044" s="39" t="str">
        <f t="shared" si="35"/>
        <v/>
      </c>
      <c r="G1044" t="str">
        <f t="shared" si="36"/>
        <v/>
      </c>
    </row>
    <row r="1045" spans="3:7" ht="15" hidden="1" x14ac:dyDescent="0.25">
      <c r="C1045" s="4" t="str">
        <f>IFERROR(AVERAGEIFS('2. Program Allocation Output'!$P:$P,'2. Program Allocation Output'!$AF:$AF,$A1045,'2. Program Allocation Output'!$AG:$AG,$B1045),"")</f>
        <v/>
      </c>
      <c r="D1045" s="4" t="str">
        <f>IFERROR(AVERAGEIFS('2. Program Allocation Output'!$O:$O,'2. Program Allocation Output'!$AF:$AF,$A1045,'2. Program Allocation Output'!$AG:$AG,$B1045),"")</f>
        <v/>
      </c>
      <c r="E1045" s="5" t="str">
        <f>IFERROR(AVERAGEIFS('2. Program Allocation Output'!$L:$L,'2. Program Allocation Output'!$AF:$AF,$A1045,'2. Program Allocation Output'!$AG:$AG,$B1045),"")</f>
        <v/>
      </c>
      <c r="F1045" s="39" t="str">
        <f t="shared" si="35"/>
        <v/>
      </c>
      <c r="G1045" t="str">
        <f t="shared" si="36"/>
        <v/>
      </c>
    </row>
    <row r="1046" spans="3:7" ht="15" hidden="1" x14ac:dyDescent="0.25">
      <c r="C1046" s="4" t="str">
        <f>IFERROR(AVERAGEIFS('2. Program Allocation Output'!$P:$P,'2. Program Allocation Output'!$AF:$AF,$A1046,'2. Program Allocation Output'!$AG:$AG,$B1046),"")</f>
        <v/>
      </c>
      <c r="D1046" s="4" t="str">
        <f>IFERROR(AVERAGEIFS('2. Program Allocation Output'!$O:$O,'2. Program Allocation Output'!$AF:$AF,$A1046,'2. Program Allocation Output'!$AG:$AG,$B1046),"")</f>
        <v/>
      </c>
      <c r="E1046" s="5" t="str">
        <f>IFERROR(AVERAGEIFS('2. Program Allocation Output'!$L:$L,'2. Program Allocation Output'!$AF:$AF,$A1046,'2. Program Allocation Output'!$AG:$AG,$B1046),"")</f>
        <v/>
      </c>
      <c r="F1046" s="39" t="str">
        <f t="shared" si="35"/>
        <v/>
      </c>
      <c r="G1046" t="str">
        <f t="shared" si="36"/>
        <v/>
      </c>
    </row>
    <row r="1047" spans="3:7" ht="15" hidden="1" x14ac:dyDescent="0.25">
      <c r="C1047" s="4" t="str">
        <f>IFERROR(AVERAGEIFS('2. Program Allocation Output'!$P:$P,'2. Program Allocation Output'!$AF:$AF,$A1047,'2. Program Allocation Output'!$AG:$AG,$B1047),"")</f>
        <v/>
      </c>
      <c r="D1047" s="4" t="str">
        <f>IFERROR(AVERAGEIFS('2. Program Allocation Output'!$O:$O,'2. Program Allocation Output'!$AF:$AF,$A1047,'2. Program Allocation Output'!$AG:$AG,$B1047),"")</f>
        <v/>
      </c>
      <c r="E1047" s="5" t="str">
        <f>IFERROR(AVERAGEIFS('2. Program Allocation Output'!$L:$L,'2. Program Allocation Output'!$AF:$AF,$A1047,'2. Program Allocation Output'!$AG:$AG,$B1047),"")</f>
        <v/>
      </c>
      <c r="F1047" s="39" t="str">
        <f t="shared" si="35"/>
        <v/>
      </c>
      <c r="G1047" t="str">
        <f t="shared" si="36"/>
        <v/>
      </c>
    </row>
    <row r="1048" spans="3:7" ht="15" hidden="1" x14ac:dyDescent="0.25">
      <c r="C1048" s="4" t="str">
        <f>IFERROR(AVERAGEIFS('2. Program Allocation Output'!$P:$P,'2. Program Allocation Output'!$AF:$AF,$A1048,'2. Program Allocation Output'!$AG:$AG,$B1048),"")</f>
        <v/>
      </c>
      <c r="D1048" s="4" t="str">
        <f>IFERROR(AVERAGEIFS('2. Program Allocation Output'!$O:$O,'2. Program Allocation Output'!$AF:$AF,$A1048,'2. Program Allocation Output'!$AG:$AG,$B1048),"")</f>
        <v/>
      </c>
      <c r="E1048" s="5" t="str">
        <f>IFERROR(AVERAGEIFS('2. Program Allocation Output'!$L:$L,'2. Program Allocation Output'!$AF:$AF,$A1048,'2. Program Allocation Output'!$AG:$AG,$B1048),"")</f>
        <v/>
      </c>
      <c r="F1048" s="39" t="str">
        <f t="shared" si="35"/>
        <v/>
      </c>
      <c r="G1048" t="str">
        <f t="shared" si="36"/>
        <v/>
      </c>
    </row>
    <row r="1049" spans="3:7" ht="15" hidden="1" x14ac:dyDescent="0.25">
      <c r="C1049" s="4" t="str">
        <f>IFERROR(AVERAGEIFS('2. Program Allocation Output'!$P:$P,'2. Program Allocation Output'!$AF:$AF,$A1049,'2. Program Allocation Output'!$AG:$AG,$B1049),"")</f>
        <v/>
      </c>
      <c r="D1049" s="4" t="str">
        <f>IFERROR(AVERAGEIFS('2. Program Allocation Output'!$O:$O,'2. Program Allocation Output'!$AF:$AF,$A1049,'2. Program Allocation Output'!$AG:$AG,$B1049),"")</f>
        <v/>
      </c>
      <c r="E1049" s="5" t="str">
        <f>IFERROR(AVERAGEIFS('2. Program Allocation Output'!$L:$L,'2. Program Allocation Output'!$AF:$AF,$A1049,'2. Program Allocation Output'!$AG:$AG,$B1049),"")</f>
        <v/>
      </c>
      <c r="F1049" s="39" t="str">
        <f t="shared" si="35"/>
        <v/>
      </c>
      <c r="G1049" t="str">
        <f t="shared" si="36"/>
        <v/>
      </c>
    </row>
    <row r="1050" spans="3:7" ht="15" hidden="1" x14ac:dyDescent="0.25">
      <c r="C1050" s="4" t="str">
        <f>IFERROR(AVERAGEIFS('2. Program Allocation Output'!$P:$P,'2. Program Allocation Output'!$AF:$AF,$A1050,'2. Program Allocation Output'!$AG:$AG,$B1050),"")</f>
        <v/>
      </c>
      <c r="D1050" s="4" t="str">
        <f>IFERROR(AVERAGEIFS('2. Program Allocation Output'!$O:$O,'2. Program Allocation Output'!$AF:$AF,$A1050,'2. Program Allocation Output'!$AG:$AG,$B1050),"")</f>
        <v/>
      </c>
      <c r="E1050" s="5" t="str">
        <f>IFERROR(AVERAGEIFS('2. Program Allocation Output'!$L:$L,'2. Program Allocation Output'!$AF:$AF,$A1050,'2. Program Allocation Output'!$AG:$AG,$B1050),"")</f>
        <v/>
      </c>
      <c r="F1050" s="39" t="str">
        <f t="shared" si="35"/>
        <v/>
      </c>
      <c r="G1050" t="str">
        <f t="shared" si="36"/>
        <v/>
      </c>
    </row>
    <row r="1051" spans="3:7" ht="15" hidden="1" x14ac:dyDescent="0.25">
      <c r="C1051" s="4" t="str">
        <f>IFERROR(AVERAGEIFS('2. Program Allocation Output'!$P:$P,'2. Program Allocation Output'!$AF:$AF,$A1051,'2. Program Allocation Output'!$AG:$AG,$B1051),"")</f>
        <v/>
      </c>
      <c r="D1051" s="4" t="str">
        <f>IFERROR(AVERAGEIFS('2. Program Allocation Output'!$O:$O,'2. Program Allocation Output'!$AF:$AF,$A1051,'2. Program Allocation Output'!$AG:$AG,$B1051),"")</f>
        <v/>
      </c>
      <c r="E1051" s="5" t="str">
        <f>IFERROR(AVERAGEIFS('2. Program Allocation Output'!$L:$L,'2. Program Allocation Output'!$AF:$AF,$A1051,'2. Program Allocation Output'!$AG:$AG,$B1051),"")</f>
        <v/>
      </c>
      <c r="F1051" s="39" t="str">
        <f t="shared" si="35"/>
        <v/>
      </c>
      <c r="G1051" t="str">
        <f t="shared" si="36"/>
        <v/>
      </c>
    </row>
    <row r="1052" spans="3:7" ht="15" hidden="1" x14ac:dyDescent="0.25">
      <c r="C1052" s="4" t="str">
        <f>IFERROR(AVERAGEIFS('2. Program Allocation Output'!$P:$P,'2. Program Allocation Output'!$AF:$AF,$A1052,'2. Program Allocation Output'!$AG:$AG,$B1052),"")</f>
        <v/>
      </c>
      <c r="D1052" s="4" t="str">
        <f>IFERROR(AVERAGEIFS('2. Program Allocation Output'!$O:$O,'2. Program Allocation Output'!$AF:$AF,$A1052,'2. Program Allocation Output'!$AG:$AG,$B1052),"")</f>
        <v/>
      </c>
      <c r="E1052" s="5" t="str">
        <f>IFERROR(AVERAGEIFS('2. Program Allocation Output'!$L:$L,'2. Program Allocation Output'!$AF:$AF,$A1052,'2. Program Allocation Output'!$AG:$AG,$B1052),"")</f>
        <v/>
      </c>
      <c r="F1052" s="39" t="str">
        <f t="shared" si="35"/>
        <v/>
      </c>
      <c r="G1052" t="str">
        <f t="shared" si="36"/>
        <v/>
      </c>
    </row>
    <row r="1053" spans="3:7" ht="15" hidden="1" x14ac:dyDescent="0.25">
      <c r="C1053" s="4" t="str">
        <f>IFERROR(AVERAGEIFS('2. Program Allocation Output'!$P:$P,'2. Program Allocation Output'!$AF:$AF,$A1053,'2. Program Allocation Output'!$AG:$AG,$B1053),"")</f>
        <v/>
      </c>
      <c r="D1053" s="4" t="str">
        <f>IFERROR(AVERAGEIFS('2. Program Allocation Output'!$O:$O,'2. Program Allocation Output'!$AF:$AF,$A1053,'2. Program Allocation Output'!$AG:$AG,$B1053),"")</f>
        <v/>
      </c>
      <c r="E1053" s="5" t="str">
        <f>IFERROR(AVERAGEIFS('2. Program Allocation Output'!$L:$L,'2. Program Allocation Output'!$AF:$AF,$A1053,'2. Program Allocation Output'!$AG:$AG,$B1053),"")</f>
        <v/>
      </c>
      <c r="F1053" s="39" t="str">
        <f t="shared" si="35"/>
        <v/>
      </c>
      <c r="G1053" t="str">
        <f t="shared" si="36"/>
        <v/>
      </c>
    </row>
    <row r="1054" spans="3:7" ht="15" hidden="1" x14ac:dyDescent="0.25">
      <c r="C1054" s="4" t="str">
        <f>IFERROR(AVERAGEIFS('2. Program Allocation Output'!$P:$P,'2. Program Allocation Output'!$AF:$AF,$A1054,'2. Program Allocation Output'!$AG:$AG,$B1054),"")</f>
        <v/>
      </c>
      <c r="D1054" s="4" t="str">
        <f>IFERROR(AVERAGEIFS('2. Program Allocation Output'!$O:$O,'2. Program Allocation Output'!$AF:$AF,$A1054,'2. Program Allocation Output'!$AG:$AG,$B1054),"")</f>
        <v/>
      </c>
      <c r="E1054" s="5" t="str">
        <f>IFERROR(AVERAGEIFS('2. Program Allocation Output'!$L:$L,'2. Program Allocation Output'!$AF:$AF,$A1054,'2. Program Allocation Output'!$AG:$AG,$B1054),"")</f>
        <v/>
      </c>
      <c r="F1054" s="39" t="str">
        <f t="shared" si="35"/>
        <v/>
      </c>
      <c r="G1054" t="str">
        <f t="shared" si="36"/>
        <v/>
      </c>
    </row>
    <row r="1055" spans="3:7" ht="15" hidden="1" x14ac:dyDescent="0.25">
      <c r="C1055" s="4" t="str">
        <f>IFERROR(AVERAGEIFS('2. Program Allocation Output'!$P:$P,'2. Program Allocation Output'!$AF:$AF,$A1055,'2. Program Allocation Output'!$AG:$AG,$B1055),"")</f>
        <v/>
      </c>
      <c r="D1055" s="4" t="str">
        <f>IFERROR(AVERAGEIFS('2. Program Allocation Output'!$O:$O,'2. Program Allocation Output'!$AF:$AF,$A1055,'2. Program Allocation Output'!$AG:$AG,$B1055),"")</f>
        <v/>
      </c>
      <c r="E1055" s="5" t="str">
        <f>IFERROR(AVERAGEIFS('2. Program Allocation Output'!$L:$L,'2. Program Allocation Output'!$AF:$AF,$A1055,'2. Program Allocation Output'!$AG:$AG,$B1055),"")</f>
        <v/>
      </c>
      <c r="F1055" s="39" t="str">
        <f t="shared" si="35"/>
        <v/>
      </c>
      <c r="G1055" t="str">
        <f t="shared" si="36"/>
        <v/>
      </c>
    </row>
    <row r="1056" spans="3:7" ht="15" hidden="1" x14ac:dyDescent="0.25">
      <c r="C1056" s="4" t="str">
        <f>IFERROR(AVERAGEIFS('2. Program Allocation Output'!$P:$P,'2. Program Allocation Output'!$AF:$AF,$A1056,'2. Program Allocation Output'!$AG:$AG,$B1056),"")</f>
        <v/>
      </c>
      <c r="D1056" s="4" t="str">
        <f>IFERROR(AVERAGEIFS('2. Program Allocation Output'!$O:$O,'2. Program Allocation Output'!$AF:$AF,$A1056,'2. Program Allocation Output'!$AG:$AG,$B1056),"")</f>
        <v/>
      </c>
      <c r="E1056" s="5" t="str">
        <f>IFERROR(AVERAGEIFS('2. Program Allocation Output'!$L:$L,'2. Program Allocation Output'!$AF:$AF,$A1056,'2. Program Allocation Output'!$AG:$AG,$B1056),"")</f>
        <v/>
      </c>
      <c r="F1056" s="39" t="str">
        <f t="shared" si="35"/>
        <v/>
      </c>
      <c r="G1056" t="str">
        <f t="shared" si="36"/>
        <v/>
      </c>
    </row>
    <row r="1057" spans="3:7" ht="15" hidden="1" x14ac:dyDescent="0.25">
      <c r="C1057" s="4" t="str">
        <f>IFERROR(AVERAGEIFS('2. Program Allocation Output'!$P:$P,'2. Program Allocation Output'!$AF:$AF,$A1057,'2. Program Allocation Output'!$AG:$AG,$B1057),"")</f>
        <v/>
      </c>
      <c r="D1057" s="4" t="str">
        <f>IFERROR(AVERAGEIFS('2. Program Allocation Output'!$O:$O,'2. Program Allocation Output'!$AF:$AF,$A1057,'2. Program Allocation Output'!$AG:$AG,$B1057),"")</f>
        <v/>
      </c>
      <c r="E1057" s="5" t="str">
        <f>IFERROR(AVERAGEIFS('2. Program Allocation Output'!$L:$L,'2. Program Allocation Output'!$AF:$AF,$A1057,'2. Program Allocation Output'!$AG:$AG,$B1057),"")</f>
        <v/>
      </c>
      <c r="F1057" s="39" t="str">
        <f t="shared" si="35"/>
        <v/>
      </c>
      <c r="G1057" t="str">
        <f t="shared" si="36"/>
        <v/>
      </c>
    </row>
    <row r="1058" spans="3:7" ht="15" hidden="1" x14ac:dyDescent="0.25">
      <c r="C1058" s="4" t="str">
        <f>IFERROR(AVERAGEIFS('2. Program Allocation Output'!$P:$P,'2. Program Allocation Output'!$AF:$AF,$A1058,'2. Program Allocation Output'!$AG:$AG,$B1058),"")</f>
        <v/>
      </c>
      <c r="D1058" s="4" t="str">
        <f>IFERROR(AVERAGEIFS('2. Program Allocation Output'!$O:$O,'2. Program Allocation Output'!$AF:$AF,$A1058,'2. Program Allocation Output'!$AG:$AG,$B1058),"")</f>
        <v/>
      </c>
      <c r="E1058" s="5" t="str">
        <f>IFERROR(AVERAGEIFS('2. Program Allocation Output'!$L:$L,'2. Program Allocation Output'!$AF:$AF,$A1058,'2. Program Allocation Output'!$AG:$AG,$B1058),"")</f>
        <v/>
      </c>
      <c r="F1058" s="39" t="str">
        <f t="shared" si="35"/>
        <v/>
      </c>
      <c r="G1058" t="str">
        <f t="shared" si="36"/>
        <v/>
      </c>
    </row>
    <row r="1059" spans="3:7" ht="15" hidden="1" x14ac:dyDescent="0.25">
      <c r="C1059" s="4" t="str">
        <f>IFERROR(AVERAGEIFS('2. Program Allocation Output'!$P:$P,'2. Program Allocation Output'!$AF:$AF,$A1059,'2. Program Allocation Output'!$AG:$AG,$B1059),"")</f>
        <v/>
      </c>
      <c r="D1059" s="4" t="str">
        <f>IFERROR(AVERAGEIFS('2. Program Allocation Output'!$O:$O,'2. Program Allocation Output'!$AF:$AF,$A1059,'2. Program Allocation Output'!$AG:$AG,$B1059),"")</f>
        <v/>
      </c>
      <c r="E1059" s="5" t="str">
        <f>IFERROR(AVERAGEIFS('2. Program Allocation Output'!$L:$L,'2. Program Allocation Output'!$AF:$AF,$A1059,'2. Program Allocation Output'!$AG:$AG,$B1059),"")</f>
        <v/>
      </c>
      <c r="F1059" s="39" t="str">
        <f t="shared" si="35"/>
        <v/>
      </c>
      <c r="G1059" t="str">
        <f t="shared" si="36"/>
        <v/>
      </c>
    </row>
    <row r="1060" spans="3:7" ht="15" hidden="1" x14ac:dyDescent="0.25">
      <c r="C1060" s="4" t="str">
        <f>IFERROR(AVERAGEIFS('2. Program Allocation Output'!$P:$P,'2. Program Allocation Output'!$AF:$AF,$A1060,'2. Program Allocation Output'!$AG:$AG,$B1060),"")</f>
        <v/>
      </c>
      <c r="D1060" s="4" t="str">
        <f>IFERROR(AVERAGEIFS('2. Program Allocation Output'!$O:$O,'2. Program Allocation Output'!$AF:$AF,$A1060,'2. Program Allocation Output'!$AG:$AG,$B1060),"")</f>
        <v/>
      </c>
      <c r="E1060" s="5" t="str">
        <f>IFERROR(AVERAGEIFS('2. Program Allocation Output'!$L:$L,'2. Program Allocation Output'!$AF:$AF,$A1060,'2. Program Allocation Output'!$AG:$AG,$B1060),"")</f>
        <v/>
      </c>
      <c r="F1060" s="39" t="str">
        <f t="shared" si="35"/>
        <v/>
      </c>
      <c r="G1060" t="str">
        <f t="shared" si="36"/>
        <v/>
      </c>
    </row>
    <row r="1061" spans="3:7" ht="15" hidden="1" x14ac:dyDescent="0.25">
      <c r="C1061" s="4" t="str">
        <f>IFERROR(AVERAGEIFS('2. Program Allocation Output'!$P:$P,'2. Program Allocation Output'!$AF:$AF,$A1061,'2. Program Allocation Output'!$AG:$AG,$B1061),"")</f>
        <v/>
      </c>
      <c r="D1061" s="4" t="str">
        <f>IFERROR(AVERAGEIFS('2. Program Allocation Output'!$O:$O,'2. Program Allocation Output'!$AF:$AF,$A1061,'2. Program Allocation Output'!$AG:$AG,$B1061),"")</f>
        <v/>
      </c>
      <c r="E1061" s="5" t="str">
        <f>IFERROR(AVERAGEIFS('2. Program Allocation Output'!$L:$L,'2. Program Allocation Output'!$AF:$AF,$A1061,'2. Program Allocation Output'!$AG:$AG,$B1061),"")</f>
        <v/>
      </c>
      <c r="F1061" s="39" t="str">
        <f t="shared" si="35"/>
        <v/>
      </c>
      <c r="G1061" t="str">
        <f t="shared" si="36"/>
        <v/>
      </c>
    </row>
    <row r="1062" spans="3:7" ht="15" hidden="1" x14ac:dyDescent="0.25">
      <c r="C1062" s="4" t="str">
        <f>IFERROR(AVERAGEIFS('2. Program Allocation Output'!$P:$P,'2. Program Allocation Output'!$AF:$AF,$A1062,'2. Program Allocation Output'!$AG:$AG,$B1062),"")</f>
        <v/>
      </c>
      <c r="D1062" s="4" t="str">
        <f>IFERROR(AVERAGEIFS('2. Program Allocation Output'!$O:$O,'2. Program Allocation Output'!$AF:$AF,$A1062,'2. Program Allocation Output'!$AG:$AG,$B1062),"")</f>
        <v/>
      </c>
      <c r="E1062" s="5" t="str">
        <f>IFERROR(AVERAGEIFS('2. Program Allocation Output'!$L:$L,'2. Program Allocation Output'!$AF:$AF,$A1062,'2. Program Allocation Output'!$AG:$AG,$B1062),"")</f>
        <v/>
      </c>
      <c r="F1062" s="39" t="str">
        <f t="shared" si="35"/>
        <v/>
      </c>
      <c r="G1062" t="str">
        <f t="shared" si="36"/>
        <v/>
      </c>
    </row>
    <row r="1063" spans="3:7" ht="15" hidden="1" x14ac:dyDescent="0.25">
      <c r="C1063" s="4" t="str">
        <f>IFERROR(AVERAGEIFS('2. Program Allocation Output'!$P:$P,'2. Program Allocation Output'!$AF:$AF,$A1063,'2. Program Allocation Output'!$AG:$AG,$B1063),"")</f>
        <v/>
      </c>
      <c r="D1063" s="4" t="str">
        <f>IFERROR(AVERAGEIFS('2. Program Allocation Output'!$O:$O,'2. Program Allocation Output'!$AF:$AF,$A1063,'2. Program Allocation Output'!$AG:$AG,$B1063),"")</f>
        <v/>
      </c>
      <c r="E1063" s="5" t="str">
        <f>IFERROR(AVERAGEIFS('2. Program Allocation Output'!$L:$L,'2. Program Allocation Output'!$AF:$AF,$A1063,'2. Program Allocation Output'!$AG:$AG,$B1063),"")</f>
        <v/>
      </c>
      <c r="F1063" s="39" t="str">
        <f t="shared" si="35"/>
        <v/>
      </c>
      <c r="G1063" t="str">
        <f t="shared" si="36"/>
        <v/>
      </c>
    </row>
    <row r="1064" spans="3:7" ht="15" hidden="1" x14ac:dyDescent="0.25">
      <c r="C1064" s="4" t="str">
        <f>IFERROR(AVERAGEIFS('2. Program Allocation Output'!$P:$P,'2. Program Allocation Output'!$AF:$AF,$A1064,'2. Program Allocation Output'!$AG:$AG,$B1064),"")</f>
        <v/>
      </c>
      <c r="D1064" s="4" t="str">
        <f>IFERROR(AVERAGEIFS('2. Program Allocation Output'!$O:$O,'2. Program Allocation Output'!$AF:$AF,$A1064,'2. Program Allocation Output'!$AG:$AG,$B1064),"")</f>
        <v/>
      </c>
      <c r="E1064" s="5" t="str">
        <f>IFERROR(AVERAGEIFS('2. Program Allocation Output'!$L:$L,'2. Program Allocation Output'!$AF:$AF,$A1064,'2. Program Allocation Output'!$AG:$AG,$B1064),"")</f>
        <v/>
      </c>
      <c r="F1064" s="39" t="str">
        <f t="shared" si="35"/>
        <v/>
      </c>
      <c r="G1064" t="str">
        <f t="shared" si="36"/>
        <v/>
      </c>
    </row>
    <row r="1065" spans="3:7" ht="15" hidden="1" x14ac:dyDescent="0.25">
      <c r="C1065" s="4" t="str">
        <f>IFERROR(AVERAGEIFS('2. Program Allocation Output'!$P:$P,'2. Program Allocation Output'!$AF:$AF,$A1065,'2. Program Allocation Output'!$AG:$AG,$B1065),"")</f>
        <v/>
      </c>
      <c r="D1065" s="4" t="str">
        <f>IFERROR(AVERAGEIFS('2. Program Allocation Output'!$O:$O,'2. Program Allocation Output'!$AF:$AF,$A1065,'2. Program Allocation Output'!$AG:$AG,$B1065),"")</f>
        <v/>
      </c>
      <c r="E1065" s="5" t="str">
        <f>IFERROR(AVERAGEIFS('2. Program Allocation Output'!$L:$L,'2. Program Allocation Output'!$AF:$AF,$A1065,'2. Program Allocation Output'!$AG:$AG,$B1065),"")</f>
        <v/>
      </c>
      <c r="F1065" s="39" t="str">
        <f t="shared" si="35"/>
        <v/>
      </c>
      <c r="G1065" t="str">
        <f t="shared" si="36"/>
        <v/>
      </c>
    </row>
    <row r="1066" spans="3:7" ht="15" hidden="1" x14ac:dyDescent="0.25">
      <c r="C1066" s="4" t="str">
        <f>IFERROR(AVERAGEIFS('2. Program Allocation Output'!$P:$P,'2. Program Allocation Output'!$AF:$AF,$A1066,'2. Program Allocation Output'!$AG:$AG,$B1066),"")</f>
        <v/>
      </c>
      <c r="D1066" s="4" t="str">
        <f>IFERROR(AVERAGEIFS('2. Program Allocation Output'!$O:$O,'2. Program Allocation Output'!$AF:$AF,$A1066,'2. Program Allocation Output'!$AG:$AG,$B1066),"")</f>
        <v/>
      </c>
      <c r="E1066" s="5" t="str">
        <f>IFERROR(AVERAGEIFS('2. Program Allocation Output'!$L:$L,'2. Program Allocation Output'!$AF:$AF,$A1066,'2. Program Allocation Output'!$AG:$AG,$B1066),"")</f>
        <v/>
      </c>
      <c r="F1066" s="39" t="str">
        <f t="shared" si="35"/>
        <v/>
      </c>
      <c r="G1066" t="str">
        <f t="shared" si="36"/>
        <v/>
      </c>
    </row>
    <row r="1067" spans="3:7" ht="15" hidden="1" x14ac:dyDescent="0.25">
      <c r="C1067" s="4" t="str">
        <f>IFERROR(AVERAGEIFS('2. Program Allocation Output'!$P:$P,'2. Program Allocation Output'!$AF:$AF,$A1067,'2. Program Allocation Output'!$AG:$AG,$B1067),"")</f>
        <v/>
      </c>
      <c r="D1067" s="4" t="str">
        <f>IFERROR(AVERAGEIFS('2. Program Allocation Output'!$O:$O,'2. Program Allocation Output'!$AF:$AF,$A1067,'2. Program Allocation Output'!$AG:$AG,$B1067),"")</f>
        <v/>
      </c>
      <c r="E1067" s="5" t="str">
        <f>IFERROR(AVERAGEIFS('2. Program Allocation Output'!$L:$L,'2. Program Allocation Output'!$AF:$AF,$A1067,'2. Program Allocation Output'!$AG:$AG,$B1067),"")</f>
        <v/>
      </c>
      <c r="F1067" s="39" t="str">
        <f t="shared" si="35"/>
        <v/>
      </c>
      <c r="G1067" t="str">
        <f t="shared" si="36"/>
        <v/>
      </c>
    </row>
    <row r="1068" spans="3:7" ht="15" hidden="1" x14ac:dyDescent="0.25">
      <c r="C1068" s="4" t="str">
        <f>IFERROR(AVERAGEIFS('2. Program Allocation Output'!$P:$P,'2. Program Allocation Output'!$AF:$AF,$A1068,'2. Program Allocation Output'!$AG:$AG,$B1068),"")</f>
        <v/>
      </c>
      <c r="D1068" s="4" t="str">
        <f>IFERROR(AVERAGEIFS('2. Program Allocation Output'!$O:$O,'2. Program Allocation Output'!$AF:$AF,$A1068,'2. Program Allocation Output'!$AG:$AG,$B1068),"")</f>
        <v/>
      </c>
      <c r="E1068" s="5" t="str">
        <f>IFERROR(AVERAGEIFS('2. Program Allocation Output'!$L:$L,'2. Program Allocation Output'!$AF:$AF,$A1068,'2. Program Allocation Output'!$AG:$AG,$B1068),"")</f>
        <v/>
      </c>
      <c r="F1068" s="39" t="str">
        <f t="shared" si="35"/>
        <v/>
      </c>
      <c r="G1068" t="str">
        <f t="shared" si="36"/>
        <v/>
      </c>
    </row>
    <row r="1069" spans="3:7" ht="15" hidden="1" x14ac:dyDescent="0.25">
      <c r="C1069" s="4" t="str">
        <f>IFERROR(AVERAGEIFS('2. Program Allocation Output'!$P:$P,'2. Program Allocation Output'!$AF:$AF,$A1069,'2. Program Allocation Output'!$AG:$AG,$B1069),"")</f>
        <v/>
      </c>
      <c r="D1069" s="4" t="str">
        <f>IFERROR(AVERAGEIFS('2. Program Allocation Output'!$O:$O,'2. Program Allocation Output'!$AF:$AF,$A1069,'2. Program Allocation Output'!$AG:$AG,$B1069),"")</f>
        <v/>
      </c>
      <c r="E1069" s="5" t="str">
        <f>IFERROR(AVERAGEIFS('2. Program Allocation Output'!$L:$L,'2. Program Allocation Output'!$AF:$AF,$A1069,'2. Program Allocation Output'!$AG:$AG,$B1069),"")</f>
        <v/>
      </c>
      <c r="F1069" s="39" t="str">
        <f t="shared" si="35"/>
        <v/>
      </c>
      <c r="G1069" t="str">
        <f t="shared" si="36"/>
        <v/>
      </c>
    </row>
    <row r="1070" spans="3:7" ht="15" hidden="1" x14ac:dyDescent="0.25">
      <c r="C1070" s="4" t="str">
        <f>IFERROR(AVERAGEIFS('2. Program Allocation Output'!$P:$P,'2. Program Allocation Output'!$AF:$AF,$A1070,'2. Program Allocation Output'!$AG:$AG,$B1070),"")</f>
        <v/>
      </c>
      <c r="D1070" s="4" t="str">
        <f>IFERROR(AVERAGEIFS('2. Program Allocation Output'!$O:$O,'2. Program Allocation Output'!$AF:$AF,$A1070,'2. Program Allocation Output'!$AG:$AG,$B1070),"")</f>
        <v/>
      </c>
      <c r="E1070" s="5" t="str">
        <f>IFERROR(AVERAGEIFS('2. Program Allocation Output'!$L:$L,'2. Program Allocation Output'!$AF:$AF,$A1070,'2. Program Allocation Output'!$AG:$AG,$B1070),"")</f>
        <v/>
      </c>
      <c r="F1070" s="39" t="str">
        <f t="shared" si="35"/>
        <v/>
      </c>
      <c r="G1070" t="str">
        <f t="shared" si="36"/>
        <v/>
      </c>
    </row>
    <row r="1071" spans="3:7" ht="15" hidden="1" x14ac:dyDescent="0.25">
      <c r="C1071" s="4" t="str">
        <f>IFERROR(AVERAGEIFS('2. Program Allocation Output'!$P:$P,'2. Program Allocation Output'!$AF:$AF,$A1071,'2. Program Allocation Output'!$AG:$AG,$B1071),"")</f>
        <v/>
      </c>
      <c r="D1071" s="4" t="str">
        <f>IFERROR(AVERAGEIFS('2. Program Allocation Output'!$O:$O,'2. Program Allocation Output'!$AF:$AF,$A1071,'2. Program Allocation Output'!$AG:$AG,$B1071),"")</f>
        <v/>
      </c>
      <c r="E1071" s="5" t="str">
        <f>IFERROR(AVERAGEIFS('2. Program Allocation Output'!$L:$L,'2. Program Allocation Output'!$AF:$AF,$A1071,'2. Program Allocation Output'!$AG:$AG,$B1071),"")</f>
        <v/>
      </c>
      <c r="F1071" s="39" t="str">
        <f t="shared" si="35"/>
        <v/>
      </c>
      <c r="G1071" t="str">
        <f t="shared" si="36"/>
        <v/>
      </c>
    </row>
    <row r="1072" spans="3:7" ht="15" hidden="1" x14ac:dyDescent="0.25">
      <c r="C1072" s="4" t="str">
        <f>IFERROR(AVERAGEIFS('2. Program Allocation Output'!$P:$P,'2. Program Allocation Output'!$AF:$AF,$A1072,'2. Program Allocation Output'!$AG:$AG,$B1072),"")</f>
        <v/>
      </c>
      <c r="D1072" s="4" t="str">
        <f>IFERROR(AVERAGEIFS('2. Program Allocation Output'!$O:$O,'2. Program Allocation Output'!$AF:$AF,$A1072,'2. Program Allocation Output'!$AG:$AG,$B1072),"")</f>
        <v/>
      </c>
      <c r="E1072" s="5" t="str">
        <f>IFERROR(AVERAGEIFS('2. Program Allocation Output'!$L:$L,'2. Program Allocation Output'!$AF:$AF,$A1072,'2. Program Allocation Output'!$AG:$AG,$B1072),"")</f>
        <v/>
      </c>
      <c r="F1072" s="39" t="str">
        <f t="shared" si="35"/>
        <v/>
      </c>
      <c r="G1072" t="str">
        <f t="shared" si="36"/>
        <v/>
      </c>
    </row>
    <row r="1073" spans="3:7" ht="15" hidden="1" x14ac:dyDescent="0.25">
      <c r="C1073" s="4" t="str">
        <f>IFERROR(AVERAGEIFS('2. Program Allocation Output'!$P:$P,'2. Program Allocation Output'!$AF:$AF,$A1073,'2. Program Allocation Output'!$AG:$AG,$B1073),"")</f>
        <v/>
      </c>
      <c r="D1073" s="4" t="str">
        <f>IFERROR(AVERAGEIFS('2. Program Allocation Output'!$O:$O,'2. Program Allocation Output'!$AF:$AF,$A1073,'2. Program Allocation Output'!$AG:$AG,$B1073),"")</f>
        <v/>
      </c>
      <c r="E1073" s="5" t="str">
        <f>IFERROR(AVERAGEIFS('2. Program Allocation Output'!$L:$L,'2. Program Allocation Output'!$AF:$AF,$A1073,'2. Program Allocation Output'!$AG:$AG,$B1073),"")</f>
        <v/>
      </c>
      <c r="F1073" s="39" t="str">
        <f t="shared" si="35"/>
        <v/>
      </c>
      <c r="G1073" t="str">
        <f t="shared" si="36"/>
        <v/>
      </c>
    </row>
    <row r="1074" spans="3:7" ht="15" hidden="1" x14ac:dyDescent="0.25">
      <c r="C1074" s="4" t="str">
        <f>IFERROR(AVERAGEIFS('2. Program Allocation Output'!$P:$P,'2. Program Allocation Output'!$AF:$AF,$A1074,'2. Program Allocation Output'!$AG:$AG,$B1074),"")</f>
        <v/>
      </c>
      <c r="D1074" s="4" t="str">
        <f>IFERROR(AVERAGEIFS('2. Program Allocation Output'!$O:$O,'2. Program Allocation Output'!$AF:$AF,$A1074,'2. Program Allocation Output'!$AG:$AG,$B1074),"")</f>
        <v/>
      </c>
      <c r="E1074" s="5" t="str">
        <f>IFERROR(AVERAGEIFS('2. Program Allocation Output'!$L:$L,'2. Program Allocation Output'!$AF:$AF,$A1074,'2. Program Allocation Output'!$AG:$AG,$B1074),"")</f>
        <v/>
      </c>
      <c r="F1074" s="39" t="str">
        <f t="shared" si="35"/>
        <v/>
      </c>
      <c r="G1074" t="str">
        <f t="shared" si="36"/>
        <v/>
      </c>
    </row>
    <row r="1075" spans="3:7" ht="15" hidden="1" x14ac:dyDescent="0.25">
      <c r="C1075" s="4" t="str">
        <f>IFERROR(AVERAGEIFS('2. Program Allocation Output'!$P:$P,'2. Program Allocation Output'!$AF:$AF,$A1075,'2. Program Allocation Output'!$AG:$AG,$B1075),"")</f>
        <v/>
      </c>
      <c r="D1075" s="4" t="str">
        <f>IFERROR(AVERAGEIFS('2. Program Allocation Output'!$O:$O,'2. Program Allocation Output'!$AF:$AF,$A1075,'2. Program Allocation Output'!$AG:$AG,$B1075),"")</f>
        <v/>
      </c>
      <c r="E1075" s="5" t="str">
        <f>IFERROR(AVERAGEIFS('2. Program Allocation Output'!$L:$L,'2. Program Allocation Output'!$AF:$AF,$A1075,'2. Program Allocation Output'!$AG:$AG,$B1075),"")</f>
        <v/>
      </c>
      <c r="F1075" s="39" t="str">
        <f t="shared" si="35"/>
        <v/>
      </c>
      <c r="G1075" t="str">
        <f t="shared" si="36"/>
        <v/>
      </c>
    </row>
    <row r="1076" spans="3:7" ht="15" hidden="1" x14ac:dyDescent="0.25">
      <c r="C1076" s="4" t="str">
        <f>IFERROR(AVERAGEIFS('2. Program Allocation Output'!$P:$P,'2. Program Allocation Output'!$AF:$AF,$A1076,'2. Program Allocation Output'!$AG:$AG,$B1076),"")</f>
        <v/>
      </c>
      <c r="D1076" s="4" t="str">
        <f>IFERROR(AVERAGEIFS('2. Program Allocation Output'!$O:$O,'2. Program Allocation Output'!$AF:$AF,$A1076,'2. Program Allocation Output'!$AG:$AG,$B1076),"")</f>
        <v/>
      </c>
      <c r="E1076" s="5" t="str">
        <f>IFERROR(AVERAGEIFS('2. Program Allocation Output'!$L:$L,'2. Program Allocation Output'!$AF:$AF,$A1076,'2. Program Allocation Output'!$AG:$AG,$B1076),"")</f>
        <v/>
      </c>
      <c r="F1076" s="39" t="str">
        <f t="shared" si="35"/>
        <v/>
      </c>
      <c r="G1076" t="str">
        <f t="shared" si="36"/>
        <v/>
      </c>
    </row>
    <row r="1077" spans="3:7" ht="15" hidden="1" x14ac:dyDescent="0.25">
      <c r="C1077" s="4" t="str">
        <f>IFERROR(AVERAGEIFS('2. Program Allocation Output'!$P:$P,'2. Program Allocation Output'!$AF:$AF,$A1077,'2. Program Allocation Output'!$AG:$AG,$B1077),"")</f>
        <v/>
      </c>
      <c r="D1077" s="4" t="str">
        <f>IFERROR(AVERAGEIFS('2. Program Allocation Output'!$O:$O,'2. Program Allocation Output'!$AF:$AF,$A1077,'2. Program Allocation Output'!$AG:$AG,$B1077),"")</f>
        <v/>
      </c>
      <c r="E1077" s="5" t="str">
        <f>IFERROR(AVERAGEIFS('2. Program Allocation Output'!$L:$L,'2. Program Allocation Output'!$AF:$AF,$A1077,'2. Program Allocation Output'!$AG:$AG,$B1077),"")</f>
        <v/>
      </c>
      <c r="F1077" s="39" t="str">
        <f t="shared" si="35"/>
        <v/>
      </c>
      <c r="G1077" t="str">
        <f t="shared" si="36"/>
        <v/>
      </c>
    </row>
    <row r="1078" spans="3:7" ht="15" hidden="1" x14ac:dyDescent="0.25">
      <c r="C1078" s="4" t="str">
        <f>IFERROR(AVERAGEIFS('2. Program Allocation Output'!$P:$P,'2. Program Allocation Output'!$AF:$AF,$A1078,'2. Program Allocation Output'!$AG:$AG,$B1078),"")</f>
        <v/>
      </c>
      <c r="D1078" s="4" t="str">
        <f>IFERROR(AVERAGEIFS('2. Program Allocation Output'!$O:$O,'2. Program Allocation Output'!$AF:$AF,$A1078,'2. Program Allocation Output'!$AG:$AG,$B1078),"")</f>
        <v/>
      </c>
      <c r="E1078" s="5" t="str">
        <f>IFERROR(AVERAGEIFS('2. Program Allocation Output'!$L:$L,'2. Program Allocation Output'!$AF:$AF,$A1078,'2. Program Allocation Output'!$AG:$AG,$B1078),"")</f>
        <v/>
      </c>
      <c r="F1078" s="39" t="str">
        <f t="shared" si="35"/>
        <v/>
      </c>
      <c r="G1078" t="str">
        <f t="shared" si="36"/>
        <v/>
      </c>
    </row>
    <row r="1079" spans="3:7" ht="15" hidden="1" x14ac:dyDescent="0.25">
      <c r="C1079" s="4" t="str">
        <f>IFERROR(AVERAGEIFS('2. Program Allocation Output'!$P:$P,'2. Program Allocation Output'!$AF:$AF,$A1079,'2. Program Allocation Output'!$AG:$AG,$B1079),"")</f>
        <v/>
      </c>
      <c r="D1079" s="4" t="str">
        <f>IFERROR(AVERAGEIFS('2. Program Allocation Output'!$O:$O,'2. Program Allocation Output'!$AF:$AF,$A1079,'2. Program Allocation Output'!$AG:$AG,$B1079),"")</f>
        <v/>
      </c>
      <c r="E1079" s="5" t="str">
        <f>IFERROR(AVERAGEIFS('2. Program Allocation Output'!$L:$L,'2. Program Allocation Output'!$AF:$AF,$A1079,'2. Program Allocation Output'!$AG:$AG,$B1079),"")</f>
        <v/>
      </c>
      <c r="F1079" s="39" t="str">
        <f t="shared" si="35"/>
        <v/>
      </c>
      <c r="G1079" t="str">
        <f t="shared" si="36"/>
        <v/>
      </c>
    </row>
    <row r="1080" spans="3:7" ht="15" hidden="1" x14ac:dyDescent="0.25">
      <c r="C1080" s="4" t="str">
        <f>IFERROR(AVERAGEIFS('2. Program Allocation Output'!$P:$P,'2. Program Allocation Output'!$AF:$AF,$A1080,'2. Program Allocation Output'!$AG:$AG,$B1080),"")</f>
        <v/>
      </c>
      <c r="D1080" s="4" t="str">
        <f>IFERROR(AVERAGEIFS('2. Program Allocation Output'!$O:$O,'2. Program Allocation Output'!$AF:$AF,$A1080,'2. Program Allocation Output'!$AG:$AG,$B1080),"")</f>
        <v/>
      </c>
      <c r="E1080" s="5" t="str">
        <f>IFERROR(AVERAGEIFS('2. Program Allocation Output'!$L:$L,'2. Program Allocation Output'!$AF:$AF,$A1080,'2. Program Allocation Output'!$AG:$AG,$B1080),"")</f>
        <v/>
      </c>
      <c r="F1080" s="39" t="str">
        <f t="shared" si="35"/>
        <v/>
      </c>
      <c r="G1080" t="str">
        <f t="shared" si="36"/>
        <v/>
      </c>
    </row>
    <row r="1081" spans="3:7" ht="15" hidden="1" x14ac:dyDescent="0.25">
      <c r="C1081" s="4" t="str">
        <f>IFERROR(AVERAGEIFS('2. Program Allocation Output'!$P:$P,'2. Program Allocation Output'!$AF:$AF,$A1081,'2. Program Allocation Output'!$AG:$AG,$B1081),"")</f>
        <v/>
      </c>
      <c r="D1081" s="4" t="str">
        <f>IFERROR(AVERAGEIFS('2. Program Allocation Output'!$O:$O,'2. Program Allocation Output'!$AF:$AF,$A1081,'2. Program Allocation Output'!$AG:$AG,$B1081),"")</f>
        <v/>
      </c>
      <c r="E1081" s="5" t="str">
        <f>IFERROR(AVERAGEIFS('2. Program Allocation Output'!$L:$L,'2. Program Allocation Output'!$AF:$AF,$A1081,'2. Program Allocation Output'!$AG:$AG,$B1081),"")</f>
        <v/>
      </c>
      <c r="F1081" s="39" t="str">
        <f t="shared" si="35"/>
        <v/>
      </c>
      <c r="G1081" t="str">
        <f t="shared" si="36"/>
        <v/>
      </c>
    </row>
    <row r="1082" spans="3:7" ht="15" hidden="1" x14ac:dyDescent="0.25">
      <c r="C1082" s="4" t="str">
        <f>IFERROR(AVERAGEIFS('2. Program Allocation Output'!$P:$P,'2. Program Allocation Output'!$AF:$AF,$A1082,'2. Program Allocation Output'!$AG:$AG,$B1082),"")</f>
        <v/>
      </c>
      <c r="D1082" s="4" t="str">
        <f>IFERROR(AVERAGEIFS('2. Program Allocation Output'!$O:$O,'2. Program Allocation Output'!$AF:$AF,$A1082,'2. Program Allocation Output'!$AG:$AG,$B1082),"")</f>
        <v/>
      </c>
      <c r="E1082" s="5" t="str">
        <f>IFERROR(AVERAGEIFS('2. Program Allocation Output'!$L:$L,'2. Program Allocation Output'!$AF:$AF,$A1082,'2. Program Allocation Output'!$AG:$AG,$B1082),"")</f>
        <v/>
      </c>
      <c r="F1082" s="39" t="str">
        <f t="shared" si="35"/>
        <v/>
      </c>
      <c r="G1082" t="str">
        <f t="shared" si="36"/>
        <v/>
      </c>
    </row>
    <row r="1083" spans="3:7" ht="15" hidden="1" x14ac:dyDescent="0.25">
      <c r="C1083" s="4" t="str">
        <f>IFERROR(AVERAGEIFS('2. Program Allocation Output'!$P:$P,'2. Program Allocation Output'!$AF:$AF,$A1083,'2. Program Allocation Output'!$AG:$AG,$B1083),"")</f>
        <v/>
      </c>
      <c r="D1083" s="4" t="str">
        <f>IFERROR(AVERAGEIFS('2. Program Allocation Output'!$O:$O,'2. Program Allocation Output'!$AF:$AF,$A1083,'2. Program Allocation Output'!$AG:$AG,$B1083),"")</f>
        <v/>
      </c>
      <c r="E1083" s="5" t="str">
        <f>IFERROR(AVERAGEIFS('2. Program Allocation Output'!$L:$L,'2. Program Allocation Output'!$AF:$AF,$A1083,'2. Program Allocation Output'!$AG:$AG,$B1083),"")</f>
        <v/>
      </c>
      <c r="F1083" s="39" t="str">
        <f t="shared" si="35"/>
        <v/>
      </c>
      <c r="G1083" t="str">
        <f t="shared" si="36"/>
        <v/>
      </c>
    </row>
    <row r="1084" spans="3:7" ht="15" hidden="1" x14ac:dyDescent="0.25">
      <c r="C1084" s="4" t="str">
        <f>IFERROR(AVERAGEIFS('2. Program Allocation Output'!$P:$P,'2. Program Allocation Output'!$AF:$AF,$A1084,'2. Program Allocation Output'!$AG:$AG,$B1084),"")</f>
        <v/>
      </c>
      <c r="D1084" s="4" t="str">
        <f>IFERROR(AVERAGEIFS('2. Program Allocation Output'!$O:$O,'2. Program Allocation Output'!$AF:$AF,$A1084,'2. Program Allocation Output'!$AG:$AG,$B1084),"")</f>
        <v/>
      </c>
      <c r="E1084" s="5" t="str">
        <f>IFERROR(AVERAGEIFS('2. Program Allocation Output'!$L:$L,'2. Program Allocation Output'!$AF:$AF,$A1084,'2. Program Allocation Output'!$AG:$AG,$B1084),"")</f>
        <v/>
      </c>
      <c r="F1084" s="39" t="str">
        <f t="shared" si="35"/>
        <v/>
      </c>
      <c r="G1084" t="str">
        <f t="shared" si="36"/>
        <v/>
      </c>
    </row>
    <row r="1085" spans="3:7" ht="15" hidden="1" x14ac:dyDescent="0.25">
      <c r="C1085" s="4" t="str">
        <f>IFERROR(AVERAGEIFS('2. Program Allocation Output'!$P:$P,'2. Program Allocation Output'!$AF:$AF,$A1085,'2. Program Allocation Output'!$AG:$AG,$B1085),"")</f>
        <v/>
      </c>
      <c r="D1085" s="4" t="str">
        <f>IFERROR(AVERAGEIFS('2. Program Allocation Output'!$O:$O,'2. Program Allocation Output'!$AF:$AF,$A1085,'2. Program Allocation Output'!$AG:$AG,$B1085),"")</f>
        <v/>
      </c>
      <c r="E1085" s="5" t="str">
        <f>IFERROR(AVERAGEIFS('2. Program Allocation Output'!$L:$L,'2. Program Allocation Output'!$AF:$AF,$A1085,'2. Program Allocation Output'!$AG:$AG,$B1085),"")</f>
        <v/>
      </c>
      <c r="F1085" s="39" t="str">
        <f t="shared" si="35"/>
        <v/>
      </c>
      <c r="G1085" t="str">
        <f t="shared" si="36"/>
        <v/>
      </c>
    </row>
    <row r="1086" spans="3:7" ht="15" hidden="1" x14ac:dyDescent="0.25">
      <c r="C1086" s="4" t="str">
        <f>IFERROR(AVERAGEIFS('2. Program Allocation Output'!$P:$P,'2. Program Allocation Output'!$AF:$AF,$A1086,'2. Program Allocation Output'!$AG:$AG,$B1086),"")</f>
        <v/>
      </c>
      <c r="D1086" s="4" t="str">
        <f>IFERROR(AVERAGEIFS('2. Program Allocation Output'!$O:$O,'2. Program Allocation Output'!$AF:$AF,$A1086,'2. Program Allocation Output'!$AG:$AG,$B1086),"")</f>
        <v/>
      </c>
      <c r="E1086" s="5" t="str">
        <f>IFERROR(AVERAGEIFS('2. Program Allocation Output'!$L:$L,'2. Program Allocation Output'!$AF:$AF,$A1086,'2. Program Allocation Output'!$AG:$AG,$B1086),"")</f>
        <v/>
      </c>
      <c r="F1086" s="39" t="str">
        <f t="shared" si="35"/>
        <v/>
      </c>
      <c r="G1086" t="str">
        <f t="shared" si="36"/>
        <v/>
      </c>
    </row>
    <row r="1087" spans="3:7" ht="15" hidden="1" x14ac:dyDescent="0.25">
      <c r="C1087" s="4" t="str">
        <f>IFERROR(AVERAGEIFS('2. Program Allocation Output'!$P:$P,'2. Program Allocation Output'!$AF:$AF,$A1087,'2. Program Allocation Output'!$AG:$AG,$B1087),"")</f>
        <v/>
      </c>
      <c r="D1087" s="4" t="str">
        <f>IFERROR(AVERAGEIFS('2. Program Allocation Output'!$O:$O,'2. Program Allocation Output'!$AF:$AF,$A1087,'2. Program Allocation Output'!$AG:$AG,$B1087),"")</f>
        <v/>
      </c>
      <c r="E1087" s="5" t="str">
        <f>IFERROR(AVERAGEIFS('2. Program Allocation Output'!$L:$L,'2. Program Allocation Output'!$AF:$AF,$A1087,'2. Program Allocation Output'!$AG:$AG,$B1087),"")</f>
        <v/>
      </c>
      <c r="F1087" s="39" t="str">
        <f t="shared" si="35"/>
        <v/>
      </c>
      <c r="G1087" t="str">
        <f t="shared" si="36"/>
        <v/>
      </c>
    </row>
    <row r="1088" spans="3:7" ht="15" hidden="1" x14ac:dyDescent="0.25">
      <c r="C1088" s="4" t="str">
        <f>IFERROR(AVERAGEIFS('2. Program Allocation Output'!$P:$P,'2. Program Allocation Output'!$AF:$AF,$A1088,'2. Program Allocation Output'!$AG:$AG,$B1088),"")</f>
        <v/>
      </c>
      <c r="D1088" s="4" t="str">
        <f>IFERROR(AVERAGEIFS('2. Program Allocation Output'!$O:$O,'2. Program Allocation Output'!$AF:$AF,$A1088,'2. Program Allocation Output'!$AG:$AG,$B1088),"")</f>
        <v/>
      </c>
      <c r="E1088" s="5" t="str">
        <f>IFERROR(AVERAGEIFS('2. Program Allocation Output'!$L:$L,'2. Program Allocation Output'!$AF:$AF,$A1088,'2. Program Allocation Output'!$AG:$AG,$B1088),"")</f>
        <v/>
      </c>
      <c r="F1088" s="39" t="str">
        <f t="shared" si="35"/>
        <v/>
      </c>
      <c r="G1088" t="str">
        <f t="shared" si="36"/>
        <v/>
      </c>
    </row>
    <row r="1089" spans="3:7" ht="15" hidden="1" x14ac:dyDescent="0.25">
      <c r="C1089" s="4" t="str">
        <f>IFERROR(AVERAGEIFS('2. Program Allocation Output'!$P:$P,'2. Program Allocation Output'!$AF:$AF,$A1089,'2. Program Allocation Output'!$AG:$AG,$B1089),"")</f>
        <v/>
      </c>
      <c r="D1089" s="4" t="str">
        <f>IFERROR(AVERAGEIFS('2. Program Allocation Output'!$O:$O,'2. Program Allocation Output'!$AF:$AF,$A1089,'2. Program Allocation Output'!$AG:$AG,$B1089),"")</f>
        <v/>
      </c>
      <c r="E1089" s="5" t="str">
        <f>IFERROR(AVERAGEIFS('2. Program Allocation Output'!$L:$L,'2. Program Allocation Output'!$AF:$AF,$A1089,'2. Program Allocation Output'!$AG:$AG,$B1089),"")</f>
        <v/>
      </c>
      <c r="F1089" s="39" t="str">
        <f t="shared" si="35"/>
        <v/>
      </c>
      <c r="G1089" t="str">
        <f t="shared" si="36"/>
        <v/>
      </c>
    </row>
    <row r="1090" spans="3:7" ht="15" hidden="1" x14ac:dyDescent="0.25">
      <c r="C1090" s="4" t="str">
        <f>IFERROR(AVERAGEIFS('2. Program Allocation Output'!$P:$P,'2. Program Allocation Output'!$AF:$AF,$A1090,'2. Program Allocation Output'!$AG:$AG,$B1090),"")</f>
        <v/>
      </c>
      <c r="D1090" s="4" t="str">
        <f>IFERROR(AVERAGEIFS('2. Program Allocation Output'!$O:$O,'2. Program Allocation Output'!$AF:$AF,$A1090,'2. Program Allocation Output'!$AG:$AG,$B1090),"")</f>
        <v/>
      </c>
      <c r="E1090" s="5" t="str">
        <f>IFERROR(AVERAGEIFS('2. Program Allocation Output'!$L:$L,'2. Program Allocation Output'!$AF:$AF,$A1090,'2. Program Allocation Output'!$AG:$AG,$B1090),"")</f>
        <v/>
      </c>
      <c r="F1090" s="39" t="str">
        <f t="shared" si="35"/>
        <v/>
      </c>
      <c r="G1090" t="str">
        <f t="shared" si="36"/>
        <v/>
      </c>
    </row>
    <row r="1091" spans="3:7" ht="15" hidden="1" x14ac:dyDescent="0.25">
      <c r="C1091" s="4" t="str">
        <f>IFERROR(AVERAGEIFS('2. Program Allocation Output'!$P:$P,'2. Program Allocation Output'!$AF:$AF,$A1091,'2. Program Allocation Output'!$AG:$AG,$B1091),"")</f>
        <v/>
      </c>
      <c r="D1091" s="4" t="str">
        <f>IFERROR(AVERAGEIFS('2. Program Allocation Output'!$O:$O,'2. Program Allocation Output'!$AF:$AF,$A1091,'2. Program Allocation Output'!$AG:$AG,$B1091),"")</f>
        <v/>
      </c>
      <c r="E1091" s="5" t="str">
        <f>IFERROR(AVERAGEIFS('2. Program Allocation Output'!$L:$L,'2. Program Allocation Output'!$AF:$AF,$A1091,'2. Program Allocation Output'!$AG:$AG,$B1091),"")</f>
        <v/>
      </c>
      <c r="F1091" s="39" t="str">
        <f t="shared" ref="F1091:F1154" si="37">IFERROR(C1091*1,"")</f>
        <v/>
      </c>
      <c r="G1091" t="str">
        <f t="shared" si="36"/>
        <v/>
      </c>
    </row>
    <row r="1092" spans="3:7" ht="15" hidden="1" x14ac:dyDescent="0.25">
      <c r="C1092" s="4" t="str">
        <f>IFERROR(AVERAGEIFS('2. Program Allocation Output'!$P:$P,'2. Program Allocation Output'!$AF:$AF,$A1092,'2. Program Allocation Output'!$AG:$AG,$B1092),"")</f>
        <v/>
      </c>
      <c r="D1092" s="4" t="str">
        <f>IFERROR(AVERAGEIFS('2. Program Allocation Output'!$O:$O,'2. Program Allocation Output'!$AF:$AF,$A1092,'2. Program Allocation Output'!$AG:$AG,$B1092),"")</f>
        <v/>
      </c>
      <c r="E1092" s="5" t="str">
        <f>IFERROR(AVERAGEIFS('2. Program Allocation Output'!$L:$L,'2. Program Allocation Output'!$AF:$AF,$A1092,'2. Program Allocation Output'!$AG:$AG,$B1092),"")</f>
        <v/>
      </c>
      <c r="F1092" s="39" t="str">
        <f t="shared" si="37"/>
        <v/>
      </c>
      <c r="G1092" t="str">
        <f t="shared" si="36"/>
        <v/>
      </c>
    </row>
    <row r="1093" spans="3:7" ht="15" hidden="1" x14ac:dyDescent="0.25">
      <c r="C1093" s="4" t="str">
        <f>IFERROR(AVERAGEIFS('2. Program Allocation Output'!$P:$P,'2. Program Allocation Output'!$AF:$AF,$A1093,'2. Program Allocation Output'!$AG:$AG,$B1093),"")</f>
        <v/>
      </c>
      <c r="D1093" s="4" t="str">
        <f>IFERROR(AVERAGEIFS('2. Program Allocation Output'!$O:$O,'2. Program Allocation Output'!$AF:$AF,$A1093,'2. Program Allocation Output'!$AG:$AG,$B1093),"")</f>
        <v/>
      </c>
      <c r="E1093" s="5" t="str">
        <f>IFERROR(AVERAGEIFS('2. Program Allocation Output'!$L:$L,'2. Program Allocation Output'!$AF:$AF,$A1093,'2. Program Allocation Output'!$AG:$AG,$B1093),"")</f>
        <v/>
      </c>
      <c r="F1093" s="39" t="str">
        <f t="shared" si="37"/>
        <v/>
      </c>
      <c r="G1093" t="str">
        <f t="shared" si="36"/>
        <v/>
      </c>
    </row>
    <row r="1094" spans="3:7" ht="15" hidden="1" x14ac:dyDescent="0.25">
      <c r="C1094" s="4" t="str">
        <f>IFERROR(AVERAGEIFS('2. Program Allocation Output'!$P:$P,'2. Program Allocation Output'!$AF:$AF,$A1094,'2. Program Allocation Output'!$AG:$AG,$B1094),"")</f>
        <v/>
      </c>
      <c r="D1094" s="4" t="str">
        <f>IFERROR(AVERAGEIFS('2. Program Allocation Output'!$O:$O,'2. Program Allocation Output'!$AF:$AF,$A1094,'2. Program Allocation Output'!$AG:$AG,$B1094),"")</f>
        <v/>
      </c>
      <c r="E1094" s="5" t="str">
        <f>IFERROR(AVERAGEIFS('2. Program Allocation Output'!$L:$L,'2. Program Allocation Output'!$AF:$AF,$A1094,'2. Program Allocation Output'!$AG:$AG,$B1094),"")</f>
        <v/>
      </c>
      <c r="F1094" s="39" t="str">
        <f t="shared" si="37"/>
        <v/>
      </c>
      <c r="G1094" t="str">
        <f t="shared" si="36"/>
        <v/>
      </c>
    </row>
    <row r="1095" spans="3:7" ht="15" hidden="1" x14ac:dyDescent="0.25">
      <c r="C1095" s="4" t="str">
        <f>IFERROR(AVERAGEIFS('2. Program Allocation Output'!$P:$P,'2. Program Allocation Output'!$AF:$AF,$A1095,'2. Program Allocation Output'!$AG:$AG,$B1095),"")</f>
        <v/>
      </c>
      <c r="D1095" s="4" t="str">
        <f>IFERROR(AVERAGEIFS('2. Program Allocation Output'!$O:$O,'2. Program Allocation Output'!$AF:$AF,$A1095,'2. Program Allocation Output'!$AG:$AG,$B1095),"")</f>
        <v/>
      </c>
      <c r="E1095" s="5" t="str">
        <f>IFERROR(AVERAGEIFS('2. Program Allocation Output'!$L:$L,'2. Program Allocation Output'!$AF:$AF,$A1095,'2. Program Allocation Output'!$AG:$AG,$B1095),"")</f>
        <v/>
      </c>
      <c r="F1095" s="39" t="str">
        <f t="shared" si="37"/>
        <v/>
      </c>
      <c r="G1095" t="str">
        <f t="shared" si="36"/>
        <v/>
      </c>
    </row>
    <row r="1096" spans="3:7" ht="15" hidden="1" x14ac:dyDescent="0.25">
      <c r="C1096" s="4" t="str">
        <f>IFERROR(AVERAGEIFS('2. Program Allocation Output'!$P:$P,'2. Program Allocation Output'!$AF:$AF,$A1096,'2. Program Allocation Output'!$AG:$AG,$B1096),"")</f>
        <v/>
      </c>
      <c r="D1096" s="4" t="str">
        <f>IFERROR(AVERAGEIFS('2. Program Allocation Output'!$O:$O,'2. Program Allocation Output'!$AF:$AF,$A1096,'2. Program Allocation Output'!$AG:$AG,$B1096),"")</f>
        <v/>
      </c>
      <c r="E1096" s="5" t="str">
        <f>IFERROR(AVERAGEIFS('2. Program Allocation Output'!$L:$L,'2. Program Allocation Output'!$AF:$AF,$A1096,'2. Program Allocation Output'!$AG:$AG,$B1096),"")</f>
        <v/>
      </c>
      <c r="F1096" s="39" t="str">
        <f t="shared" si="37"/>
        <v/>
      </c>
      <c r="G1096" t="str">
        <f t="shared" si="36"/>
        <v/>
      </c>
    </row>
    <row r="1097" spans="3:7" ht="15" hidden="1" x14ac:dyDescent="0.25">
      <c r="C1097" s="4" t="str">
        <f>IFERROR(AVERAGEIFS('2. Program Allocation Output'!$P:$P,'2. Program Allocation Output'!$AF:$AF,$A1097,'2. Program Allocation Output'!$AG:$AG,$B1097),"")</f>
        <v/>
      </c>
      <c r="D1097" s="4" t="str">
        <f>IFERROR(AVERAGEIFS('2. Program Allocation Output'!$O:$O,'2. Program Allocation Output'!$AF:$AF,$A1097,'2. Program Allocation Output'!$AG:$AG,$B1097),"")</f>
        <v/>
      </c>
      <c r="E1097" s="5" t="str">
        <f>IFERROR(AVERAGEIFS('2. Program Allocation Output'!$L:$L,'2. Program Allocation Output'!$AF:$AF,$A1097,'2. Program Allocation Output'!$AG:$AG,$B1097),"")</f>
        <v/>
      </c>
      <c r="F1097" s="39" t="str">
        <f t="shared" si="37"/>
        <v/>
      </c>
      <c r="G1097" t="str">
        <f t="shared" si="36"/>
        <v/>
      </c>
    </row>
    <row r="1098" spans="3:7" ht="15" hidden="1" x14ac:dyDescent="0.25">
      <c r="C1098" s="4" t="str">
        <f>IFERROR(AVERAGEIFS('2. Program Allocation Output'!$P:$P,'2. Program Allocation Output'!$AF:$AF,$A1098,'2. Program Allocation Output'!$AG:$AG,$B1098),"")</f>
        <v/>
      </c>
      <c r="D1098" s="4" t="str">
        <f>IFERROR(AVERAGEIFS('2. Program Allocation Output'!$O:$O,'2. Program Allocation Output'!$AF:$AF,$A1098,'2. Program Allocation Output'!$AG:$AG,$B1098),"")</f>
        <v/>
      </c>
      <c r="E1098" s="5" t="str">
        <f>IFERROR(AVERAGEIFS('2. Program Allocation Output'!$L:$L,'2. Program Allocation Output'!$AF:$AF,$A1098,'2. Program Allocation Output'!$AG:$AG,$B1098),"")</f>
        <v/>
      </c>
      <c r="F1098" s="39" t="str">
        <f t="shared" si="37"/>
        <v/>
      </c>
      <c r="G1098" t="str">
        <f t="shared" si="36"/>
        <v/>
      </c>
    </row>
    <row r="1099" spans="3:7" ht="15" hidden="1" x14ac:dyDescent="0.25">
      <c r="C1099" s="4" t="str">
        <f>IFERROR(AVERAGEIFS('2. Program Allocation Output'!$P:$P,'2. Program Allocation Output'!$AF:$AF,$A1099,'2. Program Allocation Output'!$AG:$AG,$B1099),"")</f>
        <v/>
      </c>
      <c r="D1099" s="4" t="str">
        <f>IFERROR(AVERAGEIFS('2. Program Allocation Output'!$O:$O,'2. Program Allocation Output'!$AF:$AF,$A1099,'2. Program Allocation Output'!$AG:$AG,$B1099),"")</f>
        <v/>
      </c>
      <c r="E1099" s="5" t="str">
        <f>IFERROR(AVERAGEIFS('2. Program Allocation Output'!$L:$L,'2. Program Allocation Output'!$AF:$AF,$A1099,'2. Program Allocation Output'!$AG:$AG,$B1099),"")</f>
        <v/>
      </c>
      <c r="F1099" s="39" t="str">
        <f t="shared" si="37"/>
        <v/>
      </c>
      <c r="G1099" t="str">
        <f t="shared" si="36"/>
        <v/>
      </c>
    </row>
    <row r="1100" spans="3:7" ht="15" hidden="1" x14ac:dyDescent="0.25">
      <c r="C1100" s="4" t="str">
        <f>IFERROR(AVERAGEIFS('2. Program Allocation Output'!$P:$P,'2. Program Allocation Output'!$AF:$AF,$A1100,'2. Program Allocation Output'!$AG:$AG,$B1100),"")</f>
        <v/>
      </c>
      <c r="D1100" s="4" t="str">
        <f>IFERROR(AVERAGEIFS('2. Program Allocation Output'!$O:$O,'2. Program Allocation Output'!$AF:$AF,$A1100,'2. Program Allocation Output'!$AG:$AG,$B1100),"")</f>
        <v/>
      </c>
      <c r="E1100" s="5" t="str">
        <f>IFERROR(AVERAGEIFS('2. Program Allocation Output'!$L:$L,'2. Program Allocation Output'!$AF:$AF,$A1100,'2. Program Allocation Output'!$AG:$AG,$B1100),"")</f>
        <v/>
      </c>
      <c r="F1100" s="39" t="str">
        <f t="shared" si="37"/>
        <v/>
      </c>
      <c r="G1100" t="str">
        <f t="shared" si="36"/>
        <v/>
      </c>
    </row>
    <row r="1101" spans="3:7" ht="15" hidden="1" x14ac:dyDescent="0.25">
      <c r="C1101" s="4" t="str">
        <f>IFERROR(AVERAGEIFS('2. Program Allocation Output'!$P:$P,'2. Program Allocation Output'!$AF:$AF,$A1101,'2. Program Allocation Output'!$AG:$AG,$B1101),"")</f>
        <v/>
      </c>
      <c r="D1101" s="4" t="str">
        <f>IFERROR(AVERAGEIFS('2. Program Allocation Output'!$O:$O,'2. Program Allocation Output'!$AF:$AF,$A1101,'2. Program Allocation Output'!$AG:$AG,$B1101),"")</f>
        <v/>
      </c>
      <c r="E1101" s="5" t="str">
        <f>IFERROR(AVERAGEIFS('2. Program Allocation Output'!$L:$L,'2. Program Allocation Output'!$AF:$AF,$A1101,'2. Program Allocation Output'!$AG:$AG,$B1101),"")</f>
        <v/>
      </c>
      <c r="F1101" s="39" t="str">
        <f t="shared" si="37"/>
        <v/>
      </c>
      <c r="G1101" t="str">
        <f t="shared" si="36"/>
        <v/>
      </c>
    </row>
    <row r="1102" spans="3:7" ht="15" hidden="1" x14ac:dyDescent="0.25">
      <c r="C1102" s="4" t="str">
        <f>IFERROR(AVERAGEIFS('2. Program Allocation Output'!$P:$P,'2. Program Allocation Output'!$AF:$AF,$A1102,'2. Program Allocation Output'!$AG:$AG,$B1102),"")</f>
        <v/>
      </c>
      <c r="D1102" s="4" t="str">
        <f>IFERROR(AVERAGEIFS('2. Program Allocation Output'!$O:$O,'2. Program Allocation Output'!$AF:$AF,$A1102,'2. Program Allocation Output'!$AG:$AG,$B1102),"")</f>
        <v/>
      </c>
      <c r="E1102" s="5" t="str">
        <f>IFERROR(AVERAGEIFS('2. Program Allocation Output'!$L:$L,'2. Program Allocation Output'!$AF:$AF,$A1102,'2. Program Allocation Output'!$AG:$AG,$B1102),"")</f>
        <v/>
      </c>
      <c r="F1102" s="39" t="str">
        <f t="shared" si="37"/>
        <v/>
      </c>
      <c r="G1102" t="str">
        <f t="shared" ref="G1102:G1165" si="38">IFERROR(EXP(0.3*(F1102-C1102)/(E1102*0.1137)),"")</f>
        <v/>
      </c>
    </row>
    <row r="1103" spans="3:7" ht="15" hidden="1" x14ac:dyDescent="0.25">
      <c r="C1103" s="4" t="str">
        <f>IFERROR(AVERAGEIFS('2. Program Allocation Output'!$P:$P,'2. Program Allocation Output'!$AF:$AF,$A1103,'2. Program Allocation Output'!$AG:$AG,$B1103),"")</f>
        <v/>
      </c>
      <c r="D1103" s="4" t="str">
        <f>IFERROR(AVERAGEIFS('2. Program Allocation Output'!$O:$O,'2. Program Allocation Output'!$AF:$AF,$A1103,'2. Program Allocation Output'!$AG:$AG,$B1103),"")</f>
        <v/>
      </c>
      <c r="E1103" s="5" t="str">
        <f>IFERROR(AVERAGEIFS('2. Program Allocation Output'!$L:$L,'2. Program Allocation Output'!$AF:$AF,$A1103,'2. Program Allocation Output'!$AG:$AG,$B1103),"")</f>
        <v/>
      </c>
      <c r="F1103" s="39" t="str">
        <f t="shared" si="37"/>
        <v/>
      </c>
      <c r="G1103" t="str">
        <f t="shared" si="38"/>
        <v/>
      </c>
    </row>
    <row r="1104" spans="3:7" ht="15" hidden="1" x14ac:dyDescent="0.25">
      <c r="C1104" s="4" t="str">
        <f>IFERROR(AVERAGEIFS('2. Program Allocation Output'!$P:$P,'2. Program Allocation Output'!$AF:$AF,$A1104,'2. Program Allocation Output'!$AG:$AG,$B1104),"")</f>
        <v/>
      </c>
      <c r="D1104" s="4" t="str">
        <f>IFERROR(AVERAGEIFS('2. Program Allocation Output'!$O:$O,'2. Program Allocation Output'!$AF:$AF,$A1104,'2. Program Allocation Output'!$AG:$AG,$B1104),"")</f>
        <v/>
      </c>
      <c r="E1104" s="5" t="str">
        <f>IFERROR(AVERAGEIFS('2. Program Allocation Output'!$L:$L,'2. Program Allocation Output'!$AF:$AF,$A1104,'2. Program Allocation Output'!$AG:$AG,$B1104),"")</f>
        <v/>
      </c>
      <c r="F1104" s="39" t="str">
        <f t="shared" si="37"/>
        <v/>
      </c>
      <c r="G1104" t="str">
        <f t="shared" si="38"/>
        <v/>
      </c>
    </row>
    <row r="1105" spans="3:7" ht="15" hidden="1" x14ac:dyDescent="0.25">
      <c r="C1105" s="4" t="str">
        <f>IFERROR(AVERAGEIFS('2. Program Allocation Output'!$P:$P,'2. Program Allocation Output'!$AF:$AF,$A1105,'2. Program Allocation Output'!$AG:$AG,$B1105),"")</f>
        <v/>
      </c>
      <c r="D1105" s="4" t="str">
        <f>IFERROR(AVERAGEIFS('2. Program Allocation Output'!$O:$O,'2. Program Allocation Output'!$AF:$AF,$A1105,'2. Program Allocation Output'!$AG:$AG,$B1105),"")</f>
        <v/>
      </c>
      <c r="E1105" s="5" t="str">
        <f>IFERROR(AVERAGEIFS('2. Program Allocation Output'!$L:$L,'2. Program Allocation Output'!$AF:$AF,$A1105,'2. Program Allocation Output'!$AG:$AG,$B1105),"")</f>
        <v/>
      </c>
      <c r="F1105" s="39" t="str">
        <f t="shared" si="37"/>
        <v/>
      </c>
      <c r="G1105" t="str">
        <f t="shared" si="38"/>
        <v/>
      </c>
    </row>
    <row r="1106" spans="3:7" ht="15" hidden="1" x14ac:dyDescent="0.25">
      <c r="C1106" s="4" t="str">
        <f>IFERROR(AVERAGEIFS('2. Program Allocation Output'!$P:$P,'2. Program Allocation Output'!$AF:$AF,$A1106,'2. Program Allocation Output'!$AG:$AG,$B1106),"")</f>
        <v/>
      </c>
      <c r="D1106" s="4" t="str">
        <f>IFERROR(AVERAGEIFS('2. Program Allocation Output'!$O:$O,'2. Program Allocation Output'!$AF:$AF,$A1106,'2. Program Allocation Output'!$AG:$AG,$B1106),"")</f>
        <v/>
      </c>
      <c r="E1106" s="5" t="str">
        <f>IFERROR(AVERAGEIFS('2. Program Allocation Output'!$L:$L,'2. Program Allocation Output'!$AF:$AF,$A1106,'2. Program Allocation Output'!$AG:$AG,$B1106),"")</f>
        <v/>
      </c>
      <c r="F1106" s="39" t="str">
        <f t="shared" si="37"/>
        <v/>
      </c>
      <c r="G1106" t="str">
        <f t="shared" si="38"/>
        <v/>
      </c>
    </row>
    <row r="1107" spans="3:7" ht="15" hidden="1" x14ac:dyDescent="0.25">
      <c r="C1107" s="4" t="str">
        <f>IFERROR(AVERAGEIFS('2. Program Allocation Output'!$P:$P,'2. Program Allocation Output'!$AF:$AF,$A1107,'2. Program Allocation Output'!$AG:$AG,$B1107),"")</f>
        <v/>
      </c>
      <c r="D1107" s="4" t="str">
        <f>IFERROR(AVERAGEIFS('2. Program Allocation Output'!$O:$O,'2. Program Allocation Output'!$AF:$AF,$A1107,'2. Program Allocation Output'!$AG:$AG,$B1107),"")</f>
        <v/>
      </c>
      <c r="E1107" s="5" t="str">
        <f>IFERROR(AVERAGEIFS('2. Program Allocation Output'!$L:$L,'2. Program Allocation Output'!$AF:$AF,$A1107,'2. Program Allocation Output'!$AG:$AG,$B1107),"")</f>
        <v/>
      </c>
      <c r="F1107" s="39" t="str">
        <f t="shared" si="37"/>
        <v/>
      </c>
      <c r="G1107" t="str">
        <f t="shared" si="38"/>
        <v/>
      </c>
    </row>
    <row r="1108" spans="3:7" ht="15" hidden="1" x14ac:dyDescent="0.25">
      <c r="C1108" s="4" t="str">
        <f>IFERROR(AVERAGEIFS('2. Program Allocation Output'!$P:$P,'2. Program Allocation Output'!$AF:$AF,$A1108,'2. Program Allocation Output'!$AG:$AG,$B1108),"")</f>
        <v/>
      </c>
      <c r="D1108" s="4" t="str">
        <f>IFERROR(AVERAGEIFS('2. Program Allocation Output'!$O:$O,'2. Program Allocation Output'!$AF:$AF,$A1108,'2. Program Allocation Output'!$AG:$AG,$B1108),"")</f>
        <v/>
      </c>
      <c r="E1108" s="5" t="str">
        <f>IFERROR(AVERAGEIFS('2. Program Allocation Output'!$L:$L,'2. Program Allocation Output'!$AF:$AF,$A1108,'2. Program Allocation Output'!$AG:$AG,$B1108),"")</f>
        <v/>
      </c>
      <c r="F1108" s="39" t="str">
        <f t="shared" si="37"/>
        <v/>
      </c>
      <c r="G1108" t="str">
        <f t="shared" si="38"/>
        <v/>
      </c>
    </row>
    <row r="1109" spans="3:7" ht="15" hidden="1" x14ac:dyDescent="0.25">
      <c r="C1109" s="4" t="str">
        <f>IFERROR(AVERAGEIFS('2. Program Allocation Output'!$P:$P,'2. Program Allocation Output'!$AF:$AF,$A1109,'2. Program Allocation Output'!$AG:$AG,$B1109),"")</f>
        <v/>
      </c>
      <c r="D1109" s="4" t="str">
        <f>IFERROR(AVERAGEIFS('2. Program Allocation Output'!$O:$O,'2. Program Allocation Output'!$AF:$AF,$A1109,'2. Program Allocation Output'!$AG:$AG,$B1109),"")</f>
        <v/>
      </c>
      <c r="E1109" s="5" t="str">
        <f>IFERROR(AVERAGEIFS('2. Program Allocation Output'!$L:$L,'2. Program Allocation Output'!$AF:$AF,$A1109,'2. Program Allocation Output'!$AG:$AG,$B1109),"")</f>
        <v/>
      </c>
      <c r="F1109" s="39" t="str">
        <f t="shared" si="37"/>
        <v/>
      </c>
      <c r="G1109" t="str">
        <f t="shared" si="38"/>
        <v/>
      </c>
    </row>
    <row r="1110" spans="3:7" ht="15" hidden="1" x14ac:dyDescent="0.25">
      <c r="C1110" s="4" t="str">
        <f>IFERROR(AVERAGEIFS('2. Program Allocation Output'!$P:$P,'2. Program Allocation Output'!$AF:$AF,$A1110,'2. Program Allocation Output'!$AG:$AG,$B1110),"")</f>
        <v/>
      </c>
      <c r="D1110" s="4" t="str">
        <f>IFERROR(AVERAGEIFS('2. Program Allocation Output'!$O:$O,'2. Program Allocation Output'!$AF:$AF,$A1110,'2. Program Allocation Output'!$AG:$AG,$B1110),"")</f>
        <v/>
      </c>
      <c r="E1110" s="5" t="str">
        <f>IFERROR(AVERAGEIFS('2. Program Allocation Output'!$L:$L,'2. Program Allocation Output'!$AF:$AF,$A1110,'2. Program Allocation Output'!$AG:$AG,$B1110),"")</f>
        <v/>
      </c>
      <c r="F1110" s="39" t="str">
        <f t="shared" si="37"/>
        <v/>
      </c>
      <c r="G1110" t="str">
        <f t="shared" si="38"/>
        <v/>
      </c>
    </row>
    <row r="1111" spans="3:7" ht="15" hidden="1" x14ac:dyDescent="0.25">
      <c r="C1111" s="4" t="str">
        <f>IFERROR(AVERAGEIFS('2. Program Allocation Output'!$P:$P,'2. Program Allocation Output'!$AF:$AF,$A1111,'2. Program Allocation Output'!$AG:$AG,$B1111),"")</f>
        <v/>
      </c>
      <c r="D1111" s="4" t="str">
        <f>IFERROR(AVERAGEIFS('2. Program Allocation Output'!$O:$O,'2. Program Allocation Output'!$AF:$AF,$A1111,'2. Program Allocation Output'!$AG:$AG,$B1111),"")</f>
        <v/>
      </c>
      <c r="E1111" s="5" t="str">
        <f>IFERROR(AVERAGEIFS('2. Program Allocation Output'!$L:$L,'2. Program Allocation Output'!$AF:$AF,$A1111,'2. Program Allocation Output'!$AG:$AG,$B1111),"")</f>
        <v/>
      </c>
      <c r="F1111" s="39" t="str">
        <f t="shared" si="37"/>
        <v/>
      </c>
      <c r="G1111" t="str">
        <f t="shared" si="38"/>
        <v/>
      </c>
    </row>
    <row r="1112" spans="3:7" ht="15" hidden="1" x14ac:dyDescent="0.25">
      <c r="C1112" s="4" t="str">
        <f>IFERROR(AVERAGEIFS('2. Program Allocation Output'!$P:$P,'2. Program Allocation Output'!$AF:$AF,$A1112,'2. Program Allocation Output'!$AG:$AG,$B1112),"")</f>
        <v/>
      </c>
      <c r="D1112" s="4" t="str">
        <f>IFERROR(AVERAGEIFS('2. Program Allocation Output'!$O:$O,'2. Program Allocation Output'!$AF:$AF,$A1112,'2. Program Allocation Output'!$AG:$AG,$B1112),"")</f>
        <v/>
      </c>
      <c r="E1112" s="5" t="str">
        <f>IFERROR(AVERAGEIFS('2. Program Allocation Output'!$L:$L,'2. Program Allocation Output'!$AF:$AF,$A1112,'2. Program Allocation Output'!$AG:$AG,$B1112),"")</f>
        <v/>
      </c>
      <c r="F1112" s="39" t="str">
        <f t="shared" si="37"/>
        <v/>
      </c>
      <c r="G1112" t="str">
        <f t="shared" si="38"/>
        <v/>
      </c>
    </row>
    <row r="1113" spans="3:7" ht="15" hidden="1" x14ac:dyDescent="0.25">
      <c r="C1113" s="4" t="str">
        <f>IFERROR(AVERAGEIFS('2. Program Allocation Output'!$P:$P,'2. Program Allocation Output'!$AF:$AF,$A1113,'2. Program Allocation Output'!$AG:$AG,$B1113),"")</f>
        <v/>
      </c>
      <c r="D1113" s="4" t="str">
        <f>IFERROR(AVERAGEIFS('2. Program Allocation Output'!$O:$O,'2. Program Allocation Output'!$AF:$AF,$A1113,'2. Program Allocation Output'!$AG:$AG,$B1113),"")</f>
        <v/>
      </c>
      <c r="E1113" s="5" t="str">
        <f>IFERROR(AVERAGEIFS('2. Program Allocation Output'!$L:$L,'2. Program Allocation Output'!$AF:$AF,$A1113,'2. Program Allocation Output'!$AG:$AG,$B1113),"")</f>
        <v/>
      </c>
      <c r="F1113" s="39" t="str">
        <f t="shared" si="37"/>
        <v/>
      </c>
      <c r="G1113" t="str">
        <f t="shared" si="38"/>
        <v/>
      </c>
    </row>
    <row r="1114" spans="3:7" ht="15" hidden="1" x14ac:dyDescent="0.25">
      <c r="C1114" s="4" t="str">
        <f>IFERROR(AVERAGEIFS('2. Program Allocation Output'!$P:$P,'2. Program Allocation Output'!$AF:$AF,$A1114,'2. Program Allocation Output'!$AG:$AG,$B1114),"")</f>
        <v/>
      </c>
      <c r="D1114" s="4" t="str">
        <f>IFERROR(AVERAGEIFS('2. Program Allocation Output'!$O:$O,'2. Program Allocation Output'!$AF:$AF,$A1114,'2. Program Allocation Output'!$AG:$AG,$B1114),"")</f>
        <v/>
      </c>
      <c r="E1114" s="5" t="str">
        <f>IFERROR(AVERAGEIFS('2. Program Allocation Output'!$L:$L,'2. Program Allocation Output'!$AF:$AF,$A1114,'2. Program Allocation Output'!$AG:$AG,$B1114),"")</f>
        <v/>
      </c>
      <c r="F1114" s="39" t="str">
        <f t="shared" si="37"/>
        <v/>
      </c>
      <c r="G1114" t="str">
        <f t="shared" si="38"/>
        <v/>
      </c>
    </row>
    <row r="1115" spans="3:7" ht="15" hidden="1" x14ac:dyDescent="0.25">
      <c r="C1115" s="4" t="str">
        <f>IFERROR(AVERAGEIFS('2. Program Allocation Output'!$P:$P,'2. Program Allocation Output'!$AF:$AF,$A1115,'2. Program Allocation Output'!$AG:$AG,$B1115),"")</f>
        <v/>
      </c>
      <c r="D1115" s="4" t="str">
        <f>IFERROR(AVERAGEIFS('2. Program Allocation Output'!$O:$O,'2. Program Allocation Output'!$AF:$AF,$A1115,'2. Program Allocation Output'!$AG:$AG,$B1115),"")</f>
        <v/>
      </c>
      <c r="E1115" s="5" t="str">
        <f>IFERROR(AVERAGEIFS('2. Program Allocation Output'!$L:$L,'2. Program Allocation Output'!$AF:$AF,$A1115,'2. Program Allocation Output'!$AG:$AG,$B1115),"")</f>
        <v/>
      </c>
      <c r="F1115" s="39" t="str">
        <f t="shared" si="37"/>
        <v/>
      </c>
      <c r="G1115" t="str">
        <f t="shared" si="38"/>
        <v/>
      </c>
    </row>
    <row r="1116" spans="3:7" ht="15" hidden="1" x14ac:dyDescent="0.25">
      <c r="C1116" s="4" t="str">
        <f>IFERROR(AVERAGEIFS('2. Program Allocation Output'!$P:$P,'2. Program Allocation Output'!$AF:$AF,$A1116,'2. Program Allocation Output'!$AG:$AG,$B1116),"")</f>
        <v/>
      </c>
      <c r="D1116" s="4" t="str">
        <f>IFERROR(AVERAGEIFS('2. Program Allocation Output'!$O:$O,'2. Program Allocation Output'!$AF:$AF,$A1116,'2. Program Allocation Output'!$AG:$AG,$B1116),"")</f>
        <v/>
      </c>
      <c r="E1116" s="5" t="str">
        <f>IFERROR(AVERAGEIFS('2. Program Allocation Output'!$L:$L,'2. Program Allocation Output'!$AF:$AF,$A1116,'2. Program Allocation Output'!$AG:$AG,$B1116),"")</f>
        <v/>
      </c>
      <c r="F1116" s="39" t="str">
        <f t="shared" si="37"/>
        <v/>
      </c>
      <c r="G1116" t="str">
        <f t="shared" si="38"/>
        <v/>
      </c>
    </row>
    <row r="1117" spans="3:7" ht="15" hidden="1" x14ac:dyDescent="0.25">
      <c r="C1117" s="4" t="str">
        <f>IFERROR(AVERAGEIFS('2. Program Allocation Output'!$P:$P,'2. Program Allocation Output'!$AF:$AF,$A1117,'2. Program Allocation Output'!$AG:$AG,$B1117),"")</f>
        <v/>
      </c>
      <c r="D1117" s="4" t="str">
        <f>IFERROR(AVERAGEIFS('2. Program Allocation Output'!$O:$O,'2. Program Allocation Output'!$AF:$AF,$A1117,'2. Program Allocation Output'!$AG:$AG,$B1117),"")</f>
        <v/>
      </c>
      <c r="E1117" s="5" t="str">
        <f>IFERROR(AVERAGEIFS('2. Program Allocation Output'!$L:$L,'2. Program Allocation Output'!$AF:$AF,$A1117,'2. Program Allocation Output'!$AG:$AG,$B1117),"")</f>
        <v/>
      </c>
      <c r="F1117" s="39" t="str">
        <f t="shared" si="37"/>
        <v/>
      </c>
      <c r="G1117" t="str">
        <f t="shared" si="38"/>
        <v/>
      </c>
    </row>
    <row r="1118" spans="3:7" ht="15" hidden="1" x14ac:dyDescent="0.25">
      <c r="C1118" s="4" t="str">
        <f>IFERROR(AVERAGEIFS('2. Program Allocation Output'!$P:$P,'2. Program Allocation Output'!$AF:$AF,$A1118,'2. Program Allocation Output'!$AG:$AG,$B1118),"")</f>
        <v/>
      </c>
      <c r="D1118" s="4" t="str">
        <f>IFERROR(AVERAGEIFS('2. Program Allocation Output'!$O:$O,'2. Program Allocation Output'!$AF:$AF,$A1118,'2. Program Allocation Output'!$AG:$AG,$B1118),"")</f>
        <v/>
      </c>
      <c r="E1118" s="5" t="str">
        <f>IFERROR(AVERAGEIFS('2. Program Allocation Output'!$L:$L,'2. Program Allocation Output'!$AF:$AF,$A1118,'2. Program Allocation Output'!$AG:$AG,$B1118),"")</f>
        <v/>
      </c>
      <c r="F1118" s="39" t="str">
        <f t="shared" si="37"/>
        <v/>
      </c>
      <c r="G1118" t="str">
        <f t="shared" si="38"/>
        <v/>
      </c>
    </row>
    <row r="1119" spans="3:7" ht="15" hidden="1" x14ac:dyDescent="0.25">
      <c r="C1119" s="4" t="str">
        <f>IFERROR(AVERAGEIFS('2. Program Allocation Output'!$P:$P,'2. Program Allocation Output'!$AF:$AF,$A1119,'2. Program Allocation Output'!$AG:$AG,$B1119),"")</f>
        <v/>
      </c>
      <c r="D1119" s="4" t="str">
        <f>IFERROR(AVERAGEIFS('2. Program Allocation Output'!$O:$O,'2. Program Allocation Output'!$AF:$AF,$A1119,'2. Program Allocation Output'!$AG:$AG,$B1119),"")</f>
        <v/>
      </c>
      <c r="E1119" s="5" t="str">
        <f>IFERROR(AVERAGEIFS('2. Program Allocation Output'!$L:$L,'2. Program Allocation Output'!$AF:$AF,$A1119,'2. Program Allocation Output'!$AG:$AG,$B1119),"")</f>
        <v/>
      </c>
      <c r="F1119" s="39" t="str">
        <f t="shared" si="37"/>
        <v/>
      </c>
      <c r="G1119" t="str">
        <f t="shared" si="38"/>
        <v/>
      </c>
    </row>
    <row r="1120" spans="3:7" ht="15" hidden="1" x14ac:dyDescent="0.25">
      <c r="C1120" s="4" t="str">
        <f>IFERROR(AVERAGEIFS('2. Program Allocation Output'!$P:$P,'2. Program Allocation Output'!$AF:$AF,$A1120,'2. Program Allocation Output'!$AG:$AG,$B1120),"")</f>
        <v/>
      </c>
      <c r="D1120" s="4" t="str">
        <f>IFERROR(AVERAGEIFS('2. Program Allocation Output'!$O:$O,'2. Program Allocation Output'!$AF:$AF,$A1120,'2. Program Allocation Output'!$AG:$AG,$B1120),"")</f>
        <v/>
      </c>
      <c r="E1120" s="5" t="str">
        <f>IFERROR(AVERAGEIFS('2. Program Allocation Output'!$L:$L,'2. Program Allocation Output'!$AF:$AF,$A1120,'2. Program Allocation Output'!$AG:$AG,$B1120),"")</f>
        <v/>
      </c>
      <c r="F1120" s="39" t="str">
        <f t="shared" si="37"/>
        <v/>
      </c>
      <c r="G1120" t="str">
        <f t="shared" si="38"/>
        <v/>
      </c>
    </row>
    <row r="1121" spans="3:7" ht="15" hidden="1" x14ac:dyDescent="0.25">
      <c r="C1121" s="4" t="str">
        <f>IFERROR(AVERAGEIFS('2. Program Allocation Output'!$P:$P,'2. Program Allocation Output'!$AF:$AF,$A1121,'2. Program Allocation Output'!$AG:$AG,$B1121),"")</f>
        <v/>
      </c>
      <c r="D1121" s="4" t="str">
        <f>IFERROR(AVERAGEIFS('2. Program Allocation Output'!$O:$O,'2. Program Allocation Output'!$AF:$AF,$A1121,'2. Program Allocation Output'!$AG:$AG,$B1121),"")</f>
        <v/>
      </c>
      <c r="E1121" s="5" t="str">
        <f>IFERROR(AVERAGEIFS('2. Program Allocation Output'!$L:$L,'2. Program Allocation Output'!$AF:$AF,$A1121,'2. Program Allocation Output'!$AG:$AG,$B1121),"")</f>
        <v/>
      </c>
      <c r="F1121" s="39" t="str">
        <f t="shared" si="37"/>
        <v/>
      </c>
      <c r="G1121" t="str">
        <f t="shared" si="38"/>
        <v/>
      </c>
    </row>
    <row r="1122" spans="3:7" ht="15" hidden="1" x14ac:dyDescent="0.25">
      <c r="C1122" s="4" t="str">
        <f>IFERROR(AVERAGEIFS('2. Program Allocation Output'!$P:$P,'2. Program Allocation Output'!$AF:$AF,$A1122,'2. Program Allocation Output'!$AG:$AG,$B1122),"")</f>
        <v/>
      </c>
      <c r="D1122" s="4" t="str">
        <f>IFERROR(AVERAGEIFS('2. Program Allocation Output'!$O:$O,'2. Program Allocation Output'!$AF:$AF,$A1122,'2. Program Allocation Output'!$AG:$AG,$B1122),"")</f>
        <v/>
      </c>
      <c r="E1122" s="5" t="str">
        <f>IFERROR(AVERAGEIFS('2. Program Allocation Output'!$L:$L,'2. Program Allocation Output'!$AF:$AF,$A1122,'2. Program Allocation Output'!$AG:$AG,$B1122),"")</f>
        <v/>
      </c>
      <c r="F1122" s="39" t="str">
        <f t="shared" si="37"/>
        <v/>
      </c>
      <c r="G1122" t="str">
        <f t="shared" si="38"/>
        <v/>
      </c>
    </row>
    <row r="1123" spans="3:7" ht="15" hidden="1" x14ac:dyDescent="0.25">
      <c r="C1123" s="4" t="str">
        <f>IFERROR(AVERAGEIFS('2. Program Allocation Output'!$P:$P,'2. Program Allocation Output'!$AF:$AF,$A1123,'2. Program Allocation Output'!$AG:$AG,$B1123),"")</f>
        <v/>
      </c>
      <c r="D1123" s="4" t="str">
        <f>IFERROR(AVERAGEIFS('2. Program Allocation Output'!$O:$O,'2. Program Allocation Output'!$AF:$AF,$A1123,'2. Program Allocation Output'!$AG:$AG,$B1123),"")</f>
        <v/>
      </c>
      <c r="E1123" s="5" t="str">
        <f>IFERROR(AVERAGEIFS('2. Program Allocation Output'!$L:$L,'2. Program Allocation Output'!$AF:$AF,$A1123,'2. Program Allocation Output'!$AG:$AG,$B1123),"")</f>
        <v/>
      </c>
      <c r="F1123" s="39" t="str">
        <f t="shared" si="37"/>
        <v/>
      </c>
      <c r="G1123" t="str">
        <f t="shared" si="38"/>
        <v/>
      </c>
    </row>
    <row r="1124" spans="3:7" ht="15" hidden="1" x14ac:dyDescent="0.25">
      <c r="C1124" s="4" t="str">
        <f>IFERROR(AVERAGEIFS('2. Program Allocation Output'!$P:$P,'2. Program Allocation Output'!$AF:$AF,$A1124,'2. Program Allocation Output'!$AG:$AG,$B1124),"")</f>
        <v/>
      </c>
      <c r="D1124" s="4" t="str">
        <f>IFERROR(AVERAGEIFS('2. Program Allocation Output'!$O:$O,'2. Program Allocation Output'!$AF:$AF,$A1124,'2. Program Allocation Output'!$AG:$AG,$B1124),"")</f>
        <v/>
      </c>
      <c r="E1124" s="5" t="str">
        <f>IFERROR(AVERAGEIFS('2. Program Allocation Output'!$L:$L,'2. Program Allocation Output'!$AF:$AF,$A1124,'2. Program Allocation Output'!$AG:$AG,$B1124),"")</f>
        <v/>
      </c>
      <c r="F1124" s="39" t="str">
        <f t="shared" si="37"/>
        <v/>
      </c>
      <c r="G1124" t="str">
        <f t="shared" si="38"/>
        <v/>
      </c>
    </row>
    <row r="1125" spans="3:7" ht="15" hidden="1" x14ac:dyDescent="0.25">
      <c r="C1125" s="4" t="str">
        <f>IFERROR(AVERAGEIFS('2. Program Allocation Output'!$P:$P,'2. Program Allocation Output'!$AF:$AF,$A1125,'2. Program Allocation Output'!$AG:$AG,$B1125),"")</f>
        <v/>
      </c>
      <c r="D1125" s="4" t="str">
        <f>IFERROR(AVERAGEIFS('2. Program Allocation Output'!$O:$O,'2. Program Allocation Output'!$AF:$AF,$A1125,'2. Program Allocation Output'!$AG:$AG,$B1125),"")</f>
        <v/>
      </c>
      <c r="E1125" s="5" t="str">
        <f>IFERROR(AVERAGEIFS('2. Program Allocation Output'!$L:$L,'2. Program Allocation Output'!$AF:$AF,$A1125,'2. Program Allocation Output'!$AG:$AG,$B1125),"")</f>
        <v/>
      </c>
      <c r="F1125" s="39" t="str">
        <f t="shared" si="37"/>
        <v/>
      </c>
      <c r="G1125" t="str">
        <f t="shared" si="38"/>
        <v/>
      </c>
    </row>
    <row r="1126" spans="3:7" ht="15" hidden="1" x14ac:dyDescent="0.25">
      <c r="C1126" s="4" t="str">
        <f>IFERROR(AVERAGEIFS('2. Program Allocation Output'!$P:$P,'2. Program Allocation Output'!$AF:$AF,$A1126,'2. Program Allocation Output'!$AG:$AG,$B1126),"")</f>
        <v/>
      </c>
      <c r="D1126" s="4" t="str">
        <f>IFERROR(AVERAGEIFS('2. Program Allocation Output'!$O:$O,'2. Program Allocation Output'!$AF:$AF,$A1126,'2. Program Allocation Output'!$AG:$AG,$B1126),"")</f>
        <v/>
      </c>
      <c r="E1126" s="5" t="str">
        <f>IFERROR(AVERAGEIFS('2. Program Allocation Output'!$L:$L,'2. Program Allocation Output'!$AF:$AF,$A1126,'2. Program Allocation Output'!$AG:$AG,$B1126),"")</f>
        <v/>
      </c>
      <c r="F1126" s="39" t="str">
        <f t="shared" si="37"/>
        <v/>
      </c>
      <c r="G1126" t="str">
        <f t="shared" si="38"/>
        <v/>
      </c>
    </row>
    <row r="1127" spans="3:7" ht="15" hidden="1" x14ac:dyDescent="0.25">
      <c r="C1127" s="4" t="str">
        <f>IFERROR(AVERAGEIFS('2. Program Allocation Output'!$P:$P,'2. Program Allocation Output'!$AF:$AF,$A1127,'2. Program Allocation Output'!$AG:$AG,$B1127),"")</f>
        <v/>
      </c>
      <c r="D1127" s="4" t="str">
        <f>IFERROR(AVERAGEIFS('2. Program Allocation Output'!$O:$O,'2. Program Allocation Output'!$AF:$AF,$A1127,'2. Program Allocation Output'!$AG:$AG,$B1127),"")</f>
        <v/>
      </c>
      <c r="E1127" s="5" t="str">
        <f>IFERROR(AVERAGEIFS('2. Program Allocation Output'!$L:$L,'2. Program Allocation Output'!$AF:$AF,$A1127,'2. Program Allocation Output'!$AG:$AG,$B1127),"")</f>
        <v/>
      </c>
      <c r="F1127" s="39" t="str">
        <f t="shared" si="37"/>
        <v/>
      </c>
      <c r="G1127" t="str">
        <f t="shared" si="38"/>
        <v/>
      </c>
    </row>
    <row r="1128" spans="3:7" ht="15" hidden="1" x14ac:dyDescent="0.25">
      <c r="C1128" s="4" t="str">
        <f>IFERROR(AVERAGEIFS('2. Program Allocation Output'!$P:$P,'2. Program Allocation Output'!$AF:$AF,$A1128,'2. Program Allocation Output'!$AG:$AG,$B1128),"")</f>
        <v/>
      </c>
      <c r="D1128" s="4" t="str">
        <f>IFERROR(AVERAGEIFS('2. Program Allocation Output'!$O:$O,'2. Program Allocation Output'!$AF:$AF,$A1128,'2. Program Allocation Output'!$AG:$AG,$B1128),"")</f>
        <v/>
      </c>
      <c r="E1128" s="5" t="str">
        <f>IFERROR(AVERAGEIFS('2. Program Allocation Output'!$L:$L,'2. Program Allocation Output'!$AF:$AF,$A1128,'2. Program Allocation Output'!$AG:$AG,$B1128),"")</f>
        <v/>
      </c>
      <c r="F1128" s="39" t="str">
        <f t="shared" si="37"/>
        <v/>
      </c>
      <c r="G1128" t="str">
        <f t="shared" si="38"/>
        <v/>
      </c>
    </row>
    <row r="1129" spans="3:7" ht="15" hidden="1" x14ac:dyDescent="0.25">
      <c r="C1129" s="4" t="str">
        <f>IFERROR(AVERAGEIFS('2. Program Allocation Output'!$P:$P,'2. Program Allocation Output'!$AF:$AF,$A1129,'2. Program Allocation Output'!$AG:$AG,$B1129),"")</f>
        <v/>
      </c>
      <c r="D1129" s="4" t="str">
        <f>IFERROR(AVERAGEIFS('2. Program Allocation Output'!$O:$O,'2. Program Allocation Output'!$AF:$AF,$A1129,'2. Program Allocation Output'!$AG:$AG,$B1129),"")</f>
        <v/>
      </c>
      <c r="E1129" s="5" t="str">
        <f>IFERROR(AVERAGEIFS('2. Program Allocation Output'!$L:$L,'2. Program Allocation Output'!$AF:$AF,$A1129,'2. Program Allocation Output'!$AG:$AG,$B1129),"")</f>
        <v/>
      </c>
      <c r="F1129" s="39" t="str">
        <f t="shared" si="37"/>
        <v/>
      </c>
      <c r="G1129" t="str">
        <f t="shared" si="38"/>
        <v/>
      </c>
    </row>
    <row r="1130" spans="3:7" ht="15" hidden="1" x14ac:dyDescent="0.25">
      <c r="C1130" s="4" t="str">
        <f>IFERROR(AVERAGEIFS('2. Program Allocation Output'!$P:$P,'2. Program Allocation Output'!$AF:$AF,$A1130,'2. Program Allocation Output'!$AG:$AG,$B1130),"")</f>
        <v/>
      </c>
      <c r="D1130" s="4" t="str">
        <f>IFERROR(AVERAGEIFS('2. Program Allocation Output'!$O:$O,'2. Program Allocation Output'!$AF:$AF,$A1130,'2. Program Allocation Output'!$AG:$AG,$B1130),"")</f>
        <v/>
      </c>
      <c r="E1130" s="5" t="str">
        <f>IFERROR(AVERAGEIFS('2. Program Allocation Output'!$L:$L,'2. Program Allocation Output'!$AF:$AF,$A1130,'2. Program Allocation Output'!$AG:$AG,$B1130),"")</f>
        <v/>
      </c>
      <c r="F1130" s="39" t="str">
        <f t="shared" si="37"/>
        <v/>
      </c>
      <c r="G1130" t="str">
        <f t="shared" si="38"/>
        <v/>
      </c>
    </row>
    <row r="1131" spans="3:7" ht="15" hidden="1" x14ac:dyDescent="0.25">
      <c r="C1131" s="4" t="str">
        <f>IFERROR(AVERAGEIFS('2. Program Allocation Output'!$P:$P,'2. Program Allocation Output'!$AF:$AF,$A1131,'2. Program Allocation Output'!$AG:$AG,$B1131),"")</f>
        <v/>
      </c>
      <c r="D1131" s="4" t="str">
        <f>IFERROR(AVERAGEIFS('2. Program Allocation Output'!$O:$O,'2. Program Allocation Output'!$AF:$AF,$A1131,'2. Program Allocation Output'!$AG:$AG,$B1131),"")</f>
        <v/>
      </c>
      <c r="E1131" s="5" t="str">
        <f>IFERROR(AVERAGEIFS('2. Program Allocation Output'!$L:$L,'2. Program Allocation Output'!$AF:$AF,$A1131,'2. Program Allocation Output'!$AG:$AG,$B1131),"")</f>
        <v/>
      </c>
      <c r="F1131" s="39" t="str">
        <f t="shared" si="37"/>
        <v/>
      </c>
      <c r="G1131" t="str">
        <f t="shared" si="38"/>
        <v/>
      </c>
    </row>
    <row r="1132" spans="3:7" ht="15" hidden="1" x14ac:dyDescent="0.25">
      <c r="C1132" s="4" t="str">
        <f>IFERROR(AVERAGEIFS('2. Program Allocation Output'!$P:$P,'2. Program Allocation Output'!$AF:$AF,$A1132,'2. Program Allocation Output'!$AG:$AG,$B1132),"")</f>
        <v/>
      </c>
      <c r="D1132" s="4" t="str">
        <f>IFERROR(AVERAGEIFS('2. Program Allocation Output'!$O:$O,'2. Program Allocation Output'!$AF:$AF,$A1132,'2. Program Allocation Output'!$AG:$AG,$B1132),"")</f>
        <v/>
      </c>
      <c r="E1132" s="5" t="str">
        <f>IFERROR(AVERAGEIFS('2. Program Allocation Output'!$L:$L,'2. Program Allocation Output'!$AF:$AF,$A1132,'2. Program Allocation Output'!$AG:$AG,$B1132),"")</f>
        <v/>
      </c>
      <c r="F1132" s="39" t="str">
        <f t="shared" si="37"/>
        <v/>
      </c>
      <c r="G1132" t="str">
        <f t="shared" si="38"/>
        <v/>
      </c>
    </row>
    <row r="1133" spans="3:7" ht="15" hidden="1" x14ac:dyDescent="0.25">
      <c r="C1133" s="4" t="str">
        <f>IFERROR(AVERAGEIFS('2. Program Allocation Output'!$P:$P,'2. Program Allocation Output'!$AF:$AF,$A1133,'2. Program Allocation Output'!$AG:$AG,$B1133),"")</f>
        <v/>
      </c>
      <c r="D1133" s="4" t="str">
        <f>IFERROR(AVERAGEIFS('2. Program Allocation Output'!$O:$O,'2. Program Allocation Output'!$AF:$AF,$A1133,'2. Program Allocation Output'!$AG:$AG,$B1133),"")</f>
        <v/>
      </c>
      <c r="E1133" s="5" t="str">
        <f>IFERROR(AVERAGEIFS('2. Program Allocation Output'!$L:$L,'2. Program Allocation Output'!$AF:$AF,$A1133,'2. Program Allocation Output'!$AG:$AG,$B1133),"")</f>
        <v/>
      </c>
      <c r="F1133" s="39" t="str">
        <f t="shared" si="37"/>
        <v/>
      </c>
      <c r="G1133" t="str">
        <f t="shared" si="38"/>
        <v/>
      </c>
    </row>
    <row r="1134" spans="3:7" ht="15" hidden="1" x14ac:dyDescent="0.25">
      <c r="C1134" s="4" t="str">
        <f>IFERROR(AVERAGEIFS('2. Program Allocation Output'!$P:$P,'2. Program Allocation Output'!$AF:$AF,$A1134,'2. Program Allocation Output'!$AG:$AG,$B1134),"")</f>
        <v/>
      </c>
      <c r="D1134" s="4" t="str">
        <f>IFERROR(AVERAGEIFS('2. Program Allocation Output'!$O:$O,'2. Program Allocation Output'!$AF:$AF,$A1134,'2. Program Allocation Output'!$AG:$AG,$B1134),"")</f>
        <v/>
      </c>
      <c r="E1134" s="5" t="str">
        <f>IFERROR(AVERAGEIFS('2. Program Allocation Output'!$L:$L,'2. Program Allocation Output'!$AF:$AF,$A1134,'2. Program Allocation Output'!$AG:$AG,$B1134),"")</f>
        <v/>
      </c>
      <c r="F1134" s="39" t="str">
        <f t="shared" si="37"/>
        <v/>
      </c>
      <c r="G1134" t="str">
        <f t="shared" si="38"/>
        <v/>
      </c>
    </row>
    <row r="1135" spans="3:7" ht="15" hidden="1" x14ac:dyDescent="0.25">
      <c r="C1135" s="4" t="str">
        <f>IFERROR(AVERAGEIFS('2. Program Allocation Output'!$P:$P,'2. Program Allocation Output'!$AF:$AF,$A1135,'2. Program Allocation Output'!$AG:$AG,$B1135),"")</f>
        <v/>
      </c>
      <c r="D1135" s="4" t="str">
        <f>IFERROR(AVERAGEIFS('2. Program Allocation Output'!$O:$O,'2. Program Allocation Output'!$AF:$AF,$A1135,'2. Program Allocation Output'!$AG:$AG,$B1135),"")</f>
        <v/>
      </c>
      <c r="E1135" s="5" t="str">
        <f>IFERROR(AVERAGEIFS('2. Program Allocation Output'!$L:$L,'2. Program Allocation Output'!$AF:$AF,$A1135,'2. Program Allocation Output'!$AG:$AG,$B1135),"")</f>
        <v/>
      </c>
      <c r="F1135" s="39" t="str">
        <f t="shared" si="37"/>
        <v/>
      </c>
      <c r="G1135" t="str">
        <f t="shared" si="38"/>
        <v/>
      </c>
    </row>
    <row r="1136" spans="3:7" ht="15" hidden="1" x14ac:dyDescent="0.25">
      <c r="C1136" s="4" t="str">
        <f>IFERROR(AVERAGEIFS('2. Program Allocation Output'!$P:$P,'2. Program Allocation Output'!$AF:$AF,$A1136,'2. Program Allocation Output'!$AG:$AG,$B1136),"")</f>
        <v/>
      </c>
      <c r="D1136" s="4" t="str">
        <f>IFERROR(AVERAGEIFS('2. Program Allocation Output'!$O:$O,'2. Program Allocation Output'!$AF:$AF,$A1136,'2. Program Allocation Output'!$AG:$AG,$B1136),"")</f>
        <v/>
      </c>
      <c r="E1136" s="5" t="str">
        <f>IFERROR(AVERAGEIFS('2. Program Allocation Output'!$L:$L,'2. Program Allocation Output'!$AF:$AF,$A1136,'2. Program Allocation Output'!$AG:$AG,$B1136),"")</f>
        <v/>
      </c>
      <c r="F1136" s="39" t="str">
        <f t="shared" si="37"/>
        <v/>
      </c>
      <c r="G1136" t="str">
        <f t="shared" si="38"/>
        <v/>
      </c>
    </row>
    <row r="1137" spans="3:7" ht="15" hidden="1" x14ac:dyDescent="0.25">
      <c r="C1137" s="4" t="str">
        <f>IFERROR(AVERAGEIFS('2. Program Allocation Output'!$P:$P,'2. Program Allocation Output'!$AF:$AF,$A1137,'2. Program Allocation Output'!$AG:$AG,$B1137),"")</f>
        <v/>
      </c>
      <c r="D1137" s="4" t="str">
        <f>IFERROR(AVERAGEIFS('2. Program Allocation Output'!$O:$O,'2. Program Allocation Output'!$AF:$AF,$A1137,'2. Program Allocation Output'!$AG:$AG,$B1137),"")</f>
        <v/>
      </c>
      <c r="E1137" s="5" t="str">
        <f>IFERROR(AVERAGEIFS('2. Program Allocation Output'!$L:$L,'2. Program Allocation Output'!$AF:$AF,$A1137,'2. Program Allocation Output'!$AG:$AG,$B1137),"")</f>
        <v/>
      </c>
      <c r="F1137" s="39" t="str">
        <f t="shared" si="37"/>
        <v/>
      </c>
      <c r="G1137" t="str">
        <f t="shared" si="38"/>
        <v/>
      </c>
    </row>
    <row r="1138" spans="3:7" ht="15" hidden="1" x14ac:dyDescent="0.25">
      <c r="C1138" s="4" t="str">
        <f>IFERROR(AVERAGEIFS('2. Program Allocation Output'!$P:$P,'2. Program Allocation Output'!$AF:$AF,$A1138,'2. Program Allocation Output'!$AG:$AG,$B1138),"")</f>
        <v/>
      </c>
      <c r="D1138" s="4" t="str">
        <f>IFERROR(AVERAGEIFS('2. Program Allocation Output'!$O:$O,'2. Program Allocation Output'!$AF:$AF,$A1138,'2. Program Allocation Output'!$AG:$AG,$B1138),"")</f>
        <v/>
      </c>
      <c r="E1138" s="5" t="str">
        <f>IFERROR(AVERAGEIFS('2. Program Allocation Output'!$L:$L,'2. Program Allocation Output'!$AF:$AF,$A1138,'2. Program Allocation Output'!$AG:$AG,$B1138),"")</f>
        <v/>
      </c>
      <c r="F1138" s="39" t="str">
        <f t="shared" si="37"/>
        <v/>
      </c>
      <c r="G1138" t="str">
        <f t="shared" si="38"/>
        <v/>
      </c>
    </row>
    <row r="1139" spans="3:7" ht="15" hidden="1" x14ac:dyDescent="0.25">
      <c r="C1139" s="4" t="str">
        <f>IFERROR(AVERAGEIFS('2. Program Allocation Output'!$P:$P,'2. Program Allocation Output'!$AF:$AF,$A1139,'2. Program Allocation Output'!$AG:$AG,$B1139),"")</f>
        <v/>
      </c>
      <c r="D1139" s="4" t="str">
        <f>IFERROR(AVERAGEIFS('2. Program Allocation Output'!$O:$O,'2. Program Allocation Output'!$AF:$AF,$A1139,'2. Program Allocation Output'!$AG:$AG,$B1139),"")</f>
        <v/>
      </c>
      <c r="E1139" s="5" t="str">
        <f>IFERROR(AVERAGEIFS('2. Program Allocation Output'!$L:$L,'2. Program Allocation Output'!$AF:$AF,$A1139,'2. Program Allocation Output'!$AG:$AG,$B1139),"")</f>
        <v/>
      </c>
      <c r="F1139" s="39" t="str">
        <f t="shared" si="37"/>
        <v/>
      </c>
      <c r="G1139" t="str">
        <f t="shared" si="38"/>
        <v/>
      </c>
    </row>
    <row r="1140" spans="3:7" ht="15" hidden="1" x14ac:dyDescent="0.25">
      <c r="C1140" s="4" t="str">
        <f>IFERROR(AVERAGEIFS('2. Program Allocation Output'!$P:$P,'2. Program Allocation Output'!$AF:$AF,$A1140,'2. Program Allocation Output'!$AG:$AG,$B1140),"")</f>
        <v/>
      </c>
      <c r="D1140" s="4" t="str">
        <f>IFERROR(AVERAGEIFS('2. Program Allocation Output'!$O:$O,'2. Program Allocation Output'!$AF:$AF,$A1140,'2. Program Allocation Output'!$AG:$AG,$B1140),"")</f>
        <v/>
      </c>
      <c r="E1140" s="5" t="str">
        <f>IFERROR(AVERAGEIFS('2. Program Allocation Output'!$L:$L,'2. Program Allocation Output'!$AF:$AF,$A1140,'2. Program Allocation Output'!$AG:$AG,$B1140),"")</f>
        <v/>
      </c>
      <c r="F1140" s="39" t="str">
        <f t="shared" si="37"/>
        <v/>
      </c>
      <c r="G1140" t="str">
        <f t="shared" si="38"/>
        <v/>
      </c>
    </row>
    <row r="1141" spans="3:7" ht="15" hidden="1" x14ac:dyDescent="0.25">
      <c r="C1141" s="4" t="str">
        <f>IFERROR(AVERAGEIFS('2. Program Allocation Output'!$P:$P,'2. Program Allocation Output'!$AF:$AF,$A1141,'2. Program Allocation Output'!$AG:$AG,$B1141),"")</f>
        <v/>
      </c>
      <c r="D1141" s="4" t="str">
        <f>IFERROR(AVERAGEIFS('2. Program Allocation Output'!$O:$O,'2. Program Allocation Output'!$AF:$AF,$A1141,'2. Program Allocation Output'!$AG:$AG,$B1141),"")</f>
        <v/>
      </c>
      <c r="E1141" s="5" t="str">
        <f>IFERROR(AVERAGEIFS('2. Program Allocation Output'!$L:$L,'2. Program Allocation Output'!$AF:$AF,$A1141,'2. Program Allocation Output'!$AG:$AG,$B1141),"")</f>
        <v/>
      </c>
      <c r="F1141" s="39" t="str">
        <f t="shared" si="37"/>
        <v/>
      </c>
      <c r="G1141" t="str">
        <f t="shared" si="38"/>
        <v/>
      </c>
    </row>
    <row r="1142" spans="3:7" ht="15" hidden="1" x14ac:dyDescent="0.25">
      <c r="C1142" s="4" t="str">
        <f>IFERROR(AVERAGEIFS('2. Program Allocation Output'!$P:$P,'2. Program Allocation Output'!$AF:$AF,$A1142,'2. Program Allocation Output'!$AG:$AG,$B1142),"")</f>
        <v/>
      </c>
      <c r="D1142" s="4" t="str">
        <f>IFERROR(AVERAGEIFS('2. Program Allocation Output'!$O:$O,'2. Program Allocation Output'!$AF:$AF,$A1142,'2. Program Allocation Output'!$AG:$AG,$B1142),"")</f>
        <v/>
      </c>
      <c r="E1142" s="5" t="str">
        <f>IFERROR(AVERAGEIFS('2. Program Allocation Output'!$L:$L,'2. Program Allocation Output'!$AF:$AF,$A1142,'2. Program Allocation Output'!$AG:$AG,$B1142),"")</f>
        <v/>
      </c>
      <c r="F1142" s="39" t="str">
        <f t="shared" si="37"/>
        <v/>
      </c>
      <c r="G1142" t="str">
        <f t="shared" si="38"/>
        <v/>
      </c>
    </row>
    <row r="1143" spans="3:7" ht="15" hidden="1" x14ac:dyDescent="0.25">
      <c r="C1143" s="4" t="str">
        <f>IFERROR(AVERAGEIFS('2. Program Allocation Output'!$P:$P,'2. Program Allocation Output'!$AF:$AF,$A1143,'2. Program Allocation Output'!$AG:$AG,$B1143),"")</f>
        <v/>
      </c>
      <c r="D1143" s="4" t="str">
        <f>IFERROR(AVERAGEIFS('2. Program Allocation Output'!$O:$O,'2. Program Allocation Output'!$AF:$AF,$A1143,'2. Program Allocation Output'!$AG:$AG,$B1143),"")</f>
        <v/>
      </c>
      <c r="E1143" s="5" t="str">
        <f>IFERROR(AVERAGEIFS('2. Program Allocation Output'!$L:$L,'2. Program Allocation Output'!$AF:$AF,$A1143,'2. Program Allocation Output'!$AG:$AG,$B1143),"")</f>
        <v/>
      </c>
      <c r="F1143" s="39" t="str">
        <f t="shared" si="37"/>
        <v/>
      </c>
      <c r="G1143" t="str">
        <f t="shared" si="38"/>
        <v/>
      </c>
    </row>
    <row r="1144" spans="3:7" ht="15" hidden="1" x14ac:dyDescent="0.25">
      <c r="C1144" s="4" t="str">
        <f>IFERROR(AVERAGEIFS('2. Program Allocation Output'!$P:$P,'2. Program Allocation Output'!$AF:$AF,$A1144,'2. Program Allocation Output'!$AG:$AG,$B1144),"")</f>
        <v/>
      </c>
      <c r="D1144" s="4" t="str">
        <f>IFERROR(AVERAGEIFS('2. Program Allocation Output'!$O:$O,'2. Program Allocation Output'!$AF:$AF,$A1144,'2. Program Allocation Output'!$AG:$AG,$B1144),"")</f>
        <v/>
      </c>
      <c r="E1144" s="5" t="str">
        <f>IFERROR(AVERAGEIFS('2. Program Allocation Output'!$L:$L,'2. Program Allocation Output'!$AF:$AF,$A1144,'2. Program Allocation Output'!$AG:$AG,$B1144),"")</f>
        <v/>
      </c>
      <c r="F1144" s="39" t="str">
        <f t="shared" si="37"/>
        <v/>
      </c>
      <c r="G1144" t="str">
        <f t="shared" si="38"/>
        <v/>
      </c>
    </row>
    <row r="1145" spans="3:7" ht="15" hidden="1" x14ac:dyDescent="0.25">
      <c r="C1145" s="4" t="str">
        <f>IFERROR(AVERAGEIFS('2. Program Allocation Output'!$P:$P,'2. Program Allocation Output'!$AF:$AF,$A1145,'2. Program Allocation Output'!$AG:$AG,$B1145),"")</f>
        <v/>
      </c>
      <c r="D1145" s="4" t="str">
        <f>IFERROR(AVERAGEIFS('2. Program Allocation Output'!$O:$O,'2. Program Allocation Output'!$AF:$AF,$A1145,'2. Program Allocation Output'!$AG:$AG,$B1145),"")</f>
        <v/>
      </c>
      <c r="E1145" s="5" t="str">
        <f>IFERROR(AVERAGEIFS('2. Program Allocation Output'!$L:$L,'2. Program Allocation Output'!$AF:$AF,$A1145,'2. Program Allocation Output'!$AG:$AG,$B1145),"")</f>
        <v/>
      </c>
      <c r="F1145" s="39" t="str">
        <f t="shared" si="37"/>
        <v/>
      </c>
      <c r="G1145" t="str">
        <f t="shared" si="38"/>
        <v/>
      </c>
    </row>
    <row r="1146" spans="3:7" ht="15" hidden="1" x14ac:dyDescent="0.25">
      <c r="C1146" s="4" t="str">
        <f>IFERROR(AVERAGEIFS('2. Program Allocation Output'!$P:$P,'2. Program Allocation Output'!$AF:$AF,$A1146,'2. Program Allocation Output'!$AG:$AG,$B1146),"")</f>
        <v/>
      </c>
      <c r="D1146" s="4" t="str">
        <f>IFERROR(AVERAGEIFS('2. Program Allocation Output'!$O:$O,'2. Program Allocation Output'!$AF:$AF,$A1146,'2. Program Allocation Output'!$AG:$AG,$B1146),"")</f>
        <v/>
      </c>
      <c r="E1146" s="5" t="str">
        <f>IFERROR(AVERAGEIFS('2. Program Allocation Output'!$L:$L,'2. Program Allocation Output'!$AF:$AF,$A1146,'2. Program Allocation Output'!$AG:$AG,$B1146),"")</f>
        <v/>
      </c>
      <c r="F1146" s="39" t="str">
        <f t="shared" si="37"/>
        <v/>
      </c>
      <c r="G1146" t="str">
        <f t="shared" si="38"/>
        <v/>
      </c>
    </row>
    <row r="1147" spans="3:7" ht="15" hidden="1" x14ac:dyDescent="0.25">
      <c r="C1147" s="4" t="str">
        <f>IFERROR(AVERAGEIFS('2. Program Allocation Output'!$P:$P,'2. Program Allocation Output'!$AF:$AF,$A1147,'2. Program Allocation Output'!$AG:$AG,$B1147),"")</f>
        <v/>
      </c>
      <c r="D1147" s="4" t="str">
        <f>IFERROR(AVERAGEIFS('2. Program Allocation Output'!$O:$O,'2. Program Allocation Output'!$AF:$AF,$A1147,'2. Program Allocation Output'!$AG:$AG,$B1147),"")</f>
        <v/>
      </c>
      <c r="E1147" s="5" t="str">
        <f>IFERROR(AVERAGEIFS('2. Program Allocation Output'!$L:$L,'2. Program Allocation Output'!$AF:$AF,$A1147,'2. Program Allocation Output'!$AG:$AG,$B1147),"")</f>
        <v/>
      </c>
      <c r="F1147" s="39" t="str">
        <f t="shared" si="37"/>
        <v/>
      </c>
      <c r="G1147" t="str">
        <f t="shared" si="38"/>
        <v/>
      </c>
    </row>
    <row r="1148" spans="3:7" ht="15" hidden="1" x14ac:dyDescent="0.25">
      <c r="C1148" s="4" t="str">
        <f>IFERROR(AVERAGEIFS('2. Program Allocation Output'!$P:$P,'2. Program Allocation Output'!$AF:$AF,$A1148,'2. Program Allocation Output'!$AG:$AG,$B1148),"")</f>
        <v/>
      </c>
      <c r="D1148" s="4" t="str">
        <f>IFERROR(AVERAGEIFS('2. Program Allocation Output'!$O:$O,'2. Program Allocation Output'!$AF:$AF,$A1148,'2. Program Allocation Output'!$AG:$AG,$B1148),"")</f>
        <v/>
      </c>
      <c r="E1148" s="5" t="str">
        <f>IFERROR(AVERAGEIFS('2. Program Allocation Output'!$L:$L,'2. Program Allocation Output'!$AF:$AF,$A1148,'2. Program Allocation Output'!$AG:$AG,$B1148),"")</f>
        <v/>
      </c>
      <c r="F1148" s="39" t="str">
        <f t="shared" si="37"/>
        <v/>
      </c>
      <c r="G1148" t="str">
        <f t="shared" si="38"/>
        <v/>
      </c>
    </row>
    <row r="1149" spans="3:7" ht="15" hidden="1" x14ac:dyDescent="0.25">
      <c r="C1149" s="4" t="str">
        <f>IFERROR(AVERAGEIFS('2. Program Allocation Output'!$P:$P,'2. Program Allocation Output'!$AF:$AF,$A1149,'2. Program Allocation Output'!$AG:$AG,$B1149),"")</f>
        <v/>
      </c>
      <c r="D1149" s="4" t="str">
        <f>IFERROR(AVERAGEIFS('2. Program Allocation Output'!$O:$O,'2. Program Allocation Output'!$AF:$AF,$A1149,'2. Program Allocation Output'!$AG:$AG,$B1149),"")</f>
        <v/>
      </c>
      <c r="E1149" s="5" t="str">
        <f>IFERROR(AVERAGEIFS('2. Program Allocation Output'!$L:$L,'2. Program Allocation Output'!$AF:$AF,$A1149,'2. Program Allocation Output'!$AG:$AG,$B1149),"")</f>
        <v/>
      </c>
      <c r="F1149" s="39" t="str">
        <f t="shared" si="37"/>
        <v/>
      </c>
      <c r="G1149" t="str">
        <f t="shared" si="38"/>
        <v/>
      </c>
    </row>
    <row r="1150" spans="3:7" ht="15" hidden="1" x14ac:dyDescent="0.25">
      <c r="C1150" s="4" t="str">
        <f>IFERROR(AVERAGEIFS('2. Program Allocation Output'!$P:$P,'2. Program Allocation Output'!$AF:$AF,$A1150,'2. Program Allocation Output'!$AG:$AG,$B1150),"")</f>
        <v/>
      </c>
      <c r="D1150" s="4" t="str">
        <f>IFERROR(AVERAGEIFS('2. Program Allocation Output'!$O:$O,'2. Program Allocation Output'!$AF:$AF,$A1150,'2. Program Allocation Output'!$AG:$AG,$B1150),"")</f>
        <v/>
      </c>
      <c r="E1150" s="5" t="str">
        <f>IFERROR(AVERAGEIFS('2. Program Allocation Output'!$L:$L,'2. Program Allocation Output'!$AF:$AF,$A1150,'2. Program Allocation Output'!$AG:$AG,$B1150),"")</f>
        <v/>
      </c>
      <c r="F1150" s="39" t="str">
        <f t="shared" si="37"/>
        <v/>
      </c>
      <c r="G1150" t="str">
        <f t="shared" si="38"/>
        <v/>
      </c>
    </row>
    <row r="1151" spans="3:7" ht="15" hidden="1" x14ac:dyDescent="0.25">
      <c r="C1151" s="4" t="str">
        <f>IFERROR(AVERAGEIFS('2. Program Allocation Output'!$P:$P,'2. Program Allocation Output'!$AF:$AF,$A1151,'2. Program Allocation Output'!$AG:$AG,$B1151),"")</f>
        <v/>
      </c>
      <c r="D1151" s="4" t="str">
        <f>IFERROR(AVERAGEIFS('2. Program Allocation Output'!$O:$O,'2. Program Allocation Output'!$AF:$AF,$A1151,'2. Program Allocation Output'!$AG:$AG,$B1151),"")</f>
        <v/>
      </c>
      <c r="E1151" s="5" t="str">
        <f>IFERROR(AVERAGEIFS('2. Program Allocation Output'!$L:$L,'2. Program Allocation Output'!$AF:$AF,$A1151,'2. Program Allocation Output'!$AG:$AG,$B1151),"")</f>
        <v/>
      </c>
      <c r="F1151" s="39" t="str">
        <f t="shared" si="37"/>
        <v/>
      </c>
      <c r="G1151" t="str">
        <f t="shared" si="38"/>
        <v/>
      </c>
    </row>
    <row r="1152" spans="3:7" ht="15" hidden="1" x14ac:dyDescent="0.25">
      <c r="C1152" s="4" t="str">
        <f>IFERROR(AVERAGEIFS('2. Program Allocation Output'!$P:$P,'2. Program Allocation Output'!$AF:$AF,$A1152,'2. Program Allocation Output'!$AG:$AG,$B1152),"")</f>
        <v/>
      </c>
      <c r="D1152" s="4" t="str">
        <f>IFERROR(AVERAGEIFS('2. Program Allocation Output'!$O:$O,'2. Program Allocation Output'!$AF:$AF,$A1152,'2. Program Allocation Output'!$AG:$AG,$B1152),"")</f>
        <v/>
      </c>
      <c r="E1152" s="5" t="str">
        <f>IFERROR(AVERAGEIFS('2. Program Allocation Output'!$L:$L,'2. Program Allocation Output'!$AF:$AF,$A1152,'2. Program Allocation Output'!$AG:$AG,$B1152),"")</f>
        <v/>
      </c>
      <c r="F1152" s="39" t="str">
        <f t="shared" si="37"/>
        <v/>
      </c>
      <c r="G1152" t="str">
        <f t="shared" si="38"/>
        <v/>
      </c>
    </row>
    <row r="1153" spans="3:7" ht="15" hidden="1" x14ac:dyDescent="0.25">
      <c r="C1153" s="4" t="str">
        <f>IFERROR(AVERAGEIFS('2. Program Allocation Output'!$P:$P,'2. Program Allocation Output'!$AF:$AF,$A1153,'2. Program Allocation Output'!$AG:$AG,$B1153),"")</f>
        <v/>
      </c>
      <c r="D1153" s="4" t="str">
        <f>IFERROR(AVERAGEIFS('2. Program Allocation Output'!$O:$O,'2. Program Allocation Output'!$AF:$AF,$A1153,'2. Program Allocation Output'!$AG:$AG,$B1153),"")</f>
        <v/>
      </c>
      <c r="E1153" s="5" t="str">
        <f>IFERROR(AVERAGEIFS('2. Program Allocation Output'!$L:$L,'2. Program Allocation Output'!$AF:$AF,$A1153,'2. Program Allocation Output'!$AG:$AG,$B1153),"")</f>
        <v/>
      </c>
      <c r="F1153" s="39" t="str">
        <f t="shared" si="37"/>
        <v/>
      </c>
      <c r="G1153" t="str">
        <f t="shared" si="38"/>
        <v/>
      </c>
    </row>
    <row r="1154" spans="3:7" ht="15" hidden="1" x14ac:dyDescent="0.25">
      <c r="C1154" s="4" t="str">
        <f>IFERROR(AVERAGEIFS('2. Program Allocation Output'!$P:$P,'2. Program Allocation Output'!$AF:$AF,$A1154,'2. Program Allocation Output'!$AG:$AG,$B1154),"")</f>
        <v/>
      </c>
      <c r="D1154" s="4" t="str">
        <f>IFERROR(AVERAGEIFS('2. Program Allocation Output'!$O:$O,'2. Program Allocation Output'!$AF:$AF,$A1154,'2. Program Allocation Output'!$AG:$AG,$B1154),"")</f>
        <v/>
      </c>
      <c r="E1154" s="5" t="str">
        <f>IFERROR(AVERAGEIFS('2. Program Allocation Output'!$L:$L,'2. Program Allocation Output'!$AF:$AF,$A1154,'2. Program Allocation Output'!$AG:$AG,$B1154),"")</f>
        <v/>
      </c>
      <c r="F1154" s="39" t="str">
        <f t="shared" si="37"/>
        <v/>
      </c>
      <c r="G1154" t="str">
        <f t="shared" si="38"/>
        <v/>
      </c>
    </row>
    <row r="1155" spans="3:7" ht="15" hidden="1" x14ac:dyDescent="0.25">
      <c r="C1155" s="4" t="str">
        <f>IFERROR(AVERAGEIFS('2. Program Allocation Output'!$P:$P,'2. Program Allocation Output'!$AF:$AF,$A1155,'2. Program Allocation Output'!$AG:$AG,$B1155),"")</f>
        <v/>
      </c>
      <c r="D1155" s="4" t="str">
        <f>IFERROR(AVERAGEIFS('2. Program Allocation Output'!$O:$O,'2. Program Allocation Output'!$AF:$AF,$A1155,'2. Program Allocation Output'!$AG:$AG,$B1155),"")</f>
        <v/>
      </c>
      <c r="E1155" s="5" t="str">
        <f>IFERROR(AVERAGEIFS('2. Program Allocation Output'!$L:$L,'2. Program Allocation Output'!$AF:$AF,$A1155,'2. Program Allocation Output'!$AG:$AG,$B1155),"")</f>
        <v/>
      </c>
      <c r="F1155" s="39" t="str">
        <f t="shared" ref="F1155:F1218" si="39">IFERROR(C1155*1,"")</f>
        <v/>
      </c>
      <c r="G1155" t="str">
        <f t="shared" si="38"/>
        <v/>
      </c>
    </row>
    <row r="1156" spans="3:7" ht="15" hidden="1" x14ac:dyDescent="0.25">
      <c r="C1156" s="4" t="str">
        <f>IFERROR(AVERAGEIFS('2. Program Allocation Output'!$P:$P,'2. Program Allocation Output'!$AF:$AF,$A1156,'2. Program Allocation Output'!$AG:$AG,$B1156),"")</f>
        <v/>
      </c>
      <c r="D1156" s="4" t="str">
        <f>IFERROR(AVERAGEIFS('2. Program Allocation Output'!$O:$O,'2. Program Allocation Output'!$AF:$AF,$A1156,'2. Program Allocation Output'!$AG:$AG,$B1156),"")</f>
        <v/>
      </c>
      <c r="E1156" s="5" t="str">
        <f>IFERROR(AVERAGEIFS('2. Program Allocation Output'!$L:$L,'2. Program Allocation Output'!$AF:$AF,$A1156,'2. Program Allocation Output'!$AG:$AG,$B1156),"")</f>
        <v/>
      </c>
      <c r="F1156" s="39" t="str">
        <f t="shared" si="39"/>
        <v/>
      </c>
      <c r="G1156" t="str">
        <f t="shared" si="38"/>
        <v/>
      </c>
    </row>
    <row r="1157" spans="3:7" ht="15" hidden="1" x14ac:dyDescent="0.25">
      <c r="C1157" s="4" t="str">
        <f>IFERROR(AVERAGEIFS('2. Program Allocation Output'!$P:$P,'2. Program Allocation Output'!$AF:$AF,$A1157,'2. Program Allocation Output'!$AG:$AG,$B1157),"")</f>
        <v/>
      </c>
      <c r="D1157" s="4" t="str">
        <f>IFERROR(AVERAGEIFS('2. Program Allocation Output'!$O:$O,'2. Program Allocation Output'!$AF:$AF,$A1157,'2. Program Allocation Output'!$AG:$AG,$B1157),"")</f>
        <v/>
      </c>
      <c r="E1157" s="5" t="str">
        <f>IFERROR(AVERAGEIFS('2. Program Allocation Output'!$L:$L,'2. Program Allocation Output'!$AF:$AF,$A1157,'2. Program Allocation Output'!$AG:$AG,$B1157),"")</f>
        <v/>
      </c>
      <c r="F1157" s="39" t="str">
        <f t="shared" si="39"/>
        <v/>
      </c>
      <c r="G1157" t="str">
        <f t="shared" si="38"/>
        <v/>
      </c>
    </row>
    <row r="1158" spans="3:7" ht="15" hidden="1" x14ac:dyDescent="0.25">
      <c r="C1158" s="4" t="str">
        <f>IFERROR(AVERAGEIFS('2. Program Allocation Output'!$P:$P,'2. Program Allocation Output'!$AF:$AF,$A1158,'2. Program Allocation Output'!$AG:$AG,$B1158),"")</f>
        <v/>
      </c>
      <c r="D1158" s="4" t="str">
        <f>IFERROR(AVERAGEIFS('2. Program Allocation Output'!$O:$O,'2. Program Allocation Output'!$AF:$AF,$A1158,'2. Program Allocation Output'!$AG:$AG,$B1158),"")</f>
        <v/>
      </c>
      <c r="E1158" s="5" t="str">
        <f>IFERROR(AVERAGEIFS('2. Program Allocation Output'!$L:$L,'2. Program Allocation Output'!$AF:$AF,$A1158,'2. Program Allocation Output'!$AG:$AG,$B1158),"")</f>
        <v/>
      </c>
      <c r="F1158" s="39" t="str">
        <f t="shared" si="39"/>
        <v/>
      </c>
      <c r="G1158" t="str">
        <f t="shared" si="38"/>
        <v/>
      </c>
    </row>
    <row r="1159" spans="3:7" ht="15" hidden="1" x14ac:dyDescent="0.25">
      <c r="C1159" s="4" t="str">
        <f>IFERROR(AVERAGEIFS('2. Program Allocation Output'!$P:$P,'2. Program Allocation Output'!$AF:$AF,$A1159,'2. Program Allocation Output'!$AG:$AG,$B1159),"")</f>
        <v/>
      </c>
      <c r="D1159" s="4" t="str">
        <f>IFERROR(AVERAGEIFS('2. Program Allocation Output'!$O:$O,'2. Program Allocation Output'!$AF:$AF,$A1159,'2. Program Allocation Output'!$AG:$AG,$B1159),"")</f>
        <v/>
      </c>
      <c r="E1159" s="5" t="str">
        <f>IFERROR(AVERAGEIFS('2. Program Allocation Output'!$L:$L,'2. Program Allocation Output'!$AF:$AF,$A1159,'2. Program Allocation Output'!$AG:$AG,$B1159),"")</f>
        <v/>
      </c>
      <c r="F1159" s="39" t="str">
        <f t="shared" si="39"/>
        <v/>
      </c>
      <c r="G1159" t="str">
        <f t="shared" si="38"/>
        <v/>
      </c>
    </row>
    <row r="1160" spans="3:7" ht="15" hidden="1" x14ac:dyDescent="0.25">
      <c r="C1160" s="4" t="str">
        <f>IFERROR(AVERAGEIFS('2. Program Allocation Output'!$P:$P,'2. Program Allocation Output'!$AF:$AF,$A1160,'2. Program Allocation Output'!$AG:$AG,$B1160),"")</f>
        <v/>
      </c>
      <c r="D1160" s="4" t="str">
        <f>IFERROR(AVERAGEIFS('2. Program Allocation Output'!$O:$O,'2. Program Allocation Output'!$AF:$AF,$A1160,'2. Program Allocation Output'!$AG:$AG,$B1160),"")</f>
        <v/>
      </c>
      <c r="E1160" s="5" t="str">
        <f>IFERROR(AVERAGEIFS('2. Program Allocation Output'!$L:$L,'2. Program Allocation Output'!$AF:$AF,$A1160,'2. Program Allocation Output'!$AG:$AG,$B1160),"")</f>
        <v/>
      </c>
      <c r="F1160" s="39" t="str">
        <f t="shared" si="39"/>
        <v/>
      </c>
      <c r="G1160" t="str">
        <f t="shared" si="38"/>
        <v/>
      </c>
    </row>
    <row r="1161" spans="3:7" ht="15" hidden="1" x14ac:dyDescent="0.25">
      <c r="C1161" s="4" t="str">
        <f>IFERROR(AVERAGEIFS('2. Program Allocation Output'!$P:$P,'2. Program Allocation Output'!$AF:$AF,$A1161,'2. Program Allocation Output'!$AG:$AG,$B1161),"")</f>
        <v/>
      </c>
      <c r="D1161" s="4" t="str">
        <f>IFERROR(AVERAGEIFS('2. Program Allocation Output'!$O:$O,'2. Program Allocation Output'!$AF:$AF,$A1161,'2. Program Allocation Output'!$AG:$AG,$B1161),"")</f>
        <v/>
      </c>
      <c r="E1161" s="5" t="str">
        <f>IFERROR(AVERAGEIFS('2. Program Allocation Output'!$L:$L,'2. Program Allocation Output'!$AF:$AF,$A1161,'2. Program Allocation Output'!$AG:$AG,$B1161),"")</f>
        <v/>
      </c>
      <c r="F1161" s="39" t="str">
        <f t="shared" si="39"/>
        <v/>
      </c>
      <c r="G1161" t="str">
        <f t="shared" si="38"/>
        <v/>
      </c>
    </row>
    <row r="1162" spans="3:7" ht="15" hidden="1" x14ac:dyDescent="0.25">
      <c r="C1162" s="4" t="str">
        <f>IFERROR(AVERAGEIFS('2. Program Allocation Output'!$P:$P,'2. Program Allocation Output'!$AF:$AF,$A1162,'2. Program Allocation Output'!$AG:$AG,$B1162),"")</f>
        <v/>
      </c>
      <c r="D1162" s="4" t="str">
        <f>IFERROR(AVERAGEIFS('2. Program Allocation Output'!$O:$O,'2. Program Allocation Output'!$AF:$AF,$A1162,'2. Program Allocation Output'!$AG:$AG,$B1162),"")</f>
        <v/>
      </c>
      <c r="E1162" s="5" t="str">
        <f>IFERROR(AVERAGEIFS('2. Program Allocation Output'!$L:$L,'2. Program Allocation Output'!$AF:$AF,$A1162,'2. Program Allocation Output'!$AG:$AG,$B1162),"")</f>
        <v/>
      </c>
      <c r="F1162" s="39" t="str">
        <f t="shared" si="39"/>
        <v/>
      </c>
      <c r="G1162" t="str">
        <f t="shared" si="38"/>
        <v/>
      </c>
    </row>
    <row r="1163" spans="3:7" ht="15" hidden="1" x14ac:dyDescent="0.25">
      <c r="C1163" s="4" t="str">
        <f>IFERROR(AVERAGEIFS('2. Program Allocation Output'!$P:$P,'2. Program Allocation Output'!$AF:$AF,$A1163,'2. Program Allocation Output'!$AG:$AG,$B1163),"")</f>
        <v/>
      </c>
      <c r="D1163" s="4" t="str">
        <f>IFERROR(AVERAGEIFS('2. Program Allocation Output'!$O:$O,'2. Program Allocation Output'!$AF:$AF,$A1163,'2. Program Allocation Output'!$AG:$AG,$B1163),"")</f>
        <v/>
      </c>
      <c r="E1163" s="5" t="str">
        <f>IFERROR(AVERAGEIFS('2. Program Allocation Output'!$L:$L,'2. Program Allocation Output'!$AF:$AF,$A1163,'2. Program Allocation Output'!$AG:$AG,$B1163),"")</f>
        <v/>
      </c>
      <c r="F1163" s="39" t="str">
        <f t="shared" si="39"/>
        <v/>
      </c>
      <c r="G1163" t="str">
        <f t="shared" si="38"/>
        <v/>
      </c>
    </row>
    <row r="1164" spans="3:7" ht="15" hidden="1" x14ac:dyDescent="0.25">
      <c r="C1164" s="4" t="str">
        <f>IFERROR(AVERAGEIFS('2. Program Allocation Output'!$P:$P,'2. Program Allocation Output'!$AF:$AF,$A1164,'2. Program Allocation Output'!$AG:$AG,$B1164),"")</f>
        <v/>
      </c>
      <c r="D1164" s="4" t="str">
        <f>IFERROR(AVERAGEIFS('2. Program Allocation Output'!$O:$O,'2. Program Allocation Output'!$AF:$AF,$A1164,'2. Program Allocation Output'!$AG:$AG,$B1164),"")</f>
        <v/>
      </c>
      <c r="E1164" s="5" t="str">
        <f>IFERROR(AVERAGEIFS('2. Program Allocation Output'!$L:$L,'2. Program Allocation Output'!$AF:$AF,$A1164,'2. Program Allocation Output'!$AG:$AG,$B1164),"")</f>
        <v/>
      </c>
      <c r="F1164" s="39" t="str">
        <f t="shared" si="39"/>
        <v/>
      </c>
      <c r="G1164" t="str">
        <f t="shared" si="38"/>
        <v/>
      </c>
    </row>
    <row r="1165" spans="3:7" ht="15" hidden="1" x14ac:dyDescent="0.25">
      <c r="C1165" s="4" t="str">
        <f>IFERROR(AVERAGEIFS('2. Program Allocation Output'!$P:$P,'2. Program Allocation Output'!$AF:$AF,$A1165,'2. Program Allocation Output'!$AG:$AG,$B1165),"")</f>
        <v/>
      </c>
      <c r="D1165" s="4" t="str">
        <f>IFERROR(AVERAGEIFS('2. Program Allocation Output'!$O:$O,'2. Program Allocation Output'!$AF:$AF,$A1165,'2. Program Allocation Output'!$AG:$AG,$B1165),"")</f>
        <v/>
      </c>
      <c r="E1165" s="5" t="str">
        <f>IFERROR(AVERAGEIFS('2. Program Allocation Output'!$L:$L,'2. Program Allocation Output'!$AF:$AF,$A1165,'2. Program Allocation Output'!$AG:$AG,$B1165),"")</f>
        <v/>
      </c>
      <c r="F1165" s="39" t="str">
        <f t="shared" si="39"/>
        <v/>
      </c>
      <c r="G1165" t="str">
        <f t="shared" si="38"/>
        <v/>
      </c>
    </row>
    <row r="1166" spans="3:7" ht="15" hidden="1" x14ac:dyDescent="0.25">
      <c r="C1166" s="4" t="str">
        <f>IFERROR(AVERAGEIFS('2. Program Allocation Output'!$P:$P,'2. Program Allocation Output'!$AF:$AF,$A1166,'2. Program Allocation Output'!$AG:$AG,$B1166),"")</f>
        <v/>
      </c>
      <c r="D1166" s="4" t="str">
        <f>IFERROR(AVERAGEIFS('2. Program Allocation Output'!$O:$O,'2. Program Allocation Output'!$AF:$AF,$A1166,'2. Program Allocation Output'!$AG:$AG,$B1166),"")</f>
        <v/>
      </c>
      <c r="E1166" s="5" t="str">
        <f>IFERROR(AVERAGEIFS('2. Program Allocation Output'!$L:$L,'2. Program Allocation Output'!$AF:$AF,$A1166,'2. Program Allocation Output'!$AG:$AG,$B1166),"")</f>
        <v/>
      </c>
      <c r="F1166" s="39" t="str">
        <f t="shared" si="39"/>
        <v/>
      </c>
      <c r="G1166" t="str">
        <f t="shared" ref="G1166:G1229" si="40">IFERROR(EXP(0.3*(F1166-C1166)/(E1166*0.1137)),"")</f>
        <v/>
      </c>
    </row>
    <row r="1167" spans="3:7" ht="15" hidden="1" x14ac:dyDescent="0.25">
      <c r="C1167" s="4" t="str">
        <f>IFERROR(AVERAGEIFS('2. Program Allocation Output'!$P:$P,'2. Program Allocation Output'!$AF:$AF,$A1167,'2. Program Allocation Output'!$AG:$AG,$B1167),"")</f>
        <v/>
      </c>
      <c r="D1167" s="4" t="str">
        <f>IFERROR(AVERAGEIFS('2. Program Allocation Output'!$O:$O,'2. Program Allocation Output'!$AF:$AF,$A1167,'2. Program Allocation Output'!$AG:$AG,$B1167),"")</f>
        <v/>
      </c>
      <c r="E1167" s="5" t="str">
        <f>IFERROR(AVERAGEIFS('2. Program Allocation Output'!$L:$L,'2. Program Allocation Output'!$AF:$AF,$A1167,'2. Program Allocation Output'!$AG:$AG,$B1167),"")</f>
        <v/>
      </c>
      <c r="F1167" s="39" t="str">
        <f t="shared" si="39"/>
        <v/>
      </c>
      <c r="G1167" t="str">
        <f t="shared" si="40"/>
        <v/>
      </c>
    </row>
    <row r="1168" spans="3:7" ht="15" hidden="1" x14ac:dyDescent="0.25">
      <c r="C1168" s="4" t="str">
        <f>IFERROR(AVERAGEIFS('2. Program Allocation Output'!$P:$P,'2. Program Allocation Output'!$AF:$AF,$A1168,'2. Program Allocation Output'!$AG:$AG,$B1168),"")</f>
        <v/>
      </c>
      <c r="D1168" s="4" t="str">
        <f>IFERROR(AVERAGEIFS('2. Program Allocation Output'!$O:$O,'2. Program Allocation Output'!$AF:$AF,$A1168,'2. Program Allocation Output'!$AG:$AG,$B1168),"")</f>
        <v/>
      </c>
      <c r="E1168" s="5" t="str">
        <f>IFERROR(AVERAGEIFS('2. Program Allocation Output'!$L:$L,'2. Program Allocation Output'!$AF:$AF,$A1168,'2. Program Allocation Output'!$AG:$AG,$B1168),"")</f>
        <v/>
      </c>
      <c r="F1168" s="39" t="str">
        <f t="shared" si="39"/>
        <v/>
      </c>
      <c r="G1168" t="str">
        <f t="shared" si="40"/>
        <v/>
      </c>
    </row>
    <row r="1169" spans="3:7" ht="15" hidden="1" x14ac:dyDescent="0.25">
      <c r="C1169" s="4" t="str">
        <f>IFERROR(AVERAGEIFS('2. Program Allocation Output'!$P:$P,'2. Program Allocation Output'!$AF:$AF,$A1169,'2. Program Allocation Output'!$AG:$AG,$B1169),"")</f>
        <v/>
      </c>
      <c r="D1169" s="4" t="str">
        <f>IFERROR(AVERAGEIFS('2. Program Allocation Output'!$O:$O,'2. Program Allocation Output'!$AF:$AF,$A1169,'2. Program Allocation Output'!$AG:$AG,$B1169),"")</f>
        <v/>
      </c>
      <c r="E1169" s="5" t="str">
        <f>IFERROR(AVERAGEIFS('2. Program Allocation Output'!$L:$L,'2. Program Allocation Output'!$AF:$AF,$A1169,'2. Program Allocation Output'!$AG:$AG,$B1169),"")</f>
        <v/>
      </c>
      <c r="F1169" s="39" t="str">
        <f t="shared" si="39"/>
        <v/>
      </c>
      <c r="G1169" t="str">
        <f t="shared" si="40"/>
        <v/>
      </c>
    </row>
    <row r="1170" spans="3:7" ht="15" hidden="1" x14ac:dyDescent="0.25">
      <c r="C1170" s="4" t="str">
        <f>IFERROR(AVERAGEIFS('2. Program Allocation Output'!$P:$P,'2. Program Allocation Output'!$AF:$AF,$A1170,'2. Program Allocation Output'!$AG:$AG,$B1170),"")</f>
        <v/>
      </c>
      <c r="D1170" s="4" t="str">
        <f>IFERROR(AVERAGEIFS('2. Program Allocation Output'!$O:$O,'2. Program Allocation Output'!$AF:$AF,$A1170,'2. Program Allocation Output'!$AG:$AG,$B1170),"")</f>
        <v/>
      </c>
      <c r="E1170" s="5" t="str">
        <f>IFERROR(AVERAGEIFS('2. Program Allocation Output'!$L:$L,'2. Program Allocation Output'!$AF:$AF,$A1170,'2. Program Allocation Output'!$AG:$AG,$B1170),"")</f>
        <v/>
      </c>
      <c r="F1170" s="39" t="str">
        <f t="shared" si="39"/>
        <v/>
      </c>
      <c r="G1170" t="str">
        <f t="shared" si="40"/>
        <v/>
      </c>
    </row>
    <row r="1171" spans="3:7" ht="15" hidden="1" x14ac:dyDescent="0.25">
      <c r="C1171" s="4" t="str">
        <f>IFERROR(AVERAGEIFS('2. Program Allocation Output'!$P:$P,'2. Program Allocation Output'!$AF:$AF,$A1171,'2. Program Allocation Output'!$AG:$AG,$B1171),"")</f>
        <v/>
      </c>
      <c r="D1171" s="4" t="str">
        <f>IFERROR(AVERAGEIFS('2. Program Allocation Output'!$O:$O,'2. Program Allocation Output'!$AF:$AF,$A1171,'2. Program Allocation Output'!$AG:$AG,$B1171),"")</f>
        <v/>
      </c>
      <c r="E1171" s="5" t="str">
        <f>IFERROR(AVERAGEIFS('2. Program Allocation Output'!$L:$L,'2. Program Allocation Output'!$AF:$AF,$A1171,'2. Program Allocation Output'!$AG:$AG,$B1171),"")</f>
        <v/>
      </c>
      <c r="F1171" s="39" t="str">
        <f t="shared" si="39"/>
        <v/>
      </c>
      <c r="G1171" t="str">
        <f t="shared" si="40"/>
        <v/>
      </c>
    </row>
    <row r="1172" spans="3:7" ht="15" hidden="1" x14ac:dyDescent="0.25">
      <c r="C1172" s="4" t="str">
        <f>IFERROR(AVERAGEIFS('2. Program Allocation Output'!$P:$P,'2. Program Allocation Output'!$AF:$AF,$A1172,'2. Program Allocation Output'!$AG:$AG,$B1172),"")</f>
        <v/>
      </c>
      <c r="D1172" s="4" t="str">
        <f>IFERROR(AVERAGEIFS('2. Program Allocation Output'!$O:$O,'2. Program Allocation Output'!$AF:$AF,$A1172,'2. Program Allocation Output'!$AG:$AG,$B1172),"")</f>
        <v/>
      </c>
      <c r="E1172" s="5" t="str">
        <f>IFERROR(AVERAGEIFS('2. Program Allocation Output'!$L:$L,'2. Program Allocation Output'!$AF:$AF,$A1172,'2. Program Allocation Output'!$AG:$AG,$B1172),"")</f>
        <v/>
      </c>
      <c r="F1172" s="39" t="str">
        <f t="shared" si="39"/>
        <v/>
      </c>
      <c r="G1172" t="str">
        <f t="shared" si="40"/>
        <v/>
      </c>
    </row>
    <row r="1173" spans="3:7" ht="15" hidden="1" x14ac:dyDescent="0.25">
      <c r="C1173" s="4" t="str">
        <f>IFERROR(AVERAGEIFS('2. Program Allocation Output'!$P:$P,'2. Program Allocation Output'!$AF:$AF,$A1173,'2. Program Allocation Output'!$AG:$AG,$B1173),"")</f>
        <v/>
      </c>
      <c r="D1173" s="4" t="str">
        <f>IFERROR(AVERAGEIFS('2. Program Allocation Output'!$O:$O,'2. Program Allocation Output'!$AF:$AF,$A1173,'2. Program Allocation Output'!$AG:$AG,$B1173),"")</f>
        <v/>
      </c>
      <c r="E1173" s="5" t="str">
        <f>IFERROR(AVERAGEIFS('2. Program Allocation Output'!$L:$L,'2. Program Allocation Output'!$AF:$AF,$A1173,'2. Program Allocation Output'!$AG:$AG,$B1173),"")</f>
        <v/>
      </c>
      <c r="F1173" s="39" t="str">
        <f t="shared" si="39"/>
        <v/>
      </c>
      <c r="G1173" t="str">
        <f t="shared" si="40"/>
        <v/>
      </c>
    </row>
    <row r="1174" spans="3:7" ht="15" hidden="1" x14ac:dyDescent="0.25">
      <c r="C1174" s="4" t="str">
        <f>IFERROR(AVERAGEIFS('2. Program Allocation Output'!$P:$P,'2. Program Allocation Output'!$AF:$AF,$A1174,'2. Program Allocation Output'!$AG:$AG,$B1174),"")</f>
        <v/>
      </c>
      <c r="D1174" s="4" t="str">
        <f>IFERROR(AVERAGEIFS('2. Program Allocation Output'!$O:$O,'2. Program Allocation Output'!$AF:$AF,$A1174,'2. Program Allocation Output'!$AG:$AG,$B1174),"")</f>
        <v/>
      </c>
      <c r="E1174" s="5" t="str">
        <f>IFERROR(AVERAGEIFS('2. Program Allocation Output'!$L:$L,'2. Program Allocation Output'!$AF:$AF,$A1174,'2. Program Allocation Output'!$AG:$AG,$B1174),"")</f>
        <v/>
      </c>
      <c r="F1174" s="39" t="str">
        <f t="shared" si="39"/>
        <v/>
      </c>
      <c r="G1174" t="str">
        <f t="shared" si="40"/>
        <v/>
      </c>
    </row>
    <row r="1175" spans="3:7" ht="15" hidden="1" x14ac:dyDescent="0.25">
      <c r="C1175" s="4" t="str">
        <f>IFERROR(AVERAGEIFS('2. Program Allocation Output'!$P:$P,'2. Program Allocation Output'!$AF:$AF,$A1175,'2. Program Allocation Output'!$AG:$AG,$B1175),"")</f>
        <v/>
      </c>
      <c r="D1175" s="4" t="str">
        <f>IFERROR(AVERAGEIFS('2. Program Allocation Output'!$O:$O,'2. Program Allocation Output'!$AF:$AF,$A1175,'2. Program Allocation Output'!$AG:$AG,$B1175),"")</f>
        <v/>
      </c>
      <c r="E1175" s="5" t="str">
        <f>IFERROR(AVERAGEIFS('2. Program Allocation Output'!$L:$L,'2. Program Allocation Output'!$AF:$AF,$A1175,'2. Program Allocation Output'!$AG:$AG,$B1175),"")</f>
        <v/>
      </c>
      <c r="F1175" s="39" t="str">
        <f t="shared" si="39"/>
        <v/>
      </c>
      <c r="G1175" t="str">
        <f t="shared" si="40"/>
        <v/>
      </c>
    </row>
    <row r="1176" spans="3:7" ht="15" hidden="1" x14ac:dyDescent="0.25">
      <c r="C1176" s="4" t="str">
        <f>IFERROR(AVERAGEIFS('2. Program Allocation Output'!$P:$P,'2. Program Allocation Output'!$AF:$AF,$A1176,'2. Program Allocation Output'!$AG:$AG,$B1176),"")</f>
        <v/>
      </c>
      <c r="D1176" s="4" t="str">
        <f>IFERROR(AVERAGEIFS('2. Program Allocation Output'!$O:$O,'2. Program Allocation Output'!$AF:$AF,$A1176,'2. Program Allocation Output'!$AG:$AG,$B1176),"")</f>
        <v/>
      </c>
      <c r="E1176" s="5" t="str">
        <f>IFERROR(AVERAGEIFS('2. Program Allocation Output'!$L:$L,'2. Program Allocation Output'!$AF:$AF,$A1176,'2. Program Allocation Output'!$AG:$AG,$B1176),"")</f>
        <v/>
      </c>
      <c r="F1176" s="39" t="str">
        <f t="shared" si="39"/>
        <v/>
      </c>
      <c r="G1176" t="str">
        <f t="shared" si="40"/>
        <v/>
      </c>
    </row>
    <row r="1177" spans="3:7" ht="15" hidden="1" x14ac:dyDescent="0.25">
      <c r="C1177" s="4" t="str">
        <f>IFERROR(AVERAGEIFS('2. Program Allocation Output'!$P:$P,'2. Program Allocation Output'!$AF:$AF,$A1177,'2. Program Allocation Output'!$AG:$AG,$B1177),"")</f>
        <v/>
      </c>
      <c r="D1177" s="4" t="str">
        <f>IFERROR(AVERAGEIFS('2. Program Allocation Output'!$O:$O,'2. Program Allocation Output'!$AF:$AF,$A1177,'2. Program Allocation Output'!$AG:$AG,$B1177),"")</f>
        <v/>
      </c>
      <c r="E1177" s="5" t="str">
        <f>IFERROR(AVERAGEIFS('2. Program Allocation Output'!$L:$L,'2. Program Allocation Output'!$AF:$AF,$A1177,'2. Program Allocation Output'!$AG:$AG,$B1177),"")</f>
        <v/>
      </c>
      <c r="F1177" s="39" t="str">
        <f t="shared" si="39"/>
        <v/>
      </c>
      <c r="G1177" t="str">
        <f t="shared" si="40"/>
        <v/>
      </c>
    </row>
    <row r="1178" spans="3:7" ht="15" hidden="1" x14ac:dyDescent="0.25">
      <c r="C1178" s="4" t="str">
        <f>IFERROR(AVERAGEIFS('2. Program Allocation Output'!$P:$P,'2. Program Allocation Output'!$AF:$AF,$A1178,'2. Program Allocation Output'!$AG:$AG,$B1178),"")</f>
        <v/>
      </c>
      <c r="D1178" s="4" t="str">
        <f>IFERROR(AVERAGEIFS('2. Program Allocation Output'!$O:$O,'2. Program Allocation Output'!$AF:$AF,$A1178,'2. Program Allocation Output'!$AG:$AG,$B1178),"")</f>
        <v/>
      </c>
      <c r="E1178" s="5" t="str">
        <f>IFERROR(AVERAGEIFS('2. Program Allocation Output'!$L:$L,'2. Program Allocation Output'!$AF:$AF,$A1178,'2. Program Allocation Output'!$AG:$AG,$B1178),"")</f>
        <v/>
      </c>
      <c r="F1178" s="39" t="str">
        <f t="shared" si="39"/>
        <v/>
      </c>
      <c r="G1178" t="str">
        <f t="shared" si="40"/>
        <v/>
      </c>
    </row>
    <row r="1179" spans="3:7" ht="15" hidden="1" x14ac:dyDescent="0.25">
      <c r="C1179" s="4" t="str">
        <f>IFERROR(AVERAGEIFS('2. Program Allocation Output'!$P:$P,'2. Program Allocation Output'!$AF:$AF,$A1179,'2. Program Allocation Output'!$AG:$AG,$B1179),"")</f>
        <v/>
      </c>
      <c r="D1179" s="4" t="str">
        <f>IFERROR(AVERAGEIFS('2. Program Allocation Output'!$O:$O,'2. Program Allocation Output'!$AF:$AF,$A1179,'2. Program Allocation Output'!$AG:$AG,$B1179),"")</f>
        <v/>
      </c>
      <c r="E1179" s="5" t="str">
        <f>IFERROR(AVERAGEIFS('2. Program Allocation Output'!$L:$L,'2. Program Allocation Output'!$AF:$AF,$A1179,'2. Program Allocation Output'!$AG:$AG,$B1179),"")</f>
        <v/>
      </c>
      <c r="F1179" s="39" t="str">
        <f t="shared" si="39"/>
        <v/>
      </c>
      <c r="G1179" t="str">
        <f t="shared" si="40"/>
        <v/>
      </c>
    </row>
    <row r="1180" spans="3:7" ht="15" hidden="1" x14ac:dyDescent="0.25">
      <c r="C1180" s="4" t="str">
        <f>IFERROR(AVERAGEIFS('2. Program Allocation Output'!$P:$P,'2. Program Allocation Output'!$AF:$AF,$A1180,'2. Program Allocation Output'!$AG:$AG,$B1180),"")</f>
        <v/>
      </c>
      <c r="D1180" s="4" t="str">
        <f>IFERROR(AVERAGEIFS('2. Program Allocation Output'!$O:$O,'2. Program Allocation Output'!$AF:$AF,$A1180,'2. Program Allocation Output'!$AG:$AG,$B1180),"")</f>
        <v/>
      </c>
      <c r="E1180" s="5" t="str">
        <f>IFERROR(AVERAGEIFS('2. Program Allocation Output'!$L:$L,'2. Program Allocation Output'!$AF:$AF,$A1180,'2. Program Allocation Output'!$AG:$AG,$B1180),"")</f>
        <v/>
      </c>
      <c r="F1180" s="39" t="str">
        <f t="shared" si="39"/>
        <v/>
      </c>
      <c r="G1180" t="str">
        <f t="shared" si="40"/>
        <v/>
      </c>
    </row>
    <row r="1181" spans="3:7" ht="15" hidden="1" x14ac:dyDescent="0.25">
      <c r="C1181" s="4" t="str">
        <f>IFERROR(AVERAGEIFS('2. Program Allocation Output'!$P:$P,'2. Program Allocation Output'!$AF:$AF,$A1181,'2. Program Allocation Output'!$AG:$AG,$B1181),"")</f>
        <v/>
      </c>
      <c r="D1181" s="4" t="str">
        <f>IFERROR(AVERAGEIFS('2. Program Allocation Output'!$O:$O,'2. Program Allocation Output'!$AF:$AF,$A1181,'2. Program Allocation Output'!$AG:$AG,$B1181),"")</f>
        <v/>
      </c>
      <c r="E1181" s="5" t="str">
        <f>IFERROR(AVERAGEIFS('2. Program Allocation Output'!$L:$L,'2. Program Allocation Output'!$AF:$AF,$A1181,'2. Program Allocation Output'!$AG:$AG,$B1181),"")</f>
        <v/>
      </c>
      <c r="F1181" s="39" t="str">
        <f t="shared" si="39"/>
        <v/>
      </c>
      <c r="G1181" t="str">
        <f t="shared" si="40"/>
        <v/>
      </c>
    </row>
    <row r="1182" spans="3:7" ht="15" hidden="1" x14ac:dyDescent="0.25">
      <c r="C1182" s="4" t="str">
        <f>IFERROR(AVERAGEIFS('2. Program Allocation Output'!$P:$P,'2. Program Allocation Output'!$AF:$AF,$A1182,'2. Program Allocation Output'!$AG:$AG,$B1182),"")</f>
        <v/>
      </c>
      <c r="D1182" s="4" t="str">
        <f>IFERROR(AVERAGEIFS('2. Program Allocation Output'!$O:$O,'2. Program Allocation Output'!$AF:$AF,$A1182,'2. Program Allocation Output'!$AG:$AG,$B1182),"")</f>
        <v/>
      </c>
      <c r="E1182" s="5" t="str">
        <f>IFERROR(AVERAGEIFS('2. Program Allocation Output'!$L:$L,'2. Program Allocation Output'!$AF:$AF,$A1182,'2. Program Allocation Output'!$AG:$AG,$B1182),"")</f>
        <v/>
      </c>
      <c r="F1182" s="39" t="str">
        <f t="shared" si="39"/>
        <v/>
      </c>
      <c r="G1182" t="str">
        <f t="shared" si="40"/>
        <v/>
      </c>
    </row>
    <row r="1183" spans="3:7" ht="15" hidden="1" x14ac:dyDescent="0.25">
      <c r="C1183" s="4" t="str">
        <f>IFERROR(AVERAGEIFS('2. Program Allocation Output'!$P:$P,'2. Program Allocation Output'!$AF:$AF,$A1183,'2. Program Allocation Output'!$AG:$AG,$B1183),"")</f>
        <v/>
      </c>
      <c r="D1183" s="4" t="str">
        <f>IFERROR(AVERAGEIFS('2. Program Allocation Output'!$O:$O,'2. Program Allocation Output'!$AF:$AF,$A1183,'2. Program Allocation Output'!$AG:$AG,$B1183),"")</f>
        <v/>
      </c>
      <c r="E1183" s="5" t="str">
        <f>IFERROR(AVERAGEIFS('2. Program Allocation Output'!$L:$L,'2. Program Allocation Output'!$AF:$AF,$A1183,'2. Program Allocation Output'!$AG:$AG,$B1183),"")</f>
        <v/>
      </c>
      <c r="F1183" s="39" t="str">
        <f t="shared" si="39"/>
        <v/>
      </c>
      <c r="G1183" t="str">
        <f t="shared" si="40"/>
        <v/>
      </c>
    </row>
    <row r="1184" spans="3:7" ht="15" hidden="1" x14ac:dyDescent="0.25">
      <c r="C1184" s="4" t="str">
        <f>IFERROR(AVERAGEIFS('2. Program Allocation Output'!$P:$P,'2. Program Allocation Output'!$AF:$AF,$A1184,'2. Program Allocation Output'!$AG:$AG,$B1184),"")</f>
        <v/>
      </c>
      <c r="D1184" s="4" t="str">
        <f>IFERROR(AVERAGEIFS('2. Program Allocation Output'!$O:$O,'2. Program Allocation Output'!$AF:$AF,$A1184,'2. Program Allocation Output'!$AG:$AG,$B1184),"")</f>
        <v/>
      </c>
      <c r="E1184" s="5" t="str">
        <f>IFERROR(AVERAGEIFS('2. Program Allocation Output'!$L:$L,'2. Program Allocation Output'!$AF:$AF,$A1184,'2. Program Allocation Output'!$AG:$AG,$B1184),"")</f>
        <v/>
      </c>
      <c r="F1184" s="39" t="str">
        <f t="shared" si="39"/>
        <v/>
      </c>
      <c r="G1184" t="str">
        <f t="shared" si="40"/>
        <v/>
      </c>
    </row>
    <row r="1185" spans="3:7" ht="15" hidden="1" x14ac:dyDescent="0.25">
      <c r="C1185" s="4" t="str">
        <f>IFERROR(AVERAGEIFS('2. Program Allocation Output'!$P:$P,'2. Program Allocation Output'!$AF:$AF,$A1185,'2. Program Allocation Output'!$AG:$AG,$B1185),"")</f>
        <v/>
      </c>
      <c r="D1185" s="4" t="str">
        <f>IFERROR(AVERAGEIFS('2. Program Allocation Output'!$O:$O,'2. Program Allocation Output'!$AF:$AF,$A1185,'2. Program Allocation Output'!$AG:$AG,$B1185),"")</f>
        <v/>
      </c>
      <c r="E1185" s="5" t="str">
        <f>IFERROR(AVERAGEIFS('2. Program Allocation Output'!$L:$L,'2. Program Allocation Output'!$AF:$AF,$A1185,'2. Program Allocation Output'!$AG:$AG,$B1185),"")</f>
        <v/>
      </c>
      <c r="F1185" s="39" t="str">
        <f t="shared" si="39"/>
        <v/>
      </c>
      <c r="G1185" t="str">
        <f t="shared" si="40"/>
        <v/>
      </c>
    </row>
    <row r="1186" spans="3:7" ht="15" hidden="1" x14ac:dyDescent="0.25">
      <c r="C1186" s="4" t="str">
        <f>IFERROR(AVERAGEIFS('2. Program Allocation Output'!$P:$P,'2. Program Allocation Output'!$AF:$AF,$A1186,'2. Program Allocation Output'!$AG:$AG,$B1186),"")</f>
        <v/>
      </c>
      <c r="D1186" s="4" t="str">
        <f>IFERROR(AVERAGEIFS('2. Program Allocation Output'!$O:$O,'2. Program Allocation Output'!$AF:$AF,$A1186,'2. Program Allocation Output'!$AG:$AG,$B1186),"")</f>
        <v/>
      </c>
      <c r="E1186" s="5" t="str">
        <f>IFERROR(AVERAGEIFS('2. Program Allocation Output'!$L:$L,'2. Program Allocation Output'!$AF:$AF,$A1186,'2. Program Allocation Output'!$AG:$AG,$B1186),"")</f>
        <v/>
      </c>
      <c r="F1186" s="39" t="str">
        <f t="shared" si="39"/>
        <v/>
      </c>
      <c r="G1186" t="str">
        <f t="shared" si="40"/>
        <v/>
      </c>
    </row>
    <row r="1187" spans="3:7" ht="15" hidden="1" x14ac:dyDescent="0.25">
      <c r="C1187" s="4" t="str">
        <f>IFERROR(AVERAGEIFS('2. Program Allocation Output'!$P:$P,'2. Program Allocation Output'!$AF:$AF,$A1187,'2. Program Allocation Output'!$AG:$AG,$B1187),"")</f>
        <v/>
      </c>
      <c r="D1187" s="4" t="str">
        <f>IFERROR(AVERAGEIFS('2. Program Allocation Output'!$O:$O,'2. Program Allocation Output'!$AF:$AF,$A1187,'2. Program Allocation Output'!$AG:$AG,$B1187),"")</f>
        <v/>
      </c>
      <c r="E1187" s="5" t="str">
        <f>IFERROR(AVERAGEIFS('2. Program Allocation Output'!$L:$L,'2. Program Allocation Output'!$AF:$AF,$A1187,'2. Program Allocation Output'!$AG:$AG,$B1187),"")</f>
        <v/>
      </c>
      <c r="F1187" s="39" t="str">
        <f t="shared" si="39"/>
        <v/>
      </c>
      <c r="G1187" t="str">
        <f t="shared" si="40"/>
        <v/>
      </c>
    </row>
    <row r="1188" spans="3:7" ht="15" hidden="1" x14ac:dyDescent="0.25">
      <c r="C1188" s="4" t="str">
        <f>IFERROR(AVERAGEIFS('2. Program Allocation Output'!$P:$P,'2. Program Allocation Output'!$AF:$AF,$A1188,'2. Program Allocation Output'!$AG:$AG,$B1188),"")</f>
        <v/>
      </c>
      <c r="D1188" s="4" t="str">
        <f>IFERROR(AVERAGEIFS('2. Program Allocation Output'!$O:$O,'2. Program Allocation Output'!$AF:$AF,$A1188,'2. Program Allocation Output'!$AG:$AG,$B1188),"")</f>
        <v/>
      </c>
      <c r="E1188" s="5" t="str">
        <f>IFERROR(AVERAGEIFS('2. Program Allocation Output'!$L:$L,'2. Program Allocation Output'!$AF:$AF,$A1188,'2. Program Allocation Output'!$AG:$AG,$B1188),"")</f>
        <v/>
      </c>
      <c r="F1188" s="39" t="str">
        <f t="shared" si="39"/>
        <v/>
      </c>
      <c r="G1188" t="str">
        <f t="shared" si="40"/>
        <v/>
      </c>
    </row>
    <row r="1189" spans="3:7" ht="15" hidden="1" x14ac:dyDescent="0.25">
      <c r="C1189" s="4" t="str">
        <f>IFERROR(AVERAGEIFS('2. Program Allocation Output'!$P:$P,'2. Program Allocation Output'!$AF:$AF,$A1189,'2. Program Allocation Output'!$AG:$AG,$B1189),"")</f>
        <v/>
      </c>
      <c r="D1189" s="4" t="str">
        <f>IFERROR(AVERAGEIFS('2. Program Allocation Output'!$O:$O,'2. Program Allocation Output'!$AF:$AF,$A1189,'2. Program Allocation Output'!$AG:$AG,$B1189),"")</f>
        <v/>
      </c>
      <c r="E1189" s="5" t="str">
        <f>IFERROR(AVERAGEIFS('2. Program Allocation Output'!$L:$L,'2. Program Allocation Output'!$AF:$AF,$A1189,'2. Program Allocation Output'!$AG:$AG,$B1189),"")</f>
        <v/>
      </c>
      <c r="F1189" s="39" t="str">
        <f t="shared" si="39"/>
        <v/>
      </c>
      <c r="G1189" t="str">
        <f t="shared" si="40"/>
        <v/>
      </c>
    </row>
    <row r="1190" spans="3:7" ht="15" hidden="1" x14ac:dyDescent="0.25">
      <c r="C1190" s="4" t="str">
        <f>IFERROR(AVERAGEIFS('2. Program Allocation Output'!$P:$P,'2. Program Allocation Output'!$AF:$AF,$A1190,'2. Program Allocation Output'!$AG:$AG,$B1190),"")</f>
        <v/>
      </c>
      <c r="D1190" s="4" t="str">
        <f>IFERROR(AVERAGEIFS('2. Program Allocation Output'!$O:$O,'2. Program Allocation Output'!$AF:$AF,$A1190,'2. Program Allocation Output'!$AG:$AG,$B1190),"")</f>
        <v/>
      </c>
      <c r="E1190" s="5" t="str">
        <f>IFERROR(AVERAGEIFS('2. Program Allocation Output'!$L:$L,'2. Program Allocation Output'!$AF:$AF,$A1190,'2. Program Allocation Output'!$AG:$AG,$B1190),"")</f>
        <v/>
      </c>
      <c r="F1190" s="39" t="str">
        <f t="shared" si="39"/>
        <v/>
      </c>
      <c r="G1190" t="str">
        <f t="shared" si="40"/>
        <v/>
      </c>
    </row>
    <row r="1191" spans="3:7" ht="15" hidden="1" x14ac:dyDescent="0.25">
      <c r="C1191" s="4" t="str">
        <f>IFERROR(AVERAGEIFS('2. Program Allocation Output'!$P:$P,'2. Program Allocation Output'!$AF:$AF,$A1191,'2. Program Allocation Output'!$AG:$AG,$B1191),"")</f>
        <v/>
      </c>
      <c r="D1191" s="4" t="str">
        <f>IFERROR(AVERAGEIFS('2. Program Allocation Output'!$O:$O,'2. Program Allocation Output'!$AF:$AF,$A1191,'2. Program Allocation Output'!$AG:$AG,$B1191),"")</f>
        <v/>
      </c>
      <c r="E1191" s="5" t="str">
        <f>IFERROR(AVERAGEIFS('2. Program Allocation Output'!$L:$L,'2. Program Allocation Output'!$AF:$AF,$A1191,'2. Program Allocation Output'!$AG:$AG,$B1191),"")</f>
        <v/>
      </c>
      <c r="F1191" s="39" t="str">
        <f t="shared" si="39"/>
        <v/>
      </c>
      <c r="G1191" t="str">
        <f t="shared" si="40"/>
        <v/>
      </c>
    </row>
    <row r="1192" spans="3:7" ht="15" hidden="1" x14ac:dyDescent="0.25">
      <c r="C1192" s="4" t="str">
        <f>IFERROR(AVERAGEIFS('2. Program Allocation Output'!$P:$P,'2. Program Allocation Output'!$AF:$AF,$A1192,'2. Program Allocation Output'!$AG:$AG,$B1192),"")</f>
        <v/>
      </c>
      <c r="D1192" s="4" t="str">
        <f>IFERROR(AVERAGEIFS('2. Program Allocation Output'!$O:$O,'2. Program Allocation Output'!$AF:$AF,$A1192,'2. Program Allocation Output'!$AG:$AG,$B1192),"")</f>
        <v/>
      </c>
      <c r="E1192" s="5" t="str">
        <f>IFERROR(AVERAGEIFS('2. Program Allocation Output'!$L:$L,'2. Program Allocation Output'!$AF:$AF,$A1192,'2. Program Allocation Output'!$AG:$AG,$B1192),"")</f>
        <v/>
      </c>
      <c r="F1192" s="39" t="str">
        <f t="shared" si="39"/>
        <v/>
      </c>
      <c r="G1192" t="str">
        <f t="shared" si="40"/>
        <v/>
      </c>
    </row>
    <row r="1193" spans="3:7" ht="15" hidden="1" x14ac:dyDescent="0.25">
      <c r="C1193" s="4" t="str">
        <f>IFERROR(AVERAGEIFS('2. Program Allocation Output'!$P:$P,'2. Program Allocation Output'!$AF:$AF,$A1193,'2. Program Allocation Output'!$AG:$AG,$B1193),"")</f>
        <v/>
      </c>
      <c r="D1193" s="4" t="str">
        <f>IFERROR(AVERAGEIFS('2. Program Allocation Output'!$O:$O,'2. Program Allocation Output'!$AF:$AF,$A1193,'2. Program Allocation Output'!$AG:$AG,$B1193),"")</f>
        <v/>
      </c>
      <c r="E1193" s="5" t="str">
        <f>IFERROR(AVERAGEIFS('2. Program Allocation Output'!$L:$L,'2. Program Allocation Output'!$AF:$AF,$A1193,'2. Program Allocation Output'!$AG:$AG,$B1193),"")</f>
        <v/>
      </c>
      <c r="F1193" s="39" t="str">
        <f t="shared" si="39"/>
        <v/>
      </c>
      <c r="G1193" t="str">
        <f t="shared" si="40"/>
        <v/>
      </c>
    </row>
    <row r="1194" spans="3:7" ht="15" hidden="1" x14ac:dyDescent="0.25">
      <c r="C1194" s="4" t="str">
        <f>IFERROR(AVERAGEIFS('2. Program Allocation Output'!$P:$P,'2. Program Allocation Output'!$AF:$AF,$A1194,'2. Program Allocation Output'!$AG:$AG,$B1194),"")</f>
        <v/>
      </c>
      <c r="D1194" s="4" t="str">
        <f>IFERROR(AVERAGEIFS('2. Program Allocation Output'!$O:$O,'2. Program Allocation Output'!$AF:$AF,$A1194,'2. Program Allocation Output'!$AG:$AG,$B1194),"")</f>
        <v/>
      </c>
      <c r="E1194" s="5" t="str">
        <f>IFERROR(AVERAGEIFS('2. Program Allocation Output'!$L:$L,'2. Program Allocation Output'!$AF:$AF,$A1194,'2. Program Allocation Output'!$AG:$AG,$B1194),"")</f>
        <v/>
      </c>
      <c r="F1194" s="39" t="str">
        <f t="shared" si="39"/>
        <v/>
      </c>
      <c r="G1194" t="str">
        <f t="shared" si="40"/>
        <v/>
      </c>
    </row>
    <row r="1195" spans="3:7" ht="15" hidden="1" x14ac:dyDescent="0.25">
      <c r="C1195" s="4" t="str">
        <f>IFERROR(AVERAGEIFS('2. Program Allocation Output'!$P:$P,'2. Program Allocation Output'!$AF:$AF,$A1195,'2. Program Allocation Output'!$AG:$AG,$B1195),"")</f>
        <v/>
      </c>
      <c r="D1195" s="4" t="str">
        <f>IFERROR(AVERAGEIFS('2. Program Allocation Output'!$O:$O,'2. Program Allocation Output'!$AF:$AF,$A1195,'2. Program Allocation Output'!$AG:$AG,$B1195),"")</f>
        <v/>
      </c>
      <c r="E1195" s="5" t="str">
        <f>IFERROR(AVERAGEIFS('2. Program Allocation Output'!$L:$L,'2. Program Allocation Output'!$AF:$AF,$A1195,'2. Program Allocation Output'!$AG:$AG,$B1195),"")</f>
        <v/>
      </c>
      <c r="F1195" s="39" t="str">
        <f t="shared" si="39"/>
        <v/>
      </c>
      <c r="G1195" t="str">
        <f t="shared" si="40"/>
        <v/>
      </c>
    </row>
    <row r="1196" spans="3:7" ht="15" hidden="1" x14ac:dyDescent="0.25">
      <c r="C1196" s="4" t="str">
        <f>IFERROR(AVERAGEIFS('2. Program Allocation Output'!$P:$P,'2. Program Allocation Output'!$AF:$AF,$A1196,'2. Program Allocation Output'!$AG:$AG,$B1196),"")</f>
        <v/>
      </c>
      <c r="D1196" s="4" t="str">
        <f>IFERROR(AVERAGEIFS('2. Program Allocation Output'!$O:$O,'2. Program Allocation Output'!$AF:$AF,$A1196,'2. Program Allocation Output'!$AG:$AG,$B1196),"")</f>
        <v/>
      </c>
      <c r="E1196" s="5" t="str">
        <f>IFERROR(AVERAGEIFS('2. Program Allocation Output'!$L:$L,'2. Program Allocation Output'!$AF:$AF,$A1196,'2. Program Allocation Output'!$AG:$AG,$B1196),"")</f>
        <v/>
      </c>
      <c r="F1196" s="39" t="str">
        <f t="shared" si="39"/>
        <v/>
      </c>
      <c r="G1196" t="str">
        <f t="shared" si="40"/>
        <v/>
      </c>
    </row>
    <row r="1197" spans="3:7" ht="15" hidden="1" x14ac:dyDescent="0.25">
      <c r="C1197" s="4" t="str">
        <f>IFERROR(AVERAGEIFS('2. Program Allocation Output'!$P:$P,'2. Program Allocation Output'!$AF:$AF,$A1197,'2. Program Allocation Output'!$AG:$AG,$B1197),"")</f>
        <v/>
      </c>
      <c r="D1197" s="4" t="str">
        <f>IFERROR(AVERAGEIFS('2. Program Allocation Output'!$O:$O,'2. Program Allocation Output'!$AF:$AF,$A1197,'2. Program Allocation Output'!$AG:$AG,$B1197),"")</f>
        <v/>
      </c>
      <c r="E1197" s="5" t="str">
        <f>IFERROR(AVERAGEIFS('2. Program Allocation Output'!$L:$L,'2. Program Allocation Output'!$AF:$AF,$A1197,'2. Program Allocation Output'!$AG:$AG,$B1197),"")</f>
        <v/>
      </c>
      <c r="F1197" s="39" t="str">
        <f t="shared" si="39"/>
        <v/>
      </c>
      <c r="G1197" t="str">
        <f t="shared" si="40"/>
        <v/>
      </c>
    </row>
    <row r="1198" spans="3:7" ht="15" hidden="1" x14ac:dyDescent="0.25">
      <c r="C1198" s="4" t="str">
        <f>IFERROR(AVERAGEIFS('2. Program Allocation Output'!$P:$P,'2. Program Allocation Output'!$AF:$AF,$A1198,'2. Program Allocation Output'!$AG:$AG,$B1198),"")</f>
        <v/>
      </c>
      <c r="D1198" s="4" t="str">
        <f>IFERROR(AVERAGEIFS('2. Program Allocation Output'!$O:$O,'2. Program Allocation Output'!$AF:$AF,$A1198,'2. Program Allocation Output'!$AG:$AG,$B1198),"")</f>
        <v/>
      </c>
      <c r="E1198" s="5" t="str">
        <f>IFERROR(AVERAGEIFS('2. Program Allocation Output'!$L:$L,'2. Program Allocation Output'!$AF:$AF,$A1198,'2. Program Allocation Output'!$AG:$AG,$B1198),"")</f>
        <v/>
      </c>
      <c r="F1198" s="39" t="str">
        <f t="shared" si="39"/>
        <v/>
      </c>
      <c r="G1198" t="str">
        <f t="shared" si="40"/>
        <v/>
      </c>
    </row>
    <row r="1199" spans="3:7" ht="15" hidden="1" x14ac:dyDescent="0.25">
      <c r="C1199" s="4" t="str">
        <f>IFERROR(AVERAGEIFS('2. Program Allocation Output'!$P:$P,'2. Program Allocation Output'!$AF:$AF,$A1199,'2. Program Allocation Output'!$AG:$AG,$B1199),"")</f>
        <v/>
      </c>
      <c r="D1199" s="4" t="str">
        <f>IFERROR(AVERAGEIFS('2. Program Allocation Output'!$O:$O,'2. Program Allocation Output'!$AF:$AF,$A1199,'2. Program Allocation Output'!$AG:$AG,$B1199),"")</f>
        <v/>
      </c>
      <c r="E1199" s="5" t="str">
        <f>IFERROR(AVERAGEIFS('2. Program Allocation Output'!$L:$L,'2. Program Allocation Output'!$AF:$AF,$A1199,'2. Program Allocation Output'!$AG:$AG,$B1199),"")</f>
        <v/>
      </c>
      <c r="F1199" s="39" t="str">
        <f t="shared" si="39"/>
        <v/>
      </c>
      <c r="G1199" t="str">
        <f t="shared" si="40"/>
        <v/>
      </c>
    </row>
    <row r="1200" spans="3:7" ht="15" hidden="1" x14ac:dyDescent="0.25">
      <c r="C1200" s="4" t="str">
        <f>IFERROR(AVERAGEIFS('2. Program Allocation Output'!$P:$P,'2. Program Allocation Output'!$AF:$AF,$A1200,'2. Program Allocation Output'!$AG:$AG,$B1200),"")</f>
        <v/>
      </c>
      <c r="D1200" s="4" t="str">
        <f>IFERROR(AVERAGEIFS('2. Program Allocation Output'!$O:$O,'2. Program Allocation Output'!$AF:$AF,$A1200,'2. Program Allocation Output'!$AG:$AG,$B1200),"")</f>
        <v/>
      </c>
      <c r="E1200" s="5" t="str">
        <f>IFERROR(AVERAGEIFS('2. Program Allocation Output'!$L:$L,'2. Program Allocation Output'!$AF:$AF,$A1200,'2. Program Allocation Output'!$AG:$AG,$B1200),"")</f>
        <v/>
      </c>
      <c r="F1200" s="39" t="str">
        <f t="shared" si="39"/>
        <v/>
      </c>
      <c r="G1200" t="str">
        <f t="shared" si="40"/>
        <v/>
      </c>
    </row>
    <row r="1201" spans="3:7" ht="15" hidden="1" x14ac:dyDescent="0.25">
      <c r="C1201" s="4" t="str">
        <f>IFERROR(AVERAGEIFS('2. Program Allocation Output'!$P:$P,'2. Program Allocation Output'!$AF:$AF,$A1201,'2. Program Allocation Output'!$AG:$AG,$B1201),"")</f>
        <v/>
      </c>
      <c r="D1201" s="4" t="str">
        <f>IFERROR(AVERAGEIFS('2. Program Allocation Output'!$O:$O,'2. Program Allocation Output'!$AF:$AF,$A1201,'2. Program Allocation Output'!$AG:$AG,$B1201),"")</f>
        <v/>
      </c>
      <c r="E1201" s="5" t="str">
        <f>IFERROR(AVERAGEIFS('2. Program Allocation Output'!$L:$L,'2. Program Allocation Output'!$AF:$AF,$A1201,'2. Program Allocation Output'!$AG:$AG,$B1201),"")</f>
        <v/>
      </c>
      <c r="F1201" s="39" t="str">
        <f t="shared" si="39"/>
        <v/>
      </c>
      <c r="G1201" t="str">
        <f t="shared" si="40"/>
        <v/>
      </c>
    </row>
    <row r="1202" spans="3:7" ht="15" hidden="1" x14ac:dyDescent="0.25">
      <c r="C1202" s="4" t="str">
        <f>IFERROR(AVERAGEIFS('2. Program Allocation Output'!$P:$P,'2. Program Allocation Output'!$AF:$AF,$A1202,'2. Program Allocation Output'!$AG:$AG,$B1202),"")</f>
        <v/>
      </c>
      <c r="D1202" s="4" t="str">
        <f>IFERROR(AVERAGEIFS('2. Program Allocation Output'!$O:$O,'2. Program Allocation Output'!$AF:$AF,$A1202,'2. Program Allocation Output'!$AG:$AG,$B1202),"")</f>
        <v/>
      </c>
      <c r="E1202" s="5" t="str">
        <f>IFERROR(AVERAGEIFS('2. Program Allocation Output'!$L:$L,'2. Program Allocation Output'!$AF:$AF,$A1202,'2. Program Allocation Output'!$AG:$AG,$B1202),"")</f>
        <v/>
      </c>
      <c r="F1202" s="39" t="str">
        <f t="shared" si="39"/>
        <v/>
      </c>
      <c r="G1202" t="str">
        <f t="shared" si="40"/>
        <v/>
      </c>
    </row>
    <row r="1203" spans="3:7" ht="15" hidden="1" x14ac:dyDescent="0.25">
      <c r="C1203" s="4" t="str">
        <f>IFERROR(AVERAGEIFS('2. Program Allocation Output'!$P:$P,'2. Program Allocation Output'!$AF:$AF,$A1203,'2. Program Allocation Output'!$AG:$AG,$B1203),"")</f>
        <v/>
      </c>
      <c r="D1203" s="4" t="str">
        <f>IFERROR(AVERAGEIFS('2. Program Allocation Output'!$O:$O,'2. Program Allocation Output'!$AF:$AF,$A1203,'2. Program Allocation Output'!$AG:$AG,$B1203),"")</f>
        <v/>
      </c>
      <c r="E1203" s="5" t="str">
        <f>IFERROR(AVERAGEIFS('2. Program Allocation Output'!$L:$L,'2. Program Allocation Output'!$AF:$AF,$A1203,'2. Program Allocation Output'!$AG:$AG,$B1203),"")</f>
        <v/>
      </c>
      <c r="F1203" s="39" t="str">
        <f t="shared" si="39"/>
        <v/>
      </c>
      <c r="G1203" t="str">
        <f t="shared" si="40"/>
        <v/>
      </c>
    </row>
    <row r="1204" spans="3:7" ht="15" hidden="1" x14ac:dyDescent="0.25">
      <c r="C1204" s="4" t="str">
        <f>IFERROR(AVERAGEIFS('2. Program Allocation Output'!$P:$P,'2. Program Allocation Output'!$AF:$AF,$A1204,'2. Program Allocation Output'!$AG:$AG,$B1204),"")</f>
        <v/>
      </c>
      <c r="D1204" s="4" t="str">
        <f>IFERROR(AVERAGEIFS('2. Program Allocation Output'!$O:$O,'2. Program Allocation Output'!$AF:$AF,$A1204,'2. Program Allocation Output'!$AG:$AG,$B1204),"")</f>
        <v/>
      </c>
      <c r="E1204" s="5" t="str">
        <f>IFERROR(AVERAGEIFS('2. Program Allocation Output'!$L:$L,'2. Program Allocation Output'!$AF:$AF,$A1204,'2. Program Allocation Output'!$AG:$AG,$B1204),"")</f>
        <v/>
      </c>
      <c r="F1204" s="39" t="str">
        <f t="shared" si="39"/>
        <v/>
      </c>
      <c r="G1204" t="str">
        <f t="shared" si="40"/>
        <v/>
      </c>
    </row>
    <row r="1205" spans="3:7" ht="15" hidden="1" x14ac:dyDescent="0.25">
      <c r="C1205" s="4" t="str">
        <f>IFERROR(AVERAGEIFS('2. Program Allocation Output'!$P:$P,'2. Program Allocation Output'!$AF:$AF,$A1205,'2. Program Allocation Output'!$AG:$AG,$B1205),"")</f>
        <v/>
      </c>
      <c r="D1205" s="4" t="str">
        <f>IFERROR(AVERAGEIFS('2. Program Allocation Output'!$O:$O,'2. Program Allocation Output'!$AF:$AF,$A1205,'2. Program Allocation Output'!$AG:$AG,$B1205),"")</f>
        <v/>
      </c>
      <c r="E1205" s="5" t="str">
        <f>IFERROR(AVERAGEIFS('2. Program Allocation Output'!$L:$L,'2. Program Allocation Output'!$AF:$AF,$A1205,'2. Program Allocation Output'!$AG:$AG,$B1205),"")</f>
        <v/>
      </c>
      <c r="F1205" s="39" t="str">
        <f t="shared" si="39"/>
        <v/>
      </c>
      <c r="G1205" t="str">
        <f t="shared" si="40"/>
        <v/>
      </c>
    </row>
    <row r="1206" spans="3:7" ht="15" hidden="1" x14ac:dyDescent="0.25">
      <c r="C1206" s="4" t="str">
        <f>IFERROR(AVERAGEIFS('2. Program Allocation Output'!$P:$P,'2. Program Allocation Output'!$AF:$AF,$A1206,'2. Program Allocation Output'!$AG:$AG,$B1206),"")</f>
        <v/>
      </c>
      <c r="D1206" s="4" t="str">
        <f>IFERROR(AVERAGEIFS('2. Program Allocation Output'!$O:$O,'2. Program Allocation Output'!$AF:$AF,$A1206,'2. Program Allocation Output'!$AG:$AG,$B1206),"")</f>
        <v/>
      </c>
      <c r="E1206" s="5" t="str">
        <f>IFERROR(AVERAGEIFS('2. Program Allocation Output'!$L:$L,'2. Program Allocation Output'!$AF:$AF,$A1206,'2. Program Allocation Output'!$AG:$AG,$B1206),"")</f>
        <v/>
      </c>
      <c r="F1206" s="39" t="str">
        <f t="shared" si="39"/>
        <v/>
      </c>
      <c r="G1206" t="str">
        <f t="shared" si="40"/>
        <v/>
      </c>
    </row>
    <row r="1207" spans="3:7" ht="15" hidden="1" x14ac:dyDescent="0.25">
      <c r="C1207" s="4" t="str">
        <f>IFERROR(AVERAGEIFS('2. Program Allocation Output'!$P:$P,'2. Program Allocation Output'!$AF:$AF,$A1207,'2. Program Allocation Output'!$AG:$AG,$B1207),"")</f>
        <v/>
      </c>
      <c r="D1207" s="4" t="str">
        <f>IFERROR(AVERAGEIFS('2. Program Allocation Output'!$O:$O,'2. Program Allocation Output'!$AF:$AF,$A1207,'2. Program Allocation Output'!$AG:$AG,$B1207),"")</f>
        <v/>
      </c>
      <c r="E1207" s="5" t="str">
        <f>IFERROR(AVERAGEIFS('2. Program Allocation Output'!$L:$L,'2. Program Allocation Output'!$AF:$AF,$A1207,'2. Program Allocation Output'!$AG:$AG,$B1207),"")</f>
        <v/>
      </c>
      <c r="F1207" s="39" t="str">
        <f t="shared" si="39"/>
        <v/>
      </c>
      <c r="G1207" t="str">
        <f t="shared" si="40"/>
        <v/>
      </c>
    </row>
    <row r="1208" spans="3:7" ht="15" hidden="1" x14ac:dyDescent="0.25">
      <c r="C1208" s="4" t="str">
        <f>IFERROR(AVERAGEIFS('2. Program Allocation Output'!$P:$P,'2. Program Allocation Output'!$AF:$AF,$A1208,'2. Program Allocation Output'!$AG:$AG,$B1208),"")</f>
        <v/>
      </c>
      <c r="D1208" s="4" t="str">
        <f>IFERROR(AVERAGEIFS('2. Program Allocation Output'!$O:$O,'2. Program Allocation Output'!$AF:$AF,$A1208,'2. Program Allocation Output'!$AG:$AG,$B1208),"")</f>
        <v/>
      </c>
      <c r="E1208" s="5" t="str">
        <f>IFERROR(AVERAGEIFS('2. Program Allocation Output'!$L:$L,'2. Program Allocation Output'!$AF:$AF,$A1208,'2. Program Allocation Output'!$AG:$AG,$B1208),"")</f>
        <v/>
      </c>
      <c r="F1208" s="39" t="str">
        <f t="shared" si="39"/>
        <v/>
      </c>
      <c r="G1208" t="str">
        <f t="shared" si="40"/>
        <v/>
      </c>
    </row>
    <row r="1209" spans="3:7" ht="15" hidden="1" x14ac:dyDescent="0.25">
      <c r="C1209" s="4" t="str">
        <f>IFERROR(AVERAGEIFS('2. Program Allocation Output'!$P:$P,'2. Program Allocation Output'!$AF:$AF,$A1209,'2. Program Allocation Output'!$AG:$AG,$B1209),"")</f>
        <v/>
      </c>
      <c r="D1209" s="4" t="str">
        <f>IFERROR(AVERAGEIFS('2. Program Allocation Output'!$O:$O,'2. Program Allocation Output'!$AF:$AF,$A1209,'2. Program Allocation Output'!$AG:$AG,$B1209),"")</f>
        <v/>
      </c>
      <c r="E1209" s="5" t="str">
        <f>IFERROR(AVERAGEIFS('2. Program Allocation Output'!$L:$L,'2. Program Allocation Output'!$AF:$AF,$A1209,'2. Program Allocation Output'!$AG:$AG,$B1209),"")</f>
        <v/>
      </c>
      <c r="F1209" s="39" t="str">
        <f t="shared" si="39"/>
        <v/>
      </c>
      <c r="G1209" t="str">
        <f t="shared" si="40"/>
        <v/>
      </c>
    </row>
    <row r="1210" spans="3:7" ht="15" hidden="1" x14ac:dyDescent="0.25">
      <c r="C1210" s="4" t="str">
        <f>IFERROR(AVERAGEIFS('2. Program Allocation Output'!$P:$P,'2. Program Allocation Output'!$AF:$AF,$A1210,'2. Program Allocation Output'!$AG:$AG,$B1210),"")</f>
        <v/>
      </c>
      <c r="D1210" s="4" t="str">
        <f>IFERROR(AVERAGEIFS('2. Program Allocation Output'!$O:$O,'2. Program Allocation Output'!$AF:$AF,$A1210,'2. Program Allocation Output'!$AG:$AG,$B1210),"")</f>
        <v/>
      </c>
      <c r="E1210" s="5" t="str">
        <f>IFERROR(AVERAGEIFS('2. Program Allocation Output'!$L:$L,'2. Program Allocation Output'!$AF:$AF,$A1210,'2. Program Allocation Output'!$AG:$AG,$B1210),"")</f>
        <v/>
      </c>
      <c r="F1210" s="39" t="str">
        <f t="shared" si="39"/>
        <v/>
      </c>
      <c r="G1210" t="str">
        <f t="shared" si="40"/>
        <v/>
      </c>
    </row>
    <row r="1211" spans="3:7" ht="15" hidden="1" x14ac:dyDescent="0.25">
      <c r="C1211" s="4" t="str">
        <f>IFERROR(AVERAGEIFS('2. Program Allocation Output'!$P:$P,'2. Program Allocation Output'!$AF:$AF,$A1211,'2. Program Allocation Output'!$AG:$AG,$B1211),"")</f>
        <v/>
      </c>
      <c r="D1211" s="4" t="str">
        <f>IFERROR(AVERAGEIFS('2. Program Allocation Output'!$O:$O,'2. Program Allocation Output'!$AF:$AF,$A1211,'2. Program Allocation Output'!$AG:$AG,$B1211),"")</f>
        <v/>
      </c>
      <c r="E1211" s="5" t="str">
        <f>IFERROR(AVERAGEIFS('2. Program Allocation Output'!$L:$L,'2. Program Allocation Output'!$AF:$AF,$A1211,'2. Program Allocation Output'!$AG:$AG,$B1211),"")</f>
        <v/>
      </c>
      <c r="F1211" s="39" t="str">
        <f t="shared" si="39"/>
        <v/>
      </c>
      <c r="G1211" t="str">
        <f t="shared" si="40"/>
        <v/>
      </c>
    </row>
    <row r="1212" spans="3:7" ht="15" hidden="1" x14ac:dyDescent="0.25">
      <c r="C1212" s="4" t="str">
        <f>IFERROR(AVERAGEIFS('2. Program Allocation Output'!$P:$P,'2. Program Allocation Output'!$AF:$AF,$A1212,'2. Program Allocation Output'!$AG:$AG,$B1212),"")</f>
        <v/>
      </c>
      <c r="D1212" s="4" t="str">
        <f>IFERROR(AVERAGEIFS('2. Program Allocation Output'!$O:$O,'2. Program Allocation Output'!$AF:$AF,$A1212,'2. Program Allocation Output'!$AG:$AG,$B1212),"")</f>
        <v/>
      </c>
      <c r="E1212" s="5" t="str">
        <f>IFERROR(AVERAGEIFS('2. Program Allocation Output'!$L:$L,'2. Program Allocation Output'!$AF:$AF,$A1212,'2. Program Allocation Output'!$AG:$AG,$B1212),"")</f>
        <v/>
      </c>
      <c r="F1212" s="39" t="str">
        <f t="shared" si="39"/>
        <v/>
      </c>
      <c r="G1212" t="str">
        <f t="shared" si="40"/>
        <v/>
      </c>
    </row>
    <row r="1213" spans="3:7" ht="15" hidden="1" x14ac:dyDescent="0.25">
      <c r="C1213" s="4" t="str">
        <f>IFERROR(AVERAGEIFS('2. Program Allocation Output'!$P:$P,'2. Program Allocation Output'!$AF:$AF,$A1213,'2. Program Allocation Output'!$AG:$AG,$B1213),"")</f>
        <v/>
      </c>
      <c r="D1213" s="4" t="str">
        <f>IFERROR(AVERAGEIFS('2. Program Allocation Output'!$O:$O,'2. Program Allocation Output'!$AF:$AF,$A1213,'2. Program Allocation Output'!$AG:$AG,$B1213),"")</f>
        <v/>
      </c>
      <c r="E1213" s="5" t="str">
        <f>IFERROR(AVERAGEIFS('2. Program Allocation Output'!$L:$L,'2. Program Allocation Output'!$AF:$AF,$A1213,'2. Program Allocation Output'!$AG:$AG,$B1213),"")</f>
        <v/>
      </c>
      <c r="F1213" s="39" t="str">
        <f t="shared" si="39"/>
        <v/>
      </c>
      <c r="G1213" t="str">
        <f t="shared" si="40"/>
        <v/>
      </c>
    </row>
    <row r="1214" spans="3:7" ht="15" hidden="1" x14ac:dyDescent="0.25">
      <c r="C1214" s="4" t="str">
        <f>IFERROR(AVERAGEIFS('2. Program Allocation Output'!$P:$P,'2. Program Allocation Output'!$AF:$AF,$A1214,'2. Program Allocation Output'!$AG:$AG,$B1214),"")</f>
        <v/>
      </c>
      <c r="D1214" s="4" t="str">
        <f>IFERROR(AVERAGEIFS('2. Program Allocation Output'!$O:$O,'2. Program Allocation Output'!$AF:$AF,$A1214,'2. Program Allocation Output'!$AG:$AG,$B1214),"")</f>
        <v/>
      </c>
      <c r="E1214" s="5" t="str">
        <f>IFERROR(AVERAGEIFS('2. Program Allocation Output'!$L:$L,'2. Program Allocation Output'!$AF:$AF,$A1214,'2. Program Allocation Output'!$AG:$AG,$B1214),"")</f>
        <v/>
      </c>
      <c r="F1214" s="39" t="str">
        <f t="shared" si="39"/>
        <v/>
      </c>
      <c r="G1214" t="str">
        <f t="shared" si="40"/>
        <v/>
      </c>
    </row>
    <row r="1215" spans="3:7" ht="15" hidden="1" x14ac:dyDescent="0.25">
      <c r="C1215" s="4" t="str">
        <f>IFERROR(AVERAGEIFS('2. Program Allocation Output'!$P:$P,'2. Program Allocation Output'!$AF:$AF,$A1215,'2. Program Allocation Output'!$AG:$AG,$B1215),"")</f>
        <v/>
      </c>
      <c r="D1215" s="4" t="str">
        <f>IFERROR(AVERAGEIFS('2. Program Allocation Output'!$O:$O,'2. Program Allocation Output'!$AF:$AF,$A1215,'2. Program Allocation Output'!$AG:$AG,$B1215),"")</f>
        <v/>
      </c>
      <c r="E1215" s="5" t="str">
        <f>IFERROR(AVERAGEIFS('2. Program Allocation Output'!$L:$L,'2. Program Allocation Output'!$AF:$AF,$A1215,'2. Program Allocation Output'!$AG:$AG,$B1215),"")</f>
        <v/>
      </c>
      <c r="F1215" s="39" t="str">
        <f t="shared" si="39"/>
        <v/>
      </c>
      <c r="G1215" t="str">
        <f t="shared" si="40"/>
        <v/>
      </c>
    </row>
    <row r="1216" spans="3:7" ht="15" hidden="1" x14ac:dyDescent="0.25">
      <c r="C1216" s="4" t="str">
        <f>IFERROR(AVERAGEIFS('2. Program Allocation Output'!$P:$P,'2. Program Allocation Output'!$AF:$AF,$A1216,'2. Program Allocation Output'!$AG:$AG,$B1216),"")</f>
        <v/>
      </c>
      <c r="D1216" s="4" t="str">
        <f>IFERROR(AVERAGEIFS('2. Program Allocation Output'!$O:$O,'2. Program Allocation Output'!$AF:$AF,$A1216,'2. Program Allocation Output'!$AG:$AG,$B1216),"")</f>
        <v/>
      </c>
      <c r="E1216" s="5" t="str">
        <f>IFERROR(AVERAGEIFS('2. Program Allocation Output'!$L:$L,'2. Program Allocation Output'!$AF:$AF,$A1216,'2. Program Allocation Output'!$AG:$AG,$B1216),"")</f>
        <v/>
      </c>
      <c r="F1216" s="39" t="str">
        <f t="shared" si="39"/>
        <v/>
      </c>
      <c r="G1216" t="str">
        <f t="shared" si="40"/>
        <v/>
      </c>
    </row>
    <row r="1217" spans="3:7" ht="15" hidden="1" x14ac:dyDescent="0.25">
      <c r="C1217" s="4" t="str">
        <f>IFERROR(AVERAGEIFS('2. Program Allocation Output'!$P:$P,'2. Program Allocation Output'!$AF:$AF,$A1217,'2. Program Allocation Output'!$AG:$AG,$B1217),"")</f>
        <v/>
      </c>
      <c r="D1217" s="4" t="str">
        <f>IFERROR(AVERAGEIFS('2. Program Allocation Output'!$O:$O,'2. Program Allocation Output'!$AF:$AF,$A1217,'2. Program Allocation Output'!$AG:$AG,$B1217),"")</f>
        <v/>
      </c>
      <c r="E1217" s="5" t="str">
        <f>IFERROR(AVERAGEIFS('2. Program Allocation Output'!$L:$L,'2. Program Allocation Output'!$AF:$AF,$A1217,'2. Program Allocation Output'!$AG:$AG,$B1217),"")</f>
        <v/>
      </c>
      <c r="F1217" s="39" t="str">
        <f t="shared" si="39"/>
        <v/>
      </c>
      <c r="G1217" t="str">
        <f t="shared" si="40"/>
        <v/>
      </c>
    </row>
    <row r="1218" spans="3:7" ht="15" hidden="1" x14ac:dyDescent="0.25">
      <c r="C1218" s="4" t="str">
        <f>IFERROR(AVERAGEIFS('2. Program Allocation Output'!$P:$P,'2. Program Allocation Output'!$AF:$AF,$A1218,'2. Program Allocation Output'!$AG:$AG,$B1218),"")</f>
        <v/>
      </c>
      <c r="D1218" s="4" t="str">
        <f>IFERROR(AVERAGEIFS('2. Program Allocation Output'!$O:$O,'2. Program Allocation Output'!$AF:$AF,$A1218,'2. Program Allocation Output'!$AG:$AG,$B1218),"")</f>
        <v/>
      </c>
      <c r="E1218" s="5" t="str">
        <f>IFERROR(AVERAGEIFS('2. Program Allocation Output'!$L:$L,'2. Program Allocation Output'!$AF:$AF,$A1218,'2. Program Allocation Output'!$AG:$AG,$B1218),"")</f>
        <v/>
      </c>
      <c r="F1218" s="39" t="str">
        <f t="shared" si="39"/>
        <v/>
      </c>
      <c r="G1218" t="str">
        <f t="shared" si="40"/>
        <v/>
      </c>
    </row>
    <row r="1219" spans="3:7" ht="15" hidden="1" x14ac:dyDescent="0.25">
      <c r="C1219" s="4" t="str">
        <f>IFERROR(AVERAGEIFS('2. Program Allocation Output'!$P:$P,'2. Program Allocation Output'!$AF:$AF,$A1219,'2. Program Allocation Output'!$AG:$AG,$B1219),"")</f>
        <v/>
      </c>
      <c r="D1219" s="4" t="str">
        <f>IFERROR(AVERAGEIFS('2. Program Allocation Output'!$O:$O,'2. Program Allocation Output'!$AF:$AF,$A1219,'2. Program Allocation Output'!$AG:$AG,$B1219),"")</f>
        <v/>
      </c>
      <c r="E1219" s="5" t="str">
        <f>IFERROR(AVERAGEIFS('2. Program Allocation Output'!$L:$L,'2. Program Allocation Output'!$AF:$AF,$A1219,'2. Program Allocation Output'!$AG:$AG,$B1219),"")</f>
        <v/>
      </c>
      <c r="F1219" s="39" t="str">
        <f t="shared" ref="F1219:F1282" si="41">IFERROR(C1219*1,"")</f>
        <v/>
      </c>
      <c r="G1219" t="str">
        <f t="shared" si="40"/>
        <v/>
      </c>
    </row>
    <row r="1220" spans="3:7" ht="15" hidden="1" x14ac:dyDescent="0.25">
      <c r="C1220" s="4" t="str">
        <f>IFERROR(AVERAGEIFS('2. Program Allocation Output'!$P:$P,'2. Program Allocation Output'!$AF:$AF,$A1220,'2. Program Allocation Output'!$AG:$AG,$B1220),"")</f>
        <v/>
      </c>
      <c r="D1220" s="4" t="str">
        <f>IFERROR(AVERAGEIFS('2. Program Allocation Output'!$O:$O,'2. Program Allocation Output'!$AF:$AF,$A1220,'2. Program Allocation Output'!$AG:$AG,$B1220),"")</f>
        <v/>
      </c>
      <c r="E1220" s="5" t="str">
        <f>IFERROR(AVERAGEIFS('2. Program Allocation Output'!$L:$L,'2. Program Allocation Output'!$AF:$AF,$A1220,'2. Program Allocation Output'!$AG:$AG,$B1220),"")</f>
        <v/>
      </c>
      <c r="F1220" s="39" t="str">
        <f t="shared" si="41"/>
        <v/>
      </c>
      <c r="G1220" t="str">
        <f t="shared" si="40"/>
        <v/>
      </c>
    </row>
    <row r="1221" spans="3:7" ht="15" hidden="1" x14ac:dyDescent="0.25">
      <c r="C1221" s="4" t="str">
        <f>IFERROR(AVERAGEIFS('2. Program Allocation Output'!$P:$P,'2. Program Allocation Output'!$AF:$AF,$A1221,'2. Program Allocation Output'!$AG:$AG,$B1221),"")</f>
        <v/>
      </c>
      <c r="D1221" s="4" t="str">
        <f>IFERROR(AVERAGEIFS('2. Program Allocation Output'!$O:$O,'2. Program Allocation Output'!$AF:$AF,$A1221,'2. Program Allocation Output'!$AG:$AG,$B1221),"")</f>
        <v/>
      </c>
      <c r="E1221" s="5" t="str">
        <f>IFERROR(AVERAGEIFS('2. Program Allocation Output'!$L:$L,'2. Program Allocation Output'!$AF:$AF,$A1221,'2. Program Allocation Output'!$AG:$AG,$B1221),"")</f>
        <v/>
      </c>
      <c r="F1221" s="39" t="str">
        <f t="shared" si="41"/>
        <v/>
      </c>
      <c r="G1221" t="str">
        <f t="shared" si="40"/>
        <v/>
      </c>
    </row>
    <row r="1222" spans="3:7" ht="15" hidden="1" x14ac:dyDescent="0.25">
      <c r="C1222" s="4" t="str">
        <f>IFERROR(AVERAGEIFS('2. Program Allocation Output'!$P:$P,'2. Program Allocation Output'!$AF:$AF,$A1222,'2. Program Allocation Output'!$AG:$AG,$B1222),"")</f>
        <v/>
      </c>
      <c r="D1222" s="4" t="str">
        <f>IFERROR(AVERAGEIFS('2. Program Allocation Output'!$O:$O,'2. Program Allocation Output'!$AF:$AF,$A1222,'2. Program Allocation Output'!$AG:$AG,$B1222),"")</f>
        <v/>
      </c>
      <c r="E1222" s="5" t="str">
        <f>IFERROR(AVERAGEIFS('2. Program Allocation Output'!$L:$L,'2. Program Allocation Output'!$AF:$AF,$A1222,'2. Program Allocation Output'!$AG:$AG,$B1222),"")</f>
        <v/>
      </c>
      <c r="F1222" s="39" t="str">
        <f t="shared" si="41"/>
        <v/>
      </c>
      <c r="G1222" t="str">
        <f t="shared" si="40"/>
        <v/>
      </c>
    </row>
    <row r="1223" spans="3:7" ht="15" hidden="1" x14ac:dyDescent="0.25">
      <c r="C1223" s="4" t="str">
        <f>IFERROR(AVERAGEIFS('2. Program Allocation Output'!$P:$P,'2. Program Allocation Output'!$AF:$AF,$A1223,'2. Program Allocation Output'!$AG:$AG,$B1223),"")</f>
        <v/>
      </c>
      <c r="D1223" s="4" t="str">
        <f>IFERROR(AVERAGEIFS('2. Program Allocation Output'!$O:$O,'2. Program Allocation Output'!$AF:$AF,$A1223,'2. Program Allocation Output'!$AG:$AG,$B1223),"")</f>
        <v/>
      </c>
      <c r="E1223" s="5" t="str">
        <f>IFERROR(AVERAGEIFS('2. Program Allocation Output'!$L:$L,'2. Program Allocation Output'!$AF:$AF,$A1223,'2. Program Allocation Output'!$AG:$AG,$B1223),"")</f>
        <v/>
      </c>
      <c r="F1223" s="39" t="str">
        <f t="shared" si="41"/>
        <v/>
      </c>
      <c r="G1223" t="str">
        <f t="shared" si="40"/>
        <v/>
      </c>
    </row>
    <row r="1224" spans="3:7" ht="15" hidden="1" x14ac:dyDescent="0.25">
      <c r="C1224" s="4" t="str">
        <f>IFERROR(AVERAGEIFS('2. Program Allocation Output'!$P:$P,'2. Program Allocation Output'!$AF:$AF,$A1224,'2. Program Allocation Output'!$AG:$AG,$B1224),"")</f>
        <v/>
      </c>
      <c r="D1224" s="4" t="str">
        <f>IFERROR(AVERAGEIFS('2. Program Allocation Output'!$O:$O,'2. Program Allocation Output'!$AF:$AF,$A1224,'2. Program Allocation Output'!$AG:$AG,$B1224),"")</f>
        <v/>
      </c>
      <c r="E1224" s="5" t="str">
        <f>IFERROR(AVERAGEIFS('2. Program Allocation Output'!$L:$L,'2. Program Allocation Output'!$AF:$AF,$A1224,'2. Program Allocation Output'!$AG:$AG,$B1224),"")</f>
        <v/>
      </c>
      <c r="F1224" s="39" t="str">
        <f t="shared" si="41"/>
        <v/>
      </c>
      <c r="G1224" t="str">
        <f t="shared" si="40"/>
        <v/>
      </c>
    </row>
    <row r="1225" spans="3:7" ht="15" hidden="1" x14ac:dyDescent="0.25">
      <c r="C1225" s="4" t="str">
        <f>IFERROR(AVERAGEIFS('2. Program Allocation Output'!$P:$P,'2. Program Allocation Output'!$AF:$AF,$A1225,'2. Program Allocation Output'!$AG:$AG,$B1225),"")</f>
        <v/>
      </c>
      <c r="D1225" s="4" t="str">
        <f>IFERROR(AVERAGEIFS('2. Program Allocation Output'!$O:$O,'2. Program Allocation Output'!$AF:$AF,$A1225,'2. Program Allocation Output'!$AG:$AG,$B1225),"")</f>
        <v/>
      </c>
      <c r="E1225" s="5" t="str">
        <f>IFERROR(AVERAGEIFS('2. Program Allocation Output'!$L:$L,'2. Program Allocation Output'!$AF:$AF,$A1225,'2. Program Allocation Output'!$AG:$AG,$B1225),"")</f>
        <v/>
      </c>
      <c r="F1225" s="39" t="str">
        <f t="shared" si="41"/>
        <v/>
      </c>
      <c r="G1225" t="str">
        <f t="shared" si="40"/>
        <v/>
      </c>
    </row>
    <row r="1226" spans="3:7" ht="15" hidden="1" x14ac:dyDescent="0.25">
      <c r="C1226" s="4" t="str">
        <f>IFERROR(AVERAGEIFS('2. Program Allocation Output'!$P:$P,'2. Program Allocation Output'!$AF:$AF,$A1226,'2. Program Allocation Output'!$AG:$AG,$B1226),"")</f>
        <v/>
      </c>
      <c r="D1226" s="4" t="str">
        <f>IFERROR(AVERAGEIFS('2. Program Allocation Output'!$O:$O,'2. Program Allocation Output'!$AF:$AF,$A1226,'2. Program Allocation Output'!$AG:$AG,$B1226),"")</f>
        <v/>
      </c>
      <c r="E1226" s="5" t="str">
        <f>IFERROR(AVERAGEIFS('2. Program Allocation Output'!$L:$L,'2. Program Allocation Output'!$AF:$AF,$A1226,'2. Program Allocation Output'!$AG:$AG,$B1226),"")</f>
        <v/>
      </c>
      <c r="F1226" s="39" t="str">
        <f t="shared" si="41"/>
        <v/>
      </c>
      <c r="G1226" t="str">
        <f t="shared" si="40"/>
        <v/>
      </c>
    </row>
    <row r="1227" spans="3:7" ht="15" hidden="1" x14ac:dyDescent="0.25">
      <c r="C1227" s="4" t="str">
        <f>IFERROR(AVERAGEIFS('2. Program Allocation Output'!$P:$P,'2. Program Allocation Output'!$AF:$AF,$A1227,'2. Program Allocation Output'!$AG:$AG,$B1227),"")</f>
        <v/>
      </c>
      <c r="D1227" s="4" t="str">
        <f>IFERROR(AVERAGEIFS('2. Program Allocation Output'!$O:$O,'2. Program Allocation Output'!$AF:$AF,$A1227,'2. Program Allocation Output'!$AG:$AG,$B1227),"")</f>
        <v/>
      </c>
      <c r="E1227" s="5" t="str">
        <f>IFERROR(AVERAGEIFS('2. Program Allocation Output'!$L:$L,'2. Program Allocation Output'!$AF:$AF,$A1227,'2. Program Allocation Output'!$AG:$AG,$B1227),"")</f>
        <v/>
      </c>
      <c r="F1227" s="39" t="str">
        <f t="shared" si="41"/>
        <v/>
      </c>
      <c r="G1227" t="str">
        <f t="shared" si="40"/>
        <v/>
      </c>
    </row>
    <row r="1228" spans="3:7" ht="15" hidden="1" x14ac:dyDescent="0.25">
      <c r="C1228" s="4" t="str">
        <f>IFERROR(AVERAGEIFS('2. Program Allocation Output'!$P:$P,'2. Program Allocation Output'!$AF:$AF,$A1228,'2. Program Allocation Output'!$AG:$AG,$B1228),"")</f>
        <v/>
      </c>
      <c r="D1228" s="4" t="str">
        <f>IFERROR(AVERAGEIFS('2. Program Allocation Output'!$O:$O,'2. Program Allocation Output'!$AF:$AF,$A1228,'2. Program Allocation Output'!$AG:$AG,$B1228),"")</f>
        <v/>
      </c>
      <c r="E1228" s="5" t="str">
        <f>IFERROR(AVERAGEIFS('2. Program Allocation Output'!$L:$L,'2. Program Allocation Output'!$AF:$AF,$A1228,'2. Program Allocation Output'!$AG:$AG,$B1228),"")</f>
        <v/>
      </c>
      <c r="F1228" s="39" t="str">
        <f t="shared" si="41"/>
        <v/>
      </c>
      <c r="G1228" t="str">
        <f t="shared" si="40"/>
        <v/>
      </c>
    </row>
    <row r="1229" spans="3:7" ht="15" hidden="1" x14ac:dyDescent="0.25">
      <c r="C1229" s="4" t="str">
        <f>IFERROR(AVERAGEIFS('2. Program Allocation Output'!$P:$P,'2. Program Allocation Output'!$AF:$AF,$A1229,'2. Program Allocation Output'!$AG:$AG,$B1229),"")</f>
        <v/>
      </c>
      <c r="D1229" s="4" t="str">
        <f>IFERROR(AVERAGEIFS('2. Program Allocation Output'!$O:$O,'2. Program Allocation Output'!$AF:$AF,$A1229,'2. Program Allocation Output'!$AG:$AG,$B1229),"")</f>
        <v/>
      </c>
      <c r="E1229" s="5" t="str">
        <f>IFERROR(AVERAGEIFS('2. Program Allocation Output'!$L:$L,'2. Program Allocation Output'!$AF:$AF,$A1229,'2. Program Allocation Output'!$AG:$AG,$B1229),"")</f>
        <v/>
      </c>
      <c r="F1229" s="39" t="str">
        <f t="shared" si="41"/>
        <v/>
      </c>
      <c r="G1229" t="str">
        <f t="shared" si="40"/>
        <v/>
      </c>
    </row>
    <row r="1230" spans="3:7" ht="15" hidden="1" x14ac:dyDescent="0.25">
      <c r="C1230" s="4" t="str">
        <f>IFERROR(AVERAGEIFS('2. Program Allocation Output'!$P:$P,'2. Program Allocation Output'!$AF:$AF,$A1230,'2. Program Allocation Output'!$AG:$AG,$B1230),"")</f>
        <v/>
      </c>
      <c r="D1230" s="4" t="str">
        <f>IFERROR(AVERAGEIFS('2. Program Allocation Output'!$O:$O,'2. Program Allocation Output'!$AF:$AF,$A1230,'2. Program Allocation Output'!$AG:$AG,$B1230),"")</f>
        <v/>
      </c>
      <c r="E1230" s="5" t="str">
        <f>IFERROR(AVERAGEIFS('2. Program Allocation Output'!$L:$L,'2. Program Allocation Output'!$AF:$AF,$A1230,'2. Program Allocation Output'!$AG:$AG,$B1230),"")</f>
        <v/>
      </c>
      <c r="F1230" s="39" t="str">
        <f t="shared" si="41"/>
        <v/>
      </c>
      <c r="G1230" t="str">
        <f t="shared" ref="G1230:G1293" si="42">IFERROR(EXP(0.3*(F1230-C1230)/(E1230*0.1137)),"")</f>
        <v/>
      </c>
    </row>
    <row r="1231" spans="3:7" ht="15" hidden="1" x14ac:dyDescent="0.25">
      <c r="C1231" s="4" t="str">
        <f>IFERROR(AVERAGEIFS('2. Program Allocation Output'!$P:$P,'2. Program Allocation Output'!$AF:$AF,$A1231,'2. Program Allocation Output'!$AG:$AG,$B1231),"")</f>
        <v/>
      </c>
      <c r="D1231" s="4" t="str">
        <f>IFERROR(AVERAGEIFS('2. Program Allocation Output'!$O:$O,'2. Program Allocation Output'!$AF:$AF,$A1231,'2. Program Allocation Output'!$AG:$AG,$B1231),"")</f>
        <v/>
      </c>
      <c r="E1231" s="5" t="str">
        <f>IFERROR(AVERAGEIFS('2. Program Allocation Output'!$L:$L,'2. Program Allocation Output'!$AF:$AF,$A1231,'2. Program Allocation Output'!$AG:$AG,$B1231),"")</f>
        <v/>
      </c>
      <c r="F1231" s="39" t="str">
        <f t="shared" si="41"/>
        <v/>
      </c>
      <c r="G1231" t="str">
        <f t="shared" si="42"/>
        <v/>
      </c>
    </row>
    <row r="1232" spans="3:7" ht="15" hidden="1" x14ac:dyDescent="0.25">
      <c r="C1232" s="4" t="str">
        <f>IFERROR(AVERAGEIFS('2. Program Allocation Output'!$P:$P,'2. Program Allocation Output'!$AF:$AF,$A1232,'2. Program Allocation Output'!$AG:$AG,$B1232),"")</f>
        <v/>
      </c>
      <c r="D1232" s="4" t="str">
        <f>IFERROR(AVERAGEIFS('2. Program Allocation Output'!$O:$O,'2. Program Allocation Output'!$AF:$AF,$A1232,'2. Program Allocation Output'!$AG:$AG,$B1232),"")</f>
        <v/>
      </c>
      <c r="E1232" s="5" t="str">
        <f>IFERROR(AVERAGEIFS('2. Program Allocation Output'!$L:$L,'2. Program Allocation Output'!$AF:$AF,$A1232,'2. Program Allocation Output'!$AG:$AG,$B1232),"")</f>
        <v/>
      </c>
      <c r="F1232" s="39" t="str">
        <f t="shared" si="41"/>
        <v/>
      </c>
      <c r="G1232" t="str">
        <f t="shared" si="42"/>
        <v/>
      </c>
    </row>
    <row r="1233" spans="3:7" ht="15" hidden="1" x14ac:dyDescent="0.25">
      <c r="C1233" s="4" t="str">
        <f>IFERROR(AVERAGEIFS('2. Program Allocation Output'!$P:$P,'2. Program Allocation Output'!$AF:$AF,$A1233,'2. Program Allocation Output'!$AG:$AG,$B1233),"")</f>
        <v/>
      </c>
      <c r="D1233" s="4" t="str">
        <f>IFERROR(AVERAGEIFS('2. Program Allocation Output'!$O:$O,'2. Program Allocation Output'!$AF:$AF,$A1233,'2. Program Allocation Output'!$AG:$AG,$B1233),"")</f>
        <v/>
      </c>
      <c r="E1233" s="5" t="str">
        <f>IFERROR(AVERAGEIFS('2. Program Allocation Output'!$L:$L,'2. Program Allocation Output'!$AF:$AF,$A1233,'2. Program Allocation Output'!$AG:$AG,$B1233),"")</f>
        <v/>
      </c>
      <c r="F1233" s="39" t="str">
        <f t="shared" si="41"/>
        <v/>
      </c>
      <c r="G1233" t="str">
        <f t="shared" si="42"/>
        <v/>
      </c>
    </row>
    <row r="1234" spans="3:7" ht="15" hidden="1" x14ac:dyDescent="0.25">
      <c r="C1234" s="4" t="str">
        <f>IFERROR(AVERAGEIFS('2. Program Allocation Output'!$P:$P,'2. Program Allocation Output'!$AF:$AF,$A1234,'2. Program Allocation Output'!$AG:$AG,$B1234),"")</f>
        <v/>
      </c>
      <c r="D1234" s="4" t="str">
        <f>IFERROR(AVERAGEIFS('2. Program Allocation Output'!$O:$O,'2. Program Allocation Output'!$AF:$AF,$A1234,'2. Program Allocation Output'!$AG:$AG,$B1234),"")</f>
        <v/>
      </c>
      <c r="E1234" s="5" t="str">
        <f>IFERROR(AVERAGEIFS('2. Program Allocation Output'!$L:$L,'2. Program Allocation Output'!$AF:$AF,$A1234,'2. Program Allocation Output'!$AG:$AG,$B1234),"")</f>
        <v/>
      </c>
      <c r="F1234" s="39" t="str">
        <f t="shared" si="41"/>
        <v/>
      </c>
      <c r="G1234" t="str">
        <f t="shared" si="42"/>
        <v/>
      </c>
    </row>
    <row r="1235" spans="3:7" ht="15" hidden="1" x14ac:dyDescent="0.25">
      <c r="C1235" s="4" t="str">
        <f>IFERROR(AVERAGEIFS('2. Program Allocation Output'!$P:$P,'2. Program Allocation Output'!$AF:$AF,$A1235,'2. Program Allocation Output'!$AG:$AG,$B1235),"")</f>
        <v/>
      </c>
      <c r="D1235" s="4" t="str">
        <f>IFERROR(AVERAGEIFS('2. Program Allocation Output'!$O:$O,'2. Program Allocation Output'!$AF:$AF,$A1235,'2. Program Allocation Output'!$AG:$AG,$B1235),"")</f>
        <v/>
      </c>
      <c r="E1235" s="5" t="str">
        <f>IFERROR(AVERAGEIFS('2. Program Allocation Output'!$L:$L,'2. Program Allocation Output'!$AF:$AF,$A1235,'2. Program Allocation Output'!$AG:$AG,$B1235),"")</f>
        <v/>
      </c>
      <c r="F1235" s="39" t="str">
        <f t="shared" si="41"/>
        <v/>
      </c>
      <c r="G1235" t="str">
        <f t="shared" si="42"/>
        <v/>
      </c>
    </row>
    <row r="1236" spans="3:7" ht="15" hidden="1" x14ac:dyDescent="0.25">
      <c r="C1236" s="4" t="str">
        <f>IFERROR(AVERAGEIFS('2. Program Allocation Output'!$P:$P,'2. Program Allocation Output'!$AF:$AF,$A1236,'2. Program Allocation Output'!$AG:$AG,$B1236),"")</f>
        <v/>
      </c>
      <c r="D1236" s="4" t="str">
        <f>IFERROR(AVERAGEIFS('2. Program Allocation Output'!$O:$O,'2. Program Allocation Output'!$AF:$AF,$A1236,'2. Program Allocation Output'!$AG:$AG,$B1236),"")</f>
        <v/>
      </c>
      <c r="E1236" s="5" t="str">
        <f>IFERROR(AVERAGEIFS('2. Program Allocation Output'!$L:$L,'2. Program Allocation Output'!$AF:$AF,$A1236,'2. Program Allocation Output'!$AG:$AG,$B1236),"")</f>
        <v/>
      </c>
      <c r="F1236" s="39" t="str">
        <f t="shared" si="41"/>
        <v/>
      </c>
      <c r="G1236" t="str">
        <f t="shared" si="42"/>
        <v/>
      </c>
    </row>
    <row r="1237" spans="3:7" ht="15" hidden="1" x14ac:dyDescent="0.25">
      <c r="C1237" s="4" t="str">
        <f>IFERROR(AVERAGEIFS('2. Program Allocation Output'!$P:$P,'2. Program Allocation Output'!$AF:$AF,$A1237,'2. Program Allocation Output'!$AG:$AG,$B1237),"")</f>
        <v/>
      </c>
      <c r="D1237" s="4" t="str">
        <f>IFERROR(AVERAGEIFS('2. Program Allocation Output'!$O:$O,'2. Program Allocation Output'!$AF:$AF,$A1237,'2. Program Allocation Output'!$AG:$AG,$B1237),"")</f>
        <v/>
      </c>
      <c r="E1237" s="5" t="str">
        <f>IFERROR(AVERAGEIFS('2. Program Allocation Output'!$L:$L,'2. Program Allocation Output'!$AF:$AF,$A1237,'2. Program Allocation Output'!$AG:$AG,$B1237),"")</f>
        <v/>
      </c>
      <c r="F1237" s="39" t="str">
        <f t="shared" si="41"/>
        <v/>
      </c>
      <c r="G1237" t="str">
        <f t="shared" si="42"/>
        <v/>
      </c>
    </row>
    <row r="1238" spans="3:7" ht="15" hidden="1" x14ac:dyDescent="0.25">
      <c r="C1238" s="4" t="str">
        <f>IFERROR(AVERAGEIFS('2. Program Allocation Output'!$P:$P,'2. Program Allocation Output'!$AF:$AF,$A1238,'2. Program Allocation Output'!$AG:$AG,$B1238),"")</f>
        <v/>
      </c>
      <c r="D1238" s="4" t="str">
        <f>IFERROR(AVERAGEIFS('2. Program Allocation Output'!$O:$O,'2. Program Allocation Output'!$AF:$AF,$A1238,'2. Program Allocation Output'!$AG:$AG,$B1238),"")</f>
        <v/>
      </c>
      <c r="E1238" s="5" t="str">
        <f>IFERROR(AVERAGEIFS('2. Program Allocation Output'!$L:$L,'2. Program Allocation Output'!$AF:$AF,$A1238,'2. Program Allocation Output'!$AG:$AG,$B1238),"")</f>
        <v/>
      </c>
      <c r="F1238" s="39" t="str">
        <f t="shared" si="41"/>
        <v/>
      </c>
      <c r="G1238" t="str">
        <f t="shared" si="42"/>
        <v/>
      </c>
    </row>
    <row r="1239" spans="3:7" ht="15" hidden="1" x14ac:dyDescent="0.25">
      <c r="C1239" s="4" t="str">
        <f>IFERROR(AVERAGEIFS('2. Program Allocation Output'!$P:$P,'2. Program Allocation Output'!$AF:$AF,$A1239,'2. Program Allocation Output'!$AG:$AG,$B1239),"")</f>
        <v/>
      </c>
      <c r="D1239" s="4" t="str">
        <f>IFERROR(AVERAGEIFS('2. Program Allocation Output'!$O:$O,'2. Program Allocation Output'!$AF:$AF,$A1239,'2. Program Allocation Output'!$AG:$AG,$B1239),"")</f>
        <v/>
      </c>
      <c r="E1239" s="5" t="str">
        <f>IFERROR(AVERAGEIFS('2. Program Allocation Output'!$L:$L,'2. Program Allocation Output'!$AF:$AF,$A1239,'2. Program Allocation Output'!$AG:$AG,$B1239),"")</f>
        <v/>
      </c>
      <c r="F1239" s="39" t="str">
        <f t="shared" si="41"/>
        <v/>
      </c>
      <c r="G1239" t="str">
        <f t="shared" si="42"/>
        <v/>
      </c>
    </row>
    <row r="1240" spans="3:7" ht="15" hidden="1" x14ac:dyDescent="0.25">
      <c r="C1240" s="4" t="str">
        <f>IFERROR(AVERAGEIFS('2. Program Allocation Output'!$P:$P,'2. Program Allocation Output'!$AF:$AF,$A1240,'2. Program Allocation Output'!$AG:$AG,$B1240),"")</f>
        <v/>
      </c>
      <c r="D1240" s="4" t="str">
        <f>IFERROR(AVERAGEIFS('2. Program Allocation Output'!$O:$O,'2. Program Allocation Output'!$AF:$AF,$A1240,'2. Program Allocation Output'!$AG:$AG,$B1240),"")</f>
        <v/>
      </c>
      <c r="E1240" s="5" t="str">
        <f>IFERROR(AVERAGEIFS('2. Program Allocation Output'!$L:$L,'2. Program Allocation Output'!$AF:$AF,$A1240,'2. Program Allocation Output'!$AG:$AG,$B1240),"")</f>
        <v/>
      </c>
      <c r="F1240" s="39" t="str">
        <f t="shared" si="41"/>
        <v/>
      </c>
      <c r="G1240" t="str">
        <f t="shared" si="42"/>
        <v/>
      </c>
    </row>
    <row r="1241" spans="3:7" ht="15" hidden="1" x14ac:dyDescent="0.25">
      <c r="C1241" s="4" t="str">
        <f>IFERROR(AVERAGEIFS('2. Program Allocation Output'!$P:$P,'2. Program Allocation Output'!$AF:$AF,$A1241,'2. Program Allocation Output'!$AG:$AG,$B1241),"")</f>
        <v/>
      </c>
      <c r="D1241" s="4" t="str">
        <f>IFERROR(AVERAGEIFS('2. Program Allocation Output'!$O:$O,'2. Program Allocation Output'!$AF:$AF,$A1241,'2. Program Allocation Output'!$AG:$AG,$B1241),"")</f>
        <v/>
      </c>
      <c r="E1241" s="5" t="str">
        <f>IFERROR(AVERAGEIFS('2. Program Allocation Output'!$L:$L,'2. Program Allocation Output'!$AF:$AF,$A1241,'2. Program Allocation Output'!$AG:$AG,$B1241),"")</f>
        <v/>
      </c>
      <c r="F1241" s="39" t="str">
        <f t="shared" si="41"/>
        <v/>
      </c>
      <c r="G1241" t="str">
        <f t="shared" si="42"/>
        <v/>
      </c>
    </row>
    <row r="1242" spans="3:7" ht="15" hidden="1" x14ac:dyDescent="0.25">
      <c r="C1242" s="4" t="str">
        <f>IFERROR(AVERAGEIFS('2. Program Allocation Output'!$P:$P,'2. Program Allocation Output'!$AF:$AF,$A1242,'2. Program Allocation Output'!$AG:$AG,$B1242),"")</f>
        <v/>
      </c>
      <c r="D1242" s="4" t="str">
        <f>IFERROR(AVERAGEIFS('2. Program Allocation Output'!$O:$O,'2. Program Allocation Output'!$AF:$AF,$A1242,'2. Program Allocation Output'!$AG:$AG,$B1242),"")</f>
        <v/>
      </c>
      <c r="E1242" s="5" t="str">
        <f>IFERROR(AVERAGEIFS('2. Program Allocation Output'!$L:$L,'2. Program Allocation Output'!$AF:$AF,$A1242,'2. Program Allocation Output'!$AG:$AG,$B1242),"")</f>
        <v/>
      </c>
      <c r="F1242" s="39" t="str">
        <f t="shared" si="41"/>
        <v/>
      </c>
      <c r="G1242" t="str">
        <f t="shared" si="42"/>
        <v/>
      </c>
    </row>
    <row r="1243" spans="3:7" ht="15" hidden="1" x14ac:dyDescent="0.25">
      <c r="C1243" s="4" t="str">
        <f>IFERROR(AVERAGEIFS('2. Program Allocation Output'!$P:$P,'2. Program Allocation Output'!$AF:$AF,$A1243,'2. Program Allocation Output'!$AG:$AG,$B1243),"")</f>
        <v/>
      </c>
      <c r="D1243" s="4" t="str">
        <f>IFERROR(AVERAGEIFS('2. Program Allocation Output'!$O:$O,'2. Program Allocation Output'!$AF:$AF,$A1243,'2. Program Allocation Output'!$AG:$AG,$B1243),"")</f>
        <v/>
      </c>
      <c r="E1243" s="5" t="str">
        <f>IFERROR(AVERAGEIFS('2. Program Allocation Output'!$L:$L,'2. Program Allocation Output'!$AF:$AF,$A1243,'2. Program Allocation Output'!$AG:$AG,$B1243),"")</f>
        <v/>
      </c>
      <c r="F1243" s="39" t="str">
        <f t="shared" si="41"/>
        <v/>
      </c>
      <c r="G1243" t="str">
        <f t="shared" si="42"/>
        <v/>
      </c>
    </row>
    <row r="1244" spans="3:7" ht="15" hidden="1" x14ac:dyDescent="0.25">
      <c r="C1244" s="4" t="str">
        <f>IFERROR(AVERAGEIFS('2. Program Allocation Output'!$P:$P,'2. Program Allocation Output'!$AF:$AF,$A1244,'2. Program Allocation Output'!$AG:$AG,$B1244),"")</f>
        <v/>
      </c>
      <c r="D1244" s="4" t="str">
        <f>IFERROR(AVERAGEIFS('2. Program Allocation Output'!$O:$O,'2. Program Allocation Output'!$AF:$AF,$A1244,'2. Program Allocation Output'!$AG:$AG,$B1244),"")</f>
        <v/>
      </c>
      <c r="E1244" s="5" t="str">
        <f>IFERROR(AVERAGEIFS('2. Program Allocation Output'!$L:$L,'2. Program Allocation Output'!$AF:$AF,$A1244,'2. Program Allocation Output'!$AG:$AG,$B1244),"")</f>
        <v/>
      </c>
      <c r="F1244" s="39" t="str">
        <f t="shared" si="41"/>
        <v/>
      </c>
      <c r="G1244" t="str">
        <f t="shared" si="42"/>
        <v/>
      </c>
    </row>
    <row r="1245" spans="3:7" ht="15" hidden="1" x14ac:dyDescent="0.25">
      <c r="C1245" s="4" t="str">
        <f>IFERROR(AVERAGEIFS('2. Program Allocation Output'!$P:$P,'2. Program Allocation Output'!$AF:$AF,$A1245,'2. Program Allocation Output'!$AG:$AG,$B1245),"")</f>
        <v/>
      </c>
      <c r="D1245" s="4" t="str">
        <f>IFERROR(AVERAGEIFS('2. Program Allocation Output'!$O:$O,'2. Program Allocation Output'!$AF:$AF,$A1245,'2. Program Allocation Output'!$AG:$AG,$B1245),"")</f>
        <v/>
      </c>
      <c r="E1245" s="5" t="str">
        <f>IFERROR(AVERAGEIFS('2. Program Allocation Output'!$L:$L,'2. Program Allocation Output'!$AF:$AF,$A1245,'2. Program Allocation Output'!$AG:$AG,$B1245),"")</f>
        <v/>
      </c>
      <c r="F1245" s="39" t="str">
        <f t="shared" si="41"/>
        <v/>
      </c>
      <c r="G1245" t="str">
        <f t="shared" si="42"/>
        <v/>
      </c>
    </row>
    <row r="1246" spans="3:7" ht="15" hidden="1" x14ac:dyDescent="0.25">
      <c r="C1246" s="4" t="str">
        <f>IFERROR(AVERAGEIFS('2. Program Allocation Output'!$P:$P,'2. Program Allocation Output'!$AF:$AF,$A1246,'2. Program Allocation Output'!$AG:$AG,$B1246),"")</f>
        <v/>
      </c>
      <c r="D1246" s="4" t="str">
        <f>IFERROR(AVERAGEIFS('2. Program Allocation Output'!$O:$O,'2. Program Allocation Output'!$AF:$AF,$A1246,'2. Program Allocation Output'!$AG:$AG,$B1246),"")</f>
        <v/>
      </c>
      <c r="E1246" s="5" t="str">
        <f>IFERROR(AVERAGEIFS('2. Program Allocation Output'!$L:$L,'2. Program Allocation Output'!$AF:$AF,$A1246,'2. Program Allocation Output'!$AG:$AG,$B1246),"")</f>
        <v/>
      </c>
      <c r="F1246" s="39" t="str">
        <f t="shared" si="41"/>
        <v/>
      </c>
      <c r="G1246" t="str">
        <f t="shared" si="42"/>
        <v/>
      </c>
    </row>
    <row r="1247" spans="3:7" ht="15" hidden="1" x14ac:dyDescent="0.25">
      <c r="C1247" s="4" t="str">
        <f>IFERROR(AVERAGEIFS('2. Program Allocation Output'!$P:$P,'2. Program Allocation Output'!$AF:$AF,$A1247,'2. Program Allocation Output'!$AG:$AG,$B1247),"")</f>
        <v/>
      </c>
      <c r="D1247" s="4" t="str">
        <f>IFERROR(AVERAGEIFS('2. Program Allocation Output'!$O:$O,'2. Program Allocation Output'!$AF:$AF,$A1247,'2. Program Allocation Output'!$AG:$AG,$B1247),"")</f>
        <v/>
      </c>
      <c r="E1247" s="5" t="str">
        <f>IFERROR(AVERAGEIFS('2. Program Allocation Output'!$L:$L,'2. Program Allocation Output'!$AF:$AF,$A1247,'2. Program Allocation Output'!$AG:$AG,$B1247),"")</f>
        <v/>
      </c>
      <c r="F1247" s="39" t="str">
        <f t="shared" si="41"/>
        <v/>
      </c>
      <c r="G1247" t="str">
        <f t="shared" si="42"/>
        <v/>
      </c>
    </row>
    <row r="1248" spans="3:7" ht="15" hidden="1" x14ac:dyDescent="0.25">
      <c r="C1248" s="4" t="str">
        <f>IFERROR(AVERAGEIFS('2. Program Allocation Output'!$P:$P,'2. Program Allocation Output'!$AF:$AF,$A1248,'2. Program Allocation Output'!$AG:$AG,$B1248),"")</f>
        <v/>
      </c>
      <c r="D1248" s="4" t="str">
        <f>IFERROR(AVERAGEIFS('2. Program Allocation Output'!$O:$O,'2. Program Allocation Output'!$AF:$AF,$A1248,'2. Program Allocation Output'!$AG:$AG,$B1248),"")</f>
        <v/>
      </c>
      <c r="E1248" s="5" t="str">
        <f>IFERROR(AVERAGEIFS('2. Program Allocation Output'!$L:$L,'2. Program Allocation Output'!$AF:$AF,$A1248,'2. Program Allocation Output'!$AG:$AG,$B1248),"")</f>
        <v/>
      </c>
      <c r="F1248" s="39" t="str">
        <f t="shared" si="41"/>
        <v/>
      </c>
      <c r="G1248" t="str">
        <f t="shared" si="42"/>
        <v/>
      </c>
    </row>
    <row r="1249" spans="3:7" ht="15" hidden="1" x14ac:dyDescent="0.25">
      <c r="C1249" s="4" t="str">
        <f>IFERROR(AVERAGEIFS('2. Program Allocation Output'!$P:$P,'2. Program Allocation Output'!$AF:$AF,$A1249,'2. Program Allocation Output'!$AG:$AG,$B1249),"")</f>
        <v/>
      </c>
      <c r="D1249" s="4" t="str">
        <f>IFERROR(AVERAGEIFS('2. Program Allocation Output'!$O:$O,'2. Program Allocation Output'!$AF:$AF,$A1249,'2. Program Allocation Output'!$AG:$AG,$B1249),"")</f>
        <v/>
      </c>
      <c r="E1249" s="5" t="str">
        <f>IFERROR(AVERAGEIFS('2. Program Allocation Output'!$L:$L,'2. Program Allocation Output'!$AF:$AF,$A1249,'2. Program Allocation Output'!$AG:$AG,$B1249),"")</f>
        <v/>
      </c>
      <c r="F1249" s="39" t="str">
        <f t="shared" si="41"/>
        <v/>
      </c>
      <c r="G1249" t="str">
        <f t="shared" si="42"/>
        <v/>
      </c>
    </row>
    <row r="1250" spans="3:7" ht="15" hidden="1" x14ac:dyDescent="0.25">
      <c r="C1250" s="4" t="str">
        <f>IFERROR(AVERAGEIFS('2. Program Allocation Output'!$P:$P,'2. Program Allocation Output'!$AF:$AF,$A1250,'2. Program Allocation Output'!$AG:$AG,$B1250),"")</f>
        <v/>
      </c>
      <c r="D1250" s="4" t="str">
        <f>IFERROR(AVERAGEIFS('2. Program Allocation Output'!$O:$O,'2. Program Allocation Output'!$AF:$AF,$A1250,'2. Program Allocation Output'!$AG:$AG,$B1250),"")</f>
        <v/>
      </c>
      <c r="E1250" s="5" t="str">
        <f>IFERROR(AVERAGEIFS('2. Program Allocation Output'!$L:$L,'2. Program Allocation Output'!$AF:$AF,$A1250,'2. Program Allocation Output'!$AG:$AG,$B1250),"")</f>
        <v/>
      </c>
      <c r="F1250" s="39" t="str">
        <f t="shared" si="41"/>
        <v/>
      </c>
      <c r="G1250" t="str">
        <f t="shared" si="42"/>
        <v/>
      </c>
    </row>
    <row r="1251" spans="3:7" ht="15" hidden="1" x14ac:dyDescent="0.25">
      <c r="C1251" s="4" t="str">
        <f>IFERROR(AVERAGEIFS('2. Program Allocation Output'!$P:$P,'2. Program Allocation Output'!$AF:$AF,$A1251,'2. Program Allocation Output'!$AG:$AG,$B1251),"")</f>
        <v/>
      </c>
      <c r="D1251" s="4" t="str">
        <f>IFERROR(AVERAGEIFS('2. Program Allocation Output'!$O:$O,'2. Program Allocation Output'!$AF:$AF,$A1251,'2. Program Allocation Output'!$AG:$AG,$B1251),"")</f>
        <v/>
      </c>
      <c r="E1251" s="5" t="str">
        <f>IFERROR(AVERAGEIFS('2. Program Allocation Output'!$L:$L,'2. Program Allocation Output'!$AF:$AF,$A1251,'2. Program Allocation Output'!$AG:$AG,$B1251),"")</f>
        <v/>
      </c>
      <c r="F1251" s="39" t="str">
        <f t="shared" si="41"/>
        <v/>
      </c>
      <c r="G1251" t="str">
        <f t="shared" si="42"/>
        <v/>
      </c>
    </row>
    <row r="1252" spans="3:7" ht="15" hidden="1" x14ac:dyDescent="0.25">
      <c r="C1252" s="4" t="str">
        <f>IFERROR(AVERAGEIFS('2. Program Allocation Output'!$P:$P,'2. Program Allocation Output'!$AF:$AF,$A1252,'2. Program Allocation Output'!$AG:$AG,$B1252),"")</f>
        <v/>
      </c>
      <c r="D1252" s="4" t="str">
        <f>IFERROR(AVERAGEIFS('2. Program Allocation Output'!$O:$O,'2. Program Allocation Output'!$AF:$AF,$A1252,'2. Program Allocation Output'!$AG:$AG,$B1252),"")</f>
        <v/>
      </c>
      <c r="E1252" s="5" t="str">
        <f>IFERROR(AVERAGEIFS('2. Program Allocation Output'!$L:$L,'2. Program Allocation Output'!$AF:$AF,$A1252,'2. Program Allocation Output'!$AG:$AG,$B1252),"")</f>
        <v/>
      </c>
      <c r="F1252" s="39" t="str">
        <f t="shared" si="41"/>
        <v/>
      </c>
      <c r="G1252" t="str">
        <f t="shared" si="42"/>
        <v/>
      </c>
    </row>
    <row r="1253" spans="3:7" ht="15" hidden="1" x14ac:dyDescent="0.25">
      <c r="C1253" s="4" t="str">
        <f>IFERROR(AVERAGEIFS('2. Program Allocation Output'!$P:$P,'2. Program Allocation Output'!$AF:$AF,$A1253,'2. Program Allocation Output'!$AG:$AG,$B1253),"")</f>
        <v/>
      </c>
      <c r="D1253" s="4" t="str">
        <f>IFERROR(AVERAGEIFS('2. Program Allocation Output'!$O:$O,'2. Program Allocation Output'!$AF:$AF,$A1253,'2. Program Allocation Output'!$AG:$AG,$B1253),"")</f>
        <v/>
      </c>
      <c r="E1253" s="5" t="str">
        <f>IFERROR(AVERAGEIFS('2. Program Allocation Output'!$L:$L,'2. Program Allocation Output'!$AF:$AF,$A1253,'2. Program Allocation Output'!$AG:$AG,$B1253),"")</f>
        <v/>
      </c>
      <c r="F1253" s="39" t="str">
        <f t="shared" si="41"/>
        <v/>
      </c>
      <c r="G1253" t="str">
        <f t="shared" si="42"/>
        <v/>
      </c>
    </row>
    <row r="1254" spans="3:7" ht="15" hidden="1" x14ac:dyDescent="0.25">
      <c r="C1254" s="4" t="str">
        <f>IFERROR(AVERAGEIFS('2. Program Allocation Output'!$P:$P,'2. Program Allocation Output'!$AF:$AF,$A1254,'2. Program Allocation Output'!$AG:$AG,$B1254),"")</f>
        <v/>
      </c>
      <c r="D1254" s="4" t="str">
        <f>IFERROR(AVERAGEIFS('2. Program Allocation Output'!$O:$O,'2. Program Allocation Output'!$AF:$AF,$A1254,'2. Program Allocation Output'!$AG:$AG,$B1254),"")</f>
        <v/>
      </c>
      <c r="E1254" s="5" t="str">
        <f>IFERROR(AVERAGEIFS('2. Program Allocation Output'!$L:$L,'2. Program Allocation Output'!$AF:$AF,$A1254,'2. Program Allocation Output'!$AG:$AG,$B1254),"")</f>
        <v/>
      </c>
      <c r="F1254" s="39" t="str">
        <f t="shared" si="41"/>
        <v/>
      </c>
      <c r="G1254" t="str">
        <f t="shared" si="42"/>
        <v/>
      </c>
    </row>
    <row r="1255" spans="3:7" ht="15" hidden="1" x14ac:dyDescent="0.25">
      <c r="C1255" s="4" t="str">
        <f>IFERROR(AVERAGEIFS('2. Program Allocation Output'!$P:$P,'2. Program Allocation Output'!$AF:$AF,$A1255,'2. Program Allocation Output'!$AG:$AG,$B1255),"")</f>
        <v/>
      </c>
      <c r="D1255" s="4" t="str">
        <f>IFERROR(AVERAGEIFS('2. Program Allocation Output'!$O:$O,'2. Program Allocation Output'!$AF:$AF,$A1255,'2. Program Allocation Output'!$AG:$AG,$B1255),"")</f>
        <v/>
      </c>
      <c r="E1255" s="5" t="str">
        <f>IFERROR(AVERAGEIFS('2. Program Allocation Output'!$L:$L,'2. Program Allocation Output'!$AF:$AF,$A1255,'2. Program Allocation Output'!$AG:$AG,$B1255),"")</f>
        <v/>
      </c>
      <c r="F1255" s="39" t="str">
        <f t="shared" si="41"/>
        <v/>
      </c>
      <c r="G1255" t="str">
        <f t="shared" si="42"/>
        <v/>
      </c>
    </row>
    <row r="1256" spans="3:7" ht="15" hidden="1" x14ac:dyDescent="0.25">
      <c r="C1256" s="4" t="str">
        <f>IFERROR(AVERAGEIFS('2. Program Allocation Output'!$P:$P,'2. Program Allocation Output'!$AF:$AF,$A1256,'2. Program Allocation Output'!$AG:$AG,$B1256),"")</f>
        <v/>
      </c>
      <c r="D1256" s="4" t="str">
        <f>IFERROR(AVERAGEIFS('2. Program Allocation Output'!$O:$O,'2. Program Allocation Output'!$AF:$AF,$A1256,'2. Program Allocation Output'!$AG:$AG,$B1256),"")</f>
        <v/>
      </c>
      <c r="E1256" s="5" t="str">
        <f>IFERROR(AVERAGEIFS('2. Program Allocation Output'!$L:$L,'2. Program Allocation Output'!$AF:$AF,$A1256,'2. Program Allocation Output'!$AG:$AG,$B1256),"")</f>
        <v/>
      </c>
      <c r="F1256" s="39" t="str">
        <f t="shared" si="41"/>
        <v/>
      </c>
      <c r="G1256" t="str">
        <f t="shared" si="42"/>
        <v/>
      </c>
    </row>
    <row r="1257" spans="3:7" ht="15" hidden="1" x14ac:dyDescent="0.25">
      <c r="C1257" s="4" t="str">
        <f>IFERROR(AVERAGEIFS('2. Program Allocation Output'!$P:$P,'2. Program Allocation Output'!$AF:$AF,$A1257,'2. Program Allocation Output'!$AG:$AG,$B1257),"")</f>
        <v/>
      </c>
      <c r="D1257" s="4" t="str">
        <f>IFERROR(AVERAGEIFS('2. Program Allocation Output'!$O:$O,'2. Program Allocation Output'!$AF:$AF,$A1257,'2. Program Allocation Output'!$AG:$AG,$B1257),"")</f>
        <v/>
      </c>
      <c r="E1257" s="5" t="str">
        <f>IFERROR(AVERAGEIFS('2. Program Allocation Output'!$L:$L,'2. Program Allocation Output'!$AF:$AF,$A1257,'2. Program Allocation Output'!$AG:$AG,$B1257),"")</f>
        <v/>
      </c>
      <c r="F1257" s="39" t="str">
        <f t="shared" si="41"/>
        <v/>
      </c>
      <c r="G1257" t="str">
        <f t="shared" si="42"/>
        <v/>
      </c>
    </row>
    <row r="1258" spans="3:7" ht="15" hidden="1" x14ac:dyDescent="0.25">
      <c r="C1258" s="4" t="str">
        <f>IFERROR(AVERAGEIFS('2. Program Allocation Output'!$P:$P,'2. Program Allocation Output'!$AF:$AF,$A1258,'2. Program Allocation Output'!$AG:$AG,$B1258),"")</f>
        <v/>
      </c>
      <c r="D1258" s="4" t="str">
        <f>IFERROR(AVERAGEIFS('2. Program Allocation Output'!$O:$O,'2. Program Allocation Output'!$AF:$AF,$A1258,'2. Program Allocation Output'!$AG:$AG,$B1258),"")</f>
        <v/>
      </c>
      <c r="E1258" s="5" t="str">
        <f>IFERROR(AVERAGEIFS('2. Program Allocation Output'!$L:$L,'2. Program Allocation Output'!$AF:$AF,$A1258,'2. Program Allocation Output'!$AG:$AG,$B1258),"")</f>
        <v/>
      </c>
      <c r="F1258" s="39" t="str">
        <f t="shared" si="41"/>
        <v/>
      </c>
      <c r="G1258" t="str">
        <f t="shared" si="42"/>
        <v/>
      </c>
    </row>
    <row r="1259" spans="3:7" ht="15" hidden="1" x14ac:dyDescent="0.25">
      <c r="C1259" s="4" t="str">
        <f>IFERROR(AVERAGEIFS('2. Program Allocation Output'!$P:$P,'2. Program Allocation Output'!$AF:$AF,$A1259,'2. Program Allocation Output'!$AG:$AG,$B1259),"")</f>
        <v/>
      </c>
      <c r="D1259" s="4" t="str">
        <f>IFERROR(AVERAGEIFS('2. Program Allocation Output'!$O:$O,'2. Program Allocation Output'!$AF:$AF,$A1259,'2. Program Allocation Output'!$AG:$AG,$B1259),"")</f>
        <v/>
      </c>
      <c r="E1259" s="5" t="str">
        <f>IFERROR(AVERAGEIFS('2. Program Allocation Output'!$L:$L,'2. Program Allocation Output'!$AF:$AF,$A1259,'2. Program Allocation Output'!$AG:$AG,$B1259),"")</f>
        <v/>
      </c>
      <c r="F1259" s="39" t="str">
        <f t="shared" si="41"/>
        <v/>
      </c>
      <c r="G1259" t="str">
        <f t="shared" si="42"/>
        <v/>
      </c>
    </row>
    <row r="1260" spans="3:7" ht="15" hidden="1" x14ac:dyDescent="0.25">
      <c r="C1260" s="4" t="str">
        <f>IFERROR(AVERAGEIFS('2. Program Allocation Output'!$P:$P,'2. Program Allocation Output'!$AF:$AF,$A1260,'2. Program Allocation Output'!$AG:$AG,$B1260),"")</f>
        <v/>
      </c>
      <c r="D1260" s="4" t="str">
        <f>IFERROR(AVERAGEIFS('2. Program Allocation Output'!$O:$O,'2. Program Allocation Output'!$AF:$AF,$A1260,'2. Program Allocation Output'!$AG:$AG,$B1260),"")</f>
        <v/>
      </c>
      <c r="E1260" s="5" t="str">
        <f>IFERROR(AVERAGEIFS('2. Program Allocation Output'!$L:$L,'2. Program Allocation Output'!$AF:$AF,$A1260,'2. Program Allocation Output'!$AG:$AG,$B1260),"")</f>
        <v/>
      </c>
      <c r="F1260" s="39" t="str">
        <f t="shared" si="41"/>
        <v/>
      </c>
      <c r="G1260" t="str">
        <f t="shared" si="42"/>
        <v/>
      </c>
    </row>
    <row r="1261" spans="3:7" ht="15" hidden="1" x14ac:dyDescent="0.25">
      <c r="C1261" s="4" t="str">
        <f>IFERROR(AVERAGEIFS('2. Program Allocation Output'!$P:$P,'2. Program Allocation Output'!$AF:$AF,$A1261,'2. Program Allocation Output'!$AG:$AG,$B1261),"")</f>
        <v/>
      </c>
      <c r="D1261" s="4" t="str">
        <f>IFERROR(AVERAGEIFS('2. Program Allocation Output'!$O:$O,'2. Program Allocation Output'!$AF:$AF,$A1261,'2. Program Allocation Output'!$AG:$AG,$B1261),"")</f>
        <v/>
      </c>
      <c r="E1261" s="5" t="str">
        <f>IFERROR(AVERAGEIFS('2. Program Allocation Output'!$L:$L,'2. Program Allocation Output'!$AF:$AF,$A1261,'2. Program Allocation Output'!$AG:$AG,$B1261),"")</f>
        <v/>
      </c>
      <c r="F1261" s="39" t="str">
        <f t="shared" si="41"/>
        <v/>
      </c>
      <c r="G1261" t="str">
        <f t="shared" si="42"/>
        <v/>
      </c>
    </row>
    <row r="1262" spans="3:7" ht="15" hidden="1" x14ac:dyDescent="0.25">
      <c r="C1262" s="4" t="str">
        <f>IFERROR(AVERAGEIFS('2. Program Allocation Output'!$P:$P,'2. Program Allocation Output'!$AF:$AF,$A1262,'2. Program Allocation Output'!$AG:$AG,$B1262),"")</f>
        <v/>
      </c>
      <c r="D1262" s="4" t="str">
        <f>IFERROR(AVERAGEIFS('2. Program Allocation Output'!$O:$O,'2. Program Allocation Output'!$AF:$AF,$A1262,'2. Program Allocation Output'!$AG:$AG,$B1262),"")</f>
        <v/>
      </c>
      <c r="E1262" s="5" t="str">
        <f>IFERROR(AVERAGEIFS('2. Program Allocation Output'!$L:$L,'2. Program Allocation Output'!$AF:$AF,$A1262,'2. Program Allocation Output'!$AG:$AG,$B1262),"")</f>
        <v/>
      </c>
      <c r="F1262" s="39" t="str">
        <f t="shared" si="41"/>
        <v/>
      </c>
      <c r="G1262" t="str">
        <f t="shared" si="42"/>
        <v/>
      </c>
    </row>
    <row r="1263" spans="3:7" ht="15" hidden="1" x14ac:dyDescent="0.25">
      <c r="C1263" s="4" t="str">
        <f>IFERROR(AVERAGEIFS('2. Program Allocation Output'!$P:$P,'2. Program Allocation Output'!$AF:$AF,$A1263,'2. Program Allocation Output'!$AG:$AG,$B1263),"")</f>
        <v/>
      </c>
      <c r="D1263" s="4" t="str">
        <f>IFERROR(AVERAGEIFS('2. Program Allocation Output'!$O:$O,'2. Program Allocation Output'!$AF:$AF,$A1263,'2. Program Allocation Output'!$AG:$AG,$B1263),"")</f>
        <v/>
      </c>
      <c r="E1263" s="5" t="str">
        <f>IFERROR(AVERAGEIFS('2. Program Allocation Output'!$L:$L,'2. Program Allocation Output'!$AF:$AF,$A1263,'2. Program Allocation Output'!$AG:$AG,$B1263),"")</f>
        <v/>
      </c>
      <c r="F1263" s="39" t="str">
        <f t="shared" si="41"/>
        <v/>
      </c>
      <c r="G1263" t="str">
        <f t="shared" si="42"/>
        <v/>
      </c>
    </row>
    <row r="1264" spans="3:7" ht="15" hidden="1" x14ac:dyDescent="0.25">
      <c r="C1264" s="4" t="str">
        <f>IFERROR(AVERAGEIFS('2. Program Allocation Output'!$P:$P,'2. Program Allocation Output'!$AF:$AF,$A1264,'2. Program Allocation Output'!$AG:$AG,$B1264),"")</f>
        <v/>
      </c>
      <c r="D1264" s="4" t="str">
        <f>IFERROR(AVERAGEIFS('2. Program Allocation Output'!$O:$O,'2. Program Allocation Output'!$AF:$AF,$A1264,'2. Program Allocation Output'!$AG:$AG,$B1264),"")</f>
        <v/>
      </c>
      <c r="E1264" s="5" t="str">
        <f>IFERROR(AVERAGEIFS('2. Program Allocation Output'!$L:$L,'2. Program Allocation Output'!$AF:$AF,$A1264,'2. Program Allocation Output'!$AG:$AG,$B1264),"")</f>
        <v/>
      </c>
      <c r="F1264" s="39" t="str">
        <f t="shared" si="41"/>
        <v/>
      </c>
      <c r="G1264" t="str">
        <f t="shared" si="42"/>
        <v/>
      </c>
    </row>
    <row r="1265" spans="3:7" ht="15" hidden="1" x14ac:dyDescent="0.25">
      <c r="C1265" s="4" t="str">
        <f>IFERROR(AVERAGEIFS('2. Program Allocation Output'!$P:$P,'2. Program Allocation Output'!$AF:$AF,$A1265,'2. Program Allocation Output'!$AG:$AG,$B1265),"")</f>
        <v/>
      </c>
      <c r="D1265" s="4" t="str">
        <f>IFERROR(AVERAGEIFS('2. Program Allocation Output'!$O:$O,'2. Program Allocation Output'!$AF:$AF,$A1265,'2. Program Allocation Output'!$AG:$AG,$B1265),"")</f>
        <v/>
      </c>
      <c r="E1265" s="5" t="str">
        <f>IFERROR(AVERAGEIFS('2. Program Allocation Output'!$L:$L,'2. Program Allocation Output'!$AF:$AF,$A1265,'2. Program Allocation Output'!$AG:$AG,$B1265),"")</f>
        <v/>
      </c>
      <c r="F1265" s="39" t="str">
        <f t="shared" si="41"/>
        <v/>
      </c>
      <c r="G1265" t="str">
        <f t="shared" si="42"/>
        <v/>
      </c>
    </row>
    <row r="1266" spans="3:7" ht="15" hidden="1" x14ac:dyDescent="0.25">
      <c r="C1266" s="4" t="str">
        <f>IFERROR(AVERAGEIFS('2. Program Allocation Output'!$P:$P,'2. Program Allocation Output'!$AF:$AF,$A1266,'2. Program Allocation Output'!$AG:$AG,$B1266),"")</f>
        <v/>
      </c>
      <c r="D1266" s="4" t="str">
        <f>IFERROR(AVERAGEIFS('2. Program Allocation Output'!$O:$O,'2. Program Allocation Output'!$AF:$AF,$A1266,'2. Program Allocation Output'!$AG:$AG,$B1266),"")</f>
        <v/>
      </c>
      <c r="E1266" s="5" t="str">
        <f>IFERROR(AVERAGEIFS('2. Program Allocation Output'!$L:$L,'2. Program Allocation Output'!$AF:$AF,$A1266,'2. Program Allocation Output'!$AG:$AG,$B1266),"")</f>
        <v/>
      </c>
      <c r="F1266" s="39" t="str">
        <f t="shared" si="41"/>
        <v/>
      </c>
      <c r="G1266" t="str">
        <f t="shared" si="42"/>
        <v/>
      </c>
    </row>
    <row r="1267" spans="3:7" ht="15" hidden="1" x14ac:dyDescent="0.25">
      <c r="C1267" s="4" t="str">
        <f>IFERROR(AVERAGEIFS('2. Program Allocation Output'!$P:$P,'2. Program Allocation Output'!$AF:$AF,$A1267,'2. Program Allocation Output'!$AG:$AG,$B1267),"")</f>
        <v/>
      </c>
      <c r="D1267" s="4" t="str">
        <f>IFERROR(AVERAGEIFS('2. Program Allocation Output'!$O:$O,'2. Program Allocation Output'!$AF:$AF,$A1267,'2. Program Allocation Output'!$AG:$AG,$B1267),"")</f>
        <v/>
      </c>
      <c r="E1267" s="5" t="str">
        <f>IFERROR(AVERAGEIFS('2. Program Allocation Output'!$L:$L,'2. Program Allocation Output'!$AF:$AF,$A1267,'2. Program Allocation Output'!$AG:$AG,$B1267),"")</f>
        <v/>
      </c>
      <c r="F1267" s="39" t="str">
        <f t="shared" si="41"/>
        <v/>
      </c>
      <c r="G1267" t="str">
        <f t="shared" si="42"/>
        <v/>
      </c>
    </row>
    <row r="1268" spans="3:7" ht="15" hidden="1" x14ac:dyDescent="0.25">
      <c r="C1268" s="4" t="str">
        <f>IFERROR(AVERAGEIFS('2. Program Allocation Output'!$P:$P,'2. Program Allocation Output'!$AF:$AF,$A1268,'2. Program Allocation Output'!$AG:$AG,$B1268),"")</f>
        <v/>
      </c>
      <c r="D1268" s="4" t="str">
        <f>IFERROR(AVERAGEIFS('2. Program Allocation Output'!$O:$O,'2. Program Allocation Output'!$AF:$AF,$A1268,'2. Program Allocation Output'!$AG:$AG,$B1268),"")</f>
        <v/>
      </c>
      <c r="E1268" s="5" t="str">
        <f>IFERROR(AVERAGEIFS('2. Program Allocation Output'!$L:$L,'2. Program Allocation Output'!$AF:$AF,$A1268,'2. Program Allocation Output'!$AG:$AG,$B1268),"")</f>
        <v/>
      </c>
      <c r="F1268" s="39" t="str">
        <f t="shared" si="41"/>
        <v/>
      </c>
      <c r="G1268" t="str">
        <f t="shared" si="42"/>
        <v/>
      </c>
    </row>
    <row r="1269" spans="3:7" ht="15" hidden="1" x14ac:dyDescent="0.25">
      <c r="C1269" s="4" t="str">
        <f>IFERROR(AVERAGEIFS('2. Program Allocation Output'!$P:$P,'2. Program Allocation Output'!$AF:$AF,$A1269,'2. Program Allocation Output'!$AG:$AG,$B1269),"")</f>
        <v/>
      </c>
      <c r="D1269" s="4" t="str">
        <f>IFERROR(AVERAGEIFS('2. Program Allocation Output'!$O:$O,'2. Program Allocation Output'!$AF:$AF,$A1269,'2. Program Allocation Output'!$AG:$AG,$B1269),"")</f>
        <v/>
      </c>
      <c r="E1269" s="5" t="str">
        <f>IFERROR(AVERAGEIFS('2. Program Allocation Output'!$L:$L,'2. Program Allocation Output'!$AF:$AF,$A1269,'2. Program Allocation Output'!$AG:$AG,$B1269),"")</f>
        <v/>
      </c>
      <c r="F1269" s="39" t="str">
        <f t="shared" si="41"/>
        <v/>
      </c>
      <c r="G1269" t="str">
        <f t="shared" si="42"/>
        <v/>
      </c>
    </row>
    <row r="1270" spans="3:7" ht="15" hidden="1" x14ac:dyDescent="0.25">
      <c r="C1270" s="4" t="str">
        <f>IFERROR(AVERAGEIFS('2. Program Allocation Output'!$P:$P,'2. Program Allocation Output'!$AF:$AF,$A1270,'2. Program Allocation Output'!$AG:$AG,$B1270),"")</f>
        <v/>
      </c>
      <c r="D1270" s="4" t="str">
        <f>IFERROR(AVERAGEIFS('2. Program Allocation Output'!$O:$O,'2. Program Allocation Output'!$AF:$AF,$A1270,'2. Program Allocation Output'!$AG:$AG,$B1270),"")</f>
        <v/>
      </c>
      <c r="E1270" s="5" t="str">
        <f>IFERROR(AVERAGEIFS('2. Program Allocation Output'!$L:$L,'2. Program Allocation Output'!$AF:$AF,$A1270,'2. Program Allocation Output'!$AG:$AG,$B1270),"")</f>
        <v/>
      </c>
      <c r="F1270" s="39" t="str">
        <f t="shared" si="41"/>
        <v/>
      </c>
      <c r="G1270" t="str">
        <f t="shared" si="42"/>
        <v/>
      </c>
    </row>
    <row r="1271" spans="3:7" ht="15" hidden="1" x14ac:dyDescent="0.25">
      <c r="C1271" s="4" t="str">
        <f>IFERROR(AVERAGEIFS('2. Program Allocation Output'!$P:$P,'2. Program Allocation Output'!$AF:$AF,$A1271,'2. Program Allocation Output'!$AG:$AG,$B1271),"")</f>
        <v/>
      </c>
      <c r="D1271" s="4" t="str">
        <f>IFERROR(AVERAGEIFS('2. Program Allocation Output'!$O:$O,'2. Program Allocation Output'!$AF:$AF,$A1271,'2. Program Allocation Output'!$AG:$AG,$B1271),"")</f>
        <v/>
      </c>
      <c r="E1271" s="5" t="str">
        <f>IFERROR(AVERAGEIFS('2. Program Allocation Output'!$L:$L,'2. Program Allocation Output'!$AF:$AF,$A1271,'2. Program Allocation Output'!$AG:$AG,$B1271),"")</f>
        <v/>
      </c>
      <c r="F1271" s="39" t="str">
        <f t="shared" si="41"/>
        <v/>
      </c>
      <c r="G1271" t="str">
        <f t="shared" si="42"/>
        <v/>
      </c>
    </row>
    <row r="1272" spans="3:7" ht="15" hidden="1" x14ac:dyDescent="0.25">
      <c r="C1272" s="4" t="str">
        <f>IFERROR(AVERAGEIFS('2. Program Allocation Output'!$P:$P,'2. Program Allocation Output'!$AF:$AF,$A1272,'2. Program Allocation Output'!$AG:$AG,$B1272),"")</f>
        <v/>
      </c>
      <c r="D1272" s="4" t="str">
        <f>IFERROR(AVERAGEIFS('2. Program Allocation Output'!$O:$O,'2. Program Allocation Output'!$AF:$AF,$A1272,'2. Program Allocation Output'!$AG:$AG,$B1272),"")</f>
        <v/>
      </c>
      <c r="E1272" s="5" t="str">
        <f>IFERROR(AVERAGEIFS('2. Program Allocation Output'!$L:$L,'2. Program Allocation Output'!$AF:$AF,$A1272,'2. Program Allocation Output'!$AG:$AG,$B1272),"")</f>
        <v/>
      </c>
      <c r="F1272" s="39" t="str">
        <f t="shared" si="41"/>
        <v/>
      </c>
      <c r="G1272" t="str">
        <f t="shared" si="42"/>
        <v/>
      </c>
    </row>
    <row r="1273" spans="3:7" ht="15" hidden="1" x14ac:dyDescent="0.25">
      <c r="C1273" s="4" t="str">
        <f>IFERROR(AVERAGEIFS('2. Program Allocation Output'!$P:$P,'2. Program Allocation Output'!$AF:$AF,$A1273,'2. Program Allocation Output'!$AG:$AG,$B1273),"")</f>
        <v/>
      </c>
      <c r="D1273" s="4" t="str">
        <f>IFERROR(AVERAGEIFS('2. Program Allocation Output'!$O:$O,'2. Program Allocation Output'!$AF:$AF,$A1273,'2. Program Allocation Output'!$AG:$AG,$B1273),"")</f>
        <v/>
      </c>
      <c r="E1273" s="5" t="str">
        <f>IFERROR(AVERAGEIFS('2. Program Allocation Output'!$L:$L,'2. Program Allocation Output'!$AF:$AF,$A1273,'2. Program Allocation Output'!$AG:$AG,$B1273),"")</f>
        <v/>
      </c>
      <c r="F1273" s="39" t="str">
        <f t="shared" si="41"/>
        <v/>
      </c>
      <c r="G1273" t="str">
        <f t="shared" si="42"/>
        <v/>
      </c>
    </row>
    <row r="1274" spans="3:7" ht="15" hidden="1" x14ac:dyDescent="0.25">
      <c r="C1274" s="4" t="str">
        <f>IFERROR(AVERAGEIFS('2. Program Allocation Output'!$P:$P,'2. Program Allocation Output'!$AF:$AF,$A1274,'2. Program Allocation Output'!$AG:$AG,$B1274),"")</f>
        <v/>
      </c>
      <c r="D1274" s="4" t="str">
        <f>IFERROR(AVERAGEIFS('2. Program Allocation Output'!$O:$O,'2. Program Allocation Output'!$AF:$AF,$A1274,'2. Program Allocation Output'!$AG:$AG,$B1274),"")</f>
        <v/>
      </c>
      <c r="E1274" s="5" t="str">
        <f>IFERROR(AVERAGEIFS('2. Program Allocation Output'!$L:$L,'2. Program Allocation Output'!$AF:$AF,$A1274,'2. Program Allocation Output'!$AG:$AG,$B1274),"")</f>
        <v/>
      </c>
      <c r="F1274" s="39" t="str">
        <f t="shared" si="41"/>
        <v/>
      </c>
      <c r="G1274" t="str">
        <f t="shared" si="42"/>
        <v/>
      </c>
    </row>
    <row r="1275" spans="3:7" ht="15" hidden="1" x14ac:dyDescent="0.25">
      <c r="C1275" s="4" t="str">
        <f>IFERROR(AVERAGEIFS('2. Program Allocation Output'!$P:$P,'2. Program Allocation Output'!$AF:$AF,$A1275,'2. Program Allocation Output'!$AG:$AG,$B1275),"")</f>
        <v/>
      </c>
      <c r="D1275" s="4" t="str">
        <f>IFERROR(AVERAGEIFS('2. Program Allocation Output'!$O:$O,'2. Program Allocation Output'!$AF:$AF,$A1275,'2. Program Allocation Output'!$AG:$AG,$B1275),"")</f>
        <v/>
      </c>
      <c r="E1275" s="5" t="str">
        <f>IFERROR(AVERAGEIFS('2. Program Allocation Output'!$L:$L,'2. Program Allocation Output'!$AF:$AF,$A1275,'2. Program Allocation Output'!$AG:$AG,$B1275),"")</f>
        <v/>
      </c>
      <c r="F1275" s="39" t="str">
        <f t="shared" si="41"/>
        <v/>
      </c>
      <c r="G1275" t="str">
        <f t="shared" si="42"/>
        <v/>
      </c>
    </row>
    <row r="1276" spans="3:7" ht="15" hidden="1" x14ac:dyDescent="0.25">
      <c r="C1276" s="4" t="str">
        <f>IFERROR(AVERAGEIFS('2. Program Allocation Output'!$P:$P,'2. Program Allocation Output'!$AF:$AF,$A1276,'2. Program Allocation Output'!$AG:$AG,$B1276),"")</f>
        <v/>
      </c>
      <c r="D1276" s="4" t="str">
        <f>IFERROR(AVERAGEIFS('2. Program Allocation Output'!$O:$O,'2. Program Allocation Output'!$AF:$AF,$A1276,'2. Program Allocation Output'!$AG:$AG,$B1276),"")</f>
        <v/>
      </c>
      <c r="E1276" s="5" t="str">
        <f>IFERROR(AVERAGEIFS('2. Program Allocation Output'!$L:$L,'2. Program Allocation Output'!$AF:$AF,$A1276,'2. Program Allocation Output'!$AG:$AG,$B1276),"")</f>
        <v/>
      </c>
      <c r="F1276" s="39" t="str">
        <f t="shared" si="41"/>
        <v/>
      </c>
      <c r="G1276" t="str">
        <f t="shared" si="42"/>
        <v/>
      </c>
    </row>
    <row r="1277" spans="3:7" ht="15" hidden="1" x14ac:dyDescent="0.25">
      <c r="C1277" s="4" t="str">
        <f>IFERROR(AVERAGEIFS('2. Program Allocation Output'!$P:$P,'2. Program Allocation Output'!$AF:$AF,$A1277,'2. Program Allocation Output'!$AG:$AG,$B1277),"")</f>
        <v/>
      </c>
      <c r="D1277" s="4" t="str">
        <f>IFERROR(AVERAGEIFS('2. Program Allocation Output'!$O:$O,'2. Program Allocation Output'!$AF:$AF,$A1277,'2. Program Allocation Output'!$AG:$AG,$B1277),"")</f>
        <v/>
      </c>
      <c r="E1277" s="5" t="str">
        <f>IFERROR(AVERAGEIFS('2. Program Allocation Output'!$L:$L,'2. Program Allocation Output'!$AF:$AF,$A1277,'2. Program Allocation Output'!$AG:$AG,$B1277),"")</f>
        <v/>
      </c>
      <c r="F1277" s="39" t="str">
        <f t="shared" si="41"/>
        <v/>
      </c>
      <c r="G1277" t="str">
        <f t="shared" si="42"/>
        <v/>
      </c>
    </row>
    <row r="1278" spans="3:7" ht="15" hidden="1" x14ac:dyDescent="0.25">
      <c r="C1278" s="4" t="str">
        <f>IFERROR(AVERAGEIFS('2. Program Allocation Output'!$P:$P,'2. Program Allocation Output'!$AF:$AF,$A1278,'2. Program Allocation Output'!$AG:$AG,$B1278),"")</f>
        <v/>
      </c>
      <c r="D1278" s="4" t="str">
        <f>IFERROR(AVERAGEIFS('2. Program Allocation Output'!$O:$O,'2. Program Allocation Output'!$AF:$AF,$A1278,'2. Program Allocation Output'!$AG:$AG,$B1278),"")</f>
        <v/>
      </c>
      <c r="E1278" s="5" t="str">
        <f>IFERROR(AVERAGEIFS('2. Program Allocation Output'!$L:$L,'2. Program Allocation Output'!$AF:$AF,$A1278,'2. Program Allocation Output'!$AG:$AG,$B1278),"")</f>
        <v/>
      </c>
      <c r="F1278" s="39" t="str">
        <f t="shared" si="41"/>
        <v/>
      </c>
      <c r="G1278" t="str">
        <f t="shared" si="42"/>
        <v/>
      </c>
    </row>
    <row r="1279" spans="3:7" ht="15" hidden="1" x14ac:dyDescent="0.25">
      <c r="C1279" s="4" t="str">
        <f>IFERROR(AVERAGEIFS('2. Program Allocation Output'!$P:$P,'2. Program Allocation Output'!$AF:$AF,$A1279,'2. Program Allocation Output'!$AG:$AG,$B1279),"")</f>
        <v/>
      </c>
      <c r="D1279" s="4" t="str">
        <f>IFERROR(AVERAGEIFS('2. Program Allocation Output'!$O:$O,'2. Program Allocation Output'!$AF:$AF,$A1279,'2. Program Allocation Output'!$AG:$AG,$B1279),"")</f>
        <v/>
      </c>
      <c r="E1279" s="5" t="str">
        <f>IFERROR(AVERAGEIFS('2. Program Allocation Output'!$L:$L,'2. Program Allocation Output'!$AF:$AF,$A1279,'2. Program Allocation Output'!$AG:$AG,$B1279),"")</f>
        <v/>
      </c>
      <c r="F1279" s="39" t="str">
        <f t="shared" si="41"/>
        <v/>
      </c>
      <c r="G1279" t="str">
        <f t="shared" si="42"/>
        <v/>
      </c>
    </row>
    <row r="1280" spans="3:7" ht="15" hidden="1" x14ac:dyDescent="0.25">
      <c r="C1280" s="4" t="str">
        <f>IFERROR(AVERAGEIFS('2. Program Allocation Output'!$P:$P,'2. Program Allocation Output'!$AF:$AF,$A1280,'2. Program Allocation Output'!$AG:$AG,$B1280),"")</f>
        <v/>
      </c>
      <c r="D1280" s="4" t="str">
        <f>IFERROR(AVERAGEIFS('2. Program Allocation Output'!$O:$O,'2. Program Allocation Output'!$AF:$AF,$A1280,'2. Program Allocation Output'!$AG:$AG,$B1280),"")</f>
        <v/>
      </c>
      <c r="E1280" s="5" t="str">
        <f>IFERROR(AVERAGEIFS('2. Program Allocation Output'!$L:$L,'2. Program Allocation Output'!$AF:$AF,$A1280,'2. Program Allocation Output'!$AG:$AG,$B1280),"")</f>
        <v/>
      </c>
      <c r="F1280" s="39" t="str">
        <f t="shared" si="41"/>
        <v/>
      </c>
      <c r="G1280" t="str">
        <f t="shared" si="42"/>
        <v/>
      </c>
    </row>
    <row r="1281" spans="3:7" ht="15" hidden="1" x14ac:dyDescent="0.25">
      <c r="C1281" s="4" t="str">
        <f>IFERROR(AVERAGEIFS('2. Program Allocation Output'!$P:$P,'2. Program Allocation Output'!$AF:$AF,$A1281,'2. Program Allocation Output'!$AG:$AG,$B1281),"")</f>
        <v/>
      </c>
      <c r="D1281" s="4" t="str">
        <f>IFERROR(AVERAGEIFS('2. Program Allocation Output'!$O:$O,'2. Program Allocation Output'!$AF:$AF,$A1281,'2. Program Allocation Output'!$AG:$AG,$B1281),"")</f>
        <v/>
      </c>
      <c r="E1281" s="5" t="str">
        <f>IFERROR(AVERAGEIFS('2. Program Allocation Output'!$L:$L,'2. Program Allocation Output'!$AF:$AF,$A1281,'2. Program Allocation Output'!$AG:$AG,$B1281),"")</f>
        <v/>
      </c>
      <c r="F1281" s="39" t="str">
        <f t="shared" si="41"/>
        <v/>
      </c>
      <c r="G1281" t="str">
        <f t="shared" si="42"/>
        <v/>
      </c>
    </row>
    <row r="1282" spans="3:7" ht="15" hidden="1" x14ac:dyDescent="0.25">
      <c r="C1282" s="4" t="str">
        <f>IFERROR(AVERAGEIFS('2. Program Allocation Output'!$P:$P,'2. Program Allocation Output'!$AF:$AF,$A1282,'2. Program Allocation Output'!$AG:$AG,$B1282),"")</f>
        <v/>
      </c>
      <c r="D1282" s="4" t="str">
        <f>IFERROR(AVERAGEIFS('2. Program Allocation Output'!$O:$O,'2. Program Allocation Output'!$AF:$AF,$A1282,'2. Program Allocation Output'!$AG:$AG,$B1282),"")</f>
        <v/>
      </c>
      <c r="E1282" s="5" t="str">
        <f>IFERROR(AVERAGEIFS('2. Program Allocation Output'!$L:$L,'2. Program Allocation Output'!$AF:$AF,$A1282,'2. Program Allocation Output'!$AG:$AG,$B1282),"")</f>
        <v/>
      </c>
      <c r="F1282" s="39" t="str">
        <f t="shared" si="41"/>
        <v/>
      </c>
      <c r="G1282" t="str">
        <f t="shared" si="42"/>
        <v/>
      </c>
    </row>
    <row r="1283" spans="3:7" ht="15" hidden="1" x14ac:dyDescent="0.25">
      <c r="C1283" s="4" t="str">
        <f>IFERROR(AVERAGEIFS('2. Program Allocation Output'!$P:$P,'2. Program Allocation Output'!$AF:$AF,$A1283,'2. Program Allocation Output'!$AG:$AG,$B1283),"")</f>
        <v/>
      </c>
      <c r="D1283" s="4" t="str">
        <f>IFERROR(AVERAGEIFS('2. Program Allocation Output'!$O:$O,'2. Program Allocation Output'!$AF:$AF,$A1283,'2. Program Allocation Output'!$AG:$AG,$B1283),"")</f>
        <v/>
      </c>
      <c r="E1283" s="5" t="str">
        <f>IFERROR(AVERAGEIFS('2. Program Allocation Output'!$L:$L,'2. Program Allocation Output'!$AF:$AF,$A1283,'2. Program Allocation Output'!$AG:$AG,$B1283),"")</f>
        <v/>
      </c>
      <c r="F1283" s="39" t="str">
        <f t="shared" ref="F1283:F1346" si="43">IFERROR(C1283*1,"")</f>
        <v/>
      </c>
      <c r="G1283" t="str">
        <f t="shared" si="42"/>
        <v/>
      </c>
    </row>
    <row r="1284" spans="3:7" ht="15" hidden="1" x14ac:dyDescent="0.25">
      <c r="C1284" s="4" t="str">
        <f>IFERROR(AVERAGEIFS('2. Program Allocation Output'!$P:$P,'2. Program Allocation Output'!$AF:$AF,$A1284,'2. Program Allocation Output'!$AG:$AG,$B1284),"")</f>
        <v/>
      </c>
      <c r="D1284" s="4" t="str">
        <f>IFERROR(AVERAGEIFS('2. Program Allocation Output'!$O:$O,'2. Program Allocation Output'!$AF:$AF,$A1284,'2. Program Allocation Output'!$AG:$AG,$B1284),"")</f>
        <v/>
      </c>
      <c r="E1284" s="5" t="str">
        <f>IFERROR(AVERAGEIFS('2. Program Allocation Output'!$L:$L,'2. Program Allocation Output'!$AF:$AF,$A1284,'2. Program Allocation Output'!$AG:$AG,$B1284),"")</f>
        <v/>
      </c>
      <c r="F1284" s="39" t="str">
        <f t="shared" si="43"/>
        <v/>
      </c>
      <c r="G1284" t="str">
        <f t="shared" si="42"/>
        <v/>
      </c>
    </row>
    <row r="1285" spans="3:7" ht="15" hidden="1" x14ac:dyDescent="0.25">
      <c r="C1285" s="4" t="str">
        <f>IFERROR(AVERAGEIFS('2. Program Allocation Output'!$P:$P,'2. Program Allocation Output'!$AF:$AF,$A1285,'2. Program Allocation Output'!$AG:$AG,$B1285),"")</f>
        <v/>
      </c>
      <c r="D1285" s="4" t="str">
        <f>IFERROR(AVERAGEIFS('2. Program Allocation Output'!$O:$O,'2. Program Allocation Output'!$AF:$AF,$A1285,'2. Program Allocation Output'!$AG:$AG,$B1285),"")</f>
        <v/>
      </c>
      <c r="E1285" s="5" t="str">
        <f>IFERROR(AVERAGEIFS('2. Program Allocation Output'!$L:$L,'2. Program Allocation Output'!$AF:$AF,$A1285,'2. Program Allocation Output'!$AG:$AG,$B1285),"")</f>
        <v/>
      </c>
      <c r="F1285" s="39" t="str">
        <f t="shared" si="43"/>
        <v/>
      </c>
      <c r="G1285" t="str">
        <f t="shared" si="42"/>
        <v/>
      </c>
    </row>
    <row r="1286" spans="3:7" ht="15" hidden="1" x14ac:dyDescent="0.25">
      <c r="C1286" s="4" t="str">
        <f>IFERROR(AVERAGEIFS('2. Program Allocation Output'!$P:$P,'2. Program Allocation Output'!$AF:$AF,$A1286,'2. Program Allocation Output'!$AG:$AG,$B1286),"")</f>
        <v/>
      </c>
      <c r="D1286" s="4" t="str">
        <f>IFERROR(AVERAGEIFS('2. Program Allocation Output'!$O:$O,'2. Program Allocation Output'!$AF:$AF,$A1286,'2. Program Allocation Output'!$AG:$AG,$B1286),"")</f>
        <v/>
      </c>
      <c r="E1286" s="5" t="str">
        <f>IFERROR(AVERAGEIFS('2. Program Allocation Output'!$L:$L,'2. Program Allocation Output'!$AF:$AF,$A1286,'2. Program Allocation Output'!$AG:$AG,$B1286),"")</f>
        <v/>
      </c>
      <c r="F1286" s="39" t="str">
        <f t="shared" si="43"/>
        <v/>
      </c>
      <c r="G1286" t="str">
        <f t="shared" si="42"/>
        <v/>
      </c>
    </row>
    <row r="1287" spans="3:7" ht="15" hidden="1" x14ac:dyDescent="0.25">
      <c r="C1287" s="4" t="str">
        <f>IFERROR(AVERAGEIFS('2. Program Allocation Output'!$P:$P,'2. Program Allocation Output'!$AF:$AF,$A1287,'2. Program Allocation Output'!$AG:$AG,$B1287),"")</f>
        <v/>
      </c>
      <c r="D1287" s="4" t="str">
        <f>IFERROR(AVERAGEIFS('2. Program Allocation Output'!$O:$O,'2. Program Allocation Output'!$AF:$AF,$A1287,'2. Program Allocation Output'!$AG:$AG,$B1287),"")</f>
        <v/>
      </c>
      <c r="E1287" s="5" t="str">
        <f>IFERROR(AVERAGEIFS('2. Program Allocation Output'!$L:$L,'2. Program Allocation Output'!$AF:$AF,$A1287,'2. Program Allocation Output'!$AG:$AG,$B1287),"")</f>
        <v/>
      </c>
      <c r="F1287" s="39" t="str">
        <f t="shared" si="43"/>
        <v/>
      </c>
      <c r="G1287" t="str">
        <f t="shared" si="42"/>
        <v/>
      </c>
    </row>
    <row r="1288" spans="3:7" ht="15" hidden="1" x14ac:dyDescent="0.25">
      <c r="C1288" s="4" t="str">
        <f>IFERROR(AVERAGEIFS('2. Program Allocation Output'!$P:$P,'2. Program Allocation Output'!$AF:$AF,$A1288,'2. Program Allocation Output'!$AG:$AG,$B1288),"")</f>
        <v/>
      </c>
      <c r="D1288" s="4" t="str">
        <f>IFERROR(AVERAGEIFS('2. Program Allocation Output'!$O:$O,'2. Program Allocation Output'!$AF:$AF,$A1288,'2. Program Allocation Output'!$AG:$AG,$B1288),"")</f>
        <v/>
      </c>
      <c r="E1288" s="5" t="str">
        <f>IFERROR(AVERAGEIFS('2. Program Allocation Output'!$L:$L,'2. Program Allocation Output'!$AF:$AF,$A1288,'2. Program Allocation Output'!$AG:$AG,$B1288),"")</f>
        <v/>
      </c>
      <c r="F1288" s="39" t="str">
        <f t="shared" si="43"/>
        <v/>
      </c>
      <c r="G1288" t="str">
        <f t="shared" si="42"/>
        <v/>
      </c>
    </row>
    <row r="1289" spans="3:7" ht="15" hidden="1" x14ac:dyDescent="0.25">
      <c r="C1289" s="4" t="str">
        <f>IFERROR(AVERAGEIFS('2. Program Allocation Output'!$P:$P,'2. Program Allocation Output'!$AF:$AF,$A1289,'2. Program Allocation Output'!$AG:$AG,$B1289),"")</f>
        <v/>
      </c>
      <c r="D1289" s="4" t="str">
        <f>IFERROR(AVERAGEIFS('2. Program Allocation Output'!$O:$O,'2. Program Allocation Output'!$AF:$AF,$A1289,'2. Program Allocation Output'!$AG:$AG,$B1289),"")</f>
        <v/>
      </c>
      <c r="E1289" s="5" t="str">
        <f>IFERROR(AVERAGEIFS('2. Program Allocation Output'!$L:$L,'2. Program Allocation Output'!$AF:$AF,$A1289,'2. Program Allocation Output'!$AG:$AG,$B1289),"")</f>
        <v/>
      </c>
      <c r="F1289" s="39" t="str">
        <f t="shared" si="43"/>
        <v/>
      </c>
      <c r="G1289" t="str">
        <f t="shared" si="42"/>
        <v/>
      </c>
    </row>
    <row r="1290" spans="3:7" ht="15" hidden="1" x14ac:dyDescent="0.25">
      <c r="C1290" s="4" t="str">
        <f>IFERROR(AVERAGEIFS('2. Program Allocation Output'!$P:$P,'2. Program Allocation Output'!$AF:$AF,$A1290,'2. Program Allocation Output'!$AG:$AG,$B1290),"")</f>
        <v/>
      </c>
      <c r="D1290" s="4" t="str">
        <f>IFERROR(AVERAGEIFS('2. Program Allocation Output'!$O:$O,'2. Program Allocation Output'!$AF:$AF,$A1290,'2. Program Allocation Output'!$AG:$AG,$B1290),"")</f>
        <v/>
      </c>
      <c r="E1290" s="5" t="str">
        <f>IFERROR(AVERAGEIFS('2. Program Allocation Output'!$L:$L,'2. Program Allocation Output'!$AF:$AF,$A1290,'2. Program Allocation Output'!$AG:$AG,$B1290),"")</f>
        <v/>
      </c>
      <c r="F1290" s="39" t="str">
        <f t="shared" si="43"/>
        <v/>
      </c>
      <c r="G1290" t="str">
        <f t="shared" si="42"/>
        <v/>
      </c>
    </row>
    <row r="1291" spans="3:7" ht="15" hidden="1" x14ac:dyDescent="0.25">
      <c r="C1291" s="4" t="str">
        <f>IFERROR(AVERAGEIFS('2. Program Allocation Output'!$P:$P,'2. Program Allocation Output'!$AF:$AF,$A1291,'2. Program Allocation Output'!$AG:$AG,$B1291),"")</f>
        <v/>
      </c>
      <c r="D1291" s="4" t="str">
        <f>IFERROR(AVERAGEIFS('2. Program Allocation Output'!$O:$O,'2. Program Allocation Output'!$AF:$AF,$A1291,'2. Program Allocation Output'!$AG:$AG,$B1291),"")</f>
        <v/>
      </c>
      <c r="E1291" s="5" t="str">
        <f>IFERROR(AVERAGEIFS('2. Program Allocation Output'!$L:$L,'2. Program Allocation Output'!$AF:$AF,$A1291,'2. Program Allocation Output'!$AG:$AG,$B1291),"")</f>
        <v/>
      </c>
      <c r="F1291" s="39" t="str">
        <f t="shared" si="43"/>
        <v/>
      </c>
      <c r="G1291" t="str">
        <f t="shared" si="42"/>
        <v/>
      </c>
    </row>
    <row r="1292" spans="3:7" ht="15" hidden="1" x14ac:dyDescent="0.25">
      <c r="C1292" s="4" t="str">
        <f>IFERROR(AVERAGEIFS('2. Program Allocation Output'!$P:$P,'2. Program Allocation Output'!$AF:$AF,$A1292,'2. Program Allocation Output'!$AG:$AG,$B1292),"")</f>
        <v/>
      </c>
      <c r="D1292" s="4" t="str">
        <f>IFERROR(AVERAGEIFS('2. Program Allocation Output'!$O:$O,'2. Program Allocation Output'!$AF:$AF,$A1292,'2. Program Allocation Output'!$AG:$AG,$B1292),"")</f>
        <v/>
      </c>
      <c r="E1292" s="5" t="str">
        <f>IFERROR(AVERAGEIFS('2. Program Allocation Output'!$L:$L,'2. Program Allocation Output'!$AF:$AF,$A1292,'2. Program Allocation Output'!$AG:$AG,$B1292),"")</f>
        <v/>
      </c>
      <c r="F1292" s="39" t="str">
        <f t="shared" si="43"/>
        <v/>
      </c>
      <c r="G1292" t="str">
        <f t="shared" si="42"/>
        <v/>
      </c>
    </row>
    <row r="1293" spans="3:7" ht="15" hidden="1" x14ac:dyDescent="0.25">
      <c r="C1293" s="4" t="str">
        <f>IFERROR(AVERAGEIFS('2. Program Allocation Output'!$P:$P,'2. Program Allocation Output'!$AF:$AF,$A1293,'2. Program Allocation Output'!$AG:$AG,$B1293),"")</f>
        <v/>
      </c>
      <c r="D1293" s="4" t="str">
        <f>IFERROR(AVERAGEIFS('2. Program Allocation Output'!$O:$O,'2. Program Allocation Output'!$AF:$AF,$A1293,'2. Program Allocation Output'!$AG:$AG,$B1293),"")</f>
        <v/>
      </c>
      <c r="E1293" s="5" t="str">
        <f>IFERROR(AVERAGEIFS('2. Program Allocation Output'!$L:$L,'2. Program Allocation Output'!$AF:$AF,$A1293,'2. Program Allocation Output'!$AG:$AG,$B1293),"")</f>
        <v/>
      </c>
      <c r="F1293" s="39" t="str">
        <f t="shared" si="43"/>
        <v/>
      </c>
      <c r="G1293" t="str">
        <f t="shared" si="42"/>
        <v/>
      </c>
    </row>
    <row r="1294" spans="3:7" ht="15" hidden="1" x14ac:dyDescent="0.25">
      <c r="C1294" s="4" t="str">
        <f>IFERROR(AVERAGEIFS('2. Program Allocation Output'!$P:$P,'2. Program Allocation Output'!$AF:$AF,$A1294,'2. Program Allocation Output'!$AG:$AG,$B1294),"")</f>
        <v/>
      </c>
      <c r="D1294" s="4" t="str">
        <f>IFERROR(AVERAGEIFS('2. Program Allocation Output'!$O:$O,'2. Program Allocation Output'!$AF:$AF,$A1294,'2. Program Allocation Output'!$AG:$AG,$B1294),"")</f>
        <v/>
      </c>
      <c r="E1294" s="5" t="str">
        <f>IFERROR(AVERAGEIFS('2. Program Allocation Output'!$L:$L,'2. Program Allocation Output'!$AF:$AF,$A1294,'2. Program Allocation Output'!$AG:$AG,$B1294),"")</f>
        <v/>
      </c>
      <c r="F1294" s="39" t="str">
        <f t="shared" si="43"/>
        <v/>
      </c>
      <c r="G1294" t="str">
        <f t="shared" ref="G1294:G1357" si="44">IFERROR(EXP(0.3*(F1294-C1294)/(E1294*0.1137)),"")</f>
        <v/>
      </c>
    </row>
    <row r="1295" spans="3:7" ht="15" hidden="1" x14ac:dyDescent="0.25">
      <c r="C1295" s="4" t="str">
        <f>IFERROR(AVERAGEIFS('2. Program Allocation Output'!$P:$P,'2. Program Allocation Output'!$AF:$AF,$A1295,'2. Program Allocation Output'!$AG:$AG,$B1295),"")</f>
        <v/>
      </c>
      <c r="D1295" s="4" t="str">
        <f>IFERROR(AVERAGEIFS('2. Program Allocation Output'!$O:$O,'2. Program Allocation Output'!$AF:$AF,$A1295,'2. Program Allocation Output'!$AG:$AG,$B1295),"")</f>
        <v/>
      </c>
      <c r="E1295" s="5" t="str">
        <f>IFERROR(AVERAGEIFS('2. Program Allocation Output'!$L:$L,'2. Program Allocation Output'!$AF:$AF,$A1295,'2. Program Allocation Output'!$AG:$AG,$B1295),"")</f>
        <v/>
      </c>
      <c r="F1295" s="39" t="str">
        <f t="shared" si="43"/>
        <v/>
      </c>
      <c r="G1295" t="str">
        <f t="shared" si="44"/>
        <v/>
      </c>
    </row>
    <row r="1296" spans="3:7" ht="15" hidden="1" x14ac:dyDescent="0.25">
      <c r="C1296" s="4" t="str">
        <f>IFERROR(AVERAGEIFS('2. Program Allocation Output'!$P:$P,'2. Program Allocation Output'!$AF:$AF,$A1296,'2. Program Allocation Output'!$AG:$AG,$B1296),"")</f>
        <v/>
      </c>
      <c r="D1296" s="4" t="str">
        <f>IFERROR(AVERAGEIFS('2. Program Allocation Output'!$O:$O,'2. Program Allocation Output'!$AF:$AF,$A1296,'2. Program Allocation Output'!$AG:$AG,$B1296),"")</f>
        <v/>
      </c>
      <c r="E1296" s="5" t="str">
        <f>IFERROR(AVERAGEIFS('2. Program Allocation Output'!$L:$L,'2. Program Allocation Output'!$AF:$AF,$A1296,'2. Program Allocation Output'!$AG:$AG,$B1296),"")</f>
        <v/>
      </c>
      <c r="F1296" s="39" t="str">
        <f t="shared" si="43"/>
        <v/>
      </c>
      <c r="G1296" t="str">
        <f t="shared" si="44"/>
        <v/>
      </c>
    </row>
    <row r="1297" spans="3:7" ht="15" hidden="1" x14ac:dyDescent="0.25">
      <c r="C1297" s="4" t="str">
        <f>IFERROR(AVERAGEIFS('2. Program Allocation Output'!$P:$P,'2. Program Allocation Output'!$AF:$AF,$A1297,'2. Program Allocation Output'!$AG:$AG,$B1297),"")</f>
        <v/>
      </c>
      <c r="D1297" s="4" t="str">
        <f>IFERROR(AVERAGEIFS('2. Program Allocation Output'!$O:$O,'2. Program Allocation Output'!$AF:$AF,$A1297,'2. Program Allocation Output'!$AG:$AG,$B1297),"")</f>
        <v/>
      </c>
      <c r="E1297" s="5" t="str">
        <f>IFERROR(AVERAGEIFS('2. Program Allocation Output'!$L:$L,'2. Program Allocation Output'!$AF:$AF,$A1297,'2. Program Allocation Output'!$AG:$AG,$B1297),"")</f>
        <v/>
      </c>
      <c r="F1297" s="39" t="str">
        <f t="shared" si="43"/>
        <v/>
      </c>
      <c r="G1297" t="str">
        <f t="shared" si="44"/>
        <v/>
      </c>
    </row>
    <row r="1298" spans="3:7" ht="15" hidden="1" x14ac:dyDescent="0.25">
      <c r="C1298" s="4" t="str">
        <f>IFERROR(AVERAGEIFS('2. Program Allocation Output'!$P:$P,'2. Program Allocation Output'!$AF:$AF,$A1298,'2. Program Allocation Output'!$AG:$AG,$B1298),"")</f>
        <v/>
      </c>
      <c r="D1298" s="4" t="str">
        <f>IFERROR(AVERAGEIFS('2. Program Allocation Output'!$O:$O,'2. Program Allocation Output'!$AF:$AF,$A1298,'2. Program Allocation Output'!$AG:$AG,$B1298),"")</f>
        <v/>
      </c>
      <c r="E1298" s="5" t="str">
        <f>IFERROR(AVERAGEIFS('2. Program Allocation Output'!$L:$L,'2. Program Allocation Output'!$AF:$AF,$A1298,'2. Program Allocation Output'!$AG:$AG,$B1298),"")</f>
        <v/>
      </c>
      <c r="F1298" s="39" t="str">
        <f t="shared" si="43"/>
        <v/>
      </c>
      <c r="G1298" t="str">
        <f t="shared" si="44"/>
        <v/>
      </c>
    </row>
    <row r="1299" spans="3:7" ht="15" hidden="1" x14ac:dyDescent="0.25">
      <c r="C1299" s="4" t="str">
        <f>IFERROR(AVERAGEIFS('2. Program Allocation Output'!$P:$P,'2. Program Allocation Output'!$AF:$AF,$A1299,'2. Program Allocation Output'!$AG:$AG,$B1299),"")</f>
        <v/>
      </c>
      <c r="D1299" s="4" t="str">
        <f>IFERROR(AVERAGEIFS('2. Program Allocation Output'!$O:$O,'2. Program Allocation Output'!$AF:$AF,$A1299,'2. Program Allocation Output'!$AG:$AG,$B1299),"")</f>
        <v/>
      </c>
      <c r="E1299" s="5" t="str">
        <f>IFERROR(AVERAGEIFS('2. Program Allocation Output'!$L:$L,'2. Program Allocation Output'!$AF:$AF,$A1299,'2. Program Allocation Output'!$AG:$AG,$B1299),"")</f>
        <v/>
      </c>
      <c r="F1299" s="39" t="str">
        <f t="shared" si="43"/>
        <v/>
      </c>
      <c r="G1299" t="str">
        <f t="shared" si="44"/>
        <v/>
      </c>
    </row>
    <row r="1300" spans="3:7" ht="15" hidden="1" x14ac:dyDescent="0.25">
      <c r="C1300" s="4" t="str">
        <f>IFERROR(AVERAGEIFS('2. Program Allocation Output'!$P:$P,'2. Program Allocation Output'!$AF:$AF,$A1300,'2. Program Allocation Output'!$AG:$AG,$B1300),"")</f>
        <v/>
      </c>
      <c r="D1300" s="4" t="str">
        <f>IFERROR(AVERAGEIFS('2. Program Allocation Output'!$O:$O,'2. Program Allocation Output'!$AF:$AF,$A1300,'2. Program Allocation Output'!$AG:$AG,$B1300),"")</f>
        <v/>
      </c>
      <c r="E1300" s="5" t="str">
        <f>IFERROR(AVERAGEIFS('2. Program Allocation Output'!$L:$L,'2. Program Allocation Output'!$AF:$AF,$A1300,'2. Program Allocation Output'!$AG:$AG,$B1300),"")</f>
        <v/>
      </c>
      <c r="F1300" s="39" t="str">
        <f t="shared" si="43"/>
        <v/>
      </c>
      <c r="G1300" t="str">
        <f t="shared" si="44"/>
        <v/>
      </c>
    </row>
    <row r="1301" spans="3:7" ht="15" hidden="1" x14ac:dyDescent="0.25">
      <c r="C1301" s="4" t="str">
        <f>IFERROR(AVERAGEIFS('2. Program Allocation Output'!$P:$P,'2. Program Allocation Output'!$AF:$AF,$A1301,'2. Program Allocation Output'!$AG:$AG,$B1301),"")</f>
        <v/>
      </c>
      <c r="D1301" s="4" t="str">
        <f>IFERROR(AVERAGEIFS('2. Program Allocation Output'!$O:$O,'2. Program Allocation Output'!$AF:$AF,$A1301,'2. Program Allocation Output'!$AG:$AG,$B1301),"")</f>
        <v/>
      </c>
      <c r="E1301" s="5" t="str">
        <f>IFERROR(AVERAGEIFS('2. Program Allocation Output'!$L:$L,'2. Program Allocation Output'!$AF:$AF,$A1301,'2. Program Allocation Output'!$AG:$AG,$B1301),"")</f>
        <v/>
      </c>
      <c r="F1301" s="39" t="str">
        <f t="shared" si="43"/>
        <v/>
      </c>
      <c r="G1301" t="str">
        <f t="shared" si="44"/>
        <v/>
      </c>
    </row>
    <row r="1302" spans="3:7" ht="15" hidden="1" x14ac:dyDescent="0.25">
      <c r="C1302" s="4" t="str">
        <f>IFERROR(AVERAGEIFS('2. Program Allocation Output'!$P:$P,'2. Program Allocation Output'!$AF:$AF,$A1302,'2. Program Allocation Output'!$AG:$AG,$B1302),"")</f>
        <v/>
      </c>
      <c r="D1302" s="4" t="str">
        <f>IFERROR(AVERAGEIFS('2. Program Allocation Output'!$O:$O,'2. Program Allocation Output'!$AF:$AF,$A1302,'2. Program Allocation Output'!$AG:$AG,$B1302),"")</f>
        <v/>
      </c>
      <c r="E1302" s="5" t="str">
        <f>IFERROR(AVERAGEIFS('2. Program Allocation Output'!$L:$L,'2. Program Allocation Output'!$AF:$AF,$A1302,'2. Program Allocation Output'!$AG:$AG,$B1302),"")</f>
        <v/>
      </c>
      <c r="F1302" s="39" t="str">
        <f t="shared" si="43"/>
        <v/>
      </c>
      <c r="G1302" t="str">
        <f t="shared" si="44"/>
        <v/>
      </c>
    </row>
    <row r="1303" spans="3:7" ht="15" hidden="1" x14ac:dyDescent="0.25">
      <c r="C1303" s="4" t="str">
        <f>IFERROR(AVERAGEIFS('2. Program Allocation Output'!$P:$P,'2. Program Allocation Output'!$AF:$AF,$A1303,'2. Program Allocation Output'!$AG:$AG,$B1303),"")</f>
        <v/>
      </c>
      <c r="D1303" s="4" t="str">
        <f>IFERROR(AVERAGEIFS('2. Program Allocation Output'!$O:$O,'2. Program Allocation Output'!$AF:$AF,$A1303,'2. Program Allocation Output'!$AG:$AG,$B1303),"")</f>
        <v/>
      </c>
      <c r="E1303" s="5" t="str">
        <f>IFERROR(AVERAGEIFS('2. Program Allocation Output'!$L:$L,'2. Program Allocation Output'!$AF:$AF,$A1303,'2. Program Allocation Output'!$AG:$AG,$B1303),"")</f>
        <v/>
      </c>
      <c r="F1303" s="39" t="str">
        <f t="shared" si="43"/>
        <v/>
      </c>
      <c r="G1303" t="str">
        <f t="shared" si="44"/>
        <v/>
      </c>
    </row>
    <row r="1304" spans="3:7" ht="15" hidden="1" x14ac:dyDescent="0.25">
      <c r="C1304" s="4" t="str">
        <f>IFERROR(AVERAGEIFS('2. Program Allocation Output'!$P:$P,'2. Program Allocation Output'!$AF:$AF,$A1304,'2. Program Allocation Output'!$AG:$AG,$B1304),"")</f>
        <v/>
      </c>
      <c r="D1304" s="4" t="str">
        <f>IFERROR(AVERAGEIFS('2. Program Allocation Output'!$O:$O,'2. Program Allocation Output'!$AF:$AF,$A1304,'2. Program Allocation Output'!$AG:$AG,$B1304),"")</f>
        <v/>
      </c>
      <c r="E1304" s="5" t="str">
        <f>IFERROR(AVERAGEIFS('2. Program Allocation Output'!$L:$L,'2. Program Allocation Output'!$AF:$AF,$A1304,'2. Program Allocation Output'!$AG:$AG,$B1304),"")</f>
        <v/>
      </c>
      <c r="F1304" s="39" t="str">
        <f t="shared" si="43"/>
        <v/>
      </c>
      <c r="G1304" t="str">
        <f t="shared" si="44"/>
        <v/>
      </c>
    </row>
    <row r="1305" spans="3:7" ht="15" hidden="1" x14ac:dyDescent="0.25">
      <c r="C1305" s="4" t="str">
        <f>IFERROR(AVERAGEIFS('2. Program Allocation Output'!$P:$P,'2. Program Allocation Output'!$AF:$AF,$A1305,'2. Program Allocation Output'!$AG:$AG,$B1305),"")</f>
        <v/>
      </c>
      <c r="D1305" s="4" t="str">
        <f>IFERROR(AVERAGEIFS('2. Program Allocation Output'!$O:$O,'2. Program Allocation Output'!$AF:$AF,$A1305,'2. Program Allocation Output'!$AG:$AG,$B1305),"")</f>
        <v/>
      </c>
      <c r="E1305" s="5" t="str">
        <f>IFERROR(AVERAGEIFS('2. Program Allocation Output'!$L:$L,'2. Program Allocation Output'!$AF:$AF,$A1305,'2. Program Allocation Output'!$AG:$AG,$B1305),"")</f>
        <v/>
      </c>
      <c r="F1305" s="39" t="str">
        <f t="shared" si="43"/>
        <v/>
      </c>
      <c r="G1305" t="str">
        <f t="shared" si="44"/>
        <v/>
      </c>
    </row>
    <row r="1306" spans="3:7" ht="15" hidden="1" x14ac:dyDescent="0.25">
      <c r="C1306" s="4" t="str">
        <f>IFERROR(AVERAGEIFS('2. Program Allocation Output'!$P:$P,'2. Program Allocation Output'!$AF:$AF,$A1306,'2. Program Allocation Output'!$AG:$AG,$B1306),"")</f>
        <v/>
      </c>
      <c r="D1306" s="4" t="str">
        <f>IFERROR(AVERAGEIFS('2. Program Allocation Output'!$O:$O,'2. Program Allocation Output'!$AF:$AF,$A1306,'2. Program Allocation Output'!$AG:$AG,$B1306),"")</f>
        <v/>
      </c>
      <c r="E1306" s="5" t="str">
        <f>IFERROR(AVERAGEIFS('2. Program Allocation Output'!$L:$L,'2. Program Allocation Output'!$AF:$AF,$A1306,'2. Program Allocation Output'!$AG:$AG,$B1306),"")</f>
        <v/>
      </c>
      <c r="F1306" s="39" t="str">
        <f t="shared" si="43"/>
        <v/>
      </c>
      <c r="G1306" t="str">
        <f t="shared" si="44"/>
        <v/>
      </c>
    </row>
    <row r="1307" spans="3:7" ht="15" hidden="1" x14ac:dyDescent="0.25">
      <c r="C1307" s="4" t="str">
        <f>IFERROR(AVERAGEIFS('2. Program Allocation Output'!$P:$P,'2. Program Allocation Output'!$AF:$AF,$A1307,'2. Program Allocation Output'!$AG:$AG,$B1307),"")</f>
        <v/>
      </c>
      <c r="D1307" s="4" t="str">
        <f>IFERROR(AVERAGEIFS('2. Program Allocation Output'!$O:$O,'2. Program Allocation Output'!$AF:$AF,$A1307,'2. Program Allocation Output'!$AG:$AG,$B1307),"")</f>
        <v/>
      </c>
      <c r="E1307" s="5" t="str">
        <f>IFERROR(AVERAGEIFS('2. Program Allocation Output'!$L:$L,'2. Program Allocation Output'!$AF:$AF,$A1307,'2. Program Allocation Output'!$AG:$AG,$B1307),"")</f>
        <v/>
      </c>
      <c r="F1307" s="39" t="str">
        <f t="shared" si="43"/>
        <v/>
      </c>
      <c r="G1307" t="str">
        <f t="shared" si="44"/>
        <v/>
      </c>
    </row>
    <row r="1308" spans="3:7" ht="15" hidden="1" x14ac:dyDescent="0.25">
      <c r="C1308" s="4" t="str">
        <f>IFERROR(AVERAGEIFS('2. Program Allocation Output'!$P:$P,'2. Program Allocation Output'!$AF:$AF,$A1308,'2. Program Allocation Output'!$AG:$AG,$B1308),"")</f>
        <v/>
      </c>
      <c r="D1308" s="4" t="str">
        <f>IFERROR(AVERAGEIFS('2. Program Allocation Output'!$O:$O,'2. Program Allocation Output'!$AF:$AF,$A1308,'2. Program Allocation Output'!$AG:$AG,$B1308),"")</f>
        <v/>
      </c>
      <c r="E1308" s="5" t="str">
        <f>IFERROR(AVERAGEIFS('2. Program Allocation Output'!$L:$L,'2. Program Allocation Output'!$AF:$AF,$A1308,'2. Program Allocation Output'!$AG:$AG,$B1308),"")</f>
        <v/>
      </c>
      <c r="F1308" s="39" t="str">
        <f t="shared" si="43"/>
        <v/>
      </c>
      <c r="G1308" t="str">
        <f t="shared" si="44"/>
        <v/>
      </c>
    </row>
    <row r="1309" spans="3:7" ht="15" hidden="1" x14ac:dyDescent="0.25">
      <c r="C1309" s="4" t="str">
        <f>IFERROR(AVERAGEIFS('2. Program Allocation Output'!$P:$P,'2. Program Allocation Output'!$AF:$AF,$A1309,'2. Program Allocation Output'!$AG:$AG,$B1309),"")</f>
        <v/>
      </c>
      <c r="D1309" s="4" t="str">
        <f>IFERROR(AVERAGEIFS('2. Program Allocation Output'!$O:$O,'2. Program Allocation Output'!$AF:$AF,$A1309,'2. Program Allocation Output'!$AG:$AG,$B1309),"")</f>
        <v/>
      </c>
      <c r="E1309" s="5" t="str">
        <f>IFERROR(AVERAGEIFS('2. Program Allocation Output'!$L:$L,'2. Program Allocation Output'!$AF:$AF,$A1309,'2. Program Allocation Output'!$AG:$AG,$B1309),"")</f>
        <v/>
      </c>
      <c r="F1309" s="39" t="str">
        <f t="shared" si="43"/>
        <v/>
      </c>
      <c r="G1309" t="str">
        <f t="shared" si="44"/>
        <v/>
      </c>
    </row>
    <row r="1310" spans="3:7" ht="15" hidden="1" x14ac:dyDescent="0.25">
      <c r="C1310" s="4" t="str">
        <f>IFERROR(AVERAGEIFS('2. Program Allocation Output'!$P:$P,'2. Program Allocation Output'!$AF:$AF,$A1310,'2. Program Allocation Output'!$AG:$AG,$B1310),"")</f>
        <v/>
      </c>
      <c r="D1310" s="4" t="str">
        <f>IFERROR(AVERAGEIFS('2. Program Allocation Output'!$O:$O,'2. Program Allocation Output'!$AF:$AF,$A1310,'2. Program Allocation Output'!$AG:$AG,$B1310),"")</f>
        <v/>
      </c>
      <c r="E1310" s="5" t="str">
        <f>IFERROR(AVERAGEIFS('2. Program Allocation Output'!$L:$L,'2. Program Allocation Output'!$AF:$AF,$A1310,'2. Program Allocation Output'!$AG:$AG,$B1310),"")</f>
        <v/>
      </c>
      <c r="F1310" s="39" t="str">
        <f t="shared" si="43"/>
        <v/>
      </c>
      <c r="G1310" t="str">
        <f t="shared" si="44"/>
        <v/>
      </c>
    </row>
    <row r="1311" spans="3:7" ht="15" hidden="1" x14ac:dyDescent="0.25">
      <c r="C1311" s="4" t="str">
        <f>IFERROR(AVERAGEIFS('2. Program Allocation Output'!$P:$P,'2. Program Allocation Output'!$AF:$AF,$A1311,'2. Program Allocation Output'!$AG:$AG,$B1311),"")</f>
        <v/>
      </c>
      <c r="D1311" s="4" t="str">
        <f>IFERROR(AVERAGEIFS('2. Program Allocation Output'!$O:$O,'2. Program Allocation Output'!$AF:$AF,$A1311,'2. Program Allocation Output'!$AG:$AG,$B1311),"")</f>
        <v/>
      </c>
      <c r="E1311" s="5" t="str">
        <f>IFERROR(AVERAGEIFS('2. Program Allocation Output'!$L:$L,'2. Program Allocation Output'!$AF:$AF,$A1311,'2. Program Allocation Output'!$AG:$AG,$B1311),"")</f>
        <v/>
      </c>
      <c r="F1311" s="39" t="str">
        <f t="shared" si="43"/>
        <v/>
      </c>
      <c r="G1311" t="str">
        <f t="shared" si="44"/>
        <v/>
      </c>
    </row>
    <row r="1312" spans="3:7" ht="15" hidden="1" x14ac:dyDescent="0.25">
      <c r="C1312" s="4" t="str">
        <f>IFERROR(AVERAGEIFS('2. Program Allocation Output'!$P:$P,'2. Program Allocation Output'!$AF:$AF,$A1312,'2. Program Allocation Output'!$AG:$AG,$B1312),"")</f>
        <v/>
      </c>
      <c r="D1312" s="4" t="str">
        <f>IFERROR(AVERAGEIFS('2. Program Allocation Output'!$O:$O,'2. Program Allocation Output'!$AF:$AF,$A1312,'2. Program Allocation Output'!$AG:$AG,$B1312),"")</f>
        <v/>
      </c>
      <c r="E1312" s="5" t="str">
        <f>IFERROR(AVERAGEIFS('2. Program Allocation Output'!$L:$L,'2. Program Allocation Output'!$AF:$AF,$A1312,'2. Program Allocation Output'!$AG:$AG,$B1312),"")</f>
        <v/>
      </c>
      <c r="F1312" s="39" t="str">
        <f t="shared" si="43"/>
        <v/>
      </c>
      <c r="G1312" t="str">
        <f t="shared" si="44"/>
        <v/>
      </c>
    </row>
    <row r="1313" spans="3:7" ht="15" hidden="1" x14ac:dyDescent="0.25">
      <c r="C1313" s="4" t="str">
        <f>IFERROR(AVERAGEIFS('2. Program Allocation Output'!$P:$P,'2. Program Allocation Output'!$AF:$AF,$A1313,'2. Program Allocation Output'!$AG:$AG,$B1313),"")</f>
        <v/>
      </c>
      <c r="D1313" s="4" t="str">
        <f>IFERROR(AVERAGEIFS('2. Program Allocation Output'!$O:$O,'2. Program Allocation Output'!$AF:$AF,$A1313,'2. Program Allocation Output'!$AG:$AG,$B1313),"")</f>
        <v/>
      </c>
      <c r="E1313" s="5" t="str">
        <f>IFERROR(AVERAGEIFS('2. Program Allocation Output'!$L:$L,'2. Program Allocation Output'!$AF:$AF,$A1313,'2. Program Allocation Output'!$AG:$AG,$B1313),"")</f>
        <v/>
      </c>
      <c r="F1313" s="39" t="str">
        <f t="shared" si="43"/>
        <v/>
      </c>
      <c r="G1313" t="str">
        <f t="shared" si="44"/>
        <v/>
      </c>
    </row>
    <row r="1314" spans="3:7" ht="15" hidden="1" x14ac:dyDescent="0.25">
      <c r="C1314" s="4" t="str">
        <f>IFERROR(AVERAGEIFS('2. Program Allocation Output'!$P:$P,'2. Program Allocation Output'!$AF:$AF,$A1314,'2. Program Allocation Output'!$AG:$AG,$B1314),"")</f>
        <v/>
      </c>
      <c r="D1314" s="4" t="str">
        <f>IFERROR(AVERAGEIFS('2. Program Allocation Output'!$O:$O,'2. Program Allocation Output'!$AF:$AF,$A1314,'2. Program Allocation Output'!$AG:$AG,$B1314),"")</f>
        <v/>
      </c>
      <c r="E1314" s="5" t="str">
        <f>IFERROR(AVERAGEIFS('2. Program Allocation Output'!$L:$L,'2. Program Allocation Output'!$AF:$AF,$A1314,'2. Program Allocation Output'!$AG:$AG,$B1314),"")</f>
        <v/>
      </c>
      <c r="F1314" s="39" t="str">
        <f t="shared" si="43"/>
        <v/>
      </c>
      <c r="G1314" t="str">
        <f t="shared" si="44"/>
        <v/>
      </c>
    </row>
    <row r="1315" spans="3:7" ht="15" hidden="1" x14ac:dyDescent="0.25">
      <c r="C1315" s="4" t="str">
        <f>IFERROR(AVERAGEIFS('2. Program Allocation Output'!$P:$P,'2. Program Allocation Output'!$AF:$AF,$A1315,'2. Program Allocation Output'!$AG:$AG,$B1315),"")</f>
        <v/>
      </c>
      <c r="D1315" s="4" t="str">
        <f>IFERROR(AVERAGEIFS('2. Program Allocation Output'!$O:$O,'2. Program Allocation Output'!$AF:$AF,$A1315,'2. Program Allocation Output'!$AG:$AG,$B1315),"")</f>
        <v/>
      </c>
      <c r="E1315" s="5" t="str">
        <f>IFERROR(AVERAGEIFS('2. Program Allocation Output'!$L:$L,'2. Program Allocation Output'!$AF:$AF,$A1315,'2. Program Allocation Output'!$AG:$AG,$B1315),"")</f>
        <v/>
      </c>
      <c r="F1315" s="39" t="str">
        <f t="shared" si="43"/>
        <v/>
      </c>
      <c r="G1315" t="str">
        <f t="shared" si="44"/>
        <v/>
      </c>
    </row>
    <row r="1316" spans="3:7" ht="15" hidden="1" x14ac:dyDescent="0.25">
      <c r="C1316" s="4" t="str">
        <f>IFERROR(AVERAGEIFS('2. Program Allocation Output'!$P:$P,'2. Program Allocation Output'!$AF:$AF,$A1316,'2. Program Allocation Output'!$AG:$AG,$B1316),"")</f>
        <v/>
      </c>
      <c r="D1316" s="4" t="str">
        <f>IFERROR(AVERAGEIFS('2. Program Allocation Output'!$O:$O,'2. Program Allocation Output'!$AF:$AF,$A1316,'2. Program Allocation Output'!$AG:$AG,$B1316),"")</f>
        <v/>
      </c>
      <c r="E1316" s="5" t="str">
        <f>IFERROR(AVERAGEIFS('2. Program Allocation Output'!$L:$L,'2. Program Allocation Output'!$AF:$AF,$A1316,'2. Program Allocation Output'!$AG:$AG,$B1316),"")</f>
        <v/>
      </c>
      <c r="F1316" s="39" t="str">
        <f t="shared" si="43"/>
        <v/>
      </c>
      <c r="G1316" t="str">
        <f t="shared" si="44"/>
        <v/>
      </c>
    </row>
    <row r="1317" spans="3:7" ht="15" hidden="1" x14ac:dyDescent="0.25">
      <c r="C1317" s="4" t="str">
        <f>IFERROR(AVERAGEIFS('2. Program Allocation Output'!$P:$P,'2. Program Allocation Output'!$AF:$AF,$A1317,'2. Program Allocation Output'!$AG:$AG,$B1317),"")</f>
        <v/>
      </c>
      <c r="D1317" s="4" t="str">
        <f>IFERROR(AVERAGEIFS('2. Program Allocation Output'!$O:$O,'2. Program Allocation Output'!$AF:$AF,$A1317,'2. Program Allocation Output'!$AG:$AG,$B1317),"")</f>
        <v/>
      </c>
      <c r="E1317" s="5" t="str">
        <f>IFERROR(AVERAGEIFS('2. Program Allocation Output'!$L:$L,'2. Program Allocation Output'!$AF:$AF,$A1317,'2. Program Allocation Output'!$AG:$AG,$B1317),"")</f>
        <v/>
      </c>
      <c r="F1317" s="39" t="str">
        <f t="shared" si="43"/>
        <v/>
      </c>
      <c r="G1317" t="str">
        <f t="shared" si="44"/>
        <v/>
      </c>
    </row>
    <row r="1318" spans="3:7" ht="15" hidden="1" x14ac:dyDescent="0.25">
      <c r="C1318" s="4" t="str">
        <f>IFERROR(AVERAGEIFS('2. Program Allocation Output'!$P:$P,'2. Program Allocation Output'!$AF:$AF,$A1318,'2. Program Allocation Output'!$AG:$AG,$B1318),"")</f>
        <v/>
      </c>
      <c r="D1318" s="4" t="str">
        <f>IFERROR(AVERAGEIFS('2. Program Allocation Output'!$O:$O,'2. Program Allocation Output'!$AF:$AF,$A1318,'2. Program Allocation Output'!$AG:$AG,$B1318),"")</f>
        <v/>
      </c>
      <c r="E1318" s="5" t="str">
        <f>IFERROR(AVERAGEIFS('2. Program Allocation Output'!$L:$L,'2. Program Allocation Output'!$AF:$AF,$A1318,'2. Program Allocation Output'!$AG:$AG,$B1318),"")</f>
        <v/>
      </c>
      <c r="F1318" s="39" t="str">
        <f t="shared" si="43"/>
        <v/>
      </c>
      <c r="G1318" t="str">
        <f t="shared" si="44"/>
        <v/>
      </c>
    </row>
    <row r="1319" spans="3:7" ht="15" hidden="1" x14ac:dyDescent="0.25">
      <c r="C1319" s="4" t="str">
        <f>IFERROR(AVERAGEIFS('2. Program Allocation Output'!$P:$P,'2. Program Allocation Output'!$AF:$AF,$A1319,'2. Program Allocation Output'!$AG:$AG,$B1319),"")</f>
        <v/>
      </c>
      <c r="D1319" s="4" t="str">
        <f>IFERROR(AVERAGEIFS('2. Program Allocation Output'!$O:$O,'2. Program Allocation Output'!$AF:$AF,$A1319,'2. Program Allocation Output'!$AG:$AG,$B1319),"")</f>
        <v/>
      </c>
      <c r="E1319" s="5" t="str">
        <f>IFERROR(AVERAGEIFS('2. Program Allocation Output'!$L:$L,'2. Program Allocation Output'!$AF:$AF,$A1319,'2. Program Allocation Output'!$AG:$AG,$B1319),"")</f>
        <v/>
      </c>
      <c r="F1319" s="39" t="str">
        <f t="shared" si="43"/>
        <v/>
      </c>
      <c r="G1319" t="str">
        <f t="shared" si="44"/>
        <v/>
      </c>
    </row>
    <row r="1320" spans="3:7" ht="15" hidden="1" x14ac:dyDescent="0.25">
      <c r="C1320" s="4" t="str">
        <f>IFERROR(AVERAGEIFS('2. Program Allocation Output'!$P:$P,'2. Program Allocation Output'!$AF:$AF,$A1320,'2. Program Allocation Output'!$AG:$AG,$B1320),"")</f>
        <v/>
      </c>
      <c r="D1320" s="4" t="str">
        <f>IFERROR(AVERAGEIFS('2. Program Allocation Output'!$O:$O,'2. Program Allocation Output'!$AF:$AF,$A1320,'2. Program Allocation Output'!$AG:$AG,$B1320),"")</f>
        <v/>
      </c>
      <c r="E1320" s="5" t="str">
        <f>IFERROR(AVERAGEIFS('2. Program Allocation Output'!$L:$L,'2. Program Allocation Output'!$AF:$AF,$A1320,'2. Program Allocation Output'!$AG:$AG,$B1320),"")</f>
        <v/>
      </c>
      <c r="F1320" s="39" t="str">
        <f t="shared" si="43"/>
        <v/>
      </c>
      <c r="G1320" t="str">
        <f t="shared" si="44"/>
        <v/>
      </c>
    </row>
    <row r="1321" spans="3:7" ht="15" hidden="1" x14ac:dyDescent="0.25">
      <c r="C1321" s="4" t="str">
        <f>IFERROR(AVERAGEIFS('2. Program Allocation Output'!$P:$P,'2. Program Allocation Output'!$AF:$AF,$A1321,'2. Program Allocation Output'!$AG:$AG,$B1321),"")</f>
        <v/>
      </c>
      <c r="D1321" s="4" t="str">
        <f>IFERROR(AVERAGEIFS('2. Program Allocation Output'!$O:$O,'2. Program Allocation Output'!$AF:$AF,$A1321,'2. Program Allocation Output'!$AG:$AG,$B1321),"")</f>
        <v/>
      </c>
      <c r="E1321" s="5" t="str">
        <f>IFERROR(AVERAGEIFS('2. Program Allocation Output'!$L:$L,'2. Program Allocation Output'!$AF:$AF,$A1321,'2. Program Allocation Output'!$AG:$AG,$B1321),"")</f>
        <v/>
      </c>
      <c r="F1321" s="39" t="str">
        <f t="shared" si="43"/>
        <v/>
      </c>
      <c r="G1321" t="str">
        <f t="shared" si="44"/>
        <v/>
      </c>
    </row>
    <row r="1322" spans="3:7" ht="15" hidden="1" x14ac:dyDescent="0.25">
      <c r="C1322" s="4" t="str">
        <f>IFERROR(AVERAGEIFS('2. Program Allocation Output'!$P:$P,'2. Program Allocation Output'!$AF:$AF,$A1322,'2. Program Allocation Output'!$AG:$AG,$B1322),"")</f>
        <v/>
      </c>
      <c r="D1322" s="4" t="str">
        <f>IFERROR(AVERAGEIFS('2. Program Allocation Output'!$O:$O,'2. Program Allocation Output'!$AF:$AF,$A1322,'2. Program Allocation Output'!$AG:$AG,$B1322),"")</f>
        <v/>
      </c>
      <c r="E1322" s="5" t="str">
        <f>IFERROR(AVERAGEIFS('2. Program Allocation Output'!$L:$L,'2. Program Allocation Output'!$AF:$AF,$A1322,'2. Program Allocation Output'!$AG:$AG,$B1322),"")</f>
        <v/>
      </c>
      <c r="F1322" s="39" t="str">
        <f t="shared" si="43"/>
        <v/>
      </c>
      <c r="G1322" t="str">
        <f t="shared" si="44"/>
        <v/>
      </c>
    </row>
    <row r="1323" spans="3:7" ht="15" hidden="1" x14ac:dyDescent="0.25">
      <c r="C1323" s="4" t="str">
        <f>IFERROR(AVERAGEIFS('2. Program Allocation Output'!$P:$P,'2. Program Allocation Output'!$AF:$AF,$A1323,'2. Program Allocation Output'!$AG:$AG,$B1323),"")</f>
        <v/>
      </c>
      <c r="D1323" s="4" t="str">
        <f>IFERROR(AVERAGEIFS('2. Program Allocation Output'!$O:$O,'2. Program Allocation Output'!$AF:$AF,$A1323,'2. Program Allocation Output'!$AG:$AG,$B1323),"")</f>
        <v/>
      </c>
      <c r="E1323" s="5" t="str">
        <f>IFERROR(AVERAGEIFS('2. Program Allocation Output'!$L:$L,'2. Program Allocation Output'!$AF:$AF,$A1323,'2. Program Allocation Output'!$AG:$AG,$B1323),"")</f>
        <v/>
      </c>
      <c r="F1323" s="39" t="str">
        <f t="shared" si="43"/>
        <v/>
      </c>
      <c r="G1323" t="str">
        <f t="shared" si="44"/>
        <v/>
      </c>
    </row>
    <row r="1324" spans="3:7" ht="15" hidden="1" x14ac:dyDescent="0.25">
      <c r="C1324" s="4" t="str">
        <f>IFERROR(AVERAGEIFS('2. Program Allocation Output'!$P:$P,'2. Program Allocation Output'!$AF:$AF,$A1324,'2. Program Allocation Output'!$AG:$AG,$B1324),"")</f>
        <v/>
      </c>
      <c r="D1324" s="4" t="str">
        <f>IFERROR(AVERAGEIFS('2. Program Allocation Output'!$O:$O,'2. Program Allocation Output'!$AF:$AF,$A1324,'2. Program Allocation Output'!$AG:$AG,$B1324),"")</f>
        <v/>
      </c>
      <c r="E1324" s="5" t="str">
        <f>IFERROR(AVERAGEIFS('2. Program Allocation Output'!$L:$L,'2. Program Allocation Output'!$AF:$AF,$A1324,'2. Program Allocation Output'!$AG:$AG,$B1324),"")</f>
        <v/>
      </c>
      <c r="F1324" s="39" t="str">
        <f t="shared" si="43"/>
        <v/>
      </c>
      <c r="G1324" t="str">
        <f t="shared" si="44"/>
        <v/>
      </c>
    </row>
    <row r="1325" spans="3:7" ht="15" hidden="1" x14ac:dyDescent="0.25">
      <c r="C1325" s="4" t="str">
        <f>IFERROR(AVERAGEIFS('2. Program Allocation Output'!$P:$P,'2. Program Allocation Output'!$AF:$AF,$A1325,'2. Program Allocation Output'!$AG:$AG,$B1325),"")</f>
        <v/>
      </c>
      <c r="D1325" s="4" t="str">
        <f>IFERROR(AVERAGEIFS('2. Program Allocation Output'!$O:$O,'2. Program Allocation Output'!$AF:$AF,$A1325,'2. Program Allocation Output'!$AG:$AG,$B1325),"")</f>
        <v/>
      </c>
      <c r="E1325" s="5" t="str">
        <f>IFERROR(AVERAGEIFS('2. Program Allocation Output'!$L:$L,'2. Program Allocation Output'!$AF:$AF,$A1325,'2. Program Allocation Output'!$AG:$AG,$B1325),"")</f>
        <v/>
      </c>
      <c r="F1325" s="39" t="str">
        <f t="shared" si="43"/>
        <v/>
      </c>
      <c r="G1325" t="str">
        <f t="shared" si="44"/>
        <v/>
      </c>
    </row>
    <row r="1326" spans="3:7" ht="15" hidden="1" x14ac:dyDescent="0.25">
      <c r="C1326" s="4" t="str">
        <f>IFERROR(AVERAGEIFS('2. Program Allocation Output'!$P:$P,'2. Program Allocation Output'!$AF:$AF,$A1326,'2. Program Allocation Output'!$AG:$AG,$B1326),"")</f>
        <v/>
      </c>
      <c r="D1326" s="4" t="str">
        <f>IFERROR(AVERAGEIFS('2. Program Allocation Output'!$O:$O,'2. Program Allocation Output'!$AF:$AF,$A1326,'2. Program Allocation Output'!$AG:$AG,$B1326),"")</f>
        <v/>
      </c>
      <c r="E1326" s="5" t="str">
        <f>IFERROR(AVERAGEIFS('2. Program Allocation Output'!$L:$L,'2. Program Allocation Output'!$AF:$AF,$A1326,'2. Program Allocation Output'!$AG:$AG,$B1326),"")</f>
        <v/>
      </c>
      <c r="F1326" s="39" t="str">
        <f t="shared" si="43"/>
        <v/>
      </c>
      <c r="G1326" t="str">
        <f t="shared" si="44"/>
        <v/>
      </c>
    </row>
    <row r="1327" spans="3:7" ht="15" hidden="1" x14ac:dyDescent="0.25">
      <c r="C1327" s="4" t="str">
        <f>IFERROR(AVERAGEIFS('2. Program Allocation Output'!$P:$P,'2. Program Allocation Output'!$AF:$AF,$A1327,'2. Program Allocation Output'!$AG:$AG,$B1327),"")</f>
        <v/>
      </c>
      <c r="D1327" s="4" t="str">
        <f>IFERROR(AVERAGEIFS('2. Program Allocation Output'!$O:$O,'2. Program Allocation Output'!$AF:$AF,$A1327,'2. Program Allocation Output'!$AG:$AG,$B1327),"")</f>
        <v/>
      </c>
      <c r="E1327" s="5" t="str">
        <f>IFERROR(AVERAGEIFS('2. Program Allocation Output'!$L:$L,'2. Program Allocation Output'!$AF:$AF,$A1327,'2. Program Allocation Output'!$AG:$AG,$B1327),"")</f>
        <v/>
      </c>
      <c r="F1327" s="39" t="str">
        <f t="shared" si="43"/>
        <v/>
      </c>
      <c r="G1327" t="str">
        <f t="shared" si="44"/>
        <v/>
      </c>
    </row>
    <row r="1328" spans="3:7" ht="15" hidden="1" x14ac:dyDescent="0.25">
      <c r="C1328" s="4" t="str">
        <f>IFERROR(AVERAGEIFS('2. Program Allocation Output'!$P:$P,'2. Program Allocation Output'!$AF:$AF,$A1328,'2. Program Allocation Output'!$AG:$AG,$B1328),"")</f>
        <v/>
      </c>
      <c r="D1328" s="4" t="str">
        <f>IFERROR(AVERAGEIFS('2. Program Allocation Output'!$O:$O,'2. Program Allocation Output'!$AF:$AF,$A1328,'2. Program Allocation Output'!$AG:$AG,$B1328),"")</f>
        <v/>
      </c>
      <c r="E1328" s="5" t="str">
        <f>IFERROR(AVERAGEIFS('2. Program Allocation Output'!$L:$L,'2. Program Allocation Output'!$AF:$AF,$A1328,'2. Program Allocation Output'!$AG:$AG,$B1328),"")</f>
        <v/>
      </c>
      <c r="F1328" s="39" t="str">
        <f t="shared" si="43"/>
        <v/>
      </c>
      <c r="G1328" t="str">
        <f t="shared" si="44"/>
        <v/>
      </c>
    </row>
    <row r="1329" spans="3:7" ht="15" hidden="1" x14ac:dyDescent="0.25">
      <c r="C1329" s="4" t="str">
        <f>IFERROR(AVERAGEIFS('2. Program Allocation Output'!$P:$P,'2. Program Allocation Output'!$AF:$AF,$A1329,'2. Program Allocation Output'!$AG:$AG,$B1329),"")</f>
        <v/>
      </c>
      <c r="D1329" s="4" t="str">
        <f>IFERROR(AVERAGEIFS('2. Program Allocation Output'!$O:$O,'2. Program Allocation Output'!$AF:$AF,$A1329,'2. Program Allocation Output'!$AG:$AG,$B1329),"")</f>
        <v/>
      </c>
      <c r="E1329" s="5" t="str">
        <f>IFERROR(AVERAGEIFS('2. Program Allocation Output'!$L:$L,'2. Program Allocation Output'!$AF:$AF,$A1329,'2. Program Allocation Output'!$AG:$AG,$B1329),"")</f>
        <v/>
      </c>
      <c r="F1329" s="39" t="str">
        <f t="shared" si="43"/>
        <v/>
      </c>
      <c r="G1329" t="str">
        <f t="shared" si="44"/>
        <v/>
      </c>
    </row>
    <row r="1330" spans="3:7" ht="15" hidden="1" x14ac:dyDescent="0.25">
      <c r="C1330" s="4" t="str">
        <f>IFERROR(AVERAGEIFS('2. Program Allocation Output'!$P:$P,'2. Program Allocation Output'!$AF:$AF,$A1330,'2. Program Allocation Output'!$AG:$AG,$B1330),"")</f>
        <v/>
      </c>
      <c r="D1330" s="4" t="str">
        <f>IFERROR(AVERAGEIFS('2. Program Allocation Output'!$O:$O,'2. Program Allocation Output'!$AF:$AF,$A1330,'2. Program Allocation Output'!$AG:$AG,$B1330),"")</f>
        <v/>
      </c>
      <c r="E1330" s="5" t="str">
        <f>IFERROR(AVERAGEIFS('2. Program Allocation Output'!$L:$L,'2. Program Allocation Output'!$AF:$AF,$A1330,'2. Program Allocation Output'!$AG:$AG,$B1330),"")</f>
        <v/>
      </c>
      <c r="F1330" s="39" t="str">
        <f t="shared" si="43"/>
        <v/>
      </c>
      <c r="G1330" t="str">
        <f t="shared" si="44"/>
        <v/>
      </c>
    </row>
    <row r="1331" spans="3:7" ht="15" hidden="1" x14ac:dyDescent="0.25">
      <c r="C1331" s="4" t="str">
        <f>IFERROR(AVERAGEIFS('2. Program Allocation Output'!$P:$P,'2. Program Allocation Output'!$AF:$AF,$A1331,'2. Program Allocation Output'!$AG:$AG,$B1331),"")</f>
        <v/>
      </c>
      <c r="D1331" s="4" t="str">
        <f>IFERROR(AVERAGEIFS('2. Program Allocation Output'!$O:$O,'2. Program Allocation Output'!$AF:$AF,$A1331,'2. Program Allocation Output'!$AG:$AG,$B1331),"")</f>
        <v/>
      </c>
      <c r="E1331" s="5" t="str">
        <f>IFERROR(AVERAGEIFS('2. Program Allocation Output'!$L:$L,'2. Program Allocation Output'!$AF:$AF,$A1331,'2. Program Allocation Output'!$AG:$AG,$B1331),"")</f>
        <v/>
      </c>
      <c r="F1331" s="39" t="str">
        <f t="shared" si="43"/>
        <v/>
      </c>
      <c r="G1331" t="str">
        <f t="shared" si="44"/>
        <v/>
      </c>
    </row>
    <row r="1332" spans="3:7" ht="15" hidden="1" x14ac:dyDescent="0.25">
      <c r="C1332" s="4" t="str">
        <f>IFERROR(AVERAGEIFS('2. Program Allocation Output'!$P:$P,'2. Program Allocation Output'!$AF:$AF,$A1332,'2. Program Allocation Output'!$AG:$AG,$B1332),"")</f>
        <v/>
      </c>
      <c r="D1332" s="4" t="str">
        <f>IFERROR(AVERAGEIFS('2. Program Allocation Output'!$O:$O,'2. Program Allocation Output'!$AF:$AF,$A1332,'2. Program Allocation Output'!$AG:$AG,$B1332),"")</f>
        <v/>
      </c>
      <c r="E1332" s="5" t="str">
        <f>IFERROR(AVERAGEIFS('2. Program Allocation Output'!$L:$L,'2. Program Allocation Output'!$AF:$AF,$A1332,'2. Program Allocation Output'!$AG:$AG,$B1332),"")</f>
        <v/>
      </c>
      <c r="F1332" s="39" t="str">
        <f t="shared" si="43"/>
        <v/>
      </c>
      <c r="G1332" t="str">
        <f t="shared" si="44"/>
        <v/>
      </c>
    </row>
    <row r="1333" spans="3:7" ht="15" hidden="1" x14ac:dyDescent="0.25">
      <c r="C1333" s="4" t="str">
        <f>IFERROR(AVERAGEIFS('2. Program Allocation Output'!$P:$P,'2. Program Allocation Output'!$AF:$AF,$A1333,'2. Program Allocation Output'!$AG:$AG,$B1333),"")</f>
        <v/>
      </c>
      <c r="D1333" s="4" t="str">
        <f>IFERROR(AVERAGEIFS('2. Program Allocation Output'!$O:$O,'2. Program Allocation Output'!$AF:$AF,$A1333,'2. Program Allocation Output'!$AG:$AG,$B1333),"")</f>
        <v/>
      </c>
      <c r="E1333" s="5" t="str">
        <f>IFERROR(AVERAGEIFS('2. Program Allocation Output'!$L:$L,'2. Program Allocation Output'!$AF:$AF,$A1333,'2. Program Allocation Output'!$AG:$AG,$B1333),"")</f>
        <v/>
      </c>
      <c r="F1333" s="39" t="str">
        <f t="shared" si="43"/>
        <v/>
      </c>
      <c r="G1333" t="str">
        <f t="shared" si="44"/>
        <v/>
      </c>
    </row>
    <row r="1334" spans="3:7" ht="15" hidden="1" x14ac:dyDescent="0.25">
      <c r="C1334" s="4" t="str">
        <f>IFERROR(AVERAGEIFS('2. Program Allocation Output'!$P:$P,'2. Program Allocation Output'!$AF:$AF,$A1334,'2. Program Allocation Output'!$AG:$AG,$B1334),"")</f>
        <v/>
      </c>
      <c r="D1334" s="4" t="str">
        <f>IFERROR(AVERAGEIFS('2. Program Allocation Output'!$O:$O,'2. Program Allocation Output'!$AF:$AF,$A1334,'2. Program Allocation Output'!$AG:$AG,$B1334),"")</f>
        <v/>
      </c>
      <c r="E1334" s="5" t="str">
        <f>IFERROR(AVERAGEIFS('2. Program Allocation Output'!$L:$L,'2. Program Allocation Output'!$AF:$AF,$A1334,'2. Program Allocation Output'!$AG:$AG,$B1334),"")</f>
        <v/>
      </c>
      <c r="F1334" s="39" t="str">
        <f t="shared" si="43"/>
        <v/>
      </c>
      <c r="G1334" t="str">
        <f t="shared" si="44"/>
        <v/>
      </c>
    </row>
    <row r="1335" spans="3:7" ht="15" hidden="1" x14ac:dyDescent="0.25">
      <c r="C1335" s="4" t="str">
        <f>IFERROR(AVERAGEIFS('2. Program Allocation Output'!$P:$P,'2. Program Allocation Output'!$AF:$AF,$A1335,'2. Program Allocation Output'!$AG:$AG,$B1335),"")</f>
        <v/>
      </c>
      <c r="D1335" s="4" t="str">
        <f>IFERROR(AVERAGEIFS('2. Program Allocation Output'!$O:$O,'2. Program Allocation Output'!$AF:$AF,$A1335,'2. Program Allocation Output'!$AG:$AG,$B1335),"")</f>
        <v/>
      </c>
      <c r="E1335" s="5" t="str">
        <f>IFERROR(AVERAGEIFS('2. Program Allocation Output'!$L:$L,'2. Program Allocation Output'!$AF:$AF,$A1335,'2. Program Allocation Output'!$AG:$AG,$B1335),"")</f>
        <v/>
      </c>
      <c r="F1335" s="39" t="str">
        <f t="shared" si="43"/>
        <v/>
      </c>
      <c r="G1335" t="str">
        <f t="shared" si="44"/>
        <v/>
      </c>
    </row>
    <row r="1336" spans="3:7" ht="15" hidden="1" x14ac:dyDescent="0.25">
      <c r="C1336" s="4" t="str">
        <f>IFERROR(AVERAGEIFS('2. Program Allocation Output'!$P:$P,'2. Program Allocation Output'!$AF:$AF,$A1336,'2. Program Allocation Output'!$AG:$AG,$B1336),"")</f>
        <v/>
      </c>
      <c r="D1336" s="4" t="str">
        <f>IFERROR(AVERAGEIFS('2. Program Allocation Output'!$O:$O,'2. Program Allocation Output'!$AF:$AF,$A1336,'2. Program Allocation Output'!$AG:$AG,$B1336),"")</f>
        <v/>
      </c>
      <c r="E1336" s="5" t="str">
        <f>IFERROR(AVERAGEIFS('2. Program Allocation Output'!$L:$L,'2. Program Allocation Output'!$AF:$AF,$A1336,'2. Program Allocation Output'!$AG:$AG,$B1336),"")</f>
        <v/>
      </c>
      <c r="F1336" s="39" t="str">
        <f t="shared" si="43"/>
        <v/>
      </c>
      <c r="G1336" t="str">
        <f t="shared" si="44"/>
        <v/>
      </c>
    </row>
    <row r="1337" spans="3:7" ht="15" hidden="1" x14ac:dyDescent="0.25">
      <c r="C1337" s="4" t="str">
        <f>IFERROR(AVERAGEIFS('2. Program Allocation Output'!$P:$P,'2. Program Allocation Output'!$AF:$AF,$A1337,'2. Program Allocation Output'!$AG:$AG,$B1337),"")</f>
        <v/>
      </c>
      <c r="D1337" s="4" t="str">
        <f>IFERROR(AVERAGEIFS('2. Program Allocation Output'!$O:$O,'2. Program Allocation Output'!$AF:$AF,$A1337,'2. Program Allocation Output'!$AG:$AG,$B1337),"")</f>
        <v/>
      </c>
      <c r="E1337" s="5" t="str">
        <f>IFERROR(AVERAGEIFS('2. Program Allocation Output'!$L:$L,'2. Program Allocation Output'!$AF:$AF,$A1337,'2. Program Allocation Output'!$AG:$AG,$B1337),"")</f>
        <v/>
      </c>
      <c r="F1337" s="39" t="str">
        <f t="shared" si="43"/>
        <v/>
      </c>
      <c r="G1337" t="str">
        <f t="shared" si="44"/>
        <v/>
      </c>
    </row>
    <row r="1338" spans="3:7" ht="15" hidden="1" x14ac:dyDescent="0.25">
      <c r="C1338" s="4" t="str">
        <f>IFERROR(AVERAGEIFS('2. Program Allocation Output'!$P:$P,'2. Program Allocation Output'!$AF:$AF,$A1338,'2. Program Allocation Output'!$AG:$AG,$B1338),"")</f>
        <v/>
      </c>
      <c r="D1338" s="4" t="str">
        <f>IFERROR(AVERAGEIFS('2. Program Allocation Output'!$O:$O,'2. Program Allocation Output'!$AF:$AF,$A1338,'2. Program Allocation Output'!$AG:$AG,$B1338),"")</f>
        <v/>
      </c>
      <c r="E1338" s="5" t="str">
        <f>IFERROR(AVERAGEIFS('2. Program Allocation Output'!$L:$L,'2. Program Allocation Output'!$AF:$AF,$A1338,'2. Program Allocation Output'!$AG:$AG,$B1338),"")</f>
        <v/>
      </c>
      <c r="F1338" s="39" t="str">
        <f t="shared" si="43"/>
        <v/>
      </c>
      <c r="G1338" t="str">
        <f t="shared" si="44"/>
        <v/>
      </c>
    </row>
    <row r="1339" spans="3:7" ht="15" hidden="1" x14ac:dyDescent="0.25">
      <c r="C1339" s="4" t="str">
        <f>IFERROR(AVERAGEIFS('2. Program Allocation Output'!$P:$P,'2. Program Allocation Output'!$AF:$AF,$A1339,'2. Program Allocation Output'!$AG:$AG,$B1339),"")</f>
        <v/>
      </c>
      <c r="D1339" s="4" t="str">
        <f>IFERROR(AVERAGEIFS('2. Program Allocation Output'!$O:$O,'2. Program Allocation Output'!$AF:$AF,$A1339,'2. Program Allocation Output'!$AG:$AG,$B1339),"")</f>
        <v/>
      </c>
      <c r="E1339" s="5" t="str">
        <f>IFERROR(AVERAGEIFS('2. Program Allocation Output'!$L:$L,'2. Program Allocation Output'!$AF:$AF,$A1339,'2. Program Allocation Output'!$AG:$AG,$B1339),"")</f>
        <v/>
      </c>
      <c r="F1339" s="39" t="str">
        <f t="shared" si="43"/>
        <v/>
      </c>
      <c r="G1339" t="str">
        <f t="shared" si="44"/>
        <v/>
      </c>
    </row>
    <row r="1340" spans="3:7" ht="15" hidden="1" x14ac:dyDescent="0.25">
      <c r="C1340" s="4" t="str">
        <f>IFERROR(AVERAGEIFS('2. Program Allocation Output'!$P:$P,'2. Program Allocation Output'!$AF:$AF,$A1340,'2. Program Allocation Output'!$AG:$AG,$B1340),"")</f>
        <v/>
      </c>
      <c r="D1340" s="4" t="str">
        <f>IFERROR(AVERAGEIFS('2. Program Allocation Output'!$O:$O,'2. Program Allocation Output'!$AF:$AF,$A1340,'2. Program Allocation Output'!$AG:$AG,$B1340),"")</f>
        <v/>
      </c>
      <c r="E1340" s="5" t="str">
        <f>IFERROR(AVERAGEIFS('2. Program Allocation Output'!$L:$L,'2. Program Allocation Output'!$AF:$AF,$A1340,'2. Program Allocation Output'!$AG:$AG,$B1340),"")</f>
        <v/>
      </c>
      <c r="F1340" s="39" t="str">
        <f t="shared" si="43"/>
        <v/>
      </c>
      <c r="G1340" t="str">
        <f t="shared" si="44"/>
        <v/>
      </c>
    </row>
    <row r="1341" spans="3:7" ht="15" hidden="1" x14ac:dyDescent="0.25">
      <c r="C1341" s="4" t="str">
        <f>IFERROR(AVERAGEIFS('2. Program Allocation Output'!$P:$P,'2. Program Allocation Output'!$AF:$AF,$A1341,'2. Program Allocation Output'!$AG:$AG,$B1341),"")</f>
        <v/>
      </c>
      <c r="D1341" s="4" t="str">
        <f>IFERROR(AVERAGEIFS('2. Program Allocation Output'!$O:$O,'2. Program Allocation Output'!$AF:$AF,$A1341,'2. Program Allocation Output'!$AG:$AG,$B1341),"")</f>
        <v/>
      </c>
      <c r="E1341" s="5" t="str">
        <f>IFERROR(AVERAGEIFS('2. Program Allocation Output'!$L:$L,'2. Program Allocation Output'!$AF:$AF,$A1341,'2. Program Allocation Output'!$AG:$AG,$B1341),"")</f>
        <v/>
      </c>
      <c r="F1341" s="39" t="str">
        <f t="shared" si="43"/>
        <v/>
      </c>
      <c r="G1341" t="str">
        <f t="shared" si="44"/>
        <v/>
      </c>
    </row>
    <row r="1342" spans="3:7" ht="15" hidden="1" x14ac:dyDescent="0.25">
      <c r="C1342" s="4" t="str">
        <f>IFERROR(AVERAGEIFS('2. Program Allocation Output'!$P:$P,'2. Program Allocation Output'!$AF:$AF,$A1342,'2. Program Allocation Output'!$AG:$AG,$B1342),"")</f>
        <v/>
      </c>
      <c r="D1342" s="4" t="str">
        <f>IFERROR(AVERAGEIFS('2. Program Allocation Output'!$O:$O,'2. Program Allocation Output'!$AF:$AF,$A1342,'2. Program Allocation Output'!$AG:$AG,$B1342),"")</f>
        <v/>
      </c>
      <c r="E1342" s="5" t="str">
        <f>IFERROR(AVERAGEIFS('2. Program Allocation Output'!$L:$L,'2. Program Allocation Output'!$AF:$AF,$A1342,'2. Program Allocation Output'!$AG:$AG,$B1342),"")</f>
        <v/>
      </c>
      <c r="F1342" s="39" t="str">
        <f t="shared" si="43"/>
        <v/>
      </c>
      <c r="G1342" t="str">
        <f t="shared" si="44"/>
        <v/>
      </c>
    </row>
    <row r="1343" spans="3:7" ht="15" hidden="1" x14ac:dyDescent="0.25">
      <c r="C1343" s="4" t="str">
        <f>IFERROR(AVERAGEIFS('2. Program Allocation Output'!$P:$P,'2. Program Allocation Output'!$AF:$AF,$A1343,'2. Program Allocation Output'!$AG:$AG,$B1343),"")</f>
        <v/>
      </c>
      <c r="D1343" s="4" t="str">
        <f>IFERROR(AVERAGEIFS('2. Program Allocation Output'!$O:$O,'2. Program Allocation Output'!$AF:$AF,$A1343,'2. Program Allocation Output'!$AG:$AG,$B1343),"")</f>
        <v/>
      </c>
      <c r="E1343" s="5" t="str">
        <f>IFERROR(AVERAGEIFS('2. Program Allocation Output'!$L:$L,'2. Program Allocation Output'!$AF:$AF,$A1343,'2. Program Allocation Output'!$AG:$AG,$B1343),"")</f>
        <v/>
      </c>
      <c r="F1343" s="39" t="str">
        <f t="shared" si="43"/>
        <v/>
      </c>
      <c r="G1343" t="str">
        <f t="shared" si="44"/>
        <v/>
      </c>
    </row>
    <row r="1344" spans="3:7" ht="15" hidden="1" x14ac:dyDescent="0.25">
      <c r="C1344" s="4" t="str">
        <f>IFERROR(AVERAGEIFS('2. Program Allocation Output'!$P:$P,'2. Program Allocation Output'!$AF:$AF,$A1344,'2. Program Allocation Output'!$AG:$AG,$B1344),"")</f>
        <v/>
      </c>
      <c r="D1344" s="4" t="str">
        <f>IFERROR(AVERAGEIFS('2. Program Allocation Output'!$O:$O,'2. Program Allocation Output'!$AF:$AF,$A1344,'2. Program Allocation Output'!$AG:$AG,$B1344),"")</f>
        <v/>
      </c>
      <c r="E1344" s="5" t="str">
        <f>IFERROR(AVERAGEIFS('2. Program Allocation Output'!$L:$L,'2. Program Allocation Output'!$AF:$AF,$A1344,'2. Program Allocation Output'!$AG:$AG,$B1344),"")</f>
        <v/>
      </c>
      <c r="F1344" s="39" t="str">
        <f t="shared" si="43"/>
        <v/>
      </c>
      <c r="G1344" t="str">
        <f t="shared" si="44"/>
        <v/>
      </c>
    </row>
    <row r="1345" spans="3:7" ht="15" hidden="1" x14ac:dyDescent="0.25">
      <c r="C1345" s="4" t="str">
        <f>IFERROR(AVERAGEIFS('2. Program Allocation Output'!$P:$P,'2. Program Allocation Output'!$AF:$AF,$A1345,'2. Program Allocation Output'!$AG:$AG,$B1345),"")</f>
        <v/>
      </c>
      <c r="D1345" s="4" t="str">
        <f>IFERROR(AVERAGEIFS('2. Program Allocation Output'!$O:$O,'2. Program Allocation Output'!$AF:$AF,$A1345,'2. Program Allocation Output'!$AG:$AG,$B1345),"")</f>
        <v/>
      </c>
      <c r="E1345" s="5" t="str">
        <f>IFERROR(AVERAGEIFS('2. Program Allocation Output'!$L:$L,'2. Program Allocation Output'!$AF:$AF,$A1345,'2. Program Allocation Output'!$AG:$AG,$B1345),"")</f>
        <v/>
      </c>
      <c r="F1345" s="39" t="str">
        <f t="shared" si="43"/>
        <v/>
      </c>
      <c r="G1345" t="str">
        <f t="shared" si="44"/>
        <v/>
      </c>
    </row>
    <row r="1346" spans="3:7" ht="15" hidden="1" x14ac:dyDescent="0.25">
      <c r="C1346" s="4" t="str">
        <f>IFERROR(AVERAGEIFS('2. Program Allocation Output'!$P:$P,'2. Program Allocation Output'!$AF:$AF,$A1346,'2. Program Allocation Output'!$AG:$AG,$B1346),"")</f>
        <v/>
      </c>
      <c r="D1346" s="4" t="str">
        <f>IFERROR(AVERAGEIFS('2. Program Allocation Output'!$O:$O,'2. Program Allocation Output'!$AF:$AF,$A1346,'2. Program Allocation Output'!$AG:$AG,$B1346),"")</f>
        <v/>
      </c>
      <c r="E1346" s="5" t="str">
        <f>IFERROR(AVERAGEIFS('2. Program Allocation Output'!$L:$L,'2. Program Allocation Output'!$AF:$AF,$A1346,'2. Program Allocation Output'!$AG:$AG,$B1346),"")</f>
        <v/>
      </c>
      <c r="F1346" s="39" t="str">
        <f t="shared" si="43"/>
        <v/>
      </c>
      <c r="G1346" t="str">
        <f t="shared" si="44"/>
        <v/>
      </c>
    </row>
    <row r="1347" spans="3:7" ht="15" hidden="1" x14ac:dyDescent="0.25">
      <c r="C1347" s="4" t="str">
        <f>IFERROR(AVERAGEIFS('2. Program Allocation Output'!$P:$P,'2. Program Allocation Output'!$AF:$AF,$A1347,'2. Program Allocation Output'!$AG:$AG,$B1347),"")</f>
        <v/>
      </c>
      <c r="D1347" s="4" t="str">
        <f>IFERROR(AVERAGEIFS('2. Program Allocation Output'!$O:$O,'2. Program Allocation Output'!$AF:$AF,$A1347,'2. Program Allocation Output'!$AG:$AG,$B1347),"")</f>
        <v/>
      </c>
      <c r="E1347" s="5" t="str">
        <f>IFERROR(AVERAGEIFS('2. Program Allocation Output'!$L:$L,'2. Program Allocation Output'!$AF:$AF,$A1347,'2. Program Allocation Output'!$AG:$AG,$B1347),"")</f>
        <v/>
      </c>
      <c r="F1347" s="39" t="str">
        <f t="shared" ref="F1347:F1410" si="45">IFERROR(C1347*1,"")</f>
        <v/>
      </c>
      <c r="G1347" t="str">
        <f t="shared" si="44"/>
        <v/>
      </c>
    </row>
    <row r="1348" spans="3:7" ht="15" hidden="1" x14ac:dyDescent="0.25">
      <c r="C1348" s="4" t="str">
        <f>IFERROR(AVERAGEIFS('2. Program Allocation Output'!$P:$P,'2. Program Allocation Output'!$AF:$AF,$A1348,'2. Program Allocation Output'!$AG:$AG,$B1348),"")</f>
        <v/>
      </c>
      <c r="D1348" s="4" t="str">
        <f>IFERROR(AVERAGEIFS('2. Program Allocation Output'!$O:$O,'2. Program Allocation Output'!$AF:$AF,$A1348,'2. Program Allocation Output'!$AG:$AG,$B1348),"")</f>
        <v/>
      </c>
      <c r="E1348" s="5" t="str">
        <f>IFERROR(AVERAGEIFS('2. Program Allocation Output'!$L:$L,'2. Program Allocation Output'!$AF:$AF,$A1348,'2. Program Allocation Output'!$AG:$AG,$B1348),"")</f>
        <v/>
      </c>
      <c r="F1348" s="39" t="str">
        <f t="shared" si="45"/>
        <v/>
      </c>
      <c r="G1348" t="str">
        <f t="shared" si="44"/>
        <v/>
      </c>
    </row>
    <row r="1349" spans="3:7" ht="15" hidden="1" x14ac:dyDescent="0.25">
      <c r="C1349" s="4" t="str">
        <f>IFERROR(AVERAGEIFS('2. Program Allocation Output'!$P:$P,'2. Program Allocation Output'!$AF:$AF,$A1349,'2. Program Allocation Output'!$AG:$AG,$B1349),"")</f>
        <v/>
      </c>
      <c r="D1349" s="4" t="str">
        <f>IFERROR(AVERAGEIFS('2. Program Allocation Output'!$O:$O,'2. Program Allocation Output'!$AF:$AF,$A1349,'2. Program Allocation Output'!$AG:$AG,$B1349),"")</f>
        <v/>
      </c>
      <c r="E1349" s="5" t="str">
        <f>IFERROR(AVERAGEIFS('2. Program Allocation Output'!$L:$L,'2. Program Allocation Output'!$AF:$AF,$A1349,'2. Program Allocation Output'!$AG:$AG,$B1349),"")</f>
        <v/>
      </c>
      <c r="F1349" s="39" t="str">
        <f t="shared" si="45"/>
        <v/>
      </c>
      <c r="G1349" t="str">
        <f t="shared" si="44"/>
        <v/>
      </c>
    </row>
    <row r="1350" spans="3:7" ht="15" hidden="1" x14ac:dyDescent="0.25">
      <c r="C1350" s="4" t="str">
        <f>IFERROR(AVERAGEIFS('2. Program Allocation Output'!$P:$P,'2. Program Allocation Output'!$AF:$AF,$A1350,'2. Program Allocation Output'!$AG:$AG,$B1350),"")</f>
        <v/>
      </c>
      <c r="D1350" s="4" t="str">
        <f>IFERROR(AVERAGEIFS('2. Program Allocation Output'!$O:$O,'2. Program Allocation Output'!$AF:$AF,$A1350,'2. Program Allocation Output'!$AG:$AG,$B1350),"")</f>
        <v/>
      </c>
      <c r="E1350" s="5" t="str">
        <f>IFERROR(AVERAGEIFS('2. Program Allocation Output'!$L:$L,'2. Program Allocation Output'!$AF:$AF,$A1350,'2. Program Allocation Output'!$AG:$AG,$B1350),"")</f>
        <v/>
      </c>
      <c r="F1350" s="39" t="str">
        <f t="shared" si="45"/>
        <v/>
      </c>
      <c r="G1350" t="str">
        <f t="shared" si="44"/>
        <v/>
      </c>
    </row>
    <row r="1351" spans="3:7" ht="15" hidden="1" x14ac:dyDescent="0.25">
      <c r="C1351" s="4" t="str">
        <f>IFERROR(AVERAGEIFS('2. Program Allocation Output'!$P:$P,'2. Program Allocation Output'!$AF:$AF,$A1351,'2. Program Allocation Output'!$AG:$AG,$B1351),"")</f>
        <v/>
      </c>
      <c r="D1351" s="4" t="str">
        <f>IFERROR(AVERAGEIFS('2. Program Allocation Output'!$O:$O,'2. Program Allocation Output'!$AF:$AF,$A1351,'2. Program Allocation Output'!$AG:$AG,$B1351),"")</f>
        <v/>
      </c>
      <c r="E1351" s="5" t="str">
        <f>IFERROR(AVERAGEIFS('2. Program Allocation Output'!$L:$L,'2. Program Allocation Output'!$AF:$AF,$A1351,'2. Program Allocation Output'!$AG:$AG,$B1351),"")</f>
        <v/>
      </c>
      <c r="F1351" s="39" t="str">
        <f t="shared" si="45"/>
        <v/>
      </c>
      <c r="G1351" t="str">
        <f t="shared" si="44"/>
        <v/>
      </c>
    </row>
    <row r="1352" spans="3:7" ht="15" hidden="1" x14ac:dyDescent="0.25">
      <c r="C1352" s="4" t="str">
        <f>IFERROR(AVERAGEIFS('2. Program Allocation Output'!$P:$P,'2. Program Allocation Output'!$AF:$AF,$A1352,'2. Program Allocation Output'!$AG:$AG,$B1352),"")</f>
        <v/>
      </c>
      <c r="D1352" s="4" t="str">
        <f>IFERROR(AVERAGEIFS('2. Program Allocation Output'!$O:$O,'2. Program Allocation Output'!$AF:$AF,$A1352,'2. Program Allocation Output'!$AG:$AG,$B1352),"")</f>
        <v/>
      </c>
      <c r="E1352" s="5" t="str">
        <f>IFERROR(AVERAGEIFS('2. Program Allocation Output'!$L:$L,'2. Program Allocation Output'!$AF:$AF,$A1352,'2. Program Allocation Output'!$AG:$AG,$B1352),"")</f>
        <v/>
      </c>
      <c r="F1352" s="39" t="str">
        <f t="shared" si="45"/>
        <v/>
      </c>
      <c r="G1352" t="str">
        <f t="shared" si="44"/>
        <v/>
      </c>
    </row>
    <row r="1353" spans="3:7" ht="15" hidden="1" x14ac:dyDescent="0.25">
      <c r="C1353" s="4" t="str">
        <f>IFERROR(AVERAGEIFS('2. Program Allocation Output'!$P:$P,'2. Program Allocation Output'!$AF:$AF,$A1353,'2. Program Allocation Output'!$AG:$AG,$B1353),"")</f>
        <v/>
      </c>
      <c r="D1353" s="4" t="str">
        <f>IFERROR(AVERAGEIFS('2. Program Allocation Output'!$O:$O,'2. Program Allocation Output'!$AF:$AF,$A1353,'2. Program Allocation Output'!$AG:$AG,$B1353),"")</f>
        <v/>
      </c>
      <c r="E1353" s="5" t="str">
        <f>IFERROR(AVERAGEIFS('2. Program Allocation Output'!$L:$L,'2. Program Allocation Output'!$AF:$AF,$A1353,'2. Program Allocation Output'!$AG:$AG,$B1353),"")</f>
        <v/>
      </c>
      <c r="F1353" s="39" t="str">
        <f t="shared" si="45"/>
        <v/>
      </c>
      <c r="G1353" t="str">
        <f t="shared" si="44"/>
        <v/>
      </c>
    </row>
    <row r="1354" spans="3:7" ht="15" hidden="1" x14ac:dyDescent="0.25">
      <c r="C1354" s="4" t="str">
        <f>IFERROR(AVERAGEIFS('2. Program Allocation Output'!$P:$P,'2. Program Allocation Output'!$AF:$AF,$A1354,'2. Program Allocation Output'!$AG:$AG,$B1354),"")</f>
        <v/>
      </c>
      <c r="D1354" s="4" t="str">
        <f>IFERROR(AVERAGEIFS('2. Program Allocation Output'!$O:$O,'2. Program Allocation Output'!$AF:$AF,$A1354,'2. Program Allocation Output'!$AG:$AG,$B1354),"")</f>
        <v/>
      </c>
      <c r="E1354" s="5" t="str">
        <f>IFERROR(AVERAGEIFS('2. Program Allocation Output'!$L:$L,'2. Program Allocation Output'!$AF:$AF,$A1354,'2. Program Allocation Output'!$AG:$AG,$B1354),"")</f>
        <v/>
      </c>
      <c r="F1354" s="39" t="str">
        <f t="shared" si="45"/>
        <v/>
      </c>
      <c r="G1354" t="str">
        <f t="shared" si="44"/>
        <v/>
      </c>
    </row>
    <row r="1355" spans="3:7" ht="15" hidden="1" x14ac:dyDescent="0.25">
      <c r="C1355" s="4" t="str">
        <f>IFERROR(AVERAGEIFS('2. Program Allocation Output'!$P:$P,'2. Program Allocation Output'!$AF:$AF,$A1355,'2. Program Allocation Output'!$AG:$AG,$B1355),"")</f>
        <v/>
      </c>
      <c r="D1355" s="4" t="str">
        <f>IFERROR(AVERAGEIFS('2. Program Allocation Output'!$O:$O,'2. Program Allocation Output'!$AF:$AF,$A1355,'2. Program Allocation Output'!$AG:$AG,$B1355),"")</f>
        <v/>
      </c>
      <c r="E1355" s="5" t="str">
        <f>IFERROR(AVERAGEIFS('2. Program Allocation Output'!$L:$L,'2. Program Allocation Output'!$AF:$AF,$A1355,'2. Program Allocation Output'!$AG:$AG,$B1355),"")</f>
        <v/>
      </c>
      <c r="F1355" s="39" t="str">
        <f t="shared" si="45"/>
        <v/>
      </c>
      <c r="G1355" t="str">
        <f t="shared" si="44"/>
        <v/>
      </c>
    </row>
    <row r="1356" spans="3:7" ht="15" hidden="1" x14ac:dyDescent="0.25">
      <c r="C1356" s="4" t="str">
        <f>IFERROR(AVERAGEIFS('2. Program Allocation Output'!$P:$P,'2. Program Allocation Output'!$AF:$AF,$A1356,'2. Program Allocation Output'!$AG:$AG,$B1356),"")</f>
        <v/>
      </c>
      <c r="D1356" s="4" t="str">
        <f>IFERROR(AVERAGEIFS('2. Program Allocation Output'!$O:$O,'2. Program Allocation Output'!$AF:$AF,$A1356,'2. Program Allocation Output'!$AG:$AG,$B1356),"")</f>
        <v/>
      </c>
      <c r="E1356" s="5" t="str">
        <f>IFERROR(AVERAGEIFS('2. Program Allocation Output'!$L:$L,'2. Program Allocation Output'!$AF:$AF,$A1356,'2. Program Allocation Output'!$AG:$AG,$B1356),"")</f>
        <v/>
      </c>
      <c r="F1356" s="39" t="str">
        <f t="shared" si="45"/>
        <v/>
      </c>
      <c r="G1356" t="str">
        <f t="shared" si="44"/>
        <v/>
      </c>
    </row>
    <row r="1357" spans="3:7" ht="15" hidden="1" x14ac:dyDescent="0.25">
      <c r="C1357" s="4" t="str">
        <f>IFERROR(AVERAGEIFS('2. Program Allocation Output'!$P:$P,'2. Program Allocation Output'!$AF:$AF,$A1357,'2. Program Allocation Output'!$AG:$AG,$B1357),"")</f>
        <v/>
      </c>
      <c r="D1357" s="4" t="str">
        <f>IFERROR(AVERAGEIFS('2. Program Allocation Output'!$O:$O,'2. Program Allocation Output'!$AF:$AF,$A1357,'2. Program Allocation Output'!$AG:$AG,$B1357),"")</f>
        <v/>
      </c>
      <c r="E1357" s="5" t="str">
        <f>IFERROR(AVERAGEIFS('2. Program Allocation Output'!$L:$L,'2. Program Allocation Output'!$AF:$AF,$A1357,'2. Program Allocation Output'!$AG:$AG,$B1357),"")</f>
        <v/>
      </c>
      <c r="F1357" s="39" t="str">
        <f t="shared" si="45"/>
        <v/>
      </c>
      <c r="G1357" t="str">
        <f t="shared" si="44"/>
        <v/>
      </c>
    </row>
    <row r="1358" spans="3:7" ht="15" hidden="1" x14ac:dyDescent="0.25">
      <c r="C1358" s="4" t="str">
        <f>IFERROR(AVERAGEIFS('2. Program Allocation Output'!$P:$P,'2. Program Allocation Output'!$AF:$AF,$A1358,'2. Program Allocation Output'!$AG:$AG,$B1358),"")</f>
        <v/>
      </c>
      <c r="D1358" s="4" t="str">
        <f>IFERROR(AVERAGEIFS('2. Program Allocation Output'!$O:$O,'2. Program Allocation Output'!$AF:$AF,$A1358,'2. Program Allocation Output'!$AG:$AG,$B1358),"")</f>
        <v/>
      </c>
      <c r="E1358" s="5" t="str">
        <f>IFERROR(AVERAGEIFS('2. Program Allocation Output'!$L:$L,'2. Program Allocation Output'!$AF:$AF,$A1358,'2. Program Allocation Output'!$AG:$AG,$B1358),"")</f>
        <v/>
      </c>
      <c r="F1358" s="39" t="str">
        <f t="shared" si="45"/>
        <v/>
      </c>
      <c r="G1358" t="str">
        <f t="shared" ref="G1358:G1421" si="46">IFERROR(EXP(0.3*(F1358-C1358)/(E1358*0.1137)),"")</f>
        <v/>
      </c>
    </row>
    <row r="1359" spans="3:7" ht="15" hidden="1" x14ac:dyDescent="0.25">
      <c r="C1359" s="4" t="str">
        <f>IFERROR(AVERAGEIFS('2. Program Allocation Output'!$P:$P,'2. Program Allocation Output'!$AF:$AF,$A1359,'2. Program Allocation Output'!$AG:$AG,$B1359),"")</f>
        <v/>
      </c>
      <c r="D1359" s="4" t="str">
        <f>IFERROR(AVERAGEIFS('2. Program Allocation Output'!$O:$O,'2. Program Allocation Output'!$AF:$AF,$A1359,'2. Program Allocation Output'!$AG:$AG,$B1359),"")</f>
        <v/>
      </c>
      <c r="E1359" s="5" t="str">
        <f>IFERROR(AVERAGEIFS('2. Program Allocation Output'!$L:$L,'2. Program Allocation Output'!$AF:$AF,$A1359,'2. Program Allocation Output'!$AG:$AG,$B1359),"")</f>
        <v/>
      </c>
      <c r="F1359" s="39" t="str">
        <f t="shared" si="45"/>
        <v/>
      </c>
      <c r="G1359" t="str">
        <f t="shared" si="46"/>
        <v/>
      </c>
    </row>
    <row r="1360" spans="3:7" ht="15" hidden="1" x14ac:dyDescent="0.25">
      <c r="C1360" s="4" t="str">
        <f>IFERROR(AVERAGEIFS('2. Program Allocation Output'!$P:$P,'2. Program Allocation Output'!$AF:$AF,$A1360,'2. Program Allocation Output'!$AG:$AG,$B1360),"")</f>
        <v/>
      </c>
      <c r="D1360" s="4" t="str">
        <f>IFERROR(AVERAGEIFS('2. Program Allocation Output'!$O:$O,'2. Program Allocation Output'!$AF:$AF,$A1360,'2. Program Allocation Output'!$AG:$AG,$B1360),"")</f>
        <v/>
      </c>
      <c r="E1360" s="5" t="str">
        <f>IFERROR(AVERAGEIFS('2. Program Allocation Output'!$L:$L,'2. Program Allocation Output'!$AF:$AF,$A1360,'2. Program Allocation Output'!$AG:$AG,$B1360),"")</f>
        <v/>
      </c>
      <c r="F1360" s="39" t="str">
        <f t="shared" si="45"/>
        <v/>
      </c>
      <c r="G1360" t="str">
        <f t="shared" si="46"/>
        <v/>
      </c>
    </row>
    <row r="1361" spans="3:7" ht="15" hidden="1" x14ac:dyDescent="0.25">
      <c r="C1361" s="4" t="str">
        <f>IFERROR(AVERAGEIFS('2. Program Allocation Output'!$P:$P,'2. Program Allocation Output'!$AF:$AF,$A1361,'2. Program Allocation Output'!$AG:$AG,$B1361),"")</f>
        <v/>
      </c>
      <c r="D1361" s="4" t="str">
        <f>IFERROR(AVERAGEIFS('2. Program Allocation Output'!$O:$O,'2. Program Allocation Output'!$AF:$AF,$A1361,'2. Program Allocation Output'!$AG:$AG,$B1361),"")</f>
        <v/>
      </c>
      <c r="E1361" s="5" t="str">
        <f>IFERROR(AVERAGEIFS('2. Program Allocation Output'!$L:$L,'2. Program Allocation Output'!$AF:$AF,$A1361,'2. Program Allocation Output'!$AG:$AG,$B1361),"")</f>
        <v/>
      </c>
      <c r="F1361" s="39" t="str">
        <f t="shared" si="45"/>
        <v/>
      </c>
      <c r="G1361" t="str">
        <f t="shared" si="46"/>
        <v/>
      </c>
    </row>
    <row r="1362" spans="3:7" ht="15" hidden="1" x14ac:dyDescent="0.25">
      <c r="C1362" s="4" t="str">
        <f>IFERROR(AVERAGEIFS('2. Program Allocation Output'!$P:$P,'2. Program Allocation Output'!$AF:$AF,$A1362,'2. Program Allocation Output'!$AG:$AG,$B1362),"")</f>
        <v/>
      </c>
      <c r="D1362" s="4" t="str">
        <f>IFERROR(AVERAGEIFS('2. Program Allocation Output'!$O:$O,'2. Program Allocation Output'!$AF:$AF,$A1362,'2. Program Allocation Output'!$AG:$AG,$B1362),"")</f>
        <v/>
      </c>
      <c r="E1362" s="5" t="str">
        <f>IFERROR(AVERAGEIFS('2. Program Allocation Output'!$L:$L,'2. Program Allocation Output'!$AF:$AF,$A1362,'2. Program Allocation Output'!$AG:$AG,$B1362),"")</f>
        <v/>
      </c>
      <c r="F1362" s="39" t="str">
        <f t="shared" si="45"/>
        <v/>
      </c>
      <c r="G1362" t="str">
        <f t="shared" si="46"/>
        <v/>
      </c>
    </row>
    <row r="1363" spans="3:7" ht="15" hidden="1" x14ac:dyDescent="0.25">
      <c r="C1363" s="4" t="str">
        <f>IFERROR(AVERAGEIFS('2. Program Allocation Output'!$P:$P,'2. Program Allocation Output'!$AF:$AF,$A1363,'2. Program Allocation Output'!$AG:$AG,$B1363),"")</f>
        <v/>
      </c>
      <c r="D1363" s="4" t="str">
        <f>IFERROR(AVERAGEIFS('2. Program Allocation Output'!$O:$O,'2. Program Allocation Output'!$AF:$AF,$A1363,'2. Program Allocation Output'!$AG:$AG,$B1363),"")</f>
        <v/>
      </c>
      <c r="E1363" s="5" t="str">
        <f>IFERROR(AVERAGEIFS('2. Program Allocation Output'!$L:$L,'2. Program Allocation Output'!$AF:$AF,$A1363,'2. Program Allocation Output'!$AG:$AG,$B1363),"")</f>
        <v/>
      </c>
      <c r="F1363" s="39" t="str">
        <f t="shared" si="45"/>
        <v/>
      </c>
      <c r="G1363" t="str">
        <f t="shared" si="46"/>
        <v/>
      </c>
    </row>
    <row r="1364" spans="3:7" ht="15" hidden="1" x14ac:dyDescent="0.25">
      <c r="C1364" s="4" t="str">
        <f>IFERROR(AVERAGEIFS('2. Program Allocation Output'!$P:$P,'2. Program Allocation Output'!$AF:$AF,$A1364,'2. Program Allocation Output'!$AG:$AG,$B1364),"")</f>
        <v/>
      </c>
      <c r="D1364" s="4" t="str">
        <f>IFERROR(AVERAGEIFS('2. Program Allocation Output'!$O:$O,'2. Program Allocation Output'!$AF:$AF,$A1364,'2. Program Allocation Output'!$AG:$AG,$B1364),"")</f>
        <v/>
      </c>
      <c r="E1364" s="5" t="str">
        <f>IFERROR(AVERAGEIFS('2. Program Allocation Output'!$L:$L,'2. Program Allocation Output'!$AF:$AF,$A1364,'2. Program Allocation Output'!$AG:$AG,$B1364),"")</f>
        <v/>
      </c>
      <c r="F1364" s="39" t="str">
        <f t="shared" si="45"/>
        <v/>
      </c>
      <c r="G1364" t="str">
        <f t="shared" si="46"/>
        <v/>
      </c>
    </row>
    <row r="1365" spans="3:7" ht="15" hidden="1" x14ac:dyDescent="0.25">
      <c r="C1365" s="4" t="str">
        <f>IFERROR(AVERAGEIFS('2. Program Allocation Output'!$P:$P,'2. Program Allocation Output'!$AF:$AF,$A1365,'2. Program Allocation Output'!$AG:$AG,$B1365),"")</f>
        <v/>
      </c>
      <c r="D1365" s="4" t="str">
        <f>IFERROR(AVERAGEIFS('2. Program Allocation Output'!$O:$O,'2. Program Allocation Output'!$AF:$AF,$A1365,'2. Program Allocation Output'!$AG:$AG,$B1365),"")</f>
        <v/>
      </c>
      <c r="E1365" s="5" t="str">
        <f>IFERROR(AVERAGEIFS('2. Program Allocation Output'!$L:$L,'2. Program Allocation Output'!$AF:$AF,$A1365,'2. Program Allocation Output'!$AG:$AG,$B1365),"")</f>
        <v/>
      </c>
      <c r="F1365" s="39" t="str">
        <f t="shared" si="45"/>
        <v/>
      </c>
      <c r="G1365" t="str">
        <f t="shared" si="46"/>
        <v/>
      </c>
    </row>
    <row r="1366" spans="3:7" ht="15" hidden="1" x14ac:dyDescent="0.25">
      <c r="C1366" s="4" t="str">
        <f>IFERROR(AVERAGEIFS('2. Program Allocation Output'!$P:$P,'2. Program Allocation Output'!$AF:$AF,$A1366,'2. Program Allocation Output'!$AG:$AG,$B1366),"")</f>
        <v/>
      </c>
      <c r="D1366" s="4" t="str">
        <f>IFERROR(AVERAGEIFS('2. Program Allocation Output'!$O:$O,'2. Program Allocation Output'!$AF:$AF,$A1366,'2. Program Allocation Output'!$AG:$AG,$B1366),"")</f>
        <v/>
      </c>
      <c r="E1366" s="5" t="str">
        <f>IFERROR(AVERAGEIFS('2. Program Allocation Output'!$L:$L,'2. Program Allocation Output'!$AF:$AF,$A1366,'2. Program Allocation Output'!$AG:$AG,$B1366),"")</f>
        <v/>
      </c>
      <c r="F1366" s="39" t="str">
        <f t="shared" si="45"/>
        <v/>
      </c>
      <c r="G1366" t="str">
        <f t="shared" si="46"/>
        <v/>
      </c>
    </row>
    <row r="1367" spans="3:7" ht="15" hidden="1" x14ac:dyDescent="0.25">
      <c r="C1367" s="4" t="str">
        <f>IFERROR(AVERAGEIFS('2. Program Allocation Output'!$P:$P,'2. Program Allocation Output'!$AF:$AF,$A1367,'2. Program Allocation Output'!$AG:$AG,$B1367),"")</f>
        <v/>
      </c>
      <c r="D1367" s="4" t="str">
        <f>IFERROR(AVERAGEIFS('2. Program Allocation Output'!$O:$O,'2. Program Allocation Output'!$AF:$AF,$A1367,'2. Program Allocation Output'!$AG:$AG,$B1367),"")</f>
        <v/>
      </c>
      <c r="E1367" s="5" t="str">
        <f>IFERROR(AVERAGEIFS('2. Program Allocation Output'!$L:$L,'2. Program Allocation Output'!$AF:$AF,$A1367,'2. Program Allocation Output'!$AG:$AG,$B1367),"")</f>
        <v/>
      </c>
      <c r="F1367" s="39" t="str">
        <f t="shared" si="45"/>
        <v/>
      </c>
      <c r="G1367" t="str">
        <f t="shared" si="46"/>
        <v/>
      </c>
    </row>
    <row r="1368" spans="3:7" ht="15" hidden="1" x14ac:dyDescent="0.25">
      <c r="C1368" s="4" t="str">
        <f>IFERROR(AVERAGEIFS('2. Program Allocation Output'!$P:$P,'2. Program Allocation Output'!$AF:$AF,$A1368,'2. Program Allocation Output'!$AG:$AG,$B1368),"")</f>
        <v/>
      </c>
      <c r="D1368" s="4" t="str">
        <f>IFERROR(AVERAGEIFS('2. Program Allocation Output'!$O:$O,'2. Program Allocation Output'!$AF:$AF,$A1368,'2. Program Allocation Output'!$AG:$AG,$B1368),"")</f>
        <v/>
      </c>
      <c r="E1368" s="5" t="str">
        <f>IFERROR(AVERAGEIFS('2. Program Allocation Output'!$L:$L,'2. Program Allocation Output'!$AF:$AF,$A1368,'2. Program Allocation Output'!$AG:$AG,$B1368),"")</f>
        <v/>
      </c>
      <c r="F1368" s="39" t="str">
        <f t="shared" si="45"/>
        <v/>
      </c>
      <c r="G1368" t="str">
        <f t="shared" si="46"/>
        <v/>
      </c>
    </row>
    <row r="1369" spans="3:7" ht="15" hidden="1" x14ac:dyDescent="0.25">
      <c r="C1369" s="4" t="str">
        <f>IFERROR(AVERAGEIFS('2. Program Allocation Output'!$P:$P,'2. Program Allocation Output'!$AF:$AF,$A1369,'2. Program Allocation Output'!$AG:$AG,$B1369),"")</f>
        <v/>
      </c>
      <c r="D1369" s="4" t="str">
        <f>IFERROR(AVERAGEIFS('2. Program Allocation Output'!$O:$O,'2. Program Allocation Output'!$AF:$AF,$A1369,'2. Program Allocation Output'!$AG:$AG,$B1369),"")</f>
        <v/>
      </c>
      <c r="E1369" s="5" t="str">
        <f>IFERROR(AVERAGEIFS('2. Program Allocation Output'!$L:$L,'2. Program Allocation Output'!$AF:$AF,$A1369,'2. Program Allocation Output'!$AG:$AG,$B1369),"")</f>
        <v/>
      </c>
      <c r="F1369" s="39" t="str">
        <f t="shared" si="45"/>
        <v/>
      </c>
      <c r="G1369" t="str">
        <f t="shared" si="46"/>
        <v/>
      </c>
    </row>
    <row r="1370" spans="3:7" ht="15" hidden="1" x14ac:dyDescent="0.25">
      <c r="C1370" s="4" t="str">
        <f>IFERROR(AVERAGEIFS('2. Program Allocation Output'!$P:$P,'2. Program Allocation Output'!$AF:$AF,$A1370,'2. Program Allocation Output'!$AG:$AG,$B1370),"")</f>
        <v/>
      </c>
      <c r="D1370" s="4" t="str">
        <f>IFERROR(AVERAGEIFS('2. Program Allocation Output'!$O:$O,'2. Program Allocation Output'!$AF:$AF,$A1370,'2. Program Allocation Output'!$AG:$AG,$B1370),"")</f>
        <v/>
      </c>
      <c r="E1370" s="5" t="str">
        <f>IFERROR(AVERAGEIFS('2. Program Allocation Output'!$L:$L,'2. Program Allocation Output'!$AF:$AF,$A1370,'2. Program Allocation Output'!$AG:$AG,$B1370),"")</f>
        <v/>
      </c>
      <c r="F1370" s="39" t="str">
        <f t="shared" si="45"/>
        <v/>
      </c>
      <c r="G1370" t="str">
        <f t="shared" si="46"/>
        <v/>
      </c>
    </row>
    <row r="1371" spans="3:7" ht="15" hidden="1" x14ac:dyDescent="0.25">
      <c r="C1371" s="4" t="str">
        <f>IFERROR(AVERAGEIFS('2. Program Allocation Output'!$P:$P,'2. Program Allocation Output'!$AF:$AF,$A1371,'2. Program Allocation Output'!$AG:$AG,$B1371),"")</f>
        <v/>
      </c>
      <c r="D1371" s="4" t="str">
        <f>IFERROR(AVERAGEIFS('2. Program Allocation Output'!$O:$O,'2. Program Allocation Output'!$AF:$AF,$A1371,'2. Program Allocation Output'!$AG:$AG,$B1371),"")</f>
        <v/>
      </c>
      <c r="E1371" s="5" t="str">
        <f>IFERROR(AVERAGEIFS('2. Program Allocation Output'!$L:$L,'2. Program Allocation Output'!$AF:$AF,$A1371,'2. Program Allocation Output'!$AG:$AG,$B1371),"")</f>
        <v/>
      </c>
      <c r="F1371" s="39" t="str">
        <f t="shared" si="45"/>
        <v/>
      </c>
      <c r="G1371" t="str">
        <f t="shared" si="46"/>
        <v/>
      </c>
    </row>
    <row r="1372" spans="3:7" ht="15" hidden="1" x14ac:dyDescent="0.25">
      <c r="C1372" s="4" t="str">
        <f>IFERROR(AVERAGEIFS('2. Program Allocation Output'!$P:$P,'2. Program Allocation Output'!$AF:$AF,$A1372,'2. Program Allocation Output'!$AG:$AG,$B1372),"")</f>
        <v/>
      </c>
      <c r="D1372" s="4" t="str">
        <f>IFERROR(AVERAGEIFS('2. Program Allocation Output'!$O:$O,'2. Program Allocation Output'!$AF:$AF,$A1372,'2. Program Allocation Output'!$AG:$AG,$B1372),"")</f>
        <v/>
      </c>
      <c r="E1372" s="5" t="str">
        <f>IFERROR(AVERAGEIFS('2. Program Allocation Output'!$L:$L,'2. Program Allocation Output'!$AF:$AF,$A1372,'2. Program Allocation Output'!$AG:$AG,$B1372),"")</f>
        <v/>
      </c>
      <c r="F1372" s="39" t="str">
        <f t="shared" si="45"/>
        <v/>
      </c>
      <c r="G1372" t="str">
        <f t="shared" si="46"/>
        <v/>
      </c>
    </row>
    <row r="1373" spans="3:7" ht="15" hidden="1" x14ac:dyDescent="0.25">
      <c r="C1373" s="4" t="str">
        <f>IFERROR(AVERAGEIFS('2. Program Allocation Output'!$P:$P,'2. Program Allocation Output'!$AF:$AF,$A1373,'2. Program Allocation Output'!$AG:$AG,$B1373),"")</f>
        <v/>
      </c>
      <c r="D1373" s="4" t="str">
        <f>IFERROR(AVERAGEIFS('2. Program Allocation Output'!$O:$O,'2. Program Allocation Output'!$AF:$AF,$A1373,'2. Program Allocation Output'!$AG:$AG,$B1373),"")</f>
        <v/>
      </c>
      <c r="E1373" s="5" t="str">
        <f>IFERROR(AVERAGEIFS('2. Program Allocation Output'!$L:$L,'2. Program Allocation Output'!$AF:$AF,$A1373,'2. Program Allocation Output'!$AG:$AG,$B1373),"")</f>
        <v/>
      </c>
      <c r="F1373" s="39" t="str">
        <f t="shared" si="45"/>
        <v/>
      </c>
      <c r="G1373" t="str">
        <f t="shared" si="46"/>
        <v/>
      </c>
    </row>
    <row r="1374" spans="3:7" ht="15" hidden="1" x14ac:dyDescent="0.25">
      <c r="C1374" s="4" t="str">
        <f>IFERROR(AVERAGEIFS('2. Program Allocation Output'!$P:$P,'2. Program Allocation Output'!$AF:$AF,$A1374,'2. Program Allocation Output'!$AG:$AG,$B1374),"")</f>
        <v/>
      </c>
      <c r="D1374" s="4" t="str">
        <f>IFERROR(AVERAGEIFS('2. Program Allocation Output'!$O:$O,'2. Program Allocation Output'!$AF:$AF,$A1374,'2. Program Allocation Output'!$AG:$AG,$B1374),"")</f>
        <v/>
      </c>
      <c r="E1374" s="5" t="str">
        <f>IFERROR(AVERAGEIFS('2. Program Allocation Output'!$L:$L,'2. Program Allocation Output'!$AF:$AF,$A1374,'2. Program Allocation Output'!$AG:$AG,$B1374),"")</f>
        <v/>
      </c>
      <c r="F1374" s="39" t="str">
        <f t="shared" si="45"/>
        <v/>
      </c>
      <c r="G1374" t="str">
        <f t="shared" si="46"/>
        <v/>
      </c>
    </row>
    <row r="1375" spans="3:7" ht="15" hidden="1" x14ac:dyDescent="0.25">
      <c r="C1375" s="4" t="str">
        <f>IFERROR(AVERAGEIFS('2. Program Allocation Output'!$P:$P,'2. Program Allocation Output'!$AF:$AF,$A1375,'2. Program Allocation Output'!$AG:$AG,$B1375),"")</f>
        <v/>
      </c>
      <c r="D1375" s="4" t="str">
        <f>IFERROR(AVERAGEIFS('2. Program Allocation Output'!$O:$O,'2. Program Allocation Output'!$AF:$AF,$A1375,'2. Program Allocation Output'!$AG:$AG,$B1375),"")</f>
        <v/>
      </c>
      <c r="E1375" s="5" t="str">
        <f>IFERROR(AVERAGEIFS('2. Program Allocation Output'!$L:$L,'2. Program Allocation Output'!$AF:$AF,$A1375,'2. Program Allocation Output'!$AG:$AG,$B1375),"")</f>
        <v/>
      </c>
      <c r="F1375" s="39" t="str">
        <f t="shared" si="45"/>
        <v/>
      </c>
      <c r="G1375" t="str">
        <f t="shared" si="46"/>
        <v/>
      </c>
    </row>
    <row r="1376" spans="3:7" ht="15" hidden="1" x14ac:dyDescent="0.25">
      <c r="C1376" s="4" t="str">
        <f>IFERROR(AVERAGEIFS('2. Program Allocation Output'!$P:$P,'2. Program Allocation Output'!$AF:$AF,$A1376,'2. Program Allocation Output'!$AG:$AG,$B1376),"")</f>
        <v/>
      </c>
      <c r="D1376" s="4" t="str">
        <f>IFERROR(AVERAGEIFS('2. Program Allocation Output'!$O:$O,'2. Program Allocation Output'!$AF:$AF,$A1376,'2. Program Allocation Output'!$AG:$AG,$B1376),"")</f>
        <v/>
      </c>
      <c r="E1376" s="5" t="str">
        <f>IFERROR(AVERAGEIFS('2. Program Allocation Output'!$L:$L,'2. Program Allocation Output'!$AF:$AF,$A1376,'2. Program Allocation Output'!$AG:$AG,$B1376),"")</f>
        <v/>
      </c>
      <c r="F1376" s="39" t="str">
        <f t="shared" si="45"/>
        <v/>
      </c>
      <c r="G1376" t="str">
        <f t="shared" si="46"/>
        <v/>
      </c>
    </row>
    <row r="1377" spans="3:7" ht="15" hidden="1" x14ac:dyDescent="0.25">
      <c r="C1377" s="4" t="str">
        <f>IFERROR(AVERAGEIFS('2. Program Allocation Output'!$P:$P,'2. Program Allocation Output'!$AF:$AF,$A1377,'2. Program Allocation Output'!$AG:$AG,$B1377),"")</f>
        <v/>
      </c>
      <c r="D1377" s="4" t="str">
        <f>IFERROR(AVERAGEIFS('2. Program Allocation Output'!$O:$O,'2. Program Allocation Output'!$AF:$AF,$A1377,'2. Program Allocation Output'!$AG:$AG,$B1377),"")</f>
        <v/>
      </c>
      <c r="E1377" s="5" t="str">
        <f>IFERROR(AVERAGEIFS('2. Program Allocation Output'!$L:$L,'2. Program Allocation Output'!$AF:$AF,$A1377,'2. Program Allocation Output'!$AG:$AG,$B1377),"")</f>
        <v/>
      </c>
      <c r="F1377" s="39" t="str">
        <f t="shared" si="45"/>
        <v/>
      </c>
      <c r="G1377" t="str">
        <f t="shared" si="46"/>
        <v/>
      </c>
    </row>
    <row r="1378" spans="3:7" ht="15" hidden="1" x14ac:dyDescent="0.25">
      <c r="C1378" s="4" t="str">
        <f>IFERROR(AVERAGEIFS('2. Program Allocation Output'!$P:$P,'2. Program Allocation Output'!$AF:$AF,$A1378,'2. Program Allocation Output'!$AG:$AG,$B1378),"")</f>
        <v/>
      </c>
      <c r="D1378" s="4" t="str">
        <f>IFERROR(AVERAGEIFS('2. Program Allocation Output'!$O:$O,'2. Program Allocation Output'!$AF:$AF,$A1378,'2. Program Allocation Output'!$AG:$AG,$B1378),"")</f>
        <v/>
      </c>
      <c r="E1378" s="5" t="str">
        <f>IFERROR(AVERAGEIFS('2. Program Allocation Output'!$L:$L,'2. Program Allocation Output'!$AF:$AF,$A1378,'2. Program Allocation Output'!$AG:$AG,$B1378),"")</f>
        <v/>
      </c>
      <c r="F1378" s="39" t="str">
        <f t="shared" si="45"/>
        <v/>
      </c>
      <c r="G1378" t="str">
        <f t="shared" si="46"/>
        <v/>
      </c>
    </row>
    <row r="1379" spans="3:7" ht="15" hidden="1" x14ac:dyDescent="0.25">
      <c r="C1379" s="4" t="str">
        <f>IFERROR(AVERAGEIFS('2. Program Allocation Output'!$P:$P,'2. Program Allocation Output'!$AF:$AF,$A1379,'2. Program Allocation Output'!$AG:$AG,$B1379),"")</f>
        <v/>
      </c>
      <c r="D1379" s="4" t="str">
        <f>IFERROR(AVERAGEIFS('2. Program Allocation Output'!$O:$O,'2. Program Allocation Output'!$AF:$AF,$A1379,'2. Program Allocation Output'!$AG:$AG,$B1379),"")</f>
        <v/>
      </c>
      <c r="E1379" s="5" t="str">
        <f>IFERROR(AVERAGEIFS('2. Program Allocation Output'!$L:$L,'2. Program Allocation Output'!$AF:$AF,$A1379,'2. Program Allocation Output'!$AG:$AG,$B1379),"")</f>
        <v/>
      </c>
      <c r="F1379" s="39" t="str">
        <f t="shared" si="45"/>
        <v/>
      </c>
      <c r="G1379" t="str">
        <f t="shared" si="46"/>
        <v/>
      </c>
    </row>
    <row r="1380" spans="3:7" ht="15" hidden="1" x14ac:dyDescent="0.25">
      <c r="C1380" s="4" t="str">
        <f>IFERROR(AVERAGEIFS('2. Program Allocation Output'!$P:$P,'2. Program Allocation Output'!$AF:$AF,$A1380,'2. Program Allocation Output'!$AG:$AG,$B1380),"")</f>
        <v/>
      </c>
      <c r="D1380" s="4" t="str">
        <f>IFERROR(AVERAGEIFS('2. Program Allocation Output'!$O:$O,'2. Program Allocation Output'!$AF:$AF,$A1380,'2. Program Allocation Output'!$AG:$AG,$B1380),"")</f>
        <v/>
      </c>
      <c r="E1380" s="5" t="str">
        <f>IFERROR(AVERAGEIFS('2. Program Allocation Output'!$L:$L,'2. Program Allocation Output'!$AF:$AF,$A1380,'2. Program Allocation Output'!$AG:$AG,$B1380),"")</f>
        <v/>
      </c>
      <c r="F1380" s="39" t="str">
        <f t="shared" si="45"/>
        <v/>
      </c>
      <c r="G1380" t="str">
        <f t="shared" si="46"/>
        <v/>
      </c>
    </row>
    <row r="1381" spans="3:7" ht="15" hidden="1" x14ac:dyDescent="0.25">
      <c r="C1381" s="4" t="str">
        <f>IFERROR(AVERAGEIFS('2. Program Allocation Output'!$P:$P,'2. Program Allocation Output'!$AF:$AF,$A1381,'2. Program Allocation Output'!$AG:$AG,$B1381),"")</f>
        <v/>
      </c>
      <c r="D1381" s="4" t="str">
        <f>IFERROR(AVERAGEIFS('2. Program Allocation Output'!$O:$O,'2. Program Allocation Output'!$AF:$AF,$A1381,'2. Program Allocation Output'!$AG:$AG,$B1381),"")</f>
        <v/>
      </c>
      <c r="E1381" s="5" t="str">
        <f>IFERROR(AVERAGEIFS('2. Program Allocation Output'!$L:$L,'2. Program Allocation Output'!$AF:$AF,$A1381,'2. Program Allocation Output'!$AG:$AG,$B1381),"")</f>
        <v/>
      </c>
      <c r="F1381" s="39" t="str">
        <f t="shared" si="45"/>
        <v/>
      </c>
      <c r="G1381" t="str">
        <f t="shared" si="46"/>
        <v/>
      </c>
    </row>
    <row r="1382" spans="3:7" ht="15" hidden="1" x14ac:dyDescent="0.25">
      <c r="C1382" s="4" t="str">
        <f>IFERROR(AVERAGEIFS('2. Program Allocation Output'!$P:$P,'2. Program Allocation Output'!$AF:$AF,$A1382,'2. Program Allocation Output'!$AG:$AG,$B1382),"")</f>
        <v/>
      </c>
      <c r="D1382" s="4" t="str">
        <f>IFERROR(AVERAGEIFS('2. Program Allocation Output'!$O:$O,'2. Program Allocation Output'!$AF:$AF,$A1382,'2. Program Allocation Output'!$AG:$AG,$B1382),"")</f>
        <v/>
      </c>
      <c r="E1382" s="5" t="str">
        <f>IFERROR(AVERAGEIFS('2. Program Allocation Output'!$L:$L,'2. Program Allocation Output'!$AF:$AF,$A1382,'2. Program Allocation Output'!$AG:$AG,$B1382),"")</f>
        <v/>
      </c>
      <c r="F1382" s="39" t="str">
        <f t="shared" si="45"/>
        <v/>
      </c>
      <c r="G1382" t="str">
        <f t="shared" si="46"/>
        <v/>
      </c>
    </row>
    <row r="1383" spans="3:7" ht="15" hidden="1" x14ac:dyDescent="0.25">
      <c r="C1383" s="4" t="str">
        <f>IFERROR(AVERAGEIFS('2. Program Allocation Output'!$P:$P,'2. Program Allocation Output'!$AF:$AF,$A1383,'2. Program Allocation Output'!$AG:$AG,$B1383),"")</f>
        <v/>
      </c>
      <c r="D1383" s="4" t="str">
        <f>IFERROR(AVERAGEIFS('2. Program Allocation Output'!$O:$O,'2. Program Allocation Output'!$AF:$AF,$A1383,'2. Program Allocation Output'!$AG:$AG,$B1383),"")</f>
        <v/>
      </c>
      <c r="E1383" s="5" t="str">
        <f>IFERROR(AVERAGEIFS('2. Program Allocation Output'!$L:$L,'2. Program Allocation Output'!$AF:$AF,$A1383,'2. Program Allocation Output'!$AG:$AG,$B1383),"")</f>
        <v/>
      </c>
      <c r="F1383" s="39" t="str">
        <f t="shared" si="45"/>
        <v/>
      </c>
      <c r="G1383" t="str">
        <f t="shared" si="46"/>
        <v/>
      </c>
    </row>
    <row r="1384" spans="3:7" ht="15" hidden="1" x14ac:dyDescent="0.25">
      <c r="C1384" s="4" t="str">
        <f>IFERROR(AVERAGEIFS('2. Program Allocation Output'!$P:$P,'2. Program Allocation Output'!$AF:$AF,$A1384,'2. Program Allocation Output'!$AG:$AG,$B1384),"")</f>
        <v/>
      </c>
      <c r="D1384" s="4" t="str">
        <f>IFERROR(AVERAGEIFS('2. Program Allocation Output'!$O:$O,'2. Program Allocation Output'!$AF:$AF,$A1384,'2. Program Allocation Output'!$AG:$AG,$B1384),"")</f>
        <v/>
      </c>
      <c r="E1384" s="5" t="str">
        <f>IFERROR(AVERAGEIFS('2. Program Allocation Output'!$L:$L,'2. Program Allocation Output'!$AF:$AF,$A1384,'2. Program Allocation Output'!$AG:$AG,$B1384),"")</f>
        <v/>
      </c>
      <c r="F1384" s="39" t="str">
        <f t="shared" si="45"/>
        <v/>
      </c>
      <c r="G1384" t="str">
        <f t="shared" si="46"/>
        <v/>
      </c>
    </row>
    <row r="1385" spans="3:7" ht="15" hidden="1" x14ac:dyDescent="0.25">
      <c r="C1385" s="4" t="str">
        <f>IFERROR(AVERAGEIFS('2. Program Allocation Output'!$P:$P,'2. Program Allocation Output'!$AF:$AF,$A1385,'2. Program Allocation Output'!$AG:$AG,$B1385),"")</f>
        <v/>
      </c>
      <c r="D1385" s="4" t="str">
        <f>IFERROR(AVERAGEIFS('2. Program Allocation Output'!$O:$O,'2. Program Allocation Output'!$AF:$AF,$A1385,'2. Program Allocation Output'!$AG:$AG,$B1385),"")</f>
        <v/>
      </c>
      <c r="E1385" s="5" t="str">
        <f>IFERROR(AVERAGEIFS('2. Program Allocation Output'!$L:$L,'2. Program Allocation Output'!$AF:$AF,$A1385,'2. Program Allocation Output'!$AG:$AG,$B1385),"")</f>
        <v/>
      </c>
      <c r="F1385" s="39" t="str">
        <f t="shared" si="45"/>
        <v/>
      </c>
      <c r="G1385" t="str">
        <f t="shared" si="46"/>
        <v/>
      </c>
    </row>
    <row r="1386" spans="3:7" ht="15" hidden="1" x14ac:dyDescent="0.25">
      <c r="C1386" s="4" t="str">
        <f>IFERROR(AVERAGEIFS('2. Program Allocation Output'!$P:$P,'2. Program Allocation Output'!$AF:$AF,$A1386,'2. Program Allocation Output'!$AG:$AG,$B1386),"")</f>
        <v/>
      </c>
      <c r="D1386" s="4" t="str">
        <f>IFERROR(AVERAGEIFS('2. Program Allocation Output'!$O:$O,'2. Program Allocation Output'!$AF:$AF,$A1386,'2. Program Allocation Output'!$AG:$AG,$B1386),"")</f>
        <v/>
      </c>
      <c r="E1386" s="5" t="str">
        <f>IFERROR(AVERAGEIFS('2. Program Allocation Output'!$L:$L,'2. Program Allocation Output'!$AF:$AF,$A1386,'2. Program Allocation Output'!$AG:$AG,$B1386),"")</f>
        <v/>
      </c>
      <c r="F1386" s="39" t="str">
        <f t="shared" si="45"/>
        <v/>
      </c>
      <c r="G1386" t="str">
        <f t="shared" si="46"/>
        <v/>
      </c>
    </row>
    <row r="1387" spans="3:7" ht="15" hidden="1" x14ac:dyDescent="0.25">
      <c r="C1387" s="4" t="str">
        <f>IFERROR(AVERAGEIFS('2. Program Allocation Output'!$P:$P,'2. Program Allocation Output'!$AF:$AF,$A1387,'2. Program Allocation Output'!$AG:$AG,$B1387),"")</f>
        <v/>
      </c>
      <c r="D1387" s="4" t="str">
        <f>IFERROR(AVERAGEIFS('2. Program Allocation Output'!$O:$O,'2. Program Allocation Output'!$AF:$AF,$A1387,'2. Program Allocation Output'!$AG:$AG,$B1387),"")</f>
        <v/>
      </c>
      <c r="E1387" s="5" t="str">
        <f>IFERROR(AVERAGEIFS('2. Program Allocation Output'!$L:$L,'2. Program Allocation Output'!$AF:$AF,$A1387,'2. Program Allocation Output'!$AG:$AG,$B1387),"")</f>
        <v/>
      </c>
      <c r="F1387" s="39" t="str">
        <f t="shared" si="45"/>
        <v/>
      </c>
      <c r="G1387" t="str">
        <f t="shared" si="46"/>
        <v/>
      </c>
    </row>
    <row r="1388" spans="3:7" ht="15" hidden="1" x14ac:dyDescent="0.25">
      <c r="C1388" s="4" t="str">
        <f>IFERROR(AVERAGEIFS('2. Program Allocation Output'!$P:$P,'2. Program Allocation Output'!$AF:$AF,$A1388,'2. Program Allocation Output'!$AG:$AG,$B1388),"")</f>
        <v/>
      </c>
      <c r="D1388" s="4" t="str">
        <f>IFERROR(AVERAGEIFS('2. Program Allocation Output'!$O:$O,'2. Program Allocation Output'!$AF:$AF,$A1388,'2. Program Allocation Output'!$AG:$AG,$B1388),"")</f>
        <v/>
      </c>
      <c r="E1388" s="5" t="str">
        <f>IFERROR(AVERAGEIFS('2. Program Allocation Output'!$L:$L,'2. Program Allocation Output'!$AF:$AF,$A1388,'2. Program Allocation Output'!$AG:$AG,$B1388),"")</f>
        <v/>
      </c>
      <c r="F1388" s="39" t="str">
        <f t="shared" si="45"/>
        <v/>
      </c>
      <c r="G1388" t="str">
        <f t="shared" si="46"/>
        <v/>
      </c>
    </row>
    <row r="1389" spans="3:7" ht="15" hidden="1" x14ac:dyDescent="0.25">
      <c r="C1389" s="4" t="str">
        <f>IFERROR(AVERAGEIFS('2. Program Allocation Output'!$P:$P,'2. Program Allocation Output'!$AF:$AF,$A1389,'2. Program Allocation Output'!$AG:$AG,$B1389),"")</f>
        <v/>
      </c>
      <c r="D1389" s="4" t="str">
        <f>IFERROR(AVERAGEIFS('2. Program Allocation Output'!$O:$O,'2. Program Allocation Output'!$AF:$AF,$A1389,'2. Program Allocation Output'!$AG:$AG,$B1389),"")</f>
        <v/>
      </c>
      <c r="E1389" s="5" t="str">
        <f>IFERROR(AVERAGEIFS('2. Program Allocation Output'!$L:$L,'2. Program Allocation Output'!$AF:$AF,$A1389,'2. Program Allocation Output'!$AG:$AG,$B1389),"")</f>
        <v/>
      </c>
      <c r="F1389" s="39" t="str">
        <f t="shared" si="45"/>
        <v/>
      </c>
      <c r="G1389" t="str">
        <f t="shared" si="46"/>
        <v/>
      </c>
    </row>
    <row r="1390" spans="3:7" ht="15" hidden="1" x14ac:dyDescent="0.25">
      <c r="C1390" s="4" t="str">
        <f>IFERROR(AVERAGEIFS('2. Program Allocation Output'!$P:$P,'2. Program Allocation Output'!$AF:$AF,$A1390,'2. Program Allocation Output'!$AG:$AG,$B1390),"")</f>
        <v/>
      </c>
      <c r="D1390" s="4" t="str">
        <f>IFERROR(AVERAGEIFS('2. Program Allocation Output'!$O:$O,'2. Program Allocation Output'!$AF:$AF,$A1390,'2. Program Allocation Output'!$AG:$AG,$B1390),"")</f>
        <v/>
      </c>
      <c r="E1390" s="5" t="str">
        <f>IFERROR(AVERAGEIFS('2. Program Allocation Output'!$L:$L,'2. Program Allocation Output'!$AF:$AF,$A1390,'2. Program Allocation Output'!$AG:$AG,$B1390),"")</f>
        <v/>
      </c>
      <c r="F1390" s="39" t="str">
        <f t="shared" si="45"/>
        <v/>
      </c>
      <c r="G1390" t="str">
        <f t="shared" si="46"/>
        <v/>
      </c>
    </row>
    <row r="1391" spans="3:7" ht="15" hidden="1" x14ac:dyDescent="0.25">
      <c r="C1391" s="4" t="str">
        <f>IFERROR(AVERAGEIFS('2. Program Allocation Output'!$P:$P,'2. Program Allocation Output'!$AF:$AF,$A1391,'2. Program Allocation Output'!$AG:$AG,$B1391),"")</f>
        <v/>
      </c>
      <c r="D1391" s="4" t="str">
        <f>IFERROR(AVERAGEIFS('2. Program Allocation Output'!$O:$O,'2. Program Allocation Output'!$AF:$AF,$A1391,'2. Program Allocation Output'!$AG:$AG,$B1391),"")</f>
        <v/>
      </c>
      <c r="E1391" s="5" t="str">
        <f>IFERROR(AVERAGEIFS('2. Program Allocation Output'!$L:$L,'2. Program Allocation Output'!$AF:$AF,$A1391,'2. Program Allocation Output'!$AG:$AG,$B1391),"")</f>
        <v/>
      </c>
      <c r="F1391" s="39" t="str">
        <f t="shared" si="45"/>
        <v/>
      </c>
      <c r="G1391" t="str">
        <f t="shared" si="46"/>
        <v/>
      </c>
    </row>
    <row r="1392" spans="3:7" ht="15" hidden="1" x14ac:dyDescent="0.25">
      <c r="C1392" s="4" t="str">
        <f>IFERROR(AVERAGEIFS('2. Program Allocation Output'!$P:$P,'2. Program Allocation Output'!$AF:$AF,$A1392,'2. Program Allocation Output'!$AG:$AG,$B1392),"")</f>
        <v/>
      </c>
      <c r="D1392" s="4" t="str">
        <f>IFERROR(AVERAGEIFS('2. Program Allocation Output'!$O:$O,'2. Program Allocation Output'!$AF:$AF,$A1392,'2. Program Allocation Output'!$AG:$AG,$B1392),"")</f>
        <v/>
      </c>
      <c r="E1392" s="5" t="str">
        <f>IFERROR(AVERAGEIFS('2. Program Allocation Output'!$L:$L,'2. Program Allocation Output'!$AF:$AF,$A1392,'2. Program Allocation Output'!$AG:$AG,$B1392),"")</f>
        <v/>
      </c>
      <c r="F1392" s="39" t="str">
        <f t="shared" si="45"/>
        <v/>
      </c>
      <c r="G1392" t="str">
        <f t="shared" si="46"/>
        <v/>
      </c>
    </row>
    <row r="1393" spans="3:7" ht="15" hidden="1" x14ac:dyDescent="0.25">
      <c r="C1393" s="4" t="str">
        <f>IFERROR(AVERAGEIFS('2. Program Allocation Output'!$P:$P,'2. Program Allocation Output'!$AF:$AF,$A1393,'2. Program Allocation Output'!$AG:$AG,$B1393),"")</f>
        <v/>
      </c>
      <c r="D1393" s="4" t="str">
        <f>IFERROR(AVERAGEIFS('2. Program Allocation Output'!$O:$O,'2. Program Allocation Output'!$AF:$AF,$A1393,'2. Program Allocation Output'!$AG:$AG,$B1393),"")</f>
        <v/>
      </c>
      <c r="E1393" s="5" t="str">
        <f>IFERROR(AVERAGEIFS('2. Program Allocation Output'!$L:$L,'2. Program Allocation Output'!$AF:$AF,$A1393,'2. Program Allocation Output'!$AG:$AG,$B1393),"")</f>
        <v/>
      </c>
      <c r="F1393" s="39" t="str">
        <f t="shared" si="45"/>
        <v/>
      </c>
      <c r="G1393" t="str">
        <f t="shared" si="46"/>
        <v/>
      </c>
    </row>
    <row r="1394" spans="3:7" ht="15" hidden="1" x14ac:dyDescent="0.25">
      <c r="C1394" s="4" t="str">
        <f>IFERROR(AVERAGEIFS('2. Program Allocation Output'!$P:$P,'2. Program Allocation Output'!$AF:$AF,$A1394,'2. Program Allocation Output'!$AG:$AG,$B1394),"")</f>
        <v/>
      </c>
      <c r="D1394" s="4" t="str">
        <f>IFERROR(AVERAGEIFS('2. Program Allocation Output'!$O:$O,'2. Program Allocation Output'!$AF:$AF,$A1394,'2. Program Allocation Output'!$AG:$AG,$B1394),"")</f>
        <v/>
      </c>
      <c r="E1394" s="5" t="str">
        <f>IFERROR(AVERAGEIFS('2. Program Allocation Output'!$L:$L,'2. Program Allocation Output'!$AF:$AF,$A1394,'2. Program Allocation Output'!$AG:$AG,$B1394),"")</f>
        <v/>
      </c>
      <c r="F1394" s="39" t="str">
        <f t="shared" si="45"/>
        <v/>
      </c>
      <c r="G1394" t="str">
        <f t="shared" si="46"/>
        <v/>
      </c>
    </row>
    <row r="1395" spans="3:7" ht="15" hidden="1" x14ac:dyDescent="0.25">
      <c r="C1395" s="4" t="str">
        <f>IFERROR(AVERAGEIFS('2. Program Allocation Output'!$P:$P,'2. Program Allocation Output'!$AF:$AF,$A1395,'2. Program Allocation Output'!$AG:$AG,$B1395),"")</f>
        <v/>
      </c>
      <c r="D1395" s="4" t="str">
        <f>IFERROR(AVERAGEIFS('2. Program Allocation Output'!$O:$O,'2. Program Allocation Output'!$AF:$AF,$A1395,'2. Program Allocation Output'!$AG:$AG,$B1395),"")</f>
        <v/>
      </c>
      <c r="E1395" s="5" t="str">
        <f>IFERROR(AVERAGEIFS('2. Program Allocation Output'!$L:$L,'2. Program Allocation Output'!$AF:$AF,$A1395,'2. Program Allocation Output'!$AG:$AG,$B1395),"")</f>
        <v/>
      </c>
      <c r="F1395" s="39" t="str">
        <f t="shared" si="45"/>
        <v/>
      </c>
      <c r="G1395" t="str">
        <f t="shared" si="46"/>
        <v/>
      </c>
    </row>
    <row r="1396" spans="3:7" ht="15" hidden="1" x14ac:dyDescent="0.25">
      <c r="C1396" s="4" t="str">
        <f>IFERROR(AVERAGEIFS('2. Program Allocation Output'!$P:$P,'2. Program Allocation Output'!$AF:$AF,$A1396,'2. Program Allocation Output'!$AG:$AG,$B1396),"")</f>
        <v/>
      </c>
      <c r="D1396" s="4" t="str">
        <f>IFERROR(AVERAGEIFS('2. Program Allocation Output'!$O:$O,'2. Program Allocation Output'!$AF:$AF,$A1396,'2. Program Allocation Output'!$AG:$AG,$B1396),"")</f>
        <v/>
      </c>
      <c r="E1396" s="5" t="str">
        <f>IFERROR(AVERAGEIFS('2. Program Allocation Output'!$L:$L,'2. Program Allocation Output'!$AF:$AF,$A1396,'2. Program Allocation Output'!$AG:$AG,$B1396),"")</f>
        <v/>
      </c>
      <c r="F1396" s="39" t="str">
        <f t="shared" si="45"/>
        <v/>
      </c>
      <c r="G1396" t="str">
        <f t="shared" si="46"/>
        <v/>
      </c>
    </row>
    <row r="1397" spans="3:7" ht="15" hidden="1" x14ac:dyDescent="0.25">
      <c r="C1397" s="4" t="str">
        <f>IFERROR(AVERAGEIFS('2. Program Allocation Output'!$P:$P,'2. Program Allocation Output'!$AF:$AF,$A1397,'2. Program Allocation Output'!$AG:$AG,$B1397),"")</f>
        <v/>
      </c>
      <c r="D1397" s="4" t="str">
        <f>IFERROR(AVERAGEIFS('2. Program Allocation Output'!$O:$O,'2. Program Allocation Output'!$AF:$AF,$A1397,'2. Program Allocation Output'!$AG:$AG,$B1397),"")</f>
        <v/>
      </c>
      <c r="E1397" s="5" t="str">
        <f>IFERROR(AVERAGEIFS('2. Program Allocation Output'!$L:$L,'2. Program Allocation Output'!$AF:$AF,$A1397,'2. Program Allocation Output'!$AG:$AG,$B1397),"")</f>
        <v/>
      </c>
      <c r="F1397" s="39" t="str">
        <f t="shared" si="45"/>
        <v/>
      </c>
      <c r="G1397" t="str">
        <f t="shared" si="46"/>
        <v/>
      </c>
    </row>
    <row r="1398" spans="3:7" ht="15" hidden="1" x14ac:dyDescent="0.25">
      <c r="C1398" s="4" t="str">
        <f>IFERROR(AVERAGEIFS('2. Program Allocation Output'!$P:$P,'2. Program Allocation Output'!$AF:$AF,$A1398,'2. Program Allocation Output'!$AG:$AG,$B1398),"")</f>
        <v/>
      </c>
      <c r="D1398" s="4" t="str">
        <f>IFERROR(AVERAGEIFS('2. Program Allocation Output'!$O:$O,'2. Program Allocation Output'!$AF:$AF,$A1398,'2. Program Allocation Output'!$AG:$AG,$B1398),"")</f>
        <v/>
      </c>
      <c r="E1398" s="5" t="str">
        <f>IFERROR(AVERAGEIFS('2. Program Allocation Output'!$L:$L,'2. Program Allocation Output'!$AF:$AF,$A1398,'2. Program Allocation Output'!$AG:$AG,$B1398),"")</f>
        <v/>
      </c>
      <c r="F1398" s="39" t="str">
        <f t="shared" si="45"/>
        <v/>
      </c>
      <c r="G1398" t="str">
        <f t="shared" si="46"/>
        <v/>
      </c>
    </row>
    <row r="1399" spans="3:7" ht="15" hidden="1" x14ac:dyDescent="0.25">
      <c r="C1399" s="4" t="str">
        <f>IFERROR(AVERAGEIFS('2. Program Allocation Output'!$P:$P,'2. Program Allocation Output'!$AF:$AF,$A1399,'2. Program Allocation Output'!$AG:$AG,$B1399),"")</f>
        <v/>
      </c>
      <c r="D1399" s="4" t="str">
        <f>IFERROR(AVERAGEIFS('2. Program Allocation Output'!$O:$O,'2. Program Allocation Output'!$AF:$AF,$A1399,'2. Program Allocation Output'!$AG:$AG,$B1399),"")</f>
        <v/>
      </c>
      <c r="E1399" s="5" t="str">
        <f>IFERROR(AVERAGEIFS('2. Program Allocation Output'!$L:$L,'2. Program Allocation Output'!$AF:$AF,$A1399,'2. Program Allocation Output'!$AG:$AG,$B1399),"")</f>
        <v/>
      </c>
      <c r="F1399" s="39" t="str">
        <f t="shared" si="45"/>
        <v/>
      </c>
      <c r="G1399" t="str">
        <f t="shared" si="46"/>
        <v/>
      </c>
    </row>
    <row r="1400" spans="3:7" ht="15" hidden="1" x14ac:dyDescent="0.25">
      <c r="C1400" s="4" t="str">
        <f>IFERROR(AVERAGEIFS('2. Program Allocation Output'!$P:$P,'2. Program Allocation Output'!$AF:$AF,$A1400,'2. Program Allocation Output'!$AG:$AG,$B1400),"")</f>
        <v/>
      </c>
      <c r="D1400" s="4" t="str">
        <f>IFERROR(AVERAGEIFS('2. Program Allocation Output'!$O:$O,'2. Program Allocation Output'!$AF:$AF,$A1400,'2. Program Allocation Output'!$AG:$AG,$B1400),"")</f>
        <v/>
      </c>
      <c r="E1400" s="5" t="str">
        <f>IFERROR(AVERAGEIFS('2. Program Allocation Output'!$L:$L,'2. Program Allocation Output'!$AF:$AF,$A1400,'2. Program Allocation Output'!$AG:$AG,$B1400),"")</f>
        <v/>
      </c>
      <c r="F1400" s="39" t="str">
        <f t="shared" si="45"/>
        <v/>
      </c>
      <c r="G1400" t="str">
        <f t="shared" si="46"/>
        <v/>
      </c>
    </row>
    <row r="1401" spans="3:7" ht="15" hidden="1" x14ac:dyDescent="0.25">
      <c r="C1401" s="4" t="str">
        <f>IFERROR(AVERAGEIFS('2. Program Allocation Output'!$P:$P,'2. Program Allocation Output'!$AF:$AF,$A1401,'2. Program Allocation Output'!$AG:$AG,$B1401),"")</f>
        <v/>
      </c>
      <c r="D1401" s="4" t="str">
        <f>IFERROR(AVERAGEIFS('2. Program Allocation Output'!$O:$O,'2. Program Allocation Output'!$AF:$AF,$A1401,'2. Program Allocation Output'!$AG:$AG,$B1401),"")</f>
        <v/>
      </c>
      <c r="E1401" s="5" t="str">
        <f>IFERROR(AVERAGEIFS('2. Program Allocation Output'!$L:$L,'2. Program Allocation Output'!$AF:$AF,$A1401,'2. Program Allocation Output'!$AG:$AG,$B1401),"")</f>
        <v/>
      </c>
      <c r="F1401" s="39" t="str">
        <f t="shared" si="45"/>
        <v/>
      </c>
      <c r="G1401" t="str">
        <f t="shared" si="46"/>
        <v/>
      </c>
    </row>
    <row r="1402" spans="3:7" ht="15" hidden="1" x14ac:dyDescent="0.25">
      <c r="C1402" s="4" t="str">
        <f>IFERROR(AVERAGEIFS('2. Program Allocation Output'!$P:$P,'2. Program Allocation Output'!$AF:$AF,$A1402,'2. Program Allocation Output'!$AG:$AG,$B1402),"")</f>
        <v/>
      </c>
      <c r="D1402" s="4" t="str">
        <f>IFERROR(AVERAGEIFS('2. Program Allocation Output'!$O:$O,'2. Program Allocation Output'!$AF:$AF,$A1402,'2. Program Allocation Output'!$AG:$AG,$B1402),"")</f>
        <v/>
      </c>
      <c r="E1402" s="5" t="str">
        <f>IFERROR(AVERAGEIFS('2. Program Allocation Output'!$L:$L,'2. Program Allocation Output'!$AF:$AF,$A1402,'2. Program Allocation Output'!$AG:$AG,$B1402),"")</f>
        <v/>
      </c>
      <c r="F1402" s="39" t="str">
        <f t="shared" si="45"/>
        <v/>
      </c>
      <c r="G1402" t="str">
        <f t="shared" si="46"/>
        <v/>
      </c>
    </row>
    <row r="1403" spans="3:7" ht="15" hidden="1" x14ac:dyDescent="0.25">
      <c r="C1403" s="4" t="str">
        <f>IFERROR(AVERAGEIFS('2. Program Allocation Output'!$P:$P,'2. Program Allocation Output'!$AF:$AF,$A1403,'2. Program Allocation Output'!$AG:$AG,$B1403),"")</f>
        <v/>
      </c>
      <c r="D1403" s="4" t="str">
        <f>IFERROR(AVERAGEIFS('2. Program Allocation Output'!$O:$O,'2. Program Allocation Output'!$AF:$AF,$A1403,'2. Program Allocation Output'!$AG:$AG,$B1403),"")</f>
        <v/>
      </c>
      <c r="E1403" s="5" t="str">
        <f>IFERROR(AVERAGEIFS('2. Program Allocation Output'!$L:$L,'2. Program Allocation Output'!$AF:$AF,$A1403,'2. Program Allocation Output'!$AG:$AG,$B1403),"")</f>
        <v/>
      </c>
      <c r="F1403" s="39" t="str">
        <f t="shared" si="45"/>
        <v/>
      </c>
      <c r="G1403" t="str">
        <f t="shared" si="46"/>
        <v/>
      </c>
    </row>
    <row r="1404" spans="3:7" ht="15" hidden="1" x14ac:dyDescent="0.25">
      <c r="C1404" s="4" t="str">
        <f>IFERROR(AVERAGEIFS('2. Program Allocation Output'!$P:$P,'2. Program Allocation Output'!$AF:$AF,$A1404,'2. Program Allocation Output'!$AG:$AG,$B1404),"")</f>
        <v/>
      </c>
      <c r="D1404" s="4" t="str">
        <f>IFERROR(AVERAGEIFS('2. Program Allocation Output'!$O:$O,'2. Program Allocation Output'!$AF:$AF,$A1404,'2. Program Allocation Output'!$AG:$AG,$B1404),"")</f>
        <v/>
      </c>
      <c r="E1404" s="5" t="str">
        <f>IFERROR(AVERAGEIFS('2. Program Allocation Output'!$L:$L,'2. Program Allocation Output'!$AF:$AF,$A1404,'2. Program Allocation Output'!$AG:$AG,$B1404),"")</f>
        <v/>
      </c>
      <c r="F1404" s="39" t="str">
        <f t="shared" si="45"/>
        <v/>
      </c>
      <c r="G1404" t="str">
        <f t="shared" si="46"/>
        <v/>
      </c>
    </row>
    <row r="1405" spans="3:7" ht="15" hidden="1" x14ac:dyDescent="0.25">
      <c r="C1405" s="4" t="str">
        <f>IFERROR(AVERAGEIFS('2. Program Allocation Output'!$P:$P,'2. Program Allocation Output'!$AF:$AF,$A1405,'2. Program Allocation Output'!$AG:$AG,$B1405),"")</f>
        <v/>
      </c>
      <c r="D1405" s="4" t="str">
        <f>IFERROR(AVERAGEIFS('2. Program Allocation Output'!$O:$O,'2. Program Allocation Output'!$AF:$AF,$A1405,'2. Program Allocation Output'!$AG:$AG,$B1405),"")</f>
        <v/>
      </c>
      <c r="E1405" s="5" t="str">
        <f>IFERROR(AVERAGEIFS('2. Program Allocation Output'!$L:$L,'2. Program Allocation Output'!$AF:$AF,$A1405,'2. Program Allocation Output'!$AG:$AG,$B1405),"")</f>
        <v/>
      </c>
      <c r="F1405" s="39" t="str">
        <f t="shared" si="45"/>
        <v/>
      </c>
      <c r="G1405" t="str">
        <f t="shared" si="46"/>
        <v/>
      </c>
    </row>
    <row r="1406" spans="3:7" ht="15" hidden="1" x14ac:dyDescent="0.25">
      <c r="C1406" s="4" t="str">
        <f>IFERROR(AVERAGEIFS('2. Program Allocation Output'!$P:$P,'2. Program Allocation Output'!$AF:$AF,$A1406,'2. Program Allocation Output'!$AG:$AG,$B1406),"")</f>
        <v/>
      </c>
      <c r="D1406" s="4" t="str">
        <f>IFERROR(AVERAGEIFS('2. Program Allocation Output'!$O:$O,'2. Program Allocation Output'!$AF:$AF,$A1406,'2. Program Allocation Output'!$AG:$AG,$B1406),"")</f>
        <v/>
      </c>
      <c r="E1406" s="5" t="str">
        <f>IFERROR(AVERAGEIFS('2. Program Allocation Output'!$L:$L,'2. Program Allocation Output'!$AF:$AF,$A1406,'2. Program Allocation Output'!$AG:$AG,$B1406),"")</f>
        <v/>
      </c>
      <c r="F1406" s="39" t="str">
        <f t="shared" si="45"/>
        <v/>
      </c>
      <c r="G1406" t="str">
        <f t="shared" si="46"/>
        <v/>
      </c>
    </row>
    <row r="1407" spans="3:7" ht="15" hidden="1" x14ac:dyDescent="0.25">
      <c r="C1407" s="4" t="str">
        <f>IFERROR(AVERAGEIFS('2. Program Allocation Output'!$P:$P,'2. Program Allocation Output'!$AF:$AF,$A1407,'2. Program Allocation Output'!$AG:$AG,$B1407),"")</f>
        <v/>
      </c>
      <c r="D1407" s="4" t="str">
        <f>IFERROR(AVERAGEIFS('2. Program Allocation Output'!$O:$O,'2. Program Allocation Output'!$AF:$AF,$A1407,'2. Program Allocation Output'!$AG:$AG,$B1407),"")</f>
        <v/>
      </c>
      <c r="E1407" s="5" t="str">
        <f>IFERROR(AVERAGEIFS('2. Program Allocation Output'!$L:$L,'2. Program Allocation Output'!$AF:$AF,$A1407,'2. Program Allocation Output'!$AG:$AG,$B1407),"")</f>
        <v/>
      </c>
      <c r="F1407" s="39" t="str">
        <f t="shared" si="45"/>
        <v/>
      </c>
      <c r="G1407" t="str">
        <f t="shared" si="46"/>
        <v/>
      </c>
    </row>
    <row r="1408" spans="3:7" ht="15" hidden="1" x14ac:dyDescent="0.25">
      <c r="C1408" s="4" t="str">
        <f>IFERROR(AVERAGEIFS('2. Program Allocation Output'!$P:$P,'2. Program Allocation Output'!$AF:$AF,$A1408,'2. Program Allocation Output'!$AG:$AG,$B1408),"")</f>
        <v/>
      </c>
      <c r="D1408" s="4" t="str">
        <f>IFERROR(AVERAGEIFS('2. Program Allocation Output'!$O:$O,'2. Program Allocation Output'!$AF:$AF,$A1408,'2. Program Allocation Output'!$AG:$AG,$B1408),"")</f>
        <v/>
      </c>
      <c r="E1408" s="5" t="str">
        <f>IFERROR(AVERAGEIFS('2. Program Allocation Output'!$L:$L,'2. Program Allocation Output'!$AF:$AF,$A1408,'2. Program Allocation Output'!$AG:$AG,$B1408),"")</f>
        <v/>
      </c>
      <c r="F1408" s="39" t="str">
        <f t="shared" si="45"/>
        <v/>
      </c>
      <c r="G1408" t="str">
        <f t="shared" si="46"/>
        <v/>
      </c>
    </row>
    <row r="1409" spans="3:7" ht="15" hidden="1" x14ac:dyDescent="0.25">
      <c r="C1409" s="4" t="str">
        <f>IFERROR(AVERAGEIFS('2. Program Allocation Output'!$P:$P,'2. Program Allocation Output'!$AF:$AF,$A1409,'2. Program Allocation Output'!$AG:$AG,$B1409),"")</f>
        <v/>
      </c>
      <c r="D1409" s="4" t="str">
        <f>IFERROR(AVERAGEIFS('2. Program Allocation Output'!$O:$O,'2. Program Allocation Output'!$AF:$AF,$A1409,'2. Program Allocation Output'!$AG:$AG,$B1409),"")</f>
        <v/>
      </c>
      <c r="E1409" s="5" t="str">
        <f>IFERROR(AVERAGEIFS('2. Program Allocation Output'!$L:$L,'2. Program Allocation Output'!$AF:$AF,$A1409,'2. Program Allocation Output'!$AG:$AG,$B1409),"")</f>
        <v/>
      </c>
      <c r="F1409" s="39" t="str">
        <f t="shared" si="45"/>
        <v/>
      </c>
      <c r="G1409" t="str">
        <f t="shared" si="46"/>
        <v/>
      </c>
    </row>
    <row r="1410" spans="3:7" ht="15" hidden="1" x14ac:dyDescent="0.25">
      <c r="C1410" s="4" t="str">
        <f>IFERROR(AVERAGEIFS('2. Program Allocation Output'!$P:$P,'2. Program Allocation Output'!$AF:$AF,$A1410,'2. Program Allocation Output'!$AG:$AG,$B1410),"")</f>
        <v/>
      </c>
      <c r="D1410" s="4" t="str">
        <f>IFERROR(AVERAGEIFS('2. Program Allocation Output'!$O:$O,'2. Program Allocation Output'!$AF:$AF,$A1410,'2. Program Allocation Output'!$AG:$AG,$B1410),"")</f>
        <v/>
      </c>
      <c r="E1410" s="5" t="str">
        <f>IFERROR(AVERAGEIFS('2. Program Allocation Output'!$L:$L,'2. Program Allocation Output'!$AF:$AF,$A1410,'2. Program Allocation Output'!$AG:$AG,$B1410),"")</f>
        <v/>
      </c>
      <c r="F1410" s="39" t="str">
        <f t="shared" si="45"/>
        <v/>
      </c>
      <c r="G1410" t="str">
        <f t="shared" si="46"/>
        <v/>
      </c>
    </row>
    <row r="1411" spans="3:7" ht="15" hidden="1" x14ac:dyDescent="0.25">
      <c r="C1411" s="4" t="str">
        <f>IFERROR(AVERAGEIFS('2. Program Allocation Output'!$P:$P,'2. Program Allocation Output'!$AF:$AF,$A1411,'2. Program Allocation Output'!$AG:$AG,$B1411),"")</f>
        <v/>
      </c>
      <c r="D1411" s="4" t="str">
        <f>IFERROR(AVERAGEIFS('2. Program Allocation Output'!$O:$O,'2. Program Allocation Output'!$AF:$AF,$A1411,'2. Program Allocation Output'!$AG:$AG,$B1411),"")</f>
        <v/>
      </c>
      <c r="E1411" s="5" t="str">
        <f>IFERROR(AVERAGEIFS('2. Program Allocation Output'!$L:$L,'2. Program Allocation Output'!$AF:$AF,$A1411,'2. Program Allocation Output'!$AG:$AG,$B1411),"")</f>
        <v/>
      </c>
      <c r="F1411" s="39" t="str">
        <f t="shared" ref="F1411:F1474" si="47">IFERROR(C1411*1,"")</f>
        <v/>
      </c>
      <c r="G1411" t="str">
        <f t="shared" si="46"/>
        <v/>
      </c>
    </row>
    <row r="1412" spans="3:7" ht="15" hidden="1" x14ac:dyDescent="0.25">
      <c r="C1412" s="4" t="str">
        <f>IFERROR(AVERAGEIFS('2. Program Allocation Output'!$P:$P,'2. Program Allocation Output'!$AF:$AF,$A1412,'2. Program Allocation Output'!$AG:$AG,$B1412),"")</f>
        <v/>
      </c>
      <c r="D1412" s="4" t="str">
        <f>IFERROR(AVERAGEIFS('2. Program Allocation Output'!$O:$O,'2. Program Allocation Output'!$AF:$AF,$A1412,'2. Program Allocation Output'!$AG:$AG,$B1412),"")</f>
        <v/>
      </c>
      <c r="E1412" s="5" t="str">
        <f>IFERROR(AVERAGEIFS('2. Program Allocation Output'!$L:$L,'2. Program Allocation Output'!$AF:$AF,$A1412,'2. Program Allocation Output'!$AG:$AG,$B1412),"")</f>
        <v/>
      </c>
      <c r="F1412" s="39" t="str">
        <f t="shared" si="47"/>
        <v/>
      </c>
      <c r="G1412" t="str">
        <f t="shared" si="46"/>
        <v/>
      </c>
    </row>
    <row r="1413" spans="3:7" ht="15" hidden="1" x14ac:dyDescent="0.25">
      <c r="C1413" s="4" t="str">
        <f>IFERROR(AVERAGEIFS('2. Program Allocation Output'!$P:$P,'2. Program Allocation Output'!$AF:$AF,$A1413,'2. Program Allocation Output'!$AG:$AG,$B1413),"")</f>
        <v/>
      </c>
      <c r="D1413" s="4" t="str">
        <f>IFERROR(AVERAGEIFS('2. Program Allocation Output'!$O:$O,'2. Program Allocation Output'!$AF:$AF,$A1413,'2. Program Allocation Output'!$AG:$AG,$B1413),"")</f>
        <v/>
      </c>
      <c r="E1413" s="5" t="str">
        <f>IFERROR(AVERAGEIFS('2. Program Allocation Output'!$L:$L,'2. Program Allocation Output'!$AF:$AF,$A1413,'2. Program Allocation Output'!$AG:$AG,$B1413),"")</f>
        <v/>
      </c>
      <c r="F1413" s="39" t="str">
        <f t="shared" si="47"/>
        <v/>
      </c>
      <c r="G1413" t="str">
        <f t="shared" si="46"/>
        <v/>
      </c>
    </row>
    <row r="1414" spans="3:7" ht="15" hidden="1" x14ac:dyDescent="0.25">
      <c r="C1414" s="4" t="str">
        <f>IFERROR(AVERAGEIFS('2. Program Allocation Output'!$P:$P,'2. Program Allocation Output'!$AF:$AF,$A1414,'2. Program Allocation Output'!$AG:$AG,$B1414),"")</f>
        <v/>
      </c>
      <c r="D1414" s="4" t="str">
        <f>IFERROR(AVERAGEIFS('2. Program Allocation Output'!$O:$O,'2. Program Allocation Output'!$AF:$AF,$A1414,'2. Program Allocation Output'!$AG:$AG,$B1414),"")</f>
        <v/>
      </c>
      <c r="E1414" s="5" t="str">
        <f>IFERROR(AVERAGEIFS('2. Program Allocation Output'!$L:$L,'2. Program Allocation Output'!$AF:$AF,$A1414,'2. Program Allocation Output'!$AG:$AG,$B1414),"")</f>
        <v/>
      </c>
      <c r="F1414" s="39" t="str">
        <f t="shared" si="47"/>
        <v/>
      </c>
      <c r="G1414" t="str">
        <f t="shared" si="46"/>
        <v/>
      </c>
    </row>
    <row r="1415" spans="3:7" ht="15" hidden="1" x14ac:dyDescent="0.25">
      <c r="C1415" s="4" t="str">
        <f>IFERROR(AVERAGEIFS('2. Program Allocation Output'!$P:$P,'2. Program Allocation Output'!$AF:$AF,$A1415,'2. Program Allocation Output'!$AG:$AG,$B1415),"")</f>
        <v/>
      </c>
      <c r="D1415" s="4" t="str">
        <f>IFERROR(AVERAGEIFS('2. Program Allocation Output'!$O:$O,'2. Program Allocation Output'!$AF:$AF,$A1415,'2. Program Allocation Output'!$AG:$AG,$B1415),"")</f>
        <v/>
      </c>
      <c r="E1415" s="5" t="str">
        <f>IFERROR(AVERAGEIFS('2. Program Allocation Output'!$L:$L,'2. Program Allocation Output'!$AF:$AF,$A1415,'2. Program Allocation Output'!$AG:$AG,$B1415),"")</f>
        <v/>
      </c>
      <c r="F1415" s="39" t="str">
        <f t="shared" si="47"/>
        <v/>
      </c>
      <c r="G1415" t="str">
        <f t="shared" si="46"/>
        <v/>
      </c>
    </row>
    <row r="1416" spans="3:7" ht="15" hidden="1" x14ac:dyDescent="0.25">
      <c r="C1416" s="4" t="str">
        <f>IFERROR(AVERAGEIFS('2. Program Allocation Output'!$P:$P,'2. Program Allocation Output'!$AF:$AF,$A1416,'2. Program Allocation Output'!$AG:$AG,$B1416),"")</f>
        <v/>
      </c>
      <c r="D1416" s="4" t="str">
        <f>IFERROR(AVERAGEIFS('2. Program Allocation Output'!$O:$O,'2. Program Allocation Output'!$AF:$AF,$A1416,'2. Program Allocation Output'!$AG:$AG,$B1416),"")</f>
        <v/>
      </c>
      <c r="E1416" s="5" t="str">
        <f>IFERROR(AVERAGEIFS('2. Program Allocation Output'!$L:$L,'2. Program Allocation Output'!$AF:$AF,$A1416,'2. Program Allocation Output'!$AG:$AG,$B1416),"")</f>
        <v/>
      </c>
      <c r="F1416" s="39" t="str">
        <f t="shared" si="47"/>
        <v/>
      </c>
      <c r="G1416" t="str">
        <f t="shared" si="46"/>
        <v/>
      </c>
    </row>
    <row r="1417" spans="3:7" ht="15" hidden="1" x14ac:dyDescent="0.25">
      <c r="C1417" s="4" t="str">
        <f>IFERROR(AVERAGEIFS('2. Program Allocation Output'!$P:$P,'2. Program Allocation Output'!$AF:$AF,$A1417,'2. Program Allocation Output'!$AG:$AG,$B1417),"")</f>
        <v/>
      </c>
      <c r="D1417" s="4" t="str">
        <f>IFERROR(AVERAGEIFS('2. Program Allocation Output'!$O:$O,'2. Program Allocation Output'!$AF:$AF,$A1417,'2. Program Allocation Output'!$AG:$AG,$B1417),"")</f>
        <v/>
      </c>
      <c r="E1417" s="5" t="str">
        <f>IFERROR(AVERAGEIFS('2. Program Allocation Output'!$L:$L,'2. Program Allocation Output'!$AF:$AF,$A1417,'2. Program Allocation Output'!$AG:$AG,$B1417),"")</f>
        <v/>
      </c>
      <c r="F1417" s="39" t="str">
        <f t="shared" si="47"/>
        <v/>
      </c>
      <c r="G1417" t="str">
        <f t="shared" si="46"/>
        <v/>
      </c>
    </row>
    <row r="1418" spans="3:7" ht="15" hidden="1" x14ac:dyDescent="0.25">
      <c r="C1418" s="4" t="str">
        <f>IFERROR(AVERAGEIFS('2. Program Allocation Output'!$P:$P,'2. Program Allocation Output'!$AF:$AF,$A1418,'2. Program Allocation Output'!$AG:$AG,$B1418),"")</f>
        <v/>
      </c>
      <c r="D1418" s="4" t="str">
        <f>IFERROR(AVERAGEIFS('2. Program Allocation Output'!$O:$O,'2. Program Allocation Output'!$AF:$AF,$A1418,'2. Program Allocation Output'!$AG:$AG,$B1418),"")</f>
        <v/>
      </c>
      <c r="E1418" s="5" t="str">
        <f>IFERROR(AVERAGEIFS('2. Program Allocation Output'!$L:$L,'2. Program Allocation Output'!$AF:$AF,$A1418,'2. Program Allocation Output'!$AG:$AG,$B1418),"")</f>
        <v/>
      </c>
      <c r="F1418" s="39" t="str">
        <f t="shared" si="47"/>
        <v/>
      </c>
      <c r="G1418" t="str">
        <f t="shared" si="46"/>
        <v/>
      </c>
    </row>
    <row r="1419" spans="3:7" ht="15" hidden="1" x14ac:dyDescent="0.25">
      <c r="C1419" s="4" t="str">
        <f>IFERROR(AVERAGEIFS('2. Program Allocation Output'!$P:$P,'2. Program Allocation Output'!$AF:$AF,$A1419,'2. Program Allocation Output'!$AG:$AG,$B1419),"")</f>
        <v/>
      </c>
      <c r="D1419" s="4" t="str">
        <f>IFERROR(AVERAGEIFS('2. Program Allocation Output'!$O:$O,'2. Program Allocation Output'!$AF:$AF,$A1419,'2. Program Allocation Output'!$AG:$AG,$B1419),"")</f>
        <v/>
      </c>
      <c r="E1419" s="5" t="str">
        <f>IFERROR(AVERAGEIFS('2. Program Allocation Output'!$L:$L,'2. Program Allocation Output'!$AF:$AF,$A1419,'2. Program Allocation Output'!$AG:$AG,$B1419),"")</f>
        <v/>
      </c>
      <c r="F1419" s="39" t="str">
        <f t="shared" si="47"/>
        <v/>
      </c>
      <c r="G1419" t="str">
        <f t="shared" si="46"/>
        <v/>
      </c>
    </row>
    <row r="1420" spans="3:7" ht="15" hidden="1" x14ac:dyDescent="0.25">
      <c r="C1420" s="4" t="str">
        <f>IFERROR(AVERAGEIFS('2. Program Allocation Output'!$P:$P,'2. Program Allocation Output'!$AF:$AF,$A1420,'2. Program Allocation Output'!$AG:$AG,$B1420),"")</f>
        <v/>
      </c>
      <c r="D1420" s="4" t="str">
        <f>IFERROR(AVERAGEIFS('2. Program Allocation Output'!$O:$O,'2. Program Allocation Output'!$AF:$AF,$A1420,'2. Program Allocation Output'!$AG:$AG,$B1420),"")</f>
        <v/>
      </c>
      <c r="E1420" s="5" t="str">
        <f>IFERROR(AVERAGEIFS('2. Program Allocation Output'!$L:$L,'2. Program Allocation Output'!$AF:$AF,$A1420,'2. Program Allocation Output'!$AG:$AG,$B1420),"")</f>
        <v/>
      </c>
      <c r="F1420" s="39" t="str">
        <f t="shared" si="47"/>
        <v/>
      </c>
      <c r="G1420" t="str">
        <f t="shared" si="46"/>
        <v/>
      </c>
    </row>
    <row r="1421" spans="3:7" ht="15" hidden="1" x14ac:dyDescent="0.25">
      <c r="C1421" s="4" t="str">
        <f>IFERROR(AVERAGEIFS('2. Program Allocation Output'!$P:$P,'2. Program Allocation Output'!$AF:$AF,$A1421,'2. Program Allocation Output'!$AG:$AG,$B1421),"")</f>
        <v/>
      </c>
      <c r="D1421" s="4" t="str">
        <f>IFERROR(AVERAGEIFS('2. Program Allocation Output'!$O:$O,'2. Program Allocation Output'!$AF:$AF,$A1421,'2. Program Allocation Output'!$AG:$AG,$B1421),"")</f>
        <v/>
      </c>
      <c r="E1421" s="5" t="str">
        <f>IFERROR(AVERAGEIFS('2. Program Allocation Output'!$L:$L,'2. Program Allocation Output'!$AF:$AF,$A1421,'2. Program Allocation Output'!$AG:$AG,$B1421),"")</f>
        <v/>
      </c>
      <c r="F1421" s="39" t="str">
        <f t="shared" si="47"/>
        <v/>
      </c>
      <c r="G1421" t="str">
        <f t="shared" si="46"/>
        <v/>
      </c>
    </row>
    <row r="1422" spans="3:7" ht="15" hidden="1" x14ac:dyDescent="0.25">
      <c r="C1422" s="4" t="str">
        <f>IFERROR(AVERAGEIFS('2. Program Allocation Output'!$P:$P,'2. Program Allocation Output'!$AF:$AF,$A1422,'2. Program Allocation Output'!$AG:$AG,$B1422),"")</f>
        <v/>
      </c>
      <c r="D1422" s="4" t="str">
        <f>IFERROR(AVERAGEIFS('2. Program Allocation Output'!$O:$O,'2. Program Allocation Output'!$AF:$AF,$A1422,'2. Program Allocation Output'!$AG:$AG,$B1422),"")</f>
        <v/>
      </c>
      <c r="E1422" s="5" t="str">
        <f>IFERROR(AVERAGEIFS('2. Program Allocation Output'!$L:$L,'2. Program Allocation Output'!$AF:$AF,$A1422,'2. Program Allocation Output'!$AG:$AG,$B1422),"")</f>
        <v/>
      </c>
      <c r="F1422" s="39" t="str">
        <f t="shared" si="47"/>
        <v/>
      </c>
      <c r="G1422" t="str">
        <f t="shared" ref="G1422:G1485" si="48">IFERROR(EXP(0.3*(F1422-C1422)/(E1422*0.1137)),"")</f>
        <v/>
      </c>
    </row>
    <row r="1423" spans="3:7" ht="15" hidden="1" x14ac:dyDescent="0.25">
      <c r="C1423" s="4" t="str">
        <f>IFERROR(AVERAGEIFS('2. Program Allocation Output'!$P:$P,'2. Program Allocation Output'!$AF:$AF,$A1423,'2. Program Allocation Output'!$AG:$AG,$B1423),"")</f>
        <v/>
      </c>
      <c r="D1423" s="4" t="str">
        <f>IFERROR(AVERAGEIFS('2. Program Allocation Output'!$O:$O,'2. Program Allocation Output'!$AF:$AF,$A1423,'2. Program Allocation Output'!$AG:$AG,$B1423),"")</f>
        <v/>
      </c>
      <c r="E1423" s="5" t="str">
        <f>IFERROR(AVERAGEIFS('2. Program Allocation Output'!$L:$L,'2. Program Allocation Output'!$AF:$AF,$A1423,'2. Program Allocation Output'!$AG:$AG,$B1423),"")</f>
        <v/>
      </c>
      <c r="F1423" s="39" t="str">
        <f t="shared" si="47"/>
        <v/>
      </c>
      <c r="G1423" t="str">
        <f t="shared" si="48"/>
        <v/>
      </c>
    </row>
    <row r="1424" spans="3:7" ht="15" hidden="1" x14ac:dyDescent="0.25">
      <c r="C1424" s="4" t="str">
        <f>IFERROR(AVERAGEIFS('2. Program Allocation Output'!$P:$P,'2. Program Allocation Output'!$AF:$AF,$A1424,'2. Program Allocation Output'!$AG:$AG,$B1424),"")</f>
        <v/>
      </c>
      <c r="D1424" s="4" t="str">
        <f>IFERROR(AVERAGEIFS('2. Program Allocation Output'!$O:$O,'2. Program Allocation Output'!$AF:$AF,$A1424,'2. Program Allocation Output'!$AG:$AG,$B1424),"")</f>
        <v/>
      </c>
      <c r="E1424" s="5" t="str">
        <f>IFERROR(AVERAGEIFS('2. Program Allocation Output'!$L:$L,'2. Program Allocation Output'!$AF:$AF,$A1424,'2. Program Allocation Output'!$AG:$AG,$B1424),"")</f>
        <v/>
      </c>
      <c r="F1424" s="39" t="str">
        <f t="shared" si="47"/>
        <v/>
      </c>
      <c r="G1424" t="str">
        <f t="shared" si="48"/>
        <v/>
      </c>
    </row>
    <row r="1425" spans="3:7" ht="15" hidden="1" x14ac:dyDescent="0.25">
      <c r="C1425" s="4" t="str">
        <f>IFERROR(AVERAGEIFS('2. Program Allocation Output'!$P:$P,'2. Program Allocation Output'!$AF:$AF,$A1425,'2. Program Allocation Output'!$AG:$AG,$B1425),"")</f>
        <v/>
      </c>
      <c r="D1425" s="4" t="str">
        <f>IFERROR(AVERAGEIFS('2. Program Allocation Output'!$O:$O,'2. Program Allocation Output'!$AF:$AF,$A1425,'2. Program Allocation Output'!$AG:$AG,$B1425),"")</f>
        <v/>
      </c>
      <c r="E1425" s="5" t="str">
        <f>IFERROR(AVERAGEIFS('2. Program Allocation Output'!$L:$L,'2. Program Allocation Output'!$AF:$AF,$A1425,'2. Program Allocation Output'!$AG:$AG,$B1425),"")</f>
        <v/>
      </c>
      <c r="F1425" s="39" t="str">
        <f t="shared" si="47"/>
        <v/>
      </c>
      <c r="G1425" t="str">
        <f t="shared" si="48"/>
        <v/>
      </c>
    </row>
    <row r="1426" spans="3:7" ht="15" hidden="1" x14ac:dyDescent="0.25">
      <c r="C1426" s="4" t="str">
        <f>IFERROR(AVERAGEIFS('2. Program Allocation Output'!$P:$P,'2. Program Allocation Output'!$AF:$AF,$A1426,'2. Program Allocation Output'!$AG:$AG,$B1426),"")</f>
        <v/>
      </c>
      <c r="D1426" s="4" t="str">
        <f>IFERROR(AVERAGEIFS('2. Program Allocation Output'!$O:$O,'2. Program Allocation Output'!$AF:$AF,$A1426,'2. Program Allocation Output'!$AG:$AG,$B1426),"")</f>
        <v/>
      </c>
      <c r="E1426" s="5" t="str">
        <f>IFERROR(AVERAGEIFS('2. Program Allocation Output'!$L:$L,'2. Program Allocation Output'!$AF:$AF,$A1426,'2. Program Allocation Output'!$AG:$AG,$B1426),"")</f>
        <v/>
      </c>
      <c r="F1426" s="39" t="str">
        <f t="shared" si="47"/>
        <v/>
      </c>
      <c r="G1426" t="str">
        <f t="shared" si="48"/>
        <v/>
      </c>
    </row>
    <row r="1427" spans="3:7" ht="15" hidden="1" x14ac:dyDescent="0.25">
      <c r="C1427" s="4" t="str">
        <f>IFERROR(AVERAGEIFS('2. Program Allocation Output'!$P:$P,'2. Program Allocation Output'!$AF:$AF,$A1427,'2. Program Allocation Output'!$AG:$AG,$B1427),"")</f>
        <v/>
      </c>
      <c r="D1427" s="4" t="str">
        <f>IFERROR(AVERAGEIFS('2. Program Allocation Output'!$O:$O,'2. Program Allocation Output'!$AF:$AF,$A1427,'2. Program Allocation Output'!$AG:$AG,$B1427),"")</f>
        <v/>
      </c>
      <c r="E1427" s="5" t="str">
        <f>IFERROR(AVERAGEIFS('2. Program Allocation Output'!$L:$L,'2. Program Allocation Output'!$AF:$AF,$A1427,'2. Program Allocation Output'!$AG:$AG,$B1427),"")</f>
        <v/>
      </c>
      <c r="F1427" s="39" t="str">
        <f t="shared" si="47"/>
        <v/>
      </c>
      <c r="G1427" t="str">
        <f t="shared" si="48"/>
        <v/>
      </c>
    </row>
    <row r="1428" spans="3:7" ht="15" hidden="1" x14ac:dyDescent="0.25">
      <c r="C1428" s="4" t="str">
        <f>IFERROR(AVERAGEIFS('2. Program Allocation Output'!$P:$P,'2. Program Allocation Output'!$AF:$AF,$A1428,'2. Program Allocation Output'!$AG:$AG,$B1428),"")</f>
        <v/>
      </c>
      <c r="D1428" s="4" t="str">
        <f>IFERROR(AVERAGEIFS('2. Program Allocation Output'!$O:$O,'2. Program Allocation Output'!$AF:$AF,$A1428,'2. Program Allocation Output'!$AG:$AG,$B1428),"")</f>
        <v/>
      </c>
      <c r="E1428" s="5" t="str">
        <f>IFERROR(AVERAGEIFS('2. Program Allocation Output'!$L:$L,'2. Program Allocation Output'!$AF:$AF,$A1428,'2. Program Allocation Output'!$AG:$AG,$B1428),"")</f>
        <v/>
      </c>
      <c r="F1428" s="39" t="str">
        <f t="shared" si="47"/>
        <v/>
      </c>
      <c r="G1428" t="str">
        <f t="shared" si="48"/>
        <v/>
      </c>
    </row>
    <row r="1429" spans="3:7" ht="15" hidden="1" x14ac:dyDescent="0.25">
      <c r="C1429" s="4" t="str">
        <f>IFERROR(AVERAGEIFS('2. Program Allocation Output'!$P:$P,'2. Program Allocation Output'!$AF:$AF,$A1429,'2. Program Allocation Output'!$AG:$AG,$B1429),"")</f>
        <v/>
      </c>
      <c r="D1429" s="4" t="str">
        <f>IFERROR(AVERAGEIFS('2. Program Allocation Output'!$O:$O,'2. Program Allocation Output'!$AF:$AF,$A1429,'2. Program Allocation Output'!$AG:$AG,$B1429),"")</f>
        <v/>
      </c>
      <c r="E1429" s="5" t="str">
        <f>IFERROR(AVERAGEIFS('2. Program Allocation Output'!$L:$L,'2. Program Allocation Output'!$AF:$AF,$A1429,'2. Program Allocation Output'!$AG:$AG,$B1429),"")</f>
        <v/>
      </c>
      <c r="F1429" s="39" t="str">
        <f t="shared" si="47"/>
        <v/>
      </c>
      <c r="G1429" t="str">
        <f t="shared" si="48"/>
        <v/>
      </c>
    </row>
    <row r="1430" spans="3:7" ht="15" hidden="1" x14ac:dyDescent="0.25">
      <c r="C1430" s="4" t="str">
        <f>IFERROR(AVERAGEIFS('2. Program Allocation Output'!$P:$P,'2. Program Allocation Output'!$AF:$AF,$A1430,'2. Program Allocation Output'!$AG:$AG,$B1430),"")</f>
        <v/>
      </c>
      <c r="D1430" s="4" t="str">
        <f>IFERROR(AVERAGEIFS('2. Program Allocation Output'!$O:$O,'2. Program Allocation Output'!$AF:$AF,$A1430,'2. Program Allocation Output'!$AG:$AG,$B1430),"")</f>
        <v/>
      </c>
      <c r="E1430" s="5" t="str">
        <f>IFERROR(AVERAGEIFS('2. Program Allocation Output'!$L:$L,'2. Program Allocation Output'!$AF:$AF,$A1430,'2. Program Allocation Output'!$AG:$AG,$B1430),"")</f>
        <v/>
      </c>
      <c r="F1430" s="39" t="str">
        <f t="shared" si="47"/>
        <v/>
      </c>
      <c r="G1430" t="str">
        <f t="shared" si="48"/>
        <v/>
      </c>
    </row>
    <row r="1431" spans="3:7" ht="15" hidden="1" x14ac:dyDescent="0.25">
      <c r="C1431" s="4" t="str">
        <f>IFERROR(AVERAGEIFS('2. Program Allocation Output'!$P:$P,'2. Program Allocation Output'!$AF:$AF,$A1431,'2. Program Allocation Output'!$AG:$AG,$B1431),"")</f>
        <v/>
      </c>
      <c r="D1431" s="4" t="str">
        <f>IFERROR(AVERAGEIFS('2. Program Allocation Output'!$O:$O,'2. Program Allocation Output'!$AF:$AF,$A1431,'2. Program Allocation Output'!$AG:$AG,$B1431),"")</f>
        <v/>
      </c>
      <c r="E1431" s="5" t="str">
        <f>IFERROR(AVERAGEIFS('2. Program Allocation Output'!$L:$L,'2. Program Allocation Output'!$AF:$AF,$A1431,'2. Program Allocation Output'!$AG:$AG,$B1431),"")</f>
        <v/>
      </c>
      <c r="F1431" s="39" t="str">
        <f t="shared" si="47"/>
        <v/>
      </c>
      <c r="G1431" t="str">
        <f t="shared" si="48"/>
        <v/>
      </c>
    </row>
    <row r="1432" spans="3:7" ht="15" hidden="1" x14ac:dyDescent="0.25">
      <c r="C1432" s="4" t="str">
        <f>IFERROR(AVERAGEIFS('2. Program Allocation Output'!$P:$P,'2. Program Allocation Output'!$AF:$AF,$A1432,'2. Program Allocation Output'!$AG:$AG,$B1432),"")</f>
        <v/>
      </c>
      <c r="D1432" s="4" t="str">
        <f>IFERROR(AVERAGEIFS('2. Program Allocation Output'!$O:$O,'2. Program Allocation Output'!$AF:$AF,$A1432,'2. Program Allocation Output'!$AG:$AG,$B1432),"")</f>
        <v/>
      </c>
      <c r="E1432" s="5" t="str">
        <f>IFERROR(AVERAGEIFS('2. Program Allocation Output'!$L:$L,'2. Program Allocation Output'!$AF:$AF,$A1432,'2. Program Allocation Output'!$AG:$AG,$B1432),"")</f>
        <v/>
      </c>
      <c r="F1432" s="39" t="str">
        <f t="shared" si="47"/>
        <v/>
      </c>
      <c r="G1432" t="str">
        <f t="shared" si="48"/>
        <v/>
      </c>
    </row>
    <row r="1433" spans="3:7" ht="15" hidden="1" x14ac:dyDescent="0.25">
      <c r="C1433" s="4" t="str">
        <f>IFERROR(AVERAGEIFS('2. Program Allocation Output'!$P:$P,'2. Program Allocation Output'!$AF:$AF,$A1433,'2. Program Allocation Output'!$AG:$AG,$B1433),"")</f>
        <v/>
      </c>
      <c r="D1433" s="4" t="str">
        <f>IFERROR(AVERAGEIFS('2. Program Allocation Output'!$O:$O,'2. Program Allocation Output'!$AF:$AF,$A1433,'2. Program Allocation Output'!$AG:$AG,$B1433),"")</f>
        <v/>
      </c>
      <c r="E1433" s="5" t="str">
        <f>IFERROR(AVERAGEIFS('2. Program Allocation Output'!$L:$L,'2. Program Allocation Output'!$AF:$AF,$A1433,'2. Program Allocation Output'!$AG:$AG,$B1433),"")</f>
        <v/>
      </c>
      <c r="F1433" s="39" t="str">
        <f t="shared" si="47"/>
        <v/>
      </c>
      <c r="G1433" t="str">
        <f t="shared" si="48"/>
        <v/>
      </c>
    </row>
    <row r="1434" spans="3:7" ht="15" hidden="1" x14ac:dyDescent="0.25">
      <c r="C1434" s="4" t="str">
        <f>IFERROR(AVERAGEIFS('2. Program Allocation Output'!$P:$P,'2. Program Allocation Output'!$AF:$AF,$A1434,'2. Program Allocation Output'!$AG:$AG,$B1434),"")</f>
        <v/>
      </c>
      <c r="D1434" s="4" t="str">
        <f>IFERROR(AVERAGEIFS('2. Program Allocation Output'!$O:$O,'2. Program Allocation Output'!$AF:$AF,$A1434,'2. Program Allocation Output'!$AG:$AG,$B1434),"")</f>
        <v/>
      </c>
      <c r="E1434" s="5" t="str">
        <f>IFERROR(AVERAGEIFS('2. Program Allocation Output'!$L:$L,'2. Program Allocation Output'!$AF:$AF,$A1434,'2. Program Allocation Output'!$AG:$AG,$B1434),"")</f>
        <v/>
      </c>
      <c r="F1434" s="39" t="str">
        <f t="shared" si="47"/>
        <v/>
      </c>
      <c r="G1434" t="str">
        <f t="shared" si="48"/>
        <v/>
      </c>
    </row>
    <row r="1435" spans="3:7" ht="15" hidden="1" x14ac:dyDescent="0.25">
      <c r="C1435" s="4" t="str">
        <f>IFERROR(AVERAGEIFS('2. Program Allocation Output'!$P:$P,'2. Program Allocation Output'!$AF:$AF,$A1435,'2. Program Allocation Output'!$AG:$AG,$B1435),"")</f>
        <v/>
      </c>
      <c r="D1435" s="4" t="str">
        <f>IFERROR(AVERAGEIFS('2. Program Allocation Output'!$O:$O,'2. Program Allocation Output'!$AF:$AF,$A1435,'2. Program Allocation Output'!$AG:$AG,$B1435),"")</f>
        <v/>
      </c>
      <c r="E1435" s="5" t="str">
        <f>IFERROR(AVERAGEIFS('2. Program Allocation Output'!$L:$L,'2. Program Allocation Output'!$AF:$AF,$A1435,'2. Program Allocation Output'!$AG:$AG,$B1435),"")</f>
        <v/>
      </c>
      <c r="F1435" s="39" t="str">
        <f t="shared" si="47"/>
        <v/>
      </c>
      <c r="G1435" t="str">
        <f t="shared" si="48"/>
        <v/>
      </c>
    </row>
    <row r="1436" spans="3:7" ht="15" hidden="1" x14ac:dyDescent="0.25">
      <c r="C1436" s="4" t="str">
        <f>IFERROR(AVERAGEIFS('2. Program Allocation Output'!$P:$P,'2. Program Allocation Output'!$AF:$AF,$A1436,'2. Program Allocation Output'!$AG:$AG,$B1436),"")</f>
        <v/>
      </c>
      <c r="D1436" s="4" t="str">
        <f>IFERROR(AVERAGEIFS('2. Program Allocation Output'!$O:$O,'2. Program Allocation Output'!$AF:$AF,$A1436,'2. Program Allocation Output'!$AG:$AG,$B1436),"")</f>
        <v/>
      </c>
      <c r="E1436" s="5" t="str">
        <f>IFERROR(AVERAGEIFS('2. Program Allocation Output'!$L:$L,'2. Program Allocation Output'!$AF:$AF,$A1436,'2. Program Allocation Output'!$AG:$AG,$B1436),"")</f>
        <v/>
      </c>
      <c r="F1436" s="39" t="str">
        <f t="shared" si="47"/>
        <v/>
      </c>
      <c r="G1436" t="str">
        <f t="shared" si="48"/>
        <v/>
      </c>
    </row>
    <row r="1437" spans="3:7" ht="15" hidden="1" x14ac:dyDescent="0.25">
      <c r="C1437" s="4" t="str">
        <f>IFERROR(AVERAGEIFS('2. Program Allocation Output'!$P:$P,'2. Program Allocation Output'!$AF:$AF,$A1437,'2. Program Allocation Output'!$AG:$AG,$B1437),"")</f>
        <v/>
      </c>
      <c r="D1437" s="4" t="str">
        <f>IFERROR(AVERAGEIFS('2. Program Allocation Output'!$O:$O,'2. Program Allocation Output'!$AF:$AF,$A1437,'2. Program Allocation Output'!$AG:$AG,$B1437),"")</f>
        <v/>
      </c>
      <c r="E1437" s="5" t="str">
        <f>IFERROR(AVERAGEIFS('2. Program Allocation Output'!$L:$L,'2. Program Allocation Output'!$AF:$AF,$A1437,'2. Program Allocation Output'!$AG:$AG,$B1437),"")</f>
        <v/>
      </c>
      <c r="F1437" s="39" t="str">
        <f t="shared" si="47"/>
        <v/>
      </c>
      <c r="G1437" t="str">
        <f t="shared" si="48"/>
        <v/>
      </c>
    </row>
    <row r="1438" spans="3:7" ht="15" hidden="1" x14ac:dyDescent="0.25">
      <c r="C1438" s="4" t="str">
        <f>IFERROR(AVERAGEIFS('2. Program Allocation Output'!$P:$P,'2. Program Allocation Output'!$AF:$AF,$A1438,'2. Program Allocation Output'!$AG:$AG,$B1438),"")</f>
        <v/>
      </c>
      <c r="D1438" s="4" t="str">
        <f>IFERROR(AVERAGEIFS('2. Program Allocation Output'!$O:$O,'2. Program Allocation Output'!$AF:$AF,$A1438,'2. Program Allocation Output'!$AG:$AG,$B1438),"")</f>
        <v/>
      </c>
      <c r="E1438" s="5" t="str">
        <f>IFERROR(AVERAGEIFS('2. Program Allocation Output'!$L:$L,'2. Program Allocation Output'!$AF:$AF,$A1438,'2. Program Allocation Output'!$AG:$AG,$B1438),"")</f>
        <v/>
      </c>
      <c r="F1438" s="39" t="str">
        <f t="shared" si="47"/>
        <v/>
      </c>
      <c r="G1438" t="str">
        <f t="shared" si="48"/>
        <v/>
      </c>
    </row>
    <row r="1439" spans="3:7" ht="15" hidden="1" x14ac:dyDescent="0.25">
      <c r="C1439" s="4" t="str">
        <f>IFERROR(AVERAGEIFS('2. Program Allocation Output'!$P:$P,'2. Program Allocation Output'!$AF:$AF,$A1439,'2. Program Allocation Output'!$AG:$AG,$B1439),"")</f>
        <v/>
      </c>
      <c r="D1439" s="4" t="str">
        <f>IFERROR(AVERAGEIFS('2. Program Allocation Output'!$O:$O,'2. Program Allocation Output'!$AF:$AF,$A1439,'2. Program Allocation Output'!$AG:$AG,$B1439),"")</f>
        <v/>
      </c>
      <c r="E1439" s="5" t="str">
        <f>IFERROR(AVERAGEIFS('2. Program Allocation Output'!$L:$L,'2. Program Allocation Output'!$AF:$AF,$A1439,'2. Program Allocation Output'!$AG:$AG,$B1439),"")</f>
        <v/>
      </c>
      <c r="F1439" s="39" t="str">
        <f t="shared" si="47"/>
        <v/>
      </c>
      <c r="G1439" t="str">
        <f t="shared" si="48"/>
        <v/>
      </c>
    </row>
    <row r="1440" spans="3:7" ht="15" hidden="1" x14ac:dyDescent="0.25">
      <c r="C1440" s="4" t="str">
        <f>IFERROR(AVERAGEIFS('2. Program Allocation Output'!$P:$P,'2. Program Allocation Output'!$AF:$AF,$A1440,'2. Program Allocation Output'!$AG:$AG,$B1440),"")</f>
        <v/>
      </c>
      <c r="D1440" s="4" t="str">
        <f>IFERROR(AVERAGEIFS('2. Program Allocation Output'!$O:$O,'2. Program Allocation Output'!$AF:$AF,$A1440,'2. Program Allocation Output'!$AG:$AG,$B1440),"")</f>
        <v/>
      </c>
      <c r="E1440" s="5" t="str">
        <f>IFERROR(AVERAGEIFS('2. Program Allocation Output'!$L:$L,'2. Program Allocation Output'!$AF:$AF,$A1440,'2. Program Allocation Output'!$AG:$AG,$B1440),"")</f>
        <v/>
      </c>
      <c r="F1440" s="39" t="str">
        <f t="shared" si="47"/>
        <v/>
      </c>
      <c r="G1440" t="str">
        <f t="shared" si="48"/>
        <v/>
      </c>
    </row>
    <row r="1441" spans="3:7" ht="15" hidden="1" x14ac:dyDescent="0.25">
      <c r="C1441" s="4" t="str">
        <f>IFERROR(AVERAGEIFS('2. Program Allocation Output'!$P:$P,'2. Program Allocation Output'!$AF:$AF,$A1441,'2. Program Allocation Output'!$AG:$AG,$B1441),"")</f>
        <v/>
      </c>
      <c r="D1441" s="4" t="str">
        <f>IFERROR(AVERAGEIFS('2. Program Allocation Output'!$O:$O,'2. Program Allocation Output'!$AF:$AF,$A1441,'2. Program Allocation Output'!$AG:$AG,$B1441),"")</f>
        <v/>
      </c>
      <c r="E1441" s="5" t="str">
        <f>IFERROR(AVERAGEIFS('2. Program Allocation Output'!$L:$L,'2. Program Allocation Output'!$AF:$AF,$A1441,'2. Program Allocation Output'!$AG:$AG,$B1441),"")</f>
        <v/>
      </c>
      <c r="F1441" s="39" t="str">
        <f t="shared" si="47"/>
        <v/>
      </c>
      <c r="G1441" t="str">
        <f t="shared" si="48"/>
        <v/>
      </c>
    </row>
    <row r="1442" spans="3:7" ht="15" hidden="1" x14ac:dyDescent="0.25">
      <c r="C1442" s="4" t="str">
        <f>IFERROR(AVERAGEIFS('2. Program Allocation Output'!$P:$P,'2. Program Allocation Output'!$AF:$AF,$A1442,'2. Program Allocation Output'!$AG:$AG,$B1442),"")</f>
        <v/>
      </c>
      <c r="D1442" s="4" t="str">
        <f>IFERROR(AVERAGEIFS('2. Program Allocation Output'!$O:$O,'2. Program Allocation Output'!$AF:$AF,$A1442,'2. Program Allocation Output'!$AG:$AG,$B1442),"")</f>
        <v/>
      </c>
      <c r="E1442" s="5" t="str">
        <f>IFERROR(AVERAGEIFS('2. Program Allocation Output'!$L:$L,'2. Program Allocation Output'!$AF:$AF,$A1442,'2. Program Allocation Output'!$AG:$AG,$B1442),"")</f>
        <v/>
      </c>
      <c r="F1442" s="39" t="str">
        <f t="shared" si="47"/>
        <v/>
      </c>
      <c r="G1442" t="str">
        <f t="shared" si="48"/>
        <v/>
      </c>
    </row>
    <row r="1443" spans="3:7" ht="15" hidden="1" x14ac:dyDescent="0.25">
      <c r="C1443" s="4" t="str">
        <f>IFERROR(AVERAGEIFS('2. Program Allocation Output'!$P:$P,'2. Program Allocation Output'!$AF:$AF,$A1443,'2. Program Allocation Output'!$AG:$AG,$B1443),"")</f>
        <v/>
      </c>
      <c r="D1443" s="4" t="str">
        <f>IFERROR(AVERAGEIFS('2. Program Allocation Output'!$O:$O,'2. Program Allocation Output'!$AF:$AF,$A1443,'2. Program Allocation Output'!$AG:$AG,$B1443),"")</f>
        <v/>
      </c>
      <c r="E1443" s="5" t="str">
        <f>IFERROR(AVERAGEIFS('2. Program Allocation Output'!$L:$L,'2. Program Allocation Output'!$AF:$AF,$A1443,'2. Program Allocation Output'!$AG:$AG,$B1443),"")</f>
        <v/>
      </c>
      <c r="F1443" s="39" t="str">
        <f t="shared" si="47"/>
        <v/>
      </c>
      <c r="G1443" t="str">
        <f t="shared" si="48"/>
        <v/>
      </c>
    </row>
    <row r="1444" spans="3:7" ht="15" hidden="1" x14ac:dyDescent="0.25">
      <c r="C1444" s="4" t="str">
        <f>IFERROR(AVERAGEIFS('2. Program Allocation Output'!$P:$P,'2. Program Allocation Output'!$AF:$AF,$A1444,'2. Program Allocation Output'!$AG:$AG,$B1444),"")</f>
        <v/>
      </c>
      <c r="D1444" s="4" t="str">
        <f>IFERROR(AVERAGEIFS('2. Program Allocation Output'!$O:$O,'2. Program Allocation Output'!$AF:$AF,$A1444,'2. Program Allocation Output'!$AG:$AG,$B1444),"")</f>
        <v/>
      </c>
      <c r="E1444" s="5" t="str">
        <f>IFERROR(AVERAGEIFS('2. Program Allocation Output'!$L:$L,'2. Program Allocation Output'!$AF:$AF,$A1444,'2. Program Allocation Output'!$AG:$AG,$B1444),"")</f>
        <v/>
      </c>
      <c r="F1444" s="39" t="str">
        <f t="shared" si="47"/>
        <v/>
      </c>
      <c r="G1444" t="str">
        <f t="shared" si="48"/>
        <v/>
      </c>
    </row>
    <row r="1445" spans="3:7" ht="15" hidden="1" x14ac:dyDescent="0.25">
      <c r="C1445" s="4" t="str">
        <f>IFERROR(AVERAGEIFS('2. Program Allocation Output'!$P:$P,'2. Program Allocation Output'!$AF:$AF,$A1445,'2. Program Allocation Output'!$AG:$AG,$B1445),"")</f>
        <v/>
      </c>
      <c r="D1445" s="4" t="str">
        <f>IFERROR(AVERAGEIFS('2. Program Allocation Output'!$O:$O,'2. Program Allocation Output'!$AF:$AF,$A1445,'2. Program Allocation Output'!$AG:$AG,$B1445),"")</f>
        <v/>
      </c>
      <c r="E1445" s="5" t="str">
        <f>IFERROR(AVERAGEIFS('2. Program Allocation Output'!$L:$L,'2. Program Allocation Output'!$AF:$AF,$A1445,'2. Program Allocation Output'!$AG:$AG,$B1445),"")</f>
        <v/>
      </c>
      <c r="F1445" s="39" t="str">
        <f t="shared" si="47"/>
        <v/>
      </c>
      <c r="G1445" t="str">
        <f t="shared" si="48"/>
        <v/>
      </c>
    </row>
    <row r="1446" spans="3:7" ht="15" hidden="1" x14ac:dyDescent="0.25">
      <c r="C1446" s="4" t="str">
        <f>IFERROR(AVERAGEIFS('2. Program Allocation Output'!$P:$P,'2. Program Allocation Output'!$AF:$AF,$A1446,'2. Program Allocation Output'!$AG:$AG,$B1446),"")</f>
        <v/>
      </c>
      <c r="D1446" s="4" t="str">
        <f>IFERROR(AVERAGEIFS('2. Program Allocation Output'!$O:$O,'2. Program Allocation Output'!$AF:$AF,$A1446,'2. Program Allocation Output'!$AG:$AG,$B1446),"")</f>
        <v/>
      </c>
      <c r="E1446" s="5" t="str">
        <f>IFERROR(AVERAGEIFS('2. Program Allocation Output'!$L:$L,'2. Program Allocation Output'!$AF:$AF,$A1446,'2. Program Allocation Output'!$AG:$AG,$B1446),"")</f>
        <v/>
      </c>
      <c r="F1446" s="39" t="str">
        <f t="shared" si="47"/>
        <v/>
      </c>
      <c r="G1446" t="str">
        <f t="shared" si="48"/>
        <v/>
      </c>
    </row>
    <row r="1447" spans="3:7" ht="15" hidden="1" x14ac:dyDescent="0.25">
      <c r="C1447" s="4" t="str">
        <f>IFERROR(AVERAGEIFS('2. Program Allocation Output'!$P:$P,'2. Program Allocation Output'!$AF:$AF,$A1447,'2. Program Allocation Output'!$AG:$AG,$B1447),"")</f>
        <v/>
      </c>
      <c r="D1447" s="4" t="str">
        <f>IFERROR(AVERAGEIFS('2. Program Allocation Output'!$O:$O,'2. Program Allocation Output'!$AF:$AF,$A1447,'2. Program Allocation Output'!$AG:$AG,$B1447),"")</f>
        <v/>
      </c>
      <c r="E1447" s="5" t="str">
        <f>IFERROR(AVERAGEIFS('2. Program Allocation Output'!$L:$L,'2. Program Allocation Output'!$AF:$AF,$A1447,'2. Program Allocation Output'!$AG:$AG,$B1447),"")</f>
        <v/>
      </c>
      <c r="F1447" s="39" t="str">
        <f t="shared" si="47"/>
        <v/>
      </c>
      <c r="G1447" t="str">
        <f t="shared" si="48"/>
        <v/>
      </c>
    </row>
    <row r="1448" spans="3:7" ht="15" hidden="1" x14ac:dyDescent="0.25">
      <c r="C1448" s="4" t="str">
        <f>IFERROR(AVERAGEIFS('2. Program Allocation Output'!$P:$P,'2. Program Allocation Output'!$AF:$AF,$A1448,'2. Program Allocation Output'!$AG:$AG,$B1448),"")</f>
        <v/>
      </c>
      <c r="D1448" s="4" t="str">
        <f>IFERROR(AVERAGEIFS('2. Program Allocation Output'!$O:$O,'2. Program Allocation Output'!$AF:$AF,$A1448,'2. Program Allocation Output'!$AG:$AG,$B1448),"")</f>
        <v/>
      </c>
      <c r="E1448" s="5" t="str">
        <f>IFERROR(AVERAGEIFS('2. Program Allocation Output'!$L:$L,'2. Program Allocation Output'!$AF:$AF,$A1448,'2. Program Allocation Output'!$AG:$AG,$B1448),"")</f>
        <v/>
      </c>
      <c r="F1448" s="39" t="str">
        <f t="shared" si="47"/>
        <v/>
      </c>
      <c r="G1448" t="str">
        <f t="shared" si="48"/>
        <v/>
      </c>
    </row>
    <row r="1449" spans="3:7" ht="15" hidden="1" x14ac:dyDescent="0.25">
      <c r="C1449" s="4" t="str">
        <f>IFERROR(AVERAGEIFS('2. Program Allocation Output'!$P:$P,'2. Program Allocation Output'!$AF:$AF,$A1449,'2. Program Allocation Output'!$AG:$AG,$B1449),"")</f>
        <v/>
      </c>
      <c r="D1449" s="4" t="str">
        <f>IFERROR(AVERAGEIFS('2. Program Allocation Output'!$O:$O,'2. Program Allocation Output'!$AF:$AF,$A1449,'2. Program Allocation Output'!$AG:$AG,$B1449),"")</f>
        <v/>
      </c>
      <c r="E1449" s="5" t="str">
        <f>IFERROR(AVERAGEIFS('2. Program Allocation Output'!$L:$L,'2. Program Allocation Output'!$AF:$AF,$A1449,'2. Program Allocation Output'!$AG:$AG,$B1449),"")</f>
        <v/>
      </c>
      <c r="F1449" s="39" t="str">
        <f t="shared" si="47"/>
        <v/>
      </c>
      <c r="G1449" t="str">
        <f t="shared" si="48"/>
        <v/>
      </c>
    </row>
    <row r="1450" spans="3:7" ht="15" hidden="1" x14ac:dyDescent="0.25">
      <c r="C1450" s="4" t="str">
        <f>IFERROR(AVERAGEIFS('2. Program Allocation Output'!$P:$P,'2. Program Allocation Output'!$AF:$AF,$A1450,'2. Program Allocation Output'!$AG:$AG,$B1450),"")</f>
        <v/>
      </c>
      <c r="D1450" s="4" t="str">
        <f>IFERROR(AVERAGEIFS('2. Program Allocation Output'!$O:$O,'2. Program Allocation Output'!$AF:$AF,$A1450,'2. Program Allocation Output'!$AG:$AG,$B1450),"")</f>
        <v/>
      </c>
      <c r="E1450" s="5" t="str">
        <f>IFERROR(AVERAGEIFS('2. Program Allocation Output'!$L:$L,'2. Program Allocation Output'!$AF:$AF,$A1450,'2. Program Allocation Output'!$AG:$AG,$B1450),"")</f>
        <v/>
      </c>
      <c r="F1450" s="39" t="str">
        <f t="shared" si="47"/>
        <v/>
      </c>
      <c r="G1450" t="str">
        <f t="shared" si="48"/>
        <v/>
      </c>
    </row>
    <row r="1451" spans="3:7" ht="15" hidden="1" x14ac:dyDescent="0.25">
      <c r="C1451" s="4" t="str">
        <f>IFERROR(AVERAGEIFS('2. Program Allocation Output'!$P:$P,'2. Program Allocation Output'!$AF:$AF,$A1451,'2. Program Allocation Output'!$AG:$AG,$B1451),"")</f>
        <v/>
      </c>
      <c r="D1451" s="4" t="str">
        <f>IFERROR(AVERAGEIFS('2. Program Allocation Output'!$O:$O,'2. Program Allocation Output'!$AF:$AF,$A1451,'2. Program Allocation Output'!$AG:$AG,$B1451),"")</f>
        <v/>
      </c>
      <c r="E1451" s="5" t="str">
        <f>IFERROR(AVERAGEIFS('2. Program Allocation Output'!$L:$L,'2. Program Allocation Output'!$AF:$AF,$A1451,'2. Program Allocation Output'!$AG:$AG,$B1451),"")</f>
        <v/>
      </c>
      <c r="F1451" s="39" t="str">
        <f t="shared" si="47"/>
        <v/>
      </c>
      <c r="G1451" t="str">
        <f t="shared" si="48"/>
        <v/>
      </c>
    </row>
    <row r="1452" spans="3:7" ht="15" hidden="1" x14ac:dyDescent="0.25">
      <c r="C1452" s="4" t="str">
        <f>IFERROR(AVERAGEIFS('2. Program Allocation Output'!$P:$P,'2. Program Allocation Output'!$AF:$AF,$A1452,'2. Program Allocation Output'!$AG:$AG,$B1452),"")</f>
        <v/>
      </c>
      <c r="D1452" s="4" t="str">
        <f>IFERROR(AVERAGEIFS('2. Program Allocation Output'!$O:$O,'2. Program Allocation Output'!$AF:$AF,$A1452,'2. Program Allocation Output'!$AG:$AG,$B1452),"")</f>
        <v/>
      </c>
      <c r="E1452" s="5" t="str">
        <f>IFERROR(AVERAGEIFS('2. Program Allocation Output'!$L:$L,'2. Program Allocation Output'!$AF:$AF,$A1452,'2. Program Allocation Output'!$AG:$AG,$B1452),"")</f>
        <v/>
      </c>
      <c r="F1452" s="39" t="str">
        <f t="shared" si="47"/>
        <v/>
      </c>
      <c r="G1452" t="str">
        <f t="shared" si="48"/>
        <v/>
      </c>
    </row>
    <row r="1453" spans="3:7" ht="15" hidden="1" x14ac:dyDescent="0.25">
      <c r="C1453" s="4" t="str">
        <f>IFERROR(AVERAGEIFS('2. Program Allocation Output'!$P:$P,'2. Program Allocation Output'!$AF:$AF,$A1453,'2. Program Allocation Output'!$AG:$AG,$B1453),"")</f>
        <v/>
      </c>
      <c r="D1453" s="4" t="str">
        <f>IFERROR(AVERAGEIFS('2. Program Allocation Output'!$O:$O,'2. Program Allocation Output'!$AF:$AF,$A1453,'2. Program Allocation Output'!$AG:$AG,$B1453),"")</f>
        <v/>
      </c>
      <c r="E1453" s="5" t="str">
        <f>IFERROR(AVERAGEIFS('2. Program Allocation Output'!$L:$L,'2. Program Allocation Output'!$AF:$AF,$A1453,'2. Program Allocation Output'!$AG:$AG,$B1453),"")</f>
        <v/>
      </c>
      <c r="F1453" s="39" t="str">
        <f t="shared" si="47"/>
        <v/>
      </c>
      <c r="G1453" t="str">
        <f t="shared" si="48"/>
        <v/>
      </c>
    </row>
    <row r="1454" spans="3:7" ht="15" hidden="1" x14ac:dyDescent="0.25">
      <c r="C1454" s="4" t="str">
        <f>IFERROR(AVERAGEIFS('2. Program Allocation Output'!$P:$P,'2. Program Allocation Output'!$AF:$AF,$A1454,'2. Program Allocation Output'!$AG:$AG,$B1454),"")</f>
        <v/>
      </c>
      <c r="D1454" s="4" t="str">
        <f>IFERROR(AVERAGEIFS('2. Program Allocation Output'!$O:$O,'2. Program Allocation Output'!$AF:$AF,$A1454,'2. Program Allocation Output'!$AG:$AG,$B1454),"")</f>
        <v/>
      </c>
      <c r="E1454" s="5" t="str">
        <f>IFERROR(AVERAGEIFS('2. Program Allocation Output'!$L:$L,'2. Program Allocation Output'!$AF:$AF,$A1454,'2. Program Allocation Output'!$AG:$AG,$B1454),"")</f>
        <v/>
      </c>
      <c r="F1454" s="39" t="str">
        <f t="shared" si="47"/>
        <v/>
      </c>
      <c r="G1454" t="str">
        <f t="shared" si="48"/>
        <v/>
      </c>
    </row>
    <row r="1455" spans="3:7" ht="15" hidden="1" x14ac:dyDescent="0.25">
      <c r="C1455" s="4" t="str">
        <f>IFERROR(AVERAGEIFS('2. Program Allocation Output'!$P:$P,'2. Program Allocation Output'!$AF:$AF,$A1455,'2. Program Allocation Output'!$AG:$AG,$B1455),"")</f>
        <v/>
      </c>
      <c r="D1455" s="4" t="str">
        <f>IFERROR(AVERAGEIFS('2. Program Allocation Output'!$O:$O,'2. Program Allocation Output'!$AF:$AF,$A1455,'2. Program Allocation Output'!$AG:$AG,$B1455),"")</f>
        <v/>
      </c>
      <c r="E1455" s="5" t="str">
        <f>IFERROR(AVERAGEIFS('2. Program Allocation Output'!$L:$L,'2. Program Allocation Output'!$AF:$AF,$A1455,'2. Program Allocation Output'!$AG:$AG,$B1455),"")</f>
        <v/>
      </c>
      <c r="F1455" s="39" t="str">
        <f t="shared" si="47"/>
        <v/>
      </c>
      <c r="G1455" t="str">
        <f t="shared" si="48"/>
        <v/>
      </c>
    </row>
    <row r="1456" spans="3:7" ht="15" hidden="1" x14ac:dyDescent="0.25">
      <c r="C1456" s="4" t="str">
        <f>IFERROR(AVERAGEIFS('2. Program Allocation Output'!$P:$P,'2. Program Allocation Output'!$AF:$AF,$A1456,'2. Program Allocation Output'!$AG:$AG,$B1456),"")</f>
        <v/>
      </c>
      <c r="D1456" s="4" t="str">
        <f>IFERROR(AVERAGEIFS('2. Program Allocation Output'!$O:$O,'2. Program Allocation Output'!$AF:$AF,$A1456,'2. Program Allocation Output'!$AG:$AG,$B1456),"")</f>
        <v/>
      </c>
      <c r="E1456" s="5" t="str">
        <f>IFERROR(AVERAGEIFS('2. Program Allocation Output'!$L:$L,'2. Program Allocation Output'!$AF:$AF,$A1456,'2. Program Allocation Output'!$AG:$AG,$B1456),"")</f>
        <v/>
      </c>
      <c r="F1456" s="39" t="str">
        <f t="shared" si="47"/>
        <v/>
      </c>
      <c r="G1456" t="str">
        <f t="shared" si="48"/>
        <v/>
      </c>
    </row>
    <row r="1457" spans="3:7" ht="15" hidden="1" x14ac:dyDescent="0.25">
      <c r="C1457" s="4" t="str">
        <f>IFERROR(AVERAGEIFS('2. Program Allocation Output'!$P:$P,'2. Program Allocation Output'!$AF:$AF,$A1457,'2. Program Allocation Output'!$AG:$AG,$B1457),"")</f>
        <v/>
      </c>
      <c r="D1457" s="4" t="str">
        <f>IFERROR(AVERAGEIFS('2. Program Allocation Output'!$O:$O,'2. Program Allocation Output'!$AF:$AF,$A1457,'2. Program Allocation Output'!$AG:$AG,$B1457),"")</f>
        <v/>
      </c>
      <c r="E1457" s="5" t="str">
        <f>IFERROR(AVERAGEIFS('2. Program Allocation Output'!$L:$L,'2. Program Allocation Output'!$AF:$AF,$A1457,'2. Program Allocation Output'!$AG:$AG,$B1457),"")</f>
        <v/>
      </c>
      <c r="F1457" s="39" t="str">
        <f t="shared" si="47"/>
        <v/>
      </c>
      <c r="G1457" t="str">
        <f t="shared" si="48"/>
        <v/>
      </c>
    </row>
    <row r="1458" spans="3:7" ht="15" hidden="1" x14ac:dyDescent="0.25">
      <c r="C1458" s="4" t="str">
        <f>IFERROR(AVERAGEIFS('2. Program Allocation Output'!$P:$P,'2. Program Allocation Output'!$AF:$AF,$A1458,'2. Program Allocation Output'!$AG:$AG,$B1458),"")</f>
        <v/>
      </c>
      <c r="D1458" s="4" t="str">
        <f>IFERROR(AVERAGEIFS('2. Program Allocation Output'!$O:$O,'2. Program Allocation Output'!$AF:$AF,$A1458,'2. Program Allocation Output'!$AG:$AG,$B1458),"")</f>
        <v/>
      </c>
      <c r="E1458" s="5" t="str">
        <f>IFERROR(AVERAGEIFS('2. Program Allocation Output'!$L:$L,'2. Program Allocation Output'!$AF:$AF,$A1458,'2. Program Allocation Output'!$AG:$AG,$B1458),"")</f>
        <v/>
      </c>
      <c r="F1458" s="39" t="str">
        <f t="shared" si="47"/>
        <v/>
      </c>
      <c r="G1458" t="str">
        <f t="shared" si="48"/>
        <v/>
      </c>
    </row>
    <row r="1459" spans="3:7" ht="15" hidden="1" x14ac:dyDescent="0.25">
      <c r="C1459" s="4" t="str">
        <f>IFERROR(AVERAGEIFS('2. Program Allocation Output'!$P:$P,'2. Program Allocation Output'!$AF:$AF,$A1459,'2. Program Allocation Output'!$AG:$AG,$B1459),"")</f>
        <v/>
      </c>
      <c r="D1459" s="4" t="str">
        <f>IFERROR(AVERAGEIFS('2. Program Allocation Output'!$O:$O,'2. Program Allocation Output'!$AF:$AF,$A1459,'2. Program Allocation Output'!$AG:$AG,$B1459),"")</f>
        <v/>
      </c>
      <c r="E1459" s="5" t="str">
        <f>IFERROR(AVERAGEIFS('2. Program Allocation Output'!$L:$L,'2. Program Allocation Output'!$AF:$AF,$A1459,'2. Program Allocation Output'!$AG:$AG,$B1459),"")</f>
        <v/>
      </c>
      <c r="F1459" s="39" t="str">
        <f t="shared" si="47"/>
        <v/>
      </c>
      <c r="G1459" t="str">
        <f t="shared" si="48"/>
        <v/>
      </c>
    </row>
    <row r="1460" spans="3:7" ht="15" hidden="1" x14ac:dyDescent="0.25">
      <c r="C1460" s="4" t="str">
        <f>IFERROR(AVERAGEIFS('2. Program Allocation Output'!$P:$P,'2. Program Allocation Output'!$AF:$AF,$A1460,'2. Program Allocation Output'!$AG:$AG,$B1460),"")</f>
        <v/>
      </c>
      <c r="D1460" s="4" t="str">
        <f>IFERROR(AVERAGEIFS('2. Program Allocation Output'!$O:$O,'2. Program Allocation Output'!$AF:$AF,$A1460,'2. Program Allocation Output'!$AG:$AG,$B1460),"")</f>
        <v/>
      </c>
      <c r="E1460" s="5" t="str">
        <f>IFERROR(AVERAGEIFS('2. Program Allocation Output'!$L:$L,'2. Program Allocation Output'!$AF:$AF,$A1460,'2. Program Allocation Output'!$AG:$AG,$B1460),"")</f>
        <v/>
      </c>
      <c r="F1460" s="39" t="str">
        <f t="shared" si="47"/>
        <v/>
      </c>
      <c r="G1460" t="str">
        <f t="shared" si="48"/>
        <v/>
      </c>
    </row>
    <row r="1461" spans="3:7" ht="15" hidden="1" x14ac:dyDescent="0.25">
      <c r="C1461" s="4" t="str">
        <f>IFERROR(AVERAGEIFS('2. Program Allocation Output'!$P:$P,'2. Program Allocation Output'!$AF:$AF,$A1461,'2. Program Allocation Output'!$AG:$AG,$B1461),"")</f>
        <v/>
      </c>
      <c r="D1461" s="4" t="str">
        <f>IFERROR(AVERAGEIFS('2. Program Allocation Output'!$O:$O,'2. Program Allocation Output'!$AF:$AF,$A1461,'2. Program Allocation Output'!$AG:$AG,$B1461),"")</f>
        <v/>
      </c>
      <c r="E1461" s="5" t="str">
        <f>IFERROR(AVERAGEIFS('2. Program Allocation Output'!$L:$L,'2. Program Allocation Output'!$AF:$AF,$A1461,'2. Program Allocation Output'!$AG:$AG,$B1461),"")</f>
        <v/>
      </c>
      <c r="F1461" s="39" t="str">
        <f t="shared" si="47"/>
        <v/>
      </c>
      <c r="G1461" t="str">
        <f t="shared" si="48"/>
        <v/>
      </c>
    </row>
    <row r="1462" spans="3:7" ht="15" hidden="1" x14ac:dyDescent="0.25">
      <c r="C1462" s="4" t="str">
        <f>IFERROR(AVERAGEIFS('2. Program Allocation Output'!$P:$P,'2. Program Allocation Output'!$AF:$AF,$A1462,'2. Program Allocation Output'!$AG:$AG,$B1462),"")</f>
        <v/>
      </c>
      <c r="D1462" s="4" t="str">
        <f>IFERROR(AVERAGEIFS('2. Program Allocation Output'!$O:$O,'2. Program Allocation Output'!$AF:$AF,$A1462,'2. Program Allocation Output'!$AG:$AG,$B1462),"")</f>
        <v/>
      </c>
      <c r="E1462" s="5" t="str">
        <f>IFERROR(AVERAGEIFS('2. Program Allocation Output'!$L:$L,'2. Program Allocation Output'!$AF:$AF,$A1462,'2. Program Allocation Output'!$AG:$AG,$B1462),"")</f>
        <v/>
      </c>
      <c r="F1462" s="39" t="str">
        <f t="shared" si="47"/>
        <v/>
      </c>
      <c r="G1462" t="str">
        <f t="shared" si="48"/>
        <v/>
      </c>
    </row>
    <row r="1463" spans="3:7" ht="15" hidden="1" x14ac:dyDescent="0.25">
      <c r="C1463" s="4" t="str">
        <f>IFERROR(AVERAGEIFS('2. Program Allocation Output'!$P:$P,'2. Program Allocation Output'!$AF:$AF,$A1463,'2. Program Allocation Output'!$AG:$AG,$B1463),"")</f>
        <v/>
      </c>
      <c r="D1463" s="4" t="str">
        <f>IFERROR(AVERAGEIFS('2. Program Allocation Output'!$O:$O,'2. Program Allocation Output'!$AF:$AF,$A1463,'2. Program Allocation Output'!$AG:$AG,$B1463),"")</f>
        <v/>
      </c>
      <c r="E1463" s="5" t="str">
        <f>IFERROR(AVERAGEIFS('2. Program Allocation Output'!$L:$L,'2. Program Allocation Output'!$AF:$AF,$A1463,'2. Program Allocation Output'!$AG:$AG,$B1463),"")</f>
        <v/>
      </c>
      <c r="F1463" s="39" t="str">
        <f t="shared" si="47"/>
        <v/>
      </c>
      <c r="G1463" t="str">
        <f t="shared" si="48"/>
        <v/>
      </c>
    </row>
    <row r="1464" spans="3:7" ht="15" hidden="1" x14ac:dyDescent="0.25">
      <c r="C1464" s="4" t="str">
        <f>IFERROR(AVERAGEIFS('2. Program Allocation Output'!$P:$P,'2. Program Allocation Output'!$AF:$AF,$A1464,'2. Program Allocation Output'!$AG:$AG,$B1464),"")</f>
        <v/>
      </c>
      <c r="D1464" s="4" t="str">
        <f>IFERROR(AVERAGEIFS('2. Program Allocation Output'!$O:$O,'2. Program Allocation Output'!$AF:$AF,$A1464,'2. Program Allocation Output'!$AG:$AG,$B1464),"")</f>
        <v/>
      </c>
      <c r="E1464" s="5" t="str">
        <f>IFERROR(AVERAGEIFS('2. Program Allocation Output'!$L:$L,'2. Program Allocation Output'!$AF:$AF,$A1464,'2. Program Allocation Output'!$AG:$AG,$B1464),"")</f>
        <v/>
      </c>
      <c r="F1464" s="39" t="str">
        <f t="shared" si="47"/>
        <v/>
      </c>
      <c r="G1464" t="str">
        <f t="shared" si="48"/>
        <v/>
      </c>
    </row>
    <row r="1465" spans="3:7" ht="15" hidden="1" x14ac:dyDescent="0.25">
      <c r="C1465" s="4" t="str">
        <f>IFERROR(AVERAGEIFS('2. Program Allocation Output'!$P:$P,'2. Program Allocation Output'!$AF:$AF,$A1465,'2. Program Allocation Output'!$AG:$AG,$B1465),"")</f>
        <v/>
      </c>
      <c r="D1465" s="4" t="str">
        <f>IFERROR(AVERAGEIFS('2. Program Allocation Output'!$O:$O,'2. Program Allocation Output'!$AF:$AF,$A1465,'2. Program Allocation Output'!$AG:$AG,$B1465),"")</f>
        <v/>
      </c>
      <c r="E1465" s="5" t="str">
        <f>IFERROR(AVERAGEIFS('2. Program Allocation Output'!$L:$L,'2. Program Allocation Output'!$AF:$AF,$A1465,'2. Program Allocation Output'!$AG:$AG,$B1465),"")</f>
        <v/>
      </c>
      <c r="F1465" s="39" t="str">
        <f t="shared" si="47"/>
        <v/>
      </c>
      <c r="G1465" t="str">
        <f t="shared" si="48"/>
        <v/>
      </c>
    </row>
    <row r="1466" spans="3:7" ht="15" hidden="1" x14ac:dyDescent="0.25">
      <c r="C1466" s="4" t="str">
        <f>IFERROR(AVERAGEIFS('2. Program Allocation Output'!$P:$P,'2. Program Allocation Output'!$AF:$AF,$A1466,'2. Program Allocation Output'!$AG:$AG,$B1466),"")</f>
        <v/>
      </c>
      <c r="D1466" s="4" t="str">
        <f>IFERROR(AVERAGEIFS('2. Program Allocation Output'!$O:$O,'2. Program Allocation Output'!$AF:$AF,$A1466,'2. Program Allocation Output'!$AG:$AG,$B1466),"")</f>
        <v/>
      </c>
      <c r="E1466" s="5" t="str">
        <f>IFERROR(AVERAGEIFS('2. Program Allocation Output'!$L:$L,'2. Program Allocation Output'!$AF:$AF,$A1466,'2. Program Allocation Output'!$AG:$AG,$B1466),"")</f>
        <v/>
      </c>
      <c r="F1466" s="39" t="str">
        <f t="shared" si="47"/>
        <v/>
      </c>
      <c r="G1466" t="str">
        <f t="shared" si="48"/>
        <v/>
      </c>
    </row>
    <row r="1467" spans="3:7" ht="15" hidden="1" x14ac:dyDescent="0.25">
      <c r="C1467" s="4" t="str">
        <f>IFERROR(AVERAGEIFS('2. Program Allocation Output'!$P:$P,'2. Program Allocation Output'!$AF:$AF,$A1467,'2. Program Allocation Output'!$AG:$AG,$B1467),"")</f>
        <v/>
      </c>
      <c r="D1467" s="4" t="str">
        <f>IFERROR(AVERAGEIFS('2. Program Allocation Output'!$O:$O,'2. Program Allocation Output'!$AF:$AF,$A1467,'2. Program Allocation Output'!$AG:$AG,$B1467),"")</f>
        <v/>
      </c>
      <c r="E1467" s="5" t="str">
        <f>IFERROR(AVERAGEIFS('2. Program Allocation Output'!$L:$L,'2. Program Allocation Output'!$AF:$AF,$A1467,'2. Program Allocation Output'!$AG:$AG,$B1467),"")</f>
        <v/>
      </c>
      <c r="F1467" s="39" t="str">
        <f t="shared" si="47"/>
        <v/>
      </c>
      <c r="G1467" t="str">
        <f t="shared" si="48"/>
        <v/>
      </c>
    </row>
    <row r="1468" spans="3:7" ht="15" hidden="1" x14ac:dyDescent="0.25">
      <c r="C1468" s="4" t="str">
        <f>IFERROR(AVERAGEIFS('2. Program Allocation Output'!$P:$P,'2. Program Allocation Output'!$AF:$AF,$A1468,'2. Program Allocation Output'!$AG:$AG,$B1468),"")</f>
        <v/>
      </c>
      <c r="D1468" s="4" t="str">
        <f>IFERROR(AVERAGEIFS('2. Program Allocation Output'!$O:$O,'2. Program Allocation Output'!$AF:$AF,$A1468,'2. Program Allocation Output'!$AG:$AG,$B1468),"")</f>
        <v/>
      </c>
      <c r="E1468" s="5" t="str">
        <f>IFERROR(AVERAGEIFS('2. Program Allocation Output'!$L:$L,'2. Program Allocation Output'!$AF:$AF,$A1468,'2. Program Allocation Output'!$AG:$AG,$B1468),"")</f>
        <v/>
      </c>
      <c r="F1468" s="39" t="str">
        <f t="shared" si="47"/>
        <v/>
      </c>
      <c r="G1468" t="str">
        <f t="shared" si="48"/>
        <v/>
      </c>
    </row>
    <row r="1469" spans="3:7" ht="15" hidden="1" x14ac:dyDescent="0.25">
      <c r="C1469" s="4" t="str">
        <f>IFERROR(AVERAGEIFS('2. Program Allocation Output'!$P:$P,'2. Program Allocation Output'!$AF:$AF,$A1469,'2. Program Allocation Output'!$AG:$AG,$B1469),"")</f>
        <v/>
      </c>
      <c r="D1469" s="4" t="str">
        <f>IFERROR(AVERAGEIFS('2. Program Allocation Output'!$O:$O,'2. Program Allocation Output'!$AF:$AF,$A1469,'2. Program Allocation Output'!$AG:$AG,$B1469),"")</f>
        <v/>
      </c>
      <c r="E1469" s="5" t="str">
        <f>IFERROR(AVERAGEIFS('2. Program Allocation Output'!$L:$L,'2. Program Allocation Output'!$AF:$AF,$A1469,'2. Program Allocation Output'!$AG:$AG,$B1469),"")</f>
        <v/>
      </c>
      <c r="F1469" s="39" t="str">
        <f t="shared" si="47"/>
        <v/>
      </c>
      <c r="G1469" t="str">
        <f t="shared" si="48"/>
        <v/>
      </c>
    </row>
    <row r="1470" spans="3:7" ht="15" hidden="1" x14ac:dyDescent="0.25">
      <c r="C1470" s="4" t="str">
        <f>IFERROR(AVERAGEIFS('2. Program Allocation Output'!$P:$P,'2. Program Allocation Output'!$AF:$AF,$A1470,'2. Program Allocation Output'!$AG:$AG,$B1470),"")</f>
        <v/>
      </c>
      <c r="D1470" s="4" t="str">
        <f>IFERROR(AVERAGEIFS('2. Program Allocation Output'!$O:$O,'2. Program Allocation Output'!$AF:$AF,$A1470,'2. Program Allocation Output'!$AG:$AG,$B1470),"")</f>
        <v/>
      </c>
      <c r="E1470" s="5" t="str">
        <f>IFERROR(AVERAGEIFS('2. Program Allocation Output'!$L:$L,'2. Program Allocation Output'!$AF:$AF,$A1470,'2. Program Allocation Output'!$AG:$AG,$B1470),"")</f>
        <v/>
      </c>
      <c r="F1470" s="39" t="str">
        <f t="shared" si="47"/>
        <v/>
      </c>
      <c r="G1470" t="str">
        <f t="shared" si="48"/>
        <v/>
      </c>
    </row>
    <row r="1471" spans="3:7" ht="15" hidden="1" x14ac:dyDescent="0.25">
      <c r="C1471" s="4" t="str">
        <f>IFERROR(AVERAGEIFS('2. Program Allocation Output'!$P:$P,'2. Program Allocation Output'!$AF:$AF,$A1471,'2. Program Allocation Output'!$AG:$AG,$B1471),"")</f>
        <v/>
      </c>
      <c r="D1471" s="4" t="str">
        <f>IFERROR(AVERAGEIFS('2. Program Allocation Output'!$O:$O,'2. Program Allocation Output'!$AF:$AF,$A1471,'2. Program Allocation Output'!$AG:$AG,$B1471),"")</f>
        <v/>
      </c>
      <c r="E1471" s="5" t="str">
        <f>IFERROR(AVERAGEIFS('2. Program Allocation Output'!$L:$L,'2. Program Allocation Output'!$AF:$AF,$A1471,'2. Program Allocation Output'!$AG:$AG,$B1471),"")</f>
        <v/>
      </c>
      <c r="F1471" s="39" t="str">
        <f t="shared" si="47"/>
        <v/>
      </c>
      <c r="G1471" t="str">
        <f t="shared" si="48"/>
        <v/>
      </c>
    </row>
    <row r="1472" spans="3:7" ht="15" hidden="1" x14ac:dyDescent="0.25">
      <c r="C1472" s="4" t="str">
        <f>IFERROR(AVERAGEIFS('2. Program Allocation Output'!$P:$P,'2. Program Allocation Output'!$AF:$AF,$A1472,'2. Program Allocation Output'!$AG:$AG,$B1472),"")</f>
        <v/>
      </c>
      <c r="D1472" s="4" t="str">
        <f>IFERROR(AVERAGEIFS('2. Program Allocation Output'!$O:$O,'2. Program Allocation Output'!$AF:$AF,$A1472,'2. Program Allocation Output'!$AG:$AG,$B1472),"")</f>
        <v/>
      </c>
      <c r="E1472" s="5" t="str">
        <f>IFERROR(AVERAGEIFS('2. Program Allocation Output'!$L:$L,'2. Program Allocation Output'!$AF:$AF,$A1472,'2. Program Allocation Output'!$AG:$AG,$B1472),"")</f>
        <v/>
      </c>
      <c r="F1472" s="39" t="str">
        <f t="shared" si="47"/>
        <v/>
      </c>
      <c r="G1472" t="str">
        <f t="shared" si="48"/>
        <v/>
      </c>
    </row>
    <row r="1473" spans="3:7" ht="15" hidden="1" x14ac:dyDescent="0.25">
      <c r="C1473" s="4" t="str">
        <f>IFERROR(AVERAGEIFS('2. Program Allocation Output'!$P:$P,'2. Program Allocation Output'!$AF:$AF,$A1473,'2. Program Allocation Output'!$AG:$AG,$B1473),"")</f>
        <v/>
      </c>
      <c r="D1473" s="4" t="str">
        <f>IFERROR(AVERAGEIFS('2. Program Allocation Output'!$O:$O,'2. Program Allocation Output'!$AF:$AF,$A1473,'2. Program Allocation Output'!$AG:$AG,$B1473),"")</f>
        <v/>
      </c>
      <c r="E1473" s="5" t="str">
        <f>IFERROR(AVERAGEIFS('2. Program Allocation Output'!$L:$L,'2. Program Allocation Output'!$AF:$AF,$A1473,'2. Program Allocation Output'!$AG:$AG,$B1473),"")</f>
        <v/>
      </c>
      <c r="F1473" s="39" t="str">
        <f t="shared" si="47"/>
        <v/>
      </c>
      <c r="G1473" t="str">
        <f t="shared" si="48"/>
        <v/>
      </c>
    </row>
    <row r="1474" spans="3:7" ht="15" hidden="1" x14ac:dyDescent="0.25">
      <c r="C1474" s="4" t="str">
        <f>IFERROR(AVERAGEIFS('2. Program Allocation Output'!$P:$P,'2. Program Allocation Output'!$AF:$AF,$A1474,'2. Program Allocation Output'!$AG:$AG,$B1474),"")</f>
        <v/>
      </c>
      <c r="D1474" s="4" t="str">
        <f>IFERROR(AVERAGEIFS('2. Program Allocation Output'!$O:$O,'2. Program Allocation Output'!$AF:$AF,$A1474,'2. Program Allocation Output'!$AG:$AG,$B1474),"")</f>
        <v/>
      </c>
      <c r="E1474" s="5" t="str">
        <f>IFERROR(AVERAGEIFS('2. Program Allocation Output'!$L:$L,'2. Program Allocation Output'!$AF:$AF,$A1474,'2. Program Allocation Output'!$AG:$AG,$B1474),"")</f>
        <v/>
      </c>
      <c r="F1474" s="39" t="str">
        <f t="shared" si="47"/>
        <v/>
      </c>
      <c r="G1474" t="str">
        <f t="shared" si="48"/>
        <v/>
      </c>
    </row>
    <row r="1475" spans="3:7" ht="15" hidden="1" x14ac:dyDescent="0.25">
      <c r="C1475" s="4" t="str">
        <f>IFERROR(AVERAGEIFS('2. Program Allocation Output'!$P:$P,'2. Program Allocation Output'!$AF:$AF,$A1475,'2. Program Allocation Output'!$AG:$AG,$B1475),"")</f>
        <v/>
      </c>
      <c r="D1475" s="4" t="str">
        <f>IFERROR(AVERAGEIFS('2. Program Allocation Output'!$O:$O,'2. Program Allocation Output'!$AF:$AF,$A1475,'2. Program Allocation Output'!$AG:$AG,$B1475),"")</f>
        <v/>
      </c>
      <c r="E1475" s="5" t="str">
        <f>IFERROR(AVERAGEIFS('2. Program Allocation Output'!$L:$L,'2. Program Allocation Output'!$AF:$AF,$A1475,'2. Program Allocation Output'!$AG:$AG,$B1475),"")</f>
        <v/>
      </c>
      <c r="F1475" s="39" t="str">
        <f t="shared" ref="F1475:F1500" si="49">IFERROR(C1475*1,"")</f>
        <v/>
      </c>
      <c r="G1475" t="str">
        <f t="shared" si="48"/>
        <v/>
      </c>
    </row>
    <row r="1476" spans="3:7" ht="15" hidden="1" x14ac:dyDescent="0.25">
      <c r="C1476" s="4" t="str">
        <f>IFERROR(AVERAGEIFS('2. Program Allocation Output'!$P:$P,'2. Program Allocation Output'!$AF:$AF,$A1476,'2. Program Allocation Output'!$AG:$AG,$B1476),"")</f>
        <v/>
      </c>
      <c r="D1476" s="4" t="str">
        <f>IFERROR(AVERAGEIFS('2. Program Allocation Output'!$O:$O,'2. Program Allocation Output'!$AF:$AF,$A1476,'2. Program Allocation Output'!$AG:$AG,$B1476),"")</f>
        <v/>
      </c>
      <c r="E1476" s="5" t="str">
        <f>IFERROR(AVERAGEIFS('2. Program Allocation Output'!$L:$L,'2. Program Allocation Output'!$AF:$AF,$A1476,'2. Program Allocation Output'!$AG:$AG,$B1476),"")</f>
        <v/>
      </c>
      <c r="F1476" s="39" t="str">
        <f t="shared" si="49"/>
        <v/>
      </c>
      <c r="G1476" t="str">
        <f t="shared" si="48"/>
        <v/>
      </c>
    </row>
    <row r="1477" spans="3:7" ht="15" hidden="1" x14ac:dyDescent="0.25">
      <c r="C1477" s="4" t="str">
        <f>IFERROR(AVERAGEIFS('2. Program Allocation Output'!$P:$P,'2. Program Allocation Output'!$AF:$AF,$A1477,'2. Program Allocation Output'!$AG:$AG,$B1477),"")</f>
        <v/>
      </c>
      <c r="D1477" s="4" t="str">
        <f>IFERROR(AVERAGEIFS('2. Program Allocation Output'!$O:$O,'2. Program Allocation Output'!$AF:$AF,$A1477,'2. Program Allocation Output'!$AG:$AG,$B1477),"")</f>
        <v/>
      </c>
      <c r="E1477" s="5" t="str">
        <f>IFERROR(AVERAGEIFS('2. Program Allocation Output'!$L:$L,'2. Program Allocation Output'!$AF:$AF,$A1477,'2. Program Allocation Output'!$AG:$AG,$B1477),"")</f>
        <v/>
      </c>
      <c r="F1477" s="39" t="str">
        <f t="shared" si="49"/>
        <v/>
      </c>
      <c r="G1477" t="str">
        <f t="shared" si="48"/>
        <v/>
      </c>
    </row>
    <row r="1478" spans="3:7" ht="15" hidden="1" x14ac:dyDescent="0.25">
      <c r="C1478" s="4" t="str">
        <f>IFERROR(AVERAGEIFS('2. Program Allocation Output'!$P:$P,'2. Program Allocation Output'!$AF:$AF,$A1478,'2. Program Allocation Output'!$AG:$AG,$B1478),"")</f>
        <v/>
      </c>
      <c r="D1478" s="4" t="str">
        <f>IFERROR(AVERAGEIFS('2. Program Allocation Output'!$O:$O,'2. Program Allocation Output'!$AF:$AF,$A1478,'2. Program Allocation Output'!$AG:$AG,$B1478),"")</f>
        <v/>
      </c>
      <c r="E1478" s="5" t="str">
        <f>IFERROR(AVERAGEIFS('2. Program Allocation Output'!$L:$L,'2. Program Allocation Output'!$AF:$AF,$A1478,'2. Program Allocation Output'!$AG:$AG,$B1478),"")</f>
        <v/>
      </c>
      <c r="F1478" s="39" t="str">
        <f t="shared" si="49"/>
        <v/>
      </c>
      <c r="G1478" t="str">
        <f t="shared" si="48"/>
        <v/>
      </c>
    </row>
    <row r="1479" spans="3:7" ht="15" hidden="1" x14ac:dyDescent="0.25">
      <c r="C1479" s="4" t="str">
        <f>IFERROR(AVERAGEIFS('2. Program Allocation Output'!$P:$P,'2. Program Allocation Output'!$AF:$AF,$A1479,'2. Program Allocation Output'!$AG:$AG,$B1479),"")</f>
        <v/>
      </c>
      <c r="D1479" s="4" t="str">
        <f>IFERROR(AVERAGEIFS('2. Program Allocation Output'!$O:$O,'2. Program Allocation Output'!$AF:$AF,$A1479,'2. Program Allocation Output'!$AG:$AG,$B1479),"")</f>
        <v/>
      </c>
      <c r="E1479" s="5" t="str">
        <f>IFERROR(AVERAGEIFS('2. Program Allocation Output'!$L:$L,'2. Program Allocation Output'!$AF:$AF,$A1479,'2. Program Allocation Output'!$AG:$AG,$B1479),"")</f>
        <v/>
      </c>
      <c r="F1479" s="39" t="str">
        <f t="shared" si="49"/>
        <v/>
      </c>
      <c r="G1479" t="str">
        <f t="shared" si="48"/>
        <v/>
      </c>
    </row>
    <row r="1480" spans="3:7" ht="15" hidden="1" x14ac:dyDescent="0.25">
      <c r="C1480" s="4" t="str">
        <f>IFERROR(AVERAGEIFS('2. Program Allocation Output'!$P:$P,'2. Program Allocation Output'!$AF:$AF,$A1480,'2. Program Allocation Output'!$AG:$AG,$B1480),"")</f>
        <v/>
      </c>
      <c r="D1480" s="4" t="str">
        <f>IFERROR(AVERAGEIFS('2. Program Allocation Output'!$O:$O,'2. Program Allocation Output'!$AF:$AF,$A1480,'2. Program Allocation Output'!$AG:$AG,$B1480),"")</f>
        <v/>
      </c>
      <c r="E1480" s="5" t="str">
        <f>IFERROR(AVERAGEIFS('2. Program Allocation Output'!$L:$L,'2. Program Allocation Output'!$AF:$AF,$A1480,'2. Program Allocation Output'!$AG:$AG,$B1480),"")</f>
        <v/>
      </c>
      <c r="F1480" s="39" t="str">
        <f t="shared" si="49"/>
        <v/>
      </c>
      <c r="G1480" t="str">
        <f t="shared" si="48"/>
        <v/>
      </c>
    </row>
    <row r="1481" spans="3:7" ht="15" hidden="1" x14ac:dyDescent="0.25">
      <c r="C1481" s="4" t="str">
        <f>IFERROR(AVERAGEIFS('2. Program Allocation Output'!$P:$P,'2. Program Allocation Output'!$AF:$AF,$A1481,'2. Program Allocation Output'!$AG:$AG,$B1481),"")</f>
        <v/>
      </c>
      <c r="D1481" s="4" t="str">
        <f>IFERROR(AVERAGEIFS('2. Program Allocation Output'!$O:$O,'2. Program Allocation Output'!$AF:$AF,$A1481,'2. Program Allocation Output'!$AG:$AG,$B1481),"")</f>
        <v/>
      </c>
      <c r="E1481" s="5" t="str">
        <f>IFERROR(AVERAGEIFS('2. Program Allocation Output'!$L:$L,'2. Program Allocation Output'!$AF:$AF,$A1481,'2. Program Allocation Output'!$AG:$AG,$B1481),"")</f>
        <v/>
      </c>
      <c r="F1481" s="39" t="str">
        <f t="shared" si="49"/>
        <v/>
      </c>
      <c r="G1481" t="str">
        <f t="shared" si="48"/>
        <v/>
      </c>
    </row>
    <row r="1482" spans="3:7" ht="15" hidden="1" x14ac:dyDescent="0.25">
      <c r="C1482" s="4" t="str">
        <f>IFERROR(AVERAGEIFS('2. Program Allocation Output'!$P:$P,'2. Program Allocation Output'!$AF:$AF,$A1482,'2. Program Allocation Output'!$AG:$AG,$B1482),"")</f>
        <v/>
      </c>
      <c r="D1482" s="4" t="str">
        <f>IFERROR(AVERAGEIFS('2. Program Allocation Output'!$O:$O,'2. Program Allocation Output'!$AF:$AF,$A1482,'2. Program Allocation Output'!$AG:$AG,$B1482),"")</f>
        <v/>
      </c>
      <c r="E1482" s="5" t="str">
        <f>IFERROR(AVERAGEIFS('2. Program Allocation Output'!$L:$L,'2. Program Allocation Output'!$AF:$AF,$A1482,'2. Program Allocation Output'!$AG:$AG,$B1482),"")</f>
        <v/>
      </c>
      <c r="F1482" s="39" t="str">
        <f t="shared" si="49"/>
        <v/>
      </c>
      <c r="G1482" t="str">
        <f t="shared" si="48"/>
        <v/>
      </c>
    </row>
    <row r="1483" spans="3:7" ht="15" hidden="1" x14ac:dyDescent="0.25">
      <c r="C1483" s="4" t="str">
        <f>IFERROR(AVERAGEIFS('2. Program Allocation Output'!$P:$P,'2. Program Allocation Output'!$AF:$AF,$A1483,'2. Program Allocation Output'!$AG:$AG,$B1483),"")</f>
        <v/>
      </c>
      <c r="D1483" s="4" t="str">
        <f>IFERROR(AVERAGEIFS('2. Program Allocation Output'!$O:$O,'2. Program Allocation Output'!$AF:$AF,$A1483,'2. Program Allocation Output'!$AG:$AG,$B1483),"")</f>
        <v/>
      </c>
      <c r="E1483" s="5" t="str">
        <f>IFERROR(AVERAGEIFS('2. Program Allocation Output'!$L:$L,'2. Program Allocation Output'!$AF:$AF,$A1483,'2. Program Allocation Output'!$AG:$AG,$B1483),"")</f>
        <v/>
      </c>
      <c r="F1483" s="39" t="str">
        <f t="shared" si="49"/>
        <v/>
      </c>
      <c r="G1483" t="str">
        <f t="shared" si="48"/>
        <v/>
      </c>
    </row>
    <row r="1484" spans="3:7" ht="15" hidden="1" x14ac:dyDescent="0.25">
      <c r="C1484" s="4" t="str">
        <f>IFERROR(AVERAGEIFS('2. Program Allocation Output'!$P:$P,'2. Program Allocation Output'!$AF:$AF,$A1484,'2. Program Allocation Output'!$AG:$AG,$B1484),"")</f>
        <v/>
      </c>
      <c r="D1484" s="4" t="str">
        <f>IFERROR(AVERAGEIFS('2. Program Allocation Output'!$O:$O,'2. Program Allocation Output'!$AF:$AF,$A1484,'2. Program Allocation Output'!$AG:$AG,$B1484),"")</f>
        <v/>
      </c>
      <c r="E1484" s="5" t="str">
        <f>IFERROR(AVERAGEIFS('2. Program Allocation Output'!$L:$L,'2. Program Allocation Output'!$AF:$AF,$A1484,'2. Program Allocation Output'!$AG:$AG,$B1484),"")</f>
        <v/>
      </c>
      <c r="F1484" s="39" t="str">
        <f t="shared" si="49"/>
        <v/>
      </c>
      <c r="G1484" t="str">
        <f t="shared" si="48"/>
        <v/>
      </c>
    </row>
    <row r="1485" spans="3:7" ht="15" hidden="1" x14ac:dyDescent="0.25">
      <c r="C1485" s="4" t="str">
        <f>IFERROR(AVERAGEIFS('2. Program Allocation Output'!$P:$P,'2. Program Allocation Output'!$AF:$AF,$A1485,'2. Program Allocation Output'!$AG:$AG,$B1485),"")</f>
        <v/>
      </c>
      <c r="D1485" s="4" t="str">
        <f>IFERROR(AVERAGEIFS('2. Program Allocation Output'!$O:$O,'2. Program Allocation Output'!$AF:$AF,$A1485,'2. Program Allocation Output'!$AG:$AG,$B1485),"")</f>
        <v/>
      </c>
      <c r="E1485" s="5" t="str">
        <f>IFERROR(AVERAGEIFS('2. Program Allocation Output'!$L:$L,'2. Program Allocation Output'!$AF:$AF,$A1485,'2. Program Allocation Output'!$AG:$AG,$B1485),"")</f>
        <v/>
      </c>
      <c r="F1485" s="39" t="str">
        <f t="shared" si="49"/>
        <v/>
      </c>
      <c r="G1485" t="str">
        <f t="shared" si="48"/>
        <v/>
      </c>
    </row>
    <row r="1486" spans="3:7" ht="15" hidden="1" x14ac:dyDescent="0.25">
      <c r="C1486" s="4" t="str">
        <f>IFERROR(AVERAGEIFS('2. Program Allocation Output'!$P:$P,'2. Program Allocation Output'!$AF:$AF,$A1486,'2. Program Allocation Output'!$AG:$AG,$B1486),"")</f>
        <v/>
      </c>
      <c r="D1486" s="4" t="str">
        <f>IFERROR(AVERAGEIFS('2. Program Allocation Output'!$O:$O,'2. Program Allocation Output'!$AF:$AF,$A1486,'2. Program Allocation Output'!$AG:$AG,$B1486),"")</f>
        <v/>
      </c>
      <c r="E1486" s="5" t="str">
        <f>IFERROR(AVERAGEIFS('2. Program Allocation Output'!$L:$L,'2. Program Allocation Output'!$AF:$AF,$A1486,'2. Program Allocation Output'!$AG:$AG,$B1486),"")</f>
        <v/>
      </c>
      <c r="F1486" s="39" t="str">
        <f t="shared" si="49"/>
        <v/>
      </c>
      <c r="G1486" t="str">
        <f t="shared" ref="G1486:G1500" si="50">IFERROR(EXP(0.3*(F1486-C1486)/(E1486*0.1137)),"")</f>
        <v/>
      </c>
    </row>
    <row r="1487" spans="3:7" ht="15" hidden="1" x14ac:dyDescent="0.25">
      <c r="C1487" s="4" t="str">
        <f>IFERROR(AVERAGEIFS('2. Program Allocation Output'!$P:$P,'2. Program Allocation Output'!$AF:$AF,$A1487,'2. Program Allocation Output'!$AG:$AG,$B1487),"")</f>
        <v/>
      </c>
      <c r="D1487" s="4" t="str">
        <f>IFERROR(AVERAGEIFS('2. Program Allocation Output'!$O:$O,'2. Program Allocation Output'!$AF:$AF,$A1487,'2. Program Allocation Output'!$AG:$AG,$B1487),"")</f>
        <v/>
      </c>
      <c r="E1487" s="5" t="str">
        <f>IFERROR(AVERAGEIFS('2. Program Allocation Output'!$L:$L,'2. Program Allocation Output'!$AF:$AF,$A1487,'2. Program Allocation Output'!$AG:$AG,$B1487),"")</f>
        <v/>
      </c>
      <c r="F1487" s="39" t="str">
        <f t="shared" si="49"/>
        <v/>
      </c>
      <c r="G1487" t="str">
        <f t="shared" si="50"/>
        <v/>
      </c>
    </row>
    <row r="1488" spans="3:7" ht="15" hidden="1" x14ac:dyDescent="0.25">
      <c r="C1488" s="4" t="str">
        <f>IFERROR(AVERAGEIFS('2. Program Allocation Output'!$P:$P,'2. Program Allocation Output'!$AF:$AF,$A1488,'2. Program Allocation Output'!$AG:$AG,$B1488),"")</f>
        <v/>
      </c>
      <c r="D1488" s="4" t="str">
        <f>IFERROR(AVERAGEIFS('2. Program Allocation Output'!$O:$O,'2. Program Allocation Output'!$AF:$AF,$A1488,'2. Program Allocation Output'!$AG:$AG,$B1488),"")</f>
        <v/>
      </c>
      <c r="E1488" s="5" t="str">
        <f>IFERROR(AVERAGEIFS('2. Program Allocation Output'!$L:$L,'2. Program Allocation Output'!$AF:$AF,$A1488,'2. Program Allocation Output'!$AG:$AG,$B1488),"")</f>
        <v/>
      </c>
      <c r="F1488" s="39" t="str">
        <f t="shared" si="49"/>
        <v/>
      </c>
      <c r="G1488" t="str">
        <f t="shared" si="50"/>
        <v/>
      </c>
    </row>
    <row r="1489" spans="3:7" ht="15" hidden="1" x14ac:dyDescent="0.25">
      <c r="C1489" s="4" t="str">
        <f>IFERROR(AVERAGEIFS('2. Program Allocation Output'!$P:$P,'2. Program Allocation Output'!$AF:$AF,$A1489,'2. Program Allocation Output'!$AG:$AG,$B1489),"")</f>
        <v/>
      </c>
      <c r="D1489" s="4" t="str">
        <f>IFERROR(AVERAGEIFS('2. Program Allocation Output'!$O:$O,'2. Program Allocation Output'!$AF:$AF,$A1489,'2. Program Allocation Output'!$AG:$AG,$B1489),"")</f>
        <v/>
      </c>
      <c r="E1489" s="5" t="str">
        <f>IFERROR(AVERAGEIFS('2. Program Allocation Output'!$L:$L,'2. Program Allocation Output'!$AF:$AF,$A1489,'2. Program Allocation Output'!$AG:$AG,$B1489),"")</f>
        <v/>
      </c>
      <c r="F1489" s="39" t="str">
        <f t="shared" si="49"/>
        <v/>
      </c>
      <c r="G1489" t="str">
        <f t="shared" si="50"/>
        <v/>
      </c>
    </row>
    <row r="1490" spans="3:7" ht="15" hidden="1" x14ac:dyDescent="0.25">
      <c r="C1490" s="4" t="str">
        <f>IFERROR(AVERAGEIFS('2. Program Allocation Output'!$P:$P,'2. Program Allocation Output'!$AF:$AF,$A1490,'2. Program Allocation Output'!$AG:$AG,$B1490),"")</f>
        <v/>
      </c>
      <c r="D1490" s="4" t="str">
        <f>IFERROR(AVERAGEIFS('2. Program Allocation Output'!$O:$O,'2. Program Allocation Output'!$AF:$AF,$A1490,'2. Program Allocation Output'!$AG:$AG,$B1490),"")</f>
        <v/>
      </c>
      <c r="E1490" s="5" t="str">
        <f>IFERROR(AVERAGEIFS('2. Program Allocation Output'!$L:$L,'2. Program Allocation Output'!$AF:$AF,$A1490,'2. Program Allocation Output'!$AG:$AG,$B1490),"")</f>
        <v/>
      </c>
      <c r="F1490" s="39" t="str">
        <f t="shared" si="49"/>
        <v/>
      </c>
      <c r="G1490" t="str">
        <f t="shared" si="50"/>
        <v/>
      </c>
    </row>
    <row r="1491" spans="3:7" ht="15" hidden="1" x14ac:dyDescent="0.25">
      <c r="C1491" s="4" t="str">
        <f>IFERROR(AVERAGEIFS('2. Program Allocation Output'!$P:$P,'2. Program Allocation Output'!$AF:$AF,$A1491,'2. Program Allocation Output'!$AG:$AG,$B1491),"")</f>
        <v/>
      </c>
      <c r="D1491" s="4" t="str">
        <f>IFERROR(AVERAGEIFS('2. Program Allocation Output'!$O:$O,'2. Program Allocation Output'!$AF:$AF,$A1491,'2. Program Allocation Output'!$AG:$AG,$B1491),"")</f>
        <v/>
      </c>
      <c r="E1491" s="5" t="str">
        <f>IFERROR(AVERAGEIFS('2. Program Allocation Output'!$L:$L,'2. Program Allocation Output'!$AF:$AF,$A1491,'2. Program Allocation Output'!$AG:$AG,$B1491),"")</f>
        <v/>
      </c>
      <c r="F1491" s="39" t="str">
        <f t="shared" si="49"/>
        <v/>
      </c>
      <c r="G1491" t="str">
        <f t="shared" si="50"/>
        <v/>
      </c>
    </row>
    <row r="1492" spans="3:7" ht="15" hidden="1" x14ac:dyDescent="0.25">
      <c r="C1492" s="4" t="str">
        <f>IFERROR(AVERAGEIFS('2. Program Allocation Output'!$P:$P,'2. Program Allocation Output'!$AF:$AF,$A1492,'2. Program Allocation Output'!$AG:$AG,$B1492),"")</f>
        <v/>
      </c>
      <c r="D1492" s="4" t="str">
        <f>IFERROR(AVERAGEIFS('2. Program Allocation Output'!$O:$O,'2. Program Allocation Output'!$AF:$AF,$A1492,'2. Program Allocation Output'!$AG:$AG,$B1492),"")</f>
        <v/>
      </c>
      <c r="E1492" s="5" t="str">
        <f>IFERROR(AVERAGEIFS('2. Program Allocation Output'!$L:$L,'2. Program Allocation Output'!$AF:$AF,$A1492,'2. Program Allocation Output'!$AG:$AG,$B1492),"")</f>
        <v/>
      </c>
      <c r="F1492" s="39" t="str">
        <f t="shared" si="49"/>
        <v/>
      </c>
      <c r="G1492" t="str">
        <f t="shared" si="50"/>
        <v/>
      </c>
    </row>
    <row r="1493" spans="3:7" ht="15" hidden="1" x14ac:dyDescent="0.25">
      <c r="C1493" s="4" t="str">
        <f>IFERROR(AVERAGEIFS('2. Program Allocation Output'!$P:$P,'2. Program Allocation Output'!$AF:$AF,$A1493,'2. Program Allocation Output'!$AG:$AG,$B1493),"")</f>
        <v/>
      </c>
      <c r="D1493" s="4" t="str">
        <f>IFERROR(AVERAGEIFS('2. Program Allocation Output'!$O:$O,'2. Program Allocation Output'!$AF:$AF,$A1493,'2. Program Allocation Output'!$AG:$AG,$B1493),"")</f>
        <v/>
      </c>
      <c r="E1493" s="5" t="str">
        <f>IFERROR(AVERAGEIFS('2. Program Allocation Output'!$L:$L,'2. Program Allocation Output'!$AF:$AF,$A1493,'2. Program Allocation Output'!$AG:$AG,$B1493),"")</f>
        <v/>
      </c>
      <c r="F1493" s="39" t="str">
        <f t="shared" si="49"/>
        <v/>
      </c>
      <c r="G1493" t="str">
        <f t="shared" si="50"/>
        <v/>
      </c>
    </row>
    <row r="1494" spans="3:7" ht="15" hidden="1" x14ac:dyDescent="0.25">
      <c r="C1494" s="4" t="str">
        <f>IFERROR(AVERAGEIFS('2. Program Allocation Output'!$P:$P,'2. Program Allocation Output'!$AF:$AF,$A1494,'2. Program Allocation Output'!$AG:$AG,$B1494),"")</f>
        <v/>
      </c>
      <c r="D1494" s="4" t="str">
        <f>IFERROR(AVERAGEIFS('2. Program Allocation Output'!$O:$O,'2. Program Allocation Output'!$AF:$AF,$A1494,'2. Program Allocation Output'!$AG:$AG,$B1494),"")</f>
        <v/>
      </c>
      <c r="E1494" s="5" t="str">
        <f>IFERROR(AVERAGEIFS('2. Program Allocation Output'!$L:$L,'2. Program Allocation Output'!$AF:$AF,$A1494,'2. Program Allocation Output'!$AG:$AG,$B1494),"")</f>
        <v/>
      </c>
      <c r="F1494" s="39" t="str">
        <f t="shared" si="49"/>
        <v/>
      </c>
      <c r="G1494" t="str">
        <f t="shared" si="50"/>
        <v/>
      </c>
    </row>
    <row r="1495" spans="3:7" ht="15" hidden="1" x14ac:dyDescent="0.25">
      <c r="C1495" s="4" t="str">
        <f>IFERROR(AVERAGEIFS('2. Program Allocation Output'!$P:$P,'2. Program Allocation Output'!$AF:$AF,$A1495,'2. Program Allocation Output'!$AG:$AG,$B1495),"")</f>
        <v/>
      </c>
      <c r="D1495" s="4" t="str">
        <f>IFERROR(AVERAGEIFS('2. Program Allocation Output'!$O:$O,'2. Program Allocation Output'!$AF:$AF,$A1495,'2. Program Allocation Output'!$AG:$AG,$B1495),"")</f>
        <v/>
      </c>
      <c r="E1495" s="5" t="str">
        <f>IFERROR(AVERAGEIFS('2. Program Allocation Output'!$L:$L,'2. Program Allocation Output'!$AF:$AF,$A1495,'2. Program Allocation Output'!$AG:$AG,$B1495),"")</f>
        <v/>
      </c>
      <c r="F1495" s="39" t="str">
        <f t="shared" si="49"/>
        <v/>
      </c>
      <c r="G1495" t="str">
        <f t="shared" si="50"/>
        <v/>
      </c>
    </row>
    <row r="1496" spans="3:7" ht="15" hidden="1" x14ac:dyDescent="0.25">
      <c r="C1496" s="4" t="str">
        <f>IFERROR(AVERAGEIFS('2. Program Allocation Output'!$P:$P,'2. Program Allocation Output'!$AF:$AF,$A1496,'2. Program Allocation Output'!$AG:$AG,$B1496),"")</f>
        <v/>
      </c>
      <c r="D1496" s="4" t="str">
        <f>IFERROR(AVERAGEIFS('2. Program Allocation Output'!$O:$O,'2. Program Allocation Output'!$AF:$AF,$A1496,'2. Program Allocation Output'!$AG:$AG,$B1496),"")</f>
        <v/>
      </c>
      <c r="E1496" s="5" t="str">
        <f>IFERROR(AVERAGEIFS('2. Program Allocation Output'!$L:$L,'2. Program Allocation Output'!$AF:$AF,$A1496,'2. Program Allocation Output'!$AG:$AG,$B1496),"")</f>
        <v/>
      </c>
      <c r="F1496" s="39" t="str">
        <f t="shared" si="49"/>
        <v/>
      </c>
      <c r="G1496" t="str">
        <f t="shared" si="50"/>
        <v/>
      </c>
    </row>
    <row r="1497" spans="3:7" ht="15" hidden="1" x14ac:dyDescent="0.25">
      <c r="C1497" s="4" t="str">
        <f>IFERROR(AVERAGEIFS('2. Program Allocation Output'!$P:$P,'2. Program Allocation Output'!$AF:$AF,$A1497,'2. Program Allocation Output'!$AG:$AG,$B1497),"")</f>
        <v/>
      </c>
      <c r="D1497" s="4" t="str">
        <f>IFERROR(AVERAGEIFS('2. Program Allocation Output'!$O:$O,'2. Program Allocation Output'!$AF:$AF,$A1497,'2. Program Allocation Output'!$AG:$AG,$B1497),"")</f>
        <v/>
      </c>
      <c r="E1497" s="5" t="str">
        <f>IFERROR(AVERAGEIFS('2. Program Allocation Output'!$L:$L,'2. Program Allocation Output'!$AF:$AF,$A1497,'2. Program Allocation Output'!$AG:$AG,$B1497),"")</f>
        <v/>
      </c>
      <c r="F1497" s="39" t="str">
        <f t="shared" si="49"/>
        <v/>
      </c>
      <c r="G1497" t="str">
        <f t="shared" si="50"/>
        <v/>
      </c>
    </row>
    <row r="1498" spans="3:7" ht="15" hidden="1" x14ac:dyDescent="0.25">
      <c r="C1498" s="4" t="str">
        <f>IFERROR(AVERAGEIFS('2. Program Allocation Output'!$P:$P,'2. Program Allocation Output'!$AF:$AF,$A1498,'2. Program Allocation Output'!$AG:$AG,$B1498),"")</f>
        <v/>
      </c>
      <c r="D1498" s="4" t="str">
        <f>IFERROR(AVERAGEIFS('2. Program Allocation Output'!$O:$O,'2. Program Allocation Output'!$AF:$AF,$A1498,'2. Program Allocation Output'!$AG:$AG,$B1498),"")</f>
        <v/>
      </c>
      <c r="E1498" s="5" t="str">
        <f>IFERROR(AVERAGEIFS('2. Program Allocation Output'!$L:$L,'2. Program Allocation Output'!$AF:$AF,$A1498,'2. Program Allocation Output'!$AG:$AG,$B1498),"")</f>
        <v/>
      </c>
      <c r="F1498" s="39" t="str">
        <f t="shared" si="49"/>
        <v/>
      </c>
      <c r="G1498" t="str">
        <f t="shared" si="50"/>
        <v/>
      </c>
    </row>
    <row r="1499" spans="3:7" ht="15" hidden="1" x14ac:dyDescent="0.25">
      <c r="C1499" s="4" t="str">
        <f>IFERROR(AVERAGEIFS('2. Program Allocation Output'!$P:$P,'2. Program Allocation Output'!$AF:$AF,$A1499,'2. Program Allocation Output'!$AG:$AG,$B1499),"")</f>
        <v/>
      </c>
      <c r="D1499" s="4" t="str">
        <f>IFERROR(AVERAGEIFS('2. Program Allocation Output'!$O:$O,'2. Program Allocation Output'!$AF:$AF,$A1499,'2. Program Allocation Output'!$AG:$AG,$B1499),"")</f>
        <v/>
      </c>
      <c r="E1499" s="5" t="str">
        <f>IFERROR(AVERAGEIFS('2. Program Allocation Output'!$L:$L,'2. Program Allocation Output'!$AF:$AF,$A1499,'2. Program Allocation Output'!$AG:$AG,$B1499),"")</f>
        <v/>
      </c>
      <c r="F1499" s="39" t="str">
        <f t="shared" si="49"/>
        <v/>
      </c>
      <c r="G1499" t="str">
        <f t="shared" si="50"/>
        <v/>
      </c>
    </row>
    <row r="1500" spans="3:7" ht="15" hidden="1" x14ac:dyDescent="0.25">
      <c r="C1500" s="4" t="str">
        <f>IFERROR(AVERAGEIFS('2. Program Allocation Output'!$P:$P,'2. Program Allocation Output'!$AF:$AF,$A1500,'2. Program Allocation Output'!$AG:$AG,$B1500),"")</f>
        <v/>
      </c>
      <c r="D1500" s="4" t="str">
        <f>IFERROR(AVERAGEIFS('2. Program Allocation Output'!$O:$O,'2. Program Allocation Output'!$AF:$AF,$A1500,'2. Program Allocation Output'!$AG:$AG,$B1500),"")</f>
        <v/>
      </c>
      <c r="E1500" s="5" t="str">
        <f>IFERROR(AVERAGEIFS('2. Program Allocation Output'!$L:$L,'2. Program Allocation Output'!$AF:$AF,$A1500,'2. Program Allocation Output'!$AG:$AG,$B1500),"")</f>
        <v/>
      </c>
      <c r="F1500" s="39" t="str">
        <f t="shared" si="49"/>
        <v/>
      </c>
      <c r="G1500" t="str">
        <f t="shared" si="50"/>
        <v/>
      </c>
    </row>
  </sheetData>
  <autoFilter ref="A1:F1" xr:uid="{218BDE2E-E61B-48CA-A416-CDF91B6C9C57}"/>
  <pageMargins left="0.7" right="0.7" top="0.75" bottom="0.75" header="0.3" footer="0.3"/>
  <pageSetup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CF4B5-CBAC-4C02-8E7C-832FC2EC8A7E}">
  <dimension ref="A1:V60"/>
  <sheetViews>
    <sheetView zoomScale="80" zoomScaleNormal="80" workbookViewId="0">
      <selection activeCell="I10" sqref="I10"/>
    </sheetView>
  </sheetViews>
  <sheetFormatPr defaultRowHeight="15" x14ac:dyDescent="0.25"/>
  <cols>
    <col min="1" max="1" width="23.7109375" customWidth="1"/>
    <col min="2" max="2" width="62" customWidth="1"/>
    <col min="4" max="4" width="12.28515625" customWidth="1"/>
    <col min="5" max="5" width="11.28515625" customWidth="1"/>
    <col min="6" max="6" width="10.140625" customWidth="1"/>
    <col min="7" max="7" width="16.7109375" customWidth="1"/>
    <col min="8" max="8" width="11.140625" customWidth="1"/>
    <col min="9" max="9" width="11.5703125" bestFit="1" customWidth="1"/>
  </cols>
  <sheetData>
    <row r="1" spans="1:22" x14ac:dyDescent="0.25">
      <c r="A1" s="11" t="s">
        <v>203</v>
      </c>
      <c r="B1" s="18"/>
    </row>
    <row r="2" spans="1:22" x14ac:dyDescent="0.25">
      <c r="A2" t="s">
        <v>27</v>
      </c>
      <c r="B2" t="s">
        <v>90</v>
      </c>
    </row>
    <row r="3" spans="1:22" x14ac:dyDescent="0.25">
      <c r="A3" t="s">
        <v>28</v>
      </c>
      <c r="B3" t="s">
        <v>91</v>
      </c>
    </row>
    <row r="4" spans="1:22" x14ac:dyDescent="0.25">
      <c r="A4" t="s">
        <v>30</v>
      </c>
      <c r="B4" t="s">
        <v>92</v>
      </c>
    </row>
    <row r="5" spans="1:22" x14ac:dyDescent="0.25">
      <c r="A5" t="s">
        <v>29</v>
      </c>
      <c r="B5" t="s">
        <v>90</v>
      </c>
    </row>
    <row r="6" spans="1:22" x14ac:dyDescent="0.25">
      <c r="A6" t="s">
        <v>204</v>
      </c>
      <c r="B6" s="24" t="s">
        <v>5</v>
      </c>
      <c r="I6" s="59"/>
    </row>
    <row r="7" spans="1:22" x14ac:dyDescent="0.25">
      <c r="I7" s="59"/>
    </row>
    <row r="8" spans="1:22" x14ac:dyDescent="0.25">
      <c r="B8" s="22" t="s">
        <v>205</v>
      </c>
      <c r="C8" s="22"/>
      <c r="D8" s="22"/>
      <c r="E8" s="22"/>
      <c r="F8" s="22"/>
      <c r="G8" s="22"/>
      <c r="H8" s="22"/>
      <c r="I8" s="23" t="s">
        <v>206</v>
      </c>
      <c r="J8" s="23"/>
      <c r="K8" s="23"/>
      <c r="L8" s="23"/>
      <c r="M8" s="23"/>
      <c r="N8" s="23"/>
      <c r="O8" s="23"/>
      <c r="P8" s="23"/>
      <c r="Q8" s="23"/>
      <c r="R8" s="23"/>
      <c r="T8" t="s">
        <v>415</v>
      </c>
      <c r="V8" t="s">
        <v>416</v>
      </c>
    </row>
    <row r="9" spans="1:22" x14ac:dyDescent="0.25">
      <c r="B9" s="8" t="s">
        <v>198</v>
      </c>
      <c r="C9" s="8" t="s">
        <v>207</v>
      </c>
      <c r="D9" s="8" t="s">
        <v>35</v>
      </c>
      <c r="E9" s="8" t="s">
        <v>208</v>
      </c>
      <c r="F9" s="8" t="s">
        <v>209</v>
      </c>
      <c r="G9" s="8" t="s">
        <v>210</v>
      </c>
      <c r="H9" s="8" t="s">
        <v>211</v>
      </c>
      <c r="I9" s="8">
        <v>2025</v>
      </c>
      <c r="J9" s="8">
        <v>2026</v>
      </c>
      <c r="K9" s="8">
        <v>2027</v>
      </c>
      <c r="L9" s="8">
        <v>2028</v>
      </c>
      <c r="M9" s="8">
        <v>2029</v>
      </c>
      <c r="N9" s="8">
        <v>2030</v>
      </c>
      <c r="O9" s="8">
        <v>2031</v>
      </c>
      <c r="P9" s="8">
        <v>2032</v>
      </c>
      <c r="Q9" s="8">
        <v>2033</v>
      </c>
      <c r="R9" s="8">
        <v>2034</v>
      </c>
    </row>
    <row r="10" spans="1:22" x14ac:dyDescent="0.25">
      <c r="B10" s="8" t="str" cm="1">
        <f t="array" ref="B10:B20">_xlfn.UNIQUE(_xlfn._xlws.FILTER(MeasureName,(CustomerBase=$B$2)*(Adoption_Scen=$B$3)*(Incentive_Scenario=$B$4)*(Avoided_Cost=$B$5)*(All_Programs=$B$6)))</f>
        <v>120v Heat Pump Water Heater 50 Gallons</v>
      </c>
      <c r="C10" s="8" t="str">
        <f>IF($B10&lt;&gt;"",_xlfn.XLOOKUP($B10,tbl_Data[Trimmed Measure Name],tbl_Data[Units],0),"")</f>
        <v>per water heater</v>
      </c>
      <c r="D10" s="15">
        <f>IF($B10&lt;&gt;"",_xlfn.XLOOKUP($B10,tbl_Data[Trimmed Measure Name],tbl_Data[kWh Savings],0),"")</f>
        <v>1200.2266666666601</v>
      </c>
      <c r="E10" s="48">
        <f>IF($B10&lt;&gt;"",_xlfn.XLOOKUP($B10,tbl_Data[Trimmed Measure Name],tbl_Data[kW Savings - Summer],0),"")</f>
        <v>4.8097974252120097E-2</v>
      </c>
      <c r="F10" s="48">
        <f>IF($B10&lt;&gt;"",_xlfn.XLOOKUP($B10,tbl_Data[Trimmed Measure Name],tbl_Data[kW Savings - Winter],0),"")</f>
        <v>0.22310492157346501</v>
      </c>
      <c r="G10" s="42">
        <f>IF($B10&lt;&gt;"",_xlfn.XLOOKUP($B10,tbl_Data[Trimmed Measure Name],tbl_Data[Incremental Cost ($/unit)],0),"")</f>
        <v>1210</v>
      </c>
      <c r="H10" s="42">
        <f>IF($B10&lt;&gt;"",_xlfn.XLOOKUP($B10,tbl_Data[Trimmed Measure Name],tbl_Data[Adj. per unit Incentive ($)],0),"")</f>
        <v>500</v>
      </c>
      <c r="I10" s="15">
        <f>IF($B10&lt;&gt;"",SUMIFS('2. Program Allocation Output'!BB:BB,'2. Program Allocation Output'!$A:$A,"Annual Incremental Energy (kWh)",'2. Program Allocation Output'!$H:$H,$B$6,'2. Program Allocation Output'!$AG:$AG,$B10),"")</f>
        <v>33</v>
      </c>
      <c r="J10" s="15">
        <f>IF($B10&lt;&gt;"",SUMIFS('2. Program Allocation Output'!BC:BC,'2. Program Allocation Output'!$A:$A,"Annual Incremental Energy (kWh)",'2. Program Allocation Output'!$H:$H,$B$6,'2. Program Allocation Output'!$AG:$AG,$B10),"")</f>
        <v>35</v>
      </c>
      <c r="K10" s="15">
        <f>IF($B10&lt;&gt;"",SUMIFS('2. Program Allocation Output'!BD:BD,'2. Program Allocation Output'!$A:$A,"Annual Incremental Energy (kWh)",'2. Program Allocation Output'!$H:$H,$B$6,'2. Program Allocation Output'!$AG:$AG,$B10),"")</f>
        <v>37</v>
      </c>
      <c r="L10" s="15">
        <f>IF($B10&lt;&gt;"",SUMIFS('2. Program Allocation Output'!BE:BE,'2. Program Allocation Output'!$A:$A,"Annual Incremental Energy (kWh)",'2. Program Allocation Output'!$H:$H,$B$6,'2. Program Allocation Output'!$AG:$AG,$B10),"")</f>
        <v>39</v>
      </c>
      <c r="M10" s="15">
        <f>IF($B10&lt;&gt;"",SUMIFS('2. Program Allocation Output'!BF:BF,'2. Program Allocation Output'!$A:$A,"Annual Incremental Energy (kWh)",'2. Program Allocation Output'!$H:$H,$B$6,'2. Program Allocation Output'!$AG:$AG,$B10),"")</f>
        <v>41</v>
      </c>
      <c r="N10" s="15">
        <f>IF($B10&lt;&gt;"",SUMIFS('2. Program Allocation Output'!BG:BG,'2. Program Allocation Output'!$A:$A,"Annual Incremental Energy (kWh)",'2. Program Allocation Output'!$H:$H,$B$6,'2. Program Allocation Output'!$AG:$AG,$B10),"")</f>
        <v>43</v>
      </c>
      <c r="O10" s="15">
        <f>IF($B10&lt;&gt;"",SUMIFS('2. Program Allocation Output'!BH:BH,'2. Program Allocation Output'!$A:$A,"Annual Incremental Energy (kWh)",'2. Program Allocation Output'!$H:$H,$B$6,'2. Program Allocation Output'!$AG:$AG,$B10),"")</f>
        <v>45</v>
      </c>
      <c r="P10" s="15">
        <f>IF($B10&lt;&gt;"",SUMIFS('2. Program Allocation Output'!BI:BI,'2. Program Allocation Output'!$A:$A,"Annual Incremental Energy (kWh)",'2. Program Allocation Output'!$H:$H,$B$6,'2. Program Allocation Output'!$AG:$AG,$B10),"")</f>
        <v>48</v>
      </c>
      <c r="Q10" s="15">
        <f>IF($B10&lt;&gt;"",SUMIFS('2. Program Allocation Output'!BJ:BJ,'2. Program Allocation Output'!$A:$A,"Annual Incremental Energy (kWh)",'2. Program Allocation Output'!$H:$H,$B$6,'2. Program Allocation Output'!$AG:$AG,$B10),"")</f>
        <v>51</v>
      </c>
      <c r="R10" s="15">
        <f>IF($B10&lt;&gt;"",SUMIFS('2. Program Allocation Output'!BK:BK,'2. Program Allocation Output'!$A:$A,"Annual Incremental Energy (kWh)",'2. Program Allocation Output'!$H:$H,$B$6,'2. Program Allocation Output'!$AG:$AG,$B10),"")</f>
        <v>54</v>
      </c>
      <c r="T10" s="74">
        <f>IFERROR(D10*I10,"")</f>
        <v>39607.479999999785</v>
      </c>
      <c r="V10" s="4">
        <f>H10*I10</f>
        <v>16500</v>
      </c>
    </row>
    <row r="11" spans="1:22" x14ac:dyDescent="0.25">
      <c r="B11" s="8" t="str">
        <v>ASHP - CEE Tier 2: 16.8 SEER/16 SEER2; 9.0 HSPF (from elec resistance)</v>
      </c>
      <c r="C11" s="8" t="str">
        <f>IF($B11&lt;&gt;"",_xlfn.XLOOKUP($B11,tbl_Data[Trimmed Measure Name],tbl_Data[Units],0),"")</f>
        <v>Per Unit</v>
      </c>
      <c r="D11" s="15">
        <f>IF($B11&lt;&gt;"",_xlfn.XLOOKUP($B11,tbl_Data[Trimmed Measure Name],tbl_Data[kWh Savings],0),"")</f>
        <v>5868.07</v>
      </c>
      <c r="E11" s="48">
        <f>IF($B11&lt;&gt;"",_xlfn.XLOOKUP($B11,tbl_Data[Trimmed Measure Name],tbl_Data[kW Savings - Summer],0),"")</f>
        <v>0.20813520080661799</v>
      </c>
      <c r="F11" s="48">
        <f>IF($B11&lt;&gt;"",_xlfn.XLOOKUP($B11,tbl_Data[Trimmed Measure Name],tbl_Data[kW Savings - Winter],0),"")</f>
        <v>1.1349578069705</v>
      </c>
      <c r="G11" s="42">
        <f>IF($B11&lt;&gt;"",_xlfn.XLOOKUP($B11,tbl_Data[Trimmed Measure Name],tbl_Data[Incremental Cost ($/unit)],0),"")</f>
        <v>1935.1666666666599</v>
      </c>
      <c r="H11" s="42">
        <f>IF($B11&lt;&gt;"",_xlfn.XLOOKUP($B11,tbl_Data[Trimmed Measure Name],tbl_Data[Adj. per unit Incentive ($)],0),"")</f>
        <v>353</v>
      </c>
      <c r="I11" s="15">
        <f>IF($B11&lt;&gt;"",SUMIFS('2. Program Allocation Output'!BB:BB,'2. Program Allocation Output'!$A:$A,"Annual Incremental Energy (kWh)",'2. Program Allocation Output'!$H:$H,$B$6,'2. Program Allocation Output'!$AG:$AG,$B11),"")</f>
        <v>101</v>
      </c>
      <c r="J11" s="15">
        <f>IF($B11&lt;&gt;"",SUMIFS('2. Program Allocation Output'!BC:BC,'2. Program Allocation Output'!$A:$A,"Annual Incremental Energy (kWh)",'2. Program Allocation Output'!$H:$H,$B$6,'2. Program Allocation Output'!$AG:$AG,$B11),"")</f>
        <v>107</v>
      </c>
      <c r="K11" s="15">
        <f>IF($B11&lt;&gt;"",SUMIFS('2. Program Allocation Output'!BD:BD,'2. Program Allocation Output'!$A:$A,"Annual Incremental Energy (kWh)",'2. Program Allocation Output'!$H:$H,$B$6,'2. Program Allocation Output'!$AG:$AG,$B11),"")</f>
        <v>113</v>
      </c>
      <c r="L11" s="15">
        <f>IF($B11&lt;&gt;"",SUMIFS('2. Program Allocation Output'!BE:BE,'2. Program Allocation Output'!$A:$A,"Annual Incremental Energy (kWh)",'2. Program Allocation Output'!$H:$H,$B$6,'2. Program Allocation Output'!$AG:$AG,$B11),"")</f>
        <v>118</v>
      </c>
      <c r="M11" s="15">
        <f>IF($B11&lt;&gt;"",SUMIFS('2. Program Allocation Output'!BF:BF,'2. Program Allocation Output'!$A:$A,"Annual Incremental Energy (kWh)",'2. Program Allocation Output'!$H:$H,$B$6,'2. Program Allocation Output'!$AG:$AG,$B11),"")</f>
        <v>125</v>
      </c>
      <c r="N11" s="15">
        <f>IF($B11&lt;&gt;"",SUMIFS('2. Program Allocation Output'!BG:BG,'2. Program Allocation Output'!$A:$A,"Annual Incremental Energy (kWh)",'2. Program Allocation Output'!$H:$H,$B$6,'2. Program Allocation Output'!$AG:$AG,$B11),"")</f>
        <v>130</v>
      </c>
      <c r="O11" s="15">
        <f>IF($B11&lt;&gt;"",SUMIFS('2. Program Allocation Output'!BH:BH,'2. Program Allocation Output'!$A:$A,"Annual Incremental Energy (kWh)",'2. Program Allocation Output'!$H:$H,$B$6,'2. Program Allocation Output'!$AG:$AG,$B11),"")</f>
        <v>137</v>
      </c>
      <c r="P11" s="15">
        <f>IF($B11&lt;&gt;"",SUMIFS('2. Program Allocation Output'!BI:BI,'2. Program Allocation Output'!$A:$A,"Annual Incremental Energy (kWh)",'2. Program Allocation Output'!$H:$H,$B$6,'2. Program Allocation Output'!$AG:$AG,$B11),"")</f>
        <v>144</v>
      </c>
      <c r="Q11" s="15">
        <f>IF($B11&lt;&gt;"",SUMIFS('2. Program Allocation Output'!BJ:BJ,'2. Program Allocation Output'!$A:$A,"Annual Incremental Energy (kWh)",'2. Program Allocation Output'!$H:$H,$B$6,'2. Program Allocation Output'!$AG:$AG,$B11),"")</f>
        <v>153</v>
      </c>
      <c r="R11" s="15">
        <f>IF($B11&lt;&gt;"",SUMIFS('2. Program Allocation Output'!BK:BK,'2. Program Allocation Output'!$A:$A,"Annual Incremental Energy (kWh)",'2. Program Allocation Output'!$H:$H,$B$6,'2. Program Allocation Output'!$AG:$AG,$B11),"")</f>
        <v>162</v>
      </c>
      <c r="T11" s="74">
        <f t="shared" ref="T11:T20" si="0">IFERROR(D11*I11,"")</f>
        <v>592675.06999999995</v>
      </c>
      <c r="V11" s="4">
        <f t="shared" ref="V11:V20" si="1">H11*I11</f>
        <v>35653</v>
      </c>
    </row>
    <row r="12" spans="1:22" x14ac:dyDescent="0.25">
      <c r="B12" s="8" t="str">
        <v>ASHP - ENERGY STAR/CEE Tier 1: 16 SEER/15.2 SEER2_ 9.0 HSPF</v>
      </c>
      <c r="C12" s="8" t="str">
        <f>IF($B12&lt;&gt;"",_xlfn.XLOOKUP($B12,tbl_Data[Trimmed Measure Name],tbl_Data[Units],0),"")</f>
        <v>Per Unit</v>
      </c>
      <c r="D12" s="15">
        <f>IF($B12&lt;&gt;"",_xlfn.XLOOKUP($B12,tbl_Data[Trimmed Measure Name],tbl_Data[kWh Savings],0),"")</f>
        <v>253.96999999999801</v>
      </c>
      <c r="E12" s="48">
        <f>IF($B12&lt;&gt;"",_xlfn.XLOOKUP($B12,tbl_Data[Trimmed Measure Name],tbl_Data[kW Savings - Summer],0),"")</f>
        <v>0.107126245482503</v>
      </c>
      <c r="F12" s="48">
        <f>IF($B12&lt;&gt;"",_xlfn.XLOOKUP($B12,tbl_Data[Trimmed Measure Name],tbl_Data[kW Savings - Winter],0),"")</f>
        <v>1.33192706841354E-2</v>
      </c>
      <c r="G12" s="42">
        <f>IF($B12&lt;&gt;"",_xlfn.XLOOKUP($B12,tbl_Data[Trimmed Measure Name],tbl_Data[Incremental Cost ($/unit)],0),"")</f>
        <v>874.99999999999898</v>
      </c>
      <c r="H12" s="42">
        <f>IF($B12&lt;&gt;"",_xlfn.XLOOKUP($B12,tbl_Data[Trimmed Measure Name],tbl_Data[Adj. per unit Incentive ($)],0),"")</f>
        <v>353</v>
      </c>
      <c r="I12" s="15">
        <f>IF($B12&lt;&gt;"",SUMIFS('2. Program Allocation Output'!BB:BB,'2. Program Allocation Output'!$A:$A,"Annual Incremental Energy (kWh)",'2. Program Allocation Output'!$H:$H,$B$6,'2. Program Allocation Output'!$AG:$AG,$B12),"")</f>
        <v>23</v>
      </c>
      <c r="J12" s="15">
        <f>IF($B12&lt;&gt;"",SUMIFS('2. Program Allocation Output'!BC:BC,'2. Program Allocation Output'!$A:$A,"Annual Incremental Energy (kWh)",'2. Program Allocation Output'!$H:$H,$B$6,'2. Program Allocation Output'!$AG:$AG,$B12),"")</f>
        <v>25</v>
      </c>
      <c r="K12" s="15">
        <f>IF($B12&lt;&gt;"",SUMIFS('2. Program Allocation Output'!BD:BD,'2. Program Allocation Output'!$A:$A,"Annual Incremental Energy (kWh)",'2. Program Allocation Output'!$H:$H,$B$6,'2. Program Allocation Output'!$AG:$AG,$B12),"")</f>
        <v>28</v>
      </c>
      <c r="L12" s="15">
        <f>IF($B12&lt;&gt;"",SUMIFS('2. Program Allocation Output'!BE:BE,'2. Program Allocation Output'!$A:$A,"Annual Incremental Energy (kWh)",'2. Program Allocation Output'!$H:$H,$B$6,'2. Program Allocation Output'!$AG:$AG,$B12),"")</f>
        <v>30</v>
      </c>
      <c r="M12" s="15">
        <f>IF($B12&lt;&gt;"",SUMIFS('2. Program Allocation Output'!BF:BF,'2. Program Allocation Output'!$A:$A,"Annual Incremental Energy (kWh)",'2. Program Allocation Output'!$H:$H,$B$6,'2. Program Allocation Output'!$AG:$AG,$B12),"")</f>
        <v>32</v>
      </c>
      <c r="N12" s="15">
        <f>IF($B12&lt;&gt;"",SUMIFS('2. Program Allocation Output'!BG:BG,'2. Program Allocation Output'!$A:$A,"Annual Incremental Energy (kWh)",'2. Program Allocation Output'!$H:$H,$B$6,'2. Program Allocation Output'!$AG:$AG,$B12),"")</f>
        <v>34</v>
      </c>
      <c r="O12" s="15">
        <f>IF($B12&lt;&gt;"",SUMIFS('2. Program Allocation Output'!BH:BH,'2. Program Allocation Output'!$A:$A,"Annual Incremental Energy (kWh)",'2. Program Allocation Output'!$H:$H,$B$6,'2. Program Allocation Output'!$AG:$AG,$B12),"")</f>
        <v>37</v>
      </c>
      <c r="P12" s="15">
        <f>IF($B12&lt;&gt;"",SUMIFS('2. Program Allocation Output'!BI:BI,'2. Program Allocation Output'!$A:$A,"Annual Incremental Energy (kWh)",'2. Program Allocation Output'!$H:$H,$B$6,'2. Program Allocation Output'!$AG:$AG,$B12),"")</f>
        <v>39</v>
      </c>
      <c r="Q12" s="15">
        <f>IF($B12&lt;&gt;"",SUMIFS('2. Program Allocation Output'!BJ:BJ,'2. Program Allocation Output'!$A:$A,"Annual Incremental Energy (kWh)",'2. Program Allocation Output'!$H:$H,$B$6,'2. Program Allocation Output'!$AG:$AG,$B12),"")</f>
        <v>42</v>
      </c>
      <c r="R12" s="15">
        <f>IF($B12&lt;&gt;"",SUMIFS('2. Program Allocation Output'!BK:BK,'2. Program Allocation Output'!$A:$A,"Annual Incremental Energy (kWh)",'2. Program Allocation Output'!$H:$H,$B$6,'2. Program Allocation Output'!$AG:$AG,$B12),"")</f>
        <v>45</v>
      </c>
      <c r="T12" s="74">
        <f t="shared" si="0"/>
        <v>5841.309999999954</v>
      </c>
      <c r="V12" s="4">
        <f>H12*I12</f>
        <v>8119</v>
      </c>
    </row>
    <row r="13" spans="1:22" x14ac:dyDescent="0.25">
      <c r="B13" s="8" t="str">
        <v>Ceiling Insulation(R2 to R38) Residential</v>
      </c>
      <c r="C13" s="8" t="str">
        <f>IF($B13&lt;&gt;"",_xlfn.XLOOKUP($B13,tbl_Data[Trimmed Measure Name],tbl_Data[Units],0),"")</f>
        <v>Per End Use Consumption</v>
      </c>
      <c r="D13" s="15">
        <f>IF($B13&lt;&gt;"",_xlfn.XLOOKUP($B13,tbl_Data[Trimmed Measure Name],tbl_Data[kWh Savings],0),"")</f>
        <v>3443.6666666666601</v>
      </c>
      <c r="E13" s="48">
        <f>IF($B13&lt;&gt;"",_xlfn.XLOOKUP($B13,tbl_Data[Trimmed Measure Name],tbl_Data[kW Savings - Summer],0),"")</f>
        <v>1.66949913665645</v>
      </c>
      <c r="F13" s="48">
        <f>IF($B13&lt;&gt;"",_xlfn.XLOOKUP($B13,tbl_Data[Trimmed Measure Name],tbl_Data[kW Savings - Winter],0),"")</f>
        <v>0.25022957227107101</v>
      </c>
      <c r="G13" s="42">
        <f>IF($B13&lt;&gt;"",_xlfn.XLOOKUP($B13,tbl_Data[Trimmed Measure Name],tbl_Data[Incremental Cost ($/unit)],0),"")</f>
        <v>1269.26999999999</v>
      </c>
      <c r="H13" s="42">
        <f>IF($B13&lt;&gt;"",_xlfn.XLOOKUP($B13,tbl_Data[Trimmed Measure Name],tbl_Data[Adj. per unit Incentive ($)],0),"")</f>
        <v>164</v>
      </c>
      <c r="I13" s="15">
        <f>IF($B13&lt;&gt;"",SUMIFS('2. Program Allocation Output'!BB:BB,'2. Program Allocation Output'!$A:$A,"Annual Incremental Energy (kWh)",'2. Program Allocation Output'!$H:$H,$B$6,'2. Program Allocation Output'!$AG:$AG,$B13),"")</f>
        <v>2</v>
      </c>
      <c r="J13" s="15">
        <f>IF($B13&lt;&gt;"",SUMIFS('2. Program Allocation Output'!BC:BC,'2. Program Allocation Output'!$A:$A,"Annual Incremental Energy (kWh)",'2. Program Allocation Output'!$H:$H,$B$6,'2. Program Allocation Output'!$AG:$AG,$B13),"")</f>
        <v>2</v>
      </c>
      <c r="K13" s="15">
        <f>IF($B13&lt;&gt;"",SUMIFS('2. Program Allocation Output'!BD:BD,'2. Program Allocation Output'!$A:$A,"Annual Incremental Energy (kWh)",'2. Program Allocation Output'!$H:$H,$B$6,'2. Program Allocation Output'!$AG:$AG,$B13),"")</f>
        <v>2</v>
      </c>
      <c r="L13" s="15">
        <f>IF($B13&lt;&gt;"",SUMIFS('2. Program Allocation Output'!BE:BE,'2. Program Allocation Output'!$A:$A,"Annual Incremental Energy (kWh)",'2. Program Allocation Output'!$H:$H,$B$6,'2. Program Allocation Output'!$AG:$AG,$B13),"")</f>
        <v>2</v>
      </c>
      <c r="M13" s="15">
        <f>IF($B13&lt;&gt;"",SUMIFS('2. Program Allocation Output'!BF:BF,'2. Program Allocation Output'!$A:$A,"Annual Incremental Energy (kWh)",'2. Program Allocation Output'!$H:$H,$B$6,'2. Program Allocation Output'!$AG:$AG,$B13),"")</f>
        <v>2</v>
      </c>
      <c r="N13" s="15">
        <f>IF($B13&lt;&gt;"",SUMIFS('2. Program Allocation Output'!BG:BG,'2. Program Allocation Output'!$A:$A,"Annual Incremental Energy (kWh)",'2. Program Allocation Output'!$H:$H,$B$6,'2. Program Allocation Output'!$AG:$AG,$B13),"")</f>
        <v>2</v>
      </c>
      <c r="O13" s="15">
        <f>IF($B13&lt;&gt;"",SUMIFS('2. Program Allocation Output'!BH:BH,'2. Program Allocation Output'!$A:$A,"Annual Incremental Energy (kWh)",'2. Program Allocation Output'!$H:$H,$B$6,'2. Program Allocation Output'!$AG:$AG,$B13),"")</f>
        <v>2</v>
      </c>
      <c r="P13" s="15">
        <f>IF($B13&lt;&gt;"",SUMIFS('2. Program Allocation Output'!BI:BI,'2. Program Allocation Output'!$A:$A,"Annual Incremental Energy (kWh)",'2. Program Allocation Output'!$H:$H,$B$6,'2. Program Allocation Output'!$AG:$AG,$B13),"")</f>
        <v>2</v>
      </c>
      <c r="Q13" s="15">
        <f>IF($B13&lt;&gt;"",SUMIFS('2. Program Allocation Output'!BJ:BJ,'2. Program Allocation Output'!$A:$A,"Annual Incremental Energy (kWh)",'2. Program Allocation Output'!$H:$H,$B$6,'2. Program Allocation Output'!$AG:$AG,$B13),"")</f>
        <v>2</v>
      </c>
      <c r="R13" s="15">
        <f>IF($B13&lt;&gt;"",SUMIFS('2. Program Allocation Output'!BK:BK,'2. Program Allocation Output'!$A:$A,"Annual Incremental Energy (kWh)",'2. Program Allocation Output'!$H:$H,$B$6,'2. Program Allocation Output'!$AG:$AG,$B13),"")</f>
        <v>2</v>
      </c>
      <c r="T13" s="74">
        <f t="shared" si="0"/>
        <v>6887.3333333333203</v>
      </c>
      <c r="V13" s="4">
        <f t="shared" si="1"/>
        <v>328</v>
      </c>
    </row>
    <row r="14" spans="1:22" x14ac:dyDescent="0.25">
      <c r="B14" s="8" t="str">
        <v>Ceiling Insulation(R2 to R49) Residential</v>
      </c>
      <c r="C14" s="8" t="str">
        <f>IF($B14&lt;&gt;"",_xlfn.XLOOKUP($B14,tbl_Data[Trimmed Measure Name],tbl_Data[Units],0),"")</f>
        <v>Per End Use Consumption</v>
      </c>
      <c r="D14" s="15">
        <f>IF($B14&lt;&gt;"",_xlfn.XLOOKUP($B14,tbl_Data[Trimmed Measure Name],tbl_Data[kWh Savings],0),"")</f>
        <v>3523.57666666666</v>
      </c>
      <c r="E14" s="48">
        <f>IF($B14&lt;&gt;"",_xlfn.XLOOKUP($B14,tbl_Data[Trimmed Measure Name],tbl_Data[kW Savings - Summer],0),"")</f>
        <v>1.7070465614975301</v>
      </c>
      <c r="F14" s="48">
        <f>IF($B14&lt;&gt;"",_xlfn.XLOOKUP($B14,tbl_Data[Trimmed Measure Name],tbl_Data[kW Savings - Winter],0),"")</f>
        <v>0.25623328618049002</v>
      </c>
      <c r="G14" s="42">
        <f>IF($B14&lt;&gt;"",_xlfn.XLOOKUP($B14,tbl_Data[Trimmed Measure Name],tbl_Data[Incremental Cost ($/unit)],0),"")</f>
        <v>1306.5999999999899</v>
      </c>
      <c r="H14" s="42">
        <f>IF($B14&lt;&gt;"",_xlfn.XLOOKUP($B14,tbl_Data[Trimmed Measure Name],tbl_Data[Adj. per unit Incentive ($)],0),"")</f>
        <v>164</v>
      </c>
      <c r="I14" s="15">
        <f>IF($B14&lt;&gt;"",SUMIFS('2. Program Allocation Output'!BB:BB,'2. Program Allocation Output'!$A:$A,"Annual Incremental Energy (kWh)",'2. Program Allocation Output'!$H:$H,$B$6,'2. Program Allocation Output'!$AG:$AG,$B14),"")</f>
        <v>2</v>
      </c>
      <c r="J14" s="15">
        <f>IF($B14&lt;&gt;"",SUMIFS('2. Program Allocation Output'!BC:BC,'2. Program Allocation Output'!$A:$A,"Annual Incremental Energy (kWh)",'2. Program Allocation Output'!$H:$H,$B$6,'2. Program Allocation Output'!$AG:$AG,$B14),"")</f>
        <v>2</v>
      </c>
      <c r="K14" s="15">
        <f>IF($B14&lt;&gt;"",SUMIFS('2. Program Allocation Output'!BD:BD,'2. Program Allocation Output'!$A:$A,"Annual Incremental Energy (kWh)",'2. Program Allocation Output'!$H:$H,$B$6,'2. Program Allocation Output'!$AG:$AG,$B14),"")</f>
        <v>2</v>
      </c>
      <c r="L14" s="15">
        <f>IF($B14&lt;&gt;"",SUMIFS('2. Program Allocation Output'!BE:BE,'2. Program Allocation Output'!$A:$A,"Annual Incremental Energy (kWh)",'2. Program Allocation Output'!$H:$H,$B$6,'2. Program Allocation Output'!$AG:$AG,$B14),"")</f>
        <v>2</v>
      </c>
      <c r="M14" s="15">
        <f>IF($B14&lt;&gt;"",SUMIFS('2. Program Allocation Output'!BF:BF,'2. Program Allocation Output'!$A:$A,"Annual Incremental Energy (kWh)",'2. Program Allocation Output'!$H:$H,$B$6,'2. Program Allocation Output'!$AG:$AG,$B14),"")</f>
        <v>2</v>
      </c>
      <c r="N14" s="15">
        <f>IF($B14&lt;&gt;"",SUMIFS('2. Program Allocation Output'!BG:BG,'2. Program Allocation Output'!$A:$A,"Annual Incremental Energy (kWh)",'2. Program Allocation Output'!$H:$H,$B$6,'2. Program Allocation Output'!$AG:$AG,$B14),"")</f>
        <v>2</v>
      </c>
      <c r="O14" s="15">
        <f>IF($B14&lt;&gt;"",SUMIFS('2. Program Allocation Output'!BH:BH,'2. Program Allocation Output'!$A:$A,"Annual Incremental Energy (kWh)",'2. Program Allocation Output'!$H:$H,$B$6,'2. Program Allocation Output'!$AG:$AG,$B14),"")</f>
        <v>2</v>
      </c>
      <c r="P14" s="15">
        <f>IF($B14&lt;&gt;"",SUMIFS('2. Program Allocation Output'!BI:BI,'2. Program Allocation Output'!$A:$A,"Annual Incremental Energy (kWh)",'2. Program Allocation Output'!$H:$H,$B$6,'2. Program Allocation Output'!$AG:$AG,$B14),"")</f>
        <v>2</v>
      </c>
      <c r="Q14" s="15">
        <f>IF($B14&lt;&gt;"",SUMIFS('2. Program Allocation Output'!BJ:BJ,'2. Program Allocation Output'!$A:$A,"Annual Incremental Energy (kWh)",'2. Program Allocation Output'!$H:$H,$B$6,'2. Program Allocation Output'!$AG:$AG,$B14),"")</f>
        <v>2</v>
      </c>
      <c r="R14" s="15">
        <f>IF($B14&lt;&gt;"",SUMIFS('2. Program Allocation Output'!BK:BK,'2. Program Allocation Output'!$A:$A,"Annual Incremental Energy (kWh)",'2. Program Allocation Output'!$H:$H,$B$6,'2. Program Allocation Output'!$AG:$AG,$B14),"")</f>
        <v>2</v>
      </c>
      <c r="T14" s="74">
        <f t="shared" si="0"/>
        <v>7047.15333333332</v>
      </c>
      <c r="V14" s="4">
        <f t="shared" si="1"/>
        <v>328</v>
      </c>
    </row>
    <row r="15" spans="1:22" x14ac:dyDescent="0.25">
      <c r="B15" s="8" t="str">
        <v>Duct Repair</v>
      </c>
      <c r="C15" s="8" t="str">
        <f>IF($B15&lt;&gt;"",_xlfn.XLOOKUP($B15,tbl_Data[Trimmed Measure Name],tbl_Data[Units],0),"")</f>
        <v>Per End Use Consumption</v>
      </c>
      <c r="D15" s="15">
        <f>IF($B15&lt;&gt;"",_xlfn.XLOOKUP($B15,tbl_Data[Trimmed Measure Name],tbl_Data[kWh Savings],0),"")</f>
        <v>936.45</v>
      </c>
      <c r="E15" s="48">
        <f>IF($B15&lt;&gt;"",_xlfn.XLOOKUP($B15,tbl_Data[Trimmed Measure Name],tbl_Data[kW Savings - Summer],0),"")</f>
        <v>0.42562333070119601</v>
      </c>
      <c r="F15" s="48">
        <f>IF($B15&lt;&gt;"",_xlfn.XLOOKUP($B15,tbl_Data[Trimmed Measure Name],tbl_Data[kW Savings - Winter],0),"")</f>
        <v>3.9115067461125599E-2</v>
      </c>
      <c r="G15" s="42">
        <f>IF($B15&lt;&gt;"",_xlfn.XLOOKUP($B15,tbl_Data[Trimmed Measure Name],tbl_Data[Incremental Cost ($/unit)],0),"")</f>
        <v>685.00999995999996</v>
      </c>
      <c r="H15" s="42">
        <f>IF($B15&lt;&gt;"",_xlfn.XLOOKUP($B15,tbl_Data[Trimmed Measure Name],tbl_Data[Adj. per unit Incentive ($)],0),"")</f>
        <v>100</v>
      </c>
      <c r="I15" s="15">
        <f>IF($B15&lt;&gt;"",SUMIFS('2. Program Allocation Output'!BB:BB,'2. Program Allocation Output'!$A:$A,"Annual Incremental Energy (kWh)",'2. Program Allocation Output'!$H:$H,$B$6,'2. Program Allocation Output'!$AG:$AG,$B15),"")</f>
        <v>36</v>
      </c>
      <c r="J15" s="15">
        <f>IF($B15&lt;&gt;"",SUMIFS('2. Program Allocation Output'!BC:BC,'2. Program Allocation Output'!$A:$A,"Annual Incremental Energy (kWh)",'2. Program Allocation Output'!$H:$H,$B$6,'2. Program Allocation Output'!$AG:$AG,$B15),"")</f>
        <v>35</v>
      </c>
      <c r="K15" s="15">
        <f>IF($B15&lt;&gt;"",SUMIFS('2. Program Allocation Output'!BD:BD,'2. Program Allocation Output'!$A:$A,"Annual Incremental Energy (kWh)",'2. Program Allocation Output'!$H:$H,$B$6,'2. Program Allocation Output'!$AG:$AG,$B15),"")</f>
        <v>34</v>
      </c>
      <c r="L15" s="15">
        <f>IF($B15&lt;&gt;"",SUMIFS('2. Program Allocation Output'!BE:BE,'2. Program Allocation Output'!$A:$A,"Annual Incremental Energy (kWh)",'2. Program Allocation Output'!$H:$H,$B$6,'2. Program Allocation Output'!$AG:$AG,$B15),"")</f>
        <v>33</v>
      </c>
      <c r="M15" s="15">
        <f>IF($B15&lt;&gt;"",SUMIFS('2. Program Allocation Output'!BF:BF,'2. Program Allocation Output'!$A:$A,"Annual Incremental Energy (kWh)",'2. Program Allocation Output'!$H:$H,$B$6,'2. Program Allocation Output'!$AG:$AG,$B15),"")</f>
        <v>32</v>
      </c>
      <c r="N15" s="15">
        <f>IF($B15&lt;&gt;"",SUMIFS('2. Program Allocation Output'!BG:BG,'2. Program Allocation Output'!$A:$A,"Annual Incremental Energy (kWh)",'2. Program Allocation Output'!$H:$H,$B$6,'2. Program Allocation Output'!$AG:$AG,$B15),"")</f>
        <v>31</v>
      </c>
      <c r="O15" s="15">
        <f>IF($B15&lt;&gt;"",SUMIFS('2. Program Allocation Output'!BH:BH,'2. Program Allocation Output'!$A:$A,"Annual Incremental Energy (kWh)",'2. Program Allocation Output'!$H:$H,$B$6,'2. Program Allocation Output'!$AG:$AG,$B15),"")</f>
        <v>30</v>
      </c>
      <c r="P15" s="15">
        <f>IF($B15&lt;&gt;"",SUMIFS('2. Program Allocation Output'!BI:BI,'2. Program Allocation Output'!$A:$A,"Annual Incremental Energy (kWh)",'2. Program Allocation Output'!$H:$H,$B$6,'2. Program Allocation Output'!$AG:$AG,$B15),"")</f>
        <v>30</v>
      </c>
      <c r="Q15" s="15">
        <f>IF($B15&lt;&gt;"",SUMIFS('2. Program Allocation Output'!BJ:BJ,'2. Program Allocation Output'!$A:$A,"Annual Incremental Energy (kWh)",'2. Program Allocation Output'!$H:$H,$B$6,'2. Program Allocation Output'!$AG:$AG,$B15),"")</f>
        <v>29</v>
      </c>
      <c r="R15" s="15">
        <f>IF($B15&lt;&gt;"",SUMIFS('2. Program Allocation Output'!BK:BK,'2. Program Allocation Output'!$A:$A,"Annual Incremental Energy (kWh)",'2. Program Allocation Output'!$H:$H,$B$6,'2. Program Allocation Output'!$AG:$AG,$B15),"")</f>
        <v>29</v>
      </c>
      <c r="T15" s="74">
        <f t="shared" si="0"/>
        <v>33712.200000000004</v>
      </c>
      <c r="V15" s="4">
        <f t="shared" si="1"/>
        <v>3600</v>
      </c>
    </row>
    <row r="16" spans="1:22" x14ac:dyDescent="0.25">
      <c r="B16" s="8" t="str">
        <v>Energy Star Windows Residential</v>
      </c>
      <c r="C16" s="8" t="str">
        <f>IF($B16&lt;&gt;"",_xlfn.XLOOKUP($B16,tbl_Data[Trimmed Measure Name],tbl_Data[Units],0),"")</f>
        <v>Per 100 S.F.</v>
      </c>
      <c r="D16" s="15">
        <f>IF($B16&lt;&gt;"",_xlfn.XLOOKUP($B16,tbl_Data[Trimmed Measure Name],tbl_Data[kWh Savings],0),"")</f>
        <v>57.93</v>
      </c>
      <c r="E16" s="48">
        <f>IF($B16&lt;&gt;"",_xlfn.XLOOKUP($B16,tbl_Data[Trimmed Measure Name],tbl_Data[kW Savings - Summer],0),"")</f>
        <v>0</v>
      </c>
      <c r="F16" s="48">
        <f>IF($B16&lt;&gt;"",_xlfn.XLOOKUP($B16,tbl_Data[Trimmed Measure Name],tbl_Data[kW Savings - Winter],0),"")</f>
        <v>1.1014721785810099E-2</v>
      </c>
      <c r="G16" s="42">
        <f>IF($B16&lt;&gt;"",_xlfn.XLOOKUP($B16,tbl_Data[Trimmed Measure Name],tbl_Data[Incremental Cost ($/unit)],0),"")</f>
        <v>154.1011072</v>
      </c>
      <c r="H16" s="42">
        <f>IF($B16&lt;&gt;"",_xlfn.XLOOKUP($B16,tbl_Data[Trimmed Measure Name],tbl_Data[Adj. per unit Incentive ($)],0),"")</f>
        <v>150</v>
      </c>
      <c r="I16" s="15">
        <f>IF($B16&lt;&gt;"",SUMIFS('2. Program Allocation Output'!BB:BB,'2. Program Allocation Output'!$A:$A,"Annual Incremental Energy (kWh)",'2. Program Allocation Output'!$H:$H,$B$6,'2. Program Allocation Output'!$AG:$AG,$B16),"")</f>
        <v>166</v>
      </c>
      <c r="J16" s="15">
        <f>IF($B16&lt;&gt;"",SUMIFS('2. Program Allocation Output'!BC:BC,'2. Program Allocation Output'!$A:$A,"Annual Incremental Energy (kWh)",'2. Program Allocation Output'!$H:$H,$B$6,'2. Program Allocation Output'!$AG:$AG,$B16),"")</f>
        <v>154</v>
      </c>
      <c r="K16" s="15">
        <f>IF($B16&lt;&gt;"",SUMIFS('2. Program Allocation Output'!BD:BD,'2. Program Allocation Output'!$A:$A,"Annual Incremental Energy (kWh)",'2. Program Allocation Output'!$H:$H,$B$6,'2. Program Allocation Output'!$AG:$AG,$B16),"")</f>
        <v>143</v>
      </c>
      <c r="L16" s="15">
        <f>IF($B16&lt;&gt;"",SUMIFS('2. Program Allocation Output'!BE:BE,'2. Program Allocation Output'!$A:$A,"Annual Incremental Energy (kWh)",'2. Program Allocation Output'!$H:$H,$B$6,'2. Program Allocation Output'!$AG:$AG,$B16),"")</f>
        <v>132</v>
      </c>
      <c r="M16" s="15">
        <f>IF($B16&lt;&gt;"",SUMIFS('2. Program Allocation Output'!BF:BF,'2. Program Allocation Output'!$A:$A,"Annual Incremental Energy (kWh)",'2. Program Allocation Output'!$H:$H,$B$6,'2. Program Allocation Output'!$AG:$AG,$B16),"")</f>
        <v>122</v>
      </c>
      <c r="N16" s="15">
        <f>IF($B16&lt;&gt;"",SUMIFS('2. Program Allocation Output'!BG:BG,'2. Program Allocation Output'!$A:$A,"Annual Incremental Energy (kWh)",'2. Program Allocation Output'!$H:$H,$B$6,'2. Program Allocation Output'!$AG:$AG,$B16),"")</f>
        <v>112</v>
      </c>
      <c r="O16" s="15">
        <f>IF($B16&lt;&gt;"",SUMIFS('2. Program Allocation Output'!BH:BH,'2. Program Allocation Output'!$A:$A,"Annual Incremental Energy (kWh)",'2. Program Allocation Output'!$H:$H,$B$6,'2. Program Allocation Output'!$AG:$AG,$B16),"")</f>
        <v>103</v>
      </c>
      <c r="P16" s="15">
        <f>IF($B16&lt;&gt;"",SUMIFS('2. Program Allocation Output'!BI:BI,'2. Program Allocation Output'!$A:$A,"Annual Incremental Energy (kWh)",'2. Program Allocation Output'!$H:$H,$B$6,'2. Program Allocation Output'!$AG:$AG,$B16),"")</f>
        <v>95</v>
      </c>
      <c r="Q16" s="15">
        <f>IF($B16&lt;&gt;"",SUMIFS('2. Program Allocation Output'!BJ:BJ,'2. Program Allocation Output'!$A:$A,"Annual Incremental Energy (kWh)",'2. Program Allocation Output'!$H:$H,$B$6,'2. Program Allocation Output'!$AG:$AG,$B16),"")</f>
        <v>88</v>
      </c>
      <c r="R16" s="15">
        <f>IF($B16&lt;&gt;"",SUMIFS('2. Program Allocation Output'!BK:BK,'2. Program Allocation Output'!$A:$A,"Annual Incremental Energy (kWh)",'2. Program Allocation Output'!$H:$H,$B$6,'2. Program Allocation Output'!$AG:$AG,$B16),"")</f>
        <v>82</v>
      </c>
      <c r="T16" s="74">
        <f t="shared" si="0"/>
        <v>9616.3799999999992</v>
      </c>
      <c r="V16" s="4">
        <f t="shared" si="1"/>
        <v>24900</v>
      </c>
    </row>
    <row r="17" spans="2:22" x14ac:dyDescent="0.25">
      <c r="B17" s="8" t="str">
        <v>Heat Pump Water Heater 50 Gallons- CEE Advanced Tier</v>
      </c>
      <c r="C17" s="8" t="str">
        <f>IF($B17&lt;&gt;"",_xlfn.XLOOKUP($B17,tbl_Data[Trimmed Measure Name],tbl_Data[Units],0),"")</f>
        <v>Per Water Heater</v>
      </c>
      <c r="D17" s="15">
        <f>IF($B17&lt;&gt;"",_xlfn.XLOOKUP($B17,tbl_Data[Trimmed Measure Name],tbl_Data[kWh Savings],0),"")</f>
        <v>1663.1099999999899</v>
      </c>
      <c r="E17" s="48">
        <f>IF($B17&lt;&gt;"",_xlfn.XLOOKUP($B17,tbl_Data[Trimmed Measure Name],tbl_Data[kW Savings - Summer],0),"")</f>
        <v>6.6647595975018806E-2</v>
      </c>
      <c r="F17" s="48">
        <f>IF($B17&lt;&gt;"",_xlfn.XLOOKUP($B17,tbl_Data[Trimmed Measure Name],tbl_Data[kW Savings - Winter],0),"")</f>
        <v>0.309148293753995</v>
      </c>
      <c r="G17" s="42">
        <f>IF($B17&lt;&gt;"",_xlfn.XLOOKUP($B17,tbl_Data[Trimmed Measure Name],tbl_Data[Incremental Cost ($/unit)],0),"")</f>
        <v>1389.5</v>
      </c>
      <c r="H17" s="42">
        <f>IF($B17&lt;&gt;"",_xlfn.XLOOKUP($B17,tbl_Data[Trimmed Measure Name],tbl_Data[Adj. per unit Incentive ($)],0),"")</f>
        <v>500</v>
      </c>
      <c r="I17" s="15">
        <f>IF($B17&lt;&gt;"",SUMIFS('2. Program Allocation Output'!BB:BB,'2. Program Allocation Output'!$A:$A,"Annual Incremental Energy (kWh)",'2. Program Allocation Output'!$H:$H,$B$6,'2. Program Allocation Output'!$AG:$AG,$B17),"")</f>
        <v>34</v>
      </c>
      <c r="J17" s="15">
        <f>IF($B17&lt;&gt;"",SUMIFS('2. Program Allocation Output'!BC:BC,'2. Program Allocation Output'!$A:$A,"Annual Incremental Energy (kWh)",'2. Program Allocation Output'!$H:$H,$B$6,'2. Program Allocation Output'!$AG:$AG,$B17),"")</f>
        <v>38</v>
      </c>
      <c r="K17" s="15">
        <f>IF($B17&lt;&gt;"",SUMIFS('2. Program Allocation Output'!BD:BD,'2. Program Allocation Output'!$A:$A,"Annual Incremental Energy (kWh)",'2. Program Allocation Output'!$H:$H,$B$6,'2. Program Allocation Output'!$AG:$AG,$B17),"")</f>
        <v>42</v>
      </c>
      <c r="L17" s="15">
        <f>IF($B17&lt;&gt;"",SUMIFS('2. Program Allocation Output'!BE:BE,'2. Program Allocation Output'!$A:$A,"Annual Incremental Energy (kWh)",'2. Program Allocation Output'!$H:$H,$B$6,'2. Program Allocation Output'!$AG:$AG,$B17),"")</f>
        <v>45</v>
      </c>
      <c r="M17" s="15">
        <f>IF($B17&lt;&gt;"",SUMIFS('2. Program Allocation Output'!BF:BF,'2. Program Allocation Output'!$A:$A,"Annual Incremental Energy (kWh)",'2. Program Allocation Output'!$H:$H,$B$6,'2. Program Allocation Output'!$AG:$AG,$B17),"")</f>
        <v>48</v>
      </c>
      <c r="N17" s="15">
        <f>IF($B17&lt;&gt;"",SUMIFS('2. Program Allocation Output'!BG:BG,'2. Program Allocation Output'!$A:$A,"Annual Incremental Energy (kWh)",'2. Program Allocation Output'!$H:$H,$B$6,'2. Program Allocation Output'!$AG:$AG,$B17),"")</f>
        <v>51</v>
      </c>
      <c r="O17" s="15">
        <f>IF($B17&lt;&gt;"",SUMIFS('2. Program Allocation Output'!BH:BH,'2. Program Allocation Output'!$A:$A,"Annual Incremental Energy (kWh)",'2. Program Allocation Output'!$H:$H,$B$6,'2. Program Allocation Output'!$AG:$AG,$B17),"")</f>
        <v>54</v>
      </c>
      <c r="P17" s="15">
        <f>IF($B17&lt;&gt;"",SUMIFS('2. Program Allocation Output'!BI:BI,'2. Program Allocation Output'!$A:$A,"Annual Incremental Energy (kWh)",'2. Program Allocation Output'!$H:$H,$B$6,'2. Program Allocation Output'!$AG:$AG,$B17),"")</f>
        <v>57</v>
      </c>
      <c r="Q17" s="15">
        <f>IF($B17&lt;&gt;"",SUMIFS('2. Program Allocation Output'!BJ:BJ,'2. Program Allocation Output'!$A:$A,"Annual Incremental Energy (kWh)",'2. Program Allocation Output'!$H:$H,$B$6,'2. Program Allocation Output'!$AG:$AG,$B17),"")</f>
        <v>61</v>
      </c>
      <c r="R17" s="15">
        <f>IF($B17&lt;&gt;"",SUMIFS('2. Program Allocation Output'!BK:BK,'2. Program Allocation Output'!$A:$A,"Annual Incremental Energy (kWh)",'2. Program Allocation Output'!$H:$H,$B$6,'2. Program Allocation Output'!$AG:$AG,$B17),"")</f>
        <v>64</v>
      </c>
      <c r="T17" s="74">
        <f t="shared" si="0"/>
        <v>56545.739999999656</v>
      </c>
      <c r="V17" s="4">
        <f t="shared" si="1"/>
        <v>17000</v>
      </c>
    </row>
    <row r="18" spans="2:22" x14ac:dyDescent="0.25">
      <c r="B18" s="8" t="str">
        <v>Heat Pump Water Heater 50 Gallons-ENERGY STAR</v>
      </c>
      <c r="C18" s="8" t="str">
        <f>IF($B18&lt;&gt;"",_xlfn.XLOOKUP($B18,tbl_Data[Trimmed Measure Name],tbl_Data[Units],0),"")</f>
        <v>per water heater</v>
      </c>
      <c r="D18" s="15">
        <f>IF($B18&lt;&gt;"",_xlfn.XLOOKUP($B18,tbl_Data[Trimmed Measure Name],tbl_Data[kWh Savings],0),"")</f>
        <v>1590.11499999999</v>
      </c>
      <c r="E18" s="48">
        <f>IF($B18&lt;&gt;"",_xlfn.XLOOKUP($B18,tbl_Data[Trimmed Measure Name],tbl_Data[kW Savings - Summer],0),"")</f>
        <v>6.3722388822036402E-2</v>
      </c>
      <c r="F18" s="48">
        <f>IF($B18&lt;&gt;"",_xlfn.XLOOKUP($B18,tbl_Data[Trimmed Measure Name],tbl_Data[kW Savings - Winter],0),"")</f>
        <v>0.29557957027655002</v>
      </c>
      <c r="G18" s="42">
        <f>IF($B18&lt;&gt;"",_xlfn.XLOOKUP($B18,tbl_Data[Trimmed Measure Name],tbl_Data[Incremental Cost ($/unit)],0),"")</f>
        <v>1389.5</v>
      </c>
      <c r="H18" s="42">
        <f>IF($B18&lt;&gt;"",_xlfn.XLOOKUP($B18,tbl_Data[Trimmed Measure Name],tbl_Data[Adj. per unit Incentive ($)],0),"")</f>
        <v>500</v>
      </c>
      <c r="I18" s="15">
        <f>IF($B18&lt;&gt;"",SUMIFS('2. Program Allocation Output'!BB:BB,'2. Program Allocation Output'!$A:$A,"Annual Incremental Energy (kWh)",'2. Program Allocation Output'!$H:$H,$B$6,'2. Program Allocation Output'!$AG:$AG,$B18),"")</f>
        <v>48</v>
      </c>
      <c r="J18" s="15">
        <f>IF($B18&lt;&gt;"",SUMIFS('2. Program Allocation Output'!BC:BC,'2. Program Allocation Output'!$A:$A,"Annual Incremental Energy (kWh)",'2. Program Allocation Output'!$H:$H,$B$6,'2. Program Allocation Output'!$AG:$AG,$B18),"")</f>
        <v>53</v>
      </c>
      <c r="K18" s="15">
        <f>IF($B18&lt;&gt;"",SUMIFS('2. Program Allocation Output'!BD:BD,'2. Program Allocation Output'!$A:$A,"Annual Incremental Energy (kWh)",'2. Program Allocation Output'!$H:$H,$B$6,'2. Program Allocation Output'!$AG:$AG,$B18),"")</f>
        <v>58</v>
      </c>
      <c r="L18" s="15">
        <f>IF($B18&lt;&gt;"",SUMIFS('2. Program Allocation Output'!BE:BE,'2. Program Allocation Output'!$A:$A,"Annual Incremental Energy (kWh)",'2. Program Allocation Output'!$H:$H,$B$6,'2. Program Allocation Output'!$AG:$AG,$B18),"")</f>
        <v>62</v>
      </c>
      <c r="M18" s="15">
        <f>IF($B18&lt;&gt;"",SUMIFS('2. Program Allocation Output'!BF:BF,'2. Program Allocation Output'!$A:$A,"Annual Incremental Energy (kWh)",'2. Program Allocation Output'!$H:$H,$B$6,'2. Program Allocation Output'!$AG:$AG,$B18),"")</f>
        <v>67</v>
      </c>
      <c r="N18" s="15">
        <f>IF($B18&lt;&gt;"",SUMIFS('2. Program Allocation Output'!BG:BG,'2. Program Allocation Output'!$A:$A,"Annual Incremental Energy (kWh)",'2. Program Allocation Output'!$H:$H,$B$6,'2. Program Allocation Output'!$AG:$AG,$B18),"")</f>
        <v>71</v>
      </c>
      <c r="O18" s="15">
        <f>IF($B18&lt;&gt;"",SUMIFS('2. Program Allocation Output'!BH:BH,'2. Program Allocation Output'!$A:$A,"Annual Incremental Energy (kWh)",'2. Program Allocation Output'!$H:$H,$B$6,'2. Program Allocation Output'!$AG:$AG,$B18),"")</f>
        <v>75</v>
      </c>
      <c r="P18" s="15">
        <f>IF($B18&lt;&gt;"",SUMIFS('2. Program Allocation Output'!BI:BI,'2. Program Allocation Output'!$A:$A,"Annual Incremental Energy (kWh)",'2. Program Allocation Output'!$H:$H,$B$6,'2. Program Allocation Output'!$AG:$AG,$B18),"")</f>
        <v>80</v>
      </c>
      <c r="Q18" s="15">
        <f>IF($B18&lt;&gt;"",SUMIFS('2. Program Allocation Output'!BJ:BJ,'2. Program Allocation Output'!$A:$A,"Annual Incremental Energy (kWh)",'2. Program Allocation Output'!$H:$H,$B$6,'2. Program Allocation Output'!$AG:$AG,$B18),"")</f>
        <v>85</v>
      </c>
      <c r="R18" s="15">
        <f>IF($B18&lt;&gt;"",SUMIFS('2. Program Allocation Output'!BK:BK,'2. Program Allocation Output'!$A:$A,"Annual Incremental Energy (kWh)",'2. Program Allocation Output'!$H:$H,$B$6,'2. Program Allocation Output'!$AG:$AG,$B18),"")</f>
        <v>90</v>
      </c>
      <c r="T18" s="74">
        <f t="shared" si="0"/>
        <v>76325.519999999524</v>
      </c>
      <c r="V18" s="4">
        <f t="shared" si="1"/>
        <v>24000</v>
      </c>
    </row>
    <row r="19" spans="2:22" x14ac:dyDescent="0.25">
      <c r="B19" s="8" t="str">
        <v>Heat Pump Water Heater 80 Gallons-ENERGY STAR</v>
      </c>
      <c r="C19" s="8" t="str">
        <f>IF($B19&lt;&gt;"",_xlfn.XLOOKUP($B19,tbl_Data[Trimmed Measure Name],tbl_Data[Units],0),"")</f>
        <v>Per Water Heater</v>
      </c>
      <c r="D19" s="15">
        <f>IF($B19&lt;&gt;"",_xlfn.XLOOKUP($B19,tbl_Data[Trimmed Measure Name],tbl_Data[kWh Savings],0),"")</f>
        <v>461.909999999999</v>
      </c>
      <c r="E19" s="48">
        <f>IF($B19&lt;&gt;"",_xlfn.XLOOKUP($B19,tbl_Data[Trimmed Measure Name],tbl_Data[kW Savings - Summer],0),"")</f>
        <v>1.8510616289253799E-2</v>
      </c>
      <c r="F19" s="48">
        <f>IF($B19&lt;&gt;"",_xlfn.XLOOKUP($B19,tbl_Data[Trimmed Measure Name],tbl_Data[kW Savings - Winter],0),"")</f>
        <v>8.5862443475120898E-2</v>
      </c>
      <c r="G19" s="42">
        <f>IF($B19&lt;&gt;"",_xlfn.XLOOKUP($B19,tbl_Data[Trimmed Measure Name],tbl_Data[Incremental Cost ($/unit)],0),"")</f>
        <v>1729.5</v>
      </c>
      <c r="H19" s="42">
        <f>IF($B19&lt;&gt;"",_xlfn.XLOOKUP($B19,tbl_Data[Trimmed Measure Name],tbl_Data[Adj. per unit Incentive ($)],0),"")</f>
        <v>500</v>
      </c>
      <c r="I19" s="15">
        <f>IF($B19&lt;&gt;"",SUMIFS('2. Program Allocation Output'!BB:BB,'2. Program Allocation Output'!$A:$A,"Annual Incremental Energy (kWh)",'2. Program Allocation Output'!$H:$H,$B$6,'2. Program Allocation Output'!$AG:$AG,$B19),"")</f>
        <v>1</v>
      </c>
      <c r="J19" s="15">
        <f>IF($B19&lt;&gt;"",SUMIFS('2. Program Allocation Output'!BC:BC,'2. Program Allocation Output'!$A:$A,"Annual Incremental Energy (kWh)",'2. Program Allocation Output'!$H:$H,$B$6,'2. Program Allocation Output'!$AG:$AG,$B19),"")</f>
        <v>1</v>
      </c>
      <c r="K19" s="15">
        <f>IF($B19&lt;&gt;"",SUMIFS('2. Program Allocation Output'!BD:BD,'2. Program Allocation Output'!$A:$A,"Annual Incremental Energy (kWh)",'2. Program Allocation Output'!$H:$H,$B$6,'2. Program Allocation Output'!$AG:$AG,$B19),"")</f>
        <v>1</v>
      </c>
      <c r="L19" s="15">
        <f>IF($B19&lt;&gt;"",SUMIFS('2. Program Allocation Output'!BE:BE,'2. Program Allocation Output'!$A:$A,"Annual Incremental Energy (kWh)",'2. Program Allocation Output'!$H:$H,$B$6,'2. Program Allocation Output'!$AG:$AG,$B19),"")</f>
        <v>1</v>
      </c>
      <c r="M19" s="15">
        <f>IF($B19&lt;&gt;"",SUMIFS('2. Program Allocation Output'!BF:BF,'2. Program Allocation Output'!$A:$A,"Annual Incremental Energy (kWh)",'2. Program Allocation Output'!$H:$H,$B$6,'2. Program Allocation Output'!$AG:$AG,$B19),"")</f>
        <v>1</v>
      </c>
      <c r="N19" s="15">
        <f>IF($B19&lt;&gt;"",SUMIFS('2. Program Allocation Output'!BG:BG,'2. Program Allocation Output'!$A:$A,"Annual Incremental Energy (kWh)",'2. Program Allocation Output'!$H:$H,$B$6,'2. Program Allocation Output'!$AG:$AG,$B19),"")</f>
        <v>1</v>
      </c>
      <c r="O19" s="15">
        <f>IF($B19&lt;&gt;"",SUMIFS('2. Program Allocation Output'!BH:BH,'2. Program Allocation Output'!$A:$A,"Annual Incremental Energy (kWh)",'2. Program Allocation Output'!$H:$H,$B$6,'2. Program Allocation Output'!$AG:$AG,$B19),"")</f>
        <v>1</v>
      </c>
      <c r="P19" s="15">
        <f>IF($B19&lt;&gt;"",SUMIFS('2. Program Allocation Output'!BI:BI,'2. Program Allocation Output'!$A:$A,"Annual Incremental Energy (kWh)",'2. Program Allocation Output'!$H:$H,$B$6,'2. Program Allocation Output'!$AG:$AG,$B19),"")</f>
        <v>1</v>
      </c>
      <c r="Q19" s="15">
        <f>IF($B19&lt;&gt;"",SUMIFS('2. Program Allocation Output'!BJ:BJ,'2. Program Allocation Output'!$A:$A,"Annual Incremental Energy (kWh)",'2. Program Allocation Output'!$H:$H,$B$6,'2. Program Allocation Output'!$AG:$AG,$B19),"")</f>
        <v>1</v>
      </c>
      <c r="R19" s="15">
        <f>IF($B19&lt;&gt;"",SUMIFS('2. Program Allocation Output'!BK:BK,'2. Program Allocation Output'!$A:$A,"Annual Incremental Energy (kWh)",'2. Program Allocation Output'!$H:$H,$B$6,'2. Program Allocation Output'!$AG:$AG,$B19),"")</f>
        <v>1</v>
      </c>
      <c r="T19" s="74">
        <f t="shared" si="0"/>
        <v>461.909999999999</v>
      </c>
      <c r="V19" s="4">
        <f t="shared" si="1"/>
        <v>500</v>
      </c>
    </row>
    <row r="20" spans="2:22" x14ac:dyDescent="0.25">
      <c r="B20" s="8" t="str">
        <v>Smart Thermostat Residential</v>
      </c>
      <c r="C20" s="8" t="str">
        <f>IF($B20&lt;&gt;"",_xlfn.XLOOKUP($B20,tbl_Data[Trimmed Measure Name],tbl_Data[Units],0),"")</f>
        <v>Per End Use Consumption</v>
      </c>
      <c r="D20" s="15">
        <f>IF($B20&lt;&gt;"",_xlfn.XLOOKUP($B20,tbl_Data[Trimmed Measure Name],tbl_Data[kWh Savings],0),"")</f>
        <v>408.28</v>
      </c>
      <c r="E20" s="48">
        <f>IF($B20&lt;&gt;"",_xlfn.XLOOKUP($B20,tbl_Data[Trimmed Measure Name],tbl_Data[kW Savings - Summer],0),"")</f>
        <v>0.16567198429270899</v>
      </c>
      <c r="F20" s="48">
        <f>IF($B20&lt;&gt;"",_xlfn.XLOOKUP($B20,tbl_Data[Trimmed Measure Name],tbl_Data[kW Savings - Winter],0),"")</f>
        <v>2.3547919008134799E-2</v>
      </c>
      <c r="G20" s="42">
        <f>IF($B20&lt;&gt;"",_xlfn.XLOOKUP($B20,tbl_Data[Trimmed Measure Name],tbl_Data[Incremental Cost ($/unit)],0),"")</f>
        <v>128.60999999999999</v>
      </c>
      <c r="H20" s="42">
        <f>IF($B20&lt;&gt;"",_xlfn.XLOOKUP($B20,tbl_Data[Trimmed Measure Name],tbl_Data[Adj. per unit Incentive ($)],0),"")</f>
        <v>50</v>
      </c>
      <c r="I20" s="15">
        <f>IF($B20&lt;&gt;"",SUMIFS('2. Program Allocation Output'!BB:BB,'2. Program Allocation Output'!$A:$A,"Annual Incremental Energy (kWh)",'2. Program Allocation Output'!$H:$H,$B$6,'2. Program Allocation Output'!$AG:$AG,$B20),"")</f>
        <v>71</v>
      </c>
      <c r="J20" s="15">
        <f>IF($B20&lt;&gt;"",SUMIFS('2. Program Allocation Output'!BC:BC,'2. Program Allocation Output'!$A:$A,"Annual Incremental Energy (kWh)",'2. Program Allocation Output'!$H:$H,$B$6,'2. Program Allocation Output'!$AG:$AG,$B20),"")</f>
        <v>59</v>
      </c>
      <c r="K20" s="15">
        <f>IF($B20&lt;&gt;"",SUMIFS('2. Program Allocation Output'!BD:BD,'2. Program Allocation Output'!$A:$A,"Annual Incremental Energy (kWh)",'2. Program Allocation Output'!$H:$H,$B$6,'2. Program Allocation Output'!$AG:$AG,$B20),"")</f>
        <v>49</v>
      </c>
      <c r="L20" s="15">
        <f>IF($B20&lt;&gt;"",SUMIFS('2. Program Allocation Output'!BE:BE,'2. Program Allocation Output'!$A:$A,"Annual Incremental Energy (kWh)",'2. Program Allocation Output'!$H:$H,$B$6,'2. Program Allocation Output'!$AG:$AG,$B20),"")</f>
        <v>41</v>
      </c>
      <c r="M20" s="15">
        <f>IF($B20&lt;&gt;"",SUMIFS('2. Program Allocation Output'!BF:BF,'2. Program Allocation Output'!$A:$A,"Annual Incremental Energy (kWh)",'2. Program Allocation Output'!$H:$H,$B$6,'2. Program Allocation Output'!$AG:$AG,$B20),"")</f>
        <v>34</v>
      </c>
      <c r="N20" s="15">
        <f>IF($B20&lt;&gt;"",SUMIFS('2. Program Allocation Output'!BG:BG,'2. Program Allocation Output'!$A:$A,"Annual Incremental Energy (kWh)",'2. Program Allocation Output'!$H:$H,$B$6,'2. Program Allocation Output'!$AG:$AG,$B20),"")</f>
        <v>29</v>
      </c>
      <c r="O20" s="15">
        <f>IF($B20&lt;&gt;"",SUMIFS('2. Program Allocation Output'!BH:BH,'2. Program Allocation Output'!$A:$A,"Annual Incremental Energy (kWh)",'2. Program Allocation Output'!$H:$H,$B$6,'2. Program Allocation Output'!$AG:$AG,$B20),"")</f>
        <v>25</v>
      </c>
      <c r="P20" s="15">
        <f>IF($B20&lt;&gt;"",SUMIFS('2. Program Allocation Output'!BI:BI,'2. Program Allocation Output'!$A:$A,"Annual Incremental Energy (kWh)",'2. Program Allocation Output'!$H:$H,$B$6,'2. Program Allocation Output'!$AG:$AG,$B20),"")</f>
        <v>22</v>
      </c>
      <c r="Q20" s="15">
        <f>IF($B20&lt;&gt;"",SUMIFS('2. Program Allocation Output'!BJ:BJ,'2. Program Allocation Output'!$A:$A,"Annual Incremental Energy (kWh)",'2. Program Allocation Output'!$H:$H,$B$6,'2. Program Allocation Output'!$AG:$AG,$B20),"")</f>
        <v>19</v>
      </c>
      <c r="R20" s="15">
        <f>IF($B20&lt;&gt;"",SUMIFS('2. Program Allocation Output'!BK:BK,'2. Program Allocation Output'!$A:$A,"Annual Incremental Energy (kWh)",'2. Program Allocation Output'!$H:$H,$B$6,'2. Program Allocation Output'!$AG:$AG,$B20),"")</f>
        <v>17</v>
      </c>
      <c r="T20" s="74">
        <f t="shared" si="0"/>
        <v>28987.879999999997</v>
      </c>
      <c r="V20" s="4">
        <f t="shared" si="1"/>
        <v>3550</v>
      </c>
    </row>
    <row r="21" spans="2:22" x14ac:dyDescent="0.25">
      <c r="B21" s="8"/>
      <c r="C21" s="8" t="str">
        <f>IF($B21&lt;&gt;"",_xlfn.XLOOKUP($B21,tbl_Data[Trimmed Measure Name],tbl_Data[Units],0),"")</f>
        <v/>
      </c>
      <c r="D21" s="15" t="str">
        <f>IF($B21&lt;&gt;"",_xlfn.XLOOKUP($B21,tbl_Data[Trimmed Measure Name],tbl_Data[kWh Savings],0),"")</f>
        <v/>
      </c>
      <c r="E21" s="48" t="str">
        <f>IF($B21&lt;&gt;"",_xlfn.XLOOKUP($B21,tbl_Data[Trimmed Measure Name],tbl_Data[kW Savings - Summer],0),"")</f>
        <v/>
      </c>
      <c r="F21" s="48" t="str">
        <f>IF($B21&lt;&gt;"",_xlfn.XLOOKUP($B21,tbl_Data[Trimmed Measure Name],tbl_Data[kW Savings - Winter],0),"")</f>
        <v/>
      </c>
      <c r="G21" s="42" t="str">
        <f>IF($B21&lt;&gt;"",_xlfn.XLOOKUP($B21,tbl_Data[Trimmed Measure Name],tbl_Data[Incremental Cost ($/unit)],0),"")</f>
        <v/>
      </c>
      <c r="H21" s="42" t="str">
        <f>IF($B21&lt;&gt;"",_xlfn.XLOOKUP($B21,tbl_Data[Trimmed Measure Name],tbl_Data[Adj. per unit Incentive ($)],0),"")</f>
        <v/>
      </c>
      <c r="I21" s="15" t="str">
        <f>IF($B21&lt;&gt;"",SUMIFS('2. Program Allocation Output'!BB:BB,'2. Program Allocation Output'!$A:$A,"Annual Incremental Energy (kWh)",'2. Program Allocation Output'!$H:$H,$B$6,'2. Program Allocation Output'!$AG:$AG,$B21),"")</f>
        <v/>
      </c>
      <c r="J21" s="15" t="str">
        <f>IF($B21&lt;&gt;"",SUMIFS('2. Program Allocation Output'!BC:BC,'2. Program Allocation Output'!$A:$A,"Annual Incremental Energy (kWh)",'2. Program Allocation Output'!$H:$H,$B$6,'2. Program Allocation Output'!$AG:$AG,$B21),"")</f>
        <v/>
      </c>
      <c r="K21" s="15" t="str">
        <f>IF($B21&lt;&gt;"",SUMIFS('2. Program Allocation Output'!BD:BD,'2. Program Allocation Output'!$A:$A,"Annual Incremental Energy (kWh)",'2. Program Allocation Output'!$H:$H,$B$6,'2. Program Allocation Output'!$AG:$AG,$B21),"")</f>
        <v/>
      </c>
      <c r="L21" s="15" t="str">
        <f>IF($B21&lt;&gt;"",SUMIFS('2. Program Allocation Output'!BE:BE,'2. Program Allocation Output'!$A:$A,"Annual Incremental Energy (kWh)",'2. Program Allocation Output'!$H:$H,$B$6,'2. Program Allocation Output'!$AG:$AG,$B21),"")</f>
        <v/>
      </c>
      <c r="M21" s="15" t="str">
        <f>IF($B21&lt;&gt;"",SUMIFS('2. Program Allocation Output'!BF:BF,'2. Program Allocation Output'!$A:$A,"Annual Incremental Energy (kWh)",'2. Program Allocation Output'!$H:$H,$B$6,'2. Program Allocation Output'!$AG:$AG,$B21),"")</f>
        <v/>
      </c>
      <c r="N21" s="15" t="str">
        <f>IF($B21&lt;&gt;"",SUMIFS('2. Program Allocation Output'!BG:BG,'2. Program Allocation Output'!$A:$A,"Annual Incremental Energy (kWh)",'2. Program Allocation Output'!$H:$H,$B$6,'2. Program Allocation Output'!$AG:$AG,$B21),"")</f>
        <v/>
      </c>
      <c r="O21" s="15" t="str">
        <f>IF($B21&lt;&gt;"",SUMIFS('2. Program Allocation Output'!BH:BH,'2. Program Allocation Output'!$A:$A,"Annual Incremental Energy (kWh)",'2. Program Allocation Output'!$H:$H,$B$6,'2. Program Allocation Output'!$AG:$AG,$B21),"")</f>
        <v/>
      </c>
      <c r="P21" s="15" t="str">
        <f>IF($B21&lt;&gt;"",SUMIFS('2. Program Allocation Output'!BI:BI,'2. Program Allocation Output'!$A:$A,"Annual Incremental Energy (kWh)",'2. Program Allocation Output'!$H:$H,$B$6,'2. Program Allocation Output'!$AG:$AG,$B21),"")</f>
        <v/>
      </c>
      <c r="Q21" s="15" t="str">
        <f>IF($B21&lt;&gt;"",SUMIFS('2. Program Allocation Output'!BJ:BJ,'2. Program Allocation Output'!$A:$A,"Annual Incremental Energy (kWh)",'2. Program Allocation Output'!$H:$H,$B$6,'2. Program Allocation Output'!$AG:$AG,$B21),"")</f>
        <v/>
      </c>
      <c r="R21" s="15" t="str">
        <f>IF($B21&lt;&gt;"",SUMIFS('2. Program Allocation Output'!BK:BK,'2. Program Allocation Output'!$A:$A,"Annual Incremental Energy (kWh)",'2. Program Allocation Output'!$H:$H,$B$6,'2. Program Allocation Output'!$AG:$AG,$B21),"")</f>
        <v/>
      </c>
      <c r="T21" s="74" t="str">
        <f t="shared" ref="T21:T29" si="2">IFERROR(D21*I21,"")</f>
        <v/>
      </c>
    </row>
    <row r="22" spans="2:22" x14ac:dyDescent="0.25">
      <c r="B22" s="8"/>
      <c r="C22" s="8" t="str">
        <f>IF($B22&lt;&gt;"",_xlfn.XLOOKUP($B22,tbl_Data[Trimmed Measure Name],tbl_Data[Units],0),"")</f>
        <v/>
      </c>
      <c r="D22" s="15" t="str">
        <f>IF($B22&lt;&gt;"",_xlfn.XLOOKUP($B22,tbl_Data[Trimmed Measure Name],tbl_Data[kWh Savings],0),"")</f>
        <v/>
      </c>
      <c r="E22" s="48" t="str">
        <f>IF($B22&lt;&gt;"",_xlfn.XLOOKUP($B22,tbl_Data[Trimmed Measure Name],tbl_Data[kW Savings - Summer],0),"")</f>
        <v/>
      </c>
      <c r="F22" s="48" t="str">
        <f>IF($B22&lt;&gt;"",_xlfn.XLOOKUP($B22,tbl_Data[Trimmed Measure Name],tbl_Data[kW Savings - Winter],0),"")</f>
        <v/>
      </c>
      <c r="G22" s="42" t="str">
        <f>IF($B22&lt;&gt;"",_xlfn.XLOOKUP($B22,tbl_Data[Trimmed Measure Name],tbl_Data[Incremental Cost ($/unit)],0),"")</f>
        <v/>
      </c>
      <c r="H22" s="42" t="str">
        <f>IF($B22&lt;&gt;"",_xlfn.XLOOKUP($B22,tbl_Data[Trimmed Measure Name],tbl_Data[Adj. per unit Incentive ($)],0),"")</f>
        <v/>
      </c>
      <c r="I22" s="15" t="str">
        <f>IF($B22&lt;&gt;"",SUMIFS('2. Program Allocation Output'!BB:BB,'2. Program Allocation Output'!$A:$A,"Annual Incremental Energy (kWh)",'2. Program Allocation Output'!$H:$H,$B$6,'2. Program Allocation Output'!$AG:$AG,$B22),"")</f>
        <v/>
      </c>
      <c r="J22" s="15" t="str">
        <f>IF($B22&lt;&gt;"",SUMIFS('2. Program Allocation Output'!BC:BC,'2. Program Allocation Output'!$A:$A,"Annual Incremental Energy (kWh)",'2. Program Allocation Output'!$H:$H,$B$6,'2. Program Allocation Output'!$AG:$AG,$B22),"")</f>
        <v/>
      </c>
      <c r="K22" s="15" t="str">
        <f>IF($B22&lt;&gt;"",SUMIFS('2. Program Allocation Output'!BD:BD,'2. Program Allocation Output'!$A:$A,"Annual Incremental Energy (kWh)",'2. Program Allocation Output'!$H:$H,$B$6,'2. Program Allocation Output'!$AG:$AG,$B22),"")</f>
        <v/>
      </c>
      <c r="L22" s="15" t="str">
        <f>IF($B22&lt;&gt;"",SUMIFS('2. Program Allocation Output'!BE:BE,'2. Program Allocation Output'!$A:$A,"Annual Incremental Energy (kWh)",'2. Program Allocation Output'!$H:$H,$B$6,'2. Program Allocation Output'!$AG:$AG,$B22),"")</f>
        <v/>
      </c>
      <c r="M22" s="15" t="str">
        <f>IF($B22&lt;&gt;"",SUMIFS('2. Program Allocation Output'!BF:BF,'2. Program Allocation Output'!$A:$A,"Annual Incremental Energy (kWh)",'2. Program Allocation Output'!$H:$H,$B$6,'2. Program Allocation Output'!$AG:$AG,$B22),"")</f>
        <v/>
      </c>
      <c r="N22" s="15" t="str">
        <f>IF($B22&lt;&gt;"",SUMIFS('2. Program Allocation Output'!BG:BG,'2. Program Allocation Output'!$A:$A,"Annual Incremental Energy (kWh)",'2. Program Allocation Output'!$H:$H,$B$6,'2. Program Allocation Output'!$AG:$AG,$B22),"")</f>
        <v/>
      </c>
      <c r="O22" s="15" t="str">
        <f>IF($B22&lt;&gt;"",SUMIFS('2. Program Allocation Output'!BH:BH,'2. Program Allocation Output'!$A:$A,"Annual Incremental Energy (kWh)",'2. Program Allocation Output'!$H:$H,$B$6,'2. Program Allocation Output'!$AG:$AG,$B22),"")</f>
        <v/>
      </c>
      <c r="P22" s="15" t="str">
        <f>IF($B22&lt;&gt;"",SUMIFS('2. Program Allocation Output'!BI:BI,'2. Program Allocation Output'!$A:$A,"Annual Incremental Energy (kWh)",'2. Program Allocation Output'!$H:$H,$B$6,'2. Program Allocation Output'!$AG:$AG,$B22),"")</f>
        <v/>
      </c>
      <c r="Q22" s="15" t="str">
        <f>IF($B22&lt;&gt;"",SUMIFS('2. Program Allocation Output'!BJ:BJ,'2. Program Allocation Output'!$A:$A,"Annual Incremental Energy (kWh)",'2. Program Allocation Output'!$H:$H,$B$6,'2. Program Allocation Output'!$AG:$AG,$B22),"")</f>
        <v/>
      </c>
      <c r="R22" s="15" t="str">
        <f>IF($B22&lt;&gt;"",SUMIFS('2. Program Allocation Output'!BK:BK,'2. Program Allocation Output'!$A:$A,"Annual Incremental Energy (kWh)",'2. Program Allocation Output'!$H:$H,$B$6,'2. Program Allocation Output'!$AG:$AG,$B22),"")</f>
        <v/>
      </c>
      <c r="T22" s="74" t="str">
        <f t="shared" si="2"/>
        <v/>
      </c>
    </row>
    <row r="23" spans="2:22" x14ac:dyDescent="0.25">
      <c r="B23" s="8"/>
      <c r="C23" s="8" t="str">
        <f>IF($B23&lt;&gt;"",_xlfn.XLOOKUP($B23,tbl_Data[Trimmed Measure Name],tbl_Data[Units],0),"")</f>
        <v/>
      </c>
      <c r="D23" s="15" t="str">
        <f>IF($B23&lt;&gt;"",_xlfn.XLOOKUP($B23,tbl_Data[Trimmed Measure Name],tbl_Data[kWh Savings],0),"")</f>
        <v/>
      </c>
      <c r="E23" s="48" t="str">
        <f>IF($B23&lt;&gt;"",_xlfn.XLOOKUP($B23,tbl_Data[Trimmed Measure Name],tbl_Data[kW Savings - Summer],0),"")</f>
        <v/>
      </c>
      <c r="F23" s="48" t="str">
        <f>IF($B23&lt;&gt;"",_xlfn.XLOOKUP($B23,tbl_Data[Trimmed Measure Name],tbl_Data[kW Savings - Winter],0),"")</f>
        <v/>
      </c>
      <c r="G23" s="42" t="str">
        <f>IF($B23&lt;&gt;"",_xlfn.XLOOKUP($B23,tbl_Data[Trimmed Measure Name],tbl_Data[Incremental Cost ($/unit)],0),"")</f>
        <v/>
      </c>
      <c r="H23" s="42" t="str">
        <f>IF($B23&lt;&gt;"",_xlfn.XLOOKUP($B23,tbl_Data[Trimmed Measure Name],tbl_Data[Adj. per unit Incentive ($)],0),"")</f>
        <v/>
      </c>
      <c r="I23" s="15" t="str">
        <f>IF($B23&lt;&gt;"",SUMIFS('2. Program Allocation Output'!BB:BB,'2. Program Allocation Output'!$A:$A,"Annual Incremental Energy (kWh)",'2. Program Allocation Output'!$H:$H,$B$6,'2. Program Allocation Output'!$AG:$AG,$B23),"")</f>
        <v/>
      </c>
      <c r="J23" s="15" t="str">
        <f>IF($B23&lt;&gt;"",SUMIFS('2. Program Allocation Output'!BC:BC,'2. Program Allocation Output'!$A:$A,"Annual Incremental Energy (kWh)",'2. Program Allocation Output'!$H:$H,$B$6,'2. Program Allocation Output'!$AG:$AG,$B23),"")</f>
        <v/>
      </c>
      <c r="K23" s="15" t="str">
        <f>IF($B23&lt;&gt;"",SUMIFS('2. Program Allocation Output'!BD:BD,'2. Program Allocation Output'!$A:$A,"Annual Incremental Energy (kWh)",'2. Program Allocation Output'!$H:$H,$B$6,'2. Program Allocation Output'!$AG:$AG,$B23),"")</f>
        <v/>
      </c>
      <c r="L23" s="15" t="str">
        <f>IF($B23&lt;&gt;"",SUMIFS('2. Program Allocation Output'!BE:BE,'2. Program Allocation Output'!$A:$A,"Annual Incremental Energy (kWh)",'2. Program Allocation Output'!$H:$H,$B$6,'2. Program Allocation Output'!$AG:$AG,$B23),"")</f>
        <v/>
      </c>
      <c r="M23" s="15" t="str">
        <f>IF($B23&lt;&gt;"",SUMIFS('2. Program Allocation Output'!BF:BF,'2. Program Allocation Output'!$A:$A,"Annual Incremental Energy (kWh)",'2. Program Allocation Output'!$H:$H,$B$6,'2. Program Allocation Output'!$AG:$AG,$B23),"")</f>
        <v/>
      </c>
      <c r="N23" s="15" t="str">
        <f>IF($B23&lt;&gt;"",SUMIFS('2. Program Allocation Output'!BG:BG,'2. Program Allocation Output'!$A:$A,"Annual Incremental Energy (kWh)",'2. Program Allocation Output'!$H:$H,$B$6,'2. Program Allocation Output'!$AG:$AG,$B23),"")</f>
        <v/>
      </c>
      <c r="O23" s="15" t="str">
        <f>IF($B23&lt;&gt;"",SUMIFS('2. Program Allocation Output'!BH:BH,'2. Program Allocation Output'!$A:$A,"Annual Incremental Energy (kWh)",'2. Program Allocation Output'!$H:$H,$B$6,'2. Program Allocation Output'!$AG:$AG,$B23),"")</f>
        <v/>
      </c>
      <c r="P23" s="15" t="str">
        <f>IF($B23&lt;&gt;"",SUMIFS('2. Program Allocation Output'!BI:BI,'2. Program Allocation Output'!$A:$A,"Annual Incremental Energy (kWh)",'2. Program Allocation Output'!$H:$H,$B$6,'2. Program Allocation Output'!$AG:$AG,$B23),"")</f>
        <v/>
      </c>
      <c r="Q23" s="15" t="str">
        <f>IF($B23&lt;&gt;"",SUMIFS('2. Program Allocation Output'!BJ:BJ,'2. Program Allocation Output'!$A:$A,"Annual Incremental Energy (kWh)",'2. Program Allocation Output'!$H:$H,$B$6,'2. Program Allocation Output'!$AG:$AG,$B23),"")</f>
        <v/>
      </c>
      <c r="R23" s="15" t="str">
        <f>IF($B23&lt;&gt;"",SUMIFS('2. Program Allocation Output'!BK:BK,'2. Program Allocation Output'!$A:$A,"Annual Incremental Energy (kWh)",'2. Program Allocation Output'!$H:$H,$B$6,'2. Program Allocation Output'!$AG:$AG,$B23),"")</f>
        <v/>
      </c>
      <c r="T23" s="74" t="str">
        <f t="shared" si="2"/>
        <v/>
      </c>
    </row>
    <row r="24" spans="2:22" x14ac:dyDescent="0.25">
      <c r="B24" s="8"/>
      <c r="C24" s="8" t="str">
        <f>IF($B24&lt;&gt;"",_xlfn.XLOOKUP($B24,tbl_Data[Trimmed Measure Name],tbl_Data[Units],0),"")</f>
        <v/>
      </c>
      <c r="D24" s="15" t="str">
        <f>IF($B24&lt;&gt;"",_xlfn.XLOOKUP($B24,tbl_Data[Trimmed Measure Name],tbl_Data[kWh Savings],0),"")</f>
        <v/>
      </c>
      <c r="E24" s="48" t="str">
        <f>IF($B24&lt;&gt;"",_xlfn.XLOOKUP($B24,tbl_Data[Trimmed Measure Name],tbl_Data[kW Savings - Summer],0),"")</f>
        <v/>
      </c>
      <c r="F24" s="48" t="str">
        <f>IF($B24&lt;&gt;"",_xlfn.XLOOKUP($B24,tbl_Data[Trimmed Measure Name],tbl_Data[kW Savings - Winter],0),"")</f>
        <v/>
      </c>
      <c r="G24" s="42" t="str">
        <f>IF($B24&lt;&gt;"",_xlfn.XLOOKUP($B24,tbl_Data[Trimmed Measure Name],tbl_Data[Incremental Cost ($/unit)],0),"")</f>
        <v/>
      </c>
      <c r="H24" s="42" t="str">
        <f>IF($B24&lt;&gt;"",_xlfn.XLOOKUP($B24,tbl_Data[Trimmed Measure Name],tbl_Data[Adj. per unit Incentive ($)],0),"")</f>
        <v/>
      </c>
      <c r="I24" s="15" t="str">
        <f>IF($B24&lt;&gt;"",SUMIFS('2. Program Allocation Output'!BB:BB,'2. Program Allocation Output'!$A:$A,"Annual Incremental Energy (kWh)",'2. Program Allocation Output'!$H:$H,$B$6,'2. Program Allocation Output'!$AG:$AG,$B24),"")</f>
        <v/>
      </c>
      <c r="J24" s="15" t="str">
        <f>IF($B24&lt;&gt;"",SUMIFS('2. Program Allocation Output'!BC:BC,'2. Program Allocation Output'!$A:$A,"Annual Incremental Energy (kWh)",'2. Program Allocation Output'!$H:$H,$B$6,'2. Program Allocation Output'!$AG:$AG,$B24),"")</f>
        <v/>
      </c>
      <c r="K24" s="15" t="str">
        <f>IF($B24&lt;&gt;"",SUMIFS('2. Program Allocation Output'!BD:BD,'2. Program Allocation Output'!$A:$A,"Annual Incremental Energy (kWh)",'2. Program Allocation Output'!$H:$H,$B$6,'2. Program Allocation Output'!$AG:$AG,$B24),"")</f>
        <v/>
      </c>
      <c r="L24" s="15" t="str">
        <f>IF($B24&lt;&gt;"",SUMIFS('2. Program Allocation Output'!BE:BE,'2. Program Allocation Output'!$A:$A,"Annual Incremental Energy (kWh)",'2. Program Allocation Output'!$H:$H,$B$6,'2. Program Allocation Output'!$AG:$AG,$B24),"")</f>
        <v/>
      </c>
      <c r="M24" s="15" t="str">
        <f>IF($B24&lt;&gt;"",SUMIFS('2. Program Allocation Output'!BF:BF,'2. Program Allocation Output'!$A:$A,"Annual Incremental Energy (kWh)",'2. Program Allocation Output'!$H:$H,$B$6,'2. Program Allocation Output'!$AG:$AG,$B24),"")</f>
        <v/>
      </c>
      <c r="N24" s="15" t="str">
        <f>IF($B24&lt;&gt;"",SUMIFS('2. Program Allocation Output'!BG:BG,'2. Program Allocation Output'!$A:$A,"Annual Incremental Energy (kWh)",'2. Program Allocation Output'!$H:$H,$B$6,'2. Program Allocation Output'!$AG:$AG,$B24),"")</f>
        <v/>
      </c>
      <c r="O24" s="15" t="str">
        <f>IF($B24&lt;&gt;"",SUMIFS('2. Program Allocation Output'!BH:BH,'2. Program Allocation Output'!$A:$A,"Annual Incremental Energy (kWh)",'2. Program Allocation Output'!$H:$H,$B$6,'2. Program Allocation Output'!$AG:$AG,$B24),"")</f>
        <v/>
      </c>
      <c r="P24" s="15" t="str">
        <f>IF($B24&lt;&gt;"",SUMIFS('2. Program Allocation Output'!BI:BI,'2. Program Allocation Output'!$A:$A,"Annual Incremental Energy (kWh)",'2. Program Allocation Output'!$H:$H,$B$6,'2. Program Allocation Output'!$AG:$AG,$B24),"")</f>
        <v/>
      </c>
      <c r="Q24" s="15" t="str">
        <f>IF($B24&lt;&gt;"",SUMIFS('2. Program Allocation Output'!BJ:BJ,'2. Program Allocation Output'!$A:$A,"Annual Incremental Energy (kWh)",'2. Program Allocation Output'!$H:$H,$B$6,'2. Program Allocation Output'!$AG:$AG,$B24),"")</f>
        <v/>
      </c>
      <c r="R24" s="15" t="str">
        <f>IF($B24&lt;&gt;"",SUMIFS('2. Program Allocation Output'!BK:BK,'2. Program Allocation Output'!$A:$A,"Annual Incremental Energy (kWh)",'2. Program Allocation Output'!$H:$H,$B$6,'2. Program Allocation Output'!$AG:$AG,$B24),"")</f>
        <v/>
      </c>
      <c r="T24" s="74" t="str">
        <f t="shared" si="2"/>
        <v/>
      </c>
    </row>
    <row r="25" spans="2:22" x14ac:dyDescent="0.25">
      <c r="B25" s="8"/>
      <c r="C25" s="8" t="str">
        <f>IF($B25&lt;&gt;"",_xlfn.XLOOKUP($B25,tbl_Data[Trimmed Measure Name],tbl_Data[Units],0),"")</f>
        <v/>
      </c>
      <c r="D25" s="15" t="str">
        <f>IF($B25&lt;&gt;"",_xlfn.XLOOKUP($B25,tbl_Data[Trimmed Measure Name],tbl_Data[kWh Savings],0),"")</f>
        <v/>
      </c>
      <c r="E25" s="48" t="str">
        <f>IF($B25&lt;&gt;"",_xlfn.XLOOKUP($B25,tbl_Data[Trimmed Measure Name],tbl_Data[kW Savings - Summer],0),"")</f>
        <v/>
      </c>
      <c r="F25" s="48" t="str">
        <f>IF($B25&lt;&gt;"",_xlfn.XLOOKUP($B25,tbl_Data[Trimmed Measure Name],tbl_Data[kW Savings - Winter],0),"")</f>
        <v/>
      </c>
      <c r="G25" s="42" t="str">
        <f>IF($B25&lt;&gt;"",_xlfn.XLOOKUP($B25,tbl_Data[Trimmed Measure Name],tbl_Data[Incremental Cost ($/unit)],0),"")</f>
        <v/>
      </c>
      <c r="H25" s="42" t="str">
        <f>IF($B25&lt;&gt;"",_xlfn.XLOOKUP($B25,tbl_Data[Trimmed Measure Name],tbl_Data[Adj. per unit Incentive ($)],0),"")</f>
        <v/>
      </c>
      <c r="I25" s="15" t="str">
        <f>IF($B25&lt;&gt;"",SUMIFS('2. Program Allocation Output'!BB:BB,'2. Program Allocation Output'!$A:$A,"Annual Incremental Energy (kWh)",'2. Program Allocation Output'!$H:$H,$B$6,'2. Program Allocation Output'!$AG:$AG,$B25),"")</f>
        <v/>
      </c>
      <c r="J25" s="15" t="str">
        <f>IF($B25&lt;&gt;"",SUMIFS('2. Program Allocation Output'!BC:BC,'2. Program Allocation Output'!$A:$A,"Annual Incremental Energy (kWh)",'2. Program Allocation Output'!$H:$H,$B$6,'2. Program Allocation Output'!$AG:$AG,$B25),"")</f>
        <v/>
      </c>
      <c r="K25" s="15" t="str">
        <f>IF($B25&lt;&gt;"",SUMIFS('2. Program Allocation Output'!BD:BD,'2. Program Allocation Output'!$A:$A,"Annual Incremental Energy (kWh)",'2. Program Allocation Output'!$H:$H,$B$6,'2. Program Allocation Output'!$AG:$AG,$B25),"")</f>
        <v/>
      </c>
      <c r="L25" s="15" t="str">
        <f>IF($B25&lt;&gt;"",SUMIFS('2. Program Allocation Output'!BE:BE,'2. Program Allocation Output'!$A:$A,"Annual Incremental Energy (kWh)",'2. Program Allocation Output'!$H:$H,$B$6,'2. Program Allocation Output'!$AG:$AG,$B25),"")</f>
        <v/>
      </c>
      <c r="M25" s="15" t="str">
        <f>IF($B25&lt;&gt;"",SUMIFS('2. Program Allocation Output'!BF:BF,'2. Program Allocation Output'!$A:$A,"Annual Incremental Energy (kWh)",'2. Program Allocation Output'!$H:$H,$B$6,'2. Program Allocation Output'!$AG:$AG,$B25),"")</f>
        <v/>
      </c>
      <c r="N25" s="15" t="str">
        <f>IF($B25&lt;&gt;"",SUMIFS('2. Program Allocation Output'!BG:BG,'2. Program Allocation Output'!$A:$A,"Annual Incremental Energy (kWh)",'2. Program Allocation Output'!$H:$H,$B$6,'2. Program Allocation Output'!$AG:$AG,$B25),"")</f>
        <v/>
      </c>
      <c r="O25" s="15" t="str">
        <f>IF($B25&lt;&gt;"",SUMIFS('2. Program Allocation Output'!BH:BH,'2. Program Allocation Output'!$A:$A,"Annual Incremental Energy (kWh)",'2. Program Allocation Output'!$H:$H,$B$6,'2. Program Allocation Output'!$AG:$AG,$B25),"")</f>
        <v/>
      </c>
      <c r="P25" s="15" t="str">
        <f>IF($B25&lt;&gt;"",SUMIFS('2. Program Allocation Output'!BI:BI,'2. Program Allocation Output'!$A:$A,"Annual Incremental Energy (kWh)",'2. Program Allocation Output'!$H:$H,$B$6,'2. Program Allocation Output'!$AG:$AG,$B25),"")</f>
        <v/>
      </c>
      <c r="Q25" s="15" t="str">
        <f>IF($B25&lt;&gt;"",SUMIFS('2. Program Allocation Output'!BJ:BJ,'2. Program Allocation Output'!$A:$A,"Annual Incremental Energy (kWh)",'2. Program Allocation Output'!$H:$H,$B$6,'2. Program Allocation Output'!$AG:$AG,$B25),"")</f>
        <v/>
      </c>
      <c r="R25" s="15" t="str">
        <f>IF($B25&lt;&gt;"",SUMIFS('2. Program Allocation Output'!BK:BK,'2. Program Allocation Output'!$A:$A,"Annual Incremental Energy (kWh)",'2. Program Allocation Output'!$H:$H,$B$6,'2. Program Allocation Output'!$AG:$AG,$B25),"")</f>
        <v/>
      </c>
      <c r="T25" s="74" t="str">
        <f t="shared" si="2"/>
        <v/>
      </c>
    </row>
    <row r="26" spans="2:22" x14ac:dyDescent="0.25">
      <c r="B26" s="8"/>
      <c r="C26" s="8" t="str">
        <f>IF($B26&lt;&gt;"",_xlfn.XLOOKUP($B26,tbl_Data[Trimmed Measure Name],tbl_Data[Units],0),"")</f>
        <v/>
      </c>
      <c r="D26" s="15" t="str">
        <f>IF($B26&lt;&gt;"",_xlfn.XLOOKUP($B26,tbl_Data[Trimmed Measure Name],tbl_Data[kWh Savings],0),"")</f>
        <v/>
      </c>
      <c r="E26" s="48" t="str">
        <f>IF($B26&lt;&gt;"",_xlfn.XLOOKUP($B26,tbl_Data[Trimmed Measure Name],tbl_Data[kW Savings - Summer],0),"")</f>
        <v/>
      </c>
      <c r="F26" s="48" t="str">
        <f>IF($B26&lt;&gt;"",_xlfn.XLOOKUP($B26,tbl_Data[Trimmed Measure Name],tbl_Data[kW Savings - Winter],0),"")</f>
        <v/>
      </c>
      <c r="G26" s="42" t="str">
        <f>IF($B26&lt;&gt;"",_xlfn.XLOOKUP($B26,tbl_Data[Trimmed Measure Name],tbl_Data[Incremental Cost ($/unit)],0),"")</f>
        <v/>
      </c>
      <c r="H26" s="42" t="str">
        <f>IF($B26&lt;&gt;"",_xlfn.XLOOKUP($B26,tbl_Data[Trimmed Measure Name],tbl_Data[Adj. per unit Incentive ($)],0),"")</f>
        <v/>
      </c>
      <c r="I26" s="15" t="str">
        <f>IF($B26&lt;&gt;"",SUMIFS('2. Program Allocation Output'!BB:BB,'2. Program Allocation Output'!$A:$A,"Annual Incremental Energy (kWh)",'2. Program Allocation Output'!$H:$H,$B$6,'2. Program Allocation Output'!$AG:$AG,$B26),"")</f>
        <v/>
      </c>
      <c r="J26" s="15" t="str">
        <f>IF($B26&lt;&gt;"",SUMIFS('2. Program Allocation Output'!BC:BC,'2. Program Allocation Output'!$A:$A,"Annual Incremental Energy (kWh)",'2. Program Allocation Output'!$H:$H,$B$6,'2. Program Allocation Output'!$AG:$AG,$B26),"")</f>
        <v/>
      </c>
      <c r="K26" s="15" t="str">
        <f>IF($B26&lt;&gt;"",SUMIFS('2. Program Allocation Output'!BD:BD,'2. Program Allocation Output'!$A:$A,"Annual Incremental Energy (kWh)",'2. Program Allocation Output'!$H:$H,$B$6,'2. Program Allocation Output'!$AG:$AG,$B26),"")</f>
        <v/>
      </c>
      <c r="L26" s="15" t="str">
        <f>IF($B26&lt;&gt;"",SUMIFS('2. Program Allocation Output'!BE:BE,'2. Program Allocation Output'!$A:$A,"Annual Incremental Energy (kWh)",'2. Program Allocation Output'!$H:$H,$B$6,'2. Program Allocation Output'!$AG:$AG,$B26),"")</f>
        <v/>
      </c>
      <c r="M26" s="15" t="str">
        <f>IF($B26&lt;&gt;"",SUMIFS('2. Program Allocation Output'!BF:BF,'2. Program Allocation Output'!$A:$A,"Annual Incremental Energy (kWh)",'2. Program Allocation Output'!$H:$H,$B$6,'2. Program Allocation Output'!$AG:$AG,$B26),"")</f>
        <v/>
      </c>
      <c r="N26" s="15" t="str">
        <f>IF($B26&lt;&gt;"",SUMIFS('2. Program Allocation Output'!BG:BG,'2. Program Allocation Output'!$A:$A,"Annual Incremental Energy (kWh)",'2. Program Allocation Output'!$H:$H,$B$6,'2. Program Allocation Output'!$AG:$AG,$B26),"")</f>
        <v/>
      </c>
      <c r="O26" s="15" t="str">
        <f>IF($B26&lt;&gt;"",SUMIFS('2. Program Allocation Output'!BH:BH,'2. Program Allocation Output'!$A:$A,"Annual Incremental Energy (kWh)",'2. Program Allocation Output'!$H:$H,$B$6,'2. Program Allocation Output'!$AG:$AG,$B26),"")</f>
        <v/>
      </c>
      <c r="P26" s="15" t="str">
        <f>IF($B26&lt;&gt;"",SUMIFS('2. Program Allocation Output'!BI:BI,'2. Program Allocation Output'!$A:$A,"Annual Incremental Energy (kWh)",'2. Program Allocation Output'!$H:$H,$B$6,'2. Program Allocation Output'!$AG:$AG,$B26),"")</f>
        <v/>
      </c>
      <c r="Q26" s="15" t="str">
        <f>IF($B26&lt;&gt;"",SUMIFS('2. Program Allocation Output'!BJ:BJ,'2. Program Allocation Output'!$A:$A,"Annual Incremental Energy (kWh)",'2. Program Allocation Output'!$H:$H,$B$6,'2. Program Allocation Output'!$AG:$AG,$B26),"")</f>
        <v/>
      </c>
      <c r="R26" s="15" t="str">
        <f>IF($B26&lt;&gt;"",SUMIFS('2. Program Allocation Output'!BK:BK,'2. Program Allocation Output'!$A:$A,"Annual Incremental Energy (kWh)",'2. Program Allocation Output'!$H:$H,$B$6,'2. Program Allocation Output'!$AG:$AG,$B26),"")</f>
        <v/>
      </c>
      <c r="T26" s="74" t="str">
        <f t="shared" si="2"/>
        <v/>
      </c>
    </row>
    <row r="27" spans="2:22" x14ac:dyDescent="0.25">
      <c r="B27" s="8"/>
      <c r="C27" s="8" t="str">
        <f>IF($B27&lt;&gt;"",_xlfn.XLOOKUP($B27,tbl_Data[Trimmed Measure Name],tbl_Data[Units],0),"")</f>
        <v/>
      </c>
      <c r="D27" s="15" t="str">
        <f>IF($B27&lt;&gt;"",_xlfn.XLOOKUP($B27,tbl_Data[Trimmed Measure Name],tbl_Data[kWh Savings],0),"")</f>
        <v/>
      </c>
      <c r="E27" s="48" t="str">
        <f>IF($B27&lt;&gt;"",_xlfn.XLOOKUP($B27,tbl_Data[Trimmed Measure Name],tbl_Data[kW Savings - Summer],0),"")</f>
        <v/>
      </c>
      <c r="F27" s="48" t="str">
        <f>IF($B27&lt;&gt;"",_xlfn.XLOOKUP($B27,tbl_Data[Trimmed Measure Name],tbl_Data[kW Savings - Winter],0),"")</f>
        <v/>
      </c>
      <c r="G27" s="42" t="str">
        <f>IF($B27&lt;&gt;"",_xlfn.XLOOKUP($B27,tbl_Data[Trimmed Measure Name],tbl_Data[Incremental Cost ($/unit)],0),"")</f>
        <v/>
      </c>
      <c r="H27" s="42" t="str">
        <f>IF($B27&lt;&gt;"",_xlfn.XLOOKUP($B27,tbl_Data[Trimmed Measure Name],tbl_Data[Adj. per unit Incentive ($)],0),"")</f>
        <v/>
      </c>
      <c r="I27" s="15" t="str">
        <f>IF($B27&lt;&gt;"",SUMIFS('2. Program Allocation Output'!BB:BB,'2. Program Allocation Output'!$A:$A,"Annual Incremental Energy (kWh)",'2. Program Allocation Output'!$H:$H,$B$6,'2. Program Allocation Output'!$AG:$AG,$B27),"")</f>
        <v/>
      </c>
      <c r="J27" s="15" t="str">
        <f>IF($B27&lt;&gt;"",SUMIFS('2. Program Allocation Output'!BC:BC,'2. Program Allocation Output'!$A:$A,"Annual Incremental Energy (kWh)",'2. Program Allocation Output'!$H:$H,$B$6,'2. Program Allocation Output'!$AG:$AG,$B27),"")</f>
        <v/>
      </c>
      <c r="K27" s="15" t="str">
        <f>IF($B27&lt;&gt;"",SUMIFS('2. Program Allocation Output'!BD:BD,'2. Program Allocation Output'!$A:$A,"Annual Incremental Energy (kWh)",'2. Program Allocation Output'!$H:$H,$B$6,'2. Program Allocation Output'!$AG:$AG,$B27),"")</f>
        <v/>
      </c>
      <c r="L27" s="15" t="str">
        <f>IF($B27&lt;&gt;"",SUMIFS('2. Program Allocation Output'!BE:BE,'2. Program Allocation Output'!$A:$A,"Annual Incremental Energy (kWh)",'2. Program Allocation Output'!$H:$H,$B$6,'2. Program Allocation Output'!$AG:$AG,$B27),"")</f>
        <v/>
      </c>
      <c r="M27" s="15" t="str">
        <f>IF($B27&lt;&gt;"",SUMIFS('2. Program Allocation Output'!BF:BF,'2. Program Allocation Output'!$A:$A,"Annual Incremental Energy (kWh)",'2. Program Allocation Output'!$H:$H,$B$6,'2. Program Allocation Output'!$AG:$AG,$B27),"")</f>
        <v/>
      </c>
      <c r="N27" s="15" t="str">
        <f>IF($B27&lt;&gt;"",SUMIFS('2. Program Allocation Output'!BG:BG,'2. Program Allocation Output'!$A:$A,"Annual Incremental Energy (kWh)",'2. Program Allocation Output'!$H:$H,$B$6,'2. Program Allocation Output'!$AG:$AG,$B27),"")</f>
        <v/>
      </c>
      <c r="O27" s="15" t="str">
        <f>IF($B27&lt;&gt;"",SUMIFS('2. Program Allocation Output'!BH:BH,'2. Program Allocation Output'!$A:$A,"Annual Incremental Energy (kWh)",'2. Program Allocation Output'!$H:$H,$B$6,'2. Program Allocation Output'!$AG:$AG,$B27),"")</f>
        <v/>
      </c>
      <c r="P27" s="15" t="str">
        <f>IF($B27&lt;&gt;"",SUMIFS('2. Program Allocation Output'!BI:BI,'2. Program Allocation Output'!$A:$A,"Annual Incremental Energy (kWh)",'2. Program Allocation Output'!$H:$H,$B$6,'2. Program Allocation Output'!$AG:$AG,$B27),"")</f>
        <v/>
      </c>
      <c r="Q27" s="15" t="str">
        <f>IF($B27&lt;&gt;"",SUMIFS('2. Program Allocation Output'!BJ:BJ,'2. Program Allocation Output'!$A:$A,"Annual Incremental Energy (kWh)",'2. Program Allocation Output'!$H:$H,$B$6,'2. Program Allocation Output'!$AG:$AG,$B27),"")</f>
        <v/>
      </c>
      <c r="R27" s="15" t="str">
        <f>IF($B27&lt;&gt;"",SUMIFS('2. Program Allocation Output'!BK:BK,'2. Program Allocation Output'!$A:$A,"Annual Incremental Energy (kWh)",'2. Program Allocation Output'!$H:$H,$B$6,'2. Program Allocation Output'!$AG:$AG,$B27),"")</f>
        <v/>
      </c>
      <c r="T27" s="74" t="str">
        <f t="shared" si="2"/>
        <v/>
      </c>
    </row>
    <row r="28" spans="2:22" x14ac:dyDescent="0.25">
      <c r="B28" s="8"/>
      <c r="C28" s="8" t="str">
        <f>IF($B28&lt;&gt;"",_xlfn.XLOOKUP($B28,tbl_Data[Trimmed Measure Name],tbl_Data[Units],0),"")</f>
        <v/>
      </c>
      <c r="D28" s="15" t="str">
        <f>IF($B28&lt;&gt;"",_xlfn.XLOOKUP($B28,tbl_Data[Trimmed Measure Name],tbl_Data[kWh Savings],0),"")</f>
        <v/>
      </c>
      <c r="E28" s="48" t="str">
        <f>IF($B28&lt;&gt;"",_xlfn.XLOOKUP($B28,tbl_Data[Trimmed Measure Name],tbl_Data[kW Savings - Summer],0),"")</f>
        <v/>
      </c>
      <c r="F28" s="48" t="str">
        <f>IF($B28&lt;&gt;"",_xlfn.XLOOKUP($B28,tbl_Data[Trimmed Measure Name],tbl_Data[kW Savings - Winter],0),"")</f>
        <v/>
      </c>
      <c r="G28" s="42" t="str">
        <f>IF($B28&lt;&gt;"",_xlfn.XLOOKUP($B28,tbl_Data[Trimmed Measure Name],tbl_Data[Incremental Cost ($/unit)],0),"")</f>
        <v/>
      </c>
      <c r="H28" s="42" t="str">
        <f>IF($B28&lt;&gt;"",_xlfn.XLOOKUP($B28,tbl_Data[Trimmed Measure Name],tbl_Data[Adj. per unit Incentive ($)],0),"")</f>
        <v/>
      </c>
      <c r="I28" s="15" t="str">
        <f>IF($B28&lt;&gt;"",SUMIFS('2. Program Allocation Output'!BB:BB,'2. Program Allocation Output'!$A:$A,"Annual Incremental Energy (kWh)",'2. Program Allocation Output'!$H:$H,$B$6,'2. Program Allocation Output'!$AG:$AG,$B28),"")</f>
        <v/>
      </c>
      <c r="J28" s="15" t="str">
        <f>IF($B28&lt;&gt;"",SUMIFS('2. Program Allocation Output'!BC:BC,'2. Program Allocation Output'!$A:$A,"Annual Incremental Energy (kWh)",'2. Program Allocation Output'!$H:$H,$B$6,'2. Program Allocation Output'!$AG:$AG,$B28),"")</f>
        <v/>
      </c>
      <c r="K28" s="15" t="str">
        <f>IF($B28&lt;&gt;"",SUMIFS('2. Program Allocation Output'!BD:BD,'2. Program Allocation Output'!$A:$A,"Annual Incremental Energy (kWh)",'2. Program Allocation Output'!$H:$H,$B$6,'2. Program Allocation Output'!$AG:$AG,$B28),"")</f>
        <v/>
      </c>
      <c r="L28" s="15" t="str">
        <f>IF($B28&lt;&gt;"",SUMIFS('2. Program Allocation Output'!BE:BE,'2. Program Allocation Output'!$A:$A,"Annual Incremental Energy (kWh)",'2. Program Allocation Output'!$H:$H,$B$6,'2. Program Allocation Output'!$AG:$AG,$B28),"")</f>
        <v/>
      </c>
      <c r="M28" s="15" t="str">
        <f>IF($B28&lt;&gt;"",SUMIFS('2. Program Allocation Output'!BF:BF,'2. Program Allocation Output'!$A:$A,"Annual Incremental Energy (kWh)",'2. Program Allocation Output'!$H:$H,$B$6,'2. Program Allocation Output'!$AG:$AG,$B28),"")</f>
        <v/>
      </c>
      <c r="N28" s="15" t="str">
        <f>IF($B28&lt;&gt;"",SUMIFS('2. Program Allocation Output'!BG:BG,'2. Program Allocation Output'!$A:$A,"Annual Incremental Energy (kWh)",'2. Program Allocation Output'!$H:$H,$B$6,'2. Program Allocation Output'!$AG:$AG,$B28),"")</f>
        <v/>
      </c>
      <c r="O28" s="15" t="str">
        <f>IF($B28&lt;&gt;"",SUMIFS('2. Program Allocation Output'!BH:BH,'2. Program Allocation Output'!$A:$A,"Annual Incremental Energy (kWh)",'2. Program Allocation Output'!$H:$H,$B$6,'2. Program Allocation Output'!$AG:$AG,$B28),"")</f>
        <v/>
      </c>
      <c r="P28" s="15" t="str">
        <f>IF($B28&lt;&gt;"",SUMIFS('2. Program Allocation Output'!BI:BI,'2. Program Allocation Output'!$A:$A,"Annual Incremental Energy (kWh)",'2. Program Allocation Output'!$H:$H,$B$6,'2. Program Allocation Output'!$AG:$AG,$B28),"")</f>
        <v/>
      </c>
      <c r="Q28" s="15" t="str">
        <f>IF($B28&lt;&gt;"",SUMIFS('2. Program Allocation Output'!BJ:BJ,'2. Program Allocation Output'!$A:$A,"Annual Incremental Energy (kWh)",'2. Program Allocation Output'!$H:$H,$B$6,'2. Program Allocation Output'!$AG:$AG,$B28),"")</f>
        <v/>
      </c>
      <c r="R28" s="15" t="str">
        <f>IF($B28&lt;&gt;"",SUMIFS('2. Program Allocation Output'!BK:BK,'2. Program Allocation Output'!$A:$A,"Annual Incremental Energy (kWh)",'2. Program Allocation Output'!$H:$H,$B$6,'2. Program Allocation Output'!$AG:$AG,$B28),"")</f>
        <v/>
      </c>
      <c r="T28" s="74" t="str">
        <f t="shared" si="2"/>
        <v/>
      </c>
    </row>
    <row r="29" spans="2:22" x14ac:dyDescent="0.25">
      <c r="B29" s="8"/>
      <c r="C29" s="8" t="str">
        <f>IF($B29&lt;&gt;"",_xlfn.XLOOKUP($B29,tbl_Data[Trimmed Measure Name],tbl_Data[Units],0),"")</f>
        <v/>
      </c>
      <c r="D29" s="15" t="str">
        <f>IF($B29&lt;&gt;"",_xlfn.XLOOKUP($B29,tbl_Data[Trimmed Measure Name],tbl_Data[kWh Savings],0),"")</f>
        <v/>
      </c>
      <c r="E29" s="48" t="str">
        <f>IF($B29&lt;&gt;"",_xlfn.XLOOKUP($B29,tbl_Data[Trimmed Measure Name],tbl_Data[kW Savings - Summer],0),"")</f>
        <v/>
      </c>
      <c r="F29" s="48" t="str">
        <f>IF($B29&lt;&gt;"",_xlfn.XLOOKUP($B29,tbl_Data[Trimmed Measure Name],tbl_Data[kW Savings - Winter],0),"")</f>
        <v/>
      </c>
      <c r="G29" s="42" t="str">
        <f>IF($B29&lt;&gt;"",_xlfn.XLOOKUP($B29,tbl_Data[Trimmed Measure Name],tbl_Data[Incremental Cost ($/unit)],0),"")</f>
        <v/>
      </c>
      <c r="H29" s="42" t="str">
        <f>IF($B29&lt;&gt;"",_xlfn.XLOOKUP($B29,tbl_Data[Trimmed Measure Name],tbl_Data[Adj. per unit Incentive ($)],0),"")</f>
        <v/>
      </c>
      <c r="I29" s="15" t="str">
        <f>IF($B29&lt;&gt;"",SUMIFS('2. Program Allocation Output'!BB:BB,'2. Program Allocation Output'!$A:$A,"Annual Incremental Energy (kWh)",'2. Program Allocation Output'!$H:$H,$B$6,'2. Program Allocation Output'!$AG:$AG,$B29),"")</f>
        <v/>
      </c>
      <c r="J29" s="15" t="str">
        <f>IF($B29&lt;&gt;"",SUMIFS('2. Program Allocation Output'!BC:BC,'2. Program Allocation Output'!$A:$A,"Annual Incremental Energy (kWh)",'2. Program Allocation Output'!$H:$H,$B$6,'2. Program Allocation Output'!$AG:$AG,$B29),"")</f>
        <v/>
      </c>
      <c r="K29" s="15" t="str">
        <f>IF($B29&lt;&gt;"",SUMIFS('2. Program Allocation Output'!BD:BD,'2. Program Allocation Output'!$A:$A,"Annual Incremental Energy (kWh)",'2. Program Allocation Output'!$H:$H,$B$6,'2. Program Allocation Output'!$AG:$AG,$B29),"")</f>
        <v/>
      </c>
      <c r="L29" s="15" t="str">
        <f>IF($B29&lt;&gt;"",SUMIFS('2. Program Allocation Output'!BE:BE,'2. Program Allocation Output'!$A:$A,"Annual Incremental Energy (kWh)",'2. Program Allocation Output'!$H:$H,$B$6,'2. Program Allocation Output'!$AG:$AG,$B29),"")</f>
        <v/>
      </c>
      <c r="M29" s="15" t="str">
        <f>IF($B29&lt;&gt;"",SUMIFS('2. Program Allocation Output'!BF:BF,'2. Program Allocation Output'!$A:$A,"Annual Incremental Energy (kWh)",'2. Program Allocation Output'!$H:$H,$B$6,'2. Program Allocation Output'!$AG:$AG,$B29),"")</f>
        <v/>
      </c>
      <c r="N29" s="15" t="str">
        <f>IF($B29&lt;&gt;"",SUMIFS('2. Program Allocation Output'!BG:BG,'2. Program Allocation Output'!$A:$A,"Annual Incremental Energy (kWh)",'2. Program Allocation Output'!$H:$H,$B$6,'2. Program Allocation Output'!$AG:$AG,$B29),"")</f>
        <v/>
      </c>
      <c r="O29" s="15" t="str">
        <f>IF($B29&lt;&gt;"",SUMIFS('2. Program Allocation Output'!BH:BH,'2. Program Allocation Output'!$A:$A,"Annual Incremental Energy (kWh)",'2. Program Allocation Output'!$H:$H,$B$6,'2. Program Allocation Output'!$AG:$AG,$B29),"")</f>
        <v/>
      </c>
      <c r="P29" s="15" t="str">
        <f>IF($B29&lt;&gt;"",SUMIFS('2. Program Allocation Output'!BI:BI,'2. Program Allocation Output'!$A:$A,"Annual Incremental Energy (kWh)",'2. Program Allocation Output'!$H:$H,$B$6,'2. Program Allocation Output'!$AG:$AG,$B29),"")</f>
        <v/>
      </c>
      <c r="Q29" s="15" t="str">
        <f>IF($B29&lt;&gt;"",SUMIFS('2. Program Allocation Output'!BJ:BJ,'2. Program Allocation Output'!$A:$A,"Annual Incremental Energy (kWh)",'2. Program Allocation Output'!$H:$H,$B$6,'2. Program Allocation Output'!$AG:$AG,$B29),"")</f>
        <v/>
      </c>
      <c r="R29" s="15" t="str">
        <f>IF($B29&lt;&gt;"",SUMIFS('2. Program Allocation Output'!BK:BK,'2. Program Allocation Output'!$A:$A,"Annual Incremental Energy (kWh)",'2. Program Allocation Output'!$H:$H,$B$6,'2. Program Allocation Output'!$AG:$AG,$B29),"")</f>
        <v/>
      </c>
      <c r="T29" s="74" t="str">
        <f t="shared" si="2"/>
        <v/>
      </c>
    </row>
    <row r="30" spans="2:22" x14ac:dyDescent="0.25">
      <c r="B30" s="49"/>
      <c r="C30" s="49" t="str">
        <f>IF($B30&lt;&gt;"",_xlfn.XLOOKUP($B30,tbl_Data[Trimmed Measure Name],tbl_Data[Units],0),"")</f>
        <v/>
      </c>
      <c r="D30" s="50" t="str">
        <f>IF($B30&lt;&gt;"",_xlfn.XLOOKUP($B30,tbl_Data[Trimmed Measure Name],tbl_Data[kWh Savings],0),"")</f>
        <v/>
      </c>
      <c r="E30" s="51" t="str">
        <f>IF($B30&lt;&gt;"",_xlfn.XLOOKUP($B30,tbl_Data[Trimmed Measure Name],tbl_Data[kW Savings - Summer],0),"")</f>
        <v/>
      </c>
      <c r="F30" s="51" t="str">
        <f>IF($B30&lt;&gt;"",_xlfn.XLOOKUP($B30,tbl_Data[Trimmed Measure Name],tbl_Data[kW Savings - Winter],0),"")</f>
        <v/>
      </c>
      <c r="G30" s="52" t="str">
        <f>IF($B30&lt;&gt;"",_xlfn.XLOOKUP($B30,tbl_Data[Trimmed Measure Name],tbl_Data[Incremental Cost ($/unit)],0),"")</f>
        <v/>
      </c>
      <c r="H30" s="52" t="str">
        <f>IF($B30&lt;&gt;"",_xlfn.XLOOKUP($B30,tbl_Data[Trimmed Measure Name],tbl_Data[Adj. per unit Incentive ($)],0),"")</f>
        <v/>
      </c>
      <c r="I30" s="50" t="str">
        <f>IF($B30&lt;&gt;"",SUMIFS('2. Program Allocation Output'!BB:BB,'2. Program Allocation Output'!$A:$A,"Annual Incremental Energy (kWh)",'2. Program Allocation Output'!$H:$H,$B$6,'2. Program Allocation Output'!$AG:$AG,$B30),"")</f>
        <v/>
      </c>
      <c r="J30" s="50" t="str">
        <f>IF($B30&lt;&gt;"",SUMIFS('2. Program Allocation Output'!BC:BC,'2. Program Allocation Output'!$A:$A,"Annual Incremental Energy (kWh)",'2. Program Allocation Output'!$H:$H,$B$6,'2. Program Allocation Output'!$AG:$AG,$B30),"")</f>
        <v/>
      </c>
      <c r="K30" s="50" t="str">
        <f>IF($B30&lt;&gt;"",SUMIFS('2. Program Allocation Output'!BD:BD,'2. Program Allocation Output'!$A:$A,"Annual Incremental Energy (kWh)",'2. Program Allocation Output'!$H:$H,$B$6,'2. Program Allocation Output'!$AG:$AG,$B30),"")</f>
        <v/>
      </c>
      <c r="L30" s="50" t="str">
        <f>IF($B30&lt;&gt;"",SUMIFS('2. Program Allocation Output'!BE:BE,'2. Program Allocation Output'!$A:$A,"Annual Incremental Energy (kWh)",'2. Program Allocation Output'!$H:$H,$B$6,'2. Program Allocation Output'!$AG:$AG,$B30),"")</f>
        <v/>
      </c>
      <c r="M30" s="50" t="str">
        <f>IF($B30&lt;&gt;"",SUMIFS('2. Program Allocation Output'!BF:BF,'2. Program Allocation Output'!$A:$A,"Annual Incremental Energy (kWh)",'2. Program Allocation Output'!$H:$H,$B$6,'2. Program Allocation Output'!$AG:$AG,$B30),"")</f>
        <v/>
      </c>
      <c r="N30" s="50" t="str">
        <f>IF($B30&lt;&gt;"",SUMIFS('2. Program Allocation Output'!BG:BG,'2. Program Allocation Output'!$A:$A,"Annual Incremental Energy (kWh)",'2. Program Allocation Output'!$H:$H,$B$6,'2. Program Allocation Output'!$AG:$AG,$B30),"")</f>
        <v/>
      </c>
      <c r="O30" s="50" t="str">
        <f>IF($B30&lt;&gt;"",SUMIFS('2. Program Allocation Output'!BH:BH,'2. Program Allocation Output'!$A:$A,"Annual Incremental Energy (kWh)",'2. Program Allocation Output'!$H:$H,$B$6,'2. Program Allocation Output'!$AG:$AG,$B30),"")</f>
        <v/>
      </c>
      <c r="P30" s="50" t="str">
        <f>IF($B30&lt;&gt;"",SUMIFS('2. Program Allocation Output'!BI:BI,'2. Program Allocation Output'!$A:$A,"Annual Incremental Energy (kWh)",'2. Program Allocation Output'!$H:$H,$B$6,'2. Program Allocation Output'!$AG:$AG,$B30),"")</f>
        <v/>
      </c>
      <c r="Q30" s="50" t="str">
        <f>IF($B30&lt;&gt;"",SUMIFS('2. Program Allocation Output'!BJ:BJ,'2. Program Allocation Output'!$A:$A,"Annual Incremental Energy (kWh)",'2. Program Allocation Output'!$H:$H,$B$6,'2. Program Allocation Output'!$AG:$AG,$B30),"")</f>
        <v/>
      </c>
      <c r="R30" s="50" t="str">
        <f>IF($B30&lt;&gt;"",SUMIFS('2. Program Allocation Output'!BK:BK,'2. Program Allocation Output'!$A:$A,"Annual Incremental Energy (kWh)",'2. Program Allocation Output'!$H:$H,$B$6,'2. Program Allocation Output'!$AG:$AG,$B30),"")</f>
        <v/>
      </c>
      <c r="T30" s="74" t="str">
        <f t="shared" ref="T30:T32" si="3">IFERROR(D31*I31,"")</f>
        <v/>
      </c>
    </row>
    <row r="31" spans="2:22" x14ac:dyDescent="0.25">
      <c r="B31" s="8"/>
      <c r="C31" s="8" t="str">
        <f>IF($B31&lt;&gt;"",_xlfn.XLOOKUP($B31,tbl_Data[Trimmed Measure Name],tbl_Data[Units],0),"")</f>
        <v/>
      </c>
      <c r="D31" s="15" t="str">
        <f>IF($B31&lt;&gt;"",_xlfn.XLOOKUP($B31,tbl_Data[Trimmed Measure Name],tbl_Data[kWh Savings],0),"")</f>
        <v/>
      </c>
      <c r="E31" s="48" t="str">
        <f>IF($B31&lt;&gt;"",_xlfn.XLOOKUP($B31,tbl_Data[Trimmed Measure Name],tbl_Data[kW Savings - Summer],0),"")</f>
        <v/>
      </c>
      <c r="F31" s="48" t="str">
        <f>IF($B31&lt;&gt;"",_xlfn.XLOOKUP($B31,tbl_Data[Trimmed Measure Name],tbl_Data[kW Savings - Winter],0),"")</f>
        <v/>
      </c>
      <c r="G31" s="42" t="str">
        <f>IF($B31&lt;&gt;"",_xlfn.XLOOKUP($B31,tbl_Data[Trimmed Measure Name],tbl_Data[Incremental Cost ($/unit)],0),"")</f>
        <v/>
      </c>
      <c r="H31" s="42" t="str">
        <f>IF($B31&lt;&gt;"",_xlfn.XLOOKUP($B31,tbl_Data[Trimmed Measure Name],tbl_Data[Adj. per unit Incentive ($)],0),"")</f>
        <v/>
      </c>
      <c r="I31" s="15" t="str">
        <f>IF($B31&lt;&gt;"",SUMIFS('2. Program Allocation Output'!BB:BB,'2. Program Allocation Output'!$A:$A,"Annual Incremental Energy (kWh)",'2. Program Allocation Output'!$H:$H,$B$6,'2. Program Allocation Output'!$AG:$AG,$B31),"")</f>
        <v/>
      </c>
      <c r="J31" s="15" t="str">
        <f>IF($B31&lt;&gt;"",SUMIFS('2. Program Allocation Output'!BC:BC,'2. Program Allocation Output'!$A:$A,"Annual Incremental Energy (kWh)",'2. Program Allocation Output'!$H:$H,$B$6,'2. Program Allocation Output'!$AG:$AG,$B31),"")</f>
        <v/>
      </c>
      <c r="K31" s="15" t="str">
        <f>IF($B31&lt;&gt;"",SUMIFS('2. Program Allocation Output'!BD:BD,'2. Program Allocation Output'!$A:$A,"Annual Incremental Energy (kWh)",'2. Program Allocation Output'!$H:$H,$B$6,'2. Program Allocation Output'!$AG:$AG,$B31),"")</f>
        <v/>
      </c>
      <c r="L31" s="15" t="str">
        <f>IF($B31&lt;&gt;"",SUMIFS('2. Program Allocation Output'!BE:BE,'2. Program Allocation Output'!$A:$A,"Annual Incremental Energy (kWh)",'2. Program Allocation Output'!$H:$H,$B$6,'2. Program Allocation Output'!$AG:$AG,$B31),"")</f>
        <v/>
      </c>
      <c r="M31" s="15" t="str">
        <f>IF($B31&lt;&gt;"",SUMIFS('2. Program Allocation Output'!BF:BF,'2. Program Allocation Output'!$A:$A,"Annual Incremental Energy (kWh)",'2. Program Allocation Output'!$H:$H,$B$6,'2. Program Allocation Output'!$AG:$AG,$B31),"")</f>
        <v/>
      </c>
      <c r="N31" s="15" t="str">
        <f>IF($B31&lt;&gt;"",SUMIFS('2. Program Allocation Output'!BG:BG,'2. Program Allocation Output'!$A:$A,"Annual Incremental Energy (kWh)",'2. Program Allocation Output'!$H:$H,$B$6,'2. Program Allocation Output'!$AG:$AG,$B31),"")</f>
        <v/>
      </c>
      <c r="O31" s="15" t="str">
        <f>IF($B31&lt;&gt;"",SUMIFS('2. Program Allocation Output'!BH:BH,'2. Program Allocation Output'!$A:$A,"Annual Incremental Energy (kWh)",'2. Program Allocation Output'!$H:$H,$B$6,'2. Program Allocation Output'!$AG:$AG,$B31),"")</f>
        <v/>
      </c>
      <c r="P31" s="15" t="str">
        <f>IF($B31&lt;&gt;"",SUMIFS('2. Program Allocation Output'!BI:BI,'2. Program Allocation Output'!$A:$A,"Annual Incremental Energy (kWh)",'2. Program Allocation Output'!$H:$H,$B$6,'2. Program Allocation Output'!$AG:$AG,$B31),"")</f>
        <v/>
      </c>
      <c r="Q31" s="15" t="str">
        <f>IF($B31&lt;&gt;"",SUMIFS('2. Program Allocation Output'!BJ:BJ,'2. Program Allocation Output'!$A:$A,"Annual Incremental Energy (kWh)",'2. Program Allocation Output'!$H:$H,$B$6,'2. Program Allocation Output'!$AG:$AG,$B31),"")</f>
        <v/>
      </c>
      <c r="R31" s="15" t="str">
        <f>IF($B31&lt;&gt;"",SUMIFS('2. Program Allocation Output'!BK:BK,'2. Program Allocation Output'!$A:$A,"Annual Incremental Energy (kWh)",'2. Program Allocation Output'!$H:$H,$B$6,'2. Program Allocation Output'!$AG:$AG,$B31),"")</f>
        <v/>
      </c>
      <c r="T31" s="74" t="str">
        <f t="shared" si="3"/>
        <v/>
      </c>
    </row>
    <row r="32" spans="2:22" x14ac:dyDescent="0.25">
      <c r="B32" s="8"/>
      <c r="C32" s="8" t="str">
        <f>IF($B32&lt;&gt;"",_xlfn.XLOOKUP($B32,tbl_Data[Trimmed Measure Name],tbl_Data[Units],0),"")</f>
        <v/>
      </c>
      <c r="D32" s="15" t="str">
        <f>IF($B32&lt;&gt;"",_xlfn.XLOOKUP($B32,tbl_Data[Trimmed Measure Name],tbl_Data[kWh Savings],0),"")</f>
        <v/>
      </c>
      <c r="E32" s="48" t="str">
        <f>IF($B32&lt;&gt;"",_xlfn.XLOOKUP($B32,tbl_Data[Trimmed Measure Name],tbl_Data[kW Savings - Summer],0),"")</f>
        <v/>
      </c>
      <c r="F32" s="48" t="str">
        <f>IF($B32&lt;&gt;"",_xlfn.XLOOKUP($B32,tbl_Data[Trimmed Measure Name],tbl_Data[kW Savings - Winter],0),"")</f>
        <v/>
      </c>
      <c r="G32" s="42" t="str">
        <f>IF($B32&lt;&gt;"",_xlfn.XLOOKUP($B32,tbl_Data[Trimmed Measure Name],tbl_Data[Incremental Cost ($/unit)],0),"")</f>
        <v/>
      </c>
      <c r="H32" s="42" t="str">
        <f>IF($B32&lt;&gt;"",_xlfn.XLOOKUP($B32,tbl_Data[Trimmed Measure Name],tbl_Data[Adj. per unit Incentive ($)],0),"")</f>
        <v/>
      </c>
      <c r="I32" s="15" t="str">
        <f>IF($B32&lt;&gt;"",SUMIFS('2. Program Allocation Output'!BB:BB,'2. Program Allocation Output'!$A:$A,"Annual Incremental Energy (kWh)",'2. Program Allocation Output'!$H:$H,$B$6,'2. Program Allocation Output'!$AG:$AG,$B32),"")</f>
        <v/>
      </c>
      <c r="J32" s="15" t="str">
        <f>IF($B32&lt;&gt;"",SUMIFS('2. Program Allocation Output'!BC:BC,'2. Program Allocation Output'!$A:$A,"Annual Incremental Energy (kWh)",'2. Program Allocation Output'!$H:$H,$B$6,'2. Program Allocation Output'!$AG:$AG,$B32),"")</f>
        <v/>
      </c>
      <c r="K32" s="15" t="str">
        <f>IF($B32&lt;&gt;"",SUMIFS('2. Program Allocation Output'!BD:BD,'2. Program Allocation Output'!$A:$A,"Annual Incremental Energy (kWh)",'2. Program Allocation Output'!$H:$H,$B$6,'2. Program Allocation Output'!$AG:$AG,$B32),"")</f>
        <v/>
      </c>
      <c r="L32" s="15" t="str">
        <f>IF($B32&lt;&gt;"",SUMIFS('2. Program Allocation Output'!BE:BE,'2. Program Allocation Output'!$A:$A,"Annual Incremental Energy (kWh)",'2. Program Allocation Output'!$H:$H,$B$6,'2. Program Allocation Output'!$AG:$AG,$B32),"")</f>
        <v/>
      </c>
      <c r="M32" s="15" t="str">
        <f>IF($B32&lt;&gt;"",SUMIFS('2. Program Allocation Output'!BF:BF,'2. Program Allocation Output'!$A:$A,"Annual Incremental Energy (kWh)",'2. Program Allocation Output'!$H:$H,$B$6,'2. Program Allocation Output'!$AG:$AG,$B32),"")</f>
        <v/>
      </c>
      <c r="N32" s="15" t="str">
        <f>IF($B32&lt;&gt;"",SUMIFS('2. Program Allocation Output'!BG:BG,'2. Program Allocation Output'!$A:$A,"Annual Incremental Energy (kWh)",'2. Program Allocation Output'!$H:$H,$B$6,'2. Program Allocation Output'!$AG:$AG,$B32),"")</f>
        <v/>
      </c>
      <c r="O32" s="15" t="str">
        <f>IF($B32&lt;&gt;"",SUMIFS('2. Program Allocation Output'!BH:BH,'2. Program Allocation Output'!$A:$A,"Annual Incremental Energy (kWh)",'2. Program Allocation Output'!$H:$H,$B$6,'2. Program Allocation Output'!$AG:$AG,$B32),"")</f>
        <v/>
      </c>
      <c r="P32" s="15" t="str">
        <f>IF($B32&lt;&gt;"",SUMIFS('2. Program Allocation Output'!BI:BI,'2. Program Allocation Output'!$A:$A,"Annual Incremental Energy (kWh)",'2. Program Allocation Output'!$H:$H,$B$6,'2. Program Allocation Output'!$AG:$AG,$B32),"")</f>
        <v/>
      </c>
      <c r="Q32" s="15" t="str">
        <f>IF($B32&lt;&gt;"",SUMIFS('2. Program Allocation Output'!BJ:BJ,'2. Program Allocation Output'!$A:$A,"Annual Incremental Energy (kWh)",'2. Program Allocation Output'!$H:$H,$B$6,'2. Program Allocation Output'!$AG:$AG,$B32),"")</f>
        <v/>
      </c>
      <c r="R32" s="15" t="str">
        <f>IF($B32&lt;&gt;"",SUMIFS('2. Program Allocation Output'!BK:BK,'2. Program Allocation Output'!$A:$A,"Annual Incremental Energy (kWh)",'2. Program Allocation Output'!$H:$H,$B$6,'2. Program Allocation Output'!$AG:$AG,$B32),"")</f>
        <v/>
      </c>
      <c r="T32" s="74" t="str">
        <f t="shared" si="3"/>
        <v/>
      </c>
    </row>
    <row r="33" spans="2:18" x14ac:dyDescent="0.25">
      <c r="B33" s="8"/>
      <c r="C33" s="8" t="str">
        <f>IF($B33&lt;&gt;"",_xlfn.XLOOKUP($B33,tbl_Data[Trimmed Measure Name],tbl_Data[Units],0),"")</f>
        <v/>
      </c>
      <c r="D33" s="15" t="str">
        <f>IF($B33&lt;&gt;"",_xlfn.XLOOKUP($B33,tbl_Data[Trimmed Measure Name],tbl_Data[kWh Savings],0),"")</f>
        <v/>
      </c>
      <c r="E33" s="48" t="str">
        <f>IF($B33&lt;&gt;"",_xlfn.XLOOKUP($B33,tbl_Data[Trimmed Measure Name],tbl_Data[kW Savings - Summer],0),"")</f>
        <v/>
      </c>
      <c r="F33" s="48" t="str">
        <f>IF($B33&lt;&gt;"",_xlfn.XLOOKUP($B33,tbl_Data[Trimmed Measure Name],tbl_Data[kW Savings - Winter],0),"")</f>
        <v/>
      </c>
      <c r="G33" s="42" t="str">
        <f>IF($B33&lt;&gt;"",_xlfn.XLOOKUP($B33,tbl_Data[Trimmed Measure Name],tbl_Data[Incremental Cost ($/unit)],0),"")</f>
        <v/>
      </c>
      <c r="H33" s="42" t="str">
        <f>IF($B33&lt;&gt;"",_xlfn.XLOOKUP($B33,tbl_Data[Trimmed Measure Name],tbl_Data[Adj. per unit Incentive ($)],0),"")</f>
        <v/>
      </c>
      <c r="I33" s="15" t="str">
        <f>IF($B33&lt;&gt;"",SUMIFS('2. Program Allocation Output'!BB:BB,'2. Program Allocation Output'!$A:$A,"Annual Incremental Energy (kWh)",'2. Program Allocation Output'!$H:$H,$B$6,'2. Program Allocation Output'!$AG:$AG,$B33),"")</f>
        <v/>
      </c>
      <c r="J33" s="15" t="str">
        <f>IF($B33&lt;&gt;"",SUMIFS('2. Program Allocation Output'!BC:BC,'2. Program Allocation Output'!$A:$A,"Annual Incremental Energy (kWh)",'2. Program Allocation Output'!$H:$H,$B$6,'2. Program Allocation Output'!$AG:$AG,$B33),"")</f>
        <v/>
      </c>
      <c r="K33" s="15" t="str">
        <f>IF($B33&lt;&gt;"",SUMIFS('2. Program Allocation Output'!BD:BD,'2. Program Allocation Output'!$A:$A,"Annual Incremental Energy (kWh)",'2. Program Allocation Output'!$H:$H,$B$6,'2. Program Allocation Output'!$AG:$AG,$B33),"")</f>
        <v/>
      </c>
      <c r="L33" s="15" t="str">
        <f>IF($B33&lt;&gt;"",SUMIFS('2. Program Allocation Output'!BE:BE,'2. Program Allocation Output'!$A:$A,"Annual Incremental Energy (kWh)",'2. Program Allocation Output'!$H:$H,$B$6,'2. Program Allocation Output'!$AG:$AG,$B33),"")</f>
        <v/>
      </c>
      <c r="M33" s="15" t="str">
        <f>IF($B33&lt;&gt;"",SUMIFS('2. Program Allocation Output'!BF:BF,'2. Program Allocation Output'!$A:$A,"Annual Incremental Energy (kWh)",'2. Program Allocation Output'!$H:$H,$B$6,'2. Program Allocation Output'!$AG:$AG,$B33),"")</f>
        <v/>
      </c>
      <c r="N33" s="15" t="str">
        <f>IF($B33&lt;&gt;"",SUMIFS('2. Program Allocation Output'!BG:BG,'2. Program Allocation Output'!$A:$A,"Annual Incremental Energy (kWh)",'2. Program Allocation Output'!$H:$H,$B$6,'2. Program Allocation Output'!$AG:$AG,$B33),"")</f>
        <v/>
      </c>
      <c r="O33" s="15" t="str">
        <f>IF($B33&lt;&gt;"",SUMIFS('2. Program Allocation Output'!BH:BH,'2. Program Allocation Output'!$A:$A,"Annual Incremental Energy (kWh)",'2. Program Allocation Output'!$H:$H,$B$6,'2. Program Allocation Output'!$AG:$AG,$B33),"")</f>
        <v/>
      </c>
      <c r="P33" s="15" t="str">
        <f>IF($B33&lt;&gt;"",SUMIFS('2. Program Allocation Output'!BI:BI,'2. Program Allocation Output'!$A:$A,"Annual Incremental Energy (kWh)",'2. Program Allocation Output'!$H:$H,$B$6,'2. Program Allocation Output'!$AG:$AG,$B33),"")</f>
        <v/>
      </c>
      <c r="Q33" s="15" t="str">
        <f>IF($B33&lt;&gt;"",SUMIFS('2. Program Allocation Output'!BJ:BJ,'2. Program Allocation Output'!$A:$A,"Annual Incremental Energy (kWh)",'2. Program Allocation Output'!$H:$H,$B$6,'2. Program Allocation Output'!$AG:$AG,$B33),"")</f>
        <v/>
      </c>
      <c r="R33" s="15" t="str">
        <f>IF($B33&lt;&gt;"",SUMIFS('2. Program Allocation Output'!BK:BK,'2. Program Allocation Output'!$A:$A,"Annual Incremental Energy (kWh)",'2. Program Allocation Output'!$H:$H,$B$6,'2. Program Allocation Output'!$AG:$AG,$B33),"")</f>
        <v/>
      </c>
    </row>
    <row r="34" spans="2:18" x14ac:dyDescent="0.25">
      <c r="B34" s="8"/>
      <c r="C34" s="8" t="str">
        <f>IF($B34&lt;&gt;"",_xlfn.XLOOKUP($B34,tbl_Data[Trimmed Measure Name],tbl_Data[Units],0),"")</f>
        <v/>
      </c>
      <c r="D34" s="15" t="str">
        <f>IF($B34&lt;&gt;"",_xlfn.XLOOKUP($B34,tbl_Data[Trimmed Measure Name],tbl_Data[kWh Savings],0),"")</f>
        <v/>
      </c>
      <c r="E34" s="48" t="str">
        <f>IF($B34&lt;&gt;"",_xlfn.XLOOKUP($B34,tbl_Data[Trimmed Measure Name],tbl_Data[kW Savings - Summer],0),"")</f>
        <v/>
      </c>
      <c r="F34" s="48" t="str">
        <f>IF($B34&lt;&gt;"",_xlfn.XLOOKUP($B34,tbl_Data[Trimmed Measure Name],tbl_Data[kW Savings - Winter],0),"")</f>
        <v/>
      </c>
      <c r="G34" s="42" t="str">
        <f>IF($B34&lt;&gt;"",_xlfn.XLOOKUP($B34,tbl_Data[Trimmed Measure Name],tbl_Data[Incremental Cost ($/unit)],0),"")</f>
        <v/>
      </c>
      <c r="H34" s="42" t="str">
        <f>IF($B34&lt;&gt;"",_xlfn.XLOOKUP($B34,tbl_Data[Trimmed Measure Name],tbl_Data[Adj. per unit Incentive ($)],0),"")</f>
        <v/>
      </c>
      <c r="I34" s="15" t="str">
        <f>IF($B34&lt;&gt;"",SUMIFS('2. Program Allocation Output'!BB:BB,'2. Program Allocation Output'!$A:$A,"Annual Incremental Energy (kWh)",'2. Program Allocation Output'!$H:$H,$B$6,'2. Program Allocation Output'!$AG:$AG,$B34),"")</f>
        <v/>
      </c>
      <c r="J34" s="15" t="str">
        <f>IF($B34&lt;&gt;"",SUMIFS('2. Program Allocation Output'!BC:BC,'2. Program Allocation Output'!$A:$A,"Annual Incremental Energy (kWh)",'2. Program Allocation Output'!$H:$H,$B$6,'2. Program Allocation Output'!$AG:$AG,$B34),"")</f>
        <v/>
      </c>
      <c r="K34" s="15" t="str">
        <f>IF($B34&lt;&gt;"",SUMIFS('2. Program Allocation Output'!BD:BD,'2. Program Allocation Output'!$A:$A,"Annual Incremental Energy (kWh)",'2. Program Allocation Output'!$H:$H,$B$6,'2. Program Allocation Output'!$AG:$AG,$B34),"")</f>
        <v/>
      </c>
      <c r="L34" s="15" t="str">
        <f>IF($B34&lt;&gt;"",SUMIFS('2. Program Allocation Output'!BE:BE,'2. Program Allocation Output'!$A:$A,"Annual Incremental Energy (kWh)",'2. Program Allocation Output'!$H:$H,$B$6,'2. Program Allocation Output'!$AG:$AG,$B34),"")</f>
        <v/>
      </c>
      <c r="M34" s="15" t="str">
        <f>IF($B34&lt;&gt;"",SUMIFS('2. Program Allocation Output'!BF:BF,'2. Program Allocation Output'!$A:$A,"Annual Incremental Energy (kWh)",'2. Program Allocation Output'!$H:$H,$B$6,'2. Program Allocation Output'!$AG:$AG,$B34),"")</f>
        <v/>
      </c>
      <c r="N34" s="15" t="str">
        <f>IF($B34&lt;&gt;"",SUMIFS('2. Program Allocation Output'!BG:BG,'2. Program Allocation Output'!$A:$A,"Annual Incremental Energy (kWh)",'2. Program Allocation Output'!$H:$H,$B$6,'2. Program Allocation Output'!$AG:$AG,$B34),"")</f>
        <v/>
      </c>
      <c r="O34" s="15" t="str">
        <f>IF($B34&lt;&gt;"",SUMIFS('2. Program Allocation Output'!BH:BH,'2. Program Allocation Output'!$A:$A,"Annual Incremental Energy (kWh)",'2. Program Allocation Output'!$H:$H,$B$6,'2. Program Allocation Output'!$AG:$AG,$B34),"")</f>
        <v/>
      </c>
      <c r="P34" s="15" t="str">
        <f>IF($B34&lt;&gt;"",SUMIFS('2. Program Allocation Output'!BI:BI,'2. Program Allocation Output'!$A:$A,"Annual Incremental Energy (kWh)",'2. Program Allocation Output'!$H:$H,$B$6,'2. Program Allocation Output'!$AG:$AG,$B34),"")</f>
        <v/>
      </c>
      <c r="Q34" s="15" t="str">
        <f>IF($B34&lt;&gt;"",SUMIFS('2. Program Allocation Output'!BJ:BJ,'2. Program Allocation Output'!$A:$A,"Annual Incremental Energy (kWh)",'2. Program Allocation Output'!$H:$H,$B$6,'2. Program Allocation Output'!$AG:$AG,$B34),"")</f>
        <v/>
      </c>
      <c r="R34" s="15" t="str">
        <f>IF($B34&lt;&gt;"",SUMIFS('2. Program Allocation Output'!BK:BK,'2. Program Allocation Output'!$A:$A,"Annual Incremental Energy (kWh)",'2. Program Allocation Output'!$H:$H,$B$6,'2. Program Allocation Output'!$AG:$AG,$B34),"")</f>
        <v/>
      </c>
    </row>
    <row r="35" spans="2:18" x14ac:dyDescent="0.25">
      <c r="B35" s="8"/>
      <c r="C35" s="8" t="str">
        <f>IF($B35&lt;&gt;"",_xlfn.XLOOKUP($B35,tbl_Data[Trimmed Measure Name],tbl_Data[Units],0),"")</f>
        <v/>
      </c>
      <c r="D35" s="15" t="str">
        <f>IF($B35&lt;&gt;"",_xlfn.XLOOKUP($B35,tbl_Data[Trimmed Measure Name],tbl_Data[kWh Savings],0),"")</f>
        <v/>
      </c>
      <c r="E35" s="48" t="str">
        <f>IF($B35&lt;&gt;"",_xlfn.XLOOKUP($B35,tbl_Data[Trimmed Measure Name],tbl_Data[kW Savings - Summer],0),"")</f>
        <v/>
      </c>
      <c r="F35" s="48" t="str">
        <f>IF($B35&lt;&gt;"",_xlfn.XLOOKUP($B35,tbl_Data[Trimmed Measure Name],tbl_Data[kW Savings - Winter],0),"")</f>
        <v/>
      </c>
      <c r="G35" s="42" t="str">
        <f>IF($B35&lt;&gt;"",_xlfn.XLOOKUP($B35,tbl_Data[Trimmed Measure Name],tbl_Data[Incremental Cost ($/unit)],0),"")</f>
        <v/>
      </c>
      <c r="H35" s="42" t="str">
        <f>IF($B35&lt;&gt;"",_xlfn.XLOOKUP($B35,tbl_Data[Trimmed Measure Name],tbl_Data[Adj. per unit Incentive ($)],0),"")</f>
        <v/>
      </c>
      <c r="I35" s="15" t="str">
        <f>IF($B35&lt;&gt;"",SUMIFS('2. Program Allocation Output'!BB:BB,'2. Program Allocation Output'!$A:$A,"Annual Incremental Energy (kWh)",'2. Program Allocation Output'!$H:$H,$B$6,'2. Program Allocation Output'!$AG:$AG,$B35),"")</f>
        <v/>
      </c>
      <c r="J35" s="15" t="str">
        <f>IF($B35&lt;&gt;"",SUMIFS('2. Program Allocation Output'!BC:BC,'2. Program Allocation Output'!$A:$A,"Annual Incremental Energy (kWh)",'2. Program Allocation Output'!$H:$H,$B$6,'2. Program Allocation Output'!$AG:$AG,$B35),"")</f>
        <v/>
      </c>
      <c r="K35" s="15" t="str">
        <f>IF($B35&lt;&gt;"",SUMIFS('2. Program Allocation Output'!BD:BD,'2. Program Allocation Output'!$A:$A,"Annual Incremental Energy (kWh)",'2. Program Allocation Output'!$H:$H,$B$6,'2. Program Allocation Output'!$AG:$AG,$B35),"")</f>
        <v/>
      </c>
      <c r="L35" s="15" t="str">
        <f>IF($B35&lt;&gt;"",SUMIFS('2. Program Allocation Output'!BE:BE,'2. Program Allocation Output'!$A:$A,"Annual Incremental Energy (kWh)",'2. Program Allocation Output'!$H:$H,$B$6,'2. Program Allocation Output'!$AG:$AG,$B35),"")</f>
        <v/>
      </c>
      <c r="M35" s="15" t="str">
        <f>IF($B35&lt;&gt;"",SUMIFS('2. Program Allocation Output'!BF:BF,'2. Program Allocation Output'!$A:$A,"Annual Incremental Energy (kWh)",'2. Program Allocation Output'!$H:$H,$B$6,'2. Program Allocation Output'!$AG:$AG,$B35),"")</f>
        <v/>
      </c>
      <c r="N35" s="15" t="str">
        <f>IF($B35&lt;&gt;"",SUMIFS('2. Program Allocation Output'!BG:BG,'2. Program Allocation Output'!$A:$A,"Annual Incremental Energy (kWh)",'2. Program Allocation Output'!$H:$H,$B$6,'2. Program Allocation Output'!$AG:$AG,$B35),"")</f>
        <v/>
      </c>
      <c r="O35" s="15" t="str">
        <f>IF($B35&lt;&gt;"",SUMIFS('2. Program Allocation Output'!BH:BH,'2. Program Allocation Output'!$A:$A,"Annual Incremental Energy (kWh)",'2. Program Allocation Output'!$H:$H,$B$6,'2. Program Allocation Output'!$AG:$AG,$B35),"")</f>
        <v/>
      </c>
      <c r="P35" s="15" t="str">
        <f>IF($B35&lt;&gt;"",SUMIFS('2. Program Allocation Output'!BI:BI,'2. Program Allocation Output'!$A:$A,"Annual Incremental Energy (kWh)",'2. Program Allocation Output'!$H:$H,$B$6,'2. Program Allocation Output'!$AG:$AG,$B35),"")</f>
        <v/>
      </c>
      <c r="Q35" s="15" t="str">
        <f>IF($B35&lt;&gt;"",SUMIFS('2. Program Allocation Output'!BJ:BJ,'2. Program Allocation Output'!$A:$A,"Annual Incremental Energy (kWh)",'2. Program Allocation Output'!$H:$H,$B$6,'2. Program Allocation Output'!$AG:$AG,$B35),"")</f>
        <v/>
      </c>
      <c r="R35" s="15" t="str">
        <f>IF($B35&lt;&gt;"",SUMIFS('2. Program Allocation Output'!BK:BK,'2. Program Allocation Output'!$A:$A,"Annual Incremental Energy (kWh)",'2. Program Allocation Output'!$H:$H,$B$6,'2. Program Allocation Output'!$AG:$AG,$B35),"")</f>
        <v/>
      </c>
    </row>
    <row r="36" spans="2:18" x14ac:dyDescent="0.25">
      <c r="B36" s="8"/>
      <c r="C36" s="8" t="str">
        <f>IF($B36&lt;&gt;"",_xlfn.XLOOKUP($B36,tbl_Data[Trimmed Measure Name],tbl_Data[Units],0),"")</f>
        <v/>
      </c>
      <c r="D36" s="15" t="str">
        <f>IF($B36&lt;&gt;"",_xlfn.XLOOKUP($B36,tbl_Data[Trimmed Measure Name],tbl_Data[kWh Savings],0),"")</f>
        <v/>
      </c>
      <c r="E36" s="48" t="str">
        <f>IF($B36&lt;&gt;"",_xlfn.XLOOKUP($B36,tbl_Data[Trimmed Measure Name],tbl_Data[kW Savings - Summer],0),"")</f>
        <v/>
      </c>
      <c r="F36" s="48" t="str">
        <f>IF($B36&lt;&gt;"",_xlfn.XLOOKUP($B36,tbl_Data[Trimmed Measure Name],tbl_Data[kW Savings - Winter],0),"")</f>
        <v/>
      </c>
      <c r="G36" s="42" t="str">
        <f>IF($B36&lt;&gt;"",_xlfn.XLOOKUP($B36,tbl_Data[Trimmed Measure Name],tbl_Data[Incremental Cost ($/unit)],0),"")</f>
        <v/>
      </c>
      <c r="H36" s="42" t="str">
        <f>IF($B36&lt;&gt;"",_xlfn.XLOOKUP($B36,tbl_Data[Trimmed Measure Name],tbl_Data[Adj. per unit Incentive ($)],0),"")</f>
        <v/>
      </c>
      <c r="I36" s="15" t="str">
        <f>IF($B36&lt;&gt;"",SUMIFS('2. Program Allocation Output'!BB:BB,'2. Program Allocation Output'!$A:$A,"Annual Incremental Energy (kWh)",'2. Program Allocation Output'!$H:$H,$B$6,'2. Program Allocation Output'!$AG:$AG,$B36),"")</f>
        <v/>
      </c>
      <c r="J36" s="15" t="str">
        <f>IF($B36&lt;&gt;"",SUMIFS('2. Program Allocation Output'!BC:BC,'2. Program Allocation Output'!$A:$A,"Annual Incremental Energy (kWh)",'2. Program Allocation Output'!$H:$H,$B$6,'2. Program Allocation Output'!$AG:$AG,$B36),"")</f>
        <v/>
      </c>
      <c r="K36" s="15" t="str">
        <f>IF($B36&lt;&gt;"",SUMIFS('2. Program Allocation Output'!BD:BD,'2. Program Allocation Output'!$A:$A,"Annual Incremental Energy (kWh)",'2. Program Allocation Output'!$H:$H,$B$6,'2. Program Allocation Output'!$AG:$AG,$B36),"")</f>
        <v/>
      </c>
      <c r="L36" s="15" t="str">
        <f>IF($B36&lt;&gt;"",SUMIFS('2. Program Allocation Output'!BE:BE,'2. Program Allocation Output'!$A:$A,"Annual Incremental Energy (kWh)",'2. Program Allocation Output'!$H:$H,$B$6,'2. Program Allocation Output'!$AG:$AG,$B36),"")</f>
        <v/>
      </c>
      <c r="M36" s="15" t="str">
        <f>IF($B36&lt;&gt;"",SUMIFS('2. Program Allocation Output'!BF:BF,'2. Program Allocation Output'!$A:$A,"Annual Incremental Energy (kWh)",'2. Program Allocation Output'!$H:$H,$B$6,'2. Program Allocation Output'!$AG:$AG,$B36),"")</f>
        <v/>
      </c>
      <c r="N36" s="15" t="str">
        <f>IF($B36&lt;&gt;"",SUMIFS('2. Program Allocation Output'!BG:BG,'2. Program Allocation Output'!$A:$A,"Annual Incremental Energy (kWh)",'2. Program Allocation Output'!$H:$H,$B$6,'2. Program Allocation Output'!$AG:$AG,$B36),"")</f>
        <v/>
      </c>
      <c r="O36" s="15" t="str">
        <f>IF($B36&lt;&gt;"",SUMIFS('2. Program Allocation Output'!BH:BH,'2. Program Allocation Output'!$A:$A,"Annual Incremental Energy (kWh)",'2. Program Allocation Output'!$H:$H,$B$6,'2. Program Allocation Output'!$AG:$AG,$B36),"")</f>
        <v/>
      </c>
      <c r="P36" s="15" t="str">
        <f>IF($B36&lt;&gt;"",SUMIFS('2. Program Allocation Output'!BI:BI,'2. Program Allocation Output'!$A:$A,"Annual Incremental Energy (kWh)",'2. Program Allocation Output'!$H:$H,$B$6,'2. Program Allocation Output'!$AG:$AG,$B36),"")</f>
        <v/>
      </c>
      <c r="Q36" s="15" t="str">
        <f>IF($B36&lt;&gt;"",SUMIFS('2. Program Allocation Output'!BJ:BJ,'2. Program Allocation Output'!$A:$A,"Annual Incremental Energy (kWh)",'2. Program Allocation Output'!$H:$H,$B$6,'2. Program Allocation Output'!$AG:$AG,$B36),"")</f>
        <v/>
      </c>
      <c r="R36" s="15" t="str">
        <f>IF($B36&lt;&gt;"",SUMIFS('2. Program Allocation Output'!BK:BK,'2. Program Allocation Output'!$A:$A,"Annual Incremental Energy (kWh)",'2. Program Allocation Output'!$H:$H,$B$6,'2. Program Allocation Output'!$AG:$AG,$B36),"")</f>
        <v/>
      </c>
    </row>
    <row r="37" spans="2:18" x14ac:dyDescent="0.25">
      <c r="B37" s="8"/>
      <c r="C37" s="8" t="str">
        <f>IF($B37&lt;&gt;"",_xlfn.XLOOKUP($B37,tbl_Data[Trimmed Measure Name],tbl_Data[Units],0),"")</f>
        <v/>
      </c>
      <c r="D37" s="15" t="str">
        <f>IF($B37&lt;&gt;"",_xlfn.XLOOKUP($B37,tbl_Data[Trimmed Measure Name],tbl_Data[kWh Savings],0),"")</f>
        <v/>
      </c>
      <c r="E37" s="48" t="str">
        <f>IF($B37&lt;&gt;"",_xlfn.XLOOKUP($B37,tbl_Data[Trimmed Measure Name],tbl_Data[kW Savings - Summer],0),"")</f>
        <v/>
      </c>
      <c r="F37" s="48" t="str">
        <f>IF($B37&lt;&gt;"",_xlfn.XLOOKUP($B37,tbl_Data[Trimmed Measure Name],tbl_Data[kW Savings - Winter],0),"")</f>
        <v/>
      </c>
      <c r="G37" s="42" t="str">
        <f>IF($B37&lt;&gt;"",_xlfn.XLOOKUP($B37,tbl_Data[Trimmed Measure Name],tbl_Data[Incremental Cost ($/unit)],0),"")</f>
        <v/>
      </c>
      <c r="H37" s="42" t="str">
        <f>IF($B37&lt;&gt;"",_xlfn.XLOOKUP($B37,tbl_Data[Trimmed Measure Name],tbl_Data[Adj. per unit Incentive ($)],0),"")</f>
        <v/>
      </c>
      <c r="I37" s="15" t="str">
        <f>IF($B37&lt;&gt;"",SUMIFS('2. Program Allocation Output'!BB:BB,'2. Program Allocation Output'!$A:$A,"Annual Incremental Energy (kWh)",'2. Program Allocation Output'!$H:$H,$B$6,'2. Program Allocation Output'!$AG:$AG,$B37),"")</f>
        <v/>
      </c>
      <c r="J37" s="15" t="str">
        <f>IF($B37&lt;&gt;"",SUMIFS('2. Program Allocation Output'!BC:BC,'2. Program Allocation Output'!$A:$A,"Annual Incremental Energy (kWh)",'2. Program Allocation Output'!$H:$H,$B$6,'2. Program Allocation Output'!$AG:$AG,$B37),"")</f>
        <v/>
      </c>
      <c r="K37" s="15" t="str">
        <f>IF($B37&lt;&gt;"",SUMIFS('2. Program Allocation Output'!BD:BD,'2. Program Allocation Output'!$A:$A,"Annual Incremental Energy (kWh)",'2. Program Allocation Output'!$H:$H,$B$6,'2. Program Allocation Output'!$AG:$AG,$B37),"")</f>
        <v/>
      </c>
      <c r="L37" s="15" t="str">
        <f>IF($B37&lt;&gt;"",SUMIFS('2. Program Allocation Output'!BE:BE,'2. Program Allocation Output'!$A:$A,"Annual Incremental Energy (kWh)",'2. Program Allocation Output'!$H:$H,$B$6,'2. Program Allocation Output'!$AG:$AG,$B37),"")</f>
        <v/>
      </c>
      <c r="M37" s="15" t="str">
        <f>IF($B37&lt;&gt;"",SUMIFS('2. Program Allocation Output'!BF:BF,'2. Program Allocation Output'!$A:$A,"Annual Incremental Energy (kWh)",'2. Program Allocation Output'!$H:$H,$B$6,'2. Program Allocation Output'!$AG:$AG,$B37),"")</f>
        <v/>
      </c>
      <c r="N37" s="15" t="str">
        <f>IF($B37&lt;&gt;"",SUMIFS('2. Program Allocation Output'!BG:BG,'2. Program Allocation Output'!$A:$A,"Annual Incremental Energy (kWh)",'2. Program Allocation Output'!$H:$H,$B$6,'2. Program Allocation Output'!$AG:$AG,$B37),"")</f>
        <v/>
      </c>
      <c r="O37" s="15" t="str">
        <f>IF($B37&lt;&gt;"",SUMIFS('2. Program Allocation Output'!BH:BH,'2. Program Allocation Output'!$A:$A,"Annual Incremental Energy (kWh)",'2. Program Allocation Output'!$H:$H,$B$6,'2. Program Allocation Output'!$AG:$AG,$B37),"")</f>
        <v/>
      </c>
      <c r="P37" s="15" t="str">
        <f>IF($B37&lt;&gt;"",SUMIFS('2. Program Allocation Output'!BI:BI,'2. Program Allocation Output'!$A:$A,"Annual Incremental Energy (kWh)",'2. Program Allocation Output'!$H:$H,$B$6,'2. Program Allocation Output'!$AG:$AG,$B37),"")</f>
        <v/>
      </c>
      <c r="Q37" s="15" t="str">
        <f>IF($B37&lt;&gt;"",SUMIFS('2. Program Allocation Output'!BJ:BJ,'2. Program Allocation Output'!$A:$A,"Annual Incremental Energy (kWh)",'2. Program Allocation Output'!$H:$H,$B$6,'2. Program Allocation Output'!$AG:$AG,$B37),"")</f>
        <v/>
      </c>
      <c r="R37" s="15" t="str">
        <f>IF($B37&lt;&gt;"",SUMIFS('2. Program Allocation Output'!BK:BK,'2. Program Allocation Output'!$A:$A,"Annual Incremental Energy (kWh)",'2. Program Allocation Output'!$H:$H,$B$6,'2. Program Allocation Output'!$AG:$AG,$B37),"")</f>
        <v/>
      </c>
    </row>
    <row r="38" spans="2:18" x14ac:dyDescent="0.25">
      <c r="B38" s="8"/>
      <c r="C38" s="8" t="str">
        <f>IF($B38&lt;&gt;"",_xlfn.XLOOKUP($B38,tbl_Data[Trimmed Measure Name],tbl_Data[Units],0),"")</f>
        <v/>
      </c>
      <c r="D38" s="15" t="str">
        <f>IF($B38&lt;&gt;"",_xlfn.XLOOKUP($B38,tbl_Data[Trimmed Measure Name],tbl_Data[kWh Savings],0),"")</f>
        <v/>
      </c>
      <c r="E38" s="48" t="str">
        <f>IF($B38&lt;&gt;"",_xlfn.XLOOKUP($B38,tbl_Data[Trimmed Measure Name],tbl_Data[kW Savings - Summer],0),"")</f>
        <v/>
      </c>
      <c r="F38" s="48" t="str">
        <f>IF($B38&lt;&gt;"",_xlfn.XLOOKUP($B38,tbl_Data[Trimmed Measure Name],tbl_Data[kW Savings - Winter],0),"")</f>
        <v/>
      </c>
      <c r="G38" s="42" t="str">
        <f>IF($B38&lt;&gt;"",_xlfn.XLOOKUP($B38,tbl_Data[Trimmed Measure Name],tbl_Data[Incremental Cost ($/unit)],0),"")</f>
        <v/>
      </c>
      <c r="H38" s="42" t="str">
        <f>IF($B38&lt;&gt;"",_xlfn.XLOOKUP($B38,tbl_Data[Trimmed Measure Name],tbl_Data[Adj. per unit Incentive ($)],0),"")</f>
        <v/>
      </c>
      <c r="I38" s="15" t="str">
        <f>IF($B38&lt;&gt;"",SUMIFS('2. Program Allocation Output'!BB:BB,'2. Program Allocation Output'!$A:$A,"Annual Incremental Energy (kWh)",'2. Program Allocation Output'!$H:$H,$B$6,'2. Program Allocation Output'!$AG:$AG,$B38),"")</f>
        <v/>
      </c>
      <c r="J38" s="15" t="str">
        <f>IF($B38&lt;&gt;"",SUMIFS('2. Program Allocation Output'!BC:BC,'2. Program Allocation Output'!$A:$A,"Annual Incremental Energy (kWh)",'2. Program Allocation Output'!$H:$H,$B$6,'2. Program Allocation Output'!$AG:$AG,$B38),"")</f>
        <v/>
      </c>
      <c r="K38" s="15" t="str">
        <f>IF($B38&lt;&gt;"",SUMIFS('2. Program Allocation Output'!BD:BD,'2. Program Allocation Output'!$A:$A,"Annual Incremental Energy (kWh)",'2. Program Allocation Output'!$H:$H,$B$6,'2. Program Allocation Output'!$AG:$AG,$B38),"")</f>
        <v/>
      </c>
      <c r="L38" s="15" t="str">
        <f>IF($B38&lt;&gt;"",SUMIFS('2. Program Allocation Output'!BE:BE,'2. Program Allocation Output'!$A:$A,"Annual Incremental Energy (kWh)",'2. Program Allocation Output'!$H:$H,$B$6,'2. Program Allocation Output'!$AG:$AG,$B38),"")</f>
        <v/>
      </c>
      <c r="M38" s="15" t="str">
        <f>IF($B38&lt;&gt;"",SUMIFS('2. Program Allocation Output'!BF:BF,'2. Program Allocation Output'!$A:$A,"Annual Incremental Energy (kWh)",'2. Program Allocation Output'!$H:$H,$B$6,'2. Program Allocation Output'!$AG:$AG,$B38),"")</f>
        <v/>
      </c>
      <c r="N38" s="15" t="str">
        <f>IF($B38&lt;&gt;"",SUMIFS('2. Program Allocation Output'!BG:BG,'2. Program Allocation Output'!$A:$A,"Annual Incremental Energy (kWh)",'2. Program Allocation Output'!$H:$H,$B$6,'2. Program Allocation Output'!$AG:$AG,$B38),"")</f>
        <v/>
      </c>
      <c r="O38" s="15" t="str">
        <f>IF($B38&lt;&gt;"",SUMIFS('2. Program Allocation Output'!BH:BH,'2. Program Allocation Output'!$A:$A,"Annual Incremental Energy (kWh)",'2. Program Allocation Output'!$H:$H,$B$6,'2. Program Allocation Output'!$AG:$AG,$B38),"")</f>
        <v/>
      </c>
      <c r="P38" s="15" t="str">
        <f>IF($B38&lt;&gt;"",SUMIFS('2. Program Allocation Output'!BI:BI,'2. Program Allocation Output'!$A:$A,"Annual Incremental Energy (kWh)",'2. Program Allocation Output'!$H:$H,$B$6,'2. Program Allocation Output'!$AG:$AG,$B38),"")</f>
        <v/>
      </c>
      <c r="Q38" s="15" t="str">
        <f>IF($B38&lt;&gt;"",SUMIFS('2. Program Allocation Output'!BJ:BJ,'2. Program Allocation Output'!$A:$A,"Annual Incremental Energy (kWh)",'2. Program Allocation Output'!$H:$H,$B$6,'2. Program Allocation Output'!$AG:$AG,$B38),"")</f>
        <v/>
      </c>
      <c r="R38" s="15" t="str">
        <f>IF($B38&lt;&gt;"",SUMIFS('2. Program Allocation Output'!BK:BK,'2. Program Allocation Output'!$A:$A,"Annual Incremental Energy (kWh)",'2. Program Allocation Output'!$H:$H,$B$6,'2. Program Allocation Output'!$AG:$AG,$B38),"")</f>
        <v/>
      </c>
    </row>
    <row r="39" spans="2:18" x14ac:dyDescent="0.25">
      <c r="B39" s="8"/>
      <c r="C39" s="8" t="str">
        <f>IF($B39&lt;&gt;"",_xlfn.XLOOKUP($B39,tbl_Data[Trimmed Measure Name],tbl_Data[Units],0),"")</f>
        <v/>
      </c>
      <c r="D39" s="15" t="str">
        <f>IF($B39&lt;&gt;"",_xlfn.XLOOKUP($B39,tbl_Data[Trimmed Measure Name],tbl_Data[kWh Savings],0),"")</f>
        <v/>
      </c>
      <c r="E39" s="48" t="str">
        <f>IF($B39&lt;&gt;"",_xlfn.XLOOKUP($B39,tbl_Data[Trimmed Measure Name],tbl_Data[kW Savings - Summer],0),"")</f>
        <v/>
      </c>
      <c r="F39" s="48" t="str">
        <f>IF($B39&lt;&gt;"",_xlfn.XLOOKUP($B39,tbl_Data[Trimmed Measure Name],tbl_Data[kW Savings - Winter],0),"")</f>
        <v/>
      </c>
      <c r="G39" s="42" t="str">
        <f>IF($B39&lt;&gt;"",_xlfn.XLOOKUP($B39,tbl_Data[Trimmed Measure Name],tbl_Data[Incremental Cost ($/unit)],0),"")</f>
        <v/>
      </c>
      <c r="H39" s="42" t="str">
        <f>IF($B39&lt;&gt;"",_xlfn.XLOOKUP($B39,tbl_Data[Trimmed Measure Name],tbl_Data[Adj. per unit Incentive ($)],0),"")</f>
        <v/>
      </c>
      <c r="I39" s="15" t="str">
        <f>IF($B39&lt;&gt;"",SUMIFS('2. Program Allocation Output'!BB:BB,'2. Program Allocation Output'!$A:$A,"Annual Incremental Energy (kWh)",'2. Program Allocation Output'!$H:$H,$B$6,'2. Program Allocation Output'!$AG:$AG,$B39),"")</f>
        <v/>
      </c>
      <c r="J39" s="15" t="str">
        <f>IF($B39&lt;&gt;"",SUMIFS('2. Program Allocation Output'!BC:BC,'2. Program Allocation Output'!$A:$A,"Annual Incremental Energy (kWh)",'2. Program Allocation Output'!$H:$H,$B$6,'2. Program Allocation Output'!$AG:$AG,$B39),"")</f>
        <v/>
      </c>
      <c r="K39" s="15" t="str">
        <f>IF($B39&lt;&gt;"",SUMIFS('2. Program Allocation Output'!BD:BD,'2. Program Allocation Output'!$A:$A,"Annual Incremental Energy (kWh)",'2. Program Allocation Output'!$H:$H,$B$6,'2. Program Allocation Output'!$AG:$AG,$B39),"")</f>
        <v/>
      </c>
      <c r="L39" s="15" t="str">
        <f>IF($B39&lt;&gt;"",SUMIFS('2. Program Allocation Output'!BE:BE,'2. Program Allocation Output'!$A:$A,"Annual Incremental Energy (kWh)",'2. Program Allocation Output'!$H:$H,$B$6,'2. Program Allocation Output'!$AG:$AG,$B39),"")</f>
        <v/>
      </c>
      <c r="M39" s="15" t="str">
        <f>IF($B39&lt;&gt;"",SUMIFS('2. Program Allocation Output'!BF:BF,'2. Program Allocation Output'!$A:$A,"Annual Incremental Energy (kWh)",'2. Program Allocation Output'!$H:$H,$B$6,'2. Program Allocation Output'!$AG:$AG,$B39),"")</f>
        <v/>
      </c>
      <c r="N39" s="15" t="str">
        <f>IF($B39&lt;&gt;"",SUMIFS('2. Program Allocation Output'!BG:BG,'2. Program Allocation Output'!$A:$A,"Annual Incremental Energy (kWh)",'2. Program Allocation Output'!$H:$H,$B$6,'2. Program Allocation Output'!$AG:$AG,$B39),"")</f>
        <v/>
      </c>
      <c r="O39" s="15" t="str">
        <f>IF($B39&lt;&gt;"",SUMIFS('2. Program Allocation Output'!BH:BH,'2. Program Allocation Output'!$A:$A,"Annual Incremental Energy (kWh)",'2. Program Allocation Output'!$H:$H,$B$6,'2. Program Allocation Output'!$AG:$AG,$B39),"")</f>
        <v/>
      </c>
      <c r="P39" s="15" t="str">
        <f>IF($B39&lt;&gt;"",SUMIFS('2. Program Allocation Output'!BI:BI,'2. Program Allocation Output'!$A:$A,"Annual Incremental Energy (kWh)",'2. Program Allocation Output'!$H:$H,$B$6,'2. Program Allocation Output'!$AG:$AG,$B39),"")</f>
        <v/>
      </c>
      <c r="Q39" s="15" t="str">
        <f>IF($B39&lt;&gt;"",SUMIFS('2. Program Allocation Output'!BJ:BJ,'2. Program Allocation Output'!$A:$A,"Annual Incremental Energy (kWh)",'2. Program Allocation Output'!$H:$H,$B$6,'2. Program Allocation Output'!$AG:$AG,$B39),"")</f>
        <v/>
      </c>
      <c r="R39" s="15" t="str">
        <f>IF($B39&lt;&gt;"",SUMIFS('2. Program Allocation Output'!BK:BK,'2. Program Allocation Output'!$A:$A,"Annual Incremental Energy (kWh)",'2. Program Allocation Output'!$H:$H,$B$6,'2. Program Allocation Output'!$AG:$AG,$B39),"")</f>
        <v/>
      </c>
    </row>
    <row r="40" spans="2:18" x14ac:dyDescent="0.25">
      <c r="B40" s="8"/>
      <c r="C40" s="8" t="str">
        <f>IF($B40&lt;&gt;"",_xlfn.XLOOKUP($B40,tbl_Data[Trimmed Measure Name],tbl_Data[Units],0),"")</f>
        <v/>
      </c>
      <c r="D40" s="15" t="str">
        <f>IF($B40&lt;&gt;"",_xlfn.XLOOKUP($B40,tbl_Data[Trimmed Measure Name],tbl_Data[kWh Savings],0),"")</f>
        <v/>
      </c>
      <c r="E40" s="48" t="str">
        <f>IF($B40&lt;&gt;"",_xlfn.XLOOKUP($B40,tbl_Data[Trimmed Measure Name],tbl_Data[kW Savings - Summer],0),"")</f>
        <v/>
      </c>
      <c r="F40" s="48" t="str">
        <f>IF($B40&lt;&gt;"",_xlfn.XLOOKUP($B40,tbl_Data[Trimmed Measure Name],tbl_Data[kW Savings - Winter],0),"")</f>
        <v/>
      </c>
      <c r="G40" s="42" t="str">
        <f>IF($B40&lt;&gt;"",_xlfn.XLOOKUP($B40,tbl_Data[Trimmed Measure Name],tbl_Data[Incremental Cost ($/unit)],0),"")</f>
        <v/>
      </c>
      <c r="H40" s="42" t="str">
        <f>IF($B40&lt;&gt;"",_xlfn.XLOOKUP($B40,tbl_Data[Trimmed Measure Name],tbl_Data[Adj. per unit Incentive ($)],0),"")</f>
        <v/>
      </c>
      <c r="I40" s="15" t="str">
        <f>IF($B40&lt;&gt;"",SUMIFS('2. Program Allocation Output'!BB:BB,'2. Program Allocation Output'!$A:$A,"Annual Incremental Energy (kWh)",'2. Program Allocation Output'!$H:$H,$B$6,'2. Program Allocation Output'!$AG:$AG,$B40),"")</f>
        <v/>
      </c>
      <c r="J40" s="15" t="str">
        <f>IF($B40&lt;&gt;"",SUMIFS('2. Program Allocation Output'!BC:BC,'2. Program Allocation Output'!$A:$A,"Annual Incremental Energy (kWh)",'2. Program Allocation Output'!$H:$H,$B$6,'2. Program Allocation Output'!$AG:$AG,$B40),"")</f>
        <v/>
      </c>
      <c r="K40" s="15" t="str">
        <f>IF($B40&lt;&gt;"",SUMIFS('2. Program Allocation Output'!BD:BD,'2. Program Allocation Output'!$A:$A,"Annual Incremental Energy (kWh)",'2. Program Allocation Output'!$H:$H,$B$6,'2. Program Allocation Output'!$AG:$AG,$B40),"")</f>
        <v/>
      </c>
      <c r="L40" s="15" t="str">
        <f>IF($B40&lt;&gt;"",SUMIFS('2. Program Allocation Output'!BE:BE,'2. Program Allocation Output'!$A:$A,"Annual Incremental Energy (kWh)",'2. Program Allocation Output'!$H:$H,$B$6,'2. Program Allocation Output'!$AG:$AG,$B40),"")</f>
        <v/>
      </c>
      <c r="M40" s="15" t="str">
        <f>IF($B40&lt;&gt;"",SUMIFS('2. Program Allocation Output'!BF:BF,'2. Program Allocation Output'!$A:$A,"Annual Incremental Energy (kWh)",'2. Program Allocation Output'!$H:$H,$B$6,'2. Program Allocation Output'!$AG:$AG,$B40),"")</f>
        <v/>
      </c>
      <c r="N40" s="15" t="str">
        <f>IF($B40&lt;&gt;"",SUMIFS('2. Program Allocation Output'!BG:BG,'2. Program Allocation Output'!$A:$A,"Annual Incremental Energy (kWh)",'2. Program Allocation Output'!$H:$H,$B$6,'2. Program Allocation Output'!$AG:$AG,$B40),"")</f>
        <v/>
      </c>
      <c r="O40" s="15" t="str">
        <f>IF($B40&lt;&gt;"",SUMIFS('2. Program Allocation Output'!BH:BH,'2. Program Allocation Output'!$A:$A,"Annual Incremental Energy (kWh)",'2. Program Allocation Output'!$H:$H,$B$6,'2. Program Allocation Output'!$AG:$AG,$B40),"")</f>
        <v/>
      </c>
      <c r="P40" s="15" t="str">
        <f>IF($B40&lt;&gt;"",SUMIFS('2. Program Allocation Output'!BI:BI,'2. Program Allocation Output'!$A:$A,"Annual Incremental Energy (kWh)",'2. Program Allocation Output'!$H:$H,$B$6,'2. Program Allocation Output'!$AG:$AG,$B40),"")</f>
        <v/>
      </c>
      <c r="Q40" s="15" t="str">
        <f>IF($B40&lt;&gt;"",SUMIFS('2. Program Allocation Output'!BJ:BJ,'2. Program Allocation Output'!$A:$A,"Annual Incremental Energy (kWh)",'2. Program Allocation Output'!$H:$H,$B$6,'2. Program Allocation Output'!$AG:$AG,$B40),"")</f>
        <v/>
      </c>
      <c r="R40" s="15" t="str">
        <f>IF($B40&lt;&gt;"",SUMIFS('2. Program Allocation Output'!BK:BK,'2. Program Allocation Output'!$A:$A,"Annual Incremental Energy (kWh)",'2. Program Allocation Output'!$H:$H,$B$6,'2. Program Allocation Output'!$AG:$AG,$B40),"")</f>
        <v/>
      </c>
    </row>
    <row r="41" spans="2:18" x14ac:dyDescent="0.25">
      <c r="B41" s="8"/>
      <c r="C41" s="8" t="str">
        <f>IF($B41&lt;&gt;"",_xlfn.XLOOKUP($B41,tbl_Data[Trimmed Measure Name],tbl_Data[Units],0),"")</f>
        <v/>
      </c>
      <c r="D41" s="15" t="str">
        <f>IF($B41&lt;&gt;"",_xlfn.XLOOKUP($B41,tbl_Data[Trimmed Measure Name],tbl_Data[kWh Savings],0),"")</f>
        <v/>
      </c>
      <c r="E41" s="48" t="str">
        <f>IF($B41&lt;&gt;"",_xlfn.XLOOKUP($B41,tbl_Data[Trimmed Measure Name],tbl_Data[kW Savings - Summer],0),"")</f>
        <v/>
      </c>
      <c r="F41" s="48" t="str">
        <f>IF($B41&lt;&gt;"",_xlfn.XLOOKUP($B41,tbl_Data[Trimmed Measure Name],tbl_Data[kW Savings - Winter],0),"")</f>
        <v/>
      </c>
      <c r="G41" s="42" t="str">
        <f>IF($B41&lt;&gt;"",_xlfn.XLOOKUP($B41,tbl_Data[Trimmed Measure Name],tbl_Data[Incremental Cost ($/unit)],0),"")</f>
        <v/>
      </c>
      <c r="H41" s="42" t="str">
        <f>IF($B41&lt;&gt;"",_xlfn.XLOOKUP($B41,tbl_Data[Trimmed Measure Name],tbl_Data[Adj. per unit Incentive ($)],0),"")</f>
        <v/>
      </c>
      <c r="I41" s="15" t="str">
        <f>IF($B41&lt;&gt;"",SUMIFS('2. Program Allocation Output'!BB:BB,'2. Program Allocation Output'!$A:$A,"Annual Incremental Energy (kWh)",'2. Program Allocation Output'!$H:$H,$B$6,'2. Program Allocation Output'!$AG:$AG,$B41),"")</f>
        <v/>
      </c>
      <c r="J41" s="15" t="str">
        <f>IF($B41&lt;&gt;"",SUMIFS('2. Program Allocation Output'!BC:BC,'2. Program Allocation Output'!$A:$A,"Annual Incremental Energy (kWh)",'2. Program Allocation Output'!$H:$H,$B$6,'2. Program Allocation Output'!$AG:$AG,$B41),"")</f>
        <v/>
      </c>
      <c r="K41" s="15" t="str">
        <f>IF($B41&lt;&gt;"",SUMIFS('2. Program Allocation Output'!BD:BD,'2. Program Allocation Output'!$A:$A,"Annual Incremental Energy (kWh)",'2. Program Allocation Output'!$H:$H,$B$6,'2. Program Allocation Output'!$AG:$AG,$B41),"")</f>
        <v/>
      </c>
      <c r="L41" s="15" t="str">
        <f>IF($B41&lt;&gt;"",SUMIFS('2. Program Allocation Output'!BE:BE,'2. Program Allocation Output'!$A:$A,"Annual Incremental Energy (kWh)",'2. Program Allocation Output'!$H:$H,$B$6,'2. Program Allocation Output'!$AG:$AG,$B41),"")</f>
        <v/>
      </c>
      <c r="M41" s="15" t="str">
        <f>IF($B41&lt;&gt;"",SUMIFS('2. Program Allocation Output'!BF:BF,'2. Program Allocation Output'!$A:$A,"Annual Incremental Energy (kWh)",'2. Program Allocation Output'!$H:$H,$B$6,'2. Program Allocation Output'!$AG:$AG,$B41),"")</f>
        <v/>
      </c>
      <c r="N41" s="15" t="str">
        <f>IF($B41&lt;&gt;"",SUMIFS('2. Program Allocation Output'!BG:BG,'2. Program Allocation Output'!$A:$A,"Annual Incremental Energy (kWh)",'2. Program Allocation Output'!$H:$H,$B$6,'2. Program Allocation Output'!$AG:$AG,$B41),"")</f>
        <v/>
      </c>
      <c r="O41" s="15" t="str">
        <f>IF($B41&lt;&gt;"",SUMIFS('2. Program Allocation Output'!BH:BH,'2. Program Allocation Output'!$A:$A,"Annual Incremental Energy (kWh)",'2. Program Allocation Output'!$H:$H,$B$6,'2. Program Allocation Output'!$AG:$AG,$B41),"")</f>
        <v/>
      </c>
      <c r="P41" s="15" t="str">
        <f>IF($B41&lt;&gt;"",SUMIFS('2. Program Allocation Output'!BI:BI,'2. Program Allocation Output'!$A:$A,"Annual Incremental Energy (kWh)",'2. Program Allocation Output'!$H:$H,$B$6,'2. Program Allocation Output'!$AG:$AG,$B41),"")</f>
        <v/>
      </c>
      <c r="Q41" s="15" t="str">
        <f>IF($B41&lt;&gt;"",SUMIFS('2. Program Allocation Output'!BJ:BJ,'2. Program Allocation Output'!$A:$A,"Annual Incremental Energy (kWh)",'2. Program Allocation Output'!$H:$H,$B$6,'2. Program Allocation Output'!$AG:$AG,$B41),"")</f>
        <v/>
      </c>
      <c r="R41" s="15" t="str">
        <f>IF($B41&lt;&gt;"",SUMIFS('2. Program Allocation Output'!BK:BK,'2. Program Allocation Output'!$A:$A,"Annual Incremental Energy (kWh)",'2. Program Allocation Output'!$H:$H,$B$6,'2. Program Allocation Output'!$AG:$AG,$B41),"")</f>
        <v/>
      </c>
    </row>
    <row r="42" spans="2:18" x14ac:dyDescent="0.25">
      <c r="B42" s="8"/>
      <c r="C42" s="8" t="str">
        <f>IF($B42&lt;&gt;"",_xlfn.XLOOKUP($B42,tbl_Data[Trimmed Measure Name],tbl_Data[Units],0),"")</f>
        <v/>
      </c>
      <c r="D42" s="15" t="str">
        <f>IF($B42&lt;&gt;"",_xlfn.XLOOKUP($B42,tbl_Data[Trimmed Measure Name],tbl_Data[kWh Savings],0),"")</f>
        <v/>
      </c>
      <c r="E42" s="48" t="str">
        <f>IF($B42&lt;&gt;"",_xlfn.XLOOKUP($B42,tbl_Data[Trimmed Measure Name],tbl_Data[kW Savings - Summer],0),"")</f>
        <v/>
      </c>
      <c r="F42" s="48" t="str">
        <f>IF($B42&lt;&gt;"",_xlfn.XLOOKUP($B42,tbl_Data[Trimmed Measure Name],tbl_Data[kW Savings - Winter],0),"")</f>
        <v/>
      </c>
      <c r="G42" s="42" t="str">
        <f>IF($B42&lt;&gt;"",_xlfn.XLOOKUP($B42,tbl_Data[Trimmed Measure Name],tbl_Data[Incremental Cost ($/unit)],0),"")</f>
        <v/>
      </c>
      <c r="H42" s="42" t="str">
        <f>IF($B42&lt;&gt;"",_xlfn.XLOOKUP($B42,tbl_Data[Trimmed Measure Name],tbl_Data[Adj. per unit Incentive ($)],0),"")</f>
        <v/>
      </c>
      <c r="I42" s="15" t="str">
        <f>IF($B42&lt;&gt;"",SUMIFS('2. Program Allocation Output'!BB:BB,'2. Program Allocation Output'!$A:$A,"Annual Incremental Energy (kWh)",'2. Program Allocation Output'!$H:$H,$B$6,'2. Program Allocation Output'!$AG:$AG,$B42),"")</f>
        <v/>
      </c>
      <c r="J42" s="15" t="str">
        <f>IF($B42&lt;&gt;"",SUMIFS('2. Program Allocation Output'!BC:BC,'2. Program Allocation Output'!$A:$A,"Annual Incremental Energy (kWh)",'2. Program Allocation Output'!$H:$H,$B$6,'2. Program Allocation Output'!$AG:$AG,$B42),"")</f>
        <v/>
      </c>
      <c r="K42" s="15" t="str">
        <f>IF($B42&lt;&gt;"",SUMIFS('2. Program Allocation Output'!BD:BD,'2. Program Allocation Output'!$A:$A,"Annual Incremental Energy (kWh)",'2. Program Allocation Output'!$H:$H,$B$6,'2. Program Allocation Output'!$AG:$AG,$B42),"")</f>
        <v/>
      </c>
      <c r="L42" s="15" t="str">
        <f>IF($B42&lt;&gt;"",SUMIFS('2. Program Allocation Output'!BE:BE,'2. Program Allocation Output'!$A:$A,"Annual Incremental Energy (kWh)",'2. Program Allocation Output'!$H:$H,$B$6,'2. Program Allocation Output'!$AG:$AG,$B42),"")</f>
        <v/>
      </c>
      <c r="M42" s="15" t="str">
        <f>IF($B42&lt;&gt;"",SUMIFS('2. Program Allocation Output'!BF:BF,'2. Program Allocation Output'!$A:$A,"Annual Incremental Energy (kWh)",'2. Program Allocation Output'!$H:$H,$B$6,'2. Program Allocation Output'!$AG:$AG,$B42),"")</f>
        <v/>
      </c>
      <c r="N42" s="15" t="str">
        <f>IF($B42&lt;&gt;"",SUMIFS('2. Program Allocation Output'!BG:BG,'2. Program Allocation Output'!$A:$A,"Annual Incremental Energy (kWh)",'2. Program Allocation Output'!$H:$H,$B$6,'2. Program Allocation Output'!$AG:$AG,$B42),"")</f>
        <v/>
      </c>
      <c r="O42" s="15" t="str">
        <f>IF($B42&lt;&gt;"",SUMIFS('2. Program Allocation Output'!BH:BH,'2. Program Allocation Output'!$A:$A,"Annual Incremental Energy (kWh)",'2. Program Allocation Output'!$H:$H,$B$6,'2. Program Allocation Output'!$AG:$AG,$B42),"")</f>
        <v/>
      </c>
      <c r="P42" s="15" t="str">
        <f>IF($B42&lt;&gt;"",SUMIFS('2. Program Allocation Output'!BI:BI,'2. Program Allocation Output'!$A:$A,"Annual Incremental Energy (kWh)",'2. Program Allocation Output'!$H:$H,$B$6,'2. Program Allocation Output'!$AG:$AG,$B42),"")</f>
        <v/>
      </c>
      <c r="Q42" s="15" t="str">
        <f>IF($B42&lt;&gt;"",SUMIFS('2. Program Allocation Output'!BJ:BJ,'2. Program Allocation Output'!$A:$A,"Annual Incremental Energy (kWh)",'2. Program Allocation Output'!$H:$H,$B$6,'2. Program Allocation Output'!$AG:$AG,$B42),"")</f>
        <v/>
      </c>
      <c r="R42" s="15" t="str">
        <f>IF($B42&lt;&gt;"",SUMIFS('2. Program Allocation Output'!BK:BK,'2. Program Allocation Output'!$A:$A,"Annual Incremental Energy (kWh)",'2. Program Allocation Output'!$H:$H,$B$6,'2. Program Allocation Output'!$AG:$AG,$B42),"")</f>
        <v/>
      </c>
    </row>
    <row r="43" spans="2:18" x14ac:dyDescent="0.25">
      <c r="B43" s="8"/>
      <c r="C43" s="8" t="str">
        <f>IF($B43&lt;&gt;"",_xlfn.XLOOKUP($B43,tbl_Data[Trimmed Measure Name],tbl_Data[Units],0),"")</f>
        <v/>
      </c>
      <c r="D43" s="15" t="str">
        <f>IF($B43&lt;&gt;"",_xlfn.XLOOKUP($B43,tbl_Data[Trimmed Measure Name],tbl_Data[kWh Savings],0),"")</f>
        <v/>
      </c>
      <c r="E43" s="48" t="str">
        <f>IF($B43&lt;&gt;"",_xlfn.XLOOKUP($B43,tbl_Data[Trimmed Measure Name],tbl_Data[kW Savings - Summer],0),"")</f>
        <v/>
      </c>
      <c r="F43" s="48" t="str">
        <f>IF($B43&lt;&gt;"",_xlfn.XLOOKUP($B43,tbl_Data[Trimmed Measure Name],tbl_Data[kW Savings - Winter],0),"")</f>
        <v/>
      </c>
      <c r="G43" s="42" t="str">
        <f>IF($B43&lt;&gt;"",_xlfn.XLOOKUP($B43,tbl_Data[Trimmed Measure Name],tbl_Data[Incremental Cost ($/unit)],0),"")</f>
        <v/>
      </c>
      <c r="H43" s="42" t="str">
        <f>IF($B43&lt;&gt;"",_xlfn.XLOOKUP($B43,tbl_Data[Trimmed Measure Name],tbl_Data[Adj. per unit Incentive ($)],0),"")</f>
        <v/>
      </c>
      <c r="I43" s="15" t="str">
        <f>IF($B43&lt;&gt;"",SUMIFS('2. Program Allocation Output'!BB:BB,'2. Program Allocation Output'!$A:$A,"Annual Incremental Energy (kWh)",'2. Program Allocation Output'!$H:$H,$B$6,'2. Program Allocation Output'!$AG:$AG,$B43),"")</f>
        <v/>
      </c>
      <c r="J43" s="15" t="str">
        <f>IF($B43&lt;&gt;"",SUMIFS('2. Program Allocation Output'!BC:BC,'2. Program Allocation Output'!$A:$A,"Annual Incremental Energy (kWh)",'2. Program Allocation Output'!$H:$H,$B$6,'2. Program Allocation Output'!$AG:$AG,$B43),"")</f>
        <v/>
      </c>
      <c r="K43" s="15" t="str">
        <f>IF($B43&lt;&gt;"",SUMIFS('2. Program Allocation Output'!BD:BD,'2. Program Allocation Output'!$A:$A,"Annual Incremental Energy (kWh)",'2. Program Allocation Output'!$H:$H,$B$6,'2. Program Allocation Output'!$AG:$AG,$B43),"")</f>
        <v/>
      </c>
      <c r="L43" s="15" t="str">
        <f>IF($B43&lt;&gt;"",SUMIFS('2. Program Allocation Output'!BE:BE,'2. Program Allocation Output'!$A:$A,"Annual Incremental Energy (kWh)",'2. Program Allocation Output'!$H:$H,$B$6,'2. Program Allocation Output'!$AG:$AG,$B43),"")</f>
        <v/>
      </c>
      <c r="M43" s="15" t="str">
        <f>IF($B43&lt;&gt;"",SUMIFS('2. Program Allocation Output'!BF:BF,'2. Program Allocation Output'!$A:$A,"Annual Incremental Energy (kWh)",'2. Program Allocation Output'!$H:$H,$B$6,'2. Program Allocation Output'!$AG:$AG,$B43),"")</f>
        <v/>
      </c>
      <c r="N43" s="15" t="str">
        <f>IF($B43&lt;&gt;"",SUMIFS('2. Program Allocation Output'!BG:BG,'2. Program Allocation Output'!$A:$A,"Annual Incremental Energy (kWh)",'2. Program Allocation Output'!$H:$H,$B$6,'2. Program Allocation Output'!$AG:$AG,$B43),"")</f>
        <v/>
      </c>
      <c r="O43" s="15" t="str">
        <f>IF($B43&lt;&gt;"",SUMIFS('2. Program Allocation Output'!BH:BH,'2. Program Allocation Output'!$A:$A,"Annual Incremental Energy (kWh)",'2. Program Allocation Output'!$H:$H,$B$6,'2. Program Allocation Output'!$AG:$AG,$B43),"")</f>
        <v/>
      </c>
      <c r="P43" s="15" t="str">
        <f>IF($B43&lt;&gt;"",SUMIFS('2. Program Allocation Output'!BI:BI,'2. Program Allocation Output'!$A:$A,"Annual Incremental Energy (kWh)",'2. Program Allocation Output'!$H:$H,$B$6,'2. Program Allocation Output'!$AG:$AG,$B43),"")</f>
        <v/>
      </c>
      <c r="Q43" s="15" t="str">
        <f>IF($B43&lt;&gt;"",SUMIFS('2. Program Allocation Output'!BJ:BJ,'2. Program Allocation Output'!$A:$A,"Annual Incremental Energy (kWh)",'2. Program Allocation Output'!$H:$H,$B$6,'2. Program Allocation Output'!$AG:$AG,$B43),"")</f>
        <v/>
      </c>
      <c r="R43" s="15" t="str">
        <f>IF($B43&lt;&gt;"",SUMIFS('2. Program Allocation Output'!BK:BK,'2. Program Allocation Output'!$A:$A,"Annual Incremental Energy (kWh)",'2. Program Allocation Output'!$H:$H,$B$6,'2. Program Allocation Output'!$AG:$AG,$B43),"")</f>
        <v/>
      </c>
    </row>
    <row r="44" spans="2:18" x14ac:dyDescent="0.25">
      <c r="B44" s="8"/>
      <c r="C44" s="8" t="str">
        <f>IF($B44&lt;&gt;"",_xlfn.XLOOKUP($B44,tbl_Data[Trimmed Measure Name],tbl_Data[Units],0),"")</f>
        <v/>
      </c>
      <c r="D44" s="15" t="str">
        <f>IF($B44&lt;&gt;"",_xlfn.XLOOKUP($B44,tbl_Data[Trimmed Measure Name],tbl_Data[kWh Savings],0),"")</f>
        <v/>
      </c>
      <c r="E44" s="48" t="str">
        <f>IF($B44&lt;&gt;"",_xlfn.XLOOKUP($B44,tbl_Data[Trimmed Measure Name],tbl_Data[kW Savings - Summer],0),"")</f>
        <v/>
      </c>
      <c r="F44" s="48" t="str">
        <f>IF($B44&lt;&gt;"",_xlfn.XLOOKUP($B44,tbl_Data[Trimmed Measure Name],tbl_Data[kW Savings - Winter],0),"")</f>
        <v/>
      </c>
      <c r="G44" s="42" t="str">
        <f>IF($B44&lt;&gt;"",_xlfn.XLOOKUP($B44,tbl_Data[Trimmed Measure Name],tbl_Data[Incremental Cost ($/unit)],0),"")</f>
        <v/>
      </c>
      <c r="H44" s="42" t="str">
        <f>IF($B44&lt;&gt;"",_xlfn.XLOOKUP($B44,tbl_Data[Trimmed Measure Name],tbl_Data[Adj. per unit Incentive ($)],0),"")</f>
        <v/>
      </c>
      <c r="I44" s="15" t="str">
        <f>IF($B44&lt;&gt;"",SUMIFS('2. Program Allocation Output'!BB:BB,'2. Program Allocation Output'!$A:$A,"Annual Incremental Energy (kWh)",'2. Program Allocation Output'!$H:$H,$B$6,'2. Program Allocation Output'!$AG:$AG,$B44),"")</f>
        <v/>
      </c>
      <c r="J44" s="15" t="str">
        <f>IF($B44&lt;&gt;"",SUMIFS('2. Program Allocation Output'!BC:BC,'2. Program Allocation Output'!$A:$A,"Annual Incremental Energy (kWh)",'2. Program Allocation Output'!$H:$H,$B$6,'2. Program Allocation Output'!$AG:$AG,$B44),"")</f>
        <v/>
      </c>
      <c r="K44" s="15" t="str">
        <f>IF($B44&lt;&gt;"",SUMIFS('2. Program Allocation Output'!BD:BD,'2. Program Allocation Output'!$A:$A,"Annual Incremental Energy (kWh)",'2. Program Allocation Output'!$H:$H,$B$6,'2. Program Allocation Output'!$AG:$AG,$B44),"")</f>
        <v/>
      </c>
      <c r="L44" s="15" t="str">
        <f>IF($B44&lt;&gt;"",SUMIFS('2. Program Allocation Output'!BE:BE,'2. Program Allocation Output'!$A:$A,"Annual Incremental Energy (kWh)",'2. Program Allocation Output'!$H:$H,$B$6,'2. Program Allocation Output'!$AG:$AG,$B44),"")</f>
        <v/>
      </c>
      <c r="M44" s="15" t="str">
        <f>IF($B44&lt;&gt;"",SUMIFS('2. Program Allocation Output'!BF:BF,'2. Program Allocation Output'!$A:$A,"Annual Incremental Energy (kWh)",'2. Program Allocation Output'!$H:$H,$B$6,'2. Program Allocation Output'!$AG:$AG,$B44),"")</f>
        <v/>
      </c>
      <c r="N44" s="15" t="str">
        <f>IF($B44&lt;&gt;"",SUMIFS('2. Program Allocation Output'!BG:BG,'2. Program Allocation Output'!$A:$A,"Annual Incremental Energy (kWh)",'2. Program Allocation Output'!$H:$H,$B$6,'2. Program Allocation Output'!$AG:$AG,$B44),"")</f>
        <v/>
      </c>
      <c r="O44" s="15" t="str">
        <f>IF($B44&lt;&gt;"",SUMIFS('2. Program Allocation Output'!BH:BH,'2. Program Allocation Output'!$A:$A,"Annual Incremental Energy (kWh)",'2. Program Allocation Output'!$H:$H,$B$6,'2. Program Allocation Output'!$AG:$AG,$B44),"")</f>
        <v/>
      </c>
      <c r="P44" s="15" t="str">
        <f>IF($B44&lt;&gt;"",SUMIFS('2. Program Allocation Output'!BI:BI,'2. Program Allocation Output'!$A:$A,"Annual Incremental Energy (kWh)",'2. Program Allocation Output'!$H:$H,$B$6,'2. Program Allocation Output'!$AG:$AG,$B44),"")</f>
        <v/>
      </c>
      <c r="Q44" s="15" t="str">
        <f>IF($B44&lt;&gt;"",SUMIFS('2. Program Allocation Output'!BJ:BJ,'2. Program Allocation Output'!$A:$A,"Annual Incremental Energy (kWh)",'2. Program Allocation Output'!$H:$H,$B$6,'2. Program Allocation Output'!$AG:$AG,$B44),"")</f>
        <v/>
      </c>
      <c r="R44" s="15" t="str">
        <f>IF($B44&lt;&gt;"",SUMIFS('2. Program Allocation Output'!BK:BK,'2. Program Allocation Output'!$A:$A,"Annual Incremental Energy (kWh)",'2. Program Allocation Output'!$H:$H,$B$6,'2. Program Allocation Output'!$AG:$AG,$B44),"")</f>
        <v/>
      </c>
    </row>
    <row r="45" spans="2:18" x14ac:dyDescent="0.25">
      <c r="B45" s="8"/>
      <c r="C45" s="8" t="str">
        <f>IF($B45&lt;&gt;"",_xlfn.XLOOKUP($B45,tbl_Data[Trimmed Measure Name],tbl_Data[Units],0),"")</f>
        <v/>
      </c>
      <c r="D45" s="15" t="str">
        <f>IF($B45&lt;&gt;"",_xlfn.XLOOKUP($B45,tbl_Data[Trimmed Measure Name],tbl_Data[kWh Savings],0),"")</f>
        <v/>
      </c>
      <c r="E45" s="48" t="str">
        <f>IF($B45&lt;&gt;"",_xlfn.XLOOKUP($B45,tbl_Data[Trimmed Measure Name],tbl_Data[kW Savings - Summer],0),"")</f>
        <v/>
      </c>
      <c r="F45" s="48" t="str">
        <f>IF($B45&lt;&gt;"",_xlfn.XLOOKUP($B45,tbl_Data[Trimmed Measure Name],tbl_Data[kW Savings - Winter],0),"")</f>
        <v/>
      </c>
      <c r="G45" s="42" t="str">
        <f>IF($B45&lt;&gt;"",_xlfn.XLOOKUP($B45,tbl_Data[Trimmed Measure Name],tbl_Data[Incremental Cost ($/unit)],0),"")</f>
        <v/>
      </c>
      <c r="H45" s="42" t="str">
        <f>IF($B45&lt;&gt;"",_xlfn.XLOOKUP($B45,tbl_Data[Trimmed Measure Name],tbl_Data[Adj. per unit Incentive ($)],0),"")</f>
        <v/>
      </c>
      <c r="I45" s="15" t="str">
        <f>IF($B45&lt;&gt;"",SUMIFS('2. Program Allocation Output'!BB:BB,'2. Program Allocation Output'!$A:$A,"Annual Incremental Energy (kWh)",'2. Program Allocation Output'!$H:$H,$B$6,'2. Program Allocation Output'!$AG:$AG,$B45),"")</f>
        <v/>
      </c>
      <c r="J45" s="15" t="str">
        <f>IF($B45&lt;&gt;"",SUMIFS('2. Program Allocation Output'!BC:BC,'2. Program Allocation Output'!$A:$A,"Annual Incremental Energy (kWh)",'2. Program Allocation Output'!$H:$H,$B$6,'2. Program Allocation Output'!$AG:$AG,$B45),"")</f>
        <v/>
      </c>
      <c r="K45" s="15" t="str">
        <f>IF($B45&lt;&gt;"",SUMIFS('2. Program Allocation Output'!BD:BD,'2. Program Allocation Output'!$A:$A,"Annual Incremental Energy (kWh)",'2. Program Allocation Output'!$H:$H,$B$6,'2. Program Allocation Output'!$AG:$AG,$B45),"")</f>
        <v/>
      </c>
      <c r="L45" s="15" t="str">
        <f>IF($B45&lt;&gt;"",SUMIFS('2. Program Allocation Output'!BE:BE,'2. Program Allocation Output'!$A:$A,"Annual Incremental Energy (kWh)",'2. Program Allocation Output'!$H:$H,$B$6,'2. Program Allocation Output'!$AG:$AG,$B45),"")</f>
        <v/>
      </c>
      <c r="M45" s="15" t="str">
        <f>IF($B45&lt;&gt;"",SUMIFS('2. Program Allocation Output'!BF:BF,'2. Program Allocation Output'!$A:$A,"Annual Incremental Energy (kWh)",'2. Program Allocation Output'!$H:$H,$B$6,'2. Program Allocation Output'!$AG:$AG,$B45),"")</f>
        <v/>
      </c>
      <c r="N45" s="15" t="str">
        <f>IF($B45&lt;&gt;"",SUMIFS('2. Program Allocation Output'!BG:BG,'2. Program Allocation Output'!$A:$A,"Annual Incremental Energy (kWh)",'2. Program Allocation Output'!$H:$H,$B$6,'2. Program Allocation Output'!$AG:$AG,$B45),"")</f>
        <v/>
      </c>
      <c r="O45" s="15" t="str">
        <f>IF($B45&lt;&gt;"",SUMIFS('2. Program Allocation Output'!BH:BH,'2. Program Allocation Output'!$A:$A,"Annual Incremental Energy (kWh)",'2. Program Allocation Output'!$H:$H,$B$6,'2. Program Allocation Output'!$AG:$AG,$B45),"")</f>
        <v/>
      </c>
      <c r="P45" s="15" t="str">
        <f>IF($B45&lt;&gt;"",SUMIFS('2. Program Allocation Output'!BI:BI,'2. Program Allocation Output'!$A:$A,"Annual Incremental Energy (kWh)",'2. Program Allocation Output'!$H:$H,$B$6,'2. Program Allocation Output'!$AG:$AG,$B45),"")</f>
        <v/>
      </c>
      <c r="Q45" s="15" t="str">
        <f>IF($B45&lt;&gt;"",SUMIFS('2. Program Allocation Output'!BJ:BJ,'2. Program Allocation Output'!$A:$A,"Annual Incremental Energy (kWh)",'2. Program Allocation Output'!$H:$H,$B$6,'2. Program Allocation Output'!$AG:$AG,$B45),"")</f>
        <v/>
      </c>
      <c r="R45" s="15" t="str">
        <f>IF($B45&lt;&gt;"",SUMIFS('2. Program Allocation Output'!BK:BK,'2. Program Allocation Output'!$A:$A,"Annual Incremental Energy (kWh)",'2. Program Allocation Output'!$H:$H,$B$6,'2. Program Allocation Output'!$AG:$AG,$B45),"")</f>
        <v/>
      </c>
    </row>
    <row r="46" spans="2:18" x14ac:dyDescent="0.25">
      <c r="B46" s="8"/>
      <c r="C46" s="8" t="str">
        <f>IF($B46&lt;&gt;"",_xlfn.XLOOKUP($B46,tbl_Data[Trimmed Measure Name],tbl_Data[Units],0),"")</f>
        <v/>
      </c>
      <c r="D46" s="15" t="str">
        <f>IF($B46&lt;&gt;"",_xlfn.XLOOKUP($B46,tbl_Data[Trimmed Measure Name],tbl_Data[kWh Savings],0),"")</f>
        <v/>
      </c>
      <c r="E46" s="48" t="str">
        <f>IF($B46&lt;&gt;"",_xlfn.XLOOKUP($B46,tbl_Data[Trimmed Measure Name],tbl_Data[kW Savings - Summer],0),"")</f>
        <v/>
      </c>
      <c r="F46" s="48" t="str">
        <f>IF($B46&lt;&gt;"",_xlfn.XLOOKUP($B46,tbl_Data[Trimmed Measure Name],tbl_Data[kW Savings - Winter],0),"")</f>
        <v/>
      </c>
      <c r="G46" s="42" t="str">
        <f>IF($B46&lt;&gt;"",_xlfn.XLOOKUP($B46,tbl_Data[Trimmed Measure Name],tbl_Data[Incremental Cost ($/unit)],0),"")</f>
        <v/>
      </c>
      <c r="H46" s="42" t="str">
        <f>IF($B46&lt;&gt;"",_xlfn.XLOOKUP($B46,tbl_Data[Trimmed Measure Name],tbl_Data[Adj. per unit Incentive ($)],0),"")</f>
        <v/>
      </c>
      <c r="I46" s="15" t="str">
        <f>IF($B46&lt;&gt;"",SUMIFS('2. Program Allocation Output'!BB:BB,'2. Program Allocation Output'!$A:$A,"Annual Incremental Energy (kWh)",'2. Program Allocation Output'!$H:$H,$B$6,'2. Program Allocation Output'!$AG:$AG,$B46),"")</f>
        <v/>
      </c>
      <c r="J46" s="15" t="str">
        <f>IF($B46&lt;&gt;"",SUMIFS('2. Program Allocation Output'!BC:BC,'2. Program Allocation Output'!$A:$A,"Annual Incremental Energy (kWh)",'2. Program Allocation Output'!$H:$H,$B$6,'2. Program Allocation Output'!$AG:$AG,$B46),"")</f>
        <v/>
      </c>
      <c r="K46" s="15" t="str">
        <f>IF($B46&lt;&gt;"",SUMIFS('2. Program Allocation Output'!BD:BD,'2. Program Allocation Output'!$A:$A,"Annual Incremental Energy (kWh)",'2. Program Allocation Output'!$H:$H,$B$6,'2. Program Allocation Output'!$AG:$AG,$B46),"")</f>
        <v/>
      </c>
      <c r="L46" s="15" t="str">
        <f>IF($B46&lt;&gt;"",SUMIFS('2. Program Allocation Output'!BE:BE,'2. Program Allocation Output'!$A:$A,"Annual Incremental Energy (kWh)",'2. Program Allocation Output'!$H:$H,$B$6,'2. Program Allocation Output'!$AG:$AG,$B46),"")</f>
        <v/>
      </c>
      <c r="M46" s="15" t="str">
        <f>IF($B46&lt;&gt;"",SUMIFS('2. Program Allocation Output'!BF:BF,'2. Program Allocation Output'!$A:$A,"Annual Incremental Energy (kWh)",'2. Program Allocation Output'!$H:$H,$B$6,'2. Program Allocation Output'!$AG:$AG,$B46),"")</f>
        <v/>
      </c>
      <c r="N46" s="15" t="str">
        <f>IF($B46&lt;&gt;"",SUMIFS('2. Program Allocation Output'!BG:BG,'2. Program Allocation Output'!$A:$A,"Annual Incremental Energy (kWh)",'2. Program Allocation Output'!$H:$H,$B$6,'2. Program Allocation Output'!$AG:$AG,$B46),"")</f>
        <v/>
      </c>
      <c r="O46" s="15" t="str">
        <f>IF($B46&lt;&gt;"",SUMIFS('2. Program Allocation Output'!BH:BH,'2. Program Allocation Output'!$A:$A,"Annual Incremental Energy (kWh)",'2. Program Allocation Output'!$H:$H,$B$6,'2. Program Allocation Output'!$AG:$AG,$B46),"")</f>
        <v/>
      </c>
      <c r="P46" s="15" t="str">
        <f>IF($B46&lt;&gt;"",SUMIFS('2. Program Allocation Output'!BI:BI,'2. Program Allocation Output'!$A:$A,"Annual Incremental Energy (kWh)",'2. Program Allocation Output'!$H:$H,$B$6,'2. Program Allocation Output'!$AG:$AG,$B46),"")</f>
        <v/>
      </c>
      <c r="Q46" s="15" t="str">
        <f>IF($B46&lt;&gt;"",SUMIFS('2. Program Allocation Output'!BJ:BJ,'2. Program Allocation Output'!$A:$A,"Annual Incremental Energy (kWh)",'2. Program Allocation Output'!$H:$H,$B$6,'2. Program Allocation Output'!$AG:$AG,$B46),"")</f>
        <v/>
      </c>
      <c r="R46" s="15" t="str">
        <f>IF($B46&lt;&gt;"",SUMIFS('2. Program Allocation Output'!BK:BK,'2. Program Allocation Output'!$A:$A,"Annual Incremental Energy (kWh)",'2. Program Allocation Output'!$H:$H,$B$6,'2. Program Allocation Output'!$AG:$AG,$B46),"")</f>
        <v/>
      </c>
    </row>
    <row r="47" spans="2:18" x14ac:dyDescent="0.25">
      <c r="B47" s="8"/>
      <c r="C47" s="8" t="str">
        <f>IF($B47&lt;&gt;"",_xlfn.XLOOKUP($B47,tbl_Data[Trimmed Measure Name],tbl_Data[Units],0),"")</f>
        <v/>
      </c>
      <c r="D47" s="15" t="str">
        <f>IF($B47&lt;&gt;"",_xlfn.XLOOKUP($B47,tbl_Data[Trimmed Measure Name],tbl_Data[kWh Savings],0),"")</f>
        <v/>
      </c>
      <c r="E47" s="48" t="str">
        <f>IF($B47&lt;&gt;"",_xlfn.XLOOKUP($B47,tbl_Data[Trimmed Measure Name],tbl_Data[kW Savings - Summer],0),"")</f>
        <v/>
      </c>
      <c r="F47" s="48" t="str">
        <f>IF($B47&lt;&gt;"",_xlfn.XLOOKUP($B47,tbl_Data[Trimmed Measure Name],tbl_Data[kW Savings - Winter],0),"")</f>
        <v/>
      </c>
      <c r="G47" s="42" t="str">
        <f>IF($B47&lt;&gt;"",_xlfn.XLOOKUP($B47,tbl_Data[Trimmed Measure Name],tbl_Data[Incremental Cost ($/unit)],0),"")</f>
        <v/>
      </c>
      <c r="H47" s="42" t="str">
        <f>IF($B47&lt;&gt;"",_xlfn.XLOOKUP($B47,tbl_Data[Trimmed Measure Name],tbl_Data[Adj. per unit Incentive ($)],0),"")</f>
        <v/>
      </c>
      <c r="I47" s="15" t="str">
        <f>IF($B47&lt;&gt;"",SUMIFS('2. Program Allocation Output'!BB:BB,'2. Program Allocation Output'!$A:$A,"Annual Incremental Energy (kWh)",'2. Program Allocation Output'!$H:$H,$B$6,'2. Program Allocation Output'!$AG:$AG,$B47),"")</f>
        <v/>
      </c>
      <c r="J47" s="15" t="str">
        <f>IF($B47&lt;&gt;"",SUMIFS('2. Program Allocation Output'!BC:BC,'2. Program Allocation Output'!$A:$A,"Annual Incremental Energy (kWh)",'2. Program Allocation Output'!$H:$H,$B$6,'2. Program Allocation Output'!$AG:$AG,$B47),"")</f>
        <v/>
      </c>
      <c r="K47" s="15" t="str">
        <f>IF($B47&lt;&gt;"",SUMIFS('2. Program Allocation Output'!BD:BD,'2. Program Allocation Output'!$A:$A,"Annual Incremental Energy (kWh)",'2. Program Allocation Output'!$H:$H,$B$6,'2. Program Allocation Output'!$AG:$AG,$B47),"")</f>
        <v/>
      </c>
      <c r="L47" s="15" t="str">
        <f>IF($B47&lt;&gt;"",SUMIFS('2. Program Allocation Output'!BE:BE,'2. Program Allocation Output'!$A:$A,"Annual Incremental Energy (kWh)",'2. Program Allocation Output'!$H:$H,$B$6,'2. Program Allocation Output'!$AG:$AG,$B47),"")</f>
        <v/>
      </c>
      <c r="M47" s="15" t="str">
        <f>IF($B47&lt;&gt;"",SUMIFS('2. Program Allocation Output'!BF:BF,'2. Program Allocation Output'!$A:$A,"Annual Incremental Energy (kWh)",'2. Program Allocation Output'!$H:$H,$B$6,'2. Program Allocation Output'!$AG:$AG,$B47),"")</f>
        <v/>
      </c>
      <c r="N47" s="15" t="str">
        <f>IF($B47&lt;&gt;"",SUMIFS('2. Program Allocation Output'!BG:BG,'2. Program Allocation Output'!$A:$A,"Annual Incremental Energy (kWh)",'2. Program Allocation Output'!$H:$H,$B$6,'2. Program Allocation Output'!$AG:$AG,$B47),"")</f>
        <v/>
      </c>
      <c r="O47" s="15" t="str">
        <f>IF($B47&lt;&gt;"",SUMIFS('2. Program Allocation Output'!BH:BH,'2. Program Allocation Output'!$A:$A,"Annual Incremental Energy (kWh)",'2. Program Allocation Output'!$H:$H,$B$6,'2. Program Allocation Output'!$AG:$AG,$B47),"")</f>
        <v/>
      </c>
      <c r="P47" s="15" t="str">
        <f>IF($B47&lt;&gt;"",SUMIFS('2. Program Allocation Output'!BI:BI,'2. Program Allocation Output'!$A:$A,"Annual Incremental Energy (kWh)",'2. Program Allocation Output'!$H:$H,$B$6,'2. Program Allocation Output'!$AG:$AG,$B47),"")</f>
        <v/>
      </c>
      <c r="Q47" s="15" t="str">
        <f>IF($B47&lt;&gt;"",SUMIFS('2. Program Allocation Output'!BJ:BJ,'2. Program Allocation Output'!$A:$A,"Annual Incremental Energy (kWh)",'2. Program Allocation Output'!$H:$H,$B$6,'2. Program Allocation Output'!$AG:$AG,$B47),"")</f>
        <v/>
      </c>
      <c r="R47" s="15" t="str">
        <f>IF($B47&lt;&gt;"",SUMIFS('2. Program Allocation Output'!BK:BK,'2. Program Allocation Output'!$A:$A,"Annual Incremental Energy (kWh)",'2. Program Allocation Output'!$H:$H,$B$6,'2. Program Allocation Output'!$AG:$AG,$B47),"")</f>
        <v/>
      </c>
    </row>
    <row r="48" spans="2:18" x14ac:dyDescent="0.25">
      <c r="B48" s="8"/>
      <c r="C48" s="8" t="str">
        <f>IF($B48&lt;&gt;"",_xlfn.XLOOKUP($B48,tbl_Data[Trimmed Measure Name],tbl_Data[Units],0),"")</f>
        <v/>
      </c>
      <c r="D48" s="15" t="str">
        <f>IF($B48&lt;&gt;"",_xlfn.XLOOKUP($B48,tbl_Data[Trimmed Measure Name],tbl_Data[kWh Savings],0),"")</f>
        <v/>
      </c>
      <c r="E48" s="48" t="str">
        <f>IF($B48&lt;&gt;"",_xlfn.XLOOKUP($B48,tbl_Data[Trimmed Measure Name],tbl_Data[kW Savings - Summer],0),"")</f>
        <v/>
      </c>
      <c r="F48" s="48" t="str">
        <f>IF($B48&lt;&gt;"",_xlfn.XLOOKUP($B48,tbl_Data[Trimmed Measure Name],tbl_Data[kW Savings - Winter],0),"")</f>
        <v/>
      </c>
      <c r="G48" s="42" t="str">
        <f>IF($B48&lt;&gt;"",_xlfn.XLOOKUP($B48,tbl_Data[Trimmed Measure Name],tbl_Data[Incremental Cost ($/unit)],0),"")</f>
        <v/>
      </c>
      <c r="H48" s="42" t="str">
        <f>IF($B48&lt;&gt;"",_xlfn.XLOOKUP($B48,tbl_Data[Trimmed Measure Name],tbl_Data[Adj. per unit Incentive ($)],0),"")</f>
        <v/>
      </c>
      <c r="I48" s="15" t="str">
        <f>IF($B48&lt;&gt;"",SUMIFS('2. Program Allocation Output'!BB:BB,'2. Program Allocation Output'!$A:$A,"Annual Incremental Energy (kWh)",'2. Program Allocation Output'!$H:$H,$B$6,'2. Program Allocation Output'!$AG:$AG,$B48),"")</f>
        <v/>
      </c>
      <c r="J48" s="15" t="str">
        <f>IF($B48&lt;&gt;"",SUMIFS('2. Program Allocation Output'!BC:BC,'2. Program Allocation Output'!$A:$A,"Annual Incremental Energy (kWh)",'2. Program Allocation Output'!$H:$H,$B$6,'2. Program Allocation Output'!$AG:$AG,$B48),"")</f>
        <v/>
      </c>
      <c r="K48" s="15" t="str">
        <f>IF($B48&lt;&gt;"",SUMIFS('2. Program Allocation Output'!BD:BD,'2. Program Allocation Output'!$A:$A,"Annual Incremental Energy (kWh)",'2. Program Allocation Output'!$H:$H,$B$6,'2. Program Allocation Output'!$AG:$AG,$B48),"")</f>
        <v/>
      </c>
      <c r="L48" s="15" t="str">
        <f>IF($B48&lt;&gt;"",SUMIFS('2. Program Allocation Output'!BE:BE,'2. Program Allocation Output'!$A:$A,"Annual Incremental Energy (kWh)",'2. Program Allocation Output'!$H:$H,$B$6,'2. Program Allocation Output'!$AG:$AG,$B48),"")</f>
        <v/>
      </c>
      <c r="M48" s="15" t="str">
        <f>IF($B48&lt;&gt;"",SUMIFS('2. Program Allocation Output'!BF:BF,'2. Program Allocation Output'!$A:$A,"Annual Incremental Energy (kWh)",'2. Program Allocation Output'!$H:$H,$B$6,'2. Program Allocation Output'!$AG:$AG,$B48),"")</f>
        <v/>
      </c>
      <c r="N48" s="15" t="str">
        <f>IF($B48&lt;&gt;"",SUMIFS('2. Program Allocation Output'!BG:BG,'2. Program Allocation Output'!$A:$A,"Annual Incremental Energy (kWh)",'2. Program Allocation Output'!$H:$H,$B$6,'2. Program Allocation Output'!$AG:$AG,$B48),"")</f>
        <v/>
      </c>
      <c r="O48" s="15" t="str">
        <f>IF($B48&lt;&gt;"",SUMIFS('2. Program Allocation Output'!BH:BH,'2. Program Allocation Output'!$A:$A,"Annual Incremental Energy (kWh)",'2. Program Allocation Output'!$H:$H,$B$6,'2. Program Allocation Output'!$AG:$AG,$B48),"")</f>
        <v/>
      </c>
      <c r="P48" s="15" t="str">
        <f>IF($B48&lt;&gt;"",SUMIFS('2. Program Allocation Output'!BI:BI,'2. Program Allocation Output'!$A:$A,"Annual Incremental Energy (kWh)",'2. Program Allocation Output'!$H:$H,$B$6,'2. Program Allocation Output'!$AG:$AG,$B48),"")</f>
        <v/>
      </c>
      <c r="Q48" s="15" t="str">
        <f>IF($B48&lt;&gt;"",SUMIFS('2. Program Allocation Output'!BJ:BJ,'2. Program Allocation Output'!$A:$A,"Annual Incremental Energy (kWh)",'2. Program Allocation Output'!$H:$H,$B$6,'2. Program Allocation Output'!$AG:$AG,$B48),"")</f>
        <v/>
      </c>
      <c r="R48" s="15" t="str">
        <f>IF($B48&lt;&gt;"",SUMIFS('2. Program Allocation Output'!BK:BK,'2. Program Allocation Output'!$A:$A,"Annual Incremental Energy (kWh)",'2. Program Allocation Output'!$H:$H,$B$6,'2. Program Allocation Output'!$AG:$AG,$B48),"")</f>
        <v/>
      </c>
    </row>
    <row r="49" spans="2:18" x14ac:dyDescent="0.25">
      <c r="B49" s="8"/>
      <c r="C49" s="8" t="str">
        <f>IF($B49&lt;&gt;"",_xlfn.XLOOKUP($B49,tbl_Data[Trimmed Measure Name],tbl_Data[Units],0),"")</f>
        <v/>
      </c>
      <c r="D49" s="15" t="str">
        <f>IF($B49&lt;&gt;"",_xlfn.XLOOKUP($B49,tbl_Data[Trimmed Measure Name],tbl_Data[kWh Savings],0),"")</f>
        <v/>
      </c>
      <c r="E49" s="48" t="str">
        <f>IF($B49&lt;&gt;"",_xlfn.XLOOKUP($B49,tbl_Data[Trimmed Measure Name],tbl_Data[kW Savings - Summer],0),"")</f>
        <v/>
      </c>
      <c r="F49" s="48" t="str">
        <f>IF($B49&lt;&gt;"",_xlfn.XLOOKUP($B49,tbl_Data[Trimmed Measure Name],tbl_Data[kW Savings - Winter],0),"")</f>
        <v/>
      </c>
      <c r="G49" s="42" t="str">
        <f>IF($B49&lt;&gt;"",_xlfn.XLOOKUP($B49,tbl_Data[Trimmed Measure Name],tbl_Data[Incremental Cost ($/unit)],0),"")</f>
        <v/>
      </c>
      <c r="H49" s="42" t="str">
        <f>IF($B49&lt;&gt;"",_xlfn.XLOOKUP($B49,tbl_Data[Trimmed Measure Name],tbl_Data[Adj. per unit Incentive ($)],0),"")</f>
        <v/>
      </c>
      <c r="I49" s="15" t="str">
        <f>IF($B49&lt;&gt;"",SUMIFS('2. Program Allocation Output'!BB:BB,'2. Program Allocation Output'!$A:$A,"Annual Incremental Energy (kWh)",'2. Program Allocation Output'!$H:$H,$B$6,'2. Program Allocation Output'!$AG:$AG,$B49),"")</f>
        <v/>
      </c>
      <c r="J49" s="15" t="str">
        <f>IF($B49&lt;&gt;"",SUMIFS('2. Program Allocation Output'!BC:BC,'2. Program Allocation Output'!$A:$A,"Annual Incremental Energy (kWh)",'2. Program Allocation Output'!$H:$H,$B$6,'2. Program Allocation Output'!$AG:$AG,$B49),"")</f>
        <v/>
      </c>
      <c r="K49" s="15" t="str">
        <f>IF($B49&lt;&gt;"",SUMIFS('2. Program Allocation Output'!BD:BD,'2. Program Allocation Output'!$A:$A,"Annual Incremental Energy (kWh)",'2. Program Allocation Output'!$H:$H,$B$6,'2. Program Allocation Output'!$AG:$AG,$B49),"")</f>
        <v/>
      </c>
      <c r="L49" s="15" t="str">
        <f>IF($B49&lt;&gt;"",SUMIFS('2. Program Allocation Output'!BE:BE,'2. Program Allocation Output'!$A:$A,"Annual Incremental Energy (kWh)",'2. Program Allocation Output'!$H:$H,$B$6,'2. Program Allocation Output'!$AG:$AG,$B49),"")</f>
        <v/>
      </c>
      <c r="M49" s="15" t="str">
        <f>IF($B49&lt;&gt;"",SUMIFS('2. Program Allocation Output'!BF:BF,'2. Program Allocation Output'!$A:$A,"Annual Incremental Energy (kWh)",'2. Program Allocation Output'!$H:$H,$B$6,'2. Program Allocation Output'!$AG:$AG,$B49),"")</f>
        <v/>
      </c>
      <c r="N49" s="15" t="str">
        <f>IF($B49&lt;&gt;"",SUMIFS('2. Program Allocation Output'!BG:BG,'2. Program Allocation Output'!$A:$A,"Annual Incremental Energy (kWh)",'2. Program Allocation Output'!$H:$H,$B$6,'2. Program Allocation Output'!$AG:$AG,$B49),"")</f>
        <v/>
      </c>
      <c r="O49" s="15" t="str">
        <f>IF($B49&lt;&gt;"",SUMIFS('2. Program Allocation Output'!BH:BH,'2. Program Allocation Output'!$A:$A,"Annual Incremental Energy (kWh)",'2. Program Allocation Output'!$H:$H,$B$6,'2. Program Allocation Output'!$AG:$AG,$B49),"")</f>
        <v/>
      </c>
      <c r="P49" s="15" t="str">
        <f>IF($B49&lt;&gt;"",SUMIFS('2. Program Allocation Output'!BI:BI,'2. Program Allocation Output'!$A:$A,"Annual Incremental Energy (kWh)",'2. Program Allocation Output'!$H:$H,$B$6,'2. Program Allocation Output'!$AG:$AG,$B49),"")</f>
        <v/>
      </c>
      <c r="Q49" s="15" t="str">
        <f>IF($B49&lt;&gt;"",SUMIFS('2. Program Allocation Output'!BJ:BJ,'2. Program Allocation Output'!$A:$A,"Annual Incremental Energy (kWh)",'2. Program Allocation Output'!$H:$H,$B$6,'2. Program Allocation Output'!$AG:$AG,$B49),"")</f>
        <v/>
      </c>
      <c r="R49" s="15" t="str">
        <f>IF($B49&lt;&gt;"",SUMIFS('2. Program Allocation Output'!BK:BK,'2. Program Allocation Output'!$A:$A,"Annual Incremental Energy (kWh)",'2. Program Allocation Output'!$H:$H,$B$6,'2. Program Allocation Output'!$AG:$AG,$B49),"")</f>
        <v/>
      </c>
    </row>
    <row r="50" spans="2:18" x14ac:dyDescent="0.25">
      <c r="B50" s="8"/>
      <c r="C50" s="8" t="str">
        <f>IF($B50&lt;&gt;"",_xlfn.XLOOKUP($B50,tbl_Data[Trimmed Measure Name],tbl_Data[Units],0),"")</f>
        <v/>
      </c>
      <c r="D50" s="15" t="str">
        <f>IF($B50&lt;&gt;"",_xlfn.XLOOKUP($B50,tbl_Data[Trimmed Measure Name],tbl_Data[kWh Savings],0),"")</f>
        <v/>
      </c>
      <c r="E50" s="48" t="str">
        <f>IF($B50&lt;&gt;"",_xlfn.XLOOKUP($B50,tbl_Data[Trimmed Measure Name],tbl_Data[kW Savings - Summer],0),"")</f>
        <v/>
      </c>
      <c r="F50" s="48" t="str">
        <f>IF($B50&lt;&gt;"",_xlfn.XLOOKUP($B50,tbl_Data[Trimmed Measure Name],tbl_Data[kW Savings - Winter],0),"")</f>
        <v/>
      </c>
      <c r="G50" s="42" t="str">
        <f>IF($B50&lt;&gt;"",_xlfn.XLOOKUP($B50,tbl_Data[Trimmed Measure Name],tbl_Data[Incremental Cost ($/unit)],0),"")</f>
        <v/>
      </c>
      <c r="H50" s="42" t="str">
        <f>IF($B50&lt;&gt;"",_xlfn.XLOOKUP($B50,tbl_Data[Trimmed Measure Name],tbl_Data[Adj. per unit Incentive ($)],0),"")</f>
        <v/>
      </c>
      <c r="I50" s="15" t="str">
        <f>IF($B50&lt;&gt;"",SUMIFS('2. Program Allocation Output'!BB:BB,'2. Program Allocation Output'!$A:$A,"Annual Incremental Energy (kWh)",'2. Program Allocation Output'!$H:$H,$B$6,'2. Program Allocation Output'!$AG:$AG,$B50),"")</f>
        <v/>
      </c>
      <c r="J50" s="15" t="str">
        <f>IF($B50&lt;&gt;"",SUMIFS('2. Program Allocation Output'!BC:BC,'2. Program Allocation Output'!$A:$A,"Annual Incremental Energy (kWh)",'2. Program Allocation Output'!$H:$H,$B$6,'2. Program Allocation Output'!$AG:$AG,$B50),"")</f>
        <v/>
      </c>
      <c r="K50" s="15" t="str">
        <f>IF($B50&lt;&gt;"",SUMIFS('2. Program Allocation Output'!BD:BD,'2. Program Allocation Output'!$A:$A,"Annual Incremental Energy (kWh)",'2. Program Allocation Output'!$H:$H,$B$6,'2. Program Allocation Output'!$AG:$AG,$B50),"")</f>
        <v/>
      </c>
      <c r="L50" s="15" t="str">
        <f>IF($B50&lt;&gt;"",SUMIFS('2. Program Allocation Output'!BE:BE,'2. Program Allocation Output'!$A:$A,"Annual Incremental Energy (kWh)",'2. Program Allocation Output'!$H:$H,$B$6,'2. Program Allocation Output'!$AG:$AG,$B50),"")</f>
        <v/>
      </c>
      <c r="M50" s="15" t="str">
        <f>IF($B50&lt;&gt;"",SUMIFS('2. Program Allocation Output'!BF:BF,'2. Program Allocation Output'!$A:$A,"Annual Incremental Energy (kWh)",'2. Program Allocation Output'!$H:$H,$B$6,'2. Program Allocation Output'!$AG:$AG,$B50),"")</f>
        <v/>
      </c>
      <c r="N50" s="15" t="str">
        <f>IF($B50&lt;&gt;"",SUMIFS('2. Program Allocation Output'!BG:BG,'2. Program Allocation Output'!$A:$A,"Annual Incremental Energy (kWh)",'2. Program Allocation Output'!$H:$H,$B$6,'2. Program Allocation Output'!$AG:$AG,$B50),"")</f>
        <v/>
      </c>
      <c r="O50" s="15" t="str">
        <f>IF($B50&lt;&gt;"",SUMIFS('2. Program Allocation Output'!BH:BH,'2. Program Allocation Output'!$A:$A,"Annual Incremental Energy (kWh)",'2. Program Allocation Output'!$H:$H,$B$6,'2. Program Allocation Output'!$AG:$AG,$B50),"")</f>
        <v/>
      </c>
      <c r="P50" s="15" t="str">
        <f>IF($B50&lt;&gt;"",SUMIFS('2. Program Allocation Output'!BI:BI,'2. Program Allocation Output'!$A:$A,"Annual Incremental Energy (kWh)",'2. Program Allocation Output'!$H:$H,$B$6,'2. Program Allocation Output'!$AG:$AG,$B50),"")</f>
        <v/>
      </c>
      <c r="Q50" s="15" t="str">
        <f>IF($B50&lt;&gt;"",SUMIFS('2. Program Allocation Output'!BJ:BJ,'2. Program Allocation Output'!$A:$A,"Annual Incremental Energy (kWh)",'2. Program Allocation Output'!$H:$H,$B$6,'2. Program Allocation Output'!$AG:$AG,$B50),"")</f>
        <v/>
      </c>
      <c r="R50" s="15" t="str">
        <f>IF($B50&lt;&gt;"",SUMIFS('2. Program Allocation Output'!BK:BK,'2. Program Allocation Output'!$A:$A,"Annual Incremental Energy (kWh)",'2. Program Allocation Output'!$H:$H,$B$6,'2. Program Allocation Output'!$AG:$AG,$B50),"")</f>
        <v/>
      </c>
    </row>
    <row r="51" spans="2:18" x14ac:dyDescent="0.25">
      <c r="B51" s="8"/>
      <c r="C51" s="8" t="str">
        <f>IF($B51&lt;&gt;"",_xlfn.XLOOKUP($B51,tbl_Data[Trimmed Measure Name],tbl_Data[Units],0),"")</f>
        <v/>
      </c>
      <c r="D51" s="15" t="str">
        <f>IF($B51&lt;&gt;"",_xlfn.XLOOKUP($B51,tbl_Data[Trimmed Measure Name],tbl_Data[kWh Savings],0),"")</f>
        <v/>
      </c>
      <c r="E51" s="48" t="str">
        <f>IF($B51&lt;&gt;"",_xlfn.XLOOKUP($B51,tbl_Data[Trimmed Measure Name],tbl_Data[kW Savings - Summer],0),"")</f>
        <v/>
      </c>
      <c r="F51" s="48" t="str">
        <f>IF($B51&lt;&gt;"",_xlfn.XLOOKUP($B51,tbl_Data[Trimmed Measure Name],tbl_Data[kW Savings - Winter],0),"")</f>
        <v/>
      </c>
      <c r="G51" s="42" t="str">
        <f>IF($B51&lt;&gt;"",_xlfn.XLOOKUP($B51,tbl_Data[Trimmed Measure Name],tbl_Data[Incremental Cost ($/unit)],0),"")</f>
        <v/>
      </c>
      <c r="H51" s="42" t="str">
        <f>IF($B51&lt;&gt;"",_xlfn.XLOOKUP($B51,tbl_Data[Trimmed Measure Name],tbl_Data[Adj. per unit Incentive ($)],0),"")</f>
        <v/>
      </c>
      <c r="I51" s="15" t="str">
        <f>IF($B51&lt;&gt;"",SUMIFS('2. Program Allocation Output'!BB:BB,'2. Program Allocation Output'!$A:$A,"Annual Incremental Energy (kWh)",'2. Program Allocation Output'!$H:$H,$B$6,'2. Program Allocation Output'!$AG:$AG,$B51),"")</f>
        <v/>
      </c>
      <c r="J51" s="15" t="str">
        <f>IF($B51&lt;&gt;"",SUMIFS('2. Program Allocation Output'!BC:BC,'2. Program Allocation Output'!$A:$A,"Annual Incremental Energy (kWh)",'2. Program Allocation Output'!$H:$H,$B$6,'2. Program Allocation Output'!$AG:$AG,$B51),"")</f>
        <v/>
      </c>
      <c r="K51" s="15" t="str">
        <f>IF($B51&lt;&gt;"",SUMIFS('2. Program Allocation Output'!BD:BD,'2. Program Allocation Output'!$A:$A,"Annual Incremental Energy (kWh)",'2. Program Allocation Output'!$H:$H,$B$6,'2. Program Allocation Output'!$AG:$AG,$B51),"")</f>
        <v/>
      </c>
      <c r="L51" s="15" t="str">
        <f>IF($B51&lt;&gt;"",SUMIFS('2. Program Allocation Output'!BE:BE,'2. Program Allocation Output'!$A:$A,"Annual Incremental Energy (kWh)",'2. Program Allocation Output'!$H:$H,$B$6,'2. Program Allocation Output'!$AG:$AG,$B51),"")</f>
        <v/>
      </c>
      <c r="M51" s="15" t="str">
        <f>IF($B51&lt;&gt;"",SUMIFS('2. Program Allocation Output'!BF:BF,'2. Program Allocation Output'!$A:$A,"Annual Incremental Energy (kWh)",'2. Program Allocation Output'!$H:$H,$B$6,'2. Program Allocation Output'!$AG:$AG,$B51),"")</f>
        <v/>
      </c>
      <c r="N51" s="15" t="str">
        <f>IF($B51&lt;&gt;"",SUMIFS('2. Program Allocation Output'!BG:BG,'2. Program Allocation Output'!$A:$A,"Annual Incremental Energy (kWh)",'2. Program Allocation Output'!$H:$H,$B$6,'2. Program Allocation Output'!$AG:$AG,$B51),"")</f>
        <v/>
      </c>
      <c r="O51" s="15" t="str">
        <f>IF($B51&lt;&gt;"",SUMIFS('2. Program Allocation Output'!BH:BH,'2. Program Allocation Output'!$A:$A,"Annual Incremental Energy (kWh)",'2. Program Allocation Output'!$H:$H,$B$6,'2. Program Allocation Output'!$AG:$AG,$B51),"")</f>
        <v/>
      </c>
      <c r="P51" s="15" t="str">
        <f>IF($B51&lt;&gt;"",SUMIFS('2. Program Allocation Output'!BI:BI,'2. Program Allocation Output'!$A:$A,"Annual Incremental Energy (kWh)",'2. Program Allocation Output'!$H:$H,$B$6,'2. Program Allocation Output'!$AG:$AG,$B51),"")</f>
        <v/>
      </c>
      <c r="Q51" s="15" t="str">
        <f>IF($B51&lt;&gt;"",SUMIFS('2. Program Allocation Output'!BJ:BJ,'2. Program Allocation Output'!$A:$A,"Annual Incremental Energy (kWh)",'2. Program Allocation Output'!$H:$H,$B$6,'2. Program Allocation Output'!$AG:$AG,$B51),"")</f>
        <v/>
      </c>
      <c r="R51" s="15" t="str">
        <f>IF($B51&lt;&gt;"",SUMIFS('2. Program Allocation Output'!BK:BK,'2. Program Allocation Output'!$A:$A,"Annual Incremental Energy (kWh)",'2. Program Allocation Output'!$H:$H,$B$6,'2. Program Allocation Output'!$AG:$AG,$B51),"")</f>
        <v/>
      </c>
    </row>
    <row r="52" spans="2:18" x14ac:dyDescent="0.25">
      <c r="B52" s="8"/>
      <c r="C52" s="8" t="str">
        <f>IF($B52&lt;&gt;"",_xlfn.XLOOKUP($B52,tbl_Data[Trimmed Measure Name],tbl_Data[Units],0),"")</f>
        <v/>
      </c>
      <c r="D52" s="15" t="str">
        <f>IF($B52&lt;&gt;"",_xlfn.XLOOKUP($B52,tbl_Data[Trimmed Measure Name],tbl_Data[kWh Savings],0),"")</f>
        <v/>
      </c>
      <c r="E52" s="48" t="str">
        <f>IF($B52&lt;&gt;"",_xlfn.XLOOKUP($B52,tbl_Data[Trimmed Measure Name],tbl_Data[kW Savings - Summer],0),"")</f>
        <v/>
      </c>
      <c r="F52" s="48" t="str">
        <f>IF($B52&lt;&gt;"",_xlfn.XLOOKUP($B52,tbl_Data[Trimmed Measure Name],tbl_Data[kW Savings - Winter],0),"")</f>
        <v/>
      </c>
      <c r="G52" s="42" t="str">
        <f>IF($B52&lt;&gt;"",_xlfn.XLOOKUP($B52,tbl_Data[Trimmed Measure Name],tbl_Data[Incremental Cost ($/unit)],0),"")</f>
        <v/>
      </c>
      <c r="H52" s="42" t="str">
        <f>IF($B52&lt;&gt;"",_xlfn.XLOOKUP($B52,tbl_Data[Trimmed Measure Name],tbl_Data[Adj. per unit Incentive ($)],0),"")</f>
        <v/>
      </c>
      <c r="I52" s="15" t="str">
        <f>IF($B52&lt;&gt;"",SUMIFS('2. Program Allocation Output'!BB:BB,'2. Program Allocation Output'!$A:$A,"Annual Incremental Energy (kWh)",'2. Program Allocation Output'!$H:$H,$B$6,'2. Program Allocation Output'!$AG:$AG,$B52),"")</f>
        <v/>
      </c>
      <c r="J52" s="15" t="str">
        <f>IF($B52&lt;&gt;"",SUMIFS('2. Program Allocation Output'!BC:BC,'2. Program Allocation Output'!$A:$A,"Annual Incremental Energy (kWh)",'2. Program Allocation Output'!$H:$H,$B$6,'2. Program Allocation Output'!$AG:$AG,$B52),"")</f>
        <v/>
      </c>
      <c r="K52" s="15" t="str">
        <f>IF($B52&lt;&gt;"",SUMIFS('2. Program Allocation Output'!BD:BD,'2. Program Allocation Output'!$A:$A,"Annual Incremental Energy (kWh)",'2. Program Allocation Output'!$H:$H,$B$6,'2. Program Allocation Output'!$AG:$AG,$B52),"")</f>
        <v/>
      </c>
      <c r="L52" s="15" t="str">
        <f>IF($B52&lt;&gt;"",SUMIFS('2. Program Allocation Output'!BE:BE,'2. Program Allocation Output'!$A:$A,"Annual Incremental Energy (kWh)",'2. Program Allocation Output'!$H:$H,$B$6,'2. Program Allocation Output'!$AG:$AG,$B52),"")</f>
        <v/>
      </c>
      <c r="M52" s="15" t="str">
        <f>IF($B52&lt;&gt;"",SUMIFS('2. Program Allocation Output'!BF:BF,'2. Program Allocation Output'!$A:$A,"Annual Incremental Energy (kWh)",'2. Program Allocation Output'!$H:$H,$B$6,'2. Program Allocation Output'!$AG:$AG,$B52),"")</f>
        <v/>
      </c>
      <c r="N52" s="15" t="str">
        <f>IF($B52&lt;&gt;"",SUMIFS('2. Program Allocation Output'!BG:BG,'2. Program Allocation Output'!$A:$A,"Annual Incremental Energy (kWh)",'2. Program Allocation Output'!$H:$H,$B$6,'2. Program Allocation Output'!$AG:$AG,$B52),"")</f>
        <v/>
      </c>
      <c r="O52" s="15" t="str">
        <f>IF($B52&lt;&gt;"",SUMIFS('2. Program Allocation Output'!BH:BH,'2. Program Allocation Output'!$A:$A,"Annual Incremental Energy (kWh)",'2. Program Allocation Output'!$H:$H,$B$6,'2. Program Allocation Output'!$AG:$AG,$B52),"")</f>
        <v/>
      </c>
      <c r="P52" s="15" t="str">
        <f>IF($B52&lt;&gt;"",SUMIFS('2. Program Allocation Output'!BI:BI,'2. Program Allocation Output'!$A:$A,"Annual Incremental Energy (kWh)",'2. Program Allocation Output'!$H:$H,$B$6,'2. Program Allocation Output'!$AG:$AG,$B52),"")</f>
        <v/>
      </c>
      <c r="Q52" s="15" t="str">
        <f>IF($B52&lt;&gt;"",SUMIFS('2. Program Allocation Output'!BJ:BJ,'2. Program Allocation Output'!$A:$A,"Annual Incremental Energy (kWh)",'2. Program Allocation Output'!$H:$H,$B$6,'2. Program Allocation Output'!$AG:$AG,$B52),"")</f>
        <v/>
      </c>
      <c r="R52" s="15" t="str">
        <f>IF($B52&lt;&gt;"",SUMIFS('2. Program Allocation Output'!BK:BK,'2. Program Allocation Output'!$A:$A,"Annual Incremental Energy (kWh)",'2. Program Allocation Output'!$H:$H,$B$6,'2. Program Allocation Output'!$AG:$AG,$B52),"")</f>
        <v/>
      </c>
    </row>
    <row r="53" spans="2:18" x14ac:dyDescent="0.25">
      <c r="B53" s="8"/>
      <c r="C53" s="8" t="str">
        <f>IF($B53&lt;&gt;"",_xlfn.XLOOKUP($B53,tbl_Data[Trimmed Measure Name],tbl_Data[Units],0),"")</f>
        <v/>
      </c>
      <c r="D53" s="15" t="str">
        <f>IF($B53&lt;&gt;"",_xlfn.XLOOKUP($B53,tbl_Data[Trimmed Measure Name],tbl_Data[kWh Savings],0),"")</f>
        <v/>
      </c>
      <c r="E53" s="48" t="str">
        <f>IF($B53&lt;&gt;"",_xlfn.XLOOKUP($B53,tbl_Data[Trimmed Measure Name],tbl_Data[kW Savings - Summer],0),"")</f>
        <v/>
      </c>
      <c r="F53" s="48" t="str">
        <f>IF($B53&lt;&gt;"",_xlfn.XLOOKUP($B53,tbl_Data[Trimmed Measure Name],tbl_Data[kW Savings - Winter],0),"")</f>
        <v/>
      </c>
      <c r="G53" s="42" t="str">
        <f>IF($B53&lt;&gt;"",_xlfn.XLOOKUP($B53,tbl_Data[Trimmed Measure Name],tbl_Data[Incremental Cost ($/unit)],0),"")</f>
        <v/>
      </c>
      <c r="H53" s="42" t="str">
        <f>IF($B53&lt;&gt;"",_xlfn.XLOOKUP($B53,tbl_Data[Trimmed Measure Name],tbl_Data[Adj. per unit Incentive ($)],0),"")</f>
        <v/>
      </c>
      <c r="I53" s="15" t="str">
        <f>IF($B53&lt;&gt;"",SUMIFS('2. Program Allocation Output'!BB:BB,'2. Program Allocation Output'!$A:$A,"Annual Incremental Energy (kWh)",'2. Program Allocation Output'!$H:$H,$B$6,'2. Program Allocation Output'!$AG:$AG,$B53),"")</f>
        <v/>
      </c>
      <c r="J53" s="15" t="str">
        <f>IF($B53&lt;&gt;"",SUMIFS('2. Program Allocation Output'!BC:BC,'2. Program Allocation Output'!$A:$A,"Annual Incremental Energy (kWh)",'2. Program Allocation Output'!$H:$H,$B$6,'2. Program Allocation Output'!$AG:$AG,$B53),"")</f>
        <v/>
      </c>
      <c r="K53" s="15" t="str">
        <f>IF($B53&lt;&gt;"",SUMIFS('2. Program Allocation Output'!BD:BD,'2. Program Allocation Output'!$A:$A,"Annual Incremental Energy (kWh)",'2. Program Allocation Output'!$H:$H,$B$6,'2. Program Allocation Output'!$AG:$AG,$B53),"")</f>
        <v/>
      </c>
      <c r="L53" s="15" t="str">
        <f>IF($B53&lt;&gt;"",SUMIFS('2. Program Allocation Output'!BE:BE,'2. Program Allocation Output'!$A:$A,"Annual Incremental Energy (kWh)",'2. Program Allocation Output'!$H:$H,$B$6,'2. Program Allocation Output'!$AG:$AG,$B53),"")</f>
        <v/>
      </c>
      <c r="M53" s="15" t="str">
        <f>IF($B53&lt;&gt;"",SUMIFS('2. Program Allocation Output'!BF:BF,'2. Program Allocation Output'!$A:$A,"Annual Incremental Energy (kWh)",'2. Program Allocation Output'!$H:$H,$B$6,'2. Program Allocation Output'!$AG:$AG,$B53),"")</f>
        <v/>
      </c>
      <c r="N53" s="15" t="str">
        <f>IF($B53&lt;&gt;"",SUMIFS('2. Program Allocation Output'!BG:BG,'2. Program Allocation Output'!$A:$A,"Annual Incremental Energy (kWh)",'2. Program Allocation Output'!$H:$H,$B$6,'2. Program Allocation Output'!$AG:$AG,$B53),"")</f>
        <v/>
      </c>
      <c r="O53" s="15" t="str">
        <f>IF($B53&lt;&gt;"",SUMIFS('2. Program Allocation Output'!BH:BH,'2. Program Allocation Output'!$A:$A,"Annual Incremental Energy (kWh)",'2. Program Allocation Output'!$H:$H,$B$6,'2. Program Allocation Output'!$AG:$AG,$B53),"")</f>
        <v/>
      </c>
      <c r="P53" s="15" t="str">
        <f>IF($B53&lt;&gt;"",SUMIFS('2. Program Allocation Output'!BI:BI,'2. Program Allocation Output'!$A:$A,"Annual Incremental Energy (kWh)",'2. Program Allocation Output'!$H:$H,$B$6,'2. Program Allocation Output'!$AG:$AG,$B53),"")</f>
        <v/>
      </c>
      <c r="Q53" s="15" t="str">
        <f>IF($B53&lt;&gt;"",SUMIFS('2. Program Allocation Output'!BJ:BJ,'2. Program Allocation Output'!$A:$A,"Annual Incremental Energy (kWh)",'2. Program Allocation Output'!$H:$H,$B$6,'2. Program Allocation Output'!$AG:$AG,$B53),"")</f>
        <v/>
      </c>
      <c r="R53" s="15" t="str">
        <f>IF($B53&lt;&gt;"",SUMIFS('2. Program Allocation Output'!BK:BK,'2. Program Allocation Output'!$A:$A,"Annual Incremental Energy (kWh)",'2. Program Allocation Output'!$H:$H,$B$6,'2. Program Allocation Output'!$AG:$AG,$B53),"")</f>
        <v/>
      </c>
    </row>
    <row r="54" spans="2:18" x14ac:dyDescent="0.25">
      <c r="B54" s="8"/>
      <c r="C54" s="8" t="str">
        <f>IF($B54&lt;&gt;"",_xlfn.XLOOKUP($B54,tbl_Data[Trimmed Measure Name],tbl_Data[Units],0),"")</f>
        <v/>
      </c>
      <c r="D54" s="15" t="str">
        <f>IF($B54&lt;&gt;"",_xlfn.XLOOKUP($B54,tbl_Data[Trimmed Measure Name],tbl_Data[kWh Savings],0),"")</f>
        <v/>
      </c>
      <c r="E54" s="48" t="str">
        <f>IF($B54&lt;&gt;"",_xlfn.XLOOKUP($B54,tbl_Data[Trimmed Measure Name],tbl_Data[kW Savings - Summer],0),"")</f>
        <v/>
      </c>
      <c r="F54" s="48" t="str">
        <f>IF($B54&lt;&gt;"",_xlfn.XLOOKUP($B54,tbl_Data[Trimmed Measure Name],tbl_Data[kW Savings - Winter],0),"")</f>
        <v/>
      </c>
      <c r="G54" s="42" t="str">
        <f>IF($B54&lt;&gt;"",_xlfn.XLOOKUP($B54,tbl_Data[Trimmed Measure Name],tbl_Data[Incremental Cost ($/unit)],0),"")</f>
        <v/>
      </c>
      <c r="H54" s="42" t="str">
        <f>IF($B54&lt;&gt;"",_xlfn.XLOOKUP($B54,tbl_Data[Trimmed Measure Name],tbl_Data[Adj. per unit Incentive ($)],0),"")</f>
        <v/>
      </c>
      <c r="I54" s="15" t="str">
        <f>IF($B54&lt;&gt;"",SUMIFS('2. Program Allocation Output'!BB:BB,'2. Program Allocation Output'!$A:$A,"Annual Incremental Energy (kWh)",'2. Program Allocation Output'!$H:$H,$B$6,'2. Program Allocation Output'!$AG:$AG,$B54),"")</f>
        <v/>
      </c>
      <c r="J54" s="15" t="str">
        <f>IF($B54&lt;&gt;"",SUMIFS('2. Program Allocation Output'!BC:BC,'2. Program Allocation Output'!$A:$A,"Annual Incremental Energy (kWh)",'2. Program Allocation Output'!$H:$H,$B$6,'2. Program Allocation Output'!$AG:$AG,$B54),"")</f>
        <v/>
      </c>
      <c r="K54" s="15" t="str">
        <f>IF($B54&lt;&gt;"",SUMIFS('2. Program Allocation Output'!BD:BD,'2. Program Allocation Output'!$A:$A,"Annual Incremental Energy (kWh)",'2. Program Allocation Output'!$H:$H,$B$6,'2. Program Allocation Output'!$AG:$AG,$B54),"")</f>
        <v/>
      </c>
      <c r="L54" s="15" t="str">
        <f>IF($B54&lt;&gt;"",SUMIFS('2. Program Allocation Output'!BE:BE,'2. Program Allocation Output'!$A:$A,"Annual Incremental Energy (kWh)",'2. Program Allocation Output'!$H:$H,$B$6,'2. Program Allocation Output'!$AG:$AG,$B54),"")</f>
        <v/>
      </c>
      <c r="M54" s="15" t="str">
        <f>IF($B54&lt;&gt;"",SUMIFS('2. Program Allocation Output'!BF:BF,'2. Program Allocation Output'!$A:$A,"Annual Incremental Energy (kWh)",'2. Program Allocation Output'!$H:$H,$B$6,'2. Program Allocation Output'!$AG:$AG,$B54),"")</f>
        <v/>
      </c>
      <c r="N54" s="15" t="str">
        <f>IF($B54&lt;&gt;"",SUMIFS('2. Program Allocation Output'!BG:BG,'2. Program Allocation Output'!$A:$A,"Annual Incremental Energy (kWh)",'2. Program Allocation Output'!$H:$H,$B$6,'2. Program Allocation Output'!$AG:$AG,$B54),"")</f>
        <v/>
      </c>
      <c r="O54" s="15" t="str">
        <f>IF($B54&lt;&gt;"",SUMIFS('2. Program Allocation Output'!BH:BH,'2. Program Allocation Output'!$A:$A,"Annual Incremental Energy (kWh)",'2. Program Allocation Output'!$H:$H,$B$6,'2. Program Allocation Output'!$AG:$AG,$B54),"")</f>
        <v/>
      </c>
      <c r="P54" s="15" t="str">
        <f>IF($B54&lt;&gt;"",SUMIFS('2. Program Allocation Output'!BI:BI,'2. Program Allocation Output'!$A:$A,"Annual Incremental Energy (kWh)",'2. Program Allocation Output'!$H:$H,$B$6,'2. Program Allocation Output'!$AG:$AG,$B54),"")</f>
        <v/>
      </c>
      <c r="Q54" s="15" t="str">
        <f>IF($B54&lt;&gt;"",SUMIFS('2. Program Allocation Output'!BJ:BJ,'2. Program Allocation Output'!$A:$A,"Annual Incremental Energy (kWh)",'2. Program Allocation Output'!$H:$H,$B$6,'2. Program Allocation Output'!$AG:$AG,$B54),"")</f>
        <v/>
      </c>
      <c r="R54" s="15" t="str">
        <f>IF($B54&lt;&gt;"",SUMIFS('2. Program Allocation Output'!BK:BK,'2. Program Allocation Output'!$A:$A,"Annual Incremental Energy (kWh)",'2. Program Allocation Output'!$H:$H,$B$6,'2. Program Allocation Output'!$AG:$AG,$B54),"")</f>
        <v/>
      </c>
    </row>
    <row r="55" spans="2:18" x14ac:dyDescent="0.25">
      <c r="B55" s="8"/>
      <c r="C55" s="8" t="str">
        <f>IF($B55&lt;&gt;"",_xlfn.XLOOKUP($B55,tbl_Data[Trimmed Measure Name],tbl_Data[Units],0),"")</f>
        <v/>
      </c>
      <c r="D55" s="15" t="str">
        <f>IF($B55&lt;&gt;"",_xlfn.XLOOKUP($B55,tbl_Data[Trimmed Measure Name],tbl_Data[kWh Savings],0),"")</f>
        <v/>
      </c>
      <c r="E55" s="48" t="str">
        <f>IF($B55&lt;&gt;"",_xlfn.XLOOKUP($B55,tbl_Data[Trimmed Measure Name],tbl_Data[kW Savings - Summer],0),"")</f>
        <v/>
      </c>
      <c r="F55" s="48" t="str">
        <f>IF($B55&lt;&gt;"",_xlfn.XLOOKUP($B55,tbl_Data[Trimmed Measure Name],tbl_Data[kW Savings - Winter],0),"")</f>
        <v/>
      </c>
      <c r="G55" s="42" t="str">
        <f>IF($B55&lt;&gt;"",_xlfn.XLOOKUP($B55,tbl_Data[Trimmed Measure Name],tbl_Data[Incremental Cost ($/unit)],0),"")</f>
        <v/>
      </c>
      <c r="H55" s="42" t="str">
        <f>IF($B55&lt;&gt;"",_xlfn.XLOOKUP($B55,tbl_Data[Trimmed Measure Name],tbl_Data[Adj. per unit Incentive ($)],0),"")</f>
        <v/>
      </c>
      <c r="I55" s="15" t="str">
        <f>IF($B55&lt;&gt;"",SUMIFS('2. Program Allocation Output'!BB:BB,'2. Program Allocation Output'!$A:$A,"Annual Incremental Energy (kWh)",'2. Program Allocation Output'!$H:$H,$B$6,'2. Program Allocation Output'!$AG:$AG,$B55),"")</f>
        <v/>
      </c>
      <c r="J55" s="15" t="str">
        <f>IF($B55&lt;&gt;"",SUMIFS('2. Program Allocation Output'!BC:BC,'2. Program Allocation Output'!$A:$A,"Annual Incremental Energy (kWh)",'2. Program Allocation Output'!$H:$H,$B$6,'2. Program Allocation Output'!$AG:$AG,$B55),"")</f>
        <v/>
      </c>
      <c r="K55" s="15" t="str">
        <f>IF($B55&lt;&gt;"",SUMIFS('2. Program Allocation Output'!BD:BD,'2. Program Allocation Output'!$A:$A,"Annual Incremental Energy (kWh)",'2. Program Allocation Output'!$H:$H,$B$6,'2. Program Allocation Output'!$AG:$AG,$B55),"")</f>
        <v/>
      </c>
      <c r="L55" s="15" t="str">
        <f>IF($B55&lt;&gt;"",SUMIFS('2. Program Allocation Output'!BE:BE,'2. Program Allocation Output'!$A:$A,"Annual Incremental Energy (kWh)",'2. Program Allocation Output'!$H:$H,$B$6,'2. Program Allocation Output'!$AG:$AG,$B55),"")</f>
        <v/>
      </c>
      <c r="M55" s="15" t="str">
        <f>IF($B55&lt;&gt;"",SUMIFS('2. Program Allocation Output'!BF:BF,'2. Program Allocation Output'!$A:$A,"Annual Incremental Energy (kWh)",'2. Program Allocation Output'!$H:$H,$B$6,'2. Program Allocation Output'!$AG:$AG,$B55),"")</f>
        <v/>
      </c>
      <c r="N55" s="15" t="str">
        <f>IF($B55&lt;&gt;"",SUMIFS('2. Program Allocation Output'!BG:BG,'2. Program Allocation Output'!$A:$A,"Annual Incremental Energy (kWh)",'2. Program Allocation Output'!$H:$H,$B$6,'2. Program Allocation Output'!$AG:$AG,$B55),"")</f>
        <v/>
      </c>
      <c r="O55" s="15" t="str">
        <f>IF($B55&lt;&gt;"",SUMIFS('2. Program Allocation Output'!BH:BH,'2. Program Allocation Output'!$A:$A,"Annual Incremental Energy (kWh)",'2. Program Allocation Output'!$H:$H,$B$6,'2. Program Allocation Output'!$AG:$AG,$B55),"")</f>
        <v/>
      </c>
      <c r="P55" s="15" t="str">
        <f>IF($B55&lt;&gt;"",SUMIFS('2. Program Allocation Output'!BI:BI,'2. Program Allocation Output'!$A:$A,"Annual Incremental Energy (kWh)",'2. Program Allocation Output'!$H:$H,$B$6,'2. Program Allocation Output'!$AG:$AG,$B55),"")</f>
        <v/>
      </c>
      <c r="Q55" s="15" t="str">
        <f>IF($B55&lt;&gt;"",SUMIFS('2. Program Allocation Output'!BJ:BJ,'2. Program Allocation Output'!$A:$A,"Annual Incremental Energy (kWh)",'2. Program Allocation Output'!$H:$H,$B$6,'2. Program Allocation Output'!$AG:$AG,$B55),"")</f>
        <v/>
      </c>
      <c r="R55" s="15" t="str">
        <f>IF($B55&lt;&gt;"",SUMIFS('2. Program Allocation Output'!BK:BK,'2. Program Allocation Output'!$A:$A,"Annual Incremental Energy (kWh)",'2. Program Allocation Output'!$H:$H,$B$6,'2. Program Allocation Output'!$AG:$AG,$B55),"")</f>
        <v/>
      </c>
    </row>
    <row r="56" spans="2:18" x14ac:dyDescent="0.25">
      <c r="B56" s="8"/>
      <c r="C56" s="8" t="str">
        <f>IF($B56&lt;&gt;"",_xlfn.XLOOKUP($B56,tbl_Data[Trimmed Measure Name],tbl_Data[Units],0),"")</f>
        <v/>
      </c>
      <c r="D56" s="15" t="str">
        <f>IF($B56&lt;&gt;"",_xlfn.XLOOKUP($B56,tbl_Data[Trimmed Measure Name],tbl_Data[kWh Savings],0),"")</f>
        <v/>
      </c>
      <c r="E56" s="48" t="str">
        <f>IF($B56&lt;&gt;"",_xlfn.XLOOKUP($B56,tbl_Data[Trimmed Measure Name],tbl_Data[kW Savings - Summer],0),"")</f>
        <v/>
      </c>
      <c r="F56" s="48" t="str">
        <f>IF($B56&lt;&gt;"",_xlfn.XLOOKUP($B56,tbl_Data[Trimmed Measure Name],tbl_Data[kW Savings - Winter],0),"")</f>
        <v/>
      </c>
      <c r="G56" s="42" t="str">
        <f>IF($B56&lt;&gt;"",_xlfn.XLOOKUP($B56,tbl_Data[Trimmed Measure Name],tbl_Data[Incremental Cost ($/unit)],0),"")</f>
        <v/>
      </c>
      <c r="H56" s="42" t="str">
        <f>IF($B56&lt;&gt;"",_xlfn.XLOOKUP($B56,tbl_Data[Trimmed Measure Name],tbl_Data[Adj. per unit Incentive ($)],0),"")</f>
        <v/>
      </c>
      <c r="I56" s="15" t="str">
        <f>IF($B56&lt;&gt;"",SUMIFS('2. Program Allocation Output'!BB:BB,'2. Program Allocation Output'!$A:$A,"Annual Incremental Energy (kWh)",'2. Program Allocation Output'!$H:$H,$B$6,'2. Program Allocation Output'!$AG:$AG,$B56),"")</f>
        <v/>
      </c>
      <c r="J56" s="15" t="str">
        <f>IF($B56&lt;&gt;"",SUMIFS('2. Program Allocation Output'!BC:BC,'2. Program Allocation Output'!$A:$A,"Annual Incremental Energy (kWh)",'2. Program Allocation Output'!$H:$H,$B$6,'2. Program Allocation Output'!$AG:$AG,$B56),"")</f>
        <v/>
      </c>
      <c r="K56" s="15" t="str">
        <f>IF($B56&lt;&gt;"",SUMIFS('2. Program Allocation Output'!BD:BD,'2. Program Allocation Output'!$A:$A,"Annual Incremental Energy (kWh)",'2. Program Allocation Output'!$H:$H,$B$6,'2. Program Allocation Output'!$AG:$AG,$B56),"")</f>
        <v/>
      </c>
      <c r="L56" s="15" t="str">
        <f>IF($B56&lt;&gt;"",SUMIFS('2. Program Allocation Output'!BE:BE,'2. Program Allocation Output'!$A:$A,"Annual Incremental Energy (kWh)",'2. Program Allocation Output'!$H:$H,$B$6,'2. Program Allocation Output'!$AG:$AG,$B56),"")</f>
        <v/>
      </c>
      <c r="M56" s="15" t="str">
        <f>IF($B56&lt;&gt;"",SUMIFS('2. Program Allocation Output'!BF:BF,'2. Program Allocation Output'!$A:$A,"Annual Incremental Energy (kWh)",'2. Program Allocation Output'!$H:$H,$B$6,'2. Program Allocation Output'!$AG:$AG,$B56),"")</f>
        <v/>
      </c>
      <c r="N56" s="15" t="str">
        <f>IF($B56&lt;&gt;"",SUMIFS('2. Program Allocation Output'!BG:BG,'2. Program Allocation Output'!$A:$A,"Annual Incremental Energy (kWh)",'2. Program Allocation Output'!$H:$H,$B$6,'2. Program Allocation Output'!$AG:$AG,$B56),"")</f>
        <v/>
      </c>
      <c r="O56" s="15" t="str">
        <f>IF($B56&lt;&gt;"",SUMIFS('2. Program Allocation Output'!BH:BH,'2. Program Allocation Output'!$A:$A,"Annual Incremental Energy (kWh)",'2. Program Allocation Output'!$H:$H,$B$6,'2. Program Allocation Output'!$AG:$AG,$B56),"")</f>
        <v/>
      </c>
      <c r="P56" s="15" t="str">
        <f>IF($B56&lt;&gt;"",SUMIFS('2. Program Allocation Output'!BI:BI,'2. Program Allocation Output'!$A:$A,"Annual Incremental Energy (kWh)",'2. Program Allocation Output'!$H:$H,$B$6,'2. Program Allocation Output'!$AG:$AG,$B56),"")</f>
        <v/>
      </c>
      <c r="Q56" s="15" t="str">
        <f>IF($B56&lt;&gt;"",SUMIFS('2. Program Allocation Output'!BJ:BJ,'2. Program Allocation Output'!$A:$A,"Annual Incremental Energy (kWh)",'2. Program Allocation Output'!$H:$H,$B$6,'2. Program Allocation Output'!$AG:$AG,$B56),"")</f>
        <v/>
      </c>
      <c r="R56" s="15" t="str">
        <f>IF($B56&lt;&gt;"",SUMIFS('2. Program Allocation Output'!BK:BK,'2. Program Allocation Output'!$A:$A,"Annual Incremental Energy (kWh)",'2. Program Allocation Output'!$H:$H,$B$6,'2. Program Allocation Output'!$AG:$AG,$B56),"")</f>
        <v/>
      </c>
    </row>
    <row r="57" spans="2:18" x14ac:dyDescent="0.25">
      <c r="B57" s="8"/>
      <c r="C57" s="8" t="str">
        <f>IF($B57&lt;&gt;"",_xlfn.XLOOKUP($B57,tbl_Data[Trimmed Measure Name],tbl_Data[Units],0),"")</f>
        <v/>
      </c>
      <c r="D57" s="15" t="str">
        <f>IF($B57&lt;&gt;"",_xlfn.XLOOKUP($B57,tbl_Data[Trimmed Measure Name],tbl_Data[kWh Savings],0),"")</f>
        <v/>
      </c>
      <c r="E57" s="48" t="str">
        <f>IF($B57&lt;&gt;"",_xlfn.XLOOKUP($B57,tbl_Data[Trimmed Measure Name],tbl_Data[kW Savings - Summer],0),"")</f>
        <v/>
      </c>
      <c r="F57" s="48" t="str">
        <f>IF($B57&lt;&gt;"",_xlfn.XLOOKUP($B57,tbl_Data[Trimmed Measure Name],tbl_Data[kW Savings - Winter],0),"")</f>
        <v/>
      </c>
      <c r="G57" s="42" t="str">
        <f>IF($B57&lt;&gt;"",_xlfn.XLOOKUP($B57,tbl_Data[Trimmed Measure Name],tbl_Data[Incremental Cost ($/unit)],0),"")</f>
        <v/>
      </c>
      <c r="H57" s="42" t="str">
        <f>IF($B57&lt;&gt;"",_xlfn.XLOOKUP($B57,tbl_Data[Trimmed Measure Name],tbl_Data[Adj. per unit Incentive ($)],0),"")</f>
        <v/>
      </c>
      <c r="I57" s="15" t="str">
        <f>IF($B57&lt;&gt;"",SUMIFS('2. Program Allocation Output'!BB:BB,'2. Program Allocation Output'!$A:$A,"Annual Incremental Energy (kWh)",'2. Program Allocation Output'!$H:$H,$B$6,'2. Program Allocation Output'!$AG:$AG,$B57),"")</f>
        <v/>
      </c>
      <c r="J57" s="15" t="str">
        <f>IF($B57&lt;&gt;"",SUMIFS('2. Program Allocation Output'!BC:BC,'2. Program Allocation Output'!$A:$A,"Annual Incremental Energy (kWh)",'2. Program Allocation Output'!$H:$H,$B$6,'2. Program Allocation Output'!$AG:$AG,$B57),"")</f>
        <v/>
      </c>
      <c r="K57" s="15" t="str">
        <f>IF($B57&lt;&gt;"",SUMIFS('2. Program Allocation Output'!BD:BD,'2. Program Allocation Output'!$A:$A,"Annual Incremental Energy (kWh)",'2. Program Allocation Output'!$H:$H,$B$6,'2. Program Allocation Output'!$AG:$AG,$B57),"")</f>
        <v/>
      </c>
      <c r="L57" s="15" t="str">
        <f>IF($B57&lt;&gt;"",SUMIFS('2. Program Allocation Output'!BE:BE,'2. Program Allocation Output'!$A:$A,"Annual Incremental Energy (kWh)",'2. Program Allocation Output'!$H:$H,$B$6,'2. Program Allocation Output'!$AG:$AG,$B57),"")</f>
        <v/>
      </c>
      <c r="M57" s="15" t="str">
        <f>IF($B57&lt;&gt;"",SUMIFS('2. Program Allocation Output'!BF:BF,'2. Program Allocation Output'!$A:$A,"Annual Incremental Energy (kWh)",'2. Program Allocation Output'!$H:$H,$B$6,'2. Program Allocation Output'!$AG:$AG,$B57),"")</f>
        <v/>
      </c>
      <c r="N57" s="15" t="str">
        <f>IF($B57&lt;&gt;"",SUMIFS('2. Program Allocation Output'!BG:BG,'2. Program Allocation Output'!$A:$A,"Annual Incremental Energy (kWh)",'2. Program Allocation Output'!$H:$H,$B$6,'2. Program Allocation Output'!$AG:$AG,$B57),"")</f>
        <v/>
      </c>
      <c r="O57" s="15" t="str">
        <f>IF($B57&lt;&gt;"",SUMIFS('2. Program Allocation Output'!BH:BH,'2. Program Allocation Output'!$A:$A,"Annual Incremental Energy (kWh)",'2. Program Allocation Output'!$H:$H,$B$6,'2. Program Allocation Output'!$AG:$AG,$B57),"")</f>
        <v/>
      </c>
      <c r="P57" s="15" t="str">
        <f>IF($B57&lt;&gt;"",SUMIFS('2. Program Allocation Output'!BI:BI,'2. Program Allocation Output'!$A:$A,"Annual Incremental Energy (kWh)",'2. Program Allocation Output'!$H:$H,$B$6,'2. Program Allocation Output'!$AG:$AG,$B57),"")</f>
        <v/>
      </c>
      <c r="Q57" s="15" t="str">
        <f>IF($B57&lt;&gt;"",SUMIFS('2. Program Allocation Output'!BJ:BJ,'2. Program Allocation Output'!$A:$A,"Annual Incremental Energy (kWh)",'2. Program Allocation Output'!$H:$H,$B$6,'2. Program Allocation Output'!$AG:$AG,$B57),"")</f>
        <v/>
      </c>
      <c r="R57" s="15" t="str">
        <f>IF($B57&lt;&gt;"",SUMIFS('2. Program Allocation Output'!BK:BK,'2. Program Allocation Output'!$A:$A,"Annual Incremental Energy (kWh)",'2. Program Allocation Output'!$H:$H,$B$6,'2. Program Allocation Output'!$AG:$AG,$B57),"")</f>
        <v/>
      </c>
    </row>
    <row r="58" spans="2:18" x14ac:dyDescent="0.25">
      <c r="B58" s="8"/>
      <c r="C58" s="8" t="str">
        <f>IF($B58&lt;&gt;"",_xlfn.XLOOKUP($B58,tbl_Data[Trimmed Measure Name],tbl_Data[Units],0),"")</f>
        <v/>
      </c>
      <c r="D58" s="15" t="str">
        <f>IF($B58&lt;&gt;"",_xlfn.XLOOKUP($B58,tbl_Data[Trimmed Measure Name],tbl_Data[kWh Savings],0),"")</f>
        <v/>
      </c>
      <c r="E58" s="48" t="str">
        <f>IF($B58&lt;&gt;"",_xlfn.XLOOKUP($B58,tbl_Data[Trimmed Measure Name],tbl_Data[kW Savings - Summer],0),"")</f>
        <v/>
      </c>
      <c r="F58" s="48" t="str">
        <f>IF($B58&lt;&gt;"",_xlfn.XLOOKUP($B58,tbl_Data[Trimmed Measure Name],tbl_Data[kW Savings - Winter],0),"")</f>
        <v/>
      </c>
      <c r="G58" s="42" t="str">
        <f>IF($B58&lt;&gt;"",_xlfn.XLOOKUP($B58,tbl_Data[Trimmed Measure Name],tbl_Data[Incremental Cost ($/unit)],0),"")</f>
        <v/>
      </c>
      <c r="H58" s="42" t="str">
        <f>IF($B58&lt;&gt;"",_xlfn.XLOOKUP($B58,tbl_Data[Trimmed Measure Name],tbl_Data[Adj. per unit Incentive ($)],0),"")</f>
        <v/>
      </c>
      <c r="I58" s="15" t="str">
        <f>IF($B58&lt;&gt;"",SUMIFS('2. Program Allocation Output'!BB:BB,'2. Program Allocation Output'!$A:$A,"Annual Incremental Energy (kWh)",'2. Program Allocation Output'!$H:$H,$B$6,'2. Program Allocation Output'!$AG:$AG,$B58),"")</f>
        <v/>
      </c>
      <c r="J58" s="15" t="str">
        <f>IF($B58&lt;&gt;"",SUMIFS('2. Program Allocation Output'!BC:BC,'2. Program Allocation Output'!$A:$A,"Annual Incremental Energy (kWh)",'2. Program Allocation Output'!$H:$H,$B$6,'2. Program Allocation Output'!$AG:$AG,$B58),"")</f>
        <v/>
      </c>
      <c r="K58" s="15" t="str">
        <f>IF($B58&lt;&gt;"",SUMIFS('2. Program Allocation Output'!BD:BD,'2. Program Allocation Output'!$A:$A,"Annual Incremental Energy (kWh)",'2. Program Allocation Output'!$H:$H,$B$6,'2. Program Allocation Output'!$AG:$AG,$B58),"")</f>
        <v/>
      </c>
      <c r="L58" s="15" t="str">
        <f>IF($B58&lt;&gt;"",SUMIFS('2. Program Allocation Output'!BE:BE,'2. Program Allocation Output'!$A:$A,"Annual Incremental Energy (kWh)",'2. Program Allocation Output'!$H:$H,$B$6,'2. Program Allocation Output'!$AG:$AG,$B58),"")</f>
        <v/>
      </c>
      <c r="M58" s="15" t="str">
        <f>IF($B58&lt;&gt;"",SUMIFS('2. Program Allocation Output'!BF:BF,'2. Program Allocation Output'!$A:$A,"Annual Incremental Energy (kWh)",'2. Program Allocation Output'!$H:$H,$B$6,'2. Program Allocation Output'!$AG:$AG,$B58),"")</f>
        <v/>
      </c>
      <c r="N58" s="15" t="str">
        <f>IF($B58&lt;&gt;"",SUMIFS('2. Program Allocation Output'!BG:BG,'2. Program Allocation Output'!$A:$A,"Annual Incremental Energy (kWh)",'2. Program Allocation Output'!$H:$H,$B$6,'2. Program Allocation Output'!$AG:$AG,$B58),"")</f>
        <v/>
      </c>
      <c r="O58" s="15" t="str">
        <f>IF($B58&lt;&gt;"",SUMIFS('2. Program Allocation Output'!BH:BH,'2. Program Allocation Output'!$A:$A,"Annual Incremental Energy (kWh)",'2. Program Allocation Output'!$H:$H,$B$6,'2. Program Allocation Output'!$AG:$AG,$B58),"")</f>
        <v/>
      </c>
      <c r="P58" s="15" t="str">
        <f>IF($B58&lt;&gt;"",SUMIFS('2. Program Allocation Output'!BI:BI,'2. Program Allocation Output'!$A:$A,"Annual Incremental Energy (kWh)",'2. Program Allocation Output'!$H:$H,$B$6,'2. Program Allocation Output'!$AG:$AG,$B58),"")</f>
        <v/>
      </c>
      <c r="Q58" s="15" t="str">
        <f>IF($B58&lt;&gt;"",SUMIFS('2. Program Allocation Output'!BJ:BJ,'2. Program Allocation Output'!$A:$A,"Annual Incremental Energy (kWh)",'2. Program Allocation Output'!$H:$H,$B$6,'2. Program Allocation Output'!$AG:$AG,$B58),"")</f>
        <v/>
      </c>
      <c r="R58" s="15" t="str">
        <f>IF($B58&lt;&gt;"",SUMIFS('2. Program Allocation Output'!BK:BK,'2. Program Allocation Output'!$A:$A,"Annual Incremental Energy (kWh)",'2. Program Allocation Output'!$H:$H,$B$6,'2. Program Allocation Output'!$AG:$AG,$B58),"")</f>
        <v/>
      </c>
    </row>
    <row r="59" spans="2:18" x14ac:dyDescent="0.25">
      <c r="B59" s="8"/>
      <c r="C59" s="8" t="str">
        <f>IF($B59&lt;&gt;"",_xlfn.XLOOKUP($B59,tbl_Data[Trimmed Measure Name],tbl_Data[Units],0),"")</f>
        <v/>
      </c>
      <c r="D59" s="15" t="str">
        <f>IF($B59&lt;&gt;"",_xlfn.XLOOKUP($B59,tbl_Data[Trimmed Measure Name],tbl_Data[kWh Savings],0),"")</f>
        <v/>
      </c>
      <c r="E59" s="48" t="str">
        <f>IF($B59&lt;&gt;"",_xlfn.XLOOKUP($B59,tbl_Data[Trimmed Measure Name],tbl_Data[kW Savings - Summer],0),"")</f>
        <v/>
      </c>
      <c r="F59" s="48" t="str">
        <f>IF($B59&lt;&gt;"",_xlfn.XLOOKUP($B59,tbl_Data[Trimmed Measure Name],tbl_Data[kW Savings - Winter],0),"")</f>
        <v/>
      </c>
      <c r="G59" s="42" t="str">
        <f>IF($B59&lt;&gt;"",_xlfn.XLOOKUP($B59,tbl_Data[Trimmed Measure Name],tbl_Data[Incremental Cost ($/unit)],0),"")</f>
        <v/>
      </c>
      <c r="H59" s="42" t="str">
        <f>IF($B59&lt;&gt;"",_xlfn.XLOOKUP($B59,tbl_Data[Trimmed Measure Name],tbl_Data[Adj. per unit Incentive ($)],0),"")</f>
        <v/>
      </c>
      <c r="I59" s="15" t="str">
        <f>IF($B59&lt;&gt;"",SUMIFS('2. Program Allocation Output'!BB:BB,'2. Program Allocation Output'!$A:$A,"Annual Incremental Energy (kWh)",'2. Program Allocation Output'!$H:$H,$B$6,'2. Program Allocation Output'!$AG:$AG,$B59),"")</f>
        <v/>
      </c>
      <c r="J59" s="15" t="str">
        <f>IF($B59&lt;&gt;"",SUMIFS('2. Program Allocation Output'!BC:BC,'2. Program Allocation Output'!$A:$A,"Annual Incremental Energy (kWh)",'2. Program Allocation Output'!$H:$H,$B$6,'2. Program Allocation Output'!$AG:$AG,$B59),"")</f>
        <v/>
      </c>
      <c r="K59" s="15" t="str">
        <f>IF($B59&lt;&gt;"",SUMIFS('2. Program Allocation Output'!BD:BD,'2. Program Allocation Output'!$A:$A,"Annual Incremental Energy (kWh)",'2. Program Allocation Output'!$H:$H,$B$6,'2. Program Allocation Output'!$AG:$AG,$B59),"")</f>
        <v/>
      </c>
      <c r="L59" s="15" t="str">
        <f>IF($B59&lt;&gt;"",SUMIFS('2. Program Allocation Output'!BE:BE,'2. Program Allocation Output'!$A:$A,"Annual Incremental Energy (kWh)",'2. Program Allocation Output'!$H:$H,$B$6,'2. Program Allocation Output'!$AG:$AG,$B59),"")</f>
        <v/>
      </c>
      <c r="M59" s="15" t="str">
        <f>IF($B59&lt;&gt;"",SUMIFS('2. Program Allocation Output'!BF:BF,'2. Program Allocation Output'!$A:$A,"Annual Incremental Energy (kWh)",'2. Program Allocation Output'!$H:$H,$B$6,'2. Program Allocation Output'!$AG:$AG,$B59),"")</f>
        <v/>
      </c>
      <c r="N59" s="15" t="str">
        <f>IF($B59&lt;&gt;"",SUMIFS('2. Program Allocation Output'!BG:BG,'2. Program Allocation Output'!$A:$A,"Annual Incremental Energy (kWh)",'2. Program Allocation Output'!$H:$H,$B$6,'2. Program Allocation Output'!$AG:$AG,$B59),"")</f>
        <v/>
      </c>
      <c r="O59" s="15" t="str">
        <f>IF($B59&lt;&gt;"",SUMIFS('2. Program Allocation Output'!BH:BH,'2. Program Allocation Output'!$A:$A,"Annual Incremental Energy (kWh)",'2. Program Allocation Output'!$H:$H,$B$6,'2. Program Allocation Output'!$AG:$AG,$B59),"")</f>
        <v/>
      </c>
      <c r="P59" s="15" t="str">
        <f>IF($B59&lt;&gt;"",SUMIFS('2. Program Allocation Output'!BI:BI,'2. Program Allocation Output'!$A:$A,"Annual Incremental Energy (kWh)",'2. Program Allocation Output'!$H:$H,$B$6,'2. Program Allocation Output'!$AG:$AG,$B59),"")</f>
        <v/>
      </c>
      <c r="Q59" s="15" t="str">
        <f>IF($B59&lt;&gt;"",SUMIFS('2. Program Allocation Output'!BJ:BJ,'2. Program Allocation Output'!$A:$A,"Annual Incremental Energy (kWh)",'2. Program Allocation Output'!$H:$H,$B$6,'2. Program Allocation Output'!$AG:$AG,$B59),"")</f>
        <v/>
      </c>
      <c r="R59" s="15" t="str">
        <f>IF($B59&lt;&gt;"",SUMIFS('2. Program Allocation Output'!BK:BK,'2. Program Allocation Output'!$A:$A,"Annual Incremental Energy (kWh)",'2. Program Allocation Output'!$H:$H,$B$6,'2. Program Allocation Output'!$AG:$AG,$B59),"")</f>
        <v/>
      </c>
    </row>
    <row r="60" spans="2:18" x14ac:dyDescent="0.25">
      <c r="B60" s="8"/>
      <c r="C60" s="8" t="str">
        <f>IF($B60&lt;&gt;"",_xlfn.XLOOKUP($B60,tbl_Data[Trimmed Measure Name],tbl_Data[Units],0),"")</f>
        <v/>
      </c>
      <c r="D60" s="15" t="str">
        <f>IF($B60&lt;&gt;"",_xlfn.XLOOKUP($B60,tbl_Data[Trimmed Measure Name],tbl_Data[kWh Savings],0),"")</f>
        <v/>
      </c>
      <c r="E60" s="48" t="str">
        <f>IF($B60&lt;&gt;"",_xlfn.XLOOKUP($B60,tbl_Data[Trimmed Measure Name],tbl_Data[kW Savings - Summer],0),"")</f>
        <v/>
      </c>
      <c r="F60" s="48" t="str">
        <f>IF($B60&lt;&gt;"",_xlfn.XLOOKUP($B60,tbl_Data[Trimmed Measure Name],tbl_Data[kW Savings - Winter],0),"")</f>
        <v/>
      </c>
      <c r="G60" s="42" t="str">
        <f>IF($B60&lt;&gt;"",_xlfn.XLOOKUP($B60,tbl_Data[Trimmed Measure Name],tbl_Data[Incremental Cost ($/unit)],0),"")</f>
        <v/>
      </c>
      <c r="H60" s="42" t="str">
        <f>IF($B60&lt;&gt;"",_xlfn.XLOOKUP($B60,tbl_Data[Trimmed Measure Name],tbl_Data[Adj. per unit Incentive ($)],0),"")</f>
        <v/>
      </c>
      <c r="I60" s="15" t="str">
        <f>IF($B60&lt;&gt;"",SUMIFS('2. Program Allocation Output'!BB:BB,'2. Program Allocation Output'!$A:$A,"Annual Incremental Energy (kWh)",'2. Program Allocation Output'!$H:$H,$B$6,'2. Program Allocation Output'!$AG:$AG,$B60),"")</f>
        <v/>
      </c>
      <c r="J60" s="15" t="str">
        <f>IF($B60&lt;&gt;"",SUMIFS('2. Program Allocation Output'!BC:BC,'2. Program Allocation Output'!$A:$A,"Annual Incremental Energy (kWh)",'2. Program Allocation Output'!$H:$H,$B$6,'2. Program Allocation Output'!$AG:$AG,$B60),"")</f>
        <v/>
      </c>
      <c r="K60" s="15" t="str">
        <f>IF($B60&lt;&gt;"",SUMIFS('2. Program Allocation Output'!BD:BD,'2. Program Allocation Output'!$A:$A,"Annual Incremental Energy (kWh)",'2. Program Allocation Output'!$H:$H,$B$6,'2. Program Allocation Output'!$AG:$AG,$B60),"")</f>
        <v/>
      </c>
      <c r="L60" s="15" t="str">
        <f>IF($B60&lt;&gt;"",SUMIFS('2. Program Allocation Output'!BE:BE,'2. Program Allocation Output'!$A:$A,"Annual Incremental Energy (kWh)",'2. Program Allocation Output'!$H:$H,$B$6,'2. Program Allocation Output'!$AG:$AG,$B60),"")</f>
        <v/>
      </c>
      <c r="M60" s="15" t="str">
        <f>IF($B60&lt;&gt;"",SUMIFS('2. Program Allocation Output'!BF:BF,'2. Program Allocation Output'!$A:$A,"Annual Incremental Energy (kWh)",'2. Program Allocation Output'!$H:$H,$B$6,'2. Program Allocation Output'!$AG:$AG,$B60),"")</f>
        <v/>
      </c>
      <c r="N60" s="15" t="str">
        <f>IF($B60&lt;&gt;"",SUMIFS('2. Program Allocation Output'!BG:BG,'2. Program Allocation Output'!$A:$A,"Annual Incremental Energy (kWh)",'2. Program Allocation Output'!$H:$H,$B$6,'2. Program Allocation Output'!$AG:$AG,$B60),"")</f>
        <v/>
      </c>
      <c r="O60" s="15" t="str">
        <f>IF($B60&lt;&gt;"",SUMIFS('2. Program Allocation Output'!BH:BH,'2. Program Allocation Output'!$A:$A,"Annual Incremental Energy (kWh)",'2. Program Allocation Output'!$H:$H,$B$6,'2. Program Allocation Output'!$AG:$AG,$B60),"")</f>
        <v/>
      </c>
      <c r="P60" s="15" t="str">
        <f>IF($B60&lt;&gt;"",SUMIFS('2. Program Allocation Output'!BI:BI,'2. Program Allocation Output'!$A:$A,"Annual Incremental Energy (kWh)",'2. Program Allocation Output'!$H:$H,$B$6,'2. Program Allocation Output'!$AG:$AG,$B60),"")</f>
        <v/>
      </c>
      <c r="Q60" s="15" t="str">
        <f>IF($B60&lt;&gt;"",SUMIFS('2. Program Allocation Output'!BJ:BJ,'2. Program Allocation Output'!$A:$A,"Annual Incremental Energy (kWh)",'2. Program Allocation Output'!$H:$H,$B$6,'2. Program Allocation Output'!$AG:$AG,$B60),"")</f>
        <v/>
      </c>
      <c r="R60" s="15" t="str">
        <f>IF($B60&lt;&gt;"",SUMIFS('2. Program Allocation Output'!BK:BK,'2. Program Allocation Output'!$A:$A,"Annual Incremental Energy (kWh)",'2. Program Allocation Output'!$H:$H,$B$6,'2. Program Allocation Output'!$AG:$AG,$B60),"")</f>
        <v/>
      </c>
    </row>
  </sheetData>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9DC2B532-01AA-4EAA-8E8A-04CCD2E16EF8}">
          <x14:formula1>
            <xm:f>'1. Set Program Names'!$B$2:$B$15</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BFE7-0CFB-42EC-8985-9DF805666E3C}">
  <sheetPr>
    <tabColor rgb="FFFF0000"/>
  </sheetPr>
  <dimension ref="A1:AA163"/>
  <sheetViews>
    <sheetView tabSelected="1" zoomScale="90" zoomScaleNormal="90" workbookViewId="0">
      <selection activeCell="C42" sqref="C42:L42"/>
    </sheetView>
  </sheetViews>
  <sheetFormatPr defaultRowHeight="15" x14ac:dyDescent="0.25"/>
  <cols>
    <col min="1" max="1" width="19.7109375" customWidth="1"/>
    <col min="2" max="2" width="31.42578125" customWidth="1"/>
    <col min="3" max="3" width="12.7109375" customWidth="1"/>
    <col min="4" max="12" width="10.85546875" bestFit="1" customWidth="1"/>
    <col min="13" max="13" width="11.85546875" customWidth="1"/>
    <col min="15" max="15" width="32" customWidth="1"/>
    <col min="16" max="16" width="15.5703125" customWidth="1"/>
    <col min="17" max="18" width="15.5703125" hidden="1" customWidth="1"/>
    <col min="19" max="19" width="18.85546875" customWidth="1"/>
    <col min="20" max="20" width="15.7109375" customWidth="1"/>
    <col min="21" max="22" width="15.7109375" hidden="1" customWidth="1"/>
    <col min="23" max="23" width="15.7109375" customWidth="1"/>
    <col min="24" max="24" width="16.7109375" customWidth="1"/>
    <col min="25" max="26" width="16.7109375" hidden="1" customWidth="1"/>
    <col min="27" max="27" width="18.42578125" customWidth="1"/>
  </cols>
  <sheetData>
    <row r="1" spans="1:27" x14ac:dyDescent="0.25">
      <c r="C1" s="45" t="s">
        <v>87</v>
      </c>
      <c r="O1" s="7" t="s">
        <v>213</v>
      </c>
      <c r="P1" s="82" t="s">
        <v>214</v>
      </c>
      <c r="Q1" s="82"/>
      <c r="R1" s="82"/>
      <c r="S1" s="82"/>
      <c r="T1" s="82" t="s">
        <v>215</v>
      </c>
      <c r="U1" s="82"/>
      <c r="V1" s="82"/>
      <c r="W1" s="82"/>
      <c r="X1" s="82" t="s">
        <v>216</v>
      </c>
      <c r="Y1" s="82"/>
      <c r="Z1" s="82"/>
      <c r="AA1" s="82"/>
    </row>
    <row r="2" spans="1:27" x14ac:dyDescent="0.25">
      <c r="B2" s="7" t="s">
        <v>212</v>
      </c>
      <c r="C2" s="5">
        <v>2025</v>
      </c>
      <c r="D2" s="5">
        <v>2026</v>
      </c>
      <c r="E2" s="5">
        <v>2027</v>
      </c>
      <c r="F2" s="5">
        <v>2028</v>
      </c>
      <c r="G2" s="5">
        <v>2029</v>
      </c>
      <c r="H2" s="5">
        <v>2030</v>
      </c>
      <c r="I2" s="5">
        <v>2031</v>
      </c>
      <c r="J2" s="5">
        <v>2032</v>
      </c>
      <c r="K2" s="5">
        <v>2033</v>
      </c>
      <c r="L2" s="5">
        <v>2034</v>
      </c>
      <c r="O2" s="45" t="s">
        <v>87</v>
      </c>
      <c r="P2" s="8" t="s">
        <v>439</v>
      </c>
      <c r="Q2" s="8" t="s">
        <v>409</v>
      </c>
      <c r="R2" s="8" t="s">
        <v>410</v>
      </c>
      <c r="S2" s="8" t="s">
        <v>217</v>
      </c>
      <c r="T2" s="8" t="s">
        <v>439</v>
      </c>
      <c r="U2" s="8" t="s">
        <v>409</v>
      </c>
      <c r="V2" s="8" t="s">
        <v>410</v>
      </c>
      <c r="W2" s="8" t="s">
        <v>217</v>
      </c>
      <c r="X2" s="8" t="s">
        <v>439</v>
      </c>
      <c r="Y2" s="8" t="s">
        <v>409</v>
      </c>
      <c r="Z2" s="8" t="s">
        <v>410</v>
      </c>
      <c r="AA2" s="8" t="s">
        <v>217</v>
      </c>
    </row>
    <row r="3" spans="1:27" x14ac:dyDescent="0.25">
      <c r="A3" t="s">
        <v>3</v>
      </c>
      <c r="B3" s="8" t="str">
        <f>IF(VLOOKUP(A3,'1. Set Program Names'!$A$2:$B$15,2,0)&lt;&gt;0,VLOOKUP(A3,'1. Set Program Names'!$A$2:$B$15,2,0),"")</f>
        <v>Res Existing Home</v>
      </c>
      <c r="C3" s="83">
        <f>IF(B3="","",SUMIFS('2. Program Allocation Output'!AI:AI,'2. Program Allocation Output'!$A:$A,$C$1,'2. Program Allocation Output'!$H:$H,$B3)/10^3)</f>
        <v>849.42228308064296</v>
      </c>
      <c r="D3" s="83">
        <f>IF(C3="","",SUMIFS('2. Program Allocation Output'!AJ:AJ,'2. Program Allocation Output'!$A:$A,$C$1,'2. Program Allocation Output'!$H:$H,$B3)/10^3)</f>
        <v>895.01812346818997</v>
      </c>
      <c r="E3" s="83">
        <f>IF(D3="","",SUMIFS('2. Program Allocation Output'!AK:AK,'2. Program Allocation Output'!$A:$A,$C$1,'2. Program Allocation Output'!$H:$H,$B3)/10^3)</f>
        <v>939.80559245545464</v>
      </c>
      <c r="F3" s="83">
        <f>IF(E3="","",SUMIFS('2. Program Allocation Output'!AL:AL,'2. Program Allocation Output'!$A:$A,$C$1,'2. Program Allocation Output'!$H:$H,$B3)/10^3)</f>
        <v>985.38174430545064</v>
      </c>
      <c r="G3" s="83">
        <f>IF(F3="","",SUMIFS('2. Program Allocation Output'!AM:AM,'2. Program Allocation Output'!$A:$A,$C$1,'2. Program Allocation Output'!$H:$H,$B3)/10^3)</f>
        <v>1031.6805695010455</v>
      </c>
      <c r="H3" s="83">
        <f>IF(G3="","",SUMIFS('2. Program Allocation Output'!AN:AN,'2. Program Allocation Output'!$A:$A,$C$1,'2. Program Allocation Output'!$H:$H,$B3)/10^3)</f>
        <v>1075.6850829110849</v>
      </c>
      <c r="I3" s="83">
        <f>IF(H3="","",SUMIFS('2. Program Allocation Output'!AO:AO,'2. Program Allocation Output'!$A:$A,$C$1,'2. Program Allocation Output'!$H:$H,$B3)/10^3)</f>
        <v>1125.3569649610986</v>
      </c>
      <c r="J3" s="83">
        <f>IF(I3="","",SUMIFS('2. Program Allocation Output'!AP:AP,'2. Program Allocation Output'!$A:$A,$C$1,'2. Program Allocation Output'!$H:$H,$B3)/10^3)</f>
        <v>1182.8269856899367</v>
      </c>
      <c r="K3" s="83">
        <f>IF(J3="","",SUMIFS('2. Program Allocation Output'!AQ:AQ,'2. Program Allocation Output'!$A:$A,$C$1,'2. Program Allocation Output'!$H:$H,$B3)/10^3)</f>
        <v>1248.4860863458719</v>
      </c>
      <c r="L3" s="83">
        <f>IF(K3="","",SUMIFS('2. Program Allocation Output'!AR:AR,'2. Program Allocation Output'!$A:$A,$C$1,'2. Program Allocation Output'!$H:$H,$B3)/10^3)</f>
        <v>1322.447113447992</v>
      </c>
      <c r="M3" s="47"/>
      <c r="N3" t="s">
        <v>3</v>
      </c>
      <c r="O3" s="8" t="str">
        <f>IF(VLOOKUP(N3,'1. Set Program Names'!$A$2:$B$15,2,0)&lt;&gt;0,VLOOKUP(N3,'1. Set Program Names'!$A$2:$B$15,2,0),"")</f>
        <v>Res Existing Home</v>
      </c>
      <c r="P3" s="15">
        <f>IF($O3="","",SUMIFS('2. Program Allocation Output'!$AY:$AY,'2. Program Allocation Output'!$A:$A,$O$2,'2. Program Allocation Output'!$H:$H,$O3)
+SUMIFS('2. Program Allocation Output'!$AX:$AX,'2. Program Allocation Output'!$A:$A,$O$2,'2. Program Allocation Output'!$H:$H,$O3)
-SUMIFS('2. Program Allocation Output'!$AW:$AW,'2. Program Allocation Output'!$A:$A,$O$2,'2. Program Allocation Output'!$H:$H,$O3)
-SUMIFS('2. Program Allocation Output'!$BA:$BA,'2. Program Allocation Output'!$A:$A,$O$2,'2. Program Allocation Output'!$H:$H,$O3))</f>
        <v>-1439575.6535217799</v>
      </c>
      <c r="Q3" s="15">
        <f>IFERROR(IF($O3="","",(SUMIFS('2. Program Allocation Output'!$AY:$AY,'2. Program Allocation Output'!$A:$A,$O$2,'2. Program Allocation Output'!$H:$H,$O3)
+SUMIFS('2. Program Allocation Output'!$AX:$AX,'2. Program Allocation Output'!$A:$A,$O$2,'2. Program Allocation Output'!$H:$H,$O3))),"")</f>
        <v>8720948.0990515351</v>
      </c>
      <c r="R3" s="15">
        <f>IFERROR(IF($O3="","",(SUMIFS('2. Program Allocation Output'!$AW:$AW,'2. Program Allocation Output'!$A:$A,$O$2,'2. Program Allocation Output'!$H:$H,$O3)
+SUMIFS('2. Program Allocation Output'!$BA:$BA,'2. Program Allocation Output'!$A:$A,$O$2,'2. Program Allocation Output'!$H:$H,$O3))),"")</f>
        <v>10160523.752573315</v>
      </c>
      <c r="S3" s="33">
        <f>IFERROR(IF($O3="","",(SUMIFS('2. Program Allocation Output'!$AY:$AY,'2. Program Allocation Output'!$A:$A,$O$2,'2. Program Allocation Output'!$H:$H,$O3)
+SUMIFS('2. Program Allocation Output'!$AX:$AX,'2. Program Allocation Output'!$A:$A,$O$2,'2. Program Allocation Output'!$H:$H,$O3))/
(SUMIFS('2. Program Allocation Output'!$AW:$AW,'2. Program Allocation Output'!$A:$A,$O$2,'2. Program Allocation Output'!$H:$H,$O3)
+SUMIFS('2. Program Allocation Output'!$BA:$BA,'2. Program Allocation Output'!$A:$A,$O$2,'2. Program Allocation Output'!$H:$H,$O3))),0)</f>
        <v>0.85831678675450329</v>
      </c>
      <c r="T3" s="15">
        <f>IF($O3="","",SUMIFS('2. Program Allocation Output'!$AV:$AV,'2. Program Allocation Output'!$A:$A,$O$2,'2. Program Allocation Output'!$H:$H,$O3)
+SUMIFS('2. Program Allocation Output'!$AZ:$AZ,'2. Program Allocation Output'!$A:$A,$O$2,'2. Program Allocation Output'!$H:$H,$O3)
+SUMIFS('2. Program Allocation Output'!$AX:$AX,'2. Program Allocation Output'!$A:$A,$O$2,'2. Program Allocation Output'!$H:$H,$O3)
-SUMIFS('2. Program Allocation Output'!$BA:$BA,'2. Program Allocation Output'!$A:$A,$O$2,'2. Program Allocation Output'!$H:$H,$O3))</f>
        <v>12998055.510613609</v>
      </c>
      <c r="U3" s="15">
        <f>IF($O3="","",(SUMIFS('2. Program Allocation Output'!$AV:$AV,'2. Program Allocation Output'!$A:$A,$O$2,'2. Program Allocation Output'!$H:$H,$O3)
+SUMIFS('2. Program Allocation Output'!$AZ:$AZ,'2. Program Allocation Output'!$A:$A,$O$2,'2. Program Allocation Output'!$H:$H,$O3)
+SUMIFS('2. Program Allocation Output'!$AX:$AX,'2. Program Allocation Output'!$A:$A,$O$2,'2. Program Allocation Output'!$H:$H,$O3)))</f>
        <v>18407620.102938503</v>
      </c>
      <c r="V3" s="15">
        <f>IF($O3="","",SUMIFS('2. Program Allocation Output'!$BA:$BA,'2. Program Allocation Output'!$A:$A,$O$2,'2. Program Allocation Output'!$H:$H,$O3))</f>
        <v>5409564.592324893</v>
      </c>
      <c r="W3" s="33">
        <f>IFERROR(IF($O3="","",(SUMIFS('2. Program Allocation Output'!$AV:$AV,'2. Program Allocation Output'!$A:$A,$O$2,'2. Program Allocation Output'!$H:$H,$O3)
+SUMIFS('2. Program Allocation Output'!$AZ:$AZ,'2. Program Allocation Output'!$A:$A,$O$2,'2. Program Allocation Output'!$H:$H,$O3)
+SUMIFS('2. Program Allocation Output'!$AX:$AX,'2. Program Allocation Output'!$A:$A,$O$2,'2. Program Allocation Output'!$H:$H,$O3))/
SUMIFS('2. Program Allocation Output'!$BA:$BA,'2. Program Allocation Output'!$A:$A,$O$2,'2. Program Allocation Output'!$H:$H,$O3)),0)</f>
        <v>3.4027914425969312</v>
      </c>
      <c r="X3" s="15">
        <f>IF($O3="","",SUMIFS('2. Program Allocation Output'!$AY:$AY,'2. Program Allocation Output'!$A:$A,$O$2,'2. Program Allocation Output'!$H:$H,$O3)
-SUMIFS('2. Program Allocation Output'!$AW:$AW,'2. Program Allocation Output'!$A:$A,$O$2,'2. Program Allocation Output'!$H:$H,$O3)
-SUMIFS('2. Program Allocation Output'!$AV:$AV,'2. Program Allocation Output'!$A:$A,$O$2,'2. Program Allocation Output'!$H:$H,$O3)
-SUMIFS('2. Program Allocation Output'!$AZ:$AZ,'2. Program Allocation Output'!$A:$A,$O$2,'2. Program Allocation Output'!$H:$H,$O3))</f>
        <v>-14437631.164135389</v>
      </c>
      <c r="Y3" s="15">
        <f>IF($O3="","",(SUMIFS('2. Program Allocation Output'!$AY:$AY,'2. Program Allocation Output'!$A:$A,$O$2,'2. Program Allocation Output'!$H:$H,$O3)))</f>
        <v>6057450.1573001649</v>
      </c>
      <c r="Z3" s="15">
        <f>IF($O3="","",(SUMIFS('2. Program Allocation Output'!$AW:$AW,'2. Program Allocation Output'!$A:$A,$O$2,'2. Program Allocation Output'!$H:$H,$O3)
+SUMIFS('2. Program Allocation Output'!$AV:$AV,'2. Program Allocation Output'!$A:$A,$O$2,'2. Program Allocation Output'!$H:$H,$O3)
+SUMIFS('2. Program Allocation Output'!$AZ:$AZ,'2. Program Allocation Output'!$A:$A,$O$2,'2. Program Allocation Output'!$H:$H,$O3)))</f>
        <v>20495081.321435556</v>
      </c>
      <c r="AA3" s="33">
        <f>IFERROR(IF($O3="","",(SUMIFS('2. Program Allocation Output'!$AY:$AY,'2. Program Allocation Output'!$A:$A,$O$2,'2. Program Allocation Output'!$H:$H,$O3))/
(SUMIFS('2. Program Allocation Output'!$AW:$AW,'2. Program Allocation Output'!$A:$A,$O$2,'2. Program Allocation Output'!$H:$H,$O3)
+SUMIFS('2. Program Allocation Output'!$AV:$AV,'2. Program Allocation Output'!$A:$A,$O$2,'2. Program Allocation Output'!$H:$H,$O3)
+SUMIFS('2. Program Allocation Output'!$AZ:$AZ,'2. Program Allocation Output'!$A:$A,$O$2,'2. Program Allocation Output'!$H:$H,$O3))),0)</f>
        <v>0.2955562879843151</v>
      </c>
    </row>
    <row r="4" spans="1:27" x14ac:dyDescent="0.25">
      <c r="A4" t="s">
        <v>4</v>
      </c>
      <c r="B4" s="8" t="str">
        <f>IF(VLOOKUP(A4,'1. Set Program Names'!$A$2:$B$15,2,0)&lt;&gt;0,VLOOKUP(A4,'1. Set Program Names'!$A$2:$B$15,2,0),"")</f>
        <v>Res Efficiency Delivered</v>
      </c>
      <c r="C4" s="83">
        <f>IF(B4="","",SUMIFS('2. Program Allocation Output'!AI:AI,'2. Program Allocation Output'!$A:$A,$C$1,'2. Program Allocation Output'!$H:$H,$B4)/10^3)</f>
        <v>73.504559763343437</v>
      </c>
      <c r="D4" s="83">
        <f>IF(C4="","",SUMIFS('2. Program Allocation Output'!AJ:AJ,'2. Program Allocation Output'!$A:$A,$C$1,'2. Program Allocation Output'!$H:$H,$B4)/10^3)</f>
        <v>77.237575939707838</v>
      </c>
      <c r="E4" s="83">
        <f>IF(D4="","",SUMIFS('2. Program Allocation Output'!AK:AK,'2. Program Allocation Output'!$A:$A,$C$1,'2. Program Allocation Output'!$H:$H,$B4)/10^3)</f>
        <v>80.883980818987226</v>
      </c>
      <c r="F4" s="83">
        <f>IF(E4="","",SUMIFS('2. Program Allocation Output'!AL:AL,'2. Program Allocation Output'!$A:$A,$C$1,'2. Program Allocation Output'!$H:$H,$B4)/10^3)</f>
        <v>84.581471478981143</v>
      </c>
      <c r="G4" s="83">
        <f>IF(F4="","",SUMIFS('2. Program Allocation Output'!AM:AM,'2. Program Allocation Output'!$A:$A,$C$1,'2. Program Allocation Output'!$H:$H,$B4)/10^3)</f>
        <v>88.324572445500991</v>
      </c>
      <c r="H4" s="83">
        <f>IF(G4="","",SUMIFS('2. Program Allocation Output'!AN:AN,'2. Program Allocation Output'!$A:$A,$C$1,'2. Program Allocation Output'!$H:$H,$B4)/10^3)</f>
        <v>91.85673686476531</v>
      </c>
      <c r="I4" s="83">
        <f>IF(H4="","",SUMIFS('2. Program Allocation Output'!AO:AO,'2. Program Allocation Output'!$A:$A,$C$1,'2. Program Allocation Output'!$H:$H,$B4)/10^3)</f>
        <v>95.858875834944826</v>
      </c>
      <c r="J4" s="83">
        <f>IF(I4="","",SUMIFS('2. Program Allocation Output'!AP:AP,'2. Program Allocation Output'!$A:$A,$C$1,'2. Program Allocation Output'!$H:$H,$B4)/10^3)</f>
        <v>100.51018033025009</v>
      </c>
      <c r="K4" s="83">
        <f>IF(J4="","",SUMIFS('2. Program Allocation Output'!AQ:AQ,'2. Program Allocation Output'!$A:$A,$C$1,'2. Program Allocation Output'!$H:$H,$B4)/10^3)</f>
        <v>105.8403939864185</v>
      </c>
      <c r="L4" s="83">
        <f>IF(K4="","",SUMIFS('2. Program Allocation Output'!AR:AR,'2. Program Allocation Output'!$A:$A,$C$1,'2. Program Allocation Output'!$H:$H,$B4)/10^3)</f>
        <v>111.85586498191164</v>
      </c>
      <c r="M4" s="47"/>
      <c r="N4" t="s">
        <v>4</v>
      </c>
      <c r="O4" s="8" t="str">
        <f>IF(VLOOKUP(N4,'1. Set Program Names'!$A$2:$B$15,2,0)&lt;&gt;0,VLOOKUP(N4,'1. Set Program Names'!$A$2:$B$15,2,0),"")</f>
        <v>Res Efficiency Delivered</v>
      </c>
      <c r="P4" s="15">
        <f>IF($O4="","",SUMIFS('2. Program Allocation Output'!$AY:$AY,'2. Program Allocation Output'!$A:$A,$O$2,'2. Program Allocation Output'!$H:$H,$O4)
+SUMIFS('2. Program Allocation Output'!$AX:$AX,'2. Program Allocation Output'!$A:$A,$O$2,'2. Program Allocation Output'!$H:$H,$O4)
-SUMIFS('2. Program Allocation Output'!$AW:$AW,'2. Program Allocation Output'!$A:$A,$O$2,'2. Program Allocation Output'!$H:$H,$O4)
-SUMIFS('2. Program Allocation Output'!$BA:$BA,'2. Program Allocation Output'!$A:$A,$O$2,'2. Program Allocation Output'!$H:$H,$O4))</f>
        <v>-341217.02893726231</v>
      </c>
      <c r="Q4" s="15">
        <f>IFERROR(IF($O4="","",(SUMIFS('2. Program Allocation Output'!$AY:$AY,'2. Program Allocation Output'!$A:$A,$O$2,'2. Program Allocation Output'!$H:$H,$O4)
+SUMIFS('2. Program Allocation Output'!$AX:$AX,'2. Program Allocation Output'!$A:$A,$O$2,'2. Program Allocation Output'!$H:$H,$O4))),"")</f>
        <v>525974.82671747403</v>
      </c>
      <c r="R4" s="15">
        <f>IFERROR(IF($O4="","",(SUMIFS('2. Program Allocation Output'!$AW:$AW,'2. Program Allocation Output'!$A:$A,$O$2,'2. Program Allocation Output'!$H:$H,$O4)
+SUMIFS('2. Program Allocation Output'!$BA:$BA,'2. Program Allocation Output'!$A:$A,$O$2,'2. Program Allocation Output'!$H:$H,$O4))),"")</f>
        <v>867191.85565473628</v>
      </c>
      <c r="S4" s="33">
        <f>IFERROR(IF($O4="","",(SUMIFS('2. Program Allocation Output'!$AY:$AY,'2. Program Allocation Output'!$A:$A,$O$2,'2. Program Allocation Output'!$H:$H,$O4)
+SUMIFS('2. Program Allocation Output'!$AX:$AX,'2. Program Allocation Output'!$A:$A,$O$2,'2. Program Allocation Output'!$H:$H,$O4))/
(SUMIFS('2. Program Allocation Output'!$AW:$AW,'2. Program Allocation Output'!$A:$A,$O$2,'2. Program Allocation Output'!$H:$H,$O4)
+SUMIFS('2. Program Allocation Output'!$BA:$BA,'2. Program Allocation Output'!$A:$A,$O$2,'2. Program Allocation Output'!$H:$H,$O4))),0)</f>
        <v>0.60652648348543259</v>
      </c>
      <c r="T4" s="15">
        <f>IF($O4="","",SUMIFS('2. Program Allocation Output'!$AV:$AV,'2. Program Allocation Output'!$A:$A,$O$2,'2. Program Allocation Output'!$H:$H,$O4)
+SUMIFS('2. Program Allocation Output'!$AZ:$AZ,'2. Program Allocation Output'!$A:$A,$O$2,'2. Program Allocation Output'!$H:$H,$O4)
+SUMIFS('2. Program Allocation Output'!$AX:$AX,'2. Program Allocation Output'!$A:$A,$O$2,'2. Program Allocation Output'!$H:$H,$O4)
-SUMIFS('2. Program Allocation Output'!$BA:$BA,'2. Program Allocation Output'!$A:$A,$O$2,'2. Program Allocation Output'!$H:$H,$O4))</f>
        <v>935030.4470038407</v>
      </c>
      <c r="U4" s="15">
        <f>IF($O4="","",(SUMIFS('2. Program Allocation Output'!$AV:$AV,'2. Program Allocation Output'!$A:$A,$O$2,'2. Program Allocation Output'!$H:$H,$O4)
+SUMIFS('2. Program Allocation Output'!$AZ:$AZ,'2. Program Allocation Output'!$A:$A,$O$2,'2. Program Allocation Output'!$H:$H,$O4)
+SUMIFS('2. Program Allocation Output'!$AX:$AX,'2. Program Allocation Output'!$A:$A,$O$2,'2. Program Allocation Output'!$H:$H,$O4)))</f>
        <v>1408394.7821843249</v>
      </c>
      <c r="V4" s="15">
        <f>IF($O4="","",SUMIFS('2. Program Allocation Output'!$BA:$BA,'2. Program Allocation Output'!$A:$A,$O$2,'2. Program Allocation Output'!$H:$H,$O4))</f>
        <v>473364.33518048422</v>
      </c>
      <c r="W4" s="33">
        <f>IFERROR(IF($O4="","",(SUMIFS('2. Program Allocation Output'!$AV:$AV,'2. Program Allocation Output'!$A:$A,$O$2,'2. Program Allocation Output'!$H:$H,$O4)
+SUMIFS('2. Program Allocation Output'!$AZ:$AZ,'2. Program Allocation Output'!$A:$A,$O$2,'2. Program Allocation Output'!$H:$H,$O4)
+SUMIFS('2. Program Allocation Output'!$AX:$AX,'2. Program Allocation Output'!$A:$A,$O$2,'2. Program Allocation Output'!$H:$H,$O4))/
SUMIFS('2. Program Allocation Output'!$BA:$BA,'2. Program Allocation Output'!$A:$A,$O$2,'2. Program Allocation Output'!$H:$H,$O4)),0)</f>
        <v>2.9752870622315317</v>
      </c>
      <c r="X4" s="15">
        <f>IF($O4="","",SUMIFS('2. Program Allocation Output'!$AY:$AY,'2. Program Allocation Output'!$A:$A,$O$2,'2. Program Allocation Output'!$H:$H,$O4)
-SUMIFS('2. Program Allocation Output'!$AW:$AW,'2. Program Allocation Output'!$A:$A,$O$2,'2. Program Allocation Output'!$H:$H,$O4)
-SUMIFS('2. Program Allocation Output'!$AV:$AV,'2. Program Allocation Output'!$A:$A,$O$2,'2. Program Allocation Output'!$H:$H,$O4)
-SUMIFS('2. Program Allocation Output'!$AZ:$AZ,'2. Program Allocation Output'!$A:$A,$O$2,'2. Program Allocation Output'!$H:$H,$O4))</f>
        <v>-1276247.475941103</v>
      </c>
      <c r="Y4" s="15">
        <f>IF($O4="","",(SUMIFS('2. Program Allocation Output'!$AY:$AY,'2. Program Allocation Output'!$A:$A,$O$2,'2. Program Allocation Output'!$H:$H,$O4)))</f>
        <v>525974.82671747403</v>
      </c>
      <c r="Z4" s="15">
        <f>IF($O4="","",(SUMIFS('2. Program Allocation Output'!$AW:$AW,'2. Program Allocation Output'!$A:$A,$O$2,'2. Program Allocation Output'!$H:$H,$O4)
+SUMIFS('2. Program Allocation Output'!$AV:$AV,'2. Program Allocation Output'!$A:$A,$O$2,'2. Program Allocation Output'!$H:$H,$O4)
+SUMIFS('2. Program Allocation Output'!$AZ:$AZ,'2. Program Allocation Output'!$A:$A,$O$2,'2. Program Allocation Output'!$H:$H,$O4)))</f>
        <v>1802222.302658577</v>
      </c>
      <c r="AA4" s="33">
        <f>IFERROR(IF($O4="","",(SUMIFS('2. Program Allocation Output'!$AY:$AY,'2. Program Allocation Output'!$A:$A,$O$2,'2. Program Allocation Output'!$H:$H,$O4))/
(SUMIFS('2. Program Allocation Output'!$AW:$AW,'2. Program Allocation Output'!$A:$A,$O$2,'2. Program Allocation Output'!$H:$H,$O4)
+SUMIFS('2. Program Allocation Output'!$AV:$AV,'2. Program Allocation Output'!$A:$A,$O$2,'2. Program Allocation Output'!$H:$H,$O4)
+SUMIFS('2. Program Allocation Output'!$AZ:$AZ,'2. Program Allocation Output'!$A:$A,$O$2,'2. Program Allocation Output'!$H:$H,$O4))),0)</f>
        <v>0.29184791795194959</v>
      </c>
    </row>
    <row r="5" spans="1:27" x14ac:dyDescent="0.25">
      <c r="A5" t="s">
        <v>6</v>
      </c>
      <c r="B5" s="8" t="str">
        <f>IF(VLOOKUP(A5,'1. Set Program Names'!$A$2:$B$15,2,0)&lt;&gt;0,VLOOKUP(A5,'1. Set Program Names'!$A$2:$B$15,2,0),"")</f>
        <v>Res New Home</v>
      </c>
      <c r="C5" s="83">
        <f>IF(B5="","",SUMIFS('2. Program Allocation Output'!AI:AI,'2. Program Allocation Output'!$A:$A,$C$1,'2. Program Allocation Output'!$H:$H,$B5)/10^3)</f>
        <v>112.56018552620728</v>
      </c>
      <c r="D5" s="83">
        <f>IF(C5="","",SUMIFS('2. Program Allocation Output'!AJ:AJ,'2. Program Allocation Output'!$A:$A,$C$1,'2. Program Allocation Output'!$H:$H,$B5)/10^3)</f>
        <v>119.30257730452186</v>
      </c>
      <c r="E5" s="83">
        <f>IF(D5="","",SUMIFS('2. Program Allocation Output'!AK:AK,'2. Program Allocation Output'!$A:$A,$C$1,'2. Program Allocation Output'!$H:$H,$B5)/10^3)</f>
        <v>125.92045757405241</v>
      </c>
      <c r="F5" s="83">
        <f>IF(E5="","",SUMIFS('2. Program Allocation Output'!AL:AL,'2. Program Allocation Output'!$A:$A,$C$1,'2. Program Allocation Output'!$H:$H,$B5)/10^3)</f>
        <v>132.63116940090055</v>
      </c>
      <c r="G5" s="83">
        <f>IF(F5="","",SUMIFS('2. Program Allocation Output'!AM:AM,'2. Program Allocation Output'!$A:$A,$C$1,'2. Program Allocation Output'!$H:$H,$B5)/10^3)</f>
        <v>139.42970796282501</v>
      </c>
      <c r="H5" s="83">
        <f>IF(G5="","",SUMIFS('2. Program Allocation Output'!AN:AN,'2. Program Allocation Output'!$A:$A,$C$1,'2. Program Allocation Output'!$H:$H,$B5)/10^3)</f>
        <v>145.90935582704245</v>
      </c>
      <c r="I5" s="83">
        <f>IF(H5="","",SUMIFS('2. Program Allocation Output'!AO:AO,'2. Program Allocation Output'!$A:$A,$C$1,'2. Program Allocation Output'!$H:$H,$B5)/10^3)</f>
        <v>153.15150776042856</v>
      </c>
      <c r="J5" s="83">
        <f>IF(I5="","",SUMIFS('2. Program Allocation Output'!AP:AP,'2. Program Allocation Output'!$A:$A,$C$1,'2. Program Allocation Output'!$H:$H,$B5)/10^3)</f>
        <v>161.45474432064435</v>
      </c>
      <c r="K5" s="83">
        <f>IF(J5="","",SUMIFS('2. Program Allocation Output'!AQ:AQ,'2. Program Allocation Output'!$A:$A,$C$1,'2. Program Allocation Output'!$H:$H,$B5)/10^3)</f>
        <v>170.88134181497702</v>
      </c>
      <c r="L5" s="83">
        <f>IF(K5="","",SUMIFS('2. Program Allocation Output'!AR:AR,'2. Program Allocation Output'!$A:$A,$C$1,'2. Program Allocation Output'!$H:$H,$B5)/10^3)</f>
        <v>181.4543538416826</v>
      </c>
      <c r="M5" s="47"/>
      <c r="N5" t="s">
        <v>6</v>
      </c>
      <c r="O5" s="8" t="str">
        <f>IF(VLOOKUP(N5,'1. Set Program Names'!$A$2:$B$15,2,0)&lt;&gt;0,VLOOKUP(N5,'1. Set Program Names'!$A$2:$B$15,2,0),"")</f>
        <v>Res New Home</v>
      </c>
      <c r="P5" s="15">
        <f>IF($O5="","",SUMIFS('2. Program Allocation Output'!$AY:$AY,'2. Program Allocation Output'!$A:$A,$O$2,'2. Program Allocation Output'!$H:$H,$O5)
+SUMIFS('2. Program Allocation Output'!$AX:$AX,'2. Program Allocation Output'!$A:$A,$O$2,'2. Program Allocation Output'!$H:$H,$O5)
-SUMIFS('2. Program Allocation Output'!$AW:$AW,'2. Program Allocation Output'!$A:$A,$O$2,'2. Program Allocation Output'!$H:$H,$O5)
-SUMIFS('2. Program Allocation Output'!$BA:$BA,'2. Program Allocation Output'!$A:$A,$O$2,'2. Program Allocation Output'!$H:$H,$O5))</f>
        <v>-144685.74933944503</v>
      </c>
      <c r="Q5" s="15">
        <f>IFERROR(IF($O5="","",(SUMIFS('2. Program Allocation Output'!$AY:$AY,'2. Program Allocation Output'!$A:$A,$O$2,'2. Program Allocation Output'!$H:$H,$O5)
+SUMIFS('2. Program Allocation Output'!$AX:$AX,'2. Program Allocation Output'!$A:$A,$O$2,'2. Program Allocation Output'!$H:$H,$O5))),"")</f>
        <v>1179071.1614726847</v>
      </c>
      <c r="R5" s="15">
        <f>IFERROR(IF($O5="","",(SUMIFS('2. Program Allocation Output'!$AW:$AW,'2. Program Allocation Output'!$A:$A,$O$2,'2. Program Allocation Output'!$H:$H,$O5)
+SUMIFS('2. Program Allocation Output'!$BA:$BA,'2. Program Allocation Output'!$A:$A,$O$2,'2. Program Allocation Output'!$H:$H,$O5))),"")</f>
        <v>1323756.9108121297</v>
      </c>
      <c r="S5" s="33">
        <f>IFERROR(IF($O5="","",(SUMIFS('2. Program Allocation Output'!$AY:$AY,'2. Program Allocation Output'!$A:$A,$O$2,'2. Program Allocation Output'!$H:$H,$O5)
+SUMIFS('2. Program Allocation Output'!$AX:$AX,'2. Program Allocation Output'!$A:$A,$O$2,'2. Program Allocation Output'!$H:$H,$O5))/
(SUMIFS('2. Program Allocation Output'!$AW:$AW,'2. Program Allocation Output'!$A:$A,$O$2,'2. Program Allocation Output'!$H:$H,$O5)
+SUMIFS('2. Program Allocation Output'!$BA:$BA,'2. Program Allocation Output'!$A:$A,$O$2,'2. Program Allocation Output'!$H:$H,$O5))),0)</f>
        <v>0.89070066553935512</v>
      </c>
      <c r="T5" s="15">
        <f>IF($O5="","",SUMIFS('2. Program Allocation Output'!$AV:$AV,'2. Program Allocation Output'!$A:$A,$O$2,'2. Program Allocation Output'!$H:$H,$O5)
+SUMIFS('2. Program Allocation Output'!$AZ:$AZ,'2. Program Allocation Output'!$A:$A,$O$2,'2. Program Allocation Output'!$H:$H,$O5)
+SUMIFS('2. Program Allocation Output'!$AX:$AX,'2. Program Allocation Output'!$A:$A,$O$2,'2. Program Allocation Output'!$H:$H,$O5)
-SUMIFS('2. Program Allocation Output'!$BA:$BA,'2. Program Allocation Output'!$A:$A,$O$2,'2. Program Allocation Output'!$H:$H,$O5))</f>
        <v>1787071.2978820549</v>
      </c>
      <c r="U5" s="15">
        <f>IF($O5="","",(SUMIFS('2. Program Allocation Output'!$AV:$AV,'2. Program Allocation Output'!$A:$A,$O$2,'2. Program Allocation Output'!$H:$H,$O5)
+SUMIFS('2. Program Allocation Output'!$AZ:$AZ,'2. Program Allocation Output'!$A:$A,$O$2,'2. Program Allocation Output'!$H:$H,$O5)
+SUMIFS('2. Program Allocation Output'!$AX:$AX,'2. Program Allocation Output'!$A:$A,$O$2,'2. Program Allocation Output'!$H:$H,$O5)))</f>
        <v>2460717.070972431</v>
      </c>
      <c r="V5" s="15">
        <f>IF($O5="","",SUMIFS('2. Program Allocation Output'!$BA:$BA,'2. Program Allocation Output'!$A:$A,$O$2,'2. Program Allocation Output'!$H:$H,$O5))</f>
        <v>673645.77309037617</v>
      </c>
      <c r="W5" s="33">
        <f>IFERROR(IF($O5="","",(SUMIFS('2. Program Allocation Output'!$AV:$AV,'2. Program Allocation Output'!$A:$A,$O$2,'2. Program Allocation Output'!$H:$H,$O5)
+SUMIFS('2. Program Allocation Output'!$AZ:$AZ,'2. Program Allocation Output'!$A:$A,$O$2,'2. Program Allocation Output'!$H:$H,$O5)
+SUMIFS('2. Program Allocation Output'!$AX:$AX,'2. Program Allocation Output'!$A:$A,$O$2,'2. Program Allocation Output'!$H:$H,$O5))/
SUMIFS('2. Program Allocation Output'!$BA:$BA,'2. Program Allocation Output'!$A:$A,$O$2,'2. Program Allocation Output'!$H:$H,$O5)),0)</f>
        <v>3.6528353168220677</v>
      </c>
      <c r="X5" s="15">
        <f>IF($O5="","",SUMIFS('2. Program Allocation Output'!$AY:$AY,'2. Program Allocation Output'!$A:$A,$O$2,'2. Program Allocation Output'!$H:$H,$O5)
-SUMIFS('2. Program Allocation Output'!$AW:$AW,'2. Program Allocation Output'!$A:$A,$O$2,'2. Program Allocation Output'!$H:$H,$O5)
-SUMIFS('2. Program Allocation Output'!$AV:$AV,'2. Program Allocation Output'!$A:$A,$O$2,'2. Program Allocation Output'!$H:$H,$O5)
-SUMIFS('2. Program Allocation Output'!$AZ:$AZ,'2. Program Allocation Output'!$A:$A,$O$2,'2. Program Allocation Output'!$H:$H,$O5))</f>
        <v>-1931757.0472214995</v>
      </c>
      <c r="Y5" s="15">
        <f>IF($O5="","",(SUMIFS('2. Program Allocation Output'!$AY:$AY,'2. Program Allocation Output'!$A:$A,$O$2,'2. Program Allocation Output'!$H:$H,$O5)))</f>
        <v>798571.4555082029</v>
      </c>
      <c r="Z5" s="15">
        <f>IF($O5="","",(SUMIFS('2. Program Allocation Output'!$AW:$AW,'2. Program Allocation Output'!$A:$A,$O$2,'2. Program Allocation Output'!$H:$H,$O5)
+SUMIFS('2. Program Allocation Output'!$AV:$AV,'2. Program Allocation Output'!$A:$A,$O$2,'2. Program Allocation Output'!$H:$H,$O5)
+SUMIFS('2. Program Allocation Output'!$AZ:$AZ,'2. Program Allocation Output'!$A:$A,$O$2,'2. Program Allocation Output'!$H:$H,$O5)))</f>
        <v>2730328.5027297027</v>
      </c>
      <c r="AA5" s="33">
        <f>IFERROR(IF($O5="","",(SUMIFS('2. Program Allocation Output'!$AY:$AY,'2. Program Allocation Output'!$A:$A,$O$2,'2. Program Allocation Output'!$H:$H,$O5))/
(SUMIFS('2. Program Allocation Output'!$AW:$AW,'2. Program Allocation Output'!$A:$A,$O$2,'2. Program Allocation Output'!$H:$H,$O5)
+SUMIFS('2. Program Allocation Output'!$AV:$AV,'2. Program Allocation Output'!$A:$A,$O$2,'2. Program Allocation Output'!$H:$H,$O5)
+SUMIFS('2. Program Allocation Output'!$AZ:$AZ,'2. Program Allocation Output'!$A:$A,$O$2,'2. Program Allocation Output'!$H:$H,$O5))),0)</f>
        <v>0.29248182213598639</v>
      </c>
    </row>
    <row r="6" spans="1:27" hidden="1" x14ac:dyDescent="0.25">
      <c r="A6" t="s">
        <v>8</v>
      </c>
      <c r="B6" s="8" t="str">
        <f>IF(VLOOKUP(A6,'1. Set Program Names'!$A$2:$B$15,2,0)&lt;&gt;0,VLOOKUP(A6,'1. Set Program Names'!$A$2:$B$15,2,0),"")</f>
        <v/>
      </c>
      <c r="C6" s="83"/>
      <c r="D6" s="83"/>
      <c r="E6" s="83"/>
      <c r="F6" s="83"/>
      <c r="G6" s="83"/>
      <c r="H6" s="83"/>
      <c r="I6" s="83"/>
      <c r="J6" s="83"/>
      <c r="K6" s="83"/>
      <c r="L6" s="83"/>
      <c r="N6" t="s">
        <v>8</v>
      </c>
      <c r="O6" s="8" t="str">
        <f>IF(VLOOKUP(N6,'1. Set Program Names'!$A$2:$B$15,2,0)&lt;&gt;0,VLOOKUP(N6,'1. Set Program Names'!$A$2:$B$15,2,0),"")</f>
        <v/>
      </c>
      <c r="P6" s="15" t="str">
        <f>IF($O6="","",SUMIFS('2. Program Allocation Output'!$AY:$AY,'2. Program Allocation Output'!$A:$A,$O$2,'2. Program Allocation Output'!$H:$H,$O6)
+SUMIFS('2. Program Allocation Output'!$AX:$AX,'2. Program Allocation Output'!$A:$A,$O$2,'2. Program Allocation Output'!$H:$H,$O6)
-SUMIFS('2. Program Allocation Output'!$AW:$AW,'2. Program Allocation Output'!$A:$A,$O$2,'2. Program Allocation Output'!$H:$H,$O6)
-SUMIFS('2. Program Allocation Output'!$BA:$BA,'2. Program Allocation Output'!$A:$A,$O$2,'2. Program Allocation Output'!$H:$H,$O6))</f>
        <v/>
      </c>
      <c r="Q6" s="15" t="str">
        <f>IFERROR(IF($O6="","",(SUMIFS('2. Program Allocation Output'!$AY:$AY,'2. Program Allocation Output'!$A:$A,$O$2,'2. Program Allocation Output'!$H:$H,$O6)
+SUMIFS('2. Program Allocation Output'!$AX:$AX,'2. Program Allocation Output'!$A:$A,$O$2,'2. Program Allocation Output'!$H:$H,$O6))),"")</f>
        <v/>
      </c>
      <c r="R6" s="15" t="str">
        <f>IFERROR(IF($O6="","",(SUMIFS('2. Program Allocation Output'!$AW:$AW,'2. Program Allocation Output'!$A:$A,$O$2,'2. Program Allocation Output'!$H:$H,$O6)
+SUMIFS('2. Program Allocation Output'!$BA:$BA,'2. Program Allocation Output'!$A:$A,$O$2,'2. Program Allocation Output'!$H:$H,$O6))),"")</f>
        <v/>
      </c>
      <c r="S6" s="33" t="str">
        <f>IFERROR(IF($O6="","",(SUMIFS('2. Program Allocation Output'!$AY:$AY,'2. Program Allocation Output'!$A:$A,$O$2,'2. Program Allocation Output'!$H:$H,$O6)
+SUMIFS('2. Program Allocation Output'!$AX:$AX,'2. Program Allocation Output'!$A:$A,$O$2,'2. Program Allocation Output'!$H:$H,$O6))/
(SUMIFS('2. Program Allocation Output'!$AW:$AW,'2. Program Allocation Output'!$A:$A,$O$2,'2. Program Allocation Output'!$H:$H,$O6)
+SUMIFS('2. Program Allocation Output'!$BA:$BA,'2. Program Allocation Output'!$A:$A,$O$2,'2. Program Allocation Output'!$H:$H,$O6))),0)</f>
        <v/>
      </c>
      <c r="T6" s="15" t="str">
        <f>IF($O6="","",SUMIFS('2. Program Allocation Output'!$AV:$AV,'2. Program Allocation Output'!$A:$A,$O$2,'2. Program Allocation Output'!$H:$H,$O6)
+SUMIFS('2. Program Allocation Output'!$AZ:$AZ,'2. Program Allocation Output'!$A:$A,$O$2,'2. Program Allocation Output'!$H:$H,$O6)
+SUMIFS('2. Program Allocation Output'!$AX:$AX,'2. Program Allocation Output'!$A:$A,$O$2,'2. Program Allocation Output'!$H:$H,$O6)
-SUMIFS('2. Program Allocation Output'!$BA:$BA,'2. Program Allocation Output'!$A:$A,$O$2,'2. Program Allocation Output'!$H:$H,$O6))</f>
        <v/>
      </c>
      <c r="U6" s="15" t="str">
        <f>IF($O6="","",(SUMIFS('2. Program Allocation Output'!$AV:$AV,'2. Program Allocation Output'!$A:$A,$O$2,'2. Program Allocation Output'!$H:$H,$O6)
+SUMIFS('2. Program Allocation Output'!$AZ:$AZ,'2. Program Allocation Output'!$A:$A,$O$2,'2. Program Allocation Output'!$H:$H,$O6)
+SUMIFS('2. Program Allocation Output'!$AX:$AX,'2. Program Allocation Output'!$A:$A,$O$2,'2. Program Allocation Output'!$H:$H,$O6)))</f>
        <v/>
      </c>
      <c r="V6" s="15" t="str">
        <f>IF($O6="","",SUMIFS('2. Program Allocation Output'!$BA:$BA,'2. Program Allocation Output'!$A:$A,$O$2,'2. Program Allocation Output'!$H:$H,$O6))</f>
        <v/>
      </c>
      <c r="W6" s="33" t="str">
        <f>IFERROR(IF($O6="","",(SUMIFS('2. Program Allocation Output'!$AV:$AV,'2. Program Allocation Output'!$A:$A,$O$2,'2. Program Allocation Output'!$H:$H,$O6)
+SUMIFS('2. Program Allocation Output'!$AZ:$AZ,'2. Program Allocation Output'!$A:$A,$O$2,'2. Program Allocation Output'!$H:$H,$O6)
+SUMIFS('2. Program Allocation Output'!$AX:$AX,'2. Program Allocation Output'!$A:$A,$O$2,'2. Program Allocation Output'!$H:$H,$O6))/
SUMIFS('2. Program Allocation Output'!$BA:$BA,'2. Program Allocation Output'!$A:$A,$O$2,'2. Program Allocation Output'!$H:$H,$O6)),0)</f>
        <v/>
      </c>
      <c r="X6" s="15" t="str">
        <f>IF($O6="","",SUMIFS('2. Program Allocation Output'!$AY:$AY,'2. Program Allocation Output'!$A:$A,$O$2,'2. Program Allocation Output'!$H:$H,$O6)
-SUMIFS('2. Program Allocation Output'!$AW:$AW,'2. Program Allocation Output'!$A:$A,$O$2,'2. Program Allocation Output'!$H:$H,$O6)
-SUMIFS('2. Program Allocation Output'!$AV:$AV,'2. Program Allocation Output'!$A:$A,$O$2,'2. Program Allocation Output'!$H:$H,$O6)
-SUMIFS('2. Program Allocation Output'!$AZ:$AZ,'2. Program Allocation Output'!$A:$A,$O$2,'2. Program Allocation Output'!$H:$H,$O6))</f>
        <v/>
      </c>
      <c r="Y6" s="15" t="str">
        <f>IF($O6="","",(SUMIFS('2. Program Allocation Output'!$AY:$AY,'2. Program Allocation Output'!$A:$A,$O$2,'2. Program Allocation Output'!$H:$H,$O6)))</f>
        <v/>
      </c>
      <c r="Z6" s="15" t="str">
        <f>IF($O6="","",(SUMIFS('2. Program Allocation Output'!$AW:$AW,'2. Program Allocation Output'!$A:$A,$O$2,'2. Program Allocation Output'!$H:$H,$O6)
+SUMIFS('2. Program Allocation Output'!$AV:$AV,'2. Program Allocation Output'!$A:$A,$O$2,'2. Program Allocation Output'!$H:$H,$O6)
+SUMIFS('2. Program Allocation Output'!$AZ:$AZ,'2. Program Allocation Output'!$A:$A,$O$2,'2. Program Allocation Output'!$H:$H,$O6)))</f>
        <v/>
      </c>
      <c r="AA6" s="33" t="str">
        <f>IFERROR(IF($O6="","",(SUMIFS('2. Program Allocation Output'!$AY:$AY,'2. Program Allocation Output'!$A:$A,$O$2,'2. Program Allocation Output'!$H:$H,$O6))/
(SUMIFS('2. Program Allocation Output'!$AW:$AW,'2. Program Allocation Output'!$A:$A,$O$2,'2. Program Allocation Output'!$H:$H,$O6)
+SUMIFS('2. Program Allocation Output'!$AV:$AV,'2. Program Allocation Output'!$A:$A,$O$2,'2. Program Allocation Output'!$H:$H,$O6)
+SUMIFS('2. Program Allocation Output'!$AZ:$AZ,'2. Program Allocation Output'!$A:$A,$O$2,'2. Program Allocation Output'!$H:$H,$O6))),0)</f>
        <v/>
      </c>
    </row>
    <row r="7" spans="1:27" hidden="1" x14ac:dyDescent="0.25">
      <c r="A7" t="s">
        <v>10</v>
      </c>
      <c r="B7" s="8" t="str">
        <f>IF(VLOOKUP(A7,'1. Set Program Names'!$A$2:$B$15,2,0)&lt;&gt;0,VLOOKUP(A7,'1. Set Program Names'!$A$2:$B$15,2,0),"")</f>
        <v/>
      </c>
      <c r="C7" s="83" t="str">
        <f>IF(B7="","",SUMIFS('2. Program Allocation Output'!AI:AI,'2. Program Allocation Output'!$A:$A,$C$1,'2. Program Allocation Output'!$H:$H,$B7)/10^3)</f>
        <v/>
      </c>
      <c r="D7" s="83" t="str">
        <f>IF(C7="","",SUMIFS('2. Program Allocation Output'!AJ:AJ,'2. Program Allocation Output'!$A:$A,$C$1,'2. Program Allocation Output'!$H:$H,$B7)/10^3)</f>
        <v/>
      </c>
      <c r="E7" s="83" t="str">
        <f>IF(D7="","",SUMIFS('2. Program Allocation Output'!AK:AK,'2. Program Allocation Output'!$A:$A,$C$1,'2. Program Allocation Output'!$H:$H,$B7)/10^3)</f>
        <v/>
      </c>
      <c r="F7" s="83" t="str">
        <f>IF(E7="","",SUMIFS('2. Program Allocation Output'!AL:AL,'2. Program Allocation Output'!$A:$A,$C$1,'2. Program Allocation Output'!$H:$H,$B7)/10^3)</f>
        <v/>
      </c>
      <c r="G7" s="83" t="str">
        <f>IF(F7="","",SUMIFS('2. Program Allocation Output'!AM:AM,'2. Program Allocation Output'!$A:$A,$C$1,'2. Program Allocation Output'!$H:$H,$B7)/10^3)</f>
        <v/>
      </c>
      <c r="H7" s="83" t="str">
        <f>IF(G7="","",SUMIFS('2. Program Allocation Output'!AN:AN,'2. Program Allocation Output'!$A:$A,$C$1,'2. Program Allocation Output'!$H:$H,$B7)/10^3)</f>
        <v/>
      </c>
      <c r="I7" s="83" t="str">
        <f>IF(H7="","",SUMIFS('2. Program Allocation Output'!AO:AO,'2. Program Allocation Output'!$A:$A,$C$1,'2. Program Allocation Output'!$H:$H,$B7)/10^3)</f>
        <v/>
      </c>
      <c r="J7" s="83" t="str">
        <f>IF(I7="","",SUMIFS('2. Program Allocation Output'!AP:AP,'2. Program Allocation Output'!$A:$A,$C$1,'2. Program Allocation Output'!$H:$H,$B7)/10^3)</f>
        <v/>
      </c>
      <c r="K7" s="83" t="str">
        <f>IF(J7="","",SUMIFS('2. Program Allocation Output'!AQ:AQ,'2. Program Allocation Output'!$A:$A,$C$1,'2. Program Allocation Output'!$H:$H,$B7)/10^3)</f>
        <v/>
      </c>
      <c r="L7" s="83" t="str">
        <f>IF(K7="","",SUMIFS('2. Program Allocation Output'!AR:AR,'2. Program Allocation Output'!$A:$A,$C$1,'2. Program Allocation Output'!$H:$H,$B7)/10^3)</f>
        <v/>
      </c>
      <c r="M7" s="47"/>
      <c r="N7" t="s">
        <v>10</v>
      </c>
      <c r="O7" s="8" t="str">
        <f>IF(VLOOKUP(N7,'1. Set Program Names'!$A$2:$B$15,2,0)&lt;&gt;0,VLOOKUP(N7,'1. Set Program Names'!$A$2:$B$15,2,0),"")</f>
        <v/>
      </c>
      <c r="P7" s="15" t="str">
        <f>IF($O7="","",SUMIFS('2. Program Allocation Output'!$AY:$AY,'2. Program Allocation Output'!$A:$A,$O$2,'2. Program Allocation Output'!$H:$H,$O7)
+SUMIFS('2. Program Allocation Output'!$AX:$AX,'2. Program Allocation Output'!$A:$A,$O$2,'2. Program Allocation Output'!$H:$H,$O7)
-SUMIFS('2. Program Allocation Output'!$AW:$AW,'2. Program Allocation Output'!$A:$A,$O$2,'2. Program Allocation Output'!$H:$H,$O7)
-SUMIFS('2. Program Allocation Output'!$BA:$BA,'2. Program Allocation Output'!$A:$A,$O$2,'2. Program Allocation Output'!$H:$H,$O7))</f>
        <v/>
      </c>
      <c r="Q7" s="15" t="str">
        <f>IFERROR(IF($O7="","",(SUMIFS('2. Program Allocation Output'!$AY:$AY,'2. Program Allocation Output'!$A:$A,$O$2,'2. Program Allocation Output'!$H:$H,$O7)
+SUMIFS('2. Program Allocation Output'!$AX:$AX,'2. Program Allocation Output'!$A:$A,$O$2,'2. Program Allocation Output'!$H:$H,$O7))),"")</f>
        <v/>
      </c>
      <c r="R7" s="15" t="str">
        <f>IFERROR(IF($O7="","",(SUMIFS('2. Program Allocation Output'!$AW:$AW,'2. Program Allocation Output'!$A:$A,$O$2,'2. Program Allocation Output'!$H:$H,$O7)
+SUMIFS('2. Program Allocation Output'!$BA:$BA,'2. Program Allocation Output'!$A:$A,$O$2,'2. Program Allocation Output'!$H:$H,$O7))),"")</f>
        <v/>
      </c>
      <c r="S7" s="33" t="str">
        <f>IFERROR(IF($O7="","",(SUMIFS('2. Program Allocation Output'!$AY:$AY,'2. Program Allocation Output'!$A:$A,$O$2,'2. Program Allocation Output'!$H:$H,$O7)
+SUMIFS('2. Program Allocation Output'!$AX:$AX,'2. Program Allocation Output'!$A:$A,$O$2,'2. Program Allocation Output'!$H:$H,$O7))/
(SUMIFS('2. Program Allocation Output'!$AW:$AW,'2. Program Allocation Output'!$A:$A,$O$2,'2. Program Allocation Output'!$H:$H,$O7)
+SUMIFS('2. Program Allocation Output'!$BA:$BA,'2. Program Allocation Output'!$A:$A,$O$2,'2. Program Allocation Output'!$H:$H,$O7))),0)</f>
        <v/>
      </c>
      <c r="T7" s="15" t="str">
        <f>IF($O7="","",SUMIFS('2. Program Allocation Output'!$AV:$AV,'2. Program Allocation Output'!$A:$A,$O$2,'2. Program Allocation Output'!$H:$H,$O7)
+SUMIFS('2. Program Allocation Output'!$AZ:$AZ,'2. Program Allocation Output'!$A:$A,$O$2,'2. Program Allocation Output'!$H:$H,$O7)
+SUMIFS('2. Program Allocation Output'!$AX:$AX,'2. Program Allocation Output'!$A:$A,$O$2,'2. Program Allocation Output'!$H:$H,$O7)
-SUMIFS('2. Program Allocation Output'!$BA:$BA,'2. Program Allocation Output'!$A:$A,$O$2,'2. Program Allocation Output'!$H:$H,$O7))</f>
        <v/>
      </c>
      <c r="U7" s="15" t="str">
        <f>IF($O7="","",(SUMIFS('2. Program Allocation Output'!$AV:$AV,'2. Program Allocation Output'!$A:$A,$O$2,'2. Program Allocation Output'!$H:$H,$O7)
+SUMIFS('2. Program Allocation Output'!$AZ:$AZ,'2. Program Allocation Output'!$A:$A,$O$2,'2. Program Allocation Output'!$H:$H,$O7)
+SUMIFS('2. Program Allocation Output'!$AX:$AX,'2. Program Allocation Output'!$A:$A,$O$2,'2. Program Allocation Output'!$H:$H,$O7)))</f>
        <v/>
      </c>
      <c r="V7" s="15" t="str">
        <f>IF($O7="","",SUMIFS('2. Program Allocation Output'!$BA:$BA,'2. Program Allocation Output'!$A:$A,$O$2,'2. Program Allocation Output'!$H:$H,$O7))</f>
        <v/>
      </c>
      <c r="W7" s="33" t="str">
        <f>IFERROR(IF($O7="","",(SUMIFS('2. Program Allocation Output'!$AV:$AV,'2. Program Allocation Output'!$A:$A,$O$2,'2. Program Allocation Output'!$H:$H,$O7)
+SUMIFS('2. Program Allocation Output'!$AZ:$AZ,'2. Program Allocation Output'!$A:$A,$O$2,'2. Program Allocation Output'!$H:$H,$O7)
+SUMIFS('2. Program Allocation Output'!$AX:$AX,'2. Program Allocation Output'!$A:$A,$O$2,'2. Program Allocation Output'!$H:$H,$O7))/
SUMIFS('2. Program Allocation Output'!$BA:$BA,'2. Program Allocation Output'!$A:$A,$O$2,'2. Program Allocation Output'!$H:$H,$O7)),0)</f>
        <v/>
      </c>
      <c r="X7" s="15" t="str">
        <f>IF($O7="","",SUMIFS('2. Program Allocation Output'!$AY:$AY,'2. Program Allocation Output'!$A:$A,$O$2,'2. Program Allocation Output'!$H:$H,$O7)
-SUMIFS('2. Program Allocation Output'!$AW:$AW,'2. Program Allocation Output'!$A:$A,$O$2,'2. Program Allocation Output'!$H:$H,$O7)
-SUMIFS('2. Program Allocation Output'!$AV:$AV,'2. Program Allocation Output'!$A:$A,$O$2,'2. Program Allocation Output'!$H:$H,$O7)
-SUMIFS('2. Program Allocation Output'!$AZ:$AZ,'2. Program Allocation Output'!$A:$A,$O$2,'2. Program Allocation Output'!$H:$H,$O7))</f>
        <v/>
      </c>
      <c r="Y7" s="15" t="str">
        <f>IF($O7="","",(SUMIFS('2. Program Allocation Output'!$AY:$AY,'2. Program Allocation Output'!$A:$A,$O$2,'2. Program Allocation Output'!$H:$H,$O7)))</f>
        <v/>
      </c>
      <c r="Z7" s="15" t="str">
        <f>IF($O7="","",(SUMIFS('2. Program Allocation Output'!$AW:$AW,'2. Program Allocation Output'!$A:$A,$O$2,'2. Program Allocation Output'!$H:$H,$O7)
+SUMIFS('2. Program Allocation Output'!$AV:$AV,'2. Program Allocation Output'!$A:$A,$O$2,'2. Program Allocation Output'!$H:$H,$O7)
+SUMIFS('2. Program Allocation Output'!$AZ:$AZ,'2. Program Allocation Output'!$A:$A,$O$2,'2. Program Allocation Output'!$H:$H,$O7)))</f>
        <v/>
      </c>
      <c r="AA7" s="33" t="str">
        <f>IFERROR(IF($O7="","",(SUMIFS('2. Program Allocation Output'!$AY:$AY,'2. Program Allocation Output'!$A:$A,$O$2,'2. Program Allocation Output'!$H:$H,$O7))/
(SUMIFS('2. Program Allocation Output'!$AW:$AW,'2. Program Allocation Output'!$A:$A,$O$2,'2. Program Allocation Output'!$H:$H,$O7)
+SUMIFS('2. Program Allocation Output'!$AV:$AV,'2. Program Allocation Output'!$A:$A,$O$2,'2. Program Allocation Output'!$H:$H,$O7)
+SUMIFS('2. Program Allocation Output'!$AZ:$AZ,'2. Program Allocation Output'!$A:$A,$O$2,'2. Program Allocation Output'!$H:$H,$O7))),0)</f>
        <v/>
      </c>
    </row>
    <row r="8" spans="1:27" hidden="1" x14ac:dyDescent="0.25">
      <c r="A8" t="s">
        <v>11</v>
      </c>
      <c r="B8" s="8"/>
      <c r="C8" s="83"/>
      <c r="D8" s="83"/>
      <c r="E8" s="83"/>
      <c r="F8" s="83"/>
      <c r="G8" s="83"/>
      <c r="H8" s="83"/>
      <c r="I8" s="83"/>
      <c r="J8" s="83"/>
      <c r="K8" s="83"/>
      <c r="L8" s="83"/>
      <c r="M8" s="47"/>
      <c r="N8" t="s">
        <v>11</v>
      </c>
      <c r="O8" s="8" t="str">
        <f>IF(VLOOKUP(N8,'1. Set Program Names'!$A$2:$B$15,2,0)&lt;&gt;0,VLOOKUP(N8,'1. Set Program Names'!$A$2:$B$15,2,0),"")</f>
        <v/>
      </c>
      <c r="P8" s="15"/>
      <c r="Q8" s="15" t="str">
        <f>IFERROR(IF($O8="","",(SUMIFS('2. Program Allocation Output'!$AY:$AY,'2. Program Allocation Output'!$A:$A,$O$2,'2. Program Allocation Output'!$H:$H,$O8)
+SUMIFS('2. Program Allocation Output'!$AX:$AX,'2. Program Allocation Output'!$A:$A,$O$2,'2. Program Allocation Output'!$H:$H,$O8))),"")</f>
        <v/>
      </c>
      <c r="R8" s="15" t="str">
        <f>IFERROR(IF($O8="","",(SUMIFS('2. Program Allocation Output'!$AW:$AW,'2. Program Allocation Output'!$A:$A,$O$2,'2. Program Allocation Output'!$H:$H,$O8)
+SUMIFS('2. Program Allocation Output'!$BA:$BA,'2. Program Allocation Output'!$A:$A,$O$2,'2. Program Allocation Output'!$H:$H,$O8))),"")</f>
        <v/>
      </c>
      <c r="S8" s="33"/>
      <c r="T8" s="15"/>
      <c r="U8" s="15" t="str">
        <f>IF($O8="","",(SUMIFS('2. Program Allocation Output'!$AV:$AV,'2. Program Allocation Output'!$A:$A,$O$2,'2. Program Allocation Output'!$H:$H,$O8)
+SUMIFS('2. Program Allocation Output'!$AZ:$AZ,'2. Program Allocation Output'!$A:$A,$O$2,'2. Program Allocation Output'!$H:$H,$O8)
+SUMIFS('2. Program Allocation Output'!$AX:$AX,'2. Program Allocation Output'!$A:$A,$O$2,'2. Program Allocation Output'!$H:$H,$O8)))</f>
        <v/>
      </c>
      <c r="V8" s="15" t="str">
        <f>IF($O8="","",SUMIFS('2. Program Allocation Output'!$BA:$BA,'2. Program Allocation Output'!$A:$A,$O$2,'2. Program Allocation Output'!$H:$H,$O8))</f>
        <v/>
      </c>
      <c r="W8" s="33"/>
      <c r="X8" s="15"/>
      <c r="Y8" s="15" t="str">
        <f>IF($O8="","",(SUMIFS('2. Program Allocation Output'!$AY:$AY,'2. Program Allocation Output'!$A:$A,$O$2,'2. Program Allocation Output'!$H:$H,$O8)))</f>
        <v/>
      </c>
      <c r="Z8" s="15" t="str">
        <f>IF($O8="","",(SUMIFS('2. Program Allocation Output'!$AW:$AW,'2. Program Allocation Output'!$A:$A,$O$2,'2. Program Allocation Output'!$H:$H,$O8)
+SUMIFS('2. Program Allocation Output'!$AV:$AV,'2. Program Allocation Output'!$A:$A,$O$2,'2. Program Allocation Output'!$H:$H,$O8)
+SUMIFS('2. Program Allocation Output'!$AZ:$AZ,'2. Program Allocation Output'!$A:$A,$O$2,'2. Program Allocation Output'!$H:$H,$O8)))</f>
        <v/>
      </c>
      <c r="AA8" s="33"/>
    </row>
    <row r="9" spans="1:27" hidden="1" x14ac:dyDescent="0.25">
      <c r="A9" t="s">
        <v>12</v>
      </c>
      <c r="B9" s="8" t="str">
        <f>IF(VLOOKUP(A9,'1. Set Program Names'!$A$2:$B$15,2,0)&lt;&gt;0,VLOOKUP(A9,'1. Set Program Names'!$A$2:$B$15,2,0),"")</f>
        <v/>
      </c>
      <c r="C9" s="83"/>
      <c r="D9" s="83" t="str">
        <f>IF(C9="","",SUMIFS('2. Program Allocation Output'!AJ:AJ,'2. Program Allocation Output'!$A:$A,$C$1,'2. Program Allocation Output'!$H:$H,$B9)/10^3)</f>
        <v/>
      </c>
      <c r="E9" s="83" t="str">
        <f>IF(D9="","",SUMIFS('2. Program Allocation Output'!AK:AK,'2. Program Allocation Output'!$A:$A,$C$1,'2. Program Allocation Output'!$H:$H,$B9)/10^3)</f>
        <v/>
      </c>
      <c r="F9" s="83" t="str">
        <f>IF(E9="","",SUMIFS('2. Program Allocation Output'!AL:AL,'2. Program Allocation Output'!$A:$A,$C$1,'2. Program Allocation Output'!$H:$H,$B9)/10^3)</f>
        <v/>
      </c>
      <c r="G9" s="83" t="str">
        <f>IF(F9="","",SUMIFS('2. Program Allocation Output'!AM:AM,'2. Program Allocation Output'!$A:$A,$C$1,'2. Program Allocation Output'!$H:$H,$B9)/10^3)</f>
        <v/>
      </c>
      <c r="H9" s="83" t="str">
        <f>IF(G9="","",SUMIFS('2. Program Allocation Output'!AN:AN,'2. Program Allocation Output'!$A:$A,$C$1,'2. Program Allocation Output'!$H:$H,$B9)/10^3)</f>
        <v/>
      </c>
      <c r="I9" s="83" t="str">
        <f>IF(H9="","",SUMIFS('2. Program Allocation Output'!AO:AO,'2. Program Allocation Output'!$A:$A,$C$1,'2. Program Allocation Output'!$H:$H,$B9)/10^3)</f>
        <v/>
      </c>
      <c r="J9" s="83" t="str">
        <f>IF(I9="","",SUMIFS('2. Program Allocation Output'!AP:AP,'2. Program Allocation Output'!$A:$A,$C$1,'2. Program Allocation Output'!$H:$H,$B9)/10^3)</f>
        <v/>
      </c>
      <c r="K9" s="83" t="str">
        <f>IF(J9="","",SUMIFS('2. Program Allocation Output'!AQ:AQ,'2. Program Allocation Output'!$A:$A,$C$1,'2. Program Allocation Output'!$H:$H,$B9)/10^3)</f>
        <v/>
      </c>
      <c r="L9" s="83" t="str">
        <f>IF(K9="","",SUMIFS('2. Program Allocation Output'!AR:AR,'2. Program Allocation Output'!$A:$A,$C$1,'2. Program Allocation Output'!$H:$H,$B9)/10^3)</f>
        <v/>
      </c>
      <c r="M9" s="47"/>
      <c r="N9" t="s">
        <v>12</v>
      </c>
      <c r="O9" s="8" t="str">
        <f>IF(VLOOKUP(N9,'1. Set Program Names'!$A$2:$B$15,2,0)&lt;&gt;0,VLOOKUP(N9,'1. Set Program Names'!$A$2:$B$15,2,0),"")</f>
        <v/>
      </c>
      <c r="P9" s="15" t="str">
        <f>IF($O9="","",SUMIFS('2. Program Allocation Output'!$AY:$AY,'2. Program Allocation Output'!$A:$A,$O$2,'2. Program Allocation Output'!$H:$H,$O9)
+SUMIFS('2. Program Allocation Output'!$AX:$AX,'2. Program Allocation Output'!$A:$A,$O$2,'2. Program Allocation Output'!$H:$H,$O9)
-SUMIFS('2. Program Allocation Output'!$AW:$AW,'2. Program Allocation Output'!$A:$A,$O$2,'2. Program Allocation Output'!$H:$H,$O9)
-SUMIFS('2. Program Allocation Output'!$BA:$BA,'2. Program Allocation Output'!$A:$A,$O$2,'2. Program Allocation Output'!$H:$H,$O9))</f>
        <v/>
      </c>
      <c r="Q9" s="15" t="str">
        <f>IFERROR(IF($O9="","",(SUMIFS('2. Program Allocation Output'!$AY:$AY,'2. Program Allocation Output'!$A:$A,$O$2,'2. Program Allocation Output'!$H:$H,$O9)
+SUMIFS('2. Program Allocation Output'!$AX:$AX,'2. Program Allocation Output'!$A:$A,$O$2,'2. Program Allocation Output'!$H:$H,$O9))),"")</f>
        <v/>
      </c>
      <c r="R9" s="15" t="str">
        <f>IFERROR(IF($O9="","",(SUMIFS('2. Program Allocation Output'!$AW:$AW,'2. Program Allocation Output'!$A:$A,$O$2,'2. Program Allocation Output'!$H:$H,$O9)
+SUMIFS('2. Program Allocation Output'!$BA:$BA,'2. Program Allocation Output'!$A:$A,$O$2,'2. Program Allocation Output'!$H:$H,$O9))),"")</f>
        <v/>
      </c>
      <c r="S9" s="33" t="str">
        <f>IFERROR(IF($O9="","",(SUMIFS('2. Program Allocation Output'!$AY:$AY,'2. Program Allocation Output'!$A:$A,$O$2,'2. Program Allocation Output'!$H:$H,$O9)
+SUMIFS('2. Program Allocation Output'!$AX:$AX,'2. Program Allocation Output'!$A:$A,$O$2,'2. Program Allocation Output'!$H:$H,$O9))/
(SUMIFS('2. Program Allocation Output'!$AW:$AW,'2. Program Allocation Output'!$A:$A,$O$2,'2. Program Allocation Output'!$H:$H,$O9)
+SUMIFS('2. Program Allocation Output'!$BA:$BA,'2. Program Allocation Output'!$A:$A,$O$2,'2. Program Allocation Output'!$H:$H,$O9))),0)</f>
        <v/>
      </c>
      <c r="T9" s="15" t="str">
        <f>IF($O9="","",SUMIFS('2. Program Allocation Output'!$AV:$AV,'2. Program Allocation Output'!$A:$A,$O$2,'2. Program Allocation Output'!$H:$H,$O9)
+SUMIFS('2. Program Allocation Output'!$AZ:$AZ,'2. Program Allocation Output'!$A:$A,$O$2,'2. Program Allocation Output'!$H:$H,$O9)
+SUMIFS('2. Program Allocation Output'!$AX:$AX,'2. Program Allocation Output'!$A:$A,$O$2,'2. Program Allocation Output'!$H:$H,$O9)
-SUMIFS('2. Program Allocation Output'!$BA:$BA,'2. Program Allocation Output'!$A:$A,$O$2,'2. Program Allocation Output'!$H:$H,$O9))</f>
        <v/>
      </c>
      <c r="U9" s="15" t="str">
        <f>IF($O9="","",(SUMIFS('2. Program Allocation Output'!$AV:$AV,'2. Program Allocation Output'!$A:$A,$O$2,'2. Program Allocation Output'!$H:$H,$O9)
+SUMIFS('2. Program Allocation Output'!$AZ:$AZ,'2. Program Allocation Output'!$A:$A,$O$2,'2. Program Allocation Output'!$H:$H,$O9)
+SUMIFS('2. Program Allocation Output'!$AX:$AX,'2. Program Allocation Output'!$A:$A,$O$2,'2. Program Allocation Output'!$H:$H,$O9)))</f>
        <v/>
      </c>
      <c r="V9" s="15" t="str">
        <f>IF($O9="","",SUMIFS('2. Program Allocation Output'!$BA:$BA,'2. Program Allocation Output'!$A:$A,$O$2,'2. Program Allocation Output'!$H:$H,$O9))</f>
        <v/>
      </c>
      <c r="W9" s="33" t="str">
        <f>IFERROR(IF($O9="","",(SUMIFS('2. Program Allocation Output'!$AV:$AV,'2. Program Allocation Output'!$A:$A,$O$2,'2. Program Allocation Output'!$H:$H,$O9)
+SUMIFS('2. Program Allocation Output'!$AZ:$AZ,'2. Program Allocation Output'!$A:$A,$O$2,'2. Program Allocation Output'!$H:$H,$O9)
+SUMIFS('2. Program Allocation Output'!$AX:$AX,'2. Program Allocation Output'!$A:$A,$O$2,'2. Program Allocation Output'!$H:$H,$O9))/
SUMIFS('2. Program Allocation Output'!$BA:$BA,'2. Program Allocation Output'!$A:$A,$O$2,'2. Program Allocation Output'!$H:$H,$O9)),0)</f>
        <v/>
      </c>
      <c r="X9" s="15" t="str">
        <f>IF($O9="","",SUMIFS('2. Program Allocation Output'!$AY:$AY,'2. Program Allocation Output'!$A:$A,$O$2,'2. Program Allocation Output'!$H:$H,$O9)
-SUMIFS('2. Program Allocation Output'!$AW:$AW,'2. Program Allocation Output'!$A:$A,$O$2,'2. Program Allocation Output'!$H:$H,$O9)
-SUMIFS('2. Program Allocation Output'!$AV:$AV,'2. Program Allocation Output'!$A:$A,$O$2,'2. Program Allocation Output'!$H:$H,$O9)
-SUMIFS('2. Program Allocation Output'!$AZ:$AZ,'2. Program Allocation Output'!$A:$A,$O$2,'2. Program Allocation Output'!$H:$H,$O9))</f>
        <v/>
      </c>
      <c r="Y9" s="15" t="str">
        <f>IF($O9="","",(SUMIFS('2. Program Allocation Output'!$AY:$AY,'2. Program Allocation Output'!$A:$A,$O$2,'2. Program Allocation Output'!$H:$H,$O9)))</f>
        <v/>
      </c>
      <c r="Z9" s="15" t="str">
        <f>IF($O9="","",(SUMIFS('2. Program Allocation Output'!$AW:$AW,'2. Program Allocation Output'!$A:$A,$O$2,'2. Program Allocation Output'!$H:$H,$O9)
+SUMIFS('2. Program Allocation Output'!$AV:$AV,'2. Program Allocation Output'!$A:$A,$O$2,'2. Program Allocation Output'!$H:$H,$O9)
+SUMIFS('2. Program Allocation Output'!$AZ:$AZ,'2. Program Allocation Output'!$A:$A,$O$2,'2. Program Allocation Output'!$H:$H,$O9)))</f>
        <v/>
      </c>
      <c r="AA9" s="33" t="str">
        <f>IFERROR(IF($O9="","",(SUMIFS('2. Program Allocation Output'!$AY:$AY,'2. Program Allocation Output'!$A:$A,$O$2,'2. Program Allocation Output'!$H:$H,$O9))/
(SUMIFS('2. Program Allocation Output'!$AW:$AW,'2. Program Allocation Output'!$A:$A,$O$2,'2. Program Allocation Output'!$H:$H,$O9)
+SUMIFS('2. Program Allocation Output'!$AV:$AV,'2. Program Allocation Output'!$A:$A,$O$2,'2. Program Allocation Output'!$H:$H,$O9)
+SUMIFS('2. Program Allocation Output'!$AZ:$AZ,'2. Program Allocation Output'!$A:$A,$O$2,'2. Program Allocation Output'!$H:$H,$O9))),0)</f>
        <v/>
      </c>
    </row>
    <row r="10" spans="1:27" x14ac:dyDescent="0.25">
      <c r="B10" s="9" t="s">
        <v>218</v>
      </c>
      <c r="C10" s="84">
        <f>SUM(C3:C9)</f>
        <v>1035.4870283701937</v>
      </c>
      <c r="D10" s="84">
        <f t="shared" ref="D10:L10" si="0">SUM(D3:D9)</f>
        <v>1091.5582767124197</v>
      </c>
      <c r="E10" s="84">
        <f t="shared" si="0"/>
        <v>1146.6100308484943</v>
      </c>
      <c r="F10" s="84">
        <f t="shared" si="0"/>
        <v>1202.5943851853322</v>
      </c>
      <c r="G10" s="84">
        <f t="shared" si="0"/>
        <v>1259.4348499093715</v>
      </c>
      <c r="H10" s="84">
        <f t="shared" si="0"/>
        <v>1313.4511756028926</v>
      </c>
      <c r="I10" s="84">
        <f t="shared" si="0"/>
        <v>1374.3673485564721</v>
      </c>
      <c r="J10" s="84">
        <f t="shared" si="0"/>
        <v>1444.791910340831</v>
      </c>
      <c r="K10" s="84">
        <f t="shared" si="0"/>
        <v>1525.2078221472675</v>
      </c>
      <c r="L10" s="84">
        <f t="shared" si="0"/>
        <v>1615.7573322715864</v>
      </c>
      <c r="M10" s="47"/>
      <c r="O10" s="9" t="s">
        <v>218</v>
      </c>
      <c r="P10" s="25">
        <f>SUM(P3:P9)</f>
        <v>-1925478.4317984872</v>
      </c>
      <c r="Q10" s="25">
        <f>SUM(Q3:Q9)</f>
        <v>10425994.087241694</v>
      </c>
      <c r="R10" s="25">
        <f>SUM(R3:R9)</f>
        <v>12351472.519040182</v>
      </c>
      <c r="S10" s="34">
        <f>Q10/R10</f>
        <v>0.84410940243519128</v>
      </c>
      <c r="T10" s="25">
        <f>SUM(T3:T9)</f>
        <v>15720157.255499505</v>
      </c>
      <c r="U10" s="25">
        <f>SUM(U3:U9)</f>
        <v>22276731.95609526</v>
      </c>
      <c r="V10" s="25">
        <f>SUM(V3:V9)</f>
        <v>6556574.7005957542</v>
      </c>
      <c r="W10" s="34">
        <f>U10/V10</f>
        <v>3.3976173495089004</v>
      </c>
      <c r="X10" s="25">
        <f>SUM(X3:X9)</f>
        <v>-17645635.687297992</v>
      </c>
      <c r="Y10" s="25">
        <f>SUM(Y3:Y9)</f>
        <v>7381996.4395258417</v>
      </c>
      <c r="Z10" s="25">
        <f>SUM(Z3:Z9)</f>
        <v>25027632.126823835</v>
      </c>
      <c r="AA10" s="34">
        <f>Y10/Z10</f>
        <v>0.29495384949397785</v>
      </c>
    </row>
    <row r="11" spans="1:27" x14ac:dyDescent="0.25">
      <c r="A11" t="s">
        <v>13</v>
      </c>
      <c r="B11" s="8" t="str">
        <f>IF(VLOOKUP(A11,'1. Set Program Names'!$A$2:$B$15,2,0)&lt;&gt;0,VLOOKUP(A11,'1. Set Program Names'!$A$2:$B$15,2,0),"")</f>
        <v>Com Prescriptive</v>
      </c>
      <c r="C11" s="83">
        <f>IF(B11="","",SUMIFS('2. Program Allocation Output'!AI:AI,'2. Program Allocation Output'!$A:$A,$C$1,'2. Program Allocation Output'!$H:$H,$B11)/10^3)</f>
        <v>636.54606865283688</v>
      </c>
      <c r="D11" s="83">
        <f>IF(C11="","",SUMIFS('2. Program Allocation Output'!AJ:AJ,'2. Program Allocation Output'!$A:$A,$C$1,'2. Program Allocation Output'!$H:$H,$B11)/10^3)</f>
        <v>671.68815979969804</v>
      </c>
      <c r="E11" s="83">
        <f>IF(D11="","",SUMIFS('2. Program Allocation Output'!AK:AK,'2. Program Allocation Output'!$A:$A,$C$1,'2. Program Allocation Output'!$H:$H,$B11)/10^3)</f>
        <v>697.67381040962903</v>
      </c>
      <c r="F11" s="83">
        <f>IF(E11="","",SUMIFS('2. Program Allocation Output'!AL:AL,'2. Program Allocation Output'!$A:$A,$C$1,'2. Program Allocation Output'!$H:$H,$B11)/10^3)</f>
        <v>720.34606763702197</v>
      </c>
      <c r="G11" s="83">
        <f>IF(F11="","",SUMIFS('2. Program Allocation Output'!AM:AM,'2. Program Allocation Output'!$A:$A,$C$1,'2. Program Allocation Output'!$H:$H,$B11)/10^3)</f>
        <v>738.86133695200215</v>
      </c>
      <c r="H11" s="83">
        <f>IF(G11="","",SUMIFS('2. Program Allocation Output'!AN:AN,'2. Program Allocation Output'!$A:$A,$C$1,'2. Program Allocation Output'!$H:$H,$B11)/10^3)</f>
        <v>752.84006082833707</v>
      </c>
      <c r="I11" s="83">
        <f>IF(H11="","",SUMIFS('2. Program Allocation Output'!AO:AO,'2. Program Allocation Output'!$A:$A,$C$1,'2. Program Allocation Output'!$H:$H,$B11)/10^3)</f>
        <v>762.55508576089005</v>
      </c>
      <c r="J11" s="83">
        <f>IF(I11="","",SUMIFS('2. Program Allocation Output'!AP:AP,'2. Program Allocation Output'!$A:$A,$C$1,'2. Program Allocation Output'!$H:$H,$B11)/10^3)</f>
        <v>768.78800283205237</v>
      </c>
      <c r="K11" s="83">
        <f>IF(J11="","",SUMIFS('2. Program Allocation Output'!AQ:AQ,'2. Program Allocation Output'!$A:$A,$C$1,'2. Program Allocation Output'!$H:$H,$B11)/10^3)</f>
        <v>771.92067245812461</v>
      </c>
      <c r="L11" s="83">
        <f>IF(K11="","",SUMIFS('2. Program Allocation Output'!AR:AR,'2. Program Allocation Output'!$A:$A,$C$1,'2. Program Allocation Output'!$H:$H,$B11)/10^3)</f>
        <v>771.77082620619024</v>
      </c>
      <c r="M11" s="47"/>
      <c r="N11" t="s">
        <v>13</v>
      </c>
      <c r="O11" s="8" t="str">
        <f>IF(VLOOKUP(N11,'1. Set Program Names'!$A$2:$B$15,2,0)&lt;&gt;0,VLOOKUP(N11,'1. Set Program Names'!$A$2:$B$15,2,0),"")</f>
        <v>Com Prescriptive</v>
      </c>
      <c r="P11" s="15">
        <f>IF($O11="","",SUMIFS('2. Program Allocation Output'!$AY:$AY,'2. Program Allocation Output'!$A:$A,$O$2,'2. Program Allocation Output'!$H:$H,$O11)
+SUMIFS('2. Program Allocation Output'!$AX:$AX,'2. Program Allocation Output'!$A:$A,$O$2,'2. Program Allocation Output'!$H:$H,$O11)
-SUMIFS('2. Program Allocation Output'!$AW:$AW,'2. Program Allocation Output'!$A:$A,$O$2,'2. Program Allocation Output'!$H:$H,$O11)
-SUMIFS('2. Program Allocation Output'!$BA:$BA,'2. Program Allocation Output'!$A:$A,$O$2,'2. Program Allocation Output'!$H:$H,$O11))</f>
        <v>185353.40356805781</v>
      </c>
      <c r="Q11" s="15">
        <f>IFERROR(IF($O11="","",(SUMIFS('2. Program Allocation Output'!$AY:$AY,'2. Program Allocation Output'!$A:$A,$O$2,'2. Program Allocation Output'!$H:$H,$O11)
+SUMIFS('2. Program Allocation Output'!$AX:$AX,'2. Program Allocation Output'!$A:$A,$O$2,'2. Program Allocation Output'!$H:$H,$O11))),"")</f>
        <v>3044772.877712341</v>
      </c>
      <c r="R11" s="15">
        <f>IFERROR(IF($O11="","",(SUMIFS('2. Program Allocation Output'!$AW:$AW,'2. Program Allocation Output'!$A:$A,$O$2,'2. Program Allocation Output'!$H:$H,$O11)
+SUMIFS('2. Program Allocation Output'!$BA:$BA,'2. Program Allocation Output'!$A:$A,$O$2,'2. Program Allocation Output'!$H:$H,$O11))),"")</f>
        <v>2859419.4741442832</v>
      </c>
      <c r="S11" s="33">
        <f>IFERROR(IF($O11="","",(SUMIFS('2. Program Allocation Output'!$AY:$AY,'2. Program Allocation Output'!$A:$A,$O$2,'2. Program Allocation Output'!$H:$H,$O11)
+SUMIFS('2. Program Allocation Output'!$AX:$AX,'2. Program Allocation Output'!$A:$A,$O$2,'2. Program Allocation Output'!$H:$H,$O11))/
(SUMIFS('2. Program Allocation Output'!$AW:$AW,'2. Program Allocation Output'!$A:$A,$O$2,'2. Program Allocation Output'!$H:$H,$O11)
+SUMIFS('2. Program Allocation Output'!$BA:$BA,'2. Program Allocation Output'!$A:$A,$O$2,'2. Program Allocation Output'!$H:$H,$O11))),0)</f>
        <v>1.0648220400133936</v>
      </c>
      <c r="T11" s="15">
        <f>IF($O11="","",SUMIFS('2. Program Allocation Output'!$AV:$AV,'2. Program Allocation Output'!$A:$A,$O$2,'2. Program Allocation Output'!$H:$H,$O11)
+SUMIFS('2. Program Allocation Output'!$AZ:$AZ,'2. Program Allocation Output'!$A:$A,$O$2,'2. Program Allocation Output'!$H:$H,$O11)
+SUMIFS('2. Program Allocation Output'!$AX:$AX,'2. Program Allocation Output'!$A:$A,$O$2,'2. Program Allocation Output'!$H:$H,$O11)
-SUMIFS('2. Program Allocation Output'!$BA:$BA,'2. Program Allocation Output'!$A:$A,$O$2,'2. Program Allocation Output'!$H:$H,$O11))</f>
        <v>5594995.8853737414</v>
      </c>
      <c r="U11" s="15">
        <f>IF($O11="","",(SUMIFS('2. Program Allocation Output'!$AV:$AV,'2. Program Allocation Output'!$A:$A,$O$2,'2. Program Allocation Output'!$H:$H,$O11)
+SUMIFS('2. Program Allocation Output'!$AZ:$AZ,'2. Program Allocation Output'!$A:$A,$O$2,'2. Program Allocation Output'!$H:$H,$O11)
+SUMIFS('2. Program Allocation Output'!$AX:$AX,'2. Program Allocation Output'!$A:$A,$O$2,'2. Program Allocation Output'!$H:$H,$O11)))</f>
        <v>8194787.1369582014</v>
      </c>
      <c r="V11" s="15">
        <f>IF($O11="","",SUMIFS('2. Program Allocation Output'!$BA:$BA,'2. Program Allocation Output'!$A:$A,$O$2,'2. Program Allocation Output'!$H:$H,$O11))</f>
        <v>2599791.2515844605</v>
      </c>
      <c r="W11" s="33">
        <f>IFERROR(IF($O11="","",(SUMIFS('2. Program Allocation Output'!$AV:$AV,'2. Program Allocation Output'!$A:$A,$O$2,'2. Program Allocation Output'!$H:$H,$O11)
+SUMIFS('2. Program Allocation Output'!$AZ:$AZ,'2. Program Allocation Output'!$A:$A,$O$2,'2. Program Allocation Output'!$H:$H,$O11)
+SUMIFS('2. Program Allocation Output'!$AX:$AX,'2. Program Allocation Output'!$A:$A,$O$2,'2. Program Allocation Output'!$H:$H,$O11))/
SUMIFS('2. Program Allocation Output'!$BA:$BA,'2. Program Allocation Output'!$A:$A,$O$2,'2. Program Allocation Output'!$H:$H,$O11)),0)</f>
        <v>3.1520942814019519</v>
      </c>
      <c r="X11" s="15">
        <f>IF($O11="","",SUMIFS('2. Program Allocation Output'!$AY:$AY,'2. Program Allocation Output'!$A:$A,$O$2,'2. Program Allocation Output'!$H:$H,$O11)
-SUMIFS('2. Program Allocation Output'!$AW:$AW,'2. Program Allocation Output'!$A:$A,$O$2,'2. Program Allocation Output'!$H:$H,$O11)
-SUMIFS('2. Program Allocation Output'!$AV:$AV,'2. Program Allocation Output'!$A:$A,$O$2,'2. Program Allocation Output'!$H:$H,$O11)
-SUMIFS('2. Program Allocation Output'!$AZ:$AZ,'2. Program Allocation Output'!$A:$A,$O$2,'2. Program Allocation Output'!$H:$H,$O11))</f>
        <v>-5409642.481805684</v>
      </c>
      <c r="Y11" s="15">
        <f>IF($O11="","",(SUMIFS('2. Program Allocation Output'!$AY:$AY,'2. Program Allocation Output'!$A:$A,$O$2,'2. Program Allocation Output'!$H:$H,$O11)))</f>
        <v>3044747.7078701663</v>
      </c>
      <c r="Z11" s="15">
        <f>IF($O11="","",(SUMIFS('2. Program Allocation Output'!$AW:$AW,'2. Program Allocation Output'!$A:$A,$O$2,'2. Program Allocation Output'!$H:$H,$O11)
+SUMIFS('2. Program Allocation Output'!$AV:$AV,'2. Program Allocation Output'!$A:$A,$O$2,'2. Program Allocation Output'!$H:$H,$O11)
+SUMIFS('2. Program Allocation Output'!$AZ:$AZ,'2. Program Allocation Output'!$A:$A,$O$2,'2. Program Allocation Output'!$H:$H,$O11)))</f>
        <v>8454390.1896758508</v>
      </c>
      <c r="AA11" s="33">
        <f>IFERROR(IF($O11="","",(SUMIFS('2. Program Allocation Output'!$AY:$AY,'2. Program Allocation Output'!$A:$A,$O$2,'2. Program Allocation Output'!$H:$H,$O11))/
(SUMIFS('2. Program Allocation Output'!$AW:$AW,'2. Program Allocation Output'!$A:$A,$O$2,'2. Program Allocation Output'!$H:$H,$O11)
+SUMIFS('2. Program Allocation Output'!$AV:$AV,'2. Program Allocation Output'!$A:$A,$O$2,'2. Program Allocation Output'!$H:$H,$O11)
+SUMIFS('2. Program Allocation Output'!$AZ:$AZ,'2. Program Allocation Output'!$A:$A,$O$2,'2. Program Allocation Output'!$H:$H,$O11))),0)</f>
        <v>0.36013806313177804</v>
      </c>
    </row>
    <row r="12" spans="1:27" x14ac:dyDescent="0.25">
      <c r="A12" t="s">
        <v>15</v>
      </c>
      <c r="B12" s="8" t="str">
        <f>IF(VLOOKUP(A12,'1. Set Program Names'!$A$2:$B$15,2,0)&lt;&gt;0,VLOOKUP(A12,'1. Set Program Names'!$A$2:$B$15,2,0),"")</f>
        <v>Com Lighting</v>
      </c>
      <c r="C12" s="83">
        <f>IF(B12="","",SUMIFS('2. Program Allocation Output'!AI:AI,'2. Program Allocation Output'!$A:$A,$C$1,'2. Program Allocation Output'!$H:$H,$B12)/10^3)</f>
        <v>1569.1874790849852</v>
      </c>
      <c r="D12" s="83">
        <f>IF(C12="","",SUMIFS('2. Program Allocation Output'!AJ:AJ,'2. Program Allocation Output'!$A:$A,$C$1,'2. Program Allocation Output'!$H:$H,$B12)/10^3)</f>
        <v>1697.4468858836333</v>
      </c>
      <c r="E12" s="83">
        <f>IF(D12="","",SUMIFS('2. Program Allocation Output'!AK:AK,'2. Program Allocation Output'!$A:$A,$C$1,'2. Program Allocation Output'!$H:$H,$B12)/10^3)</f>
        <v>1796.0996688410801</v>
      </c>
      <c r="F12" s="83">
        <f>IF(E12="","",SUMIFS('2. Program Allocation Output'!AL:AL,'2. Program Allocation Output'!$A:$A,$C$1,'2. Program Allocation Output'!$H:$H,$B12)/10^3)</f>
        <v>1880.9903857475351</v>
      </c>
      <c r="G12" s="83">
        <f>IF(F12="","",SUMIFS('2. Program Allocation Output'!AM:AM,'2. Program Allocation Output'!$A:$A,$C$1,'2. Program Allocation Output'!$H:$H,$B12)/10^3)</f>
        <v>1950.5126729140115</v>
      </c>
      <c r="H12" s="83">
        <f>IF(G12="","",SUMIFS('2. Program Allocation Output'!AN:AN,'2. Program Allocation Output'!$A:$A,$C$1,'2. Program Allocation Output'!$H:$H,$B12)/10^3)</f>
        <v>2004.294075493068</v>
      </c>
      <c r="I12" s="83">
        <f>IF(H12="","",SUMIFS('2. Program Allocation Output'!AO:AO,'2. Program Allocation Output'!$A:$A,$C$1,'2. Program Allocation Output'!$H:$H,$B12)/10^3)</f>
        <v>2043.5042310238373</v>
      </c>
      <c r="J12" s="83">
        <f>IF(I12="","",SUMIFS('2. Program Allocation Output'!AP:AP,'2. Program Allocation Output'!$A:$A,$C$1,'2. Program Allocation Output'!$H:$H,$B12)/10^3)</f>
        <v>2070.3893664380798</v>
      </c>
      <c r="K12" s="83">
        <f>IF(J12="","",SUMIFS('2. Program Allocation Output'!AQ:AQ,'2. Program Allocation Output'!$A:$A,$C$1,'2. Program Allocation Output'!$H:$H,$B12)/10^3)</f>
        <v>2086.2117082767436</v>
      </c>
      <c r="L12" s="83">
        <f>IF(K12="","",SUMIFS('2. Program Allocation Output'!AR:AR,'2. Program Allocation Output'!$A:$A,$C$1,'2. Program Allocation Output'!$H:$H,$B12)/10^3)</f>
        <v>2091.1780120184749</v>
      </c>
      <c r="M12" s="47"/>
      <c r="N12" t="s">
        <v>15</v>
      </c>
      <c r="O12" s="8" t="str">
        <f>IF(VLOOKUP(N12,'1. Set Program Names'!$A$2:$B$15,2,0)&lt;&gt;0,VLOOKUP(N12,'1. Set Program Names'!$A$2:$B$15,2,0),"")</f>
        <v>Com Lighting</v>
      </c>
      <c r="P12" s="15">
        <f>IF($O12="","",SUMIFS('2. Program Allocation Output'!$AY:$AY,'2. Program Allocation Output'!$A:$A,$O$2,'2. Program Allocation Output'!$H:$H,$O12)
+SUMIFS('2. Program Allocation Output'!$AX:$AX,'2. Program Allocation Output'!$A:$A,$O$2,'2. Program Allocation Output'!$H:$H,$O12)
-SUMIFS('2. Program Allocation Output'!$AW:$AW,'2. Program Allocation Output'!$A:$A,$O$2,'2. Program Allocation Output'!$H:$H,$O12)
-SUMIFS('2. Program Allocation Output'!$BA:$BA,'2. Program Allocation Output'!$A:$A,$O$2,'2. Program Allocation Output'!$H:$H,$O12))</f>
        <v>173097.51426377427</v>
      </c>
      <c r="Q12" s="15">
        <f>IFERROR(IF($O12="","",(SUMIFS('2. Program Allocation Output'!$AY:$AY,'2. Program Allocation Output'!$A:$A,$O$2,'2. Program Allocation Output'!$H:$H,$O12)
+SUMIFS('2. Program Allocation Output'!$AX:$AX,'2. Program Allocation Output'!$A:$A,$O$2,'2. Program Allocation Output'!$H:$H,$O12))),"")</f>
        <v>7833827.2493113577</v>
      </c>
      <c r="R12" s="15">
        <f>IFERROR(IF($O12="","",(SUMIFS('2. Program Allocation Output'!$AW:$AW,'2. Program Allocation Output'!$A:$A,$O$2,'2. Program Allocation Output'!$H:$H,$O12)
+SUMIFS('2. Program Allocation Output'!$BA:$BA,'2. Program Allocation Output'!$A:$A,$O$2,'2. Program Allocation Output'!$H:$H,$O12))),"")</f>
        <v>7660729.7350475825</v>
      </c>
      <c r="S12" s="33">
        <f>IFERROR(IF($O12="","",(SUMIFS('2. Program Allocation Output'!$AY:$AY,'2. Program Allocation Output'!$A:$A,$O$2,'2. Program Allocation Output'!$H:$H,$O12)
+SUMIFS('2. Program Allocation Output'!$AX:$AX,'2. Program Allocation Output'!$A:$A,$O$2,'2. Program Allocation Output'!$H:$H,$O12))/
(SUMIFS('2. Program Allocation Output'!$AW:$AW,'2. Program Allocation Output'!$A:$A,$O$2,'2. Program Allocation Output'!$H:$H,$O12)
+SUMIFS('2. Program Allocation Output'!$BA:$BA,'2. Program Allocation Output'!$A:$A,$O$2,'2. Program Allocation Output'!$H:$H,$O12))),0)</f>
        <v>1.02259543414929</v>
      </c>
      <c r="T12" s="15">
        <f>IF($O12="","",SUMIFS('2. Program Allocation Output'!$AV:$AV,'2. Program Allocation Output'!$A:$A,$O$2,'2. Program Allocation Output'!$H:$H,$O12)
+SUMIFS('2. Program Allocation Output'!$AZ:$AZ,'2. Program Allocation Output'!$A:$A,$O$2,'2. Program Allocation Output'!$H:$H,$O12)
+SUMIFS('2. Program Allocation Output'!$AX:$AX,'2. Program Allocation Output'!$A:$A,$O$2,'2. Program Allocation Output'!$H:$H,$O12)
-SUMIFS('2. Program Allocation Output'!$BA:$BA,'2. Program Allocation Output'!$A:$A,$O$2,'2. Program Allocation Output'!$H:$H,$O12))</f>
        <v>14591929.823741358</v>
      </c>
      <c r="U12" s="15">
        <f>IF($O12="","",(SUMIFS('2. Program Allocation Output'!$AV:$AV,'2. Program Allocation Output'!$A:$A,$O$2,'2. Program Allocation Output'!$H:$H,$O12)
+SUMIFS('2. Program Allocation Output'!$AZ:$AZ,'2. Program Allocation Output'!$A:$A,$O$2,'2. Program Allocation Output'!$H:$H,$O12)
+SUMIFS('2. Program Allocation Output'!$AX:$AX,'2. Program Allocation Output'!$A:$A,$O$2,'2. Program Allocation Output'!$H:$H,$O12)))</f>
        <v>21553622.068538237</v>
      </c>
      <c r="V12" s="15">
        <f>IF($O12="","",SUMIFS('2. Program Allocation Output'!$BA:$BA,'2. Program Allocation Output'!$A:$A,$O$2,'2. Program Allocation Output'!$H:$H,$O12))</f>
        <v>6961692.2447968787</v>
      </c>
      <c r="W12" s="33">
        <f>IFERROR(IF($O12="","",(SUMIFS('2. Program Allocation Output'!$AV:$AV,'2. Program Allocation Output'!$A:$A,$O$2,'2. Program Allocation Output'!$H:$H,$O12)
+SUMIFS('2. Program Allocation Output'!$AZ:$AZ,'2. Program Allocation Output'!$A:$A,$O$2,'2. Program Allocation Output'!$H:$H,$O12)
+SUMIFS('2. Program Allocation Output'!$AX:$AX,'2. Program Allocation Output'!$A:$A,$O$2,'2. Program Allocation Output'!$H:$H,$O12))/
SUMIFS('2. Program Allocation Output'!$BA:$BA,'2. Program Allocation Output'!$A:$A,$O$2,'2. Program Allocation Output'!$H:$H,$O12)),0)</f>
        <v>3.0960320150100382</v>
      </c>
      <c r="X12" s="15">
        <f>IF($O12="","",SUMIFS('2. Program Allocation Output'!$AY:$AY,'2. Program Allocation Output'!$A:$A,$O$2,'2. Program Allocation Output'!$H:$H,$O12)
-SUMIFS('2. Program Allocation Output'!$AW:$AW,'2. Program Allocation Output'!$A:$A,$O$2,'2. Program Allocation Output'!$H:$H,$O12)
-SUMIFS('2. Program Allocation Output'!$AV:$AV,'2. Program Allocation Output'!$A:$A,$O$2,'2. Program Allocation Output'!$H:$H,$O12)
-SUMIFS('2. Program Allocation Output'!$AZ:$AZ,'2. Program Allocation Output'!$A:$A,$O$2,'2. Program Allocation Output'!$H:$H,$O12))</f>
        <v>-14418832.309477586</v>
      </c>
      <c r="Y12" s="15">
        <f>IF($O12="","",(SUMIFS('2. Program Allocation Output'!$AY:$AY,'2. Program Allocation Output'!$A:$A,$O$2,'2. Program Allocation Output'!$H:$H,$O12)))</f>
        <v>7833827.2493113577</v>
      </c>
      <c r="Z12" s="15">
        <f>IF($O12="","",(SUMIFS('2. Program Allocation Output'!$AW:$AW,'2. Program Allocation Output'!$A:$A,$O$2,'2. Program Allocation Output'!$H:$H,$O12)
+SUMIFS('2. Program Allocation Output'!$AV:$AV,'2. Program Allocation Output'!$A:$A,$O$2,'2. Program Allocation Output'!$H:$H,$O12)
+SUMIFS('2. Program Allocation Output'!$AZ:$AZ,'2. Program Allocation Output'!$A:$A,$O$2,'2. Program Allocation Output'!$H:$H,$O12)))</f>
        <v>22252659.558788944</v>
      </c>
      <c r="AA12" s="33">
        <f>IFERROR(IF($O12="","",(SUMIFS('2. Program Allocation Output'!$AY:$AY,'2. Program Allocation Output'!$A:$A,$O$2,'2. Program Allocation Output'!$H:$H,$O12))/
(SUMIFS('2. Program Allocation Output'!$AW:$AW,'2. Program Allocation Output'!$A:$A,$O$2,'2. Program Allocation Output'!$H:$H,$O12)
+SUMIFS('2. Program Allocation Output'!$AV:$AV,'2. Program Allocation Output'!$A:$A,$O$2,'2. Program Allocation Output'!$H:$H,$O12)
+SUMIFS('2. Program Allocation Output'!$AZ:$AZ,'2. Program Allocation Output'!$A:$A,$O$2,'2. Program Allocation Output'!$H:$H,$O12))),0)</f>
        <v>0.35204004396037675</v>
      </c>
    </row>
    <row r="13" spans="1:27" x14ac:dyDescent="0.25">
      <c r="A13" t="s">
        <v>17</v>
      </c>
      <c r="B13" s="8" t="str">
        <f>IF(VLOOKUP(A13,'1. Set Program Names'!$A$2:$B$15,2,0)&lt;&gt;0,VLOOKUP(A13,'1. Set Program Names'!$A$2:$B$15,2,0),"")</f>
        <v>Com Custom</v>
      </c>
      <c r="C13" s="83">
        <f>IF(B13="","",SUMIFS('2. Program Allocation Output'!AI:AI,'2. Program Allocation Output'!$A:$A,$C$1,'2. Program Allocation Output'!$H:$H,$B13)/10^3)</f>
        <v>1001.1615338040698</v>
      </c>
      <c r="D13" s="83">
        <f>IF(C13="","",SUMIFS('2. Program Allocation Output'!AJ:AJ,'2. Program Allocation Output'!$A:$A,$C$1,'2. Program Allocation Output'!$H:$H,$B13)/10^3)</f>
        <v>1139.2976297451482</v>
      </c>
      <c r="E13" s="83">
        <f>IF(D13="","",SUMIFS('2. Program Allocation Output'!AK:AK,'2. Program Allocation Output'!$A:$A,$C$1,'2. Program Allocation Output'!$H:$H,$B13)/10^3)</f>
        <v>1275.2211401424943</v>
      </c>
      <c r="F13" s="83">
        <f>IF(E13="","",SUMIFS('2. Program Allocation Output'!AL:AL,'2. Program Allocation Output'!$A:$A,$C$1,'2. Program Allocation Output'!$H:$H,$B13)/10^3)</f>
        <v>1417.3148429567188</v>
      </c>
      <c r="G13" s="83">
        <f>IF(F13="","",SUMIFS('2. Program Allocation Output'!AM:AM,'2. Program Allocation Output'!$A:$A,$C$1,'2. Program Allocation Output'!$H:$H,$B13)/10^3)</f>
        <v>1557.8998441887088</v>
      </c>
      <c r="H13" s="83">
        <f>IF(G13="","",SUMIFS('2. Program Allocation Output'!AN:AN,'2. Program Allocation Output'!$A:$A,$C$1,'2. Program Allocation Output'!$H:$H,$B13)/10^3)</f>
        <v>1689.0814159271852</v>
      </c>
      <c r="I13" s="83">
        <f>IF(H13="","",SUMIFS('2. Program Allocation Output'!AO:AO,'2. Program Allocation Output'!$A:$A,$C$1,'2. Program Allocation Output'!$H:$H,$B13)/10^3)</f>
        <v>1799.0510288501121</v>
      </c>
      <c r="J13" s="83">
        <f>IF(I13="","",SUMIFS('2. Program Allocation Output'!AP:AP,'2. Program Allocation Output'!$A:$A,$C$1,'2. Program Allocation Output'!$H:$H,$B13)/10^3)</f>
        <v>1875.7343447615444</v>
      </c>
      <c r="K13" s="83">
        <f>IF(J13="","",SUMIFS('2. Program Allocation Output'!AQ:AQ,'2. Program Allocation Output'!$A:$A,$C$1,'2. Program Allocation Output'!$H:$H,$B13)/10^3)</f>
        <v>1911.5509972009618</v>
      </c>
      <c r="L13" s="83">
        <f>IF(K13="","",SUMIFS('2. Program Allocation Output'!AR:AR,'2. Program Allocation Output'!$A:$A,$C$1,'2. Program Allocation Output'!$H:$H,$B13)/10^3)</f>
        <v>1903.6313788676671</v>
      </c>
      <c r="M13" s="47"/>
      <c r="N13" t="s">
        <v>17</v>
      </c>
      <c r="O13" s="8" t="str">
        <f>IF(VLOOKUP(N13,'1. Set Program Names'!$A$2:$B$15,2,0)&lt;&gt;0,VLOOKUP(N13,'1. Set Program Names'!$A$2:$B$15,2,0),"")</f>
        <v>Com Custom</v>
      </c>
      <c r="P13" s="15">
        <f>IF($O13="","",SUMIFS('2. Program Allocation Output'!$AY:$AY,'2. Program Allocation Output'!$A:$A,$O$2,'2. Program Allocation Output'!$H:$H,$O13)
+SUMIFS('2. Program Allocation Output'!$AX:$AX,'2. Program Allocation Output'!$A:$A,$O$2,'2. Program Allocation Output'!$H:$H,$O13)
-SUMIFS('2. Program Allocation Output'!$AW:$AW,'2. Program Allocation Output'!$A:$A,$O$2,'2. Program Allocation Output'!$H:$H,$O13)
-SUMIFS('2. Program Allocation Output'!$BA:$BA,'2. Program Allocation Output'!$A:$A,$O$2,'2. Program Allocation Output'!$H:$H,$O13))</f>
        <v>1078886.5262978505</v>
      </c>
      <c r="Q13" s="15">
        <f>IFERROR(IF($O13="","",(SUMIFS('2. Program Allocation Output'!$AY:$AY,'2. Program Allocation Output'!$A:$A,$O$2,'2. Program Allocation Output'!$H:$H,$O13)
+SUMIFS('2. Program Allocation Output'!$AX:$AX,'2. Program Allocation Output'!$A:$A,$O$2,'2. Program Allocation Output'!$H:$H,$O13))),"")</f>
        <v>6624728.2831292031</v>
      </c>
      <c r="R13" s="15">
        <f>IFERROR(IF($O13="","",(SUMIFS('2. Program Allocation Output'!$AW:$AW,'2. Program Allocation Output'!$A:$A,$O$2,'2. Program Allocation Output'!$H:$H,$O13)
+SUMIFS('2. Program Allocation Output'!$BA:$BA,'2. Program Allocation Output'!$A:$A,$O$2,'2. Program Allocation Output'!$H:$H,$O13))),"")</f>
        <v>5545841.7568313526</v>
      </c>
      <c r="S13" s="33">
        <f>IFERROR(IF($O13="","",(SUMIFS('2. Program Allocation Output'!$AY:$AY,'2. Program Allocation Output'!$A:$A,$O$2,'2. Program Allocation Output'!$H:$H,$O13)
+SUMIFS('2. Program Allocation Output'!$AX:$AX,'2. Program Allocation Output'!$A:$A,$O$2,'2. Program Allocation Output'!$H:$H,$O13))/
(SUMIFS('2. Program Allocation Output'!$AW:$AW,'2. Program Allocation Output'!$A:$A,$O$2,'2. Program Allocation Output'!$H:$H,$O13)
+SUMIFS('2. Program Allocation Output'!$BA:$BA,'2. Program Allocation Output'!$A:$A,$O$2,'2. Program Allocation Output'!$H:$H,$O13))),0)</f>
        <v>1.1945397242842137</v>
      </c>
      <c r="T13" s="15">
        <f>IF($O13="","",SUMIFS('2. Program Allocation Output'!$AV:$AV,'2. Program Allocation Output'!$A:$A,$O$2,'2. Program Allocation Output'!$H:$H,$O13)
+SUMIFS('2. Program Allocation Output'!$AZ:$AZ,'2. Program Allocation Output'!$A:$A,$O$2,'2. Program Allocation Output'!$H:$H,$O13)
+SUMIFS('2. Program Allocation Output'!$AX:$AX,'2. Program Allocation Output'!$A:$A,$O$2,'2. Program Allocation Output'!$H:$H,$O13)
-SUMIFS('2. Program Allocation Output'!$BA:$BA,'2. Program Allocation Output'!$A:$A,$O$2,'2. Program Allocation Output'!$H:$H,$O13))</f>
        <v>12025920.731162533</v>
      </c>
      <c r="U13" s="15">
        <f>IF($O13="","",(SUMIFS('2. Program Allocation Output'!$AV:$AV,'2. Program Allocation Output'!$A:$A,$O$2,'2. Program Allocation Output'!$H:$H,$O13)
+SUMIFS('2. Program Allocation Output'!$AZ:$AZ,'2. Program Allocation Output'!$A:$A,$O$2,'2. Program Allocation Output'!$H:$H,$O13)
+SUMIFS('2. Program Allocation Output'!$AX:$AX,'2. Program Allocation Output'!$A:$A,$O$2,'2. Program Allocation Output'!$H:$H,$O13)))</f>
        <v>17079001.841041438</v>
      </c>
      <c r="V13" s="15">
        <f>IF($O13="","",SUMIFS('2. Program Allocation Output'!$BA:$BA,'2. Program Allocation Output'!$A:$A,$O$2,'2. Program Allocation Output'!$H:$H,$O13))</f>
        <v>5053081.1098789051</v>
      </c>
      <c r="W13" s="33">
        <f>IFERROR(IF($O13="","",(SUMIFS('2. Program Allocation Output'!$AV:$AV,'2. Program Allocation Output'!$A:$A,$O$2,'2. Program Allocation Output'!$H:$H,$O13)
+SUMIFS('2. Program Allocation Output'!$AZ:$AZ,'2. Program Allocation Output'!$A:$A,$O$2,'2. Program Allocation Output'!$H:$H,$O13)
+SUMIFS('2. Program Allocation Output'!$AX:$AX,'2. Program Allocation Output'!$A:$A,$O$2,'2. Program Allocation Output'!$H:$H,$O13))/
SUMIFS('2. Program Allocation Output'!$BA:$BA,'2. Program Allocation Output'!$A:$A,$O$2,'2. Program Allocation Output'!$H:$H,$O13)),0)</f>
        <v>3.3799184041695955</v>
      </c>
      <c r="X13" s="15">
        <f>IF($O13="","",SUMIFS('2. Program Allocation Output'!$AY:$AY,'2. Program Allocation Output'!$A:$A,$O$2,'2. Program Allocation Output'!$H:$H,$O13)
-SUMIFS('2. Program Allocation Output'!$AW:$AW,'2. Program Allocation Output'!$A:$A,$O$2,'2. Program Allocation Output'!$H:$H,$O13)
-SUMIFS('2. Program Allocation Output'!$AV:$AV,'2. Program Allocation Output'!$A:$A,$O$2,'2. Program Allocation Output'!$H:$H,$O13)
-SUMIFS('2. Program Allocation Output'!$AZ:$AZ,'2. Program Allocation Output'!$A:$A,$O$2,'2. Program Allocation Output'!$H:$H,$O13))</f>
        <v>-10947034.204864681</v>
      </c>
      <c r="Y13" s="15">
        <f>IF($O13="","",(SUMIFS('2. Program Allocation Output'!$AY:$AY,'2. Program Allocation Output'!$A:$A,$O$2,'2. Program Allocation Output'!$H:$H,$O13)))</f>
        <v>6624728.2831292031</v>
      </c>
      <c r="Z13" s="15">
        <f>IF($O13="","",(SUMIFS('2. Program Allocation Output'!$AW:$AW,'2. Program Allocation Output'!$A:$A,$O$2,'2. Program Allocation Output'!$H:$H,$O13)
+SUMIFS('2. Program Allocation Output'!$AV:$AV,'2. Program Allocation Output'!$A:$A,$O$2,'2. Program Allocation Output'!$H:$H,$O13)
+SUMIFS('2. Program Allocation Output'!$AZ:$AZ,'2. Program Allocation Output'!$A:$A,$O$2,'2. Program Allocation Output'!$H:$H,$O13)))</f>
        <v>17571762.487993885</v>
      </c>
      <c r="AA13" s="33">
        <f>IFERROR(IF($O13="","",(SUMIFS('2. Program Allocation Output'!$AY:$AY,'2. Program Allocation Output'!$A:$A,$O$2,'2. Program Allocation Output'!$H:$H,$O13))/
(SUMIFS('2. Program Allocation Output'!$AW:$AW,'2. Program Allocation Output'!$A:$A,$O$2,'2. Program Allocation Output'!$H:$H,$O13)
+SUMIFS('2. Program Allocation Output'!$AV:$AV,'2. Program Allocation Output'!$A:$A,$O$2,'2. Program Allocation Output'!$H:$H,$O13)
+SUMIFS('2. Program Allocation Output'!$AZ:$AZ,'2. Program Allocation Output'!$A:$A,$O$2,'2. Program Allocation Output'!$H:$H,$O13))),0)</f>
        <v>0.37700989230053772</v>
      </c>
    </row>
    <row r="14" spans="1:27" hidden="1" x14ac:dyDescent="0.25">
      <c r="A14" t="s">
        <v>19</v>
      </c>
      <c r="B14" s="8" t="str">
        <f>IF(VLOOKUP(A14,'1. Set Program Names'!$A$2:$B$15,2,0)&lt;&gt;0,VLOOKUP(A14,'1. Set Program Names'!$A$2:$B$15,2,0),"")</f>
        <v/>
      </c>
      <c r="C14" s="83" t="str">
        <f>IF(B14="","",SUMIFS('2. Program Allocation Output'!AI:AI,'2. Program Allocation Output'!$A:$A,$C$1,'2. Program Allocation Output'!$H:$H,$B14)/10^3)</f>
        <v/>
      </c>
      <c r="D14" s="83" t="str">
        <f>IF(C14="","",SUMIFS('2. Program Allocation Output'!AJ:AJ,'2. Program Allocation Output'!$A:$A,$C$1,'2. Program Allocation Output'!$H:$H,$B14)/10^3)</f>
        <v/>
      </c>
      <c r="E14" s="83" t="str">
        <f>IF(D14="","",SUMIFS('2. Program Allocation Output'!AK:AK,'2. Program Allocation Output'!$A:$A,$C$1,'2. Program Allocation Output'!$H:$H,$B14)/10^3)</f>
        <v/>
      </c>
      <c r="F14" s="83" t="str">
        <f>IF(E14="","",SUMIFS('2. Program Allocation Output'!AL:AL,'2. Program Allocation Output'!$A:$A,$C$1,'2. Program Allocation Output'!$H:$H,$B14)/10^3)</f>
        <v/>
      </c>
      <c r="G14" s="83" t="str">
        <f>IF(F14="","",SUMIFS('2. Program Allocation Output'!AM:AM,'2. Program Allocation Output'!$A:$A,$C$1,'2. Program Allocation Output'!$H:$H,$B14)/10^3)</f>
        <v/>
      </c>
      <c r="H14" s="83" t="str">
        <f>IF(G14="","",SUMIFS('2. Program Allocation Output'!AN:AN,'2. Program Allocation Output'!$A:$A,$C$1,'2. Program Allocation Output'!$H:$H,$B14)/10^3)</f>
        <v/>
      </c>
      <c r="I14" s="83" t="str">
        <f>IF(H14="","",SUMIFS('2. Program Allocation Output'!AO:AO,'2. Program Allocation Output'!$A:$A,$C$1,'2. Program Allocation Output'!$H:$H,$B14)/10^3)</f>
        <v/>
      </c>
      <c r="J14" s="83" t="str">
        <f>IF(I14="","",SUMIFS('2. Program Allocation Output'!AP:AP,'2. Program Allocation Output'!$A:$A,$C$1,'2. Program Allocation Output'!$H:$H,$B14)/10^3)</f>
        <v/>
      </c>
      <c r="K14" s="83" t="str">
        <f>IF(J14="","",SUMIFS('2. Program Allocation Output'!AQ:AQ,'2. Program Allocation Output'!$A:$A,$C$1,'2. Program Allocation Output'!$H:$H,$B14)/10^3)</f>
        <v/>
      </c>
      <c r="L14" s="83" t="str">
        <f>IF(K14="","",SUMIFS('2. Program Allocation Output'!AR:AR,'2. Program Allocation Output'!$A:$A,$C$1,'2. Program Allocation Output'!$H:$H,$B14)/10^3)</f>
        <v/>
      </c>
      <c r="M14" s="47"/>
      <c r="N14" t="s">
        <v>19</v>
      </c>
      <c r="O14" s="8" t="str">
        <f>IF(VLOOKUP(N14,'1. Set Program Names'!$A$2:$B$15,2,0)&lt;&gt;0,VLOOKUP(N14,'1. Set Program Names'!$A$2:$B$15,2,0),"")</f>
        <v/>
      </c>
      <c r="P14" s="15" t="str">
        <f>IF($O14="","",SUMIFS('2. Program Allocation Output'!$AY:$AY,'2. Program Allocation Output'!$A:$A,$O$2,'2. Program Allocation Output'!$H:$H,$O14)
+SUMIFS('2. Program Allocation Output'!$AX:$AX,'2. Program Allocation Output'!$A:$A,$O$2,'2. Program Allocation Output'!$H:$H,$O14)
-SUMIFS('2. Program Allocation Output'!$AW:$AW,'2. Program Allocation Output'!$A:$A,$O$2,'2. Program Allocation Output'!$H:$H,$O14)
-SUMIFS('2. Program Allocation Output'!$BA:$BA,'2. Program Allocation Output'!$A:$A,$O$2,'2. Program Allocation Output'!$H:$H,$O14))</f>
        <v/>
      </c>
      <c r="Q14" s="15" t="str">
        <f>IFERROR(IF($O14="","",(SUMIFS('2. Program Allocation Output'!$AY:$AY,'2. Program Allocation Output'!$A:$A,$O$2,'2. Program Allocation Output'!$H:$H,$O14)
+SUMIFS('2. Program Allocation Output'!$AX:$AX,'2. Program Allocation Output'!$A:$A,$O$2,'2. Program Allocation Output'!$H:$H,$O14))),"")</f>
        <v/>
      </c>
      <c r="R14" s="15" t="str">
        <f>IFERROR(IF($O14="","",(SUMIFS('2. Program Allocation Output'!$AW:$AW,'2. Program Allocation Output'!$A:$A,$O$2,'2. Program Allocation Output'!$H:$H,$O14)
+SUMIFS('2. Program Allocation Output'!$BA:$BA,'2. Program Allocation Output'!$A:$A,$O$2,'2. Program Allocation Output'!$H:$H,$O14))),"")</f>
        <v/>
      </c>
      <c r="S14" s="33" t="str">
        <f>IFERROR(IF($O14="","",(SUMIFS('2. Program Allocation Output'!$AY:$AY,'2. Program Allocation Output'!$A:$A,$O$2,'2. Program Allocation Output'!$H:$H,$O14)
+SUMIFS('2. Program Allocation Output'!$AX:$AX,'2. Program Allocation Output'!$A:$A,$O$2,'2. Program Allocation Output'!$H:$H,$O14))/
(SUMIFS('2. Program Allocation Output'!$AW:$AW,'2. Program Allocation Output'!$A:$A,$O$2,'2. Program Allocation Output'!$H:$H,$O14)
+SUMIFS('2. Program Allocation Output'!$BA:$BA,'2. Program Allocation Output'!$A:$A,$O$2,'2. Program Allocation Output'!$H:$H,$O14))),0)</f>
        <v/>
      </c>
      <c r="T14" s="15" t="str">
        <f>IF($O14="","",SUMIFS('2. Program Allocation Output'!$AV:$AV,'2. Program Allocation Output'!$A:$A,$O$2,'2. Program Allocation Output'!$H:$H,$O14)
+SUMIFS('2. Program Allocation Output'!$AZ:$AZ,'2. Program Allocation Output'!$A:$A,$O$2,'2. Program Allocation Output'!$H:$H,$O14)
+SUMIFS('2. Program Allocation Output'!$AX:$AX,'2. Program Allocation Output'!$A:$A,$O$2,'2. Program Allocation Output'!$H:$H,$O14)
-SUMIFS('2. Program Allocation Output'!$BA:$BA,'2. Program Allocation Output'!$A:$A,$O$2,'2. Program Allocation Output'!$H:$H,$O14))</f>
        <v/>
      </c>
      <c r="U14" s="15" t="str">
        <f>IF($O14="","",(SUMIFS('2. Program Allocation Output'!$AV:$AV,'2. Program Allocation Output'!$A:$A,$O$2,'2. Program Allocation Output'!$H:$H,$O14)
+SUMIFS('2. Program Allocation Output'!$AZ:$AZ,'2. Program Allocation Output'!$A:$A,$O$2,'2. Program Allocation Output'!$H:$H,$O14)
+SUMIFS('2. Program Allocation Output'!$AX:$AX,'2. Program Allocation Output'!$A:$A,$O$2,'2. Program Allocation Output'!$H:$H,$O14)))</f>
        <v/>
      </c>
      <c r="V14" s="15" t="str">
        <f>IF($O14="","",SUMIFS('2. Program Allocation Output'!$BA:$BA,'2. Program Allocation Output'!$A:$A,$O$2,'2. Program Allocation Output'!$H:$H,$O14))</f>
        <v/>
      </c>
      <c r="W14" s="33" t="str">
        <f>IFERROR(IF($O14="","",(SUMIFS('2. Program Allocation Output'!$AV:$AV,'2. Program Allocation Output'!$A:$A,$O$2,'2. Program Allocation Output'!$H:$H,$O14)
+SUMIFS('2. Program Allocation Output'!$AZ:$AZ,'2. Program Allocation Output'!$A:$A,$O$2,'2. Program Allocation Output'!$H:$H,$O14)
+SUMIFS('2. Program Allocation Output'!$AX:$AX,'2. Program Allocation Output'!$A:$A,$O$2,'2. Program Allocation Output'!$H:$H,$O14))/
SUMIFS('2. Program Allocation Output'!$BA:$BA,'2. Program Allocation Output'!$A:$A,$O$2,'2. Program Allocation Output'!$H:$H,$O14)),0)</f>
        <v/>
      </c>
      <c r="X14" s="15" t="str">
        <f>IF($O14="","",SUMIFS('2. Program Allocation Output'!$AY:$AY,'2. Program Allocation Output'!$A:$A,$O$2,'2. Program Allocation Output'!$H:$H,$O14)
-SUMIFS('2. Program Allocation Output'!$AW:$AW,'2. Program Allocation Output'!$A:$A,$O$2,'2. Program Allocation Output'!$H:$H,$O14)
-SUMIFS('2. Program Allocation Output'!$AV:$AV,'2. Program Allocation Output'!$A:$A,$O$2,'2. Program Allocation Output'!$H:$H,$O14)
-SUMIFS('2. Program Allocation Output'!$AZ:$AZ,'2. Program Allocation Output'!$A:$A,$O$2,'2. Program Allocation Output'!$H:$H,$O14))</f>
        <v/>
      </c>
      <c r="Y14" s="15" t="str">
        <f>IF($O14="","",(SUMIFS('2. Program Allocation Output'!$AY:$AY,'2. Program Allocation Output'!$A:$A,$O$2,'2. Program Allocation Output'!$H:$H,$O14)))</f>
        <v/>
      </c>
      <c r="Z14" s="15" t="str">
        <f>IF($O14="","",(SUMIFS('2. Program Allocation Output'!$AW:$AW,'2. Program Allocation Output'!$A:$A,$O$2,'2. Program Allocation Output'!$H:$H,$O14)
+SUMIFS('2. Program Allocation Output'!$AV:$AV,'2. Program Allocation Output'!$A:$A,$O$2,'2. Program Allocation Output'!$H:$H,$O14)
+SUMIFS('2. Program Allocation Output'!$AZ:$AZ,'2. Program Allocation Output'!$A:$A,$O$2,'2. Program Allocation Output'!$H:$H,$O14)))</f>
        <v/>
      </c>
      <c r="AA14" s="33" t="str">
        <f>IFERROR(IF($O14="","",(SUMIFS('2. Program Allocation Output'!$AY:$AY,'2. Program Allocation Output'!$A:$A,$O$2,'2. Program Allocation Output'!$H:$H,$O14))/
(SUMIFS('2. Program Allocation Output'!$AW:$AW,'2. Program Allocation Output'!$A:$A,$O$2,'2. Program Allocation Output'!$H:$H,$O14)
+SUMIFS('2. Program Allocation Output'!$AV:$AV,'2. Program Allocation Output'!$A:$A,$O$2,'2. Program Allocation Output'!$H:$H,$O14)
+SUMIFS('2. Program Allocation Output'!$AZ:$AZ,'2. Program Allocation Output'!$A:$A,$O$2,'2. Program Allocation Output'!$H:$H,$O14))),0)</f>
        <v/>
      </c>
    </row>
    <row r="15" spans="1:27" hidden="1" x14ac:dyDescent="0.25">
      <c r="A15" t="s">
        <v>21</v>
      </c>
      <c r="B15" s="8" t="str">
        <f>IF(VLOOKUP(A15,'1. Set Program Names'!$A$2:$B$15,2,0)&lt;&gt;0,VLOOKUP(A15,'1. Set Program Names'!$A$2:$B$15,2,0),"")</f>
        <v/>
      </c>
      <c r="C15" s="83" t="str">
        <f>IF(B15="","",SUMIFS('2. Program Allocation Output'!AI:AI,'2. Program Allocation Output'!$A:$A,$C$1,'2. Program Allocation Output'!$H:$H,$B15)/10^3)</f>
        <v/>
      </c>
      <c r="D15" s="83" t="str">
        <f>IF(C15="","",SUMIFS('2. Program Allocation Output'!AJ:AJ,'2. Program Allocation Output'!$A:$A,$C$1,'2. Program Allocation Output'!$H:$H,$B15)/10^3)</f>
        <v/>
      </c>
      <c r="E15" s="83" t="str">
        <f>IF(D15="","",SUMIFS('2. Program Allocation Output'!AK:AK,'2. Program Allocation Output'!$A:$A,$C$1,'2. Program Allocation Output'!$H:$H,$B15)/10^3)</f>
        <v/>
      </c>
      <c r="F15" s="83" t="str">
        <f>IF(E15="","",SUMIFS('2. Program Allocation Output'!AL:AL,'2. Program Allocation Output'!$A:$A,$C$1,'2. Program Allocation Output'!$H:$H,$B15)/10^3)</f>
        <v/>
      </c>
      <c r="G15" s="83" t="str">
        <f>IF(F15="","",SUMIFS('2. Program Allocation Output'!AM:AM,'2. Program Allocation Output'!$A:$A,$C$1,'2. Program Allocation Output'!$H:$H,$B15)/10^3)</f>
        <v/>
      </c>
      <c r="H15" s="83" t="str">
        <f>IF(G15="","",SUMIFS('2. Program Allocation Output'!AN:AN,'2. Program Allocation Output'!$A:$A,$C$1,'2. Program Allocation Output'!$H:$H,$B15)/10^3)</f>
        <v/>
      </c>
      <c r="I15" s="83" t="str">
        <f>IF(H15="","",SUMIFS('2. Program Allocation Output'!AO:AO,'2. Program Allocation Output'!$A:$A,$C$1,'2. Program Allocation Output'!$H:$H,$B15)/10^3)</f>
        <v/>
      </c>
      <c r="J15" s="83" t="str">
        <f>IF(I15="","",SUMIFS('2. Program Allocation Output'!AP:AP,'2. Program Allocation Output'!$A:$A,$C$1,'2. Program Allocation Output'!$H:$H,$B15)/10^3)</f>
        <v/>
      </c>
      <c r="K15" s="83" t="str">
        <f>IF(J15="","",SUMIFS('2. Program Allocation Output'!AQ:AQ,'2. Program Allocation Output'!$A:$A,$C$1,'2. Program Allocation Output'!$H:$H,$B15)/10^3)</f>
        <v/>
      </c>
      <c r="L15" s="83" t="str">
        <f>IF(K15="","",SUMIFS('2. Program Allocation Output'!AR:AR,'2. Program Allocation Output'!$A:$A,$C$1,'2. Program Allocation Output'!$H:$H,$B15)/10^3)</f>
        <v/>
      </c>
      <c r="M15" s="47"/>
      <c r="N15" t="s">
        <v>21</v>
      </c>
      <c r="O15" s="8" t="str">
        <f>IF(VLOOKUP(N15,'1. Set Program Names'!$A$2:$B$15,2,0)&lt;&gt;0,VLOOKUP(N15,'1. Set Program Names'!$A$2:$B$15,2,0),"")</f>
        <v/>
      </c>
      <c r="P15" s="15"/>
      <c r="Q15" s="15" t="str">
        <f>IFERROR(IF($O15="","",(SUMIFS('2. Program Allocation Output'!$AY:$AY,'2. Program Allocation Output'!$A:$A,$O$2,'2. Program Allocation Output'!$H:$H,$O15)
+SUMIFS('2. Program Allocation Output'!$AX:$AX,'2. Program Allocation Output'!$A:$A,$O$2,'2. Program Allocation Output'!$H:$H,$O15))),"")</f>
        <v/>
      </c>
      <c r="R15" s="15" t="str">
        <f>IFERROR(IF($O15="","",(SUMIFS('2. Program Allocation Output'!$AW:$AW,'2. Program Allocation Output'!$A:$A,$O$2,'2. Program Allocation Output'!$H:$H,$O15)
+SUMIFS('2. Program Allocation Output'!$BA:$BA,'2. Program Allocation Output'!$A:$A,$O$2,'2. Program Allocation Output'!$H:$H,$O15))),"")</f>
        <v/>
      </c>
      <c r="S15" s="33"/>
      <c r="T15" s="15"/>
      <c r="U15" s="15" t="str">
        <f>IF($O15="","",(SUMIFS('2. Program Allocation Output'!$AV:$AV,'2. Program Allocation Output'!$A:$A,$O$2,'2. Program Allocation Output'!$H:$H,$O15)
+SUMIFS('2. Program Allocation Output'!$AZ:$AZ,'2. Program Allocation Output'!$A:$A,$O$2,'2. Program Allocation Output'!$H:$H,$O15)
+SUMIFS('2. Program Allocation Output'!$AX:$AX,'2. Program Allocation Output'!$A:$A,$O$2,'2. Program Allocation Output'!$H:$H,$O15)))</f>
        <v/>
      </c>
      <c r="V15" s="15" t="str">
        <f>IF($O15="","",SUMIFS('2. Program Allocation Output'!$BA:$BA,'2. Program Allocation Output'!$A:$A,$O$2,'2. Program Allocation Output'!$H:$H,$O15))</f>
        <v/>
      </c>
      <c r="W15" s="33"/>
      <c r="X15" s="15"/>
      <c r="Y15" s="15" t="str">
        <f>IF($O15="","",(SUMIFS('2. Program Allocation Output'!$AY:$AY,'2. Program Allocation Output'!$A:$A,$O$2,'2. Program Allocation Output'!$H:$H,$O15)))</f>
        <v/>
      </c>
      <c r="Z15" s="15" t="str">
        <f>IF($O15="","",(SUMIFS('2. Program Allocation Output'!$AW:$AW,'2. Program Allocation Output'!$A:$A,$O$2,'2. Program Allocation Output'!$H:$H,$O15)
+SUMIFS('2. Program Allocation Output'!$AV:$AV,'2. Program Allocation Output'!$A:$A,$O$2,'2. Program Allocation Output'!$H:$H,$O15)
+SUMIFS('2. Program Allocation Output'!$AZ:$AZ,'2. Program Allocation Output'!$A:$A,$O$2,'2. Program Allocation Output'!$H:$H,$O15)))</f>
        <v/>
      </c>
      <c r="AA15" s="33"/>
    </row>
    <row r="16" spans="1:27" hidden="1" x14ac:dyDescent="0.25">
      <c r="A16" t="s">
        <v>22</v>
      </c>
      <c r="B16" s="8" t="str">
        <f>IF(VLOOKUP(A16,'1. Set Program Names'!$A$2:$B$15,2,0)&lt;&gt;0,VLOOKUP(A16,'1. Set Program Names'!$A$2:$B$15,2,0),"")</f>
        <v/>
      </c>
      <c r="C16" s="83" t="str">
        <f>IF(B16="","",SUMIFS('2. Program Allocation Output'!AI:AI,'2. Program Allocation Output'!$A:$A,$C$1,'2. Program Allocation Output'!$H:$H,$B16)/10^3)</f>
        <v/>
      </c>
      <c r="D16" s="83" t="str">
        <f>IF(C16="","",SUMIFS('2. Program Allocation Output'!AJ:AJ,'2. Program Allocation Output'!$A:$A,$C$1,'2. Program Allocation Output'!$H:$H,$B16)/10^3)</f>
        <v/>
      </c>
      <c r="E16" s="83" t="str">
        <f>IF(D16="","",SUMIFS('2. Program Allocation Output'!AK:AK,'2. Program Allocation Output'!$A:$A,$C$1,'2. Program Allocation Output'!$H:$H,$B16)/10^3)</f>
        <v/>
      </c>
      <c r="F16" s="83" t="str">
        <f>IF(E16="","",SUMIFS('2. Program Allocation Output'!AL:AL,'2. Program Allocation Output'!$A:$A,$C$1,'2. Program Allocation Output'!$H:$H,$B16)/10^3)</f>
        <v/>
      </c>
      <c r="G16" s="83" t="str">
        <f>IF(F16="","",SUMIFS('2. Program Allocation Output'!AM:AM,'2. Program Allocation Output'!$A:$A,$C$1,'2. Program Allocation Output'!$H:$H,$B16)/10^3)</f>
        <v/>
      </c>
      <c r="H16" s="83" t="str">
        <f>IF(G16="","",SUMIFS('2. Program Allocation Output'!AN:AN,'2. Program Allocation Output'!$A:$A,$C$1,'2. Program Allocation Output'!$H:$H,$B16)/10^3)</f>
        <v/>
      </c>
      <c r="I16" s="83" t="str">
        <f>IF(H16="","",SUMIFS('2. Program Allocation Output'!AO:AO,'2. Program Allocation Output'!$A:$A,$C$1,'2. Program Allocation Output'!$H:$H,$B16)/10^3)</f>
        <v/>
      </c>
      <c r="J16" s="83" t="str">
        <f>IF(I16="","",SUMIFS('2. Program Allocation Output'!AP:AP,'2. Program Allocation Output'!$A:$A,$C$1,'2. Program Allocation Output'!$H:$H,$B16)/10^3)</f>
        <v/>
      </c>
      <c r="K16" s="83" t="str">
        <f>IF(J16="","",SUMIFS('2. Program Allocation Output'!AQ:AQ,'2. Program Allocation Output'!$A:$A,$C$1,'2. Program Allocation Output'!$H:$H,$B16)/10^3)</f>
        <v/>
      </c>
      <c r="L16" s="83" t="str">
        <f>IF(K16="","",SUMIFS('2. Program Allocation Output'!AR:AR,'2. Program Allocation Output'!$A:$A,$C$1,'2. Program Allocation Output'!$H:$H,$B16)/10^3)</f>
        <v/>
      </c>
      <c r="M16" s="47"/>
      <c r="N16" t="s">
        <v>22</v>
      </c>
      <c r="O16" s="8" t="str">
        <f>IF(VLOOKUP(N16,'1. Set Program Names'!$A$2:$B$15,2,0)&lt;&gt;0,VLOOKUP(N16,'1. Set Program Names'!$A$2:$B$15,2,0),"")</f>
        <v/>
      </c>
      <c r="P16" s="15" t="str">
        <f>IF($O16="","",SUMIFS('2. Program Allocation Output'!$AY:$AY,'2. Program Allocation Output'!$A:$A,$O$2,'2. Program Allocation Output'!$H:$H,$O16)
+SUMIFS('2. Program Allocation Output'!$AX:$AX,'2. Program Allocation Output'!$A:$A,$O$2,'2. Program Allocation Output'!$H:$H,$O16)
-SUMIFS('2. Program Allocation Output'!$AW:$AW,'2. Program Allocation Output'!$A:$A,$O$2,'2. Program Allocation Output'!$H:$H,$O16)
-SUMIFS('2. Program Allocation Output'!$BA:$BA,'2. Program Allocation Output'!$A:$A,$O$2,'2. Program Allocation Output'!$H:$H,$O16))</f>
        <v/>
      </c>
      <c r="Q16" s="15" t="str">
        <f>IFERROR(IF($O16="","",(SUMIFS('2. Program Allocation Output'!$AY:$AY,'2. Program Allocation Output'!$A:$A,$O$2,'2. Program Allocation Output'!$H:$H,$O16)
+SUMIFS('2. Program Allocation Output'!$AX:$AX,'2. Program Allocation Output'!$A:$A,$O$2,'2. Program Allocation Output'!$H:$H,$O16))),"")</f>
        <v/>
      </c>
      <c r="R16" s="15" t="str">
        <f>IFERROR(IF($O16="","",(SUMIFS('2. Program Allocation Output'!$AW:$AW,'2. Program Allocation Output'!$A:$A,$O$2,'2. Program Allocation Output'!$H:$H,$O16)
+SUMIFS('2. Program Allocation Output'!$BA:$BA,'2. Program Allocation Output'!$A:$A,$O$2,'2. Program Allocation Output'!$H:$H,$O16))),"")</f>
        <v/>
      </c>
      <c r="S16" s="33" t="str">
        <f>IFERROR(IF($O16="","",(SUMIFS('2. Program Allocation Output'!$AY:$AY,'2. Program Allocation Output'!$A:$A,$O$2,'2. Program Allocation Output'!$H:$H,$O16)
+SUMIFS('2. Program Allocation Output'!$AX:$AX,'2. Program Allocation Output'!$A:$A,$O$2,'2. Program Allocation Output'!$H:$H,$O16))/
(SUMIFS('2. Program Allocation Output'!$AW:$AW,'2. Program Allocation Output'!$A:$A,$O$2,'2. Program Allocation Output'!$H:$H,$O16)
+SUMIFS('2. Program Allocation Output'!$BA:$BA,'2. Program Allocation Output'!$A:$A,$O$2,'2. Program Allocation Output'!$H:$H,$O16))),0)</f>
        <v/>
      </c>
      <c r="T16" s="15" t="str">
        <f>IF($O16="","",SUMIFS('2. Program Allocation Output'!$AV:$AV,'2. Program Allocation Output'!$A:$A,$O$2,'2. Program Allocation Output'!$H:$H,$O16)
+SUMIFS('2. Program Allocation Output'!$AZ:$AZ,'2. Program Allocation Output'!$A:$A,$O$2,'2. Program Allocation Output'!$H:$H,$O16)
+SUMIFS('2. Program Allocation Output'!$AX:$AX,'2. Program Allocation Output'!$A:$A,$O$2,'2. Program Allocation Output'!$H:$H,$O16)
-SUMIFS('2. Program Allocation Output'!$BA:$BA,'2. Program Allocation Output'!$A:$A,$O$2,'2. Program Allocation Output'!$H:$H,$O16))</f>
        <v/>
      </c>
      <c r="U16" s="15" t="str">
        <f>IF($O16="","",(SUMIFS('2. Program Allocation Output'!$AV:$AV,'2. Program Allocation Output'!$A:$A,$O$2,'2. Program Allocation Output'!$H:$H,$O16)
+SUMIFS('2. Program Allocation Output'!$AZ:$AZ,'2. Program Allocation Output'!$A:$A,$O$2,'2. Program Allocation Output'!$H:$H,$O16)
+SUMIFS('2. Program Allocation Output'!$AX:$AX,'2. Program Allocation Output'!$A:$A,$O$2,'2. Program Allocation Output'!$H:$H,$O16)))</f>
        <v/>
      </c>
      <c r="V16" s="15" t="str">
        <f>IF($O16="","",SUMIFS('2. Program Allocation Output'!$BA:$BA,'2. Program Allocation Output'!$A:$A,$O$2,'2. Program Allocation Output'!$H:$H,$O16))</f>
        <v/>
      </c>
      <c r="W16" s="33" t="str">
        <f>IFERROR(IF($O16="","",(SUMIFS('2. Program Allocation Output'!$AV:$AV,'2. Program Allocation Output'!$A:$A,$O$2,'2. Program Allocation Output'!$H:$H,$O16)
+SUMIFS('2. Program Allocation Output'!$AZ:$AZ,'2. Program Allocation Output'!$A:$A,$O$2,'2. Program Allocation Output'!$H:$H,$O16)
+SUMIFS('2. Program Allocation Output'!$AX:$AX,'2. Program Allocation Output'!$A:$A,$O$2,'2. Program Allocation Output'!$H:$H,$O16))/
SUMIFS('2. Program Allocation Output'!$BA:$BA,'2. Program Allocation Output'!$A:$A,$O$2,'2. Program Allocation Output'!$H:$H,$O16)),0)</f>
        <v/>
      </c>
      <c r="X16" s="15" t="str">
        <f>IF($O16="","",SUMIFS('2. Program Allocation Output'!$AY:$AY,'2. Program Allocation Output'!$A:$A,$O$2,'2. Program Allocation Output'!$H:$H,$O16)
-SUMIFS('2. Program Allocation Output'!$AW:$AW,'2. Program Allocation Output'!$A:$A,$O$2,'2. Program Allocation Output'!$H:$H,$O16)
-SUMIFS('2. Program Allocation Output'!$AV:$AV,'2. Program Allocation Output'!$A:$A,$O$2,'2. Program Allocation Output'!$H:$H,$O16)
-SUMIFS('2. Program Allocation Output'!$AZ:$AZ,'2. Program Allocation Output'!$A:$A,$O$2,'2. Program Allocation Output'!$H:$H,$O16))</f>
        <v/>
      </c>
      <c r="Y16" s="15" t="str">
        <f>IF($O16="","",(SUMIFS('2. Program Allocation Output'!$AY:$AY,'2. Program Allocation Output'!$A:$A,$O$2,'2. Program Allocation Output'!$H:$H,$O16)))</f>
        <v/>
      </c>
      <c r="Z16" s="15" t="str">
        <f>IF($O16="","",(SUMIFS('2. Program Allocation Output'!$AW:$AW,'2. Program Allocation Output'!$A:$A,$O$2,'2. Program Allocation Output'!$H:$H,$O16)
+SUMIFS('2. Program Allocation Output'!$AV:$AV,'2. Program Allocation Output'!$A:$A,$O$2,'2. Program Allocation Output'!$H:$H,$O16)
+SUMIFS('2. Program Allocation Output'!$AZ:$AZ,'2. Program Allocation Output'!$A:$A,$O$2,'2. Program Allocation Output'!$H:$H,$O16)))</f>
        <v/>
      </c>
      <c r="AA16" s="33" t="str">
        <f>IFERROR(IF($O16="","",(SUMIFS('2. Program Allocation Output'!$AY:$AY,'2. Program Allocation Output'!$A:$A,$O$2,'2. Program Allocation Output'!$H:$H,$O16))/
(SUMIFS('2. Program Allocation Output'!$AW:$AW,'2. Program Allocation Output'!$A:$A,$O$2,'2. Program Allocation Output'!$H:$H,$O16)
+SUMIFS('2. Program Allocation Output'!$AV:$AV,'2. Program Allocation Output'!$A:$A,$O$2,'2. Program Allocation Output'!$H:$H,$O16)
+SUMIFS('2. Program Allocation Output'!$AZ:$AZ,'2. Program Allocation Output'!$A:$A,$O$2,'2. Program Allocation Output'!$H:$H,$O16))),0)</f>
        <v/>
      </c>
    </row>
    <row r="17" spans="1:27" hidden="1" x14ac:dyDescent="0.25">
      <c r="A17" t="s">
        <v>23</v>
      </c>
      <c r="B17" s="8" t="str">
        <f>IF(VLOOKUP(A17,'1. Set Program Names'!$A$2:$B$15,2,0)&lt;&gt;0,VLOOKUP(A17,'1. Set Program Names'!$A$2:$B$15,2,0),"")</f>
        <v/>
      </c>
      <c r="C17" s="83" t="str">
        <f>IF(B17="","",SUMIFS('2. Program Allocation Output'!AI:AI,'2. Program Allocation Output'!$A:$A,$C$1,'2. Program Allocation Output'!$H:$H,$B17)/10^3)</f>
        <v/>
      </c>
      <c r="D17" s="83" t="str">
        <f>IF(C17="","",SUMIFS('2. Program Allocation Output'!AJ:AJ,'2. Program Allocation Output'!$A:$A,$C$1,'2. Program Allocation Output'!$H:$H,$B17)/10^3)</f>
        <v/>
      </c>
      <c r="E17" s="83" t="str">
        <f>IF(D17="","",SUMIFS('2. Program Allocation Output'!AK:AK,'2. Program Allocation Output'!$A:$A,$C$1,'2. Program Allocation Output'!$H:$H,$B17)/10^3)</f>
        <v/>
      </c>
      <c r="F17" s="83" t="str">
        <f>IF(E17="","",SUMIFS('2. Program Allocation Output'!AL:AL,'2. Program Allocation Output'!$A:$A,$C$1,'2. Program Allocation Output'!$H:$H,$B17)/10^3)</f>
        <v/>
      </c>
      <c r="G17" s="83" t="str">
        <f>IF(F17="","",SUMIFS('2. Program Allocation Output'!AM:AM,'2. Program Allocation Output'!$A:$A,$C$1,'2. Program Allocation Output'!$H:$H,$B17)/10^3)</f>
        <v/>
      </c>
      <c r="H17" s="83" t="str">
        <f>IF(G17="","",SUMIFS('2. Program Allocation Output'!AN:AN,'2. Program Allocation Output'!$A:$A,$C$1,'2. Program Allocation Output'!$H:$H,$B17)/10^3)</f>
        <v/>
      </c>
      <c r="I17" s="83" t="str">
        <f>IF(H17="","",SUMIFS('2. Program Allocation Output'!AO:AO,'2. Program Allocation Output'!$A:$A,$C$1,'2. Program Allocation Output'!$H:$H,$B17)/10^3)</f>
        <v/>
      </c>
      <c r="J17" s="83" t="str">
        <f>IF(I17="","",SUMIFS('2. Program Allocation Output'!AP:AP,'2. Program Allocation Output'!$A:$A,$C$1,'2. Program Allocation Output'!$H:$H,$B17)/10^3)</f>
        <v/>
      </c>
      <c r="K17" s="83" t="str">
        <f>IF(J17="","",SUMIFS('2. Program Allocation Output'!AQ:AQ,'2. Program Allocation Output'!$A:$A,$C$1,'2. Program Allocation Output'!$H:$H,$B17)/10^3)</f>
        <v/>
      </c>
      <c r="L17" s="83" t="str">
        <f>IF(K17="","",SUMIFS('2. Program Allocation Output'!AR:AR,'2. Program Allocation Output'!$A:$A,$C$1,'2. Program Allocation Output'!$H:$H,$B17)/10^3)</f>
        <v/>
      </c>
      <c r="M17" s="47"/>
      <c r="N17" t="s">
        <v>23</v>
      </c>
      <c r="O17" s="8" t="str">
        <f>IF(VLOOKUP(N17,'1. Set Program Names'!$A$2:$B$15,2,0)&lt;&gt;0,VLOOKUP(N17,'1. Set Program Names'!$A$2:$B$15,2,0),"")</f>
        <v/>
      </c>
      <c r="P17" s="15" t="str">
        <f>IF($O17="","",SUMIFS('2. Program Allocation Output'!$AY:$AY,'2. Program Allocation Output'!$A:$A,$O$2,'2. Program Allocation Output'!$H:$H,$O17)
+SUMIFS('2. Program Allocation Output'!$AX:$AX,'2. Program Allocation Output'!$A:$A,$O$2,'2. Program Allocation Output'!$H:$H,$O17)
-SUMIFS('2. Program Allocation Output'!$AW:$AW,'2. Program Allocation Output'!$A:$A,$O$2,'2. Program Allocation Output'!$H:$H,$O17)
-SUMIFS('2. Program Allocation Output'!$BA:$BA,'2. Program Allocation Output'!$A:$A,$O$2,'2. Program Allocation Output'!$H:$H,$O17))</f>
        <v/>
      </c>
      <c r="Q17" s="15" t="str">
        <f>IFERROR(IF($O17="","",(SUMIFS('2. Program Allocation Output'!$AY:$AY,'2. Program Allocation Output'!$A:$A,$O$2,'2. Program Allocation Output'!$H:$H,$O17)
+SUMIFS('2. Program Allocation Output'!$AX:$AX,'2. Program Allocation Output'!$A:$A,$O$2,'2. Program Allocation Output'!$H:$H,$O17))),"")</f>
        <v/>
      </c>
      <c r="R17" s="15" t="str">
        <f>IFERROR(IF($O17="","",(SUMIFS('2. Program Allocation Output'!$AW:$AW,'2. Program Allocation Output'!$A:$A,$O$2,'2. Program Allocation Output'!$H:$H,$O17)
+SUMIFS('2. Program Allocation Output'!$BA:$BA,'2. Program Allocation Output'!$A:$A,$O$2,'2. Program Allocation Output'!$H:$H,$O17))),"")</f>
        <v/>
      </c>
      <c r="S17" s="33" t="str">
        <f>IFERROR(IF($O17="","",(SUMIFS('2. Program Allocation Output'!$AY:$AY,'2. Program Allocation Output'!$A:$A,$O$2,'2. Program Allocation Output'!$H:$H,$O17)
+SUMIFS('2. Program Allocation Output'!$AX:$AX,'2. Program Allocation Output'!$A:$A,$O$2,'2. Program Allocation Output'!$H:$H,$O17))/
(SUMIFS('2. Program Allocation Output'!$AW:$AW,'2. Program Allocation Output'!$A:$A,$O$2,'2. Program Allocation Output'!$H:$H,$O17)
+SUMIFS('2. Program Allocation Output'!$BA:$BA,'2. Program Allocation Output'!$A:$A,$O$2,'2. Program Allocation Output'!$H:$H,$O17))),0)</f>
        <v/>
      </c>
      <c r="T17" s="15" t="str">
        <f>IF($O17="","",SUMIFS('2. Program Allocation Output'!$AV:$AV,'2. Program Allocation Output'!$A:$A,$O$2,'2. Program Allocation Output'!$H:$H,$O17)
+SUMIFS('2. Program Allocation Output'!$AZ:$AZ,'2. Program Allocation Output'!$A:$A,$O$2,'2. Program Allocation Output'!$H:$H,$O17)
+SUMIFS('2. Program Allocation Output'!$AX:$AX,'2. Program Allocation Output'!$A:$A,$O$2,'2. Program Allocation Output'!$H:$H,$O17)
-SUMIFS('2. Program Allocation Output'!$BA:$BA,'2. Program Allocation Output'!$A:$A,$O$2,'2. Program Allocation Output'!$H:$H,$O17))</f>
        <v/>
      </c>
      <c r="U17" s="15" t="str">
        <f>IF($O17="","",(SUMIFS('2. Program Allocation Output'!$AV:$AV,'2. Program Allocation Output'!$A:$A,$O$2,'2. Program Allocation Output'!$H:$H,$O17)
+SUMIFS('2. Program Allocation Output'!$AZ:$AZ,'2. Program Allocation Output'!$A:$A,$O$2,'2. Program Allocation Output'!$H:$H,$O17)
+SUMIFS('2. Program Allocation Output'!$AX:$AX,'2. Program Allocation Output'!$A:$A,$O$2,'2. Program Allocation Output'!$H:$H,$O17)))</f>
        <v/>
      </c>
      <c r="V17" s="15" t="str">
        <f>IF($O17="","",SUMIFS('2. Program Allocation Output'!$BA:$BA,'2. Program Allocation Output'!$A:$A,$O$2,'2. Program Allocation Output'!$H:$H,$O17))</f>
        <v/>
      </c>
      <c r="W17" s="33" t="str">
        <f>IFERROR(IF($O17="","",(SUMIFS('2. Program Allocation Output'!$AV:$AV,'2. Program Allocation Output'!$A:$A,$O$2,'2. Program Allocation Output'!$H:$H,$O17)
+SUMIFS('2. Program Allocation Output'!$AZ:$AZ,'2. Program Allocation Output'!$A:$A,$O$2,'2. Program Allocation Output'!$H:$H,$O17)
+SUMIFS('2. Program Allocation Output'!$AX:$AX,'2. Program Allocation Output'!$A:$A,$O$2,'2. Program Allocation Output'!$H:$H,$O17))/
SUMIFS('2. Program Allocation Output'!$BA:$BA,'2. Program Allocation Output'!$A:$A,$O$2,'2. Program Allocation Output'!$H:$H,$O17)),0)</f>
        <v/>
      </c>
      <c r="X17" s="15" t="str">
        <f>IF($O17="","",SUMIFS('2. Program Allocation Output'!$AY:$AY,'2. Program Allocation Output'!$A:$A,$O$2,'2. Program Allocation Output'!$H:$H,$O17)
-SUMIFS('2. Program Allocation Output'!$AW:$AW,'2. Program Allocation Output'!$A:$A,$O$2,'2. Program Allocation Output'!$H:$H,$O17)
-SUMIFS('2. Program Allocation Output'!$AV:$AV,'2. Program Allocation Output'!$A:$A,$O$2,'2. Program Allocation Output'!$H:$H,$O17)
-SUMIFS('2. Program Allocation Output'!$AZ:$AZ,'2. Program Allocation Output'!$A:$A,$O$2,'2. Program Allocation Output'!$H:$H,$O17))</f>
        <v/>
      </c>
      <c r="Y17" s="15" t="str">
        <f>IF($O17="","",(SUMIFS('2. Program Allocation Output'!$AY:$AY,'2. Program Allocation Output'!$A:$A,$O$2,'2. Program Allocation Output'!$H:$H,$O17)))</f>
        <v/>
      </c>
      <c r="Z17" s="15" t="str">
        <f>IF($O17="","",(SUMIFS('2. Program Allocation Output'!$AW:$AW,'2. Program Allocation Output'!$A:$A,$O$2,'2. Program Allocation Output'!$H:$H,$O17)
+SUMIFS('2. Program Allocation Output'!$AV:$AV,'2. Program Allocation Output'!$A:$A,$O$2,'2. Program Allocation Output'!$H:$H,$O17)
+SUMIFS('2. Program Allocation Output'!$AZ:$AZ,'2. Program Allocation Output'!$A:$A,$O$2,'2. Program Allocation Output'!$H:$H,$O17)))</f>
        <v/>
      </c>
      <c r="AA17" s="33" t="str">
        <f>IFERROR(IF($O17="","",(SUMIFS('2. Program Allocation Output'!$AY:$AY,'2. Program Allocation Output'!$A:$A,$O$2,'2. Program Allocation Output'!$H:$H,$O17))/
(SUMIFS('2. Program Allocation Output'!$AW:$AW,'2. Program Allocation Output'!$A:$A,$O$2,'2. Program Allocation Output'!$H:$H,$O17)
+SUMIFS('2. Program Allocation Output'!$AV:$AV,'2. Program Allocation Output'!$A:$A,$O$2,'2. Program Allocation Output'!$H:$H,$O17)
+SUMIFS('2. Program Allocation Output'!$AZ:$AZ,'2. Program Allocation Output'!$A:$A,$O$2,'2. Program Allocation Output'!$H:$H,$O17))),0)</f>
        <v/>
      </c>
    </row>
    <row r="18" spans="1:27" x14ac:dyDescent="0.25">
      <c r="B18" s="9" t="s">
        <v>219</v>
      </c>
      <c r="C18" s="84">
        <f>SUM(C11:C17)</f>
        <v>3206.8950815418916</v>
      </c>
      <c r="D18" s="84">
        <f t="shared" ref="D18:L18" si="1">SUM(D11:D17)</f>
        <v>3508.4326754284798</v>
      </c>
      <c r="E18" s="84">
        <f t="shared" si="1"/>
        <v>3768.9946193932033</v>
      </c>
      <c r="F18" s="84">
        <f t="shared" si="1"/>
        <v>4018.6512963412761</v>
      </c>
      <c r="G18" s="84">
        <f t="shared" si="1"/>
        <v>4247.2738540547225</v>
      </c>
      <c r="H18" s="84">
        <f t="shared" si="1"/>
        <v>4446.21555224859</v>
      </c>
      <c r="I18" s="84">
        <f t="shared" si="1"/>
        <v>4605.1103456348392</v>
      </c>
      <c r="J18" s="84">
        <f t="shared" si="1"/>
        <v>4714.9117140316766</v>
      </c>
      <c r="K18" s="84">
        <f t="shared" si="1"/>
        <v>4769.6833779358294</v>
      </c>
      <c r="L18" s="84">
        <f t="shared" si="1"/>
        <v>4766.5802170923325</v>
      </c>
      <c r="M18" s="47"/>
      <c r="O18" s="9" t="s">
        <v>219</v>
      </c>
      <c r="P18" s="25">
        <f>SUM(P11:P17)</f>
        <v>1437337.4441296826</v>
      </c>
      <c r="Q18" s="25">
        <f>SUM(Q11:Q17)</f>
        <v>17503328.410152901</v>
      </c>
      <c r="R18" s="25">
        <f>SUM(R11:R17)</f>
        <v>16065990.966023218</v>
      </c>
      <c r="S18" s="34">
        <f>Q18/R18</f>
        <v>1.0894645992998131</v>
      </c>
      <c r="T18" s="25">
        <f>SUM(T11:T17)</f>
        <v>32212846.440277632</v>
      </c>
      <c r="U18" s="25">
        <f>SUM(U11:U17)</f>
        <v>46827411.046537876</v>
      </c>
      <c r="V18" s="25">
        <f>SUM(V11:V17)</f>
        <v>14614564.606260244</v>
      </c>
      <c r="W18" s="34">
        <f>U18/V18</f>
        <v>3.2041605280857324</v>
      </c>
      <c r="X18" s="25">
        <f>SUM(X11:X17)</f>
        <v>-30775508.996147953</v>
      </c>
      <c r="Y18" s="25">
        <f>SUM(Y11:Y17)</f>
        <v>17503303.240310729</v>
      </c>
      <c r="Z18" s="25">
        <f>SUM(Z11:Z17)</f>
        <v>48278812.236458674</v>
      </c>
      <c r="AA18" s="34">
        <f>Y18/Z18</f>
        <v>0.36254626883908242</v>
      </c>
    </row>
    <row r="19" spans="1:27" x14ac:dyDescent="0.25">
      <c r="B19" s="12" t="s">
        <v>220</v>
      </c>
      <c r="C19" s="85">
        <f>C10+C18</f>
        <v>4242.3821099120851</v>
      </c>
      <c r="D19" s="85">
        <f t="shared" ref="D19:L19" si="2">D10+D18</f>
        <v>4599.990952140899</v>
      </c>
      <c r="E19" s="85">
        <f t="shared" si="2"/>
        <v>4915.6046502416975</v>
      </c>
      <c r="F19" s="85">
        <f t="shared" si="2"/>
        <v>5221.2456815266087</v>
      </c>
      <c r="G19" s="85">
        <f t="shared" si="2"/>
        <v>5506.7087039640937</v>
      </c>
      <c r="H19" s="85">
        <f t="shared" si="2"/>
        <v>5759.6667278514824</v>
      </c>
      <c r="I19" s="85">
        <f t="shared" si="2"/>
        <v>5979.4776941913115</v>
      </c>
      <c r="J19" s="85">
        <f t="shared" si="2"/>
        <v>6159.7036243725079</v>
      </c>
      <c r="K19" s="85">
        <f t="shared" si="2"/>
        <v>6294.8912000830969</v>
      </c>
      <c r="L19" s="85">
        <f t="shared" si="2"/>
        <v>6382.3375493639187</v>
      </c>
      <c r="O19" s="14" t="s">
        <v>220</v>
      </c>
      <c r="P19" s="26">
        <f>P10+P18</f>
        <v>-488140.98766880459</v>
      </c>
      <c r="Q19" s="26">
        <f>Q10+Q18</f>
        <v>27929322.497394595</v>
      </c>
      <c r="R19" s="26">
        <f>R10+R18</f>
        <v>28417463.4850634</v>
      </c>
      <c r="S19" s="35">
        <f>Q19/R19</f>
        <v>0.98282249969546442</v>
      </c>
      <c r="T19" s="26">
        <f>T10+T18</f>
        <v>47933003.695777133</v>
      </c>
      <c r="U19" s="26">
        <f>U10+U18</f>
        <v>69104143.002633139</v>
      </c>
      <c r="V19" s="26">
        <f>V10+V18</f>
        <v>21171139.306855999</v>
      </c>
      <c r="W19" s="35">
        <f>U19/V19</f>
        <v>3.264072943880477</v>
      </c>
      <c r="X19" s="26">
        <f>X10+X18</f>
        <v>-48421144.683445945</v>
      </c>
      <c r="Y19" s="26">
        <f>Y10+Y18</f>
        <v>24885299.679836571</v>
      </c>
      <c r="Z19" s="26">
        <f>Z10+Z18</f>
        <v>73306444.363282502</v>
      </c>
      <c r="AA19" s="36">
        <f>Y19/Z19</f>
        <v>0.33946946814816514</v>
      </c>
    </row>
    <row r="20" spans="1:27" x14ac:dyDescent="0.25">
      <c r="C20" s="86"/>
      <c r="D20" s="87"/>
      <c r="E20" s="87"/>
      <c r="F20" s="87"/>
      <c r="G20" s="87"/>
      <c r="H20" s="87"/>
      <c r="I20" s="87"/>
      <c r="J20" s="87"/>
      <c r="K20" s="87"/>
      <c r="L20" s="87"/>
    </row>
    <row r="21" spans="1:27" x14ac:dyDescent="0.25">
      <c r="C21" s="88" t="s">
        <v>114</v>
      </c>
      <c r="D21" s="86"/>
      <c r="E21" s="86"/>
      <c r="F21" s="86"/>
      <c r="G21" s="86"/>
      <c r="H21" s="86"/>
      <c r="I21" s="86"/>
      <c r="J21" s="86"/>
      <c r="K21" s="86"/>
      <c r="L21" s="86"/>
      <c r="O21" s="7"/>
    </row>
    <row r="22" spans="1:27" x14ac:dyDescent="0.25">
      <c r="B22" s="7" t="s">
        <v>435</v>
      </c>
      <c r="C22" s="5">
        <v>2025</v>
      </c>
      <c r="D22" s="5">
        <v>2026</v>
      </c>
      <c r="E22" s="5">
        <v>2027</v>
      </c>
      <c r="F22" s="5">
        <v>2028</v>
      </c>
      <c r="G22" s="5">
        <v>2029</v>
      </c>
      <c r="H22" s="5">
        <v>2030</v>
      </c>
      <c r="I22" s="5">
        <v>2031</v>
      </c>
      <c r="J22" s="5">
        <v>2032</v>
      </c>
      <c r="K22" s="5">
        <v>2033</v>
      </c>
      <c r="L22" s="5">
        <v>2034</v>
      </c>
    </row>
    <row r="23" spans="1:27" x14ac:dyDescent="0.25">
      <c r="A23" t="s">
        <v>3</v>
      </c>
      <c r="B23" s="8" t="str">
        <f>IF(VLOOKUP(A23,'1. Set Program Names'!$A$2:$B$15,2,0)&lt;&gt;0,VLOOKUP(A23,'1. Set Program Names'!$A$2:$B$15,2,0),"")</f>
        <v>Res Existing Home</v>
      </c>
      <c r="C23" s="83">
        <f>IF(B23="","",SUMIFS('2. Program Allocation Output'!AI:AI,'2. Program Allocation Output'!$A:$A,$C$21,'2. Program Allocation Output'!$H:$H,$B23)/10^3)</f>
        <v>8.8578865738601728E-2</v>
      </c>
      <c r="D23" s="83">
        <f>IF(C23="","",SUMIFS('2. Program Allocation Output'!AJ:AJ,'2. Program Allocation Output'!$A:$A,$C$21,'2. Program Allocation Output'!$H:$H,$B23)/10^3)</f>
        <v>8.9528301656548792E-2</v>
      </c>
      <c r="E23" s="83">
        <f>IF(D23="","",SUMIFS('2. Program Allocation Output'!AK:AK,'2. Program Allocation Output'!$A:$A,$C$21,'2. Program Allocation Output'!$H:$H,$B23)/10^3)</f>
        <v>9.0762249233151723E-2</v>
      </c>
      <c r="F23" s="83">
        <f>IF(E23="","",SUMIFS('2. Program Allocation Output'!AL:AL,'2. Program Allocation Output'!$A:$A,$C$21,'2. Program Allocation Output'!$H:$H,$B23)/10^3)</f>
        <v>9.2385882514078338E-2</v>
      </c>
      <c r="G23" s="83">
        <f>IF(F23="","",SUMIFS('2. Program Allocation Output'!AM:AM,'2. Program Allocation Output'!$A:$A,$C$21,'2. Program Allocation Output'!$H:$H,$B23)/10^3)</f>
        <v>9.4342460475915629E-2</v>
      </c>
      <c r="H23" s="83">
        <f>IF(G23="","",SUMIFS('2. Program Allocation Output'!AN:AN,'2. Program Allocation Output'!$A:$A,$C$21,'2. Program Allocation Output'!$H:$H,$B23)/10^3)</f>
        <v>9.63132776899112E-2</v>
      </c>
      <c r="I23" s="83">
        <f>IF(H23="","",SUMIFS('2. Program Allocation Output'!AO:AO,'2. Program Allocation Output'!$A:$A,$C$21,'2. Program Allocation Output'!$H:$H,$B23)/10^3)</f>
        <v>9.8977531369278449E-2</v>
      </c>
      <c r="J23" s="83">
        <f>IF(I23="","",SUMIFS('2. Program Allocation Output'!AP:AP,'2. Program Allocation Output'!$A:$A,$C$21,'2. Program Allocation Output'!$H:$H,$B23)/10^3)</f>
        <v>0.10246233293152066</v>
      </c>
      <c r="K23" s="83">
        <f>IF(J23="","",SUMIFS('2. Program Allocation Output'!AQ:AQ,'2. Program Allocation Output'!$A:$A,$C$21,'2. Program Allocation Output'!$H:$H,$B23)/10^3)</f>
        <v>0.10675436784810331</v>
      </c>
      <c r="L23" s="83">
        <f>IF(K23="","",SUMIFS('2. Program Allocation Output'!AR:AR,'2. Program Allocation Output'!$A:$A,$C$21,'2. Program Allocation Output'!$H:$H,$B23)/10^3)</f>
        <v>0.11182403256850486</v>
      </c>
      <c r="O23" s="7"/>
    </row>
    <row r="24" spans="1:27" x14ac:dyDescent="0.25">
      <c r="A24" t="s">
        <v>4</v>
      </c>
      <c r="B24" s="8" t="str">
        <f>IF(VLOOKUP(A24,'1. Set Program Names'!$A$2:$B$15,2,0)&lt;&gt;0,VLOOKUP(A24,'1. Set Program Names'!$A$2:$B$15,2,0),"")</f>
        <v>Res Efficiency Delivered</v>
      </c>
      <c r="C24" s="83">
        <f>IF(B24="","",SUMIFS('2. Program Allocation Output'!AI:AI,'2. Program Allocation Output'!$A:$A,$C$21,'2. Program Allocation Output'!$H:$H,$B24)/10^3)</f>
        <v>9.40938276612884E-3</v>
      </c>
      <c r="D24" s="83">
        <f>IF(C24="","",SUMIFS('2. Program Allocation Output'!AJ:AJ,'2. Program Allocation Output'!$A:$A,$C$21,'2. Program Allocation Output'!$H:$H,$B24)/10^3)</f>
        <v>9.4143421435667306E-3</v>
      </c>
      <c r="E24" s="83">
        <f>IF(D24="","",SUMIFS('2. Program Allocation Output'!AK:AK,'2. Program Allocation Output'!$A:$A,$C$21,'2. Program Allocation Output'!$H:$H,$B24)/10^3)</f>
        <v>9.4416188166976771E-3</v>
      </c>
      <c r="F24" s="83">
        <f>IF(E24="","",SUMIFS('2. Program Allocation Output'!AL:AL,'2. Program Allocation Output'!$A:$A,$C$21,'2. Program Allocation Output'!$H:$H,$B24)/10^3)</f>
        <v>9.5023022684455529E-3</v>
      </c>
      <c r="G24" s="83">
        <f>IF(F24="","",SUMIFS('2. Program Allocation Output'!AM:AM,'2. Program Allocation Output'!$A:$A,$C$21,'2. Program Allocation Output'!$H:$H,$B24)/10^3)</f>
        <v>9.590649181507805E-3</v>
      </c>
      <c r="H24" s="83">
        <f>IF(G24="","",SUMIFS('2. Program Allocation Output'!AN:AN,'2. Program Allocation Output'!$A:$A,$C$21,'2. Program Allocation Output'!$H:$H,$B24)/10^3)</f>
        <v>9.6751688715104225E-3</v>
      </c>
      <c r="I24" s="83">
        <f>IF(H24="","",SUMIFS('2. Program Allocation Output'!AO:AO,'2. Program Allocation Output'!$A:$A,$C$21,'2. Program Allocation Output'!$H:$H,$B24)/10^3)</f>
        <v>9.8245096099691797E-3</v>
      </c>
      <c r="J24" s="83">
        <f>IF(I24="","",SUMIFS('2. Program Allocation Output'!AP:AP,'2. Program Allocation Output'!$A:$A,$C$21,'2. Program Allocation Output'!$H:$H,$B24)/10^3)</f>
        <v>1.005007091650374E-2</v>
      </c>
      <c r="K24" s="83">
        <f>IF(J24="","",SUMIFS('2. Program Allocation Output'!AQ:AQ,'2. Program Allocation Output'!$A:$A,$C$21,'2. Program Allocation Output'!$H:$H,$B24)/10^3)</f>
        <v>1.0348687854618135E-2</v>
      </c>
      <c r="L24" s="83">
        <f>IF(K24="","",SUMIFS('2. Program Allocation Output'!AR:AR,'2. Program Allocation Output'!$A:$A,$C$21,'2. Program Allocation Output'!$H:$H,$B24)/10^3)</f>
        <v>1.0715803133643155E-2</v>
      </c>
      <c r="O24" s="46"/>
    </row>
    <row r="25" spans="1:27" x14ac:dyDescent="0.25">
      <c r="A25" t="s">
        <v>6</v>
      </c>
      <c r="B25" s="8" t="str">
        <f>IF(VLOOKUP(A25,'1. Set Program Names'!$A$2:$B$15,2,0)&lt;&gt;0,VLOOKUP(A25,'1. Set Program Names'!$A$2:$B$15,2,0),"")</f>
        <v>Res New Home</v>
      </c>
      <c r="C25" s="83">
        <f>IF(B25="","",SUMIFS('2. Program Allocation Output'!AI:AI,'2. Program Allocation Output'!$A:$A,$C$21,'2. Program Allocation Output'!$H:$H,$B25)/10^3)</f>
        <v>8.7601175297925601E-3</v>
      </c>
      <c r="D25" s="83">
        <f>IF(C25="","",SUMIFS('2. Program Allocation Output'!AJ:AJ,'2. Program Allocation Output'!$A:$A,$C$21,'2. Program Allocation Output'!$H:$H,$B25)/10^3)</f>
        <v>8.9631939659567637E-3</v>
      </c>
      <c r="E25" s="83">
        <f>IF(D25="","",SUMIFS('2. Program Allocation Output'!AK:AK,'2. Program Allocation Output'!$A:$A,$C$21,'2. Program Allocation Output'!$H:$H,$B25)/10^3)</f>
        <v>9.2036072988001018E-3</v>
      </c>
      <c r="F25" s="83">
        <f>IF(E25="","",SUMIFS('2. Program Allocation Output'!AL:AL,'2. Program Allocation Output'!$A:$A,$C$21,'2. Program Allocation Output'!$H:$H,$B25)/10^3)</f>
        <v>9.4918154537100598E-3</v>
      </c>
      <c r="G25" s="83">
        <f>IF(F25="","",SUMIFS('2. Program Allocation Output'!AM:AM,'2. Program Allocation Output'!$A:$A,$C$21,'2. Program Allocation Output'!$H:$H,$B25)/10^3)</f>
        <v>9.8219030860397724E-3</v>
      </c>
      <c r="H25" s="83">
        <f>IF(G25="","",SUMIFS('2. Program Allocation Output'!AN:AN,'2. Program Allocation Output'!$A:$A,$C$21,'2. Program Allocation Output'!$H:$H,$B25)/10^3)</f>
        <v>1.0159751346796956E-2</v>
      </c>
      <c r="I25" s="83">
        <f>IF(H25="","",SUMIFS('2. Program Allocation Output'!AO:AO,'2. Program Allocation Output'!$A:$A,$C$21,'2. Program Allocation Output'!$H:$H,$B25)/10^3)</f>
        <v>1.0576575928659772E-2</v>
      </c>
      <c r="J25" s="83">
        <f>IF(I25="","",SUMIFS('2. Program Allocation Output'!AP:AP,'2. Program Allocation Output'!$A:$A,$C$21,'2. Program Allocation Output'!$H:$H,$B25)/10^3)</f>
        <v>1.1087427652320958E-2</v>
      </c>
      <c r="K25" s="83">
        <f>IF(J25="","",SUMIFS('2. Program Allocation Output'!AQ:AQ,'2. Program Allocation Output'!$A:$A,$C$21,'2. Program Allocation Output'!$H:$H,$B25)/10^3)</f>
        <v>1.1692998150295512E-2</v>
      </c>
      <c r="L25" s="83">
        <f>IF(K25="","",SUMIFS('2. Program Allocation Output'!AR:AR,'2. Program Allocation Output'!$A:$A,$C$21,'2. Program Allocation Output'!$H:$H,$B25)/10^3)</f>
        <v>1.2391979908182733E-2</v>
      </c>
      <c r="O25" s="47"/>
    </row>
    <row r="26" spans="1:27" hidden="1" x14ac:dyDescent="0.25">
      <c r="A26" t="s">
        <v>8</v>
      </c>
      <c r="B26" s="8" t="str">
        <f>IF(VLOOKUP(A26,'1. Set Program Names'!$A$2:$B$15,2,0)&lt;&gt;0,VLOOKUP(A26,'1. Set Program Names'!$A$2:$B$15,2,0),"")</f>
        <v/>
      </c>
      <c r="C26" s="83" t="str">
        <f>IF(B26="","",SUMIFS('2. Program Allocation Output'!AI:AI,'2. Program Allocation Output'!$A:$A,$C$21,'2. Program Allocation Output'!$H:$H,$B26)/10^3)</f>
        <v/>
      </c>
      <c r="D26" s="83" t="str">
        <f>IF(C26="","",SUMIFS('2. Program Allocation Output'!AJ:AJ,'2. Program Allocation Output'!$A:$A,$C$21,'2. Program Allocation Output'!$H:$H,$B26)/10^3)</f>
        <v/>
      </c>
      <c r="E26" s="83" t="str">
        <f>IF(D26="","",SUMIFS('2. Program Allocation Output'!AK:AK,'2. Program Allocation Output'!$A:$A,$C$21,'2. Program Allocation Output'!$H:$H,$B26)/10^3)</f>
        <v/>
      </c>
      <c r="F26" s="83" t="str">
        <f>IF(E26="","",SUMIFS('2. Program Allocation Output'!AL:AL,'2. Program Allocation Output'!$A:$A,$C$21,'2. Program Allocation Output'!$H:$H,$B26)/10^3)</f>
        <v/>
      </c>
      <c r="G26" s="83" t="str">
        <f>IF(F26="","",SUMIFS('2. Program Allocation Output'!AM:AM,'2. Program Allocation Output'!$A:$A,$C$21,'2. Program Allocation Output'!$H:$H,$B26)/10^3)</f>
        <v/>
      </c>
      <c r="H26" s="83" t="str">
        <f>IF(G26="","",SUMIFS('2. Program Allocation Output'!AN:AN,'2. Program Allocation Output'!$A:$A,$C$21,'2. Program Allocation Output'!$H:$H,$B26)/10^3)</f>
        <v/>
      </c>
      <c r="I26" s="83" t="str">
        <f>IF(H26="","",SUMIFS('2. Program Allocation Output'!AO:AO,'2. Program Allocation Output'!$A:$A,$C$21,'2. Program Allocation Output'!$H:$H,$B26)/10^3)</f>
        <v/>
      </c>
      <c r="J26" s="83" t="str">
        <f>IF(I26="","",SUMIFS('2. Program Allocation Output'!AP:AP,'2. Program Allocation Output'!$A:$A,$C$21,'2. Program Allocation Output'!$H:$H,$B26)/10^3)</f>
        <v/>
      </c>
      <c r="K26" s="83" t="str">
        <f>IF(J26="","",SUMIFS('2. Program Allocation Output'!AQ:AQ,'2. Program Allocation Output'!$A:$A,$C$21,'2. Program Allocation Output'!$H:$H,$B26)/10^3)</f>
        <v/>
      </c>
      <c r="L26" s="83" t="str">
        <f>IF(K26="","",SUMIFS('2. Program Allocation Output'!AR:AR,'2. Program Allocation Output'!$A:$A,$C$21,'2. Program Allocation Output'!$H:$H,$B26)/10^3)</f>
        <v/>
      </c>
      <c r="O26" s="47" t="s">
        <v>418</v>
      </c>
    </row>
    <row r="27" spans="1:27" hidden="1" x14ac:dyDescent="0.25">
      <c r="A27" t="s">
        <v>10</v>
      </c>
      <c r="B27" s="8" t="str">
        <f>IF(VLOOKUP(A27,'1. Set Program Names'!$A$2:$B$15,2,0)&lt;&gt;0,VLOOKUP(A27,'1. Set Program Names'!$A$2:$B$15,2,0),"")</f>
        <v/>
      </c>
      <c r="C27" s="83" t="str">
        <f>IF(B27="","",SUMIFS('2. Program Allocation Output'!AI:AI,'2. Program Allocation Output'!$A:$A,$C$21,'2. Program Allocation Output'!$H:$H,$B27)/10^3)</f>
        <v/>
      </c>
      <c r="D27" s="83" t="str">
        <f>IF(C27="","",SUMIFS('2. Program Allocation Output'!AJ:AJ,'2. Program Allocation Output'!$A:$A,$C$21,'2. Program Allocation Output'!$H:$H,$B27)/10^3)</f>
        <v/>
      </c>
      <c r="E27" s="83" t="str">
        <f>IF(D27="","",SUMIFS('2. Program Allocation Output'!AK:AK,'2. Program Allocation Output'!$A:$A,$C$21,'2. Program Allocation Output'!$H:$H,$B27)/10^3)</f>
        <v/>
      </c>
      <c r="F27" s="83" t="str">
        <f>IF(E27="","",SUMIFS('2. Program Allocation Output'!AL:AL,'2. Program Allocation Output'!$A:$A,$C$21,'2. Program Allocation Output'!$H:$H,$B27)/10^3)</f>
        <v/>
      </c>
      <c r="G27" s="83" t="str">
        <f>IF(F27="","",SUMIFS('2. Program Allocation Output'!AM:AM,'2. Program Allocation Output'!$A:$A,$C$21,'2. Program Allocation Output'!$H:$H,$B27)/10^3)</f>
        <v/>
      </c>
      <c r="H27" s="83" t="str">
        <f>IF(G27="","",SUMIFS('2. Program Allocation Output'!AN:AN,'2. Program Allocation Output'!$A:$A,$C$21,'2. Program Allocation Output'!$H:$H,$B27)/10^3)</f>
        <v/>
      </c>
      <c r="I27" s="83" t="str">
        <f>IF(H27="","",SUMIFS('2. Program Allocation Output'!AO:AO,'2. Program Allocation Output'!$A:$A,$C$21,'2. Program Allocation Output'!$H:$H,$B27)/10^3)</f>
        <v/>
      </c>
      <c r="J27" s="83" t="str">
        <f>IF(I27="","",SUMIFS('2. Program Allocation Output'!AP:AP,'2. Program Allocation Output'!$A:$A,$C$21,'2. Program Allocation Output'!$H:$H,$B27)/10^3)</f>
        <v/>
      </c>
      <c r="K27" s="83" t="str">
        <f>IF(J27="","",SUMIFS('2. Program Allocation Output'!AQ:AQ,'2. Program Allocation Output'!$A:$A,$C$21,'2. Program Allocation Output'!$H:$H,$B27)/10^3)</f>
        <v/>
      </c>
      <c r="L27" s="83" t="str">
        <f>IF(K27="","",SUMIFS('2. Program Allocation Output'!AR:AR,'2. Program Allocation Output'!$A:$A,$C$21,'2. Program Allocation Output'!$H:$H,$B27)/10^3)</f>
        <v/>
      </c>
      <c r="O27" s="76">
        <v>1370</v>
      </c>
      <c r="P27" s="47" t="s">
        <v>419</v>
      </c>
    </row>
    <row r="28" spans="1:27" hidden="1" x14ac:dyDescent="0.25">
      <c r="A28" t="s">
        <v>11</v>
      </c>
      <c r="B28" s="8" t="str">
        <f>IF(VLOOKUP(A28,'1. Set Program Names'!$A$2:$B$15,2,0)&lt;&gt;0,VLOOKUP(A28,'1. Set Program Names'!$A$2:$B$15,2,0),"")</f>
        <v/>
      </c>
      <c r="C28" s="83" t="str">
        <f>IF(B28="","",SUMIFS('2. Program Allocation Output'!AI:AI,'2. Program Allocation Output'!$A:$A,$C$21,'2. Program Allocation Output'!$H:$H,$B28)/10^3)</f>
        <v/>
      </c>
      <c r="D28" s="83" t="str">
        <f>IF(C28="","",SUMIFS('2. Program Allocation Output'!AJ:AJ,'2. Program Allocation Output'!$A:$A,$C$21,'2. Program Allocation Output'!$H:$H,$B28)/10^3)</f>
        <v/>
      </c>
      <c r="E28" s="83" t="str">
        <f>IF(D28="","",SUMIFS('2. Program Allocation Output'!AK:AK,'2. Program Allocation Output'!$A:$A,$C$21,'2. Program Allocation Output'!$H:$H,$B28)/10^3)</f>
        <v/>
      </c>
      <c r="F28" s="83" t="str">
        <f>IF(E28="","",SUMIFS('2. Program Allocation Output'!AL:AL,'2. Program Allocation Output'!$A:$A,$C$21,'2. Program Allocation Output'!$H:$H,$B28)/10^3)</f>
        <v/>
      </c>
      <c r="G28" s="83" t="str">
        <f>IF(F28="","",SUMIFS('2. Program Allocation Output'!AM:AM,'2. Program Allocation Output'!$A:$A,$C$21,'2. Program Allocation Output'!$H:$H,$B28)/10^3)</f>
        <v/>
      </c>
      <c r="H28" s="83" t="str">
        <f>IF(G28="","",SUMIFS('2. Program Allocation Output'!AN:AN,'2. Program Allocation Output'!$A:$A,$C$21,'2. Program Allocation Output'!$H:$H,$B28)/10^3)</f>
        <v/>
      </c>
      <c r="I28" s="83" t="str">
        <f>IF(H28="","",SUMIFS('2. Program Allocation Output'!AO:AO,'2. Program Allocation Output'!$A:$A,$C$21,'2. Program Allocation Output'!$H:$H,$B28)/10^3)</f>
        <v/>
      </c>
      <c r="J28" s="83" t="str">
        <f>IF(I28="","",SUMIFS('2. Program Allocation Output'!AP:AP,'2. Program Allocation Output'!$A:$A,$C$21,'2. Program Allocation Output'!$H:$H,$B28)/10^3)</f>
        <v/>
      </c>
      <c r="K28" s="83" t="str">
        <f>IF(J28="","",SUMIFS('2. Program Allocation Output'!AQ:AQ,'2. Program Allocation Output'!$A:$A,$C$21,'2. Program Allocation Output'!$H:$H,$B28)/10^3)</f>
        <v/>
      </c>
      <c r="L28" s="83" t="str">
        <f>IF(K28="","",SUMIFS('2. Program Allocation Output'!AR:AR,'2. Program Allocation Output'!$A:$A,$C$21,'2. Program Allocation Output'!$H:$H,$B28)/10^3)</f>
        <v/>
      </c>
      <c r="O28" s="47">
        <f>O27*2</f>
        <v>2740</v>
      </c>
      <c r="P28" s="47" t="s">
        <v>421</v>
      </c>
    </row>
    <row r="29" spans="1:27" hidden="1" x14ac:dyDescent="0.25">
      <c r="A29" t="s">
        <v>12</v>
      </c>
      <c r="B29" s="8" t="str">
        <f>IF(VLOOKUP(A29,'1. Set Program Names'!$A$2:$B$15,2,0)&lt;&gt;0,VLOOKUP(A29,'1. Set Program Names'!$A$2:$B$15,2,0),"")</f>
        <v/>
      </c>
      <c r="C29" s="83" t="str">
        <f>IF(B29="","",SUMIFS('2. Program Allocation Output'!AI:AI,'2. Program Allocation Output'!$A:$A,$C$21,'2. Program Allocation Output'!$H:$H,$B29)/10^3)</f>
        <v/>
      </c>
      <c r="D29" s="83" t="str">
        <f>IF(C29="","",SUMIFS('2. Program Allocation Output'!AJ:AJ,'2. Program Allocation Output'!$A:$A,$C$21,'2. Program Allocation Output'!$H:$H,$B29)/10^3)</f>
        <v/>
      </c>
      <c r="E29" s="83" t="str">
        <f>IF(D29="","",SUMIFS('2. Program Allocation Output'!AK:AK,'2. Program Allocation Output'!$A:$A,$C$21,'2. Program Allocation Output'!$H:$H,$B29)/10^3)</f>
        <v/>
      </c>
      <c r="F29" s="83" t="str">
        <f>IF(E29="","",SUMIFS('2. Program Allocation Output'!AL:AL,'2. Program Allocation Output'!$A:$A,$C$21,'2. Program Allocation Output'!$H:$H,$B29)/10^3)</f>
        <v/>
      </c>
      <c r="G29" s="83" t="str">
        <f>IF(F29="","",SUMIFS('2. Program Allocation Output'!AM:AM,'2. Program Allocation Output'!$A:$A,$C$21,'2. Program Allocation Output'!$H:$H,$B29)/10^3)</f>
        <v/>
      </c>
      <c r="H29" s="83" t="str">
        <f>IF(G29="","",SUMIFS('2. Program Allocation Output'!AN:AN,'2. Program Allocation Output'!$A:$A,$C$21,'2. Program Allocation Output'!$H:$H,$B29)/10^3)</f>
        <v/>
      </c>
      <c r="I29" s="83" t="str">
        <f>IF(H29="","",SUMIFS('2. Program Allocation Output'!AO:AO,'2. Program Allocation Output'!$A:$A,$C$21,'2. Program Allocation Output'!$H:$H,$B29)/10^3)</f>
        <v/>
      </c>
      <c r="J29" s="83" t="str">
        <f>IF(I29="","",SUMIFS('2. Program Allocation Output'!AP:AP,'2. Program Allocation Output'!$A:$A,$C$21,'2. Program Allocation Output'!$H:$H,$B29)/10^3)</f>
        <v/>
      </c>
      <c r="K29" s="83" t="str">
        <f>IF(J29="","",SUMIFS('2. Program Allocation Output'!AQ:AQ,'2. Program Allocation Output'!$A:$A,$C$21,'2. Program Allocation Output'!$H:$H,$B29)/10^3)</f>
        <v/>
      </c>
      <c r="L29" s="83" t="str">
        <f>IF(K29="","",SUMIFS('2. Program Allocation Output'!AR:AR,'2. Program Allocation Output'!$A:$A,$C$21,'2. Program Allocation Output'!$H:$H,$B29)/10^3)</f>
        <v/>
      </c>
      <c r="O29" s="47">
        <f>O27*3</f>
        <v>4110</v>
      </c>
      <c r="P29" s="47" t="s">
        <v>420</v>
      </c>
    </row>
    <row r="30" spans="1:27" x14ac:dyDescent="0.25">
      <c r="B30" s="9" t="s">
        <v>218</v>
      </c>
      <c r="C30" s="84">
        <f t="shared" ref="C30:L30" si="3">SUM(C23:C29)</f>
        <v>0.10674836603452312</v>
      </c>
      <c r="D30" s="84">
        <f t="shared" si="3"/>
        <v>0.10790583776607229</v>
      </c>
      <c r="E30" s="84">
        <f t="shared" si="3"/>
        <v>0.1094074753486495</v>
      </c>
      <c r="F30" s="84">
        <f t="shared" si="3"/>
        <v>0.11138000023623394</v>
      </c>
      <c r="G30" s="84">
        <f t="shared" si="3"/>
        <v>0.1137550127434632</v>
      </c>
      <c r="H30" s="84">
        <f t="shared" si="3"/>
        <v>0.11614819790821858</v>
      </c>
      <c r="I30" s="84">
        <f t="shared" si="3"/>
        <v>0.11937861690790741</v>
      </c>
      <c r="J30" s="84">
        <f t="shared" si="3"/>
        <v>0.12359983150034536</v>
      </c>
      <c r="K30" s="84">
        <f t="shared" si="3"/>
        <v>0.12879605385301696</v>
      </c>
      <c r="L30" s="84">
        <f t="shared" si="3"/>
        <v>0.13493181561033074</v>
      </c>
    </row>
    <row r="31" spans="1:27" x14ac:dyDescent="0.25">
      <c r="A31" t="s">
        <v>13</v>
      </c>
      <c r="B31" s="8" t="str">
        <f>IF(VLOOKUP(A31,'1. Set Program Names'!$A$2:$B$15,2,0)&lt;&gt;0,VLOOKUP(A31,'1. Set Program Names'!$A$2:$B$15,2,0),"")</f>
        <v>Com Prescriptive</v>
      </c>
      <c r="C31" s="83">
        <f>IF(B31="","",SUMIFS('2. Program Allocation Output'!AI:AI,'2. Program Allocation Output'!$A:$A,$C$21,'2. Program Allocation Output'!$H:$H,$B31)/10^3)</f>
        <v>8.4454378208005748E-2</v>
      </c>
      <c r="D31" s="83">
        <f>IF(C31="","",SUMIFS('2. Program Allocation Output'!AJ:AJ,'2. Program Allocation Output'!$A:$A,$C$21,'2. Program Allocation Output'!$H:$H,$B31)/10^3)</f>
        <v>8.8191697388018436E-2</v>
      </c>
      <c r="E31" s="83">
        <f>IF(D31="","",SUMIFS('2. Program Allocation Output'!AK:AK,'2. Program Allocation Output'!$A:$A,$C$21,'2. Program Allocation Output'!$H:$H,$B31)/10^3)</f>
        <v>9.082100730742286E-2</v>
      </c>
      <c r="F31" s="83">
        <f>IF(E31="","",SUMIFS('2. Program Allocation Output'!AL:AL,'2. Program Allocation Output'!$A:$A,$C$21,'2. Program Allocation Output'!$H:$H,$B31)/10^3)</f>
        <v>9.3132371462099448E-2</v>
      </c>
      <c r="G31" s="83">
        <f>IF(F31="","",SUMIFS('2. Program Allocation Output'!AM:AM,'2. Program Allocation Output'!$A:$A,$C$21,'2. Program Allocation Output'!$H:$H,$B31)/10^3)</f>
        <v>9.502412544536816E-2</v>
      </c>
      <c r="H31" s="83">
        <f>IF(G31="","",SUMIFS('2. Program Allocation Output'!AN:AN,'2. Program Allocation Output'!$A:$A,$C$21,'2. Program Allocation Output'!$H:$H,$B31)/10^3)</f>
        <v>9.6404259620394547E-2</v>
      </c>
      <c r="I31" s="83">
        <f>IF(H31="","",SUMIFS('2. Program Allocation Output'!AO:AO,'2. Program Allocation Output'!$A:$A,$C$21,'2. Program Allocation Output'!$H:$H,$B31)/10^3)</f>
        <v>9.7296717495460622E-2</v>
      </c>
      <c r="J31" s="83">
        <f>IF(I31="","",SUMIFS('2. Program Allocation Output'!AP:AP,'2. Program Allocation Output'!$A:$A,$C$21,'2. Program Allocation Output'!$H:$H,$B31)/10^3)</f>
        <v>9.7773542294067595E-2</v>
      </c>
      <c r="K31" s="83">
        <f>IF(J31="","",SUMIFS('2. Program Allocation Output'!AQ:AQ,'2. Program Allocation Output'!$A:$A,$C$21,'2. Program Allocation Output'!$H:$H,$B31)/10^3)</f>
        <v>9.7845500124523671E-2</v>
      </c>
      <c r="L31" s="83">
        <f>IF(K31="","",SUMIFS('2. Program Allocation Output'!AR:AR,'2. Program Allocation Output'!$A:$A,$C$21,'2. Program Allocation Output'!$H:$H,$B31)/10^3)</f>
        <v>9.7509535809396336E-2</v>
      </c>
    </row>
    <row r="32" spans="1:27" x14ac:dyDescent="0.25">
      <c r="A32" t="s">
        <v>15</v>
      </c>
      <c r="B32" s="8" t="str">
        <f>IF(VLOOKUP(A32,'1. Set Program Names'!$A$2:$B$15,2,0)&lt;&gt;0,VLOOKUP(A32,'1. Set Program Names'!$A$2:$B$15,2,0),"")</f>
        <v>Com Lighting</v>
      </c>
      <c r="C32" s="83">
        <f>IF(B32="","",SUMIFS('2. Program Allocation Output'!AI:AI,'2. Program Allocation Output'!$A:$A,$C$21,'2. Program Allocation Output'!$H:$H,$B32)/10^3)</f>
        <v>0.19482219336065001</v>
      </c>
      <c r="D32" s="83">
        <f>IF(C32="","",SUMIFS('2. Program Allocation Output'!AJ:AJ,'2. Program Allocation Output'!$A:$A,$C$21,'2. Program Allocation Output'!$H:$H,$B32)/10^3)</f>
        <v>0.21014585490837354</v>
      </c>
      <c r="E32" s="83">
        <f>IF(D32="","",SUMIFS('2. Program Allocation Output'!AK:AK,'2. Program Allocation Output'!$A:$A,$C$21,'2. Program Allocation Output'!$H:$H,$B32)/10^3)</f>
        <v>0.22170724950047879</v>
      </c>
      <c r="F32" s="83">
        <f>IF(E32="","",SUMIFS('2. Program Allocation Output'!AL:AL,'2. Program Allocation Output'!$A:$A,$C$21,'2. Program Allocation Output'!$H:$H,$B32)/10^3)</f>
        <v>0.23161049713926973</v>
      </c>
      <c r="G32" s="83">
        <f>IF(F32="","",SUMIFS('2. Program Allocation Output'!AM:AM,'2. Program Allocation Output'!$A:$A,$C$21,'2. Program Allocation Output'!$H:$H,$B32)/10^3)</f>
        <v>0.23972433729128678</v>
      </c>
      <c r="H32" s="83">
        <f>IF(G32="","",SUMIFS('2. Program Allocation Output'!AN:AN,'2. Program Allocation Output'!$A:$A,$C$21,'2. Program Allocation Output'!$H:$H,$B32)/10^3)</f>
        <v>0.24590590671478754</v>
      </c>
      <c r="I32" s="83">
        <f>IF(H32="","",SUMIFS('2. Program Allocation Output'!AO:AO,'2. Program Allocation Output'!$A:$A,$C$21,'2. Program Allocation Output'!$H:$H,$B32)/10^3)</f>
        <v>0.25030094328270014</v>
      </c>
      <c r="J32" s="83">
        <f>IF(I32="","",SUMIFS('2. Program Allocation Output'!AP:AP,'2. Program Allocation Output'!$A:$A,$C$21,'2. Program Allocation Output'!$H:$H,$B32)/10^3)</f>
        <v>0.25311246603000681</v>
      </c>
      <c r="K32" s="83">
        <f>IF(J32="","",SUMIFS('2. Program Allocation Output'!AQ:AQ,'2. Program Allocation Output'!$A:$A,$C$21,'2. Program Allocation Output'!$H:$H,$B32)/10^3)</f>
        <v>0.25438498396411019</v>
      </c>
      <c r="L32" s="83">
        <f>IF(K32="","",SUMIFS('2. Program Allocation Output'!AR:AR,'2. Program Allocation Output'!$A:$A,$C$21,'2. Program Allocation Output'!$H:$H,$B32)/10^3)</f>
        <v>0.25425271985122871</v>
      </c>
    </row>
    <row r="33" spans="1:12" x14ac:dyDescent="0.25">
      <c r="A33" t="s">
        <v>17</v>
      </c>
      <c r="B33" s="8" t="str">
        <f>IF(VLOOKUP(A33,'1. Set Program Names'!$A$2:$B$15,2,0)&lt;&gt;0,VLOOKUP(A33,'1. Set Program Names'!$A$2:$B$15,2,0),"")</f>
        <v>Com Custom</v>
      </c>
      <c r="C33" s="83">
        <f>IF(B33="","",SUMIFS('2. Program Allocation Output'!AI:AI,'2. Program Allocation Output'!$A:$A,$C$21,'2. Program Allocation Output'!$H:$H,$B33)/10^3)</f>
        <v>0.20582827001579684</v>
      </c>
      <c r="D33" s="83">
        <f>IF(C33="","",SUMIFS('2. Program Allocation Output'!AJ:AJ,'2. Program Allocation Output'!$A:$A,$C$21,'2. Program Allocation Output'!$H:$H,$B33)/10^3)</f>
        <v>0.23545365857093609</v>
      </c>
      <c r="E33" s="83">
        <f>IF(D33="","",SUMIFS('2. Program Allocation Output'!AK:AK,'2. Program Allocation Output'!$A:$A,$C$21,'2. Program Allocation Output'!$H:$H,$B33)/10^3)</f>
        <v>0.26484758454064916</v>
      </c>
      <c r="F33" s="83">
        <f>IF(E33="","",SUMIFS('2. Program Allocation Output'!AL:AL,'2. Program Allocation Output'!$A:$A,$C$21,'2. Program Allocation Output'!$H:$H,$B33)/10^3)</f>
        <v>0.29548326206678999</v>
      </c>
      <c r="G33" s="83">
        <f>IF(F33="","",SUMIFS('2. Program Allocation Output'!AM:AM,'2. Program Allocation Output'!$A:$A,$C$21,'2. Program Allocation Output'!$H:$H,$B33)/10^3)</f>
        <v>0.32597576422643898</v>
      </c>
      <c r="H33" s="83">
        <f>IF(G33="","",SUMIFS('2. Program Allocation Output'!AN:AN,'2. Program Allocation Output'!$A:$A,$C$21,'2. Program Allocation Output'!$H:$H,$B33)/10^3)</f>
        <v>0.35442378187135642</v>
      </c>
      <c r="I33" s="83">
        <f>IF(H33="","",SUMIFS('2. Program Allocation Output'!AO:AO,'2. Program Allocation Output'!$A:$A,$C$21,'2. Program Allocation Output'!$H:$H,$B33)/10^3)</f>
        <v>0.37822619587933098</v>
      </c>
      <c r="J33" s="83">
        <f>IF(I33="","",SUMIFS('2. Program Allocation Output'!AP:AP,'2. Program Allocation Output'!$A:$A,$C$21,'2. Program Allocation Output'!$H:$H,$B33)/10^3)</f>
        <v>0.39497743019072312</v>
      </c>
      <c r="K33" s="83">
        <f>IF(J33="","",SUMIFS('2. Program Allocation Output'!AQ:AQ,'2. Program Allocation Output'!$A:$A,$C$21,'2. Program Allocation Output'!$H:$H,$B33)/10^3)</f>
        <v>0.4031036344360307</v>
      </c>
      <c r="L33" s="83">
        <f>IF(K33="","",SUMIFS('2. Program Allocation Output'!AR:AR,'2. Program Allocation Output'!$A:$A,$C$21,'2. Program Allocation Output'!$H:$H,$B33)/10^3)</f>
        <v>0.40238955251742387</v>
      </c>
    </row>
    <row r="34" spans="1:12" hidden="1" x14ac:dyDescent="0.25">
      <c r="A34" t="s">
        <v>19</v>
      </c>
      <c r="B34" s="8" t="str">
        <f>IF(VLOOKUP(A34,'1. Set Program Names'!$A$2:$B$15,2,0)&lt;&gt;0,VLOOKUP(A34,'1. Set Program Names'!$A$2:$B$15,2,0),"")</f>
        <v/>
      </c>
      <c r="C34" s="83" t="str">
        <f>IF(B34="","",SUMIFS('2. Program Allocation Output'!AI:AI,'2. Program Allocation Output'!$A:$A,$C$21,'2. Program Allocation Output'!$H:$H,$B34)/10^3)</f>
        <v/>
      </c>
      <c r="D34" s="83" t="str">
        <f>IF(C34="","",SUMIFS('2. Program Allocation Output'!AJ:AJ,'2. Program Allocation Output'!$A:$A,$C$21,'2. Program Allocation Output'!$H:$H,$B34)/10^3)</f>
        <v/>
      </c>
      <c r="E34" s="83" t="str">
        <f>IF(D34="","",SUMIFS('2. Program Allocation Output'!AK:AK,'2. Program Allocation Output'!$A:$A,$C$21,'2. Program Allocation Output'!$H:$H,$B34)/10^3)</f>
        <v/>
      </c>
      <c r="F34" s="83" t="str">
        <f>IF(E34="","",SUMIFS('2. Program Allocation Output'!AL:AL,'2. Program Allocation Output'!$A:$A,$C$21,'2. Program Allocation Output'!$H:$H,$B34)/10^3)</f>
        <v/>
      </c>
      <c r="G34" s="83" t="str">
        <f>IF(F34="","",SUMIFS('2. Program Allocation Output'!AM:AM,'2. Program Allocation Output'!$A:$A,$C$21,'2. Program Allocation Output'!$H:$H,$B34)/10^3)</f>
        <v/>
      </c>
      <c r="H34" s="83" t="str">
        <f>IF(G34="","",SUMIFS('2. Program Allocation Output'!AN:AN,'2. Program Allocation Output'!$A:$A,$C$21,'2. Program Allocation Output'!$H:$H,$B34)/10^3)</f>
        <v/>
      </c>
      <c r="I34" s="83" t="str">
        <f>IF(H34="","",SUMIFS('2. Program Allocation Output'!AO:AO,'2. Program Allocation Output'!$A:$A,$C$21,'2. Program Allocation Output'!$H:$H,$B34)/10^3)</f>
        <v/>
      </c>
      <c r="J34" s="83" t="str">
        <f>IF(I34="","",SUMIFS('2. Program Allocation Output'!AP:AP,'2. Program Allocation Output'!$A:$A,$C$21,'2. Program Allocation Output'!$H:$H,$B34)/10^3)</f>
        <v/>
      </c>
      <c r="K34" s="83" t="str">
        <f>IF(J34="","",SUMIFS('2. Program Allocation Output'!AQ:AQ,'2. Program Allocation Output'!$A:$A,$C$21,'2. Program Allocation Output'!$H:$H,$B34)/10^3)</f>
        <v/>
      </c>
      <c r="L34" s="83" t="str">
        <f>IF(K34="","",SUMIFS('2. Program Allocation Output'!AR:AR,'2. Program Allocation Output'!$A:$A,$C$21,'2. Program Allocation Output'!$H:$H,$B34)/10^3)</f>
        <v/>
      </c>
    </row>
    <row r="35" spans="1:12" hidden="1" x14ac:dyDescent="0.25">
      <c r="A35" t="s">
        <v>21</v>
      </c>
      <c r="B35" s="8" t="str">
        <f>IF(VLOOKUP(A35,'1. Set Program Names'!$A$2:$B$15,2,0)&lt;&gt;0,VLOOKUP(A35,'1. Set Program Names'!$A$2:$B$15,2,0),"")</f>
        <v/>
      </c>
      <c r="C35" s="83" t="str">
        <f>IF(B35="","",SUMIFS('2. Program Allocation Output'!AI:AI,'2. Program Allocation Output'!$A:$A,$C$21,'2. Program Allocation Output'!$H:$H,$B35)/10^3)</f>
        <v/>
      </c>
      <c r="D35" s="83" t="str">
        <f>IF(C35="","",SUMIFS('2. Program Allocation Output'!AJ:AJ,'2. Program Allocation Output'!$A:$A,$C$21,'2. Program Allocation Output'!$H:$H,$B35)/10^3)</f>
        <v/>
      </c>
      <c r="E35" s="83" t="str">
        <f>IF(D35="","",SUMIFS('2. Program Allocation Output'!AK:AK,'2. Program Allocation Output'!$A:$A,$C$21,'2. Program Allocation Output'!$H:$H,$B35)/10^3)</f>
        <v/>
      </c>
      <c r="F35" s="83" t="str">
        <f>IF(E35="","",SUMIFS('2. Program Allocation Output'!AL:AL,'2. Program Allocation Output'!$A:$A,$C$21,'2. Program Allocation Output'!$H:$H,$B35)/10^3)</f>
        <v/>
      </c>
      <c r="G35" s="83" t="str">
        <f>IF(F35="","",SUMIFS('2. Program Allocation Output'!AM:AM,'2. Program Allocation Output'!$A:$A,$C$21,'2. Program Allocation Output'!$H:$H,$B35)/10^3)</f>
        <v/>
      </c>
      <c r="H35" s="83" t="str">
        <f>IF(G35="","",SUMIFS('2. Program Allocation Output'!AN:AN,'2. Program Allocation Output'!$A:$A,$C$21,'2. Program Allocation Output'!$H:$H,$B35)/10^3)</f>
        <v/>
      </c>
      <c r="I35" s="83" t="str">
        <f>IF(H35="","",SUMIFS('2. Program Allocation Output'!AO:AO,'2. Program Allocation Output'!$A:$A,$C$21,'2. Program Allocation Output'!$H:$H,$B35)/10^3)</f>
        <v/>
      </c>
      <c r="J35" s="83" t="str">
        <f>IF(I35="","",SUMIFS('2. Program Allocation Output'!AP:AP,'2. Program Allocation Output'!$A:$A,$C$21,'2. Program Allocation Output'!$H:$H,$B35)/10^3)</f>
        <v/>
      </c>
      <c r="K35" s="83" t="str">
        <f>IF(J35="","",SUMIFS('2. Program Allocation Output'!AQ:AQ,'2. Program Allocation Output'!$A:$A,$C$21,'2. Program Allocation Output'!$H:$H,$B35)/10^3)</f>
        <v/>
      </c>
      <c r="L35" s="83" t="str">
        <f>IF(K35="","",SUMIFS('2. Program Allocation Output'!AR:AR,'2. Program Allocation Output'!$A:$A,$C$21,'2. Program Allocation Output'!$H:$H,$B35)/10^3)</f>
        <v/>
      </c>
    </row>
    <row r="36" spans="1:12" hidden="1" x14ac:dyDescent="0.25">
      <c r="A36" t="s">
        <v>22</v>
      </c>
      <c r="B36" s="8" t="str">
        <f>IF(VLOOKUP(A36,'1. Set Program Names'!$A$2:$B$15,2,0)&lt;&gt;0,VLOOKUP(A36,'1. Set Program Names'!$A$2:$B$15,2,0),"")</f>
        <v/>
      </c>
      <c r="C36" s="83" t="str">
        <f>IF(B36="","",SUMIFS('2. Program Allocation Output'!AI:AI,'2. Program Allocation Output'!$A:$A,$C$21,'2. Program Allocation Output'!$H:$H,$B36)/10^3)</f>
        <v/>
      </c>
      <c r="D36" s="83" t="str">
        <f>IF(C36="","",SUMIFS('2. Program Allocation Output'!AJ:AJ,'2. Program Allocation Output'!$A:$A,$C$21,'2. Program Allocation Output'!$H:$H,$B36)/10^3)</f>
        <v/>
      </c>
      <c r="E36" s="83" t="str">
        <f>IF(D36="","",SUMIFS('2. Program Allocation Output'!AK:AK,'2. Program Allocation Output'!$A:$A,$C$21,'2. Program Allocation Output'!$H:$H,$B36)/10^3)</f>
        <v/>
      </c>
      <c r="F36" s="83" t="str">
        <f>IF(E36="","",SUMIFS('2. Program Allocation Output'!AL:AL,'2. Program Allocation Output'!$A:$A,$C$21,'2. Program Allocation Output'!$H:$H,$B36)/10^3)</f>
        <v/>
      </c>
      <c r="G36" s="83" t="str">
        <f>IF(F36="","",SUMIFS('2. Program Allocation Output'!AM:AM,'2. Program Allocation Output'!$A:$A,$C$21,'2. Program Allocation Output'!$H:$H,$B36)/10^3)</f>
        <v/>
      </c>
      <c r="H36" s="83" t="str">
        <f>IF(G36="","",SUMIFS('2. Program Allocation Output'!AN:AN,'2. Program Allocation Output'!$A:$A,$C$21,'2. Program Allocation Output'!$H:$H,$B36)/10^3)</f>
        <v/>
      </c>
      <c r="I36" s="83" t="str">
        <f>IF(H36="","",SUMIFS('2. Program Allocation Output'!AO:AO,'2. Program Allocation Output'!$A:$A,$C$21,'2. Program Allocation Output'!$H:$H,$B36)/10^3)</f>
        <v/>
      </c>
      <c r="J36" s="83" t="str">
        <f>IF(I36="","",SUMIFS('2. Program Allocation Output'!AP:AP,'2. Program Allocation Output'!$A:$A,$C$21,'2. Program Allocation Output'!$H:$H,$B36)/10^3)</f>
        <v/>
      </c>
      <c r="K36" s="83" t="str">
        <f>IF(J36="","",SUMIFS('2. Program Allocation Output'!AQ:AQ,'2. Program Allocation Output'!$A:$A,$C$21,'2. Program Allocation Output'!$H:$H,$B36)/10^3)</f>
        <v/>
      </c>
      <c r="L36" s="83" t="str">
        <f>IF(K36="","",SUMIFS('2. Program Allocation Output'!AR:AR,'2. Program Allocation Output'!$A:$A,$C$21,'2. Program Allocation Output'!$H:$H,$B36)/10^3)</f>
        <v/>
      </c>
    </row>
    <row r="37" spans="1:12" hidden="1" x14ac:dyDescent="0.25">
      <c r="A37" t="s">
        <v>23</v>
      </c>
      <c r="B37" s="8" t="str">
        <f>IF(VLOOKUP(A37,'1. Set Program Names'!$A$2:$B$15,2,0)&lt;&gt;0,VLOOKUP(A37,'1. Set Program Names'!$A$2:$B$15,2,0),"")</f>
        <v/>
      </c>
      <c r="C37" s="83" t="str">
        <f>IF(B37="","",SUMIFS('2. Program Allocation Output'!AI:AI,'2. Program Allocation Output'!$A:$A,$C$21,'2. Program Allocation Output'!$H:$H,$B37)/10^3)</f>
        <v/>
      </c>
      <c r="D37" s="83" t="str">
        <f>IF(C37="","",SUMIFS('2. Program Allocation Output'!AJ:AJ,'2. Program Allocation Output'!$A:$A,$C$21,'2. Program Allocation Output'!$H:$H,$B37)/10^3)</f>
        <v/>
      </c>
      <c r="E37" s="83" t="str">
        <f>IF(D37="","",SUMIFS('2. Program Allocation Output'!AK:AK,'2. Program Allocation Output'!$A:$A,$C$21,'2. Program Allocation Output'!$H:$H,$B37)/10^3)</f>
        <v/>
      </c>
      <c r="F37" s="83" t="str">
        <f>IF(E37="","",SUMIFS('2. Program Allocation Output'!AL:AL,'2. Program Allocation Output'!$A:$A,$C$21,'2. Program Allocation Output'!$H:$H,$B37)/10^3)</f>
        <v/>
      </c>
      <c r="G37" s="83" t="str">
        <f>IF(F37="","",SUMIFS('2. Program Allocation Output'!AM:AM,'2. Program Allocation Output'!$A:$A,$C$21,'2. Program Allocation Output'!$H:$H,$B37)/10^3)</f>
        <v/>
      </c>
      <c r="H37" s="83" t="str">
        <f>IF(G37="","",SUMIFS('2. Program Allocation Output'!AN:AN,'2. Program Allocation Output'!$A:$A,$C$21,'2. Program Allocation Output'!$H:$H,$B37)/10^3)</f>
        <v/>
      </c>
      <c r="I37" s="83" t="str">
        <f>IF(H37="","",SUMIFS('2. Program Allocation Output'!AO:AO,'2. Program Allocation Output'!$A:$A,$C$21,'2. Program Allocation Output'!$H:$H,$B37)/10^3)</f>
        <v/>
      </c>
      <c r="J37" s="83" t="str">
        <f>IF(I37="","",SUMIFS('2. Program Allocation Output'!AP:AP,'2. Program Allocation Output'!$A:$A,$C$21,'2. Program Allocation Output'!$H:$H,$B37)/10^3)</f>
        <v/>
      </c>
      <c r="K37" s="83" t="str">
        <f>IF(J37="","",SUMIFS('2. Program Allocation Output'!AQ:AQ,'2. Program Allocation Output'!$A:$A,$C$21,'2. Program Allocation Output'!$H:$H,$B37)/10^3)</f>
        <v/>
      </c>
      <c r="L37" s="83" t="str">
        <f>IF(K37="","",SUMIFS('2. Program Allocation Output'!AR:AR,'2. Program Allocation Output'!$A:$A,$C$21,'2. Program Allocation Output'!$H:$H,$B37)/10^3)</f>
        <v/>
      </c>
    </row>
    <row r="38" spans="1:12" x14ac:dyDescent="0.25">
      <c r="B38" s="9" t="s">
        <v>219</v>
      </c>
      <c r="C38" s="84">
        <f t="shared" ref="C38:L38" si="4">SUM(C31:C37)</f>
        <v>0.48510484158445261</v>
      </c>
      <c r="D38" s="84">
        <f t="shared" si="4"/>
        <v>0.53379121086732806</v>
      </c>
      <c r="E38" s="84">
        <f t="shared" si="4"/>
        <v>0.5773758413485508</v>
      </c>
      <c r="F38" s="84">
        <f t="shared" si="4"/>
        <v>0.62022613066815913</v>
      </c>
      <c r="G38" s="84">
        <f t="shared" si="4"/>
        <v>0.66072422696309396</v>
      </c>
      <c r="H38" s="84">
        <f t="shared" si="4"/>
        <v>0.69673394820653844</v>
      </c>
      <c r="I38" s="84">
        <f t="shared" si="4"/>
        <v>0.72582385665749172</v>
      </c>
      <c r="J38" s="84">
        <f t="shared" si="4"/>
        <v>0.74586343851479753</v>
      </c>
      <c r="K38" s="84">
        <f t="shared" si="4"/>
        <v>0.75533411852466459</v>
      </c>
      <c r="L38" s="84">
        <f t="shared" si="4"/>
        <v>0.75415180817804894</v>
      </c>
    </row>
    <row r="39" spans="1:12" x14ac:dyDescent="0.25">
      <c r="B39" s="12" t="s">
        <v>220</v>
      </c>
      <c r="C39" s="85">
        <f t="shared" ref="C39:L39" si="5">C30+C38</f>
        <v>0.59185320761897575</v>
      </c>
      <c r="D39" s="85">
        <f t="shared" si="5"/>
        <v>0.64169704863340038</v>
      </c>
      <c r="E39" s="85">
        <f t="shared" si="5"/>
        <v>0.68678331669720027</v>
      </c>
      <c r="F39" s="85">
        <f t="shared" si="5"/>
        <v>0.73160613090439308</v>
      </c>
      <c r="G39" s="85">
        <f t="shared" si="5"/>
        <v>0.77447923970655719</v>
      </c>
      <c r="H39" s="85">
        <f t="shared" si="5"/>
        <v>0.81288214611475706</v>
      </c>
      <c r="I39" s="85">
        <f t="shared" si="5"/>
        <v>0.84520247356539913</v>
      </c>
      <c r="J39" s="85">
        <f t="shared" si="5"/>
        <v>0.8694632700151429</v>
      </c>
      <c r="K39" s="85">
        <f t="shared" si="5"/>
        <v>0.88413017237768154</v>
      </c>
      <c r="L39" s="85">
        <f t="shared" si="5"/>
        <v>0.88908362378837968</v>
      </c>
    </row>
    <row r="40" spans="1:12" x14ac:dyDescent="0.25">
      <c r="C40" s="86"/>
      <c r="D40" s="86"/>
      <c r="E40" s="86"/>
      <c r="F40" s="86"/>
      <c r="G40" s="86"/>
      <c r="H40" s="86"/>
      <c r="I40" s="86"/>
      <c r="J40" s="86"/>
      <c r="K40" s="86"/>
      <c r="L40" s="86"/>
    </row>
    <row r="41" spans="1:12" x14ac:dyDescent="0.25">
      <c r="C41" s="88" t="s">
        <v>116</v>
      </c>
      <c r="D41" s="86"/>
      <c r="E41" s="86"/>
      <c r="F41" s="86"/>
      <c r="G41" s="86"/>
      <c r="H41" s="86"/>
      <c r="I41" s="86"/>
      <c r="J41" s="86"/>
      <c r="K41" s="86"/>
      <c r="L41" s="86"/>
    </row>
    <row r="42" spans="1:12" x14ac:dyDescent="0.25">
      <c r="B42" s="7" t="s">
        <v>436</v>
      </c>
      <c r="C42" s="5">
        <v>2025</v>
      </c>
      <c r="D42" s="5">
        <v>2026</v>
      </c>
      <c r="E42" s="5">
        <v>2027</v>
      </c>
      <c r="F42" s="5">
        <v>2028</v>
      </c>
      <c r="G42" s="5">
        <v>2029</v>
      </c>
      <c r="H42" s="5">
        <v>2030</v>
      </c>
      <c r="I42" s="5">
        <v>2031</v>
      </c>
      <c r="J42" s="5">
        <v>2032</v>
      </c>
      <c r="K42" s="5">
        <v>2033</v>
      </c>
      <c r="L42" s="5">
        <v>2034</v>
      </c>
    </row>
    <row r="43" spans="1:12" x14ac:dyDescent="0.25">
      <c r="A43" t="s">
        <v>3</v>
      </c>
      <c r="B43" s="8" t="str">
        <f>IF(VLOOKUP(A43,'1. Set Program Names'!$A$2:$B$15,2,0)&lt;&gt;0,VLOOKUP(A43,'1. Set Program Names'!$A$2:$B$15,2,0),"")</f>
        <v>Res Existing Home</v>
      </c>
      <c r="C43" s="83">
        <f>IF(B43="","",SUMIFS('2. Program Allocation Output'!AI:AI,'2. Program Allocation Output'!$A:$A,$C$41,'2. Program Allocation Output'!$H:$H,$B43)/10^3)</f>
        <v>0.14350448722827133</v>
      </c>
      <c r="D43" s="83">
        <f>IF(C43="","",SUMIFS('2. Program Allocation Output'!AJ:AJ,'2. Program Allocation Output'!$A:$A,$C$41,'2. Program Allocation Output'!$H:$H,$B43)/10^3)</f>
        <v>0.15245288076290078</v>
      </c>
      <c r="E43" s="83">
        <f>IF(D43="","",SUMIFS('2. Program Allocation Output'!AK:AK,'2. Program Allocation Output'!$A:$A,$C$41,'2. Program Allocation Output'!$H:$H,$B43)/10^3)</f>
        <v>0.16113901790761886</v>
      </c>
      <c r="F43" s="83">
        <f>IF(E43="","",SUMIFS('2. Program Allocation Output'!AL:AL,'2. Program Allocation Output'!$A:$A,$C$41,'2. Program Allocation Output'!$H:$H,$B43)/10^3)</f>
        <v>0.16985295008803683</v>
      </c>
      <c r="G43" s="83">
        <f>IF(F43="","",SUMIFS('2. Program Allocation Output'!AM:AM,'2. Program Allocation Output'!$A:$A,$C$41,'2. Program Allocation Output'!$H:$H,$B43)/10^3)</f>
        <v>0.17860013707542419</v>
      </c>
      <c r="H43" s="83">
        <f>IF(G43="","",SUMIFS('2. Program Allocation Output'!AN:AN,'2. Program Allocation Output'!$A:$A,$C$41,'2. Program Allocation Output'!$H:$H,$B43)/10^3)</f>
        <v>0.18687296570936521</v>
      </c>
      <c r="I43" s="83">
        <f>IF(H43="","",SUMIFS('2. Program Allocation Output'!AO:AO,'2. Program Allocation Output'!$A:$A,$C$41,'2. Program Allocation Output'!$H:$H,$B43)/10^3)</f>
        <v>0.19606597225002881</v>
      </c>
      <c r="J43" s="83">
        <f>IF(I43="","",SUMIFS('2. Program Allocation Output'!AP:AP,'2. Program Allocation Output'!$A:$A,$C$41,'2. Program Allocation Output'!$H:$H,$B43)/10^3)</f>
        <v>0.20657036641451021</v>
      </c>
      <c r="K43" s="83">
        <f>IF(J43="","",SUMIFS('2. Program Allocation Output'!AQ:AQ,'2. Program Allocation Output'!$A:$A,$C$41,'2. Program Allocation Output'!$H:$H,$B43)/10^3)</f>
        <v>0.21846969818123246</v>
      </c>
      <c r="L43" s="83">
        <f>IF(K43="","",SUMIFS('2. Program Allocation Output'!AR:AR,'2. Program Allocation Output'!$A:$A,$C$41,'2. Program Allocation Output'!$H:$H,$B43)/10^3)</f>
        <v>0.23179640719303413</v>
      </c>
    </row>
    <row r="44" spans="1:12" x14ac:dyDescent="0.25">
      <c r="A44" t="s">
        <v>4</v>
      </c>
      <c r="B44" s="8" t="str">
        <f>IF(VLOOKUP(A44,'1. Set Program Names'!$A$2:$B$15,2,0)&lt;&gt;0,VLOOKUP(A44,'1. Set Program Names'!$A$2:$B$15,2,0),"")</f>
        <v>Res Efficiency Delivered</v>
      </c>
      <c r="C44" s="83">
        <f>IF(B44="","",SUMIFS('2. Program Allocation Output'!AI:AI,'2. Program Allocation Output'!$A:$A,$C$41,'2. Program Allocation Output'!$H:$H,$B44)/10^3)</f>
        <v>1.185046928773534E-2</v>
      </c>
      <c r="D44" s="83">
        <f>IF(C44="","",SUMIFS('2. Program Allocation Output'!AJ:AJ,'2. Program Allocation Output'!$A:$A,$C$41,'2. Program Allocation Output'!$H:$H,$B44)/10^3)</f>
        <v>1.2604437862327822E-2</v>
      </c>
      <c r="E44" s="83">
        <f>IF(D44="","",SUMIFS('2. Program Allocation Output'!AK:AK,'2. Program Allocation Output'!$A:$A,$C$41,'2. Program Allocation Output'!$H:$H,$B44)/10^3)</f>
        <v>1.3333362867679485E-2</v>
      </c>
      <c r="F44" s="83">
        <f>IF(E44="","",SUMIFS('2. Program Allocation Output'!AL:AL,'2. Program Allocation Output'!$A:$A,$C$41,'2. Program Allocation Output'!$H:$H,$B44)/10^3)</f>
        <v>1.4061561505380828E-2</v>
      </c>
      <c r="G44" s="83">
        <f>IF(F44="","",SUMIFS('2. Program Allocation Output'!AM:AM,'2. Program Allocation Output'!$A:$A,$C$41,'2. Program Allocation Output'!$H:$H,$B44)/10^3)</f>
        <v>1.4789795827103526E-2</v>
      </c>
      <c r="H44" s="83">
        <f>IF(G44="","",SUMIFS('2. Program Allocation Output'!AN:AN,'2. Program Allocation Output'!$A:$A,$C$41,'2. Program Allocation Output'!$H:$H,$B44)/10^3)</f>
        <v>1.5476323547426696E-2</v>
      </c>
      <c r="I44" s="83">
        <f>IF(H44="","",SUMIFS('2. Program Allocation Output'!AO:AO,'2. Program Allocation Output'!$A:$A,$C$41,'2. Program Allocation Output'!$H:$H,$B44)/10^3)</f>
        <v>1.6236881370885439E-2</v>
      </c>
      <c r="J44" s="83">
        <f>IF(I44="","",SUMIFS('2. Program Allocation Output'!AP:AP,'2. Program Allocation Output'!$A:$A,$C$41,'2. Program Allocation Output'!$H:$H,$B44)/10^3)</f>
        <v>1.710408056907772E-2</v>
      </c>
      <c r="K44" s="83">
        <f>IF(J44="","",SUMIFS('2. Program Allocation Output'!AQ:AQ,'2. Program Allocation Output'!$A:$A,$C$41,'2. Program Allocation Output'!$H:$H,$B44)/10^3)</f>
        <v>1.8084948280654264E-2</v>
      </c>
      <c r="L44" s="83">
        <f>IF(K44="","",SUMIFS('2. Program Allocation Output'!AR:AR,'2. Program Allocation Output'!$A:$A,$C$41,'2. Program Allocation Output'!$H:$H,$B44)/10^3)</f>
        <v>1.9182226933339912E-2</v>
      </c>
    </row>
    <row r="45" spans="1:12" x14ac:dyDescent="0.25">
      <c r="A45" t="s">
        <v>6</v>
      </c>
      <c r="B45" s="8" t="str">
        <f>IF(VLOOKUP(A45,'1. Set Program Names'!$A$2:$B$15,2,0)&lt;&gt;0,VLOOKUP(A45,'1. Set Program Names'!$A$2:$B$15,2,0),"")</f>
        <v>Res New Home</v>
      </c>
      <c r="C45" s="83">
        <f>IF(B45="","",SUMIFS('2. Program Allocation Output'!AI:AI,'2. Program Allocation Output'!$A:$A,$C$41,'2. Program Allocation Output'!$H:$H,$B45)/10^3)</f>
        <v>1.9920152529026583E-2</v>
      </c>
      <c r="D45" s="83">
        <f>IF(C45="","",SUMIFS('2. Program Allocation Output'!AJ:AJ,'2. Program Allocation Output'!$A:$A,$C$41,'2. Program Allocation Output'!$H:$H,$B45)/10^3)</f>
        <v>2.1225794585553355E-2</v>
      </c>
      <c r="E45" s="83">
        <f>IF(D45="","",SUMIFS('2. Program Allocation Output'!AK:AK,'2. Program Allocation Output'!$A:$A,$C$41,'2. Program Allocation Output'!$H:$H,$B45)/10^3)</f>
        <v>2.249301344102151E-2</v>
      </c>
      <c r="F45" s="83">
        <f>IF(E45="","",SUMIFS('2. Program Allocation Output'!AL:AL,'2. Program Allocation Output'!$A:$A,$C$41,'2. Program Allocation Output'!$H:$H,$B45)/10^3)</f>
        <v>2.3762505789167422E-2</v>
      </c>
      <c r="G45" s="83">
        <f>IF(F45="","",SUMIFS('2. Program Allocation Output'!AM:AM,'2. Program Allocation Output'!$A:$A,$C$41,'2. Program Allocation Output'!$H:$H,$B45)/10^3)</f>
        <v>2.503530805558573E-2</v>
      </c>
      <c r="H45" s="83">
        <f>IF(G45="","",SUMIFS('2. Program Allocation Output'!AN:AN,'2. Program Allocation Output'!$A:$A,$C$41,'2. Program Allocation Output'!$H:$H,$B45)/10^3)</f>
        <v>2.6240315661160422E-2</v>
      </c>
      <c r="I45" s="83">
        <f>IF(H45="","",SUMIFS('2. Program Allocation Output'!AO:AO,'2. Program Allocation Output'!$A:$A,$C$41,'2. Program Allocation Output'!$H:$H,$B45)/10^3)</f>
        <v>2.7573434830100399E-2</v>
      </c>
      <c r="J45" s="83">
        <f>IF(I45="","",SUMIFS('2. Program Allocation Output'!AP:AP,'2. Program Allocation Output'!$A:$A,$C$41,'2. Program Allocation Output'!$H:$H,$B45)/10^3)</f>
        <v>2.9090382826056617E-2</v>
      </c>
      <c r="K45" s="83">
        <f>IF(J45="","",SUMIFS('2. Program Allocation Output'!AQ:AQ,'2. Program Allocation Output'!$A:$A,$C$41,'2. Program Allocation Output'!$H:$H,$B45)/10^3)</f>
        <v>3.0803633587114909E-2</v>
      </c>
      <c r="L45" s="83">
        <f>IF(K45="","",SUMIFS('2. Program Allocation Output'!AR:AR,'2. Program Allocation Output'!$A:$A,$C$41,'2. Program Allocation Output'!$H:$H,$B45)/10^3)</f>
        <v>3.271835444158E-2</v>
      </c>
    </row>
    <row r="46" spans="1:12" hidden="1" x14ac:dyDescent="0.25">
      <c r="A46" t="s">
        <v>8</v>
      </c>
      <c r="B46" s="8" t="str">
        <f>IF(VLOOKUP(A46,'1. Set Program Names'!$A$2:$B$15,2,0)&lt;&gt;0,VLOOKUP(A46,'1. Set Program Names'!$A$2:$B$15,2,0),"")</f>
        <v/>
      </c>
      <c r="C46" s="83" t="str">
        <f>IF(B46="","",SUMIFS('2. Program Allocation Output'!AI:AI,'2. Program Allocation Output'!$A:$A,$C$41,'2. Program Allocation Output'!$H:$H,$B46)/10^3)</f>
        <v/>
      </c>
      <c r="D46" s="83" t="str">
        <f>IF(C46="","",SUMIFS('2. Program Allocation Output'!AJ:AJ,'2. Program Allocation Output'!$A:$A,$C$41,'2. Program Allocation Output'!$H:$H,$B46)/10^3)</f>
        <v/>
      </c>
      <c r="E46" s="83" t="str">
        <f>IF(D46="","",SUMIFS('2. Program Allocation Output'!AK:AK,'2. Program Allocation Output'!$A:$A,$C$41,'2. Program Allocation Output'!$H:$H,$B46)/10^3)</f>
        <v/>
      </c>
      <c r="F46" s="83" t="str">
        <f>IF(E46="","",SUMIFS('2. Program Allocation Output'!AL:AL,'2. Program Allocation Output'!$A:$A,$C$41,'2. Program Allocation Output'!$H:$H,$B46)/10^3)</f>
        <v/>
      </c>
      <c r="G46" s="83" t="str">
        <f>IF(F46="","",SUMIFS('2. Program Allocation Output'!AM:AM,'2. Program Allocation Output'!$A:$A,$C$41,'2. Program Allocation Output'!$H:$H,$B46)/10^3)</f>
        <v/>
      </c>
      <c r="H46" s="83" t="str">
        <f>IF(G46="","",SUMIFS('2. Program Allocation Output'!AN:AN,'2. Program Allocation Output'!$A:$A,$C$41,'2. Program Allocation Output'!$H:$H,$B46)/10^3)</f>
        <v/>
      </c>
      <c r="I46" s="83" t="str">
        <f>IF(H46="","",SUMIFS('2. Program Allocation Output'!AO:AO,'2. Program Allocation Output'!$A:$A,$C$41,'2. Program Allocation Output'!$H:$H,$B46)/10^3)</f>
        <v/>
      </c>
      <c r="J46" s="83" t="str">
        <f>IF(I46="","",SUMIFS('2. Program Allocation Output'!AP:AP,'2. Program Allocation Output'!$A:$A,$C$41,'2. Program Allocation Output'!$H:$H,$B46)/10^3)</f>
        <v/>
      </c>
      <c r="K46" s="83" t="str">
        <f>IF(J46="","",SUMIFS('2. Program Allocation Output'!AQ:AQ,'2. Program Allocation Output'!$A:$A,$C$41,'2. Program Allocation Output'!$H:$H,$B46)/10^3)</f>
        <v/>
      </c>
      <c r="L46" s="83" t="str">
        <f>IF(K46="","",SUMIFS('2. Program Allocation Output'!AR:AR,'2. Program Allocation Output'!$A:$A,$C$41,'2. Program Allocation Output'!$H:$H,$B46)/10^3)</f>
        <v/>
      </c>
    </row>
    <row r="47" spans="1:12" hidden="1" x14ac:dyDescent="0.25">
      <c r="A47" t="s">
        <v>10</v>
      </c>
      <c r="B47" s="8" t="str">
        <f>IF(VLOOKUP(A47,'1. Set Program Names'!$A$2:$B$15,2,0)&lt;&gt;0,VLOOKUP(A47,'1. Set Program Names'!$A$2:$B$15,2,0),"")</f>
        <v/>
      </c>
      <c r="C47" s="83" t="str">
        <f>IF(B47="","",SUMIFS('2. Program Allocation Output'!AI:AI,'2. Program Allocation Output'!$A:$A,$C$41,'2. Program Allocation Output'!$H:$H,$B47)/10^3)</f>
        <v/>
      </c>
      <c r="D47" s="83" t="str">
        <f>IF(C47="","",SUMIFS('2. Program Allocation Output'!AJ:AJ,'2. Program Allocation Output'!$A:$A,$C$41,'2. Program Allocation Output'!$H:$H,$B47)/10^3)</f>
        <v/>
      </c>
      <c r="E47" s="83" t="str">
        <f>IF(D47="","",SUMIFS('2. Program Allocation Output'!AK:AK,'2. Program Allocation Output'!$A:$A,$C$41,'2. Program Allocation Output'!$H:$H,$B47)/10^3)</f>
        <v/>
      </c>
      <c r="F47" s="83" t="str">
        <f>IF(E47="","",SUMIFS('2. Program Allocation Output'!AL:AL,'2. Program Allocation Output'!$A:$A,$C$41,'2. Program Allocation Output'!$H:$H,$B47)/10^3)</f>
        <v/>
      </c>
      <c r="G47" s="83" t="str">
        <f>IF(F47="","",SUMIFS('2. Program Allocation Output'!AM:AM,'2. Program Allocation Output'!$A:$A,$C$41,'2. Program Allocation Output'!$H:$H,$B47)/10^3)</f>
        <v/>
      </c>
      <c r="H47" s="83" t="str">
        <f>IF(G47="","",SUMIFS('2. Program Allocation Output'!AN:AN,'2. Program Allocation Output'!$A:$A,$C$41,'2. Program Allocation Output'!$H:$H,$B47)/10^3)</f>
        <v/>
      </c>
      <c r="I47" s="83" t="str">
        <f>IF(H47="","",SUMIFS('2. Program Allocation Output'!AO:AO,'2. Program Allocation Output'!$A:$A,$C$41,'2. Program Allocation Output'!$H:$H,$B47)/10^3)</f>
        <v/>
      </c>
      <c r="J47" s="83" t="str">
        <f>IF(I47="","",SUMIFS('2. Program Allocation Output'!AP:AP,'2. Program Allocation Output'!$A:$A,$C$41,'2. Program Allocation Output'!$H:$H,$B47)/10^3)</f>
        <v/>
      </c>
      <c r="K47" s="83" t="str">
        <f>IF(J47="","",SUMIFS('2. Program Allocation Output'!AQ:AQ,'2. Program Allocation Output'!$A:$A,$C$41,'2. Program Allocation Output'!$H:$H,$B47)/10^3)</f>
        <v/>
      </c>
      <c r="L47" s="83" t="str">
        <f>IF(K47="","",SUMIFS('2. Program Allocation Output'!AR:AR,'2. Program Allocation Output'!$A:$A,$C$41,'2. Program Allocation Output'!$H:$H,$B47)/10^3)</f>
        <v/>
      </c>
    </row>
    <row r="48" spans="1:12" hidden="1" x14ac:dyDescent="0.25">
      <c r="A48" t="s">
        <v>11</v>
      </c>
      <c r="B48" s="8" t="str">
        <f>IF(VLOOKUP(A48,'1. Set Program Names'!$A$2:$B$15,2,0)&lt;&gt;0,VLOOKUP(A48,'1. Set Program Names'!$A$2:$B$15,2,0),"")</f>
        <v/>
      </c>
      <c r="C48" s="83" t="str">
        <f>IF(B48="","",SUMIFS('2. Program Allocation Output'!AI:AI,'2. Program Allocation Output'!$A:$A,$C$41,'2. Program Allocation Output'!$H:$H,$B48)/10^3)</f>
        <v/>
      </c>
      <c r="D48" s="83" t="str">
        <f>IF(C48="","",SUMIFS('2. Program Allocation Output'!AJ:AJ,'2. Program Allocation Output'!$A:$A,$C$41,'2. Program Allocation Output'!$H:$H,$B48)/10^3)</f>
        <v/>
      </c>
      <c r="E48" s="83" t="str">
        <f>IF(D48="","",SUMIFS('2. Program Allocation Output'!AK:AK,'2. Program Allocation Output'!$A:$A,$C$41,'2. Program Allocation Output'!$H:$H,$B48)/10^3)</f>
        <v/>
      </c>
      <c r="F48" s="83" t="str">
        <f>IF(E48="","",SUMIFS('2. Program Allocation Output'!AL:AL,'2. Program Allocation Output'!$A:$A,$C$41,'2. Program Allocation Output'!$H:$H,$B48)/10^3)</f>
        <v/>
      </c>
      <c r="G48" s="83" t="str">
        <f>IF(F48="","",SUMIFS('2. Program Allocation Output'!AM:AM,'2. Program Allocation Output'!$A:$A,$C$41,'2. Program Allocation Output'!$H:$H,$B48)/10^3)</f>
        <v/>
      </c>
      <c r="H48" s="83" t="str">
        <f>IF(G48="","",SUMIFS('2. Program Allocation Output'!AN:AN,'2. Program Allocation Output'!$A:$A,$C$41,'2. Program Allocation Output'!$H:$H,$B48)/10^3)</f>
        <v/>
      </c>
      <c r="I48" s="83" t="str">
        <f>IF(H48="","",SUMIFS('2. Program Allocation Output'!AO:AO,'2. Program Allocation Output'!$A:$A,$C$41,'2. Program Allocation Output'!$H:$H,$B48)/10^3)</f>
        <v/>
      </c>
      <c r="J48" s="83" t="str">
        <f>IF(I48="","",SUMIFS('2. Program Allocation Output'!AP:AP,'2. Program Allocation Output'!$A:$A,$C$41,'2. Program Allocation Output'!$H:$H,$B48)/10^3)</f>
        <v/>
      </c>
      <c r="K48" s="83" t="str">
        <f>IF(J48="","",SUMIFS('2. Program Allocation Output'!AQ:AQ,'2. Program Allocation Output'!$A:$A,$C$41,'2. Program Allocation Output'!$H:$H,$B48)/10^3)</f>
        <v/>
      </c>
      <c r="L48" s="83" t="str">
        <f>IF(K48="","",SUMIFS('2. Program Allocation Output'!AR:AR,'2. Program Allocation Output'!$A:$A,$C$41,'2. Program Allocation Output'!$H:$H,$B48)/10^3)</f>
        <v/>
      </c>
    </row>
    <row r="49" spans="1:12" hidden="1" x14ac:dyDescent="0.25">
      <c r="A49" t="s">
        <v>12</v>
      </c>
      <c r="B49" s="8" t="str">
        <f>IF(VLOOKUP(A49,'1. Set Program Names'!$A$2:$B$15,2,0)&lt;&gt;0,VLOOKUP(A49,'1. Set Program Names'!$A$2:$B$15,2,0),"")</f>
        <v/>
      </c>
      <c r="C49" s="83" t="str">
        <f>IF(B49="","",SUMIFS('2. Program Allocation Output'!AI:AI,'2. Program Allocation Output'!$A:$A,$C$41,'2. Program Allocation Output'!$H:$H,$B49)/10^3)</f>
        <v/>
      </c>
      <c r="D49" s="83" t="str">
        <f>IF(C49="","",SUMIFS('2. Program Allocation Output'!AJ:AJ,'2. Program Allocation Output'!$A:$A,$C$41,'2. Program Allocation Output'!$H:$H,$B49)/10^3)</f>
        <v/>
      </c>
      <c r="E49" s="83" t="str">
        <f>IF(D49="","",SUMIFS('2. Program Allocation Output'!AK:AK,'2. Program Allocation Output'!$A:$A,$C$41,'2. Program Allocation Output'!$H:$H,$B49)/10^3)</f>
        <v/>
      </c>
      <c r="F49" s="83" t="str">
        <f>IF(E49="","",SUMIFS('2. Program Allocation Output'!AL:AL,'2. Program Allocation Output'!$A:$A,$C$41,'2. Program Allocation Output'!$H:$H,$B49)/10^3)</f>
        <v/>
      </c>
      <c r="G49" s="83" t="str">
        <f>IF(F49="","",SUMIFS('2. Program Allocation Output'!AM:AM,'2. Program Allocation Output'!$A:$A,$C$41,'2. Program Allocation Output'!$H:$H,$B49)/10^3)</f>
        <v/>
      </c>
      <c r="H49" s="83" t="str">
        <f>IF(G49="","",SUMIFS('2. Program Allocation Output'!AN:AN,'2. Program Allocation Output'!$A:$A,$C$41,'2. Program Allocation Output'!$H:$H,$B49)/10^3)</f>
        <v/>
      </c>
      <c r="I49" s="83" t="str">
        <f>IF(H49="","",SUMIFS('2. Program Allocation Output'!AO:AO,'2. Program Allocation Output'!$A:$A,$C$41,'2. Program Allocation Output'!$H:$H,$B49)/10^3)</f>
        <v/>
      </c>
      <c r="J49" s="83" t="str">
        <f>IF(I49="","",SUMIFS('2. Program Allocation Output'!AP:AP,'2. Program Allocation Output'!$A:$A,$C$41,'2. Program Allocation Output'!$H:$H,$B49)/10^3)</f>
        <v/>
      </c>
      <c r="K49" s="83" t="str">
        <f>IF(J49="","",SUMIFS('2. Program Allocation Output'!AQ:AQ,'2. Program Allocation Output'!$A:$A,$C$41,'2. Program Allocation Output'!$H:$H,$B49)/10^3)</f>
        <v/>
      </c>
      <c r="L49" s="83" t="str">
        <f>IF(K49="","",SUMIFS('2. Program Allocation Output'!AR:AR,'2. Program Allocation Output'!$A:$A,$C$41,'2. Program Allocation Output'!$H:$H,$B49)/10^3)</f>
        <v/>
      </c>
    </row>
    <row r="50" spans="1:12" x14ac:dyDescent="0.25">
      <c r="B50" s="9" t="s">
        <v>218</v>
      </c>
      <c r="C50" s="84">
        <f>SUM(C43:C49)</f>
        <v>0.17527510904503324</v>
      </c>
      <c r="D50" s="84">
        <f t="shared" ref="D50:L50" si="6">SUM(D43:D49)</f>
        <v>0.18628311321078195</v>
      </c>
      <c r="E50" s="84">
        <f t="shared" si="6"/>
        <v>0.19696539421631987</v>
      </c>
      <c r="F50" s="84">
        <f t="shared" si="6"/>
        <v>0.20767701738258507</v>
      </c>
      <c r="G50" s="84">
        <f t="shared" si="6"/>
        <v>0.21842524095811344</v>
      </c>
      <c r="H50" s="84">
        <f t="shared" si="6"/>
        <v>0.22858960491795233</v>
      </c>
      <c r="I50" s="84">
        <f t="shared" si="6"/>
        <v>0.23987628845101466</v>
      </c>
      <c r="J50" s="84">
        <f t="shared" si="6"/>
        <v>0.25276482980964454</v>
      </c>
      <c r="K50" s="84">
        <f t="shared" si="6"/>
        <v>0.26735828004900164</v>
      </c>
      <c r="L50" s="84">
        <f t="shared" si="6"/>
        <v>0.28369698856795406</v>
      </c>
    </row>
    <row r="51" spans="1:12" x14ac:dyDescent="0.25">
      <c r="A51" t="s">
        <v>13</v>
      </c>
      <c r="B51" s="8" t="str">
        <f>IF(VLOOKUP(A51,'1. Set Program Names'!$A$2:$B$15,2,0)&lt;&gt;0,VLOOKUP(A51,'1. Set Program Names'!$A$2:$B$15,2,0),"")</f>
        <v>Com Prescriptive</v>
      </c>
      <c r="C51" s="83">
        <f>IF(B51="","",SUMIFS('2. Program Allocation Output'!AI:AI,'2. Program Allocation Output'!$A:$A,$C$41,'2. Program Allocation Output'!$H:$H,$B51)/10^3)</f>
        <v>9.1170195923198208E-2</v>
      </c>
      <c r="D51" s="83">
        <f>IF(C51="","",SUMIFS('2. Program Allocation Output'!AJ:AJ,'2. Program Allocation Output'!$A:$A,$C$41,'2. Program Allocation Output'!$H:$H,$B51)/10^3)</f>
        <v>9.4903127813363852E-2</v>
      </c>
      <c r="E51" s="83">
        <f>IF(D51="","",SUMIFS('2. Program Allocation Output'!AK:AK,'2. Program Allocation Output'!$A:$A,$C$41,'2. Program Allocation Output'!$H:$H,$B51)/10^3)</f>
        <v>9.7472917058771286E-2</v>
      </c>
      <c r="F51" s="83">
        <f>IF(E51="","",SUMIFS('2. Program Allocation Output'!AL:AL,'2. Program Allocation Output'!$A:$A,$C$41,'2. Program Allocation Output'!$H:$H,$B51)/10^3)</f>
        <v>9.9717121247526477E-2</v>
      </c>
      <c r="G51" s="83">
        <f>IF(F51="","",SUMIFS('2. Program Allocation Output'!AM:AM,'2. Program Allocation Output'!$A:$A,$C$41,'2. Program Allocation Output'!$H:$H,$B51)/10^3)</f>
        <v>0.10153559008160884</v>
      </c>
      <c r="H51" s="83">
        <f>IF(G51="","",SUMIFS('2. Program Allocation Output'!AN:AN,'2. Program Allocation Output'!$A:$A,$C$41,'2. Program Allocation Output'!$H:$H,$B51)/10^3)</f>
        <v>0.10282638978508753</v>
      </c>
      <c r="I51" s="83">
        <f>IF(H51="","",SUMIFS('2. Program Allocation Output'!AO:AO,'2. Program Allocation Output'!$A:$A,$C$41,'2. Program Allocation Output'!$H:$H,$B51)/10^3)</f>
        <v>0.10361972989512885</v>
      </c>
      <c r="J51" s="83">
        <f>IF(I51="","",SUMIFS('2. Program Allocation Output'!AP:AP,'2. Program Allocation Output'!$A:$A,$C$41,'2. Program Allocation Output'!$H:$H,$B51)/10^3)</f>
        <v>0.10400288559141106</v>
      </c>
      <c r="K51" s="83">
        <f>IF(J51="","",SUMIFS('2. Program Allocation Output'!AQ:AQ,'2. Program Allocation Output'!$A:$A,$C$41,'2. Program Allocation Output'!$H:$H,$B51)/10^3)</f>
        <v>0.10398407631740629</v>
      </c>
      <c r="L51" s="83">
        <f>IF(K51="","",SUMIFS('2. Program Allocation Output'!AR:AR,'2. Program Allocation Output'!$A:$A,$C$41,'2. Program Allocation Output'!$H:$H,$B51)/10^3)</f>
        <v>0.10355472511755463</v>
      </c>
    </row>
    <row r="52" spans="1:12" x14ac:dyDescent="0.25">
      <c r="A52" t="s">
        <v>15</v>
      </c>
      <c r="B52" s="8" t="str">
        <f>IF(VLOOKUP(A52,'1. Set Program Names'!$A$2:$B$15,2,0)&lt;&gt;0,VLOOKUP(A52,'1. Set Program Names'!$A$2:$B$15,2,0),"")</f>
        <v>Com Lighting</v>
      </c>
      <c r="C52" s="83">
        <f>IF(B52="","",SUMIFS('2. Program Allocation Output'!AI:AI,'2. Program Allocation Output'!$A:$A,$C$41,'2. Program Allocation Output'!$H:$H,$B52)/10^3)</f>
        <v>0.20089465132621739</v>
      </c>
      <c r="D52" s="83">
        <f>IF(C52="","",SUMIFS('2. Program Allocation Output'!AJ:AJ,'2. Program Allocation Output'!$A:$A,$C$41,'2. Program Allocation Output'!$H:$H,$B52)/10^3)</f>
        <v>0.21671193788491963</v>
      </c>
      <c r="E52" s="83">
        <f>IF(D52="","",SUMIFS('2. Program Allocation Output'!AK:AK,'2. Program Allocation Output'!$A:$A,$C$41,'2. Program Allocation Output'!$H:$H,$B52)/10^3)</f>
        <v>0.22866763279690996</v>
      </c>
      <c r="F52" s="83">
        <f>IF(E52="","",SUMIFS('2. Program Allocation Output'!AL:AL,'2. Program Allocation Output'!$A:$A,$C$41,'2. Program Allocation Output'!$H:$H,$B52)/10^3)</f>
        <v>0.23888942324161891</v>
      </c>
      <c r="G52" s="83">
        <f>IF(F52="","",SUMIFS('2. Program Allocation Output'!AM:AM,'2. Program Allocation Output'!$A:$A,$C$41,'2. Program Allocation Output'!$H:$H,$B52)/10^3)</f>
        <v>0.24725227603604996</v>
      </c>
      <c r="H52" s="83">
        <f>IF(G52="","",SUMIFS('2. Program Allocation Output'!AN:AN,'2. Program Allocation Output'!$A:$A,$C$41,'2. Program Allocation Output'!$H:$H,$B52)/10^3)</f>
        <v>0.25361592904767005</v>
      </c>
      <c r="I52" s="83">
        <f>IF(H52="","",SUMIFS('2. Program Allocation Output'!AO:AO,'2. Program Allocation Output'!$A:$A,$C$41,'2. Program Allocation Output'!$H:$H,$B52)/10^3)</f>
        <v>0.25812965339155636</v>
      </c>
      <c r="J52" s="83">
        <f>IF(I52="","",SUMIFS('2. Program Allocation Output'!AP:AP,'2. Program Allocation Output'!$A:$A,$C$41,'2. Program Allocation Output'!$H:$H,$B52)/10^3)</f>
        <v>0.26102755967571356</v>
      </c>
      <c r="K52" s="83">
        <f>IF(J52="","",SUMIFS('2. Program Allocation Output'!AQ:AQ,'2. Program Allocation Output'!$A:$A,$C$41,'2. Program Allocation Output'!$H:$H,$B52)/10^3)</f>
        <v>0.26237022129448367</v>
      </c>
      <c r="L52" s="83">
        <f>IF(K52="","",SUMIFS('2. Program Allocation Output'!AR:AR,'2. Program Allocation Output'!$A:$A,$C$41,'2. Program Allocation Output'!$H:$H,$B52)/10^3)</f>
        <v>0.26227566877199482</v>
      </c>
    </row>
    <row r="53" spans="1:12" x14ac:dyDescent="0.25">
      <c r="A53" t="s">
        <v>17</v>
      </c>
      <c r="B53" s="8" t="str">
        <f>IF(VLOOKUP(A53,'1. Set Program Names'!$A$2:$B$15,2,0)&lt;&gt;0,VLOOKUP(A53,'1. Set Program Names'!$A$2:$B$15,2,0),"")</f>
        <v>Com Custom</v>
      </c>
      <c r="C53" s="83">
        <f>IF(B53="","",SUMIFS('2. Program Allocation Output'!AI:AI,'2. Program Allocation Output'!$A:$A,$C$41,'2. Program Allocation Output'!$H:$H,$B53)/10^3)</f>
        <v>8.7874903095780124E-2</v>
      </c>
      <c r="D53" s="83">
        <f>IF(C53="","",SUMIFS('2. Program Allocation Output'!AJ:AJ,'2. Program Allocation Output'!$A:$A,$C$41,'2. Program Allocation Output'!$H:$H,$B53)/10^3)</f>
        <v>9.9732135394441174E-2</v>
      </c>
      <c r="E53" s="83">
        <f>IF(D53="","",SUMIFS('2. Program Allocation Output'!AK:AK,'2. Program Allocation Output'!$A:$A,$C$41,'2. Program Allocation Output'!$H:$H,$B53)/10^3)</f>
        <v>0.11149026363812224</v>
      </c>
      <c r="F53" s="83">
        <f>IF(E53="","",SUMIFS('2. Program Allocation Output'!AL:AL,'2. Program Allocation Output'!$A:$A,$C$41,'2. Program Allocation Output'!$H:$H,$B53)/10^3)</f>
        <v>0.12402394733974566</v>
      </c>
      <c r="G53" s="83">
        <f>IF(F53="","",SUMIFS('2. Program Allocation Output'!AM:AM,'2. Program Allocation Output'!$A:$A,$C$41,'2. Program Allocation Output'!$H:$H,$B53)/10^3)</f>
        <v>0.13654101320748835</v>
      </c>
      <c r="H53" s="83">
        <f>IF(G53="","",SUMIFS('2. Program Allocation Output'!AN:AN,'2. Program Allocation Output'!$A:$A,$C$41,'2. Program Allocation Output'!$H:$H,$B53)/10^3)</f>
        <v>0.14819963231188346</v>
      </c>
      <c r="I53" s="83">
        <f>IF(H53="","",SUMIFS('2. Program Allocation Output'!AO:AO,'2. Program Allocation Output'!$A:$A,$C$41,'2. Program Allocation Output'!$H:$H,$B53)/10^3)</f>
        <v>0.15777908217959943</v>
      </c>
      <c r="J53" s="83">
        <f>IF(I53="","",SUMIFS('2. Program Allocation Output'!AP:AP,'2. Program Allocation Output'!$A:$A,$C$41,'2. Program Allocation Output'!$H:$H,$B53)/10^3)</f>
        <v>0.16389434961810781</v>
      </c>
      <c r="K53" s="83">
        <f>IF(J53="","",SUMIFS('2. Program Allocation Output'!AQ:AQ,'2. Program Allocation Output'!$A:$A,$C$41,'2. Program Allocation Output'!$H:$H,$B53)/10^3)</f>
        <v>0.16562895215487719</v>
      </c>
      <c r="L53" s="83">
        <f>IF(K53="","",SUMIFS('2. Program Allocation Output'!AR:AR,'2. Program Allocation Output'!$A:$A,$C$41,'2. Program Allocation Output'!$H:$H,$B53)/10^3)</f>
        <v>0.16267162570851856</v>
      </c>
    </row>
    <row r="54" spans="1:12" hidden="1" x14ac:dyDescent="0.25">
      <c r="A54" t="s">
        <v>19</v>
      </c>
      <c r="B54" s="8" t="str">
        <f>IF(VLOOKUP(A54,'1. Set Program Names'!$A$2:$B$15,2,0)&lt;&gt;0,VLOOKUP(A54,'1. Set Program Names'!$A$2:$B$15,2,0),"")</f>
        <v/>
      </c>
      <c r="C54" s="83" t="str">
        <f>IF(B54="","",SUMIFS('2. Program Allocation Output'!AI:AI,'2. Program Allocation Output'!$A:$A,$C$41,'2. Program Allocation Output'!$H:$H,$B54)/10^3)</f>
        <v/>
      </c>
      <c r="D54" s="83" t="str">
        <f>IF(C54="","",SUMIFS('2. Program Allocation Output'!AJ:AJ,'2. Program Allocation Output'!$A:$A,$C$41,'2. Program Allocation Output'!$H:$H,$B54)/10^3)</f>
        <v/>
      </c>
      <c r="E54" s="83" t="str">
        <f>IF(D54="","",SUMIFS('2. Program Allocation Output'!AK:AK,'2. Program Allocation Output'!$A:$A,$C$41,'2. Program Allocation Output'!$H:$H,$B54)/10^3)</f>
        <v/>
      </c>
      <c r="F54" s="83" t="str">
        <f>IF(E54="","",SUMIFS('2. Program Allocation Output'!AL:AL,'2. Program Allocation Output'!$A:$A,$C$41,'2. Program Allocation Output'!$H:$H,$B54)/10^3)</f>
        <v/>
      </c>
      <c r="G54" s="83" t="str">
        <f>IF(F54="","",SUMIFS('2. Program Allocation Output'!AM:AM,'2. Program Allocation Output'!$A:$A,$C$41,'2. Program Allocation Output'!$H:$H,$B54)/10^3)</f>
        <v/>
      </c>
      <c r="H54" s="83" t="str">
        <f>IF(G54="","",SUMIFS('2. Program Allocation Output'!AN:AN,'2. Program Allocation Output'!$A:$A,$C$41,'2. Program Allocation Output'!$H:$H,$B54)/10^3)</f>
        <v/>
      </c>
      <c r="I54" s="83" t="str">
        <f>IF(H54="","",SUMIFS('2. Program Allocation Output'!AO:AO,'2. Program Allocation Output'!$A:$A,$C$41,'2. Program Allocation Output'!$H:$H,$B54)/10^3)</f>
        <v/>
      </c>
      <c r="J54" s="83" t="str">
        <f>IF(I54="","",SUMIFS('2. Program Allocation Output'!AP:AP,'2. Program Allocation Output'!$A:$A,$C$41,'2. Program Allocation Output'!$H:$H,$B54)/10^3)</f>
        <v/>
      </c>
      <c r="K54" s="83" t="str">
        <f>IF(J54="","",SUMIFS('2. Program Allocation Output'!AQ:AQ,'2. Program Allocation Output'!$A:$A,$C$41,'2. Program Allocation Output'!$H:$H,$B54)/10^3)</f>
        <v/>
      </c>
      <c r="L54" s="83" t="str">
        <f>IF(K54="","",SUMIFS('2. Program Allocation Output'!AR:AR,'2. Program Allocation Output'!$A:$A,$C$41,'2. Program Allocation Output'!$H:$H,$B54)/10^3)</f>
        <v/>
      </c>
    </row>
    <row r="55" spans="1:12" hidden="1" x14ac:dyDescent="0.25">
      <c r="A55" t="s">
        <v>21</v>
      </c>
      <c r="B55" s="8" t="str">
        <f>IF(VLOOKUP(A55,'1. Set Program Names'!$A$2:$B$15,2,0)&lt;&gt;0,VLOOKUP(A55,'1. Set Program Names'!$A$2:$B$15,2,0),"")</f>
        <v/>
      </c>
      <c r="C55" s="83" t="str">
        <f>IF(B55="","",SUMIFS('2. Program Allocation Output'!AI:AI,'2. Program Allocation Output'!$A:$A,$C$41,'2. Program Allocation Output'!$H:$H,$B55)/10^3)</f>
        <v/>
      </c>
      <c r="D55" s="83" t="str">
        <f>IF(C55="","",SUMIFS('2. Program Allocation Output'!AJ:AJ,'2. Program Allocation Output'!$A:$A,$C$41,'2. Program Allocation Output'!$H:$H,$B55)/10^3)</f>
        <v/>
      </c>
      <c r="E55" s="83" t="str">
        <f>IF(D55="","",SUMIFS('2. Program Allocation Output'!AK:AK,'2. Program Allocation Output'!$A:$A,$C$41,'2. Program Allocation Output'!$H:$H,$B55)/10^3)</f>
        <v/>
      </c>
      <c r="F55" s="83" t="str">
        <f>IF(E55="","",SUMIFS('2. Program Allocation Output'!AL:AL,'2. Program Allocation Output'!$A:$A,$C$41,'2. Program Allocation Output'!$H:$H,$B55)/10^3)</f>
        <v/>
      </c>
      <c r="G55" s="83" t="str">
        <f>IF(F55="","",SUMIFS('2. Program Allocation Output'!AM:AM,'2. Program Allocation Output'!$A:$A,$C$41,'2. Program Allocation Output'!$H:$H,$B55)/10^3)</f>
        <v/>
      </c>
      <c r="H55" s="83" t="str">
        <f>IF(G55="","",SUMIFS('2. Program Allocation Output'!AN:AN,'2. Program Allocation Output'!$A:$A,$C$41,'2. Program Allocation Output'!$H:$H,$B55)/10^3)</f>
        <v/>
      </c>
      <c r="I55" s="83" t="str">
        <f>IF(H55="","",SUMIFS('2. Program Allocation Output'!AO:AO,'2. Program Allocation Output'!$A:$A,$C$41,'2. Program Allocation Output'!$H:$H,$B55)/10^3)</f>
        <v/>
      </c>
      <c r="J55" s="83" t="str">
        <f>IF(I55="","",SUMIFS('2. Program Allocation Output'!AP:AP,'2. Program Allocation Output'!$A:$A,$C$41,'2. Program Allocation Output'!$H:$H,$B55)/10^3)</f>
        <v/>
      </c>
      <c r="K55" s="83" t="str">
        <f>IF(J55="","",SUMIFS('2. Program Allocation Output'!AQ:AQ,'2. Program Allocation Output'!$A:$A,$C$41,'2. Program Allocation Output'!$H:$H,$B55)/10^3)</f>
        <v/>
      </c>
      <c r="L55" s="83" t="str">
        <f>IF(K55="","",SUMIFS('2. Program Allocation Output'!AR:AR,'2. Program Allocation Output'!$A:$A,$C$41,'2. Program Allocation Output'!$H:$H,$B55)/10^3)</f>
        <v/>
      </c>
    </row>
    <row r="56" spans="1:12" hidden="1" x14ac:dyDescent="0.25">
      <c r="A56" t="s">
        <v>22</v>
      </c>
      <c r="B56" s="8" t="str">
        <f>IF(VLOOKUP(A56,'1. Set Program Names'!$A$2:$B$15,2,0)&lt;&gt;0,VLOOKUP(A56,'1. Set Program Names'!$A$2:$B$15,2,0),"")</f>
        <v/>
      </c>
      <c r="C56" s="83" t="str">
        <f>IF(B56="","",SUMIFS('2. Program Allocation Output'!AI:AI,'2. Program Allocation Output'!$A:$A,$C$41,'2. Program Allocation Output'!$H:$H,$B56)/10^3)</f>
        <v/>
      </c>
      <c r="D56" s="83" t="str">
        <f>IF(C56="","",SUMIFS('2. Program Allocation Output'!AJ:AJ,'2. Program Allocation Output'!$A:$A,$C$41,'2. Program Allocation Output'!$H:$H,$B56)/10^3)</f>
        <v/>
      </c>
      <c r="E56" s="83" t="str">
        <f>IF(D56="","",SUMIFS('2. Program Allocation Output'!AK:AK,'2. Program Allocation Output'!$A:$A,$C$41,'2. Program Allocation Output'!$H:$H,$B56)/10^3)</f>
        <v/>
      </c>
      <c r="F56" s="83" t="str">
        <f>IF(E56="","",SUMIFS('2. Program Allocation Output'!AL:AL,'2. Program Allocation Output'!$A:$A,$C$41,'2. Program Allocation Output'!$H:$H,$B56)/10^3)</f>
        <v/>
      </c>
      <c r="G56" s="83" t="str">
        <f>IF(F56="","",SUMIFS('2. Program Allocation Output'!AM:AM,'2. Program Allocation Output'!$A:$A,$C$41,'2. Program Allocation Output'!$H:$H,$B56)/10^3)</f>
        <v/>
      </c>
      <c r="H56" s="83" t="str">
        <f>IF(G56="","",SUMIFS('2. Program Allocation Output'!AN:AN,'2. Program Allocation Output'!$A:$A,$C$41,'2. Program Allocation Output'!$H:$H,$B56)/10^3)</f>
        <v/>
      </c>
      <c r="I56" s="83" t="str">
        <f>IF(H56="","",SUMIFS('2. Program Allocation Output'!AO:AO,'2. Program Allocation Output'!$A:$A,$C$41,'2. Program Allocation Output'!$H:$H,$B56)/10^3)</f>
        <v/>
      </c>
      <c r="J56" s="83" t="str">
        <f>IF(I56="","",SUMIFS('2. Program Allocation Output'!AP:AP,'2. Program Allocation Output'!$A:$A,$C$41,'2. Program Allocation Output'!$H:$H,$B56)/10^3)</f>
        <v/>
      </c>
      <c r="K56" s="83" t="str">
        <f>IF(J56="","",SUMIFS('2. Program Allocation Output'!AQ:AQ,'2. Program Allocation Output'!$A:$A,$C$41,'2. Program Allocation Output'!$H:$H,$B56)/10^3)</f>
        <v/>
      </c>
      <c r="L56" s="83" t="str">
        <f>IF(K56="","",SUMIFS('2. Program Allocation Output'!AR:AR,'2. Program Allocation Output'!$A:$A,$C$41,'2. Program Allocation Output'!$H:$H,$B56)/10^3)</f>
        <v/>
      </c>
    </row>
    <row r="57" spans="1:12" hidden="1" x14ac:dyDescent="0.25">
      <c r="A57" t="s">
        <v>23</v>
      </c>
      <c r="B57" s="8" t="str">
        <f>IF(VLOOKUP(A57,'1. Set Program Names'!$A$2:$B$15,2,0)&lt;&gt;0,VLOOKUP(A57,'1. Set Program Names'!$A$2:$B$15,2,0),"")</f>
        <v/>
      </c>
      <c r="C57" s="83" t="str">
        <f>IF(B57="","",SUMIFS('2. Program Allocation Output'!AI:AI,'2. Program Allocation Output'!$A:$A,$C$41,'2. Program Allocation Output'!$H:$H,$B57)/10^3)</f>
        <v/>
      </c>
      <c r="D57" s="83" t="str">
        <f>IF(C57="","",SUMIFS('2. Program Allocation Output'!AJ:AJ,'2. Program Allocation Output'!$A:$A,$C$41,'2. Program Allocation Output'!$H:$H,$B57)/10^3)</f>
        <v/>
      </c>
      <c r="E57" s="83" t="str">
        <f>IF(D57="","",SUMIFS('2. Program Allocation Output'!AK:AK,'2. Program Allocation Output'!$A:$A,$C$41,'2. Program Allocation Output'!$H:$H,$B57)/10^3)</f>
        <v/>
      </c>
      <c r="F57" s="83" t="str">
        <f>IF(E57="","",SUMIFS('2. Program Allocation Output'!AL:AL,'2. Program Allocation Output'!$A:$A,$C$41,'2. Program Allocation Output'!$H:$H,$B57)/10^3)</f>
        <v/>
      </c>
      <c r="G57" s="83" t="str">
        <f>IF(F57="","",SUMIFS('2. Program Allocation Output'!AM:AM,'2. Program Allocation Output'!$A:$A,$C$41,'2. Program Allocation Output'!$H:$H,$B57)/10^3)</f>
        <v/>
      </c>
      <c r="H57" s="83" t="str">
        <f>IF(G57="","",SUMIFS('2. Program Allocation Output'!AN:AN,'2. Program Allocation Output'!$A:$A,$C$41,'2. Program Allocation Output'!$H:$H,$B57)/10^3)</f>
        <v/>
      </c>
      <c r="I57" s="83" t="str">
        <f>IF(H57="","",SUMIFS('2. Program Allocation Output'!AO:AO,'2. Program Allocation Output'!$A:$A,$C$41,'2. Program Allocation Output'!$H:$H,$B57)/10^3)</f>
        <v/>
      </c>
      <c r="J57" s="83" t="str">
        <f>IF(I57="","",SUMIFS('2. Program Allocation Output'!AP:AP,'2. Program Allocation Output'!$A:$A,$C$41,'2. Program Allocation Output'!$H:$H,$B57)/10^3)</f>
        <v/>
      </c>
      <c r="K57" s="83" t="str">
        <f>IF(J57="","",SUMIFS('2. Program Allocation Output'!AQ:AQ,'2. Program Allocation Output'!$A:$A,$C$41,'2. Program Allocation Output'!$H:$H,$B57)/10^3)</f>
        <v/>
      </c>
      <c r="L57" s="83" t="str">
        <f>IF(K57="","",SUMIFS('2. Program Allocation Output'!AR:AR,'2. Program Allocation Output'!$A:$A,$C$41,'2. Program Allocation Output'!$H:$H,$B57)/10^3)</f>
        <v/>
      </c>
    </row>
    <row r="58" spans="1:12" x14ac:dyDescent="0.25">
      <c r="B58" s="9" t="s">
        <v>219</v>
      </c>
      <c r="C58" s="84">
        <f>SUM(C51:C57)</f>
        <v>0.37993975034519573</v>
      </c>
      <c r="D58" s="84">
        <f t="shared" ref="D58" si="7">SUM(D51:D57)</f>
        <v>0.4113472010927246</v>
      </c>
      <c r="E58" s="84">
        <f t="shared" ref="E58" si="8">SUM(E51:E57)</f>
        <v>0.43763081349380351</v>
      </c>
      <c r="F58" s="84">
        <f t="shared" ref="F58" si="9">SUM(F51:F57)</f>
        <v>0.46263049182889104</v>
      </c>
      <c r="G58" s="84">
        <f t="shared" ref="G58" si="10">SUM(G51:G57)</f>
        <v>0.48532887932514712</v>
      </c>
      <c r="H58" s="84">
        <f t="shared" ref="H58" si="11">SUM(H51:H57)</f>
        <v>0.50464195114464105</v>
      </c>
      <c r="I58" s="84">
        <f t="shared" ref="I58" si="12">SUM(I51:I57)</f>
        <v>0.51952846546628462</v>
      </c>
      <c r="J58" s="84">
        <f t="shared" ref="J58" si="13">SUM(J51:J57)</f>
        <v>0.52892479488523247</v>
      </c>
      <c r="K58" s="84">
        <f t="shared" ref="K58" si="14">SUM(K51:K57)</f>
        <v>0.53198324976676714</v>
      </c>
      <c r="L58" s="84">
        <f t="shared" ref="L58" si="15">SUM(L51:L57)</f>
        <v>0.52850201959806808</v>
      </c>
    </row>
    <row r="59" spans="1:12" x14ac:dyDescent="0.25">
      <c r="B59" s="12" t="s">
        <v>220</v>
      </c>
      <c r="C59" s="85">
        <f>C50+C58</f>
        <v>0.55521485939022897</v>
      </c>
      <c r="D59" s="85">
        <f t="shared" ref="D59" si="16">D50+D58</f>
        <v>0.59763031430350655</v>
      </c>
      <c r="E59" s="85">
        <f t="shared" ref="E59" si="17">E50+E58</f>
        <v>0.63459620771012337</v>
      </c>
      <c r="F59" s="85">
        <f t="shared" ref="F59" si="18">F50+F58</f>
        <v>0.67030750921147608</v>
      </c>
      <c r="G59" s="85">
        <f t="shared" ref="G59" si="19">G50+G58</f>
        <v>0.70375412028326056</v>
      </c>
      <c r="H59" s="85">
        <f t="shared" ref="H59" si="20">H50+H58</f>
        <v>0.73323155606259338</v>
      </c>
      <c r="I59" s="85">
        <f t="shared" ref="I59" si="21">I50+I58</f>
        <v>0.75940475391729922</v>
      </c>
      <c r="J59" s="85">
        <f t="shared" ref="J59" si="22">J50+J58</f>
        <v>0.78168962469487702</v>
      </c>
      <c r="K59" s="85">
        <f t="shared" ref="K59" si="23">K50+K58</f>
        <v>0.79934152981576878</v>
      </c>
      <c r="L59" s="85">
        <f t="shared" ref="L59" si="24">L50+L58</f>
        <v>0.8121990081660222</v>
      </c>
    </row>
    <row r="62" spans="1:12" x14ac:dyDescent="0.25">
      <c r="C62" s="45" t="s">
        <v>87</v>
      </c>
    </row>
    <row r="63" spans="1:12" x14ac:dyDescent="0.25">
      <c r="B63" s="7" t="s">
        <v>437</v>
      </c>
      <c r="C63">
        <v>2025</v>
      </c>
      <c r="D63">
        <v>2026</v>
      </c>
      <c r="E63">
        <v>2027</v>
      </c>
      <c r="F63">
        <v>2028</v>
      </c>
      <c r="G63">
        <v>2029</v>
      </c>
      <c r="H63">
        <v>2030</v>
      </c>
      <c r="I63">
        <v>2031</v>
      </c>
      <c r="J63">
        <v>2032</v>
      </c>
      <c r="K63">
        <v>2033</v>
      </c>
      <c r="L63">
        <v>2034</v>
      </c>
    </row>
    <row r="64" spans="1:12" x14ac:dyDescent="0.25">
      <c r="A64" t="s">
        <v>3</v>
      </c>
      <c r="B64" s="8" t="str">
        <f>IF(VLOOKUP(A64,'1. Set Program Names'!$A$2:$B$15,2,0)&lt;&gt;0,VLOOKUP(A64,'1. Set Program Names'!$A$2:$B$15,2,0),"")</f>
        <v>Res Existing Home</v>
      </c>
      <c r="C64" s="15">
        <f>IF(B64="","",SUMIFS('2. Program Allocation Output'!BB:BB,'2. Program Allocation Output'!$A:$A,$C$62,'2. Program Allocation Output'!$H:$H,$B64))</f>
        <v>517</v>
      </c>
      <c r="D64" s="15">
        <f>IF(C64="","",SUMIFS('2. Program Allocation Output'!BC:BC,'2. Program Allocation Output'!$A:$A,$C$62,'2. Program Allocation Output'!$H:$H,$B64))</f>
        <v>511</v>
      </c>
      <c r="E64" s="15">
        <f>IF(D64="","",SUMIFS('2. Program Allocation Output'!BD:BD,'2. Program Allocation Output'!$A:$A,$C$62,'2. Program Allocation Output'!$H:$H,$B64))</f>
        <v>509</v>
      </c>
      <c r="F64" s="15">
        <f>IF(E64="","",SUMIFS('2. Program Allocation Output'!BE:BE,'2. Program Allocation Output'!$A:$A,$C$62,'2. Program Allocation Output'!$H:$H,$B64))</f>
        <v>505</v>
      </c>
      <c r="G64" s="15">
        <f>IF(F64="","",SUMIFS('2. Program Allocation Output'!BF:BF,'2. Program Allocation Output'!$A:$A,$C$62,'2. Program Allocation Output'!$H:$H,$B64))</f>
        <v>506</v>
      </c>
      <c r="H64" s="15">
        <f>IF(G64="","",SUMIFS('2. Program Allocation Output'!BG:BG,'2. Program Allocation Output'!$A:$A,$C$62,'2. Program Allocation Output'!$H:$H,$B64))</f>
        <v>506</v>
      </c>
      <c r="I64" s="15">
        <f>IF(H64="","",SUMIFS('2. Program Allocation Output'!BH:BH,'2. Program Allocation Output'!$A:$A,$C$62,'2. Program Allocation Output'!$H:$H,$B64))</f>
        <v>511</v>
      </c>
      <c r="J64" s="15">
        <f>IF(I64="","",SUMIFS('2. Program Allocation Output'!BI:BI,'2. Program Allocation Output'!$A:$A,$C$62,'2. Program Allocation Output'!$H:$H,$B64))</f>
        <v>520</v>
      </c>
      <c r="K64" s="15">
        <f>IF(J64="","",SUMIFS('2. Program Allocation Output'!BJ:BJ,'2. Program Allocation Output'!$A:$A,$C$62,'2. Program Allocation Output'!$H:$H,$B64))</f>
        <v>533</v>
      </c>
      <c r="L64" s="15">
        <f>IF(K64="","",SUMIFS('2. Program Allocation Output'!BK:BK,'2. Program Allocation Output'!$A:$A,$C$62,'2. Program Allocation Output'!$H:$H,$B64))</f>
        <v>548</v>
      </c>
    </row>
    <row r="65" spans="1:12" x14ac:dyDescent="0.25">
      <c r="A65" t="s">
        <v>4</v>
      </c>
      <c r="B65" s="8" t="str">
        <f>IF(VLOOKUP(A65,'1. Set Program Names'!$A$2:$B$15,2,0)&lt;&gt;0,VLOOKUP(A65,'1. Set Program Names'!$A$2:$B$15,2,0),"")</f>
        <v>Res Efficiency Delivered</v>
      </c>
      <c r="C65" s="15">
        <f>IF(B65="","",SUMIFS('2. Program Allocation Output'!BB:BB,'2. Program Allocation Output'!$A:$A,$C$62,'2. Program Allocation Output'!$H:$H,$B65))</f>
        <v>40</v>
      </c>
      <c r="D65" s="15">
        <f>IF(C65="","",SUMIFS('2. Program Allocation Output'!BC:BC,'2. Program Allocation Output'!$A:$A,$C$62,'2. Program Allocation Output'!$H:$H,$B65))</f>
        <v>42</v>
      </c>
      <c r="E65" s="15">
        <f>IF(D65="","",SUMIFS('2. Program Allocation Output'!BD:BD,'2. Program Allocation Output'!$A:$A,$C$62,'2. Program Allocation Output'!$H:$H,$B65))</f>
        <v>42</v>
      </c>
      <c r="F65" s="15">
        <f>IF(E65="","",SUMIFS('2. Program Allocation Output'!BE:BE,'2. Program Allocation Output'!$A:$A,$C$62,'2. Program Allocation Output'!$H:$H,$B65))</f>
        <v>44</v>
      </c>
      <c r="G65" s="15">
        <f>IF(F65="","",SUMIFS('2. Program Allocation Output'!BF:BF,'2. Program Allocation Output'!$A:$A,$C$62,'2. Program Allocation Output'!$H:$H,$B65))</f>
        <v>43</v>
      </c>
      <c r="H65" s="15">
        <f>IF(G65="","",SUMIFS('2. Program Allocation Output'!BG:BG,'2. Program Allocation Output'!$A:$A,$C$62,'2. Program Allocation Output'!$H:$H,$B65))</f>
        <v>42</v>
      </c>
      <c r="I65" s="15">
        <f>IF(H65="","",SUMIFS('2. Program Allocation Output'!BH:BH,'2. Program Allocation Output'!$A:$A,$C$62,'2. Program Allocation Output'!$H:$H,$B65))</f>
        <v>46</v>
      </c>
      <c r="J65" s="15">
        <f>IF(I65="","",SUMIFS('2. Program Allocation Output'!BI:BI,'2. Program Allocation Output'!$A:$A,$C$62,'2. Program Allocation Output'!$H:$H,$B65))</f>
        <v>47</v>
      </c>
      <c r="K65" s="15">
        <f>IF(J65="","",SUMIFS('2. Program Allocation Output'!BJ:BJ,'2. Program Allocation Output'!$A:$A,$C$62,'2. Program Allocation Output'!$H:$H,$B65))</f>
        <v>48</v>
      </c>
      <c r="L65" s="15">
        <f>IF(K65="","",SUMIFS('2. Program Allocation Output'!BK:BK,'2. Program Allocation Output'!$A:$A,$C$62,'2. Program Allocation Output'!$H:$H,$B65))</f>
        <v>51</v>
      </c>
    </row>
    <row r="66" spans="1:12" x14ac:dyDescent="0.25">
      <c r="A66" t="s">
        <v>6</v>
      </c>
      <c r="B66" s="8" t="str">
        <f>IF(VLOOKUP(A66,'1. Set Program Names'!$A$2:$B$15,2,0)&lt;&gt;0,VLOOKUP(A66,'1. Set Program Names'!$A$2:$B$15,2,0),"")</f>
        <v>Res New Home</v>
      </c>
      <c r="C66" s="15">
        <f>IF(B66="","",SUMIFS('2. Program Allocation Output'!BB:BB,'2. Program Allocation Output'!$A:$A,$C$62,'2. Program Allocation Output'!$H:$H,$B66))</f>
        <v>45</v>
      </c>
      <c r="D66" s="15">
        <f>IF(C66="","",SUMIFS('2. Program Allocation Output'!BC:BC,'2. Program Allocation Output'!$A:$A,$C$62,'2. Program Allocation Output'!$H:$H,$B66))</f>
        <v>46</v>
      </c>
      <c r="E66" s="15">
        <f>IF(D66="","",SUMIFS('2. Program Allocation Output'!BD:BD,'2. Program Allocation Output'!$A:$A,$C$62,'2. Program Allocation Output'!$H:$H,$B66))</f>
        <v>47</v>
      </c>
      <c r="F66" s="15">
        <f>IF(E66="","",SUMIFS('2. Program Allocation Output'!BE:BE,'2. Program Allocation Output'!$A:$A,$C$62,'2. Program Allocation Output'!$H:$H,$B66))</f>
        <v>47</v>
      </c>
      <c r="G66" s="15">
        <f>IF(F66="","",SUMIFS('2. Program Allocation Output'!BF:BF,'2. Program Allocation Output'!$A:$A,$C$62,'2. Program Allocation Output'!$H:$H,$B66))</f>
        <v>48</v>
      </c>
      <c r="H66" s="15">
        <f>IF(G66="","",SUMIFS('2. Program Allocation Output'!BG:BG,'2. Program Allocation Output'!$A:$A,$C$62,'2. Program Allocation Output'!$H:$H,$B66))</f>
        <v>52</v>
      </c>
      <c r="I66" s="15">
        <f>IF(H66="","",SUMIFS('2. Program Allocation Output'!BH:BH,'2. Program Allocation Output'!$A:$A,$C$62,'2. Program Allocation Output'!$H:$H,$B66))</f>
        <v>52</v>
      </c>
      <c r="J66" s="15">
        <f>IF(I66="","",SUMIFS('2. Program Allocation Output'!BI:BI,'2. Program Allocation Output'!$A:$A,$C$62,'2. Program Allocation Output'!$H:$H,$B66))</f>
        <v>55</v>
      </c>
      <c r="K66" s="15">
        <f>IF(J66="","",SUMIFS('2. Program Allocation Output'!BJ:BJ,'2. Program Allocation Output'!$A:$A,$C$62,'2. Program Allocation Output'!$H:$H,$B66))</f>
        <v>57</v>
      </c>
      <c r="L66" s="15">
        <f>IF(K66="","",SUMIFS('2. Program Allocation Output'!BK:BK,'2. Program Allocation Output'!$A:$A,$C$62,'2. Program Allocation Output'!$H:$H,$B66))</f>
        <v>60</v>
      </c>
    </row>
    <row r="67" spans="1:12" hidden="1" x14ac:dyDescent="0.25">
      <c r="A67" t="s">
        <v>8</v>
      </c>
      <c r="B67" s="8" t="str">
        <f>IF(VLOOKUP(A67,'1. Set Program Names'!$A$2:$B$15,2,0)&lt;&gt;0,VLOOKUP(A67,'1. Set Program Names'!$A$2:$B$15,2,0),"")</f>
        <v/>
      </c>
      <c r="C67" s="15" t="str">
        <f>IF(B67="","",SUMIFS('2. Program Allocation Output'!BB:BB,'2. Program Allocation Output'!$A:$A,$C$62,'2. Program Allocation Output'!$H:$H,$B67))</f>
        <v/>
      </c>
      <c r="D67" s="15" t="str">
        <f>IF(C67="","",SUMIFS('2. Program Allocation Output'!BC:BC,'2. Program Allocation Output'!$A:$A,$C$62,'2. Program Allocation Output'!$H:$H,$B67))</f>
        <v/>
      </c>
      <c r="E67" s="15" t="str">
        <f>IF(D67="","",SUMIFS('2. Program Allocation Output'!BD:BD,'2. Program Allocation Output'!$A:$A,$C$62,'2. Program Allocation Output'!$H:$H,$B67))</f>
        <v/>
      </c>
      <c r="F67" s="15" t="str">
        <f>IF(E67="","",SUMIFS('2. Program Allocation Output'!BE:BE,'2. Program Allocation Output'!$A:$A,$C$62,'2. Program Allocation Output'!$H:$H,$B67))</f>
        <v/>
      </c>
      <c r="G67" s="15" t="str">
        <f>IF(F67="","",SUMIFS('2. Program Allocation Output'!BF:BF,'2. Program Allocation Output'!$A:$A,$C$62,'2. Program Allocation Output'!$H:$H,$B67))</f>
        <v/>
      </c>
      <c r="H67" s="15" t="str">
        <f>IF(G67="","",SUMIFS('2. Program Allocation Output'!BG:BG,'2. Program Allocation Output'!$A:$A,$C$62,'2. Program Allocation Output'!$H:$H,$B67))</f>
        <v/>
      </c>
      <c r="I67" s="15" t="str">
        <f>IF(H67="","",SUMIFS('2. Program Allocation Output'!BH:BH,'2. Program Allocation Output'!$A:$A,$C$62,'2. Program Allocation Output'!$H:$H,$B67))</f>
        <v/>
      </c>
      <c r="J67" s="15" t="str">
        <f>IF(I67="","",SUMIFS('2. Program Allocation Output'!BI:BI,'2. Program Allocation Output'!$A:$A,$C$62,'2. Program Allocation Output'!$H:$H,$B67))</f>
        <v/>
      </c>
      <c r="K67" s="15" t="str">
        <f>IF(J67="","",SUMIFS('2. Program Allocation Output'!BJ:BJ,'2. Program Allocation Output'!$A:$A,$C$62,'2. Program Allocation Output'!$H:$H,$B67))</f>
        <v/>
      </c>
      <c r="L67" s="15" t="str">
        <f>IF(K67="","",SUMIFS('2. Program Allocation Output'!BK:BK,'2. Program Allocation Output'!$A:$A,$C$62,'2. Program Allocation Output'!$H:$H,$B67))</f>
        <v/>
      </c>
    </row>
    <row r="68" spans="1:12" hidden="1" x14ac:dyDescent="0.25">
      <c r="A68" t="s">
        <v>10</v>
      </c>
      <c r="B68" s="8" t="str">
        <f>IF(VLOOKUP(A68,'1. Set Program Names'!$A$2:$B$15,2,0)&lt;&gt;0,VLOOKUP(A68,'1. Set Program Names'!$A$2:$B$15,2,0),"")</f>
        <v/>
      </c>
      <c r="C68" s="15" t="str">
        <f>IF(B68="","",SUMIFS('2. Program Allocation Output'!BB:BB,'2. Program Allocation Output'!$A:$A,$C$62,'2. Program Allocation Output'!$H:$H,$B68))</f>
        <v/>
      </c>
      <c r="D68" s="15" t="str">
        <f>IF(C68="","",SUMIFS('2. Program Allocation Output'!BC:BC,'2. Program Allocation Output'!$A:$A,$C$62,'2. Program Allocation Output'!$H:$H,$B68))</f>
        <v/>
      </c>
      <c r="E68" s="15" t="str">
        <f>IF(D68="","",SUMIFS('2. Program Allocation Output'!BD:BD,'2. Program Allocation Output'!$A:$A,$C$62,'2. Program Allocation Output'!$H:$H,$B68))</f>
        <v/>
      </c>
      <c r="F68" s="15" t="str">
        <f>IF(E68="","",SUMIFS('2. Program Allocation Output'!BE:BE,'2. Program Allocation Output'!$A:$A,$C$62,'2. Program Allocation Output'!$H:$H,$B68))</f>
        <v/>
      </c>
      <c r="G68" s="15" t="str">
        <f>IF(F68="","",SUMIFS('2. Program Allocation Output'!BF:BF,'2. Program Allocation Output'!$A:$A,$C$62,'2. Program Allocation Output'!$H:$H,$B68))</f>
        <v/>
      </c>
      <c r="H68" s="15" t="str">
        <f>IF(G68="","",SUMIFS('2. Program Allocation Output'!BG:BG,'2. Program Allocation Output'!$A:$A,$C$62,'2. Program Allocation Output'!$H:$H,$B68))</f>
        <v/>
      </c>
      <c r="I68" s="15" t="str">
        <f>IF(H68="","",SUMIFS('2. Program Allocation Output'!BH:BH,'2. Program Allocation Output'!$A:$A,$C$62,'2. Program Allocation Output'!$H:$H,$B68))</f>
        <v/>
      </c>
      <c r="J68" s="15" t="str">
        <f>IF(I68="","",SUMIFS('2. Program Allocation Output'!BI:BI,'2. Program Allocation Output'!$A:$A,$C$62,'2. Program Allocation Output'!$H:$H,$B68))</f>
        <v/>
      </c>
      <c r="K68" s="15" t="str">
        <f>IF(J68="","",SUMIFS('2. Program Allocation Output'!BJ:BJ,'2. Program Allocation Output'!$A:$A,$C$62,'2. Program Allocation Output'!$H:$H,$B68))</f>
        <v/>
      </c>
      <c r="L68" s="15" t="str">
        <f>IF(K68="","",SUMIFS('2. Program Allocation Output'!BK:BK,'2. Program Allocation Output'!$A:$A,$C$62,'2. Program Allocation Output'!$H:$H,$B68))</f>
        <v/>
      </c>
    </row>
    <row r="69" spans="1:12" hidden="1" x14ac:dyDescent="0.25">
      <c r="A69" t="s">
        <v>11</v>
      </c>
      <c r="B69" s="8" t="str">
        <f>IF(VLOOKUP(A69,'1. Set Program Names'!$A$2:$B$15,2,0)&lt;&gt;0,VLOOKUP(A69,'1. Set Program Names'!$A$2:$B$15,2,0),"")</f>
        <v/>
      </c>
      <c r="C69" s="15" t="str">
        <f>IF(B69="","",SUMIFS('2. Program Allocation Output'!BB:BB,'2. Program Allocation Output'!$A:$A,$C$62,'2. Program Allocation Output'!$H:$H,$B69))</f>
        <v/>
      </c>
      <c r="D69" s="15" t="str">
        <f>IF(C69="","",SUMIFS('2. Program Allocation Output'!BC:BC,'2. Program Allocation Output'!$A:$A,$C$62,'2. Program Allocation Output'!$H:$H,$B69))</f>
        <v/>
      </c>
      <c r="E69" s="15" t="str">
        <f>IF(D69="","",SUMIFS('2. Program Allocation Output'!BD:BD,'2. Program Allocation Output'!$A:$A,$C$62,'2. Program Allocation Output'!$H:$H,$B69))</f>
        <v/>
      </c>
      <c r="F69" s="15" t="str">
        <f>IF(E69="","",SUMIFS('2. Program Allocation Output'!BE:BE,'2. Program Allocation Output'!$A:$A,$C$62,'2. Program Allocation Output'!$H:$H,$B69))</f>
        <v/>
      </c>
      <c r="G69" s="15" t="str">
        <f>IF(F69="","",SUMIFS('2. Program Allocation Output'!BF:BF,'2. Program Allocation Output'!$A:$A,$C$62,'2. Program Allocation Output'!$H:$H,$B69))</f>
        <v/>
      </c>
      <c r="H69" s="15" t="str">
        <f>IF(G69="","",SUMIFS('2. Program Allocation Output'!BG:BG,'2. Program Allocation Output'!$A:$A,$C$62,'2. Program Allocation Output'!$H:$H,$B69))</f>
        <v/>
      </c>
      <c r="I69" s="15" t="str">
        <f>IF(H69="","",SUMIFS('2. Program Allocation Output'!BH:BH,'2. Program Allocation Output'!$A:$A,$C$62,'2. Program Allocation Output'!$H:$H,$B69))</f>
        <v/>
      </c>
      <c r="J69" s="15" t="str">
        <f>IF(I69="","",SUMIFS('2. Program Allocation Output'!BI:BI,'2. Program Allocation Output'!$A:$A,$C$62,'2. Program Allocation Output'!$H:$H,$B69))</f>
        <v/>
      </c>
      <c r="K69" s="15" t="str">
        <f>IF(J69="","",SUMIFS('2. Program Allocation Output'!BJ:BJ,'2. Program Allocation Output'!$A:$A,$C$62,'2. Program Allocation Output'!$H:$H,$B69))</f>
        <v/>
      </c>
      <c r="L69" s="15" t="str">
        <f>IF(K69="","",SUMIFS('2. Program Allocation Output'!BK:BK,'2. Program Allocation Output'!$A:$A,$C$62,'2. Program Allocation Output'!$H:$H,$B69))</f>
        <v/>
      </c>
    </row>
    <row r="70" spans="1:12" hidden="1" x14ac:dyDescent="0.25">
      <c r="A70" t="s">
        <v>12</v>
      </c>
      <c r="B70" s="8" t="str">
        <f>IF(VLOOKUP(A70,'1. Set Program Names'!$A$2:$B$15,2,0)&lt;&gt;0,VLOOKUP(A70,'1. Set Program Names'!$A$2:$B$15,2,0),"")</f>
        <v/>
      </c>
      <c r="C70" s="15" t="str">
        <f>IF(B70="","",SUMIFS('2. Program Allocation Output'!BB:BB,'2. Program Allocation Output'!$A:$A,$C$62,'2. Program Allocation Output'!$H:$H,$B70))</f>
        <v/>
      </c>
      <c r="D70" s="15" t="str">
        <f>IF(C70="","",SUMIFS('2. Program Allocation Output'!BC:BC,'2. Program Allocation Output'!$A:$A,$C$62,'2. Program Allocation Output'!$H:$H,$B70))</f>
        <v/>
      </c>
      <c r="E70" s="15" t="str">
        <f>IF(D70="","",SUMIFS('2. Program Allocation Output'!BD:BD,'2. Program Allocation Output'!$A:$A,$C$62,'2. Program Allocation Output'!$H:$H,$B70))</f>
        <v/>
      </c>
      <c r="F70" s="15" t="str">
        <f>IF(E70="","",SUMIFS('2. Program Allocation Output'!BE:BE,'2. Program Allocation Output'!$A:$A,$C$62,'2. Program Allocation Output'!$H:$H,$B70))</f>
        <v/>
      </c>
      <c r="G70" s="15" t="str">
        <f>IF(F70="","",SUMIFS('2. Program Allocation Output'!BF:BF,'2. Program Allocation Output'!$A:$A,$C$62,'2. Program Allocation Output'!$H:$H,$B70))</f>
        <v/>
      </c>
      <c r="H70" s="15" t="str">
        <f>IF(G70="","",SUMIFS('2. Program Allocation Output'!BG:BG,'2. Program Allocation Output'!$A:$A,$C$62,'2. Program Allocation Output'!$H:$H,$B70))</f>
        <v/>
      </c>
      <c r="I70" s="15" t="str">
        <f>IF(H70="","",SUMIFS('2. Program Allocation Output'!BH:BH,'2. Program Allocation Output'!$A:$A,$C$62,'2. Program Allocation Output'!$H:$H,$B70))</f>
        <v/>
      </c>
      <c r="J70" s="15" t="str">
        <f>IF(I70="","",SUMIFS('2. Program Allocation Output'!BI:BI,'2. Program Allocation Output'!$A:$A,$C$62,'2. Program Allocation Output'!$H:$H,$B70))</f>
        <v/>
      </c>
      <c r="K70" s="15" t="str">
        <f>IF(J70="","",SUMIFS('2. Program Allocation Output'!BJ:BJ,'2. Program Allocation Output'!$A:$A,$C$62,'2. Program Allocation Output'!$H:$H,$B70))</f>
        <v/>
      </c>
      <c r="L70" s="15" t="str">
        <f>IF(K70="","",SUMIFS('2. Program Allocation Output'!BK:BK,'2. Program Allocation Output'!$A:$A,$C$62,'2. Program Allocation Output'!$H:$H,$B70))</f>
        <v/>
      </c>
    </row>
    <row r="71" spans="1:12" x14ac:dyDescent="0.25">
      <c r="B71" s="9" t="s">
        <v>218</v>
      </c>
      <c r="C71" s="16">
        <f>SUM(C64:C70)</f>
        <v>602</v>
      </c>
      <c r="D71" s="16">
        <f t="shared" ref="D71:L71" si="25">SUM(D64:D70)</f>
        <v>599</v>
      </c>
      <c r="E71" s="16">
        <f t="shared" si="25"/>
        <v>598</v>
      </c>
      <c r="F71" s="16">
        <f t="shared" si="25"/>
        <v>596</v>
      </c>
      <c r="G71" s="16">
        <f t="shared" si="25"/>
        <v>597</v>
      </c>
      <c r="H71" s="16">
        <f t="shared" si="25"/>
        <v>600</v>
      </c>
      <c r="I71" s="16">
        <f t="shared" si="25"/>
        <v>609</v>
      </c>
      <c r="J71" s="16">
        <f t="shared" si="25"/>
        <v>622</v>
      </c>
      <c r="K71" s="16">
        <f t="shared" si="25"/>
        <v>638</v>
      </c>
      <c r="L71" s="16">
        <f t="shared" si="25"/>
        <v>659</v>
      </c>
    </row>
    <row r="72" spans="1:12" x14ac:dyDescent="0.25">
      <c r="A72" t="s">
        <v>13</v>
      </c>
      <c r="B72" s="8" t="str">
        <f>IF(VLOOKUP(A72,'1. Set Program Names'!$A$2:$B$15,2,0)&lt;&gt;0,VLOOKUP(A72,'1. Set Program Names'!$A$2:$B$15,2,0),"")</f>
        <v>Com Prescriptive</v>
      </c>
      <c r="C72" s="15">
        <f>IF(B72="","",SUMIFS('2. Program Allocation Output'!BB:BB,'2. Program Allocation Output'!$A:$A,$C$62,'2. Program Allocation Output'!$H:$H,$B72))</f>
        <v>1521</v>
      </c>
      <c r="D72" s="15">
        <f>IF(C72="","",SUMIFS('2. Program Allocation Output'!BC:BC,'2. Program Allocation Output'!$A:$A,$C$62,'2. Program Allocation Output'!$H:$H,$B72))</f>
        <v>1612</v>
      </c>
      <c r="E72" s="15">
        <f>IF(D72="","",SUMIFS('2. Program Allocation Output'!BD:BD,'2. Program Allocation Output'!$A:$A,$C$62,'2. Program Allocation Output'!$H:$H,$B72))</f>
        <v>1675</v>
      </c>
      <c r="F72" s="15">
        <f>IF(E72="","",SUMIFS('2. Program Allocation Output'!BE:BE,'2. Program Allocation Output'!$A:$A,$C$62,'2. Program Allocation Output'!$H:$H,$B72))</f>
        <v>1726</v>
      </c>
      <c r="G72" s="15">
        <f>IF(F72="","",SUMIFS('2. Program Allocation Output'!BF:BF,'2. Program Allocation Output'!$A:$A,$C$62,'2. Program Allocation Output'!$H:$H,$B72))</f>
        <v>1763</v>
      </c>
      <c r="H72" s="15">
        <f>IF(G72="","",SUMIFS('2. Program Allocation Output'!BG:BG,'2. Program Allocation Output'!$A:$A,$C$62,'2. Program Allocation Output'!$H:$H,$B72))</f>
        <v>1790</v>
      </c>
      <c r="I72" s="15">
        <f>IF(H72="","",SUMIFS('2. Program Allocation Output'!BH:BH,'2. Program Allocation Output'!$A:$A,$C$62,'2. Program Allocation Output'!$H:$H,$B72))</f>
        <v>1803</v>
      </c>
      <c r="J72" s="15">
        <f>IF(I72="","",SUMIFS('2. Program Allocation Output'!BI:BI,'2. Program Allocation Output'!$A:$A,$C$62,'2. Program Allocation Output'!$H:$H,$B72))</f>
        <v>1813</v>
      </c>
      <c r="K72" s="15">
        <f>IF(J72="","",SUMIFS('2. Program Allocation Output'!BJ:BJ,'2. Program Allocation Output'!$A:$A,$C$62,'2. Program Allocation Output'!$H:$H,$B72))</f>
        <v>1814</v>
      </c>
      <c r="L72" s="15">
        <f>IF(K72="","",SUMIFS('2. Program Allocation Output'!BK:BK,'2. Program Allocation Output'!$A:$A,$C$62,'2. Program Allocation Output'!$H:$H,$B72))</f>
        <v>1807</v>
      </c>
    </row>
    <row r="73" spans="1:12" x14ac:dyDescent="0.25">
      <c r="A73" t="s">
        <v>15</v>
      </c>
      <c r="B73" s="8" t="str">
        <f>IF(VLOOKUP(A73,'1. Set Program Names'!$A$2:$B$15,2,0)&lt;&gt;0,VLOOKUP(A73,'1. Set Program Names'!$A$2:$B$15,2,0),"")</f>
        <v>Com Lighting</v>
      </c>
      <c r="C73" s="15">
        <f>IF(B73="","",SUMIFS('2. Program Allocation Output'!BB:BB,'2. Program Allocation Output'!$A:$A,$C$62,'2. Program Allocation Output'!$H:$H,$B73))</f>
        <v>4329</v>
      </c>
      <c r="D73" s="15">
        <f>IF(C73="","",SUMIFS('2. Program Allocation Output'!BC:BC,'2. Program Allocation Output'!$A:$A,$C$62,'2. Program Allocation Output'!$H:$H,$B73))</f>
        <v>4627</v>
      </c>
      <c r="E73" s="15">
        <f>IF(D73="","",SUMIFS('2. Program Allocation Output'!BD:BD,'2. Program Allocation Output'!$A:$A,$C$62,'2. Program Allocation Output'!$H:$H,$B73))</f>
        <v>4836</v>
      </c>
      <c r="F73" s="15">
        <f>IF(E73="","",SUMIFS('2. Program Allocation Output'!BE:BE,'2. Program Allocation Output'!$A:$A,$C$62,'2. Program Allocation Output'!$H:$H,$B73))</f>
        <v>5005</v>
      </c>
      <c r="G73" s="15">
        <f>IF(F73="","",SUMIFS('2. Program Allocation Output'!BF:BF,'2. Program Allocation Output'!$A:$A,$C$62,'2. Program Allocation Output'!$H:$H,$B73))</f>
        <v>5134</v>
      </c>
      <c r="H73" s="15">
        <f>IF(G73="","",SUMIFS('2. Program Allocation Output'!BG:BG,'2. Program Allocation Output'!$A:$A,$C$62,'2. Program Allocation Output'!$H:$H,$B73))</f>
        <v>5223</v>
      </c>
      <c r="I73" s="15">
        <f>IF(H73="","",SUMIFS('2. Program Allocation Output'!BH:BH,'2. Program Allocation Output'!$A:$A,$C$62,'2. Program Allocation Output'!$H:$H,$B73))</f>
        <v>5277</v>
      </c>
      <c r="J73" s="15">
        <f>IF(I73="","",SUMIFS('2. Program Allocation Output'!BI:BI,'2. Program Allocation Output'!$A:$A,$C$62,'2. Program Allocation Output'!$H:$H,$B73))</f>
        <v>5312</v>
      </c>
      <c r="K73" s="15">
        <f>IF(J73="","",SUMIFS('2. Program Allocation Output'!BJ:BJ,'2. Program Allocation Output'!$A:$A,$C$62,'2. Program Allocation Output'!$H:$H,$B73))</f>
        <v>5321</v>
      </c>
      <c r="L73" s="15">
        <f>IF(K73="","",SUMIFS('2. Program Allocation Output'!BK:BK,'2. Program Allocation Output'!$A:$A,$C$62,'2. Program Allocation Output'!$H:$H,$B73))</f>
        <v>5306</v>
      </c>
    </row>
    <row r="74" spans="1:12" x14ac:dyDescent="0.25">
      <c r="A74" t="s">
        <v>17</v>
      </c>
      <c r="B74" s="8" t="str">
        <f>IF(VLOOKUP(A74,'1. Set Program Names'!$A$2:$B$15,2,0)&lt;&gt;0,VLOOKUP(A74,'1. Set Program Names'!$A$2:$B$15,2,0),"")</f>
        <v>Com Custom</v>
      </c>
      <c r="C74" s="15">
        <f>IF(B74="","",SUMIFS('2. Program Allocation Output'!BB:BB,'2. Program Allocation Output'!$A:$A,$C$62,'2. Program Allocation Output'!$H:$H,$B74))</f>
        <v>1827</v>
      </c>
      <c r="D74" s="15">
        <f>IF(C74="","",SUMIFS('2. Program Allocation Output'!BC:BC,'2. Program Allocation Output'!$A:$A,$C$62,'2. Program Allocation Output'!$H:$H,$B74))</f>
        <v>1977</v>
      </c>
      <c r="E74" s="15">
        <f>IF(D74="","",SUMIFS('2. Program Allocation Output'!BD:BD,'2. Program Allocation Output'!$A:$A,$C$62,'2. Program Allocation Output'!$H:$H,$B74))</f>
        <v>2099</v>
      </c>
      <c r="F74" s="15">
        <f>IF(E74="","",SUMIFS('2. Program Allocation Output'!BE:BE,'2. Program Allocation Output'!$A:$A,$C$62,'2. Program Allocation Output'!$H:$H,$B74))</f>
        <v>2207</v>
      </c>
      <c r="G74" s="15">
        <f>IF(F74="","",SUMIFS('2. Program Allocation Output'!BF:BF,'2. Program Allocation Output'!$A:$A,$C$62,'2. Program Allocation Output'!$H:$H,$B74))</f>
        <v>2299</v>
      </c>
      <c r="H74" s="15">
        <f>IF(G74="","",SUMIFS('2. Program Allocation Output'!BG:BG,'2. Program Allocation Output'!$A:$A,$C$62,'2. Program Allocation Output'!$H:$H,$B74))</f>
        <v>2374</v>
      </c>
      <c r="I74" s="15">
        <f>IF(H74="","",SUMIFS('2. Program Allocation Output'!BH:BH,'2. Program Allocation Output'!$A:$A,$C$62,'2. Program Allocation Output'!$H:$H,$B74))</f>
        <v>2437</v>
      </c>
      <c r="J74" s="15">
        <f>IF(I74="","",SUMIFS('2. Program Allocation Output'!BI:BI,'2. Program Allocation Output'!$A:$A,$C$62,'2. Program Allocation Output'!$H:$H,$B74))</f>
        <v>2486</v>
      </c>
      <c r="K74" s="15">
        <f>IF(J74="","",SUMIFS('2. Program Allocation Output'!BJ:BJ,'2. Program Allocation Output'!$A:$A,$C$62,'2. Program Allocation Output'!$H:$H,$B74))</f>
        <v>2519</v>
      </c>
      <c r="L74" s="15">
        <f>IF(K74="","",SUMIFS('2. Program Allocation Output'!BK:BK,'2. Program Allocation Output'!$A:$A,$C$62,'2. Program Allocation Output'!$H:$H,$B74))</f>
        <v>2538</v>
      </c>
    </row>
    <row r="75" spans="1:12" hidden="1" x14ac:dyDescent="0.25">
      <c r="A75" t="s">
        <v>19</v>
      </c>
      <c r="B75" s="8" t="str">
        <f>IF(VLOOKUP(A75,'1. Set Program Names'!$A$2:$B$15,2,0)&lt;&gt;0,VLOOKUP(A75,'1. Set Program Names'!$A$2:$B$15,2,0),"")</f>
        <v/>
      </c>
      <c r="C75" s="15" t="str">
        <f>IF(B75="","",SUMIFS('2. Program Allocation Output'!BB:BB,'2. Program Allocation Output'!$A:$A,$C$62,'2. Program Allocation Output'!$H:$H,$B75))</f>
        <v/>
      </c>
      <c r="D75" s="15" t="str">
        <f>IF(C75="","",SUMIFS('2. Program Allocation Output'!BC:BC,'2. Program Allocation Output'!$A:$A,$C$62,'2. Program Allocation Output'!$H:$H,$B75))</f>
        <v/>
      </c>
      <c r="E75" s="15" t="str">
        <f>IF(D75="","",SUMIFS('2. Program Allocation Output'!BD:BD,'2. Program Allocation Output'!$A:$A,$C$62,'2. Program Allocation Output'!$H:$H,$B75))</f>
        <v/>
      </c>
      <c r="F75" s="15" t="str">
        <f>IF(E75="","",SUMIFS('2. Program Allocation Output'!BE:BE,'2. Program Allocation Output'!$A:$A,$C$62,'2. Program Allocation Output'!$H:$H,$B75))</f>
        <v/>
      </c>
      <c r="G75" s="15" t="str">
        <f>IF(F75="","",SUMIFS('2. Program Allocation Output'!BF:BF,'2. Program Allocation Output'!$A:$A,$C$62,'2. Program Allocation Output'!$H:$H,$B75))</f>
        <v/>
      </c>
      <c r="H75" s="15" t="str">
        <f>IF(G75="","",SUMIFS('2. Program Allocation Output'!BG:BG,'2. Program Allocation Output'!$A:$A,$C$62,'2. Program Allocation Output'!$H:$H,$B75))</f>
        <v/>
      </c>
      <c r="I75" s="15" t="str">
        <f>IF(H75="","",SUMIFS('2. Program Allocation Output'!BH:BH,'2. Program Allocation Output'!$A:$A,$C$62,'2. Program Allocation Output'!$H:$H,$B75))</f>
        <v/>
      </c>
      <c r="J75" s="15" t="str">
        <f>IF(I75="","",SUMIFS('2. Program Allocation Output'!BI:BI,'2. Program Allocation Output'!$A:$A,$C$62,'2. Program Allocation Output'!$H:$H,$B75))</f>
        <v/>
      </c>
      <c r="K75" s="15" t="str">
        <f>IF(J75="","",SUMIFS('2. Program Allocation Output'!BJ:BJ,'2. Program Allocation Output'!$A:$A,$C$62,'2. Program Allocation Output'!$H:$H,$B75))</f>
        <v/>
      </c>
      <c r="L75" s="15" t="str">
        <f>IF(K75="","",SUMIFS('2. Program Allocation Output'!BK:BK,'2. Program Allocation Output'!$A:$A,$C$62,'2. Program Allocation Output'!$H:$H,$B75))</f>
        <v/>
      </c>
    </row>
    <row r="76" spans="1:12" hidden="1" x14ac:dyDescent="0.25">
      <c r="A76" t="s">
        <v>21</v>
      </c>
      <c r="B76" s="8" t="str">
        <f>IF(VLOOKUP(A76,'1. Set Program Names'!$A$2:$B$15,2,0)&lt;&gt;0,VLOOKUP(A76,'1. Set Program Names'!$A$2:$B$15,2,0),"")</f>
        <v/>
      </c>
      <c r="C76" s="15" t="str">
        <f>IF(B76="","",SUMIFS('2. Program Allocation Output'!BB:BB,'2. Program Allocation Output'!$A:$A,$C$62,'2. Program Allocation Output'!$H:$H,$B76))</f>
        <v/>
      </c>
      <c r="D76" s="15" t="str">
        <f>IF(C76="","",SUMIFS('2. Program Allocation Output'!BC:BC,'2. Program Allocation Output'!$A:$A,$C$62,'2. Program Allocation Output'!$H:$H,$B76))</f>
        <v/>
      </c>
      <c r="E76" s="15" t="str">
        <f>IF(D76="","",SUMIFS('2. Program Allocation Output'!BD:BD,'2. Program Allocation Output'!$A:$A,$C$62,'2. Program Allocation Output'!$H:$H,$B76))</f>
        <v/>
      </c>
      <c r="F76" s="15" t="str">
        <f>IF(E76="","",SUMIFS('2. Program Allocation Output'!BE:BE,'2. Program Allocation Output'!$A:$A,$C$62,'2. Program Allocation Output'!$H:$H,$B76))</f>
        <v/>
      </c>
      <c r="G76" s="15" t="str">
        <f>IF(F76="","",SUMIFS('2. Program Allocation Output'!BF:BF,'2. Program Allocation Output'!$A:$A,$C$62,'2. Program Allocation Output'!$H:$H,$B76))</f>
        <v/>
      </c>
      <c r="H76" s="15" t="str">
        <f>IF(G76="","",SUMIFS('2. Program Allocation Output'!BG:BG,'2. Program Allocation Output'!$A:$A,$C$62,'2. Program Allocation Output'!$H:$H,$B76))</f>
        <v/>
      </c>
      <c r="I76" s="15" t="str">
        <f>IF(H76="","",SUMIFS('2. Program Allocation Output'!BH:BH,'2. Program Allocation Output'!$A:$A,$C$62,'2. Program Allocation Output'!$H:$H,$B76))</f>
        <v/>
      </c>
      <c r="J76" s="15" t="str">
        <f>IF(I76="","",SUMIFS('2. Program Allocation Output'!BI:BI,'2. Program Allocation Output'!$A:$A,$C$62,'2. Program Allocation Output'!$H:$H,$B76))</f>
        <v/>
      </c>
      <c r="K76" s="15" t="str">
        <f>IF(J76="","",SUMIFS('2. Program Allocation Output'!BJ:BJ,'2. Program Allocation Output'!$A:$A,$C$62,'2. Program Allocation Output'!$H:$H,$B76))</f>
        <v/>
      </c>
      <c r="L76" s="15" t="str">
        <f>IF(K76="","",SUMIFS('2. Program Allocation Output'!BK:BK,'2. Program Allocation Output'!$A:$A,$C$62,'2. Program Allocation Output'!$H:$H,$B76))</f>
        <v/>
      </c>
    </row>
    <row r="77" spans="1:12" hidden="1" x14ac:dyDescent="0.25">
      <c r="A77" t="s">
        <v>22</v>
      </c>
      <c r="B77" s="8" t="str">
        <f>IF(VLOOKUP(A77,'1. Set Program Names'!$A$2:$B$15,2,0)&lt;&gt;0,VLOOKUP(A77,'1. Set Program Names'!$A$2:$B$15,2,0),"")</f>
        <v/>
      </c>
      <c r="C77" s="15" t="str">
        <f>IF(B77="","",SUMIFS('2. Program Allocation Output'!BB:BB,'2. Program Allocation Output'!$A:$A,$C$62,'2. Program Allocation Output'!$H:$H,$B77))</f>
        <v/>
      </c>
      <c r="D77" s="15" t="str">
        <f>IF(C77="","",SUMIFS('2. Program Allocation Output'!BC:BC,'2. Program Allocation Output'!$A:$A,$C$62,'2. Program Allocation Output'!$H:$H,$B77))</f>
        <v/>
      </c>
      <c r="E77" s="15" t="str">
        <f>IF(D77="","",SUMIFS('2. Program Allocation Output'!BD:BD,'2. Program Allocation Output'!$A:$A,$C$62,'2. Program Allocation Output'!$H:$H,$B77))</f>
        <v/>
      </c>
      <c r="F77" s="15" t="str">
        <f>IF(E77="","",SUMIFS('2. Program Allocation Output'!BE:BE,'2. Program Allocation Output'!$A:$A,$C$62,'2. Program Allocation Output'!$H:$H,$B77))</f>
        <v/>
      </c>
      <c r="G77" s="15" t="str">
        <f>IF(F77="","",SUMIFS('2. Program Allocation Output'!BF:BF,'2. Program Allocation Output'!$A:$A,$C$62,'2. Program Allocation Output'!$H:$H,$B77))</f>
        <v/>
      </c>
      <c r="H77" s="15" t="str">
        <f>IF(G77="","",SUMIFS('2. Program Allocation Output'!BG:BG,'2. Program Allocation Output'!$A:$A,$C$62,'2. Program Allocation Output'!$H:$H,$B77))</f>
        <v/>
      </c>
      <c r="I77" s="15" t="str">
        <f>IF(H77="","",SUMIFS('2. Program Allocation Output'!BH:BH,'2. Program Allocation Output'!$A:$A,$C$62,'2. Program Allocation Output'!$H:$H,$B77))</f>
        <v/>
      </c>
      <c r="J77" s="15" t="str">
        <f>IF(I77="","",SUMIFS('2. Program Allocation Output'!BI:BI,'2. Program Allocation Output'!$A:$A,$C$62,'2. Program Allocation Output'!$H:$H,$B77))</f>
        <v/>
      </c>
      <c r="K77" s="15" t="str">
        <f>IF(J77="","",SUMIFS('2. Program Allocation Output'!BJ:BJ,'2. Program Allocation Output'!$A:$A,$C$62,'2. Program Allocation Output'!$H:$H,$B77))</f>
        <v/>
      </c>
      <c r="L77" s="15" t="str">
        <f>IF(K77="","",SUMIFS('2. Program Allocation Output'!BK:BK,'2. Program Allocation Output'!$A:$A,$C$62,'2. Program Allocation Output'!$H:$H,$B77))</f>
        <v/>
      </c>
    </row>
    <row r="78" spans="1:12" hidden="1" x14ac:dyDescent="0.25">
      <c r="A78" t="s">
        <v>23</v>
      </c>
      <c r="B78" s="8" t="str">
        <f>IF(VLOOKUP(A78,'1. Set Program Names'!$A$2:$B$15,2,0)&lt;&gt;0,VLOOKUP(A78,'1. Set Program Names'!$A$2:$B$15,2,0),"")</f>
        <v/>
      </c>
      <c r="C78" s="15" t="str">
        <f>IF(B78="","",SUMIFS('2. Program Allocation Output'!BB:BB,'2. Program Allocation Output'!$A:$A,$C$62,'2. Program Allocation Output'!$H:$H,$B78))</f>
        <v/>
      </c>
      <c r="D78" s="15" t="str">
        <f>IF(C78="","",SUMIFS('2. Program Allocation Output'!BC:BC,'2. Program Allocation Output'!$A:$A,$C$62,'2. Program Allocation Output'!$H:$H,$B78))</f>
        <v/>
      </c>
      <c r="E78" s="15" t="str">
        <f>IF(D78="","",SUMIFS('2. Program Allocation Output'!BD:BD,'2. Program Allocation Output'!$A:$A,$C$62,'2. Program Allocation Output'!$H:$H,$B78))</f>
        <v/>
      </c>
      <c r="F78" s="15" t="str">
        <f>IF(E78="","",SUMIFS('2. Program Allocation Output'!BE:BE,'2. Program Allocation Output'!$A:$A,$C$62,'2. Program Allocation Output'!$H:$H,$B78))</f>
        <v/>
      </c>
      <c r="G78" s="15" t="str">
        <f>IF(F78="","",SUMIFS('2. Program Allocation Output'!BF:BF,'2. Program Allocation Output'!$A:$A,$C$62,'2. Program Allocation Output'!$H:$H,$B78))</f>
        <v/>
      </c>
      <c r="H78" s="15" t="str">
        <f>IF(G78="","",SUMIFS('2. Program Allocation Output'!BG:BG,'2. Program Allocation Output'!$A:$A,$C$62,'2. Program Allocation Output'!$H:$H,$B78))</f>
        <v/>
      </c>
      <c r="I78" s="15" t="str">
        <f>IF(H78="","",SUMIFS('2. Program Allocation Output'!BH:BH,'2. Program Allocation Output'!$A:$A,$C$62,'2. Program Allocation Output'!$H:$H,$B78))</f>
        <v/>
      </c>
      <c r="J78" s="15" t="str">
        <f>IF(I78="","",SUMIFS('2. Program Allocation Output'!BI:BI,'2. Program Allocation Output'!$A:$A,$C$62,'2. Program Allocation Output'!$H:$H,$B78))</f>
        <v/>
      </c>
      <c r="K78" s="15" t="str">
        <f>IF(J78="","",SUMIFS('2. Program Allocation Output'!BJ:BJ,'2. Program Allocation Output'!$A:$A,$C$62,'2. Program Allocation Output'!$H:$H,$B78))</f>
        <v/>
      </c>
      <c r="L78" s="15" t="str">
        <f>IF(K78="","",SUMIFS('2. Program Allocation Output'!BK:BK,'2. Program Allocation Output'!$A:$A,$C$62,'2. Program Allocation Output'!$H:$H,$B78))</f>
        <v/>
      </c>
    </row>
    <row r="79" spans="1:12" x14ac:dyDescent="0.25">
      <c r="B79" s="9" t="s">
        <v>219</v>
      </c>
      <c r="C79" s="16">
        <f>SUM(C72:C78)</f>
        <v>7677</v>
      </c>
      <c r="D79" s="16">
        <f t="shared" ref="D79:L79" si="26">SUM(D72:D78)</f>
        <v>8216</v>
      </c>
      <c r="E79" s="16">
        <f t="shared" si="26"/>
        <v>8610</v>
      </c>
      <c r="F79" s="16">
        <f t="shared" si="26"/>
        <v>8938</v>
      </c>
      <c r="G79" s="16">
        <f t="shared" si="26"/>
        <v>9196</v>
      </c>
      <c r="H79" s="16">
        <f t="shared" si="26"/>
        <v>9387</v>
      </c>
      <c r="I79" s="16">
        <f t="shared" si="26"/>
        <v>9517</v>
      </c>
      <c r="J79" s="16">
        <f t="shared" si="26"/>
        <v>9611</v>
      </c>
      <c r="K79" s="16">
        <f t="shared" si="26"/>
        <v>9654</v>
      </c>
      <c r="L79" s="16">
        <f t="shared" si="26"/>
        <v>9651</v>
      </c>
    </row>
    <row r="80" spans="1:12" x14ac:dyDescent="0.25">
      <c r="B80" s="12" t="s">
        <v>220</v>
      </c>
      <c r="C80" s="17">
        <f>C71+C79</f>
        <v>8279</v>
      </c>
      <c r="D80" s="17">
        <f t="shared" ref="D80:L80" si="27">D71+D79</f>
        <v>8815</v>
      </c>
      <c r="E80" s="17">
        <f t="shared" si="27"/>
        <v>9208</v>
      </c>
      <c r="F80" s="17">
        <f t="shared" si="27"/>
        <v>9534</v>
      </c>
      <c r="G80" s="17">
        <f t="shared" si="27"/>
        <v>9793</v>
      </c>
      <c r="H80" s="17">
        <f t="shared" si="27"/>
        <v>9987</v>
      </c>
      <c r="I80" s="17">
        <f t="shared" si="27"/>
        <v>10126</v>
      </c>
      <c r="J80" s="17">
        <f t="shared" si="27"/>
        <v>10233</v>
      </c>
      <c r="K80" s="17">
        <f t="shared" si="27"/>
        <v>10292</v>
      </c>
      <c r="L80" s="17">
        <f t="shared" si="27"/>
        <v>10310</v>
      </c>
    </row>
    <row r="81" spans="1:12" hidden="1" x14ac:dyDescent="0.25"/>
    <row r="82" spans="1:12" hidden="1" x14ac:dyDescent="0.25"/>
    <row r="83" spans="1:12" hidden="1" x14ac:dyDescent="0.25">
      <c r="B83" s="7" t="s">
        <v>294</v>
      </c>
      <c r="C83" s="45" t="s">
        <v>87</v>
      </c>
    </row>
    <row r="84" spans="1:12" hidden="1" x14ac:dyDescent="0.25">
      <c r="C84">
        <v>2025</v>
      </c>
      <c r="D84">
        <v>2026</v>
      </c>
      <c r="E84">
        <v>2027</v>
      </c>
      <c r="F84">
        <v>2028</v>
      </c>
      <c r="G84">
        <v>2029</v>
      </c>
      <c r="H84">
        <v>2030</v>
      </c>
      <c r="I84">
        <v>2031</v>
      </c>
      <c r="J84">
        <v>2032</v>
      </c>
      <c r="K84">
        <v>2033</v>
      </c>
      <c r="L84">
        <v>2034</v>
      </c>
    </row>
    <row r="85" spans="1:12" hidden="1" x14ac:dyDescent="0.25">
      <c r="A85" t="s">
        <v>3</v>
      </c>
      <c r="B85" s="8" t="str">
        <f>IF(VLOOKUP(A85,'1. Set Program Names'!$A$2:$B$15,2,0)&lt;&gt;0,VLOOKUP(A85,'1. Set Program Names'!$A$2:$B$15,2,0),"")</f>
        <v>Res Existing Home</v>
      </c>
      <c r="C85" s="42">
        <f>IF(B85="","",SUMIFS('2. Program Allocation Output'!BL:BL,'2. Program Allocation Output'!$A:$A,$C$83,'2. Program Allocation Output'!$H:$H,$B85))</f>
        <v>1236887.161746681</v>
      </c>
      <c r="D85" s="42">
        <f>IF(C85="","",SUMIFS('2. Program Allocation Output'!BM:BM,'2. Program Allocation Output'!$A:$A,$C$83,'2. Program Allocation Output'!$H:$H,$B85))</f>
        <v>1372135.9840648274</v>
      </c>
      <c r="E85" s="42">
        <f>IF(D85="","",SUMIFS('2. Program Allocation Output'!BN:BN,'2. Program Allocation Output'!$A:$A,$C$83,'2. Program Allocation Output'!$H:$H,$B85))</f>
        <v>1498608.2827476331</v>
      </c>
      <c r="F85" s="42">
        <f>IF(E85="","",SUMIFS('2. Program Allocation Output'!BO:BO,'2. Program Allocation Output'!$A:$A,$C$83,'2. Program Allocation Output'!$H:$H,$B85))</f>
        <v>1619957.4161804337</v>
      </c>
      <c r="G85" s="42">
        <f>IF(F85="","",SUMIFS('2. Program Allocation Output'!BP:BP,'2. Program Allocation Output'!$A:$A,$C$83,'2. Program Allocation Output'!$H:$H,$B85))</f>
        <v>1737154.0694271752</v>
      </c>
      <c r="H85" s="42">
        <f>IF(G85="","",SUMIFS('2. Program Allocation Output'!BQ:BQ,'2. Program Allocation Output'!$A:$A,$C$83,'2. Program Allocation Output'!$H:$H,$B85))</f>
        <v>1845952.0470735894</v>
      </c>
      <c r="I85" s="42">
        <f>IF(H85="","",SUMIFS('2. Program Allocation Output'!BR:BR,'2. Program Allocation Output'!$A:$A,$C$83,'2. Program Allocation Output'!$H:$H,$B85))</f>
        <v>1960751.9021484542</v>
      </c>
      <c r="J85" s="42">
        <f>IF(I85="","",SUMIFS('2. Program Allocation Output'!BS:BS,'2. Program Allocation Output'!$A:$A,$C$83,'2. Program Allocation Output'!$H:$H,$B85))</f>
        <v>2086363.1521789117</v>
      </c>
      <c r="K85" s="42">
        <f>IF(J85="","",SUMIFS('2. Program Allocation Output'!BT:BT,'2. Program Allocation Output'!$A:$A,$C$83,'2. Program Allocation Output'!$H:$H,$B85))</f>
        <v>2224405.4154931358</v>
      </c>
      <c r="L85" s="42">
        <f>IF(K85="","",SUMIFS('2. Program Allocation Output'!BU:BU,'2. Program Allocation Output'!$A:$A,$C$83,'2. Program Allocation Output'!$H:$H,$B85))</f>
        <v>2375843.4699213291</v>
      </c>
    </row>
    <row r="86" spans="1:12" hidden="1" x14ac:dyDescent="0.25">
      <c r="A86" t="s">
        <v>4</v>
      </c>
      <c r="B86" s="8" t="str">
        <f>IF(VLOOKUP(A86,'1. Set Program Names'!$A$2:$B$15,2,0)&lt;&gt;0,VLOOKUP(A86,'1. Set Program Names'!$A$2:$B$15,2,0),"")</f>
        <v>Res Efficiency Delivered</v>
      </c>
      <c r="C86" s="42">
        <f>IF(B86="","",SUMIFS('2. Program Allocation Output'!BL:BL,'2. Program Allocation Output'!$A:$A,$C$83,'2. Program Allocation Output'!$H:$H,$B86))</f>
        <v>46524.256987989822</v>
      </c>
      <c r="D86" s="42">
        <f>IF(C86="","",SUMIFS('2. Program Allocation Output'!BM:BM,'2. Program Allocation Output'!$A:$A,$C$83,'2. Program Allocation Output'!$H:$H,$B86))</f>
        <v>50477.77936446391</v>
      </c>
      <c r="E86" s="42">
        <f>IF(D86="","",SUMIFS('2. Program Allocation Output'!BN:BN,'2. Program Allocation Output'!$A:$A,$C$83,'2. Program Allocation Output'!$H:$H,$B86))</f>
        <v>54166.663841875801</v>
      </c>
      <c r="F86" s="42">
        <f>IF(E86="","",SUMIFS('2. Program Allocation Output'!BO:BO,'2. Program Allocation Output'!$A:$A,$C$83,'2. Program Allocation Output'!$H:$H,$B86))</f>
        <v>57713.21758243558</v>
      </c>
      <c r="G86" s="42">
        <f>IF(F86="","",SUMIFS('2. Program Allocation Output'!BP:BP,'2. Program Allocation Output'!$A:$A,$C$83,'2. Program Allocation Output'!$H:$H,$B86))</f>
        <v>61142.280247928902</v>
      </c>
      <c r="H86" s="42">
        <f>IF(G86="","",SUMIFS('2. Program Allocation Output'!BQ:BQ,'2. Program Allocation Output'!$A:$A,$C$83,'2. Program Allocation Output'!$H:$H,$B86))</f>
        <v>64298.812049198117</v>
      </c>
      <c r="I86" s="42">
        <f>IF(H86="","",SUMIFS('2. Program Allocation Output'!BR:BR,'2. Program Allocation Output'!$A:$A,$C$83,'2. Program Allocation Output'!$H:$H,$B86))</f>
        <v>67679.052696311453</v>
      </c>
      <c r="J86" s="42">
        <f>IF(I86="","",SUMIFS('2. Program Allocation Output'!BS:BS,'2. Program Allocation Output'!$A:$A,$C$83,'2. Program Allocation Output'!$H:$H,$B86))</f>
        <v>71435.336366965741</v>
      </c>
      <c r="K86" s="42">
        <f>IF(J86="","",SUMIFS('2. Program Allocation Output'!BT:BT,'2. Program Allocation Output'!$A:$A,$C$83,'2. Program Allocation Output'!$H:$H,$B86))</f>
        <v>75609.750177176655</v>
      </c>
      <c r="L86" s="42">
        <f>IF(K86="","",SUMIFS('2. Program Allocation Output'!BU:BU,'2. Program Allocation Output'!$A:$A,$C$83,'2. Program Allocation Output'!$H:$H,$B86))</f>
        <v>80223.470892006255</v>
      </c>
    </row>
    <row r="87" spans="1:12" hidden="1" x14ac:dyDescent="0.25">
      <c r="A87" t="s">
        <v>6</v>
      </c>
      <c r="B87" s="8" t="str">
        <f>IF(VLOOKUP(A87,'1. Set Program Names'!$A$2:$B$15,2,0)&lt;&gt;0,VLOOKUP(A87,'1. Set Program Names'!$A$2:$B$15,2,0),"")</f>
        <v>Res New Home</v>
      </c>
      <c r="C87" s="42">
        <f>IF(B87="","",SUMIFS('2. Program Allocation Output'!BL:BL,'2. Program Allocation Output'!$A:$A,$C$83,'2. Program Allocation Output'!$H:$H,$B87))</f>
        <v>57230.501995287828</v>
      </c>
      <c r="D87" s="42">
        <f>IF(C87="","",SUMIFS('2. Program Allocation Output'!BM:BM,'2. Program Allocation Output'!$A:$A,$C$83,'2. Program Allocation Output'!$H:$H,$B87))</f>
        <v>63049.201398740057</v>
      </c>
      <c r="E87" s="42">
        <f>IF(D87="","",SUMIFS('2. Program Allocation Output'!BN:BN,'2. Program Allocation Output'!$A:$A,$C$83,'2. Program Allocation Output'!$H:$H,$B87))</f>
        <v>68494.399772763587</v>
      </c>
      <c r="F87" s="42">
        <f>IF(E87="","",SUMIFS('2. Program Allocation Output'!BO:BO,'2. Program Allocation Output'!$A:$A,$C$83,'2. Program Allocation Output'!$H:$H,$B87))</f>
        <v>73728.285538490643</v>
      </c>
      <c r="G87" s="42">
        <f>IF(F87="","",SUMIFS('2. Program Allocation Output'!BP:BP,'2. Program Allocation Output'!$A:$A,$C$83,'2. Program Allocation Output'!$H:$H,$B87))</f>
        <v>78789.980440746382</v>
      </c>
      <c r="H87" s="42">
        <f>IF(G87="","",SUMIFS('2. Program Allocation Output'!BQ:BQ,'2. Program Allocation Output'!$A:$A,$C$83,'2. Program Allocation Output'!$H:$H,$B87))</f>
        <v>83483.031125341775</v>
      </c>
      <c r="I87" s="42">
        <f>IF(H87="","",SUMIFS('2. Program Allocation Output'!BR:BR,'2. Program Allocation Output'!$A:$A,$C$83,'2. Program Allocation Output'!$H:$H,$B87))</f>
        <v>88455.106387847336</v>
      </c>
      <c r="J87" s="42">
        <f>IF(I87="","",SUMIFS('2. Program Allocation Output'!BS:BS,'2. Program Allocation Output'!$A:$A,$C$83,'2. Program Allocation Output'!$H:$H,$B87))</f>
        <v>93916.499097997468</v>
      </c>
      <c r="K87" s="42">
        <f>IF(J87="","",SUMIFS('2. Program Allocation Output'!BT:BT,'2. Program Allocation Output'!$A:$A,$C$83,'2. Program Allocation Output'!$H:$H,$B87))</f>
        <v>99933.800801904828</v>
      </c>
      <c r="L87" s="42">
        <f>IF(K87="","",SUMIFS('2. Program Allocation Output'!BU:BU,'2. Program Allocation Output'!$A:$A,$C$83,'2. Program Allocation Output'!$H:$H,$B87))</f>
        <v>106544.57337099611</v>
      </c>
    </row>
    <row r="88" spans="1:12" hidden="1" x14ac:dyDescent="0.25">
      <c r="A88" t="s">
        <v>8</v>
      </c>
      <c r="B88" s="8" t="str">
        <f>IF(VLOOKUP(A88,'1. Set Program Names'!$A$2:$B$15,2,0)&lt;&gt;0,VLOOKUP(A88,'1. Set Program Names'!$A$2:$B$15,2,0),"")</f>
        <v/>
      </c>
      <c r="C88" s="42" t="str">
        <f>IF(B88="","",SUMIFS('2. Program Allocation Output'!BL:BL,'2. Program Allocation Output'!$A:$A,$C$83,'2. Program Allocation Output'!$H:$H,$B88))</f>
        <v/>
      </c>
      <c r="D88" s="42" t="str">
        <f>IF(C88="","",SUMIFS('2. Program Allocation Output'!BM:BM,'2. Program Allocation Output'!$A:$A,$C$83,'2. Program Allocation Output'!$H:$H,$B88))</f>
        <v/>
      </c>
      <c r="E88" s="42" t="str">
        <f>IF(D88="","",SUMIFS('2. Program Allocation Output'!BN:BN,'2. Program Allocation Output'!$A:$A,$C$83,'2. Program Allocation Output'!$H:$H,$B88))</f>
        <v/>
      </c>
      <c r="F88" s="42" t="str">
        <f>IF(E88="","",SUMIFS('2. Program Allocation Output'!BO:BO,'2. Program Allocation Output'!$A:$A,$C$83,'2. Program Allocation Output'!$H:$H,$B88))</f>
        <v/>
      </c>
      <c r="G88" s="42" t="str">
        <f>IF(F88="","",SUMIFS('2. Program Allocation Output'!BP:BP,'2. Program Allocation Output'!$A:$A,$C$83,'2. Program Allocation Output'!$H:$H,$B88))</f>
        <v/>
      </c>
      <c r="H88" s="42" t="str">
        <f>IF(G88="","",SUMIFS('2. Program Allocation Output'!BQ:BQ,'2. Program Allocation Output'!$A:$A,$C$83,'2. Program Allocation Output'!$H:$H,$B88))</f>
        <v/>
      </c>
      <c r="I88" s="42" t="str">
        <f>IF(H88="","",SUMIFS('2. Program Allocation Output'!BR:BR,'2. Program Allocation Output'!$A:$A,$C$83,'2. Program Allocation Output'!$H:$H,$B88))</f>
        <v/>
      </c>
      <c r="J88" s="42" t="str">
        <f>IF(I88="","",SUMIFS('2. Program Allocation Output'!BS:BS,'2. Program Allocation Output'!$A:$A,$C$83,'2. Program Allocation Output'!$H:$H,$B88))</f>
        <v/>
      </c>
      <c r="K88" s="42" t="str">
        <f>IF(J88="","",SUMIFS('2. Program Allocation Output'!BT:BT,'2. Program Allocation Output'!$A:$A,$C$83,'2. Program Allocation Output'!$H:$H,$B88))</f>
        <v/>
      </c>
      <c r="L88" s="42" t="str">
        <f>IF(K88="","",SUMIFS('2. Program Allocation Output'!BU:BU,'2. Program Allocation Output'!$A:$A,$C$83,'2. Program Allocation Output'!$H:$H,$B88))</f>
        <v/>
      </c>
    </row>
    <row r="89" spans="1:12" hidden="1" x14ac:dyDescent="0.25">
      <c r="A89" t="s">
        <v>10</v>
      </c>
      <c r="B89" s="8" t="str">
        <f>IF(VLOOKUP(A89,'1. Set Program Names'!$A$2:$B$15,2,0)&lt;&gt;0,VLOOKUP(A89,'1. Set Program Names'!$A$2:$B$15,2,0),"")</f>
        <v/>
      </c>
      <c r="C89" s="42" t="str">
        <f>IF(B89="","",SUMIFS('2. Program Allocation Output'!BL:BL,'2. Program Allocation Output'!$A:$A,$C$83,'2. Program Allocation Output'!$H:$H,$B89))</f>
        <v/>
      </c>
      <c r="D89" s="42" t="str">
        <f>IF(C89="","",SUMIFS('2. Program Allocation Output'!BM:BM,'2. Program Allocation Output'!$A:$A,$C$83,'2. Program Allocation Output'!$H:$H,$B89))</f>
        <v/>
      </c>
      <c r="E89" s="42" t="str">
        <f>IF(D89="","",SUMIFS('2. Program Allocation Output'!BN:BN,'2. Program Allocation Output'!$A:$A,$C$83,'2. Program Allocation Output'!$H:$H,$B89))</f>
        <v/>
      </c>
      <c r="F89" s="42" t="str">
        <f>IF(E89="","",SUMIFS('2. Program Allocation Output'!BO:BO,'2. Program Allocation Output'!$A:$A,$C$83,'2. Program Allocation Output'!$H:$H,$B89))</f>
        <v/>
      </c>
      <c r="G89" s="42" t="str">
        <f>IF(F89="","",SUMIFS('2. Program Allocation Output'!BP:BP,'2. Program Allocation Output'!$A:$A,$C$83,'2. Program Allocation Output'!$H:$H,$B89))</f>
        <v/>
      </c>
      <c r="H89" s="42" t="str">
        <f>IF(G89="","",SUMIFS('2. Program Allocation Output'!BQ:BQ,'2. Program Allocation Output'!$A:$A,$C$83,'2. Program Allocation Output'!$H:$H,$B89))</f>
        <v/>
      </c>
      <c r="I89" s="42" t="str">
        <f>IF(H89="","",SUMIFS('2. Program Allocation Output'!BR:BR,'2. Program Allocation Output'!$A:$A,$C$83,'2. Program Allocation Output'!$H:$H,$B89))</f>
        <v/>
      </c>
      <c r="J89" s="42" t="str">
        <f>IF(I89="","",SUMIFS('2. Program Allocation Output'!BS:BS,'2. Program Allocation Output'!$A:$A,$C$83,'2. Program Allocation Output'!$H:$H,$B89))</f>
        <v/>
      </c>
      <c r="K89" s="42" t="str">
        <f>IF(J89="","",SUMIFS('2. Program Allocation Output'!BT:BT,'2. Program Allocation Output'!$A:$A,$C$83,'2. Program Allocation Output'!$H:$H,$B89))</f>
        <v/>
      </c>
      <c r="L89" s="42" t="str">
        <f>IF(K89="","",SUMIFS('2. Program Allocation Output'!BU:BU,'2. Program Allocation Output'!$A:$A,$C$83,'2. Program Allocation Output'!$H:$H,$B89))</f>
        <v/>
      </c>
    </row>
    <row r="90" spans="1:12" hidden="1" x14ac:dyDescent="0.25">
      <c r="A90" t="s">
        <v>11</v>
      </c>
      <c r="B90" s="8" t="str">
        <f>IF(VLOOKUP(A90,'1. Set Program Names'!$A$2:$B$15,2,0)&lt;&gt;0,VLOOKUP(A90,'1. Set Program Names'!$A$2:$B$15,2,0),"")</f>
        <v/>
      </c>
      <c r="C90" s="42" t="str">
        <f>IF(B90="","",SUMIFS('2. Program Allocation Output'!BL:BL,'2. Program Allocation Output'!$A:$A,$C$83,'2. Program Allocation Output'!$H:$H,$B90))</f>
        <v/>
      </c>
      <c r="D90" s="42" t="str">
        <f>IF(C90="","",SUMIFS('2. Program Allocation Output'!BM:BM,'2. Program Allocation Output'!$A:$A,$C$83,'2. Program Allocation Output'!$H:$H,$B90))</f>
        <v/>
      </c>
      <c r="E90" s="42" t="str">
        <f>IF(D90="","",SUMIFS('2. Program Allocation Output'!BN:BN,'2. Program Allocation Output'!$A:$A,$C$83,'2. Program Allocation Output'!$H:$H,$B90))</f>
        <v/>
      </c>
      <c r="F90" s="42" t="str">
        <f>IF(E90="","",SUMIFS('2. Program Allocation Output'!BO:BO,'2. Program Allocation Output'!$A:$A,$C$83,'2. Program Allocation Output'!$H:$H,$B90))</f>
        <v/>
      </c>
      <c r="G90" s="42" t="str">
        <f>IF(F90="","",SUMIFS('2. Program Allocation Output'!BP:BP,'2. Program Allocation Output'!$A:$A,$C$83,'2. Program Allocation Output'!$H:$H,$B90))</f>
        <v/>
      </c>
      <c r="H90" s="42" t="str">
        <f>IF(G90="","",SUMIFS('2. Program Allocation Output'!BQ:BQ,'2. Program Allocation Output'!$A:$A,$C$83,'2. Program Allocation Output'!$H:$H,$B90))</f>
        <v/>
      </c>
      <c r="I90" s="42" t="str">
        <f>IF(H90="","",SUMIFS('2. Program Allocation Output'!BR:BR,'2. Program Allocation Output'!$A:$A,$C$83,'2. Program Allocation Output'!$H:$H,$B90))</f>
        <v/>
      </c>
      <c r="J90" s="42" t="str">
        <f>IF(I90="","",SUMIFS('2. Program Allocation Output'!BS:BS,'2. Program Allocation Output'!$A:$A,$C$83,'2. Program Allocation Output'!$H:$H,$B90))</f>
        <v/>
      </c>
      <c r="K90" s="42" t="str">
        <f>IF(J90="","",SUMIFS('2. Program Allocation Output'!BT:BT,'2. Program Allocation Output'!$A:$A,$C$83,'2. Program Allocation Output'!$H:$H,$B90))</f>
        <v/>
      </c>
      <c r="L90" s="42" t="str">
        <f>IF(K90="","",SUMIFS('2. Program Allocation Output'!BU:BU,'2. Program Allocation Output'!$A:$A,$C$83,'2. Program Allocation Output'!$H:$H,$B90))</f>
        <v/>
      </c>
    </row>
    <row r="91" spans="1:12" hidden="1" x14ac:dyDescent="0.25">
      <c r="A91" t="s">
        <v>12</v>
      </c>
      <c r="B91" s="8" t="str">
        <f>IF(VLOOKUP(A91,'1. Set Program Names'!$A$2:$B$15,2,0)&lt;&gt;0,VLOOKUP(A91,'1. Set Program Names'!$A$2:$B$15,2,0),"")</f>
        <v/>
      </c>
      <c r="C91" s="42" t="str">
        <f>IF(B91="","",SUMIFS('2. Program Allocation Output'!BL:BL,'2. Program Allocation Output'!$A:$A,$C$83,'2. Program Allocation Output'!$H:$H,$B91))</f>
        <v/>
      </c>
      <c r="D91" s="42" t="str">
        <f>IF(C91="","",SUMIFS('2. Program Allocation Output'!BM:BM,'2. Program Allocation Output'!$A:$A,$C$83,'2. Program Allocation Output'!$H:$H,$B91))</f>
        <v/>
      </c>
      <c r="E91" s="42" t="str">
        <f>IF(D91="","",SUMIFS('2. Program Allocation Output'!BN:BN,'2. Program Allocation Output'!$A:$A,$C$83,'2. Program Allocation Output'!$H:$H,$B91))</f>
        <v/>
      </c>
      <c r="F91" s="42" t="str">
        <f>IF(E91="","",SUMIFS('2. Program Allocation Output'!BO:BO,'2. Program Allocation Output'!$A:$A,$C$83,'2. Program Allocation Output'!$H:$H,$B91))</f>
        <v/>
      </c>
      <c r="G91" s="42" t="str">
        <f>IF(F91="","",SUMIFS('2. Program Allocation Output'!BP:BP,'2. Program Allocation Output'!$A:$A,$C$83,'2. Program Allocation Output'!$H:$H,$B91))</f>
        <v/>
      </c>
      <c r="H91" s="42" t="str">
        <f>IF(G91="","",SUMIFS('2. Program Allocation Output'!BQ:BQ,'2. Program Allocation Output'!$A:$A,$C$83,'2. Program Allocation Output'!$H:$H,$B91))</f>
        <v/>
      </c>
      <c r="I91" s="42" t="str">
        <f>IF(H91="","",SUMIFS('2. Program Allocation Output'!BR:BR,'2. Program Allocation Output'!$A:$A,$C$83,'2. Program Allocation Output'!$H:$H,$B91))</f>
        <v/>
      </c>
      <c r="J91" s="42" t="str">
        <f>IF(I91="","",SUMIFS('2. Program Allocation Output'!BS:BS,'2. Program Allocation Output'!$A:$A,$C$83,'2. Program Allocation Output'!$H:$H,$B91))</f>
        <v/>
      </c>
      <c r="K91" s="42" t="str">
        <f>IF(J91="","",SUMIFS('2. Program Allocation Output'!BT:BT,'2. Program Allocation Output'!$A:$A,$C$83,'2. Program Allocation Output'!$H:$H,$B91))</f>
        <v/>
      </c>
      <c r="L91" s="42" t="str">
        <f>IF(K91="","",SUMIFS('2. Program Allocation Output'!BU:BU,'2. Program Allocation Output'!$A:$A,$C$83,'2. Program Allocation Output'!$H:$H,$B91))</f>
        <v/>
      </c>
    </row>
    <row r="92" spans="1:12" hidden="1" x14ac:dyDescent="0.25">
      <c r="B92" s="9" t="s">
        <v>218</v>
      </c>
      <c r="C92" s="43">
        <f>SUM(C85:C91)</f>
        <v>1340641.9207299587</v>
      </c>
      <c r="D92" s="43">
        <f t="shared" ref="D92:L92" si="28">SUM(D85:D91)</f>
        <v>1485662.9648280314</v>
      </c>
      <c r="E92" s="43">
        <f t="shared" si="28"/>
        <v>1621269.3463622723</v>
      </c>
      <c r="F92" s="43">
        <f t="shared" si="28"/>
        <v>1751398.9193013599</v>
      </c>
      <c r="G92" s="43">
        <f t="shared" si="28"/>
        <v>1877086.3301158503</v>
      </c>
      <c r="H92" s="43">
        <f t="shared" si="28"/>
        <v>1993733.8902481294</v>
      </c>
      <c r="I92" s="43">
        <f t="shared" si="28"/>
        <v>2116886.0612326129</v>
      </c>
      <c r="J92" s="43">
        <f t="shared" si="28"/>
        <v>2251714.9876438747</v>
      </c>
      <c r="K92" s="43">
        <f t="shared" si="28"/>
        <v>2399948.9664722173</v>
      </c>
      <c r="L92" s="43">
        <f t="shared" si="28"/>
        <v>2562611.5141843311</v>
      </c>
    </row>
    <row r="93" spans="1:12" hidden="1" x14ac:dyDescent="0.25">
      <c r="A93" t="s">
        <v>13</v>
      </c>
      <c r="B93" s="8" t="str">
        <f>IF(VLOOKUP(A93,'1. Set Program Names'!$A$2:$B$15,2,0)&lt;&gt;0,VLOOKUP(A93,'1. Set Program Names'!$A$2:$B$15,2,0),"")</f>
        <v>Com Prescriptive</v>
      </c>
      <c r="C93" s="42">
        <f>IF(B93="","",SUMIFS('2. Program Allocation Output'!BL:BL,'2. Program Allocation Output'!$A:$A,$C$83,'2. Program Allocation Output'!$H:$H,$B93))</f>
        <v>65920.33124802493</v>
      </c>
      <c r="D93" s="42">
        <f>IF(C93="","",SUMIFS('2. Program Allocation Output'!BM:BM,'2. Program Allocation Output'!$A:$A,$C$83,'2. Program Allocation Output'!$H:$H,$B93))</f>
        <v>67750.871940369703</v>
      </c>
      <c r="E93" s="42">
        <f>IF(D93="","",SUMIFS('2. Program Allocation Output'!BN:BN,'2. Program Allocation Output'!$A:$A,$C$83,'2. Program Allocation Output'!$H:$H,$B93))</f>
        <v>68646.941381409706</v>
      </c>
      <c r="F93" s="42">
        <f>IF(E93="","",SUMIFS('2. Program Allocation Output'!BO:BO,'2. Program Allocation Output'!$A:$A,$C$83,'2. Program Allocation Output'!$H:$H,$B93))</f>
        <v>69252.643382806142</v>
      </c>
      <c r="G93" s="42">
        <f>IF(F93="","",SUMIFS('2. Program Allocation Output'!BP:BP,'2. Program Allocation Output'!$A:$A,$C$83,'2. Program Allocation Output'!$H:$H,$B93))</f>
        <v>69595.206883970837</v>
      </c>
      <c r="H93" s="42">
        <f>IF(G93="","",SUMIFS('2. Program Allocation Output'!BQ:BQ,'2. Program Allocation Output'!$A:$A,$C$83,'2. Program Allocation Output'!$H:$H,$B93))</f>
        <v>69624.757170170196</v>
      </c>
      <c r="I93" s="42">
        <f>IF(H93="","",SUMIFS('2. Program Allocation Output'!BR:BR,'2. Program Allocation Output'!$A:$A,$C$83,'2. Program Allocation Output'!$H:$H,$B93))</f>
        <v>69438.860205620455</v>
      </c>
      <c r="J93" s="42">
        <f>IF(I93="","",SUMIFS('2. Program Allocation Output'!BS:BS,'2. Program Allocation Output'!$A:$A,$C$83,'2. Program Allocation Output'!$H:$H,$B93))</f>
        <v>69169.800498326018</v>
      </c>
      <c r="K93" s="42">
        <f>IF(J93="","",SUMIFS('2. Program Allocation Output'!BT:BT,'2. Program Allocation Output'!$A:$A,$C$83,'2. Program Allocation Output'!$H:$H,$B93))</f>
        <v>68831.984911095904</v>
      </c>
      <c r="L93" s="42">
        <f>IF(K93="","",SUMIFS('2. Program Allocation Output'!BU:BU,'2. Program Allocation Output'!$A:$A,$C$83,'2. Program Allocation Output'!$H:$H,$B93))</f>
        <v>68405.012889208723</v>
      </c>
    </row>
    <row r="94" spans="1:12" hidden="1" x14ac:dyDescent="0.25">
      <c r="A94" t="s">
        <v>15</v>
      </c>
      <c r="B94" s="8" t="str">
        <f>IF(VLOOKUP(A94,'1. Set Program Names'!$A$2:$B$15,2,0)&lt;&gt;0,VLOOKUP(A94,'1. Set Program Names'!$A$2:$B$15,2,0),"")</f>
        <v>Com Lighting</v>
      </c>
      <c r="C94" s="42">
        <f>IF(B94="","",SUMIFS('2. Program Allocation Output'!BL:BL,'2. Program Allocation Output'!$A:$A,$C$83,'2. Program Allocation Output'!$H:$H,$B94))</f>
        <v>120015.05950342189</v>
      </c>
      <c r="D94" s="42">
        <f>IF(C94="","",SUMIFS('2. Program Allocation Output'!BM:BM,'2. Program Allocation Output'!$A:$A,$C$83,'2. Program Allocation Output'!$H:$H,$B94))</f>
        <v>127832.82241125345</v>
      </c>
      <c r="E94" s="42">
        <f>IF(D94="","",SUMIFS('2. Program Allocation Output'!BN:BN,'2. Program Allocation Output'!$A:$A,$C$83,'2. Program Allocation Output'!$H:$H,$B94))</f>
        <v>133075.59614605011</v>
      </c>
      <c r="F94" s="42">
        <f>IF(E94="","",SUMIFS('2. Program Allocation Output'!BO:BO,'2. Program Allocation Output'!$A:$A,$C$83,'2. Program Allocation Output'!$H:$H,$B94))</f>
        <v>137145.66433423889</v>
      </c>
      <c r="G94" s="42">
        <f>IF(F94="","",SUMIFS('2. Program Allocation Output'!BP:BP,'2. Program Allocation Output'!$A:$A,$C$83,'2. Program Allocation Output'!$H:$H,$B94))</f>
        <v>140204.31016518796</v>
      </c>
      <c r="H94" s="42">
        <f>IF(G94="","",SUMIFS('2. Program Allocation Output'!BQ:BQ,'2. Program Allocation Output'!$A:$A,$C$83,'2. Program Allocation Output'!$H:$H,$B94))</f>
        <v>142168.62856507686</v>
      </c>
      <c r="I94" s="42">
        <f>IF(H94="","",SUMIFS('2. Program Allocation Output'!BR:BR,'2. Program Allocation Output'!$A:$A,$C$83,'2. Program Allocation Output'!$H:$H,$B94))</f>
        <v>143323.21566892328</v>
      </c>
      <c r="J94" s="42">
        <f>IF(I94="","",SUMIFS('2. Program Allocation Output'!BS:BS,'2. Program Allocation Output'!$A:$A,$C$83,'2. Program Allocation Output'!$H:$H,$B94))</f>
        <v>143944.5654103932</v>
      </c>
      <c r="K94" s="42">
        <f>IF(J94="","",SUMIFS('2. Program Allocation Output'!BT:BT,'2. Program Allocation Output'!$A:$A,$C$83,'2. Program Allocation Output'!$H:$H,$B94))</f>
        <v>144013.13518339832</v>
      </c>
      <c r="L94" s="42">
        <f>IF(K94="","",SUMIFS('2. Program Allocation Output'!BU:BU,'2. Program Allocation Output'!$A:$A,$C$83,'2. Program Allocation Output'!$H:$H,$B94))</f>
        <v>143633.37253701122</v>
      </c>
    </row>
    <row r="95" spans="1:12" hidden="1" x14ac:dyDescent="0.25">
      <c r="A95" t="s">
        <v>17</v>
      </c>
      <c r="B95" s="8" t="str">
        <f>IF(VLOOKUP(A95,'1. Set Program Names'!$A$2:$B$15,2,0)&lt;&gt;0,VLOOKUP(A95,'1. Set Program Names'!$A$2:$B$15,2,0),"")</f>
        <v>Com Custom</v>
      </c>
      <c r="C95" s="42">
        <f>IF(B95="","",SUMIFS('2. Program Allocation Output'!BL:BL,'2. Program Allocation Output'!$A:$A,$C$83,'2. Program Allocation Output'!$H:$H,$B95))</f>
        <v>92140.064529755226</v>
      </c>
      <c r="D95" s="42">
        <f>IF(C95="","",SUMIFS('2. Program Allocation Output'!BM:BM,'2. Program Allocation Output'!$A:$A,$C$83,'2. Program Allocation Output'!$H:$H,$B95))</f>
        <v>103940.51069441721</v>
      </c>
      <c r="E95" s="42">
        <f>IF(D95="","",SUMIFS('2. Program Allocation Output'!BN:BN,'2. Program Allocation Output'!$A:$A,$C$83,'2. Program Allocation Output'!$H:$H,$B95))</f>
        <v>115300.07332127242</v>
      </c>
      <c r="F95" s="42">
        <f>IF(E95="","",SUMIFS('2. Program Allocation Output'!BO:BO,'2. Program Allocation Output'!$A:$A,$C$83,'2. Program Allocation Output'!$H:$H,$B95))</f>
        <v>127059.88100285176</v>
      </c>
      <c r="G95" s="42">
        <f>IF(F95="","",SUMIFS('2. Program Allocation Output'!BP:BP,'2. Program Allocation Output'!$A:$A,$C$83,'2. Program Allocation Output'!$H:$H,$B95))</f>
        <v>138635.3679183849</v>
      </c>
      <c r="H95" s="42">
        <f>IF(G95="","",SUMIFS('2. Program Allocation Output'!BQ:BQ,'2. Program Allocation Output'!$A:$A,$C$83,'2. Program Allocation Output'!$H:$H,$B95))</f>
        <v>149410.61637515487</v>
      </c>
      <c r="I95" s="42">
        <f>IF(H95="","",SUMIFS('2. Program Allocation Output'!BR:BR,'2. Program Allocation Output'!$A:$A,$C$83,'2. Program Allocation Output'!$H:$H,$B95))</f>
        <v>158487.66107511686</v>
      </c>
      <c r="J95" s="42">
        <f>IF(I95="","",SUMIFS('2. Program Allocation Output'!BS:BS,'2. Program Allocation Output'!$A:$A,$C$83,'2. Program Allocation Output'!$H:$H,$B95))</f>
        <v>164923.73032792492</v>
      </c>
      <c r="K95" s="42">
        <f>IF(J95="","",SUMIFS('2. Program Allocation Output'!BT:BT,'2. Program Allocation Output'!$A:$A,$C$83,'2. Program Allocation Output'!$H:$H,$B95))</f>
        <v>168117.83280689057</v>
      </c>
      <c r="L95" s="42">
        <f>IF(K95="","",SUMIFS('2. Program Allocation Output'!BU:BU,'2. Program Allocation Output'!$A:$A,$C$83,'2. Program Allocation Output'!$H:$H,$B95))</f>
        <v>167850.76429011248</v>
      </c>
    </row>
    <row r="96" spans="1:12" hidden="1" x14ac:dyDescent="0.25">
      <c r="A96" t="s">
        <v>19</v>
      </c>
      <c r="B96" s="8" t="str">
        <f>IF(VLOOKUP(A96,'1. Set Program Names'!$A$2:$B$15,2,0)&lt;&gt;0,VLOOKUP(A96,'1. Set Program Names'!$A$2:$B$15,2,0),"")</f>
        <v/>
      </c>
      <c r="C96" s="42" t="str">
        <f>IF(B96="","",SUMIFS('2. Program Allocation Output'!BL:BL,'2. Program Allocation Output'!$A:$A,$C$83,'2. Program Allocation Output'!$H:$H,$B96))</f>
        <v/>
      </c>
      <c r="D96" s="42" t="str">
        <f>IF(C96="","",SUMIFS('2. Program Allocation Output'!BM:BM,'2. Program Allocation Output'!$A:$A,$C$83,'2. Program Allocation Output'!$H:$H,$B96))</f>
        <v/>
      </c>
      <c r="E96" s="42" t="str">
        <f>IF(D96="","",SUMIFS('2. Program Allocation Output'!BN:BN,'2. Program Allocation Output'!$A:$A,$C$83,'2. Program Allocation Output'!$H:$H,$B96))</f>
        <v/>
      </c>
      <c r="F96" s="42" t="str">
        <f>IF(E96="","",SUMIFS('2. Program Allocation Output'!BO:BO,'2. Program Allocation Output'!$A:$A,$C$83,'2. Program Allocation Output'!$H:$H,$B96))</f>
        <v/>
      </c>
      <c r="G96" s="42" t="str">
        <f>IF(F96="","",SUMIFS('2. Program Allocation Output'!BP:BP,'2. Program Allocation Output'!$A:$A,$C$83,'2. Program Allocation Output'!$H:$H,$B96))</f>
        <v/>
      </c>
      <c r="H96" s="42" t="str">
        <f>IF(G96="","",SUMIFS('2. Program Allocation Output'!BQ:BQ,'2. Program Allocation Output'!$A:$A,$C$83,'2. Program Allocation Output'!$H:$H,$B96))</f>
        <v/>
      </c>
      <c r="I96" s="42" t="str">
        <f>IF(H96="","",SUMIFS('2. Program Allocation Output'!BR:BR,'2. Program Allocation Output'!$A:$A,$C$83,'2. Program Allocation Output'!$H:$H,$B96))</f>
        <v/>
      </c>
      <c r="J96" s="42" t="str">
        <f>IF(I96="","",SUMIFS('2. Program Allocation Output'!BS:BS,'2. Program Allocation Output'!$A:$A,$C$83,'2. Program Allocation Output'!$H:$H,$B96))</f>
        <v/>
      </c>
      <c r="K96" s="42" t="str">
        <f>IF(J96="","",SUMIFS('2. Program Allocation Output'!BT:BT,'2. Program Allocation Output'!$A:$A,$C$83,'2. Program Allocation Output'!$H:$H,$B96))</f>
        <v/>
      </c>
      <c r="L96" s="42" t="str">
        <f>IF(K96="","",SUMIFS('2. Program Allocation Output'!BU:BU,'2. Program Allocation Output'!$A:$A,$C$83,'2. Program Allocation Output'!$H:$H,$B96))</f>
        <v/>
      </c>
    </row>
    <row r="97" spans="1:12" hidden="1" x14ac:dyDescent="0.25">
      <c r="A97" t="s">
        <v>21</v>
      </c>
      <c r="B97" s="8" t="str">
        <f>IF(VLOOKUP(A97,'1. Set Program Names'!$A$2:$B$15,2,0)&lt;&gt;0,VLOOKUP(A97,'1. Set Program Names'!$A$2:$B$15,2,0),"")</f>
        <v/>
      </c>
      <c r="C97" s="42" t="str">
        <f>IF(B97="","",SUMIFS('2. Program Allocation Output'!BL:BL,'2. Program Allocation Output'!$A:$A,$C$83,'2. Program Allocation Output'!$H:$H,$B97))</f>
        <v/>
      </c>
      <c r="D97" s="42" t="str">
        <f>IF(C97="","",SUMIFS('2. Program Allocation Output'!BM:BM,'2. Program Allocation Output'!$A:$A,$C$83,'2. Program Allocation Output'!$H:$H,$B97))</f>
        <v/>
      </c>
      <c r="E97" s="42" t="str">
        <f>IF(D97="","",SUMIFS('2. Program Allocation Output'!BN:BN,'2. Program Allocation Output'!$A:$A,$C$83,'2. Program Allocation Output'!$H:$H,$B97))</f>
        <v/>
      </c>
      <c r="F97" s="42" t="str">
        <f>IF(E97="","",SUMIFS('2. Program Allocation Output'!BO:BO,'2. Program Allocation Output'!$A:$A,$C$83,'2. Program Allocation Output'!$H:$H,$B97))</f>
        <v/>
      </c>
      <c r="G97" s="42" t="str">
        <f>IF(F97="","",SUMIFS('2. Program Allocation Output'!BP:BP,'2. Program Allocation Output'!$A:$A,$C$83,'2. Program Allocation Output'!$H:$H,$B97))</f>
        <v/>
      </c>
      <c r="H97" s="42" t="str">
        <f>IF(G97="","",SUMIFS('2. Program Allocation Output'!BQ:BQ,'2. Program Allocation Output'!$A:$A,$C$83,'2. Program Allocation Output'!$H:$H,$B97))</f>
        <v/>
      </c>
      <c r="I97" s="42" t="str">
        <f>IF(H97="","",SUMIFS('2. Program Allocation Output'!BR:BR,'2. Program Allocation Output'!$A:$A,$C$83,'2. Program Allocation Output'!$H:$H,$B97))</f>
        <v/>
      </c>
      <c r="J97" s="42" t="str">
        <f>IF(I97="","",SUMIFS('2. Program Allocation Output'!BS:BS,'2. Program Allocation Output'!$A:$A,$C$83,'2. Program Allocation Output'!$H:$H,$B97))</f>
        <v/>
      </c>
      <c r="K97" s="42" t="str">
        <f>IF(J97="","",SUMIFS('2. Program Allocation Output'!BT:BT,'2. Program Allocation Output'!$A:$A,$C$83,'2. Program Allocation Output'!$H:$H,$B97))</f>
        <v/>
      </c>
      <c r="L97" s="42" t="str">
        <f>IF(K97="","",SUMIFS('2. Program Allocation Output'!BU:BU,'2. Program Allocation Output'!$A:$A,$C$83,'2. Program Allocation Output'!$H:$H,$B97))</f>
        <v/>
      </c>
    </row>
    <row r="98" spans="1:12" hidden="1" x14ac:dyDescent="0.25">
      <c r="A98" t="s">
        <v>22</v>
      </c>
      <c r="B98" s="8" t="str">
        <f>IF(VLOOKUP(A98,'1. Set Program Names'!$A$2:$B$15,2,0)&lt;&gt;0,VLOOKUP(A98,'1. Set Program Names'!$A$2:$B$15,2,0),"")</f>
        <v/>
      </c>
      <c r="C98" s="42" t="str">
        <f>IF(B98="","",SUMIFS('2. Program Allocation Output'!BL:BL,'2. Program Allocation Output'!$A:$A,$C$83,'2. Program Allocation Output'!$H:$H,$B98))</f>
        <v/>
      </c>
      <c r="D98" s="42" t="str">
        <f>IF(C98="","",SUMIFS('2. Program Allocation Output'!BM:BM,'2. Program Allocation Output'!$A:$A,$C$83,'2. Program Allocation Output'!$H:$H,$B98))</f>
        <v/>
      </c>
      <c r="E98" s="42" t="str">
        <f>IF(D98="","",SUMIFS('2. Program Allocation Output'!BN:BN,'2. Program Allocation Output'!$A:$A,$C$83,'2. Program Allocation Output'!$H:$H,$B98))</f>
        <v/>
      </c>
      <c r="F98" s="42" t="str">
        <f>IF(E98="","",SUMIFS('2. Program Allocation Output'!BO:BO,'2. Program Allocation Output'!$A:$A,$C$83,'2. Program Allocation Output'!$H:$H,$B98))</f>
        <v/>
      </c>
      <c r="G98" s="42" t="str">
        <f>IF(F98="","",SUMIFS('2. Program Allocation Output'!BP:BP,'2. Program Allocation Output'!$A:$A,$C$83,'2. Program Allocation Output'!$H:$H,$B98))</f>
        <v/>
      </c>
      <c r="H98" s="42" t="str">
        <f>IF(G98="","",SUMIFS('2. Program Allocation Output'!BQ:BQ,'2. Program Allocation Output'!$A:$A,$C$83,'2. Program Allocation Output'!$H:$H,$B98))</f>
        <v/>
      </c>
      <c r="I98" s="42" t="str">
        <f>IF(H98="","",SUMIFS('2. Program Allocation Output'!BR:BR,'2. Program Allocation Output'!$A:$A,$C$83,'2. Program Allocation Output'!$H:$H,$B98))</f>
        <v/>
      </c>
      <c r="J98" s="42" t="str">
        <f>IF(I98="","",SUMIFS('2. Program Allocation Output'!BS:BS,'2. Program Allocation Output'!$A:$A,$C$83,'2. Program Allocation Output'!$H:$H,$B98))</f>
        <v/>
      </c>
      <c r="K98" s="42" t="str">
        <f>IF(J98="","",SUMIFS('2. Program Allocation Output'!BT:BT,'2. Program Allocation Output'!$A:$A,$C$83,'2. Program Allocation Output'!$H:$H,$B98))</f>
        <v/>
      </c>
      <c r="L98" s="42" t="str">
        <f>IF(K98="","",SUMIFS('2. Program Allocation Output'!BU:BU,'2. Program Allocation Output'!$A:$A,$C$83,'2. Program Allocation Output'!$H:$H,$B98))</f>
        <v/>
      </c>
    </row>
    <row r="99" spans="1:12" hidden="1" x14ac:dyDescent="0.25">
      <c r="A99" t="s">
        <v>23</v>
      </c>
      <c r="B99" s="8" t="str">
        <f>IF(VLOOKUP(A99,'1. Set Program Names'!$A$2:$B$15,2,0)&lt;&gt;0,VLOOKUP(A99,'1. Set Program Names'!$A$2:$B$15,2,0),"")</f>
        <v/>
      </c>
      <c r="C99" s="42" t="str">
        <f>IF(B99="","",SUMIFS('2. Program Allocation Output'!BL:BL,'2. Program Allocation Output'!$A:$A,$C$83,'2. Program Allocation Output'!$H:$H,$B99))</f>
        <v/>
      </c>
      <c r="D99" s="42" t="str">
        <f>IF(C99="","",SUMIFS('2. Program Allocation Output'!BM:BM,'2. Program Allocation Output'!$A:$A,$C$83,'2. Program Allocation Output'!$H:$H,$B99))</f>
        <v/>
      </c>
      <c r="E99" s="42" t="str">
        <f>IF(D99="","",SUMIFS('2. Program Allocation Output'!BN:BN,'2. Program Allocation Output'!$A:$A,$C$83,'2. Program Allocation Output'!$H:$H,$B99))</f>
        <v/>
      </c>
      <c r="F99" s="42" t="str">
        <f>IF(E99="","",SUMIFS('2. Program Allocation Output'!BO:BO,'2. Program Allocation Output'!$A:$A,$C$83,'2. Program Allocation Output'!$H:$H,$B99))</f>
        <v/>
      </c>
      <c r="G99" s="42" t="str">
        <f>IF(F99="","",SUMIFS('2. Program Allocation Output'!BP:BP,'2. Program Allocation Output'!$A:$A,$C$83,'2. Program Allocation Output'!$H:$H,$B99))</f>
        <v/>
      </c>
      <c r="H99" s="42" t="str">
        <f>IF(G99="","",SUMIFS('2. Program Allocation Output'!BQ:BQ,'2. Program Allocation Output'!$A:$A,$C$83,'2. Program Allocation Output'!$H:$H,$B99))</f>
        <v/>
      </c>
      <c r="I99" s="42" t="str">
        <f>IF(H99="","",SUMIFS('2. Program Allocation Output'!BR:BR,'2. Program Allocation Output'!$A:$A,$C$83,'2. Program Allocation Output'!$H:$H,$B99))</f>
        <v/>
      </c>
      <c r="J99" s="42" t="str">
        <f>IF(I99="","",SUMIFS('2. Program Allocation Output'!BS:BS,'2. Program Allocation Output'!$A:$A,$C$83,'2. Program Allocation Output'!$H:$H,$B99))</f>
        <v/>
      </c>
      <c r="K99" s="42" t="str">
        <f>IF(J99="","",SUMIFS('2. Program Allocation Output'!BT:BT,'2. Program Allocation Output'!$A:$A,$C$83,'2. Program Allocation Output'!$H:$H,$B99))</f>
        <v/>
      </c>
      <c r="L99" s="42" t="str">
        <f>IF(K99="","",SUMIFS('2. Program Allocation Output'!BU:BU,'2. Program Allocation Output'!$A:$A,$C$83,'2. Program Allocation Output'!$H:$H,$B99))</f>
        <v/>
      </c>
    </row>
    <row r="100" spans="1:12" hidden="1" x14ac:dyDescent="0.25">
      <c r="B100" s="9" t="s">
        <v>219</v>
      </c>
      <c r="C100" s="43">
        <f>SUM(C93:C99)</f>
        <v>278075.45528120204</v>
      </c>
      <c r="D100" s="43">
        <f t="shared" ref="D100:L100" si="29">SUM(D93:D99)</f>
        <v>299524.20504604036</v>
      </c>
      <c r="E100" s="43">
        <f t="shared" si="29"/>
        <v>317022.61084873223</v>
      </c>
      <c r="F100" s="43">
        <f t="shared" si="29"/>
        <v>333458.18871989677</v>
      </c>
      <c r="G100" s="43">
        <f t="shared" si="29"/>
        <v>348434.88496754371</v>
      </c>
      <c r="H100" s="43">
        <f t="shared" si="29"/>
        <v>361204.00211040193</v>
      </c>
      <c r="I100" s="43">
        <f t="shared" si="29"/>
        <v>371249.73694966058</v>
      </c>
      <c r="J100" s="43">
        <f t="shared" si="29"/>
        <v>378038.09623664414</v>
      </c>
      <c r="K100" s="43">
        <f t="shared" si="29"/>
        <v>380962.95290138479</v>
      </c>
      <c r="L100" s="43">
        <f t="shared" si="29"/>
        <v>379889.14971633244</v>
      </c>
    </row>
    <row r="101" spans="1:12" hidden="1" x14ac:dyDescent="0.25">
      <c r="B101" s="12" t="s">
        <v>220</v>
      </c>
      <c r="C101" s="44">
        <f>SUM(C92,C100)</f>
        <v>1618717.3760111607</v>
      </c>
      <c r="D101" s="44">
        <f t="shared" ref="D101:L101" si="30">SUM(D92,D100)</f>
        <v>1785187.1698740716</v>
      </c>
      <c r="E101" s="44">
        <f t="shared" si="30"/>
        <v>1938291.9572110046</v>
      </c>
      <c r="F101" s="44">
        <f t="shared" si="30"/>
        <v>2084857.1080212567</v>
      </c>
      <c r="G101" s="44">
        <f t="shared" si="30"/>
        <v>2225521.2150833942</v>
      </c>
      <c r="H101" s="44">
        <f t="shared" si="30"/>
        <v>2354937.8923585312</v>
      </c>
      <c r="I101" s="44">
        <f t="shared" si="30"/>
        <v>2488135.7981822733</v>
      </c>
      <c r="J101" s="44">
        <f t="shared" si="30"/>
        <v>2629753.083880519</v>
      </c>
      <c r="K101" s="44">
        <f t="shared" si="30"/>
        <v>2780911.9193736021</v>
      </c>
      <c r="L101" s="44">
        <f t="shared" si="30"/>
        <v>2942500.6639006636</v>
      </c>
    </row>
    <row r="102" spans="1:12" hidden="1" x14ac:dyDescent="0.25">
      <c r="B102" s="75" t="s">
        <v>417</v>
      </c>
      <c r="C102" s="47" t="s">
        <v>379</v>
      </c>
    </row>
    <row r="103" spans="1:12" hidden="1" x14ac:dyDescent="0.25"/>
    <row r="104" spans="1:12" hidden="1" x14ac:dyDescent="0.25">
      <c r="B104" s="7" t="s">
        <v>295</v>
      </c>
      <c r="C104" s="45" t="s">
        <v>87</v>
      </c>
    </row>
    <row r="105" spans="1:12" hidden="1" x14ac:dyDescent="0.25">
      <c r="C105">
        <v>2025</v>
      </c>
      <c r="D105">
        <v>2026</v>
      </c>
      <c r="E105">
        <v>2027</v>
      </c>
      <c r="F105">
        <v>2028</v>
      </c>
      <c r="G105">
        <v>2029</v>
      </c>
      <c r="H105">
        <v>2030</v>
      </c>
      <c r="I105">
        <v>2031</v>
      </c>
      <c r="J105">
        <v>2032</v>
      </c>
      <c r="K105">
        <v>2033</v>
      </c>
      <c r="L105">
        <v>2034</v>
      </c>
    </row>
    <row r="106" spans="1:12" hidden="1" x14ac:dyDescent="0.25">
      <c r="A106" t="s">
        <v>3</v>
      </c>
      <c r="B106" s="8" t="str">
        <f>IF(VLOOKUP(A106,'1. Set Program Names'!$A$2:$B$15,2,0)&lt;&gt;0,VLOOKUP(A106,'1. Set Program Names'!$A$2:$B$15,2,0),"")</f>
        <v>Res Existing Home</v>
      </c>
      <c r="C106" s="42">
        <f>IF(B106="","",SUMIFS('2. Program Allocation Output'!BV:BV,'2. Program Allocation Output'!$A:$A,$C$104,'2. Program Allocation Output'!$H:$H,$B106))</f>
        <v>862805.91119106987</v>
      </c>
      <c r="D106" s="42">
        <f>IF(C106="","",SUMIFS('2. Program Allocation Output'!BW:BW,'2. Program Allocation Output'!$A:$A,$C$104,'2. Program Allocation Output'!$H:$H,$B106))</f>
        <v>933634.85864526615</v>
      </c>
      <c r="E106" s="42">
        <f>IF(D106="","",SUMIFS('2. Program Allocation Output'!BX:BX,'2. Program Allocation Output'!$A:$A,$C$104,'2. Program Allocation Output'!$H:$H,$B106))</f>
        <v>1000783.8749663633</v>
      </c>
      <c r="F106" s="42">
        <f>IF(E106="","",SUMIFS('2. Program Allocation Output'!BY:BY,'2. Program Allocation Output'!$A:$A,$C$104,'2. Program Allocation Output'!$H:$H,$B106))</f>
        <v>1066357.803797785</v>
      </c>
      <c r="G106" s="42">
        <f>IF(F106="","",SUMIFS('2. Program Allocation Output'!BZ:BZ,'2. Program Allocation Output'!$A:$A,$C$104,'2. Program Allocation Output'!$H:$H,$B106))</f>
        <v>1130679.5538554962</v>
      </c>
      <c r="H106" s="42">
        <f>IF(G106="","",SUMIFS('2. Program Allocation Output'!CA:CA,'2. Program Allocation Output'!$A:$A,$C$104,'2. Program Allocation Output'!$H:$H,$B106))</f>
        <v>1190753.811210728</v>
      </c>
      <c r="I106" s="42">
        <f>IF(H106="","",SUMIFS('2. Program Allocation Output'!CB:CB,'2. Program Allocation Output'!$A:$A,$C$104,'2. Program Allocation Output'!$H:$H,$B106))</f>
        <v>1255666.3722038036</v>
      </c>
      <c r="J106" s="42">
        <f>IF(I106="","",SUMIFS('2. Program Allocation Output'!CC:CC,'2. Program Allocation Output'!$A:$A,$C$104,'2. Program Allocation Output'!$H:$H,$B106))</f>
        <v>1328186.5917380154</v>
      </c>
      <c r="K106" s="42">
        <f>IF(J106="","",SUMIFS('2. Program Allocation Output'!CD:CD,'2. Program Allocation Output'!$A:$A,$C$104,'2. Program Allocation Output'!$H:$H,$B106))</f>
        <v>1409078.0524882134</v>
      </c>
      <c r="L106" s="42">
        <f>IF(K106="","",SUMIFS('2. Program Allocation Output'!CE:CE,'2. Program Allocation Output'!$A:$A,$C$104,'2. Program Allocation Output'!$H:$H,$B106))</f>
        <v>1498732.1781744927</v>
      </c>
    </row>
    <row r="107" spans="1:12" hidden="1" x14ac:dyDescent="0.25">
      <c r="A107" t="s">
        <v>4</v>
      </c>
      <c r="B107" s="8" t="str">
        <f>IF(VLOOKUP(A107,'1. Set Program Names'!$A$2:$B$15,2,0)&lt;&gt;0,VLOOKUP(A107,'1. Set Program Names'!$A$2:$B$15,2,0),"")</f>
        <v>Res Efficiency Delivered</v>
      </c>
      <c r="C107" s="42">
        <f>IF(B107="","",SUMIFS('2. Program Allocation Output'!BV:BV,'2. Program Allocation Output'!$A:$A,$C$104,'2. Program Allocation Output'!$H:$H,$B107))</f>
        <v>44674.152043172879</v>
      </c>
      <c r="D107" s="42">
        <f>IF(C107="","",SUMIFS('2. Program Allocation Output'!BW:BW,'2. Program Allocation Output'!$A:$A,$C$104,'2. Program Allocation Output'!$H:$H,$B107))</f>
        <v>47358.91431235765</v>
      </c>
      <c r="E107" s="42">
        <f>IF(D107="","",SUMIFS('2. Program Allocation Output'!BX:BX,'2. Program Allocation Output'!$A:$A,$C$104,'2. Program Allocation Output'!$H:$H,$B107))</f>
        <v>49931.927893866101</v>
      </c>
      <c r="F107" s="42">
        <f>IF(E107="","",SUMIFS('2. Program Allocation Output'!BY:BY,'2. Program Allocation Output'!$A:$A,$C$104,'2. Program Allocation Output'!$H:$H,$B107))</f>
        <v>52486.607447799106</v>
      </c>
      <c r="G107" s="42">
        <f>IF(F107="","",SUMIFS('2. Program Allocation Output'!BZ:BZ,'2. Program Allocation Output'!$A:$A,$C$104,'2. Program Allocation Output'!$H:$H,$B107))</f>
        <v>55027.499797931676</v>
      </c>
      <c r="H107" s="42">
        <f>IF(G107="","",SUMIFS('2. Program Allocation Output'!CA:CA,'2. Program Allocation Output'!$A:$A,$C$104,'2. Program Allocation Output'!$H:$H,$B107))</f>
        <v>57401.163384808337</v>
      </c>
      <c r="I107" s="42">
        <f>IF(H107="","",SUMIFS('2. Program Allocation Output'!CB:CB,'2. Program Allocation Output'!$A:$A,$C$104,'2. Program Allocation Output'!$H:$H,$B107))</f>
        <v>60038.614478059986</v>
      </c>
      <c r="J107" s="42">
        <f>IF(I107="","",SUMIFS('2. Program Allocation Output'!CC:CC,'2. Program Allocation Output'!$A:$A,$C$104,'2. Program Allocation Output'!$H:$H,$B107))</f>
        <v>63058.970798181414</v>
      </c>
      <c r="K107" s="42">
        <f>IF(J107="","",SUMIFS('2. Program Allocation Output'!CD:CD,'2. Program Allocation Output'!$A:$A,$C$104,'2. Program Allocation Output'!$H:$H,$B107))</f>
        <v>66486.35451904808</v>
      </c>
      <c r="L107" s="42">
        <f>IF(K107="","",SUMIFS('2. Program Allocation Output'!CE:CE,'2. Program Allocation Output'!$A:$A,$C$104,'2. Program Allocation Output'!$H:$H,$B107))</f>
        <v>70329.056411433878</v>
      </c>
    </row>
    <row r="108" spans="1:12" hidden="1" x14ac:dyDescent="0.25">
      <c r="A108" t="s">
        <v>6</v>
      </c>
      <c r="B108" s="8" t="str">
        <f>IF(VLOOKUP(A108,'1. Set Program Names'!$A$2:$B$15,2,0)&lt;&gt;0,VLOOKUP(A108,'1. Set Program Names'!$A$2:$B$15,2,0),"")</f>
        <v>Res New Home</v>
      </c>
      <c r="C108" s="42">
        <f>IF(B108="","",SUMIFS('2. Program Allocation Output'!BV:BV,'2. Program Allocation Output'!$A:$A,$C$104,'2. Program Allocation Output'!$H:$H,$B108))</f>
        <v>79677.445259409971</v>
      </c>
      <c r="D108" s="42">
        <f>IF(C108="","",SUMIFS('2. Program Allocation Output'!BW:BW,'2. Program Allocation Output'!$A:$A,$C$104,'2. Program Allocation Output'!$H:$H,$B108))</f>
        <v>85712.321952364611</v>
      </c>
      <c r="E108" s="42">
        <f>IF(D108="","",SUMIFS('2. Program Allocation Output'!BX:BX,'2. Program Allocation Output'!$A:$A,$C$104,'2. Program Allocation Output'!$H:$H,$B108))</f>
        <v>91489.976613713472</v>
      </c>
      <c r="F108" s="42">
        <f>IF(E108="","",SUMIFS('2. Program Allocation Output'!BY:BY,'2. Program Allocation Output'!$A:$A,$C$104,'2. Program Allocation Output'!$H:$H,$B108))</f>
        <v>97191.990357997158</v>
      </c>
      <c r="G108" s="42">
        <f>IF(F108="","",SUMIFS('2. Program Allocation Output'!BZ:BZ,'2. Program Allocation Output'!$A:$A,$C$104,'2. Program Allocation Output'!$H:$H,$B108))</f>
        <v>102837.37790316998</v>
      </c>
      <c r="H108" s="42">
        <f>IF(G108="","",SUMIFS('2. Program Allocation Output'!CA:CA,'2. Program Allocation Output'!$A:$A,$C$104,'2. Program Allocation Output'!$H:$H,$B108))</f>
        <v>108144.70828445193</v>
      </c>
      <c r="I108" s="42">
        <f>IF(H108="","",SUMIFS('2. Program Allocation Output'!CB:CB,'2. Program Allocation Output'!$A:$A,$C$104,'2. Program Allocation Output'!$H:$H,$B108))</f>
        <v>113931.29746434503</v>
      </c>
      <c r="J108" s="42">
        <f>IF(I108="","",SUMIFS('2. Program Allocation Output'!CC:CC,'2. Program Allocation Output'!$A:$A,$C$104,'2. Program Allocation Output'!$H:$H,$B108))</f>
        <v>120439.59557950814</v>
      </c>
      <c r="K108" s="42">
        <f>IF(J108="","",SUMIFS('2. Program Allocation Output'!CD:CD,'2. Program Allocation Output'!$A:$A,$C$104,'2. Program Allocation Output'!$H:$H,$B108))</f>
        <v>127731.92213458737</v>
      </c>
      <c r="L108" s="42">
        <f>IF(K108="","",SUMIFS('2. Program Allocation Output'!CE:CE,'2. Program Allocation Output'!$A:$A,$C$104,'2. Program Allocation Output'!$H:$H,$B108))</f>
        <v>135838.01327322616</v>
      </c>
    </row>
    <row r="109" spans="1:12" hidden="1" x14ac:dyDescent="0.25">
      <c r="A109" t="s">
        <v>8</v>
      </c>
      <c r="B109" s="8" t="str">
        <f>IF(VLOOKUP(A109,'1. Set Program Names'!$A$2:$B$15,2,0)&lt;&gt;0,VLOOKUP(A109,'1. Set Program Names'!$A$2:$B$15,2,0),"")</f>
        <v/>
      </c>
      <c r="C109" s="42" t="str">
        <f>IF(B109="","",SUMIFS('2. Program Allocation Output'!BV:BV,'2. Program Allocation Output'!$A:$A,$C$104,'2. Program Allocation Output'!$H:$H,$B109))</f>
        <v/>
      </c>
      <c r="D109" s="42" t="str">
        <f>IF(C109="","",SUMIFS('2. Program Allocation Output'!BW:BW,'2. Program Allocation Output'!$A:$A,$C$104,'2. Program Allocation Output'!$H:$H,$B109))</f>
        <v/>
      </c>
      <c r="E109" s="42" t="str">
        <f>IF(D109="","",SUMIFS('2. Program Allocation Output'!BX:BX,'2. Program Allocation Output'!$A:$A,$C$104,'2. Program Allocation Output'!$H:$H,$B109))</f>
        <v/>
      </c>
      <c r="F109" s="42" t="str">
        <f>IF(E109="","",SUMIFS('2. Program Allocation Output'!BY:BY,'2. Program Allocation Output'!$A:$A,$C$104,'2. Program Allocation Output'!$H:$H,$B109))</f>
        <v/>
      </c>
      <c r="G109" s="42" t="str">
        <f>IF(F109="","",SUMIFS('2. Program Allocation Output'!BZ:BZ,'2. Program Allocation Output'!$A:$A,$C$104,'2. Program Allocation Output'!$H:$H,$B109))</f>
        <v/>
      </c>
      <c r="H109" s="42" t="str">
        <f>IF(G109="","",SUMIFS('2. Program Allocation Output'!CA:CA,'2. Program Allocation Output'!$A:$A,$C$104,'2. Program Allocation Output'!$H:$H,$B109))</f>
        <v/>
      </c>
      <c r="I109" s="42" t="str">
        <f>IF(H109="","",SUMIFS('2. Program Allocation Output'!CB:CB,'2. Program Allocation Output'!$A:$A,$C$104,'2. Program Allocation Output'!$H:$H,$B109))</f>
        <v/>
      </c>
      <c r="J109" s="42" t="str">
        <f>IF(I109="","",SUMIFS('2. Program Allocation Output'!CC:CC,'2. Program Allocation Output'!$A:$A,$C$104,'2. Program Allocation Output'!$H:$H,$B109))</f>
        <v/>
      </c>
      <c r="K109" s="42" t="str">
        <f>IF(J109="","",SUMIFS('2. Program Allocation Output'!CD:CD,'2. Program Allocation Output'!$A:$A,$C$104,'2. Program Allocation Output'!$H:$H,$B109))</f>
        <v/>
      </c>
      <c r="L109" s="42" t="str">
        <f>IF(K109="","",SUMIFS('2. Program Allocation Output'!CE:CE,'2. Program Allocation Output'!$A:$A,$C$104,'2. Program Allocation Output'!$H:$H,$B109))</f>
        <v/>
      </c>
    </row>
    <row r="110" spans="1:12" hidden="1" x14ac:dyDescent="0.25">
      <c r="A110" t="s">
        <v>10</v>
      </c>
      <c r="B110" s="8" t="str">
        <f>IF(VLOOKUP(A110,'1. Set Program Names'!$A$2:$B$15,2,0)&lt;&gt;0,VLOOKUP(A110,'1. Set Program Names'!$A$2:$B$15,2,0),"")</f>
        <v/>
      </c>
      <c r="C110" s="42" t="str">
        <f>IF(B110="","",SUMIFS('2. Program Allocation Output'!BV:BV,'2. Program Allocation Output'!$A:$A,$C$104,'2. Program Allocation Output'!$H:$H,$B110))</f>
        <v/>
      </c>
      <c r="D110" s="42" t="str">
        <f>IF(C110="","",SUMIFS('2. Program Allocation Output'!BW:BW,'2. Program Allocation Output'!$A:$A,$C$104,'2. Program Allocation Output'!$H:$H,$B110))</f>
        <v/>
      </c>
      <c r="E110" s="42" t="str">
        <f>IF(D110="","",SUMIFS('2. Program Allocation Output'!BX:BX,'2. Program Allocation Output'!$A:$A,$C$104,'2. Program Allocation Output'!$H:$H,$B110))</f>
        <v/>
      </c>
      <c r="F110" s="42" t="str">
        <f>IF(E110="","",SUMIFS('2. Program Allocation Output'!BY:BY,'2. Program Allocation Output'!$A:$A,$C$104,'2. Program Allocation Output'!$H:$H,$B110))</f>
        <v/>
      </c>
      <c r="G110" s="42" t="str">
        <f>IF(F110="","",SUMIFS('2. Program Allocation Output'!BZ:BZ,'2. Program Allocation Output'!$A:$A,$C$104,'2. Program Allocation Output'!$H:$H,$B110))</f>
        <v/>
      </c>
      <c r="H110" s="42" t="str">
        <f>IF(G110="","",SUMIFS('2. Program Allocation Output'!CA:CA,'2. Program Allocation Output'!$A:$A,$C$104,'2. Program Allocation Output'!$H:$H,$B110))</f>
        <v/>
      </c>
      <c r="I110" s="42" t="str">
        <f>IF(H110="","",SUMIFS('2. Program Allocation Output'!CB:CB,'2. Program Allocation Output'!$A:$A,$C$104,'2. Program Allocation Output'!$H:$H,$B110))</f>
        <v/>
      </c>
      <c r="J110" s="42" t="str">
        <f>IF(I110="","",SUMIFS('2. Program Allocation Output'!CC:CC,'2. Program Allocation Output'!$A:$A,$C$104,'2. Program Allocation Output'!$H:$H,$B110))</f>
        <v/>
      </c>
      <c r="K110" s="42" t="str">
        <f>IF(J110="","",SUMIFS('2. Program Allocation Output'!CD:CD,'2. Program Allocation Output'!$A:$A,$C$104,'2. Program Allocation Output'!$H:$H,$B110))</f>
        <v/>
      </c>
      <c r="L110" s="42" t="str">
        <f>IF(K110="","",SUMIFS('2. Program Allocation Output'!CE:CE,'2. Program Allocation Output'!$A:$A,$C$104,'2. Program Allocation Output'!$H:$H,$B110))</f>
        <v/>
      </c>
    </row>
    <row r="111" spans="1:12" hidden="1" x14ac:dyDescent="0.25">
      <c r="A111" t="s">
        <v>11</v>
      </c>
      <c r="B111" s="8" t="str">
        <f>IF(VLOOKUP(A111,'1. Set Program Names'!$A$2:$B$15,2,0)&lt;&gt;0,VLOOKUP(A111,'1. Set Program Names'!$A$2:$B$15,2,0),"")</f>
        <v/>
      </c>
      <c r="C111" s="42" t="str">
        <f>IF(B111="","",SUMIFS('2. Program Allocation Output'!BV:BV,'2. Program Allocation Output'!$A:$A,$C$104,'2. Program Allocation Output'!$H:$H,$B111))</f>
        <v/>
      </c>
      <c r="D111" s="42" t="str">
        <f>IF(C111="","",SUMIFS('2. Program Allocation Output'!BW:BW,'2. Program Allocation Output'!$A:$A,$C$104,'2. Program Allocation Output'!$H:$H,$B111))</f>
        <v/>
      </c>
      <c r="E111" s="42" t="str">
        <f>IF(D111="","",SUMIFS('2. Program Allocation Output'!BX:BX,'2. Program Allocation Output'!$A:$A,$C$104,'2. Program Allocation Output'!$H:$H,$B111))</f>
        <v/>
      </c>
      <c r="F111" s="42" t="str">
        <f>IF(E111="","",SUMIFS('2. Program Allocation Output'!BY:BY,'2. Program Allocation Output'!$A:$A,$C$104,'2. Program Allocation Output'!$H:$H,$B111))</f>
        <v/>
      </c>
      <c r="G111" s="42" t="str">
        <f>IF(F111="","",SUMIFS('2. Program Allocation Output'!BZ:BZ,'2. Program Allocation Output'!$A:$A,$C$104,'2. Program Allocation Output'!$H:$H,$B111))</f>
        <v/>
      </c>
      <c r="H111" s="42" t="str">
        <f>IF(G111="","",SUMIFS('2. Program Allocation Output'!CA:CA,'2. Program Allocation Output'!$A:$A,$C$104,'2. Program Allocation Output'!$H:$H,$B111))</f>
        <v/>
      </c>
      <c r="I111" s="42" t="str">
        <f>IF(H111="","",SUMIFS('2. Program Allocation Output'!CB:CB,'2. Program Allocation Output'!$A:$A,$C$104,'2. Program Allocation Output'!$H:$H,$B111))</f>
        <v/>
      </c>
      <c r="J111" s="42" t="str">
        <f>IF(I111="","",SUMIFS('2. Program Allocation Output'!CC:CC,'2. Program Allocation Output'!$A:$A,$C$104,'2. Program Allocation Output'!$H:$H,$B111))</f>
        <v/>
      </c>
      <c r="K111" s="42" t="str">
        <f>IF(J111="","",SUMIFS('2. Program Allocation Output'!CD:CD,'2. Program Allocation Output'!$A:$A,$C$104,'2. Program Allocation Output'!$H:$H,$B111))</f>
        <v/>
      </c>
      <c r="L111" s="42" t="str">
        <f>IF(K111="","",SUMIFS('2. Program Allocation Output'!CE:CE,'2. Program Allocation Output'!$A:$A,$C$104,'2. Program Allocation Output'!$H:$H,$B111))</f>
        <v/>
      </c>
    </row>
    <row r="112" spans="1:12" hidden="1" x14ac:dyDescent="0.25">
      <c r="A112" t="s">
        <v>12</v>
      </c>
      <c r="B112" s="8" t="str">
        <f>IF(VLOOKUP(A112,'1. Set Program Names'!$A$2:$B$15,2,0)&lt;&gt;0,VLOOKUP(A112,'1. Set Program Names'!$A$2:$B$15,2,0),"")</f>
        <v/>
      </c>
      <c r="C112" s="42" t="str">
        <f>IF(B112="","",SUMIFS('2. Program Allocation Output'!BV:BV,'2. Program Allocation Output'!$A:$A,$C$104,'2. Program Allocation Output'!$H:$H,$B112))</f>
        <v/>
      </c>
      <c r="D112" s="42" t="str">
        <f>IF(C112="","",SUMIFS('2. Program Allocation Output'!BW:BW,'2. Program Allocation Output'!$A:$A,$C$104,'2. Program Allocation Output'!$H:$H,$B112))</f>
        <v/>
      </c>
      <c r="E112" s="42" t="str">
        <f>IF(D112="","",SUMIFS('2. Program Allocation Output'!BX:BX,'2. Program Allocation Output'!$A:$A,$C$104,'2. Program Allocation Output'!$H:$H,$B112))</f>
        <v/>
      </c>
      <c r="F112" s="42" t="str">
        <f>IF(E112="","",SUMIFS('2. Program Allocation Output'!BY:BY,'2. Program Allocation Output'!$A:$A,$C$104,'2. Program Allocation Output'!$H:$H,$B112))</f>
        <v/>
      </c>
      <c r="G112" s="42" t="str">
        <f>IF(F112="","",SUMIFS('2. Program Allocation Output'!BZ:BZ,'2. Program Allocation Output'!$A:$A,$C$104,'2. Program Allocation Output'!$H:$H,$B112))</f>
        <v/>
      </c>
      <c r="H112" s="42" t="str">
        <f>IF(G112="","",SUMIFS('2. Program Allocation Output'!CA:CA,'2. Program Allocation Output'!$A:$A,$C$104,'2. Program Allocation Output'!$H:$H,$B112))</f>
        <v/>
      </c>
      <c r="I112" s="42" t="str">
        <f>IF(H112="","",SUMIFS('2. Program Allocation Output'!CB:CB,'2. Program Allocation Output'!$A:$A,$C$104,'2. Program Allocation Output'!$H:$H,$B112))</f>
        <v/>
      </c>
      <c r="J112" s="42" t="str">
        <f>IF(I112="","",SUMIFS('2. Program Allocation Output'!CC:CC,'2. Program Allocation Output'!$A:$A,$C$104,'2. Program Allocation Output'!$H:$H,$B112))</f>
        <v/>
      </c>
      <c r="K112" s="42" t="str">
        <f>IF(J112="","",SUMIFS('2. Program Allocation Output'!CD:CD,'2. Program Allocation Output'!$A:$A,$C$104,'2. Program Allocation Output'!$H:$H,$B112))</f>
        <v/>
      </c>
      <c r="L112" s="42" t="str">
        <f>IF(K112="","",SUMIFS('2. Program Allocation Output'!CE:CE,'2. Program Allocation Output'!$A:$A,$C$104,'2. Program Allocation Output'!$H:$H,$B112))</f>
        <v/>
      </c>
    </row>
    <row r="113" spans="1:12" hidden="1" x14ac:dyDescent="0.25">
      <c r="B113" s="9" t="s">
        <v>218</v>
      </c>
      <c r="C113" s="43">
        <f>SUM(C106:C112)</f>
        <v>987157.50849365268</v>
      </c>
      <c r="D113" s="43">
        <f t="shared" ref="D113" si="31">SUM(D106:D112)</f>
        <v>1066706.0949099883</v>
      </c>
      <c r="E113" s="43">
        <f t="shared" ref="E113" si="32">SUM(E106:E112)</f>
        <v>1142205.7794739429</v>
      </c>
      <c r="F113" s="43">
        <f t="shared" ref="F113" si="33">SUM(F106:F112)</f>
        <v>1216036.4016035812</v>
      </c>
      <c r="G113" s="43">
        <f t="shared" ref="G113" si="34">SUM(G106:G112)</f>
        <v>1288544.4315565978</v>
      </c>
      <c r="H113" s="43">
        <f t="shared" ref="H113" si="35">SUM(H106:H112)</f>
        <v>1356299.6828799881</v>
      </c>
      <c r="I113" s="43">
        <f t="shared" ref="I113" si="36">SUM(I106:I112)</f>
        <v>1429636.2841462088</v>
      </c>
      <c r="J113" s="43">
        <f t="shared" ref="J113" si="37">SUM(J106:J112)</f>
        <v>1511685.158115705</v>
      </c>
      <c r="K113" s="43">
        <f t="shared" ref="K113" si="38">SUM(K106:K112)</f>
        <v>1603296.3291418487</v>
      </c>
      <c r="L113" s="43">
        <f t="shared" ref="L113" si="39">SUM(L106:L112)</f>
        <v>1704899.2478591527</v>
      </c>
    </row>
    <row r="114" spans="1:12" hidden="1" x14ac:dyDescent="0.25">
      <c r="A114" t="s">
        <v>13</v>
      </c>
      <c r="B114" s="8" t="str">
        <f>IF(VLOOKUP(A114,'1. Set Program Names'!$A$2:$B$15,2,0)&lt;&gt;0,VLOOKUP(A114,'1. Set Program Names'!$A$2:$B$15,2,0),"")</f>
        <v>Com Prescriptive</v>
      </c>
      <c r="C114" s="42">
        <f>IF(B114="","",SUMIFS('2. Program Allocation Output'!BV:BV,'2. Program Allocation Output'!$A:$A,$C$104,'2. Program Allocation Output'!$H:$H,$B114))</f>
        <v>32881.976679092477</v>
      </c>
      <c r="D114" s="42">
        <f>IF(C114="","",SUMIFS('2. Program Allocation Output'!BW:BW,'2. Program Allocation Output'!$A:$A,$C$104,'2. Program Allocation Output'!$H:$H,$B114))</f>
        <v>34507.198549757217</v>
      </c>
      <c r="E114" s="42">
        <f>IF(D114="","",SUMIFS('2. Program Allocation Output'!BX:BX,'2. Program Allocation Output'!$A:$A,$C$104,'2. Program Allocation Output'!$H:$H,$B114))</f>
        <v>35629.725358107346</v>
      </c>
      <c r="F114" s="42">
        <f>IF(E114="","",SUMIFS('2. Program Allocation Output'!BY:BY,'2. Program Allocation Output'!$A:$A,$C$104,'2. Program Allocation Output'!$H:$H,$B114))</f>
        <v>36563.306739185507</v>
      </c>
      <c r="G114" s="42">
        <f>IF(F114="","",SUMIFS('2. Program Allocation Output'!BZ:BZ,'2. Program Allocation Output'!$A:$A,$C$104,'2. Program Allocation Output'!$H:$H,$B114))</f>
        <v>37290.554478580212</v>
      </c>
      <c r="H114" s="42">
        <f>IF(G114="","",SUMIFS('2. Program Allocation Output'!CA:CA,'2. Program Allocation Output'!$A:$A,$C$104,'2. Program Allocation Output'!$H:$H,$B114))</f>
        <v>37792.753204819666</v>
      </c>
      <c r="I114" s="42">
        <f>IF(H114="","",SUMIFS('2. Program Allocation Output'!CB:CB,'2. Program Allocation Output'!$A:$A,$C$104,'2. Program Allocation Output'!$H:$H,$B114))</f>
        <v>38103.982721892113</v>
      </c>
      <c r="J114" s="42">
        <f>IF(I114="","",SUMIFS('2. Program Allocation Output'!CC:CC,'2. Program Allocation Output'!$A:$A,$C$104,'2. Program Allocation Output'!$H:$H,$B114))</f>
        <v>38280.076715324794</v>
      </c>
      <c r="K114" s="42">
        <f>IF(J114="","",SUMIFS('2. Program Allocation Output'!CD:CD,'2. Program Allocation Output'!$A:$A,$C$104,'2. Program Allocation Output'!$H:$H,$B114))</f>
        <v>38336.455046530304</v>
      </c>
      <c r="L114" s="42">
        <f>IF(K114="","",SUMIFS('2. Program Allocation Output'!CE:CE,'2. Program Allocation Output'!$A:$A,$C$104,'2. Program Allocation Output'!$H:$H,$B114))</f>
        <v>38266.404522798563</v>
      </c>
    </row>
    <row r="115" spans="1:12" hidden="1" x14ac:dyDescent="0.25">
      <c r="A115" t="s">
        <v>15</v>
      </c>
      <c r="B115" s="8" t="str">
        <f>IF(VLOOKUP(A115,'1. Set Program Names'!$A$2:$B$15,2,0)&lt;&gt;0,VLOOKUP(A115,'1. Set Program Names'!$A$2:$B$15,2,0),"")</f>
        <v>Com Lighting</v>
      </c>
      <c r="C115" s="42">
        <f>IF(B115="","",SUMIFS('2. Program Allocation Output'!BV:BV,'2. Program Allocation Output'!$A:$A,$C$104,'2. Program Allocation Output'!$H:$H,$B115))</f>
        <v>81462.569532858892</v>
      </c>
      <c r="D115" s="42">
        <f>IF(C115="","",SUMIFS('2. Program Allocation Output'!BW:BW,'2. Program Allocation Output'!$A:$A,$C$104,'2. Program Allocation Output'!$H:$H,$B115))</f>
        <v>87627.778003387197</v>
      </c>
      <c r="E115" s="42">
        <f>IF(D115="","",SUMIFS('2. Program Allocation Output'!BX:BX,'2. Program Allocation Output'!$A:$A,$C$104,'2. Program Allocation Output'!$H:$H,$B115))</f>
        <v>92179.867344709637</v>
      </c>
      <c r="F115" s="42">
        <f>IF(E115="","",SUMIFS('2. Program Allocation Output'!BY:BY,'2. Program Allocation Output'!$A:$A,$C$104,'2. Program Allocation Output'!$H:$H,$B115))</f>
        <v>95974.375445916536</v>
      </c>
      <c r="G115" s="42">
        <f>IF(F115="","",SUMIFS('2. Program Allocation Output'!BZ:BZ,'2. Program Allocation Output'!$A:$A,$C$104,'2. Program Allocation Output'!$H:$H,$B115))</f>
        <v>99000.761243362998</v>
      </c>
      <c r="H115" s="42">
        <f>IF(G115="","",SUMIFS('2. Program Allocation Output'!CA:CA,'2. Program Allocation Output'!$A:$A,$C$104,'2. Program Allocation Output'!$H:$H,$B115))</f>
        <v>101238.25451780942</v>
      </c>
      <c r="I115" s="42">
        <f>IF(H115="","",SUMIFS('2. Program Allocation Output'!CB:CB,'2. Program Allocation Output'!$A:$A,$C$104,'2. Program Allocation Output'!$H:$H,$B115))</f>
        <v>102804.08436698549</v>
      </c>
      <c r="J115" s="42">
        <f>IF(I115="","",SUMIFS('2. Program Allocation Output'!CC:CC,'2. Program Allocation Output'!$A:$A,$C$104,'2. Program Allocation Output'!$H:$H,$B115))</f>
        <v>103857.90100581507</v>
      </c>
      <c r="K115" s="42">
        <f>IF(J115="","",SUMIFS('2. Program Allocation Output'!CD:CD,'2. Program Allocation Output'!$A:$A,$C$104,'2. Program Allocation Output'!$H:$H,$B115))</f>
        <v>104449.0674248727</v>
      </c>
      <c r="L115" s="42">
        <f>IF(K115="","",SUMIFS('2. Program Allocation Output'!CE:CE,'2. Program Allocation Output'!$A:$A,$C$104,'2. Program Allocation Output'!$H:$H,$B115))</f>
        <v>104597.10983443417</v>
      </c>
    </row>
    <row r="116" spans="1:12" hidden="1" x14ac:dyDescent="0.25">
      <c r="A116" t="s">
        <v>17</v>
      </c>
      <c r="B116" s="8" t="str">
        <f>IF(VLOOKUP(A116,'1. Set Program Names'!$A$2:$B$15,2,0)&lt;&gt;0,VLOOKUP(A116,'1. Set Program Names'!$A$2:$B$15,2,0),"")</f>
        <v>Com Custom</v>
      </c>
      <c r="C116" s="42">
        <f>IF(B116="","",SUMIFS('2. Program Allocation Output'!BV:BV,'2. Program Allocation Output'!$A:$A,$C$104,'2. Program Allocation Output'!$H:$H,$B116))</f>
        <v>38619.940423502288</v>
      </c>
      <c r="D116" s="42">
        <f>IF(C116="","",SUMIFS('2. Program Allocation Output'!BW:BW,'2. Program Allocation Output'!$A:$A,$C$104,'2. Program Allocation Output'!$H:$H,$B116))</f>
        <v>43466.729877973143</v>
      </c>
      <c r="E116" s="42">
        <f>IF(D116="","",SUMIFS('2. Program Allocation Output'!BX:BX,'2. Program Allocation Output'!$A:$A,$C$104,'2. Program Allocation Output'!$H:$H,$B116))</f>
        <v>48107.794649179516</v>
      </c>
      <c r="F116" s="42">
        <f>IF(E116="","",SUMIFS('2. Program Allocation Output'!BY:BY,'2. Program Allocation Output'!$A:$A,$C$104,'2. Program Allocation Output'!$H:$H,$B116))</f>
        <v>52881.744567468042</v>
      </c>
      <c r="G116" s="42">
        <f>IF(F116="","",SUMIFS('2. Program Allocation Output'!BZ:BZ,'2. Program Allocation Output'!$A:$A,$C$104,'2. Program Allocation Output'!$H:$H,$B116))</f>
        <v>57560.382500103573</v>
      </c>
      <c r="H116" s="42">
        <f>IF(G116="","",SUMIFS('2. Program Allocation Output'!CA:CA,'2. Program Allocation Output'!$A:$A,$C$104,'2. Program Allocation Output'!$H:$H,$B116))</f>
        <v>61878.698125351904</v>
      </c>
      <c r="I116" s="42">
        <f>IF(H116="","",SUMIFS('2. Program Allocation Output'!CB:CB,'2. Program Allocation Output'!$A:$A,$C$104,'2. Program Allocation Output'!$H:$H,$B116))</f>
        <v>65476.55445549859</v>
      </c>
      <c r="J116" s="42">
        <f>IF(I116="","",SUMIFS('2. Program Allocation Output'!CC:CC,'2. Program Allocation Output'!$A:$A,$C$104,'2. Program Allocation Output'!$H:$H,$B116))</f>
        <v>67990.123574583922</v>
      </c>
      <c r="K116" s="42">
        <f>IF(J116="","",SUMIFS('2. Program Allocation Output'!CD:CD,'2. Program Allocation Output'!$A:$A,$C$104,'2. Program Allocation Output'!$H:$H,$B116))</f>
        <v>69164.370030463964</v>
      </c>
      <c r="L116" s="42">
        <f>IF(K116="","",SUMIFS('2. Program Allocation Output'!CE:CE,'2. Program Allocation Output'!$A:$A,$C$104,'2. Program Allocation Output'!$H:$H,$B116))</f>
        <v>68899.171514218018</v>
      </c>
    </row>
    <row r="117" spans="1:12" hidden="1" x14ac:dyDescent="0.25">
      <c r="A117" t="s">
        <v>19</v>
      </c>
      <c r="B117" s="8" t="str">
        <f>IF(VLOOKUP(A117,'1. Set Program Names'!$A$2:$B$15,2,0)&lt;&gt;0,VLOOKUP(A117,'1. Set Program Names'!$A$2:$B$15,2,0),"")</f>
        <v/>
      </c>
      <c r="C117" s="42" t="str">
        <f>IF(B117="","",SUMIFS('2. Program Allocation Output'!BV:BV,'2. Program Allocation Output'!$A:$A,$C$104,'2. Program Allocation Output'!$H:$H,$B117))</f>
        <v/>
      </c>
      <c r="D117" s="42" t="str">
        <f>IF(C117="","",SUMIFS('2. Program Allocation Output'!BW:BW,'2. Program Allocation Output'!$A:$A,$C$104,'2. Program Allocation Output'!$H:$H,$B117))</f>
        <v/>
      </c>
      <c r="E117" s="42" t="str">
        <f>IF(D117="","",SUMIFS('2. Program Allocation Output'!BX:BX,'2. Program Allocation Output'!$A:$A,$C$104,'2. Program Allocation Output'!$H:$H,$B117))</f>
        <v/>
      </c>
      <c r="F117" s="42" t="str">
        <f>IF(E117="","",SUMIFS('2. Program Allocation Output'!BY:BY,'2. Program Allocation Output'!$A:$A,$C$104,'2. Program Allocation Output'!$H:$H,$B117))</f>
        <v/>
      </c>
      <c r="G117" s="42" t="str">
        <f>IF(F117="","",SUMIFS('2. Program Allocation Output'!BZ:BZ,'2. Program Allocation Output'!$A:$A,$C$104,'2. Program Allocation Output'!$H:$H,$B117))</f>
        <v/>
      </c>
      <c r="H117" s="42" t="str">
        <f>IF(G117="","",SUMIFS('2. Program Allocation Output'!CA:CA,'2. Program Allocation Output'!$A:$A,$C$104,'2. Program Allocation Output'!$H:$H,$B117))</f>
        <v/>
      </c>
      <c r="I117" s="42" t="str">
        <f>IF(H117="","",SUMIFS('2. Program Allocation Output'!CB:CB,'2. Program Allocation Output'!$A:$A,$C$104,'2. Program Allocation Output'!$H:$H,$B117))</f>
        <v/>
      </c>
      <c r="J117" s="42" t="str">
        <f>IF(I117="","",SUMIFS('2. Program Allocation Output'!CC:CC,'2. Program Allocation Output'!$A:$A,$C$104,'2. Program Allocation Output'!$H:$H,$B117))</f>
        <v/>
      </c>
      <c r="K117" s="42" t="str">
        <f>IF(J117="","",SUMIFS('2. Program Allocation Output'!CD:CD,'2. Program Allocation Output'!$A:$A,$C$104,'2. Program Allocation Output'!$H:$H,$B117))</f>
        <v/>
      </c>
      <c r="L117" s="42" t="str">
        <f>IF(K117="","",SUMIFS('2. Program Allocation Output'!CE:CE,'2. Program Allocation Output'!$A:$A,$C$104,'2. Program Allocation Output'!$H:$H,$B117))</f>
        <v/>
      </c>
    </row>
    <row r="118" spans="1:12" hidden="1" x14ac:dyDescent="0.25">
      <c r="A118" t="s">
        <v>21</v>
      </c>
      <c r="B118" s="8" t="str">
        <f>IF(VLOOKUP(A118,'1. Set Program Names'!$A$2:$B$15,2,0)&lt;&gt;0,VLOOKUP(A118,'1. Set Program Names'!$A$2:$B$15,2,0),"")</f>
        <v/>
      </c>
      <c r="C118" s="42" t="str">
        <f>IF(B118="","",SUMIFS('2. Program Allocation Output'!BV:BV,'2. Program Allocation Output'!$A:$A,$C$104,'2. Program Allocation Output'!$H:$H,$B118))</f>
        <v/>
      </c>
      <c r="D118" s="42" t="str">
        <f>IF(C118="","",SUMIFS('2. Program Allocation Output'!BW:BW,'2. Program Allocation Output'!$A:$A,$C$104,'2. Program Allocation Output'!$H:$H,$B118))</f>
        <v/>
      </c>
      <c r="E118" s="42" t="str">
        <f>IF(D118="","",SUMIFS('2. Program Allocation Output'!BX:BX,'2. Program Allocation Output'!$A:$A,$C$104,'2. Program Allocation Output'!$H:$H,$B118))</f>
        <v/>
      </c>
      <c r="F118" s="42" t="str">
        <f>IF(E118="","",SUMIFS('2. Program Allocation Output'!BY:BY,'2. Program Allocation Output'!$A:$A,$C$104,'2. Program Allocation Output'!$H:$H,$B118))</f>
        <v/>
      </c>
      <c r="G118" s="42" t="str">
        <f>IF(F118="","",SUMIFS('2. Program Allocation Output'!BZ:BZ,'2. Program Allocation Output'!$A:$A,$C$104,'2. Program Allocation Output'!$H:$H,$B118))</f>
        <v/>
      </c>
      <c r="H118" s="42" t="str">
        <f>IF(G118="","",SUMIFS('2. Program Allocation Output'!CA:CA,'2. Program Allocation Output'!$A:$A,$C$104,'2. Program Allocation Output'!$H:$H,$B118))</f>
        <v/>
      </c>
      <c r="I118" s="42" t="str">
        <f>IF(H118="","",SUMIFS('2. Program Allocation Output'!CB:CB,'2. Program Allocation Output'!$A:$A,$C$104,'2. Program Allocation Output'!$H:$H,$B118))</f>
        <v/>
      </c>
      <c r="J118" s="42" t="str">
        <f>IF(I118="","",SUMIFS('2. Program Allocation Output'!CC:CC,'2. Program Allocation Output'!$A:$A,$C$104,'2. Program Allocation Output'!$H:$H,$B118))</f>
        <v/>
      </c>
      <c r="K118" s="42" t="str">
        <f>IF(J118="","",SUMIFS('2. Program Allocation Output'!CD:CD,'2. Program Allocation Output'!$A:$A,$C$104,'2. Program Allocation Output'!$H:$H,$B118))</f>
        <v/>
      </c>
      <c r="L118" s="42" t="str">
        <f>IF(K118="","",SUMIFS('2. Program Allocation Output'!CE:CE,'2. Program Allocation Output'!$A:$A,$C$104,'2. Program Allocation Output'!$H:$H,$B118))</f>
        <v/>
      </c>
    </row>
    <row r="119" spans="1:12" hidden="1" x14ac:dyDescent="0.25">
      <c r="A119" t="s">
        <v>22</v>
      </c>
      <c r="B119" s="8" t="str">
        <f>IF(VLOOKUP(A119,'1. Set Program Names'!$A$2:$B$15,2,0)&lt;&gt;0,VLOOKUP(A119,'1. Set Program Names'!$A$2:$B$15,2,0),"")</f>
        <v/>
      </c>
      <c r="C119" s="42" t="str">
        <f>IF(B119="","",SUMIFS('2. Program Allocation Output'!BV:BV,'2. Program Allocation Output'!$A:$A,$C$104,'2. Program Allocation Output'!$H:$H,$B119))</f>
        <v/>
      </c>
      <c r="D119" s="42" t="str">
        <f>IF(C119="","",SUMIFS('2. Program Allocation Output'!BW:BW,'2. Program Allocation Output'!$A:$A,$C$104,'2. Program Allocation Output'!$H:$H,$B119))</f>
        <v/>
      </c>
      <c r="E119" s="42" t="str">
        <f>IF(D119="","",SUMIFS('2. Program Allocation Output'!BX:BX,'2. Program Allocation Output'!$A:$A,$C$104,'2. Program Allocation Output'!$H:$H,$B119))</f>
        <v/>
      </c>
      <c r="F119" s="42" t="str">
        <f>IF(E119="","",SUMIFS('2. Program Allocation Output'!BY:BY,'2. Program Allocation Output'!$A:$A,$C$104,'2. Program Allocation Output'!$H:$H,$B119))</f>
        <v/>
      </c>
      <c r="G119" s="42" t="str">
        <f>IF(F119="","",SUMIFS('2. Program Allocation Output'!BZ:BZ,'2. Program Allocation Output'!$A:$A,$C$104,'2. Program Allocation Output'!$H:$H,$B119))</f>
        <v/>
      </c>
      <c r="H119" s="42" t="str">
        <f>IF(G119="","",SUMIFS('2. Program Allocation Output'!CA:CA,'2. Program Allocation Output'!$A:$A,$C$104,'2. Program Allocation Output'!$H:$H,$B119))</f>
        <v/>
      </c>
      <c r="I119" s="42" t="str">
        <f>IF(H119="","",SUMIFS('2. Program Allocation Output'!CB:CB,'2. Program Allocation Output'!$A:$A,$C$104,'2. Program Allocation Output'!$H:$H,$B119))</f>
        <v/>
      </c>
      <c r="J119" s="42" t="str">
        <f>IF(I119="","",SUMIFS('2. Program Allocation Output'!CC:CC,'2. Program Allocation Output'!$A:$A,$C$104,'2. Program Allocation Output'!$H:$H,$B119))</f>
        <v/>
      </c>
      <c r="K119" s="42" t="str">
        <f>IF(J119="","",SUMIFS('2. Program Allocation Output'!CD:CD,'2. Program Allocation Output'!$A:$A,$C$104,'2. Program Allocation Output'!$H:$H,$B119))</f>
        <v/>
      </c>
      <c r="L119" s="42" t="str">
        <f>IF(K119="","",SUMIFS('2. Program Allocation Output'!CE:CE,'2. Program Allocation Output'!$A:$A,$C$104,'2. Program Allocation Output'!$H:$H,$B119))</f>
        <v/>
      </c>
    </row>
    <row r="120" spans="1:12" hidden="1" x14ac:dyDescent="0.25">
      <c r="A120" t="s">
        <v>23</v>
      </c>
      <c r="B120" s="8" t="str">
        <f>IF(VLOOKUP(A120,'1. Set Program Names'!$A$2:$B$15,2,0)&lt;&gt;0,VLOOKUP(A120,'1. Set Program Names'!$A$2:$B$15,2,0),"")</f>
        <v/>
      </c>
      <c r="C120" s="42" t="str">
        <f>IF(B120="","",SUMIFS('2. Program Allocation Output'!BV:BV,'2. Program Allocation Output'!$A:$A,$C$104,'2. Program Allocation Output'!$H:$H,$B120))</f>
        <v/>
      </c>
      <c r="D120" s="42" t="str">
        <f>IF(C120="","",SUMIFS('2. Program Allocation Output'!BW:BW,'2. Program Allocation Output'!$A:$A,$C$104,'2. Program Allocation Output'!$H:$H,$B120))</f>
        <v/>
      </c>
      <c r="E120" s="42" t="str">
        <f>IF(D120="","",SUMIFS('2. Program Allocation Output'!BX:BX,'2. Program Allocation Output'!$A:$A,$C$104,'2. Program Allocation Output'!$H:$H,$B120))</f>
        <v/>
      </c>
      <c r="F120" s="42" t="str">
        <f>IF(E120="","",SUMIFS('2. Program Allocation Output'!BY:BY,'2. Program Allocation Output'!$A:$A,$C$104,'2. Program Allocation Output'!$H:$H,$B120))</f>
        <v/>
      </c>
      <c r="G120" s="42" t="str">
        <f>IF(F120="","",SUMIFS('2. Program Allocation Output'!BZ:BZ,'2. Program Allocation Output'!$A:$A,$C$104,'2. Program Allocation Output'!$H:$H,$B120))</f>
        <v/>
      </c>
      <c r="H120" s="42" t="str">
        <f>IF(G120="","",SUMIFS('2. Program Allocation Output'!CA:CA,'2. Program Allocation Output'!$A:$A,$C$104,'2. Program Allocation Output'!$H:$H,$B120))</f>
        <v/>
      </c>
      <c r="I120" s="42" t="str">
        <f>IF(H120="","",SUMIFS('2. Program Allocation Output'!CB:CB,'2. Program Allocation Output'!$A:$A,$C$104,'2. Program Allocation Output'!$H:$H,$B120))</f>
        <v/>
      </c>
      <c r="J120" s="42" t="str">
        <f>IF(I120="","",SUMIFS('2. Program Allocation Output'!CC:CC,'2. Program Allocation Output'!$A:$A,$C$104,'2. Program Allocation Output'!$H:$H,$B120))</f>
        <v/>
      </c>
      <c r="K120" s="42" t="str">
        <f>IF(J120="","",SUMIFS('2. Program Allocation Output'!CD:CD,'2. Program Allocation Output'!$A:$A,$C$104,'2. Program Allocation Output'!$H:$H,$B120))</f>
        <v/>
      </c>
      <c r="L120" s="42" t="str">
        <f>IF(K120="","",SUMIFS('2. Program Allocation Output'!CE:CE,'2. Program Allocation Output'!$A:$A,$C$104,'2. Program Allocation Output'!$H:$H,$B120))</f>
        <v/>
      </c>
    </row>
    <row r="121" spans="1:12" hidden="1" x14ac:dyDescent="0.25">
      <c r="B121" s="9" t="s">
        <v>219</v>
      </c>
      <c r="C121" s="43">
        <f>SUM(C114:C120)</f>
        <v>152964.48663545365</v>
      </c>
      <c r="D121" s="43">
        <f t="shared" ref="D121" si="40">SUM(D114:D120)</f>
        <v>165601.70643111755</v>
      </c>
      <c r="E121" s="43">
        <f t="shared" ref="E121" si="41">SUM(E114:E120)</f>
        <v>175917.3873519965</v>
      </c>
      <c r="F121" s="43">
        <f t="shared" ref="F121" si="42">SUM(F114:F120)</f>
        <v>185419.42675257009</v>
      </c>
      <c r="G121" s="43">
        <f t="shared" ref="G121" si="43">SUM(G114:G120)</f>
        <v>193851.69822204678</v>
      </c>
      <c r="H121" s="43">
        <f t="shared" ref="H121" si="44">SUM(H114:H120)</f>
        <v>200909.70584798098</v>
      </c>
      <c r="I121" s="43">
        <f t="shared" ref="I121" si="45">SUM(I114:I120)</f>
        <v>206384.62154437619</v>
      </c>
      <c r="J121" s="43">
        <f t="shared" ref="J121" si="46">SUM(J114:J120)</f>
        <v>210128.10129572381</v>
      </c>
      <c r="K121" s="43">
        <f t="shared" ref="K121" si="47">SUM(K114:K120)</f>
        <v>211949.89250186697</v>
      </c>
      <c r="L121" s="43">
        <f t="shared" ref="L121" si="48">SUM(L114:L120)</f>
        <v>211762.68587145075</v>
      </c>
    </row>
    <row r="122" spans="1:12" hidden="1" x14ac:dyDescent="0.25">
      <c r="B122" s="12" t="s">
        <v>220</v>
      </c>
      <c r="C122" s="44">
        <f>SUM(C113,C121)</f>
        <v>1140121.9951291063</v>
      </c>
      <c r="D122" s="44">
        <f t="shared" ref="D122" si="49">SUM(D113,D121)</f>
        <v>1232307.801341106</v>
      </c>
      <c r="E122" s="44">
        <f t="shared" ref="E122" si="50">SUM(E113,E121)</f>
        <v>1318123.1668259394</v>
      </c>
      <c r="F122" s="44">
        <f t="shared" ref="F122" si="51">SUM(F113,F121)</f>
        <v>1401455.8283561512</v>
      </c>
      <c r="G122" s="44">
        <f t="shared" ref="G122" si="52">SUM(G113,G121)</f>
        <v>1482396.1297786445</v>
      </c>
      <c r="H122" s="44">
        <f t="shared" ref="H122" si="53">SUM(H113,H121)</f>
        <v>1557209.388727969</v>
      </c>
      <c r="I122" s="44">
        <f t="shared" ref="I122" si="54">SUM(I113,I121)</f>
        <v>1636020.905690585</v>
      </c>
      <c r="J122" s="44">
        <f t="shared" ref="J122" si="55">SUM(J113,J121)</f>
        <v>1721813.2594114288</v>
      </c>
      <c r="K122" s="44">
        <f t="shared" ref="K122" si="56">SUM(K113,K121)</f>
        <v>1815246.2216437156</v>
      </c>
      <c r="L122" s="44">
        <f t="shared" ref="L122" si="57">SUM(L113,L121)</f>
        <v>1916661.9337306034</v>
      </c>
    </row>
    <row r="123" spans="1:12" x14ac:dyDescent="0.25">
      <c r="B123" s="75"/>
      <c r="C123" s="47"/>
    </row>
    <row r="125" spans="1:12" x14ac:dyDescent="0.25">
      <c r="C125" s="45" t="s">
        <v>87</v>
      </c>
    </row>
    <row r="126" spans="1:12" x14ac:dyDescent="0.25">
      <c r="B126" s="7" t="s">
        <v>438</v>
      </c>
      <c r="C126">
        <v>2025</v>
      </c>
      <c r="D126">
        <v>2026</v>
      </c>
      <c r="E126">
        <v>2027</v>
      </c>
      <c r="F126">
        <v>2028</v>
      </c>
      <c r="G126">
        <v>2029</v>
      </c>
      <c r="H126">
        <v>2030</v>
      </c>
      <c r="I126">
        <v>2031</v>
      </c>
      <c r="J126">
        <v>2032</v>
      </c>
      <c r="K126">
        <v>2033</v>
      </c>
      <c r="L126">
        <v>2034</v>
      </c>
    </row>
    <row r="127" spans="1:12" x14ac:dyDescent="0.25">
      <c r="A127" t="s">
        <v>3</v>
      </c>
      <c r="B127" s="8" t="str">
        <f>IF(VLOOKUP(A127,'1. Set Program Names'!$A$2:$B$15,2,0)&lt;&gt;0,VLOOKUP(A127,'1. Set Program Names'!$A$2:$B$15,2,0),"")</f>
        <v>Res Existing Home</v>
      </c>
      <c r="C127" s="42">
        <f>IFERROR((C85+C106)/10^3,"")</f>
        <v>2099.6930729377509</v>
      </c>
      <c r="D127" s="42">
        <f t="shared" ref="D127:L127" si="58">IFERROR((D85+D106)/10^3,"")</f>
        <v>2305.7708427100938</v>
      </c>
      <c r="E127" s="42">
        <f t="shared" si="58"/>
        <v>2499.3921577139963</v>
      </c>
      <c r="F127" s="42">
        <f t="shared" si="58"/>
        <v>2686.3152199782189</v>
      </c>
      <c r="G127" s="42">
        <f t="shared" si="58"/>
        <v>2867.8336232826714</v>
      </c>
      <c r="H127" s="42">
        <f t="shared" si="58"/>
        <v>3036.7058582843174</v>
      </c>
      <c r="I127" s="42">
        <f t="shared" si="58"/>
        <v>3216.4182743522579</v>
      </c>
      <c r="J127" s="42">
        <f t="shared" si="58"/>
        <v>3414.5497439169271</v>
      </c>
      <c r="K127" s="42">
        <f t="shared" si="58"/>
        <v>3633.4834679813493</v>
      </c>
      <c r="L127" s="42">
        <f t="shared" si="58"/>
        <v>3874.5756480958221</v>
      </c>
    </row>
    <row r="128" spans="1:12" x14ac:dyDescent="0.25">
      <c r="A128" t="s">
        <v>4</v>
      </c>
      <c r="B128" s="8" t="str">
        <f>IF(VLOOKUP(A128,'1. Set Program Names'!$A$2:$B$15,2,0)&lt;&gt;0,VLOOKUP(A128,'1. Set Program Names'!$A$2:$B$15,2,0),"")</f>
        <v>Res Efficiency Delivered</v>
      </c>
      <c r="C128" s="42">
        <f t="shared" ref="C128:L133" si="59">IFERROR((C86+C107)/10^3,"")</f>
        <v>91.198409031162711</v>
      </c>
      <c r="D128" s="42">
        <f t="shared" si="59"/>
        <v>97.836693676821568</v>
      </c>
      <c r="E128" s="42">
        <f t="shared" si="59"/>
        <v>104.09859173574191</v>
      </c>
      <c r="F128" s="42">
        <f t="shared" si="59"/>
        <v>110.19982503023469</v>
      </c>
      <c r="G128" s="42">
        <f t="shared" si="59"/>
        <v>116.16978004586058</v>
      </c>
      <c r="H128" s="42">
        <f t="shared" si="59"/>
        <v>121.69997543400645</v>
      </c>
      <c r="I128" s="42">
        <f t="shared" si="59"/>
        <v>127.71766717437144</v>
      </c>
      <c r="J128" s="42">
        <f t="shared" si="59"/>
        <v>134.49430716514715</v>
      </c>
      <c r="K128" s="42">
        <f t="shared" si="59"/>
        <v>142.09610469622473</v>
      </c>
      <c r="L128" s="42">
        <f t="shared" si="59"/>
        <v>150.55252730344014</v>
      </c>
    </row>
    <row r="129" spans="1:12" x14ac:dyDescent="0.25">
      <c r="A129" t="s">
        <v>6</v>
      </c>
      <c r="B129" s="8" t="str">
        <f>IF(VLOOKUP(A129,'1. Set Program Names'!$A$2:$B$15,2,0)&lt;&gt;0,VLOOKUP(A129,'1. Set Program Names'!$A$2:$B$15,2,0),"")</f>
        <v>Res New Home</v>
      </c>
      <c r="C129" s="42">
        <f t="shared" si="59"/>
        <v>136.9079472546978</v>
      </c>
      <c r="D129" s="42">
        <f t="shared" si="59"/>
        <v>148.76152335110467</v>
      </c>
      <c r="E129" s="42">
        <f t="shared" si="59"/>
        <v>159.98437638647707</v>
      </c>
      <c r="F129" s="42">
        <f t="shared" si="59"/>
        <v>170.92027589648782</v>
      </c>
      <c r="G129" s="42">
        <f t="shared" si="59"/>
        <v>181.62735834391637</v>
      </c>
      <c r="H129" s="42">
        <f t="shared" si="59"/>
        <v>191.62773940979369</v>
      </c>
      <c r="I129" s="42">
        <f t="shared" si="59"/>
        <v>202.38640385219236</v>
      </c>
      <c r="J129" s="42">
        <f t="shared" si="59"/>
        <v>214.35609467750561</v>
      </c>
      <c r="K129" s="42">
        <f t="shared" si="59"/>
        <v>227.66572293649219</v>
      </c>
      <c r="L129" s="42">
        <f t="shared" si="59"/>
        <v>242.38258664422227</v>
      </c>
    </row>
    <row r="130" spans="1:12" hidden="1" x14ac:dyDescent="0.25">
      <c r="A130" t="s">
        <v>8</v>
      </c>
      <c r="B130" s="8" t="str">
        <f>IF(VLOOKUP(A130,'1. Set Program Names'!$A$2:$B$15,2,0)&lt;&gt;0,VLOOKUP(A130,'1. Set Program Names'!$A$2:$B$15,2,0),"")</f>
        <v/>
      </c>
      <c r="C130" s="42" t="str">
        <f t="shared" si="59"/>
        <v/>
      </c>
      <c r="D130" s="42" t="str">
        <f t="shared" si="59"/>
        <v/>
      </c>
      <c r="E130" s="42" t="str">
        <f t="shared" si="59"/>
        <v/>
      </c>
      <c r="F130" s="42" t="str">
        <f t="shared" si="59"/>
        <v/>
      </c>
      <c r="G130" s="42" t="str">
        <f t="shared" si="59"/>
        <v/>
      </c>
      <c r="H130" s="42" t="str">
        <f t="shared" si="59"/>
        <v/>
      </c>
      <c r="I130" s="42" t="str">
        <f t="shared" si="59"/>
        <v/>
      </c>
      <c r="J130" s="42" t="str">
        <f t="shared" si="59"/>
        <v/>
      </c>
      <c r="K130" s="42" t="str">
        <f t="shared" si="59"/>
        <v/>
      </c>
      <c r="L130" s="42" t="str">
        <f t="shared" si="59"/>
        <v/>
      </c>
    </row>
    <row r="131" spans="1:12" hidden="1" x14ac:dyDescent="0.25">
      <c r="A131" t="s">
        <v>10</v>
      </c>
      <c r="B131" s="8" t="str">
        <f>IF(VLOOKUP(A131,'1. Set Program Names'!$A$2:$B$15,2,0)&lt;&gt;0,VLOOKUP(A131,'1. Set Program Names'!$A$2:$B$15,2,0),"")</f>
        <v/>
      </c>
      <c r="C131" s="42" t="str">
        <f t="shared" si="59"/>
        <v/>
      </c>
      <c r="D131" s="42" t="str">
        <f t="shared" si="59"/>
        <v/>
      </c>
      <c r="E131" s="42" t="str">
        <f t="shared" si="59"/>
        <v/>
      </c>
      <c r="F131" s="42" t="str">
        <f t="shared" si="59"/>
        <v/>
      </c>
      <c r="G131" s="42" t="str">
        <f t="shared" si="59"/>
        <v/>
      </c>
      <c r="H131" s="42" t="str">
        <f t="shared" si="59"/>
        <v/>
      </c>
      <c r="I131" s="42" t="str">
        <f t="shared" si="59"/>
        <v/>
      </c>
      <c r="J131" s="42" t="str">
        <f t="shared" si="59"/>
        <v/>
      </c>
      <c r="K131" s="42" t="str">
        <f t="shared" si="59"/>
        <v/>
      </c>
      <c r="L131" s="42" t="str">
        <f t="shared" si="59"/>
        <v/>
      </c>
    </row>
    <row r="132" spans="1:12" hidden="1" x14ac:dyDescent="0.25">
      <c r="A132" t="s">
        <v>11</v>
      </c>
      <c r="B132" s="8"/>
      <c r="C132" s="42" t="str">
        <f t="shared" si="59"/>
        <v/>
      </c>
      <c r="D132" s="42" t="str">
        <f t="shared" si="59"/>
        <v/>
      </c>
      <c r="E132" s="42" t="str">
        <f t="shared" si="59"/>
        <v/>
      </c>
      <c r="F132" s="42" t="str">
        <f t="shared" si="59"/>
        <v/>
      </c>
      <c r="G132" s="42" t="str">
        <f t="shared" si="59"/>
        <v/>
      </c>
      <c r="H132" s="42" t="str">
        <f t="shared" si="59"/>
        <v/>
      </c>
      <c r="I132" s="42" t="str">
        <f t="shared" si="59"/>
        <v/>
      </c>
      <c r="J132" s="42" t="str">
        <f t="shared" si="59"/>
        <v/>
      </c>
      <c r="K132" s="42" t="str">
        <f t="shared" si="59"/>
        <v/>
      </c>
      <c r="L132" s="42" t="str">
        <f t="shared" si="59"/>
        <v/>
      </c>
    </row>
    <row r="133" spans="1:12" hidden="1" x14ac:dyDescent="0.25">
      <c r="A133" t="s">
        <v>12</v>
      </c>
      <c r="B133" s="8" t="str">
        <f>IF(VLOOKUP(A133,'1. Set Program Names'!$A$2:$B$15,2,0)&lt;&gt;0,VLOOKUP(A133,'1. Set Program Names'!$A$2:$B$15,2,0),"")</f>
        <v/>
      </c>
      <c r="C133" s="42" t="str">
        <f t="shared" si="59"/>
        <v/>
      </c>
      <c r="D133" s="42" t="str">
        <f t="shared" si="59"/>
        <v/>
      </c>
      <c r="E133" s="42" t="str">
        <f t="shared" si="59"/>
        <v/>
      </c>
      <c r="F133" s="42" t="str">
        <f t="shared" si="59"/>
        <v/>
      </c>
      <c r="G133" s="42" t="str">
        <f t="shared" si="59"/>
        <v/>
      </c>
      <c r="H133" s="42" t="str">
        <f t="shared" si="59"/>
        <v/>
      </c>
      <c r="I133" s="42" t="str">
        <f t="shared" si="59"/>
        <v/>
      </c>
      <c r="J133" s="42" t="str">
        <f t="shared" si="59"/>
        <v/>
      </c>
      <c r="K133" s="42" t="str">
        <f t="shared" si="59"/>
        <v/>
      </c>
      <c r="L133" s="42" t="str">
        <f t="shared" si="59"/>
        <v/>
      </c>
    </row>
    <row r="134" spans="1:12" x14ac:dyDescent="0.25">
      <c r="B134" s="9" t="s">
        <v>218</v>
      </c>
      <c r="C134" s="43">
        <f>SUM(C127:C133)</f>
        <v>2327.7994292236112</v>
      </c>
      <c r="D134" s="43">
        <f t="shared" ref="D134" si="60">SUM(D127:D133)</f>
        <v>2552.36905973802</v>
      </c>
      <c r="E134" s="43">
        <f t="shared" ref="E134" si="61">SUM(E127:E133)</f>
        <v>2763.4751258362153</v>
      </c>
      <c r="F134" s="43">
        <f t="shared" ref="F134" si="62">SUM(F127:F133)</f>
        <v>2967.4353209049414</v>
      </c>
      <c r="G134" s="43">
        <f t="shared" ref="G134" si="63">SUM(G127:G133)</f>
        <v>3165.6307616724484</v>
      </c>
      <c r="H134" s="43">
        <f t="shared" ref="H134" si="64">SUM(H127:H133)</f>
        <v>3350.0335731281175</v>
      </c>
      <c r="I134" s="43">
        <f t="shared" ref="I134" si="65">SUM(I127:I133)</f>
        <v>3546.5223453788217</v>
      </c>
      <c r="J134" s="43">
        <f t="shared" ref="J134" si="66">SUM(J127:J133)</f>
        <v>3763.40014575958</v>
      </c>
      <c r="K134" s="43">
        <f t="shared" ref="K134" si="67">SUM(K127:K133)</f>
        <v>4003.2452956140664</v>
      </c>
      <c r="L134" s="43">
        <f t="shared" ref="L134" si="68">SUM(L127:L133)</f>
        <v>4267.5107620434846</v>
      </c>
    </row>
    <row r="135" spans="1:12" x14ac:dyDescent="0.25">
      <c r="A135" t="s">
        <v>13</v>
      </c>
      <c r="B135" s="8" t="str">
        <f>IF(VLOOKUP(A135,'1. Set Program Names'!$A$2:$B$15,2,0)&lt;&gt;0,VLOOKUP(A135,'1. Set Program Names'!$A$2:$B$15,2,0),"")</f>
        <v>Com Prescriptive</v>
      </c>
      <c r="C135" s="42">
        <f>IFERROR((C93+C114)/10^3,"")</f>
        <v>98.802307927117411</v>
      </c>
      <c r="D135" s="42">
        <f t="shared" ref="D135:L135" si="69">IFERROR((D93+D114)/10^3,"")</f>
        <v>102.25807049012693</v>
      </c>
      <c r="E135" s="42">
        <f t="shared" si="69"/>
        <v>104.27666673951705</v>
      </c>
      <c r="F135" s="42">
        <f t="shared" si="69"/>
        <v>105.81595012199166</v>
      </c>
      <c r="G135" s="42">
        <f t="shared" si="69"/>
        <v>106.88576136255104</v>
      </c>
      <c r="H135" s="42">
        <f t="shared" si="69"/>
        <v>107.41751037498986</v>
      </c>
      <c r="I135" s="42">
        <f t="shared" si="69"/>
        <v>107.54284292751257</v>
      </c>
      <c r="J135" s="42">
        <f t="shared" si="69"/>
        <v>107.44987721365082</v>
      </c>
      <c r="K135" s="42">
        <f t="shared" si="69"/>
        <v>107.16843995762621</v>
      </c>
      <c r="L135" s="42">
        <f t="shared" si="69"/>
        <v>106.67141741200729</v>
      </c>
    </row>
    <row r="136" spans="1:12" x14ac:dyDescent="0.25">
      <c r="A136" t="s">
        <v>15</v>
      </c>
      <c r="B136" s="8" t="str">
        <f>IF(VLOOKUP(A136,'1. Set Program Names'!$A$2:$B$15,2,0)&lt;&gt;0,VLOOKUP(A136,'1. Set Program Names'!$A$2:$B$15,2,0),"")</f>
        <v>Com Lighting</v>
      </c>
      <c r="C136" s="42">
        <f t="shared" ref="C136:L141" si="70">IFERROR((C94+C115)/10^3,"")</f>
        <v>201.4776290362808</v>
      </c>
      <c r="D136" s="42">
        <f t="shared" si="70"/>
        <v>215.46060041464065</v>
      </c>
      <c r="E136" s="42">
        <f t="shared" si="70"/>
        <v>225.25546349075975</v>
      </c>
      <c r="F136" s="42">
        <f t="shared" si="70"/>
        <v>233.12003978015539</v>
      </c>
      <c r="G136" s="42">
        <f t="shared" si="70"/>
        <v>239.20507140855096</v>
      </c>
      <c r="H136" s="42">
        <f t="shared" si="70"/>
        <v>243.40688308288628</v>
      </c>
      <c r="I136" s="42">
        <f t="shared" si="70"/>
        <v>246.12730003590875</v>
      </c>
      <c r="J136" s="42">
        <f t="shared" si="70"/>
        <v>247.80246641620829</v>
      </c>
      <c r="K136" s="42">
        <f t="shared" si="70"/>
        <v>248.46220260827104</v>
      </c>
      <c r="L136" s="42">
        <f t="shared" si="70"/>
        <v>248.23048237144539</v>
      </c>
    </row>
    <row r="137" spans="1:12" x14ac:dyDescent="0.25">
      <c r="A137" t="s">
        <v>17</v>
      </c>
      <c r="B137" s="8" t="str">
        <f>IF(VLOOKUP(A137,'1. Set Program Names'!$A$2:$B$15,2,0)&lt;&gt;0,VLOOKUP(A137,'1. Set Program Names'!$A$2:$B$15,2,0),"")</f>
        <v>Com Custom</v>
      </c>
      <c r="C137" s="42">
        <f t="shared" si="70"/>
        <v>130.76000495325749</v>
      </c>
      <c r="D137" s="42">
        <f t="shared" si="70"/>
        <v>147.40724057239035</v>
      </c>
      <c r="E137" s="42">
        <f t="shared" si="70"/>
        <v>163.40786797045195</v>
      </c>
      <c r="F137" s="42">
        <f t="shared" si="70"/>
        <v>179.94162557031979</v>
      </c>
      <c r="G137" s="42">
        <f t="shared" si="70"/>
        <v>196.19575041848847</v>
      </c>
      <c r="H137" s="42">
        <f t="shared" si="70"/>
        <v>211.2893145005068</v>
      </c>
      <c r="I137" s="42">
        <f t="shared" si="70"/>
        <v>223.96421553061543</v>
      </c>
      <c r="J137" s="42">
        <f t="shared" si="70"/>
        <v>232.91385390250886</v>
      </c>
      <c r="K137" s="42">
        <f t="shared" si="70"/>
        <v>237.28220283735453</v>
      </c>
      <c r="L137" s="42">
        <f t="shared" si="70"/>
        <v>236.74993580433051</v>
      </c>
    </row>
    <row r="138" spans="1:12" hidden="1" x14ac:dyDescent="0.25">
      <c r="A138" t="s">
        <v>19</v>
      </c>
      <c r="B138" s="8" t="str">
        <f>IF(VLOOKUP(A138,'1. Set Program Names'!$A$2:$B$15,2,0)&lt;&gt;0,VLOOKUP(A138,'1. Set Program Names'!$A$2:$B$15,2,0),"")</f>
        <v/>
      </c>
      <c r="C138" s="42" t="str">
        <f t="shared" si="70"/>
        <v/>
      </c>
      <c r="D138" s="42" t="str">
        <f t="shared" si="70"/>
        <v/>
      </c>
      <c r="E138" s="42" t="str">
        <f t="shared" si="70"/>
        <v/>
      </c>
      <c r="F138" s="42" t="str">
        <f t="shared" si="70"/>
        <v/>
      </c>
      <c r="G138" s="42" t="str">
        <f t="shared" si="70"/>
        <v/>
      </c>
      <c r="H138" s="42" t="str">
        <f t="shared" si="70"/>
        <v/>
      </c>
      <c r="I138" s="42" t="str">
        <f t="shared" si="70"/>
        <v/>
      </c>
      <c r="J138" s="42" t="str">
        <f t="shared" si="70"/>
        <v/>
      </c>
      <c r="K138" s="42" t="str">
        <f t="shared" si="70"/>
        <v/>
      </c>
      <c r="L138" s="42" t="str">
        <f t="shared" si="70"/>
        <v/>
      </c>
    </row>
    <row r="139" spans="1:12" hidden="1" x14ac:dyDescent="0.25">
      <c r="A139" t="s">
        <v>21</v>
      </c>
      <c r="B139" s="8"/>
      <c r="C139" s="42" t="str">
        <f t="shared" si="70"/>
        <v/>
      </c>
      <c r="D139" s="42" t="str">
        <f t="shared" si="70"/>
        <v/>
      </c>
      <c r="E139" s="42" t="str">
        <f t="shared" si="70"/>
        <v/>
      </c>
      <c r="F139" s="42" t="str">
        <f t="shared" si="70"/>
        <v/>
      </c>
      <c r="G139" s="42" t="str">
        <f t="shared" si="70"/>
        <v/>
      </c>
      <c r="H139" s="42" t="str">
        <f t="shared" si="70"/>
        <v/>
      </c>
      <c r="I139" s="42" t="str">
        <f t="shared" si="70"/>
        <v/>
      </c>
      <c r="J139" s="42" t="str">
        <f t="shared" si="70"/>
        <v/>
      </c>
      <c r="K139" s="42" t="str">
        <f t="shared" si="70"/>
        <v/>
      </c>
      <c r="L139" s="42" t="str">
        <f t="shared" si="70"/>
        <v/>
      </c>
    </row>
    <row r="140" spans="1:12" hidden="1" x14ac:dyDescent="0.25">
      <c r="A140" t="s">
        <v>22</v>
      </c>
      <c r="B140" s="8" t="str">
        <f>IF(VLOOKUP(A140,'1. Set Program Names'!$A$2:$B$15,2,0)&lt;&gt;0,VLOOKUP(A140,'1. Set Program Names'!$A$2:$B$15,2,0),"")</f>
        <v/>
      </c>
      <c r="C140" s="42" t="str">
        <f t="shared" si="70"/>
        <v/>
      </c>
      <c r="D140" s="42" t="str">
        <f t="shared" si="70"/>
        <v/>
      </c>
      <c r="E140" s="42" t="str">
        <f t="shared" si="70"/>
        <v/>
      </c>
      <c r="F140" s="42" t="str">
        <f t="shared" si="70"/>
        <v/>
      </c>
      <c r="G140" s="42" t="str">
        <f t="shared" si="70"/>
        <v/>
      </c>
      <c r="H140" s="42" t="str">
        <f t="shared" si="70"/>
        <v/>
      </c>
      <c r="I140" s="42" t="str">
        <f t="shared" si="70"/>
        <v/>
      </c>
      <c r="J140" s="42" t="str">
        <f t="shared" si="70"/>
        <v/>
      </c>
      <c r="K140" s="42" t="str">
        <f t="shared" si="70"/>
        <v/>
      </c>
      <c r="L140" s="42" t="str">
        <f t="shared" si="70"/>
        <v/>
      </c>
    </row>
    <row r="141" spans="1:12" hidden="1" x14ac:dyDescent="0.25">
      <c r="A141" t="s">
        <v>23</v>
      </c>
      <c r="B141" s="8" t="str">
        <f>IF(VLOOKUP(A141,'1. Set Program Names'!$A$2:$B$15,2,0)&lt;&gt;0,VLOOKUP(A141,'1. Set Program Names'!$A$2:$B$15,2,0),"")</f>
        <v/>
      </c>
      <c r="C141" s="42" t="str">
        <f t="shared" si="70"/>
        <v/>
      </c>
      <c r="D141" s="42" t="str">
        <f t="shared" si="70"/>
        <v/>
      </c>
      <c r="E141" s="42" t="str">
        <f t="shared" si="70"/>
        <v/>
      </c>
      <c r="F141" s="42" t="str">
        <f t="shared" si="70"/>
        <v/>
      </c>
      <c r="G141" s="42" t="str">
        <f t="shared" si="70"/>
        <v/>
      </c>
      <c r="H141" s="42" t="str">
        <f t="shared" si="70"/>
        <v/>
      </c>
      <c r="I141" s="42" t="str">
        <f t="shared" si="70"/>
        <v/>
      </c>
      <c r="J141" s="42" t="str">
        <f t="shared" si="70"/>
        <v/>
      </c>
      <c r="K141" s="42" t="str">
        <f t="shared" si="70"/>
        <v/>
      </c>
      <c r="L141" s="42" t="str">
        <f t="shared" si="70"/>
        <v/>
      </c>
    </row>
    <row r="142" spans="1:12" x14ac:dyDescent="0.25">
      <c r="B142" s="9" t="s">
        <v>219</v>
      </c>
      <c r="C142" s="43">
        <f>SUM(C135:C141)</f>
        <v>431.03994191665572</v>
      </c>
      <c r="D142" s="43">
        <f t="shared" ref="D142" si="71">SUM(D135:D141)</f>
        <v>465.12591147715796</v>
      </c>
      <c r="E142" s="43">
        <f t="shared" ref="E142" si="72">SUM(E135:E141)</f>
        <v>492.93999820072878</v>
      </c>
      <c r="F142" s="43">
        <f t="shared" ref="F142" si="73">SUM(F135:F141)</f>
        <v>518.87761547246691</v>
      </c>
      <c r="G142" s="43">
        <f t="shared" ref="G142" si="74">SUM(G135:G141)</f>
        <v>542.28658318959049</v>
      </c>
      <c r="H142" s="43">
        <f t="shared" ref="H142" si="75">SUM(H135:H141)</f>
        <v>562.11370795838297</v>
      </c>
      <c r="I142" s="43">
        <f t="shared" ref="I142" si="76">SUM(I135:I141)</f>
        <v>577.63435849403675</v>
      </c>
      <c r="J142" s="43">
        <f t="shared" ref="J142" si="77">SUM(J135:J141)</f>
        <v>588.16619753236796</v>
      </c>
      <c r="K142" s="43">
        <f t="shared" ref="K142" si="78">SUM(K135:K141)</f>
        <v>592.91284540325182</v>
      </c>
      <c r="L142" s="43">
        <f t="shared" ref="L142" si="79">SUM(L135:L141)</f>
        <v>591.65183558778313</v>
      </c>
    </row>
    <row r="143" spans="1:12" x14ac:dyDescent="0.25">
      <c r="B143" s="12" t="s">
        <v>220</v>
      </c>
      <c r="C143" s="44">
        <f>SUM(C134,C142)</f>
        <v>2758.8393711402668</v>
      </c>
      <c r="D143" s="44">
        <f t="shared" ref="D143" si="80">SUM(D134,D142)</f>
        <v>3017.4949712151779</v>
      </c>
      <c r="E143" s="44">
        <f t="shared" ref="E143" si="81">SUM(E134,E142)</f>
        <v>3256.4151240369442</v>
      </c>
      <c r="F143" s="44">
        <f t="shared" ref="F143" si="82">SUM(F134,F142)</f>
        <v>3486.3129363774083</v>
      </c>
      <c r="G143" s="44">
        <f t="shared" ref="G143" si="83">SUM(G134,G142)</f>
        <v>3707.917344862039</v>
      </c>
      <c r="H143" s="44">
        <f t="shared" ref="H143" si="84">SUM(H134,H142)</f>
        <v>3912.1472810865007</v>
      </c>
      <c r="I143" s="44">
        <f t="shared" ref="I143" si="85">SUM(I134,I142)</f>
        <v>4124.1567038728581</v>
      </c>
      <c r="J143" s="44">
        <f t="shared" ref="J143" si="86">SUM(J134,J142)</f>
        <v>4351.5663432919482</v>
      </c>
      <c r="K143" s="44">
        <f t="shared" ref="K143" si="87">SUM(K134,K142)</f>
        <v>4596.1581410173185</v>
      </c>
      <c r="L143" s="44">
        <f t="shared" ref="L143" si="88">SUM(L134,L142)</f>
        <v>4859.162597631268</v>
      </c>
    </row>
    <row r="145" spans="1:12" hidden="1" x14ac:dyDescent="0.25">
      <c r="A145" s="19" t="s">
        <v>222</v>
      </c>
      <c r="B145" s="7" t="s">
        <v>223</v>
      </c>
      <c r="C145" s="45" t="s">
        <v>87</v>
      </c>
    </row>
    <row r="146" spans="1:12" hidden="1" x14ac:dyDescent="0.25">
      <c r="C146">
        <v>2025</v>
      </c>
      <c r="D146">
        <v>2026</v>
      </c>
      <c r="E146">
        <v>2027</v>
      </c>
      <c r="F146">
        <v>2028</v>
      </c>
      <c r="G146">
        <v>2029</v>
      </c>
      <c r="H146">
        <v>2030</v>
      </c>
      <c r="I146">
        <v>2031</v>
      </c>
      <c r="J146">
        <v>2032</v>
      </c>
      <c r="K146">
        <v>2033</v>
      </c>
      <c r="L146">
        <v>2034</v>
      </c>
    </row>
    <row r="147" spans="1:12" hidden="1" x14ac:dyDescent="0.25">
      <c r="A147" t="s">
        <v>3</v>
      </c>
      <c r="B147" s="8" t="str">
        <f>IF(VLOOKUP(A147,'1. Set Program Names'!$A$2:$B$15,2,0)&lt;&gt;0,VLOOKUP(A147,'1. Set Program Names'!$A$2:$B$15,2,0),"")</f>
        <v>Res Existing Home</v>
      </c>
      <c r="C147" s="8"/>
      <c r="D147" s="8"/>
      <c r="E147" s="8"/>
      <c r="F147" s="8"/>
      <c r="G147" s="8"/>
      <c r="H147" s="8"/>
      <c r="I147" s="8"/>
      <c r="J147" s="8"/>
      <c r="K147" s="8"/>
      <c r="L147" s="8"/>
    </row>
    <row r="148" spans="1:12" hidden="1" x14ac:dyDescent="0.25">
      <c r="A148" t="s">
        <v>4</v>
      </c>
      <c r="B148" s="8" t="str">
        <f>IF(VLOOKUP(A148,'1. Set Program Names'!$A$2:$B$15,2,0)&lt;&gt;0,VLOOKUP(A148,'1. Set Program Names'!$A$2:$B$15,2,0),"")</f>
        <v>Res Efficiency Delivered</v>
      </c>
      <c r="C148" s="8"/>
      <c r="D148" s="8"/>
      <c r="E148" s="8"/>
      <c r="F148" s="8"/>
      <c r="G148" s="8"/>
      <c r="H148" s="8"/>
      <c r="I148" s="8"/>
      <c r="J148" s="8"/>
      <c r="K148" s="8"/>
      <c r="L148" s="8"/>
    </row>
    <row r="149" spans="1:12" hidden="1" x14ac:dyDescent="0.25">
      <c r="A149" t="s">
        <v>6</v>
      </c>
      <c r="B149" s="8" t="str">
        <f>IF(VLOOKUP(A149,'1. Set Program Names'!$A$2:$B$15,2,0)&lt;&gt;0,VLOOKUP(A149,'1. Set Program Names'!$A$2:$B$15,2,0),"")</f>
        <v>Res New Home</v>
      </c>
      <c r="C149" s="8"/>
      <c r="D149" s="8"/>
      <c r="E149" s="8"/>
      <c r="F149" s="8"/>
      <c r="G149" s="8"/>
      <c r="H149" s="8"/>
      <c r="I149" s="8"/>
      <c r="J149" s="8"/>
      <c r="K149" s="8"/>
      <c r="L149" s="8"/>
    </row>
    <row r="150" spans="1:12" hidden="1" x14ac:dyDescent="0.25">
      <c r="A150" t="s">
        <v>8</v>
      </c>
      <c r="B150" s="8" t="str">
        <f>IF(VLOOKUP(A150,'1. Set Program Names'!$A$2:$B$15,2,0)&lt;&gt;0,VLOOKUP(A150,'1. Set Program Names'!$A$2:$B$15,2,0),"")</f>
        <v/>
      </c>
      <c r="C150" s="8"/>
      <c r="D150" s="8"/>
      <c r="E150" s="8"/>
      <c r="F150" s="8"/>
      <c r="G150" s="8"/>
      <c r="H150" s="8"/>
      <c r="I150" s="8"/>
      <c r="J150" s="8"/>
      <c r="K150" s="8"/>
      <c r="L150" s="8"/>
    </row>
    <row r="151" spans="1:12" hidden="1" x14ac:dyDescent="0.25">
      <c r="A151" t="s">
        <v>10</v>
      </c>
      <c r="B151" s="8" t="str">
        <f>IF(VLOOKUP(A151,'1. Set Program Names'!$A$2:$B$15,2,0)&lt;&gt;0,VLOOKUP(A151,'1. Set Program Names'!$A$2:$B$15,2,0),"")</f>
        <v/>
      </c>
      <c r="C151" s="8"/>
      <c r="D151" s="8"/>
      <c r="E151" s="8"/>
      <c r="F151" s="8"/>
      <c r="G151" s="8"/>
      <c r="H151" s="8"/>
      <c r="I151" s="8"/>
      <c r="J151" s="8"/>
      <c r="K151" s="8"/>
      <c r="L151" s="8"/>
    </row>
    <row r="152" spans="1:12" hidden="1" x14ac:dyDescent="0.25">
      <c r="A152" t="s">
        <v>11</v>
      </c>
      <c r="B152" s="8" t="str">
        <f>IF(VLOOKUP(A152,'1. Set Program Names'!$A$2:$B$15,2,0)&lt;&gt;0,VLOOKUP(A152,'1. Set Program Names'!$A$2:$B$15,2,0),"")</f>
        <v/>
      </c>
      <c r="C152" s="8"/>
      <c r="D152" s="8"/>
      <c r="E152" s="8"/>
      <c r="F152" s="8"/>
      <c r="G152" s="8"/>
      <c r="H152" s="8"/>
      <c r="I152" s="8"/>
      <c r="J152" s="8"/>
      <c r="K152" s="8"/>
      <c r="L152" s="8"/>
    </row>
    <row r="153" spans="1:12" hidden="1" x14ac:dyDescent="0.25">
      <c r="A153" t="s">
        <v>12</v>
      </c>
      <c r="B153" s="8" t="str">
        <f>IF(VLOOKUP(A153,'1. Set Program Names'!$A$2:$B$15,2,0)&lt;&gt;0,VLOOKUP(A153,'1. Set Program Names'!$A$2:$B$15,2,0),"")</f>
        <v/>
      </c>
      <c r="C153" s="8"/>
      <c r="D153" s="8"/>
      <c r="E153" s="8"/>
      <c r="F153" s="8"/>
      <c r="G153" s="8"/>
      <c r="H153" s="8"/>
      <c r="I153" s="8"/>
      <c r="J153" s="8"/>
      <c r="K153" s="8"/>
      <c r="L153" s="8"/>
    </row>
    <row r="154" spans="1:12" hidden="1" x14ac:dyDescent="0.25">
      <c r="B154" s="9" t="s">
        <v>218</v>
      </c>
      <c r="C154" s="10"/>
      <c r="D154" s="10"/>
      <c r="E154" s="10"/>
      <c r="F154" s="10"/>
      <c r="G154" s="10"/>
      <c r="H154" s="10"/>
      <c r="I154" s="10"/>
      <c r="J154" s="10"/>
      <c r="K154" s="10"/>
      <c r="L154" s="10"/>
    </row>
    <row r="155" spans="1:12" hidden="1" x14ac:dyDescent="0.25">
      <c r="A155" t="s">
        <v>13</v>
      </c>
      <c r="B155" s="8" t="str">
        <f>IF(VLOOKUP(A155,'1. Set Program Names'!$A$2:$B$15,2,0)&lt;&gt;0,VLOOKUP(A155,'1. Set Program Names'!$A$2:$B$15,2,0),"")</f>
        <v>Com Prescriptive</v>
      </c>
      <c r="C155" s="8"/>
      <c r="D155" s="8"/>
      <c r="E155" s="8"/>
      <c r="F155" s="8"/>
      <c r="G155" s="8"/>
      <c r="H155" s="8"/>
      <c r="I155" s="8"/>
      <c r="J155" s="8"/>
      <c r="K155" s="8"/>
      <c r="L155" s="8"/>
    </row>
    <row r="156" spans="1:12" hidden="1" x14ac:dyDescent="0.25">
      <c r="A156" t="s">
        <v>15</v>
      </c>
      <c r="B156" s="8" t="str">
        <f>IF(VLOOKUP(A156,'1. Set Program Names'!$A$2:$B$15,2,0)&lt;&gt;0,VLOOKUP(A156,'1. Set Program Names'!$A$2:$B$15,2,0),"")</f>
        <v>Com Lighting</v>
      </c>
      <c r="C156" s="8"/>
      <c r="D156" s="8"/>
      <c r="E156" s="8"/>
      <c r="F156" s="8"/>
      <c r="G156" s="8"/>
      <c r="H156" s="8"/>
      <c r="I156" s="8"/>
      <c r="J156" s="8"/>
      <c r="K156" s="8"/>
      <c r="L156" s="8"/>
    </row>
    <row r="157" spans="1:12" hidden="1" x14ac:dyDescent="0.25">
      <c r="A157" t="s">
        <v>17</v>
      </c>
      <c r="B157" s="8" t="str">
        <f>IF(VLOOKUP(A157,'1. Set Program Names'!$A$2:$B$15,2,0)&lt;&gt;0,VLOOKUP(A157,'1. Set Program Names'!$A$2:$B$15,2,0),"")</f>
        <v>Com Custom</v>
      </c>
      <c r="C157" s="8"/>
      <c r="D157" s="8"/>
      <c r="E157" s="8"/>
      <c r="F157" s="8"/>
      <c r="G157" s="8"/>
      <c r="H157" s="8"/>
      <c r="I157" s="8"/>
      <c r="J157" s="8"/>
      <c r="K157" s="8"/>
      <c r="L157" s="8"/>
    </row>
    <row r="158" spans="1:12" hidden="1" x14ac:dyDescent="0.25">
      <c r="A158" t="s">
        <v>19</v>
      </c>
      <c r="B158" s="8" t="str">
        <f>IF(VLOOKUP(A158,'1. Set Program Names'!$A$2:$B$15,2,0)&lt;&gt;0,VLOOKUP(A158,'1. Set Program Names'!$A$2:$B$15,2,0),"")</f>
        <v/>
      </c>
      <c r="C158" s="8"/>
      <c r="D158" s="8"/>
      <c r="E158" s="8"/>
      <c r="F158" s="8"/>
      <c r="G158" s="8"/>
      <c r="H158" s="8"/>
      <c r="I158" s="8"/>
      <c r="J158" s="8"/>
      <c r="K158" s="8"/>
      <c r="L158" s="8"/>
    </row>
    <row r="159" spans="1:12" hidden="1" x14ac:dyDescent="0.25">
      <c r="A159" t="s">
        <v>21</v>
      </c>
      <c r="B159" s="8" t="str">
        <f>IF(VLOOKUP(A159,'1. Set Program Names'!$A$2:$B$15,2,0)&lt;&gt;0,VLOOKUP(A159,'1. Set Program Names'!$A$2:$B$15,2,0),"")</f>
        <v/>
      </c>
      <c r="C159" s="8"/>
      <c r="D159" s="8"/>
      <c r="E159" s="8"/>
      <c r="F159" s="8"/>
      <c r="G159" s="8"/>
      <c r="H159" s="8"/>
      <c r="I159" s="8"/>
      <c r="J159" s="8"/>
      <c r="K159" s="8"/>
      <c r="L159" s="8"/>
    </row>
    <row r="160" spans="1:12" hidden="1" x14ac:dyDescent="0.25">
      <c r="A160" t="s">
        <v>22</v>
      </c>
      <c r="B160" s="8" t="str">
        <f>IF(VLOOKUP(A160,'1. Set Program Names'!$A$2:$B$15,2,0)&lt;&gt;0,VLOOKUP(A160,'1. Set Program Names'!$A$2:$B$15,2,0),"")</f>
        <v/>
      </c>
      <c r="C160" s="8"/>
      <c r="D160" s="8"/>
      <c r="E160" s="8"/>
      <c r="F160" s="8"/>
      <c r="G160" s="8"/>
      <c r="H160" s="8"/>
      <c r="I160" s="8"/>
      <c r="J160" s="8"/>
      <c r="K160" s="8"/>
      <c r="L160" s="8"/>
    </row>
    <row r="161" spans="1:12" hidden="1" x14ac:dyDescent="0.25">
      <c r="A161" t="s">
        <v>23</v>
      </c>
      <c r="B161" s="8" t="str">
        <f>IF(VLOOKUP(A161,'1. Set Program Names'!$A$2:$B$15,2,0)&lt;&gt;0,VLOOKUP(A161,'1. Set Program Names'!$A$2:$B$15,2,0),"")</f>
        <v/>
      </c>
      <c r="C161" s="8"/>
      <c r="D161" s="8"/>
      <c r="E161" s="8"/>
      <c r="F161" s="8"/>
      <c r="G161" s="8"/>
      <c r="H161" s="8"/>
      <c r="I161" s="8"/>
      <c r="J161" s="8"/>
      <c r="K161" s="8"/>
      <c r="L161" s="8"/>
    </row>
    <row r="162" spans="1:12" hidden="1" x14ac:dyDescent="0.25">
      <c r="B162" s="9" t="s">
        <v>219</v>
      </c>
      <c r="C162" s="10"/>
      <c r="D162" s="10"/>
      <c r="E162" s="10"/>
      <c r="F162" s="10"/>
      <c r="G162" s="10"/>
      <c r="H162" s="10"/>
      <c r="I162" s="10"/>
      <c r="J162" s="10"/>
      <c r="K162" s="10"/>
      <c r="L162" s="10"/>
    </row>
    <row r="163" spans="1:12" hidden="1" x14ac:dyDescent="0.25">
      <c r="B163" s="12" t="s">
        <v>220</v>
      </c>
      <c r="C163" s="13"/>
      <c r="D163" s="13"/>
      <c r="E163" s="13"/>
      <c r="F163" s="13"/>
      <c r="G163" s="13"/>
      <c r="H163" s="13"/>
      <c r="I163" s="13"/>
      <c r="J163" s="13"/>
      <c r="K163" s="13"/>
      <c r="L163" s="13"/>
    </row>
  </sheetData>
  <mergeCells count="3">
    <mergeCell ref="P1:S1"/>
    <mergeCell ref="T1:W1"/>
    <mergeCell ref="X1:AA1"/>
  </mergeCells>
  <phoneticPr fontId="4" type="noConversion"/>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563CA-EF35-4E6E-9C82-566170C473B1}">
  <sheetPr>
    <tabColor theme="9"/>
  </sheetPr>
  <dimension ref="A1:O62"/>
  <sheetViews>
    <sheetView topLeftCell="A40" workbookViewId="0">
      <selection activeCell="H47" sqref="H47"/>
    </sheetView>
  </sheetViews>
  <sheetFormatPr defaultRowHeight="15" x14ac:dyDescent="0.25"/>
  <cols>
    <col min="2" max="2" width="12.5703125" customWidth="1"/>
    <col min="6" max="6" width="10" bestFit="1" customWidth="1"/>
    <col min="11" max="11" width="22.5703125" customWidth="1"/>
    <col min="14" max="14" width="32.140625" customWidth="1"/>
  </cols>
  <sheetData>
    <row r="1" spans="1:15" x14ac:dyDescent="0.25">
      <c r="A1" t="s">
        <v>378</v>
      </c>
      <c r="N1" s="58" t="s">
        <v>377</v>
      </c>
      <c r="O1" s="7" t="s">
        <v>331</v>
      </c>
    </row>
    <row r="2" spans="1:15" x14ac:dyDescent="0.25">
      <c r="N2" s="54" t="s">
        <v>376</v>
      </c>
      <c r="O2" t="s">
        <v>316</v>
      </c>
    </row>
    <row r="3" spans="1:15" x14ac:dyDescent="0.25">
      <c r="B3" t="s">
        <v>375</v>
      </c>
      <c r="N3" s="54" t="s">
        <v>374</v>
      </c>
      <c r="O3" t="s">
        <v>343</v>
      </c>
    </row>
    <row r="4" spans="1:15" x14ac:dyDescent="0.25">
      <c r="B4" t="s">
        <v>373</v>
      </c>
      <c r="N4" s="54" t="s">
        <v>372</v>
      </c>
      <c r="O4" t="s">
        <v>343</v>
      </c>
    </row>
    <row r="5" spans="1:15" x14ac:dyDescent="0.25">
      <c r="B5" t="s">
        <v>371</v>
      </c>
      <c r="N5" s="54" t="s">
        <v>370</v>
      </c>
      <c r="O5" t="s">
        <v>343</v>
      </c>
    </row>
    <row r="6" spans="1:15" x14ac:dyDescent="0.25">
      <c r="B6" t="s">
        <v>369</v>
      </c>
      <c r="N6" s="54" t="s">
        <v>368</v>
      </c>
      <c r="O6" t="s">
        <v>367</v>
      </c>
    </row>
    <row r="7" spans="1:15" x14ac:dyDescent="0.25">
      <c r="N7" s="54" t="s">
        <v>366</v>
      </c>
      <c r="O7" t="s">
        <v>316</v>
      </c>
    </row>
    <row r="8" spans="1:15" x14ac:dyDescent="0.25">
      <c r="N8" s="54" t="s">
        <v>365</v>
      </c>
      <c r="O8" t="s">
        <v>317</v>
      </c>
    </row>
    <row r="9" spans="1:15" x14ac:dyDescent="0.25">
      <c r="B9" s="57"/>
      <c r="N9" s="54" t="s">
        <v>364</v>
      </c>
      <c r="O9" t="s">
        <v>343</v>
      </c>
    </row>
    <row r="10" spans="1:15" x14ac:dyDescent="0.25">
      <c r="A10" t="s">
        <v>363</v>
      </c>
      <c r="N10" s="54" t="s">
        <v>296</v>
      </c>
      <c r="O10" t="s">
        <v>316</v>
      </c>
    </row>
    <row r="11" spans="1:15" x14ac:dyDescent="0.25">
      <c r="B11" t="s">
        <v>362</v>
      </c>
      <c r="N11" s="54" t="s">
        <v>361</v>
      </c>
      <c r="O11" t="s">
        <v>343</v>
      </c>
    </row>
    <row r="12" spans="1:15" x14ac:dyDescent="0.25">
      <c r="C12" t="s">
        <v>360</v>
      </c>
      <c r="D12" t="s">
        <v>359</v>
      </c>
      <c r="F12" s="3"/>
      <c r="I12" s="47" t="s">
        <v>358</v>
      </c>
      <c r="J12" s="3"/>
      <c r="N12" s="54" t="s">
        <v>357</v>
      </c>
      <c r="O12" t="s">
        <v>316</v>
      </c>
    </row>
    <row r="13" spans="1:15" x14ac:dyDescent="0.25">
      <c r="D13" t="s">
        <v>303</v>
      </c>
      <c r="F13" s="3"/>
      <c r="I13" s="47" t="s">
        <v>356</v>
      </c>
      <c r="J13" s="3"/>
      <c r="N13" s="54" t="s">
        <v>355</v>
      </c>
      <c r="O13" t="s">
        <v>343</v>
      </c>
    </row>
    <row r="14" spans="1:15" x14ac:dyDescent="0.25">
      <c r="D14" t="s">
        <v>354</v>
      </c>
      <c r="F14" s="3"/>
      <c r="N14" s="54" t="s">
        <v>353</v>
      </c>
      <c r="O14" t="s">
        <v>343</v>
      </c>
    </row>
    <row r="15" spans="1:15" x14ac:dyDescent="0.25">
      <c r="D15" t="s">
        <v>352</v>
      </c>
      <c r="F15" s="3"/>
      <c r="N15" s="54" t="s">
        <v>351</v>
      </c>
      <c r="O15" t="s">
        <v>343</v>
      </c>
    </row>
    <row r="16" spans="1:15" x14ac:dyDescent="0.25">
      <c r="C16" t="s">
        <v>350</v>
      </c>
      <c r="D16" t="s">
        <v>349</v>
      </c>
      <c r="N16" s="54" t="s">
        <v>348</v>
      </c>
      <c r="O16" t="s">
        <v>316</v>
      </c>
    </row>
    <row r="17" spans="2:15" x14ac:dyDescent="0.25">
      <c r="D17" t="s">
        <v>347</v>
      </c>
      <c r="N17" s="54" t="s">
        <v>346</v>
      </c>
      <c r="O17" t="s">
        <v>316</v>
      </c>
    </row>
    <row r="18" spans="2:15" x14ac:dyDescent="0.25">
      <c r="D18" t="s">
        <v>303</v>
      </c>
      <c r="N18" s="54" t="s">
        <v>345</v>
      </c>
      <c r="O18" t="s">
        <v>343</v>
      </c>
    </row>
    <row r="19" spans="2:15" x14ac:dyDescent="0.25">
      <c r="D19" t="s">
        <v>305</v>
      </c>
      <c r="N19" s="54" t="s">
        <v>344</v>
      </c>
      <c r="O19" t="s">
        <v>343</v>
      </c>
    </row>
    <row r="20" spans="2:15" x14ac:dyDescent="0.25">
      <c r="B20" t="s">
        <v>342</v>
      </c>
      <c r="N20" s="54" t="s">
        <v>341</v>
      </c>
      <c r="O20" t="s">
        <v>340</v>
      </c>
    </row>
    <row r="21" spans="2:15" x14ac:dyDescent="0.25">
      <c r="C21" t="s">
        <v>339</v>
      </c>
      <c r="N21" s="54" t="s">
        <v>338</v>
      </c>
      <c r="O21" t="s">
        <v>317</v>
      </c>
    </row>
    <row r="22" spans="2:15" x14ac:dyDescent="0.25">
      <c r="C22" t="s">
        <v>337</v>
      </c>
      <c r="N22" s="54" t="s">
        <v>336</v>
      </c>
      <c r="O22" t="s">
        <v>316</v>
      </c>
    </row>
    <row r="23" spans="2:15" x14ac:dyDescent="0.25">
      <c r="N23" s="54" t="s">
        <v>335</v>
      </c>
      <c r="O23" t="s">
        <v>316</v>
      </c>
    </row>
    <row r="24" spans="2:15" x14ac:dyDescent="0.25">
      <c r="B24" t="s">
        <v>334</v>
      </c>
      <c r="N24" s="54" t="s">
        <v>333</v>
      </c>
      <c r="O24" t="s">
        <v>316</v>
      </c>
    </row>
    <row r="25" spans="2:15" x14ac:dyDescent="0.25">
      <c r="N25" s="56"/>
    </row>
    <row r="26" spans="2:15" x14ac:dyDescent="0.25">
      <c r="N26" s="56"/>
    </row>
    <row r="27" spans="2:15" x14ac:dyDescent="0.25">
      <c r="B27" t="s">
        <v>380</v>
      </c>
      <c r="N27" s="55" t="s">
        <v>332</v>
      </c>
      <c r="O27" s="7" t="s">
        <v>331</v>
      </c>
    </row>
    <row r="28" spans="2:15" x14ac:dyDescent="0.25">
      <c r="N28" s="54" t="s">
        <v>330</v>
      </c>
      <c r="O28" t="s">
        <v>329</v>
      </c>
    </row>
    <row r="29" spans="2:15" x14ac:dyDescent="0.25">
      <c r="N29" s="54" t="s">
        <v>328</v>
      </c>
      <c r="O29" t="s">
        <v>317</v>
      </c>
    </row>
    <row r="30" spans="2:15" x14ac:dyDescent="0.25">
      <c r="N30" s="54" t="s">
        <v>327</v>
      </c>
      <c r="O30" t="s">
        <v>317</v>
      </c>
    </row>
    <row r="31" spans="2:15" x14ac:dyDescent="0.25">
      <c r="N31" s="54" t="s">
        <v>326</v>
      </c>
      <c r="O31" t="s">
        <v>317</v>
      </c>
    </row>
    <row r="32" spans="2:15" x14ac:dyDescent="0.25">
      <c r="N32" s="54" t="s">
        <v>325</v>
      </c>
      <c r="O32" t="s">
        <v>317</v>
      </c>
    </row>
    <row r="33" spans="2:15" x14ac:dyDescent="0.25">
      <c r="N33" s="54" t="s">
        <v>324</v>
      </c>
      <c r="O33" t="s">
        <v>312</v>
      </c>
    </row>
    <row r="34" spans="2:15" x14ac:dyDescent="0.25">
      <c r="N34" s="54" t="s">
        <v>323</v>
      </c>
      <c r="O34" t="s">
        <v>322</v>
      </c>
    </row>
    <row r="35" spans="2:15" x14ac:dyDescent="0.25">
      <c r="N35" s="54" t="s">
        <v>321</v>
      </c>
      <c r="O35" t="s">
        <v>317</v>
      </c>
    </row>
    <row r="36" spans="2:15" x14ac:dyDescent="0.25">
      <c r="N36" s="54" t="s">
        <v>320</v>
      </c>
      <c r="O36" t="s">
        <v>317</v>
      </c>
    </row>
    <row r="37" spans="2:15" x14ac:dyDescent="0.25">
      <c r="N37" s="54" t="s">
        <v>319</v>
      </c>
      <c r="O37" t="s">
        <v>317</v>
      </c>
    </row>
    <row r="38" spans="2:15" x14ac:dyDescent="0.25">
      <c r="N38" s="54" t="s">
        <v>318</v>
      </c>
      <c r="O38" t="s">
        <v>317</v>
      </c>
    </row>
    <row r="39" spans="2:15" x14ac:dyDescent="0.25">
      <c r="N39" s="54" t="s">
        <v>231</v>
      </c>
      <c r="O39" t="s">
        <v>316</v>
      </c>
    </row>
    <row r="40" spans="2:15" x14ac:dyDescent="0.25">
      <c r="N40" s="54" t="s">
        <v>315</v>
      </c>
      <c r="O40" t="s">
        <v>314</v>
      </c>
    </row>
    <row r="41" spans="2:15" x14ac:dyDescent="0.25">
      <c r="N41" s="54" t="s">
        <v>313</v>
      </c>
      <c r="O41" t="s">
        <v>312</v>
      </c>
    </row>
    <row r="43" spans="2:15" x14ac:dyDescent="0.25">
      <c r="B43" s="60" t="s">
        <v>390</v>
      </c>
      <c r="C43" s="61"/>
      <c r="D43" s="61"/>
      <c r="E43" s="62"/>
      <c r="F43" s="60" t="s">
        <v>221</v>
      </c>
      <c r="G43" s="61" t="s">
        <v>388</v>
      </c>
      <c r="H43" s="62" t="s">
        <v>389</v>
      </c>
    </row>
    <row r="44" spans="2:15" x14ac:dyDescent="0.25">
      <c r="B44" s="63" t="s">
        <v>381</v>
      </c>
      <c r="E44" s="64"/>
      <c r="F44" s="63">
        <v>332</v>
      </c>
      <c r="G44">
        <v>154.19999999999999</v>
      </c>
      <c r="H44" s="68">
        <f>G44*10^3/F44</f>
        <v>464.45783132530119</v>
      </c>
    </row>
    <row r="45" spans="2:15" x14ac:dyDescent="0.25">
      <c r="B45" s="63" t="s">
        <v>382</v>
      </c>
      <c r="E45" s="64"/>
      <c r="F45" s="63">
        <v>389</v>
      </c>
      <c r="G45">
        <v>99.6</v>
      </c>
      <c r="H45" s="68">
        <f>G45*10^3/F45</f>
        <v>256.04113110539845</v>
      </c>
    </row>
    <row r="46" spans="2:15" x14ac:dyDescent="0.25">
      <c r="B46" s="63" t="s">
        <v>383</v>
      </c>
      <c r="E46" s="64"/>
      <c r="F46" s="63">
        <v>200</v>
      </c>
      <c r="G46">
        <v>56.8</v>
      </c>
      <c r="H46" s="68">
        <f t="shared" ref="H46:H50" si="0">G46*10^3/F46</f>
        <v>284</v>
      </c>
    </row>
    <row r="47" spans="2:15" x14ac:dyDescent="0.25">
      <c r="B47" s="63" t="s">
        <v>384</v>
      </c>
      <c r="E47" s="64"/>
      <c r="F47" s="63">
        <v>936</v>
      </c>
      <c r="G47">
        <v>539.79999999999995</v>
      </c>
      <c r="H47" s="68">
        <f t="shared" si="0"/>
        <v>576.70940170940173</v>
      </c>
    </row>
    <row r="48" spans="2:15" x14ac:dyDescent="0.25">
      <c r="B48" s="63" t="s">
        <v>385</v>
      </c>
      <c r="E48" s="64"/>
      <c r="F48" s="63">
        <v>86</v>
      </c>
      <c r="G48">
        <v>66.2</v>
      </c>
      <c r="H48" s="68">
        <f t="shared" si="0"/>
        <v>769.76744186046517</v>
      </c>
    </row>
    <row r="49" spans="2:8" x14ac:dyDescent="0.25">
      <c r="B49" s="63" t="s">
        <v>386</v>
      </c>
      <c r="E49" s="64"/>
      <c r="F49" s="63">
        <v>142</v>
      </c>
      <c r="G49">
        <v>124.6</v>
      </c>
      <c r="H49" s="68">
        <f t="shared" si="0"/>
        <v>877.46478873239437</v>
      </c>
    </row>
    <row r="50" spans="2:8" x14ac:dyDescent="0.25">
      <c r="B50" s="65" t="s">
        <v>387</v>
      </c>
      <c r="C50" s="66"/>
      <c r="D50" s="66"/>
      <c r="E50" s="67"/>
      <c r="F50" s="65">
        <v>452</v>
      </c>
      <c r="G50" s="66">
        <v>814.3</v>
      </c>
      <c r="H50" s="69">
        <f t="shared" si="0"/>
        <v>1801.5486725663716</v>
      </c>
    </row>
    <row r="52" spans="2:8" x14ac:dyDescent="0.25">
      <c r="B52" t="s">
        <v>394</v>
      </c>
    </row>
    <row r="53" spans="2:8" x14ac:dyDescent="0.25">
      <c r="B53" t="s">
        <v>391</v>
      </c>
    </row>
    <row r="54" spans="2:8" x14ac:dyDescent="0.25">
      <c r="B54" t="s">
        <v>392</v>
      </c>
    </row>
    <row r="55" spans="2:8" x14ac:dyDescent="0.25">
      <c r="B55" t="s">
        <v>393</v>
      </c>
    </row>
    <row r="57" spans="2:8" x14ac:dyDescent="0.25">
      <c r="B57" t="s">
        <v>395</v>
      </c>
    </row>
    <row r="58" spans="2:8" x14ac:dyDescent="0.25">
      <c r="B58" t="s">
        <v>396</v>
      </c>
    </row>
    <row r="60" spans="2:8" x14ac:dyDescent="0.25">
      <c r="B60" t="s">
        <v>397</v>
      </c>
    </row>
    <row r="61" spans="2:8" x14ac:dyDescent="0.25">
      <c r="B61" t="s">
        <v>398</v>
      </c>
    </row>
    <row r="62" spans="2:8" x14ac:dyDescent="0.25">
      <c r="B62" t="s">
        <v>399</v>
      </c>
    </row>
  </sheetData>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D7892-503E-4792-ACD3-AD8540E5F5B7}">
  <sheetPr>
    <tabColor theme="1"/>
  </sheetPr>
  <dimension ref="A1:CE835"/>
  <sheetViews>
    <sheetView zoomScale="80" zoomScaleNormal="80" workbookViewId="0">
      <pane ySplit="1" topLeftCell="A210" activePane="bottomLeft" state="frozen"/>
      <selection pane="bottomLeft" activeCell="I255" sqref="I255"/>
    </sheetView>
  </sheetViews>
  <sheetFormatPr defaultRowHeight="15" x14ac:dyDescent="0.25"/>
  <cols>
    <col min="1" max="1" width="13.42578125" customWidth="1"/>
    <col min="3" max="3" width="17.28515625" customWidth="1"/>
    <col min="4" max="4" width="15.7109375" customWidth="1"/>
    <col min="5" max="5" width="15.140625" customWidth="1"/>
    <col min="6" max="6" width="21.5703125" customWidth="1"/>
    <col min="7" max="7" width="19.28515625" customWidth="1"/>
    <col min="8" max="8" width="13.5703125" customWidth="1"/>
    <col min="9" max="9" width="23.28515625" customWidth="1"/>
    <col min="10" max="10" width="14.140625" customWidth="1"/>
    <col min="12" max="12" width="12.85546875" customWidth="1"/>
    <col min="13" max="13" width="20.140625" customWidth="1"/>
    <col min="14" max="14" width="19" customWidth="1"/>
    <col min="15" max="15" width="23.28515625" customWidth="1"/>
    <col min="16" max="16" width="16.7109375" customWidth="1"/>
    <col min="17" max="17" width="14.42578125" customWidth="1"/>
    <col min="18" max="18" width="20.7109375" customWidth="1"/>
    <col min="19" max="19" width="20.28515625" customWidth="1"/>
    <col min="20" max="20" width="19.42578125" customWidth="1"/>
    <col min="21" max="21" width="26.42578125" customWidth="1"/>
    <col min="32" max="32" width="12.28515625" customWidth="1"/>
    <col min="33" max="33" width="59.28515625" customWidth="1"/>
    <col min="34" max="34" width="13.140625" customWidth="1"/>
    <col min="45" max="45" width="17.7109375" customWidth="1"/>
    <col min="46" max="47" width="17.7109375" style="3" customWidth="1"/>
    <col min="48" max="48" width="16.140625" style="4" customWidth="1"/>
    <col min="49" max="50" width="21.42578125" style="4" customWidth="1"/>
    <col min="51" max="51" width="22.28515625" style="4" customWidth="1"/>
    <col min="52" max="52" width="19.28515625" customWidth="1"/>
    <col min="53" max="53" width="30.28515625" customWidth="1"/>
    <col min="64" max="64" width="11.5703125" customWidth="1"/>
    <col min="74" max="74" width="10" bestFit="1" customWidth="1"/>
  </cols>
  <sheetData>
    <row r="1" spans="1:83" x14ac:dyDescent="0.25">
      <c r="A1" s="2" t="s">
        <v>24</v>
      </c>
      <c r="B1" s="2" t="s">
        <v>25</v>
      </c>
      <c r="C1" s="2" t="s">
        <v>26</v>
      </c>
      <c r="D1" s="2" t="s">
        <v>27</v>
      </c>
      <c r="E1" s="2" t="s">
        <v>28</v>
      </c>
      <c r="F1" s="2" t="s">
        <v>29</v>
      </c>
      <c r="G1" s="2" t="s">
        <v>30</v>
      </c>
      <c r="H1" s="2" t="s">
        <v>31</v>
      </c>
      <c r="I1" s="2" t="s">
        <v>32</v>
      </c>
      <c r="J1" s="2" t="s">
        <v>33</v>
      </c>
      <c r="K1" s="2" t="s">
        <v>34</v>
      </c>
      <c r="L1" s="2" t="s">
        <v>35</v>
      </c>
      <c r="M1" s="2" t="s">
        <v>36</v>
      </c>
      <c r="N1" s="2" t="s">
        <v>37</v>
      </c>
      <c r="O1" s="2" t="s">
        <v>38</v>
      </c>
      <c r="P1" s="2" t="s">
        <v>39</v>
      </c>
      <c r="Q1" s="2" t="s">
        <v>40</v>
      </c>
      <c r="R1" s="2" t="s">
        <v>41</v>
      </c>
      <c r="S1" s="2" t="s">
        <v>42</v>
      </c>
      <c r="T1" s="2" t="s">
        <v>43</v>
      </c>
      <c r="U1" s="2" t="s">
        <v>44</v>
      </c>
      <c r="V1" s="2" t="s">
        <v>45</v>
      </c>
      <c r="W1" s="2" t="s">
        <v>46</v>
      </c>
      <c r="X1" s="2" t="s">
        <v>47</v>
      </c>
      <c r="Y1" s="2" t="s">
        <v>48</v>
      </c>
      <c r="Z1" s="2" t="s">
        <v>49</v>
      </c>
      <c r="AA1" s="2" t="s">
        <v>50</v>
      </c>
      <c r="AB1" s="2" t="s">
        <v>51</v>
      </c>
      <c r="AC1" s="2" t="s">
        <v>52</v>
      </c>
      <c r="AD1" s="2" t="s">
        <v>53</v>
      </c>
      <c r="AE1" s="2" t="s">
        <v>54</v>
      </c>
      <c r="AF1" t="s">
        <v>55</v>
      </c>
      <c r="AG1" t="s">
        <v>56</v>
      </c>
      <c r="AH1" t="s">
        <v>57</v>
      </c>
      <c r="AI1" t="s">
        <v>58</v>
      </c>
      <c r="AJ1" t="s">
        <v>59</v>
      </c>
      <c r="AK1" t="s">
        <v>60</v>
      </c>
      <c r="AL1" t="s">
        <v>61</v>
      </c>
      <c r="AM1" t="s">
        <v>62</v>
      </c>
      <c r="AN1" t="s">
        <v>63</v>
      </c>
      <c r="AO1" t="s">
        <v>64</v>
      </c>
      <c r="AP1" t="s">
        <v>65</v>
      </c>
      <c r="AQ1" t="s">
        <v>66</v>
      </c>
      <c r="AR1" t="s">
        <v>67</v>
      </c>
      <c r="AS1" t="s">
        <v>68</v>
      </c>
      <c r="AT1" s="3" t="s">
        <v>69</v>
      </c>
      <c r="AU1" s="3" t="s">
        <v>70</v>
      </c>
      <c r="AV1" s="4" t="s">
        <v>71</v>
      </c>
      <c r="AW1" s="4" t="s">
        <v>72</v>
      </c>
      <c r="AX1" s="4" t="s">
        <v>73</v>
      </c>
      <c r="AY1" s="4" t="s">
        <v>74</v>
      </c>
      <c r="AZ1" t="s">
        <v>75</v>
      </c>
      <c r="BA1" t="s">
        <v>76</v>
      </c>
      <c r="BB1" s="30" t="s">
        <v>77</v>
      </c>
      <c r="BC1" s="30" t="s">
        <v>78</v>
      </c>
      <c r="BD1" s="30" t="s">
        <v>79</v>
      </c>
      <c r="BE1" s="30" t="s">
        <v>80</v>
      </c>
      <c r="BF1" s="30" t="s">
        <v>81</v>
      </c>
      <c r="BG1" s="30" t="s">
        <v>82</v>
      </c>
      <c r="BH1" s="30" t="s">
        <v>83</v>
      </c>
      <c r="BI1" s="30" t="s">
        <v>84</v>
      </c>
      <c r="BJ1" s="30" t="s">
        <v>85</v>
      </c>
      <c r="BK1" s="30" t="s">
        <v>86</v>
      </c>
      <c r="BL1" s="40" t="s">
        <v>274</v>
      </c>
      <c r="BM1" s="40" t="s">
        <v>275</v>
      </c>
      <c r="BN1" s="40" t="s">
        <v>276</v>
      </c>
      <c r="BO1" s="40" t="s">
        <v>277</v>
      </c>
      <c r="BP1" s="40" t="s">
        <v>278</v>
      </c>
      <c r="BQ1" s="40" t="s">
        <v>279</v>
      </c>
      <c r="BR1" s="40" t="s">
        <v>280</v>
      </c>
      <c r="BS1" s="40" t="s">
        <v>281</v>
      </c>
      <c r="BT1" s="40" t="s">
        <v>282</v>
      </c>
      <c r="BU1" s="40" t="s">
        <v>283</v>
      </c>
      <c r="BV1" s="41" t="s">
        <v>284</v>
      </c>
      <c r="BW1" s="41" t="s">
        <v>285</v>
      </c>
      <c r="BX1" s="41" t="s">
        <v>286</v>
      </c>
      <c r="BY1" s="41" t="s">
        <v>287</v>
      </c>
      <c r="BZ1" s="41" t="s">
        <v>288</v>
      </c>
      <c r="CA1" s="41" t="s">
        <v>289</v>
      </c>
      <c r="CB1" s="41" t="s">
        <v>290</v>
      </c>
      <c r="CC1" s="41" t="s">
        <v>291</v>
      </c>
      <c r="CD1" s="41" t="s">
        <v>292</v>
      </c>
      <c r="CE1" s="41" t="s">
        <v>293</v>
      </c>
    </row>
    <row r="2" spans="1:83" x14ac:dyDescent="0.25">
      <c r="A2" s="20" t="s">
        <v>87</v>
      </c>
      <c r="B2" s="20" t="s">
        <v>88</v>
      </c>
      <c r="C2" s="20" t="s">
        <v>89</v>
      </c>
      <c r="D2" s="20" t="s">
        <v>90</v>
      </c>
      <c r="E2" s="20" t="s">
        <v>91</v>
      </c>
      <c r="F2" s="20" t="s">
        <v>90</v>
      </c>
      <c r="G2" s="20" t="s">
        <v>92</v>
      </c>
      <c r="H2" s="20" t="s">
        <v>5</v>
      </c>
      <c r="I2" s="20" t="s">
        <v>93</v>
      </c>
      <c r="J2" s="20" t="s">
        <v>94</v>
      </c>
      <c r="K2" s="20" t="s">
        <v>95</v>
      </c>
      <c r="L2" s="20">
        <v>1200.2266666666601</v>
      </c>
      <c r="M2" s="20">
        <v>4.8097974252120097E-2</v>
      </c>
      <c r="N2" s="20">
        <v>0.22310492157346501</v>
      </c>
      <c r="O2" s="20">
        <v>1210</v>
      </c>
      <c r="P2" s="20">
        <v>933.85922631496703</v>
      </c>
      <c r="Q2" s="20">
        <v>356.74228738962802</v>
      </c>
      <c r="R2" s="20">
        <v>571.53970184074296</v>
      </c>
      <c r="S2" s="20">
        <v>1535.35818196214</v>
      </c>
      <c r="T2" s="20">
        <v>15</v>
      </c>
      <c r="U2" s="20">
        <v>0.7</v>
      </c>
      <c r="V2" s="20">
        <v>50583.657811268102</v>
      </c>
      <c r="W2" s="20">
        <v>53743.2969186993</v>
      </c>
      <c r="X2" s="20">
        <v>56880.246008305097</v>
      </c>
      <c r="Y2" s="20">
        <v>60089.635580011098</v>
      </c>
      <c r="Z2" s="20">
        <v>63367.999270046697</v>
      </c>
      <c r="AA2" s="20">
        <v>66530.780029917194</v>
      </c>
      <c r="AB2" s="20">
        <v>70070.764523440695</v>
      </c>
      <c r="AC2" s="20">
        <v>74129.393410731107</v>
      </c>
      <c r="AD2" s="20">
        <v>78740.084174296702</v>
      </c>
      <c r="AE2" s="20">
        <v>83919.140029408794</v>
      </c>
      <c r="AF2" t="str">
        <f t="shared" ref="AF2:AF65" si="0">IF(C2="Residential","Residential","NonResidential")</f>
        <v>Residential</v>
      </c>
      <c r="AG2" t="str">
        <f>tbl_Data_old[[#This Row],[All_Meas_Name_Append]]</f>
        <v>120v Heat Pump Water Heater 50 Gallons</v>
      </c>
      <c r="AH2">
        <f>AVERAGEIFS('3. Incentive Adjustment'!G:G,'3. Incentive Adjustment'!A:A,tbl_Data_old[[#This Row],[Trimmed Sector]],'3. Incentive Adjustment'!B:B,tbl_Data_old[[#This Row],[Trimmed Measure Name]])</f>
        <v>0.38528347196238832</v>
      </c>
      <c r="AI2">
        <f>$AH2*tbl_Data_old[[#This Row],[2025 ]]</f>
        <v>19489.047306082757</v>
      </c>
      <c r="AJ2">
        <f>$AH2*tbl_Data_old[[#This Row],[2026 ]]</f>
        <v>20706.404031541992</v>
      </c>
      <c r="AK2">
        <f>$AH2*tbl_Data_old[[#This Row],[2027 ]]</f>
        <v>21915.018668154567</v>
      </c>
      <c r="AL2">
        <f>$AH2*tbl_Data_old[[#This Row],[2028 ]]</f>
        <v>23151.543425221338</v>
      </c>
      <c r="AM2">
        <f>$AH2*tbl_Data_old[[#This Row],[2029 ]]</f>
        <v>24414.642770073682</v>
      </c>
      <c r="AN2">
        <f>$AH2*tbl_Data_old[[#This Row],[2030 ]]</f>
        <v>25633.209922292426</v>
      </c>
      <c r="AO2">
        <f>$AH2*tbl_Data_old[[#This Row],[2031 ]]</f>
        <v>26997.107438650179</v>
      </c>
      <c r="AP2">
        <f>$AH2*tbl_Data_old[[#This Row],[2032 ]]</f>
        <v>28560.830067752271</v>
      </c>
      <c r="AQ2">
        <f>$AH2*tbl_Data_old[[#This Row],[2033 ]]</f>
        <v>30337.253013283742</v>
      </c>
      <c r="AR2">
        <f>$AH2*tbl_Data_old[[#This Row],[2034 ]]</f>
        <v>32332.657634628464</v>
      </c>
      <c r="AS2">
        <f>SUM(tbl_Data_old[[#This Row],[Adjusted 2025]:[Adjusted 2034]])</f>
        <v>253537.71427768143</v>
      </c>
      <c r="AT2" s="3">
        <f>AVERAGEIFS('3. Incentive Adjustment'!F:F,'3. Incentive Adjustment'!A:A,tbl_Data_old[[#This Row],[Trimmed Sector]],'3. Incentive Adjustment'!B:B,tbl_Data_old[[#This Row],[Trimmed Measure Name]])</f>
        <v>500</v>
      </c>
      <c r="AU2" s="3">
        <f>IFERROR(VLOOKUP(tbl_Data_old[[#This Row],[All_Meas_Name_Append]],'IRA Tax Credits'!$A$3:$D$46,4,0),0)</f>
        <v>1666.6666666666667</v>
      </c>
      <c r="AV2" s="4">
        <f>tbl_Data_old[[#This Row],[Adj. per unit Incentive ($)]]/tbl_Data_old[[#This Row],[kWh Savings]]*tbl_Data_old[[#This Row],[Sum of Annuals]]</f>
        <v>105620.76369367015</v>
      </c>
      <c r="AW2" s="4">
        <f>IFERROR(VLOOKUP(tbl_Data_old[[#This Row],[All_Programs]],'1. Set Program Names'!$B$2:$D$15,3,0)*tbl_Data_old[[#This Row],[Sum of Annuals]],"")</f>
        <v>113038.17850775765</v>
      </c>
      <c r="AX2" s="4">
        <f>tbl_Data_old[[#This Row],[per unit IRA tax ($)]]/tbl_Data_old[[#This Row],[kWh Savings]]*tbl_Data_old[[#This Row],[Sum of Annuals]]</f>
        <v>352069.21231223381</v>
      </c>
      <c r="AY2" s="4">
        <f>tbl_Data_old[[#This Row],[Avoided Costs ($/unit)]]/tbl_Data_old[[#This Row],[kWh Savings]]*tbl_Data_old[[#This Row],[Sum of Annuals]]</f>
        <v>120732.91957934361</v>
      </c>
      <c r="AZ2" s="4">
        <f>tbl_Data_old[[#This Row],[Lost Revenue ($/unit)]]/tbl_Data_old[[#This Row],[kWh Savings]]*tbl_Data_old[[#This Row],[Sum of Annuals]]</f>
        <v>324331.40744433238</v>
      </c>
      <c r="BA2" s="4">
        <f>tbl_Data_old[[#This Row],[Incremental Cost ($/unit)]]/tbl_Data_old[[#This Row],[kWh Savings]]*tbl_Data_old[[#This Row],[Sum of Annuals]]</f>
        <v>255602.24813868172</v>
      </c>
      <c r="BB2">
        <f>ROUNDUP(tbl_Data_old[[#This Row],[Adjusted 2025]]/$L2,0)</f>
        <v>17</v>
      </c>
      <c r="BC2">
        <f>ROUNDUP(tbl_Data_old[[#This Row],[Adjusted 2026]]/$L2,0)</f>
        <v>18</v>
      </c>
      <c r="BD2">
        <f>ROUNDUP(tbl_Data_old[[#This Row],[Adjusted 2027]]/$L2,0)</f>
        <v>19</v>
      </c>
      <c r="BE2">
        <f>ROUNDUP(tbl_Data_old[[#This Row],[Adjusted 2028]]/$L2,0)</f>
        <v>20</v>
      </c>
      <c r="BF2">
        <f>ROUNDUP(tbl_Data_old[[#This Row],[Adjusted 2029]]/$L2,0)</f>
        <v>21</v>
      </c>
      <c r="BG2">
        <f>ROUNDUP(tbl_Data_old[[#This Row],[Adjusted 2030]]/$L2,0)</f>
        <v>22</v>
      </c>
      <c r="BH2">
        <f>ROUNDUP(tbl_Data_old[[#This Row],[Adjusted 2031]]/$L2,0)</f>
        <v>23</v>
      </c>
      <c r="BI2">
        <f>ROUNDUP(tbl_Data_old[[#This Row],[Adjusted 2032]]/$L2,0)</f>
        <v>24</v>
      </c>
      <c r="BJ2">
        <f>ROUNDUP(tbl_Data_old[[#This Row],[Adjusted 2033]]/$L2,0)</f>
        <v>26</v>
      </c>
      <c r="BK2">
        <f>ROUNDUP(tbl_Data_old[[#This Row],[Adjusted 2034]]/$L2,0)</f>
        <v>27</v>
      </c>
      <c r="BL2" s="3">
        <f t="shared" ref="BL2:BU17" si="1">$AT2/$L2*V2</f>
        <v>21072.54371865941</v>
      </c>
      <c r="BM2" s="3">
        <f t="shared" si="1"/>
        <v>22388.811385085424</v>
      </c>
      <c r="BN2" s="3">
        <f t="shared" si="1"/>
        <v>23695.626662868712</v>
      </c>
      <c r="BO2" s="3">
        <f t="shared" si="1"/>
        <v>25032.619774602892</v>
      </c>
      <c r="BP2" s="3">
        <f t="shared" si="1"/>
        <v>26398.346674814358</v>
      </c>
      <c r="BQ2" s="3">
        <f t="shared" si="1"/>
        <v>27715.923115877093</v>
      </c>
      <c r="BR2" s="3">
        <f t="shared" si="1"/>
        <v>29190.638097570907</v>
      </c>
      <c r="BS2" s="3">
        <f t="shared" si="1"/>
        <v>30881.414098475085</v>
      </c>
      <c r="BT2" s="3">
        <f t="shared" si="1"/>
        <v>32802.172440051792</v>
      </c>
      <c r="BU2" s="3">
        <f t="shared" si="1"/>
        <v>34959.704845782981</v>
      </c>
      <c r="BV2" s="3">
        <f>VLOOKUP($H2,'1. Set Program Names'!$B$2:$D$15,3,0)*V2</f>
        <v>22552.402341937461</v>
      </c>
      <c r="BW2" s="3">
        <f>VLOOKUP($H2,'1. Set Program Names'!$B$2:$D$15,3,0)*W2</f>
        <v>23961.107356350931</v>
      </c>
      <c r="BX2" s="3">
        <f>VLOOKUP($H2,'1. Set Program Names'!$B$2:$D$15,3,0)*X2</f>
        <v>25359.696170527295</v>
      </c>
      <c r="BY2" s="3">
        <f>VLOOKUP($H2,'1. Set Program Names'!$B$2:$D$15,3,0)*Y2</f>
        <v>26790.582113239976</v>
      </c>
      <c r="BZ2" s="3">
        <f>VLOOKUP($H2,'1. Set Program Names'!$B$2:$D$15,3,0)*Z2</f>
        <v>28252.219728232929</v>
      </c>
      <c r="CA2" s="3">
        <f>VLOOKUP($H2,'1. Set Program Names'!$B$2:$D$15,3,0)*AA2</f>
        <v>29662.325428419146</v>
      </c>
      <c r="CB2" s="3">
        <f>VLOOKUP($H2,'1. Set Program Names'!$B$2:$D$15,3,0)*AB2</f>
        <v>31240.605015870759</v>
      </c>
      <c r="CC2" s="3">
        <f>VLOOKUP($H2,'1. Set Program Names'!$B$2:$D$15,3,0)*AC2</f>
        <v>33050.118909948884</v>
      </c>
      <c r="CD2" s="3">
        <f>VLOOKUP($H2,'1. Set Program Names'!$B$2:$D$15,3,0)*AD2</f>
        <v>35105.76608283924</v>
      </c>
      <c r="CE2" s="3">
        <f>VLOOKUP($H2,'1. Set Program Names'!$B$2:$D$15,3,0)*AE2</f>
        <v>37414.815219452612</v>
      </c>
    </row>
    <row r="3" spans="1:83" x14ac:dyDescent="0.25">
      <c r="A3" s="20" t="s">
        <v>87</v>
      </c>
      <c r="B3" s="20" t="s">
        <v>88</v>
      </c>
      <c r="C3" s="20" t="s">
        <v>89</v>
      </c>
      <c r="D3" s="20" t="s">
        <v>90</v>
      </c>
      <c r="E3" s="20" t="s">
        <v>91</v>
      </c>
      <c r="F3" s="20" t="s">
        <v>90</v>
      </c>
      <c r="G3" s="20" t="s">
        <v>92</v>
      </c>
      <c r="H3" s="20" t="s">
        <v>5</v>
      </c>
      <c r="I3" s="20" t="s">
        <v>96</v>
      </c>
      <c r="J3" s="20" t="s">
        <v>97</v>
      </c>
      <c r="K3" s="20" t="s">
        <v>98</v>
      </c>
      <c r="L3" s="20">
        <v>5868.07</v>
      </c>
      <c r="M3" s="20">
        <v>0.20813520080661799</v>
      </c>
      <c r="N3" s="20">
        <v>1.1349578069705</v>
      </c>
      <c r="O3" s="20">
        <v>1935.1666666666599</v>
      </c>
      <c r="P3" s="20">
        <v>513.45064263862798</v>
      </c>
      <c r="Q3" s="20">
        <v>1744.1611426417701</v>
      </c>
      <c r="R3" s="20">
        <v>3388.0400735263802</v>
      </c>
      <c r="S3" s="20">
        <v>7811.7411984889604</v>
      </c>
      <c r="T3" s="20">
        <v>16</v>
      </c>
      <c r="U3" s="20">
        <v>0.7</v>
      </c>
      <c r="V3" s="20">
        <v>316098.247087795</v>
      </c>
      <c r="W3" s="20">
        <v>334831.99711875699</v>
      </c>
      <c r="X3" s="20">
        <v>353285.86547068902</v>
      </c>
      <c r="Y3" s="20">
        <v>372050.99574705801</v>
      </c>
      <c r="Z3" s="20">
        <v>391104.53417562001</v>
      </c>
      <c r="AA3" s="20">
        <v>409310.94419871602</v>
      </c>
      <c r="AB3" s="20">
        <v>429702.89734812902</v>
      </c>
      <c r="AC3" s="20">
        <v>453125.10524323198</v>
      </c>
      <c r="AD3" s="20">
        <v>479751.31300606299</v>
      </c>
      <c r="AE3" s="20">
        <v>509647.56599301501</v>
      </c>
      <c r="AF3" t="str">
        <f t="shared" si="0"/>
        <v>Residential</v>
      </c>
      <c r="AG3" t="str">
        <f>tbl_Data_old[[#This Row],[All_Meas_Name_Append]]</f>
        <v>ASHP - CEE Tier 2: 16.8 SEER/16 SEER2; 9.0 HSPF (from elec resistance)</v>
      </c>
      <c r="AH3">
        <f>AVERAGEIFS('3. Incentive Adjustment'!G:G,'3. Incentive Adjustment'!A:A,tbl_Data_old[[#This Row],[Trimmed Sector]],'3. Incentive Adjustment'!B:B,tbl_Data_old[[#This Row],[Trimmed Measure Name]])</f>
        <v>0.9303958662075158</v>
      </c>
      <c r="AI3">
        <f>$AH3*tbl_Data_old[[#This Row],[2025 ]]</f>
        <v>294096.50240592641</v>
      </c>
      <c r="AJ3">
        <f>$AH3*tbl_Data_old[[#This Row],[2026 ]]</f>
        <v>311526.30599329836</v>
      </c>
      <c r="AK3">
        <f>$AH3*tbl_Data_old[[#This Row],[2027 ]]</f>
        <v>328695.7088234736</v>
      </c>
      <c r="AL3">
        <f>$AH3*tbl_Data_old[[#This Row],[2028 ]]</f>
        <v>346154.7084614528</v>
      </c>
      <c r="AM3">
        <f>$AH3*tbl_Data_old[[#This Row],[2029 ]]</f>
        <v>363882.04185201292</v>
      </c>
      <c r="AN3">
        <f>$AH3*tbl_Data_old[[#This Row],[2030 ]]</f>
        <v>380821.21047598054</v>
      </c>
      <c r="AO3">
        <f>$AH3*tbl_Data_old[[#This Row],[2031 ]]</f>
        <v>399793.79939009174</v>
      </c>
      <c r="AP3">
        <f>$AH3*tbl_Data_old[[#This Row],[2032 ]]</f>
        <v>421585.72479314858</v>
      </c>
      <c r="AQ3">
        <f>$AH3*tbl_Data_old[[#This Row],[2033 ]]</f>
        <v>446358.63842846901</v>
      </c>
      <c r="AR3">
        <f>$AH3*tbl_Data_old[[#This Row],[2034 ]]</f>
        <v>474173.98862262326</v>
      </c>
      <c r="AS3">
        <f>SUM(tbl_Data_old[[#This Row],[Adjusted 2025]:[Adjusted 2034]])</f>
        <v>3767088.629246477</v>
      </c>
      <c r="AT3" s="3">
        <f>AVERAGEIFS('3. Incentive Adjustment'!F:F,'3. Incentive Adjustment'!A:A,tbl_Data_old[[#This Row],[Trimmed Sector]],'3. Incentive Adjustment'!B:B,tbl_Data_old[[#This Row],[Trimmed Measure Name]])</f>
        <v>353</v>
      </c>
      <c r="AU3" s="3">
        <f>IFERROR(VLOOKUP(tbl_Data_old[[#This Row],[All_Meas_Name_Append]],'IRA Tax Credits'!$A$3:$D$46,4,0),0)</f>
        <v>0</v>
      </c>
      <c r="AV3" s="4">
        <f>tbl_Data_old[[#This Row],[Adj. per unit Incentive ($)]]/tbl_Data_old[[#This Row],[kWh Savings]]*tbl_Data_old[[#This Row],[Sum of Annuals]]</f>
        <v>226613.22822052336</v>
      </c>
      <c r="AW3" s="4">
        <f>IFERROR(VLOOKUP(tbl_Data_old[[#This Row],[All_Programs]],'1. Set Program Names'!$B$2:$D$15,3,0)*tbl_Data_old[[#This Row],[Sum of Annuals]],"")</f>
        <v>1679532.5229639499</v>
      </c>
      <c r="AX3" s="4">
        <f>tbl_Data_old[[#This Row],[per unit IRA tax ($)]]/tbl_Data_old[[#This Row],[kWh Savings]]*tbl_Data_old[[#This Row],[Sum of Annuals]]</f>
        <v>0</v>
      </c>
      <c r="AY3" s="4">
        <f>tbl_Data_old[[#This Row],[Avoided Costs ($/unit)]]/tbl_Data_old[[#This Row],[kWh Savings]]*tbl_Data_old[[#This Row],[Sum of Annuals]]</f>
        <v>2174999.1456156154</v>
      </c>
      <c r="AZ3" s="4">
        <f>tbl_Data_old[[#This Row],[Lost Revenue ($/unit)]]/tbl_Data_old[[#This Row],[kWh Savings]]*tbl_Data_old[[#This Row],[Sum of Annuals]]</f>
        <v>5014855.2153338343</v>
      </c>
      <c r="BA3" s="4">
        <f>tbl_Data_old[[#This Row],[Incremental Cost ($/unit)]]/tbl_Data_old[[#This Row],[kWh Savings]]*tbl_Data_old[[#This Row],[Sum of Annuals]]</f>
        <v>1242306.9843571708</v>
      </c>
      <c r="BB3">
        <f>ROUNDUP(tbl_Data_old[[#This Row],[Adjusted 2025]]/$L3,0)</f>
        <v>51</v>
      </c>
      <c r="BC3">
        <f>ROUNDUP(tbl_Data_old[[#This Row],[Adjusted 2026]]/$L3,0)</f>
        <v>54</v>
      </c>
      <c r="BD3">
        <f>ROUNDUP(tbl_Data_old[[#This Row],[Adjusted 2027]]/$L3,0)</f>
        <v>57</v>
      </c>
      <c r="BE3">
        <f>ROUNDUP(tbl_Data_old[[#This Row],[Adjusted 2028]]/$L3,0)</f>
        <v>59</v>
      </c>
      <c r="BF3">
        <f>ROUNDUP(tbl_Data_old[[#This Row],[Adjusted 2029]]/$L3,0)</f>
        <v>63</v>
      </c>
      <c r="BG3">
        <f>ROUNDUP(tbl_Data_old[[#This Row],[Adjusted 2030]]/$L3,0)</f>
        <v>65</v>
      </c>
      <c r="BH3">
        <f>ROUNDUP(tbl_Data_old[[#This Row],[Adjusted 2031]]/$L3,0)</f>
        <v>69</v>
      </c>
      <c r="BI3">
        <f>ROUNDUP(tbl_Data_old[[#This Row],[Adjusted 2032]]/$L3,0)</f>
        <v>72</v>
      </c>
      <c r="BJ3">
        <f>ROUNDUP(tbl_Data_old[[#This Row],[Adjusted 2033]]/$L3,0)</f>
        <v>77</v>
      </c>
      <c r="BK3">
        <f>ROUNDUP(tbl_Data_old[[#This Row],[Adjusted 2034]]/$L3,0)</f>
        <v>81</v>
      </c>
      <c r="BL3" s="3">
        <f t="shared" si="1"/>
        <v>19015.226679639411</v>
      </c>
      <c r="BM3">
        <f t="shared" si="1"/>
        <v>20142.175363095739</v>
      </c>
      <c r="BN3">
        <f t="shared" si="1"/>
        <v>21252.287466092468</v>
      </c>
      <c r="BO3">
        <f t="shared" si="1"/>
        <v>22381.123861629374</v>
      </c>
      <c r="BP3">
        <f t="shared" si="1"/>
        <v>23527.3097566992</v>
      </c>
      <c r="BQ3">
        <f t="shared" si="1"/>
        <v>24622.535740396204</v>
      </c>
      <c r="BR3">
        <f t="shared" si="1"/>
        <v>25849.235398331912</v>
      </c>
      <c r="BS3">
        <f t="shared" si="1"/>
        <v>27258.223257537982</v>
      </c>
      <c r="BT3">
        <f t="shared" si="1"/>
        <v>28859.951140858961</v>
      </c>
      <c r="BU3">
        <f t="shared" si="1"/>
        <v>30658.3920770431</v>
      </c>
      <c r="BV3">
        <f>VLOOKUP($H3,'1. Set Program Names'!$B$2:$D$15,3,0)*V3</f>
        <v>140930.39444682261</v>
      </c>
      <c r="BW3">
        <f>VLOOKUP($H3,'1. Set Program Names'!$B$2:$D$15,3,0)*W3</f>
        <v>149282.71783252733</v>
      </c>
      <c r="BX3">
        <f>VLOOKUP($H3,'1. Set Program Names'!$B$2:$D$15,3,0)*X3</f>
        <v>157510.25775047307</v>
      </c>
      <c r="BY3">
        <f>VLOOKUP($H3,'1. Set Program Names'!$B$2:$D$15,3,0)*Y3</f>
        <v>165876.57181914989</v>
      </c>
      <c r="BZ3">
        <f>VLOOKUP($H3,'1. Set Program Names'!$B$2:$D$15,3,0)*Z3</f>
        <v>174371.47082945387</v>
      </c>
      <c r="CA3">
        <f>VLOOKUP($H3,'1. Set Program Names'!$B$2:$D$15,3,0)*AA3</f>
        <v>182488.68302425247</v>
      </c>
      <c r="CB3">
        <f>VLOOKUP($H3,'1. Set Program Names'!$B$2:$D$15,3,0)*AB3</f>
        <v>191580.30573132081</v>
      </c>
      <c r="CC3">
        <f>VLOOKUP($H3,'1. Set Program Names'!$B$2:$D$15,3,0)*AC3</f>
        <v>202022.94825744507</v>
      </c>
      <c r="CD3">
        <f>VLOOKUP($H3,'1. Set Program Names'!$B$2:$D$15,3,0)*AD3</f>
        <v>213894.07376101866</v>
      </c>
      <c r="CE3">
        <f>VLOOKUP($H3,'1. Set Program Names'!$B$2:$D$15,3,0)*AE3</f>
        <v>227223.12814442662</v>
      </c>
    </row>
    <row r="4" spans="1:83" x14ac:dyDescent="0.25">
      <c r="A4" s="20" t="s">
        <v>87</v>
      </c>
      <c r="B4" s="20" t="s">
        <v>88</v>
      </c>
      <c r="C4" s="20" t="s">
        <v>89</v>
      </c>
      <c r="D4" s="20" t="s">
        <v>90</v>
      </c>
      <c r="E4" s="20" t="s">
        <v>91</v>
      </c>
      <c r="F4" s="20" t="s">
        <v>90</v>
      </c>
      <c r="G4" s="20" t="s">
        <v>92</v>
      </c>
      <c r="H4" s="20" t="s">
        <v>5</v>
      </c>
      <c r="I4" s="20" t="s">
        <v>99</v>
      </c>
      <c r="J4" s="20" t="s">
        <v>97</v>
      </c>
      <c r="K4" s="20" t="s">
        <v>98</v>
      </c>
      <c r="L4" s="20">
        <v>253.96999999999801</v>
      </c>
      <c r="M4" s="20">
        <v>0.107126245482503</v>
      </c>
      <c r="N4" s="20">
        <v>1.33192706841354E-2</v>
      </c>
      <c r="O4" s="20">
        <v>874.99999999999898</v>
      </c>
      <c r="P4" s="20">
        <v>813.468148399999</v>
      </c>
      <c r="Q4" s="20">
        <v>75.487273566390598</v>
      </c>
      <c r="R4" s="20">
        <v>185.54516688855901</v>
      </c>
      <c r="S4" s="20">
        <v>338.09206641710699</v>
      </c>
      <c r="T4" s="20">
        <v>16</v>
      </c>
      <c r="U4" s="20">
        <v>0.7</v>
      </c>
      <c r="V4" s="20">
        <v>44824.467360651201</v>
      </c>
      <c r="W4" s="20">
        <v>50134.885569504499</v>
      </c>
      <c r="X4" s="20">
        <v>55101.825095514301</v>
      </c>
      <c r="Y4" s="20">
        <v>59862.670813979101</v>
      </c>
      <c r="Z4" s="20">
        <v>64456.520966791402</v>
      </c>
      <c r="AA4" s="20">
        <v>68727.785090337595</v>
      </c>
      <c r="AB4" s="20">
        <v>73214.514146105401</v>
      </c>
      <c r="AC4" s="20">
        <v>78101.148283873597</v>
      </c>
      <c r="AD4" s="20">
        <v>83452.948662841998</v>
      </c>
      <c r="AE4" s="20">
        <v>89310.136373608504</v>
      </c>
      <c r="AF4" t="str">
        <f t="shared" si="0"/>
        <v>Residential</v>
      </c>
      <c r="AG4" t="str">
        <f>tbl_Data_old[[#This Row],[All_Meas_Name_Append]]</f>
        <v>ASHP - ENERGY STAR/CEE Tier 1: 16 SEER/15.2 SEER2_ 9.0 HSPF</v>
      </c>
      <c r="AH4">
        <f>AVERAGEIFS('3. Incentive Adjustment'!G:G,'3. Incentive Adjustment'!A:A,tbl_Data_old[[#This Row],[Trimmed Sector]],'3. Incentive Adjustment'!B:B,tbl_Data_old[[#This Row],[Trimmed Measure Name]])</f>
        <v>8.3636985731950567E-3</v>
      </c>
      <c r="AI4">
        <f>$AH4*tbl_Data_old[[#This Row],[2025 ]]</f>
        <v>374.89833370850681</v>
      </c>
      <c r="AJ4">
        <f>$AH4*tbl_Data_old[[#This Row],[2026 ]]</f>
        <v>419.31307090496222</v>
      </c>
      <c r="AK4">
        <f>$AH4*tbl_Data_old[[#This Row],[2027 ]]</f>
        <v>460.85505593179653</v>
      </c>
      <c r="AL4">
        <f>$AH4*tbl_Data_old[[#This Row],[2028 ]]</f>
        <v>500.67333447452239</v>
      </c>
      <c r="AM4">
        <f>$AH4*tbl_Data_old[[#This Row],[2029 ]]</f>
        <v>539.09491244307048</v>
      </c>
      <c r="AN4">
        <f>$AH4*tbl_Data_old[[#This Row],[2030 ]]</f>
        <v>574.81847809891303</v>
      </c>
      <c r="AO4">
        <f>$AH4*tbl_Data_old[[#This Row],[2031 ]]</f>
        <v>612.344127500951</v>
      </c>
      <c r="AP4">
        <f>$AH4*tbl_Data_old[[#This Row],[2032 ]]</f>
        <v>653.21446246672917</v>
      </c>
      <c r="AQ4">
        <f>$AH4*tbl_Data_old[[#This Row],[2033 ]]</f>
        <v>697.97530766033196</v>
      </c>
      <c r="AR4">
        <f>$AH4*tbl_Data_old[[#This Row],[2034 ]]</f>
        <v>746.96306015980542</v>
      </c>
      <c r="AS4">
        <f>SUM(tbl_Data_old[[#This Row],[Adjusted 2025]:[Adjusted 2034]])</f>
        <v>5580.1501433495896</v>
      </c>
      <c r="AT4" s="3">
        <f>AVERAGEIFS('3. Incentive Adjustment'!F:F,'3. Incentive Adjustment'!A:A,tbl_Data_old[[#This Row],[Trimmed Sector]],'3. Incentive Adjustment'!B:B,tbl_Data_old[[#This Row],[Trimmed Measure Name]])</f>
        <v>353</v>
      </c>
      <c r="AU4" s="3">
        <f>IFERROR(VLOOKUP(tbl_Data_old[[#This Row],[All_Meas_Name_Append]],'IRA Tax Credits'!$A$3:$D$46,4,0),0)</f>
        <v>0</v>
      </c>
      <c r="AV4" s="4">
        <f>tbl_Data_old[[#This Row],[Adj. per unit Incentive ($)]]/tbl_Data_old[[#This Row],[kWh Savings]]*tbl_Data_old[[#This Row],[Sum of Annuals]]</f>
        <v>7756.0066173265368</v>
      </c>
      <c r="AW4" s="4">
        <f>IFERROR(VLOOKUP(tbl_Data_old[[#This Row],[All_Programs]],'1. Set Program Names'!$B$2:$D$15,3,0)*tbl_Data_old[[#This Row],[Sum of Annuals]],"")</f>
        <v>2487.8744757996983</v>
      </c>
      <c r="AX4" s="4">
        <f>tbl_Data_old[[#This Row],[per unit IRA tax ($)]]/tbl_Data_old[[#This Row],[kWh Savings]]*tbl_Data_old[[#This Row],[Sum of Annuals]]</f>
        <v>0</v>
      </c>
      <c r="AY4" s="4">
        <f>tbl_Data_old[[#This Row],[Avoided Costs ($/unit)]]/tbl_Data_old[[#This Row],[kWh Savings]]*tbl_Data_old[[#This Row],[Sum of Annuals]]</f>
        <v>4076.7409127496326</v>
      </c>
      <c r="AZ4" s="4">
        <f>tbl_Data_old[[#This Row],[Lost Revenue ($/unit)]]/tbl_Data_old[[#This Row],[kWh Savings]]*tbl_Data_old[[#This Row],[Sum of Annuals]]</f>
        <v>7428.4541201039228</v>
      </c>
      <c r="BA4" s="4">
        <f>tbl_Data_old[[#This Row],[Incremental Cost ($/unit)]]/tbl_Data_old[[#This Row],[kWh Savings]]*tbl_Data_old[[#This Row],[Sum of Annuals]]</f>
        <v>19225.228867310798</v>
      </c>
      <c r="BB4">
        <f>ROUNDUP(tbl_Data_old[[#This Row],[Adjusted 2025]]/$L4,0)</f>
        <v>2</v>
      </c>
      <c r="BC4">
        <f>ROUNDUP(tbl_Data_old[[#This Row],[Adjusted 2026]]/$L4,0)</f>
        <v>2</v>
      </c>
      <c r="BD4">
        <f>ROUNDUP(tbl_Data_old[[#This Row],[Adjusted 2027]]/$L4,0)</f>
        <v>2</v>
      </c>
      <c r="BE4">
        <f>ROUNDUP(tbl_Data_old[[#This Row],[Adjusted 2028]]/$L4,0)</f>
        <v>2</v>
      </c>
      <c r="BF4">
        <f>ROUNDUP(tbl_Data_old[[#This Row],[Adjusted 2029]]/$L4,0)</f>
        <v>3</v>
      </c>
      <c r="BG4">
        <f>ROUNDUP(tbl_Data_old[[#This Row],[Adjusted 2030]]/$L4,0)</f>
        <v>3</v>
      </c>
      <c r="BH4">
        <f>ROUNDUP(tbl_Data_old[[#This Row],[Adjusted 2031]]/$L4,0)</f>
        <v>3</v>
      </c>
      <c r="BI4">
        <f>ROUNDUP(tbl_Data_old[[#This Row],[Adjusted 2032]]/$L4,0)</f>
        <v>3</v>
      </c>
      <c r="BJ4">
        <f>ROUNDUP(tbl_Data_old[[#This Row],[Adjusted 2033]]/$L4,0)</f>
        <v>3</v>
      </c>
      <c r="BK4">
        <f>ROUNDUP(tbl_Data_old[[#This Row],[Adjusted 2034]]/$L4,0)</f>
        <v>3</v>
      </c>
      <c r="BL4" s="3">
        <f t="shared" si="1"/>
        <v>62302.779770484696</v>
      </c>
      <c r="BM4">
        <f t="shared" si="1"/>
        <v>69683.878434599465</v>
      </c>
      <c r="BN4">
        <f t="shared" si="1"/>
        <v>76587.566479177462</v>
      </c>
      <c r="BO4">
        <f t="shared" si="1"/>
        <v>83204.798981512737</v>
      </c>
      <c r="BP4">
        <f t="shared" si="1"/>
        <v>89589.91968058252</v>
      </c>
      <c r="BQ4">
        <f t="shared" si="1"/>
        <v>95526.669043152186</v>
      </c>
      <c r="BR4">
        <f t="shared" si="1"/>
        <v>101762.89913602162</v>
      </c>
      <c r="BS4">
        <f t="shared" si="1"/>
        <v>108554.96847740913</v>
      </c>
      <c r="BT4">
        <f t="shared" si="1"/>
        <v>115993.58537616039</v>
      </c>
      <c r="BU4">
        <f t="shared" si="1"/>
        <v>124134.65425004548</v>
      </c>
      <c r="BV4">
        <f>VLOOKUP($H4,'1. Set Program Names'!$B$2:$D$15,3,0)*V4</f>
        <v>19984.70388306438</v>
      </c>
      <c r="BW4">
        <f>VLOOKUP($H4,'1. Set Program Names'!$B$2:$D$15,3,0)*W4</f>
        <v>22352.32009019703</v>
      </c>
      <c r="BX4">
        <f>VLOOKUP($H4,'1. Set Program Names'!$B$2:$D$15,3,0)*X4</f>
        <v>24566.798509622291</v>
      </c>
      <c r="BY4">
        <f>VLOOKUP($H4,'1. Set Program Names'!$B$2:$D$15,3,0)*Y4</f>
        <v>26689.391314818575</v>
      </c>
      <c r="BZ4">
        <f>VLOOKUP($H4,'1. Set Program Names'!$B$2:$D$15,3,0)*Z4</f>
        <v>28737.530208437991</v>
      </c>
      <c r="CA4">
        <f>VLOOKUP($H4,'1. Set Program Names'!$B$2:$D$15,3,0)*AA4</f>
        <v>30641.846171160611</v>
      </c>
      <c r="CB4">
        <f>VLOOKUP($H4,'1. Set Program Names'!$B$2:$D$15,3,0)*AB4</f>
        <v>32642.225804489466</v>
      </c>
      <c r="CC4">
        <f>VLOOKUP($H4,'1. Set Program Names'!$B$2:$D$15,3,0)*AC4</f>
        <v>34820.900576962042</v>
      </c>
      <c r="CD4">
        <f>VLOOKUP($H4,'1. Set Program Names'!$B$2:$D$15,3,0)*AD4</f>
        <v>37206.966761628944</v>
      </c>
      <c r="CE4">
        <f>VLOOKUP($H4,'1. Set Program Names'!$B$2:$D$15,3,0)*AE4</f>
        <v>39818.356676101132</v>
      </c>
    </row>
    <row r="5" spans="1:83" x14ac:dyDescent="0.25">
      <c r="A5" s="20" t="s">
        <v>87</v>
      </c>
      <c r="B5" s="20" t="s">
        <v>88</v>
      </c>
      <c r="C5" s="20" t="s">
        <v>89</v>
      </c>
      <c r="D5" s="20" t="s">
        <v>90</v>
      </c>
      <c r="E5" s="20" t="s">
        <v>91</v>
      </c>
      <c r="F5" s="20" t="s">
        <v>90</v>
      </c>
      <c r="G5" s="20" t="s">
        <v>92</v>
      </c>
      <c r="H5" s="20" t="s">
        <v>5</v>
      </c>
      <c r="I5" s="20" t="s">
        <v>100</v>
      </c>
      <c r="J5" s="20" t="s">
        <v>101</v>
      </c>
      <c r="K5" s="20" t="s">
        <v>102</v>
      </c>
      <c r="L5" s="20">
        <v>3443.6666666666601</v>
      </c>
      <c r="M5" s="20">
        <v>1.66949913665645</v>
      </c>
      <c r="N5" s="20">
        <v>0.25022957227107101</v>
      </c>
      <c r="O5" s="20">
        <v>1269.26999999999</v>
      </c>
      <c r="P5" s="20">
        <v>446.40188399649003</v>
      </c>
      <c r="Q5" s="20">
        <v>1023.5579310081</v>
      </c>
      <c r="R5" s="20">
        <v>3363.3816217672702</v>
      </c>
      <c r="S5" s="20">
        <v>6252.5618237134204</v>
      </c>
      <c r="T5" s="20">
        <v>30</v>
      </c>
      <c r="U5" s="20">
        <v>0.9</v>
      </c>
      <c r="V5" s="20">
        <v>8407.6629638000395</v>
      </c>
      <c r="W5" s="20">
        <v>8136.8612055912299</v>
      </c>
      <c r="X5" s="20">
        <v>7881.2062578207797</v>
      </c>
      <c r="Y5" s="20">
        <v>7648.7963236168998</v>
      </c>
      <c r="Z5" s="20">
        <v>7433.5637048297303</v>
      </c>
      <c r="AA5" s="20">
        <v>7211.3542083586999</v>
      </c>
      <c r="AB5" s="20">
        <v>7032.9444907776497</v>
      </c>
      <c r="AC5" s="20">
        <v>6901.99079192303</v>
      </c>
      <c r="AD5" s="20">
        <v>6810.9401373368501</v>
      </c>
      <c r="AE5" s="20">
        <v>6751.9698921784702</v>
      </c>
      <c r="AF5" t="str">
        <f t="shared" si="0"/>
        <v>Residential</v>
      </c>
      <c r="AG5" t="str">
        <f>tbl_Data_old[[#This Row],[All_Meas_Name_Append]]</f>
        <v>Ceiling Insulation(R2 to R38) Residential</v>
      </c>
      <c r="AH5">
        <f>AVERAGEIFS('3. Incentive Adjustment'!G:G,'3. Incentive Adjustment'!A:A,tbl_Data_old[[#This Row],[Trimmed Sector]],'3. Incentive Adjustment'!B:B,tbl_Data_old[[#This Row],[Trimmed Measure Name]])</f>
        <v>0.80543313072084111</v>
      </c>
      <c r="AI5">
        <f>$AH5*tbl_Data_old[[#This Row],[2025 ]]</f>
        <v>6771.8103029791318</v>
      </c>
      <c r="AJ5">
        <f>$AH5*tbl_Data_old[[#This Row],[2026 ]]</f>
        <v>6553.6975950603019</v>
      </c>
      <c r="AK5">
        <f>$AH5*tbl_Data_old[[#This Row],[2027 ]]</f>
        <v>6347.7846300932752</v>
      </c>
      <c r="AL5">
        <f>$AH5*tbl_Data_old[[#This Row],[2028 ]]</f>
        <v>6160.593969176819</v>
      </c>
      <c r="AM5">
        <f>$AH5*tbl_Data_old[[#This Row],[2029 ]]</f>
        <v>5987.2384871938239</v>
      </c>
      <c r="AN5">
        <f>$AH5*tbl_Data_old[[#This Row],[2030 ]]</f>
        <v>5808.2635967752603</v>
      </c>
      <c r="AO5">
        <f>$AH5*tbl_Data_old[[#This Row],[2031 ]]</f>
        <v>5664.566499392934</v>
      </c>
      <c r="AP5">
        <f>$AH5*tbl_Data_old[[#This Row],[2032 ]]</f>
        <v>5559.0920517449831</v>
      </c>
      <c r="AQ5">
        <f>$AH5*tbl_Data_old[[#This Row],[2033 ]]</f>
        <v>5485.7568379674549</v>
      </c>
      <c r="AR5">
        <f>$AH5*tbl_Data_old[[#This Row],[2034 ]]</f>
        <v>5438.260248790165</v>
      </c>
      <c r="AS5">
        <f>SUM(tbl_Data_old[[#This Row],[Adjusted 2025]:[Adjusted 2034]])</f>
        <v>59777.06421917415</v>
      </c>
      <c r="AT5" s="3">
        <f>AVERAGEIFS('3. Incentive Adjustment'!F:F,'3. Incentive Adjustment'!A:A,tbl_Data_old[[#This Row],[Trimmed Sector]],'3. Incentive Adjustment'!B:B,tbl_Data_old[[#This Row],[Trimmed Measure Name]])</f>
        <v>164</v>
      </c>
      <c r="AU5" s="3">
        <f>IFERROR(VLOOKUP(tbl_Data_old[[#This Row],[All_Meas_Name_Append]],'IRA Tax Credits'!$A$3:$D$46,4,0),0)</f>
        <v>0</v>
      </c>
      <c r="AV5" s="4">
        <f>tbl_Data_old[[#This Row],[Adj. per unit Incentive ($)]]/tbl_Data_old[[#This Row],[kWh Savings]]*tbl_Data_old[[#This Row],[Sum of Annuals]]</f>
        <v>2846.8024001387798</v>
      </c>
      <c r="AW5" s="4">
        <f>IFERROR(VLOOKUP(tbl_Data_old[[#This Row],[All_Programs]],'1. Set Program Names'!$B$2:$D$15,3,0)*tbl_Data_old[[#This Row],[Sum of Annuals]],"")</f>
        <v>26651.224158612356</v>
      </c>
      <c r="AX5" s="4">
        <f>tbl_Data_old[[#This Row],[per unit IRA tax ($)]]/tbl_Data_old[[#This Row],[kWh Savings]]*tbl_Data_old[[#This Row],[Sum of Annuals]]</f>
        <v>0</v>
      </c>
      <c r="AY5" s="4">
        <f>tbl_Data_old[[#This Row],[Avoided Costs ($/unit)]]/tbl_Data_old[[#This Row],[kWh Savings]]*tbl_Data_old[[#This Row],[Sum of Annuals]]</f>
        <v>58383.432155059309</v>
      </c>
      <c r="AZ5" s="4">
        <f>tbl_Data_old[[#This Row],[Lost Revenue ($/unit)]]/tbl_Data_old[[#This Row],[kWh Savings]]*tbl_Data_old[[#This Row],[Sum of Annuals]]</f>
        <v>108535.41467538703</v>
      </c>
      <c r="BA5" s="4">
        <f>tbl_Data_old[[#This Row],[Incremental Cost ($/unit)]]/tbl_Data_old[[#This Row],[kWh Savings]]*tbl_Data_old[[#This Row],[Sum of Annuals]]</f>
        <v>22032.688307464152</v>
      </c>
      <c r="BB5">
        <f>ROUNDUP(tbl_Data_old[[#This Row],[Adjusted 2025]]/$L5,0)</f>
        <v>2</v>
      </c>
      <c r="BC5">
        <f>ROUNDUP(tbl_Data_old[[#This Row],[Adjusted 2026]]/$L5,0)</f>
        <v>2</v>
      </c>
      <c r="BD5">
        <f>ROUNDUP(tbl_Data_old[[#This Row],[Adjusted 2027]]/$L5,0)</f>
        <v>2</v>
      </c>
      <c r="BE5">
        <f>ROUNDUP(tbl_Data_old[[#This Row],[Adjusted 2028]]/$L5,0)</f>
        <v>2</v>
      </c>
      <c r="BF5">
        <f>ROUNDUP(tbl_Data_old[[#This Row],[Adjusted 2029]]/$L5,0)</f>
        <v>2</v>
      </c>
      <c r="BG5">
        <f>ROUNDUP(tbl_Data_old[[#This Row],[Adjusted 2030]]/$L5,0)</f>
        <v>2</v>
      </c>
      <c r="BH5">
        <f>ROUNDUP(tbl_Data_old[[#This Row],[Adjusted 2031]]/$L5,0)</f>
        <v>2</v>
      </c>
      <c r="BI5">
        <f>ROUNDUP(tbl_Data_old[[#This Row],[Adjusted 2032]]/$L5,0)</f>
        <v>2</v>
      </c>
      <c r="BJ5">
        <f>ROUNDUP(tbl_Data_old[[#This Row],[Adjusted 2033]]/$L5,0)</f>
        <v>2</v>
      </c>
      <c r="BK5">
        <f>ROUNDUP(tbl_Data_old[[#This Row],[Adjusted 2034]]/$L5,0)</f>
        <v>2</v>
      </c>
      <c r="BL5" s="3">
        <f t="shared" si="1"/>
        <v>400.4036567795593</v>
      </c>
      <c r="BM5">
        <f t="shared" si="1"/>
        <v>387.50708674386726</v>
      </c>
      <c r="BN5">
        <f t="shared" si="1"/>
        <v>375.33186321245097</v>
      </c>
      <c r="BO5">
        <f t="shared" si="1"/>
        <v>364.26365223303861</v>
      </c>
      <c r="BP5">
        <f t="shared" si="1"/>
        <v>354.01348783043596</v>
      </c>
      <c r="BQ5">
        <f t="shared" si="1"/>
        <v>343.43105899840162</v>
      </c>
      <c r="BR5">
        <f t="shared" si="1"/>
        <v>334.93453581091956</v>
      </c>
      <c r="BS5">
        <f t="shared" si="1"/>
        <v>328.69804177970548</v>
      </c>
      <c r="BT5">
        <f t="shared" si="1"/>
        <v>324.3618766401836</v>
      </c>
      <c r="BU5">
        <f t="shared" si="1"/>
        <v>321.55349791422066</v>
      </c>
      <c r="BV5">
        <f>VLOOKUP($H5,'1. Set Program Names'!$B$2:$D$15,3,0)*V5</f>
        <v>3748.5030960490631</v>
      </c>
      <c r="BW5">
        <f>VLOOKUP($H5,'1. Set Program Names'!$B$2:$D$15,3,0)*W5</f>
        <v>3627.7678532792397</v>
      </c>
      <c r="BX5">
        <f>VLOOKUP($H5,'1. Set Program Names'!$B$2:$D$15,3,0)*X5</f>
        <v>3513.7857196751761</v>
      </c>
      <c r="BY5">
        <f>VLOOKUP($H5,'1. Set Program Names'!$B$2:$D$15,3,0)*Y5</f>
        <v>3410.1672276320496</v>
      </c>
      <c r="BZ5">
        <f>VLOOKUP($H5,'1. Set Program Names'!$B$2:$D$15,3,0)*Z5</f>
        <v>3314.2071324940543</v>
      </c>
      <c r="CA5">
        <f>VLOOKUP($H5,'1. Set Program Names'!$B$2:$D$15,3,0)*AA5</f>
        <v>3215.1364407834662</v>
      </c>
      <c r="CB5">
        <f>VLOOKUP($H5,'1. Set Program Names'!$B$2:$D$15,3,0)*AB5</f>
        <v>3135.5936021138796</v>
      </c>
      <c r="CC5">
        <f>VLOOKUP($H5,'1. Set Program Names'!$B$2:$D$15,3,0)*AC5</f>
        <v>3077.2087277785085</v>
      </c>
      <c r="CD5">
        <f>VLOOKUP($H5,'1. Set Program Names'!$B$2:$D$15,3,0)*AD5</f>
        <v>3036.6143721194981</v>
      </c>
      <c r="CE5">
        <f>VLOOKUP($H5,'1. Set Program Names'!$B$2:$D$15,3,0)*AE5</f>
        <v>3010.3228631112624</v>
      </c>
    </row>
    <row r="6" spans="1:83" x14ac:dyDescent="0.25">
      <c r="A6" s="20" t="s">
        <v>87</v>
      </c>
      <c r="B6" s="20" t="s">
        <v>88</v>
      </c>
      <c r="C6" s="20" t="s">
        <v>89</v>
      </c>
      <c r="D6" s="20" t="s">
        <v>90</v>
      </c>
      <c r="E6" s="20" t="s">
        <v>91</v>
      </c>
      <c r="F6" s="20" t="s">
        <v>90</v>
      </c>
      <c r="G6" s="20" t="s">
        <v>92</v>
      </c>
      <c r="H6" s="20" t="s">
        <v>5</v>
      </c>
      <c r="I6" s="20" t="s">
        <v>103</v>
      </c>
      <c r="J6" s="20" t="s">
        <v>101</v>
      </c>
      <c r="K6" s="20" t="s">
        <v>102</v>
      </c>
      <c r="L6" s="20">
        <v>3523.57666666666</v>
      </c>
      <c r="M6" s="20">
        <v>1.7070465614975301</v>
      </c>
      <c r="N6" s="20">
        <v>0.25623328618049002</v>
      </c>
      <c r="O6" s="20">
        <v>1306.5999999999899</v>
      </c>
      <c r="P6" s="20">
        <v>465.31519597206898</v>
      </c>
      <c r="Q6" s="20">
        <v>1047.30950808685</v>
      </c>
      <c r="R6" s="20">
        <v>3440.61303289528</v>
      </c>
      <c r="S6" s="20">
        <v>6397.6520033667803</v>
      </c>
      <c r="T6" s="20">
        <v>30</v>
      </c>
      <c r="U6" s="20">
        <v>0.9</v>
      </c>
      <c r="V6" s="20">
        <v>8604.8012899447895</v>
      </c>
      <c r="W6" s="20">
        <v>8328.2001019373292</v>
      </c>
      <c r="X6" s="20">
        <v>8067.0464914622198</v>
      </c>
      <c r="Y6" s="20">
        <v>7829.6350264817802</v>
      </c>
      <c r="Z6" s="20">
        <v>7609.7603941069401</v>
      </c>
      <c r="AA6" s="20">
        <v>7382.6993536558302</v>
      </c>
      <c r="AB6" s="20">
        <v>7200.4384974364302</v>
      </c>
      <c r="AC6" s="20">
        <v>7066.7301547462803</v>
      </c>
      <c r="AD6" s="20">
        <v>6973.8494568034303</v>
      </c>
      <c r="AE6" s="20">
        <v>6913.7933072389496</v>
      </c>
      <c r="AF6" t="str">
        <f t="shared" si="0"/>
        <v>Residential</v>
      </c>
      <c r="AG6" t="str">
        <f>tbl_Data_old[[#This Row],[All_Meas_Name_Append]]</f>
        <v>Ceiling Insulation(R2 to R49) Residential</v>
      </c>
      <c r="AH6">
        <f>AVERAGEIFS('3. Incentive Adjustment'!G:G,'3. Incentive Adjustment'!A:A,tbl_Data_old[[#This Row],[Trimmed Sector]],'3. Incentive Adjustment'!B:B,tbl_Data_old[[#This Row],[Trimmed Measure Name]])</f>
        <v>0.79801279130038982</v>
      </c>
      <c r="AI6">
        <f>$AH6*tbl_Data_old[[#This Row],[2025 ]]</f>
        <v>6866.7414959740363</v>
      </c>
      <c r="AJ6">
        <f>$AH6*tbl_Data_old[[#This Row],[2026 ]]</f>
        <v>6646.0102098551988</v>
      </c>
      <c r="AK6">
        <f>$AH6*tbl_Data_old[[#This Row],[2027 ]]</f>
        <v>6437.6062882017823</v>
      </c>
      <c r="AL6">
        <f>$AH6*tbl_Data_old[[#This Row],[2028 ]]</f>
        <v>6248.1489023460272</v>
      </c>
      <c r="AM6">
        <f>$AH6*tbl_Data_old[[#This Row],[2029 ]]</f>
        <v>6072.6861332284334</v>
      </c>
      <c r="AN6">
        <f>$AH6*tbl_Data_old[[#This Row],[2030 ]]</f>
        <v>5891.4885185424728</v>
      </c>
      <c r="AO6">
        <f>$AH6*tbl_Data_old[[#This Row],[2031 ]]</f>
        <v>5746.0420239260302</v>
      </c>
      <c r="AP6">
        <f>$AH6*tbl_Data_old[[#This Row],[2032 ]]</f>
        <v>5639.3410561557148</v>
      </c>
      <c r="AQ6">
        <f>$AH6*tbl_Data_old[[#This Row],[2033 ]]</f>
        <v>5565.2210711324124</v>
      </c>
      <c r="AR6">
        <f>$AH6*tbl_Data_old[[#This Row],[2034 ]]</f>
        <v>5517.2954955837076</v>
      </c>
      <c r="AS6">
        <f>SUM(tbl_Data_old[[#This Row],[Adjusted 2025]:[Adjusted 2034]])</f>
        <v>60630.581194945815</v>
      </c>
      <c r="AT6" s="3">
        <f>AVERAGEIFS('3. Incentive Adjustment'!F:F,'3. Incentive Adjustment'!A:A,tbl_Data_old[[#This Row],[Trimmed Sector]],'3. Incentive Adjustment'!B:B,tbl_Data_old[[#This Row],[Trimmed Measure Name]])</f>
        <v>164</v>
      </c>
      <c r="AU6" s="3">
        <f>IFERROR(VLOOKUP(tbl_Data_old[[#This Row],[All_Meas_Name_Append]],'IRA Tax Credits'!$A$3:$D$46,4,0),0)</f>
        <v>0</v>
      </c>
      <c r="AV6" s="4">
        <f>tbl_Data_old[[#This Row],[Adj. per unit Incentive ($)]]/tbl_Data_old[[#This Row],[kWh Savings]]*tbl_Data_old[[#This Row],[Sum of Annuals]]</f>
        <v>2821.9665006970567</v>
      </c>
      <c r="AW6" s="4">
        <f>IFERROR(VLOOKUP(tbl_Data_old[[#This Row],[All_Programs]],'1. Set Program Names'!$B$2:$D$15,3,0)*tbl_Data_old[[#This Row],[Sum of Annuals]],"")</f>
        <v>27031.759277584879</v>
      </c>
      <c r="AX6" s="4">
        <f>tbl_Data_old[[#This Row],[per unit IRA tax ($)]]/tbl_Data_old[[#This Row],[kWh Savings]]*tbl_Data_old[[#This Row],[Sum of Annuals]]</f>
        <v>0</v>
      </c>
      <c r="AY6" s="4">
        <f>tbl_Data_old[[#This Row],[Avoided Costs ($/unit)]]/tbl_Data_old[[#This Row],[kWh Savings]]*tbl_Data_old[[#This Row],[Sum of Annuals]]</f>
        <v>59203.01658958647</v>
      </c>
      <c r="AZ6" s="4">
        <f>tbl_Data_old[[#This Row],[Lost Revenue ($/unit)]]/tbl_Data_old[[#This Row],[kWh Savings]]*tbl_Data_old[[#This Row],[Sum of Annuals]]</f>
        <v>110085.11973547847</v>
      </c>
      <c r="BA6" s="4">
        <f>tbl_Data_old[[#This Row],[Incremental Cost ($/unit)]]/tbl_Data_old[[#This Row],[kWh Savings]]*tbl_Data_old[[#This Row],[Sum of Annuals]]</f>
        <v>22482.813596406984</v>
      </c>
      <c r="BB6">
        <f>ROUNDUP(tbl_Data_old[[#This Row],[Adjusted 2025]]/$L6,0)</f>
        <v>2</v>
      </c>
      <c r="BC6">
        <f>ROUNDUP(tbl_Data_old[[#This Row],[Adjusted 2026]]/$L6,0)</f>
        <v>2</v>
      </c>
      <c r="BD6">
        <f>ROUNDUP(tbl_Data_old[[#This Row],[Adjusted 2027]]/$L6,0)</f>
        <v>2</v>
      </c>
      <c r="BE6">
        <f>ROUNDUP(tbl_Data_old[[#This Row],[Adjusted 2028]]/$L6,0)</f>
        <v>2</v>
      </c>
      <c r="BF6">
        <f>ROUNDUP(tbl_Data_old[[#This Row],[Adjusted 2029]]/$L6,0)</f>
        <v>2</v>
      </c>
      <c r="BG6">
        <f>ROUNDUP(tbl_Data_old[[#This Row],[Adjusted 2030]]/$L6,0)</f>
        <v>2</v>
      </c>
      <c r="BH6">
        <f>ROUNDUP(tbl_Data_old[[#This Row],[Adjusted 2031]]/$L6,0)</f>
        <v>2</v>
      </c>
      <c r="BI6">
        <f>ROUNDUP(tbl_Data_old[[#This Row],[Adjusted 2032]]/$L6,0)</f>
        <v>2</v>
      </c>
      <c r="BJ6">
        <f>ROUNDUP(tbl_Data_old[[#This Row],[Adjusted 2033]]/$L6,0)</f>
        <v>2</v>
      </c>
      <c r="BK6">
        <f>ROUNDUP(tbl_Data_old[[#This Row],[Adjusted 2034]]/$L6,0)</f>
        <v>2</v>
      </c>
      <c r="BL6" s="3">
        <f t="shared" si="1"/>
        <v>400.49856865636002</v>
      </c>
      <c r="BM6">
        <f t="shared" si="1"/>
        <v>387.62454912320851</v>
      </c>
      <c r="BN6">
        <f t="shared" si="1"/>
        <v>375.46951570983458</v>
      </c>
      <c r="BO6">
        <f t="shared" si="1"/>
        <v>364.41952760396333</v>
      </c>
      <c r="BP6">
        <f t="shared" si="1"/>
        <v>354.18576710412822</v>
      </c>
      <c r="BQ6">
        <f t="shared" si="1"/>
        <v>343.61752518498491</v>
      </c>
      <c r="BR6">
        <f t="shared" si="1"/>
        <v>335.13444584609863</v>
      </c>
      <c r="BS6">
        <f t="shared" si="1"/>
        <v>328.91117606212401</v>
      </c>
      <c r="BT6">
        <f t="shared" si="1"/>
        <v>324.58817250533258</v>
      </c>
      <c r="BU6">
        <f t="shared" si="1"/>
        <v>321.79294212997303</v>
      </c>
      <c r="BV6">
        <f>VLOOKUP($H6,'1. Set Program Names'!$B$2:$D$15,3,0)*V6</f>
        <v>3836.3959658138533</v>
      </c>
      <c r="BW6">
        <f>VLOOKUP($H6,'1. Set Program Names'!$B$2:$D$15,3,0)*W6</f>
        <v>3713.075084127584</v>
      </c>
      <c r="BX6">
        <f>VLOOKUP($H6,'1. Set Program Names'!$B$2:$D$15,3,0)*X6</f>
        <v>3596.6414067043529</v>
      </c>
      <c r="BY6">
        <f>VLOOKUP($H6,'1. Set Program Names'!$B$2:$D$15,3,0)*Y6</f>
        <v>3490.7930139525943</v>
      </c>
      <c r="BZ6">
        <f>VLOOKUP($H6,'1. Set Program Names'!$B$2:$D$15,3,0)*Z6</f>
        <v>3392.7633065596592</v>
      </c>
      <c r="CA6">
        <f>VLOOKUP($H6,'1. Set Program Names'!$B$2:$D$15,3,0)*AA6</f>
        <v>3291.5295848003825</v>
      </c>
      <c r="CB6">
        <f>VLOOKUP($H6,'1. Set Program Names'!$B$2:$D$15,3,0)*AB6</f>
        <v>3210.2697404454675</v>
      </c>
      <c r="CC6">
        <f>VLOOKUP($H6,'1. Set Program Names'!$B$2:$D$15,3,0)*AC6</f>
        <v>3150.6567256636422</v>
      </c>
      <c r="CD6">
        <f>VLOOKUP($H6,'1. Set Program Names'!$B$2:$D$15,3,0)*AD6</f>
        <v>3109.2464568052187</v>
      </c>
      <c r="CE6">
        <f>VLOOKUP($H6,'1. Set Program Names'!$B$2:$D$15,3,0)*AE6</f>
        <v>3082.4708042191769</v>
      </c>
    </row>
    <row r="7" spans="1:83" x14ac:dyDescent="0.25">
      <c r="A7" s="20" t="s">
        <v>87</v>
      </c>
      <c r="B7" s="20" t="s">
        <v>88</v>
      </c>
      <c r="C7" s="20" t="s">
        <v>89</v>
      </c>
      <c r="D7" s="20" t="s">
        <v>90</v>
      </c>
      <c r="E7" s="20" t="s">
        <v>91</v>
      </c>
      <c r="F7" s="20" t="s">
        <v>90</v>
      </c>
      <c r="G7" s="20" t="s">
        <v>92</v>
      </c>
      <c r="H7" s="20" t="s">
        <v>5</v>
      </c>
      <c r="I7" s="20" t="s">
        <v>296</v>
      </c>
      <c r="J7" s="20" t="s">
        <v>97</v>
      </c>
      <c r="K7" s="20" t="s">
        <v>102</v>
      </c>
      <c r="L7" s="20">
        <v>936.45</v>
      </c>
      <c r="M7" s="20">
        <v>0.42562333070119601</v>
      </c>
      <c r="N7" s="20">
        <v>3.9115067461125599E-2</v>
      </c>
      <c r="O7" s="53">
        <v>685.00999995999996</v>
      </c>
      <c r="P7" s="20">
        <v>458.12689399999903</v>
      </c>
      <c r="Q7" s="20">
        <v>278.34018715299698</v>
      </c>
      <c r="R7" s="20">
        <v>763.90764278946904</v>
      </c>
      <c r="S7" s="20">
        <v>1415.5155729468199</v>
      </c>
      <c r="T7" s="20">
        <v>20</v>
      </c>
      <c r="U7" s="20">
        <v>0.9</v>
      </c>
      <c r="V7" s="20">
        <v>91695.138181507893</v>
      </c>
      <c r="W7" s="20">
        <v>88749.214352988696</v>
      </c>
      <c r="X7" s="20">
        <v>85970.079966734105</v>
      </c>
      <c r="Y7" s="20">
        <v>83445.856174881104</v>
      </c>
      <c r="Z7" s="20">
        <v>81110.1891880974</v>
      </c>
      <c r="AA7" s="20">
        <v>78699.364829186306</v>
      </c>
      <c r="AB7" s="20">
        <v>76767.400975471101</v>
      </c>
      <c r="AC7" s="20">
        <v>75354.355111739598</v>
      </c>
      <c r="AD7" s="20">
        <v>74377.971088858103</v>
      </c>
      <c r="AE7" s="20">
        <v>73753.036054254204</v>
      </c>
      <c r="AF7" t="str">
        <f t="shared" si="0"/>
        <v>Residential</v>
      </c>
      <c r="AG7" t="str">
        <f>tbl_Data_old[[#This Row],[All_Meas_Name_Append]]</f>
        <v>Duct Repair</v>
      </c>
      <c r="AH7">
        <f>AVERAGEIFS('3. Incentive Adjustment'!G:G,'3. Incentive Adjustment'!A:A,tbl_Data_old[[#This Row],[Trimmed Sector]],'3. Incentive Adjustment'!B:B,tbl_Data_old[[#This Row],[Trimmed Measure Name]])</f>
        <v>0.36456477469769399</v>
      </c>
      <c r="AI7">
        <f>$AH7*tbl_Data_old[[#This Row],[2025 ]]</f>
        <v>33428.817392015342</v>
      </c>
      <c r="AJ7">
        <f>$AH7*tbl_Data_old[[#This Row],[2026 ]]</f>
        <v>32354.837335194676</v>
      </c>
      <c r="AK7">
        <f>$AH7*tbl_Data_old[[#This Row],[2027 ]]</f>
        <v>31341.662833815157</v>
      </c>
      <c r="AL7">
        <f>$AH7*tbl_Data_old[[#This Row],[2028 ]]</f>
        <v>30421.419755851708</v>
      </c>
      <c r="AM7">
        <f>$AH7*tbl_Data_old[[#This Row],[2029 ]]</f>
        <v>29569.917847046065</v>
      </c>
      <c r="AN7">
        <f>$AH7*tbl_Data_old[[#This Row],[2030 ]]</f>
        <v>28691.016207803928</v>
      </c>
      <c r="AO7">
        <f>$AH7*tbl_Data_old[[#This Row],[2031 ]]</f>
        <v>27986.690240750155</v>
      </c>
      <c r="AP7">
        <f>$AH7*tbl_Data_old[[#This Row],[2032 ]]</f>
        <v>27471.543493801371</v>
      </c>
      <c r="AQ7">
        <f>$AH7*tbl_Data_old[[#This Row],[2033 ]]</f>
        <v>27115.588272481153</v>
      </c>
      <c r="AR7">
        <f>$AH7*tbl_Data_old[[#This Row],[2034 ]]</f>
        <v>26887.758972390086</v>
      </c>
      <c r="AS7">
        <f>SUM(tbl_Data_old[[#This Row],[Adjusted 2025]:[Adjusted 2034]])</f>
        <v>295269.25235114968</v>
      </c>
      <c r="AT7" s="3">
        <f>AVERAGEIFS('3. Incentive Adjustment'!F:F,'3. Incentive Adjustment'!A:A,tbl_Data_old[[#This Row],[Trimmed Sector]],'3. Incentive Adjustment'!B:B,tbl_Data_old[[#This Row],[Trimmed Measure Name]])</f>
        <v>100</v>
      </c>
      <c r="AU7" s="3">
        <f>IFERROR(VLOOKUP(tbl_Data_old[[#This Row],[All_Meas_Name_Append]],'IRA Tax Credits'!$A$3:$D$46,4,0),0)</f>
        <v>0</v>
      </c>
      <c r="AV7" s="4">
        <f>tbl_Data_old[[#This Row],[Adj. per unit Incentive ($)]]/tbl_Data_old[[#This Row],[kWh Savings]]*tbl_Data_old[[#This Row],[Sum of Annuals]]</f>
        <v>31530.701302915229</v>
      </c>
      <c r="AW7" s="4">
        <f>IFERROR(VLOOKUP(tbl_Data_old[[#This Row],[All_Programs]],'1. Set Program Names'!$B$2:$D$15,3,0)*tbl_Data_old[[#This Row],[Sum of Annuals]],"")</f>
        <v>131643.91952578039</v>
      </c>
      <c r="AX7" s="4">
        <f>tbl_Data_old[[#This Row],[per unit IRA tax ($)]]/tbl_Data_old[[#This Row],[kWh Savings]]*tbl_Data_old[[#This Row],[Sum of Annuals]]</f>
        <v>0</v>
      </c>
      <c r="AY7" s="4">
        <f>tbl_Data_old[[#This Row],[Avoided Costs ($/unit)]]/tbl_Data_old[[#This Row],[kWh Savings]]*tbl_Data_old[[#This Row],[Sum of Annuals]]</f>
        <v>240865.43707808814</v>
      </c>
      <c r="AZ7" s="4">
        <f>tbl_Data_old[[#This Row],[Lost Revenue ($/unit)]]/tbl_Data_old[[#This Row],[kWh Savings]]*tbl_Data_old[[#This Row],[Sum of Annuals]]</f>
        <v>446321.98720211093</v>
      </c>
      <c r="BA7" s="4">
        <f>tbl_Data_old[[#This Row],[Incremental Cost ($/unit)]]/tbl_Data_old[[#This Row],[kWh Savings]]*tbl_Data_old[[#This Row],[Sum of Annuals]]</f>
        <v>215988.45698248732</v>
      </c>
      <c r="BB7">
        <f>ROUNDUP(tbl_Data_old[[#This Row],[Adjusted 2025]]/$L7,0)</f>
        <v>36</v>
      </c>
      <c r="BC7">
        <f>ROUNDUP(tbl_Data_old[[#This Row],[Adjusted 2026]]/$L7,0)</f>
        <v>35</v>
      </c>
      <c r="BD7">
        <f>ROUNDUP(tbl_Data_old[[#This Row],[Adjusted 2027]]/$L7,0)</f>
        <v>34</v>
      </c>
      <c r="BE7">
        <f>ROUNDUP(tbl_Data_old[[#This Row],[Adjusted 2028]]/$L7,0)</f>
        <v>33</v>
      </c>
      <c r="BF7">
        <f>ROUNDUP(tbl_Data_old[[#This Row],[Adjusted 2029]]/$L7,0)</f>
        <v>32</v>
      </c>
      <c r="BG7">
        <f>ROUNDUP(tbl_Data_old[[#This Row],[Adjusted 2030]]/$L7,0)</f>
        <v>31</v>
      </c>
      <c r="BH7">
        <f>ROUNDUP(tbl_Data_old[[#This Row],[Adjusted 2031]]/$L7,0)</f>
        <v>30</v>
      </c>
      <c r="BI7">
        <f>ROUNDUP(tbl_Data_old[[#This Row],[Adjusted 2032]]/$L7,0)</f>
        <v>30</v>
      </c>
      <c r="BJ7">
        <f>ROUNDUP(tbl_Data_old[[#This Row],[Adjusted 2033]]/$L7,0)</f>
        <v>29</v>
      </c>
      <c r="BK7">
        <f>ROUNDUP(tbl_Data_old[[#This Row],[Adjusted 2034]]/$L7,0)</f>
        <v>29</v>
      </c>
      <c r="BL7" s="3">
        <f t="shared" si="1"/>
        <v>9791.7815346796833</v>
      </c>
      <c r="BM7">
        <f t="shared" si="1"/>
        <v>9477.1973253231554</v>
      </c>
      <c r="BN7">
        <f t="shared" si="1"/>
        <v>9180.4239379287847</v>
      </c>
      <c r="BO7">
        <f t="shared" si="1"/>
        <v>8910.8715014022218</v>
      </c>
      <c r="BP7">
        <f t="shared" si="1"/>
        <v>8661.4543422603874</v>
      </c>
      <c r="BQ7">
        <f t="shared" si="1"/>
        <v>8404.0114078900424</v>
      </c>
      <c r="BR7">
        <f t="shared" si="1"/>
        <v>8197.7041994202682</v>
      </c>
      <c r="BS7">
        <f t="shared" si="1"/>
        <v>8046.810306128421</v>
      </c>
      <c r="BT7">
        <f t="shared" si="1"/>
        <v>7942.5459008871912</v>
      </c>
      <c r="BU7">
        <f t="shared" si="1"/>
        <v>7875.8114212455766</v>
      </c>
      <c r="BV7">
        <f>VLOOKUP($H7,'1. Set Program Names'!$B$2:$D$15,3,0)*V7</f>
        <v>40881.69457386015</v>
      </c>
      <c r="BW7">
        <f>VLOOKUP($H7,'1. Set Program Names'!$B$2:$D$15,3,0)*W7</f>
        <v>39568.273158245043</v>
      </c>
      <c r="BX7">
        <f>VLOOKUP($H7,'1. Set Program Names'!$B$2:$D$15,3,0)*X7</f>
        <v>38329.213755404373</v>
      </c>
      <c r="BY7">
        <f>VLOOKUP($H7,'1. Set Program Names'!$B$2:$D$15,3,0)*Y7</f>
        <v>37203.804620949115</v>
      </c>
      <c r="BZ7">
        <f>VLOOKUP($H7,'1. Set Program Names'!$B$2:$D$15,3,0)*Z7</f>
        <v>36162.46233962851</v>
      </c>
      <c r="CA7">
        <f>VLOOKUP($H7,'1. Set Program Names'!$B$2:$D$15,3,0)*AA7</f>
        <v>35087.611621620628</v>
      </c>
      <c r="CB7">
        <f>VLOOKUP($H7,'1. Set Program Names'!$B$2:$D$15,3,0)*AB7</f>
        <v>34226.257816373291</v>
      </c>
      <c r="CC7">
        <f>VLOOKUP($H7,'1. Set Program Names'!$B$2:$D$15,3,0)*AC7</f>
        <v>33596.260298886831</v>
      </c>
      <c r="CD7">
        <f>VLOOKUP($H7,'1. Set Program Names'!$B$2:$D$15,3,0)*AD7</f>
        <v>33160.945687863234</v>
      </c>
      <c r="CE7">
        <f>VLOOKUP($H7,'1. Set Program Names'!$B$2:$D$15,3,0)*AE7</f>
        <v>32882.322374568161</v>
      </c>
    </row>
    <row r="8" spans="1:83" x14ac:dyDescent="0.25">
      <c r="A8" s="20" t="s">
        <v>87</v>
      </c>
      <c r="B8" s="20" t="s">
        <v>88</v>
      </c>
      <c r="C8" s="20" t="s">
        <v>89</v>
      </c>
      <c r="D8" s="20" t="s">
        <v>90</v>
      </c>
      <c r="E8" s="20" t="s">
        <v>91</v>
      </c>
      <c r="F8" s="20" t="s">
        <v>90</v>
      </c>
      <c r="G8" s="20" t="s">
        <v>92</v>
      </c>
      <c r="H8" s="20" t="s">
        <v>5</v>
      </c>
      <c r="I8" s="20" t="s">
        <v>297</v>
      </c>
      <c r="J8" s="20" t="s">
        <v>97</v>
      </c>
      <c r="K8" s="20" t="s">
        <v>298</v>
      </c>
      <c r="L8" s="20">
        <v>57.93</v>
      </c>
      <c r="M8" s="20">
        <v>0</v>
      </c>
      <c r="N8" s="20">
        <v>1.1014721785810099E-2</v>
      </c>
      <c r="O8" s="53">
        <v>154.1011072</v>
      </c>
      <c r="P8" s="20">
        <v>140.06582681793901</v>
      </c>
      <c r="Q8" s="20">
        <v>17.218481543887101</v>
      </c>
      <c r="R8" s="20">
        <v>46.999759951794701</v>
      </c>
      <c r="S8" s="20">
        <v>87.565611768711094</v>
      </c>
      <c r="T8" s="20">
        <v>20</v>
      </c>
      <c r="U8" s="20">
        <v>0.8</v>
      </c>
      <c r="V8" s="20">
        <v>1216.13043773091</v>
      </c>
      <c r="W8" s="20">
        <v>1131.47529418409</v>
      </c>
      <c r="X8" s="20">
        <v>1048.7565937440299</v>
      </c>
      <c r="Y8" s="20">
        <v>969.93944393001198</v>
      </c>
      <c r="Z8" s="20">
        <v>894.87150433827298</v>
      </c>
      <c r="AA8" s="20">
        <v>821.29845371649901</v>
      </c>
      <c r="AB8" s="20">
        <v>755.46091919677201</v>
      </c>
      <c r="AC8" s="20">
        <v>697.37283042632805</v>
      </c>
      <c r="AD8" s="20">
        <v>645.78078002512302</v>
      </c>
      <c r="AE8" s="20">
        <v>599.52090773161001</v>
      </c>
      <c r="AF8" t="str">
        <f t="shared" si="0"/>
        <v>Residential</v>
      </c>
      <c r="AG8" t="str">
        <f>tbl_Data_old[[#This Row],[All_Meas_Name_Append]]</f>
        <v>Energy Star Windows Residential</v>
      </c>
      <c r="AH8">
        <f>AVERAGEIFS('3. Incentive Adjustment'!G:G,'3. Incentive Adjustment'!A:A,tbl_Data_old[[#This Row],[Trimmed Sector]],'3. Incentive Adjustment'!B:B,tbl_Data_old[[#This Row],[Trimmed Measure Name]])</f>
        <v>1.5721893920937398</v>
      </c>
      <c r="AI8">
        <f>$AH8*tbl_Data_old[[#This Row],[2025 ]]</f>
        <v>1911.987373602853</v>
      </c>
      <c r="AJ8">
        <f>$AH8*tbl_Data_old[[#This Row],[2026 ]]</f>
        <v>1778.8934549323699</v>
      </c>
      <c r="AK8">
        <f>$AH8*tbl_Data_old[[#This Row],[2027 ]]</f>
        <v>1648.8439915727276</v>
      </c>
      <c r="AL8">
        <f>$AH8*tbl_Data_old[[#This Row],[2028 ]]</f>
        <v>1524.9285047200656</v>
      </c>
      <c r="AM8">
        <f>$AH8*tbl_Data_old[[#This Row],[2029 ]]</f>
        <v>1406.9074864075999</v>
      </c>
      <c r="AN8">
        <f>$AH8*tbl_Data_old[[#This Row],[2030 ]]</f>
        <v>1291.236716676071</v>
      </c>
      <c r="AO8">
        <f>$AH8*tbl_Data_old[[#This Row],[2031 ]]</f>
        <v>1187.7276433025509</v>
      </c>
      <c r="AP8">
        <f>$AH8*tbl_Data_old[[#This Row],[2032 ]]</f>
        <v>1096.4021663306594</v>
      </c>
      <c r="AQ8">
        <f>$AH8*tbl_Data_old[[#This Row],[2033 ]]</f>
        <v>1015.2896919735192</v>
      </c>
      <c r="AR8">
        <f>$AH8*tbl_Data_old[[#This Row],[2034 ]]</f>
        <v>942.56041147404699</v>
      </c>
      <c r="AS8">
        <f>SUM(tbl_Data_old[[#This Row],[Adjusted 2025]:[Adjusted 2034]])</f>
        <v>13804.777440992464</v>
      </c>
      <c r="AT8" s="3">
        <f>AVERAGEIFS('3. Incentive Adjustment'!F:F,'3. Incentive Adjustment'!A:A,tbl_Data_old[[#This Row],[Trimmed Sector]],'3. Incentive Adjustment'!B:B,tbl_Data_old[[#This Row],[Trimmed Measure Name]])</f>
        <v>150</v>
      </c>
      <c r="AU8" s="3">
        <f>IFERROR(VLOOKUP(tbl_Data_old[[#This Row],[All_Meas_Name_Append]],'IRA Tax Credits'!$A$3:$D$46,4,0),0)</f>
        <v>0</v>
      </c>
      <c r="AV8" s="4">
        <f>tbl_Data_old[[#This Row],[Adj. per unit Incentive ($)]]/tbl_Data_old[[#This Row],[kWh Savings]]*tbl_Data_old[[#This Row],[Sum of Annuals]]</f>
        <v>35745.151323129117</v>
      </c>
      <c r="AW8" s="4">
        <f>IFERROR(VLOOKUP(tbl_Data_old[[#This Row],[All_Programs]],'1. Set Program Names'!$B$2:$D$15,3,0)*tbl_Data_old[[#This Row],[Sum of Annuals]],"")</f>
        <v>6154.772283407533</v>
      </c>
      <c r="AX8" s="4">
        <f>tbl_Data_old[[#This Row],[per unit IRA tax ($)]]/tbl_Data_old[[#This Row],[kWh Savings]]*tbl_Data_old[[#This Row],[Sum of Annuals]]</f>
        <v>0</v>
      </c>
      <c r="AY8" s="4">
        <f>tbl_Data_old[[#This Row],[Avoided Costs ($/unit)]]/tbl_Data_old[[#This Row],[kWh Savings]]*tbl_Data_old[[#This Row],[Sum of Annuals]]</f>
        <v>11200.090210850967</v>
      </c>
      <c r="AZ8" s="4">
        <f>tbl_Data_old[[#This Row],[Lost Revenue ($/unit)]]/tbl_Data_old[[#This Row],[kWh Savings]]*tbl_Data_old[[#This Row],[Sum of Annuals]]</f>
        <v>20866.973622499692</v>
      </c>
      <c r="BA8" s="4">
        <f>tbl_Data_old[[#This Row],[Incremental Cost ($/unit)]]/tbl_Data_old[[#This Row],[kWh Savings]]*tbl_Data_old[[#This Row],[Sum of Annuals]]</f>
        <v>36722.449306171606</v>
      </c>
      <c r="BB8">
        <f>ROUNDUP(tbl_Data_old[[#This Row],[Adjusted 2025]]/$L8,0)</f>
        <v>34</v>
      </c>
      <c r="BC8">
        <f>ROUNDUP(tbl_Data_old[[#This Row],[Adjusted 2026]]/$L8,0)</f>
        <v>31</v>
      </c>
      <c r="BD8">
        <f>ROUNDUP(tbl_Data_old[[#This Row],[Adjusted 2027]]/$L8,0)</f>
        <v>29</v>
      </c>
      <c r="BE8">
        <f>ROUNDUP(tbl_Data_old[[#This Row],[Adjusted 2028]]/$L8,0)</f>
        <v>27</v>
      </c>
      <c r="BF8">
        <f>ROUNDUP(tbl_Data_old[[#This Row],[Adjusted 2029]]/$L8,0)</f>
        <v>25</v>
      </c>
      <c r="BG8">
        <f>ROUNDUP(tbl_Data_old[[#This Row],[Adjusted 2030]]/$L8,0)</f>
        <v>23</v>
      </c>
      <c r="BH8">
        <f>ROUNDUP(tbl_Data_old[[#This Row],[Adjusted 2031]]/$L8,0)</f>
        <v>21</v>
      </c>
      <c r="BI8">
        <f>ROUNDUP(tbl_Data_old[[#This Row],[Adjusted 2032]]/$L8,0)</f>
        <v>19</v>
      </c>
      <c r="BJ8">
        <f>ROUNDUP(tbl_Data_old[[#This Row],[Adjusted 2033]]/$L8,0)</f>
        <v>18</v>
      </c>
      <c r="BK8">
        <f>ROUNDUP(tbl_Data_old[[#This Row],[Adjusted 2034]]/$L8,0)</f>
        <v>17</v>
      </c>
      <c r="BL8" s="3">
        <f t="shared" si="1"/>
        <v>3148.9654006496894</v>
      </c>
      <c r="BM8">
        <f t="shared" si="1"/>
        <v>2929.7651325325996</v>
      </c>
      <c r="BN8">
        <f t="shared" si="1"/>
        <v>2715.5789584257636</v>
      </c>
      <c r="BO8">
        <f t="shared" si="1"/>
        <v>2511.4951940186743</v>
      </c>
      <c r="BP8">
        <f t="shared" si="1"/>
        <v>2317.1193794362325</v>
      </c>
      <c r="BQ8">
        <f t="shared" si="1"/>
        <v>2126.6143286289462</v>
      </c>
      <c r="BR8">
        <f t="shared" si="1"/>
        <v>1956.1390968326566</v>
      </c>
      <c r="BS8">
        <f t="shared" si="1"/>
        <v>1805.7297525280374</v>
      </c>
      <c r="BT8">
        <f t="shared" si="1"/>
        <v>1672.1408079366211</v>
      </c>
      <c r="BU8">
        <f t="shared" si="1"/>
        <v>1552.3586424951061</v>
      </c>
      <c r="BV8">
        <f>VLOOKUP($H8,'1. Set Program Names'!$B$2:$D$15,3,0)*V8</f>
        <v>542.20402633425999</v>
      </c>
      <c r="BW8">
        <f>VLOOKUP($H8,'1. Set Program Names'!$B$2:$D$15,3,0)*W8</f>
        <v>504.46106862436767</v>
      </c>
      <c r="BX8">
        <f>VLOOKUP($H8,'1. Set Program Names'!$B$2:$D$15,3,0)*X8</f>
        <v>467.58146176622404</v>
      </c>
      <c r="BY8">
        <f>VLOOKUP($H8,'1. Set Program Names'!$B$2:$D$15,3,0)*Y8</f>
        <v>432.4413364577191</v>
      </c>
      <c r="BZ8">
        <f>VLOOKUP($H8,'1. Set Program Names'!$B$2:$D$15,3,0)*Z8</f>
        <v>398.97277269806102</v>
      </c>
      <c r="CA8">
        <f>VLOOKUP($H8,'1. Set Program Names'!$B$2:$D$15,3,0)*AA8</f>
        <v>366.17069568463552</v>
      </c>
      <c r="CB8">
        <f>VLOOKUP($H8,'1. Set Program Names'!$B$2:$D$15,3,0)*AB8</f>
        <v>336.81744936089251</v>
      </c>
      <c r="CC8">
        <f>VLOOKUP($H8,'1. Set Program Names'!$B$2:$D$15,3,0)*AC8</f>
        <v>310.91924417151989</v>
      </c>
      <c r="CD8">
        <f>VLOOKUP($H8,'1. Set Program Names'!$B$2:$D$15,3,0)*AD8</f>
        <v>287.9172564023732</v>
      </c>
      <c r="CE8">
        <f>VLOOKUP($H8,'1. Set Program Names'!$B$2:$D$15,3,0)*AE8</f>
        <v>267.29258635295753</v>
      </c>
    </row>
    <row r="9" spans="1:83" x14ac:dyDescent="0.25">
      <c r="A9" s="20" t="s">
        <v>87</v>
      </c>
      <c r="B9" s="20" t="s">
        <v>88</v>
      </c>
      <c r="C9" s="20" t="s">
        <v>89</v>
      </c>
      <c r="D9" s="20" t="s">
        <v>90</v>
      </c>
      <c r="E9" s="20" t="s">
        <v>91</v>
      </c>
      <c r="F9" s="20" t="s">
        <v>90</v>
      </c>
      <c r="G9" s="20" t="s">
        <v>92</v>
      </c>
      <c r="H9" s="20" t="s">
        <v>5</v>
      </c>
      <c r="I9" s="20" t="s">
        <v>107</v>
      </c>
      <c r="J9" s="20" t="s">
        <v>94</v>
      </c>
      <c r="K9" s="20" t="s">
        <v>108</v>
      </c>
      <c r="L9" s="20">
        <v>1663.1099999999899</v>
      </c>
      <c r="M9" s="20">
        <v>6.6647595975018806E-2</v>
      </c>
      <c r="N9" s="20">
        <v>0.309148293753995</v>
      </c>
      <c r="O9" s="20">
        <v>1389.5</v>
      </c>
      <c r="P9" s="20">
        <v>988.78817699699403</v>
      </c>
      <c r="Q9" s="20">
        <v>494.32468221049697</v>
      </c>
      <c r="R9" s="20">
        <v>791.96156853290995</v>
      </c>
      <c r="S9" s="20">
        <v>2127.4894292214699</v>
      </c>
      <c r="T9" s="20">
        <v>15</v>
      </c>
      <c r="U9" s="20">
        <v>0.7</v>
      </c>
      <c r="V9" s="20">
        <v>60917.726902836301</v>
      </c>
      <c r="W9" s="20">
        <v>67747.681779144797</v>
      </c>
      <c r="X9" s="20">
        <v>74041.707971849901</v>
      </c>
      <c r="Y9" s="20">
        <v>79992.760892471604</v>
      </c>
      <c r="Z9" s="20">
        <v>85658.727272672404</v>
      </c>
      <c r="AA9" s="20">
        <v>90838.751888539104</v>
      </c>
      <c r="AB9" s="20">
        <v>96248.036043150001</v>
      </c>
      <c r="AC9" s="20">
        <v>102124.003183853</v>
      </c>
      <c r="AD9" s="20">
        <v>108543.986726699</v>
      </c>
      <c r="AE9" s="20">
        <v>115551.260725571</v>
      </c>
      <c r="AF9" t="str">
        <f t="shared" si="0"/>
        <v>Residential</v>
      </c>
      <c r="AG9" t="str">
        <f>tbl_Data_old[[#This Row],[All_Meas_Name_Append]]</f>
        <v>Heat Pump Water Heater 50 Gallons- CEE Advanced Tier</v>
      </c>
      <c r="AH9">
        <f>AVERAGEIFS('3. Incentive Adjustment'!G:G,'3. Incentive Adjustment'!A:A,tbl_Data_old[[#This Row],[Trimmed Sector]],'3. Incentive Adjustment'!B:B,tbl_Data_old[[#This Row],[Trimmed Measure Name]])</f>
        <v>0.46049099596140497</v>
      </c>
      <c r="AI9">
        <f>$AH9*tbl_Data_old[[#This Row],[2025 ]]</f>
        <v>28052.064733191961</v>
      </c>
      <c r="AJ9">
        <f>$AH9*tbl_Data_old[[#This Row],[2026 ]]</f>
        <v>31197.197456554717</v>
      </c>
      <c r="AK9">
        <f>$AH9*tbl_Data_old[[#This Row],[2027 ]]</f>
        <v>34095.539846640662</v>
      </c>
      <c r="AL9">
        <f>$AH9*tbl_Data_old[[#This Row],[2028 ]]</f>
        <v>36835.946133076774</v>
      </c>
      <c r="AM9">
        <f>$AH9*tbl_Data_old[[#This Row],[2029 ]]</f>
        <v>39445.072634579279</v>
      </c>
      <c r="AN9">
        <f>$AH9*tbl_Data_old[[#This Row],[2030 ]]</f>
        <v>41830.427329044331</v>
      </c>
      <c r="AO9">
        <f>$AH9*tbl_Data_old[[#This Row],[2031 ]]</f>
        <v>44321.353976839346</v>
      </c>
      <c r="AP9">
        <f>$AH9*tbl_Data_old[[#This Row],[2032 ]]</f>
        <v>47027.183937698159</v>
      </c>
      <c r="AQ9">
        <f>$AH9*tbl_Data_old[[#This Row],[2033 ]]</f>
        <v>49983.528553399148</v>
      </c>
      <c r="AR9">
        <f>$AH9*tbl_Data_old[[#This Row],[2034 ]]</f>
        <v>53210.315136114172</v>
      </c>
      <c r="AS9">
        <f>SUM(tbl_Data_old[[#This Row],[Adjusted 2025]:[Adjusted 2034]])</f>
        <v>405998.62973713852</v>
      </c>
      <c r="AT9" s="3">
        <f>AVERAGEIFS('3. Incentive Adjustment'!F:F,'3. Incentive Adjustment'!A:A,tbl_Data_old[[#This Row],[Trimmed Sector]],'3. Incentive Adjustment'!B:B,tbl_Data_old[[#This Row],[Trimmed Measure Name]])</f>
        <v>500</v>
      </c>
      <c r="AU9" s="3">
        <f>IFERROR(VLOOKUP(tbl_Data_old[[#This Row],[All_Meas_Name_Append]],'IRA Tax Credits'!$A$3:$D$46,4,0),0)</f>
        <v>1666.6666666666667</v>
      </c>
      <c r="AV9" s="4">
        <f>tbl_Data_old[[#This Row],[Adj. per unit Incentive ($)]]/tbl_Data_old[[#This Row],[kWh Savings]]*tbl_Data_old[[#This Row],[Sum of Annuals]]</f>
        <v>122060.06510006584</v>
      </c>
      <c r="AW9" s="4">
        <f>IFERROR(VLOOKUP(tbl_Data_old[[#This Row],[All_Programs]],'1. Set Program Names'!$B$2:$D$15,3,0)*tbl_Data_old[[#This Row],[Sum of Annuals]],"")</f>
        <v>181011.90867354756</v>
      </c>
      <c r="AX9" s="4">
        <f>tbl_Data_old[[#This Row],[per unit IRA tax ($)]]/tbl_Data_old[[#This Row],[kWh Savings]]*tbl_Data_old[[#This Row],[Sum of Annuals]]</f>
        <v>406866.88366688613</v>
      </c>
      <c r="AY9" s="4">
        <f>tbl_Data_old[[#This Row],[Avoided Costs ($/unit)]]/tbl_Data_old[[#This Row],[kWh Savings]]*tbl_Data_old[[#This Row],[Sum of Annuals]]</f>
        <v>193333.76122375447</v>
      </c>
      <c r="AZ9" s="4">
        <f>tbl_Data_old[[#This Row],[Lost Revenue ($/unit)]]/tbl_Data_old[[#This Row],[kWh Savings]]*tbl_Data_old[[#This Row],[Sum of Annuals]]</f>
        <v>519362.99646094901</v>
      </c>
      <c r="BA9" s="4">
        <f>tbl_Data_old[[#This Row],[Incremental Cost ($/unit)]]/tbl_Data_old[[#This Row],[kWh Savings]]*tbl_Data_old[[#This Row],[Sum of Annuals]]</f>
        <v>339204.92091308295</v>
      </c>
      <c r="BB9">
        <f>ROUNDUP(tbl_Data_old[[#This Row],[Adjusted 2025]]/$L9,0)</f>
        <v>17</v>
      </c>
      <c r="BC9">
        <f>ROUNDUP(tbl_Data_old[[#This Row],[Adjusted 2026]]/$L9,0)</f>
        <v>19</v>
      </c>
      <c r="BD9">
        <f>ROUNDUP(tbl_Data_old[[#This Row],[Adjusted 2027]]/$L9,0)</f>
        <v>21</v>
      </c>
      <c r="BE9">
        <f>ROUNDUP(tbl_Data_old[[#This Row],[Adjusted 2028]]/$L9,0)</f>
        <v>23</v>
      </c>
      <c r="BF9">
        <f>ROUNDUP(tbl_Data_old[[#This Row],[Adjusted 2029]]/$L9,0)</f>
        <v>24</v>
      </c>
      <c r="BG9">
        <f>ROUNDUP(tbl_Data_old[[#This Row],[Adjusted 2030]]/$L9,0)</f>
        <v>26</v>
      </c>
      <c r="BH9">
        <f>ROUNDUP(tbl_Data_old[[#This Row],[Adjusted 2031]]/$L9,0)</f>
        <v>27</v>
      </c>
      <c r="BI9">
        <f>ROUNDUP(tbl_Data_old[[#This Row],[Adjusted 2032]]/$L9,0)</f>
        <v>29</v>
      </c>
      <c r="BJ9">
        <f>ROUNDUP(tbl_Data_old[[#This Row],[Adjusted 2033]]/$L9,0)</f>
        <v>31</v>
      </c>
      <c r="BK9">
        <f>ROUNDUP(tbl_Data_old[[#This Row],[Adjusted 2034]]/$L9,0)</f>
        <v>32</v>
      </c>
      <c r="BL9" s="3">
        <f t="shared" si="1"/>
        <v>18314.40100259053</v>
      </c>
      <c r="BM9">
        <f t="shared" si="1"/>
        <v>20367.769353544027</v>
      </c>
      <c r="BN9">
        <f t="shared" si="1"/>
        <v>22260.015264128757</v>
      </c>
      <c r="BO9">
        <f t="shared" si="1"/>
        <v>24049.149152032063</v>
      </c>
      <c r="BP9">
        <f t="shared" si="1"/>
        <v>25752.574175091526</v>
      </c>
      <c r="BQ9">
        <f t="shared" si="1"/>
        <v>27309.904903626237</v>
      </c>
      <c r="BR9">
        <f t="shared" si="1"/>
        <v>28936.16057962209</v>
      </c>
      <c r="BS9">
        <f t="shared" si="1"/>
        <v>30702.720560832906</v>
      </c>
      <c r="BT9">
        <f t="shared" si="1"/>
        <v>32632.834486804742</v>
      </c>
      <c r="BU9">
        <f t="shared" si="1"/>
        <v>34739.512336998669</v>
      </c>
      <c r="BV9">
        <f>VLOOKUP($H9,'1. Set Program Names'!$B$2:$D$15,3,0)*V9</f>
        <v>27159.781366443469</v>
      </c>
      <c r="BW9">
        <f>VLOOKUP($H9,'1. Set Program Names'!$B$2:$D$15,3,0)*W9</f>
        <v>30204.873339082002</v>
      </c>
      <c r="BX9">
        <f>VLOOKUP($H9,'1. Set Program Names'!$B$2:$D$15,3,0)*X9</f>
        <v>33011.024914323723</v>
      </c>
      <c r="BY9">
        <f>VLOOKUP($H9,'1. Set Program Names'!$B$2:$D$15,3,0)*Y9</f>
        <v>35664.264036033223</v>
      </c>
      <c r="BZ9">
        <f>VLOOKUP($H9,'1. Set Program Names'!$B$2:$D$15,3,0)*Z9</f>
        <v>38190.399135613043</v>
      </c>
      <c r="CA9">
        <f>VLOOKUP($H9,'1. Set Program Names'!$B$2:$D$15,3,0)*AA9</f>
        <v>40499.880188051735</v>
      </c>
      <c r="CB9">
        <f>VLOOKUP($H9,'1. Set Program Names'!$B$2:$D$15,3,0)*AB9</f>
        <v>42911.575148740732</v>
      </c>
      <c r="CC9">
        <f>VLOOKUP($H9,'1. Set Program Names'!$B$2:$D$15,3,0)*AC9</f>
        <v>45531.337752694177</v>
      </c>
      <c r="CD9">
        <f>VLOOKUP($H9,'1. Set Program Names'!$B$2:$D$15,3,0)*AD9</f>
        <v>48393.646611952419</v>
      </c>
      <c r="CE9">
        <f>VLOOKUP($H9,'1. Set Program Names'!$B$2:$D$15,3,0)*AE9</f>
        <v>51517.795188403434</v>
      </c>
    </row>
    <row r="10" spans="1:83" x14ac:dyDescent="0.25">
      <c r="A10" s="20" t="s">
        <v>87</v>
      </c>
      <c r="B10" s="20" t="s">
        <v>88</v>
      </c>
      <c r="C10" s="20" t="s">
        <v>89</v>
      </c>
      <c r="D10" s="20" t="s">
        <v>90</v>
      </c>
      <c r="E10" s="20" t="s">
        <v>91</v>
      </c>
      <c r="F10" s="20" t="s">
        <v>90</v>
      </c>
      <c r="G10" s="20" t="s">
        <v>92</v>
      </c>
      <c r="H10" s="20" t="s">
        <v>5</v>
      </c>
      <c r="I10" s="20" t="s">
        <v>109</v>
      </c>
      <c r="J10" s="20" t="s">
        <v>94</v>
      </c>
      <c r="K10" s="20" t="s">
        <v>95</v>
      </c>
      <c r="L10" s="20">
        <v>1590.11499999999</v>
      </c>
      <c r="M10" s="20">
        <v>6.3722388822036402E-2</v>
      </c>
      <c r="N10" s="20">
        <v>0.29557957027655002</v>
      </c>
      <c r="O10" s="20">
        <v>1389.5</v>
      </c>
      <c r="P10" s="20">
        <v>1006.47372867305</v>
      </c>
      <c r="Q10" s="20">
        <v>472.62844433209199</v>
      </c>
      <c r="R10" s="20">
        <v>757.20185047754296</v>
      </c>
      <c r="S10" s="20">
        <v>2034.1125083407001</v>
      </c>
      <c r="T10" s="20">
        <v>15</v>
      </c>
      <c r="U10" s="20">
        <v>0.7</v>
      </c>
      <c r="V10" s="20">
        <v>87055.868670712298</v>
      </c>
      <c r="W10" s="20">
        <v>96776.676089430606</v>
      </c>
      <c r="X10" s="20">
        <v>105728.639841429</v>
      </c>
      <c r="Y10" s="20">
        <v>114188.827110806</v>
      </c>
      <c r="Z10" s="20">
        <v>122240.93928649</v>
      </c>
      <c r="AA10" s="20">
        <v>129599.241525916</v>
      </c>
      <c r="AB10" s="20">
        <v>137284.730809345</v>
      </c>
      <c r="AC10" s="20">
        <v>145636.03120518601</v>
      </c>
      <c r="AD10" s="20">
        <v>154763.24990144101</v>
      </c>
      <c r="AE10" s="20">
        <v>164727.90106397</v>
      </c>
      <c r="AF10" t="str">
        <f t="shared" si="0"/>
        <v>Residential</v>
      </c>
      <c r="AG10" t="str">
        <f>tbl_Data_old[[#This Row],[All_Meas_Name_Append]]</f>
        <v>Heat Pump Water Heater 50 Gallons-ENERGY STAR</v>
      </c>
      <c r="AH10">
        <f>AVERAGEIFS('3. Incentive Adjustment'!G:G,'3. Incentive Adjustment'!A:A,tbl_Data_old[[#This Row],[Trimmed Sector]],'3. Incentive Adjustment'!B:B,tbl_Data_old[[#This Row],[Trimmed Measure Name]])</f>
        <v>0.43153525594917136</v>
      </c>
      <c r="AI10">
        <f>$AH10*tbl_Data_old[[#This Row],[2025 ]]</f>
        <v>37567.676568693278</v>
      </c>
      <c r="AJ10">
        <f>$AH10*tbl_Data_old[[#This Row],[2026 ]]</f>
        <v>41762.547686162492</v>
      </c>
      <c r="AK10">
        <f>$AH10*tbl_Data_old[[#This Row],[2027 ]]</f>
        <v>45625.635655128819</v>
      </c>
      <c r="AL10">
        <f>$AH10*tbl_Data_old[[#This Row],[2028 ]]</f>
        <v>49276.504733797345</v>
      </c>
      <c r="AM10">
        <f>$AH10*tbl_Data_old[[#This Row],[2029 ]]</f>
        <v>52751.275022462578</v>
      </c>
      <c r="AN10">
        <f>$AH10*tbl_Data_old[[#This Row],[2030 ]]</f>
        <v>55926.641862704637</v>
      </c>
      <c r="AO10">
        <f>$AH10*tbl_Data_old[[#This Row],[2031 ]]</f>
        <v>59243.201447723783</v>
      </c>
      <c r="AP10">
        <f>$AH10*tbl_Data_old[[#This Row],[2032 ]]</f>
        <v>62847.082001551455</v>
      </c>
      <c r="AQ10">
        <f>$AH10*tbl_Data_old[[#This Row],[2033 ]]</f>
        <v>66785.798657743915</v>
      </c>
      <c r="AR10">
        <f>$AH10*tbl_Data_old[[#This Row],[2034 ]]</f>
        <v>71085.896947610076</v>
      </c>
      <c r="AS10">
        <f>SUM(tbl_Data_old[[#This Row],[Adjusted 2025]:[Adjusted 2034]])</f>
        <v>542872.26058357838</v>
      </c>
      <c r="AT10" s="3">
        <f>AVERAGEIFS('3. Incentive Adjustment'!F:F,'3. Incentive Adjustment'!A:A,tbl_Data_old[[#This Row],[Trimmed Sector]],'3. Incentive Adjustment'!B:B,tbl_Data_old[[#This Row],[Trimmed Measure Name]])</f>
        <v>500</v>
      </c>
      <c r="AU10" s="3">
        <f>IFERROR(VLOOKUP(tbl_Data_old[[#This Row],[All_Meas_Name_Append]],'IRA Tax Credits'!$A$3:$D$46,4,0),0)</f>
        <v>1666.6666666666667</v>
      </c>
      <c r="AV10" s="4">
        <f>tbl_Data_old[[#This Row],[Adj. per unit Incentive ($)]]/tbl_Data_old[[#This Row],[kWh Savings]]*tbl_Data_old[[#This Row],[Sum of Annuals]]</f>
        <v>170702.20096772301</v>
      </c>
      <c r="AW10" s="4">
        <f>IFERROR(VLOOKUP(tbl_Data_old[[#This Row],[All_Programs]],'1. Set Program Names'!$B$2:$D$15,3,0)*tbl_Data_old[[#This Row],[Sum of Annuals]],"")</f>
        <v>242036.14706231642</v>
      </c>
      <c r="AX10" s="4">
        <f>tbl_Data_old[[#This Row],[per unit IRA tax ($)]]/tbl_Data_old[[#This Row],[kWh Savings]]*tbl_Data_old[[#This Row],[Sum of Annuals]]</f>
        <v>569007.33655907668</v>
      </c>
      <c r="AY10" s="4">
        <f>tbl_Data_old[[#This Row],[Avoided Costs ($/unit)]]/tbl_Data_old[[#This Row],[kWh Savings]]*tbl_Data_old[[#This Row],[Sum of Annuals]]</f>
        <v>258512.0449066986</v>
      </c>
      <c r="AZ10" s="4">
        <f>tbl_Data_old[[#This Row],[Lost Revenue ($/unit)]]/tbl_Data_old[[#This Row],[kWh Savings]]*tbl_Data_old[[#This Row],[Sum of Annuals]]</f>
        <v>694454.96437946672</v>
      </c>
      <c r="BA10" s="4">
        <f>tbl_Data_old[[#This Row],[Incremental Cost ($/unit)]]/tbl_Data_old[[#This Row],[kWh Savings]]*tbl_Data_old[[#This Row],[Sum of Annuals]]</f>
        <v>474381.4164893023</v>
      </c>
      <c r="BB10">
        <f>ROUNDUP(tbl_Data_old[[#This Row],[Adjusted 2025]]/$L10,0)</f>
        <v>24</v>
      </c>
      <c r="BC10">
        <f>ROUNDUP(tbl_Data_old[[#This Row],[Adjusted 2026]]/$L10,0)</f>
        <v>27</v>
      </c>
      <c r="BD10">
        <f>ROUNDUP(tbl_Data_old[[#This Row],[Adjusted 2027]]/$L10,0)</f>
        <v>29</v>
      </c>
      <c r="BE10">
        <f>ROUNDUP(tbl_Data_old[[#This Row],[Adjusted 2028]]/$L10,0)</f>
        <v>31</v>
      </c>
      <c r="BF10">
        <f>ROUNDUP(tbl_Data_old[[#This Row],[Adjusted 2029]]/$L10,0)</f>
        <v>34</v>
      </c>
      <c r="BG10">
        <f>ROUNDUP(tbl_Data_old[[#This Row],[Adjusted 2030]]/$L10,0)</f>
        <v>36</v>
      </c>
      <c r="BH10">
        <f>ROUNDUP(tbl_Data_old[[#This Row],[Adjusted 2031]]/$L10,0)</f>
        <v>38</v>
      </c>
      <c r="BI10">
        <f>ROUNDUP(tbl_Data_old[[#This Row],[Adjusted 2032]]/$L10,0)</f>
        <v>40</v>
      </c>
      <c r="BJ10">
        <f>ROUNDUP(tbl_Data_old[[#This Row],[Adjusted 2033]]/$L10,0)</f>
        <v>43</v>
      </c>
      <c r="BK10">
        <f>ROUNDUP(tbl_Data_old[[#This Row],[Adjusted 2034]]/$L10,0)</f>
        <v>45</v>
      </c>
      <c r="BL10" s="3">
        <f t="shared" si="1"/>
        <v>27374.079444163737</v>
      </c>
      <c r="BM10">
        <f t="shared" si="1"/>
        <v>30430.716045515954</v>
      </c>
      <c r="BN10">
        <f t="shared" si="1"/>
        <v>33245.595394493372</v>
      </c>
      <c r="BO10">
        <f t="shared" si="1"/>
        <v>35905.839235151769</v>
      </c>
      <c r="BP10">
        <f t="shared" si="1"/>
        <v>38437.766855381771</v>
      </c>
      <c r="BQ10">
        <f t="shared" si="1"/>
        <v>40751.531029490572</v>
      </c>
      <c r="BR10">
        <f t="shared" si="1"/>
        <v>43168.176770027909</v>
      </c>
      <c r="BS10">
        <f t="shared" si="1"/>
        <v>45794.181931868734</v>
      </c>
      <c r="BT10">
        <f t="shared" si="1"/>
        <v>48664.168912764791</v>
      </c>
      <c r="BU10">
        <f t="shared" si="1"/>
        <v>51797.480391031786</v>
      </c>
      <c r="BV10">
        <f>VLOOKUP($H10,'1. Set Program Names'!$B$2:$D$15,3,0)*V10</f>
        <v>38813.305748154489</v>
      </c>
      <c r="BW10">
        <f>VLOOKUP($H10,'1. Set Program Names'!$B$2:$D$15,3,0)*W10</f>
        <v>43147.265953511378</v>
      </c>
      <c r="BX10">
        <f>VLOOKUP($H10,'1. Set Program Names'!$B$2:$D$15,3,0)*X10</f>
        <v>47138.442096580548</v>
      </c>
      <c r="BY10">
        <f>VLOOKUP($H10,'1. Set Program Names'!$B$2:$D$15,3,0)*Y10</f>
        <v>50910.362820443755</v>
      </c>
      <c r="BZ10">
        <f>VLOOKUP($H10,'1. Set Program Names'!$B$2:$D$15,3,0)*Z10</f>
        <v>54500.345857376029</v>
      </c>
      <c r="CA10">
        <f>VLOOKUP($H10,'1. Set Program Names'!$B$2:$D$15,3,0)*AA10</f>
        <v>57780.998143857134</v>
      </c>
      <c r="CB10">
        <f>VLOOKUP($H10,'1. Set Program Names'!$B$2:$D$15,3,0)*AB10</f>
        <v>61207.524694412932</v>
      </c>
      <c r="CC10">
        <f>VLOOKUP($H10,'1. Set Program Names'!$B$2:$D$15,3,0)*AC10</f>
        <v>64930.898897759544</v>
      </c>
      <c r="CD10">
        <f>VLOOKUP($H10,'1. Set Program Names'!$B$2:$D$15,3,0)*AD10</f>
        <v>69000.21134386232</v>
      </c>
      <c r="CE10">
        <f>VLOOKUP($H10,'1. Set Program Names'!$B$2:$D$15,3,0)*AE10</f>
        <v>73442.887732605959</v>
      </c>
    </row>
    <row r="11" spans="1:83" x14ac:dyDescent="0.25">
      <c r="A11" s="20" t="s">
        <v>87</v>
      </c>
      <c r="B11" s="20" t="s">
        <v>88</v>
      </c>
      <c r="C11" s="20" t="s">
        <v>89</v>
      </c>
      <c r="D11" s="20" t="s">
        <v>90</v>
      </c>
      <c r="E11" s="20" t="s">
        <v>91</v>
      </c>
      <c r="F11" s="20" t="s">
        <v>90</v>
      </c>
      <c r="G11" s="20" t="s">
        <v>92</v>
      </c>
      <c r="H11" s="20" t="s">
        <v>5</v>
      </c>
      <c r="I11" s="20" t="s">
        <v>110</v>
      </c>
      <c r="J11" s="20" t="s">
        <v>94</v>
      </c>
      <c r="K11" s="20" t="s">
        <v>108</v>
      </c>
      <c r="L11" s="20">
        <v>461.909999999999</v>
      </c>
      <c r="M11" s="20">
        <v>1.8510616289253799E-2</v>
      </c>
      <c r="N11" s="20">
        <v>8.5862443475120898E-2</v>
      </c>
      <c r="O11" s="20">
        <v>1729.5</v>
      </c>
      <c r="P11" s="20">
        <v>1631.9996867488601</v>
      </c>
      <c r="Q11" s="20">
        <v>137.29309183388401</v>
      </c>
      <c r="R11" s="20">
        <v>219.958372038552</v>
      </c>
      <c r="S11" s="20">
        <v>590.88613636602201</v>
      </c>
      <c r="T11" s="20">
        <v>15</v>
      </c>
      <c r="U11" s="20">
        <v>0.7</v>
      </c>
      <c r="V11" s="20">
        <v>46829.4063373065</v>
      </c>
      <c r="W11" s="20">
        <v>52089.0267828379</v>
      </c>
      <c r="X11" s="20">
        <v>56937.276225549504</v>
      </c>
      <c r="Y11" s="20">
        <v>61522.169503380399</v>
      </c>
      <c r="Z11" s="20">
        <v>65887.974067556104</v>
      </c>
      <c r="AA11" s="20">
        <v>69879.984632560896</v>
      </c>
      <c r="AB11" s="20">
        <v>74048.245282154297</v>
      </c>
      <c r="AC11" s="20">
        <v>78575.421731788607</v>
      </c>
      <c r="AD11" s="20">
        <v>83521.052241400495</v>
      </c>
      <c r="AE11" s="20">
        <v>88918.473786939096</v>
      </c>
      <c r="AF11" t="str">
        <f t="shared" si="0"/>
        <v>Residential</v>
      </c>
      <c r="AG11" t="str">
        <f>tbl_Data_old[[#This Row],[All_Meas_Name_Append]]</f>
        <v>Heat Pump Water Heater 80 Gallons-ENERGY STAR</v>
      </c>
      <c r="AH11">
        <f>AVERAGEIFS('3. Incentive Adjustment'!G:G,'3. Incentive Adjustment'!A:A,tbl_Data_old[[#This Row],[Trimmed Sector]],'3. Incentive Adjustment'!B:B,tbl_Data_old[[#This Row],[Trimmed Measure Name]])</f>
        <v>1.5551101216712928E-3</v>
      </c>
      <c r="AI11">
        <f>$AH11*tbl_Data_old[[#This Row],[2025 ]]</f>
        <v>72.824883787003117</v>
      </c>
      <c r="AJ11">
        <f>$AH11*tbl_Data_old[[#This Row],[2026 ]]</f>
        <v>81.004172777998278</v>
      </c>
      <c r="AK11">
        <f>$AH11*tbl_Data_old[[#This Row],[2027 ]]</f>
        <v>88.543734558746294</v>
      </c>
      <c r="AL11">
        <f>$AH11*tbl_Data_old[[#This Row],[2028 ]]</f>
        <v>95.673748501883793</v>
      </c>
      <c r="AM11">
        <f>$AH11*tbl_Data_old[[#This Row],[2029 ]]</f>
        <v>102.46305536887216</v>
      </c>
      <c r="AN11">
        <f>$AH11*tbl_Data_old[[#This Row],[2030 ]]</f>
        <v>108.67107140432985</v>
      </c>
      <c r="AO11">
        <f>$AH11*tbl_Data_old[[#This Row],[2031 ]]</f>
        <v>115.1531757302767</v>
      </c>
      <c r="AP11">
        <f>$AH11*tbl_Data_old[[#This Row],[2032 ]]</f>
        <v>122.19343364969492</v>
      </c>
      <c r="AQ11">
        <f>$AH11*tbl_Data_old[[#This Row],[2033 ]]</f>
        <v>129.88443371323874</v>
      </c>
      <c r="AR11">
        <f>$AH11*tbl_Data_old[[#This Row],[2034 ]]</f>
        <v>138.27801858963252</v>
      </c>
      <c r="AS11">
        <f>SUM(tbl_Data_old[[#This Row],[Adjusted 2025]:[Adjusted 2034]])</f>
        <v>1054.6897280816765</v>
      </c>
      <c r="AT11" s="3">
        <f>AVERAGEIFS('3. Incentive Adjustment'!F:F,'3. Incentive Adjustment'!A:A,tbl_Data_old[[#This Row],[Trimmed Sector]],'3. Incentive Adjustment'!B:B,tbl_Data_old[[#This Row],[Trimmed Measure Name]])</f>
        <v>500</v>
      </c>
      <c r="AU11" s="3">
        <f>IFERROR(VLOOKUP(tbl_Data_old[[#This Row],[All_Meas_Name_Append]],'IRA Tax Credits'!$A$3:$D$46,4,0),0)</f>
        <v>1666.6666666666667</v>
      </c>
      <c r="AV11" s="4">
        <f>tbl_Data_old[[#This Row],[Adj. per unit Incentive ($)]]/tbl_Data_old[[#This Row],[kWh Savings]]*tbl_Data_old[[#This Row],[Sum of Annuals]]</f>
        <v>1141.6615012466486</v>
      </c>
      <c r="AW11" s="4">
        <f>IFERROR(VLOOKUP(tbl_Data_old[[#This Row],[All_Programs]],'1. Set Program Names'!$B$2:$D$15,3,0)*tbl_Data_old[[#This Row],[Sum of Annuals]],"")</f>
        <v>470.22671200159874</v>
      </c>
      <c r="AX11" s="4">
        <f>tbl_Data_old[[#This Row],[per unit IRA tax ($)]]/tbl_Data_old[[#This Row],[kWh Savings]]*tbl_Data_old[[#This Row],[Sum of Annuals]]</f>
        <v>3805.5383374888283</v>
      </c>
      <c r="AY11" s="4">
        <f>tbl_Data_old[[#This Row],[Avoided Costs ($/unit)]]/tbl_Data_old[[#This Row],[kWh Savings]]*tbl_Data_old[[#This Row],[Sum of Annuals]]</f>
        <v>502.23601046660423</v>
      </c>
      <c r="AZ11" s="4">
        <f>tbl_Data_old[[#This Row],[Lost Revenue ($/unit)]]/tbl_Data_old[[#This Row],[kWh Savings]]*tbl_Data_old[[#This Row],[Sum of Annuals]]</f>
        <v>1349.1839070189289</v>
      </c>
      <c r="BA11" s="4">
        <f>tbl_Data_old[[#This Row],[Incremental Cost ($/unit)]]/tbl_Data_old[[#This Row],[kWh Savings]]*tbl_Data_old[[#This Row],[Sum of Annuals]]</f>
        <v>3949.0071328121571</v>
      </c>
      <c r="BB11">
        <f>ROUNDUP(tbl_Data_old[[#This Row],[Adjusted 2025]]/$L11,0)</f>
        <v>1</v>
      </c>
      <c r="BC11">
        <f>ROUNDUP(tbl_Data_old[[#This Row],[Adjusted 2026]]/$L11,0)</f>
        <v>1</v>
      </c>
      <c r="BD11">
        <f>ROUNDUP(tbl_Data_old[[#This Row],[Adjusted 2027]]/$L11,0)</f>
        <v>1</v>
      </c>
      <c r="BE11">
        <f>ROUNDUP(tbl_Data_old[[#This Row],[Adjusted 2028]]/$L11,0)</f>
        <v>1</v>
      </c>
      <c r="BF11">
        <f>ROUNDUP(tbl_Data_old[[#This Row],[Adjusted 2029]]/$L11,0)</f>
        <v>1</v>
      </c>
      <c r="BG11">
        <f>ROUNDUP(tbl_Data_old[[#This Row],[Adjusted 2030]]/$L11,0)</f>
        <v>1</v>
      </c>
      <c r="BH11">
        <f>ROUNDUP(tbl_Data_old[[#This Row],[Adjusted 2031]]/$L11,0)</f>
        <v>1</v>
      </c>
      <c r="BI11">
        <f>ROUNDUP(tbl_Data_old[[#This Row],[Adjusted 2032]]/$L11,0)</f>
        <v>1</v>
      </c>
      <c r="BJ11">
        <f>ROUNDUP(tbl_Data_old[[#This Row],[Adjusted 2033]]/$L11,0)</f>
        <v>1</v>
      </c>
      <c r="BK11">
        <f>ROUNDUP(tbl_Data_old[[#This Row],[Adjusted 2034]]/$L11,0)</f>
        <v>1</v>
      </c>
      <c r="BL11" s="3">
        <f t="shared" si="1"/>
        <v>50691.050569706873</v>
      </c>
      <c r="BM11">
        <f t="shared" si="1"/>
        <v>56384.38958112838</v>
      </c>
      <c r="BN11">
        <f t="shared" si="1"/>
        <v>61632.435134062514</v>
      </c>
      <c r="BO11">
        <f t="shared" si="1"/>
        <v>66595.407658830227</v>
      </c>
      <c r="BP11">
        <f t="shared" si="1"/>
        <v>71321.224987071342</v>
      </c>
      <c r="BQ11">
        <f t="shared" si="1"/>
        <v>75642.424533524987</v>
      </c>
      <c r="BR11">
        <f t="shared" si="1"/>
        <v>80154.408090487821</v>
      </c>
      <c r="BS11">
        <f t="shared" si="1"/>
        <v>85054.904344773633</v>
      </c>
      <c r="BT11">
        <f t="shared" si="1"/>
        <v>90408.361197420149</v>
      </c>
      <c r="BU11">
        <f t="shared" si="1"/>
        <v>96250.864656469115</v>
      </c>
      <c r="BV11">
        <f>VLOOKUP($H11,'1. Set Program Names'!$B$2:$D$15,3,0)*V11</f>
        <v>20878.593183068504</v>
      </c>
      <c r="BW11">
        <f>VLOOKUP($H11,'1. Set Program Names'!$B$2:$D$15,3,0)*W11</f>
        <v>23223.561530278086</v>
      </c>
      <c r="BX11">
        <f>VLOOKUP($H11,'1. Set Program Names'!$B$2:$D$15,3,0)*X11</f>
        <v>25385.122730420269</v>
      </c>
      <c r="BY11">
        <f>VLOOKUP($H11,'1. Set Program Names'!$B$2:$D$15,3,0)*Y11</f>
        <v>27429.268258256201</v>
      </c>
      <c r="BZ11">
        <f>VLOOKUP($H11,'1. Set Program Names'!$B$2:$D$15,3,0)*Z11</f>
        <v>29375.73447556531</v>
      </c>
      <c r="CA11">
        <f>VLOOKUP($H11,'1. Set Program Names'!$B$2:$D$15,3,0)*AA11</f>
        <v>31155.547014056705</v>
      </c>
      <c r="CB11">
        <f>VLOOKUP($H11,'1. Set Program Names'!$B$2:$D$15,3,0)*AB11</f>
        <v>33013.939532573932</v>
      </c>
      <c r="CC11">
        <f>VLOOKUP($H11,'1. Set Program Names'!$B$2:$D$15,3,0)*AC11</f>
        <v>35032.352379387732</v>
      </c>
      <c r="CD11">
        <f>VLOOKUP($H11,'1. Set Program Names'!$B$2:$D$15,3,0)*AD11</f>
        <v>37237.330309285135</v>
      </c>
      <c r="CE11">
        <f>VLOOKUP($H11,'1. Set Program Names'!$B$2:$D$15,3,0)*AE11</f>
        <v>39643.736401114125</v>
      </c>
    </row>
    <row r="12" spans="1:83" x14ac:dyDescent="0.25">
      <c r="A12" s="20" t="s">
        <v>87</v>
      </c>
      <c r="B12" s="20" t="s">
        <v>88</v>
      </c>
      <c r="C12" s="20" t="s">
        <v>89</v>
      </c>
      <c r="D12" s="20" t="s">
        <v>90</v>
      </c>
      <c r="E12" s="20" t="s">
        <v>91</v>
      </c>
      <c r="F12" s="20" t="s">
        <v>90</v>
      </c>
      <c r="G12" s="20" t="s">
        <v>92</v>
      </c>
      <c r="H12" s="20" t="s">
        <v>5</v>
      </c>
      <c r="I12" s="20" t="s">
        <v>299</v>
      </c>
      <c r="J12" s="20" t="s">
        <v>97</v>
      </c>
      <c r="K12" s="20" t="s">
        <v>102</v>
      </c>
      <c r="L12" s="20">
        <v>408.28</v>
      </c>
      <c r="M12" s="20">
        <v>0.16567198429270899</v>
      </c>
      <c r="N12" s="20">
        <v>2.3547919008134799E-2</v>
      </c>
      <c r="O12" s="53">
        <v>128.60999999999999</v>
      </c>
      <c r="P12" s="20">
        <v>29.691921599999901</v>
      </c>
      <c r="Q12" s="20">
        <v>121.35269540373299</v>
      </c>
      <c r="R12" s="20">
        <v>238.630335182902</v>
      </c>
      <c r="S12" s="20">
        <v>423.90838942107399</v>
      </c>
      <c r="T12" s="20">
        <v>11</v>
      </c>
      <c r="U12" s="20">
        <v>0.7</v>
      </c>
      <c r="V12" s="20">
        <v>12547.879898299399</v>
      </c>
      <c r="W12" s="20">
        <v>10406.7692206948</v>
      </c>
      <c r="X12" s="20">
        <v>8630.0005671159106</v>
      </c>
      <c r="Y12" s="20">
        <v>7186.22382306088</v>
      </c>
      <c r="Z12" s="20">
        <v>6024.4932305667598</v>
      </c>
      <c r="AA12" s="20">
        <v>5075.9049478595498</v>
      </c>
      <c r="AB12" s="20">
        <v>4338.8265528949996</v>
      </c>
      <c r="AC12" s="20">
        <v>3767.0703156510199</v>
      </c>
      <c r="AD12" s="20">
        <v>3325.2711850845699</v>
      </c>
      <c r="AE12" s="20">
        <v>2983.6958776505999</v>
      </c>
      <c r="AF12" t="str">
        <f t="shared" si="0"/>
        <v>Residential</v>
      </c>
      <c r="AG12" t="str">
        <f>tbl_Data_old[[#This Row],[All_Meas_Name_Append]]</f>
        <v>Smart Thermostat Residential</v>
      </c>
      <c r="AH12">
        <f>AVERAGEIFS('3. Incentive Adjustment'!G:G,'3. Incentive Adjustment'!A:A,tbl_Data_old[[#This Row],[Trimmed Sector]],'3. Incentive Adjustment'!B:B,tbl_Data_old[[#This Row],[Trimmed Measure Name]])</f>
        <v>1.1402432304340044</v>
      </c>
      <c r="AI12">
        <f>$AH12*tbl_Data_old[[#This Row],[2025 ]]</f>
        <v>14307.635110334815</v>
      </c>
      <c r="AJ12">
        <f>$AH12*tbl_Data_old[[#This Row],[2026 ]]</f>
        <v>11866.248154586205</v>
      </c>
      <c r="AK12">
        <f>$AH12*tbl_Data_old[[#This Row],[2027 ]]</f>
        <v>9840.2997252955356</v>
      </c>
      <c r="AL12">
        <f>$AH12*tbl_Data_old[[#This Row],[2028 ]]</f>
        <v>8194.0430666287393</v>
      </c>
      <c r="AM12">
        <f>$AH12*tbl_Data_old[[#This Row],[2029 ]]</f>
        <v>6869.3876229492334</v>
      </c>
      <c r="AN12">
        <f>$AH12*tbl_Data_old[[#This Row],[2030 ]]</f>
        <v>5787.7662551233198</v>
      </c>
      <c r="AO12">
        <f>$AH12*tbl_Data_old[[#This Row],[2031 ]]</f>
        <v>4947.3176049658305</v>
      </c>
      <c r="AP12">
        <f>$AH12*tbl_Data_old[[#This Row],[2032 ]]</f>
        <v>4295.3764259899635</v>
      </c>
      <c r="AQ12">
        <f>$AH12*tbl_Data_old[[#This Row],[2033 ]]</f>
        <v>3791.61795814994</v>
      </c>
      <c r="AR12">
        <f>$AH12*tbl_Data_old[[#This Row],[2034 ]]</f>
        <v>3402.1390261649422</v>
      </c>
      <c r="AS12">
        <f>SUM(tbl_Data_old[[#This Row],[Adjusted 2025]:[Adjusted 2034]])</f>
        <v>73301.830950188523</v>
      </c>
      <c r="AT12" s="3">
        <f>AVERAGEIFS('3. Incentive Adjustment'!F:F,'3. Incentive Adjustment'!A:A,tbl_Data_old[[#This Row],[Trimmed Sector]],'3. Incentive Adjustment'!B:B,tbl_Data_old[[#This Row],[Trimmed Measure Name]])</f>
        <v>50</v>
      </c>
      <c r="AU12" s="3">
        <f>IFERROR(VLOOKUP(tbl_Data_old[[#This Row],[All_Meas_Name_Append]],'IRA Tax Credits'!$A$3:$D$46,4,0),0)</f>
        <v>0</v>
      </c>
      <c r="AV12" s="4">
        <f>tbl_Data_old[[#This Row],[Adj. per unit Incentive ($)]]/tbl_Data_old[[#This Row],[kWh Savings]]*tbl_Data_old[[#This Row],[Sum of Annuals]]</f>
        <v>8976.9068960258319</v>
      </c>
      <c r="AW12" s="4">
        <f>IFERROR(VLOOKUP(tbl_Data_old[[#This Row],[All_Programs]],'1. Set Program Names'!$B$2:$D$15,3,0)*tbl_Data_old[[#This Row],[Sum of Annuals]],"")</f>
        <v>32681.155446632823</v>
      </c>
      <c r="AX12" s="4">
        <f>tbl_Data_old[[#This Row],[per unit IRA tax ($)]]/tbl_Data_old[[#This Row],[kWh Savings]]*tbl_Data_old[[#This Row],[Sum of Annuals]]</f>
        <v>0</v>
      </c>
      <c r="AY12" s="4">
        <f>tbl_Data_old[[#This Row],[Avoided Costs ($/unit)]]/tbl_Data_old[[#This Row],[kWh Savings]]*tbl_Data_old[[#This Row],[Sum of Annuals]]</f>
        <v>42843.246030086972</v>
      </c>
      <c r="AZ12" s="4">
        <f>tbl_Data_old[[#This Row],[Lost Revenue ($/unit)]]/tbl_Data_old[[#This Row],[kWh Savings]]*tbl_Data_old[[#This Row],[Sum of Annuals]]</f>
        <v>76107.722885544863</v>
      </c>
      <c r="BA12" s="4">
        <f>tbl_Data_old[[#This Row],[Incremental Cost ($/unit)]]/tbl_Data_old[[#This Row],[kWh Savings]]*tbl_Data_old[[#This Row],[Sum of Annuals]]</f>
        <v>23090.399917957642</v>
      </c>
      <c r="BB12">
        <f>ROUNDUP(tbl_Data_old[[#This Row],[Adjusted 2025]]/$L12,0)</f>
        <v>36</v>
      </c>
      <c r="BC12">
        <f>ROUNDUP(tbl_Data_old[[#This Row],[Adjusted 2026]]/$L12,0)</f>
        <v>30</v>
      </c>
      <c r="BD12">
        <f>ROUNDUP(tbl_Data_old[[#This Row],[Adjusted 2027]]/$L12,0)</f>
        <v>25</v>
      </c>
      <c r="BE12">
        <f>ROUNDUP(tbl_Data_old[[#This Row],[Adjusted 2028]]/$L12,0)</f>
        <v>21</v>
      </c>
      <c r="BF12">
        <f>ROUNDUP(tbl_Data_old[[#This Row],[Adjusted 2029]]/$L12,0)</f>
        <v>17</v>
      </c>
      <c r="BG12">
        <f>ROUNDUP(tbl_Data_old[[#This Row],[Adjusted 2030]]/$L12,0)</f>
        <v>15</v>
      </c>
      <c r="BH12">
        <f>ROUNDUP(tbl_Data_old[[#This Row],[Adjusted 2031]]/$L12,0)</f>
        <v>13</v>
      </c>
      <c r="BI12">
        <f>ROUNDUP(tbl_Data_old[[#This Row],[Adjusted 2032]]/$L12,0)</f>
        <v>11</v>
      </c>
      <c r="BJ12">
        <f>ROUNDUP(tbl_Data_old[[#This Row],[Adjusted 2033]]/$L12,0)</f>
        <v>10</v>
      </c>
      <c r="BK12">
        <f>ROUNDUP(tbl_Data_old[[#This Row],[Adjusted 2034]]/$L12,0)</f>
        <v>9</v>
      </c>
      <c r="BL12" s="3">
        <f t="shared" si="1"/>
        <v>1536.6757982633733</v>
      </c>
      <c r="BM12">
        <f t="shared" si="1"/>
        <v>1274.4647326215834</v>
      </c>
      <c r="BN12">
        <f t="shared" si="1"/>
        <v>1056.8728038497982</v>
      </c>
      <c r="BO12">
        <f t="shared" si="1"/>
        <v>880.06072095876368</v>
      </c>
      <c r="BP12">
        <f t="shared" si="1"/>
        <v>737.78941297231802</v>
      </c>
      <c r="BQ12">
        <f t="shared" si="1"/>
        <v>621.62057262902306</v>
      </c>
      <c r="BR12">
        <f t="shared" si="1"/>
        <v>531.35428540401199</v>
      </c>
      <c r="BS12">
        <f t="shared" si="1"/>
        <v>461.33417209403109</v>
      </c>
      <c r="BT12">
        <f t="shared" si="1"/>
        <v>407.22925260661435</v>
      </c>
      <c r="BU12">
        <f t="shared" si="1"/>
        <v>365.39824111523956</v>
      </c>
      <c r="BV12">
        <f>VLOOKUP($H12,'1. Set Program Names'!$B$2:$D$15,3,0)*V12</f>
        <v>5594.3925024283071</v>
      </c>
      <c r="BW12">
        <f>VLOOKUP($H12,'1. Set Program Names'!$B$2:$D$15,3,0)*W12</f>
        <v>4639.7919150188154</v>
      </c>
      <c r="BX12">
        <f>VLOOKUP($H12,'1. Set Program Names'!$B$2:$D$15,3,0)*X12</f>
        <v>3847.6309033822181</v>
      </c>
      <c r="BY12">
        <f>VLOOKUP($H12,'1. Set Program Names'!$B$2:$D$15,3,0)*Y12</f>
        <v>3203.9322182189585</v>
      </c>
      <c r="BZ12">
        <f>VLOOKUP($H12,'1. Set Program Names'!$B$2:$D$15,3,0)*Z12</f>
        <v>2685.9820171358633</v>
      </c>
      <c r="CA12">
        <f>VLOOKUP($H12,'1. Set Program Names'!$B$2:$D$15,3,0)*AA12</f>
        <v>2263.0599602083198</v>
      </c>
      <c r="CB12">
        <f>VLOOKUP($H12,'1. Set Program Names'!$B$2:$D$15,3,0)*AB12</f>
        <v>1934.4382424430403</v>
      </c>
      <c r="CC12">
        <f>VLOOKUP($H12,'1. Set Program Names'!$B$2:$D$15,3,0)*AC12</f>
        <v>1679.5243579638106</v>
      </c>
      <c r="CD12">
        <f>VLOOKUP($H12,'1. Set Program Names'!$B$2:$D$15,3,0)*AD12</f>
        <v>1482.5510235318109</v>
      </c>
      <c r="CE12">
        <f>VLOOKUP($H12,'1. Set Program Names'!$B$2:$D$15,3,0)*AE12</f>
        <v>1330.2618436535249</v>
      </c>
    </row>
    <row r="13" spans="1:83" x14ac:dyDescent="0.25">
      <c r="A13" s="20" t="s">
        <v>87</v>
      </c>
      <c r="B13" s="20" t="s">
        <v>88</v>
      </c>
      <c r="C13" s="20" t="s">
        <v>89</v>
      </c>
      <c r="D13" s="20" t="s">
        <v>90</v>
      </c>
      <c r="E13" s="20" t="s">
        <v>91</v>
      </c>
      <c r="F13" s="20" t="s">
        <v>90</v>
      </c>
      <c r="G13" s="20" t="s">
        <v>92</v>
      </c>
      <c r="H13" s="20" t="s">
        <v>5</v>
      </c>
      <c r="I13" s="20" t="s">
        <v>112</v>
      </c>
      <c r="J13" s="20" t="s">
        <v>94</v>
      </c>
      <c r="K13" s="20" t="s">
        <v>108</v>
      </c>
      <c r="L13" s="20">
        <v>1330.8133333333301</v>
      </c>
      <c r="M13" s="20">
        <v>5.33311142126306E-2</v>
      </c>
      <c r="N13" s="20">
        <v>0.24737910980336</v>
      </c>
      <c r="O13" s="20">
        <v>8990.02</v>
      </c>
      <c r="P13" s="20">
        <v>8776.4394094329891</v>
      </c>
      <c r="Q13" s="20">
        <v>395.55644430103399</v>
      </c>
      <c r="R13" s="20">
        <v>713.19672296706005</v>
      </c>
      <c r="S13" s="20">
        <v>2011.6258188035599</v>
      </c>
      <c r="T13" s="20">
        <v>20</v>
      </c>
      <c r="U13" s="20">
        <v>0.7</v>
      </c>
      <c r="V13" s="20">
        <v>151067.960383442</v>
      </c>
      <c r="W13" s="20">
        <v>168128.627340748</v>
      </c>
      <c r="X13" s="20">
        <v>183870.44690078899</v>
      </c>
      <c r="Y13" s="20">
        <v>198767.89711565699</v>
      </c>
      <c r="Z13" s="20">
        <v>212961.510475444</v>
      </c>
      <c r="AA13" s="20">
        <v>225949.09570685</v>
      </c>
      <c r="AB13" s="20">
        <v>239507.625093554</v>
      </c>
      <c r="AC13" s="20">
        <v>254227.997984549</v>
      </c>
      <c r="AD13" s="20">
        <v>270303.29636738199</v>
      </c>
      <c r="AE13" s="20">
        <v>287841.89455214801</v>
      </c>
      <c r="AF13" t="str">
        <f t="shared" si="0"/>
        <v>Residential</v>
      </c>
      <c r="AG13" t="str">
        <f>tbl_Data_old[[#This Row],[All_Meas_Name_Append]]</f>
        <v>Solar Thermal Water Heating System</v>
      </c>
      <c r="AH13">
        <f>AVERAGEIFS('3. Incentive Adjustment'!G:G,'3. Incentive Adjustment'!A:A,tbl_Data_old[[#This Row],[Trimmed Sector]],'3. Incentive Adjustment'!B:B,tbl_Data_old[[#This Row],[Trimmed Measure Name]])</f>
        <v>2.7736651842107431E-8</v>
      </c>
      <c r="AI13">
        <f>$AH13*tbl_Data_old[[#This Row],[2025 ]]</f>
        <v>4.190119421652809E-3</v>
      </c>
      <c r="AJ13">
        <f>$AH13*tbl_Data_old[[#This Row],[2026 ]]</f>
        <v>4.6633252012417518E-3</v>
      </c>
      <c r="AK13">
        <f>$AH13*tbl_Data_old[[#This Row],[2027 ]]</f>
        <v>5.0999505697398853E-3</v>
      </c>
      <c r="AL13">
        <f>$AH13*tbl_Data_old[[#This Row],[2028 ]]</f>
        <v>5.5131559596848078E-3</v>
      </c>
      <c r="AM13">
        <f>$AH13*tbl_Data_old[[#This Row],[2029 ]]</f>
        <v>5.9068392718267049E-3</v>
      </c>
      <c r="AN13">
        <f>$AH13*tbl_Data_old[[#This Row],[2030 ]]</f>
        <v>6.2670714016599093E-3</v>
      </c>
      <c r="AO13">
        <f>$AH13*tbl_Data_old[[#This Row],[2031 ]]</f>
        <v>6.6431396107499005E-3</v>
      </c>
      <c r="AP13">
        <f>$AH13*tbl_Data_old[[#This Row],[2032 ]]</f>
        <v>7.0514334686134252E-3</v>
      </c>
      <c r="AQ13">
        <f>$AH13*tbl_Data_old[[#This Row],[2033 ]]</f>
        <v>7.4973084231160564E-3</v>
      </c>
      <c r="AR13">
        <f>$AH13*tbl_Data_old[[#This Row],[2034 ]]</f>
        <v>7.9837704147655286E-3</v>
      </c>
      <c r="AS13">
        <f>SUM(tbl_Data_old[[#This Row],[Adjusted 2025]:[Adjusted 2034]])</f>
        <v>6.0816113743050772E-2</v>
      </c>
      <c r="AT13" s="3">
        <f>AVERAGEIFS('3. Incentive Adjustment'!F:F,'3. Incentive Adjustment'!A:A,tbl_Data_old[[#This Row],[Trimmed Sector]],'3. Incentive Adjustment'!B:B,tbl_Data_old[[#This Row],[Trimmed Measure Name]])</f>
        <v>0</v>
      </c>
      <c r="AU13" s="3">
        <f>IFERROR(VLOOKUP(tbl_Data_old[[#This Row],[All_Meas_Name_Append]],'IRA Tax Credits'!$A$3:$D$46,4,0),0)</f>
        <v>41666.666666666672</v>
      </c>
      <c r="AV13" s="4">
        <f>tbl_Data_old[[#This Row],[Adj. per unit Incentive ($)]]/tbl_Data_old[[#This Row],[kWh Savings]]*tbl_Data_old[[#This Row],[Sum of Annuals]]</f>
        <v>0</v>
      </c>
      <c r="AW13" s="4">
        <f>IFERROR(VLOOKUP(tbl_Data_old[[#This Row],[All_Programs]],'1. Set Program Names'!$B$2:$D$15,3,0)*tbl_Data_old[[#This Row],[Sum of Annuals]],"")</f>
        <v>2.7114477784973164E-2</v>
      </c>
      <c r="AX13" s="4">
        <f>tbl_Data_old[[#This Row],[per unit IRA tax ($)]]/tbl_Data_old[[#This Row],[kWh Savings]]*tbl_Data_old[[#This Row],[Sum of Annuals]]</f>
        <v>1.9041023078321442</v>
      </c>
      <c r="AY13" s="4">
        <f>tbl_Data_old[[#This Row],[Avoided Costs ($/unit)]]/tbl_Data_old[[#This Row],[kWh Savings]]*tbl_Data_old[[#This Row],[Sum of Annuals]]</f>
        <v>3.2591988627357633E-2</v>
      </c>
      <c r="AZ13" s="4">
        <f>tbl_Data_old[[#This Row],[Lost Revenue ($/unit)]]/tbl_Data_old[[#This Row],[kWh Savings]]*tbl_Data_old[[#This Row],[Sum of Annuals]]</f>
        <v>9.1928192737886036E-2</v>
      </c>
      <c r="BA13" s="4">
        <f>tbl_Data_old[[#This Row],[Incremental Cost ($/unit)]]/tbl_Data_old[[#This Row],[kWh Savings]]*tbl_Data_old[[#This Row],[Sum of Annuals]]</f>
        <v>0.41083002790697115</v>
      </c>
      <c r="BB13">
        <f>ROUNDUP(tbl_Data_old[[#This Row],[Adjusted 2025]]/$L13,0)</f>
        <v>1</v>
      </c>
      <c r="BC13">
        <f>ROUNDUP(tbl_Data_old[[#This Row],[Adjusted 2026]]/$L13,0)</f>
        <v>1</v>
      </c>
      <c r="BD13">
        <f>ROUNDUP(tbl_Data_old[[#This Row],[Adjusted 2027]]/$L13,0)</f>
        <v>1</v>
      </c>
      <c r="BE13">
        <f>ROUNDUP(tbl_Data_old[[#This Row],[Adjusted 2028]]/$L13,0)</f>
        <v>1</v>
      </c>
      <c r="BF13">
        <f>ROUNDUP(tbl_Data_old[[#This Row],[Adjusted 2029]]/$L13,0)</f>
        <v>1</v>
      </c>
      <c r="BG13">
        <f>ROUNDUP(tbl_Data_old[[#This Row],[Adjusted 2030]]/$L13,0)</f>
        <v>1</v>
      </c>
      <c r="BH13">
        <f>ROUNDUP(tbl_Data_old[[#This Row],[Adjusted 2031]]/$L13,0)</f>
        <v>1</v>
      </c>
      <c r="BI13">
        <f>ROUNDUP(tbl_Data_old[[#This Row],[Adjusted 2032]]/$L13,0)</f>
        <v>1</v>
      </c>
      <c r="BJ13">
        <f>ROUNDUP(tbl_Data_old[[#This Row],[Adjusted 2033]]/$L13,0)</f>
        <v>1</v>
      </c>
      <c r="BK13">
        <f>ROUNDUP(tbl_Data_old[[#This Row],[Adjusted 2034]]/$L13,0)</f>
        <v>1</v>
      </c>
      <c r="BL13" s="3">
        <f t="shared" si="1"/>
        <v>0</v>
      </c>
      <c r="BM13">
        <f t="shared" si="1"/>
        <v>0</v>
      </c>
      <c r="BN13">
        <f t="shared" si="1"/>
        <v>0</v>
      </c>
      <c r="BO13">
        <f t="shared" si="1"/>
        <v>0</v>
      </c>
      <c r="BP13">
        <f t="shared" si="1"/>
        <v>0</v>
      </c>
      <c r="BQ13">
        <f t="shared" si="1"/>
        <v>0</v>
      </c>
      <c r="BR13">
        <f t="shared" si="1"/>
        <v>0</v>
      </c>
      <c r="BS13">
        <f t="shared" si="1"/>
        <v>0</v>
      </c>
      <c r="BT13">
        <f t="shared" si="1"/>
        <v>0</v>
      </c>
      <c r="BU13">
        <f t="shared" si="1"/>
        <v>0</v>
      </c>
      <c r="BV13">
        <f>VLOOKUP($H13,'1. Set Program Names'!$B$2:$D$15,3,0)*V13</f>
        <v>67352.689998316331</v>
      </c>
      <c r="BW13">
        <f>VLOOKUP($H13,'1. Set Program Names'!$B$2:$D$15,3,0)*W13</f>
        <v>74959.079929201354</v>
      </c>
      <c r="BX13">
        <f>VLOOKUP($H13,'1. Set Program Names'!$B$2:$D$15,3,0)*X13</f>
        <v>81977.470130179281</v>
      </c>
      <c r="BY13">
        <f>VLOOKUP($H13,'1. Set Program Names'!$B$2:$D$15,3,0)*Y13</f>
        <v>88619.403625147781</v>
      </c>
      <c r="BZ13">
        <f>VLOOKUP($H13,'1. Set Program Names'!$B$2:$D$15,3,0)*Z13</f>
        <v>94947.535931635692</v>
      </c>
      <c r="CA13">
        <f>VLOOKUP($H13,'1. Set Program Names'!$B$2:$D$15,3,0)*AA13</f>
        <v>100737.96826220602</v>
      </c>
      <c r="CB13">
        <f>VLOOKUP($H13,'1. Set Program Names'!$B$2:$D$15,3,0)*AB13</f>
        <v>106782.95241568128</v>
      </c>
      <c r="CC13">
        <f>VLOOKUP($H13,'1. Set Program Names'!$B$2:$D$15,3,0)*AC13</f>
        <v>113345.93711124666</v>
      </c>
      <c r="CD13">
        <f>VLOOKUP($H13,'1. Set Program Names'!$B$2:$D$15,3,0)*AD13</f>
        <v>120513.00672588387</v>
      </c>
      <c r="CE13">
        <f>VLOOKUP($H13,'1. Set Program Names'!$B$2:$D$15,3,0)*AE13</f>
        <v>128332.47925695707</v>
      </c>
    </row>
    <row r="14" spans="1:83" x14ac:dyDescent="0.25">
      <c r="A14" s="20" t="s">
        <v>113</v>
      </c>
      <c r="B14" s="20" t="s">
        <v>88</v>
      </c>
      <c r="C14" s="20" t="s">
        <v>89</v>
      </c>
      <c r="D14" s="20" t="s">
        <v>90</v>
      </c>
      <c r="E14" s="20" t="s">
        <v>91</v>
      </c>
      <c r="F14" s="20" t="s">
        <v>90</v>
      </c>
      <c r="G14" s="20" t="s">
        <v>92</v>
      </c>
      <c r="H14" s="20" t="s">
        <v>5</v>
      </c>
      <c r="I14" s="20" t="s">
        <v>93</v>
      </c>
      <c r="J14" s="20" t="s">
        <v>94</v>
      </c>
      <c r="K14" s="20" t="s">
        <v>95</v>
      </c>
      <c r="L14" s="20">
        <v>1200.2266666666601</v>
      </c>
      <c r="M14" s="20">
        <v>4.8097974252120097E-2</v>
      </c>
      <c r="N14" s="20">
        <v>0.22310492157346501</v>
      </c>
      <c r="O14" s="20">
        <v>1210</v>
      </c>
      <c r="P14" s="20">
        <v>933.85922631496703</v>
      </c>
      <c r="Q14" s="20">
        <v>356.74228738962802</v>
      </c>
      <c r="R14" s="20">
        <v>571.53970184074296</v>
      </c>
      <c r="S14" s="20">
        <v>1535.35818196214</v>
      </c>
      <c r="T14" s="20">
        <v>15</v>
      </c>
      <c r="U14" s="20">
        <v>0.7</v>
      </c>
      <c r="V14" s="20">
        <v>50583.657811268102</v>
      </c>
      <c r="W14" s="20">
        <v>104326.95472996699</v>
      </c>
      <c r="X14" s="20">
        <v>161207.20073827199</v>
      </c>
      <c r="Y14" s="20">
        <v>221296.83631828299</v>
      </c>
      <c r="Z14" s="20">
        <v>284664.83558833</v>
      </c>
      <c r="AA14" s="20">
        <v>351195.61561824701</v>
      </c>
      <c r="AB14" s="20">
        <v>421266.38014168799</v>
      </c>
      <c r="AC14" s="20">
        <v>495395.77355241898</v>
      </c>
      <c r="AD14" s="20">
        <v>574135.85772671597</v>
      </c>
      <c r="AE14" s="20">
        <v>658054.99775612506</v>
      </c>
      <c r="AF14" t="str">
        <f t="shared" si="0"/>
        <v>Residential</v>
      </c>
      <c r="AG14" t="str">
        <f>tbl_Data_old[[#This Row],[All_Meas_Name_Append]]</f>
        <v>120v Heat Pump Water Heater 50 Gallons</v>
      </c>
      <c r="AH14">
        <f>AVERAGEIFS('3. Incentive Adjustment'!G:G,'3. Incentive Adjustment'!A:A,tbl_Data_old[[#This Row],[Trimmed Sector]],'3. Incentive Adjustment'!B:B,tbl_Data_old[[#This Row],[Trimmed Measure Name]])</f>
        <v>0.38528347196238832</v>
      </c>
      <c r="AI14">
        <f>$AH14*tbl_Data_old[[#This Row],[2025 ]]</f>
        <v>19489.047306082757</v>
      </c>
      <c r="AJ14">
        <f>$AH14*tbl_Data_old[[#This Row],[2026 ]]</f>
        <v>40195.451337624596</v>
      </c>
      <c r="AK14">
        <f>$AH14*tbl_Data_old[[#This Row],[2027 ]]</f>
        <v>62110.47000577912</v>
      </c>
      <c r="AL14">
        <f>$AH14*tbl_Data_old[[#This Row],[2028 ]]</f>
        <v>85262.013431000421</v>
      </c>
      <c r="AM14">
        <f>$AH14*tbl_Data_old[[#This Row],[2029 ]]</f>
        <v>109676.65620107422</v>
      </c>
      <c r="AN14">
        <f>$AH14*tbl_Data_old[[#This Row],[2030 ]]</f>
        <v>135309.86612336658</v>
      </c>
      <c r="AO14">
        <f>$AH14*tbl_Data_old[[#This Row],[2031 ]]</f>
        <v>162306.97356201688</v>
      </c>
      <c r="AP14">
        <f>$AH14*tbl_Data_old[[#This Row],[2032 ]]</f>
        <v>190867.8036297691</v>
      </c>
      <c r="AQ14">
        <f>$AH14*tbl_Data_old[[#This Row],[2033 ]]</f>
        <v>221205.05664305296</v>
      </c>
      <c r="AR14">
        <f>$AH14*tbl_Data_old[[#This Row],[2034 ]]</f>
        <v>253537.71427768152</v>
      </c>
      <c r="AS14">
        <f>SUM(tbl_Data_old[[#This Row],[Adjusted 2025]:[Adjusted 2034]])</f>
        <v>1279961.0525174481</v>
      </c>
      <c r="AT14" s="3">
        <f>AVERAGEIFS('3. Incentive Adjustment'!F:F,'3. Incentive Adjustment'!A:A,tbl_Data_old[[#This Row],[Trimmed Sector]],'3. Incentive Adjustment'!B:B,tbl_Data_old[[#This Row],[Trimmed Measure Name]])</f>
        <v>500</v>
      </c>
      <c r="AU14" s="3">
        <f>IFERROR(VLOOKUP(tbl_Data_old[[#This Row],[All_Meas_Name_Append]],'IRA Tax Credits'!$A$3:$D$46,4,0),0)</f>
        <v>1666.6666666666667</v>
      </c>
      <c r="AV14" s="4">
        <f>tbl_Data_old[[#This Row],[Adj. per unit Incentive ($)]]/tbl_Data_old[[#This Row],[kWh Savings]]*tbl_Data_old[[#This Row],[Sum of Annuals]]</f>
        <v>533216.38656481064</v>
      </c>
      <c r="AW14" s="4">
        <f>IFERROR(VLOOKUP(tbl_Data_old[[#This Row],[All_Programs]],'1. Set Program Names'!$B$2:$D$15,3,0)*tbl_Data_old[[#This Row],[Sum of Annuals]],"")</f>
        <v>570662.50025028735</v>
      </c>
      <c r="AX14" s="4">
        <f>tbl_Data_old[[#This Row],[per unit IRA tax ($)]]/tbl_Data_old[[#This Row],[kWh Savings]]*tbl_Data_old[[#This Row],[Sum of Annuals]]</f>
        <v>1777387.9552160357</v>
      </c>
      <c r="AY14" s="4">
        <f>tbl_Data_old[[#This Row],[Avoided Costs ($/unit)]]/tbl_Data_old[[#This Row],[kWh Savings]]*tbl_Data_old[[#This Row],[Sum of Annuals]]</f>
        <v>609508.66918770049</v>
      </c>
      <c r="AZ14" s="4">
        <f>tbl_Data_old[[#This Row],[Lost Revenue ($/unit)]]/tbl_Data_old[[#This Row],[kWh Savings]]*tbl_Data_old[[#This Row],[Sum of Annuals]]</f>
        <v>1637356.2837371388</v>
      </c>
      <c r="BA14" s="4">
        <f>tbl_Data_old[[#This Row],[Incremental Cost ($/unit)]]/tbl_Data_old[[#This Row],[kWh Savings]]*tbl_Data_old[[#This Row],[Sum of Annuals]]</f>
        <v>1290383.6554868417</v>
      </c>
      <c r="BB14">
        <f>ROUNDUP(tbl_Data_old[[#This Row],[Adjusted 2025]]/$L14,0)</f>
        <v>17</v>
      </c>
      <c r="BC14">
        <f>ROUNDUP(tbl_Data_old[[#This Row],[Adjusted 2026]]/$L14,0)</f>
        <v>34</v>
      </c>
      <c r="BD14">
        <f>ROUNDUP(tbl_Data_old[[#This Row],[Adjusted 2027]]/$L14,0)</f>
        <v>52</v>
      </c>
      <c r="BE14">
        <f>ROUNDUP(tbl_Data_old[[#This Row],[Adjusted 2028]]/$L14,0)</f>
        <v>72</v>
      </c>
      <c r="BF14">
        <f>ROUNDUP(tbl_Data_old[[#This Row],[Adjusted 2029]]/$L14,0)</f>
        <v>92</v>
      </c>
      <c r="BG14">
        <f>ROUNDUP(tbl_Data_old[[#This Row],[Adjusted 2030]]/$L14,0)</f>
        <v>113</v>
      </c>
      <c r="BH14">
        <f>ROUNDUP(tbl_Data_old[[#This Row],[Adjusted 2031]]/$L14,0)</f>
        <v>136</v>
      </c>
      <c r="BI14">
        <f>ROUNDUP(tbl_Data_old[[#This Row],[Adjusted 2032]]/$L14,0)</f>
        <v>160</v>
      </c>
      <c r="BJ14">
        <f>ROUNDUP(tbl_Data_old[[#This Row],[Adjusted 2033]]/$L14,0)</f>
        <v>185</v>
      </c>
      <c r="BK14">
        <f>ROUNDUP(tbl_Data_old[[#This Row],[Adjusted 2034]]/$L14,0)</f>
        <v>212</v>
      </c>
      <c r="BL14" s="3">
        <f t="shared" si="1"/>
        <v>21072.54371865941</v>
      </c>
      <c r="BM14">
        <f t="shared" si="1"/>
        <v>43461.355103744667</v>
      </c>
      <c r="BN14">
        <f t="shared" si="1"/>
        <v>67156.981766613331</v>
      </c>
      <c r="BO14">
        <f t="shared" si="1"/>
        <v>92189.60154121618</v>
      </c>
      <c r="BP14">
        <f t="shared" si="1"/>
        <v>118587.94821603067</v>
      </c>
      <c r="BQ14">
        <f t="shared" si="1"/>
        <v>146303.87133190769</v>
      </c>
      <c r="BR14">
        <f t="shared" si="1"/>
        <v>175494.5094294787</v>
      </c>
      <c r="BS14">
        <f t="shared" si="1"/>
        <v>206375.92352795374</v>
      </c>
      <c r="BT14">
        <f t="shared" si="1"/>
        <v>239178.09596800565</v>
      </c>
      <c r="BU14">
        <f t="shared" si="1"/>
        <v>274137.80081378878</v>
      </c>
      <c r="BV14">
        <f>VLOOKUP($H14,'1. Set Program Names'!$B$2:$D$15,3,0)*V14</f>
        <v>22552.402341937461</v>
      </c>
      <c r="BW14">
        <f>VLOOKUP($H14,'1. Set Program Names'!$B$2:$D$15,3,0)*W14</f>
        <v>46513.50969828821</v>
      </c>
      <c r="BX14">
        <f>VLOOKUP($H14,'1. Set Program Names'!$B$2:$D$15,3,0)*X14</f>
        <v>71873.205868815465</v>
      </c>
      <c r="BY14">
        <f>VLOOKUP($H14,'1. Set Program Names'!$B$2:$D$15,3,0)*Y14</f>
        <v>98663.787982055394</v>
      </c>
      <c r="BZ14">
        <f>VLOOKUP($H14,'1. Set Program Names'!$B$2:$D$15,3,0)*Z14</f>
        <v>126916.00771028847</v>
      </c>
      <c r="CA14">
        <f>VLOOKUP($H14,'1. Set Program Names'!$B$2:$D$15,3,0)*AA14</f>
        <v>156578.33313870753</v>
      </c>
      <c r="CB14">
        <f>VLOOKUP($H14,'1. Set Program Names'!$B$2:$D$15,3,0)*AB14</f>
        <v>187818.93815457841</v>
      </c>
      <c r="CC14">
        <f>VLOOKUP($H14,'1. Set Program Names'!$B$2:$D$15,3,0)*AC14</f>
        <v>220869.05706452724</v>
      </c>
      <c r="CD14">
        <f>VLOOKUP($H14,'1. Set Program Names'!$B$2:$D$15,3,0)*AD14</f>
        <v>255974.82314736661</v>
      </c>
      <c r="CE14">
        <f>VLOOKUP($H14,'1. Set Program Names'!$B$2:$D$15,3,0)*AE14</f>
        <v>293389.63836681936</v>
      </c>
    </row>
    <row r="15" spans="1:83" x14ac:dyDescent="0.25">
      <c r="A15" s="20" t="s">
        <v>113</v>
      </c>
      <c r="B15" s="20" t="s">
        <v>88</v>
      </c>
      <c r="C15" s="20" t="s">
        <v>89</v>
      </c>
      <c r="D15" s="20" t="s">
        <v>90</v>
      </c>
      <c r="E15" s="20" t="s">
        <v>91</v>
      </c>
      <c r="F15" s="20" t="s">
        <v>90</v>
      </c>
      <c r="G15" s="20" t="s">
        <v>92</v>
      </c>
      <c r="H15" s="20" t="s">
        <v>5</v>
      </c>
      <c r="I15" s="20" t="s">
        <v>96</v>
      </c>
      <c r="J15" s="20" t="s">
        <v>97</v>
      </c>
      <c r="K15" s="20" t="s">
        <v>98</v>
      </c>
      <c r="L15" s="20">
        <v>5868.07</v>
      </c>
      <c r="M15" s="20">
        <v>0.20813520080661799</v>
      </c>
      <c r="N15" s="20">
        <v>1.1349578069705</v>
      </c>
      <c r="O15" s="20">
        <v>1935.1666666666599</v>
      </c>
      <c r="P15" s="20">
        <v>513.45064263862798</v>
      </c>
      <c r="Q15" s="20">
        <v>1744.1611426417701</v>
      </c>
      <c r="R15" s="20">
        <v>3388.0400735263802</v>
      </c>
      <c r="S15" s="20">
        <v>7811.7411984889604</v>
      </c>
      <c r="T15" s="20">
        <v>16</v>
      </c>
      <c r="U15" s="20">
        <v>0.7</v>
      </c>
      <c r="V15" s="20">
        <v>316098.247087795</v>
      </c>
      <c r="W15" s="20">
        <v>650930.24420655204</v>
      </c>
      <c r="X15" s="20">
        <v>1004216.10967724</v>
      </c>
      <c r="Y15" s="20">
        <v>1376267.1054243001</v>
      </c>
      <c r="Z15" s="20">
        <v>1767371.63959992</v>
      </c>
      <c r="AA15" s="20">
        <v>2176682.5837986302</v>
      </c>
      <c r="AB15" s="20">
        <v>2606385.4811467598</v>
      </c>
      <c r="AC15" s="20">
        <v>3059510.5863899901</v>
      </c>
      <c r="AD15" s="20">
        <v>3539261.89939606</v>
      </c>
      <c r="AE15" s="20">
        <v>4048909.4653890701</v>
      </c>
      <c r="AF15" t="str">
        <f t="shared" si="0"/>
        <v>Residential</v>
      </c>
      <c r="AG15" t="str">
        <f>tbl_Data_old[[#This Row],[All_Meas_Name_Append]]</f>
        <v>ASHP - CEE Tier 2: 16.8 SEER/16 SEER2; 9.0 HSPF (from elec resistance)</v>
      </c>
      <c r="AH15">
        <f>AVERAGEIFS('3. Incentive Adjustment'!G:G,'3. Incentive Adjustment'!A:A,tbl_Data_old[[#This Row],[Trimmed Sector]],'3. Incentive Adjustment'!B:B,tbl_Data_old[[#This Row],[Trimmed Measure Name]])</f>
        <v>0.9303958662075158</v>
      </c>
      <c r="AI15">
        <f>$AH15*tbl_Data_old[[#This Row],[2025 ]]</f>
        <v>294096.50240592641</v>
      </c>
      <c r="AJ15">
        <f>$AH15*tbl_Data_old[[#This Row],[2026 ]]</f>
        <v>605622.80839922477</v>
      </c>
      <c r="AK15">
        <f>$AH15*tbl_Data_old[[#This Row],[2027 ]]</f>
        <v>934318.51722269738</v>
      </c>
      <c r="AL15">
        <f>$AH15*tbl_Data_old[[#This Row],[2028 ]]</f>
        <v>1280473.2256841522</v>
      </c>
      <c r="AM15">
        <f>$AH15*tbl_Data_old[[#This Row],[2029 ]]</f>
        <v>1644355.267536165</v>
      </c>
      <c r="AN15">
        <f>$AH15*tbl_Data_old[[#This Row],[2030 ]]</f>
        <v>2025176.4780121401</v>
      </c>
      <c r="AO15">
        <f>$AH15*tbl_Data_old[[#This Row],[2031 ]]</f>
        <v>2424970.2774022324</v>
      </c>
      <c r="AP15">
        <f>$AH15*tbl_Data_old[[#This Row],[2032 ]]</f>
        <v>2846556.0021953792</v>
      </c>
      <c r="AQ15">
        <f>$AH15*tbl_Data_old[[#This Row],[2033 ]]</f>
        <v>3292914.6406238549</v>
      </c>
      <c r="AR15">
        <f>$AH15*tbl_Data_old[[#This Row],[2034 ]]</f>
        <v>3767088.6292464738</v>
      </c>
      <c r="AS15">
        <f>SUM(tbl_Data_old[[#This Row],[Adjusted 2025]:[Adjusted 2034]])</f>
        <v>19115572.348728247</v>
      </c>
      <c r="AT15" s="3">
        <f>AVERAGEIFS('3. Incentive Adjustment'!F:F,'3. Incentive Adjustment'!A:A,tbl_Data_old[[#This Row],[Trimmed Sector]],'3. Incentive Adjustment'!B:B,tbl_Data_old[[#This Row],[Trimmed Measure Name]])</f>
        <v>353</v>
      </c>
      <c r="AU15" s="3">
        <f>IFERROR(VLOOKUP(tbl_Data_old[[#This Row],[All_Meas_Name_Append]],'IRA Tax Credits'!$A$3:$D$46,4,0),0)</f>
        <v>0</v>
      </c>
      <c r="AV15" s="4">
        <f>tbl_Data_old[[#This Row],[Adj. per unit Incentive ($)]]/tbl_Data_old[[#This Row],[kWh Savings]]*tbl_Data_old[[#This Row],[Sum of Annuals]]</f>
        <v>1149917.611599908</v>
      </c>
      <c r="AW15" s="4">
        <f>IFERROR(VLOOKUP(tbl_Data_old[[#This Row],[All_Programs]],'1. Set Program Names'!$B$2:$D$15,3,0)*tbl_Data_old[[#This Row],[Sum of Annuals]],"")</f>
        <v>8522556.4393427651</v>
      </c>
      <c r="AX15" s="4">
        <f>tbl_Data_old[[#This Row],[per unit IRA tax ($)]]/tbl_Data_old[[#This Row],[kWh Savings]]*tbl_Data_old[[#This Row],[Sum of Annuals]]</f>
        <v>0</v>
      </c>
      <c r="AY15" s="4">
        <f>tbl_Data_old[[#This Row],[Avoided Costs ($/unit)]]/tbl_Data_old[[#This Row],[kWh Savings]]*tbl_Data_old[[#This Row],[Sum of Annuals]]</f>
        <v>11036733.567575727</v>
      </c>
      <c r="AZ15" s="4">
        <f>tbl_Data_old[[#This Row],[Lost Revenue ($/unit)]]/tbl_Data_old[[#This Row],[kWh Savings]]*tbl_Data_old[[#This Row],[Sum of Annuals]]</f>
        <v>25447192.015306029</v>
      </c>
      <c r="BA15" s="4">
        <f>tbl_Data_old[[#This Row],[Incremental Cost ($/unit)]]/tbl_Data_old[[#This Row],[kWh Savings]]*tbl_Data_old[[#This Row],[Sum of Annuals]]</f>
        <v>6303915.6696347892</v>
      </c>
      <c r="BB15">
        <f>ROUNDUP(tbl_Data_old[[#This Row],[Adjusted 2025]]/$L15,0)</f>
        <v>51</v>
      </c>
      <c r="BC15">
        <f>ROUNDUP(tbl_Data_old[[#This Row],[Adjusted 2026]]/$L15,0)</f>
        <v>104</v>
      </c>
      <c r="BD15">
        <f>ROUNDUP(tbl_Data_old[[#This Row],[Adjusted 2027]]/$L15,0)</f>
        <v>160</v>
      </c>
      <c r="BE15">
        <f>ROUNDUP(tbl_Data_old[[#This Row],[Adjusted 2028]]/$L15,0)</f>
        <v>219</v>
      </c>
      <c r="BF15">
        <f>ROUNDUP(tbl_Data_old[[#This Row],[Adjusted 2029]]/$L15,0)</f>
        <v>281</v>
      </c>
      <c r="BG15">
        <f>ROUNDUP(tbl_Data_old[[#This Row],[Adjusted 2030]]/$L15,0)</f>
        <v>346</v>
      </c>
      <c r="BH15">
        <f>ROUNDUP(tbl_Data_old[[#This Row],[Adjusted 2031]]/$L15,0)</f>
        <v>414</v>
      </c>
      <c r="BI15">
        <f>ROUNDUP(tbl_Data_old[[#This Row],[Adjusted 2032]]/$L15,0)</f>
        <v>486</v>
      </c>
      <c r="BJ15">
        <f>ROUNDUP(tbl_Data_old[[#This Row],[Adjusted 2033]]/$L15,0)</f>
        <v>562</v>
      </c>
      <c r="BK15">
        <f>ROUNDUP(tbl_Data_old[[#This Row],[Adjusted 2034]]/$L15,0)</f>
        <v>642</v>
      </c>
      <c r="BL15" s="3">
        <f t="shared" si="1"/>
        <v>19015.226679639411</v>
      </c>
      <c r="BM15">
        <f t="shared" si="1"/>
        <v>39157.402042735157</v>
      </c>
      <c r="BN15">
        <f t="shared" si="1"/>
        <v>60409.689508827563</v>
      </c>
      <c r="BO15">
        <f t="shared" si="1"/>
        <v>82790.813370457065</v>
      </c>
      <c r="BP15">
        <f t="shared" si="1"/>
        <v>106318.12312715626</v>
      </c>
      <c r="BQ15">
        <f t="shared" si="1"/>
        <v>130940.65886755211</v>
      </c>
      <c r="BR15">
        <f t="shared" si="1"/>
        <v>156789.89426588407</v>
      </c>
      <c r="BS15">
        <f t="shared" si="1"/>
        <v>184048.11752342194</v>
      </c>
      <c r="BT15">
        <f t="shared" si="1"/>
        <v>212908.06866428131</v>
      </c>
      <c r="BU15">
        <f t="shared" si="1"/>
        <v>243566.46074132412</v>
      </c>
      <c r="BV15">
        <f>VLOOKUP($H15,'1. Set Program Names'!$B$2:$D$15,3,0)*V15</f>
        <v>140930.39444682261</v>
      </c>
      <c r="BW15">
        <f>VLOOKUP($H15,'1. Set Program Names'!$B$2:$D$15,3,0)*W15</f>
        <v>290213.11227934994</v>
      </c>
      <c r="BX15">
        <f>VLOOKUP($H15,'1. Set Program Names'!$B$2:$D$15,3,0)*X15</f>
        <v>447723.37002982257</v>
      </c>
      <c r="BY15">
        <f>VLOOKUP($H15,'1. Set Program Names'!$B$2:$D$15,3,0)*Y15</f>
        <v>613599.94184897339</v>
      </c>
      <c r="BZ15">
        <f>VLOOKUP($H15,'1. Set Program Names'!$B$2:$D$15,3,0)*Z15</f>
        <v>787971.41267842718</v>
      </c>
      <c r="CA15">
        <f>VLOOKUP($H15,'1. Set Program Names'!$B$2:$D$15,3,0)*AA15</f>
        <v>970460.09570267703</v>
      </c>
      <c r="CB15">
        <f>VLOOKUP($H15,'1. Set Program Names'!$B$2:$D$15,3,0)*AB15</f>
        <v>1162040.4014339983</v>
      </c>
      <c r="CC15">
        <f>VLOOKUP($H15,'1. Set Program Names'!$B$2:$D$15,3,0)*AC15</f>
        <v>1364063.3496914424</v>
      </c>
      <c r="CD15">
        <f>VLOOKUP($H15,'1. Set Program Names'!$B$2:$D$15,3,0)*AD15</f>
        <v>1577957.4234524642</v>
      </c>
      <c r="CE15">
        <f>VLOOKUP($H15,'1. Set Program Names'!$B$2:$D$15,3,0)*AE15</f>
        <v>1805180.5515968886</v>
      </c>
    </row>
    <row r="16" spans="1:83" x14ac:dyDescent="0.25">
      <c r="A16" s="20" t="s">
        <v>113</v>
      </c>
      <c r="B16" s="20" t="s">
        <v>88</v>
      </c>
      <c r="C16" s="20" t="s">
        <v>89</v>
      </c>
      <c r="D16" s="20" t="s">
        <v>90</v>
      </c>
      <c r="E16" s="20" t="s">
        <v>91</v>
      </c>
      <c r="F16" s="20" t="s">
        <v>90</v>
      </c>
      <c r="G16" s="20" t="s">
        <v>92</v>
      </c>
      <c r="H16" s="20" t="s">
        <v>5</v>
      </c>
      <c r="I16" s="20" t="s">
        <v>99</v>
      </c>
      <c r="J16" s="20" t="s">
        <v>97</v>
      </c>
      <c r="K16" s="20" t="s">
        <v>98</v>
      </c>
      <c r="L16" s="20">
        <v>253.96999999999801</v>
      </c>
      <c r="M16" s="20">
        <v>0.107126245482503</v>
      </c>
      <c r="N16" s="20">
        <v>1.33192706841354E-2</v>
      </c>
      <c r="O16" s="20">
        <v>874.99999999999898</v>
      </c>
      <c r="P16" s="20">
        <v>813.468148399999</v>
      </c>
      <c r="Q16" s="20">
        <v>75.487273566390598</v>
      </c>
      <c r="R16" s="20">
        <v>185.54516688855901</v>
      </c>
      <c r="S16" s="20">
        <v>338.09206641710699</v>
      </c>
      <c r="T16" s="20">
        <v>16</v>
      </c>
      <c r="U16" s="20">
        <v>0.7</v>
      </c>
      <c r="V16" s="20">
        <v>44824.467360651201</v>
      </c>
      <c r="W16" s="20">
        <v>94959.352930155699</v>
      </c>
      <c r="X16" s="20">
        <v>150061.17802567</v>
      </c>
      <c r="Y16" s="20">
        <v>209923.848839649</v>
      </c>
      <c r="Z16" s="20">
        <v>274380.36980644002</v>
      </c>
      <c r="AA16" s="20">
        <v>343108.154896778</v>
      </c>
      <c r="AB16" s="20">
        <v>416322.66904288298</v>
      </c>
      <c r="AC16" s="20">
        <v>494423.81732675701</v>
      </c>
      <c r="AD16" s="20">
        <v>577876.76598959905</v>
      </c>
      <c r="AE16" s="20">
        <v>667186.90236320801</v>
      </c>
      <c r="AF16" t="str">
        <f t="shared" si="0"/>
        <v>Residential</v>
      </c>
      <c r="AG16" t="str">
        <f>tbl_Data_old[[#This Row],[All_Meas_Name_Append]]</f>
        <v>ASHP - ENERGY STAR/CEE Tier 1: 16 SEER/15.2 SEER2_ 9.0 HSPF</v>
      </c>
      <c r="AH16">
        <f>AVERAGEIFS('3. Incentive Adjustment'!G:G,'3. Incentive Adjustment'!A:A,tbl_Data_old[[#This Row],[Trimmed Sector]],'3. Incentive Adjustment'!B:B,tbl_Data_old[[#This Row],[Trimmed Measure Name]])</f>
        <v>8.3636985731950567E-3</v>
      </c>
      <c r="AI16">
        <f>$AH16*tbl_Data_old[[#This Row],[2025 ]]</f>
        <v>374.89833370850681</v>
      </c>
      <c r="AJ16">
        <f>$AH16*tbl_Data_old[[#This Row],[2026 ]]</f>
        <v>794.21140461346909</v>
      </c>
      <c r="AK16">
        <f>$AH16*tbl_Data_old[[#This Row],[2027 ]]</f>
        <v>1255.0664605452655</v>
      </c>
      <c r="AL16">
        <f>$AH16*tbl_Data_old[[#This Row],[2028 ]]</f>
        <v>1755.7397950197872</v>
      </c>
      <c r="AM16">
        <f>$AH16*tbl_Data_old[[#This Row],[2029 ]]</f>
        <v>2294.8347074628546</v>
      </c>
      <c r="AN16">
        <f>$AH16*tbl_Data_old[[#This Row],[2030 ]]</f>
        <v>2869.6531855617704</v>
      </c>
      <c r="AO16">
        <f>$AH16*tbl_Data_old[[#This Row],[2031 ]]</f>
        <v>3481.9973130627181</v>
      </c>
      <c r="AP16">
        <f>$AH16*tbl_Data_old[[#This Row],[2032 ]]</f>
        <v>4135.2117755294512</v>
      </c>
      <c r="AQ16">
        <f>$AH16*tbl_Data_old[[#This Row],[2033 ]]</f>
        <v>4833.1870831897832</v>
      </c>
      <c r="AR16">
        <f>$AH16*tbl_Data_old[[#This Row],[2034 ]]</f>
        <v>5580.1501433495923</v>
      </c>
      <c r="AS16">
        <f>SUM(tbl_Data_old[[#This Row],[Adjusted 2025]:[Adjusted 2034]])</f>
        <v>27374.950202043197</v>
      </c>
      <c r="AT16" s="3">
        <f>AVERAGEIFS('3. Incentive Adjustment'!F:F,'3. Incentive Adjustment'!A:A,tbl_Data_old[[#This Row],[Trimmed Sector]],'3. Incentive Adjustment'!B:B,tbl_Data_old[[#This Row],[Trimmed Measure Name]])</f>
        <v>353</v>
      </c>
      <c r="AU16" s="3">
        <f>IFERROR(VLOOKUP(tbl_Data_old[[#This Row],[All_Meas_Name_Append]],'IRA Tax Credits'!$A$3:$D$46,4,0),0)</f>
        <v>0</v>
      </c>
      <c r="AV16" s="4">
        <f>tbl_Data_old[[#This Row],[Adj. per unit Incentive ($)]]/tbl_Data_old[[#This Row],[kWh Savings]]*tbl_Data_old[[#This Row],[Sum of Annuals]]</f>
        <v>38049.20825814594</v>
      </c>
      <c r="AW16" s="4">
        <f>IFERROR(VLOOKUP(tbl_Data_old[[#This Row],[All_Programs]],'1. Set Program Names'!$B$2:$D$15,3,0)*tbl_Data_old[[#This Row],[Sum of Annuals]],"")</f>
        <v>12204.947561333807</v>
      </c>
      <c r="AX16" s="4">
        <f>tbl_Data_old[[#This Row],[per unit IRA tax ($)]]/tbl_Data_old[[#This Row],[kWh Savings]]*tbl_Data_old[[#This Row],[Sum of Annuals]]</f>
        <v>0</v>
      </c>
      <c r="AY16" s="4">
        <f>tbl_Data_old[[#This Row],[Avoided Costs ($/unit)]]/tbl_Data_old[[#This Row],[kWh Savings]]*tbl_Data_old[[#This Row],[Sum of Annuals]]</f>
        <v>19999.56571171452</v>
      </c>
      <c r="AZ16" s="4">
        <f>tbl_Data_old[[#This Row],[Lost Revenue ($/unit)]]/tbl_Data_old[[#This Row],[kWh Savings]]*tbl_Data_old[[#This Row],[Sum of Annuals]]</f>
        <v>36442.310043998332</v>
      </c>
      <c r="BA16" s="4">
        <f>tbl_Data_old[[#This Row],[Incremental Cost ($/unit)]]/tbl_Data_old[[#This Row],[kWh Savings]]*tbl_Data_old[[#This Row],[Sum of Annuals]]</f>
        <v>94314.609705035866</v>
      </c>
      <c r="BB16">
        <f>ROUNDUP(tbl_Data_old[[#This Row],[Adjusted 2025]]/$L16,0)</f>
        <v>2</v>
      </c>
      <c r="BC16">
        <f>ROUNDUP(tbl_Data_old[[#This Row],[Adjusted 2026]]/$L16,0)</f>
        <v>4</v>
      </c>
      <c r="BD16">
        <f>ROUNDUP(tbl_Data_old[[#This Row],[Adjusted 2027]]/$L16,0)</f>
        <v>5</v>
      </c>
      <c r="BE16">
        <f>ROUNDUP(tbl_Data_old[[#This Row],[Adjusted 2028]]/$L16,0)</f>
        <v>7</v>
      </c>
      <c r="BF16">
        <f>ROUNDUP(tbl_Data_old[[#This Row],[Adjusted 2029]]/$L16,0)</f>
        <v>10</v>
      </c>
      <c r="BG16">
        <f>ROUNDUP(tbl_Data_old[[#This Row],[Adjusted 2030]]/$L16,0)</f>
        <v>12</v>
      </c>
      <c r="BH16">
        <f>ROUNDUP(tbl_Data_old[[#This Row],[Adjusted 2031]]/$L16,0)</f>
        <v>14</v>
      </c>
      <c r="BI16">
        <f>ROUNDUP(tbl_Data_old[[#This Row],[Adjusted 2032]]/$L16,0)</f>
        <v>17</v>
      </c>
      <c r="BJ16">
        <f>ROUNDUP(tbl_Data_old[[#This Row],[Adjusted 2033]]/$L16,0)</f>
        <v>20</v>
      </c>
      <c r="BK16">
        <f>ROUNDUP(tbl_Data_old[[#This Row],[Adjusted 2034]]/$L16,0)</f>
        <v>22</v>
      </c>
      <c r="BL16" s="3">
        <f t="shared" si="1"/>
        <v>62302.779770484696</v>
      </c>
      <c r="BM16">
        <f t="shared" si="1"/>
        <v>131986.65820508415</v>
      </c>
      <c r="BN16">
        <f t="shared" si="1"/>
        <v>208574.22468426163</v>
      </c>
      <c r="BO16">
        <f t="shared" si="1"/>
        <v>291779.02366577421</v>
      </c>
      <c r="BP16">
        <f t="shared" si="1"/>
        <v>381368.94334635622</v>
      </c>
      <c r="BQ16">
        <f t="shared" si="1"/>
        <v>476895.61238950893</v>
      </c>
      <c r="BR16">
        <f t="shared" si="1"/>
        <v>578658.51152553002</v>
      </c>
      <c r="BS16">
        <f t="shared" si="1"/>
        <v>687213.4800029397</v>
      </c>
      <c r="BT16">
        <f t="shared" si="1"/>
        <v>803207.06537910015</v>
      </c>
      <c r="BU16">
        <f t="shared" si="1"/>
        <v>927341.71962914628</v>
      </c>
      <c r="BV16">
        <f>VLOOKUP($H16,'1. Set Program Names'!$B$2:$D$15,3,0)*V16</f>
        <v>19984.70388306438</v>
      </c>
      <c r="BW16">
        <f>VLOOKUP($H16,'1. Set Program Names'!$B$2:$D$15,3,0)*W16</f>
        <v>42337.023973261406</v>
      </c>
      <c r="BX16">
        <f>VLOOKUP($H16,'1. Set Program Names'!$B$2:$D$15,3,0)*X16</f>
        <v>66903.822482883697</v>
      </c>
      <c r="BY16">
        <f>VLOOKUP($H16,'1. Set Program Names'!$B$2:$D$15,3,0)*Y16</f>
        <v>93593.213797702221</v>
      </c>
      <c r="BZ16">
        <f>VLOOKUP($H16,'1. Set Program Names'!$B$2:$D$15,3,0)*Z16</f>
        <v>122330.74400614004</v>
      </c>
      <c r="CA16">
        <f>VLOOKUP($H16,'1. Set Program Names'!$B$2:$D$15,3,0)*AA16</f>
        <v>152972.59017730082</v>
      </c>
      <c r="CB16">
        <f>VLOOKUP($H16,'1. Set Program Names'!$B$2:$D$15,3,0)*AB16</f>
        <v>185614.8159817901</v>
      </c>
      <c r="CC16">
        <f>VLOOKUP($H16,'1. Set Program Names'!$B$2:$D$15,3,0)*AC16</f>
        <v>220435.71655875235</v>
      </c>
      <c r="CD16">
        <f>VLOOKUP($H16,'1. Set Program Names'!$B$2:$D$15,3,0)*AD16</f>
        <v>257642.6833203813</v>
      </c>
      <c r="CE16">
        <f>VLOOKUP($H16,'1. Set Program Names'!$B$2:$D$15,3,0)*AE16</f>
        <v>297461.03999648266</v>
      </c>
    </row>
    <row r="17" spans="1:83" x14ac:dyDescent="0.25">
      <c r="A17" s="20" t="s">
        <v>113</v>
      </c>
      <c r="B17" s="20" t="s">
        <v>88</v>
      </c>
      <c r="C17" s="20" t="s">
        <v>89</v>
      </c>
      <c r="D17" s="20" t="s">
        <v>90</v>
      </c>
      <c r="E17" s="20" t="s">
        <v>91</v>
      </c>
      <c r="F17" s="20" t="s">
        <v>90</v>
      </c>
      <c r="G17" s="20" t="s">
        <v>92</v>
      </c>
      <c r="H17" s="20" t="s">
        <v>5</v>
      </c>
      <c r="I17" s="20" t="s">
        <v>100</v>
      </c>
      <c r="J17" s="20" t="s">
        <v>101</v>
      </c>
      <c r="K17" s="20" t="s">
        <v>102</v>
      </c>
      <c r="L17" s="20">
        <v>3443.6666666666601</v>
      </c>
      <c r="M17" s="20">
        <v>1.66949913665645</v>
      </c>
      <c r="N17" s="20">
        <v>0.25022957227107101</v>
      </c>
      <c r="O17" s="20">
        <v>1269.26999999999</v>
      </c>
      <c r="P17" s="20">
        <v>446.40188399649003</v>
      </c>
      <c r="Q17" s="20">
        <v>1023.5579310081</v>
      </c>
      <c r="R17" s="20">
        <v>3363.3816217672702</v>
      </c>
      <c r="S17" s="20">
        <v>6252.5618237134204</v>
      </c>
      <c r="T17" s="20">
        <v>30</v>
      </c>
      <c r="U17" s="20">
        <v>0.9</v>
      </c>
      <c r="V17" s="20">
        <v>8407.6629638000395</v>
      </c>
      <c r="W17" s="20">
        <v>16544.524169391199</v>
      </c>
      <c r="X17" s="20">
        <v>24425.730427212002</v>
      </c>
      <c r="Y17" s="20">
        <v>32074.5267508289</v>
      </c>
      <c r="Z17" s="20">
        <v>39508.090455658697</v>
      </c>
      <c r="AA17" s="20">
        <v>46719.444664017399</v>
      </c>
      <c r="AB17" s="20">
        <v>53752.389154794997</v>
      </c>
      <c r="AC17" s="20">
        <v>60654.379946718102</v>
      </c>
      <c r="AD17" s="20">
        <v>67465.320084054896</v>
      </c>
      <c r="AE17" s="20">
        <v>74217.289976233398</v>
      </c>
      <c r="AF17" t="str">
        <f t="shared" si="0"/>
        <v>Residential</v>
      </c>
      <c r="AG17" t="str">
        <f>tbl_Data_old[[#This Row],[All_Meas_Name_Append]]</f>
        <v>Ceiling Insulation(R2 to R38) Residential</v>
      </c>
      <c r="AH17">
        <f>AVERAGEIFS('3. Incentive Adjustment'!G:G,'3. Incentive Adjustment'!A:A,tbl_Data_old[[#This Row],[Trimmed Sector]],'3. Incentive Adjustment'!B:B,tbl_Data_old[[#This Row],[Trimmed Measure Name]])</f>
        <v>0.80543313072084111</v>
      </c>
      <c r="AI17">
        <f>$AH17*tbl_Data_old[[#This Row],[2025 ]]</f>
        <v>6771.8103029791318</v>
      </c>
      <c r="AJ17">
        <f>$AH17*tbl_Data_old[[#This Row],[2026 ]]</f>
        <v>13325.507898039377</v>
      </c>
      <c r="AK17">
        <f>$AH17*tbl_Data_old[[#This Row],[2027 ]]</f>
        <v>19673.292528132672</v>
      </c>
      <c r="AL17">
        <f>$AH17*tbl_Data_old[[#This Row],[2028 ]]</f>
        <v>25833.88649730949</v>
      </c>
      <c r="AM17">
        <f>$AH17*tbl_Data_old[[#This Row],[2029 ]]</f>
        <v>31821.124984503367</v>
      </c>
      <c r="AN17">
        <f>$AH17*tbl_Data_old[[#This Row],[2030 ]]</f>
        <v>37629.388581278625</v>
      </c>
      <c r="AO17">
        <f>$AH17*tbl_Data_old[[#This Row],[2031 ]]</f>
        <v>43293.95508067152</v>
      </c>
      <c r="AP17">
        <f>$AH17*tbl_Data_old[[#This Row],[2032 ]]</f>
        <v>48853.047132416563</v>
      </c>
      <c r="AQ17">
        <f>$AH17*tbl_Data_old[[#This Row],[2033 ]]</f>
        <v>54338.803970383975</v>
      </c>
      <c r="AR17">
        <f>$AH17*tbl_Data_old[[#This Row],[2034 ]]</f>
        <v>59777.064219174164</v>
      </c>
      <c r="AS17">
        <f>SUM(tbl_Data_old[[#This Row],[Adjusted 2025]:[Adjusted 2034]])</f>
        <v>341317.88119488891</v>
      </c>
      <c r="AT17" s="3">
        <f>AVERAGEIFS('3. Incentive Adjustment'!F:F,'3. Incentive Adjustment'!A:A,tbl_Data_old[[#This Row],[Trimmed Sector]],'3. Incentive Adjustment'!B:B,tbl_Data_old[[#This Row],[Trimmed Measure Name]])</f>
        <v>164</v>
      </c>
      <c r="AU17" s="3">
        <f>IFERROR(VLOOKUP(tbl_Data_old[[#This Row],[All_Meas_Name_Append]],'IRA Tax Credits'!$A$3:$D$46,4,0),0)</f>
        <v>0</v>
      </c>
      <c r="AV17" s="4">
        <f>tbl_Data_old[[#This Row],[Adj. per unit Incentive ($)]]/tbl_Data_old[[#This Row],[kWh Savings]]*tbl_Data_old[[#This Row],[Sum of Annuals]]</f>
        <v>16254.805686563319</v>
      </c>
      <c r="AW17" s="4">
        <f>IFERROR(VLOOKUP(tbl_Data_old[[#This Row],[All_Programs]],'1. Set Program Names'!$B$2:$D$15,3,0)*tbl_Data_old[[#This Row],[Sum of Annuals]],"")</f>
        <v>152174.40802570881</v>
      </c>
      <c r="AX17" s="4">
        <f>tbl_Data_old[[#This Row],[per unit IRA tax ($)]]/tbl_Data_old[[#This Row],[kWh Savings]]*tbl_Data_old[[#This Row],[Sum of Annuals]]</f>
        <v>0</v>
      </c>
      <c r="AY17" s="4">
        <f>tbl_Data_old[[#This Row],[Avoided Costs ($/unit)]]/tbl_Data_old[[#This Row],[kWh Savings]]*tbl_Data_old[[#This Row],[Sum of Annuals]]</f>
        <v>333360.45555844624</v>
      </c>
      <c r="AZ17" s="4">
        <f>tbl_Data_old[[#This Row],[Lost Revenue ($/unit)]]/tbl_Data_old[[#This Row],[kWh Savings]]*tbl_Data_old[[#This Row],[Sum of Annuals]]</f>
        <v>619720.59443710744</v>
      </c>
      <c r="BA17" s="4">
        <f>tbl_Data_old[[#This Row],[Incremental Cost ($/unit)]]/tbl_Data_old[[#This Row],[kWh Savings]]*tbl_Data_old[[#This Row],[Sum of Annuals]]</f>
        <v>125803.27569380526</v>
      </c>
      <c r="BB17">
        <f>ROUNDUP(tbl_Data_old[[#This Row],[Adjusted 2025]]/$L17,0)</f>
        <v>2</v>
      </c>
      <c r="BC17">
        <f>ROUNDUP(tbl_Data_old[[#This Row],[Adjusted 2026]]/$L17,0)</f>
        <v>4</v>
      </c>
      <c r="BD17">
        <f>ROUNDUP(tbl_Data_old[[#This Row],[Adjusted 2027]]/$L17,0)</f>
        <v>6</v>
      </c>
      <c r="BE17">
        <f>ROUNDUP(tbl_Data_old[[#This Row],[Adjusted 2028]]/$L17,0)</f>
        <v>8</v>
      </c>
      <c r="BF17">
        <f>ROUNDUP(tbl_Data_old[[#This Row],[Adjusted 2029]]/$L17,0)</f>
        <v>10</v>
      </c>
      <c r="BG17">
        <f>ROUNDUP(tbl_Data_old[[#This Row],[Adjusted 2030]]/$L17,0)</f>
        <v>11</v>
      </c>
      <c r="BH17">
        <f>ROUNDUP(tbl_Data_old[[#This Row],[Adjusted 2031]]/$L17,0)</f>
        <v>13</v>
      </c>
      <c r="BI17">
        <f>ROUNDUP(tbl_Data_old[[#This Row],[Adjusted 2032]]/$L17,0)</f>
        <v>15</v>
      </c>
      <c r="BJ17">
        <f>ROUNDUP(tbl_Data_old[[#This Row],[Adjusted 2033]]/$L17,0)</f>
        <v>16</v>
      </c>
      <c r="BK17">
        <f>ROUNDUP(tbl_Data_old[[#This Row],[Adjusted 2034]]/$L17,0)</f>
        <v>18</v>
      </c>
      <c r="BL17" s="3">
        <f t="shared" si="1"/>
        <v>400.4036567795593</v>
      </c>
      <c r="BM17">
        <f t="shared" si="1"/>
        <v>787.91074352342321</v>
      </c>
      <c r="BN17">
        <f t="shared" si="1"/>
        <v>1163.2426067358751</v>
      </c>
      <c r="BO17">
        <f t="shared" si="1"/>
        <v>1527.5062589689137</v>
      </c>
      <c r="BP17">
        <f t="shared" si="1"/>
        <v>1881.519746799353</v>
      </c>
      <c r="BQ17">
        <f t="shared" si="1"/>
        <v>2224.9508057977546</v>
      </c>
      <c r="BR17">
        <f t="shared" si="1"/>
        <v>2559.8853416086718</v>
      </c>
      <c r="BS17">
        <f t="shared" si="1"/>
        <v>2888.5833833883808</v>
      </c>
      <c r="BT17">
        <f t="shared" si="1"/>
        <v>3212.9452600285617</v>
      </c>
      <c r="BU17">
        <f t="shared" si="1"/>
        <v>3534.4987579427839</v>
      </c>
      <c r="BV17">
        <f>VLOOKUP($H17,'1. Set Program Names'!$B$2:$D$15,3,0)*V17</f>
        <v>3748.5030960490631</v>
      </c>
      <c r="BW17">
        <f>VLOOKUP($H17,'1. Set Program Names'!$B$2:$D$15,3,0)*W17</f>
        <v>7376.2709493282719</v>
      </c>
      <c r="BX17">
        <f>VLOOKUP($H17,'1. Set Program Names'!$B$2:$D$15,3,0)*X17</f>
        <v>10890.056669003458</v>
      </c>
      <c r="BY17">
        <f>VLOOKUP($H17,'1. Set Program Names'!$B$2:$D$15,3,0)*Y17</f>
        <v>14300.223896635507</v>
      </c>
      <c r="BZ17">
        <f>VLOOKUP($H17,'1. Set Program Names'!$B$2:$D$15,3,0)*Z17</f>
        <v>17614.431029129591</v>
      </c>
      <c r="CA17">
        <f>VLOOKUP($H17,'1. Set Program Names'!$B$2:$D$15,3,0)*AA17</f>
        <v>20829.567469913058</v>
      </c>
      <c r="CB17">
        <f>VLOOKUP($H17,'1. Set Program Names'!$B$2:$D$15,3,0)*AB17</f>
        <v>23965.161072026913</v>
      </c>
      <c r="CC17">
        <f>VLOOKUP($H17,'1. Set Program Names'!$B$2:$D$15,3,0)*AC17</f>
        <v>27042.369799805456</v>
      </c>
      <c r="CD17">
        <f>VLOOKUP($H17,'1. Set Program Names'!$B$2:$D$15,3,0)*AD17</f>
        <v>30078.984171924931</v>
      </c>
      <c r="CE17">
        <f>VLOOKUP($H17,'1. Set Program Names'!$B$2:$D$15,3,0)*AE17</f>
        <v>33089.307035036203</v>
      </c>
    </row>
    <row r="18" spans="1:83" x14ac:dyDescent="0.25">
      <c r="A18" s="20" t="s">
        <v>113</v>
      </c>
      <c r="B18" s="20" t="s">
        <v>88</v>
      </c>
      <c r="C18" s="20" t="s">
        <v>89</v>
      </c>
      <c r="D18" s="20" t="s">
        <v>90</v>
      </c>
      <c r="E18" s="20" t="s">
        <v>91</v>
      </c>
      <c r="F18" s="20" t="s">
        <v>90</v>
      </c>
      <c r="G18" s="20" t="s">
        <v>92</v>
      </c>
      <c r="H18" s="20" t="s">
        <v>5</v>
      </c>
      <c r="I18" s="20" t="s">
        <v>103</v>
      </c>
      <c r="J18" s="20" t="s">
        <v>101</v>
      </c>
      <c r="K18" s="20" t="s">
        <v>102</v>
      </c>
      <c r="L18" s="20">
        <v>3523.57666666666</v>
      </c>
      <c r="M18" s="20">
        <v>1.7070465614975301</v>
      </c>
      <c r="N18" s="20">
        <v>0.25623328618049002</v>
      </c>
      <c r="O18" s="20">
        <v>1306.5999999999899</v>
      </c>
      <c r="P18" s="20">
        <v>465.31519597206898</v>
      </c>
      <c r="Q18" s="20">
        <v>1047.30950808685</v>
      </c>
      <c r="R18" s="20">
        <v>3440.61303289528</v>
      </c>
      <c r="S18" s="20">
        <v>6397.6520033667803</v>
      </c>
      <c r="T18" s="20">
        <v>30</v>
      </c>
      <c r="U18" s="20">
        <v>0.9</v>
      </c>
      <c r="V18" s="20">
        <v>8604.8012899447895</v>
      </c>
      <c r="W18" s="20">
        <v>16933.001391882099</v>
      </c>
      <c r="X18" s="20">
        <v>25000.047883344301</v>
      </c>
      <c r="Y18" s="20">
        <v>32829.682909826101</v>
      </c>
      <c r="Z18" s="20">
        <v>40439.443303933003</v>
      </c>
      <c r="AA18" s="20">
        <v>47822.142657588898</v>
      </c>
      <c r="AB18" s="20">
        <v>55022.581155025298</v>
      </c>
      <c r="AC18" s="20">
        <v>62089.311309771598</v>
      </c>
      <c r="AD18" s="20">
        <v>69063.160766575005</v>
      </c>
      <c r="AE18" s="20">
        <v>75976.954073814006</v>
      </c>
      <c r="AF18" t="str">
        <f t="shared" si="0"/>
        <v>Residential</v>
      </c>
      <c r="AG18" t="str">
        <f>tbl_Data_old[[#This Row],[All_Meas_Name_Append]]</f>
        <v>Ceiling Insulation(R2 to R49) Residential</v>
      </c>
      <c r="AH18">
        <f>AVERAGEIFS('3. Incentive Adjustment'!G:G,'3. Incentive Adjustment'!A:A,tbl_Data_old[[#This Row],[Trimmed Sector]],'3. Incentive Adjustment'!B:B,tbl_Data_old[[#This Row],[Trimmed Measure Name]])</f>
        <v>0.79801279130038982</v>
      </c>
      <c r="AI18">
        <f>$AH18*tbl_Data_old[[#This Row],[2025 ]]</f>
        <v>6866.7414959740363</v>
      </c>
      <c r="AJ18">
        <f>$AH18*tbl_Data_old[[#This Row],[2026 ]]</f>
        <v>13512.75170582922</v>
      </c>
      <c r="AK18">
        <f>$AH18*tbl_Data_old[[#This Row],[2027 ]]</f>
        <v>19950.357994030986</v>
      </c>
      <c r="AL18">
        <f>$AH18*tbl_Data_old[[#This Row],[2028 ]]</f>
        <v>26198.506896377032</v>
      </c>
      <c r="AM18">
        <f>$AH18*tbl_Data_old[[#This Row],[2029 ]]</f>
        <v>32271.193029605434</v>
      </c>
      <c r="AN18">
        <f>$AH18*tbl_Data_old[[#This Row],[2030 ]]</f>
        <v>38162.681548147957</v>
      </c>
      <c r="AO18">
        <f>$AH18*tbl_Data_old[[#This Row],[2031 ]]</f>
        <v>43908.723572073963</v>
      </c>
      <c r="AP18">
        <f>$AH18*tbl_Data_old[[#This Row],[2032 ]]</f>
        <v>49548.064628229695</v>
      </c>
      <c r="AQ18">
        <f>$AH18*tbl_Data_old[[#This Row],[2033 ]]</f>
        <v>55113.285699362088</v>
      </c>
      <c r="AR18">
        <f>$AH18*tbl_Data_old[[#This Row],[2034 ]]</f>
        <v>60630.581194945837</v>
      </c>
      <c r="AS18">
        <f>SUM(tbl_Data_old[[#This Row],[Adjusted 2025]:[Adjusted 2034]])</f>
        <v>346162.8877645763</v>
      </c>
      <c r="AT18" s="3">
        <f>AVERAGEIFS('3. Incentive Adjustment'!F:F,'3. Incentive Adjustment'!A:A,tbl_Data_old[[#This Row],[Trimmed Sector]],'3. Incentive Adjustment'!B:B,tbl_Data_old[[#This Row],[Trimmed Measure Name]])</f>
        <v>164</v>
      </c>
      <c r="AU18" s="3">
        <f>IFERROR(VLOOKUP(tbl_Data_old[[#This Row],[All_Meas_Name_Append]],'IRA Tax Credits'!$A$3:$D$46,4,0),0)</f>
        <v>0</v>
      </c>
      <c r="AV18" s="4">
        <f>tbl_Data_old[[#This Row],[Adj. per unit Incentive ($)]]/tbl_Data_old[[#This Row],[kWh Savings]]*tbl_Data_old[[#This Row],[Sum of Annuals]]</f>
        <v>16111.672588380543</v>
      </c>
      <c r="AW18" s="4">
        <f>IFERROR(VLOOKUP(tbl_Data_old[[#This Row],[All_Programs]],'1. Set Program Names'!$B$2:$D$15,3,0)*tbl_Data_old[[#This Row],[Sum of Annuals]],"")</f>
        <v>154334.52341152378</v>
      </c>
      <c r="AX18" s="4">
        <f>tbl_Data_old[[#This Row],[per unit IRA tax ($)]]/tbl_Data_old[[#This Row],[kWh Savings]]*tbl_Data_old[[#This Row],[Sum of Annuals]]</f>
        <v>0</v>
      </c>
      <c r="AY18" s="4">
        <f>tbl_Data_old[[#This Row],[Avoided Costs ($/unit)]]/tbl_Data_old[[#This Row],[kWh Savings]]*tbl_Data_old[[#This Row],[Sum of Annuals]]</f>
        <v>338012.38225197396</v>
      </c>
      <c r="AZ18" s="4">
        <f>tbl_Data_old[[#This Row],[Lost Revenue ($/unit)]]/tbl_Data_old[[#This Row],[kWh Savings]]*tbl_Data_old[[#This Row],[Sum of Annuals]]</f>
        <v>628517.52690635622</v>
      </c>
      <c r="BA18" s="4">
        <f>tbl_Data_old[[#This Row],[Incremental Cost ($/unit)]]/tbl_Data_old[[#This Row],[kWh Savings]]*tbl_Data_old[[#This Row],[Sum of Annuals]]</f>
        <v>128362.87441449911</v>
      </c>
      <c r="BB18">
        <f>ROUNDUP(tbl_Data_old[[#This Row],[Adjusted 2025]]/$L18,0)</f>
        <v>2</v>
      </c>
      <c r="BC18">
        <f>ROUNDUP(tbl_Data_old[[#This Row],[Adjusted 2026]]/$L18,0)</f>
        <v>4</v>
      </c>
      <c r="BD18">
        <f>ROUNDUP(tbl_Data_old[[#This Row],[Adjusted 2027]]/$L18,0)</f>
        <v>6</v>
      </c>
      <c r="BE18">
        <f>ROUNDUP(tbl_Data_old[[#This Row],[Adjusted 2028]]/$L18,0)</f>
        <v>8</v>
      </c>
      <c r="BF18">
        <f>ROUNDUP(tbl_Data_old[[#This Row],[Adjusted 2029]]/$L18,0)</f>
        <v>10</v>
      </c>
      <c r="BG18">
        <f>ROUNDUP(tbl_Data_old[[#This Row],[Adjusted 2030]]/$L18,0)</f>
        <v>11</v>
      </c>
      <c r="BH18">
        <f>ROUNDUP(tbl_Data_old[[#This Row],[Adjusted 2031]]/$L18,0)</f>
        <v>13</v>
      </c>
      <c r="BI18">
        <f>ROUNDUP(tbl_Data_old[[#This Row],[Adjusted 2032]]/$L18,0)</f>
        <v>15</v>
      </c>
      <c r="BJ18">
        <f>ROUNDUP(tbl_Data_old[[#This Row],[Adjusted 2033]]/$L18,0)</f>
        <v>16</v>
      </c>
      <c r="BK18">
        <f>ROUNDUP(tbl_Data_old[[#This Row],[Adjusted 2034]]/$L18,0)</f>
        <v>18</v>
      </c>
      <c r="BL18" s="3">
        <f t="shared" ref="BL18:BU43" si="2">$AT18/$L18*V18</f>
        <v>400.49856865636002</v>
      </c>
      <c r="BM18">
        <f t="shared" si="2"/>
        <v>788.12311777956756</v>
      </c>
      <c r="BN18">
        <f t="shared" si="2"/>
        <v>1163.5926334894014</v>
      </c>
      <c r="BO18">
        <f t="shared" si="2"/>
        <v>1528.0121610933654</v>
      </c>
      <c r="BP18">
        <f t="shared" si="2"/>
        <v>1882.197928197492</v>
      </c>
      <c r="BQ18">
        <f t="shared" si="2"/>
        <v>2225.81545338248</v>
      </c>
      <c r="BR18">
        <f t="shared" si="2"/>
        <v>2560.9498992285771</v>
      </c>
      <c r="BS18">
        <f t="shared" si="2"/>
        <v>2889.861075290702</v>
      </c>
      <c r="BT18">
        <f t="shared" si="2"/>
        <v>3214.4492477960334</v>
      </c>
      <c r="BU18">
        <f t="shared" si="2"/>
        <v>3536.2421899260089</v>
      </c>
      <c r="BV18">
        <f>VLOOKUP($H18,'1. Set Program Names'!$B$2:$D$15,3,0)*V18</f>
        <v>3836.3959658138533</v>
      </c>
      <c r="BW18">
        <f>VLOOKUP($H18,'1. Set Program Names'!$B$2:$D$15,3,0)*W18</f>
        <v>7549.4710499414286</v>
      </c>
      <c r="BX18">
        <f>VLOOKUP($H18,'1. Set Program Names'!$B$2:$D$15,3,0)*X18</f>
        <v>11146.112456645773</v>
      </c>
      <c r="BY18">
        <f>VLOOKUP($H18,'1. Set Program Names'!$B$2:$D$15,3,0)*Y18</f>
        <v>14636.905470598376</v>
      </c>
      <c r="BZ18">
        <f>VLOOKUP($H18,'1. Set Program Names'!$B$2:$D$15,3,0)*Z18</f>
        <v>18029.668777158018</v>
      </c>
      <c r="CA18">
        <f>VLOOKUP($H18,'1. Set Program Names'!$B$2:$D$15,3,0)*AA18</f>
        <v>21321.198361958432</v>
      </c>
      <c r="CB18">
        <f>VLOOKUP($H18,'1. Set Program Names'!$B$2:$D$15,3,0)*AB18</f>
        <v>24531.468102403884</v>
      </c>
      <c r="CC18">
        <f>VLOOKUP($H18,'1. Set Program Names'!$B$2:$D$15,3,0)*AC18</f>
        <v>27682.124828067535</v>
      </c>
      <c r="CD18">
        <f>VLOOKUP($H18,'1. Set Program Names'!$B$2:$D$15,3,0)*AD18</f>
        <v>30791.371284872745</v>
      </c>
      <c r="CE18">
        <f>VLOOKUP($H18,'1. Set Program Names'!$B$2:$D$15,3,0)*AE18</f>
        <v>33873.842089091944</v>
      </c>
    </row>
    <row r="19" spans="1:83" x14ac:dyDescent="0.25">
      <c r="A19" s="20" t="s">
        <v>113</v>
      </c>
      <c r="B19" s="20" t="s">
        <v>88</v>
      </c>
      <c r="C19" s="20" t="s">
        <v>89</v>
      </c>
      <c r="D19" s="20" t="s">
        <v>90</v>
      </c>
      <c r="E19" s="20" t="s">
        <v>91</v>
      </c>
      <c r="F19" s="20" t="s">
        <v>90</v>
      </c>
      <c r="G19" s="20" t="s">
        <v>92</v>
      </c>
      <c r="H19" s="20" t="s">
        <v>5</v>
      </c>
      <c r="I19" s="20" t="s">
        <v>296</v>
      </c>
      <c r="J19" s="20" t="s">
        <v>97</v>
      </c>
      <c r="K19" s="20" t="s">
        <v>102</v>
      </c>
      <c r="L19" s="20">
        <v>936.45</v>
      </c>
      <c r="M19" s="20">
        <v>0.42562333070119601</v>
      </c>
      <c r="N19" s="20">
        <v>3.9115067461125599E-2</v>
      </c>
      <c r="O19" s="53">
        <v>685.00999995999996</v>
      </c>
      <c r="P19" s="20">
        <v>458.12689399999903</v>
      </c>
      <c r="Q19" s="20">
        <v>278.34018715299698</v>
      </c>
      <c r="R19" s="20">
        <v>763.90764278946904</v>
      </c>
      <c r="S19" s="20">
        <v>1415.5155729468199</v>
      </c>
      <c r="T19" s="20">
        <v>20</v>
      </c>
      <c r="U19" s="20">
        <v>0.9</v>
      </c>
      <c r="V19" s="20">
        <v>91695.138181507893</v>
      </c>
      <c r="W19" s="20">
        <v>180444.35253449599</v>
      </c>
      <c r="X19" s="20">
        <v>266414.43250122998</v>
      </c>
      <c r="Y19" s="20">
        <v>349860.28867611103</v>
      </c>
      <c r="Z19" s="20">
        <v>430970.47786420898</v>
      </c>
      <c r="AA19" s="20">
        <v>509669.84269339498</v>
      </c>
      <c r="AB19" s="20">
        <v>586437.24366886599</v>
      </c>
      <c r="AC19" s="20">
        <v>661791.59878060594</v>
      </c>
      <c r="AD19" s="20">
        <v>736169.56986946403</v>
      </c>
      <c r="AE19" s="20">
        <v>809922.60592371796</v>
      </c>
      <c r="AF19" t="str">
        <f t="shared" si="0"/>
        <v>Residential</v>
      </c>
      <c r="AG19" t="str">
        <f>tbl_Data_old[[#This Row],[All_Meas_Name_Append]]</f>
        <v>Duct Repair</v>
      </c>
      <c r="AH19">
        <f>AVERAGEIFS('3. Incentive Adjustment'!G:G,'3. Incentive Adjustment'!A:A,tbl_Data_old[[#This Row],[Trimmed Sector]],'3. Incentive Adjustment'!B:B,tbl_Data_old[[#This Row],[Trimmed Measure Name]])</f>
        <v>0.36456477469769399</v>
      </c>
      <c r="AI19">
        <f>$AH19*tbl_Data_old[[#This Row],[2025 ]]</f>
        <v>33428.817392015342</v>
      </c>
      <c r="AJ19">
        <f>$AH19*tbl_Data_old[[#This Row],[2026 ]]</f>
        <v>65783.654727209796</v>
      </c>
      <c r="AK19">
        <f>$AH19*tbl_Data_old[[#This Row],[2027 ]]</f>
        <v>97125.317561024916</v>
      </c>
      <c r="AL19">
        <f>$AH19*tbl_Data_old[[#This Row],[2028 ]]</f>
        <v>127546.73731687659</v>
      </c>
      <c r="AM19">
        <f>$AH19*tbl_Data_old[[#This Row],[2029 ]]</f>
        <v>157116.65516392287</v>
      </c>
      <c r="AN19">
        <f>$AH19*tbl_Data_old[[#This Row],[2030 ]]</f>
        <v>185807.67137172667</v>
      </c>
      <c r="AO19">
        <f>$AH19*tbl_Data_old[[#This Row],[2031 ]]</f>
        <v>213794.36161247682</v>
      </c>
      <c r="AP19">
        <f>$AH19*tbl_Data_old[[#This Row],[2032 ]]</f>
        <v>241265.90510627831</v>
      </c>
      <c r="AQ19">
        <f>$AH19*tbl_Data_old[[#This Row],[2033 ]]</f>
        <v>268381.49337875948</v>
      </c>
      <c r="AR19">
        <f>$AH19*tbl_Data_old[[#This Row],[2034 ]]</f>
        <v>295269.25235114945</v>
      </c>
      <c r="AS19">
        <f>SUM(tbl_Data_old[[#This Row],[Adjusted 2025]:[Adjusted 2034]])</f>
        <v>1685519.8659814405</v>
      </c>
      <c r="AT19" s="3">
        <f>AVERAGEIFS('3. Incentive Adjustment'!F:F,'3. Incentive Adjustment'!A:A,tbl_Data_old[[#This Row],[Trimmed Sector]],'3. Incentive Adjustment'!B:B,tbl_Data_old[[#This Row],[Trimmed Measure Name]])</f>
        <v>100</v>
      </c>
      <c r="AU19" s="3">
        <f>IFERROR(VLOOKUP(tbl_Data_old[[#This Row],[All_Meas_Name_Append]],'IRA Tax Credits'!$A$3:$D$46,4,0),0)</f>
        <v>0</v>
      </c>
      <c r="AV19" s="4">
        <f>tbl_Data_old[[#This Row],[Adj. per unit Incentive ($)]]/tbl_Data_old[[#This Row],[kWh Savings]]*tbl_Data_old[[#This Row],[Sum of Annuals]]</f>
        <v>179990.37492460254</v>
      </c>
      <c r="AW19" s="4">
        <f>IFERROR(VLOOKUP(tbl_Data_old[[#This Row],[All_Programs]],'1. Set Program Names'!$B$2:$D$15,3,0)*tbl_Data_old[[#This Row],[Sum of Annuals]],"")</f>
        <v>751478.31963378144</v>
      </c>
      <c r="AX19" s="4">
        <f>tbl_Data_old[[#This Row],[per unit IRA tax ($)]]/tbl_Data_old[[#This Row],[kWh Savings]]*tbl_Data_old[[#This Row],[Sum of Annuals]]</f>
        <v>0</v>
      </c>
      <c r="AY19" s="4">
        <f>tbl_Data_old[[#This Row],[Avoided Costs ($/unit)]]/tbl_Data_old[[#This Row],[kWh Savings]]*tbl_Data_old[[#This Row],[Sum of Annuals]]</f>
        <v>1374960.2303344589</v>
      </c>
      <c r="AZ19" s="4">
        <f>tbl_Data_old[[#This Row],[Lost Revenue ($/unit)]]/tbl_Data_old[[#This Row],[kWh Savings]]*tbl_Data_old[[#This Row],[Sum of Annuals]]</f>
        <v>2547791.786863117</v>
      </c>
      <c r="BA19" s="4">
        <f>tbl_Data_old[[#This Row],[Incremental Cost ($/unit)]]/tbl_Data_old[[#This Row],[kWh Savings]]*tbl_Data_old[[#This Row],[Sum of Annuals]]</f>
        <v>1232952.0671990237</v>
      </c>
      <c r="BB19">
        <f>ROUNDUP(tbl_Data_old[[#This Row],[Adjusted 2025]]/$L19,0)</f>
        <v>36</v>
      </c>
      <c r="BC19">
        <f>ROUNDUP(tbl_Data_old[[#This Row],[Adjusted 2026]]/$L19,0)</f>
        <v>71</v>
      </c>
      <c r="BD19">
        <f>ROUNDUP(tbl_Data_old[[#This Row],[Adjusted 2027]]/$L19,0)</f>
        <v>104</v>
      </c>
      <c r="BE19">
        <f>ROUNDUP(tbl_Data_old[[#This Row],[Adjusted 2028]]/$L19,0)</f>
        <v>137</v>
      </c>
      <c r="BF19">
        <f>ROUNDUP(tbl_Data_old[[#This Row],[Adjusted 2029]]/$L19,0)</f>
        <v>168</v>
      </c>
      <c r="BG19">
        <f>ROUNDUP(tbl_Data_old[[#This Row],[Adjusted 2030]]/$L19,0)</f>
        <v>199</v>
      </c>
      <c r="BH19">
        <f>ROUNDUP(tbl_Data_old[[#This Row],[Adjusted 2031]]/$L19,0)</f>
        <v>229</v>
      </c>
      <c r="BI19">
        <f>ROUNDUP(tbl_Data_old[[#This Row],[Adjusted 2032]]/$L19,0)</f>
        <v>258</v>
      </c>
      <c r="BJ19">
        <f>ROUNDUP(tbl_Data_old[[#This Row],[Adjusted 2033]]/$L19,0)</f>
        <v>287</v>
      </c>
      <c r="BK19">
        <f>ROUNDUP(tbl_Data_old[[#This Row],[Adjusted 2034]]/$L19,0)</f>
        <v>316</v>
      </c>
      <c r="BL19" s="3">
        <f t="shared" si="2"/>
        <v>9791.7815346796833</v>
      </c>
      <c r="BM19">
        <f t="shared" si="2"/>
        <v>19268.978860002775</v>
      </c>
      <c r="BN19">
        <f t="shared" si="2"/>
        <v>28449.402797931547</v>
      </c>
      <c r="BO19">
        <f t="shared" si="2"/>
        <v>37360.27429933376</v>
      </c>
      <c r="BP19">
        <f t="shared" si="2"/>
        <v>46021.728641594207</v>
      </c>
      <c r="BQ19">
        <f t="shared" si="2"/>
        <v>54425.740049484215</v>
      </c>
      <c r="BR19">
        <f t="shared" si="2"/>
        <v>62623.444248904474</v>
      </c>
      <c r="BS19">
        <f t="shared" si="2"/>
        <v>70670.254555032938</v>
      </c>
      <c r="BT19">
        <f t="shared" si="2"/>
        <v>78612.800455920122</v>
      </c>
      <c r="BU19">
        <f t="shared" si="2"/>
        <v>86488.611877165677</v>
      </c>
      <c r="BV19">
        <f>VLOOKUP($H19,'1. Set Program Names'!$B$2:$D$15,3,0)*V19</f>
        <v>40881.69457386015</v>
      </c>
      <c r="BW19">
        <f>VLOOKUP($H19,'1. Set Program Names'!$B$2:$D$15,3,0)*W19</f>
        <v>80449.967732104924</v>
      </c>
      <c r="BX19">
        <f>VLOOKUP($H19,'1. Set Program Names'!$B$2:$D$15,3,0)*X19</f>
        <v>118779.18148750925</v>
      </c>
      <c r="BY19">
        <f>VLOOKUP($H19,'1. Set Program Names'!$B$2:$D$15,3,0)*Y19</f>
        <v>155982.98610845834</v>
      </c>
      <c r="BZ19">
        <f>VLOOKUP($H19,'1. Set Program Names'!$B$2:$D$15,3,0)*Z19</f>
        <v>192145.44844808709</v>
      </c>
      <c r="CA19">
        <f>VLOOKUP($H19,'1. Set Program Names'!$B$2:$D$15,3,0)*AA19</f>
        <v>227233.0600697076</v>
      </c>
      <c r="CB19">
        <f>VLOOKUP($H19,'1. Set Program Names'!$B$2:$D$15,3,0)*AB19</f>
        <v>261459.31788608083</v>
      </c>
      <c r="CC19">
        <f>VLOOKUP($H19,'1. Set Program Names'!$B$2:$D$15,3,0)*AC19</f>
        <v>295055.5781849678</v>
      </c>
      <c r="CD19">
        <f>VLOOKUP($H19,'1. Set Program Names'!$B$2:$D$15,3,0)*AD19</f>
        <v>328216.52387283102</v>
      </c>
      <c r="CE19">
        <f>VLOOKUP($H19,'1. Set Program Names'!$B$2:$D$15,3,0)*AE19</f>
        <v>361098.84624739911</v>
      </c>
    </row>
    <row r="20" spans="1:83" x14ac:dyDescent="0.25">
      <c r="A20" s="20" t="s">
        <v>113</v>
      </c>
      <c r="B20" s="20" t="s">
        <v>88</v>
      </c>
      <c r="C20" s="20" t="s">
        <v>89</v>
      </c>
      <c r="D20" s="20" t="s">
        <v>90</v>
      </c>
      <c r="E20" s="20" t="s">
        <v>91</v>
      </c>
      <c r="F20" s="20" t="s">
        <v>90</v>
      </c>
      <c r="G20" s="20" t="s">
        <v>92</v>
      </c>
      <c r="H20" s="20" t="s">
        <v>5</v>
      </c>
      <c r="I20" s="20" t="s">
        <v>297</v>
      </c>
      <c r="J20" s="20" t="s">
        <v>97</v>
      </c>
      <c r="K20" s="20" t="s">
        <v>298</v>
      </c>
      <c r="L20" s="20">
        <v>57.93</v>
      </c>
      <c r="M20" s="20">
        <v>0</v>
      </c>
      <c r="N20" s="20">
        <v>1.1014721785810099E-2</v>
      </c>
      <c r="O20" s="53">
        <v>154.1011072</v>
      </c>
      <c r="P20" s="20">
        <v>140.06582681793901</v>
      </c>
      <c r="Q20" s="20">
        <v>17.218481543887101</v>
      </c>
      <c r="R20" s="20">
        <v>46.999759951794701</v>
      </c>
      <c r="S20" s="20">
        <v>87.565611768711094</v>
      </c>
      <c r="T20" s="20">
        <v>20</v>
      </c>
      <c r="U20" s="20">
        <v>0.8</v>
      </c>
      <c r="V20" s="20">
        <v>1216.13043773091</v>
      </c>
      <c r="W20" s="20">
        <v>2347.605731915</v>
      </c>
      <c r="X20" s="20">
        <v>3396.3623256590399</v>
      </c>
      <c r="Y20" s="20">
        <v>4366.3017695890503</v>
      </c>
      <c r="Z20" s="20">
        <v>5261.1732739273202</v>
      </c>
      <c r="AA20" s="20">
        <v>6082.4717276438196</v>
      </c>
      <c r="AB20" s="20">
        <v>6837.9326468405998</v>
      </c>
      <c r="AC20" s="20">
        <v>7535.3054772669202</v>
      </c>
      <c r="AD20" s="20">
        <v>8181.0862572920496</v>
      </c>
      <c r="AE20" s="20">
        <v>8780.6071650236609</v>
      </c>
      <c r="AF20" t="str">
        <f t="shared" si="0"/>
        <v>Residential</v>
      </c>
      <c r="AG20" t="str">
        <f>tbl_Data_old[[#This Row],[All_Meas_Name_Append]]</f>
        <v>Energy Star Windows Residential</v>
      </c>
      <c r="AH20">
        <f>AVERAGEIFS('3. Incentive Adjustment'!G:G,'3. Incentive Adjustment'!A:A,tbl_Data_old[[#This Row],[Trimmed Sector]],'3. Incentive Adjustment'!B:B,tbl_Data_old[[#This Row],[Trimmed Measure Name]])</f>
        <v>1.5721893920937398</v>
      </c>
      <c r="AI20">
        <f>$AH20*tbl_Data_old[[#This Row],[2025 ]]</f>
        <v>1911.987373602853</v>
      </c>
      <c r="AJ20">
        <f>$AH20*tbl_Data_old[[#This Row],[2026 ]]</f>
        <v>3690.8808285352229</v>
      </c>
      <c r="AK20">
        <f>$AH20*tbl_Data_old[[#This Row],[2027 ]]</f>
        <v>5339.7248201079665</v>
      </c>
      <c r="AL20">
        <f>$AH20*tbl_Data_old[[#This Row],[2028 ]]</f>
        <v>6864.6533248280293</v>
      </c>
      <c r="AM20">
        <f>$AH20*tbl_Data_old[[#This Row],[2029 ]]</f>
        <v>8271.560811235624</v>
      </c>
      <c r="AN20">
        <f>$AH20*tbl_Data_old[[#This Row],[2030 ]]</f>
        <v>9562.7975279116963</v>
      </c>
      <c r="AO20">
        <f>$AH20*tbl_Data_old[[#This Row],[2031 ]]</f>
        <v>10750.52517121426</v>
      </c>
      <c r="AP20">
        <f>$AH20*tbl_Data_old[[#This Row],[2032 ]]</f>
        <v>11846.927337544907</v>
      </c>
      <c r="AQ20">
        <f>$AH20*tbl_Data_old[[#This Row],[2033 ]]</f>
        <v>12862.217029518437</v>
      </c>
      <c r="AR20">
        <f>$AH20*tbl_Data_old[[#This Row],[2034 ]]</f>
        <v>13804.777440992484</v>
      </c>
      <c r="AS20">
        <f>SUM(tbl_Data_old[[#This Row],[Adjusted 2025]:[Adjusted 2034]])</f>
        <v>84906.051665491483</v>
      </c>
      <c r="AT20" s="3">
        <f>AVERAGEIFS('3. Incentive Adjustment'!F:F,'3. Incentive Adjustment'!A:A,tbl_Data_old[[#This Row],[Trimmed Sector]],'3. Incentive Adjustment'!B:B,tbl_Data_old[[#This Row],[Trimmed Measure Name]])</f>
        <v>150</v>
      </c>
      <c r="AU20" s="3">
        <f>IFERROR(VLOOKUP(tbl_Data_old[[#This Row],[All_Meas_Name_Append]],'IRA Tax Credits'!$A$3:$D$46,4,0),0)</f>
        <v>0</v>
      </c>
      <c r="AV20" s="4">
        <f>tbl_Data_old[[#This Row],[Adj. per unit Incentive ($)]]/tbl_Data_old[[#This Row],[kWh Savings]]*tbl_Data_old[[#This Row],[Sum of Annuals]]</f>
        <v>219849.95252587125</v>
      </c>
      <c r="AW20" s="4">
        <f>IFERROR(VLOOKUP(tbl_Data_old[[#This Row],[All_Programs]],'1. Set Program Names'!$B$2:$D$15,3,0)*tbl_Data_old[[#This Row],[Sum of Annuals]],"")</f>
        <v>37854.823499911887</v>
      </c>
      <c r="AX20" s="4">
        <f>tbl_Data_old[[#This Row],[per unit IRA tax ($)]]/tbl_Data_old[[#This Row],[kWh Savings]]*tbl_Data_old[[#This Row],[Sum of Annuals]]</f>
        <v>0</v>
      </c>
      <c r="AY20" s="4">
        <f>tbl_Data_old[[#This Row],[Avoided Costs ($/unit)]]/tbl_Data_old[[#This Row],[kWh Savings]]*tbl_Data_old[[#This Row],[Sum of Annuals]]</f>
        <v>68885.9666275294</v>
      </c>
      <c r="AZ20" s="4">
        <f>tbl_Data_old[[#This Row],[Lost Revenue ($/unit)]]/tbl_Data_old[[#This Row],[kWh Savings]]*tbl_Data_old[[#This Row],[Sum of Annuals]]</f>
        <v>128341.97060166673</v>
      </c>
      <c r="BA20" s="4">
        <f>tbl_Data_old[[#This Row],[Incremental Cost ($/unit)]]/tbl_Data_old[[#This Row],[kWh Savings]]*tbl_Data_old[[#This Row],[Sum of Annuals]]</f>
        <v>225860.80734736132</v>
      </c>
      <c r="BB20">
        <f>ROUNDUP(tbl_Data_old[[#This Row],[Adjusted 2025]]/$L20,0)</f>
        <v>34</v>
      </c>
      <c r="BC20">
        <f>ROUNDUP(tbl_Data_old[[#This Row],[Adjusted 2026]]/$L20,0)</f>
        <v>64</v>
      </c>
      <c r="BD20">
        <f>ROUNDUP(tbl_Data_old[[#This Row],[Adjusted 2027]]/$L20,0)</f>
        <v>93</v>
      </c>
      <c r="BE20">
        <f>ROUNDUP(tbl_Data_old[[#This Row],[Adjusted 2028]]/$L20,0)</f>
        <v>119</v>
      </c>
      <c r="BF20">
        <f>ROUNDUP(tbl_Data_old[[#This Row],[Adjusted 2029]]/$L20,0)</f>
        <v>143</v>
      </c>
      <c r="BG20">
        <f>ROUNDUP(tbl_Data_old[[#This Row],[Adjusted 2030]]/$L20,0)</f>
        <v>166</v>
      </c>
      <c r="BH20">
        <f>ROUNDUP(tbl_Data_old[[#This Row],[Adjusted 2031]]/$L20,0)</f>
        <v>186</v>
      </c>
      <c r="BI20">
        <f>ROUNDUP(tbl_Data_old[[#This Row],[Adjusted 2032]]/$L20,0)</f>
        <v>205</v>
      </c>
      <c r="BJ20">
        <f>ROUNDUP(tbl_Data_old[[#This Row],[Adjusted 2033]]/$L20,0)</f>
        <v>223</v>
      </c>
      <c r="BK20">
        <f>ROUNDUP(tbl_Data_old[[#This Row],[Adjusted 2034]]/$L20,0)</f>
        <v>239</v>
      </c>
      <c r="BL20" s="3">
        <f t="shared" si="2"/>
        <v>3148.9654006496894</v>
      </c>
      <c r="BM20">
        <f t="shared" si="2"/>
        <v>6078.730533182289</v>
      </c>
      <c r="BN20">
        <f t="shared" si="2"/>
        <v>8794.309491608079</v>
      </c>
      <c r="BO20">
        <f t="shared" si="2"/>
        <v>11305.804685626748</v>
      </c>
      <c r="BP20">
        <f t="shared" si="2"/>
        <v>13622.924065062973</v>
      </c>
      <c r="BQ20">
        <f t="shared" si="2"/>
        <v>15749.538393691921</v>
      </c>
      <c r="BR20">
        <f t="shared" si="2"/>
        <v>17705.677490524598</v>
      </c>
      <c r="BS20">
        <f t="shared" si="2"/>
        <v>19511.407243052618</v>
      </c>
      <c r="BT20">
        <f t="shared" si="2"/>
        <v>21183.548050989255</v>
      </c>
      <c r="BU20">
        <f t="shared" si="2"/>
        <v>22735.906693484361</v>
      </c>
      <c r="BV20">
        <f>VLOOKUP($H20,'1. Set Program Names'!$B$2:$D$15,3,0)*V20</f>
        <v>542.20402633425999</v>
      </c>
      <c r="BW20">
        <f>VLOOKUP($H20,'1. Set Program Names'!$B$2:$D$15,3,0)*W20</f>
        <v>1046.6650949586276</v>
      </c>
      <c r="BX20">
        <f>VLOOKUP($H20,'1. Set Program Names'!$B$2:$D$15,3,0)*X20</f>
        <v>1514.246556724856</v>
      </c>
      <c r="BY20">
        <f>VLOOKUP($H20,'1. Set Program Names'!$B$2:$D$15,3,0)*Y20</f>
        <v>1946.6878931825745</v>
      </c>
      <c r="BZ20">
        <f>VLOOKUP($H20,'1. Set Program Names'!$B$2:$D$15,3,0)*Z20</f>
        <v>2345.660665880634</v>
      </c>
      <c r="CA20">
        <f>VLOOKUP($H20,'1. Set Program Names'!$B$2:$D$15,3,0)*AA20</f>
        <v>2711.8313615652696</v>
      </c>
      <c r="CB20">
        <f>VLOOKUP($H20,'1. Set Program Names'!$B$2:$D$15,3,0)*AB20</f>
        <v>3048.6488109261659</v>
      </c>
      <c r="CC20">
        <f>VLOOKUP($H20,'1. Set Program Names'!$B$2:$D$15,3,0)*AC20</f>
        <v>3359.5680550976822</v>
      </c>
      <c r="CD20">
        <f>VLOOKUP($H20,'1. Set Program Names'!$B$2:$D$15,3,0)*AD20</f>
        <v>3647.4853115000583</v>
      </c>
      <c r="CE20">
        <f>VLOOKUP($H20,'1. Set Program Names'!$B$2:$D$15,3,0)*AE20</f>
        <v>3914.7778978530164</v>
      </c>
    </row>
    <row r="21" spans="1:83" x14ac:dyDescent="0.25">
      <c r="A21" s="20" t="s">
        <v>113</v>
      </c>
      <c r="B21" s="20" t="s">
        <v>88</v>
      </c>
      <c r="C21" s="20" t="s">
        <v>89</v>
      </c>
      <c r="D21" s="20" t="s">
        <v>90</v>
      </c>
      <c r="E21" s="20" t="s">
        <v>91</v>
      </c>
      <c r="F21" s="20" t="s">
        <v>90</v>
      </c>
      <c r="G21" s="20" t="s">
        <v>92</v>
      </c>
      <c r="H21" s="20" t="s">
        <v>5</v>
      </c>
      <c r="I21" s="20" t="s">
        <v>107</v>
      </c>
      <c r="J21" s="20" t="s">
        <v>94</v>
      </c>
      <c r="K21" s="20" t="s">
        <v>108</v>
      </c>
      <c r="L21" s="20">
        <v>1663.1099999999899</v>
      </c>
      <c r="M21" s="20">
        <v>6.6647595975018806E-2</v>
      </c>
      <c r="N21" s="20">
        <v>0.309148293753995</v>
      </c>
      <c r="O21" s="20">
        <v>1389.5</v>
      </c>
      <c r="P21" s="20">
        <v>988.78817699699403</v>
      </c>
      <c r="Q21" s="20">
        <v>494.32468221049697</v>
      </c>
      <c r="R21" s="20">
        <v>791.96156853290995</v>
      </c>
      <c r="S21" s="20">
        <v>2127.4894292214699</v>
      </c>
      <c r="T21" s="20">
        <v>15</v>
      </c>
      <c r="U21" s="20">
        <v>0.7</v>
      </c>
      <c r="V21" s="20">
        <v>60917.726902836301</v>
      </c>
      <c r="W21" s="20">
        <v>128665.408681981</v>
      </c>
      <c r="X21" s="20">
        <v>202707.11665383101</v>
      </c>
      <c r="Y21" s="20">
        <v>282699.87754630198</v>
      </c>
      <c r="Z21" s="20">
        <v>368358.60481897503</v>
      </c>
      <c r="AA21" s="20">
        <v>459197.35670751397</v>
      </c>
      <c r="AB21" s="20">
        <v>555445.39275066403</v>
      </c>
      <c r="AC21" s="20">
        <v>657569.39593451703</v>
      </c>
      <c r="AD21" s="20">
        <v>766113.38266121596</v>
      </c>
      <c r="AE21" s="20">
        <v>881664.64338678797</v>
      </c>
      <c r="AF21" t="str">
        <f t="shared" si="0"/>
        <v>Residential</v>
      </c>
      <c r="AG21" t="str">
        <f>tbl_Data_old[[#This Row],[All_Meas_Name_Append]]</f>
        <v>Heat Pump Water Heater 50 Gallons- CEE Advanced Tier</v>
      </c>
      <c r="AH21">
        <f>AVERAGEIFS('3. Incentive Adjustment'!G:G,'3. Incentive Adjustment'!A:A,tbl_Data_old[[#This Row],[Trimmed Sector]],'3. Incentive Adjustment'!B:B,tbl_Data_old[[#This Row],[Trimmed Measure Name]])</f>
        <v>0.46049099596140497</v>
      </c>
      <c r="AI21">
        <f>$AH21*tbl_Data_old[[#This Row],[2025 ]]</f>
        <v>28052.064733191961</v>
      </c>
      <c r="AJ21">
        <f>$AH21*tbl_Data_old[[#This Row],[2026 ]]</f>
        <v>59249.262189746638</v>
      </c>
      <c r="AK21">
        <f>$AH21*tbl_Data_old[[#This Row],[2027 ]]</f>
        <v>93344.802036387337</v>
      </c>
      <c r="AL21">
        <f>$AH21*tbl_Data_old[[#This Row],[2028 ]]</f>
        <v>130180.74816946383</v>
      </c>
      <c r="AM21">
        <f>$AH21*tbl_Data_old[[#This Row],[2029 ]]</f>
        <v>169625.82080404341</v>
      </c>
      <c r="AN21">
        <f>$AH21*tbl_Data_old[[#This Row],[2030 ]]</f>
        <v>211456.24813308765</v>
      </c>
      <c r="AO21">
        <f>$AH21*tbl_Data_old[[#This Row],[2031 ]]</f>
        <v>255777.60210992701</v>
      </c>
      <c r="AP21">
        <f>$AH21*tbl_Data_old[[#This Row],[2032 ]]</f>
        <v>302804.78604762518</v>
      </c>
      <c r="AQ21">
        <f>$AH21*tbl_Data_old[[#This Row],[2033 ]]</f>
        <v>352788.31460102432</v>
      </c>
      <c r="AR21">
        <f>$AH21*tbl_Data_old[[#This Row],[2034 ]]</f>
        <v>405998.62973713892</v>
      </c>
      <c r="AS21">
        <f>SUM(tbl_Data_old[[#This Row],[Adjusted 2025]:[Adjusted 2034]])</f>
        <v>2009278.2785616363</v>
      </c>
      <c r="AT21" s="3">
        <f>AVERAGEIFS('3. Incentive Adjustment'!F:F,'3. Incentive Adjustment'!A:A,tbl_Data_old[[#This Row],[Trimmed Sector]],'3. Incentive Adjustment'!B:B,tbl_Data_old[[#This Row],[Trimmed Measure Name]])</f>
        <v>500</v>
      </c>
      <c r="AU21" s="3">
        <f>IFERROR(VLOOKUP(tbl_Data_old[[#This Row],[All_Meas_Name_Append]],'IRA Tax Credits'!$A$3:$D$46,4,0),0)</f>
        <v>1666.6666666666667</v>
      </c>
      <c r="AV21" s="4">
        <f>tbl_Data_old[[#This Row],[Adj. per unit Incentive ($)]]/tbl_Data_old[[#This Row],[kWh Savings]]*tbl_Data_old[[#This Row],[Sum of Annuals]]</f>
        <v>604072.57444235461</v>
      </c>
      <c r="AW21" s="4">
        <f>IFERROR(VLOOKUP(tbl_Data_old[[#This Row],[All_Programs]],'1. Set Program Names'!$B$2:$D$15,3,0)*tbl_Data_old[[#This Row],[Sum of Annuals]],"")</f>
        <v>895823.95017987967</v>
      </c>
      <c r="AX21" s="4">
        <f>tbl_Data_old[[#This Row],[per unit IRA tax ($)]]/tbl_Data_old[[#This Row],[kWh Savings]]*tbl_Data_old[[#This Row],[Sum of Annuals]]</f>
        <v>2013575.2481411821</v>
      </c>
      <c r="AY21" s="4">
        <f>tbl_Data_old[[#This Row],[Avoided Costs ($/unit)]]/tbl_Data_old[[#This Row],[kWh Savings]]*tbl_Data_old[[#This Row],[Sum of Annuals]]</f>
        <v>956804.52712616022</v>
      </c>
      <c r="AZ21" s="4">
        <f>tbl_Data_old[[#This Row],[Lost Revenue ($/unit)]]/tbl_Data_old[[#This Row],[kWh Savings]]*tbl_Data_old[[#This Row],[Sum of Annuals]]</f>
        <v>2570316.0332174175</v>
      </c>
      <c r="BA21" s="4">
        <f>tbl_Data_old[[#This Row],[Incremental Cost ($/unit)]]/tbl_Data_old[[#This Row],[kWh Savings]]*tbl_Data_old[[#This Row],[Sum of Annuals]]</f>
        <v>1678717.6843753031</v>
      </c>
      <c r="BB21">
        <f>ROUNDUP(tbl_Data_old[[#This Row],[Adjusted 2025]]/$L21,0)</f>
        <v>17</v>
      </c>
      <c r="BC21">
        <f>ROUNDUP(tbl_Data_old[[#This Row],[Adjusted 2026]]/$L21,0)</f>
        <v>36</v>
      </c>
      <c r="BD21">
        <f>ROUNDUP(tbl_Data_old[[#This Row],[Adjusted 2027]]/$L21,0)</f>
        <v>57</v>
      </c>
      <c r="BE21">
        <f>ROUNDUP(tbl_Data_old[[#This Row],[Adjusted 2028]]/$L21,0)</f>
        <v>79</v>
      </c>
      <c r="BF21">
        <f>ROUNDUP(tbl_Data_old[[#This Row],[Adjusted 2029]]/$L21,0)</f>
        <v>102</v>
      </c>
      <c r="BG21">
        <f>ROUNDUP(tbl_Data_old[[#This Row],[Adjusted 2030]]/$L21,0)</f>
        <v>128</v>
      </c>
      <c r="BH21">
        <f>ROUNDUP(tbl_Data_old[[#This Row],[Adjusted 2031]]/$L21,0)</f>
        <v>154</v>
      </c>
      <c r="BI21">
        <f>ROUNDUP(tbl_Data_old[[#This Row],[Adjusted 2032]]/$L21,0)</f>
        <v>183</v>
      </c>
      <c r="BJ21">
        <f>ROUNDUP(tbl_Data_old[[#This Row],[Adjusted 2033]]/$L21,0)</f>
        <v>213</v>
      </c>
      <c r="BK21">
        <f>ROUNDUP(tbl_Data_old[[#This Row],[Adjusted 2034]]/$L21,0)</f>
        <v>245</v>
      </c>
      <c r="BL21" s="3">
        <f t="shared" si="2"/>
        <v>18314.40100259053</v>
      </c>
      <c r="BM21">
        <f t="shared" si="2"/>
        <v>38682.170356134528</v>
      </c>
      <c r="BN21">
        <f t="shared" si="2"/>
        <v>60942.185620263313</v>
      </c>
      <c r="BO21">
        <f t="shared" si="2"/>
        <v>84991.334772295188</v>
      </c>
      <c r="BP21">
        <f t="shared" si="2"/>
        <v>110743.90894738691</v>
      </c>
      <c r="BQ21">
        <f t="shared" si="2"/>
        <v>138053.81385101311</v>
      </c>
      <c r="BR21">
        <f t="shared" si="2"/>
        <v>166989.97443063519</v>
      </c>
      <c r="BS21">
        <f t="shared" si="2"/>
        <v>197692.6949914681</v>
      </c>
      <c r="BT21">
        <f t="shared" si="2"/>
        <v>230325.52947827283</v>
      </c>
      <c r="BU21">
        <f t="shared" si="2"/>
        <v>265065.04181527178</v>
      </c>
      <c r="BV21">
        <f>VLOOKUP($H21,'1. Set Program Names'!$B$2:$D$15,3,0)*V21</f>
        <v>27159.781366443469</v>
      </c>
      <c r="BW21">
        <f>VLOOKUP($H21,'1. Set Program Names'!$B$2:$D$15,3,0)*W21</f>
        <v>57364.654705525427</v>
      </c>
      <c r="BX21">
        <f>VLOOKUP($H21,'1. Set Program Names'!$B$2:$D$15,3,0)*X21</f>
        <v>90375.679619849208</v>
      </c>
      <c r="BY21">
        <f>VLOOKUP($H21,'1. Set Program Names'!$B$2:$D$15,3,0)*Y21</f>
        <v>126039.94365588215</v>
      </c>
      <c r="BZ21">
        <f>VLOOKUP($H21,'1. Set Program Names'!$B$2:$D$15,3,0)*Z21</f>
        <v>164230.34279149547</v>
      </c>
      <c r="CA21">
        <f>VLOOKUP($H21,'1. Set Program Names'!$B$2:$D$15,3,0)*AA21</f>
        <v>204730.22297954714</v>
      </c>
      <c r="CB21">
        <f>VLOOKUP($H21,'1. Set Program Names'!$B$2:$D$15,3,0)*AB21</f>
        <v>247641.79812828789</v>
      </c>
      <c r="CC21">
        <f>VLOOKUP($H21,'1. Set Program Names'!$B$2:$D$15,3,0)*AC21</f>
        <v>293173.1358809821</v>
      </c>
      <c r="CD21">
        <f>VLOOKUP($H21,'1. Set Program Names'!$B$2:$D$15,3,0)*AD21</f>
        <v>341566.78249293444</v>
      </c>
      <c r="CE21">
        <f>VLOOKUP($H21,'1. Set Program Names'!$B$2:$D$15,3,0)*AE21</f>
        <v>393084.57768133836</v>
      </c>
    </row>
    <row r="22" spans="1:83" x14ac:dyDescent="0.25">
      <c r="A22" s="20" t="s">
        <v>113</v>
      </c>
      <c r="B22" s="20" t="s">
        <v>88</v>
      </c>
      <c r="C22" s="20" t="s">
        <v>89</v>
      </c>
      <c r="D22" s="20" t="s">
        <v>90</v>
      </c>
      <c r="E22" s="20" t="s">
        <v>91</v>
      </c>
      <c r="F22" s="20" t="s">
        <v>90</v>
      </c>
      <c r="G22" s="20" t="s">
        <v>92</v>
      </c>
      <c r="H22" s="20" t="s">
        <v>5</v>
      </c>
      <c r="I22" s="20" t="s">
        <v>109</v>
      </c>
      <c r="J22" s="20" t="s">
        <v>94</v>
      </c>
      <c r="K22" s="20" t="s">
        <v>95</v>
      </c>
      <c r="L22" s="20">
        <v>1590.11499999999</v>
      </c>
      <c r="M22" s="20">
        <v>6.3722388822036402E-2</v>
      </c>
      <c r="N22" s="20">
        <v>0.29557957027655002</v>
      </c>
      <c r="O22" s="20">
        <v>1389.5</v>
      </c>
      <c r="P22" s="20">
        <v>1006.47372867305</v>
      </c>
      <c r="Q22" s="20">
        <v>472.62844433209199</v>
      </c>
      <c r="R22" s="20">
        <v>757.20185047754296</v>
      </c>
      <c r="S22" s="20">
        <v>2034.1125083407001</v>
      </c>
      <c r="T22" s="20">
        <v>15</v>
      </c>
      <c r="U22" s="20">
        <v>0.7</v>
      </c>
      <c r="V22" s="20">
        <v>87055.868670712298</v>
      </c>
      <c r="W22" s="20">
        <v>183832.54476014199</v>
      </c>
      <c r="X22" s="20">
        <v>289561.18460157199</v>
      </c>
      <c r="Y22" s="20">
        <v>403750.01171237801</v>
      </c>
      <c r="Z22" s="20">
        <v>525990.95099886903</v>
      </c>
      <c r="AA22" s="20">
        <v>655590.19252478599</v>
      </c>
      <c r="AB22" s="20">
        <v>792874.92333413195</v>
      </c>
      <c r="AC22" s="20">
        <v>938510.95453931799</v>
      </c>
      <c r="AD22" s="20">
        <v>1093274.20444076</v>
      </c>
      <c r="AE22" s="20">
        <v>1258002.10550473</v>
      </c>
      <c r="AF22" t="str">
        <f t="shared" si="0"/>
        <v>Residential</v>
      </c>
      <c r="AG22" t="str">
        <f>tbl_Data_old[[#This Row],[All_Meas_Name_Append]]</f>
        <v>Heat Pump Water Heater 50 Gallons-ENERGY STAR</v>
      </c>
      <c r="AH22">
        <f>AVERAGEIFS('3. Incentive Adjustment'!G:G,'3. Incentive Adjustment'!A:A,tbl_Data_old[[#This Row],[Trimmed Sector]],'3. Incentive Adjustment'!B:B,tbl_Data_old[[#This Row],[Trimmed Measure Name]])</f>
        <v>0.43153525594917136</v>
      </c>
      <c r="AI22">
        <f>$AH22*tbl_Data_old[[#This Row],[2025 ]]</f>
        <v>37567.676568693278</v>
      </c>
      <c r="AJ22">
        <f>$AH22*tbl_Data_old[[#This Row],[2026 ]]</f>
        <v>79330.224254855377</v>
      </c>
      <c r="AK22">
        <f>$AH22*tbl_Data_old[[#This Row],[2027 ]]</f>
        <v>124955.85990998463</v>
      </c>
      <c r="AL22">
        <f>$AH22*tbl_Data_old[[#This Row],[2028 ]]</f>
        <v>174232.36464378197</v>
      </c>
      <c r="AM22">
        <f>$AH22*tbl_Data_old[[#This Row],[2029 ]]</f>
        <v>226983.639666245</v>
      </c>
      <c r="AN22">
        <f>$AH22*tbl_Data_old[[#This Row],[2030 ]]</f>
        <v>282910.28152895003</v>
      </c>
      <c r="AO22">
        <f>$AH22*tbl_Data_old[[#This Row],[2031 ]]</f>
        <v>342153.48297667428</v>
      </c>
      <c r="AP22">
        <f>$AH22*tbl_Data_old[[#This Row],[2032 ]]</f>
        <v>405000.56497822574</v>
      </c>
      <c r="AQ22">
        <f>$AH22*tbl_Data_old[[#This Row],[2033 ]]</f>
        <v>471786.36363597005</v>
      </c>
      <c r="AR22">
        <f>$AH22*tbl_Data_old[[#This Row],[2034 ]]</f>
        <v>542872.26058358012</v>
      </c>
      <c r="AS22">
        <f>SUM(tbl_Data_old[[#This Row],[Adjusted 2025]:[Adjusted 2034]])</f>
        <v>2687792.7187469606</v>
      </c>
      <c r="AT22" s="3">
        <f>AVERAGEIFS('3. Incentive Adjustment'!F:F,'3. Incentive Adjustment'!A:A,tbl_Data_old[[#This Row],[Trimmed Sector]],'3. Incentive Adjustment'!B:B,tbl_Data_old[[#This Row],[Trimmed Measure Name]])</f>
        <v>500</v>
      </c>
      <c r="AU22" s="3">
        <f>IFERROR(VLOOKUP(tbl_Data_old[[#This Row],[All_Meas_Name_Append]],'IRA Tax Credits'!$A$3:$D$46,4,0),0)</f>
        <v>1666.6666666666667</v>
      </c>
      <c r="AV22" s="4">
        <f>tbl_Data_old[[#This Row],[Adj. per unit Incentive ($)]]/tbl_Data_old[[#This Row],[kWh Savings]]*tbl_Data_old[[#This Row],[Sum of Annuals]]</f>
        <v>845156.7083974987</v>
      </c>
      <c r="AW22" s="4">
        <f>IFERROR(VLOOKUP(tbl_Data_old[[#This Row],[All_Programs]],'1. Set Program Names'!$B$2:$D$15,3,0)*tbl_Data_old[[#This Row],[Sum of Annuals]],"")</f>
        <v>1198335.3009202203</v>
      </c>
      <c r="AX22" s="4">
        <f>tbl_Data_old[[#This Row],[per unit IRA tax ($)]]/tbl_Data_old[[#This Row],[kWh Savings]]*tbl_Data_old[[#This Row],[Sum of Annuals]]</f>
        <v>2817189.0279916623</v>
      </c>
      <c r="AY22" s="4">
        <f>tbl_Data_old[[#This Row],[Avoided Costs ($/unit)]]/tbl_Data_old[[#This Row],[kWh Savings]]*tbl_Data_old[[#This Row],[Sum of Annuals]]</f>
        <v>1279908.4470841906</v>
      </c>
      <c r="AZ22" s="4">
        <f>tbl_Data_old[[#This Row],[Lost Revenue ($/unit)]]/tbl_Data_old[[#This Row],[kWh Savings]]*tbl_Data_old[[#This Row],[Sum of Annuals]]</f>
        <v>3438287.664118812</v>
      </c>
      <c r="BA22" s="4">
        <f>tbl_Data_old[[#This Row],[Incremental Cost ($/unit)]]/tbl_Data_old[[#This Row],[kWh Savings]]*tbl_Data_old[[#This Row],[Sum of Annuals]]</f>
        <v>2348690.4926366489</v>
      </c>
      <c r="BB22">
        <f>ROUNDUP(tbl_Data_old[[#This Row],[Adjusted 2025]]/$L22,0)</f>
        <v>24</v>
      </c>
      <c r="BC22">
        <f>ROUNDUP(tbl_Data_old[[#This Row],[Adjusted 2026]]/$L22,0)</f>
        <v>50</v>
      </c>
      <c r="BD22">
        <f>ROUNDUP(tbl_Data_old[[#This Row],[Adjusted 2027]]/$L22,0)</f>
        <v>79</v>
      </c>
      <c r="BE22">
        <f>ROUNDUP(tbl_Data_old[[#This Row],[Adjusted 2028]]/$L22,0)</f>
        <v>110</v>
      </c>
      <c r="BF22">
        <f>ROUNDUP(tbl_Data_old[[#This Row],[Adjusted 2029]]/$L22,0)</f>
        <v>143</v>
      </c>
      <c r="BG22">
        <f>ROUNDUP(tbl_Data_old[[#This Row],[Adjusted 2030]]/$L22,0)</f>
        <v>178</v>
      </c>
      <c r="BH22">
        <f>ROUNDUP(tbl_Data_old[[#This Row],[Adjusted 2031]]/$L22,0)</f>
        <v>216</v>
      </c>
      <c r="BI22">
        <f>ROUNDUP(tbl_Data_old[[#This Row],[Adjusted 2032]]/$L22,0)</f>
        <v>255</v>
      </c>
      <c r="BJ22">
        <f>ROUNDUP(tbl_Data_old[[#This Row],[Adjusted 2033]]/$L22,0)</f>
        <v>297</v>
      </c>
      <c r="BK22">
        <f>ROUNDUP(tbl_Data_old[[#This Row],[Adjusted 2034]]/$L22,0)</f>
        <v>342</v>
      </c>
      <c r="BL22" s="3">
        <f t="shared" si="2"/>
        <v>27374.079444163737</v>
      </c>
      <c r="BM22">
        <f t="shared" si="2"/>
        <v>57804.795489679404</v>
      </c>
      <c r="BN22">
        <f t="shared" si="2"/>
        <v>91050.390884173088</v>
      </c>
      <c r="BO22">
        <f t="shared" si="2"/>
        <v>126956.23011932487</v>
      </c>
      <c r="BP22">
        <f t="shared" si="2"/>
        <v>165393.99697470694</v>
      </c>
      <c r="BQ22">
        <f t="shared" si="2"/>
        <v>206145.52800419784</v>
      </c>
      <c r="BR22">
        <f t="shared" si="2"/>
        <v>249313.70477422603</v>
      </c>
      <c r="BS22">
        <f t="shared" si="2"/>
        <v>295107.88670609478</v>
      </c>
      <c r="BT22">
        <f t="shared" si="2"/>
        <v>343772.05561885989</v>
      </c>
      <c r="BU22">
        <f t="shared" si="2"/>
        <v>395569.53600989166</v>
      </c>
      <c r="BV22">
        <f>VLOOKUP($H22,'1. Set Program Names'!$B$2:$D$15,3,0)*V22</f>
        <v>38813.305748154489</v>
      </c>
      <c r="BW22">
        <f>VLOOKUP($H22,'1. Set Program Names'!$B$2:$D$15,3,0)*W22</f>
        <v>81960.571701665453</v>
      </c>
      <c r="BX22">
        <f>VLOOKUP($H22,'1. Set Program Names'!$B$2:$D$15,3,0)*X22</f>
        <v>129099.01379824645</v>
      </c>
      <c r="BY22">
        <f>VLOOKUP($H22,'1. Set Program Names'!$B$2:$D$15,3,0)*Y22</f>
        <v>180009.37661869021</v>
      </c>
      <c r="BZ22">
        <f>VLOOKUP($H22,'1. Set Program Names'!$B$2:$D$15,3,0)*Z22</f>
        <v>234509.7224760667</v>
      </c>
      <c r="CA22">
        <f>VLOOKUP($H22,'1. Set Program Names'!$B$2:$D$15,3,0)*AA22</f>
        <v>292290.72061992425</v>
      </c>
      <c r="CB22">
        <f>VLOOKUP($H22,'1. Set Program Names'!$B$2:$D$15,3,0)*AB22</f>
        <v>353498.2453143376</v>
      </c>
      <c r="CC22">
        <f>VLOOKUP($H22,'1. Set Program Names'!$B$2:$D$15,3,0)*AC22</f>
        <v>418429.14421209716</v>
      </c>
      <c r="CD22">
        <f>VLOOKUP($H22,'1. Set Program Names'!$B$2:$D$15,3,0)*AD22</f>
        <v>487429.35555595992</v>
      </c>
      <c r="CE22">
        <f>VLOOKUP($H22,'1. Set Program Names'!$B$2:$D$15,3,0)*AE22</f>
        <v>560872.24328856589</v>
      </c>
    </row>
    <row r="23" spans="1:83" x14ac:dyDescent="0.25">
      <c r="A23" s="20" t="s">
        <v>113</v>
      </c>
      <c r="B23" s="20" t="s">
        <v>88</v>
      </c>
      <c r="C23" s="20" t="s">
        <v>89</v>
      </c>
      <c r="D23" s="20" t="s">
        <v>90</v>
      </c>
      <c r="E23" s="20" t="s">
        <v>91</v>
      </c>
      <c r="F23" s="20" t="s">
        <v>90</v>
      </c>
      <c r="G23" s="20" t="s">
        <v>92</v>
      </c>
      <c r="H23" s="20" t="s">
        <v>5</v>
      </c>
      <c r="I23" s="20" t="s">
        <v>110</v>
      </c>
      <c r="J23" s="20" t="s">
        <v>94</v>
      </c>
      <c r="K23" s="20" t="s">
        <v>108</v>
      </c>
      <c r="L23" s="20">
        <v>461.909999999999</v>
      </c>
      <c r="M23" s="20">
        <v>1.8510616289253799E-2</v>
      </c>
      <c r="N23" s="20">
        <v>8.5862443475120898E-2</v>
      </c>
      <c r="O23" s="20">
        <v>1729.5</v>
      </c>
      <c r="P23" s="20">
        <v>1631.9996867488601</v>
      </c>
      <c r="Q23" s="20">
        <v>137.29309183388401</v>
      </c>
      <c r="R23" s="20">
        <v>219.958372038552</v>
      </c>
      <c r="S23" s="20">
        <v>590.88613636602201</v>
      </c>
      <c r="T23" s="20">
        <v>15</v>
      </c>
      <c r="U23" s="20">
        <v>0.7</v>
      </c>
      <c r="V23" s="20">
        <v>46829.4063373065</v>
      </c>
      <c r="W23" s="20">
        <v>98918.433120144502</v>
      </c>
      <c r="X23" s="20">
        <v>155855.70934569399</v>
      </c>
      <c r="Y23" s="20">
        <v>217377.87884907401</v>
      </c>
      <c r="Z23" s="20">
        <v>283265.85291662998</v>
      </c>
      <c r="AA23" s="20">
        <v>353145.83754919103</v>
      </c>
      <c r="AB23" s="20">
        <v>427194.08283134602</v>
      </c>
      <c r="AC23" s="20">
        <v>505769.50456313399</v>
      </c>
      <c r="AD23" s="20">
        <v>589290.55680453498</v>
      </c>
      <c r="AE23" s="20">
        <v>678209.03059147403</v>
      </c>
      <c r="AF23" t="str">
        <f t="shared" si="0"/>
        <v>Residential</v>
      </c>
      <c r="AG23" t="str">
        <f>tbl_Data_old[[#This Row],[All_Meas_Name_Append]]</f>
        <v>Heat Pump Water Heater 80 Gallons-ENERGY STAR</v>
      </c>
      <c r="AH23">
        <f>AVERAGEIFS('3. Incentive Adjustment'!G:G,'3. Incentive Adjustment'!A:A,tbl_Data_old[[#This Row],[Trimmed Sector]],'3. Incentive Adjustment'!B:B,tbl_Data_old[[#This Row],[Trimmed Measure Name]])</f>
        <v>1.5551101216712928E-3</v>
      </c>
      <c r="AI23">
        <f>$AH23*tbl_Data_old[[#This Row],[2025 ]]</f>
        <v>72.824883787003117</v>
      </c>
      <c r="AJ23">
        <f>$AH23*tbl_Data_old[[#This Row],[2026 ]]</f>
        <v>153.82905656500157</v>
      </c>
      <c r="AK23">
        <f>$AH23*tbl_Data_old[[#This Row],[2027 ]]</f>
        <v>242.37279112374782</v>
      </c>
      <c r="AL23">
        <f>$AH23*tbl_Data_old[[#This Row],[2028 ]]</f>
        <v>338.04653962563106</v>
      </c>
      <c r="AM23">
        <f>$AH23*tbl_Data_old[[#This Row],[2029 ]]</f>
        <v>440.509594994503</v>
      </c>
      <c r="AN23">
        <f>$AH23*tbl_Data_old[[#This Row],[2030 ]]</f>
        <v>549.18066639883307</v>
      </c>
      <c r="AO23">
        <f>$AH23*tbl_Data_old[[#This Row],[2031 ]]</f>
        <v>664.33384212911085</v>
      </c>
      <c r="AP23">
        <f>$AH23*tbl_Data_old[[#This Row],[2032 ]]</f>
        <v>786.52727577880478</v>
      </c>
      <c r="AQ23">
        <f>$AH23*tbl_Data_old[[#This Row],[2033 ]]</f>
        <v>916.41170949204422</v>
      </c>
      <c r="AR23">
        <f>$AH23*tbl_Data_old[[#This Row],[2034 ]]</f>
        <v>1054.6897280816768</v>
      </c>
      <c r="AS23">
        <f>SUM(tbl_Data_old[[#This Row],[Adjusted 2025]:[Adjusted 2034]])</f>
        <v>5218.7260879763562</v>
      </c>
      <c r="AT23" s="3">
        <f>AVERAGEIFS('3. Incentive Adjustment'!F:F,'3. Incentive Adjustment'!A:A,tbl_Data_old[[#This Row],[Trimmed Sector]],'3. Incentive Adjustment'!B:B,tbl_Data_old[[#This Row],[Trimmed Measure Name]])</f>
        <v>500</v>
      </c>
      <c r="AU23" s="3">
        <f>IFERROR(VLOOKUP(tbl_Data_old[[#This Row],[All_Meas_Name_Append]],'IRA Tax Credits'!$A$3:$D$46,4,0),0)</f>
        <v>1666.6666666666667</v>
      </c>
      <c r="AV23" s="4">
        <f>tbl_Data_old[[#This Row],[Adj. per unit Incentive ($)]]/tbl_Data_old[[#This Row],[kWh Savings]]*tbl_Data_old[[#This Row],[Sum of Annuals]]</f>
        <v>5649.0724253386679</v>
      </c>
      <c r="AW23" s="4">
        <f>IFERROR(VLOOKUP(tbl_Data_old[[#This Row],[All_Programs]],'1. Set Program Names'!$B$2:$D$15,3,0)*tbl_Data_old[[#This Row],[Sum of Annuals]],"")</f>
        <v>2326.7358578048543</v>
      </c>
      <c r="AX23" s="4">
        <f>tbl_Data_old[[#This Row],[per unit IRA tax ($)]]/tbl_Data_old[[#This Row],[kWh Savings]]*tbl_Data_old[[#This Row],[Sum of Annuals]]</f>
        <v>18830.241417795558</v>
      </c>
      <c r="AY23" s="4">
        <f>tbl_Data_old[[#This Row],[Avoided Costs ($/unit)]]/tbl_Data_old[[#This Row],[kWh Savings]]*tbl_Data_old[[#This Row],[Sum of Annuals]]</f>
        <v>2485.1215484107356</v>
      </c>
      <c r="AZ23" s="4">
        <f>tbl_Data_old[[#This Row],[Lost Revenue ($/unit)]]/tbl_Data_old[[#This Row],[kWh Savings]]*tbl_Data_old[[#This Row],[Sum of Annuals]]</f>
        <v>6675.9171589203961</v>
      </c>
      <c r="BA23" s="4">
        <f>tbl_Data_old[[#This Row],[Incremental Cost ($/unit)]]/tbl_Data_old[[#This Row],[kWh Savings]]*tbl_Data_old[[#This Row],[Sum of Annuals]]</f>
        <v>19540.141519246448</v>
      </c>
      <c r="BB23">
        <f>ROUNDUP(tbl_Data_old[[#This Row],[Adjusted 2025]]/$L23,0)</f>
        <v>1</v>
      </c>
      <c r="BC23">
        <f>ROUNDUP(tbl_Data_old[[#This Row],[Adjusted 2026]]/$L23,0)</f>
        <v>1</v>
      </c>
      <c r="BD23">
        <f>ROUNDUP(tbl_Data_old[[#This Row],[Adjusted 2027]]/$L23,0)</f>
        <v>1</v>
      </c>
      <c r="BE23">
        <f>ROUNDUP(tbl_Data_old[[#This Row],[Adjusted 2028]]/$L23,0)</f>
        <v>1</v>
      </c>
      <c r="BF23">
        <f>ROUNDUP(tbl_Data_old[[#This Row],[Adjusted 2029]]/$L23,0)</f>
        <v>1</v>
      </c>
      <c r="BG23">
        <f>ROUNDUP(tbl_Data_old[[#This Row],[Adjusted 2030]]/$L23,0)</f>
        <v>2</v>
      </c>
      <c r="BH23">
        <f>ROUNDUP(tbl_Data_old[[#This Row],[Adjusted 2031]]/$L23,0)</f>
        <v>2</v>
      </c>
      <c r="BI23">
        <f>ROUNDUP(tbl_Data_old[[#This Row],[Adjusted 2032]]/$L23,0)</f>
        <v>2</v>
      </c>
      <c r="BJ23">
        <f>ROUNDUP(tbl_Data_old[[#This Row],[Adjusted 2033]]/$L23,0)</f>
        <v>2</v>
      </c>
      <c r="BK23">
        <f>ROUNDUP(tbl_Data_old[[#This Row],[Adjusted 2034]]/$L23,0)</f>
        <v>3</v>
      </c>
      <c r="BL23" s="3">
        <f t="shared" si="2"/>
        <v>50691.050569706873</v>
      </c>
      <c r="BM23">
        <f t="shared" si="2"/>
        <v>107075.44015083536</v>
      </c>
      <c r="BN23">
        <f t="shared" si="2"/>
        <v>168707.87528489786</v>
      </c>
      <c r="BO23">
        <f t="shared" si="2"/>
        <v>235303.28294372768</v>
      </c>
      <c r="BP23">
        <f t="shared" si="2"/>
        <v>306624.50793079886</v>
      </c>
      <c r="BQ23">
        <f t="shared" si="2"/>
        <v>382266.93246432405</v>
      </c>
      <c r="BR23">
        <f t="shared" si="2"/>
        <v>462421.34055481263</v>
      </c>
      <c r="BS23">
        <f t="shared" si="2"/>
        <v>547476.24489958561</v>
      </c>
      <c r="BT23">
        <f t="shared" si="2"/>
        <v>637884.60609700624</v>
      </c>
      <c r="BU23">
        <f t="shared" si="2"/>
        <v>734135.47075347533</v>
      </c>
      <c r="BV23">
        <f>VLOOKUP($H23,'1. Set Program Names'!$B$2:$D$15,3,0)*V23</f>
        <v>20878.593183068504</v>
      </c>
      <c r="BW23">
        <f>VLOOKUP($H23,'1. Set Program Names'!$B$2:$D$15,3,0)*W23</f>
        <v>44102.154713346637</v>
      </c>
      <c r="BX23">
        <f>VLOOKUP($H23,'1. Set Program Names'!$B$2:$D$15,3,0)*X23</f>
        <v>69487.2774437669</v>
      </c>
      <c r="BY23">
        <f>VLOOKUP($H23,'1. Set Program Names'!$B$2:$D$15,3,0)*Y23</f>
        <v>96916.545702022937</v>
      </c>
      <c r="BZ23">
        <f>VLOOKUP($H23,'1. Set Program Names'!$B$2:$D$15,3,0)*Z23</f>
        <v>126292.28017758818</v>
      </c>
      <c r="CA23">
        <f>VLOOKUP($H23,'1. Set Program Names'!$B$2:$D$15,3,0)*AA23</f>
        <v>157447.82719164496</v>
      </c>
      <c r="CB23">
        <f>VLOOKUP($H23,'1. Set Program Names'!$B$2:$D$15,3,0)*AB23</f>
        <v>190461.7667242192</v>
      </c>
      <c r="CC23">
        <f>VLOOKUP($H23,'1. Set Program Names'!$B$2:$D$15,3,0)*AC23</f>
        <v>225494.11910360664</v>
      </c>
      <c r="CD23">
        <f>VLOOKUP($H23,'1. Set Program Names'!$B$2:$D$15,3,0)*AD23</f>
        <v>262731.44941289199</v>
      </c>
      <c r="CE23">
        <f>VLOOKUP($H23,'1. Set Program Names'!$B$2:$D$15,3,0)*AE23</f>
        <v>302375.18581400614</v>
      </c>
    </row>
    <row r="24" spans="1:83" x14ac:dyDescent="0.25">
      <c r="A24" s="20" t="s">
        <v>113</v>
      </c>
      <c r="B24" s="20" t="s">
        <v>88</v>
      </c>
      <c r="C24" s="20" t="s">
        <v>89</v>
      </c>
      <c r="D24" s="20" t="s">
        <v>90</v>
      </c>
      <c r="E24" s="20" t="s">
        <v>91</v>
      </c>
      <c r="F24" s="20" t="s">
        <v>90</v>
      </c>
      <c r="G24" s="20" t="s">
        <v>92</v>
      </c>
      <c r="H24" s="20" t="s">
        <v>5</v>
      </c>
      <c r="I24" s="20" t="s">
        <v>299</v>
      </c>
      <c r="J24" s="20" t="s">
        <v>97</v>
      </c>
      <c r="K24" s="20" t="s">
        <v>102</v>
      </c>
      <c r="L24" s="20">
        <v>408.28</v>
      </c>
      <c r="M24" s="20">
        <v>0.16567198429270899</v>
      </c>
      <c r="N24" s="20">
        <v>2.3547919008134799E-2</v>
      </c>
      <c r="O24" s="53">
        <v>128.60999999999999</v>
      </c>
      <c r="P24" s="20">
        <v>29.691921599999901</v>
      </c>
      <c r="Q24" s="20">
        <v>121.35269540373299</v>
      </c>
      <c r="R24" s="20">
        <v>238.630335182902</v>
      </c>
      <c r="S24" s="20">
        <v>423.90838942107399</v>
      </c>
      <c r="T24" s="20">
        <v>11</v>
      </c>
      <c r="U24" s="20">
        <v>0.7</v>
      </c>
      <c r="V24" s="20">
        <v>12547.879898299399</v>
      </c>
      <c r="W24" s="20">
        <v>22954.649118994301</v>
      </c>
      <c r="X24" s="20">
        <v>31584.649686110199</v>
      </c>
      <c r="Y24" s="20">
        <v>38770.873509171099</v>
      </c>
      <c r="Z24" s="20">
        <v>44795.366739737801</v>
      </c>
      <c r="AA24" s="20">
        <v>49871.2716875974</v>
      </c>
      <c r="AB24" s="20">
        <v>54210.0982404924</v>
      </c>
      <c r="AC24" s="20">
        <v>57977.168556143399</v>
      </c>
      <c r="AD24" s="20">
        <v>61302.439741228001</v>
      </c>
      <c r="AE24" s="20">
        <v>64286.135618878601</v>
      </c>
      <c r="AF24" t="str">
        <f t="shared" si="0"/>
        <v>Residential</v>
      </c>
      <c r="AG24" t="str">
        <f>tbl_Data_old[[#This Row],[All_Meas_Name_Append]]</f>
        <v>Smart Thermostat Residential</v>
      </c>
      <c r="AH24">
        <f>AVERAGEIFS('3. Incentive Adjustment'!G:G,'3. Incentive Adjustment'!A:A,tbl_Data_old[[#This Row],[Trimmed Sector]],'3. Incentive Adjustment'!B:B,tbl_Data_old[[#This Row],[Trimmed Measure Name]])</f>
        <v>1.1402432304340044</v>
      </c>
      <c r="AI24">
        <f>$AH24*tbl_Data_old[[#This Row],[2025 ]]</f>
        <v>14307.635110334815</v>
      </c>
      <c r="AJ24">
        <f>$AH24*tbl_Data_old[[#This Row],[2026 ]]</f>
        <v>26173.883264921136</v>
      </c>
      <c r="AK24">
        <f>$AH24*tbl_Data_old[[#This Row],[2027 ]]</f>
        <v>36014.182990216657</v>
      </c>
      <c r="AL24">
        <f>$AH24*tbl_Data_old[[#This Row],[2028 ]]</f>
        <v>44208.226056845422</v>
      </c>
      <c r="AM24">
        <f>$AH24*tbl_Data_old[[#This Row],[2029 ]]</f>
        <v>51077.613679794587</v>
      </c>
      <c r="AN24">
        <f>$AH24*tbl_Data_old[[#This Row],[2030 ]]</f>
        <v>56865.379934917961</v>
      </c>
      <c r="AO24">
        <f>$AH24*tbl_Data_old[[#This Row],[2031 ]]</f>
        <v>61812.697539883797</v>
      </c>
      <c r="AP24">
        <f>$AH24*tbl_Data_old[[#This Row],[2032 ]]</f>
        <v>66108.073965873729</v>
      </c>
      <c r="AQ24">
        <f>$AH24*tbl_Data_old[[#This Row],[2033 ]]</f>
        <v>69899.691924023718</v>
      </c>
      <c r="AR24">
        <f>$AH24*tbl_Data_old[[#This Row],[2034 ]]</f>
        <v>73301.830950188654</v>
      </c>
      <c r="AS24">
        <f>SUM(tbl_Data_old[[#This Row],[Adjusted 2025]:[Adjusted 2034]])</f>
        <v>499769.21541700047</v>
      </c>
      <c r="AT24" s="3">
        <f>AVERAGEIFS('3. Incentive Adjustment'!F:F,'3. Incentive Adjustment'!A:A,tbl_Data_old[[#This Row],[Trimmed Sector]],'3. Incentive Adjustment'!B:B,tbl_Data_old[[#This Row],[Trimmed Measure Name]])</f>
        <v>50</v>
      </c>
      <c r="AU24" s="3">
        <f>IFERROR(VLOOKUP(tbl_Data_old[[#This Row],[All_Meas_Name_Append]],'IRA Tax Credits'!$A$3:$D$46,4,0),0)</f>
        <v>0</v>
      </c>
      <c r="AV24" s="4">
        <f>tbl_Data_old[[#This Row],[Adj. per unit Incentive ($)]]/tbl_Data_old[[#This Row],[kWh Savings]]*tbl_Data_old[[#This Row],[Sum of Annuals]]</f>
        <v>61204.224480381177</v>
      </c>
      <c r="AW24" s="4">
        <f>IFERROR(VLOOKUP(tbl_Data_old[[#This Row],[All_Programs]],'1. Set Program Names'!$B$2:$D$15,3,0)*tbl_Data_old[[#This Row],[Sum of Annuals]],"")</f>
        <v>222818.92832368208</v>
      </c>
      <c r="AX24" s="4">
        <f>tbl_Data_old[[#This Row],[per unit IRA tax ($)]]/tbl_Data_old[[#This Row],[kWh Savings]]*tbl_Data_old[[#This Row],[Sum of Annuals]]</f>
        <v>0</v>
      </c>
      <c r="AY24" s="4">
        <f>tbl_Data_old[[#This Row],[Avoided Costs ($/unit)]]/tbl_Data_old[[#This Row],[kWh Savings]]*tbl_Data_old[[#This Row],[Sum of Annuals]]</f>
        <v>292103.69204725872</v>
      </c>
      <c r="AZ24" s="4">
        <f>tbl_Data_old[[#This Row],[Lost Revenue ($/unit)]]/tbl_Data_old[[#This Row],[kWh Savings]]*tbl_Data_old[[#This Row],[Sum of Annuals]]</f>
        <v>518899.68450488505</v>
      </c>
      <c r="BA24" s="4">
        <f>tbl_Data_old[[#This Row],[Incremental Cost ($/unit)]]/tbl_Data_old[[#This Row],[kWh Savings]]*tbl_Data_old[[#This Row],[Sum of Annuals]]</f>
        <v>157429.50620843645</v>
      </c>
      <c r="BB24">
        <f>ROUNDUP(tbl_Data_old[[#This Row],[Adjusted 2025]]/$L24,0)</f>
        <v>36</v>
      </c>
      <c r="BC24">
        <f>ROUNDUP(tbl_Data_old[[#This Row],[Adjusted 2026]]/$L24,0)</f>
        <v>65</v>
      </c>
      <c r="BD24">
        <f>ROUNDUP(tbl_Data_old[[#This Row],[Adjusted 2027]]/$L24,0)</f>
        <v>89</v>
      </c>
      <c r="BE24">
        <f>ROUNDUP(tbl_Data_old[[#This Row],[Adjusted 2028]]/$L24,0)</f>
        <v>109</v>
      </c>
      <c r="BF24">
        <f>ROUNDUP(tbl_Data_old[[#This Row],[Adjusted 2029]]/$L24,0)</f>
        <v>126</v>
      </c>
      <c r="BG24">
        <f>ROUNDUP(tbl_Data_old[[#This Row],[Adjusted 2030]]/$L24,0)</f>
        <v>140</v>
      </c>
      <c r="BH24">
        <f>ROUNDUP(tbl_Data_old[[#This Row],[Adjusted 2031]]/$L24,0)</f>
        <v>152</v>
      </c>
      <c r="BI24">
        <f>ROUNDUP(tbl_Data_old[[#This Row],[Adjusted 2032]]/$L24,0)</f>
        <v>162</v>
      </c>
      <c r="BJ24">
        <f>ROUNDUP(tbl_Data_old[[#This Row],[Adjusted 2033]]/$L24,0)</f>
        <v>172</v>
      </c>
      <c r="BK24">
        <f>ROUNDUP(tbl_Data_old[[#This Row],[Adjusted 2034]]/$L24,0)</f>
        <v>180</v>
      </c>
      <c r="BL24" s="3">
        <f t="shared" si="2"/>
        <v>1536.6757982633733</v>
      </c>
      <c r="BM24">
        <f t="shared" si="2"/>
        <v>2811.1405308849689</v>
      </c>
      <c r="BN24">
        <f t="shared" si="2"/>
        <v>3868.0133347347655</v>
      </c>
      <c r="BO24">
        <f t="shared" si="2"/>
        <v>4748.0740556935316</v>
      </c>
      <c r="BP24">
        <f t="shared" si="2"/>
        <v>5485.8634686658424</v>
      </c>
      <c r="BQ24">
        <f t="shared" si="2"/>
        <v>6107.4840412948715</v>
      </c>
      <c r="BR24">
        <f t="shared" si="2"/>
        <v>6638.838326698884</v>
      </c>
      <c r="BS24">
        <f t="shared" si="2"/>
        <v>7100.1724987929119</v>
      </c>
      <c r="BT24">
        <f t="shared" si="2"/>
        <v>7507.4017513995304</v>
      </c>
      <c r="BU24">
        <f t="shared" si="2"/>
        <v>7872.7999925147706</v>
      </c>
      <c r="BV24">
        <f>VLOOKUP($H24,'1. Set Program Names'!$B$2:$D$15,3,0)*V24</f>
        <v>5594.3925024283071</v>
      </c>
      <c r="BW24">
        <f>VLOOKUP($H24,'1. Set Program Names'!$B$2:$D$15,3,0)*W24</f>
        <v>10234.184417447168</v>
      </c>
      <c r="BX24">
        <f>VLOOKUP($H24,'1. Set Program Names'!$B$2:$D$15,3,0)*X24</f>
        <v>14081.815320829381</v>
      </c>
      <c r="BY24">
        <f>VLOOKUP($H24,'1. Set Program Names'!$B$2:$D$15,3,0)*Y24</f>
        <v>17285.747539048349</v>
      </c>
      <c r="BZ24">
        <f>VLOOKUP($H24,'1. Set Program Names'!$B$2:$D$15,3,0)*Z24</f>
        <v>19971.729556184186</v>
      </c>
      <c r="CA24">
        <f>VLOOKUP($H24,'1. Set Program Names'!$B$2:$D$15,3,0)*AA24</f>
        <v>22234.789516392528</v>
      </c>
      <c r="CB24">
        <f>VLOOKUP($H24,'1. Set Program Names'!$B$2:$D$15,3,0)*AB24</f>
        <v>24169.227758835568</v>
      </c>
      <c r="CC24">
        <f>VLOOKUP($H24,'1. Set Program Names'!$B$2:$D$15,3,0)*AC24</f>
        <v>25848.752116799369</v>
      </c>
      <c r="CD24">
        <f>VLOOKUP($H24,'1. Set Program Names'!$B$2:$D$15,3,0)*AD24</f>
        <v>27331.303140331194</v>
      </c>
      <c r="CE24">
        <f>VLOOKUP($H24,'1. Set Program Names'!$B$2:$D$15,3,0)*AE24</f>
        <v>28661.564983984721</v>
      </c>
    </row>
    <row r="25" spans="1:83" x14ac:dyDescent="0.25">
      <c r="A25" s="20" t="s">
        <v>113</v>
      </c>
      <c r="B25" s="20" t="s">
        <v>88</v>
      </c>
      <c r="C25" s="20" t="s">
        <v>89</v>
      </c>
      <c r="D25" s="20" t="s">
        <v>90</v>
      </c>
      <c r="E25" s="20" t="s">
        <v>91</v>
      </c>
      <c r="F25" s="20" t="s">
        <v>90</v>
      </c>
      <c r="G25" s="20" t="s">
        <v>92</v>
      </c>
      <c r="H25" s="20" t="s">
        <v>5</v>
      </c>
      <c r="I25" s="20" t="s">
        <v>112</v>
      </c>
      <c r="J25" s="20" t="s">
        <v>94</v>
      </c>
      <c r="K25" s="20" t="s">
        <v>108</v>
      </c>
      <c r="L25" s="20">
        <v>1330.8133333333301</v>
      </c>
      <c r="M25" s="20">
        <v>5.33311142126306E-2</v>
      </c>
      <c r="N25" s="20">
        <v>0.24737910980336</v>
      </c>
      <c r="O25" s="20">
        <v>8990.02</v>
      </c>
      <c r="P25" s="20">
        <v>8776.4394094329891</v>
      </c>
      <c r="Q25" s="20">
        <v>395.55644430103399</v>
      </c>
      <c r="R25" s="20">
        <v>713.19672296706005</v>
      </c>
      <c r="S25" s="20">
        <v>2011.6258188035599</v>
      </c>
      <c r="T25" s="20">
        <v>20</v>
      </c>
      <c r="U25" s="20">
        <v>0.7</v>
      </c>
      <c r="V25" s="20">
        <v>151067.960383442</v>
      </c>
      <c r="W25" s="20">
        <v>319196.58772418997</v>
      </c>
      <c r="X25" s="20">
        <v>503067.03462497902</v>
      </c>
      <c r="Y25" s="20">
        <v>701834.93174063601</v>
      </c>
      <c r="Z25" s="20">
        <v>914796.44221608096</v>
      </c>
      <c r="AA25" s="20">
        <v>1140745.53792293</v>
      </c>
      <c r="AB25" s="20">
        <v>1380253.1630164799</v>
      </c>
      <c r="AC25" s="20">
        <v>1634481.1610010299</v>
      </c>
      <c r="AD25" s="20">
        <v>1904784.45736841</v>
      </c>
      <c r="AE25" s="20">
        <v>2192626.35192056</v>
      </c>
      <c r="AF25" t="str">
        <f t="shared" si="0"/>
        <v>Residential</v>
      </c>
      <c r="AG25" t="str">
        <f>tbl_Data_old[[#This Row],[All_Meas_Name_Append]]</f>
        <v>Solar Thermal Water Heating System</v>
      </c>
      <c r="AH25">
        <f>AVERAGEIFS('3. Incentive Adjustment'!G:G,'3. Incentive Adjustment'!A:A,tbl_Data_old[[#This Row],[Trimmed Sector]],'3. Incentive Adjustment'!B:B,tbl_Data_old[[#This Row],[Trimmed Measure Name]])</f>
        <v>2.7736651842107431E-8</v>
      </c>
      <c r="AI25">
        <f>$AH25*tbl_Data_old[[#This Row],[2025 ]]</f>
        <v>4.190119421652809E-3</v>
      </c>
      <c r="AJ25">
        <f>$AH25*tbl_Data_old[[#This Row],[2026 ]]</f>
        <v>8.8534446228945608E-3</v>
      </c>
      <c r="AK25">
        <f>$AH25*tbl_Data_old[[#This Row],[2027 ]]</f>
        <v>1.3953395192634447E-2</v>
      </c>
      <c r="AL25">
        <f>$AH25*tbl_Data_old[[#This Row],[2028 ]]</f>
        <v>1.9466551152319253E-2</v>
      </c>
      <c r="AM25">
        <f>$AH25*tbl_Data_old[[#This Row],[2029 ]]</f>
        <v>2.5373390424145985E-2</v>
      </c>
      <c r="AN25">
        <f>$AH25*tbl_Data_old[[#This Row],[2030 ]]</f>
        <v>3.164046182580587E-2</v>
      </c>
      <c r="AO25">
        <f>$AH25*tbl_Data_old[[#This Row],[2031 ]]</f>
        <v>3.8283601436555653E-2</v>
      </c>
      <c r="AP25">
        <f>$AH25*tbl_Data_old[[#This Row],[2032 ]]</f>
        <v>4.533503490516911E-2</v>
      </c>
      <c r="AQ25">
        <f>$AH25*tbl_Data_old[[#This Row],[2033 ]]</f>
        <v>5.2832343328285111E-2</v>
      </c>
      <c r="AR25">
        <f>$AH25*tbl_Data_old[[#This Row],[2034 ]]</f>
        <v>6.0816113743050695E-2</v>
      </c>
      <c r="AS25">
        <f>SUM(tbl_Data_old[[#This Row],[Adjusted 2025]:[Adjusted 2034]])</f>
        <v>0.30074445605251349</v>
      </c>
      <c r="AT25" s="3">
        <f>AVERAGEIFS('3. Incentive Adjustment'!F:F,'3. Incentive Adjustment'!A:A,tbl_Data_old[[#This Row],[Trimmed Sector]],'3. Incentive Adjustment'!B:B,tbl_Data_old[[#This Row],[Trimmed Measure Name]])</f>
        <v>0</v>
      </c>
      <c r="AU25" s="3">
        <f>IFERROR(VLOOKUP(tbl_Data_old[[#This Row],[All_Meas_Name_Append]],'IRA Tax Credits'!$A$3:$D$46,4,0),0)</f>
        <v>41666.666666666672</v>
      </c>
      <c r="AV25" s="4">
        <f>tbl_Data_old[[#This Row],[Adj. per unit Incentive ($)]]/tbl_Data_old[[#This Row],[kWh Savings]]*tbl_Data_old[[#This Row],[Sum of Annuals]]</f>
        <v>0</v>
      </c>
      <c r="AW25" s="4">
        <f>IFERROR(VLOOKUP(tbl_Data_old[[#This Row],[All_Programs]],'1. Set Program Names'!$B$2:$D$15,3,0)*tbl_Data_old[[#This Row],[Sum of Annuals]],"")</f>
        <v>0.13408500429742606</v>
      </c>
      <c r="AX25" s="4">
        <f>tbl_Data_old[[#This Row],[per unit IRA tax ($)]]/tbl_Data_old[[#This Row],[kWh Savings]]*tbl_Data_old[[#This Row],[Sum of Annuals]]</f>
        <v>9.4160606061867629</v>
      </c>
      <c r="AY25" s="4">
        <f>tbl_Data_old[[#This Row],[Avoided Costs ($/unit)]]/tbl_Data_old[[#This Row],[kWh Savings]]*tbl_Data_old[[#This Row],[Sum of Annuals]]</f>
        <v>0.16117208562219906</v>
      </c>
      <c r="AZ25" s="4">
        <f>tbl_Data_old[[#This Row],[Lost Revenue ($/unit)]]/tbl_Data_old[[#This Row],[kWh Savings]]*tbl_Data_old[[#This Row],[Sum of Annuals]]</f>
        <v>0.45459817504378541</v>
      </c>
      <c r="BA25" s="4">
        <f>tbl_Data_old[[#This Row],[Incremental Cost ($/unit)]]/tbl_Data_old[[#This Row],[kWh Savings]]*tbl_Data_old[[#This Row],[Sum of Annuals]]</f>
        <v>2.0316137560999468</v>
      </c>
      <c r="BB25">
        <f>ROUNDUP(tbl_Data_old[[#This Row],[Adjusted 2025]]/$L25,0)</f>
        <v>1</v>
      </c>
      <c r="BC25">
        <f>ROUNDUP(tbl_Data_old[[#This Row],[Adjusted 2026]]/$L25,0)</f>
        <v>1</v>
      </c>
      <c r="BD25">
        <f>ROUNDUP(tbl_Data_old[[#This Row],[Adjusted 2027]]/$L25,0)</f>
        <v>1</v>
      </c>
      <c r="BE25">
        <f>ROUNDUP(tbl_Data_old[[#This Row],[Adjusted 2028]]/$L25,0)</f>
        <v>1</v>
      </c>
      <c r="BF25">
        <f>ROUNDUP(tbl_Data_old[[#This Row],[Adjusted 2029]]/$L25,0)</f>
        <v>1</v>
      </c>
      <c r="BG25">
        <f>ROUNDUP(tbl_Data_old[[#This Row],[Adjusted 2030]]/$L25,0)</f>
        <v>1</v>
      </c>
      <c r="BH25">
        <f>ROUNDUP(tbl_Data_old[[#This Row],[Adjusted 2031]]/$L25,0)</f>
        <v>1</v>
      </c>
      <c r="BI25">
        <f>ROUNDUP(tbl_Data_old[[#This Row],[Adjusted 2032]]/$L25,0)</f>
        <v>1</v>
      </c>
      <c r="BJ25">
        <f>ROUNDUP(tbl_Data_old[[#This Row],[Adjusted 2033]]/$L25,0)</f>
        <v>1</v>
      </c>
      <c r="BK25">
        <f>ROUNDUP(tbl_Data_old[[#This Row],[Adjusted 2034]]/$L25,0)</f>
        <v>1</v>
      </c>
      <c r="BL25" s="3">
        <f t="shared" si="2"/>
        <v>0</v>
      </c>
      <c r="BM25">
        <f t="shared" si="2"/>
        <v>0</v>
      </c>
      <c r="BN25">
        <f t="shared" si="2"/>
        <v>0</v>
      </c>
      <c r="BO25">
        <f t="shared" si="2"/>
        <v>0</v>
      </c>
      <c r="BP25">
        <f t="shared" si="2"/>
        <v>0</v>
      </c>
      <c r="BQ25">
        <f t="shared" si="2"/>
        <v>0</v>
      </c>
      <c r="BR25">
        <f t="shared" si="2"/>
        <v>0</v>
      </c>
      <c r="BS25">
        <f t="shared" si="2"/>
        <v>0</v>
      </c>
      <c r="BT25">
        <f t="shared" si="2"/>
        <v>0</v>
      </c>
      <c r="BU25">
        <f t="shared" si="2"/>
        <v>0</v>
      </c>
      <c r="BV25">
        <f>VLOOKUP($H25,'1. Set Program Names'!$B$2:$D$15,3,0)*V25</f>
        <v>67352.689998316331</v>
      </c>
      <c r="BW25">
        <f>VLOOKUP($H25,'1. Set Program Names'!$B$2:$D$15,3,0)*W25</f>
        <v>142311.76992751766</v>
      </c>
      <c r="BX25">
        <f>VLOOKUP($H25,'1. Set Program Names'!$B$2:$D$15,3,0)*X25</f>
        <v>224289.240057697</v>
      </c>
      <c r="BY25">
        <f>VLOOKUP($H25,'1. Set Program Names'!$B$2:$D$15,3,0)*Y25</f>
        <v>312908.64368284476</v>
      </c>
      <c r="BZ25">
        <f>VLOOKUP($H25,'1. Set Program Names'!$B$2:$D$15,3,0)*Z25</f>
        <v>407856.17961448088</v>
      </c>
      <c r="CA25">
        <f>VLOOKUP($H25,'1. Set Program Names'!$B$2:$D$15,3,0)*AA25</f>
        <v>508594.14787668642</v>
      </c>
      <c r="CB25">
        <f>VLOOKUP($H25,'1. Set Program Names'!$B$2:$D$15,3,0)*AB25</f>
        <v>615377.10029236588</v>
      </c>
      <c r="CC25">
        <f>VLOOKUP($H25,'1. Set Program Names'!$B$2:$D$15,3,0)*AC25</f>
        <v>728723.03740361298</v>
      </c>
      <c r="CD25">
        <f>VLOOKUP($H25,'1. Set Program Names'!$B$2:$D$15,3,0)*AD25</f>
        <v>849236.04412949597</v>
      </c>
      <c r="CE25">
        <f>VLOOKUP($H25,'1. Set Program Names'!$B$2:$D$15,3,0)*AE25</f>
        <v>977568.52338645398</v>
      </c>
    </row>
    <row r="26" spans="1:83" x14ac:dyDescent="0.25">
      <c r="A26" s="20" t="s">
        <v>114</v>
      </c>
      <c r="B26" s="20" t="s">
        <v>88</v>
      </c>
      <c r="C26" s="20" t="s">
        <v>89</v>
      </c>
      <c r="D26" s="20" t="s">
        <v>90</v>
      </c>
      <c r="E26" s="20" t="s">
        <v>91</v>
      </c>
      <c r="F26" s="20" t="s">
        <v>90</v>
      </c>
      <c r="G26" s="20" t="s">
        <v>92</v>
      </c>
      <c r="H26" s="20" t="s">
        <v>5</v>
      </c>
      <c r="I26" s="20" t="s">
        <v>93</v>
      </c>
      <c r="J26" s="20" t="s">
        <v>94</v>
      </c>
      <c r="K26" s="20" t="s">
        <v>95</v>
      </c>
      <c r="L26" s="20">
        <v>1200.2266666666601</v>
      </c>
      <c r="M26" s="20">
        <v>4.8097974252120097E-2</v>
      </c>
      <c r="N26" s="20">
        <v>0.22310492157346501</v>
      </c>
      <c r="O26" s="20">
        <v>1210</v>
      </c>
      <c r="P26" s="20">
        <v>933.85922631496703</v>
      </c>
      <c r="Q26" s="20">
        <v>356.74228738962802</v>
      </c>
      <c r="R26" s="20">
        <v>571.53970184074296</v>
      </c>
      <c r="S26" s="20">
        <v>1535.35818196214</v>
      </c>
      <c r="T26" s="20">
        <v>15</v>
      </c>
      <c r="U26" s="20">
        <v>0.7</v>
      </c>
      <c r="V26" s="20">
        <v>2.0270933304135101</v>
      </c>
      <c r="W26" s="20">
        <v>2.1537129470708201</v>
      </c>
      <c r="X26" s="20">
        <v>2.2794232822370102</v>
      </c>
      <c r="Y26" s="20">
        <v>2.4080366027639202</v>
      </c>
      <c r="Z26" s="20">
        <v>2.5394139973275198</v>
      </c>
      <c r="AA26" s="20">
        <v>2.6661595128023898</v>
      </c>
      <c r="AB26" s="20">
        <v>2.8080211192398399</v>
      </c>
      <c r="AC26" s="20">
        <v>2.9706669203550198</v>
      </c>
      <c r="AD26" s="20">
        <v>3.15543609087042</v>
      </c>
      <c r="AE26" s="20">
        <v>3.3629819670683698</v>
      </c>
      <c r="AF26" t="str">
        <f t="shared" si="0"/>
        <v>Residential</v>
      </c>
      <c r="AG26" t="str">
        <f>tbl_Data_old[[#This Row],[All_Meas_Name_Append]]</f>
        <v>120v Heat Pump Water Heater 50 Gallons</v>
      </c>
      <c r="AH26">
        <f>AVERAGEIFS('3. Incentive Adjustment'!G:G,'3. Incentive Adjustment'!A:A,tbl_Data_old[[#This Row],[Trimmed Sector]],'3. Incentive Adjustment'!B:B,tbl_Data_old[[#This Row],[Trimmed Measure Name]])</f>
        <v>0.38528347196238832</v>
      </c>
      <c r="AI26">
        <f>$AH26*tbl_Data_old[[#This Row],[2025 ]]</f>
        <v>0.78100555633351798</v>
      </c>
      <c r="AJ26">
        <f>$AH26*tbl_Data_old[[#This Row],[2026 ]]</f>
        <v>0.82979000185779306</v>
      </c>
      <c r="AK26">
        <f>$AH26*tbl_Data_old[[#This Row],[2027 ]]</f>
        <v>0.87822411625217833</v>
      </c>
      <c r="AL26">
        <f>$AH26*tbl_Data_old[[#This Row],[2028 ]]</f>
        <v>0.92777670292539771</v>
      </c>
      <c r="AM26">
        <f>$AH26*tbl_Data_old[[#This Row],[2029 ]]</f>
        <v>0.97839424164023392</v>
      </c>
      <c r="AN26">
        <f>$AH26*tbl_Data_old[[#This Row],[2030 ]]</f>
        <v>1.0272271938980544</v>
      </c>
      <c r="AO26">
        <f>$AH26*tbl_Data_old[[#This Row],[2031 ]]</f>
        <v>1.0818841261644372</v>
      </c>
      <c r="AP26">
        <f>$AH26*tbl_Data_old[[#This Row],[2032 ]]</f>
        <v>1.1445488651181976</v>
      </c>
      <c r="AQ26">
        <f>$AH26*tbl_Data_old[[#This Row],[2033 ]]</f>
        <v>1.2157373726459817</v>
      </c>
      <c r="AR26">
        <f>$AH26*tbl_Data_old[[#This Row],[2034 ]]</f>
        <v>1.2957013684190037</v>
      </c>
      <c r="AS26">
        <f>SUM(tbl_Data_old[[#This Row],[Adjusted 2025]:[Adjusted 2034]])</f>
        <v>10.160289545254797</v>
      </c>
      <c r="AT26" s="3">
        <f>AVERAGEIFS('3. Incentive Adjustment'!F:F,'3. Incentive Adjustment'!A:A,tbl_Data_old[[#This Row],[Trimmed Sector]],'3. Incentive Adjustment'!B:B,tbl_Data_old[[#This Row],[Trimmed Measure Name]])</f>
        <v>500</v>
      </c>
      <c r="AU26" s="3">
        <f>IFERROR(VLOOKUP(tbl_Data_old[[#This Row],[All_Meas_Name_Append]],'IRA Tax Credits'!$A$3:$D$46,4,0),0)</f>
        <v>1666.6666666666667</v>
      </c>
      <c r="AV26" s="4">
        <f>tbl_Data_old[[#This Row],[Adj. per unit Incentive ($)]]/tbl_Data_old[[#This Row],[kWh Savings]]*tbl_Data_old[[#This Row],[Sum of Annuals]]</f>
        <v>4.2326544757885394</v>
      </c>
      <c r="AW26" s="4">
        <f>IFERROR(VLOOKUP(tbl_Data_old[[#This Row],[All_Programs]],'1. Set Program Names'!$B$2:$D$15,3,0)*tbl_Data_old[[#This Row],[Sum of Annuals]],"")</f>
        <v>4.5299005182682457</v>
      </c>
      <c r="AX26" s="4">
        <f>tbl_Data_old[[#This Row],[per unit IRA tax ($)]]/tbl_Data_old[[#This Row],[kWh Savings]]*tbl_Data_old[[#This Row],[Sum of Annuals]]</f>
        <v>14.108848252628464</v>
      </c>
      <c r="AY26" s="4">
        <f>tbl_Data_old[[#This Row],[Avoided Costs ($/unit)]]/tbl_Data_old[[#This Row],[kWh Savings]]*tbl_Data_old[[#This Row],[Sum of Annuals]]</f>
        <v>4.8382601541741366</v>
      </c>
      <c r="AZ26" s="4">
        <f>tbl_Data_old[[#This Row],[Lost Revenue ($/unit)]]/tbl_Data_old[[#This Row],[kWh Savings]]*tbl_Data_old[[#This Row],[Sum of Annuals]]</f>
        <v>12.997281361641212</v>
      </c>
      <c r="BA26" s="4">
        <f>tbl_Data_old[[#This Row],[Incremental Cost ($/unit)]]/tbl_Data_old[[#This Row],[kWh Savings]]*tbl_Data_old[[#This Row],[Sum of Annuals]]</f>
        <v>10.243023831408264</v>
      </c>
      <c r="BB26">
        <f>ROUNDUP(tbl_Data_old[[#This Row],[Adjusted 2025]]/$L26,0)</f>
        <v>1</v>
      </c>
      <c r="BC26">
        <f>ROUNDUP(tbl_Data_old[[#This Row],[Adjusted 2026]]/$L26,0)</f>
        <v>1</v>
      </c>
      <c r="BD26">
        <f>ROUNDUP(tbl_Data_old[[#This Row],[Adjusted 2027]]/$L26,0)</f>
        <v>1</v>
      </c>
      <c r="BE26">
        <f>ROUNDUP(tbl_Data_old[[#This Row],[Adjusted 2028]]/$L26,0)</f>
        <v>1</v>
      </c>
      <c r="BF26">
        <f>ROUNDUP(tbl_Data_old[[#This Row],[Adjusted 2029]]/$L26,0)</f>
        <v>1</v>
      </c>
      <c r="BG26">
        <f>ROUNDUP(tbl_Data_old[[#This Row],[Adjusted 2030]]/$L26,0)</f>
        <v>1</v>
      </c>
      <c r="BH26">
        <f>ROUNDUP(tbl_Data_old[[#This Row],[Adjusted 2031]]/$L26,0)</f>
        <v>1</v>
      </c>
      <c r="BI26">
        <f>ROUNDUP(tbl_Data_old[[#This Row],[Adjusted 2032]]/$L26,0)</f>
        <v>1</v>
      </c>
      <c r="BJ26">
        <f>ROUNDUP(tbl_Data_old[[#This Row],[Adjusted 2033]]/$L26,0)</f>
        <v>1</v>
      </c>
      <c r="BK26">
        <f>ROUNDUP(tbl_Data_old[[#This Row],[Adjusted 2034]]/$L26,0)</f>
        <v>1</v>
      </c>
      <c r="BL26" s="3">
        <f t="shared" si="2"/>
        <v>0.84446271138237272</v>
      </c>
      <c r="BM26">
        <f t="shared" si="2"/>
        <v>0.89721092143879699</v>
      </c>
      <c r="BN26">
        <f t="shared" si="2"/>
        <v>0.94958033575756073</v>
      </c>
      <c r="BO26">
        <f t="shared" si="2"/>
        <v>1.0031590988774064</v>
      </c>
      <c r="BP26">
        <f t="shared" si="2"/>
        <v>1.0578893420107591</v>
      </c>
      <c r="BQ26">
        <f t="shared" si="2"/>
        <v>1.1106900000010016</v>
      </c>
      <c r="BR26">
        <f t="shared" si="2"/>
        <v>1.1697878397579853</v>
      </c>
      <c r="BS26">
        <f t="shared" si="2"/>
        <v>1.2375441251465151</v>
      </c>
      <c r="BT26">
        <f t="shared" si="2"/>
        <v>1.3145167402561893</v>
      </c>
      <c r="BU26">
        <f t="shared" si="2"/>
        <v>1.4009778571277043</v>
      </c>
      <c r="BV26">
        <f>VLOOKUP($H26,'1. Set Program Names'!$B$2:$D$15,3,0)*V26</f>
        <v>0.90376667782138365</v>
      </c>
      <c r="BW26">
        <f>VLOOKUP($H26,'1. Set Program Names'!$B$2:$D$15,3,0)*W26</f>
        <v>0.96021922915509572</v>
      </c>
      <c r="BX26">
        <f>VLOOKUP($H26,'1. Set Program Names'!$B$2:$D$15,3,0)*X26</f>
        <v>1.0162663831150884</v>
      </c>
      <c r="BY26">
        <f>VLOOKUP($H26,'1. Set Program Names'!$B$2:$D$15,3,0)*Y26</f>
        <v>1.0736078146477308</v>
      </c>
      <c r="BZ26">
        <f>VLOOKUP($H26,'1. Set Program Names'!$B$2:$D$15,3,0)*Z26</f>
        <v>1.1321815910220789</v>
      </c>
      <c r="CA26">
        <f>VLOOKUP($H26,'1. Set Program Names'!$B$2:$D$15,3,0)*AA26</f>
        <v>1.1886902735434284</v>
      </c>
      <c r="CB26">
        <f>VLOOKUP($H26,'1. Set Program Names'!$B$2:$D$15,3,0)*AB26</f>
        <v>1.2519383691475046</v>
      </c>
      <c r="CC26">
        <f>VLOOKUP($H26,'1. Set Program Names'!$B$2:$D$15,3,0)*AC26</f>
        <v>1.32445296585109</v>
      </c>
      <c r="CD26">
        <f>VLOOKUP($H26,'1. Set Program Names'!$B$2:$D$15,3,0)*AD26</f>
        <v>1.4068311261928497</v>
      </c>
      <c r="CE26">
        <f>VLOOKUP($H26,'1. Set Program Names'!$B$2:$D$15,3,0)*AE26</f>
        <v>1.4993641360018684</v>
      </c>
    </row>
    <row r="27" spans="1:83" x14ac:dyDescent="0.25">
      <c r="A27" s="20" t="s">
        <v>114</v>
      </c>
      <c r="B27" s="20" t="s">
        <v>88</v>
      </c>
      <c r="C27" s="20" t="s">
        <v>89</v>
      </c>
      <c r="D27" s="20" t="s">
        <v>90</v>
      </c>
      <c r="E27" s="20" t="s">
        <v>91</v>
      </c>
      <c r="F27" s="20" t="s">
        <v>90</v>
      </c>
      <c r="G27" s="20" t="s">
        <v>92</v>
      </c>
      <c r="H27" s="20" t="s">
        <v>5</v>
      </c>
      <c r="I27" s="20" t="s">
        <v>96</v>
      </c>
      <c r="J27" s="20" t="s">
        <v>97</v>
      </c>
      <c r="K27" s="20" t="s">
        <v>98</v>
      </c>
      <c r="L27" s="20">
        <v>5868.07</v>
      </c>
      <c r="M27" s="20">
        <v>0.20813520080661799</v>
      </c>
      <c r="N27" s="20">
        <v>1.1349578069705</v>
      </c>
      <c r="O27" s="20">
        <v>1935.1666666666599</v>
      </c>
      <c r="P27" s="20">
        <v>513.45064263862798</v>
      </c>
      <c r="Q27" s="20">
        <v>1744.1611426417701</v>
      </c>
      <c r="R27" s="20">
        <v>3388.0400735263802</v>
      </c>
      <c r="S27" s="20">
        <v>7811.7411984889604</v>
      </c>
      <c r="T27" s="20">
        <v>16</v>
      </c>
      <c r="U27" s="20">
        <v>0.7</v>
      </c>
      <c r="V27" s="20">
        <v>22.822385741019801</v>
      </c>
      <c r="W27" s="20">
        <v>24.254213582418299</v>
      </c>
      <c r="X27" s="20">
        <v>25.672345857399399</v>
      </c>
      <c r="Y27" s="20">
        <v>27.120590616948501</v>
      </c>
      <c r="Z27" s="20">
        <v>28.5992142381536</v>
      </c>
      <c r="AA27" s="20">
        <v>30.027293064915501</v>
      </c>
      <c r="AB27" s="20">
        <v>31.629408000383702</v>
      </c>
      <c r="AC27" s="20">
        <v>33.470834962984704</v>
      </c>
      <c r="AD27" s="20">
        <v>35.567256524386302</v>
      </c>
      <c r="AE27" s="20">
        <v>37.926040182614003</v>
      </c>
      <c r="AF27" t="str">
        <f t="shared" si="0"/>
        <v>Residential</v>
      </c>
      <c r="AG27" t="str">
        <f>tbl_Data_old[[#This Row],[All_Meas_Name_Append]]</f>
        <v>ASHP - CEE Tier 2: 16.8 SEER/16 SEER2; 9.0 HSPF (from elec resistance)</v>
      </c>
      <c r="AH27">
        <f>AVERAGEIFS('3. Incentive Adjustment'!G:G,'3. Incentive Adjustment'!A:A,tbl_Data_old[[#This Row],[Trimmed Sector]],'3. Incentive Adjustment'!B:B,tbl_Data_old[[#This Row],[Trimmed Measure Name]])</f>
        <v>0.9303958662075158</v>
      </c>
      <c r="AI27">
        <f>$AH27*tbl_Data_old[[#This Row],[2025 ]]</f>
        <v>21.233853350438174</v>
      </c>
      <c r="AJ27">
        <f>$AH27*tbl_Data_old[[#This Row],[2026 ]]</f>
        <v>22.566020055196169</v>
      </c>
      <c r="AK27">
        <f>$AH27*tbl_Data_old[[#This Row],[2027 ]]</f>
        <v>23.885444461574043</v>
      </c>
      <c r="AL27">
        <f>$AH27*tbl_Data_old[[#This Row],[2028 ]]</f>
        <v>25.232885399115226</v>
      </c>
      <c r="AM27">
        <f>$AH27*tbl_Data_old[[#This Row],[2029 ]]</f>
        <v>26.608590703961237</v>
      </c>
      <c r="AN27">
        <f>$AH27*tbl_Data_old[[#This Row],[2030 ]]</f>
        <v>27.937269340998988</v>
      </c>
      <c r="AO27">
        <f>$AH27*tbl_Data_old[[#This Row],[2031 ]]</f>
        <v>29.427870454147925</v>
      </c>
      <c r="AP27">
        <f>$AH27*tbl_Data_old[[#This Row],[2032 ]]</f>
        <v>31.14112648807496</v>
      </c>
      <c r="AQ27">
        <f>$AH27*tbl_Data_old[[#This Row],[2033 ]]</f>
        <v>33.091628442631311</v>
      </c>
      <c r="AR27">
        <f>$AH27*tbl_Data_old[[#This Row],[2034 ]]</f>
        <v>35.286231007524208</v>
      </c>
      <c r="AS27">
        <f>SUM(tbl_Data_old[[#This Row],[Adjusted 2025]:[Adjusted 2034]])</f>
        <v>276.41091970366222</v>
      </c>
      <c r="AT27" s="3">
        <f>AVERAGEIFS('3. Incentive Adjustment'!F:F,'3. Incentive Adjustment'!A:A,tbl_Data_old[[#This Row],[Trimmed Sector]],'3. Incentive Adjustment'!B:B,tbl_Data_old[[#This Row],[Trimmed Measure Name]])</f>
        <v>353</v>
      </c>
      <c r="AU27" s="3">
        <f>IFERROR(VLOOKUP(tbl_Data_old[[#This Row],[All_Meas_Name_Append]],'IRA Tax Credits'!$A$3:$D$46,4,0),0)</f>
        <v>0</v>
      </c>
      <c r="AV27" s="4">
        <f>tbl_Data_old[[#This Row],[Adj. per unit Incentive ($)]]/tbl_Data_old[[#This Row],[kWh Savings]]*tbl_Data_old[[#This Row],[Sum of Annuals]]</f>
        <v>16.627793236173524</v>
      </c>
      <c r="AW27" s="4">
        <f>IFERROR(VLOOKUP(tbl_Data_old[[#This Row],[All_Programs]],'1. Set Program Names'!$B$2:$D$15,3,0)*tbl_Data_old[[#This Row],[Sum of Annuals]],"")</f>
        <v>123.23605177230428</v>
      </c>
      <c r="AX27" s="4">
        <f>tbl_Data_old[[#This Row],[per unit IRA tax ($)]]/tbl_Data_old[[#This Row],[kWh Savings]]*tbl_Data_old[[#This Row],[Sum of Annuals]]</f>
        <v>0</v>
      </c>
      <c r="AY27" s="4">
        <f>tbl_Data_old[[#This Row],[Avoided Costs ($/unit)]]/tbl_Data_old[[#This Row],[kWh Savings]]*tbl_Data_old[[#This Row],[Sum of Annuals]]</f>
        <v>159.59101931576993</v>
      </c>
      <c r="AZ27" s="4">
        <f>tbl_Data_old[[#This Row],[Lost Revenue ($/unit)]]/tbl_Data_old[[#This Row],[kWh Savings]]*tbl_Data_old[[#This Row],[Sum of Annuals]]</f>
        <v>367.96605513590026</v>
      </c>
      <c r="BA27" s="4">
        <f>tbl_Data_old[[#This Row],[Incremental Cost ($/unit)]]/tbl_Data_old[[#This Row],[kWh Savings]]*tbl_Data_old[[#This Row],[Sum of Annuals]]</f>
        <v>91.154536008125646</v>
      </c>
      <c r="BB27">
        <f>ROUNDUP(tbl_Data_old[[#This Row],[Adjusted 2025]]/$L27,0)</f>
        <v>1</v>
      </c>
      <c r="BC27">
        <f>ROUNDUP(tbl_Data_old[[#This Row],[Adjusted 2026]]/$L27,0)</f>
        <v>1</v>
      </c>
      <c r="BD27">
        <f>ROUNDUP(tbl_Data_old[[#This Row],[Adjusted 2027]]/$L27,0)</f>
        <v>1</v>
      </c>
      <c r="BE27">
        <f>ROUNDUP(tbl_Data_old[[#This Row],[Adjusted 2028]]/$L27,0)</f>
        <v>1</v>
      </c>
      <c r="BF27">
        <f>ROUNDUP(tbl_Data_old[[#This Row],[Adjusted 2029]]/$L27,0)</f>
        <v>1</v>
      </c>
      <c r="BG27">
        <f>ROUNDUP(tbl_Data_old[[#This Row],[Adjusted 2030]]/$L27,0)</f>
        <v>1</v>
      </c>
      <c r="BH27">
        <f>ROUNDUP(tbl_Data_old[[#This Row],[Adjusted 2031]]/$L27,0)</f>
        <v>1</v>
      </c>
      <c r="BI27">
        <f>ROUNDUP(tbl_Data_old[[#This Row],[Adjusted 2032]]/$L27,0)</f>
        <v>1</v>
      </c>
      <c r="BJ27">
        <f>ROUNDUP(tbl_Data_old[[#This Row],[Adjusted 2033]]/$L27,0)</f>
        <v>1</v>
      </c>
      <c r="BK27">
        <f>ROUNDUP(tbl_Data_old[[#This Row],[Adjusted 2034]]/$L27,0)</f>
        <v>1</v>
      </c>
      <c r="BL27" s="3">
        <f t="shared" si="2"/>
        <v>1.3729049187518196</v>
      </c>
      <c r="BM27">
        <f t="shared" si="2"/>
        <v>1.4590380473637261</v>
      </c>
      <c r="BN27">
        <f t="shared" si="2"/>
        <v>1.5443473045928198</v>
      </c>
      <c r="BO27">
        <f t="shared" si="2"/>
        <v>1.6314680103991297</v>
      </c>
      <c r="BP27">
        <f t="shared" si="2"/>
        <v>1.7204161889800602</v>
      </c>
      <c r="BQ27">
        <f t="shared" si="2"/>
        <v>1.8063237916240216</v>
      </c>
      <c r="BR27">
        <f t="shared" si="2"/>
        <v>1.9027007217254477</v>
      </c>
      <c r="BS27">
        <f t="shared" si="2"/>
        <v>2.0134737216723049</v>
      </c>
      <c r="BT27">
        <f t="shared" si="2"/>
        <v>2.1395861932642872</v>
      </c>
      <c r="BU27">
        <f t="shared" si="2"/>
        <v>2.2814813361910722</v>
      </c>
      <c r="BV27">
        <f>VLOOKUP($H27,'1. Set Program Names'!$B$2:$D$15,3,0)*V27</f>
        <v>10.175215631000091</v>
      </c>
      <c r="BW27">
        <f>VLOOKUP($H27,'1. Set Program Names'!$B$2:$D$15,3,0)*W27</f>
        <v>10.813586973857261</v>
      </c>
      <c r="BX27">
        <f>VLOOKUP($H27,'1. Set Program Names'!$B$2:$D$15,3,0)*X27</f>
        <v>11.445852235471783</v>
      </c>
      <c r="BY27">
        <f>VLOOKUP($H27,'1. Set Program Names'!$B$2:$D$15,3,0)*Y27</f>
        <v>12.091542956945826</v>
      </c>
      <c r="BZ27">
        <f>VLOOKUP($H27,'1. Set Program Names'!$B$2:$D$15,3,0)*Z27</f>
        <v>12.750777900811068</v>
      </c>
      <c r="CA27">
        <f>VLOOKUP($H27,'1. Set Program Names'!$B$2:$D$15,3,0)*AA27</f>
        <v>13.387477769320022</v>
      </c>
      <c r="CB27">
        <f>VLOOKUP($H27,'1. Set Program Names'!$B$2:$D$15,3,0)*AB27</f>
        <v>14.101770530778987</v>
      </c>
      <c r="CC27">
        <f>VLOOKUP($H27,'1. Set Program Names'!$B$2:$D$15,3,0)*AC27</f>
        <v>14.922759038545989</v>
      </c>
      <c r="CD27">
        <f>VLOOKUP($H27,'1. Set Program Names'!$B$2:$D$15,3,0)*AD27</f>
        <v>15.857435267525807</v>
      </c>
      <c r="CE27">
        <f>VLOOKUP($H27,'1. Set Program Names'!$B$2:$D$15,3,0)*AE27</f>
        <v>16.9090839698877</v>
      </c>
    </row>
    <row r="28" spans="1:83" x14ac:dyDescent="0.25">
      <c r="A28" s="20" t="s">
        <v>114</v>
      </c>
      <c r="B28" s="20" t="s">
        <v>88</v>
      </c>
      <c r="C28" s="20" t="s">
        <v>89</v>
      </c>
      <c r="D28" s="20" t="s">
        <v>90</v>
      </c>
      <c r="E28" s="20" t="s">
        <v>91</v>
      </c>
      <c r="F28" s="20" t="s">
        <v>90</v>
      </c>
      <c r="G28" s="20" t="s">
        <v>92</v>
      </c>
      <c r="H28" s="20" t="s">
        <v>5</v>
      </c>
      <c r="I28" s="20" t="s">
        <v>99</v>
      </c>
      <c r="J28" s="20" t="s">
        <v>97</v>
      </c>
      <c r="K28" s="20" t="s">
        <v>98</v>
      </c>
      <c r="L28" s="20">
        <v>253.96999999999801</v>
      </c>
      <c r="M28" s="20">
        <v>0.107126245482503</v>
      </c>
      <c r="N28" s="20">
        <v>1.33192706841354E-2</v>
      </c>
      <c r="O28" s="20">
        <v>874.99999999999898</v>
      </c>
      <c r="P28" s="20">
        <v>813.468148399999</v>
      </c>
      <c r="Q28" s="20">
        <v>75.487273566390598</v>
      </c>
      <c r="R28" s="20">
        <v>185.54516688855901</v>
      </c>
      <c r="S28" s="20">
        <v>338.09206641710699</v>
      </c>
      <c r="T28" s="20">
        <v>16</v>
      </c>
      <c r="U28" s="20">
        <v>0.7</v>
      </c>
      <c r="V28" s="20">
        <v>24.704280118061401</v>
      </c>
      <c r="W28" s="20">
        <v>27.633769832052799</v>
      </c>
      <c r="X28" s="20">
        <v>30.374492581301599</v>
      </c>
      <c r="Y28" s="20">
        <v>33.002130275424904</v>
      </c>
      <c r="Z28" s="20">
        <v>35.538204408767399</v>
      </c>
      <c r="AA28" s="20">
        <v>37.896892636887301</v>
      </c>
      <c r="AB28" s="20">
        <v>40.3748544311496</v>
      </c>
      <c r="AC28" s="20">
        <v>43.0738442998613</v>
      </c>
      <c r="AD28" s="20">
        <v>46.029921016368803</v>
      </c>
      <c r="AE28" s="20">
        <v>49.265344436800298</v>
      </c>
      <c r="AF28" t="str">
        <f t="shared" si="0"/>
        <v>Residential</v>
      </c>
      <c r="AG28" t="str">
        <f>tbl_Data_old[[#This Row],[All_Meas_Name_Append]]</f>
        <v>ASHP - ENERGY STAR/CEE Tier 1: 16 SEER/15.2 SEER2_ 9.0 HSPF</v>
      </c>
      <c r="AH28">
        <f>AVERAGEIFS('3. Incentive Adjustment'!G:G,'3. Incentive Adjustment'!A:A,tbl_Data_old[[#This Row],[Trimmed Sector]],'3. Incentive Adjustment'!B:B,tbl_Data_old[[#This Row],[Trimmed Measure Name]])</f>
        <v>8.3636985731950567E-3</v>
      </c>
      <c r="AI28">
        <f>$AH28*tbl_Data_old[[#This Row],[2025 ]]</f>
        <v>0.20661915237524114</v>
      </c>
      <c r="AJ28">
        <f>$AH28*tbl_Data_old[[#This Row],[2026 ]]</f>
        <v>0.23112052131634059</v>
      </c>
      <c r="AK28">
        <f>$AH28*tbl_Data_old[[#This Row],[2027 ]]</f>
        <v>0.25404310026375604</v>
      </c>
      <c r="AL28">
        <f>$AH28*tbl_Data_old[[#This Row],[2028 ]]</f>
        <v>0.27601986989696864</v>
      </c>
      <c r="AM28">
        <f>$AH28*tbl_Data_old[[#This Row],[2029 ]]</f>
        <v>0.29723082950752217</v>
      </c>
      <c r="AN28">
        <f>$AH28*tbl_Data_old[[#This Row],[2030 ]]</f>
        <v>0.31695818687566057</v>
      </c>
      <c r="AO28">
        <f>$AH28*tbl_Data_old[[#This Row],[2031 ]]</f>
        <v>0.33768311239876403</v>
      </c>
      <c r="AP28">
        <f>$AH28*tbl_Data_old[[#This Row],[2032 ]]</f>
        <v>0.36025665011277597</v>
      </c>
      <c r="AQ28">
        <f>$AH28*tbl_Data_old[[#This Row],[2033 ]]</f>
        <v>0.38498038472888491</v>
      </c>
      <c r="AR28">
        <f>$AH28*tbl_Data_old[[#This Row],[2034 ]]</f>
        <v>0.41204049097402967</v>
      </c>
      <c r="AS28">
        <f>SUM(tbl_Data_old[[#This Row],[Adjusted 2025]:[Adjusted 2034]])</f>
        <v>3.0769522984499433</v>
      </c>
      <c r="AT28" s="3">
        <f>AVERAGEIFS('3. Incentive Adjustment'!F:F,'3. Incentive Adjustment'!A:A,tbl_Data_old[[#This Row],[Trimmed Sector]],'3. Incentive Adjustment'!B:B,tbl_Data_old[[#This Row],[Trimmed Measure Name]])</f>
        <v>353</v>
      </c>
      <c r="AU28" s="3">
        <f>IFERROR(VLOOKUP(tbl_Data_old[[#This Row],[All_Meas_Name_Append]],'IRA Tax Credits'!$A$3:$D$46,4,0),0)</f>
        <v>0</v>
      </c>
      <c r="AV28" s="4">
        <f>tbl_Data_old[[#This Row],[Adj. per unit Incentive ($)]]/tbl_Data_old[[#This Row],[kWh Savings]]*tbl_Data_old[[#This Row],[Sum of Annuals]]</f>
        <v>4.2767419827256701</v>
      </c>
      <c r="AW28" s="4">
        <f>IFERROR(VLOOKUP(tbl_Data_old[[#This Row],[All_Programs]],'1. Set Program Names'!$B$2:$D$15,3,0)*tbl_Data_old[[#This Row],[Sum of Annuals]],"")</f>
        <v>1.3718396261595445</v>
      </c>
      <c r="AX28" s="4">
        <f>tbl_Data_old[[#This Row],[per unit IRA tax ($)]]/tbl_Data_old[[#This Row],[kWh Savings]]*tbl_Data_old[[#This Row],[Sum of Annuals]]</f>
        <v>0</v>
      </c>
      <c r="AY28" s="4">
        <f>tbl_Data_old[[#This Row],[Avoided Costs ($/unit)]]/tbl_Data_old[[#This Row],[kWh Savings]]*tbl_Data_old[[#This Row],[Sum of Annuals]]</f>
        <v>2.2479569544593234</v>
      </c>
      <c r="AZ28" s="4">
        <f>tbl_Data_old[[#This Row],[Lost Revenue ($/unit)]]/tbl_Data_old[[#This Row],[kWh Savings]]*tbl_Data_old[[#This Row],[Sum of Annuals]]</f>
        <v>4.0961261599788017</v>
      </c>
      <c r="BA28" s="4">
        <f>tbl_Data_old[[#This Row],[Incremental Cost ($/unit)]]/tbl_Data_old[[#This Row],[kWh Savings]]*tbl_Data_old[[#This Row],[Sum of Annuals]]</f>
        <v>10.60098933395172</v>
      </c>
      <c r="BB28">
        <f>ROUNDUP(tbl_Data_old[[#This Row],[Adjusted 2025]]/$L28,0)</f>
        <v>1</v>
      </c>
      <c r="BC28">
        <f>ROUNDUP(tbl_Data_old[[#This Row],[Adjusted 2026]]/$L28,0)</f>
        <v>1</v>
      </c>
      <c r="BD28">
        <f>ROUNDUP(tbl_Data_old[[#This Row],[Adjusted 2027]]/$L28,0)</f>
        <v>1</v>
      </c>
      <c r="BE28">
        <f>ROUNDUP(tbl_Data_old[[#This Row],[Adjusted 2028]]/$L28,0)</f>
        <v>1</v>
      </c>
      <c r="BF28">
        <f>ROUNDUP(tbl_Data_old[[#This Row],[Adjusted 2029]]/$L28,0)</f>
        <v>1</v>
      </c>
      <c r="BG28">
        <f>ROUNDUP(tbl_Data_old[[#This Row],[Adjusted 2030]]/$L28,0)</f>
        <v>1</v>
      </c>
      <c r="BH28">
        <f>ROUNDUP(tbl_Data_old[[#This Row],[Adjusted 2031]]/$L28,0)</f>
        <v>1</v>
      </c>
      <c r="BI28">
        <f>ROUNDUP(tbl_Data_old[[#This Row],[Adjusted 2032]]/$L28,0)</f>
        <v>1</v>
      </c>
      <c r="BJ28">
        <f>ROUNDUP(tbl_Data_old[[#This Row],[Adjusted 2033]]/$L28,0)</f>
        <v>1</v>
      </c>
      <c r="BK28">
        <f>ROUNDUP(tbl_Data_old[[#This Row],[Adjusted 2034]]/$L28,0)</f>
        <v>1</v>
      </c>
      <c r="BL28" s="3">
        <f t="shared" si="2"/>
        <v>34.33716927855945</v>
      </c>
      <c r="BM28">
        <f t="shared" si="2"/>
        <v>38.408948894415538</v>
      </c>
      <c r="BN28">
        <f t="shared" si="2"/>
        <v>42.218356031025507</v>
      </c>
      <c r="BO28">
        <f t="shared" si="2"/>
        <v>45.870583089440025</v>
      </c>
      <c r="BP28">
        <f t="shared" si="2"/>
        <v>49.395543396050677</v>
      </c>
      <c r="BQ28">
        <f t="shared" si="2"/>
        <v>52.673950076077183</v>
      </c>
      <c r="BR28">
        <f t="shared" si="2"/>
        <v>56.118138418694812</v>
      </c>
      <c r="BS28">
        <f t="shared" si="2"/>
        <v>59.869539858452406</v>
      </c>
      <c r="BT28">
        <f t="shared" si="2"/>
        <v>63.978273492059358</v>
      </c>
      <c r="BU28">
        <f t="shared" si="2"/>
        <v>68.475278915583104</v>
      </c>
      <c r="BV28">
        <f>VLOOKUP($H28,'1. Set Program Names'!$B$2:$D$15,3,0)*V28</f>
        <v>11.014246278297758</v>
      </c>
      <c r="BW28">
        <f>VLOOKUP($H28,'1. Set Program Names'!$B$2:$D$15,3,0)*W28</f>
        <v>12.320340648400508</v>
      </c>
      <c r="BX28">
        <f>VLOOKUP($H28,'1. Set Program Names'!$B$2:$D$15,3,0)*X28</f>
        <v>13.542274467013979</v>
      </c>
      <c r="BY28">
        <f>VLOOKUP($H28,'1. Set Program Names'!$B$2:$D$15,3,0)*Y28</f>
        <v>14.713790032531442</v>
      </c>
      <c r="BZ28">
        <f>VLOOKUP($H28,'1. Set Program Names'!$B$2:$D$15,3,0)*Z28</f>
        <v>15.844482566422881</v>
      </c>
      <c r="CA28">
        <f>VLOOKUP($H28,'1. Set Program Names'!$B$2:$D$15,3,0)*AA28</f>
        <v>16.896088721877739</v>
      </c>
      <c r="CB28">
        <f>VLOOKUP($H28,'1. Set Program Names'!$B$2:$D$15,3,0)*AB28</f>
        <v>18.000872238733329</v>
      </c>
      <c r="CC28">
        <f>VLOOKUP($H28,'1. Set Program Names'!$B$2:$D$15,3,0)*AC28</f>
        <v>19.204199717799899</v>
      </c>
      <c r="CD28">
        <f>VLOOKUP($H28,'1. Set Program Names'!$B$2:$D$15,3,0)*AD28</f>
        <v>20.522147733996146</v>
      </c>
      <c r="CE28">
        <f>VLOOKUP($H28,'1. Set Program Names'!$B$2:$D$15,3,0)*AE28</f>
        <v>21.964640702700446</v>
      </c>
    </row>
    <row r="29" spans="1:83" x14ac:dyDescent="0.25">
      <c r="A29" s="20" t="s">
        <v>114</v>
      </c>
      <c r="B29" s="20" t="s">
        <v>88</v>
      </c>
      <c r="C29" s="20" t="s">
        <v>89</v>
      </c>
      <c r="D29" s="20" t="s">
        <v>90</v>
      </c>
      <c r="E29" s="20" t="s">
        <v>91</v>
      </c>
      <c r="F29" s="20" t="s">
        <v>90</v>
      </c>
      <c r="G29" s="20" t="s">
        <v>92</v>
      </c>
      <c r="H29" s="20" t="s">
        <v>5</v>
      </c>
      <c r="I29" s="20" t="s">
        <v>100</v>
      </c>
      <c r="J29" s="20" t="s">
        <v>101</v>
      </c>
      <c r="K29" s="20" t="s">
        <v>102</v>
      </c>
      <c r="L29" s="20">
        <v>3443.6666666666601</v>
      </c>
      <c r="M29" s="20">
        <v>1.66949913665645</v>
      </c>
      <c r="N29" s="20">
        <v>0.25022957227107101</v>
      </c>
      <c r="O29" s="20">
        <v>1269.26999999999</v>
      </c>
      <c r="P29" s="20">
        <v>446.40188399649003</v>
      </c>
      <c r="Q29" s="20">
        <v>1023.5579310081</v>
      </c>
      <c r="R29" s="20">
        <v>3363.3816217672702</v>
      </c>
      <c r="S29" s="20">
        <v>6252.5618237134204</v>
      </c>
      <c r="T29" s="20">
        <v>30</v>
      </c>
      <c r="U29" s="20">
        <v>0.9</v>
      </c>
      <c r="V29" s="20">
        <v>6.7971031728729603</v>
      </c>
      <c r="W29" s="20">
        <v>6.5780897426663003</v>
      </c>
      <c r="X29" s="20">
        <v>6.3711893626337703</v>
      </c>
      <c r="Y29" s="20">
        <v>6.1829652748477502</v>
      </c>
      <c r="Z29" s="20">
        <v>6.0085259768969896</v>
      </c>
      <c r="AA29" s="20">
        <v>5.8283596394664396</v>
      </c>
      <c r="AB29" s="20">
        <v>5.6835145531192302</v>
      </c>
      <c r="AC29" s="20">
        <v>5.5769424819260598</v>
      </c>
      <c r="AD29" s="20">
        <v>5.5025336594840599</v>
      </c>
      <c r="AE29" s="20">
        <v>5.4539597761631198</v>
      </c>
      <c r="AF29" t="str">
        <f t="shared" si="0"/>
        <v>Residential</v>
      </c>
      <c r="AG29" t="str">
        <f>tbl_Data_old[[#This Row],[All_Meas_Name_Append]]</f>
        <v>Ceiling Insulation(R2 to R38) Residential</v>
      </c>
      <c r="AH29">
        <f>AVERAGEIFS('3. Incentive Adjustment'!G:G,'3. Incentive Adjustment'!A:A,tbl_Data_old[[#This Row],[Trimmed Sector]],'3. Incentive Adjustment'!B:B,tbl_Data_old[[#This Row],[Trimmed Measure Name]])</f>
        <v>0.80543313072084111</v>
      </c>
      <c r="AI29">
        <f>$AH29*tbl_Data_old[[#This Row],[2025 ]]</f>
        <v>5.4746120883596312</v>
      </c>
      <c r="AJ29">
        <f>$AH29*tbl_Data_old[[#This Row],[2026 ]]</f>
        <v>5.2982114155983702</v>
      </c>
      <c r="AK29">
        <f>$AH29*tbl_Data_old[[#This Row],[2027 ]]</f>
        <v>5.131566994761438</v>
      </c>
      <c r="AL29">
        <f>$AH29*tbl_Data_old[[#This Row],[2028 ]]</f>
        <v>4.9799650784588696</v>
      </c>
      <c r="AM29">
        <f>$AH29*tbl_Data_old[[#This Row],[2029 ]]</f>
        <v>4.8394658885896424</v>
      </c>
      <c r="AN29">
        <f>$AH29*tbl_Data_old[[#This Row],[2030 ]]</f>
        <v>4.694353951382447</v>
      </c>
      <c r="AO29">
        <f>$AH29*tbl_Data_old[[#This Row],[2031 ]]</f>
        <v>4.5776909200162841</v>
      </c>
      <c r="AP29">
        <f>$AH29*tbl_Data_old[[#This Row],[2032 ]]</f>
        <v>4.4918542430677642</v>
      </c>
      <c r="AQ29">
        <f>$AH29*tbl_Data_old[[#This Row],[2033 ]]</f>
        <v>4.431922912255053</v>
      </c>
      <c r="AR29">
        <f>$AH29*tbl_Data_old[[#This Row],[2034 ]]</f>
        <v>4.3927998973405993</v>
      </c>
      <c r="AS29">
        <f>SUM(tbl_Data_old[[#This Row],[Adjusted 2025]:[Adjusted 2034]])</f>
        <v>48.312443389830108</v>
      </c>
      <c r="AT29" s="3">
        <f>AVERAGEIFS('3. Incentive Adjustment'!F:F,'3. Incentive Adjustment'!A:A,tbl_Data_old[[#This Row],[Trimmed Sector]],'3. Incentive Adjustment'!B:B,tbl_Data_old[[#This Row],[Trimmed Measure Name]])</f>
        <v>164</v>
      </c>
      <c r="AU29" s="3">
        <f>IFERROR(VLOOKUP(tbl_Data_old[[#This Row],[All_Meas_Name_Append]],'IRA Tax Credits'!$A$3:$D$46,4,0),0)</f>
        <v>0</v>
      </c>
      <c r="AV29" s="4">
        <f>tbl_Data_old[[#This Row],[Adj. per unit Incentive ($)]]/tbl_Data_old[[#This Row],[kWh Savings]]*tbl_Data_old[[#This Row],[Sum of Annuals]]</f>
        <v>2.3008152306452869</v>
      </c>
      <c r="AW29" s="4">
        <f>IFERROR(VLOOKUP(tbl_Data_old[[#This Row],[All_Programs]],'1. Set Program Names'!$B$2:$D$15,3,0)*tbl_Data_old[[#This Row],[Sum of Annuals]],"")</f>
        <v>21.539795827236773</v>
      </c>
      <c r="AX29" s="4">
        <f>tbl_Data_old[[#This Row],[per unit IRA tax ($)]]/tbl_Data_old[[#This Row],[kWh Savings]]*tbl_Data_old[[#This Row],[Sum of Annuals]]</f>
        <v>0</v>
      </c>
      <c r="AY29" s="4">
        <f>tbl_Data_old[[#This Row],[Avoided Costs ($/unit)]]/tbl_Data_old[[#This Row],[kWh Savings]]*tbl_Data_old[[#This Row],[Sum of Annuals]]</f>
        <v>47.186095498991342</v>
      </c>
      <c r="AZ29" s="4">
        <f>tbl_Data_old[[#This Row],[Lost Revenue ($/unit)]]/tbl_Data_old[[#This Row],[kWh Savings]]*tbl_Data_old[[#This Row],[Sum of Annuals]]</f>
        <v>87.719448015555528</v>
      </c>
      <c r="BA29" s="4">
        <f>tbl_Data_old[[#This Row],[Incremental Cost ($/unit)]]/tbl_Data_old[[#This Row],[kWh Savings]]*tbl_Data_old[[#This Row],[Sum of Annuals]]</f>
        <v>17.807047242689759</v>
      </c>
      <c r="BB29">
        <f>ROUNDUP(tbl_Data_old[[#This Row],[Adjusted 2025]]/$L29,0)</f>
        <v>1</v>
      </c>
      <c r="BC29">
        <f>ROUNDUP(tbl_Data_old[[#This Row],[Adjusted 2026]]/$L29,0)</f>
        <v>1</v>
      </c>
      <c r="BD29">
        <f>ROUNDUP(tbl_Data_old[[#This Row],[Adjusted 2027]]/$L29,0)</f>
        <v>1</v>
      </c>
      <c r="BE29">
        <f>ROUNDUP(tbl_Data_old[[#This Row],[Adjusted 2028]]/$L29,0)</f>
        <v>1</v>
      </c>
      <c r="BF29">
        <f>ROUNDUP(tbl_Data_old[[#This Row],[Adjusted 2029]]/$L29,0)</f>
        <v>1</v>
      </c>
      <c r="BG29">
        <f>ROUNDUP(tbl_Data_old[[#This Row],[Adjusted 2030]]/$L29,0)</f>
        <v>1</v>
      </c>
      <c r="BH29">
        <f>ROUNDUP(tbl_Data_old[[#This Row],[Adjusted 2031]]/$L29,0)</f>
        <v>1</v>
      </c>
      <c r="BI29">
        <f>ROUNDUP(tbl_Data_old[[#This Row],[Adjusted 2032]]/$L29,0)</f>
        <v>1</v>
      </c>
      <c r="BJ29">
        <f>ROUNDUP(tbl_Data_old[[#This Row],[Adjusted 2033]]/$L29,0)</f>
        <v>1</v>
      </c>
      <c r="BK29">
        <f>ROUNDUP(tbl_Data_old[[#This Row],[Adjusted 2034]]/$L29,0)</f>
        <v>1</v>
      </c>
      <c r="BL29" s="3">
        <f t="shared" si="2"/>
        <v>0.3237029097912596</v>
      </c>
      <c r="BM29">
        <f t="shared" si="2"/>
        <v>0.31327268932260438</v>
      </c>
      <c r="BN29">
        <f t="shared" si="2"/>
        <v>0.30341933660011816</v>
      </c>
      <c r="BO29">
        <f t="shared" si="2"/>
        <v>0.2944554172127673</v>
      </c>
      <c r="BP29">
        <f t="shared" si="2"/>
        <v>0.28614797992772473</v>
      </c>
      <c r="BQ29">
        <f t="shared" si="2"/>
        <v>0.27756780007913018</v>
      </c>
      <c r="BR29">
        <f t="shared" si="2"/>
        <v>0.27066974737534277</v>
      </c>
      <c r="BS29">
        <f t="shared" si="2"/>
        <v>0.26559439561587711</v>
      </c>
      <c r="BT29">
        <f t="shared" si="2"/>
        <v>0.26205077538148897</v>
      </c>
      <c r="BU29">
        <f t="shared" si="2"/>
        <v>0.2597375094252502</v>
      </c>
      <c r="BV29">
        <f>VLOOKUP($H29,'1. Set Program Names'!$B$2:$D$15,3,0)*V29</f>
        <v>3.030445249456502</v>
      </c>
      <c r="BW29">
        <f>VLOOKUP($H29,'1. Set Program Names'!$B$2:$D$15,3,0)*W29</f>
        <v>2.9327995035767298</v>
      </c>
      <c r="BX29">
        <f>VLOOKUP($H29,'1. Set Program Names'!$B$2:$D$15,3,0)*X29</f>
        <v>2.8405542841305009</v>
      </c>
      <c r="BY29">
        <f>VLOOKUP($H29,'1. Set Program Names'!$B$2:$D$15,3,0)*Y29</f>
        <v>2.7566357708819615</v>
      </c>
      <c r="BZ29">
        <f>VLOOKUP($H29,'1. Set Program Names'!$B$2:$D$15,3,0)*Z29</f>
        <v>2.6788631185698484</v>
      </c>
      <c r="CA29">
        <f>VLOOKUP($H29,'1. Set Program Names'!$B$2:$D$15,3,0)*AA29</f>
        <v>2.5985371021048644</v>
      </c>
      <c r="CB29">
        <f>VLOOKUP($H29,'1. Set Program Names'!$B$2:$D$15,3,0)*AB29</f>
        <v>2.5339588409450466</v>
      </c>
      <c r="CC29">
        <f>VLOOKUP($H29,'1. Set Program Names'!$B$2:$D$15,3,0)*AC29</f>
        <v>2.4864443603408666</v>
      </c>
      <c r="CD29">
        <f>VLOOKUP($H29,'1. Set Program Names'!$B$2:$D$15,3,0)*AD29</f>
        <v>2.4532696597732859</v>
      </c>
      <c r="CE29">
        <f>VLOOKUP($H29,'1. Set Program Names'!$B$2:$D$15,3,0)*AE29</f>
        <v>2.4316133026143909</v>
      </c>
    </row>
    <row r="30" spans="1:83" x14ac:dyDescent="0.25">
      <c r="A30" s="20" t="s">
        <v>114</v>
      </c>
      <c r="B30" s="20" t="s">
        <v>88</v>
      </c>
      <c r="C30" s="20" t="s">
        <v>89</v>
      </c>
      <c r="D30" s="20" t="s">
        <v>90</v>
      </c>
      <c r="E30" s="20" t="s">
        <v>91</v>
      </c>
      <c r="F30" s="20" t="s">
        <v>90</v>
      </c>
      <c r="G30" s="20" t="s">
        <v>92</v>
      </c>
      <c r="H30" s="20" t="s">
        <v>5</v>
      </c>
      <c r="I30" s="20" t="s">
        <v>103</v>
      </c>
      <c r="J30" s="20" t="s">
        <v>101</v>
      </c>
      <c r="K30" s="20" t="s">
        <v>102</v>
      </c>
      <c r="L30" s="20">
        <v>3523.57666666666</v>
      </c>
      <c r="M30" s="20">
        <v>1.7070465614975301</v>
      </c>
      <c r="N30" s="20">
        <v>0.25623328618049002</v>
      </c>
      <c r="O30" s="20">
        <v>1306.5999999999899</v>
      </c>
      <c r="P30" s="20">
        <v>465.31519597206898</v>
      </c>
      <c r="Q30" s="20">
        <v>1047.30950808685</v>
      </c>
      <c r="R30" s="20">
        <v>3440.61303289528</v>
      </c>
      <c r="S30" s="20">
        <v>6397.6520033667803</v>
      </c>
      <c r="T30" s="20">
        <v>30</v>
      </c>
      <c r="U30" s="20">
        <v>0.9</v>
      </c>
      <c r="V30" s="20">
        <v>6.9568247427069503</v>
      </c>
      <c r="W30" s="20">
        <v>6.7330863332189903</v>
      </c>
      <c r="X30" s="20">
        <v>6.5217039492283204</v>
      </c>
      <c r="Y30" s="20">
        <v>6.3293999938820997</v>
      </c>
      <c r="Z30" s="20">
        <v>6.1511715659653596</v>
      </c>
      <c r="AA30" s="20">
        <v>5.9670462572540703</v>
      </c>
      <c r="AB30" s="20">
        <v>5.8190517416590097</v>
      </c>
      <c r="AC30" s="20">
        <v>5.7102170679332804</v>
      </c>
      <c r="AD30" s="20">
        <v>5.6342928726694304</v>
      </c>
      <c r="AE30" s="20">
        <v>5.5848043948298498</v>
      </c>
      <c r="AF30" t="str">
        <f t="shared" si="0"/>
        <v>Residential</v>
      </c>
      <c r="AG30" t="str">
        <f>tbl_Data_old[[#This Row],[All_Meas_Name_Append]]</f>
        <v>Ceiling Insulation(R2 to R49) Residential</v>
      </c>
      <c r="AH30">
        <f>AVERAGEIFS('3. Incentive Adjustment'!G:G,'3. Incentive Adjustment'!A:A,tbl_Data_old[[#This Row],[Trimmed Sector]],'3. Incentive Adjustment'!B:B,tbl_Data_old[[#This Row],[Trimmed Measure Name]])</f>
        <v>0.79801279130038982</v>
      </c>
      <c r="AI30">
        <f>$AH30*tbl_Data_old[[#This Row],[2025 ]]</f>
        <v>5.5516351315151899</v>
      </c>
      <c r="AJ30">
        <f>$AH30*tbl_Data_old[[#This Row],[2026 ]]</f>
        <v>5.3730890188385931</v>
      </c>
      <c r="AK30">
        <f>$AH30*tbl_Data_old[[#This Row],[2027 ]]</f>
        <v>5.2044031725584681</v>
      </c>
      <c r="AL30">
        <f>$AH30*tbl_Data_old[[#This Row],[2028 ]]</f>
        <v>5.0509421563745249</v>
      </c>
      <c r="AM30">
        <f>$AH30*tbl_Data_old[[#This Row],[2029 ]]</f>
        <v>4.9087135911236066</v>
      </c>
      <c r="AN30">
        <f>$AH30*tbl_Data_old[[#This Row],[2030 ]]</f>
        <v>4.761779239569865</v>
      </c>
      <c r="AO30">
        <f>$AH30*tbl_Data_old[[#This Row],[2031 ]]</f>
        <v>4.6436777230827015</v>
      </c>
      <c r="AP30">
        <f>$AH30*tbl_Data_old[[#This Row],[2032 ]]</f>
        <v>4.5568262613125645</v>
      </c>
      <c r="AQ30">
        <f>$AH30*tbl_Data_old[[#This Row],[2033 ]]</f>
        <v>4.4962377823228241</v>
      </c>
      <c r="AR30">
        <f>$AH30*tbl_Data_old[[#This Row],[2034 ]]</f>
        <v>4.4567453439848528</v>
      </c>
      <c r="AS30">
        <f>SUM(tbl_Data_old[[#This Row],[Adjusted 2025]:[Adjusted 2034]])</f>
        <v>49.004049420683188</v>
      </c>
      <c r="AT30" s="3">
        <f>AVERAGEIFS('3. Incentive Adjustment'!F:F,'3. Incentive Adjustment'!A:A,tbl_Data_old[[#This Row],[Trimmed Sector]],'3. Incentive Adjustment'!B:B,tbl_Data_old[[#This Row],[Trimmed Measure Name]])</f>
        <v>164</v>
      </c>
      <c r="AU30" s="3">
        <f>IFERROR(VLOOKUP(tbl_Data_old[[#This Row],[All_Meas_Name_Append]],'IRA Tax Credits'!$A$3:$D$46,4,0),0)</f>
        <v>0</v>
      </c>
      <c r="AV30" s="4">
        <f>tbl_Data_old[[#This Row],[Adj. per unit Incentive ($)]]/tbl_Data_old[[#This Row],[kWh Savings]]*tbl_Data_old[[#This Row],[Sum of Annuals]]</f>
        <v>2.2808256681398706</v>
      </c>
      <c r="AW30" s="4">
        <f>IFERROR(VLOOKUP(tbl_Data_old[[#This Row],[All_Programs]],'1. Set Program Names'!$B$2:$D$15,3,0)*tbl_Data_old[[#This Row],[Sum of Annuals]],"")</f>
        <v>21.848143980470457</v>
      </c>
      <c r="AX30" s="4">
        <f>tbl_Data_old[[#This Row],[per unit IRA tax ($)]]/tbl_Data_old[[#This Row],[kWh Savings]]*tbl_Data_old[[#This Row],[Sum of Annuals]]</f>
        <v>0</v>
      </c>
      <c r="AY30" s="4">
        <f>tbl_Data_old[[#This Row],[Avoided Costs ($/unit)]]/tbl_Data_old[[#This Row],[kWh Savings]]*tbl_Data_old[[#This Row],[Sum of Annuals]]</f>
        <v>47.850234875390996</v>
      </c>
      <c r="AZ30" s="4">
        <f>tbl_Data_old[[#This Row],[Lost Revenue ($/unit)]]/tbl_Data_old[[#This Row],[kWh Savings]]*tbl_Data_old[[#This Row],[Sum of Annuals]]</f>
        <v>88.975176250642804</v>
      </c>
      <c r="BA30" s="4">
        <f>tbl_Data_old[[#This Row],[Incremental Cost ($/unit)]]/tbl_Data_old[[#This Row],[kWh Savings]]*tbl_Data_old[[#This Row],[Sum of Annuals]]</f>
        <v>18.171504987753242</v>
      </c>
      <c r="BB30">
        <f>ROUNDUP(tbl_Data_old[[#This Row],[Adjusted 2025]]/$L30,0)</f>
        <v>1</v>
      </c>
      <c r="BC30">
        <f>ROUNDUP(tbl_Data_old[[#This Row],[Adjusted 2026]]/$L30,0)</f>
        <v>1</v>
      </c>
      <c r="BD30">
        <f>ROUNDUP(tbl_Data_old[[#This Row],[Adjusted 2027]]/$L30,0)</f>
        <v>1</v>
      </c>
      <c r="BE30">
        <f>ROUNDUP(tbl_Data_old[[#This Row],[Adjusted 2028]]/$L30,0)</f>
        <v>1</v>
      </c>
      <c r="BF30">
        <f>ROUNDUP(tbl_Data_old[[#This Row],[Adjusted 2029]]/$L30,0)</f>
        <v>1</v>
      </c>
      <c r="BG30">
        <f>ROUNDUP(tbl_Data_old[[#This Row],[Adjusted 2030]]/$L30,0)</f>
        <v>1</v>
      </c>
      <c r="BH30">
        <f>ROUNDUP(tbl_Data_old[[#This Row],[Adjusted 2031]]/$L30,0)</f>
        <v>1</v>
      </c>
      <c r="BI30">
        <f>ROUNDUP(tbl_Data_old[[#This Row],[Adjusted 2032]]/$L30,0)</f>
        <v>1</v>
      </c>
      <c r="BJ30">
        <f>ROUNDUP(tbl_Data_old[[#This Row],[Adjusted 2033]]/$L30,0)</f>
        <v>1</v>
      </c>
      <c r="BK30">
        <f>ROUNDUP(tbl_Data_old[[#This Row],[Adjusted 2034]]/$L30,0)</f>
        <v>1</v>
      </c>
      <c r="BL30" s="3">
        <f t="shared" si="2"/>
        <v>0.32379578074663018</v>
      </c>
      <c r="BM30">
        <f t="shared" si="2"/>
        <v>0.31338218608778667</v>
      </c>
      <c r="BN30">
        <f t="shared" si="2"/>
        <v>0.30354368553736022</v>
      </c>
      <c r="BO30">
        <f t="shared" si="2"/>
        <v>0.29459316404732683</v>
      </c>
      <c r="BP30">
        <f t="shared" si="2"/>
        <v>0.28629776850368543</v>
      </c>
      <c r="BQ30">
        <f t="shared" si="2"/>
        <v>0.27772791080360659</v>
      </c>
      <c r="BR30">
        <f t="shared" si="2"/>
        <v>0.27083971087107872</v>
      </c>
      <c r="BS30">
        <f t="shared" si="2"/>
        <v>0.26577415158869627</v>
      </c>
      <c r="BT30">
        <f t="shared" si="2"/>
        <v>0.26224036498457204</v>
      </c>
      <c r="BU30">
        <f t="shared" si="2"/>
        <v>0.25993699226603001</v>
      </c>
      <c r="BV30">
        <f>VLOOKUP($H30,'1. Set Program Names'!$B$2:$D$15,3,0)*V30</f>
        <v>3.1016560962288282</v>
      </c>
      <c r="BW30">
        <f>VLOOKUP($H30,'1. Set Program Names'!$B$2:$D$15,3,0)*W30</f>
        <v>3.0019037483669146</v>
      </c>
      <c r="BX30">
        <f>VLOOKUP($H30,'1. Set Program Names'!$B$2:$D$15,3,0)*X30</f>
        <v>2.907660255942103</v>
      </c>
      <c r="BY30">
        <f>VLOOKUP($H30,'1. Set Program Names'!$B$2:$D$15,3,0)*Y30</f>
        <v>2.8219227596721543</v>
      </c>
      <c r="BZ30">
        <f>VLOOKUP($H30,'1. Set Program Names'!$B$2:$D$15,3,0)*Z30</f>
        <v>2.7424607478471827</v>
      </c>
      <c r="CA30">
        <f>VLOOKUP($H30,'1. Set Program Names'!$B$2:$D$15,3,0)*AA30</f>
        <v>2.6603696491986102</v>
      </c>
      <c r="CB30">
        <f>VLOOKUP($H30,'1. Set Program Names'!$B$2:$D$15,3,0)*AB30</f>
        <v>2.594387235025382</v>
      </c>
      <c r="CC30">
        <f>VLOOKUP($H30,'1. Set Program Names'!$B$2:$D$15,3,0)*AC30</f>
        <v>2.5458639874624236</v>
      </c>
      <c r="CD30">
        <f>VLOOKUP($H30,'1. Set Program Names'!$B$2:$D$15,3,0)*AD30</f>
        <v>2.5120136675534361</v>
      </c>
      <c r="CE30">
        <f>VLOOKUP($H30,'1. Set Program Names'!$B$2:$D$15,3,0)*AE30</f>
        <v>2.4899495442412691</v>
      </c>
    </row>
    <row r="31" spans="1:83" x14ac:dyDescent="0.25">
      <c r="A31" s="20" t="s">
        <v>114</v>
      </c>
      <c r="B31" s="20" t="s">
        <v>88</v>
      </c>
      <c r="C31" s="20" t="s">
        <v>89</v>
      </c>
      <c r="D31" s="20" t="s">
        <v>90</v>
      </c>
      <c r="E31" s="20" t="s">
        <v>91</v>
      </c>
      <c r="F31" s="20" t="s">
        <v>90</v>
      </c>
      <c r="G31" s="20" t="s">
        <v>92</v>
      </c>
      <c r="H31" s="20" t="s">
        <v>5</v>
      </c>
      <c r="I31" s="20" t="s">
        <v>296</v>
      </c>
      <c r="J31" s="20" t="s">
        <v>97</v>
      </c>
      <c r="K31" s="20" t="s">
        <v>102</v>
      </c>
      <c r="L31" s="20">
        <v>936.45</v>
      </c>
      <c r="M31" s="20">
        <v>0.42562333070119601</v>
      </c>
      <c r="N31" s="20">
        <v>3.9115067461125599E-2</v>
      </c>
      <c r="O31" s="53">
        <v>685.00999995999996</v>
      </c>
      <c r="P31" s="20">
        <v>458.12689399999903</v>
      </c>
      <c r="Q31" s="20">
        <v>278.34018715299698</v>
      </c>
      <c r="R31" s="20">
        <v>763.90764278946904</v>
      </c>
      <c r="S31" s="20">
        <v>1415.5155729468199</v>
      </c>
      <c r="T31" s="20">
        <v>20</v>
      </c>
      <c r="U31" s="20">
        <v>0.9</v>
      </c>
      <c r="V31" s="20">
        <v>37.155939820388198</v>
      </c>
      <c r="W31" s="20">
        <v>35.960898016472797</v>
      </c>
      <c r="X31" s="20">
        <v>34.831855824063702</v>
      </c>
      <c r="Y31" s="20">
        <v>33.804716335617698</v>
      </c>
      <c r="Z31" s="20">
        <v>32.852758800566598</v>
      </c>
      <c r="AA31" s="20">
        <v>31.869312254950799</v>
      </c>
      <c r="AB31" s="20">
        <v>31.078841267021801</v>
      </c>
      <c r="AC31" s="20">
        <v>30.497522473604601</v>
      </c>
      <c r="AD31" s="20">
        <v>30.091977781118199</v>
      </c>
      <c r="AE31" s="20">
        <v>29.827625546803201</v>
      </c>
      <c r="AF31" t="str">
        <f t="shared" si="0"/>
        <v>Residential</v>
      </c>
      <c r="AG31" t="str">
        <f>tbl_Data_old[[#This Row],[All_Meas_Name_Append]]</f>
        <v>Duct Repair</v>
      </c>
      <c r="AH31">
        <f>AVERAGEIFS('3. Incentive Adjustment'!G:G,'3. Incentive Adjustment'!A:A,tbl_Data_old[[#This Row],[Trimmed Sector]],'3. Incentive Adjustment'!B:B,tbl_Data_old[[#This Row],[Trimmed Measure Name]])</f>
        <v>0.36456477469769399</v>
      </c>
      <c r="AI31">
        <f>$AH31*tbl_Data_old[[#This Row],[2025 ]]</f>
        <v>13.545746829300899</v>
      </c>
      <c r="AJ31">
        <f>$AH31*tbl_Data_old[[#This Row],[2026 ]]</f>
        <v>13.110076683302156</v>
      </c>
      <c r="AK31">
        <f>$AH31*tbl_Data_old[[#This Row],[2027 ]]</f>
        <v>12.698467670802344</v>
      </c>
      <c r="AL31">
        <f>$AH31*tbl_Data_old[[#This Row],[2028 ]]</f>
        <v>12.324008794613922</v>
      </c>
      <c r="AM31">
        <f>$AH31*tbl_Data_old[[#This Row],[2029 ]]</f>
        <v>11.976958610326244</v>
      </c>
      <c r="AN31">
        <f>$AH31*tbl_Data_old[[#This Row],[2030 ]]</f>
        <v>11.618428641996596</v>
      </c>
      <c r="AO31">
        <f>$AH31*tbl_Data_old[[#This Row],[2031 ]]</f>
        <v>11.330250764377197</v>
      </c>
      <c r="AP31">
        <f>$AH31*tbl_Data_old[[#This Row],[2032 ]]</f>
        <v>11.11832240942752</v>
      </c>
      <c r="AQ31">
        <f>$AH31*tbl_Data_old[[#This Row],[2033 ]]</f>
        <v>10.970475099981369</v>
      </c>
      <c r="AR31">
        <f>$AH31*tbl_Data_old[[#This Row],[2034 ]]</f>
        <v>10.87410158723749</v>
      </c>
      <c r="AS31">
        <f>SUM(tbl_Data_old[[#This Row],[Adjusted 2025]:[Adjusted 2034]])</f>
        <v>119.56683709136574</v>
      </c>
      <c r="AT31" s="3">
        <f>AVERAGEIFS('3. Incentive Adjustment'!F:F,'3. Incentive Adjustment'!A:A,tbl_Data_old[[#This Row],[Trimmed Sector]],'3. Incentive Adjustment'!B:B,tbl_Data_old[[#This Row],[Trimmed Measure Name]])</f>
        <v>100</v>
      </c>
      <c r="AU31" s="3">
        <f>IFERROR(VLOOKUP(tbl_Data_old[[#This Row],[All_Meas_Name_Append]],'IRA Tax Credits'!$A$3:$D$46,4,0),0)</f>
        <v>0</v>
      </c>
      <c r="AV31" s="4">
        <f>tbl_Data_old[[#This Row],[Adj. per unit Incentive ($)]]/tbl_Data_old[[#This Row],[kWh Savings]]*tbl_Data_old[[#This Row],[Sum of Annuals]]</f>
        <v>12.768096224183431</v>
      </c>
      <c r="AW31" s="4">
        <f>IFERROR(VLOOKUP(tbl_Data_old[[#This Row],[All_Programs]],'1. Set Program Names'!$B$2:$D$15,3,0)*tbl_Data_old[[#This Row],[Sum of Annuals]],"")</f>
        <v>53.308114389400487</v>
      </c>
      <c r="AX31" s="4">
        <f>tbl_Data_old[[#This Row],[per unit IRA tax ($)]]/tbl_Data_old[[#This Row],[kWh Savings]]*tbl_Data_old[[#This Row],[Sum of Annuals]]</f>
        <v>0</v>
      </c>
      <c r="AY31" s="4">
        <f>tbl_Data_old[[#This Row],[Avoided Costs ($/unit)]]/tbl_Data_old[[#This Row],[kWh Savings]]*tbl_Data_old[[#This Row],[Sum of Annuals]]</f>
        <v>97.53646289525085</v>
      </c>
      <c r="AZ31" s="4">
        <f>tbl_Data_old[[#This Row],[Lost Revenue ($/unit)]]/tbl_Data_old[[#This Row],[kWh Savings]]*tbl_Data_old[[#This Row],[Sum of Annuals]]</f>
        <v>180.73439042215136</v>
      </c>
      <c r="BA31" s="4">
        <f>tbl_Data_old[[#This Row],[Incremental Cost ($/unit)]]/tbl_Data_old[[#This Row],[kWh Savings]]*tbl_Data_old[[#This Row],[Sum of Annuals]]</f>
        <v>87.462735940171669</v>
      </c>
      <c r="BB31">
        <f>ROUNDUP(tbl_Data_old[[#This Row],[Adjusted 2025]]/$L31,0)</f>
        <v>1</v>
      </c>
      <c r="BC31">
        <f>ROUNDUP(tbl_Data_old[[#This Row],[Adjusted 2026]]/$L31,0)</f>
        <v>1</v>
      </c>
      <c r="BD31">
        <f>ROUNDUP(tbl_Data_old[[#This Row],[Adjusted 2027]]/$L31,0)</f>
        <v>1</v>
      </c>
      <c r="BE31">
        <f>ROUNDUP(tbl_Data_old[[#This Row],[Adjusted 2028]]/$L31,0)</f>
        <v>1</v>
      </c>
      <c r="BF31">
        <f>ROUNDUP(tbl_Data_old[[#This Row],[Adjusted 2029]]/$L31,0)</f>
        <v>1</v>
      </c>
      <c r="BG31">
        <f>ROUNDUP(tbl_Data_old[[#This Row],[Adjusted 2030]]/$L31,0)</f>
        <v>1</v>
      </c>
      <c r="BH31">
        <f>ROUNDUP(tbl_Data_old[[#This Row],[Adjusted 2031]]/$L31,0)</f>
        <v>1</v>
      </c>
      <c r="BI31">
        <f>ROUNDUP(tbl_Data_old[[#This Row],[Adjusted 2032]]/$L31,0)</f>
        <v>1</v>
      </c>
      <c r="BJ31">
        <f>ROUNDUP(tbl_Data_old[[#This Row],[Adjusted 2033]]/$L31,0)</f>
        <v>1</v>
      </c>
      <c r="BK31">
        <f>ROUNDUP(tbl_Data_old[[#This Row],[Adjusted 2034]]/$L31,0)</f>
        <v>1</v>
      </c>
      <c r="BL31" s="3">
        <f t="shared" si="2"/>
        <v>3.9677441209235087</v>
      </c>
      <c r="BM31">
        <f t="shared" si="2"/>
        <v>3.8401300674326229</v>
      </c>
      <c r="BN31">
        <f t="shared" si="2"/>
        <v>3.7195638660968231</v>
      </c>
      <c r="BO31">
        <f t="shared" si="2"/>
        <v>3.6098794741435953</v>
      </c>
      <c r="BP31">
        <f t="shared" si="2"/>
        <v>3.5082234823606808</v>
      </c>
      <c r="BQ31">
        <f t="shared" si="2"/>
        <v>3.403204896679032</v>
      </c>
      <c r="BR31">
        <f t="shared" si="2"/>
        <v>3.3187934504801966</v>
      </c>
      <c r="BS31">
        <f t="shared" si="2"/>
        <v>3.2567165864279564</v>
      </c>
      <c r="BT31">
        <f t="shared" si="2"/>
        <v>3.213409982499674</v>
      </c>
      <c r="BU31">
        <f t="shared" si="2"/>
        <v>3.1851807941484545</v>
      </c>
      <c r="BV31">
        <f>VLOOKUP($H31,'1. Set Program Names'!$B$2:$D$15,3,0)*V31</f>
        <v>16.565739617895836</v>
      </c>
      <c r="BW31">
        <f>VLOOKUP($H31,'1. Set Program Names'!$B$2:$D$15,3,0)*W31</f>
        <v>16.032937824915749</v>
      </c>
      <c r="BX31">
        <f>VLOOKUP($H31,'1. Set Program Names'!$B$2:$D$15,3,0)*X31</f>
        <v>15.529561539253761</v>
      </c>
      <c r="BY31">
        <f>VLOOKUP($H31,'1. Set Program Names'!$B$2:$D$15,3,0)*Y31</f>
        <v>15.071617926493397</v>
      </c>
      <c r="BZ31">
        <f>VLOOKUP($H31,'1. Set Program Names'!$B$2:$D$15,3,0)*Z31</f>
        <v>14.647193709822199</v>
      </c>
      <c r="CA31">
        <f>VLOOKUP($H31,'1. Set Program Names'!$B$2:$D$15,3,0)*AA31</f>
        <v>14.208730317924601</v>
      </c>
      <c r="CB31">
        <f>VLOOKUP($H31,'1. Set Program Names'!$B$2:$D$15,3,0)*AB31</f>
        <v>13.856303851932013</v>
      </c>
      <c r="CC31">
        <f>VLOOKUP($H31,'1. Set Program Names'!$B$2:$D$15,3,0)*AC31</f>
        <v>13.597126562559438</v>
      </c>
      <c r="CD31">
        <f>VLOOKUP($H31,'1. Set Program Names'!$B$2:$D$15,3,0)*AD31</f>
        <v>13.416317038924054</v>
      </c>
      <c r="CE31">
        <f>VLOOKUP($H31,'1. Set Program Names'!$B$2:$D$15,3,0)*AE31</f>
        <v>13.298457275391218</v>
      </c>
    </row>
    <row r="32" spans="1:83" x14ac:dyDescent="0.25">
      <c r="A32" s="20" t="s">
        <v>114</v>
      </c>
      <c r="B32" s="20" t="s">
        <v>88</v>
      </c>
      <c r="C32" s="20" t="s">
        <v>89</v>
      </c>
      <c r="D32" s="20" t="s">
        <v>90</v>
      </c>
      <c r="E32" s="20" t="s">
        <v>91</v>
      </c>
      <c r="F32" s="20" t="s">
        <v>90</v>
      </c>
      <c r="G32" s="20" t="s">
        <v>92</v>
      </c>
      <c r="H32" s="20" t="s">
        <v>5</v>
      </c>
      <c r="I32" s="20" t="s">
        <v>297</v>
      </c>
      <c r="J32" s="20" t="s">
        <v>97</v>
      </c>
      <c r="K32" s="20" t="s">
        <v>298</v>
      </c>
      <c r="L32" s="20">
        <v>57.93</v>
      </c>
      <c r="M32" s="20">
        <v>0</v>
      </c>
      <c r="N32" s="20">
        <v>1.1014721785810099E-2</v>
      </c>
      <c r="O32" s="53">
        <v>154.1011072</v>
      </c>
      <c r="P32" s="20">
        <v>140.06582681793901</v>
      </c>
      <c r="Q32" s="20">
        <v>17.218481543887101</v>
      </c>
      <c r="R32" s="20">
        <v>46.999759951794701</v>
      </c>
      <c r="S32" s="20">
        <v>87.565611768711094</v>
      </c>
      <c r="T32" s="20">
        <v>20</v>
      </c>
      <c r="U32" s="20">
        <v>0.8</v>
      </c>
      <c r="V32" s="20">
        <v>0</v>
      </c>
      <c r="W32" s="20">
        <v>0</v>
      </c>
      <c r="X32" s="20">
        <v>0</v>
      </c>
      <c r="Y32" s="20">
        <v>0</v>
      </c>
      <c r="Z32" s="20">
        <v>0</v>
      </c>
      <c r="AA32" s="20">
        <v>0</v>
      </c>
      <c r="AB32" s="20">
        <v>0</v>
      </c>
      <c r="AC32" s="20">
        <v>0</v>
      </c>
      <c r="AD32" s="20">
        <v>0</v>
      </c>
      <c r="AE32" s="20">
        <v>0</v>
      </c>
      <c r="AF32" t="str">
        <f t="shared" si="0"/>
        <v>Residential</v>
      </c>
      <c r="AG32" t="str">
        <f>tbl_Data_old[[#This Row],[All_Meas_Name_Append]]</f>
        <v>Energy Star Windows Residential</v>
      </c>
      <c r="AH32">
        <f>AVERAGEIFS('3. Incentive Adjustment'!G:G,'3. Incentive Adjustment'!A:A,tbl_Data_old[[#This Row],[Trimmed Sector]],'3. Incentive Adjustment'!B:B,tbl_Data_old[[#This Row],[Trimmed Measure Name]])</f>
        <v>1.5721893920937398</v>
      </c>
      <c r="AI32">
        <f>$AH32*tbl_Data_old[[#This Row],[2025 ]]</f>
        <v>0</v>
      </c>
      <c r="AJ32">
        <f>$AH32*tbl_Data_old[[#This Row],[2026 ]]</f>
        <v>0</v>
      </c>
      <c r="AK32">
        <f>$AH32*tbl_Data_old[[#This Row],[2027 ]]</f>
        <v>0</v>
      </c>
      <c r="AL32">
        <f>$AH32*tbl_Data_old[[#This Row],[2028 ]]</f>
        <v>0</v>
      </c>
      <c r="AM32">
        <f>$AH32*tbl_Data_old[[#This Row],[2029 ]]</f>
        <v>0</v>
      </c>
      <c r="AN32">
        <f>$AH32*tbl_Data_old[[#This Row],[2030 ]]</f>
        <v>0</v>
      </c>
      <c r="AO32">
        <f>$AH32*tbl_Data_old[[#This Row],[2031 ]]</f>
        <v>0</v>
      </c>
      <c r="AP32">
        <f>$AH32*tbl_Data_old[[#This Row],[2032 ]]</f>
        <v>0</v>
      </c>
      <c r="AQ32">
        <f>$AH32*tbl_Data_old[[#This Row],[2033 ]]</f>
        <v>0</v>
      </c>
      <c r="AR32">
        <f>$AH32*tbl_Data_old[[#This Row],[2034 ]]</f>
        <v>0</v>
      </c>
      <c r="AS32">
        <f>SUM(tbl_Data_old[[#This Row],[Adjusted 2025]:[Adjusted 2034]])</f>
        <v>0</v>
      </c>
      <c r="AT32" s="3">
        <f>AVERAGEIFS('3. Incentive Adjustment'!F:F,'3. Incentive Adjustment'!A:A,tbl_Data_old[[#This Row],[Trimmed Sector]],'3. Incentive Adjustment'!B:B,tbl_Data_old[[#This Row],[Trimmed Measure Name]])</f>
        <v>150</v>
      </c>
      <c r="AU32" s="3">
        <f>IFERROR(VLOOKUP(tbl_Data_old[[#This Row],[All_Meas_Name_Append]],'IRA Tax Credits'!$A$3:$D$46,4,0),0)</f>
        <v>0</v>
      </c>
      <c r="AV32" s="4">
        <f>tbl_Data_old[[#This Row],[Adj. per unit Incentive ($)]]/tbl_Data_old[[#This Row],[kWh Savings]]*tbl_Data_old[[#This Row],[Sum of Annuals]]</f>
        <v>0</v>
      </c>
      <c r="AW32" s="4">
        <f>IFERROR(VLOOKUP(tbl_Data_old[[#This Row],[All_Programs]],'1. Set Program Names'!$B$2:$D$15,3,0)*tbl_Data_old[[#This Row],[Sum of Annuals]],"")</f>
        <v>0</v>
      </c>
      <c r="AX32" s="4">
        <f>tbl_Data_old[[#This Row],[per unit IRA tax ($)]]/tbl_Data_old[[#This Row],[kWh Savings]]*tbl_Data_old[[#This Row],[Sum of Annuals]]</f>
        <v>0</v>
      </c>
      <c r="AY32" s="4">
        <f>tbl_Data_old[[#This Row],[Avoided Costs ($/unit)]]/tbl_Data_old[[#This Row],[kWh Savings]]*tbl_Data_old[[#This Row],[Sum of Annuals]]</f>
        <v>0</v>
      </c>
      <c r="AZ32" s="4">
        <f>tbl_Data_old[[#This Row],[Lost Revenue ($/unit)]]/tbl_Data_old[[#This Row],[kWh Savings]]*tbl_Data_old[[#This Row],[Sum of Annuals]]</f>
        <v>0</v>
      </c>
      <c r="BA32" s="4">
        <f>tbl_Data_old[[#This Row],[Incremental Cost ($/unit)]]/tbl_Data_old[[#This Row],[kWh Savings]]*tbl_Data_old[[#This Row],[Sum of Annuals]]</f>
        <v>0</v>
      </c>
      <c r="BB32">
        <f>ROUNDUP(tbl_Data_old[[#This Row],[Adjusted 2025]]/$L32,0)</f>
        <v>0</v>
      </c>
      <c r="BC32">
        <f>ROUNDUP(tbl_Data_old[[#This Row],[Adjusted 2026]]/$L32,0)</f>
        <v>0</v>
      </c>
      <c r="BD32">
        <f>ROUNDUP(tbl_Data_old[[#This Row],[Adjusted 2027]]/$L32,0)</f>
        <v>0</v>
      </c>
      <c r="BE32">
        <f>ROUNDUP(tbl_Data_old[[#This Row],[Adjusted 2028]]/$L32,0)</f>
        <v>0</v>
      </c>
      <c r="BF32">
        <f>ROUNDUP(tbl_Data_old[[#This Row],[Adjusted 2029]]/$L32,0)</f>
        <v>0</v>
      </c>
      <c r="BG32">
        <f>ROUNDUP(tbl_Data_old[[#This Row],[Adjusted 2030]]/$L32,0)</f>
        <v>0</v>
      </c>
      <c r="BH32">
        <f>ROUNDUP(tbl_Data_old[[#This Row],[Adjusted 2031]]/$L32,0)</f>
        <v>0</v>
      </c>
      <c r="BI32">
        <f>ROUNDUP(tbl_Data_old[[#This Row],[Adjusted 2032]]/$L32,0)</f>
        <v>0</v>
      </c>
      <c r="BJ32">
        <f>ROUNDUP(tbl_Data_old[[#This Row],[Adjusted 2033]]/$L32,0)</f>
        <v>0</v>
      </c>
      <c r="BK32">
        <f>ROUNDUP(tbl_Data_old[[#This Row],[Adjusted 2034]]/$L32,0)</f>
        <v>0</v>
      </c>
      <c r="BL32" s="3">
        <f t="shared" si="2"/>
        <v>0</v>
      </c>
      <c r="BM32">
        <f t="shared" si="2"/>
        <v>0</v>
      </c>
      <c r="BN32">
        <f t="shared" si="2"/>
        <v>0</v>
      </c>
      <c r="BO32">
        <f t="shared" si="2"/>
        <v>0</v>
      </c>
      <c r="BP32">
        <f t="shared" si="2"/>
        <v>0</v>
      </c>
      <c r="BQ32">
        <f t="shared" si="2"/>
        <v>0</v>
      </c>
      <c r="BR32">
        <f t="shared" si="2"/>
        <v>0</v>
      </c>
      <c r="BS32">
        <f t="shared" si="2"/>
        <v>0</v>
      </c>
      <c r="BT32">
        <f t="shared" si="2"/>
        <v>0</v>
      </c>
      <c r="BU32">
        <f t="shared" si="2"/>
        <v>0</v>
      </c>
      <c r="BV32">
        <f>VLOOKUP($H32,'1. Set Program Names'!$B$2:$D$15,3,0)*V32</f>
        <v>0</v>
      </c>
      <c r="BW32">
        <f>VLOOKUP($H32,'1. Set Program Names'!$B$2:$D$15,3,0)*W32</f>
        <v>0</v>
      </c>
      <c r="BX32">
        <f>VLOOKUP($H32,'1. Set Program Names'!$B$2:$D$15,3,0)*X32</f>
        <v>0</v>
      </c>
      <c r="BY32">
        <f>VLOOKUP($H32,'1. Set Program Names'!$B$2:$D$15,3,0)*Y32</f>
        <v>0</v>
      </c>
      <c r="BZ32">
        <f>VLOOKUP($H32,'1. Set Program Names'!$B$2:$D$15,3,0)*Z32</f>
        <v>0</v>
      </c>
      <c r="CA32">
        <f>VLOOKUP($H32,'1. Set Program Names'!$B$2:$D$15,3,0)*AA32</f>
        <v>0</v>
      </c>
      <c r="CB32">
        <f>VLOOKUP($H32,'1. Set Program Names'!$B$2:$D$15,3,0)*AB32</f>
        <v>0</v>
      </c>
      <c r="CC32">
        <f>VLOOKUP($H32,'1. Set Program Names'!$B$2:$D$15,3,0)*AC32</f>
        <v>0</v>
      </c>
      <c r="CD32">
        <f>VLOOKUP($H32,'1. Set Program Names'!$B$2:$D$15,3,0)*AD32</f>
        <v>0</v>
      </c>
      <c r="CE32">
        <f>VLOOKUP($H32,'1. Set Program Names'!$B$2:$D$15,3,0)*AE32</f>
        <v>0</v>
      </c>
    </row>
    <row r="33" spans="1:83" x14ac:dyDescent="0.25">
      <c r="A33" s="20" t="s">
        <v>114</v>
      </c>
      <c r="B33" s="20" t="s">
        <v>88</v>
      </c>
      <c r="C33" s="20" t="s">
        <v>89</v>
      </c>
      <c r="D33" s="20" t="s">
        <v>90</v>
      </c>
      <c r="E33" s="20" t="s">
        <v>91</v>
      </c>
      <c r="F33" s="20" t="s">
        <v>90</v>
      </c>
      <c r="G33" s="20" t="s">
        <v>92</v>
      </c>
      <c r="H33" s="20" t="s">
        <v>5</v>
      </c>
      <c r="I33" s="20" t="s">
        <v>107</v>
      </c>
      <c r="J33" s="20" t="s">
        <v>94</v>
      </c>
      <c r="K33" s="20" t="s">
        <v>108</v>
      </c>
      <c r="L33" s="20">
        <v>1663.1099999999899</v>
      </c>
      <c r="M33" s="20">
        <v>6.6647595975018806E-2</v>
      </c>
      <c r="N33" s="20">
        <v>0.309148293753995</v>
      </c>
      <c r="O33" s="20">
        <v>1389.5</v>
      </c>
      <c r="P33" s="20">
        <v>988.78817699699403</v>
      </c>
      <c r="Q33" s="20">
        <v>494.32468221049697</v>
      </c>
      <c r="R33" s="20">
        <v>791.96156853290995</v>
      </c>
      <c r="S33" s="20">
        <v>2127.4894292214699</v>
      </c>
      <c r="T33" s="20">
        <v>15</v>
      </c>
      <c r="U33" s="20">
        <v>0.7</v>
      </c>
      <c r="V33" s="20">
        <v>2.44122159709026</v>
      </c>
      <c r="W33" s="20">
        <v>2.7149257255747399</v>
      </c>
      <c r="X33" s="20">
        <v>2.9671530074427999</v>
      </c>
      <c r="Y33" s="20">
        <v>3.2056359524551801</v>
      </c>
      <c r="Z33" s="20">
        <v>3.4326943178764</v>
      </c>
      <c r="AA33" s="20">
        <v>3.64027901626612</v>
      </c>
      <c r="AB33" s="20">
        <v>3.8570510787578201</v>
      </c>
      <c r="AC33" s="20">
        <v>4.0925250305445804</v>
      </c>
      <c r="AD33" s="20">
        <v>4.3497999367924303</v>
      </c>
      <c r="AE33" s="20">
        <v>4.6306099652109598</v>
      </c>
      <c r="AF33" t="str">
        <f t="shared" si="0"/>
        <v>Residential</v>
      </c>
      <c r="AG33" t="str">
        <f>tbl_Data_old[[#This Row],[All_Meas_Name_Append]]</f>
        <v>Heat Pump Water Heater 50 Gallons- CEE Advanced Tier</v>
      </c>
      <c r="AH33">
        <f>AVERAGEIFS('3. Incentive Adjustment'!G:G,'3. Incentive Adjustment'!A:A,tbl_Data_old[[#This Row],[Trimmed Sector]],'3. Incentive Adjustment'!B:B,tbl_Data_old[[#This Row],[Trimmed Measure Name]])</f>
        <v>0.46049099596140497</v>
      </c>
      <c r="AI33">
        <f>$AH33*tbl_Data_old[[#This Row],[2025 ]]</f>
        <v>1.1241605646065855</v>
      </c>
      <c r="AJ33">
        <f>$AH33*tbl_Data_old[[#This Row],[2026 ]]</f>
        <v>1.2501988513311519</v>
      </c>
      <c r="AK33">
        <f>$AH33*tbl_Data_old[[#This Row],[2027 ]]</f>
        <v>1.366347243567213</v>
      </c>
      <c r="AL33">
        <f>$AH33*tbl_Data_old[[#This Row],[2028 ]]</f>
        <v>1.4761664924357729</v>
      </c>
      <c r="AM33">
        <f>$AH33*tbl_Data_old[[#This Row],[2029 ]]</f>
        <v>1.5807248252699591</v>
      </c>
      <c r="AN33">
        <f>$AH33*tbl_Data_old[[#This Row],[2030 ]]</f>
        <v>1.6763157097777892</v>
      </c>
      <c r="AO33">
        <f>$AH33*tbl_Data_old[[#This Row],[2031 ]]</f>
        <v>1.7761372927312</v>
      </c>
      <c r="AP33">
        <f>$AH33*tbl_Data_old[[#This Row],[2032 ]]</f>
        <v>1.8845709273124531</v>
      </c>
      <c r="AQ33">
        <f>$AH33*tbl_Data_old[[#This Row],[2033 ]]</f>
        <v>2.0030437051264025</v>
      </c>
      <c r="AR33">
        <f>$AH33*tbl_Data_old[[#This Row],[2034 ]]</f>
        <v>2.1323541947888018</v>
      </c>
      <c r="AS33">
        <f>SUM(tbl_Data_old[[#This Row],[Adjusted 2025]:[Adjusted 2034]])</f>
        <v>16.270019806947328</v>
      </c>
      <c r="AT33" s="3">
        <f>AVERAGEIFS('3. Incentive Adjustment'!F:F,'3. Incentive Adjustment'!A:A,tbl_Data_old[[#This Row],[Trimmed Sector]],'3. Incentive Adjustment'!B:B,tbl_Data_old[[#This Row],[Trimmed Measure Name]])</f>
        <v>500</v>
      </c>
      <c r="AU33" s="3">
        <f>IFERROR(VLOOKUP(tbl_Data_old[[#This Row],[All_Meas_Name_Append]],'IRA Tax Credits'!$A$3:$D$46,4,0),0)</f>
        <v>1666.6666666666667</v>
      </c>
      <c r="AV33" s="4">
        <f>tbl_Data_old[[#This Row],[Adj. per unit Incentive ($)]]/tbl_Data_old[[#This Row],[kWh Savings]]*tbl_Data_old[[#This Row],[Sum of Annuals]]</f>
        <v>4.891444284186683</v>
      </c>
      <c r="AW33" s="4">
        <f>IFERROR(VLOOKUP(tbl_Data_old[[#This Row],[All_Programs]],'1. Set Program Names'!$B$2:$D$15,3,0)*tbl_Data_old[[#This Row],[Sum of Annuals]],"")</f>
        <v>7.2538849239927901</v>
      </c>
      <c r="AX33" s="4">
        <f>tbl_Data_old[[#This Row],[per unit IRA tax ($)]]/tbl_Data_old[[#This Row],[kWh Savings]]*tbl_Data_old[[#This Row],[Sum of Annuals]]</f>
        <v>16.304814280622278</v>
      </c>
      <c r="AY33" s="4">
        <f>tbl_Data_old[[#This Row],[Avoided Costs ($/unit)]]/tbl_Data_old[[#This Row],[kWh Savings]]*tbl_Data_old[[#This Row],[Sum of Annuals]]</f>
        <v>7.7476717753916438</v>
      </c>
      <c r="AZ33" s="4">
        <f>tbl_Data_old[[#This Row],[Lost Revenue ($/unit)]]/tbl_Data_old[[#This Row],[kWh Savings]]*tbl_Data_old[[#This Row],[Sum of Annuals]]</f>
        <v>20.812992016465891</v>
      </c>
      <c r="BA33" s="4">
        <f>tbl_Data_old[[#This Row],[Incremental Cost ($/unit)]]/tbl_Data_old[[#This Row],[kWh Savings]]*tbl_Data_old[[#This Row],[Sum of Annuals]]</f>
        <v>13.59332366575479</v>
      </c>
      <c r="BB33">
        <f>ROUNDUP(tbl_Data_old[[#This Row],[Adjusted 2025]]/$L33,0)</f>
        <v>1</v>
      </c>
      <c r="BC33">
        <f>ROUNDUP(tbl_Data_old[[#This Row],[Adjusted 2026]]/$L33,0)</f>
        <v>1</v>
      </c>
      <c r="BD33">
        <f>ROUNDUP(tbl_Data_old[[#This Row],[Adjusted 2027]]/$L33,0)</f>
        <v>1</v>
      </c>
      <c r="BE33">
        <f>ROUNDUP(tbl_Data_old[[#This Row],[Adjusted 2028]]/$L33,0)</f>
        <v>1</v>
      </c>
      <c r="BF33">
        <f>ROUNDUP(tbl_Data_old[[#This Row],[Adjusted 2029]]/$L33,0)</f>
        <v>1</v>
      </c>
      <c r="BG33">
        <f>ROUNDUP(tbl_Data_old[[#This Row],[Adjusted 2030]]/$L33,0)</f>
        <v>1</v>
      </c>
      <c r="BH33">
        <f>ROUNDUP(tbl_Data_old[[#This Row],[Adjusted 2031]]/$L33,0)</f>
        <v>1</v>
      </c>
      <c r="BI33">
        <f>ROUNDUP(tbl_Data_old[[#This Row],[Adjusted 2032]]/$L33,0)</f>
        <v>1</v>
      </c>
      <c r="BJ33">
        <f>ROUNDUP(tbl_Data_old[[#This Row],[Adjusted 2033]]/$L33,0)</f>
        <v>1</v>
      </c>
      <c r="BK33">
        <f>ROUNDUP(tbl_Data_old[[#This Row],[Adjusted 2034]]/$L33,0)</f>
        <v>1</v>
      </c>
      <c r="BL33" s="3">
        <f t="shared" si="2"/>
        <v>0.73393269149072371</v>
      </c>
      <c r="BM33">
        <f t="shared" si="2"/>
        <v>0.81621953014976656</v>
      </c>
      <c r="BN33">
        <f t="shared" si="2"/>
        <v>0.89204953594254677</v>
      </c>
      <c r="BO33">
        <f t="shared" si="2"/>
        <v>0.96374742273668002</v>
      </c>
      <c r="BP33">
        <f t="shared" si="2"/>
        <v>1.032010605996122</v>
      </c>
      <c r="BQ33">
        <f t="shared" si="2"/>
        <v>1.0944191954429179</v>
      </c>
      <c r="BR33">
        <f t="shared" si="2"/>
        <v>1.1595898884493039</v>
      </c>
      <c r="BS33">
        <f t="shared" si="2"/>
        <v>1.2303831467986499</v>
      </c>
      <c r="BT33">
        <f t="shared" si="2"/>
        <v>1.3077306783052405</v>
      </c>
      <c r="BU33">
        <f t="shared" si="2"/>
        <v>1.3921538458703839</v>
      </c>
      <c r="BV33">
        <f>VLOOKUP($H33,'1. Set Program Names'!$B$2:$D$15,3,0)*V33</f>
        <v>1.0884031334551383</v>
      </c>
      <c r="BW33">
        <f>VLOOKUP($H33,'1. Set Program Names'!$B$2:$D$15,3,0)*W33</f>
        <v>1.2104323795658516</v>
      </c>
      <c r="BX33">
        <f>VLOOKUP($H33,'1. Set Program Names'!$B$2:$D$15,3,0)*X33</f>
        <v>1.3228863101124602</v>
      </c>
      <c r="BY33">
        <f>VLOOKUP($H33,'1. Set Program Names'!$B$2:$D$15,3,0)*Y33</f>
        <v>1.4292124154264823</v>
      </c>
      <c r="BZ33">
        <f>VLOOKUP($H33,'1. Set Program Names'!$B$2:$D$15,3,0)*Z33</f>
        <v>1.5304449445406838</v>
      </c>
      <c r="CA33">
        <f>VLOOKUP($H33,'1. Set Program Names'!$B$2:$D$15,3,0)*AA33</f>
        <v>1.6229952629771618</v>
      </c>
      <c r="CB33">
        <f>VLOOKUP($H33,'1. Set Program Names'!$B$2:$D$15,3,0)*AB33</f>
        <v>1.7196417093066205</v>
      </c>
      <c r="CC33">
        <f>VLOOKUP($H33,'1. Set Program Names'!$B$2:$D$15,3,0)*AC33</f>
        <v>1.8246262741151786</v>
      </c>
      <c r="CD33">
        <f>VLOOKUP($H33,'1. Set Program Names'!$B$2:$D$15,3,0)*AD33</f>
        <v>1.9393306559104637</v>
      </c>
      <c r="CE33">
        <f>VLOOKUP($H33,'1. Set Program Names'!$B$2:$D$15,3,0)*AE33</f>
        <v>2.0645280223439926</v>
      </c>
    </row>
    <row r="34" spans="1:83" x14ac:dyDescent="0.25">
      <c r="A34" s="20" t="s">
        <v>114</v>
      </c>
      <c r="B34" s="20" t="s">
        <v>88</v>
      </c>
      <c r="C34" s="20" t="s">
        <v>89</v>
      </c>
      <c r="D34" s="20" t="s">
        <v>90</v>
      </c>
      <c r="E34" s="20" t="s">
        <v>91</v>
      </c>
      <c r="F34" s="20" t="s">
        <v>90</v>
      </c>
      <c r="G34" s="20" t="s">
        <v>92</v>
      </c>
      <c r="H34" s="20" t="s">
        <v>5</v>
      </c>
      <c r="I34" s="20" t="s">
        <v>109</v>
      </c>
      <c r="J34" s="20" t="s">
        <v>94</v>
      </c>
      <c r="K34" s="20" t="s">
        <v>95</v>
      </c>
      <c r="L34" s="20">
        <v>1590.11499999999</v>
      </c>
      <c r="M34" s="20">
        <v>6.3722388822036402E-2</v>
      </c>
      <c r="N34" s="20">
        <v>0.29557957027655002</v>
      </c>
      <c r="O34" s="20">
        <v>1389.5</v>
      </c>
      <c r="P34" s="20">
        <v>1006.47372867305</v>
      </c>
      <c r="Q34" s="20">
        <v>472.62844433209199</v>
      </c>
      <c r="R34" s="20">
        <v>757.20185047754296</v>
      </c>
      <c r="S34" s="20">
        <v>2034.1125083407001</v>
      </c>
      <c r="T34" s="20">
        <v>15</v>
      </c>
      <c r="U34" s="20">
        <v>0.7</v>
      </c>
      <c r="V34" s="20">
        <v>3.4886834679726202</v>
      </c>
      <c r="W34" s="20">
        <v>3.87823583997069</v>
      </c>
      <c r="X34" s="20">
        <v>4.2369775126960203</v>
      </c>
      <c r="Y34" s="20">
        <v>4.5760116974477301</v>
      </c>
      <c r="Z34" s="20">
        <v>4.8986926500188597</v>
      </c>
      <c r="AA34" s="20">
        <v>5.1935698107089801</v>
      </c>
      <c r="AB34" s="20">
        <v>5.5015586897562496</v>
      </c>
      <c r="AC34" s="20">
        <v>5.8362293336992401</v>
      </c>
      <c r="AD34" s="20">
        <v>6.2019941863209</v>
      </c>
      <c r="AE34" s="20">
        <v>6.6013183709582801</v>
      </c>
      <c r="AF34" t="str">
        <f t="shared" si="0"/>
        <v>Residential</v>
      </c>
      <c r="AG34" t="str">
        <f>tbl_Data_old[[#This Row],[All_Meas_Name_Append]]</f>
        <v>Heat Pump Water Heater 50 Gallons-ENERGY STAR</v>
      </c>
      <c r="AH34">
        <f>AVERAGEIFS('3. Incentive Adjustment'!G:G,'3. Incentive Adjustment'!A:A,tbl_Data_old[[#This Row],[Trimmed Sector]],'3. Incentive Adjustment'!B:B,tbl_Data_old[[#This Row],[Trimmed Measure Name]])</f>
        <v>0.43153525594917136</v>
      </c>
      <c r="AI34">
        <f>$AH34*tbl_Data_old[[#This Row],[2025 ]]</f>
        <v>1.5054899132772075</v>
      </c>
      <c r="AJ34">
        <f>$AH34*tbl_Data_old[[#This Row],[2026 ]]</f>
        <v>1.6735954958330013</v>
      </c>
      <c r="AK34">
        <f>$AH34*tbl_Data_old[[#This Row],[2027 ]]</f>
        <v>1.8284051753921606</v>
      </c>
      <c r="AL34">
        <f>$AH34*tbl_Data_old[[#This Row],[2028 ]]</f>
        <v>1.9747103790845082</v>
      </c>
      <c r="AM34">
        <f>$AH34*tbl_Data_old[[#This Row],[2029 ]]</f>
        <v>2.1139585865422132</v>
      </c>
      <c r="AN34">
        <f>$AH34*tbl_Data_old[[#This Row],[2030 ]]</f>
        <v>2.2412084775541889</v>
      </c>
      <c r="AO34">
        <f>$AH34*tbl_Data_old[[#This Row],[2031 ]]</f>
        <v>2.374116537303351</v>
      </c>
      <c r="AP34">
        <f>$AH34*tbl_Data_old[[#This Row],[2032 ]]</f>
        <v>2.5185387192959636</v>
      </c>
      <c r="AQ34">
        <f>$AH34*tbl_Data_old[[#This Row],[2033 ]]</f>
        <v>2.6763791485892625</v>
      </c>
      <c r="AR34">
        <f>$AH34*tbl_Data_old[[#This Row],[2034 ]]</f>
        <v>2.8487016128134481</v>
      </c>
      <c r="AS34">
        <f>SUM(tbl_Data_old[[#This Row],[Adjusted 2025]:[Adjusted 2034]])</f>
        <v>21.755104045685307</v>
      </c>
      <c r="AT34" s="3">
        <f>AVERAGEIFS('3. Incentive Adjustment'!F:F,'3. Incentive Adjustment'!A:A,tbl_Data_old[[#This Row],[Trimmed Sector]],'3. Incentive Adjustment'!B:B,tbl_Data_old[[#This Row],[Trimmed Measure Name]])</f>
        <v>500</v>
      </c>
      <c r="AU34" s="3">
        <f>IFERROR(VLOOKUP(tbl_Data_old[[#This Row],[All_Meas_Name_Append]],'IRA Tax Credits'!$A$3:$D$46,4,0),0)</f>
        <v>1666.6666666666667</v>
      </c>
      <c r="AV34" s="4">
        <f>tbl_Data_old[[#This Row],[Adj. per unit Incentive ($)]]/tbl_Data_old[[#This Row],[kWh Savings]]*tbl_Data_old[[#This Row],[Sum of Annuals]]</f>
        <v>6.8407329173315903</v>
      </c>
      <c r="AW34" s="4">
        <f>IFERROR(VLOOKUP(tbl_Data_old[[#This Row],[All_Programs]],'1. Set Program Names'!$B$2:$D$15,3,0)*tbl_Data_old[[#This Row],[Sum of Annuals]],"")</f>
        <v>9.6993748704292582</v>
      </c>
      <c r="AX34" s="4">
        <f>tbl_Data_old[[#This Row],[per unit IRA tax ($)]]/tbl_Data_old[[#This Row],[kWh Savings]]*tbl_Data_old[[#This Row],[Sum of Annuals]]</f>
        <v>22.802443057771967</v>
      </c>
      <c r="AY34" s="4">
        <f>tbl_Data_old[[#This Row],[Avoided Costs ($/unit)]]/tbl_Data_old[[#This Row],[kWh Savings]]*tbl_Data_old[[#This Row],[Sum of Annuals]]</f>
        <v>10.359631247252242</v>
      </c>
      <c r="AZ34" s="4">
        <f>tbl_Data_old[[#This Row],[Lost Revenue ($/unit)]]/tbl_Data_old[[#This Row],[kWh Savings]]*tbl_Data_old[[#This Row],[Sum of Annuals]]</f>
        <v>27.829640786724315</v>
      </c>
      <c r="BA34" s="4">
        <f>tbl_Data_old[[#This Row],[Incremental Cost ($/unit)]]/tbl_Data_old[[#This Row],[kWh Savings]]*tbl_Data_old[[#This Row],[Sum of Annuals]]</f>
        <v>19.010396777264489</v>
      </c>
      <c r="BB34">
        <f>ROUNDUP(tbl_Data_old[[#This Row],[Adjusted 2025]]/$L34,0)</f>
        <v>1</v>
      </c>
      <c r="BC34">
        <f>ROUNDUP(tbl_Data_old[[#This Row],[Adjusted 2026]]/$L34,0)</f>
        <v>1</v>
      </c>
      <c r="BD34">
        <f>ROUNDUP(tbl_Data_old[[#This Row],[Adjusted 2027]]/$L34,0)</f>
        <v>1</v>
      </c>
      <c r="BE34">
        <f>ROUNDUP(tbl_Data_old[[#This Row],[Adjusted 2028]]/$L34,0)</f>
        <v>1</v>
      </c>
      <c r="BF34">
        <f>ROUNDUP(tbl_Data_old[[#This Row],[Adjusted 2029]]/$L34,0)</f>
        <v>1</v>
      </c>
      <c r="BG34">
        <f>ROUNDUP(tbl_Data_old[[#This Row],[Adjusted 2030]]/$L34,0)</f>
        <v>1</v>
      </c>
      <c r="BH34">
        <f>ROUNDUP(tbl_Data_old[[#This Row],[Adjusted 2031]]/$L34,0)</f>
        <v>1</v>
      </c>
      <c r="BI34">
        <f>ROUNDUP(tbl_Data_old[[#This Row],[Adjusted 2032]]/$L34,0)</f>
        <v>1</v>
      </c>
      <c r="BJ34">
        <f>ROUNDUP(tbl_Data_old[[#This Row],[Adjusted 2033]]/$L34,0)</f>
        <v>1</v>
      </c>
      <c r="BK34">
        <f>ROUNDUP(tbl_Data_old[[#This Row],[Adjusted 2034]]/$L34,0)</f>
        <v>1</v>
      </c>
      <c r="BL34" s="3">
        <f t="shared" si="2"/>
        <v>1.0969909308360219</v>
      </c>
      <c r="BM34">
        <f t="shared" si="2"/>
        <v>1.2194828172713024</v>
      </c>
      <c r="BN34">
        <f t="shared" si="2"/>
        <v>1.332286505282966</v>
      </c>
      <c r="BO34">
        <f t="shared" si="2"/>
        <v>1.4388933182341399</v>
      </c>
      <c r="BP34">
        <f t="shared" si="2"/>
        <v>1.5403579772591574</v>
      </c>
      <c r="BQ34">
        <f t="shared" si="2"/>
        <v>1.6330799378375187</v>
      </c>
      <c r="BR34">
        <f t="shared" si="2"/>
        <v>1.7299247820932082</v>
      </c>
      <c r="BS34">
        <f t="shared" si="2"/>
        <v>1.8351595116388677</v>
      </c>
      <c r="BT34">
        <f t="shared" si="2"/>
        <v>1.9501715870616083</v>
      </c>
      <c r="BU34">
        <f t="shared" si="2"/>
        <v>2.075736148315789</v>
      </c>
      <c r="BV34">
        <f>VLOOKUP($H34,'1. Set Program Names'!$B$2:$D$15,3,0)*V34</f>
        <v>1.5554073512623228</v>
      </c>
      <c r="BW34">
        <f>VLOOKUP($H34,'1. Set Program Names'!$B$2:$D$15,3,0)*W34</f>
        <v>1.729086800449952</v>
      </c>
      <c r="BX34">
        <f>VLOOKUP($H34,'1. Set Program Names'!$B$2:$D$15,3,0)*X34</f>
        <v>1.889029495189577</v>
      </c>
      <c r="BY34">
        <f>VLOOKUP($H34,'1. Set Program Names'!$B$2:$D$15,3,0)*Y34</f>
        <v>2.0401857316705234</v>
      </c>
      <c r="BZ34">
        <f>VLOOKUP($H34,'1. Set Program Names'!$B$2:$D$15,3,0)*Z34</f>
        <v>2.1840509835195636</v>
      </c>
      <c r="CA34">
        <f>VLOOKUP($H34,'1. Set Program Names'!$B$2:$D$15,3,0)*AA34</f>
        <v>2.3155200914702809</v>
      </c>
      <c r="CB34">
        <f>VLOOKUP($H34,'1. Set Program Names'!$B$2:$D$15,3,0)*AB34</f>
        <v>2.4528349757167311</v>
      </c>
      <c r="CC34">
        <f>VLOOKUP($H34,'1. Set Program Names'!$B$2:$D$15,3,0)*AC34</f>
        <v>2.6020457552613512</v>
      </c>
      <c r="CD34">
        <f>VLOOKUP($H34,'1. Set Program Names'!$B$2:$D$15,3,0)*AD34</f>
        <v>2.765119690120716</v>
      </c>
      <c r="CE34">
        <f>VLOOKUP($H34,'1. Set Program Names'!$B$2:$D$15,3,0)*AE34</f>
        <v>2.9431558398671305</v>
      </c>
    </row>
    <row r="35" spans="1:83" x14ac:dyDescent="0.25">
      <c r="A35" s="20" t="s">
        <v>114</v>
      </c>
      <c r="B35" s="20" t="s">
        <v>88</v>
      </c>
      <c r="C35" s="20" t="s">
        <v>89</v>
      </c>
      <c r="D35" s="20" t="s">
        <v>90</v>
      </c>
      <c r="E35" s="20" t="s">
        <v>91</v>
      </c>
      <c r="F35" s="20" t="s">
        <v>90</v>
      </c>
      <c r="G35" s="20" t="s">
        <v>92</v>
      </c>
      <c r="H35" s="20" t="s">
        <v>5</v>
      </c>
      <c r="I35" s="20" t="s">
        <v>110</v>
      </c>
      <c r="J35" s="20" t="s">
        <v>94</v>
      </c>
      <c r="K35" s="20" t="s">
        <v>108</v>
      </c>
      <c r="L35" s="20">
        <v>461.909999999999</v>
      </c>
      <c r="M35" s="20">
        <v>1.8510616289253799E-2</v>
      </c>
      <c r="N35" s="20">
        <v>8.5862443475120898E-2</v>
      </c>
      <c r="O35" s="20">
        <v>1729.5</v>
      </c>
      <c r="P35" s="20">
        <v>1631.9996867488601</v>
      </c>
      <c r="Q35" s="20">
        <v>137.29309183388401</v>
      </c>
      <c r="R35" s="20">
        <v>219.958372038552</v>
      </c>
      <c r="S35" s="20">
        <v>590.88613636602201</v>
      </c>
      <c r="T35" s="20">
        <v>15</v>
      </c>
      <c r="U35" s="20">
        <v>0.7</v>
      </c>
      <c r="V35" s="20">
        <v>1.87664517279001</v>
      </c>
      <c r="W35" s="20">
        <v>2.08741960048014</v>
      </c>
      <c r="X35" s="20">
        <v>2.2817087154779201</v>
      </c>
      <c r="Y35" s="20">
        <v>2.4654440755980902</v>
      </c>
      <c r="Z35" s="20">
        <v>2.6403996580304399</v>
      </c>
      <c r="AA35" s="20">
        <v>2.80037579145784</v>
      </c>
      <c r="AB35" s="20">
        <v>2.9674149841105599</v>
      </c>
      <c r="AC35" s="20">
        <v>3.14883739569059</v>
      </c>
      <c r="AD35" s="20">
        <v>3.3470289669314202</v>
      </c>
      <c r="AE35" s="20">
        <v>3.5633256463295999</v>
      </c>
      <c r="AF35" t="str">
        <f t="shared" si="0"/>
        <v>Residential</v>
      </c>
      <c r="AG35" t="str">
        <f>tbl_Data_old[[#This Row],[All_Meas_Name_Append]]</f>
        <v>Heat Pump Water Heater 80 Gallons-ENERGY STAR</v>
      </c>
      <c r="AH35">
        <f>AVERAGEIFS('3. Incentive Adjustment'!G:G,'3. Incentive Adjustment'!A:A,tbl_Data_old[[#This Row],[Trimmed Sector]],'3. Incentive Adjustment'!B:B,tbl_Data_old[[#This Row],[Trimmed Measure Name]])</f>
        <v>1.5551101216712928E-3</v>
      </c>
      <c r="AI35">
        <f>$AH35*tbl_Data_old[[#This Row],[2025 ]]</f>
        <v>2.9183899029913167E-3</v>
      </c>
      <c r="AJ35">
        <f>$AH35*tbl_Data_old[[#This Row],[2026 ]]</f>
        <v>3.246167348881712E-3</v>
      </c>
      <c r="AK35">
        <f>$AH35*tbl_Data_old[[#This Row],[2027 ]]</f>
        <v>3.5483083181453174E-3</v>
      </c>
      <c r="AL35">
        <f>$AH35*tbl_Data_old[[#This Row],[2028 ]]</f>
        <v>3.8340370363771142E-3</v>
      </c>
      <c r="AM35">
        <f>$AH35*tbl_Data_old[[#This Row],[2029 ]]</f>
        <v>4.1061122334605576E-3</v>
      </c>
      <c r="AN35">
        <f>$AH35*tbl_Data_old[[#This Row],[2030 ]]</f>
        <v>4.3548927377793445E-3</v>
      </c>
      <c r="AO35">
        <f>$AH35*tbl_Data_old[[#This Row],[2031 ]]</f>
        <v>4.61465707698939E-3</v>
      </c>
      <c r="AP35">
        <f>$AH35*tbl_Data_old[[#This Row],[2032 ]]</f>
        <v>4.8967889055355103E-3</v>
      </c>
      <c r="AQ35">
        <f>$AH35*tbl_Data_old[[#This Row],[2033 ]]</f>
        <v>5.2049986240020624E-3</v>
      </c>
      <c r="AR35">
        <f>$AH35*tbl_Data_old[[#This Row],[2034 ]]</f>
        <v>5.5413637794180619E-3</v>
      </c>
      <c r="AS35">
        <f>SUM(tbl_Data_old[[#This Row],[Adjusted 2025]:[Adjusted 2034]])</f>
        <v>4.2265715963580391E-2</v>
      </c>
      <c r="AT35" s="3">
        <f>AVERAGEIFS('3. Incentive Adjustment'!F:F,'3. Incentive Adjustment'!A:A,tbl_Data_old[[#This Row],[Trimmed Sector]],'3. Incentive Adjustment'!B:B,tbl_Data_old[[#This Row],[Trimmed Measure Name]])</f>
        <v>500</v>
      </c>
      <c r="AU35" s="3">
        <f>IFERROR(VLOOKUP(tbl_Data_old[[#This Row],[All_Meas_Name_Append]],'IRA Tax Credits'!$A$3:$D$46,4,0),0)</f>
        <v>1666.6666666666667</v>
      </c>
      <c r="AV35" s="4">
        <f>tbl_Data_old[[#This Row],[Adj. per unit Incentive ($)]]/tbl_Data_old[[#This Row],[kWh Savings]]*tbl_Data_old[[#This Row],[Sum of Annuals]]</f>
        <v>4.5751029381893106E-2</v>
      </c>
      <c r="AW35" s="4">
        <f>IFERROR(VLOOKUP(tbl_Data_old[[#This Row],[All_Programs]],'1. Set Program Names'!$B$2:$D$15,3,0)*tbl_Data_old[[#This Row],[Sum of Annuals]],"")</f>
        <v>1.8843900835268955E-2</v>
      </c>
      <c r="AX35" s="4">
        <f>tbl_Data_old[[#This Row],[per unit IRA tax ($)]]/tbl_Data_old[[#This Row],[kWh Savings]]*tbl_Data_old[[#This Row],[Sum of Annuals]]</f>
        <v>0.152503431272977</v>
      </c>
      <c r="AY35" s="4">
        <f>tbl_Data_old[[#This Row],[Avoided Costs ($/unit)]]/tbl_Data_old[[#This Row],[kWh Savings]]*tbl_Data_old[[#This Row],[Sum of Annuals]]</f>
        <v>2.0126643883858333E-2</v>
      </c>
      <c r="AZ35" s="4">
        <f>tbl_Data_old[[#This Row],[Lost Revenue ($/unit)]]/tbl_Data_old[[#This Row],[kWh Savings]]*tbl_Data_old[[#This Row],[Sum of Annuals]]</f>
        <v>5.4067297972470327E-2</v>
      </c>
      <c r="BA35" s="4">
        <f>tbl_Data_old[[#This Row],[Incremental Cost ($/unit)]]/tbl_Data_old[[#This Row],[kWh Savings]]*tbl_Data_old[[#This Row],[Sum of Annuals]]</f>
        <v>0.15825281063196822</v>
      </c>
      <c r="BB35">
        <f>ROUNDUP(tbl_Data_old[[#This Row],[Adjusted 2025]]/$L35,0)</f>
        <v>1</v>
      </c>
      <c r="BC35">
        <f>ROUNDUP(tbl_Data_old[[#This Row],[Adjusted 2026]]/$L35,0)</f>
        <v>1</v>
      </c>
      <c r="BD35">
        <f>ROUNDUP(tbl_Data_old[[#This Row],[Adjusted 2027]]/$L35,0)</f>
        <v>1</v>
      </c>
      <c r="BE35">
        <f>ROUNDUP(tbl_Data_old[[#This Row],[Adjusted 2028]]/$L35,0)</f>
        <v>1</v>
      </c>
      <c r="BF35">
        <f>ROUNDUP(tbl_Data_old[[#This Row],[Adjusted 2029]]/$L35,0)</f>
        <v>1</v>
      </c>
      <c r="BG35">
        <f>ROUNDUP(tbl_Data_old[[#This Row],[Adjusted 2030]]/$L35,0)</f>
        <v>1</v>
      </c>
      <c r="BH35">
        <f>ROUNDUP(tbl_Data_old[[#This Row],[Adjusted 2031]]/$L35,0)</f>
        <v>1</v>
      </c>
      <c r="BI35">
        <f>ROUNDUP(tbl_Data_old[[#This Row],[Adjusted 2032]]/$L35,0)</f>
        <v>1</v>
      </c>
      <c r="BJ35">
        <f>ROUNDUP(tbl_Data_old[[#This Row],[Adjusted 2033]]/$L35,0)</f>
        <v>1</v>
      </c>
      <c r="BK35">
        <f>ROUNDUP(tbl_Data_old[[#This Row],[Adjusted 2034]]/$L35,0)</f>
        <v>1</v>
      </c>
      <c r="BL35" s="3">
        <f t="shared" si="2"/>
        <v>2.0313969959407832</v>
      </c>
      <c r="BM35">
        <f t="shared" si="2"/>
        <v>2.2595522942566135</v>
      </c>
      <c r="BN35">
        <f t="shared" si="2"/>
        <v>2.469862868825015</v>
      </c>
      <c r="BO35">
        <f t="shared" si="2"/>
        <v>2.6687494052933425</v>
      </c>
      <c r="BP35">
        <f t="shared" si="2"/>
        <v>2.8581321664723061</v>
      </c>
      <c r="BQ35">
        <f t="shared" si="2"/>
        <v>3.0313002440495405</v>
      </c>
      <c r="BR35">
        <f t="shared" si="2"/>
        <v>3.2121138144991086</v>
      </c>
      <c r="BS35">
        <f t="shared" si="2"/>
        <v>3.4084966721770442</v>
      </c>
      <c r="BT35">
        <f t="shared" si="2"/>
        <v>3.6230315071457944</v>
      </c>
      <c r="BU35">
        <f t="shared" si="2"/>
        <v>3.8571644328219867</v>
      </c>
      <c r="BV35">
        <f>VLOOKUP($H35,'1. Set Program Names'!$B$2:$D$15,3,0)*V35</f>
        <v>0.83669032294432333</v>
      </c>
      <c r="BW35">
        <f>VLOOKUP($H35,'1. Set Program Names'!$B$2:$D$15,3,0)*W35</f>
        <v>0.93066276191651098</v>
      </c>
      <c r="BX35">
        <f>VLOOKUP($H35,'1. Set Program Names'!$B$2:$D$15,3,0)*X35</f>
        <v>1.0172853290000805</v>
      </c>
      <c r="BY35">
        <f>VLOOKUP($H35,'1. Set Program Names'!$B$2:$D$15,3,0)*Y35</f>
        <v>1.0992025715476883</v>
      </c>
      <c r="BZ35">
        <f>VLOOKUP($H35,'1. Set Program Names'!$B$2:$D$15,3,0)*Z35</f>
        <v>1.1772054060145822</v>
      </c>
      <c r="CA35">
        <f>VLOOKUP($H35,'1. Set Program Names'!$B$2:$D$15,3,0)*AA35</f>
        <v>1.2485297483471074</v>
      </c>
      <c r="CB35">
        <f>VLOOKUP($H35,'1. Set Program Names'!$B$2:$D$15,3,0)*AB35</f>
        <v>1.3230031107447429</v>
      </c>
      <c r="CC35">
        <f>VLOOKUP($H35,'1. Set Program Names'!$B$2:$D$15,3,0)*AC35</f>
        <v>1.4038891398860751</v>
      </c>
      <c r="CD35">
        <f>VLOOKUP($H35,'1. Set Program Names'!$B$2:$D$15,3,0)*AD35</f>
        <v>1.4922515922828703</v>
      </c>
      <c r="CE35">
        <f>VLOOKUP($H35,'1. Set Program Names'!$B$2:$D$15,3,0)*AE35</f>
        <v>1.5886860920814629</v>
      </c>
    </row>
    <row r="36" spans="1:83" x14ac:dyDescent="0.25">
      <c r="A36" s="20" t="s">
        <v>114</v>
      </c>
      <c r="B36" s="20" t="s">
        <v>88</v>
      </c>
      <c r="C36" s="20" t="s">
        <v>89</v>
      </c>
      <c r="D36" s="20" t="s">
        <v>90</v>
      </c>
      <c r="E36" s="20" t="s">
        <v>91</v>
      </c>
      <c r="F36" s="20" t="s">
        <v>90</v>
      </c>
      <c r="G36" s="20" t="s">
        <v>92</v>
      </c>
      <c r="H36" s="20" t="s">
        <v>5</v>
      </c>
      <c r="I36" s="20" t="s">
        <v>299</v>
      </c>
      <c r="J36" s="20" t="s">
        <v>97</v>
      </c>
      <c r="K36" s="20" t="s">
        <v>102</v>
      </c>
      <c r="L36" s="20">
        <v>408.28</v>
      </c>
      <c r="M36" s="20">
        <v>0.16567198429270899</v>
      </c>
      <c r="N36" s="20">
        <v>2.3547919008134799E-2</v>
      </c>
      <c r="O36" s="53">
        <v>128.60999999999999</v>
      </c>
      <c r="P36" s="20">
        <v>29.691921599999901</v>
      </c>
      <c r="Q36" s="20">
        <v>121.35269540373299</v>
      </c>
      <c r="R36" s="20">
        <v>238.630335182902</v>
      </c>
      <c r="S36" s="20">
        <v>423.90838942107399</v>
      </c>
      <c r="T36" s="20">
        <v>11</v>
      </c>
      <c r="U36" s="20">
        <v>0.7</v>
      </c>
      <c r="V36" s="20">
        <v>5.0922156539619801</v>
      </c>
      <c r="W36" s="20">
        <v>4.2247194803618697</v>
      </c>
      <c r="X36" s="20">
        <v>3.5050531621324499</v>
      </c>
      <c r="Y36" s="20">
        <v>2.9203955073896801</v>
      </c>
      <c r="Z36" s="20">
        <v>2.4500522585178799</v>
      </c>
      <c r="AA36" s="20">
        <v>2.0660468302453499</v>
      </c>
      <c r="AB36" s="20">
        <v>1.7677891143622699</v>
      </c>
      <c r="AC36" s="20">
        <v>1.53656544282802</v>
      </c>
      <c r="AD36" s="20">
        <v>1.35806065965332</v>
      </c>
      <c r="AE36" s="20">
        <v>1.2202305641501401</v>
      </c>
      <c r="AF36" t="str">
        <f t="shared" si="0"/>
        <v>Residential</v>
      </c>
      <c r="AG36" t="str">
        <f>tbl_Data_old[[#This Row],[All_Meas_Name_Append]]</f>
        <v>Smart Thermostat Residential</v>
      </c>
      <c r="AH36">
        <f>AVERAGEIFS('3. Incentive Adjustment'!G:G,'3. Incentive Adjustment'!A:A,tbl_Data_old[[#This Row],[Trimmed Sector]],'3. Incentive Adjustment'!B:B,tbl_Data_old[[#This Row],[Trimmed Measure Name]])</f>
        <v>1.1402432304340044</v>
      </c>
      <c r="AI36">
        <f>$AH36*tbl_Data_old[[#This Row],[2025 ]]</f>
        <v>5.8063644273402151</v>
      </c>
      <c r="AJ36">
        <f>$AH36*tbl_Data_old[[#This Row],[2026 ]]</f>
        <v>4.8172077879652866</v>
      </c>
      <c r="AK36">
        <f>$AH36*tbl_Data_old[[#This Row],[2027 ]]</f>
        <v>3.9966131404328271</v>
      </c>
      <c r="AL36">
        <f>$AH36*tbl_Data_old[[#This Row],[2028 ]]</f>
        <v>3.3299612074909621</v>
      </c>
      <c r="AM36">
        <f>$AH36*tbl_Data_old[[#This Row],[2029 ]]</f>
        <v>2.7936555019845559</v>
      </c>
      <c r="AN36">
        <f>$AH36*tbl_Data_old[[#This Row],[2030 ]]</f>
        <v>2.3557959119468928</v>
      </c>
      <c r="AO36">
        <f>$AH36*tbl_Data_old[[#This Row],[2031 ]]</f>
        <v>2.0157095704865022</v>
      </c>
      <c r="AP36">
        <f>$AH36*tbl_Data_old[[#This Row],[2032 ]]</f>
        <v>1.7520583443034781</v>
      </c>
      <c r="AQ36">
        <f>$AH36*tbl_Data_old[[#This Row],[2033 ]]</f>
        <v>1.5485194736884367</v>
      </c>
      <c r="AR36">
        <f>$AH36*tbl_Data_old[[#This Row],[2034 ]]</f>
        <v>1.3913596403408635</v>
      </c>
      <c r="AS36">
        <f>SUM(tbl_Data_old[[#This Row],[Adjusted 2025]:[Adjusted 2034]])</f>
        <v>29.807245005980018</v>
      </c>
      <c r="AT36" s="3">
        <f>AVERAGEIFS('3. Incentive Adjustment'!F:F,'3. Incentive Adjustment'!A:A,tbl_Data_old[[#This Row],[Trimmed Sector]],'3. Incentive Adjustment'!B:B,tbl_Data_old[[#This Row],[Trimmed Measure Name]])</f>
        <v>50</v>
      </c>
      <c r="AU36" s="3">
        <f>IFERROR(VLOOKUP(tbl_Data_old[[#This Row],[All_Meas_Name_Append]],'IRA Tax Credits'!$A$3:$D$46,4,0),0)</f>
        <v>0</v>
      </c>
      <c r="AV36" s="4">
        <f>tbl_Data_old[[#This Row],[Adj. per unit Incentive ($)]]/tbl_Data_old[[#This Row],[kWh Savings]]*tbl_Data_old[[#This Row],[Sum of Annuals]]</f>
        <v>3.6503435149872661</v>
      </c>
      <c r="AW36" s="4">
        <f>IFERROR(VLOOKUP(tbl_Data_old[[#This Row],[All_Programs]],'1. Set Program Names'!$B$2:$D$15,3,0)*tbl_Data_old[[#This Row],[Sum of Annuals]],"")</f>
        <v>13.289370740797267</v>
      </c>
      <c r="AX36" s="4">
        <f>tbl_Data_old[[#This Row],[per unit IRA tax ($)]]/tbl_Data_old[[#This Row],[kWh Savings]]*tbl_Data_old[[#This Row],[Sum of Annuals]]</f>
        <v>0</v>
      </c>
      <c r="AY36" s="4">
        <f>tbl_Data_old[[#This Row],[Avoided Costs ($/unit)]]/tbl_Data_old[[#This Row],[kWh Savings]]*tbl_Data_old[[#This Row],[Sum of Annuals]]</f>
        <v>17.421653930282879</v>
      </c>
      <c r="AZ36" s="4">
        <f>tbl_Data_old[[#This Row],[Lost Revenue ($/unit)]]/tbl_Data_old[[#This Row],[kWh Savings]]*tbl_Data_old[[#This Row],[Sum of Annuals]]</f>
        <v>30.948224805438283</v>
      </c>
      <c r="BA36" s="4">
        <f>tbl_Data_old[[#This Row],[Incremental Cost ($/unit)]]/tbl_Data_old[[#This Row],[kWh Savings]]*tbl_Data_old[[#This Row],[Sum of Annuals]]</f>
        <v>9.3894135892502462</v>
      </c>
      <c r="BB36">
        <f>ROUNDUP(tbl_Data_old[[#This Row],[Adjusted 2025]]/$L36,0)</f>
        <v>1</v>
      </c>
      <c r="BC36">
        <f>ROUNDUP(tbl_Data_old[[#This Row],[Adjusted 2026]]/$L36,0)</f>
        <v>1</v>
      </c>
      <c r="BD36">
        <f>ROUNDUP(tbl_Data_old[[#This Row],[Adjusted 2027]]/$L36,0)</f>
        <v>1</v>
      </c>
      <c r="BE36">
        <f>ROUNDUP(tbl_Data_old[[#This Row],[Adjusted 2028]]/$L36,0)</f>
        <v>1</v>
      </c>
      <c r="BF36">
        <f>ROUNDUP(tbl_Data_old[[#This Row],[Adjusted 2029]]/$L36,0)</f>
        <v>1</v>
      </c>
      <c r="BG36">
        <f>ROUNDUP(tbl_Data_old[[#This Row],[Adjusted 2030]]/$L36,0)</f>
        <v>1</v>
      </c>
      <c r="BH36">
        <f>ROUNDUP(tbl_Data_old[[#This Row],[Adjusted 2031]]/$L36,0)</f>
        <v>1</v>
      </c>
      <c r="BI36">
        <f>ROUNDUP(tbl_Data_old[[#This Row],[Adjusted 2032]]/$L36,0)</f>
        <v>1</v>
      </c>
      <c r="BJ36">
        <f>ROUNDUP(tbl_Data_old[[#This Row],[Adjusted 2033]]/$L36,0)</f>
        <v>1</v>
      </c>
      <c r="BK36">
        <f>ROUNDUP(tbl_Data_old[[#This Row],[Adjusted 2034]]/$L36,0)</f>
        <v>1</v>
      </c>
      <c r="BL36" s="3">
        <f t="shared" si="2"/>
        <v>0.62361806284436916</v>
      </c>
      <c r="BM36">
        <f t="shared" si="2"/>
        <v>0.51738016561696265</v>
      </c>
      <c r="BN36">
        <f t="shared" si="2"/>
        <v>0.42924624793431593</v>
      </c>
      <c r="BO36">
        <f t="shared" si="2"/>
        <v>0.35764616285265999</v>
      </c>
      <c r="BP36">
        <f t="shared" si="2"/>
        <v>0.30004558863009212</v>
      </c>
      <c r="BQ36">
        <f t="shared" si="2"/>
        <v>0.25301837345024863</v>
      </c>
      <c r="BR36">
        <f t="shared" si="2"/>
        <v>0.21649224972595646</v>
      </c>
      <c r="BS36">
        <f t="shared" si="2"/>
        <v>0.18817544856814197</v>
      </c>
      <c r="BT36">
        <f t="shared" si="2"/>
        <v>0.16631486475621143</v>
      </c>
      <c r="BU36">
        <f t="shared" si="2"/>
        <v>0.14943550555380378</v>
      </c>
      <c r="BV36">
        <f>VLOOKUP($H36,'1. Set Program Names'!$B$2:$D$15,3,0)*V36</f>
        <v>2.270331984858565</v>
      </c>
      <c r="BW36">
        <f>VLOOKUP($H36,'1. Set Program Names'!$B$2:$D$15,3,0)*W36</f>
        <v>1.8835643293814479</v>
      </c>
      <c r="BX36">
        <f>VLOOKUP($H36,'1. Set Program Names'!$B$2:$D$15,3,0)*X36</f>
        <v>1.5627056753630506</v>
      </c>
      <c r="BY36">
        <f>VLOOKUP($H36,'1. Set Program Names'!$B$2:$D$15,3,0)*Y36</f>
        <v>1.3020397758891835</v>
      </c>
      <c r="BZ36">
        <f>VLOOKUP($H36,'1. Set Program Names'!$B$2:$D$15,3,0)*Z36</f>
        <v>1.0923402277278413</v>
      </c>
      <c r="CA36">
        <f>VLOOKUP($H36,'1. Set Program Names'!$B$2:$D$15,3,0)*AA36</f>
        <v>0.92113384814568045</v>
      </c>
      <c r="CB36">
        <f>VLOOKUP($H36,'1. Set Program Names'!$B$2:$D$15,3,0)*AB36</f>
        <v>0.78815754114788761</v>
      </c>
      <c r="CC36">
        <f>VLOOKUP($H36,'1. Set Program Names'!$B$2:$D$15,3,0)*AC36</f>
        <v>0.68506793677651745</v>
      </c>
      <c r="CD36">
        <f>VLOOKUP($H36,'1. Set Program Names'!$B$2:$D$15,3,0)*AD36</f>
        <v>0.60548271371620788</v>
      </c>
      <c r="CE36">
        <f>VLOOKUP($H36,'1. Set Program Names'!$B$2:$D$15,3,0)*AE36</f>
        <v>0.5440320416392086</v>
      </c>
    </row>
    <row r="37" spans="1:83" x14ac:dyDescent="0.25">
      <c r="A37" s="20" t="s">
        <v>114</v>
      </c>
      <c r="B37" s="20" t="s">
        <v>88</v>
      </c>
      <c r="C37" s="20" t="s">
        <v>89</v>
      </c>
      <c r="D37" s="20" t="s">
        <v>90</v>
      </c>
      <c r="E37" s="20" t="s">
        <v>91</v>
      </c>
      <c r="F37" s="20" t="s">
        <v>90</v>
      </c>
      <c r="G37" s="20" t="s">
        <v>92</v>
      </c>
      <c r="H37" s="20" t="s">
        <v>5</v>
      </c>
      <c r="I37" s="20" t="s">
        <v>112</v>
      </c>
      <c r="J37" s="20" t="s">
        <v>94</v>
      </c>
      <c r="K37" s="20" t="s">
        <v>108</v>
      </c>
      <c r="L37" s="20">
        <v>1330.8133333333301</v>
      </c>
      <c r="M37" s="20">
        <v>5.33311142126306E-2</v>
      </c>
      <c r="N37" s="20">
        <v>0.24737910980336</v>
      </c>
      <c r="O37" s="20">
        <v>8990.02</v>
      </c>
      <c r="P37" s="20">
        <v>8776.4394094329891</v>
      </c>
      <c r="Q37" s="20">
        <v>395.55644430103399</v>
      </c>
      <c r="R37" s="20">
        <v>713.19672296706005</v>
      </c>
      <c r="S37" s="20">
        <v>2011.6258188035599</v>
      </c>
      <c r="T37" s="20">
        <v>20</v>
      </c>
      <c r="U37" s="20">
        <v>0.7</v>
      </c>
      <c r="V37" s="20">
        <v>6.0539088745818601</v>
      </c>
      <c r="W37" s="20">
        <v>6.7375993330812296</v>
      </c>
      <c r="X37" s="20">
        <v>7.3684382011953398</v>
      </c>
      <c r="Y37" s="20">
        <v>7.9654397482839103</v>
      </c>
      <c r="Z37" s="20">
        <v>8.5342356839879603</v>
      </c>
      <c r="AA37" s="20">
        <v>9.0547011572241498</v>
      </c>
      <c r="AB37" s="20">
        <v>9.5980466897388101</v>
      </c>
      <c r="AC37" s="20">
        <v>10.1879520267524</v>
      </c>
      <c r="AD37" s="20">
        <v>10.8321547504429</v>
      </c>
      <c r="AE37" s="20">
        <v>11.534997861112901</v>
      </c>
      <c r="AF37" t="str">
        <f t="shared" si="0"/>
        <v>Residential</v>
      </c>
      <c r="AG37" t="str">
        <f>tbl_Data_old[[#This Row],[All_Meas_Name_Append]]</f>
        <v>Solar Thermal Water Heating System</v>
      </c>
      <c r="AH37">
        <f>AVERAGEIFS('3. Incentive Adjustment'!G:G,'3. Incentive Adjustment'!A:A,tbl_Data_old[[#This Row],[Trimmed Sector]],'3. Incentive Adjustment'!B:B,tbl_Data_old[[#This Row],[Trimmed Measure Name]])</f>
        <v>2.7736651842107431E-8</v>
      </c>
      <c r="AI37">
        <f>$AH37*tbl_Data_old[[#This Row],[2025 ]]</f>
        <v>1.6791516273812146E-7</v>
      </c>
      <c r="AJ37">
        <f>$AH37*tbl_Data_old[[#This Row],[2026 ]]</f>
        <v>1.8687844695328928E-7</v>
      </c>
      <c r="AK37">
        <f>$AH37*tbl_Data_old[[#This Row],[2027 ]]</f>
        <v>2.0437580500663948E-7</v>
      </c>
      <c r="AL37">
        <f>$AH37*tbl_Data_old[[#This Row],[2028 ]]</f>
        <v>2.2093462906743467E-7</v>
      </c>
      <c r="AM37">
        <f>$AH37*tbl_Data_old[[#This Row],[2029 ]]</f>
        <v>2.3671112390526363E-7</v>
      </c>
      <c r="AN37">
        <f>$AH37*tbl_Data_old[[#This Row],[2030 ]]</f>
        <v>2.5114709353225349E-7</v>
      </c>
      <c r="AO37">
        <f>$AH37*tbl_Data_old[[#This Row],[2031 ]]</f>
        <v>2.662176793975771E-7</v>
      </c>
      <c r="AP37">
        <f>$AH37*tbl_Data_old[[#This Row],[2032 ]]</f>
        <v>2.8257967835012412E-7</v>
      </c>
      <c r="AQ37">
        <f>$AH37*tbl_Data_old[[#This Row],[2033 ]]</f>
        <v>3.004477050128648E-7</v>
      </c>
      <c r="AR37">
        <f>$AH37*tbl_Data_old[[#This Row],[2034 ]]</f>
        <v>3.1994221967314242E-7</v>
      </c>
      <c r="AS37">
        <f>SUM(tbl_Data_old[[#This Row],[Adjusted 2025]:[Adjusted 2034]])</f>
        <v>2.4371495436367102E-6</v>
      </c>
      <c r="AT37" s="3">
        <f>AVERAGEIFS('3. Incentive Adjustment'!F:F,'3. Incentive Adjustment'!A:A,tbl_Data_old[[#This Row],[Trimmed Sector]],'3. Incentive Adjustment'!B:B,tbl_Data_old[[#This Row],[Trimmed Measure Name]])</f>
        <v>0</v>
      </c>
      <c r="AU37" s="3">
        <f>IFERROR(VLOOKUP(tbl_Data_old[[#This Row],[All_Meas_Name_Append]],'IRA Tax Credits'!$A$3:$D$46,4,0),0)</f>
        <v>41666.666666666672</v>
      </c>
      <c r="AV37" s="4">
        <f>tbl_Data_old[[#This Row],[Adj. per unit Incentive ($)]]/tbl_Data_old[[#This Row],[kWh Savings]]*tbl_Data_old[[#This Row],[Sum of Annuals]]</f>
        <v>0</v>
      </c>
      <c r="AW37" s="4">
        <f>IFERROR(VLOOKUP(tbl_Data_old[[#This Row],[All_Programs]],'1. Set Program Names'!$B$2:$D$15,3,0)*tbl_Data_old[[#This Row],[Sum of Annuals]],"")</f>
        <v>1.0865876343035156E-6</v>
      </c>
      <c r="AX37" s="4">
        <f>tbl_Data_old[[#This Row],[per unit IRA tax ($)]]/tbl_Data_old[[#This Row],[kWh Savings]]*tbl_Data_old[[#This Row],[Sum of Annuals]]</f>
        <v>7.6305139953158853E-5</v>
      </c>
      <c r="AY37" s="4">
        <f>tbl_Data_old[[#This Row],[Avoided Costs ($/unit)]]/tbl_Data_old[[#This Row],[kWh Savings]]*tbl_Data_old[[#This Row],[Sum of Annuals]]</f>
        <v>1.3060938182432586E-6</v>
      </c>
      <c r="AZ37" s="4">
        <f>tbl_Data_old[[#This Row],[Lost Revenue ($/unit)]]/tbl_Data_old[[#This Row],[kWh Savings]]*tbl_Data_old[[#This Row],[Sum of Annuals]]</f>
        <v>3.6839373512926419E-6</v>
      </c>
      <c r="BA37" s="4">
        <f>tbl_Data_old[[#This Row],[Incremental Cost ($/unit)]]/tbl_Data_old[[#This Row],[kWh Savings]]*tbl_Data_old[[#This Row],[Sum of Annuals]]</f>
        <v>1.646363362276073E-5</v>
      </c>
      <c r="BB37">
        <f>ROUNDUP(tbl_Data_old[[#This Row],[Adjusted 2025]]/$L37,0)</f>
        <v>1</v>
      </c>
      <c r="BC37">
        <f>ROUNDUP(tbl_Data_old[[#This Row],[Adjusted 2026]]/$L37,0)</f>
        <v>1</v>
      </c>
      <c r="BD37">
        <f>ROUNDUP(tbl_Data_old[[#This Row],[Adjusted 2027]]/$L37,0)</f>
        <v>1</v>
      </c>
      <c r="BE37">
        <f>ROUNDUP(tbl_Data_old[[#This Row],[Adjusted 2028]]/$L37,0)</f>
        <v>1</v>
      </c>
      <c r="BF37">
        <f>ROUNDUP(tbl_Data_old[[#This Row],[Adjusted 2029]]/$L37,0)</f>
        <v>1</v>
      </c>
      <c r="BG37">
        <f>ROUNDUP(tbl_Data_old[[#This Row],[Adjusted 2030]]/$L37,0)</f>
        <v>1</v>
      </c>
      <c r="BH37">
        <f>ROUNDUP(tbl_Data_old[[#This Row],[Adjusted 2031]]/$L37,0)</f>
        <v>1</v>
      </c>
      <c r="BI37">
        <f>ROUNDUP(tbl_Data_old[[#This Row],[Adjusted 2032]]/$L37,0)</f>
        <v>1</v>
      </c>
      <c r="BJ37">
        <f>ROUNDUP(tbl_Data_old[[#This Row],[Adjusted 2033]]/$L37,0)</f>
        <v>1</v>
      </c>
      <c r="BK37">
        <f>ROUNDUP(tbl_Data_old[[#This Row],[Adjusted 2034]]/$L37,0)</f>
        <v>1</v>
      </c>
      <c r="BL37" s="3">
        <f t="shared" si="2"/>
        <v>0</v>
      </c>
      <c r="BM37">
        <f t="shared" si="2"/>
        <v>0</v>
      </c>
      <c r="BN37">
        <f t="shared" si="2"/>
        <v>0</v>
      </c>
      <c r="BO37">
        <f t="shared" si="2"/>
        <v>0</v>
      </c>
      <c r="BP37">
        <f t="shared" si="2"/>
        <v>0</v>
      </c>
      <c r="BQ37">
        <f t="shared" si="2"/>
        <v>0</v>
      </c>
      <c r="BR37">
        <f t="shared" si="2"/>
        <v>0</v>
      </c>
      <c r="BS37">
        <f t="shared" si="2"/>
        <v>0</v>
      </c>
      <c r="BT37">
        <f t="shared" si="2"/>
        <v>0</v>
      </c>
      <c r="BU37">
        <f t="shared" si="2"/>
        <v>0</v>
      </c>
      <c r="BV37">
        <f>VLOOKUP($H37,'1. Set Program Names'!$B$2:$D$15,3,0)*V37</f>
        <v>2.699096795063765</v>
      </c>
      <c r="BW37">
        <f>VLOOKUP($H37,'1. Set Program Names'!$B$2:$D$15,3,0)*W37</f>
        <v>3.0039158406723399</v>
      </c>
      <c r="BX37">
        <f>VLOOKUP($H37,'1. Set Program Names'!$B$2:$D$15,3,0)*X37</f>
        <v>3.2851713406151024</v>
      </c>
      <c r="BY37">
        <f>VLOOKUP($H37,'1. Set Program Names'!$B$2:$D$15,3,0)*Y37</f>
        <v>3.5513406860375949</v>
      </c>
      <c r="BZ37">
        <f>VLOOKUP($H37,'1. Set Program Names'!$B$2:$D$15,3,0)*Z37</f>
        <v>3.804934738889957</v>
      </c>
      <c r="CA37">
        <f>VLOOKUP($H37,'1. Set Program Names'!$B$2:$D$15,3,0)*AA37</f>
        <v>4.0369809622236659</v>
      </c>
      <c r="CB37">
        <f>VLOOKUP($H37,'1. Set Program Names'!$B$2:$D$15,3,0)*AB37</f>
        <v>4.2792281145684932</v>
      </c>
      <c r="CC37">
        <f>VLOOKUP($H37,'1. Set Program Names'!$B$2:$D$15,3,0)*AC37</f>
        <v>4.5422336598302504</v>
      </c>
      <c r="CD37">
        <f>VLOOKUP($H37,'1. Set Program Names'!$B$2:$D$15,3,0)*AD37</f>
        <v>4.8294473498454424</v>
      </c>
      <c r="CE37">
        <f>VLOOKUP($H37,'1. Set Program Names'!$B$2:$D$15,3,0)*AE37</f>
        <v>5.1428054836962884</v>
      </c>
    </row>
    <row r="38" spans="1:83" x14ac:dyDescent="0.25">
      <c r="A38" s="20" t="s">
        <v>115</v>
      </c>
      <c r="B38" s="20" t="s">
        <v>88</v>
      </c>
      <c r="C38" s="20" t="s">
        <v>89</v>
      </c>
      <c r="D38" s="20" t="s">
        <v>90</v>
      </c>
      <c r="E38" s="20" t="s">
        <v>91</v>
      </c>
      <c r="F38" s="20" t="s">
        <v>90</v>
      </c>
      <c r="G38" s="20" t="s">
        <v>92</v>
      </c>
      <c r="H38" s="20" t="s">
        <v>5</v>
      </c>
      <c r="I38" s="20" t="s">
        <v>93</v>
      </c>
      <c r="J38" s="20" t="s">
        <v>94</v>
      </c>
      <c r="K38" s="20" t="s">
        <v>95</v>
      </c>
      <c r="L38" s="20">
        <v>1200.2266666666601</v>
      </c>
      <c r="M38" s="20">
        <v>4.8097974252120097E-2</v>
      </c>
      <c r="N38" s="20">
        <v>0.22310492157346501</v>
      </c>
      <c r="O38" s="20">
        <v>1210</v>
      </c>
      <c r="P38" s="20">
        <v>933.85922631496703</v>
      </c>
      <c r="Q38" s="20">
        <v>356.74228738962802</v>
      </c>
      <c r="R38" s="20">
        <v>571.53970184074296</v>
      </c>
      <c r="S38" s="20">
        <v>1535.35818196214</v>
      </c>
      <c r="T38" s="20">
        <v>15</v>
      </c>
      <c r="U38" s="20">
        <v>0.7</v>
      </c>
      <c r="V38" s="20">
        <v>2.0270933304135101</v>
      </c>
      <c r="W38" s="20">
        <v>4.1808062774843302</v>
      </c>
      <c r="X38" s="20">
        <v>6.4602295597213502</v>
      </c>
      <c r="Y38" s="20">
        <v>8.8682661624852805</v>
      </c>
      <c r="Z38" s="20">
        <v>11.4076801598128</v>
      </c>
      <c r="AA38" s="20">
        <v>14.0738396726152</v>
      </c>
      <c r="AB38" s="20">
        <v>16.881860791855001</v>
      </c>
      <c r="AC38" s="20">
        <v>19.852527712210001</v>
      </c>
      <c r="AD38" s="20">
        <v>23.007963803080401</v>
      </c>
      <c r="AE38" s="20">
        <v>26.370945770148801</v>
      </c>
      <c r="AF38" t="str">
        <f t="shared" si="0"/>
        <v>Residential</v>
      </c>
      <c r="AG38" t="str">
        <f>tbl_Data_old[[#This Row],[All_Meas_Name_Append]]</f>
        <v>120v Heat Pump Water Heater 50 Gallons</v>
      </c>
      <c r="AH38">
        <f>AVERAGEIFS('3. Incentive Adjustment'!G:G,'3. Incentive Adjustment'!A:A,tbl_Data_old[[#This Row],[Trimmed Sector]],'3. Incentive Adjustment'!B:B,tbl_Data_old[[#This Row],[Trimmed Measure Name]])</f>
        <v>0.38528347196238832</v>
      </c>
      <c r="AI38">
        <f>$AH38*tbl_Data_old[[#This Row],[2025 ]]</f>
        <v>0.78100555633351798</v>
      </c>
      <c r="AJ38">
        <f>$AH38*tbl_Data_old[[#This Row],[2026 ]]</f>
        <v>1.6107955581913109</v>
      </c>
      <c r="AK38">
        <f>$AH38*tbl_Data_old[[#This Row],[2027 ]]</f>
        <v>2.4890196744434929</v>
      </c>
      <c r="AL38">
        <f>$AH38*tbl_Data_old[[#This Row],[2028 ]]</f>
        <v>3.4167963773688945</v>
      </c>
      <c r="AM38">
        <f>$AH38*tbl_Data_old[[#This Row],[2029 ]]</f>
        <v>4.3951906190091288</v>
      </c>
      <c r="AN38">
        <f>$AH38*tbl_Data_old[[#This Row],[2030 ]]</f>
        <v>5.4224178129071872</v>
      </c>
      <c r="AO38">
        <f>$AH38*tbl_Data_old[[#This Row],[2031 ]]</f>
        <v>6.5043019390716088</v>
      </c>
      <c r="AP38">
        <f>$AH38*tbl_Data_old[[#This Row],[2032 ]]</f>
        <v>7.6488508041897996</v>
      </c>
      <c r="AQ38">
        <f>$AH38*tbl_Data_old[[#This Row],[2033 ]]</f>
        <v>8.8645881768357722</v>
      </c>
      <c r="AR38">
        <f>$AH38*tbl_Data_old[[#This Row],[2034 ]]</f>
        <v>10.160289545254788</v>
      </c>
      <c r="AS38">
        <f>SUM(tbl_Data_old[[#This Row],[Adjusted 2025]:[Adjusted 2034]])</f>
        <v>51.293256063605511</v>
      </c>
      <c r="AT38" s="3">
        <f>AVERAGEIFS('3. Incentive Adjustment'!F:F,'3. Incentive Adjustment'!A:A,tbl_Data_old[[#This Row],[Trimmed Sector]],'3. Incentive Adjustment'!B:B,tbl_Data_old[[#This Row],[Trimmed Measure Name]])</f>
        <v>500</v>
      </c>
      <c r="AU38" s="3">
        <f>IFERROR(VLOOKUP(tbl_Data_old[[#This Row],[All_Meas_Name_Append]],'IRA Tax Credits'!$A$3:$D$46,4,0),0)</f>
        <v>1666.6666666666667</v>
      </c>
      <c r="AV38" s="4">
        <f>tbl_Data_old[[#This Row],[Adj. per unit Incentive ($)]]/tbl_Data_old[[#This Row],[kWh Savings]]*tbl_Data_old[[#This Row],[Sum of Annuals]]</f>
        <v>21.368153819669807</v>
      </c>
      <c r="AW38" s="4">
        <f>IFERROR(VLOOKUP(tbl_Data_old[[#This Row],[All_Programs]],'1. Set Program Names'!$B$2:$D$15,3,0)*tbl_Data_old[[#This Row],[Sum of Annuals]],"")</f>
        <v>22.868772212767247</v>
      </c>
      <c r="AX38" s="4">
        <f>tbl_Data_old[[#This Row],[per unit IRA tax ($)]]/tbl_Data_old[[#This Row],[kWh Savings]]*tbl_Data_old[[#This Row],[Sum of Annuals]]</f>
        <v>71.227179398899366</v>
      </c>
      <c r="AY38" s="4">
        <f>tbl_Data_old[[#This Row],[Avoided Costs ($/unit)]]/tbl_Data_old[[#This Row],[kWh Savings]]*tbl_Data_old[[#This Row],[Sum of Annuals]]</f>
        <v>24.425496525962433</v>
      </c>
      <c r="AZ38" s="4">
        <f>tbl_Data_old[[#This Row],[Lost Revenue ($/unit)]]/tbl_Data_old[[#This Row],[kWh Savings]]*tbl_Data_old[[#This Row],[Sum of Annuals]]</f>
        <v>65.615539600911191</v>
      </c>
      <c r="BA38" s="4">
        <f>tbl_Data_old[[#This Row],[Incremental Cost ($/unit)]]/tbl_Data_old[[#This Row],[kWh Savings]]*tbl_Data_old[[#This Row],[Sum of Annuals]]</f>
        <v>51.710932243600929</v>
      </c>
      <c r="BB38">
        <f>ROUNDUP(tbl_Data_old[[#This Row],[Adjusted 2025]]/$L38,0)</f>
        <v>1</v>
      </c>
      <c r="BC38">
        <f>ROUNDUP(tbl_Data_old[[#This Row],[Adjusted 2026]]/$L38,0)</f>
        <v>1</v>
      </c>
      <c r="BD38">
        <f>ROUNDUP(tbl_Data_old[[#This Row],[Adjusted 2027]]/$L38,0)</f>
        <v>1</v>
      </c>
      <c r="BE38">
        <f>ROUNDUP(tbl_Data_old[[#This Row],[Adjusted 2028]]/$L38,0)</f>
        <v>1</v>
      </c>
      <c r="BF38">
        <f>ROUNDUP(tbl_Data_old[[#This Row],[Adjusted 2029]]/$L38,0)</f>
        <v>1</v>
      </c>
      <c r="BG38">
        <f>ROUNDUP(tbl_Data_old[[#This Row],[Adjusted 2030]]/$L38,0)</f>
        <v>1</v>
      </c>
      <c r="BH38">
        <f>ROUNDUP(tbl_Data_old[[#This Row],[Adjusted 2031]]/$L38,0)</f>
        <v>1</v>
      </c>
      <c r="BI38">
        <f>ROUNDUP(tbl_Data_old[[#This Row],[Adjusted 2032]]/$L38,0)</f>
        <v>1</v>
      </c>
      <c r="BJ38">
        <f>ROUNDUP(tbl_Data_old[[#This Row],[Adjusted 2033]]/$L38,0)</f>
        <v>1</v>
      </c>
      <c r="BK38">
        <f>ROUNDUP(tbl_Data_old[[#This Row],[Adjusted 2034]]/$L38,0)</f>
        <v>1</v>
      </c>
      <c r="BL38" s="3">
        <f t="shared" si="2"/>
        <v>0.84446271138237272</v>
      </c>
      <c r="BM38">
        <f t="shared" si="2"/>
        <v>1.7416736328211697</v>
      </c>
      <c r="BN38">
        <f t="shared" si="2"/>
        <v>2.6912539685787347</v>
      </c>
      <c r="BO38">
        <f t="shared" si="2"/>
        <v>3.6944130674561451</v>
      </c>
      <c r="BP38">
        <f t="shared" si="2"/>
        <v>4.7523024094669042</v>
      </c>
      <c r="BQ38">
        <f t="shared" si="2"/>
        <v>5.8629924094679104</v>
      </c>
      <c r="BR38">
        <f t="shared" si="2"/>
        <v>7.0327802492258789</v>
      </c>
      <c r="BS38">
        <f t="shared" si="2"/>
        <v>8.270324374372386</v>
      </c>
      <c r="BT38">
        <f t="shared" si="2"/>
        <v>9.584841114628567</v>
      </c>
      <c r="BU38">
        <f t="shared" si="2"/>
        <v>10.985818971756284</v>
      </c>
      <c r="BV38">
        <f>VLOOKUP($H38,'1. Set Program Names'!$B$2:$D$15,3,0)*V38</f>
        <v>0.90376667782138365</v>
      </c>
      <c r="BW38">
        <f>VLOOKUP($H38,'1. Set Program Names'!$B$2:$D$15,3,0)*W38</f>
        <v>1.8639859069764793</v>
      </c>
      <c r="BX38">
        <f>VLOOKUP($H38,'1. Set Program Names'!$B$2:$D$15,3,0)*X38</f>
        <v>2.8802522900915721</v>
      </c>
      <c r="BY38">
        <f>VLOOKUP($H38,'1. Set Program Names'!$B$2:$D$15,3,0)*Y38</f>
        <v>3.9538601047393072</v>
      </c>
      <c r="BZ38">
        <f>VLOOKUP($H38,'1. Set Program Names'!$B$2:$D$15,3,0)*Z38</f>
        <v>5.0860416957613861</v>
      </c>
      <c r="CA38">
        <f>VLOOKUP($H38,'1. Set Program Names'!$B$2:$D$15,3,0)*AA38</f>
        <v>6.2747319693048187</v>
      </c>
      <c r="CB38">
        <f>VLOOKUP($H38,'1. Set Program Names'!$B$2:$D$15,3,0)*AB38</f>
        <v>7.5266703384523064</v>
      </c>
      <c r="CC38">
        <f>VLOOKUP($H38,'1. Set Program Names'!$B$2:$D$15,3,0)*AC38</f>
        <v>8.8511233043033872</v>
      </c>
      <c r="CD38">
        <f>VLOOKUP($H38,'1. Set Program Names'!$B$2:$D$15,3,0)*AD38</f>
        <v>10.257954430496229</v>
      </c>
      <c r="CE38">
        <f>VLOOKUP($H38,'1. Set Program Names'!$B$2:$D$15,3,0)*AE38</f>
        <v>11.75731856649811</v>
      </c>
    </row>
    <row r="39" spans="1:83" x14ac:dyDescent="0.25">
      <c r="A39" s="20" t="s">
        <v>115</v>
      </c>
      <c r="B39" s="20" t="s">
        <v>88</v>
      </c>
      <c r="C39" s="20" t="s">
        <v>89</v>
      </c>
      <c r="D39" s="20" t="s">
        <v>90</v>
      </c>
      <c r="E39" s="20" t="s">
        <v>91</v>
      </c>
      <c r="F39" s="20" t="s">
        <v>90</v>
      </c>
      <c r="G39" s="20" t="s">
        <v>92</v>
      </c>
      <c r="H39" s="20" t="s">
        <v>5</v>
      </c>
      <c r="I39" s="20" t="s">
        <v>96</v>
      </c>
      <c r="J39" s="20" t="s">
        <v>97</v>
      </c>
      <c r="K39" s="20" t="s">
        <v>98</v>
      </c>
      <c r="L39" s="20">
        <v>5868.07</v>
      </c>
      <c r="M39" s="20">
        <v>0.20813520080661799</v>
      </c>
      <c r="N39" s="20">
        <v>1.1349578069705</v>
      </c>
      <c r="O39" s="20">
        <v>1935.1666666666599</v>
      </c>
      <c r="P39" s="20">
        <v>513.45064263862798</v>
      </c>
      <c r="Q39" s="20">
        <v>1744.1611426417701</v>
      </c>
      <c r="R39" s="20">
        <v>3388.0400735263802</v>
      </c>
      <c r="S39" s="20">
        <v>7811.7411984889604</v>
      </c>
      <c r="T39" s="20">
        <v>16</v>
      </c>
      <c r="U39" s="20">
        <v>0.7</v>
      </c>
      <c r="V39" s="20">
        <v>22.822385741019801</v>
      </c>
      <c r="W39" s="20">
        <v>47.076599323438103</v>
      </c>
      <c r="X39" s="20">
        <v>72.748945180837595</v>
      </c>
      <c r="Y39" s="20">
        <v>99.869535797786099</v>
      </c>
      <c r="Z39" s="20">
        <v>128.468750035939</v>
      </c>
      <c r="AA39" s="20">
        <v>158.49604310085499</v>
      </c>
      <c r="AB39" s="20">
        <v>190.12545110123901</v>
      </c>
      <c r="AC39" s="20">
        <v>223.59628606422299</v>
      </c>
      <c r="AD39" s="20">
        <v>259.16354258861003</v>
      </c>
      <c r="AE39" s="20">
        <v>297.089582771224</v>
      </c>
      <c r="AF39" t="str">
        <f t="shared" si="0"/>
        <v>Residential</v>
      </c>
      <c r="AG39" t="str">
        <f>tbl_Data_old[[#This Row],[All_Meas_Name_Append]]</f>
        <v>ASHP - CEE Tier 2: 16.8 SEER/16 SEER2; 9.0 HSPF (from elec resistance)</v>
      </c>
      <c r="AH39">
        <f>AVERAGEIFS('3. Incentive Adjustment'!G:G,'3. Incentive Adjustment'!A:A,tbl_Data_old[[#This Row],[Trimmed Sector]],'3. Incentive Adjustment'!B:B,tbl_Data_old[[#This Row],[Trimmed Measure Name]])</f>
        <v>0.9303958662075158</v>
      </c>
      <c r="AI39">
        <f>$AH39*tbl_Data_old[[#This Row],[2025 ]]</f>
        <v>21.233853350438174</v>
      </c>
      <c r="AJ39">
        <f>$AH39*tbl_Data_old[[#This Row],[2026 ]]</f>
        <v>43.799873405634344</v>
      </c>
      <c r="AK39">
        <f>$AH39*tbl_Data_old[[#This Row],[2027 ]]</f>
        <v>67.685317867208482</v>
      </c>
      <c r="AL39">
        <f>$AH39*tbl_Data_old[[#This Row],[2028 ]]</f>
        <v>92.918203266323701</v>
      </c>
      <c r="AM39">
        <f>$AH39*tbl_Data_old[[#This Row],[2029 ]]</f>
        <v>119.52679397028429</v>
      </c>
      <c r="AN39">
        <f>$AH39*tbl_Data_old[[#This Row],[2030 ]]</f>
        <v>147.46406331128372</v>
      </c>
      <c r="AO39">
        <f>$AH39*tbl_Data_old[[#This Row],[2031 ]]</f>
        <v>176.89193376543196</v>
      </c>
      <c r="AP39">
        <f>$AH39*tbl_Data_old[[#This Row],[2032 ]]</f>
        <v>208.03306025350625</v>
      </c>
      <c r="AQ39">
        <f>$AH39*tbl_Data_old[[#This Row],[2033 ]]</f>
        <v>241.12468869613824</v>
      </c>
      <c r="AR39">
        <f>$AH39*tbl_Data_old[[#This Row],[2034 ]]</f>
        <v>276.41091970366244</v>
      </c>
      <c r="AS39">
        <f>SUM(tbl_Data_old[[#This Row],[Adjusted 2025]:[Adjusted 2034]])</f>
        <v>1395.0887075899118</v>
      </c>
      <c r="AT39" s="3">
        <f>AVERAGEIFS('3. Incentive Adjustment'!F:F,'3. Incentive Adjustment'!A:A,tbl_Data_old[[#This Row],[Trimmed Sector]],'3. Incentive Adjustment'!B:B,tbl_Data_old[[#This Row],[Trimmed Measure Name]])</f>
        <v>353</v>
      </c>
      <c r="AU39" s="3">
        <f>IFERROR(VLOOKUP(tbl_Data_old[[#This Row],[All_Meas_Name_Append]],'IRA Tax Credits'!$A$3:$D$46,4,0),0)</f>
        <v>0</v>
      </c>
      <c r="AV39" s="4">
        <f>tbl_Data_old[[#This Row],[Adj. per unit Incentive ($)]]/tbl_Data_old[[#This Row],[kWh Savings]]*tbl_Data_old[[#This Row],[Sum of Annuals]]</f>
        <v>83.923046892630609</v>
      </c>
      <c r="AW39" s="4">
        <f>IFERROR(VLOOKUP(tbl_Data_old[[#This Row],[All_Programs]],'1. Set Program Names'!$B$2:$D$15,3,0)*tbl_Data_old[[#This Row],[Sum of Annuals]],"")</f>
        <v>621.99143355055219</v>
      </c>
      <c r="AX39" s="4">
        <f>tbl_Data_old[[#This Row],[per unit IRA tax ($)]]/tbl_Data_old[[#This Row],[kWh Savings]]*tbl_Data_old[[#This Row],[Sum of Annuals]]</f>
        <v>0</v>
      </c>
      <c r="AY39" s="4">
        <f>tbl_Data_old[[#This Row],[Avoided Costs ($/unit)]]/tbl_Data_old[[#This Row],[kWh Savings]]*tbl_Data_old[[#This Row],[Sum of Annuals]]</f>
        <v>805.48058346930884</v>
      </c>
      <c r="AZ39" s="4">
        <f>tbl_Data_old[[#This Row],[Lost Revenue ($/unit)]]/tbl_Data_old[[#This Row],[kWh Savings]]*tbl_Data_old[[#This Row],[Sum of Annuals]]</f>
        <v>1857.1816513141175</v>
      </c>
      <c r="BA39" s="4">
        <f>tbl_Data_old[[#This Row],[Incremental Cost ($/unit)]]/tbl_Data_old[[#This Row],[kWh Savings]]*tbl_Data_old[[#This Row],[Sum of Annuals]]</f>
        <v>460.07105640714383</v>
      </c>
      <c r="BB39">
        <f>ROUNDUP(tbl_Data_old[[#This Row],[Adjusted 2025]]/$L39,0)</f>
        <v>1</v>
      </c>
      <c r="BC39">
        <f>ROUNDUP(tbl_Data_old[[#This Row],[Adjusted 2026]]/$L39,0)</f>
        <v>1</v>
      </c>
      <c r="BD39">
        <f>ROUNDUP(tbl_Data_old[[#This Row],[Adjusted 2027]]/$L39,0)</f>
        <v>1</v>
      </c>
      <c r="BE39">
        <f>ROUNDUP(tbl_Data_old[[#This Row],[Adjusted 2028]]/$L39,0)</f>
        <v>1</v>
      </c>
      <c r="BF39">
        <f>ROUNDUP(tbl_Data_old[[#This Row],[Adjusted 2029]]/$L39,0)</f>
        <v>1</v>
      </c>
      <c r="BG39">
        <f>ROUNDUP(tbl_Data_old[[#This Row],[Adjusted 2030]]/$L39,0)</f>
        <v>1</v>
      </c>
      <c r="BH39">
        <f>ROUNDUP(tbl_Data_old[[#This Row],[Adjusted 2031]]/$L39,0)</f>
        <v>1</v>
      </c>
      <c r="BI39">
        <f>ROUNDUP(tbl_Data_old[[#This Row],[Adjusted 2032]]/$L39,0)</f>
        <v>1</v>
      </c>
      <c r="BJ39">
        <f>ROUNDUP(tbl_Data_old[[#This Row],[Adjusted 2033]]/$L39,0)</f>
        <v>1</v>
      </c>
      <c r="BK39">
        <f>ROUNDUP(tbl_Data_old[[#This Row],[Adjusted 2034]]/$L39,0)</f>
        <v>1</v>
      </c>
      <c r="BL39" s="3">
        <f t="shared" si="2"/>
        <v>1.3729049187518196</v>
      </c>
      <c r="BM39">
        <f t="shared" si="2"/>
        <v>2.831942966115546</v>
      </c>
      <c r="BN39">
        <f t="shared" si="2"/>
        <v>4.3762902707083713</v>
      </c>
      <c r="BO39">
        <f t="shared" si="2"/>
        <v>6.0077582811075017</v>
      </c>
      <c r="BP39">
        <f t="shared" si="2"/>
        <v>7.7281744700875192</v>
      </c>
      <c r="BQ39">
        <f t="shared" si="2"/>
        <v>9.5344982617115708</v>
      </c>
      <c r="BR39">
        <f t="shared" si="2"/>
        <v>11.437198983437037</v>
      </c>
      <c r="BS39">
        <f t="shared" si="2"/>
        <v>13.450672705109298</v>
      </c>
      <c r="BT39">
        <f t="shared" si="2"/>
        <v>15.59025889837363</v>
      </c>
      <c r="BU39">
        <f t="shared" si="2"/>
        <v>17.871740234564701</v>
      </c>
      <c r="BV39">
        <f>VLOOKUP($H39,'1. Set Program Names'!$B$2:$D$15,3,0)*V39</f>
        <v>10.175215631000091</v>
      </c>
      <c r="BW39">
        <f>VLOOKUP($H39,'1. Set Program Names'!$B$2:$D$15,3,0)*W39</f>
        <v>20.988802604857355</v>
      </c>
      <c r="BX39">
        <f>VLOOKUP($H39,'1. Set Program Names'!$B$2:$D$15,3,0)*X39</f>
        <v>32.434654840329173</v>
      </c>
      <c r="BY39">
        <f>VLOOKUP($H39,'1. Set Program Names'!$B$2:$D$15,3,0)*Y39</f>
        <v>44.526197797275003</v>
      </c>
      <c r="BZ39">
        <f>VLOOKUP($H39,'1. Set Program Names'!$B$2:$D$15,3,0)*Z39</f>
        <v>57.276975698085757</v>
      </c>
      <c r="CA39">
        <f>VLOOKUP($H39,'1. Set Program Names'!$B$2:$D$15,3,0)*AA39</f>
        <v>70.664453467406005</v>
      </c>
      <c r="CB39">
        <f>VLOOKUP($H39,'1. Set Program Names'!$B$2:$D$15,3,0)*AB39</f>
        <v>84.766223998185126</v>
      </c>
      <c r="CC39">
        <f>VLOOKUP($H39,'1. Set Program Names'!$B$2:$D$15,3,0)*AC39</f>
        <v>99.688983036730804</v>
      </c>
      <c r="CD39">
        <f>VLOOKUP($H39,'1. Set Program Names'!$B$2:$D$15,3,0)*AD39</f>
        <v>115.54641830425693</v>
      </c>
      <c r="CE39">
        <f>VLOOKUP($H39,'1. Set Program Names'!$B$2:$D$15,3,0)*AE39</f>
        <v>132.45550227414461</v>
      </c>
    </row>
    <row r="40" spans="1:83" x14ac:dyDescent="0.25">
      <c r="A40" s="20" t="s">
        <v>115</v>
      </c>
      <c r="B40" s="20" t="s">
        <v>88</v>
      </c>
      <c r="C40" s="20" t="s">
        <v>89</v>
      </c>
      <c r="D40" s="20" t="s">
        <v>90</v>
      </c>
      <c r="E40" s="20" t="s">
        <v>91</v>
      </c>
      <c r="F40" s="20" t="s">
        <v>90</v>
      </c>
      <c r="G40" s="20" t="s">
        <v>92</v>
      </c>
      <c r="H40" s="20" t="s">
        <v>5</v>
      </c>
      <c r="I40" s="20" t="s">
        <v>99</v>
      </c>
      <c r="J40" s="20" t="s">
        <v>97</v>
      </c>
      <c r="K40" s="20" t="s">
        <v>98</v>
      </c>
      <c r="L40" s="20">
        <v>253.96999999999801</v>
      </c>
      <c r="M40" s="20">
        <v>0.107126245482503</v>
      </c>
      <c r="N40" s="20">
        <v>1.33192706841354E-2</v>
      </c>
      <c r="O40" s="20">
        <v>874.99999999999898</v>
      </c>
      <c r="P40" s="20">
        <v>813.468148399999</v>
      </c>
      <c r="Q40" s="20">
        <v>75.487273566390598</v>
      </c>
      <c r="R40" s="20">
        <v>185.54516688855901</v>
      </c>
      <c r="S40" s="20">
        <v>338.09206641710699</v>
      </c>
      <c r="T40" s="20">
        <v>16</v>
      </c>
      <c r="U40" s="20">
        <v>0.7</v>
      </c>
      <c r="V40" s="20">
        <v>24.704280118061401</v>
      </c>
      <c r="W40" s="20">
        <v>52.338049950114303</v>
      </c>
      <c r="X40" s="20">
        <v>82.712542531416005</v>
      </c>
      <c r="Y40" s="20">
        <v>115.71467280684</v>
      </c>
      <c r="Z40" s="20">
        <v>151.25287721560801</v>
      </c>
      <c r="AA40" s="20">
        <v>189.14976985249501</v>
      </c>
      <c r="AB40" s="20">
        <v>229.52462428364501</v>
      </c>
      <c r="AC40" s="20">
        <v>272.59846858350602</v>
      </c>
      <c r="AD40" s="20">
        <v>318.62838959987499</v>
      </c>
      <c r="AE40" s="20">
        <v>367.89373403667599</v>
      </c>
      <c r="AF40" t="str">
        <f t="shared" si="0"/>
        <v>Residential</v>
      </c>
      <c r="AG40" t="str">
        <f>tbl_Data_old[[#This Row],[All_Meas_Name_Append]]</f>
        <v>ASHP - ENERGY STAR/CEE Tier 1: 16 SEER/15.2 SEER2_ 9.0 HSPF</v>
      </c>
      <c r="AH40">
        <f>AVERAGEIFS('3. Incentive Adjustment'!G:G,'3. Incentive Adjustment'!A:A,tbl_Data_old[[#This Row],[Trimmed Sector]],'3. Incentive Adjustment'!B:B,tbl_Data_old[[#This Row],[Trimmed Measure Name]])</f>
        <v>8.3636985731950567E-3</v>
      </c>
      <c r="AI40">
        <f>$AH40*tbl_Data_old[[#This Row],[2025 ]]</f>
        <v>0.20661915237524114</v>
      </c>
      <c r="AJ40">
        <f>$AH40*tbl_Data_old[[#This Row],[2026 ]]</f>
        <v>0.43773967369158262</v>
      </c>
      <c r="AK40">
        <f>$AH40*tbl_Data_old[[#This Row],[2027 ]]</f>
        <v>0.69178277395533949</v>
      </c>
      <c r="AL40">
        <f>$AH40*tbl_Data_old[[#This Row],[2028 ]]</f>
        <v>0.96780264385230053</v>
      </c>
      <c r="AM40">
        <f>$AH40*tbl_Data_old[[#This Row],[2029 ]]</f>
        <v>1.2650334733598279</v>
      </c>
      <c r="AN40">
        <f>$AH40*tbl_Data_old[[#This Row],[2030 ]]</f>
        <v>1.581991660235486</v>
      </c>
      <c r="AO40">
        <f>$AH40*tbl_Data_old[[#This Row],[2031 ]]</f>
        <v>1.9196747726342531</v>
      </c>
      <c r="AP40">
        <f>$AH40*tbl_Data_old[[#This Row],[2032 ]]</f>
        <v>2.2799314227470266</v>
      </c>
      <c r="AQ40">
        <f>$AH40*tbl_Data_old[[#This Row],[2033 ]]</f>
        <v>2.6649118074759133</v>
      </c>
      <c r="AR40">
        <f>$AH40*tbl_Data_old[[#This Row],[2034 ]]</f>
        <v>3.0769522984499487</v>
      </c>
      <c r="AS40">
        <f>SUM(tbl_Data_old[[#This Row],[Adjusted 2025]:[Adjusted 2034]])</f>
        <v>15.09243967877692</v>
      </c>
      <c r="AT40" s="3">
        <f>AVERAGEIFS('3. Incentive Adjustment'!F:F,'3. Incentive Adjustment'!A:A,tbl_Data_old[[#This Row],[Trimmed Sector]],'3. Incentive Adjustment'!B:B,tbl_Data_old[[#This Row],[Trimmed Measure Name]])</f>
        <v>353</v>
      </c>
      <c r="AU40" s="3">
        <f>IFERROR(VLOOKUP(tbl_Data_old[[#This Row],[All_Meas_Name_Append]],'IRA Tax Credits'!$A$3:$D$46,4,0),0)</f>
        <v>0</v>
      </c>
      <c r="AV40" s="4">
        <f>tbl_Data_old[[#This Row],[Adj. per unit Incentive ($)]]/tbl_Data_old[[#This Row],[kWh Savings]]*tbl_Data_old[[#This Row],[Sum of Annuals]]</f>
        <v>20.977403656370022</v>
      </c>
      <c r="AW40" s="4">
        <f>IFERROR(VLOOKUP(tbl_Data_old[[#This Row],[All_Programs]],'1. Set Program Names'!$B$2:$D$15,3,0)*tbl_Data_old[[#This Row],[Sum of Annuals]],"")</f>
        <v>6.7288683081628964</v>
      </c>
      <c r="AX40" s="4">
        <f>tbl_Data_old[[#This Row],[per unit IRA tax ($)]]/tbl_Data_old[[#This Row],[kWh Savings]]*tbl_Data_old[[#This Row],[Sum of Annuals]]</f>
        <v>0</v>
      </c>
      <c r="AY40" s="4">
        <f>tbl_Data_old[[#This Row],[Avoided Costs ($/unit)]]/tbl_Data_old[[#This Row],[kWh Savings]]*tbl_Data_old[[#This Row],[Sum of Annuals]]</f>
        <v>11.026220573115705</v>
      </c>
      <c r="AZ40" s="4">
        <f>tbl_Data_old[[#This Row],[Lost Revenue ($/unit)]]/tbl_Data_old[[#This Row],[kWh Savings]]*tbl_Data_old[[#This Row],[Sum of Annuals]]</f>
        <v>20.09148371175047</v>
      </c>
      <c r="BA40" s="4">
        <f>tbl_Data_old[[#This Row],[Incremental Cost ($/unit)]]/tbl_Data_old[[#This Row],[kWh Savings]]*tbl_Data_old[[#This Row],[Sum of Annuals]]</f>
        <v>51.997813595817981</v>
      </c>
      <c r="BB40">
        <f>ROUNDUP(tbl_Data_old[[#This Row],[Adjusted 2025]]/$L40,0)</f>
        <v>1</v>
      </c>
      <c r="BC40">
        <f>ROUNDUP(tbl_Data_old[[#This Row],[Adjusted 2026]]/$L40,0)</f>
        <v>1</v>
      </c>
      <c r="BD40">
        <f>ROUNDUP(tbl_Data_old[[#This Row],[Adjusted 2027]]/$L40,0)</f>
        <v>1</v>
      </c>
      <c r="BE40">
        <f>ROUNDUP(tbl_Data_old[[#This Row],[Adjusted 2028]]/$L40,0)</f>
        <v>1</v>
      </c>
      <c r="BF40">
        <f>ROUNDUP(tbl_Data_old[[#This Row],[Adjusted 2029]]/$L40,0)</f>
        <v>1</v>
      </c>
      <c r="BG40">
        <f>ROUNDUP(tbl_Data_old[[#This Row],[Adjusted 2030]]/$L40,0)</f>
        <v>1</v>
      </c>
      <c r="BH40">
        <f>ROUNDUP(tbl_Data_old[[#This Row],[Adjusted 2031]]/$L40,0)</f>
        <v>1</v>
      </c>
      <c r="BI40">
        <f>ROUNDUP(tbl_Data_old[[#This Row],[Adjusted 2032]]/$L40,0)</f>
        <v>1</v>
      </c>
      <c r="BJ40">
        <f>ROUNDUP(tbl_Data_old[[#This Row],[Adjusted 2033]]/$L40,0)</f>
        <v>1</v>
      </c>
      <c r="BK40">
        <f>ROUNDUP(tbl_Data_old[[#This Row],[Adjusted 2034]]/$L40,0)</f>
        <v>1</v>
      </c>
      <c r="BL40" s="3">
        <f t="shared" si="2"/>
        <v>34.33716927855945</v>
      </c>
      <c r="BM40">
        <f t="shared" si="2"/>
        <v>72.74611817297513</v>
      </c>
      <c r="BN40">
        <f t="shared" si="2"/>
        <v>114.96447420400078</v>
      </c>
      <c r="BO40">
        <f t="shared" si="2"/>
        <v>160.83505729343955</v>
      </c>
      <c r="BP40">
        <f t="shared" si="2"/>
        <v>210.23060068949107</v>
      </c>
      <c r="BQ40">
        <f t="shared" si="2"/>
        <v>262.90455076556782</v>
      </c>
      <c r="BR40">
        <f t="shared" si="2"/>
        <v>319.02268918426319</v>
      </c>
      <c r="BS40">
        <f t="shared" si="2"/>
        <v>378.8922290427152</v>
      </c>
      <c r="BT40">
        <f t="shared" si="2"/>
        <v>442.8705025347748</v>
      </c>
      <c r="BU40">
        <f t="shared" si="2"/>
        <v>511.34578145035891</v>
      </c>
      <c r="BV40">
        <f>VLOOKUP($H40,'1. Set Program Names'!$B$2:$D$15,3,0)*V40</f>
        <v>11.014246278297758</v>
      </c>
      <c r="BW40">
        <f>VLOOKUP($H40,'1. Set Program Names'!$B$2:$D$15,3,0)*W40</f>
        <v>23.334586926698311</v>
      </c>
      <c r="BX40">
        <f>VLOOKUP($H40,'1. Set Program Names'!$B$2:$D$15,3,0)*X40</f>
        <v>36.876861393712339</v>
      </c>
      <c r="BY40">
        <f>VLOOKUP($H40,'1. Set Program Names'!$B$2:$D$15,3,0)*Y40</f>
        <v>51.590651426243376</v>
      </c>
      <c r="BZ40">
        <f>VLOOKUP($H40,'1. Set Program Names'!$B$2:$D$15,3,0)*Z40</f>
        <v>67.435133992666522</v>
      </c>
      <c r="CA40">
        <f>VLOOKUP($H40,'1. Set Program Names'!$B$2:$D$15,3,0)*AA40</f>
        <v>84.331222714544126</v>
      </c>
      <c r="CB40">
        <f>VLOOKUP($H40,'1. Set Program Names'!$B$2:$D$15,3,0)*AB40</f>
        <v>102.33209495327763</v>
      </c>
      <c r="CC40">
        <f>VLOOKUP($H40,'1. Set Program Names'!$B$2:$D$15,3,0)*AC40</f>
        <v>121.53629467107741</v>
      </c>
      <c r="CD40">
        <f>VLOOKUP($H40,'1. Set Program Names'!$B$2:$D$15,3,0)*AD40</f>
        <v>142.05844240507363</v>
      </c>
      <c r="CE40">
        <f>VLOOKUP($H40,'1. Set Program Names'!$B$2:$D$15,3,0)*AE40</f>
        <v>164.0230831077744</v>
      </c>
    </row>
    <row r="41" spans="1:83" x14ac:dyDescent="0.25">
      <c r="A41" s="20" t="s">
        <v>115</v>
      </c>
      <c r="B41" s="20" t="s">
        <v>88</v>
      </c>
      <c r="C41" s="20" t="s">
        <v>89</v>
      </c>
      <c r="D41" s="20" t="s">
        <v>90</v>
      </c>
      <c r="E41" s="20" t="s">
        <v>91</v>
      </c>
      <c r="F41" s="20" t="s">
        <v>90</v>
      </c>
      <c r="G41" s="20" t="s">
        <v>92</v>
      </c>
      <c r="H41" s="20" t="s">
        <v>5</v>
      </c>
      <c r="I41" s="20" t="s">
        <v>100</v>
      </c>
      <c r="J41" s="20" t="s">
        <v>101</v>
      </c>
      <c r="K41" s="20" t="s">
        <v>102</v>
      </c>
      <c r="L41" s="20">
        <v>3443.6666666666601</v>
      </c>
      <c r="M41" s="20">
        <v>1.66949913665645</v>
      </c>
      <c r="N41" s="20">
        <v>0.25022957227107101</v>
      </c>
      <c r="O41" s="20">
        <v>1269.26999999999</v>
      </c>
      <c r="P41" s="20">
        <v>446.40188399649003</v>
      </c>
      <c r="Q41" s="20">
        <v>1023.5579310081</v>
      </c>
      <c r="R41" s="20">
        <v>3363.3816217672702</v>
      </c>
      <c r="S41" s="20">
        <v>6252.5618237134204</v>
      </c>
      <c r="T41" s="20">
        <v>30</v>
      </c>
      <c r="U41" s="20">
        <v>0.9</v>
      </c>
      <c r="V41" s="20">
        <v>6.7971031728729603</v>
      </c>
      <c r="W41" s="20">
        <v>13.3751929155392</v>
      </c>
      <c r="X41" s="20">
        <v>19.746382278173002</v>
      </c>
      <c r="Y41" s="20">
        <v>25.929347553020801</v>
      </c>
      <c r="Z41" s="20">
        <v>31.937873529917798</v>
      </c>
      <c r="AA41" s="20">
        <v>37.766233169384201</v>
      </c>
      <c r="AB41" s="20">
        <v>43.449747722503403</v>
      </c>
      <c r="AC41" s="20">
        <v>49.026690204429499</v>
      </c>
      <c r="AD41" s="20">
        <v>54.5292238639136</v>
      </c>
      <c r="AE41" s="20">
        <v>59.983183640076703</v>
      </c>
      <c r="AF41" t="str">
        <f t="shared" si="0"/>
        <v>Residential</v>
      </c>
      <c r="AG41" t="str">
        <f>tbl_Data_old[[#This Row],[All_Meas_Name_Append]]</f>
        <v>Ceiling Insulation(R2 to R38) Residential</v>
      </c>
      <c r="AH41">
        <f>AVERAGEIFS('3. Incentive Adjustment'!G:G,'3. Incentive Adjustment'!A:A,tbl_Data_old[[#This Row],[Trimmed Sector]],'3. Incentive Adjustment'!B:B,tbl_Data_old[[#This Row],[Trimmed Measure Name]])</f>
        <v>0.80543313072084111</v>
      </c>
      <c r="AI41">
        <f>$AH41*tbl_Data_old[[#This Row],[2025 ]]</f>
        <v>5.4746120883596312</v>
      </c>
      <c r="AJ41">
        <f>$AH41*tbl_Data_old[[#This Row],[2026 ]]</f>
        <v>10.772823503957952</v>
      </c>
      <c r="AK41">
        <f>$AH41*tbl_Data_old[[#This Row],[2027 ]]</f>
        <v>15.904390498719415</v>
      </c>
      <c r="AL41">
        <f>$AH41*tbl_Data_old[[#This Row],[2028 ]]</f>
        <v>20.884355577178322</v>
      </c>
      <c r="AM41">
        <f>$AH41*tbl_Data_old[[#This Row],[2029 ]]</f>
        <v>25.723821465767973</v>
      </c>
      <c r="AN41">
        <f>$AH41*tbl_Data_old[[#This Row],[2030 ]]</f>
        <v>30.41817541715039</v>
      </c>
      <c r="AO41">
        <f>$AH41*tbl_Data_old[[#This Row],[2031 ]]</f>
        <v>34.995866337166653</v>
      </c>
      <c r="AP41">
        <f>$AH41*tbl_Data_old[[#This Row],[2032 ]]</f>
        <v>39.487720580234445</v>
      </c>
      <c r="AQ41">
        <f>$AH41*tbl_Data_old[[#This Row],[2033 ]]</f>
        <v>43.919643492489534</v>
      </c>
      <c r="AR41">
        <f>$AH41*tbl_Data_old[[#This Row],[2034 ]]</f>
        <v>48.312443389830115</v>
      </c>
      <c r="AS41">
        <f>SUM(tbl_Data_old[[#This Row],[Adjusted 2025]:[Adjusted 2034]])</f>
        <v>275.89385235085444</v>
      </c>
      <c r="AT41" s="3">
        <f>AVERAGEIFS('3. Incentive Adjustment'!F:F,'3. Incentive Adjustment'!A:A,tbl_Data_old[[#This Row],[Trimmed Sector]],'3. Incentive Adjustment'!B:B,tbl_Data_old[[#This Row],[Trimmed Measure Name]])</f>
        <v>164</v>
      </c>
      <c r="AU41" s="3">
        <f>IFERROR(VLOOKUP(tbl_Data_old[[#This Row],[All_Meas_Name_Append]],'IRA Tax Credits'!$A$3:$D$46,4,0),0)</f>
        <v>0</v>
      </c>
      <c r="AV41" s="4">
        <f>tbl_Data_old[[#This Row],[Adj. per unit Incentive ($)]]/tbl_Data_old[[#This Row],[kWh Savings]]*tbl_Data_old[[#This Row],[Sum of Annuals]]</f>
        <v>13.139074180294323</v>
      </c>
      <c r="AW41" s="4">
        <f>IFERROR(VLOOKUP(tbl_Data_old[[#This Row],[All_Programs]],'1. Set Program Names'!$B$2:$D$15,3,0)*tbl_Data_old[[#This Row],[Sum of Annuals]],"")</f>
        <v>123.00552057936623</v>
      </c>
      <c r="AX41" s="4">
        <f>tbl_Data_old[[#This Row],[per unit IRA tax ($)]]/tbl_Data_old[[#This Row],[kWh Savings]]*tbl_Data_old[[#This Row],[Sum of Annuals]]</f>
        <v>0</v>
      </c>
      <c r="AY41" s="4">
        <f>tbl_Data_old[[#This Row],[Avoided Costs ($/unit)]]/tbl_Data_old[[#This Row],[kWh Savings]]*tbl_Data_old[[#This Row],[Sum of Annuals]]</f>
        <v>269.46171112828523</v>
      </c>
      <c r="AZ41" s="4">
        <f>tbl_Data_old[[#This Row],[Lost Revenue ($/unit)]]/tbl_Data_old[[#This Row],[kWh Savings]]*tbl_Data_old[[#This Row],[Sum of Annuals]]</f>
        <v>500.93215621126205</v>
      </c>
      <c r="BA41" s="4">
        <f>tbl_Data_old[[#This Row],[Incremental Cost ($/unit)]]/tbl_Data_old[[#This Row],[kWh Savings]]*tbl_Data_old[[#This Row],[Sum of Annuals]]</f>
        <v>101.68922368793929</v>
      </c>
      <c r="BB41">
        <f>ROUNDUP(tbl_Data_old[[#This Row],[Adjusted 2025]]/$L41,0)</f>
        <v>1</v>
      </c>
      <c r="BC41">
        <f>ROUNDUP(tbl_Data_old[[#This Row],[Adjusted 2026]]/$L41,0)</f>
        <v>1</v>
      </c>
      <c r="BD41">
        <f>ROUNDUP(tbl_Data_old[[#This Row],[Adjusted 2027]]/$L41,0)</f>
        <v>1</v>
      </c>
      <c r="BE41">
        <f>ROUNDUP(tbl_Data_old[[#This Row],[Adjusted 2028]]/$L41,0)</f>
        <v>1</v>
      </c>
      <c r="BF41">
        <f>ROUNDUP(tbl_Data_old[[#This Row],[Adjusted 2029]]/$L41,0)</f>
        <v>1</v>
      </c>
      <c r="BG41">
        <f>ROUNDUP(tbl_Data_old[[#This Row],[Adjusted 2030]]/$L41,0)</f>
        <v>1</v>
      </c>
      <c r="BH41">
        <f>ROUNDUP(tbl_Data_old[[#This Row],[Adjusted 2031]]/$L41,0)</f>
        <v>1</v>
      </c>
      <c r="BI41">
        <f>ROUNDUP(tbl_Data_old[[#This Row],[Adjusted 2032]]/$L41,0)</f>
        <v>1</v>
      </c>
      <c r="BJ41">
        <f>ROUNDUP(tbl_Data_old[[#This Row],[Adjusted 2033]]/$L41,0)</f>
        <v>1</v>
      </c>
      <c r="BK41">
        <f>ROUNDUP(tbl_Data_old[[#This Row],[Adjusted 2034]]/$L41,0)</f>
        <v>1</v>
      </c>
      <c r="BL41" s="3">
        <f t="shared" si="2"/>
        <v>0.3237029097912596</v>
      </c>
      <c r="BM41">
        <f t="shared" si="2"/>
        <v>0.63697559911386104</v>
      </c>
      <c r="BN41">
        <f t="shared" si="2"/>
        <v>0.9403949357139807</v>
      </c>
      <c r="BO41">
        <f t="shared" si="2"/>
        <v>1.2348503529267503</v>
      </c>
      <c r="BP41">
        <f t="shared" si="2"/>
        <v>1.5209983328544754</v>
      </c>
      <c r="BQ41">
        <f t="shared" si="2"/>
        <v>1.7985661329336038</v>
      </c>
      <c r="BR41">
        <f t="shared" si="2"/>
        <v>2.0692358803089452</v>
      </c>
      <c r="BS41">
        <f t="shared" si="2"/>
        <v>2.3348302759248241</v>
      </c>
      <c r="BT41">
        <f t="shared" si="2"/>
        <v>2.596881051306315</v>
      </c>
      <c r="BU41">
        <f t="shared" si="2"/>
        <v>2.8566185607315644</v>
      </c>
      <c r="BV41">
        <f>VLOOKUP($H41,'1. Set Program Names'!$B$2:$D$15,3,0)*V41</f>
        <v>3.030445249456502</v>
      </c>
      <c r="BW41">
        <f>VLOOKUP($H41,'1. Set Program Names'!$B$2:$D$15,3,0)*W41</f>
        <v>5.9632447530332051</v>
      </c>
      <c r="BX41">
        <f>VLOOKUP($H41,'1. Set Program Names'!$B$2:$D$15,3,0)*X41</f>
        <v>8.8037990371637189</v>
      </c>
      <c r="BY41">
        <f>VLOOKUP($H41,'1. Set Program Names'!$B$2:$D$15,3,0)*Y41</f>
        <v>11.560434808045702</v>
      </c>
      <c r="BZ41">
        <f>VLOOKUP($H41,'1. Set Program Names'!$B$2:$D$15,3,0)*Z41</f>
        <v>14.239297926615555</v>
      </c>
      <c r="CA41">
        <f>VLOOKUP($H41,'1. Set Program Names'!$B$2:$D$15,3,0)*AA41</f>
        <v>16.837835028720402</v>
      </c>
      <c r="CB41">
        <f>VLOOKUP($H41,'1. Set Program Names'!$B$2:$D$15,3,0)*AB41</f>
        <v>19.371793869665439</v>
      </c>
      <c r="CC41">
        <f>VLOOKUP($H41,'1. Set Program Names'!$B$2:$D$15,3,0)*AC41</f>
        <v>21.858238230006318</v>
      </c>
      <c r="CD41">
        <f>VLOOKUP($H41,'1. Set Program Names'!$B$2:$D$15,3,0)*AD41</f>
        <v>24.311507889779623</v>
      </c>
      <c r="CE41">
        <f>VLOOKUP($H41,'1. Set Program Names'!$B$2:$D$15,3,0)*AE41</f>
        <v>26.743121192394007</v>
      </c>
    </row>
    <row r="42" spans="1:83" x14ac:dyDescent="0.25">
      <c r="A42" s="20" t="s">
        <v>115</v>
      </c>
      <c r="B42" s="20" t="s">
        <v>88</v>
      </c>
      <c r="C42" s="20" t="s">
        <v>89</v>
      </c>
      <c r="D42" s="20" t="s">
        <v>90</v>
      </c>
      <c r="E42" s="20" t="s">
        <v>91</v>
      </c>
      <c r="F42" s="20" t="s">
        <v>90</v>
      </c>
      <c r="G42" s="20" t="s">
        <v>92</v>
      </c>
      <c r="H42" s="20" t="s">
        <v>5</v>
      </c>
      <c r="I42" s="20" t="s">
        <v>103</v>
      </c>
      <c r="J42" s="20" t="s">
        <v>101</v>
      </c>
      <c r="K42" s="20" t="s">
        <v>102</v>
      </c>
      <c r="L42" s="20">
        <v>3523.57666666666</v>
      </c>
      <c r="M42" s="20">
        <v>1.7070465614975301</v>
      </c>
      <c r="N42" s="20">
        <v>0.25623328618049002</v>
      </c>
      <c r="O42" s="20">
        <v>1306.5999999999899</v>
      </c>
      <c r="P42" s="20">
        <v>465.31519597206898</v>
      </c>
      <c r="Q42" s="20">
        <v>1047.30950808685</v>
      </c>
      <c r="R42" s="20">
        <v>3440.61303289528</v>
      </c>
      <c r="S42" s="20">
        <v>6397.6520033667803</v>
      </c>
      <c r="T42" s="20">
        <v>30</v>
      </c>
      <c r="U42" s="20">
        <v>0.9</v>
      </c>
      <c r="V42" s="20">
        <v>6.9568247427069503</v>
      </c>
      <c r="W42" s="20">
        <v>13.689911075925901</v>
      </c>
      <c r="X42" s="20">
        <v>20.211615025154199</v>
      </c>
      <c r="Y42" s="20">
        <v>26.541015019036301</v>
      </c>
      <c r="Z42" s="20">
        <v>32.6921865850017</v>
      </c>
      <c r="AA42" s="20">
        <v>38.659232842255797</v>
      </c>
      <c r="AB42" s="20">
        <v>44.4782845839148</v>
      </c>
      <c r="AC42" s="20">
        <v>50.1885016518481</v>
      </c>
      <c r="AD42" s="20">
        <v>55.822794524517498</v>
      </c>
      <c r="AE42" s="20">
        <v>61.4075989193474</v>
      </c>
      <c r="AF42" t="str">
        <f t="shared" si="0"/>
        <v>Residential</v>
      </c>
      <c r="AG42" t="str">
        <f>tbl_Data_old[[#This Row],[All_Meas_Name_Append]]</f>
        <v>Ceiling Insulation(R2 to R49) Residential</v>
      </c>
      <c r="AH42">
        <f>AVERAGEIFS('3. Incentive Adjustment'!G:G,'3. Incentive Adjustment'!A:A,tbl_Data_old[[#This Row],[Trimmed Sector]],'3. Incentive Adjustment'!B:B,tbl_Data_old[[#This Row],[Trimmed Measure Name]])</f>
        <v>0.79801279130038982</v>
      </c>
      <c r="AI42">
        <f>$AH42*tbl_Data_old[[#This Row],[2025 ]]</f>
        <v>5.5516351315151899</v>
      </c>
      <c r="AJ42">
        <f>$AH42*tbl_Data_old[[#This Row],[2026 ]]</f>
        <v>10.92472415035375</v>
      </c>
      <c r="AK42">
        <f>$AH42*tbl_Data_old[[#This Row],[2027 ]]</f>
        <v>16.129127322912201</v>
      </c>
      <c r="AL42">
        <f>$AH42*tbl_Data_old[[#This Row],[2028 ]]</f>
        <v>21.180069479286729</v>
      </c>
      <c r="AM42">
        <f>$AH42*tbl_Data_old[[#This Row],[2029 ]]</f>
        <v>26.088783070410365</v>
      </c>
      <c r="AN42">
        <f>$AH42*tbl_Data_old[[#This Row],[2030 ]]</f>
        <v>30.850562309980251</v>
      </c>
      <c r="AO42">
        <f>$AH42*tbl_Data_old[[#This Row],[2031 ]]</f>
        <v>35.494240033062944</v>
      </c>
      <c r="AP42">
        <f>$AH42*tbl_Data_old[[#This Row],[2032 ]]</f>
        <v>40.051066294375531</v>
      </c>
      <c r="AQ42">
        <f>$AH42*tbl_Data_old[[#This Row],[2033 ]]</f>
        <v>44.547304076698325</v>
      </c>
      <c r="AR42">
        <f>$AH42*tbl_Data_old[[#This Row],[2034 ]]</f>
        <v>49.004049420683224</v>
      </c>
      <c r="AS42">
        <f>SUM(tbl_Data_old[[#This Row],[Adjusted 2025]:[Adjusted 2034]])</f>
        <v>279.82156128927846</v>
      </c>
      <c r="AT42" s="3">
        <f>AVERAGEIFS('3. Incentive Adjustment'!F:F,'3. Incentive Adjustment'!A:A,tbl_Data_old[[#This Row],[Trimmed Sector]],'3. Incentive Adjustment'!B:B,tbl_Data_old[[#This Row],[Trimmed Measure Name]])</f>
        <v>164</v>
      </c>
      <c r="AU42" s="3">
        <f>IFERROR(VLOOKUP(tbl_Data_old[[#This Row],[All_Meas_Name_Append]],'IRA Tax Credits'!$A$3:$D$46,4,0),0)</f>
        <v>0</v>
      </c>
      <c r="AV42" s="4">
        <f>tbl_Data_old[[#This Row],[Adj. per unit Incentive ($)]]/tbl_Data_old[[#This Row],[kWh Savings]]*tbl_Data_old[[#This Row],[Sum of Annuals]]</f>
        <v>13.023907351178703</v>
      </c>
      <c r="AW42" s="4">
        <f>IFERROR(VLOOKUP(tbl_Data_old[[#This Row],[All_Programs]],'1. Set Program Names'!$B$2:$D$15,3,0)*tbl_Data_old[[#This Row],[Sum of Annuals]],"")</f>
        <v>124.75666464632674</v>
      </c>
      <c r="AX42" s="4">
        <f>tbl_Data_old[[#This Row],[per unit IRA tax ($)]]/tbl_Data_old[[#This Row],[kWh Savings]]*tbl_Data_old[[#This Row],[Sum of Annuals]]</f>
        <v>0</v>
      </c>
      <c r="AY42" s="4">
        <f>tbl_Data_old[[#This Row],[Avoided Costs ($/unit)]]/tbl_Data_old[[#This Row],[kWh Savings]]*tbl_Data_old[[#This Row],[Sum of Annuals]]</f>
        <v>273.23308153467133</v>
      </c>
      <c r="AZ42" s="4">
        <f>tbl_Data_old[[#This Row],[Lost Revenue ($/unit)]]/tbl_Data_old[[#This Row],[kWh Savings]]*tbl_Data_old[[#This Row],[Sum of Annuals]]</f>
        <v>508.06357900568156</v>
      </c>
      <c r="BA42" s="4">
        <f>tbl_Data_old[[#This Row],[Incremental Cost ($/unit)]]/tbl_Data_old[[#This Row],[kWh Savings]]*tbl_Data_old[[#This Row],[Sum of Annuals]]</f>
        <v>103.76242283567051</v>
      </c>
      <c r="BB42">
        <f>ROUNDUP(tbl_Data_old[[#This Row],[Adjusted 2025]]/$L42,0)</f>
        <v>1</v>
      </c>
      <c r="BC42">
        <f>ROUNDUP(tbl_Data_old[[#This Row],[Adjusted 2026]]/$L42,0)</f>
        <v>1</v>
      </c>
      <c r="BD42">
        <f>ROUNDUP(tbl_Data_old[[#This Row],[Adjusted 2027]]/$L42,0)</f>
        <v>1</v>
      </c>
      <c r="BE42">
        <f>ROUNDUP(tbl_Data_old[[#This Row],[Adjusted 2028]]/$L42,0)</f>
        <v>1</v>
      </c>
      <c r="BF42">
        <f>ROUNDUP(tbl_Data_old[[#This Row],[Adjusted 2029]]/$L42,0)</f>
        <v>1</v>
      </c>
      <c r="BG42">
        <f>ROUNDUP(tbl_Data_old[[#This Row],[Adjusted 2030]]/$L42,0)</f>
        <v>1</v>
      </c>
      <c r="BH42">
        <f>ROUNDUP(tbl_Data_old[[#This Row],[Adjusted 2031]]/$L42,0)</f>
        <v>1</v>
      </c>
      <c r="BI42">
        <f>ROUNDUP(tbl_Data_old[[#This Row],[Adjusted 2032]]/$L42,0)</f>
        <v>1</v>
      </c>
      <c r="BJ42">
        <f>ROUNDUP(tbl_Data_old[[#This Row],[Adjusted 2033]]/$L42,0)</f>
        <v>1</v>
      </c>
      <c r="BK42">
        <f>ROUNDUP(tbl_Data_old[[#This Row],[Adjusted 2034]]/$L42,0)</f>
        <v>1</v>
      </c>
      <c r="BL42" s="3">
        <f t="shared" si="2"/>
        <v>0.32379578074663018</v>
      </c>
      <c r="BM42">
        <f t="shared" si="2"/>
        <v>0.63717796683441497</v>
      </c>
      <c r="BN42">
        <f t="shared" si="2"/>
        <v>0.94072165237177419</v>
      </c>
      <c r="BO42">
        <f t="shared" si="2"/>
        <v>1.235314816419101</v>
      </c>
      <c r="BP42">
        <f t="shared" si="2"/>
        <v>1.5216125849227884</v>
      </c>
      <c r="BQ42">
        <f t="shared" si="2"/>
        <v>1.7993404957263961</v>
      </c>
      <c r="BR42">
        <f t="shared" si="2"/>
        <v>2.0701802065974744</v>
      </c>
      <c r="BS42">
        <f t="shared" si="2"/>
        <v>2.3359543581861719</v>
      </c>
      <c r="BT42">
        <f t="shared" si="2"/>
        <v>2.5981947231707423</v>
      </c>
      <c r="BU42">
        <f t="shared" si="2"/>
        <v>2.8581317154367749</v>
      </c>
      <c r="BV42">
        <f>VLOOKUP($H42,'1. Set Program Names'!$B$2:$D$15,3,0)*V42</f>
        <v>3.1016560962288282</v>
      </c>
      <c r="BW42">
        <f>VLOOKUP($H42,'1. Set Program Names'!$B$2:$D$15,3,0)*W42</f>
        <v>6.1035598445957246</v>
      </c>
      <c r="BX42">
        <f>VLOOKUP($H42,'1. Set Program Names'!$B$2:$D$15,3,0)*X42</f>
        <v>9.0112201005378179</v>
      </c>
      <c r="BY42">
        <f>VLOOKUP($H42,'1. Set Program Names'!$B$2:$D$15,3,0)*Y42</f>
        <v>11.833142860209973</v>
      </c>
      <c r="BZ42">
        <f>VLOOKUP($H42,'1. Set Program Names'!$B$2:$D$15,3,0)*Z42</f>
        <v>14.575603608057174</v>
      </c>
      <c r="CA42">
        <f>VLOOKUP($H42,'1. Set Program Names'!$B$2:$D$15,3,0)*AA42</f>
        <v>17.235973257255797</v>
      </c>
      <c r="CB42">
        <f>VLOOKUP($H42,'1. Set Program Names'!$B$2:$D$15,3,0)*AB42</f>
        <v>19.830360492281173</v>
      </c>
      <c r="CC42">
        <f>VLOOKUP($H42,'1. Set Program Names'!$B$2:$D$15,3,0)*AC42</f>
        <v>22.376224479743605</v>
      </c>
      <c r="CD42">
        <f>VLOOKUP($H42,'1. Set Program Names'!$B$2:$D$15,3,0)*AD42</f>
        <v>24.888238147297027</v>
      </c>
      <c r="CE42">
        <f>VLOOKUP($H42,'1. Set Program Names'!$B$2:$D$15,3,0)*AE42</f>
        <v>27.378187691538322</v>
      </c>
    </row>
    <row r="43" spans="1:83" x14ac:dyDescent="0.25">
      <c r="A43" s="20" t="s">
        <v>115</v>
      </c>
      <c r="B43" s="20" t="s">
        <v>88</v>
      </c>
      <c r="C43" s="20" t="s">
        <v>89</v>
      </c>
      <c r="D43" s="20" t="s">
        <v>90</v>
      </c>
      <c r="E43" s="20" t="s">
        <v>91</v>
      </c>
      <c r="F43" s="20" t="s">
        <v>90</v>
      </c>
      <c r="G43" s="20" t="s">
        <v>92</v>
      </c>
      <c r="H43" s="20" t="s">
        <v>5</v>
      </c>
      <c r="I43" s="20" t="s">
        <v>296</v>
      </c>
      <c r="J43" s="20" t="s">
        <v>97</v>
      </c>
      <c r="K43" s="20" t="s">
        <v>102</v>
      </c>
      <c r="L43" s="20">
        <v>936.45</v>
      </c>
      <c r="M43" s="20">
        <v>0.42562333070119601</v>
      </c>
      <c r="N43" s="20">
        <v>3.9115067461125599E-2</v>
      </c>
      <c r="O43" s="53">
        <v>685.00999995999996</v>
      </c>
      <c r="P43" s="20">
        <v>458.12689399999903</v>
      </c>
      <c r="Q43" s="20">
        <v>278.34018715299698</v>
      </c>
      <c r="R43" s="20">
        <v>763.90764278946904</v>
      </c>
      <c r="S43" s="20">
        <v>1415.5155729468199</v>
      </c>
      <c r="T43" s="20">
        <v>20</v>
      </c>
      <c r="U43" s="20">
        <v>0.9</v>
      </c>
      <c r="V43" s="20">
        <v>37.155939820388198</v>
      </c>
      <c r="W43" s="20">
        <v>73.116837836860995</v>
      </c>
      <c r="X43" s="20">
        <v>107.94869366092399</v>
      </c>
      <c r="Y43" s="20">
        <v>141.75340999654199</v>
      </c>
      <c r="Z43" s="20">
        <v>174.60616879710901</v>
      </c>
      <c r="AA43" s="20">
        <v>206.47548105205999</v>
      </c>
      <c r="AB43" s="20">
        <v>237.554322319081</v>
      </c>
      <c r="AC43" s="20">
        <v>268.05184479268598</v>
      </c>
      <c r="AD43" s="20">
        <v>298.14382257380402</v>
      </c>
      <c r="AE43" s="20">
        <v>327.97144812060799</v>
      </c>
      <c r="AF43" t="str">
        <f t="shared" si="0"/>
        <v>Residential</v>
      </c>
      <c r="AG43" t="str">
        <f>tbl_Data_old[[#This Row],[All_Meas_Name_Append]]</f>
        <v>Duct Repair</v>
      </c>
      <c r="AH43">
        <f>AVERAGEIFS('3. Incentive Adjustment'!G:G,'3. Incentive Adjustment'!A:A,tbl_Data_old[[#This Row],[Trimmed Sector]],'3. Incentive Adjustment'!B:B,tbl_Data_old[[#This Row],[Trimmed Measure Name]])</f>
        <v>0.36456477469769399</v>
      </c>
      <c r="AI43">
        <f>$AH43*tbl_Data_old[[#This Row],[2025 ]]</f>
        <v>13.545746829300899</v>
      </c>
      <c r="AJ43">
        <f>$AH43*tbl_Data_old[[#This Row],[2026 ]]</f>
        <v>26.655823512603057</v>
      </c>
      <c r="AK43">
        <f>$AH43*tbl_Data_old[[#This Row],[2027 ]]</f>
        <v>39.354291183405145</v>
      </c>
      <c r="AL43">
        <f>$AH43*tbl_Data_old[[#This Row],[2028 ]]</f>
        <v>51.678299978019176</v>
      </c>
      <c r="AM43">
        <f>$AH43*tbl_Data_old[[#This Row],[2029 ]]</f>
        <v>63.655258588345575</v>
      </c>
      <c r="AN43">
        <f>$AH43*tbl_Data_old[[#This Row],[2030 ]]</f>
        <v>75.273687230342233</v>
      </c>
      <c r="AO43">
        <f>$AH43*tbl_Data_old[[#This Row],[2031 ]]</f>
        <v>86.603937994719146</v>
      </c>
      <c r="AP43">
        <f>$AH43*tbl_Data_old[[#This Row],[2032 ]]</f>
        <v>97.722260404146809</v>
      </c>
      <c r="AQ43">
        <f>$AH43*tbl_Data_old[[#This Row],[2033 ]]</f>
        <v>108.69273550412811</v>
      </c>
      <c r="AR43">
        <f>$AH43*tbl_Data_old[[#This Row],[2034 ]]</f>
        <v>119.56683709136588</v>
      </c>
      <c r="AS43">
        <f>SUM(tbl_Data_old[[#This Row],[Adjusted 2025]:[Adjusted 2034]])</f>
        <v>682.74887831637602</v>
      </c>
      <c r="AT43" s="3">
        <f>AVERAGEIFS('3. Incentive Adjustment'!F:F,'3. Incentive Adjustment'!A:A,tbl_Data_old[[#This Row],[Trimmed Sector]],'3. Incentive Adjustment'!B:B,tbl_Data_old[[#This Row],[Trimmed Measure Name]])</f>
        <v>100</v>
      </c>
      <c r="AU43" s="3">
        <f>IFERROR(VLOOKUP(tbl_Data_old[[#This Row],[All_Meas_Name_Append]],'IRA Tax Credits'!$A$3:$D$46,4,0),0)</f>
        <v>0</v>
      </c>
      <c r="AV43" s="4">
        <f>tbl_Data_old[[#This Row],[Adj. per unit Incentive ($)]]/tbl_Data_old[[#This Row],[kWh Savings]]*tbl_Data_old[[#This Row],[Sum of Annuals]]</f>
        <v>72.908204209127661</v>
      </c>
      <c r="AW43" s="4">
        <f>IFERROR(VLOOKUP(tbl_Data_old[[#This Row],[All_Programs]],'1. Set Program Names'!$B$2:$D$15,3,0)*tbl_Data_old[[#This Row],[Sum of Annuals]],"")</f>
        <v>304.39924806836353</v>
      </c>
      <c r="AX43" s="4">
        <f>tbl_Data_old[[#This Row],[per unit IRA tax ($)]]/tbl_Data_old[[#This Row],[kWh Savings]]*tbl_Data_old[[#This Row],[Sum of Annuals]]</f>
        <v>0</v>
      </c>
      <c r="AY43" s="4">
        <f>tbl_Data_old[[#This Row],[Avoided Costs ($/unit)]]/tbl_Data_old[[#This Row],[kWh Savings]]*tbl_Data_old[[#This Row],[Sum of Annuals]]</f>
        <v>556.95134417407951</v>
      </c>
      <c r="AZ43" s="4">
        <f>tbl_Data_old[[#This Row],[Lost Revenue ($/unit)]]/tbl_Data_old[[#This Row],[kWh Savings]]*tbl_Data_old[[#This Row],[Sum of Annuals]]</f>
        <v>1032.026984536071</v>
      </c>
      <c r="BA43" s="4">
        <f>tbl_Data_old[[#This Row],[Incremental Cost ($/unit)]]/tbl_Data_old[[#This Row],[kWh Savings]]*tbl_Data_old[[#This Row],[Sum of Annuals]]</f>
        <v>499.42848962378207</v>
      </c>
      <c r="BB43">
        <f>ROUNDUP(tbl_Data_old[[#This Row],[Adjusted 2025]]/$L43,0)</f>
        <v>1</v>
      </c>
      <c r="BC43">
        <f>ROUNDUP(tbl_Data_old[[#This Row],[Adjusted 2026]]/$L43,0)</f>
        <v>1</v>
      </c>
      <c r="BD43">
        <f>ROUNDUP(tbl_Data_old[[#This Row],[Adjusted 2027]]/$L43,0)</f>
        <v>1</v>
      </c>
      <c r="BE43">
        <f>ROUNDUP(tbl_Data_old[[#This Row],[Adjusted 2028]]/$L43,0)</f>
        <v>1</v>
      </c>
      <c r="BF43">
        <f>ROUNDUP(tbl_Data_old[[#This Row],[Adjusted 2029]]/$L43,0)</f>
        <v>1</v>
      </c>
      <c r="BG43">
        <f>ROUNDUP(tbl_Data_old[[#This Row],[Adjusted 2030]]/$L43,0)</f>
        <v>1</v>
      </c>
      <c r="BH43">
        <f>ROUNDUP(tbl_Data_old[[#This Row],[Adjusted 2031]]/$L43,0)</f>
        <v>1</v>
      </c>
      <c r="BI43">
        <f>ROUNDUP(tbl_Data_old[[#This Row],[Adjusted 2032]]/$L43,0)</f>
        <v>1</v>
      </c>
      <c r="BJ43">
        <f>ROUNDUP(tbl_Data_old[[#This Row],[Adjusted 2033]]/$L43,0)</f>
        <v>1</v>
      </c>
      <c r="BK43">
        <f>ROUNDUP(tbl_Data_old[[#This Row],[Adjusted 2034]]/$L43,0)</f>
        <v>1</v>
      </c>
      <c r="BL43" s="3">
        <f t="shared" si="2"/>
        <v>3.9677441209235087</v>
      </c>
      <c r="BM43">
        <f t="shared" si="2"/>
        <v>7.8078741883561316</v>
      </c>
      <c r="BN43">
        <f t="shared" si="2"/>
        <v>11.52743805445288</v>
      </c>
      <c r="BO43">
        <f t="shared" si="2"/>
        <v>15.137317528596506</v>
      </c>
      <c r="BP43">
        <f t="shared" si="2"/>
        <v>18.645541010957231</v>
      </c>
      <c r="BQ43">
        <f t="shared" ref="BQ43:BU74" si="3">$AT43/$L43*AA43</f>
        <v>22.048745907636285</v>
      </c>
      <c r="BR43">
        <f t="shared" si="3"/>
        <v>25.367539358116396</v>
      </c>
      <c r="BS43">
        <f t="shared" si="3"/>
        <v>28.624255944544394</v>
      </c>
      <c r="BT43">
        <f t="shared" si="3"/>
        <v>31.83766592704405</v>
      </c>
      <c r="BU43">
        <f t="shared" si="3"/>
        <v>35.022846721192586</v>
      </c>
      <c r="BV43">
        <f>VLOOKUP($H43,'1. Set Program Names'!$B$2:$D$15,3,0)*V43</f>
        <v>16.565739617895836</v>
      </c>
      <c r="BW43">
        <f>VLOOKUP($H43,'1. Set Program Names'!$B$2:$D$15,3,0)*W43</f>
        <v>32.598677442811585</v>
      </c>
      <c r="BX43">
        <f>VLOOKUP($H43,'1. Set Program Names'!$B$2:$D$15,3,0)*X43</f>
        <v>48.128238982065028</v>
      </c>
      <c r="BY43">
        <f>VLOOKUP($H43,'1. Set Program Names'!$B$2:$D$15,3,0)*Y43</f>
        <v>63.199856908558566</v>
      </c>
      <c r="BZ43">
        <f>VLOOKUP($H43,'1. Set Program Names'!$B$2:$D$15,3,0)*Z43</f>
        <v>77.847050618380948</v>
      </c>
      <c r="CA43">
        <f>VLOOKUP($H43,'1. Set Program Names'!$B$2:$D$15,3,0)*AA43</f>
        <v>92.055780936305624</v>
      </c>
      <c r="CB43">
        <f>VLOOKUP($H43,'1. Set Program Names'!$B$2:$D$15,3,0)*AB43</f>
        <v>105.91208478823729</v>
      </c>
      <c r="CC43">
        <f>VLOOKUP($H43,'1. Set Program Names'!$B$2:$D$15,3,0)*AC43</f>
        <v>119.5092113507969</v>
      </c>
      <c r="CD43">
        <f>VLOOKUP($H43,'1. Set Program Names'!$B$2:$D$15,3,0)*AD43</f>
        <v>132.92552838972088</v>
      </c>
      <c r="CE43">
        <f>VLOOKUP($H43,'1. Set Program Names'!$B$2:$D$15,3,0)*AE43</f>
        <v>146.22398566511245</v>
      </c>
    </row>
    <row r="44" spans="1:83" x14ac:dyDescent="0.25">
      <c r="A44" s="20" t="s">
        <v>115</v>
      </c>
      <c r="B44" s="20" t="s">
        <v>88</v>
      </c>
      <c r="C44" s="20" t="s">
        <v>89</v>
      </c>
      <c r="D44" s="20" t="s">
        <v>90</v>
      </c>
      <c r="E44" s="20" t="s">
        <v>91</v>
      </c>
      <c r="F44" s="20" t="s">
        <v>90</v>
      </c>
      <c r="G44" s="20" t="s">
        <v>92</v>
      </c>
      <c r="H44" s="20" t="s">
        <v>5</v>
      </c>
      <c r="I44" s="20" t="s">
        <v>297</v>
      </c>
      <c r="J44" s="20" t="s">
        <v>97</v>
      </c>
      <c r="K44" s="20" t="s">
        <v>298</v>
      </c>
      <c r="L44" s="20">
        <v>57.93</v>
      </c>
      <c r="M44" s="20">
        <v>0</v>
      </c>
      <c r="N44" s="20">
        <v>1.1014721785810099E-2</v>
      </c>
      <c r="O44" s="53">
        <v>154.1011072</v>
      </c>
      <c r="P44" s="20">
        <v>140.06582681793901</v>
      </c>
      <c r="Q44" s="20">
        <v>17.218481543887101</v>
      </c>
      <c r="R44" s="20">
        <v>46.999759951794701</v>
      </c>
      <c r="S44" s="20">
        <v>87.565611768711094</v>
      </c>
      <c r="T44" s="20">
        <v>20</v>
      </c>
      <c r="U44" s="20">
        <v>0.8</v>
      </c>
      <c r="V44" s="20">
        <v>0</v>
      </c>
      <c r="W44" s="20">
        <v>0</v>
      </c>
      <c r="X44" s="20">
        <v>0</v>
      </c>
      <c r="Y44" s="20">
        <v>0</v>
      </c>
      <c r="Z44" s="20">
        <v>0</v>
      </c>
      <c r="AA44" s="20">
        <v>0</v>
      </c>
      <c r="AB44" s="20">
        <v>0</v>
      </c>
      <c r="AC44" s="20">
        <v>0</v>
      </c>
      <c r="AD44" s="20">
        <v>0</v>
      </c>
      <c r="AE44" s="20">
        <v>0</v>
      </c>
      <c r="AF44" t="str">
        <f t="shared" si="0"/>
        <v>Residential</v>
      </c>
      <c r="AG44" t="str">
        <f>tbl_Data_old[[#This Row],[All_Meas_Name_Append]]</f>
        <v>Energy Star Windows Residential</v>
      </c>
      <c r="AH44">
        <f>AVERAGEIFS('3. Incentive Adjustment'!G:G,'3. Incentive Adjustment'!A:A,tbl_Data_old[[#This Row],[Trimmed Sector]],'3. Incentive Adjustment'!B:B,tbl_Data_old[[#This Row],[Trimmed Measure Name]])</f>
        <v>1.5721893920937398</v>
      </c>
      <c r="AI44">
        <f>$AH44*tbl_Data_old[[#This Row],[2025 ]]</f>
        <v>0</v>
      </c>
      <c r="AJ44">
        <f>$AH44*tbl_Data_old[[#This Row],[2026 ]]</f>
        <v>0</v>
      </c>
      <c r="AK44">
        <f>$AH44*tbl_Data_old[[#This Row],[2027 ]]</f>
        <v>0</v>
      </c>
      <c r="AL44">
        <f>$AH44*tbl_Data_old[[#This Row],[2028 ]]</f>
        <v>0</v>
      </c>
      <c r="AM44">
        <f>$AH44*tbl_Data_old[[#This Row],[2029 ]]</f>
        <v>0</v>
      </c>
      <c r="AN44">
        <f>$AH44*tbl_Data_old[[#This Row],[2030 ]]</f>
        <v>0</v>
      </c>
      <c r="AO44">
        <f>$AH44*tbl_Data_old[[#This Row],[2031 ]]</f>
        <v>0</v>
      </c>
      <c r="AP44">
        <f>$AH44*tbl_Data_old[[#This Row],[2032 ]]</f>
        <v>0</v>
      </c>
      <c r="AQ44">
        <f>$AH44*tbl_Data_old[[#This Row],[2033 ]]</f>
        <v>0</v>
      </c>
      <c r="AR44">
        <f>$AH44*tbl_Data_old[[#This Row],[2034 ]]</f>
        <v>0</v>
      </c>
      <c r="AS44">
        <f>SUM(tbl_Data_old[[#This Row],[Adjusted 2025]:[Adjusted 2034]])</f>
        <v>0</v>
      </c>
      <c r="AT44" s="3">
        <f>AVERAGEIFS('3. Incentive Adjustment'!F:F,'3. Incentive Adjustment'!A:A,tbl_Data_old[[#This Row],[Trimmed Sector]],'3. Incentive Adjustment'!B:B,tbl_Data_old[[#This Row],[Trimmed Measure Name]])</f>
        <v>150</v>
      </c>
      <c r="AU44" s="3">
        <f>IFERROR(VLOOKUP(tbl_Data_old[[#This Row],[All_Meas_Name_Append]],'IRA Tax Credits'!$A$3:$D$46,4,0),0)</f>
        <v>0</v>
      </c>
      <c r="AV44" s="4">
        <f>tbl_Data_old[[#This Row],[Adj. per unit Incentive ($)]]/tbl_Data_old[[#This Row],[kWh Savings]]*tbl_Data_old[[#This Row],[Sum of Annuals]]</f>
        <v>0</v>
      </c>
      <c r="AW44" s="4">
        <f>IFERROR(VLOOKUP(tbl_Data_old[[#This Row],[All_Programs]],'1. Set Program Names'!$B$2:$D$15,3,0)*tbl_Data_old[[#This Row],[Sum of Annuals]],"")</f>
        <v>0</v>
      </c>
      <c r="AX44" s="4">
        <f>tbl_Data_old[[#This Row],[per unit IRA tax ($)]]/tbl_Data_old[[#This Row],[kWh Savings]]*tbl_Data_old[[#This Row],[Sum of Annuals]]</f>
        <v>0</v>
      </c>
      <c r="AY44" s="4">
        <f>tbl_Data_old[[#This Row],[Avoided Costs ($/unit)]]/tbl_Data_old[[#This Row],[kWh Savings]]*tbl_Data_old[[#This Row],[Sum of Annuals]]</f>
        <v>0</v>
      </c>
      <c r="AZ44" s="4">
        <f>tbl_Data_old[[#This Row],[Lost Revenue ($/unit)]]/tbl_Data_old[[#This Row],[kWh Savings]]*tbl_Data_old[[#This Row],[Sum of Annuals]]</f>
        <v>0</v>
      </c>
      <c r="BA44" s="4">
        <f>tbl_Data_old[[#This Row],[Incremental Cost ($/unit)]]/tbl_Data_old[[#This Row],[kWh Savings]]*tbl_Data_old[[#This Row],[Sum of Annuals]]</f>
        <v>0</v>
      </c>
      <c r="BB44">
        <f>ROUNDUP(tbl_Data_old[[#This Row],[Adjusted 2025]]/$L44,0)</f>
        <v>0</v>
      </c>
      <c r="BC44">
        <f>ROUNDUP(tbl_Data_old[[#This Row],[Adjusted 2026]]/$L44,0)</f>
        <v>0</v>
      </c>
      <c r="BD44">
        <f>ROUNDUP(tbl_Data_old[[#This Row],[Adjusted 2027]]/$L44,0)</f>
        <v>0</v>
      </c>
      <c r="BE44">
        <f>ROUNDUP(tbl_Data_old[[#This Row],[Adjusted 2028]]/$L44,0)</f>
        <v>0</v>
      </c>
      <c r="BF44">
        <f>ROUNDUP(tbl_Data_old[[#This Row],[Adjusted 2029]]/$L44,0)</f>
        <v>0</v>
      </c>
      <c r="BG44">
        <f>ROUNDUP(tbl_Data_old[[#This Row],[Adjusted 2030]]/$L44,0)</f>
        <v>0</v>
      </c>
      <c r="BH44">
        <f>ROUNDUP(tbl_Data_old[[#This Row],[Adjusted 2031]]/$L44,0)</f>
        <v>0</v>
      </c>
      <c r="BI44">
        <f>ROUNDUP(tbl_Data_old[[#This Row],[Adjusted 2032]]/$L44,0)</f>
        <v>0</v>
      </c>
      <c r="BJ44">
        <f>ROUNDUP(tbl_Data_old[[#This Row],[Adjusted 2033]]/$L44,0)</f>
        <v>0</v>
      </c>
      <c r="BK44">
        <f>ROUNDUP(tbl_Data_old[[#This Row],[Adjusted 2034]]/$L44,0)</f>
        <v>0</v>
      </c>
      <c r="BL44" s="3">
        <f t="shared" ref="BL44:BU75" si="4">$AT44/$L44*V44</f>
        <v>0</v>
      </c>
      <c r="BM44">
        <f t="shared" si="4"/>
        <v>0</v>
      </c>
      <c r="BN44">
        <f t="shared" si="4"/>
        <v>0</v>
      </c>
      <c r="BO44">
        <f t="shared" si="4"/>
        <v>0</v>
      </c>
      <c r="BP44">
        <f t="shared" si="4"/>
        <v>0</v>
      </c>
      <c r="BQ44">
        <f t="shared" si="3"/>
        <v>0</v>
      </c>
      <c r="BR44">
        <f t="shared" si="3"/>
        <v>0</v>
      </c>
      <c r="BS44">
        <f t="shared" si="3"/>
        <v>0</v>
      </c>
      <c r="BT44">
        <f t="shared" si="3"/>
        <v>0</v>
      </c>
      <c r="BU44">
        <f t="shared" si="3"/>
        <v>0</v>
      </c>
      <c r="BV44">
        <f>VLOOKUP($H44,'1. Set Program Names'!$B$2:$D$15,3,0)*V44</f>
        <v>0</v>
      </c>
      <c r="BW44">
        <f>VLOOKUP($H44,'1. Set Program Names'!$B$2:$D$15,3,0)*W44</f>
        <v>0</v>
      </c>
      <c r="BX44">
        <f>VLOOKUP($H44,'1. Set Program Names'!$B$2:$D$15,3,0)*X44</f>
        <v>0</v>
      </c>
      <c r="BY44">
        <f>VLOOKUP($H44,'1. Set Program Names'!$B$2:$D$15,3,0)*Y44</f>
        <v>0</v>
      </c>
      <c r="BZ44">
        <f>VLOOKUP($H44,'1. Set Program Names'!$B$2:$D$15,3,0)*Z44</f>
        <v>0</v>
      </c>
      <c r="CA44">
        <f>VLOOKUP($H44,'1. Set Program Names'!$B$2:$D$15,3,0)*AA44</f>
        <v>0</v>
      </c>
      <c r="CB44">
        <f>VLOOKUP($H44,'1. Set Program Names'!$B$2:$D$15,3,0)*AB44</f>
        <v>0</v>
      </c>
      <c r="CC44">
        <f>VLOOKUP($H44,'1. Set Program Names'!$B$2:$D$15,3,0)*AC44</f>
        <v>0</v>
      </c>
      <c r="CD44">
        <f>VLOOKUP($H44,'1. Set Program Names'!$B$2:$D$15,3,0)*AD44</f>
        <v>0</v>
      </c>
      <c r="CE44">
        <f>VLOOKUP($H44,'1. Set Program Names'!$B$2:$D$15,3,0)*AE44</f>
        <v>0</v>
      </c>
    </row>
    <row r="45" spans="1:83" x14ac:dyDescent="0.25">
      <c r="A45" s="20" t="s">
        <v>115</v>
      </c>
      <c r="B45" s="20" t="s">
        <v>88</v>
      </c>
      <c r="C45" s="20" t="s">
        <v>89</v>
      </c>
      <c r="D45" s="20" t="s">
        <v>90</v>
      </c>
      <c r="E45" s="20" t="s">
        <v>91</v>
      </c>
      <c r="F45" s="20" t="s">
        <v>90</v>
      </c>
      <c r="G45" s="20" t="s">
        <v>92</v>
      </c>
      <c r="H45" s="20" t="s">
        <v>5</v>
      </c>
      <c r="I45" s="20" t="s">
        <v>107</v>
      </c>
      <c r="J45" s="20" t="s">
        <v>94</v>
      </c>
      <c r="K45" s="20" t="s">
        <v>108</v>
      </c>
      <c r="L45" s="20">
        <v>1663.1099999999899</v>
      </c>
      <c r="M45" s="20">
        <v>6.6647595975018806E-2</v>
      </c>
      <c r="N45" s="20">
        <v>0.309148293753995</v>
      </c>
      <c r="O45" s="20">
        <v>1389.5</v>
      </c>
      <c r="P45" s="20">
        <v>988.78817699699403</v>
      </c>
      <c r="Q45" s="20">
        <v>494.32468221049697</v>
      </c>
      <c r="R45" s="20">
        <v>791.96156853290995</v>
      </c>
      <c r="S45" s="20">
        <v>2127.4894292214699</v>
      </c>
      <c r="T45" s="20">
        <v>15</v>
      </c>
      <c r="U45" s="20">
        <v>0.7</v>
      </c>
      <c r="V45" s="20">
        <v>2.44122159709026</v>
      </c>
      <c r="W45" s="20">
        <v>5.1561473226649897</v>
      </c>
      <c r="X45" s="20">
        <v>8.1233003301077993</v>
      </c>
      <c r="Y45" s="20">
        <v>11.3289362825629</v>
      </c>
      <c r="Z45" s="20">
        <v>14.7616306004393</v>
      </c>
      <c r="AA45" s="20">
        <v>18.401909616705499</v>
      </c>
      <c r="AB45" s="20">
        <v>22.258960695463301</v>
      </c>
      <c r="AC45" s="20">
        <v>26.351485726007901</v>
      </c>
      <c r="AD45" s="20">
        <v>30.701285662800299</v>
      </c>
      <c r="AE45" s="20">
        <v>35.331895628011303</v>
      </c>
      <c r="AF45" t="str">
        <f t="shared" si="0"/>
        <v>Residential</v>
      </c>
      <c r="AG45" t="str">
        <f>tbl_Data_old[[#This Row],[All_Meas_Name_Append]]</f>
        <v>Heat Pump Water Heater 50 Gallons- CEE Advanced Tier</v>
      </c>
      <c r="AH45">
        <f>AVERAGEIFS('3. Incentive Adjustment'!G:G,'3. Incentive Adjustment'!A:A,tbl_Data_old[[#This Row],[Trimmed Sector]],'3. Incentive Adjustment'!B:B,tbl_Data_old[[#This Row],[Trimmed Measure Name]])</f>
        <v>0.46049099596140497</v>
      </c>
      <c r="AI45">
        <f>$AH45*tbl_Data_old[[#This Row],[2025 ]]</f>
        <v>1.1241605646065855</v>
      </c>
      <c r="AJ45">
        <f>$AH45*tbl_Data_old[[#This Row],[2026 ]]</f>
        <v>2.3743594159377328</v>
      </c>
      <c r="AK45">
        <f>$AH45*tbl_Data_old[[#This Row],[2027 ]]</f>
        <v>3.7407066595049501</v>
      </c>
      <c r="AL45">
        <f>$AH45*tbl_Data_old[[#This Row],[2028 ]]</f>
        <v>5.2168731519406863</v>
      </c>
      <c r="AM45">
        <f>$AH45*tbl_Data_old[[#This Row],[2029 ]]</f>
        <v>6.7975979772106463</v>
      </c>
      <c r="AN45">
        <f>$AH45*tbl_Data_old[[#This Row],[2030 ]]</f>
        <v>8.473913686988471</v>
      </c>
      <c r="AO45">
        <f>$AH45*tbl_Data_old[[#This Row],[2031 ]]</f>
        <v>10.250050979719664</v>
      </c>
      <c r="AP45">
        <f>$AH45*tbl_Data_old[[#This Row],[2032 ]]</f>
        <v>12.134621907032125</v>
      </c>
      <c r="AQ45">
        <f>$AH45*tbl_Data_old[[#This Row],[2033 ]]</f>
        <v>14.137665612158512</v>
      </c>
      <c r="AR45">
        <f>$AH45*tbl_Data_old[[#This Row],[2034 ]]</f>
        <v>16.270019806947335</v>
      </c>
      <c r="AS45">
        <f>SUM(tbl_Data_old[[#This Row],[Adjusted 2025]:[Adjusted 2034]])</f>
        <v>80.519969762046713</v>
      </c>
      <c r="AT45" s="3">
        <f>AVERAGEIFS('3. Incentive Adjustment'!F:F,'3. Incentive Adjustment'!A:A,tbl_Data_old[[#This Row],[Trimmed Sector]],'3. Incentive Adjustment'!B:B,tbl_Data_old[[#This Row],[Trimmed Measure Name]])</f>
        <v>500</v>
      </c>
      <c r="AU45" s="3">
        <f>IFERROR(VLOOKUP(tbl_Data_old[[#This Row],[All_Meas_Name_Append]],'IRA Tax Credits'!$A$3:$D$46,4,0),0)</f>
        <v>1666.6666666666667</v>
      </c>
      <c r="AV45" s="4">
        <f>tbl_Data_old[[#This Row],[Adj. per unit Incentive ($)]]/tbl_Data_old[[#This Row],[kWh Savings]]*tbl_Data_old[[#This Row],[Sum of Annuals]]</f>
        <v>24.207650053829035</v>
      </c>
      <c r="AW45" s="4">
        <f>IFERROR(VLOOKUP(tbl_Data_old[[#This Row],[All_Programs]],'1. Set Program Names'!$B$2:$D$15,3,0)*tbl_Data_old[[#This Row],[Sum of Annuals]],"")</f>
        <v>35.89931675976581</v>
      </c>
      <c r="AX45" s="4">
        <f>tbl_Data_old[[#This Row],[per unit IRA tax ($)]]/tbl_Data_old[[#This Row],[kWh Savings]]*tbl_Data_old[[#This Row],[Sum of Annuals]]</f>
        <v>80.692166846096782</v>
      </c>
      <c r="AY45" s="4">
        <f>tbl_Data_old[[#This Row],[Avoided Costs ($/unit)]]/tbl_Data_old[[#This Row],[kWh Savings]]*tbl_Data_old[[#This Row],[Sum of Annuals]]</f>
        <v>38.343057014252445</v>
      </c>
      <c r="AZ45" s="4">
        <f>tbl_Data_old[[#This Row],[Lost Revenue ($/unit)]]/tbl_Data_old[[#This Row],[kWh Savings]]*tbl_Data_old[[#This Row],[Sum of Annuals]]</f>
        <v>103.00303919162762</v>
      </c>
      <c r="BA45" s="4">
        <f>tbl_Data_old[[#This Row],[Incremental Cost ($/unit)]]/tbl_Data_old[[#This Row],[kWh Savings]]*tbl_Data_old[[#This Row],[Sum of Annuals]]</f>
        <v>67.273059499590872</v>
      </c>
      <c r="BB45">
        <f>ROUNDUP(tbl_Data_old[[#This Row],[Adjusted 2025]]/$L45,0)</f>
        <v>1</v>
      </c>
      <c r="BC45">
        <f>ROUNDUP(tbl_Data_old[[#This Row],[Adjusted 2026]]/$L45,0)</f>
        <v>1</v>
      </c>
      <c r="BD45">
        <f>ROUNDUP(tbl_Data_old[[#This Row],[Adjusted 2027]]/$L45,0)</f>
        <v>1</v>
      </c>
      <c r="BE45">
        <f>ROUNDUP(tbl_Data_old[[#This Row],[Adjusted 2028]]/$L45,0)</f>
        <v>1</v>
      </c>
      <c r="BF45">
        <f>ROUNDUP(tbl_Data_old[[#This Row],[Adjusted 2029]]/$L45,0)</f>
        <v>1</v>
      </c>
      <c r="BG45">
        <f>ROUNDUP(tbl_Data_old[[#This Row],[Adjusted 2030]]/$L45,0)</f>
        <v>1</v>
      </c>
      <c r="BH45">
        <f>ROUNDUP(tbl_Data_old[[#This Row],[Adjusted 2031]]/$L45,0)</f>
        <v>1</v>
      </c>
      <c r="BI45">
        <f>ROUNDUP(tbl_Data_old[[#This Row],[Adjusted 2032]]/$L45,0)</f>
        <v>1</v>
      </c>
      <c r="BJ45">
        <f>ROUNDUP(tbl_Data_old[[#This Row],[Adjusted 2033]]/$L45,0)</f>
        <v>1</v>
      </c>
      <c r="BK45">
        <f>ROUNDUP(tbl_Data_old[[#This Row],[Adjusted 2034]]/$L45,0)</f>
        <v>1</v>
      </c>
      <c r="BL45" s="3">
        <f t="shared" si="4"/>
        <v>0.73393269149072371</v>
      </c>
      <c r="BM45">
        <f t="shared" si="4"/>
        <v>1.5501522216404873</v>
      </c>
      <c r="BN45">
        <f t="shared" si="4"/>
        <v>2.442201757583037</v>
      </c>
      <c r="BO45">
        <f t="shared" si="4"/>
        <v>3.4059491803196931</v>
      </c>
      <c r="BP45">
        <f t="shared" si="4"/>
        <v>4.4379597863158153</v>
      </c>
      <c r="BQ45">
        <f t="shared" si="3"/>
        <v>5.5323789817587565</v>
      </c>
      <c r="BR45">
        <f t="shared" si="3"/>
        <v>6.6919688702080551</v>
      </c>
      <c r="BS45">
        <f t="shared" si="3"/>
        <v>7.9223520170067108</v>
      </c>
      <c r="BT45">
        <f t="shared" si="3"/>
        <v>9.2300826953119426</v>
      </c>
      <c r="BU45">
        <f t="shared" si="3"/>
        <v>10.622236541182339</v>
      </c>
      <c r="BV45">
        <f>VLOOKUP($H45,'1. Set Program Names'!$B$2:$D$15,3,0)*V45</f>
        <v>1.0884031334551383</v>
      </c>
      <c r="BW45">
        <f>VLOOKUP($H45,'1. Set Program Names'!$B$2:$D$15,3,0)*W45</f>
        <v>2.2988355130209852</v>
      </c>
      <c r="BX45">
        <f>VLOOKUP($H45,'1. Set Program Names'!$B$2:$D$15,3,0)*X45</f>
        <v>3.6217218231334498</v>
      </c>
      <c r="BY45">
        <f>VLOOKUP($H45,'1. Set Program Names'!$B$2:$D$15,3,0)*Y45</f>
        <v>5.050934238559897</v>
      </c>
      <c r="BZ45">
        <f>VLOOKUP($H45,'1. Set Program Names'!$B$2:$D$15,3,0)*Z45</f>
        <v>6.581379183100581</v>
      </c>
      <c r="CA45">
        <f>VLOOKUP($H45,'1. Set Program Names'!$B$2:$D$15,3,0)*AA45</f>
        <v>8.204374446077777</v>
      </c>
      <c r="CB45">
        <f>VLOOKUP($H45,'1. Set Program Names'!$B$2:$D$15,3,0)*AB45</f>
        <v>9.9240161553843897</v>
      </c>
      <c r="CC45">
        <f>VLOOKUP($H45,'1. Set Program Names'!$B$2:$D$15,3,0)*AC45</f>
        <v>11.748642429499577</v>
      </c>
      <c r="CD45">
        <f>VLOOKUP($H45,'1. Set Program Names'!$B$2:$D$15,3,0)*AD45</f>
        <v>13.687973085410027</v>
      </c>
      <c r="CE45">
        <f>VLOOKUP($H45,'1. Set Program Names'!$B$2:$D$15,3,0)*AE45</f>
        <v>15.752501107754039</v>
      </c>
    </row>
    <row r="46" spans="1:83" x14ac:dyDescent="0.25">
      <c r="A46" s="20" t="s">
        <v>115</v>
      </c>
      <c r="B46" s="20" t="s">
        <v>88</v>
      </c>
      <c r="C46" s="20" t="s">
        <v>89</v>
      </c>
      <c r="D46" s="20" t="s">
        <v>90</v>
      </c>
      <c r="E46" s="20" t="s">
        <v>91</v>
      </c>
      <c r="F46" s="20" t="s">
        <v>90</v>
      </c>
      <c r="G46" s="20" t="s">
        <v>92</v>
      </c>
      <c r="H46" s="20" t="s">
        <v>5</v>
      </c>
      <c r="I46" s="20" t="s">
        <v>109</v>
      </c>
      <c r="J46" s="20" t="s">
        <v>94</v>
      </c>
      <c r="K46" s="20" t="s">
        <v>95</v>
      </c>
      <c r="L46" s="20">
        <v>1590.11499999999</v>
      </c>
      <c r="M46" s="20">
        <v>6.3722388822036402E-2</v>
      </c>
      <c r="N46" s="20">
        <v>0.29557957027655002</v>
      </c>
      <c r="O46" s="20">
        <v>1389.5</v>
      </c>
      <c r="P46" s="20">
        <v>1006.47372867305</v>
      </c>
      <c r="Q46" s="20">
        <v>472.62844433209199</v>
      </c>
      <c r="R46" s="20">
        <v>757.20185047754296</v>
      </c>
      <c r="S46" s="20">
        <v>2034.1125083407001</v>
      </c>
      <c r="T46" s="20">
        <v>15</v>
      </c>
      <c r="U46" s="20">
        <v>0.7</v>
      </c>
      <c r="V46" s="20">
        <v>3.4886834679726202</v>
      </c>
      <c r="W46" s="20">
        <v>7.3669193079433102</v>
      </c>
      <c r="X46" s="20">
        <v>11.603896820639299</v>
      </c>
      <c r="Y46" s="20">
        <v>16.179908518087</v>
      </c>
      <c r="Z46" s="20">
        <v>21.078601168105902</v>
      </c>
      <c r="AA46" s="20">
        <v>26.272170978814898</v>
      </c>
      <c r="AB46" s="20">
        <v>31.7737296685711</v>
      </c>
      <c r="AC46" s="20">
        <v>37.609959002270401</v>
      </c>
      <c r="AD46" s="20">
        <v>43.811953188591303</v>
      </c>
      <c r="AE46" s="20">
        <v>50.413271559549599</v>
      </c>
      <c r="AF46" t="str">
        <f t="shared" si="0"/>
        <v>Residential</v>
      </c>
      <c r="AG46" t="str">
        <f>tbl_Data_old[[#This Row],[All_Meas_Name_Append]]</f>
        <v>Heat Pump Water Heater 50 Gallons-ENERGY STAR</v>
      </c>
      <c r="AH46">
        <f>AVERAGEIFS('3. Incentive Adjustment'!G:G,'3. Incentive Adjustment'!A:A,tbl_Data_old[[#This Row],[Trimmed Sector]],'3. Incentive Adjustment'!B:B,tbl_Data_old[[#This Row],[Trimmed Measure Name]])</f>
        <v>0.43153525594917136</v>
      </c>
      <c r="AI46">
        <f>$AH46*tbl_Data_old[[#This Row],[2025 ]]</f>
        <v>1.5054899132772075</v>
      </c>
      <c r="AJ46">
        <f>$AH46*tbl_Data_old[[#This Row],[2026 ]]</f>
        <v>3.1790854091102085</v>
      </c>
      <c r="AK46">
        <f>$AH46*tbl_Data_old[[#This Row],[2027 ]]</f>
        <v>5.0074905845023556</v>
      </c>
      <c r="AL46">
        <f>$AH46*tbl_Data_old[[#This Row],[2028 ]]</f>
        <v>6.9822009635868518</v>
      </c>
      <c r="AM46">
        <f>$AH46*tbl_Data_old[[#This Row],[2029 ]]</f>
        <v>9.0961595501290819</v>
      </c>
      <c r="AN46">
        <f>$AH46*tbl_Data_old[[#This Row],[2030 ]]</f>
        <v>11.337368027683279</v>
      </c>
      <c r="AO46">
        <f>$AH46*tbl_Data_old[[#This Row],[2031 ]]</f>
        <v>13.711484564986609</v>
      </c>
      <c r="AP46">
        <f>$AH46*tbl_Data_old[[#This Row],[2032 ]]</f>
        <v>16.230023284282598</v>
      </c>
      <c r="AQ46">
        <f>$AH46*tbl_Data_old[[#This Row],[2033 ]]</f>
        <v>18.906402432871861</v>
      </c>
      <c r="AR46">
        <f>$AH46*tbl_Data_old[[#This Row],[2034 ]]</f>
        <v>21.755104045685318</v>
      </c>
      <c r="AS46">
        <f>SUM(tbl_Data_old[[#This Row],[Adjusted 2025]:[Adjusted 2034]])</f>
        <v>107.71080877611536</v>
      </c>
      <c r="AT46" s="3">
        <f>AVERAGEIFS('3. Incentive Adjustment'!F:F,'3. Incentive Adjustment'!A:A,tbl_Data_old[[#This Row],[Trimmed Sector]],'3. Incentive Adjustment'!B:B,tbl_Data_old[[#This Row],[Trimmed Measure Name]])</f>
        <v>500</v>
      </c>
      <c r="AU46" s="3">
        <f>IFERROR(VLOOKUP(tbl_Data_old[[#This Row],[All_Meas_Name_Append]],'IRA Tax Credits'!$A$3:$D$46,4,0),0)</f>
        <v>1666.6666666666667</v>
      </c>
      <c r="AV46" s="4">
        <f>tbl_Data_old[[#This Row],[Adj. per unit Incentive ($)]]/tbl_Data_old[[#This Row],[kWh Savings]]*tbl_Data_old[[#This Row],[Sum of Annuals]]</f>
        <v>33.868873878969765</v>
      </c>
      <c r="AW46" s="4">
        <f>IFERROR(VLOOKUP(tbl_Data_old[[#This Row],[All_Programs]],'1. Set Program Names'!$B$2:$D$15,3,0)*tbl_Data_old[[#This Row],[Sum of Annuals]],"")</f>
        <v>48.022179518091775</v>
      </c>
      <c r="AX46" s="4">
        <f>tbl_Data_old[[#This Row],[per unit IRA tax ($)]]/tbl_Data_old[[#This Row],[kWh Savings]]*tbl_Data_old[[#This Row],[Sum of Annuals]]</f>
        <v>112.89624626323257</v>
      </c>
      <c r="AY46" s="4">
        <f>tbl_Data_old[[#This Row],[Avoided Costs ($/unit)]]/tbl_Data_old[[#This Row],[kWh Savings]]*tbl_Data_old[[#This Row],[Sum of Annuals]]</f>
        <v>51.29114794949286</v>
      </c>
      <c r="AZ46" s="4">
        <f>tbl_Data_old[[#This Row],[Lost Revenue ($/unit)]]/tbl_Data_old[[#This Row],[kWh Savings]]*tbl_Data_old[[#This Row],[Sum of Annuals]]</f>
        <v>137.78620000125204</v>
      </c>
      <c r="BA46" s="4">
        <f>tbl_Data_old[[#This Row],[Incremental Cost ($/unit)]]/tbl_Data_old[[#This Row],[kWh Savings]]*tbl_Data_old[[#This Row],[Sum of Annuals]]</f>
        <v>94.121600509657</v>
      </c>
      <c r="BB46">
        <f>ROUNDUP(tbl_Data_old[[#This Row],[Adjusted 2025]]/$L46,0)</f>
        <v>1</v>
      </c>
      <c r="BC46">
        <f>ROUNDUP(tbl_Data_old[[#This Row],[Adjusted 2026]]/$L46,0)</f>
        <v>1</v>
      </c>
      <c r="BD46">
        <f>ROUNDUP(tbl_Data_old[[#This Row],[Adjusted 2027]]/$L46,0)</f>
        <v>1</v>
      </c>
      <c r="BE46">
        <f>ROUNDUP(tbl_Data_old[[#This Row],[Adjusted 2028]]/$L46,0)</f>
        <v>1</v>
      </c>
      <c r="BF46">
        <f>ROUNDUP(tbl_Data_old[[#This Row],[Adjusted 2029]]/$L46,0)</f>
        <v>1</v>
      </c>
      <c r="BG46">
        <f>ROUNDUP(tbl_Data_old[[#This Row],[Adjusted 2030]]/$L46,0)</f>
        <v>1</v>
      </c>
      <c r="BH46">
        <f>ROUNDUP(tbl_Data_old[[#This Row],[Adjusted 2031]]/$L46,0)</f>
        <v>1</v>
      </c>
      <c r="BI46">
        <f>ROUNDUP(tbl_Data_old[[#This Row],[Adjusted 2032]]/$L46,0)</f>
        <v>1</v>
      </c>
      <c r="BJ46">
        <f>ROUNDUP(tbl_Data_old[[#This Row],[Adjusted 2033]]/$L46,0)</f>
        <v>1</v>
      </c>
      <c r="BK46">
        <f>ROUNDUP(tbl_Data_old[[#This Row],[Adjusted 2034]]/$L46,0)</f>
        <v>1</v>
      </c>
      <c r="BL46" s="3">
        <f t="shared" si="4"/>
        <v>1.0969909308360219</v>
      </c>
      <c r="BM46">
        <f t="shared" si="4"/>
        <v>2.3164737481073243</v>
      </c>
      <c r="BN46">
        <f t="shared" si="4"/>
        <v>3.6487602533902805</v>
      </c>
      <c r="BO46">
        <f t="shared" si="4"/>
        <v>5.0876535716244113</v>
      </c>
      <c r="BP46">
        <f t="shared" si="4"/>
        <v>6.6280115488835811</v>
      </c>
      <c r="BQ46">
        <f t="shared" si="3"/>
        <v>8.2610914867211047</v>
      </c>
      <c r="BR46">
        <f t="shared" si="3"/>
        <v>9.9910162688142989</v>
      </c>
      <c r="BS46">
        <f t="shared" si="3"/>
        <v>11.826175780453186</v>
      </c>
      <c r="BT46">
        <f t="shared" si="3"/>
        <v>13.776347367514795</v>
      </c>
      <c r="BU46">
        <f t="shared" si="3"/>
        <v>15.852083515830589</v>
      </c>
      <c r="BV46">
        <f>VLOOKUP($H46,'1. Set Program Names'!$B$2:$D$15,3,0)*V46</f>
        <v>1.5554073512623228</v>
      </c>
      <c r="BW46">
        <f>VLOOKUP($H46,'1. Set Program Names'!$B$2:$D$15,3,0)*W46</f>
        <v>3.2844941517122748</v>
      </c>
      <c r="BX46">
        <f>VLOOKUP($H46,'1. Set Program Names'!$B$2:$D$15,3,0)*X46</f>
        <v>5.1735236469018382</v>
      </c>
      <c r="BY46">
        <f>VLOOKUP($H46,'1. Set Program Names'!$B$2:$D$15,3,0)*Y46</f>
        <v>7.2137093785723483</v>
      </c>
      <c r="BZ46">
        <f>VLOOKUP($H46,'1. Set Program Names'!$B$2:$D$15,3,0)*Z46</f>
        <v>9.3977603620919314</v>
      </c>
      <c r="CA46">
        <f>VLOOKUP($H46,'1. Set Program Names'!$B$2:$D$15,3,0)*AA46</f>
        <v>11.713280453562218</v>
      </c>
      <c r="CB46">
        <f>VLOOKUP($H46,'1. Set Program Names'!$B$2:$D$15,3,0)*AB46</f>
        <v>14.166115429278928</v>
      </c>
      <c r="CC46">
        <f>VLOOKUP($H46,'1. Set Program Names'!$B$2:$D$15,3,0)*AC46</f>
        <v>16.768161184540308</v>
      </c>
      <c r="CD46">
        <f>VLOOKUP($H46,'1. Set Program Names'!$B$2:$D$15,3,0)*AD46</f>
        <v>19.533280874661024</v>
      </c>
      <c r="CE46">
        <f>VLOOKUP($H46,'1. Set Program Names'!$B$2:$D$15,3,0)*AE46</f>
        <v>22.476436714528162</v>
      </c>
    </row>
    <row r="47" spans="1:83" x14ac:dyDescent="0.25">
      <c r="A47" s="20" t="s">
        <v>115</v>
      </c>
      <c r="B47" s="20" t="s">
        <v>88</v>
      </c>
      <c r="C47" s="20" t="s">
        <v>89</v>
      </c>
      <c r="D47" s="20" t="s">
        <v>90</v>
      </c>
      <c r="E47" s="20" t="s">
        <v>91</v>
      </c>
      <c r="F47" s="20" t="s">
        <v>90</v>
      </c>
      <c r="G47" s="20" t="s">
        <v>92</v>
      </c>
      <c r="H47" s="20" t="s">
        <v>5</v>
      </c>
      <c r="I47" s="20" t="s">
        <v>110</v>
      </c>
      <c r="J47" s="20" t="s">
        <v>94</v>
      </c>
      <c r="K47" s="20" t="s">
        <v>108</v>
      </c>
      <c r="L47" s="20">
        <v>461.909999999999</v>
      </c>
      <c r="M47" s="20">
        <v>1.8510616289253799E-2</v>
      </c>
      <c r="N47" s="20">
        <v>8.5862443475120898E-2</v>
      </c>
      <c r="O47" s="20">
        <v>1729.5</v>
      </c>
      <c r="P47" s="20">
        <v>1631.9996867488601</v>
      </c>
      <c r="Q47" s="20">
        <v>137.29309183388401</v>
      </c>
      <c r="R47" s="20">
        <v>219.958372038552</v>
      </c>
      <c r="S47" s="20">
        <v>590.88613636602201</v>
      </c>
      <c r="T47" s="20">
        <v>15</v>
      </c>
      <c r="U47" s="20">
        <v>0.7</v>
      </c>
      <c r="V47" s="20">
        <v>1.87664517279001</v>
      </c>
      <c r="W47" s="20">
        <v>3.9640647732701502</v>
      </c>
      <c r="X47" s="20">
        <v>6.2457734887480703</v>
      </c>
      <c r="Y47" s="20">
        <v>8.7112175643461693</v>
      </c>
      <c r="Z47" s="20">
        <v>11.3516172223766</v>
      </c>
      <c r="AA47" s="20">
        <v>14.151993013834399</v>
      </c>
      <c r="AB47" s="20">
        <v>17.119407997945</v>
      </c>
      <c r="AC47" s="20">
        <v>20.268245393635599</v>
      </c>
      <c r="AD47" s="20">
        <v>23.615274360567</v>
      </c>
      <c r="AE47" s="20">
        <v>27.178600006896598</v>
      </c>
      <c r="AF47" t="str">
        <f t="shared" si="0"/>
        <v>Residential</v>
      </c>
      <c r="AG47" t="str">
        <f>tbl_Data_old[[#This Row],[All_Meas_Name_Append]]</f>
        <v>Heat Pump Water Heater 80 Gallons-ENERGY STAR</v>
      </c>
      <c r="AH47">
        <f>AVERAGEIFS('3. Incentive Adjustment'!G:G,'3. Incentive Adjustment'!A:A,tbl_Data_old[[#This Row],[Trimmed Sector]],'3. Incentive Adjustment'!B:B,tbl_Data_old[[#This Row],[Trimmed Measure Name]])</f>
        <v>1.5551101216712928E-3</v>
      </c>
      <c r="AI47">
        <f>$AH47*tbl_Data_old[[#This Row],[2025 ]]</f>
        <v>2.9183899029913167E-3</v>
      </c>
      <c r="AJ47">
        <f>$AH47*tbl_Data_old[[#This Row],[2026 ]]</f>
        <v>6.1645572518730287E-3</v>
      </c>
      <c r="AK47">
        <f>$AH47*tbl_Data_old[[#This Row],[2027 ]]</f>
        <v>9.7128655700183461E-3</v>
      </c>
      <c r="AL47">
        <f>$AH47*tbl_Data_old[[#This Row],[2028 ]]</f>
        <v>1.3546902606395475E-2</v>
      </c>
      <c r="AM47">
        <f>$AH47*tbl_Data_old[[#This Row],[2029 ]]</f>
        <v>1.7653014839856016E-2</v>
      </c>
      <c r="AN47">
        <f>$AH47*tbl_Data_old[[#This Row],[2030 ]]</f>
        <v>2.2007907577635297E-2</v>
      </c>
      <c r="AO47">
        <f>$AH47*tbl_Data_old[[#This Row],[2031 ]]</f>
        <v>2.6622564654624752E-2</v>
      </c>
      <c r="AP47">
        <f>$AH47*tbl_Data_old[[#This Row],[2032 ]]</f>
        <v>3.1519353560160279E-2</v>
      </c>
      <c r="AQ47">
        <f>$AH47*tbl_Data_old[[#This Row],[2033 ]]</f>
        <v>3.6724352184162305E-2</v>
      </c>
      <c r="AR47">
        <f>$AH47*tbl_Data_old[[#This Row],[2034 ]]</f>
        <v>4.2265715963580371E-2</v>
      </c>
      <c r="AS47">
        <f>SUM(tbl_Data_old[[#This Row],[Adjusted 2025]:[Adjusted 2034]])</f>
        <v>0.20913562411129719</v>
      </c>
      <c r="AT47" s="3">
        <f>AVERAGEIFS('3. Incentive Adjustment'!F:F,'3. Incentive Adjustment'!A:A,tbl_Data_old[[#This Row],[Trimmed Sector]],'3. Incentive Adjustment'!B:B,tbl_Data_old[[#This Row],[Trimmed Measure Name]])</f>
        <v>500</v>
      </c>
      <c r="AU47" s="3">
        <f>IFERROR(VLOOKUP(tbl_Data_old[[#This Row],[All_Meas_Name_Append]],'IRA Tax Credits'!$A$3:$D$46,4,0),0)</f>
        <v>1666.6666666666667</v>
      </c>
      <c r="AV47" s="4">
        <f>tbl_Data_old[[#This Row],[Adj. per unit Incentive ($)]]/tbl_Data_old[[#This Row],[kWh Savings]]*tbl_Data_old[[#This Row],[Sum of Annuals]]</f>
        <v>0.2263813557958235</v>
      </c>
      <c r="AW47" s="4">
        <f>IFERROR(VLOOKUP(tbl_Data_old[[#This Row],[All_Programs]],'1. Set Program Names'!$B$2:$D$15,3,0)*tbl_Data_old[[#This Row],[Sum of Annuals]],"")</f>
        <v>9.3241788812265636E-2</v>
      </c>
      <c r="AX47" s="4">
        <f>tbl_Data_old[[#This Row],[per unit IRA tax ($)]]/tbl_Data_old[[#This Row],[kWh Savings]]*tbl_Data_old[[#This Row],[Sum of Annuals]]</f>
        <v>0.75460451931941164</v>
      </c>
      <c r="AY47" s="4">
        <f>tbl_Data_old[[#This Row],[Avoided Costs ($/unit)]]/tbl_Data_old[[#This Row],[kWh Savings]]*tbl_Data_old[[#This Row],[Sum of Annuals]]</f>
        <v>9.9588948961459103E-2</v>
      </c>
      <c r="AZ47" s="4">
        <f>tbl_Data_old[[#This Row],[Lost Revenue ($/unit)]]/tbl_Data_old[[#This Row],[kWh Savings]]*tbl_Data_old[[#This Row],[Sum of Annuals]]</f>
        <v>0.26753120934299179</v>
      </c>
      <c r="BA47" s="4">
        <f>tbl_Data_old[[#This Row],[Incremental Cost ($/unit)]]/tbl_Data_old[[#This Row],[kWh Savings]]*tbl_Data_old[[#This Row],[Sum of Annuals]]</f>
        <v>0.78305310969775332</v>
      </c>
      <c r="BB47">
        <f>ROUNDUP(tbl_Data_old[[#This Row],[Adjusted 2025]]/$L47,0)</f>
        <v>1</v>
      </c>
      <c r="BC47">
        <f>ROUNDUP(tbl_Data_old[[#This Row],[Adjusted 2026]]/$L47,0)</f>
        <v>1</v>
      </c>
      <c r="BD47">
        <f>ROUNDUP(tbl_Data_old[[#This Row],[Adjusted 2027]]/$L47,0)</f>
        <v>1</v>
      </c>
      <c r="BE47">
        <f>ROUNDUP(tbl_Data_old[[#This Row],[Adjusted 2028]]/$L47,0)</f>
        <v>1</v>
      </c>
      <c r="BF47">
        <f>ROUNDUP(tbl_Data_old[[#This Row],[Adjusted 2029]]/$L47,0)</f>
        <v>1</v>
      </c>
      <c r="BG47">
        <f>ROUNDUP(tbl_Data_old[[#This Row],[Adjusted 2030]]/$L47,0)</f>
        <v>1</v>
      </c>
      <c r="BH47">
        <f>ROUNDUP(tbl_Data_old[[#This Row],[Adjusted 2031]]/$L47,0)</f>
        <v>1</v>
      </c>
      <c r="BI47">
        <f>ROUNDUP(tbl_Data_old[[#This Row],[Adjusted 2032]]/$L47,0)</f>
        <v>1</v>
      </c>
      <c r="BJ47">
        <f>ROUNDUP(tbl_Data_old[[#This Row],[Adjusted 2033]]/$L47,0)</f>
        <v>1</v>
      </c>
      <c r="BK47">
        <f>ROUNDUP(tbl_Data_old[[#This Row],[Adjusted 2034]]/$L47,0)</f>
        <v>1</v>
      </c>
      <c r="BL47" s="3">
        <f t="shared" si="4"/>
        <v>2.0313969959407832</v>
      </c>
      <c r="BM47">
        <f t="shared" si="4"/>
        <v>4.2909492901973971</v>
      </c>
      <c r="BN47">
        <f t="shared" si="4"/>
        <v>6.7608121590224117</v>
      </c>
      <c r="BO47">
        <f t="shared" si="4"/>
        <v>9.4295615643157635</v>
      </c>
      <c r="BP47">
        <f t="shared" si="4"/>
        <v>12.28769373078806</v>
      </c>
      <c r="BQ47">
        <f t="shared" si="3"/>
        <v>15.318993974837557</v>
      </c>
      <c r="BR47">
        <f t="shared" si="3"/>
        <v>18.531107789336708</v>
      </c>
      <c r="BS47">
        <f t="shared" si="3"/>
        <v>21.939604461513763</v>
      </c>
      <c r="BT47">
        <f t="shared" si="3"/>
        <v>25.562635968659535</v>
      </c>
      <c r="BU47">
        <f t="shared" si="3"/>
        <v>29.41980040148152</v>
      </c>
      <c r="BV47">
        <f>VLOOKUP($H47,'1. Set Program Names'!$B$2:$D$15,3,0)*V47</f>
        <v>0.83669032294432333</v>
      </c>
      <c r="BW47">
        <f>VLOOKUP($H47,'1. Set Program Names'!$B$2:$D$15,3,0)*W47</f>
        <v>1.7673530848608345</v>
      </c>
      <c r="BX47">
        <f>VLOOKUP($H47,'1. Set Program Names'!$B$2:$D$15,3,0)*X47</f>
        <v>2.784638413860915</v>
      </c>
      <c r="BY47">
        <f>VLOOKUP($H47,'1. Set Program Names'!$B$2:$D$15,3,0)*Y47</f>
        <v>3.8838409854086073</v>
      </c>
      <c r="BZ47">
        <f>VLOOKUP($H47,'1. Set Program Names'!$B$2:$D$15,3,0)*Z47</f>
        <v>5.0610463914231856</v>
      </c>
      <c r="CA47">
        <f>VLOOKUP($H47,'1. Set Program Names'!$B$2:$D$15,3,0)*AA47</f>
        <v>6.3095761397702743</v>
      </c>
      <c r="CB47">
        <f>VLOOKUP($H47,'1. Set Program Names'!$B$2:$D$15,3,0)*AB47</f>
        <v>7.6325792505150361</v>
      </c>
      <c r="CC47">
        <f>VLOOKUP($H47,'1. Set Program Names'!$B$2:$D$15,3,0)*AC47</f>
        <v>9.0364683904011152</v>
      </c>
      <c r="CD47">
        <f>VLOOKUP($H47,'1. Set Program Names'!$B$2:$D$15,3,0)*AD47</f>
        <v>10.528719982683976</v>
      </c>
      <c r="CE47">
        <f>VLOOKUP($H47,'1. Set Program Names'!$B$2:$D$15,3,0)*AE47</f>
        <v>12.117406074765439</v>
      </c>
    </row>
    <row r="48" spans="1:83" x14ac:dyDescent="0.25">
      <c r="A48" s="20" t="s">
        <v>115</v>
      </c>
      <c r="B48" s="20" t="s">
        <v>88</v>
      </c>
      <c r="C48" s="20" t="s">
        <v>89</v>
      </c>
      <c r="D48" s="20" t="s">
        <v>90</v>
      </c>
      <c r="E48" s="20" t="s">
        <v>91</v>
      </c>
      <c r="F48" s="20" t="s">
        <v>90</v>
      </c>
      <c r="G48" s="20" t="s">
        <v>92</v>
      </c>
      <c r="H48" s="20" t="s">
        <v>5</v>
      </c>
      <c r="I48" s="20" t="s">
        <v>299</v>
      </c>
      <c r="J48" s="20" t="s">
        <v>97</v>
      </c>
      <c r="K48" s="20" t="s">
        <v>102</v>
      </c>
      <c r="L48" s="20">
        <v>408.28</v>
      </c>
      <c r="M48" s="20">
        <v>0.16567198429270899</v>
      </c>
      <c r="N48" s="20">
        <v>2.3547919008134799E-2</v>
      </c>
      <c r="O48" s="53">
        <v>128.60999999999999</v>
      </c>
      <c r="P48" s="20">
        <v>29.691921599999901</v>
      </c>
      <c r="Q48" s="20">
        <v>121.35269540373299</v>
      </c>
      <c r="R48" s="20">
        <v>238.630335182902</v>
      </c>
      <c r="S48" s="20">
        <v>423.90838942107399</v>
      </c>
      <c r="T48" s="20">
        <v>11</v>
      </c>
      <c r="U48" s="20">
        <v>0.7</v>
      </c>
      <c r="V48" s="20">
        <v>5.0922156539619801</v>
      </c>
      <c r="W48" s="20">
        <v>9.3169351343238596</v>
      </c>
      <c r="X48" s="20">
        <v>12.821988296456301</v>
      </c>
      <c r="Y48" s="20">
        <v>15.742383803846</v>
      </c>
      <c r="Z48" s="20">
        <v>18.1924360623638</v>
      </c>
      <c r="AA48" s="20">
        <v>20.258482892609202</v>
      </c>
      <c r="AB48" s="20">
        <v>22.026272006971499</v>
      </c>
      <c r="AC48" s="20">
        <v>23.562837449799499</v>
      </c>
      <c r="AD48" s="20">
        <v>24.9208981094528</v>
      </c>
      <c r="AE48" s="20">
        <v>26.141128673602999</v>
      </c>
      <c r="AF48" t="str">
        <f t="shared" si="0"/>
        <v>Residential</v>
      </c>
      <c r="AG48" t="str">
        <f>tbl_Data_old[[#This Row],[All_Meas_Name_Append]]</f>
        <v>Smart Thermostat Residential</v>
      </c>
      <c r="AH48">
        <f>AVERAGEIFS('3. Incentive Adjustment'!G:G,'3. Incentive Adjustment'!A:A,tbl_Data_old[[#This Row],[Trimmed Sector]],'3. Incentive Adjustment'!B:B,tbl_Data_old[[#This Row],[Trimmed Measure Name]])</f>
        <v>1.1402432304340044</v>
      </c>
      <c r="AI48">
        <f>$AH48*tbl_Data_old[[#This Row],[2025 ]]</f>
        <v>5.8063644273402151</v>
      </c>
      <c r="AJ48">
        <f>$AH48*tbl_Data_old[[#This Row],[2026 ]]</f>
        <v>10.623572215305513</v>
      </c>
      <c r="AK48">
        <f>$AH48*tbl_Data_old[[#This Row],[2027 ]]</f>
        <v>14.620185355738329</v>
      </c>
      <c r="AL48">
        <f>$AH48*tbl_Data_old[[#This Row],[2028 ]]</f>
        <v>17.950146563229314</v>
      </c>
      <c r="AM48">
        <f>$AH48*tbl_Data_old[[#This Row],[2029 ]]</f>
        <v>20.743802065213778</v>
      </c>
      <c r="AN48">
        <f>$AH48*tbl_Data_old[[#This Row],[2030 ]]</f>
        <v>23.09959797716073</v>
      </c>
      <c r="AO48">
        <f>$AH48*tbl_Data_old[[#This Row],[2031 ]]</f>
        <v>25.115307547647266</v>
      </c>
      <c r="AP48">
        <f>$AH48*tbl_Data_old[[#This Row],[2032 ]]</f>
        <v>26.867365891950719</v>
      </c>
      <c r="AQ48">
        <f>$AH48*tbl_Data_old[[#This Row],[2033 ]]</f>
        <v>28.415885365639134</v>
      </c>
      <c r="AR48">
        <f>$AH48*tbl_Data_old[[#This Row],[2034 ]]</f>
        <v>29.807245005980064</v>
      </c>
      <c r="AS48">
        <f>SUM(tbl_Data_old[[#This Row],[Adjusted 2025]:[Adjusted 2034]])</f>
        <v>203.04947241520506</v>
      </c>
      <c r="AT48" s="3">
        <f>AVERAGEIFS('3. Incentive Adjustment'!F:F,'3. Incentive Adjustment'!A:A,tbl_Data_old[[#This Row],[Trimmed Sector]],'3. Incentive Adjustment'!B:B,tbl_Data_old[[#This Row],[Trimmed Measure Name]])</f>
        <v>50</v>
      </c>
      <c r="AU48" s="3">
        <f>IFERROR(VLOOKUP(tbl_Data_old[[#This Row],[All_Meas_Name_Append]],'IRA Tax Credits'!$A$3:$D$46,4,0),0)</f>
        <v>0</v>
      </c>
      <c r="AV48" s="4">
        <f>tbl_Data_old[[#This Row],[Adj. per unit Incentive ($)]]/tbl_Data_old[[#This Row],[kWh Savings]]*tbl_Data_old[[#This Row],[Sum of Annuals]]</f>
        <v>24.866448566572583</v>
      </c>
      <c r="AW48" s="4">
        <f>IFERROR(VLOOKUP(tbl_Data_old[[#This Row],[All_Programs]],'1. Set Program Names'!$B$2:$D$15,3,0)*tbl_Data_old[[#This Row],[Sum of Annuals]],"")</f>
        <v>90.528316760156358</v>
      </c>
      <c r="AX48" s="4">
        <f>tbl_Data_old[[#This Row],[per unit IRA tax ($)]]/tbl_Data_old[[#This Row],[kWh Savings]]*tbl_Data_old[[#This Row],[Sum of Annuals]]</f>
        <v>0</v>
      </c>
      <c r="AY48" s="4">
        <f>tbl_Data_old[[#This Row],[Avoided Costs ($/unit)]]/tbl_Data_old[[#This Row],[kWh Savings]]*tbl_Data_old[[#This Row],[Sum of Annuals]]</f>
        <v>118.67777912499216</v>
      </c>
      <c r="AZ48" s="4">
        <f>tbl_Data_old[[#This Row],[Lost Revenue ($/unit)]]/tbl_Data_old[[#This Row],[kWh Savings]]*tbl_Data_old[[#This Row],[Sum of Annuals]]</f>
        <v>210.82192324955517</v>
      </c>
      <c r="BA48" s="4">
        <f>tbl_Data_old[[#This Row],[Incremental Cost ($/unit)]]/tbl_Data_old[[#This Row],[kWh Savings]]*tbl_Data_old[[#This Row],[Sum of Annuals]]</f>
        <v>63.961479002937992</v>
      </c>
      <c r="BB48">
        <f>ROUNDUP(tbl_Data_old[[#This Row],[Adjusted 2025]]/$L48,0)</f>
        <v>1</v>
      </c>
      <c r="BC48">
        <f>ROUNDUP(tbl_Data_old[[#This Row],[Adjusted 2026]]/$L48,0)</f>
        <v>1</v>
      </c>
      <c r="BD48">
        <f>ROUNDUP(tbl_Data_old[[#This Row],[Adjusted 2027]]/$L48,0)</f>
        <v>1</v>
      </c>
      <c r="BE48">
        <f>ROUNDUP(tbl_Data_old[[#This Row],[Adjusted 2028]]/$L48,0)</f>
        <v>1</v>
      </c>
      <c r="BF48">
        <f>ROUNDUP(tbl_Data_old[[#This Row],[Adjusted 2029]]/$L48,0)</f>
        <v>1</v>
      </c>
      <c r="BG48">
        <f>ROUNDUP(tbl_Data_old[[#This Row],[Adjusted 2030]]/$L48,0)</f>
        <v>1</v>
      </c>
      <c r="BH48">
        <f>ROUNDUP(tbl_Data_old[[#This Row],[Adjusted 2031]]/$L48,0)</f>
        <v>1</v>
      </c>
      <c r="BI48">
        <f>ROUNDUP(tbl_Data_old[[#This Row],[Adjusted 2032]]/$L48,0)</f>
        <v>1</v>
      </c>
      <c r="BJ48">
        <f>ROUNDUP(tbl_Data_old[[#This Row],[Adjusted 2033]]/$L48,0)</f>
        <v>1</v>
      </c>
      <c r="BK48">
        <f>ROUNDUP(tbl_Data_old[[#This Row],[Adjusted 2034]]/$L48,0)</f>
        <v>1</v>
      </c>
      <c r="BL48" s="3">
        <f t="shared" si="4"/>
        <v>0.62361806284436916</v>
      </c>
      <c r="BM48">
        <f t="shared" si="4"/>
        <v>1.1409982284613329</v>
      </c>
      <c r="BN48">
        <f t="shared" si="4"/>
        <v>1.5702444763956478</v>
      </c>
      <c r="BO48">
        <f t="shared" si="4"/>
        <v>1.9278906392483102</v>
      </c>
      <c r="BP48">
        <f t="shared" si="4"/>
        <v>2.2279362278783927</v>
      </c>
      <c r="BQ48">
        <f t="shared" si="3"/>
        <v>2.4809546013286474</v>
      </c>
      <c r="BR48">
        <f t="shared" si="3"/>
        <v>2.6974468510546075</v>
      </c>
      <c r="BS48">
        <f t="shared" si="3"/>
        <v>2.8856222996227467</v>
      </c>
      <c r="BT48">
        <f t="shared" si="3"/>
        <v>3.0519371643789559</v>
      </c>
      <c r="BU48">
        <f t="shared" si="3"/>
        <v>3.2013726699327671</v>
      </c>
      <c r="BV48">
        <f>VLOOKUP($H48,'1. Set Program Names'!$B$2:$D$15,3,0)*V48</f>
        <v>2.270331984858565</v>
      </c>
      <c r="BW48">
        <f>VLOOKUP($H48,'1. Set Program Names'!$B$2:$D$15,3,0)*W48</f>
        <v>4.1538963142400167</v>
      </c>
      <c r="BX48">
        <f>VLOOKUP($H48,'1. Set Program Names'!$B$2:$D$15,3,0)*X48</f>
        <v>5.7166019896030633</v>
      </c>
      <c r="BY48">
        <f>VLOOKUP($H48,'1. Set Program Names'!$B$2:$D$15,3,0)*Y48</f>
        <v>7.0186417654922559</v>
      </c>
      <c r="BZ48">
        <f>VLOOKUP($H48,'1. Set Program Names'!$B$2:$D$15,3,0)*Z48</f>
        <v>8.1109819932200615</v>
      </c>
      <c r="CA48">
        <f>VLOOKUP($H48,'1. Set Program Names'!$B$2:$D$15,3,0)*AA48</f>
        <v>9.0321158413657656</v>
      </c>
      <c r="CB48">
        <f>VLOOKUP($H48,'1. Set Program Names'!$B$2:$D$15,3,0)*AB48</f>
        <v>9.8202733825136654</v>
      </c>
      <c r="CC48">
        <f>VLOOKUP($H48,'1. Set Program Names'!$B$2:$D$15,3,0)*AC48</f>
        <v>10.505341319290173</v>
      </c>
      <c r="CD48">
        <f>VLOOKUP($H48,'1. Set Program Names'!$B$2:$D$15,3,0)*AD48</f>
        <v>11.110824033006374</v>
      </c>
      <c r="CE48">
        <f>VLOOKUP($H48,'1. Set Program Names'!$B$2:$D$15,3,0)*AE48</f>
        <v>11.654856074645608</v>
      </c>
    </row>
    <row r="49" spans="1:83" x14ac:dyDescent="0.25">
      <c r="A49" s="20" t="s">
        <v>115</v>
      </c>
      <c r="B49" s="20" t="s">
        <v>88</v>
      </c>
      <c r="C49" s="20" t="s">
        <v>89</v>
      </c>
      <c r="D49" s="20" t="s">
        <v>90</v>
      </c>
      <c r="E49" s="20" t="s">
        <v>91</v>
      </c>
      <c r="F49" s="20" t="s">
        <v>90</v>
      </c>
      <c r="G49" s="20" t="s">
        <v>92</v>
      </c>
      <c r="H49" s="20" t="s">
        <v>5</v>
      </c>
      <c r="I49" s="20" t="s">
        <v>112</v>
      </c>
      <c r="J49" s="20" t="s">
        <v>94</v>
      </c>
      <c r="K49" s="20" t="s">
        <v>108</v>
      </c>
      <c r="L49" s="20">
        <v>1330.8133333333301</v>
      </c>
      <c r="M49" s="20">
        <v>5.33311142126306E-2</v>
      </c>
      <c r="N49" s="20">
        <v>0.24737910980336</v>
      </c>
      <c r="O49" s="20">
        <v>8990.02</v>
      </c>
      <c r="P49" s="20">
        <v>8776.4394094329891</v>
      </c>
      <c r="Q49" s="20">
        <v>395.55644430103399</v>
      </c>
      <c r="R49" s="20">
        <v>713.19672296706005</v>
      </c>
      <c r="S49" s="20">
        <v>2011.6258188035599</v>
      </c>
      <c r="T49" s="20">
        <v>20</v>
      </c>
      <c r="U49" s="20">
        <v>0.7</v>
      </c>
      <c r="V49" s="20">
        <v>6.0539088745818601</v>
      </c>
      <c r="W49" s="20">
        <v>12.791508207663</v>
      </c>
      <c r="X49" s="20">
        <v>20.159946408858399</v>
      </c>
      <c r="Y49" s="20">
        <v>28.125386157142302</v>
      </c>
      <c r="Z49" s="20">
        <v>36.659621841130303</v>
      </c>
      <c r="AA49" s="20">
        <v>45.714322998354397</v>
      </c>
      <c r="AB49" s="20">
        <v>55.312369688093199</v>
      </c>
      <c r="AC49" s="20">
        <v>65.500321714845697</v>
      </c>
      <c r="AD49" s="20">
        <v>76.332476465288593</v>
      </c>
      <c r="AE49" s="20">
        <v>87.867474326401606</v>
      </c>
      <c r="AF49" t="str">
        <f t="shared" si="0"/>
        <v>Residential</v>
      </c>
      <c r="AG49" t="str">
        <f>tbl_Data_old[[#This Row],[All_Meas_Name_Append]]</f>
        <v>Solar Thermal Water Heating System</v>
      </c>
      <c r="AH49">
        <f>AVERAGEIFS('3. Incentive Adjustment'!G:G,'3. Incentive Adjustment'!A:A,tbl_Data_old[[#This Row],[Trimmed Sector]],'3. Incentive Adjustment'!B:B,tbl_Data_old[[#This Row],[Trimmed Measure Name]])</f>
        <v>2.7736651842107431E-8</v>
      </c>
      <c r="AI49">
        <f>$AH49*tbl_Data_old[[#This Row],[2025 ]]</f>
        <v>1.6791516273812146E-7</v>
      </c>
      <c r="AJ49">
        <f>$AH49*tbl_Data_old[[#This Row],[2026 ]]</f>
        <v>3.5479360969140825E-7</v>
      </c>
      <c r="AK49">
        <f>$AH49*tbl_Data_old[[#This Row],[2027 ]]</f>
        <v>5.5916941469804937E-7</v>
      </c>
      <c r="AL49">
        <f>$AH49*tbl_Data_old[[#This Row],[2028 ]]</f>
        <v>7.801040437654839E-7</v>
      </c>
      <c r="AM49">
        <f>$AH49*tbl_Data_old[[#This Row],[2029 ]]</f>
        <v>1.0168151676707487E-6</v>
      </c>
      <c r="AN49">
        <f>$AH49*tbl_Data_old[[#This Row],[2030 ]]</f>
        <v>1.2679622612030005E-6</v>
      </c>
      <c r="AO49">
        <f>$AH49*tbl_Data_old[[#This Row],[2031 ]]</f>
        <v>1.5341799406005774E-6</v>
      </c>
      <c r="AP49">
        <f>$AH49*tbl_Data_old[[#This Row],[2032 ]]</f>
        <v>1.8167596189507042E-6</v>
      </c>
      <c r="AQ49">
        <f>$AH49*tbl_Data_old[[#This Row],[2033 ]]</f>
        <v>2.1172073239635688E-6</v>
      </c>
      <c r="AR49">
        <f>$AH49*tbl_Data_old[[#This Row],[2034 ]]</f>
        <v>2.4371495436367144E-6</v>
      </c>
      <c r="AS49">
        <f>SUM(tbl_Data_old[[#This Row],[Adjusted 2025]:[Adjusted 2034]])</f>
        <v>1.2052056086918376E-5</v>
      </c>
      <c r="AT49" s="3">
        <f>AVERAGEIFS('3. Incentive Adjustment'!F:F,'3. Incentive Adjustment'!A:A,tbl_Data_old[[#This Row],[Trimmed Sector]],'3. Incentive Adjustment'!B:B,tbl_Data_old[[#This Row],[Trimmed Measure Name]])</f>
        <v>0</v>
      </c>
      <c r="AU49" s="3">
        <f>IFERROR(VLOOKUP(tbl_Data_old[[#This Row],[All_Meas_Name_Append]],'IRA Tax Credits'!$A$3:$D$46,4,0),0)</f>
        <v>41666.666666666672</v>
      </c>
      <c r="AV49" s="4">
        <f>tbl_Data_old[[#This Row],[Adj. per unit Incentive ($)]]/tbl_Data_old[[#This Row],[kWh Savings]]*tbl_Data_old[[#This Row],[Sum of Annuals]]</f>
        <v>0</v>
      </c>
      <c r="AW49" s="4">
        <f>IFERROR(VLOOKUP(tbl_Data_old[[#This Row],[All_Programs]],'1. Set Program Names'!$B$2:$D$15,3,0)*tbl_Data_old[[#This Row],[Sum of Annuals]],"")</f>
        <v>5.3733326074183658E-6</v>
      </c>
      <c r="AX49" s="4">
        <f>tbl_Data_old[[#This Row],[per unit IRA tax ($)]]/tbl_Data_old[[#This Row],[kWh Savings]]*tbl_Data_old[[#This Row],[Sum of Annuals]]</f>
        <v>3.7733992517478056E-4</v>
      </c>
      <c r="AY49" s="4">
        <f>tbl_Data_old[[#This Row],[Avoided Costs ($/unit)]]/tbl_Data_old[[#This Row],[kWh Savings]]*tbl_Data_old[[#This Row],[Sum of Annuals]]</f>
        <v>6.4588223539029388E-6</v>
      </c>
      <c r="AZ49" s="4">
        <f>tbl_Data_old[[#This Row],[Lost Revenue ($/unit)]]/tbl_Data_old[[#This Row],[kWh Savings]]*tbl_Data_old[[#This Row],[Sum of Annuals]]</f>
        <v>1.8217601662727806E-5</v>
      </c>
      <c r="BA49" s="4">
        <f>tbl_Data_old[[#This Row],[Incremental Cost ($/unit)]]/tbl_Data_old[[#This Row],[kWh Savings]]*tbl_Data_old[[#This Row],[Sum of Annuals]]</f>
        <v>8.141504337887473E-5</v>
      </c>
      <c r="BB49">
        <f>ROUNDUP(tbl_Data_old[[#This Row],[Adjusted 2025]]/$L49,0)</f>
        <v>1</v>
      </c>
      <c r="BC49">
        <f>ROUNDUP(tbl_Data_old[[#This Row],[Adjusted 2026]]/$L49,0)</f>
        <v>1</v>
      </c>
      <c r="BD49">
        <f>ROUNDUP(tbl_Data_old[[#This Row],[Adjusted 2027]]/$L49,0)</f>
        <v>1</v>
      </c>
      <c r="BE49">
        <f>ROUNDUP(tbl_Data_old[[#This Row],[Adjusted 2028]]/$L49,0)</f>
        <v>1</v>
      </c>
      <c r="BF49">
        <f>ROUNDUP(tbl_Data_old[[#This Row],[Adjusted 2029]]/$L49,0)</f>
        <v>1</v>
      </c>
      <c r="BG49">
        <f>ROUNDUP(tbl_Data_old[[#This Row],[Adjusted 2030]]/$L49,0)</f>
        <v>1</v>
      </c>
      <c r="BH49">
        <f>ROUNDUP(tbl_Data_old[[#This Row],[Adjusted 2031]]/$L49,0)</f>
        <v>1</v>
      </c>
      <c r="BI49">
        <f>ROUNDUP(tbl_Data_old[[#This Row],[Adjusted 2032]]/$L49,0)</f>
        <v>1</v>
      </c>
      <c r="BJ49">
        <f>ROUNDUP(tbl_Data_old[[#This Row],[Adjusted 2033]]/$L49,0)</f>
        <v>1</v>
      </c>
      <c r="BK49">
        <f>ROUNDUP(tbl_Data_old[[#This Row],[Adjusted 2034]]/$L49,0)</f>
        <v>1</v>
      </c>
      <c r="BL49" s="3">
        <f t="shared" si="4"/>
        <v>0</v>
      </c>
      <c r="BM49">
        <f t="shared" si="4"/>
        <v>0</v>
      </c>
      <c r="BN49">
        <f t="shared" si="4"/>
        <v>0</v>
      </c>
      <c r="BO49">
        <f t="shared" si="4"/>
        <v>0</v>
      </c>
      <c r="BP49">
        <f t="shared" si="4"/>
        <v>0</v>
      </c>
      <c r="BQ49">
        <f t="shared" si="3"/>
        <v>0</v>
      </c>
      <c r="BR49">
        <f t="shared" si="3"/>
        <v>0</v>
      </c>
      <c r="BS49">
        <f t="shared" si="3"/>
        <v>0</v>
      </c>
      <c r="BT49">
        <f t="shared" si="3"/>
        <v>0</v>
      </c>
      <c r="BU49">
        <f t="shared" si="3"/>
        <v>0</v>
      </c>
      <c r="BV49">
        <f>VLOOKUP($H49,'1. Set Program Names'!$B$2:$D$15,3,0)*V49</f>
        <v>2.699096795063765</v>
      </c>
      <c r="BW49">
        <f>VLOOKUP($H49,'1. Set Program Names'!$B$2:$D$15,3,0)*W49</f>
        <v>5.7030126357360649</v>
      </c>
      <c r="BX49">
        <f>VLOOKUP($H49,'1. Set Program Names'!$B$2:$D$15,3,0)*X49</f>
        <v>8.9881839763511948</v>
      </c>
      <c r="BY49">
        <f>VLOOKUP($H49,'1. Set Program Names'!$B$2:$D$15,3,0)*Y49</f>
        <v>12.539524662388786</v>
      </c>
      <c r="BZ49">
        <f>VLOOKUP($H49,'1. Set Program Names'!$B$2:$D$15,3,0)*Z49</f>
        <v>16.344459401278762</v>
      </c>
      <c r="CA49">
        <f>VLOOKUP($H49,'1. Set Program Names'!$B$2:$D$15,3,0)*AA49</f>
        <v>20.381440363502403</v>
      </c>
      <c r="CB49">
        <f>VLOOKUP($H49,'1. Set Program Names'!$B$2:$D$15,3,0)*AB49</f>
        <v>24.660668478070892</v>
      </c>
      <c r="CC49">
        <f>VLOOKUP($H49,'1. Set Program Names'!$B$2:$D$15,3,0)*AC49</f>
        <v>29.202902137901184</v>
      </c>
      <c r="CD49">
        <f>VLOOKUP($H49,'1. Set Program Names'!$B$2:$D$15,3,0)*AD49</f>
        <v>34.032349487746629</v>
      </c>
      <c r="CE49">
        <f>VLOOKUP($H49,'1. Set Program Names'!$B$2:$D$15,3,0)*AE49</f>
        <v>39.175154971442964</v>
      </c>
    </row>
    <row r="50" spans="1:83" x14ac:dyDescent="0.25">
      <c r="A50" s="20" t="s">
        <v>116</v>
      </c>
      <c r="B50" s="20" t="s">
        <v>88</v>
      </c>
      <c r="C50" s="20" t="s">
        <v>89</v>
      </c>
      <c r="D50" s="20" t="s">
        <v>90</v>
      </c>
      <c r="E50" s="20" t="s">
        <v>91</v>
      </c>
      <c r="F50" s="20" t="s">
        <v>90</v>
      </c>
      <c r="G50" s="20" t="s">
        <v>92</v>
      </c>
      <c r="H50" s="20" t="s">
        <v>5</v>
      </c>
      <c r="I50" s="20" t="s">
        <v>93</v>
      </c>
      <c r="J50" s="20" t="s">
        <v>94</v>
      </c>
      <c r="K50" s="20" t="s">
        <v>95</v>
      </c>
      <c r="L50" s="20">
        <v>1200.2266666666601</v>
      </c>
      <c r="M50" s="20">
        <v>4.8097974252120097E-2</v>
      </c>
      <c r="N50" s="20">
        <v>0.22310492157346501</v>
      </c>
      <c r="O50" s="20">
        <v>1210</v>
      </c>
      <c r="P50" s="20">
        <v>933.85922631496703</v>
      </c>
      <c r="Q50" s="20">
        <v>356.74228738962802</v>
      </c>
      <c r="R50" s="20">
        <v>571.53970184074296</v>
      </c>
      <c r="S50" s="20">
        <v>1535.35818196214</v>
      </c>
      <c r="T50" s="20">
        <v>15</v>
      </c>
      <c r="U50" s="20">
        <v>0.7</v>
      </c>
      <c r="V50" s="20">
        <v>9.4027764274098296</v>
      </c>
      <c r="W50" s="20">
        <v>9.9901080163851503</v>
      </c>
      <c r="X50" s="20">
        <v>10.5732218565068</v>
      </c>
      <c r="Y50" s="20">
        <v>11.169801343182201</v>
      </c>
      <c r="Z50" s="20">
        <v>11.7792021291071</v>
      </c>
      <c r="AA50" s="20">
        <v>12.3671177062078</v>
      </c>
      <c r="AB50" s="20">
        <v>13.025150046875799</v>
      </c>
      <c r="AC50" s="20">
        <v>13.779590941035901</v>
      </c>
      <c r="AD50" s="20">
        <v>14.636652219354</v>
      </c>
      <c r="AE50" s="20">
        <v>15.5993644156997</v>
      </c>
      <c r="AF50" t="str">
        <f t="shared" si="0"/>
        <v>Residential</v>
      </c>
      <c r="AG50" t="str">
        <f>tbl_Data_old[[#This Row],[All_Meas_Name_Append]]</f>
        <v>120v Heat Pump Water Heater 50 Gallons</v>
      </c>
      <c r="AH50">
        <f>AVERAGEIFS('3. Incentive Adjustment'!G:G,'3. Incentive Adjustment'!A:A,tbl_Data_old[[#This Row],[Trimmed Sector]],'3. Incentive Adjustment'!B:B,tbl_Data_old[[#This Row],[Trimmed Measure Name]])</f>
        <v>0.38528347196238832</v>
      </c>
      <c r="AI50">
        <f>$AH50*tbl_Data_old[[#This Row],[2025 ]]</f>
        <v>3.622734348038561</v>
      </c>
      <c r="AJ50">
        <f>$AH50*tbl_Data_old[[#This Row],[2026 ]]</f>
        <v>3.8490235018321588</v>
      </c>
      <c r="AK50">
        <f>$AH50*tbl_Data_old[[#This Row],[2027 ]]</f>
        <v>4.0736876267035491</v>
      </c>
      <c r="AL50">
        <f>$AH50*tbl_Data_old[[#This Row],[2028 ]]</f>
        <v>4.3035398426313867</v>
      </c>
      <c r="AM50">
        <f>$AH50*tbl_Data_old[[#This Row],[2029 ]]</f>
        <v>4.5383318932491399</v>
      </c>
      <c r="AN50">
        <f>$AH50*tbl_Data_old[[#This Row],[2030 ]]</f>
        <v>4.7648460480152695</v>
      </c>
      <c r="AO50">
        <f>$AH50*tbl_Data_old[[#This Row],[2031 ]]</f>
        <v>5.018375032891373</v>
      </c>
      <c r="AP50">
        <f>$AH50*tbl_Data_old[[#This Row],[2032 ]]</f>
        <v>5.3090486399837857</v>
      </c>
      <c r="AQ50">
        <f>$AH50*tbl_Data_old[[#This Row],[2033 ]]</f>
        <v>5.6392601849787054</v>
      </c>
      <c r="AR50">
        <f>$AH50*tbl_Data_old[[#This Row],[2034 ]]</f>
        <v>6.0101772824873132</v>
      </c>
      <c r="AS50">
        <f>SUM(tbl_Data_old[[#This Row],[Adjusted 2025]:[Adjusted 2034]])</f>
        <v>47.12902440081124</v>
      </c>
      <c r="AT50" s="3">
        <f>AVERAGEIFS('3. Incentive Adjustment'!F:F,'3. Incentive Adjustment'!A:A,tbl_Data_old[[#This Row],[Trimmed Sector]],'3. Incentive Adjustment'!B:B,tbl_Data_old[[#This Row],[Trimmed Measure Name]])</f>
        <v>500</v>
      </c>
      <c r="AU50" s="3">
        <f>IFERROR(VLOOKUP(tbl_Data_old[[#This Row],[All_Meas_Name_Append]],'IRA Tax Credits'!$A$3:$D$46,4,0),0)</f>
        <v>1666.6666666666667</v>
      </c>
      <c r="AV50" s="4">
        <f>tbl_Data_old[[#This Row],[Adj. per unit Incentive ($)]]/tbl_Data_old[[#This Row],[kWh Savings]]*tbl_Data_old[[#This Row],[Sum of Annuals]]</f>
        <v>19.63338497206562</v>
      </c>
      <c r="AW50" s="4">
        <f>IFERROR(VLOOKUP(tbl_Data_old[[#This Row],[All_Programs]],'1. Set Program Names'!$B$2:$D$15,3,0)*tbl_Data_old[[#This Row],[Sum of Annuals]],"")</f>
        <v>21.012175992407489</v>
      </c>
      <c r="AX50" s="4">
        <f>tbl_Data_old[[#This Row],[per unit IRA tax ($)]]/tbl_Data_old[[#This Row],[kWh Savings]]*tbl_Data_old[[#This Row],[Sum of Annuals]]</f>
        <v>65.444616573552068</v>
      </c>
      <c r="AY50" s="4">
        <f>tbl_Data_old[[#This Row],[Avoided Costs ($/unit)]]/tbl_Data_old[[#This Row],[kWh Savings]]*tbl_Data_old[[#This Row],[Sum of Annuals]]</f>
        <v>22.442517986117821</v>
      </c>
      <c r="AZ50" s="4">
        <f>tbl_Data_old[[#This Row],[Lost Revenue ($/unit)]]/tbl_Data_old[[#This Row],[kWh Savings]]*tbl_Data_old[[#This Row],[Sum of Annuals]]</f>
        <v>60.288556512946947</v>
      </c>
      <c r="BA50" s="4">
        <f>tbl_Data_old[[#This Row],[Incremental Cost ($/unit)]]/tbl_Data_old[[#This Row],[kWh Savings]]*tbl_Data_old[[#This Row],[Sum of Annuals]]</f>
        <v>47.512791632398802</v>
      </c>
      <c r="BB50">
        <f>ROUNDUP(tbl_Data_old[[#This Row],[Adjusted 2025]]/$L50,0)</f>
        <v>1</v>
      </c>
      <c r="BC50">
        <f>ROUNDUP(tbl_Data_old[[#This Row],[Adjusted 2026]]/$L50,0)</f>
        <v>1</v>
      </c>
      <c r="BD50">
        <f>ROUNDUP(tbl_Data_old[[#This Row],[Adjusted 2027]]/$L50,0)</f>
        <v>1</v>
      </c>
      <c r="BE50">
        <f>ROUNDUP(tbl_Data_old[[#This Row],[Adjusted 2028]]/$L50,0)</f>
        <v>1</v>
      </c>
      <c r="BF50">
        <f>ROUNDUP(tbl_Data_old[[#This Row],[Adjusted 2029]]/$L50,0)</f>
        <v>1</v>
      </c>
      <c r="BG50">
        <f>ROUNDUP(tbl_Data_old[[#This Row],[Adjusted 2030]]/$L50,0)</f>
        <v>1</v>
      </c>
      <c r="BH50">
        <f>ROUNDUP(tbl_Data_old[[#This Row],[Adjusted 2031]]/$L50,0)</f>
        <v>1</v>
      </c>
      <c r="BI50">
        <f>ROUNDUP(tbl_Data_old[[#This Row],[Adjusted 2032]]/$L50,0)</f>
        <v>1</v>
      </c>
      <c r="BJ50">
        <f>ROUNDUP(tbl_Data_old[[#This Row],[Adjusted 2033]]/$L50,0)</f>
        <v>1</v>
      </c>
      <c r="BK50">
        <f>ROUNDUP(tbl_Data_old[[#This Row],[Adjusted 2034]]/$L50,0)</f>
        <v>1</v>
      </c>
      <c r="BL50" s="3">
        <f t="shared" si="4"/>
        <v>3.9170836178485233</v>
      </c>
      <c r="BM50">
        <f t="shared" si="4"/>
        <v>4.1617588968133257</v>
      </c>
      <c r="BN50">
        <f t="shared" si="4"/>
        <v>4.4046771123121982</v>
      </c>
      <c r="BO50">
        <f t="shared" si="4"/>
        <v>4.6532049542790226</v>
      </c>
      <c r="BP50">
        <f t="shared" si="4"/>
        <v>4.9070739953733034</v>
      </c>
      <c r="BQ50">
        <f t="shared" si="3"/>
        <v>5.1519925567703329</v>
      </c>
      <c r="BR50">
        <f t="shared" si="3"/>
        <v>5.426120918913595</v>
      </c>
      <c r="BS50">
        <f t="shared" si="3"/>
        <v>5.7404119254013031</v>
      </c>
      <c r="BT50">
        <f t="shared" si="3"/>
        <v>6.0974533502091601</v>
      </c>
      <c r="BU50">
        <f t="shared" si="3"/>
        <v>6.4985076773136399</v>
      </c>
      <c r="BV50">
        <f>VLOOKUP($H50,'1. Set Program Names'!$B$2:$D$15,3,0)*V50</f>
        <v>4.19216810918316</v>
      </c>
      <c r="BW50">
        <f>VLOOKUP($H50,'1. Set Program Names'!$B$2:$D$15,3,0)*W50</f>
        <v>4.4540261652399575</v>
      </c>
      <c r="BX50">
        <f>VLOOKUP($H50,'1. Set Program Names'!$B$2:$D$15,3,0)*X50</f>
        <v>4.7140037647769795</v>
      </c>
      <c r="BY50">
        <f>VLOOKUP($H50,'1. Set Program Names'!$B$2:$D$15,3,0)*Y50</f>
        <v>4.979984937246738</v>
      </c>
      <c r="BZ50">
        <f>VLOOKUP($H50,'1. Set Program Names'!$B$2:$D$15,3,0)*Z50</f>
        <v>5.2516824044988928</v>
      </c>
      <c r="CA50">
        <f>VLOOKUP($H50,'1. Set Program Names'!$B$2:$D$15,3,0)*AA50</f>
        <v>5.513800827949753</v>
      </c>
      <c r="CB50">
        <f>VLOOKUP($H50,'1. Set Program Names'!$B$2:$D$15,3,0)*AB50</f>
        <v>5.8071803647978317</v>
      </c>
      <c r="CC50">
        <f>VLOOKUP($H50,'1. Set Program Names'!$B$2:$D$15,3,0)*AC50</f>
        <v>6.1435430424790711</v>
      </c>
      <c r="CD50">
        <f>VLOOKUP($H50,'1. Set Program Names'!$B$2:$D$15,3,0)*AD50</f>
        <v>6.5256583662154917</v>
      </c>
      <c r="CE50">
        <f>VLOOKUP($H50,'1. Set Program Names'!$B$2:$D$15,3,0)*AE50</f>
        <v>6.9548774802717714</v>
      </c>
    </row>
    <row r="51" spans="1:83" x14ac:dyDescent="0.25">
      <c r="A51" s="20" t="s">
        <v>116</v>
      </c>
      <c r="B51" s="20" t="s">
        <v>88</v>
      </c>
      <c r="C51" s="20" t="s">
        <v>89</v>
      </c>
      <c r="D51" s="20" t="s">
        <v>90</v>
      </c>
      <c r="E51" s="20" t="s">
        <v>91</v>
      </c>
      <c r="F51" s="20" t="s">
        <v>90</v>
      </c>
      <c r="G51" s="20" t="s">
        <v>92</v>
      </c>
      <c r="H51" s="20" t="s">
        <v>5</v>
      </c>
      <c r="I51" s="20" t="s">
        <v>96</v>
      </c>
      <c r="J51" s="20" t="s">
        <v>97</v>
      </c>
      <c r="K51" s="20" t="s">
        <v>98</v>
      </c>
      <c r="L51" s="20">
        <v>5868.07</v>
      </c>
      <c r="M51" s="20">
        <v>0.20813520080661799</v>
      </c>
      <c r="N51" s="20">
        <v>1.1349578069705</v>
      </c>
      <c r="O51" s="20">
        <v>1935.1666666666599</v>
      </c>
      <c r="P51" s="20">
        <v>513.45064263862798</v>
      </c>
      <c r="Q51" s="20">
        <v>1744.1611426417701</v>
      </c>
      <c r="R51" s="20">
        <v>3388.0400735263802</v>
      </c>
      <c r="S51" s="20">
        <v>7811.7411984889604</v>
      </c>
      <c r="T51" s="20">
        <v>16</v>
      </c>
      <c r="U51" s="20">
        <v>0.7</v>
      </c>
      <c r="V51" s="20">
        <v>57.026964794333701</v>
      </c>
      <c r="W51" s="20">
        <v>60.378647378056797</v>
      </c>
      <c r="X51" s="20">
        <v>63.677531442362501</v>
      </c>
      <c r="Y51" s="20">
        <v>67.029865519401596</v>
      </c>
      <c r="Z51" s="20">
        <v>70.430848135824206</v>
      </c>
      <c r="AA51" s="20">
        <v>73.675242177727199</v>
      </c>
      <c r="AB51" s="20">
        <v>77.308178869744197</v>
      </c>
      <c r="AC51" s="20">
        <v>81.480533934713606</v>
      </c>
      <c r="AD51" s="20">
        <v>86.222541605286594</v>
      </c>
      <c r="AE51" s="20">
        <v>91.545196965744793</v>
      </c>
      <c r="AF51" t="str">
        <f t="shared" si="0"/>
        <v>Residential</v>
      </c>
      <c r="AG51" t="str">
        <f>tbl_Data_old[[#This Row],[All_Meas_Name_Append]]</f>
        <v>ASHP - CEE Tier 2: 16.8 SEER/16 SEER2; 9.0 HSPF (from elec resistance)</v>
      </c>
      <c r="AH51">
        <f>AVERAGEIFS('3. Incentive Adjustment'!G:G,'3. Incentive Adjustment'!A:A,tbl_Data_old[[#This Row],[Trimmed Sector]],'3. Incentive Adjustment'!B:B,tbl_Data_old[[#This Row],[Trimmed Measure Name]])</f>
        <v>0.9303958662075158</v>
      </c>
      <c r="AI51">
        <f>$AH51*tbl_Data_old[[#This Row],[2025 ]]</f>
        <v>53.057652307009612</v>
      </c>
      <c r="AJ51">
        <f>$AH51*tbl_Data_old[[#This Row],[2026 ]]</f>
        <v>56.176043927745305</v>
      </c>
      <c r="AK51">
        <f>$AH51*tbl_Data_old[[#This Row],[2027 ]]</f>
        <v>59.245312024273183</v>
      </c>
      <c r="AL51">
        <f>$AH51*tbl_Data_old[[#This Row],[2028 ]]</f>
        <v>62.364309791696947</v>
      </c>
      <c r="AM51">
        <f>$AH51*tbl_Data_old[[#This Row],[2029 ]]</f>
        <v>65.528569959060164</v>
      </c>
      <c r="AN51">
        <f>$AH51*tbl_Data_old[[#This Row],[2030 ]]</f>
        <v>68.547140763995003</v>
      </c>
      <c r="AO51">
        <f>$AH51*tbl_Data_old[[#This Row],[2031 ]]</f>
        <v>71.927210044441225</v>
      </c>
      <c r="AP51">
        <f>$AH51*tbl_Data_old[[#This Row],[2032 ]]</f>
        <v>75.809151949238753</v>
      </c>
      <c r="AQ51">
        <f>$AH51*tbl_Data_old[[#This Row],[2033 ]]</f>
        <v>80.221096283464192</v>
      </c>
      <c r="AR51">
        <f>$AH51*tbl_Data_old[[#This Row],[2034 ]]</f>
        <v>85.173272828081778</v>
      </c>
      <c r="AS51">
        <f>SUM(tbl_Data_old[[#This Row],[Adjusted 2025]:[Adjusted 2034]])</f>
        <v>678.04975987900616</v>
      </c>
      <c r="AT51" s="3">
        <f>AVERAGEIFS('3. Incentive Adjustment'!F:F,'3. Incentive Adjustment'!A:A,tbl_Data_old[[#This Row],[Trimmed Sector]],'3. Incentive Adjustment'!B:B,tbl_Data_old[[#This Row],[Trimmed Measure Name]])</f>
        <v>353</v>
      </c>
      <c r="AU51" s="3">
        <f>IFERROR(VLOOKUP(tbl_Data_old[[#This Row],[All_Meas_Name_Append]],'IRA Tax Credits'!$A$3:$D$46,4,0),0)</f>
        <v>0</v>
      </c>
      <c r="AV51" s="4">
        <f>tbl_Data_old[[#This Row],[Adj. per unit Incentive ($)]]/tbl_Data_old[[#This Row],[kWh Savings]]*tbl_Data_old[[#This Row],[Sum of Annuals]]</f>
        <v>40.788805388703473</v>
      </c>
      <c r="AW51" s="4">
        <f>IFERROR(VLOOKUP(tbl_Data_old[[#This Row],[All_Programs]],'1. Set Program Names'!$B$2:$D$15,3,0)*tbl_Data_old[[#This Row],[Sum of Annuals]],"")</f>
        <v>302.30417597912498</v>
      </c>
      <c r="AX51" s="4">
        <f>tbl_Data_old[[#This Row],[per unit IRA tax ($)]]/tbl_Data_old[[#This Row],[kWh Savings]]*tbl_Data_old[[#This Row],[Sum of Annuals]]</f>
        <v>0</v>
      </c>
      <c r="AY51" s="4">
        <f>tbl_Data_old[[#This Row],[Avoided Costs ($/unit)]]/tbl_Data_old[[#This Row],[kWh Savings]]*tbl_Data_old[[#This Row],[Sum of Annuals]]</f>
        <v>391.48472296939411</v>
      </c>
      <c r="AZ51" s="4">
        <f>tbl_Data_old[[#This Row],[Lost Revenue ($/unit)]]/tbl_Data_old[[#This Row],[kWh Savings]]*tbl_Data_old[[#This Row],[Sum of Annuals]]</f>
        <v>902.63906938267269</v>
      </c>
      <c r="BA51" s="4">
        <f>tbl_Data_old[[#This Row],[Incremental Cost ($/unit)]]/tbl_Data_old[[#This Row],[kWh Savings]]*tbl_Data_old[[#This Row],[Sum of Annuals]]</f>
        <v>223.60661915402946</v>
      </c>
      <c r="BB51">
        <f>ROUNDUP(tbl_Data_old[[#This Row],[Adjusted 2025]]/$L51,0)</f>
        <v>1</v>
      </c>
      <c r="BC51">
        <f>ROUNDUP(tbl_Data_old[[#This Row],[Adjusted 2026]]/$L51,0)</f>
        <v>1</v>
      </c>
      <c r="BD51">
        <f>ROUNDUP(tbl_Data_old[[#This Row],[Adjusted 2027]]/$L51,0)</f>
        <v>1</v>
      </c>
      <c r="BE51">
        <f>ROUNDUP(tbl_Data_old[[#This Row],[Adjusted 2028]]/$L51,0)</f>
        <v>1</v>
      </c>
      <c r="BF51">
        <f>ROUNDUP(tbl_Data_old[[#This Row],[Adjusted 2029]]/$L51,0)</f>
        <v>1</v>
      </c>
      <c r="BG51">
        <f>ROUNDUP(tbl_Data_old[[#This Row],[Adjusted 2030]]/$L51,0)</f>
        <v>1</v>
      </c>
      <c r="BH51">
        <f>ROUNDUP(tbl_Data_old[[#This Row],[Adjusted 2031]]/$L51,0)</f>
        <v>1</v>
      </c>
      <c r="BI51">
        <f>ROUNDUP(tbl_Data_old[[#This Row],[Adjusted 2032]]/$L51,0)</f>
        <v>1</v>
      </c>
      <c r="BJ51">
        <f>ROUNDUP(tbl_Data_old[[#This Row],[Adjusted 2033]]/$L51,0)</f>
        <v>1</v>
      </c>
      <c r="BK51">
        <f>ROUNDUP(tbl_Data_old[[#This Row],[Adjusted 2034]]/$L51,0)</f>
        <v>1</v>
      </c>
      <c r="BL51" s="3">
        <f t="shared" si="4"/>
        <v>3.4305177975722509</v>
      </c>
      <c r="BM51">
        <f t="shared" si="4"/>
        <v>3.6321418327412678</v>
      </c>
      <c r="BN51">
        <f t="shared" si="4"/>
        <v>3.8305897167474083</v>
      </c>
      <c r="BO51">
        <f t="shared" si="4"/>
        <v>4.0322529431906515</v>
      </c>
      <c r="BP51">
        <f t="shared" si="4"/>
        <v>4.2368426743283472</v>
      </c>
      <c r="BQ51">
        <f t="shared" si="3"/>
        <v>4.4320126530081785</v>
      </c>
      <c r="BR51">
        <f t="shared" si="3"/>
        <v>4.6505558285807265</v>
      </c>
      <c r="BS51">
        <f t="shared" si="3"/>
        <v>4.9015482908271215</v>
      </c>
      <c r="BT51">
        <f t="shared" si="3"/>
        <v>5.1868088122101765</v>
      </c>
      <c r="BU51">
        <f t="shared" si="3"/>
        <v>5.5069988137339729</v>
      </c>
      <c r="BV51">
        <f>VLOOKUP($H51,'1. Set Program Names'!$B$2:$D$15,3,0)*V51</f>
        <v>25.425109808781439</v>
      </c>
      <c r="BW51">
        <f>VLOOKUP($H51,'1. Set Program Names'!$B$2:$D$15,3,0)*W51</f>
        <v>26.919436186534011</v>
      </c>
      <c r="BX51">
        <f>VLOOKUP($H51,'1. Set Program Names'!$B$2:$D$15,3,0)*X51</f>
        <v>28.390222679974489</v>
      </c>
      <c r="BY51">
        <f>VLOOKUP($H51,'1. Set Program Names'!$B$2:$D$15,3,0)*Y51</f>
        <v>29.884839521881318</v>
      </c>
      <c r="BZ51">
        <f>VLOOKUP($H51,'1. Set Program Names'!$B$2:$D$15,3,0)*Z51</f>
        <v>31.401146005878051</v>
      </c>
      <c r="CA51">
        <f>VLOOKUP($H51,'1. Set Program Names'!$B$2:$D$15,3,0)*AA51</f>
        <v>32.847638469151079</v>
      </c>
      <c r="CB51">
        <f>VLOOKUP($H51,'1. Set Program Names'!$B$2:$D$15,3,0)*AB51</f>
        <v>34.467360203527186</v>
      </c>
      <c r="CC51">
        <f>VLOOKUP($H51,'1. Set Program Names'!$B$2:$D$15,3,0)*AC51</f>
        <v>36.327578191117034</v>
      </c>
      <c r="CD51">
        <f>VLOOKUP($H51,'1. Set Program Names'!$B$2:$D$15,3,0)*AD51</f>
        <v>38.441772172389236</v>
      </c>
      <c r="CE51">
        <f>VLOOKUP($H51,'1. Set Program Names'!$B$2:$D$15,3,0)*AE51</f>
        <v>40.814844235789593</v>
      </c>
    </row>
    <row r="52" spans="1:83" x14ac:dyDescent="0.25">
      <c r="A52" s="20" t="s">
        <v>116</v>
      </c>
      <c r="B52" s="20" t="s">
        <v>88</v>
      </c>
      <c r="C52" s="20" t="s">
        <v>89</v>
      </c>
      <c r="D52" s="20" t="s">
        <v>90</v>
      </c>
      <c r="E52" s="20" t="s">
        <v>91</v>
      </c>
      <c r="F52" s="20" t="s">
        <v>90</v>
      </c>
      <c r="G52" s="20" t="s">
        <v>92</v>
      </c>
      <c r="H52" s="20" t="s">
        <v>5</v>
      </c>
      <c r="I52" s="20" t="s">
        <v>99</v>
      </c>
      <c r="J52" s="20" t="s">
        <v>97</v>
      </c>
      <c r="K52" s="20" t="s">
        <v>98</v>
      </c>
      <c r="L52" s="20">
        <v>253.96999999999801</v>
      </c>
      <c r="M52" s="20">
        <v>0.107126245482503</v>
      </c>
      <c r="N52" s="20">
        <v>1.33192706841354E-2</v>
      </c>
      <c r="O52" s="20">
        <v>874.99999999999898</v>
      </c>
      <c r="P52" s="20">
        <v>813.468148399999</v>
      </c>
      <c r="Q52" s="20">
        <v>75.487273566390598</v>
      </c>
      <c r="R52" s="20">
        <v>185.54516688855901</v>
      </c>
      <c r="S52" s="20">
        <v>338.09206641710699</v>
      </c>
      <c r="T52" s="20">
        <v>16</v>
      </c>
      <c r="U52" s="20">
        <v>0.7</v>
      </c>
      <c r="V52" s="20">
        <v>0.45841230448627901</v>
      </c>
      <c r="W52" s="20">
        <v>0.51182706817178703</v>
      </c>
      <c r="X52" s="20">
        <v>0.561554241528752</v>
      </c>
      <c r="Y52" s="20">
        <v>0.60901043895217499</v>
      </c>
      <c r="Z52" s="20">
        <v>0.65460428276840199</v>
      </c>
      <c r="AA52" s="20">
        <v>0.69676781044514702</v>
      </c>
      <c r="AB52" s="20">
        <v>0.74096395329720799</v>
      </c>
      <c r="AC52" s="20">
        <v>0.78904522757206896</v>
      </c>
      <c r="AD52" s="20">
        <v>0.84164929617123496</v>
      </c>
      <c r="AE52" s="20">
        <v>0.89915724798793495</v>
      </c>
      <c r="AF52" t="str">
        <f t="shared" si="0"/>
        <v>Residential</v>
      </c>
      <c r="AG52" t="str">
        <f>tbl_Data_old[[#This Row],[All_Meas_Name_Append]]</f>
        <v>ASHP - ENERGY STAR/CEE Tier 1: 16 SEER/15.2 SEER2_ 9.0 HSPF</v>
      </c>
      <c r="AH52">
        <f>AVERAGEIFS('3. Incentive Adjustment'!G:G,'3. Incentive Adjustment'!A:A,tbl_Data_old[[#This Row],[Trimmed Sector]],'3. Incentive Adjustment'!B:B,tbl_Data_old[[#This Row],[Trimmed Measure Name]])</f>
        <v>8.3636985731950567E-3</v>
      </c>
      <c r="AI52">
        <f>$AH52*tbl_Data_old[[#This Row],[2025 ]]</f>
        <v>3.8340223369669494E-3</v>
      </c>
      <c r="AJ52">
        <f>$AH52*tbl_Data_old[[#This Row],[2026 ]]</f>
        <v>4.2807673197909841E-3</v>
      </c>
      <c r="AK52">
        <f>$AH52*tbl_Data_old[[#This Row],[2027 ]]</f>
        <v>4.6966704086456555E-3</v>
      </c>
      <c r="AL52">
        <f>$AH52*tbl_Data_old[[#This Row],[2028 ]]</f>
        <v>5.0935797393252009E-3</v>
      </c>
      <c r="AM52">
        <f>$AH52*tbl_Data_old[[#This Row],[2029 ]]</f>
        <v>5.4749129057974572E-3</v>
      </c>
      <c r="AN52">
        <f>$AH52*tbl_Data_old[[#This Row],[2030 ]]</f>
        <v>5.8275559420683199E-3</v>
      </c>
      <c r="AO52">
        <f>$AH52*tbl_Data_old[[#This Row],[2031 ]]</f>
        <v>6.1971991589808272E-3</v>
      </c>
      <c r="AP52">
        <f>$AH52*tbl_Data_old[[#This Row],[2032 ]]</f>
        <v>6.5993364440308823E-3</v>
      </c>
      <c r="AQ52">
        <f>$AH52*tbl_Data_old[[#This Row],[2033 ]]</f>
        <v>7.0393010175179814E-3</v>
      </c>
      <c r="AR52">
        <f>$AH52*tbl_Data_old[[#This Row],[2034 ]]</f>
        <v>7.520280192074685E-3</v>
      </c>
      <c r="AS52">
        <f>SUM(tbl_Data_old[[#This Row],[Adjusted 2025]:[Adjusted 2034]])</f>
        <v>5.6563625465198948E-2</v>
      </c>
      <c r="AT52" s="3">
        <f>AVERAGEIFS('3. Incentive Adjustment'!F:F,'3. Incentive Adjustment'!A:A,tbl_Data_old[[#This Row],[Trimmed Sector]],'3. Incentive Adjustment'!B:B,tbl_Data_old[[#This Row],[Trimmed Measure Name]])</f>
        <v>353</v>
      </c>
      <c r="AU52" s="3">
        <f>IFERROR(VLOOKUP(tbl_Data_old[[#This Row],[All_Meas_Name_Append]],'IRA Tax Credits'!$A$3:$D$46,4,0),0)</f>
        <v>0</v>
      </c>
      <c r="AV52" s="4">
        <f>tbl_Data_old[[#This Row],[Adj. per unit Incentive ($)]]/tbl_Data_old[[#This Row],[kWh Savings]]*tbl_Data_old[[#This Row],[Sum of Annuals]]</f>
        <v>7.8619363661910399E-2</v>
      </c>
      <c r="AW52" s="4">
        <f>IFERROR(VLOOKUP(tbl_Data_old[[#This Row],[All_Programs]],'1. Set Program Names'!$B$2:$D$15,3,0)*tbl_Data_old[[#This Row],[Sum of Annuals]],"")</f>
        <v>2.5218532913720233E-2</v>
      </c>
      <c r="AX52" s="4">
        <f>tbl_Data_old[[#This Row],[per unit IRA tax ($)]]/tbl_Data_old[[#This Row],[kWh Savings]]*tbl_Data_old[[#This Row],[Sum of Annuals]]</f>
        <v>0</v>
      </c>
      <c r="AY52" s="4">
        <f>tbl_Data_old[[#This Row],[Avoided Costs ($/unit)]]/tbl_Data_old[[#This Row],[kWh Savings]]*tbl_Data_old[[#This Row],[Sum of Annuals]]</f>
        <v>4.1324200995244975E-2</v>
      </c>
      <c r="AZ52" s="4">
        <f>tbl_Data_old[[#This Row],[Lost Revenue ($/unit)]]/tbl_Data_old[[#This Row],[kWh Savings]]*tbl_Data_old[[#This Row],[Sum of Annuals]]</f>
        <v>7.5299102325363451E-2</v>
      </c>
      <c r="BA52" s="4">
        <f>tbl_Data_old[[#This Row],[Incremental Cost ($/unit)]]/tbl_Data_old[[#This Row],[kWh Savings]]*tbl_Data_old[[#This Row],[Sum of Annuals]]</f>
        <v>0.19487802607414029</v>
      </c>
      <c r="BB52">
        <f>ROUNDUP(tbl_Data_old[[#This Row],[Adjusted 2025]]/$L52,0)</f>
        <v>1</v>
      </c>
      <c r="BC52">
        <f>ROUNDUP(tbl_Data_old[[#This Row],[Adjusted 2026]]/$L52,0)</f>
        <v>1</v>
      </c>
      <c r="BD52">
        <f>ROUNDUP(tbl_Data_old[[#This Row],[Adjusted 2027]]/$L52,0)</f>
        <v>1</v>
      </c>
      <c r="BE52">
        <f>ROUNDUP(tbl_Data_old[[#This Row],[Adjusted 2028]]/$L52,0)</f>
        <v>1</v>
      </c>
      <c r="BF52">
        <f>ROUNDUP(tbl_Data_old[[#This Row],[Adjusted 2029]]/$L52,0)</f>
        <v>1</v>
      </c>
      <c r="BG52">
        <f>ROUNDUP(tbl_Data_old[[#This Row],[Adjusted 2030]]/$L52,0)</f>
        <v>1</v>
      </c>
      <c r="BH52">
        <f>ROUNDUP(tbl_Data_old[[#This Row],[Adjusted 2031]]/$L52,0)</f>
        <v>1</v>
      </c>
      <c r="BI52">
        <f>ROUNDUP(tbl_Data_old[[#This Row],[Adjusted 2032]]/$L52,0)</f>
        <v>1</v>
      </c>
      <c r="BJ52">
        <f>ROUNDUP(tbl_Data_old[[#This Row],[Adjusted 2033]]/$L52,0)</f>
        <v>1</v>
      </c>
      <c r="BK52">
        <f>ROUNDUP(tbl_Data_old[[#This Row],[Adjusted 2034]]/$L52,0)</f>
        <v>1</v>
      </c>
      <c r="BL52" s="3">
        <f t="shared" si="4"/>
        <v>0.63716007199140745</v>
      </c>
      <c r="BM52">
        <f t="shared" si="4"/>
        <v>0.71140274467315923</v>
      </c>
      <c r="BN52">
        <f t="shared" si="4"/>
        <v>0.7805199325103398</v>
      </c>
      <c r="BO52">
        <f t="shared" si="4"/>
        <v>0.84648062743678176</v>
      </c>
      <c r="BP52">
        <f t="shared" si="4"/>
        <v>0.90985278504251577</v>
      </c>
      <c r="BQ52">
        <f t="shared" si="3"/>
        <v>0.9684570503883877</v>
      </c>
      <c r="BR52">
        <f t="shared" si="3"/>
        <v>1.0298865043663286</v>
      </c>
      <c r="BS52">
        <f t="shared" si="3"/>
        <v>1.0967160110758851</v>
      </c>
      <c r="BT52">
        <f t="shared" si="3"/>
        <v>1.1698318760028676</v>
      </c>
      <c r="BU52">
        <f t="shared" si="3"/>
        <v>1.2497637852492165</v>
      </c>
      <c r="BV52">
        <f>VLOOKUP($H52,'1. Set Program Names'!$B$2:$D$15,3,0)*V52</f>
        <v>0.20438021243624518</v>
      </c>
      <c r="BW52">
        <f>VLOOKUP($H52,'1. Set Program Names'!$B$2:$D$15,3,0)*W52</f>
        <v>0.22819484533862774</v>
      </c>
      <c r="BX52">
        <f>VLOOKUP($H52,'1. Set Program Names'!$B$2:$D$15,3,0)*X52</f>
        <v>0.25036538953014975</v>
      </c>
      <c r="BY52">
        <f>VLOOKUP($H52,'1. Set Program Names'!$B$2:$D$15,3,0)*Y52</f>
        <v>0.2715234335352838</v>
      </c>
      <c r="BZ52">
        <f>VLOOKUP($H52,'1. Set Program Names'!$B$2:$D$15,3,0)*Z52</f>
        <v>0.29185115902116104</v>
      </c>
      <c r="CA52">
        <f>VLOOKUP($H52,'1. Set Program Names'!$B$2:$D$15,3,0)*AA52</f>
        <v>0.31064949985821982</v>
      </c>
      <c r="CB52">
        <f>VLOOKUP($H52,'1. Set Program Names'!$B$2:$D$15,3,0)*AB52</f>
        <v>0.33035406925255473</v>
      </c>
      <c r="CC52">
        <f>VLOOKUP($H52,'1. Set Program Names'!$B$2:$D$15,3,0)*AC52</f>
        <v>0.35179079979911793</v>
      </c>
      <c r="CD52">
        <f>VLOOKUP($H52,'1. Set Program Names'!$B$2:$D$15,3,0)*AD52</f>
        <v>0.37524398944976822</v>
      </c>
      <c r="CE52">
        <f>VLOOKUP($H52,'1. Set Program Names'!$B$2:$D$15,3,0)*AE52</f>
        <v>0.40088354426547518</v>
      </c>
    </row>
    <row r="53" spans="1:83" x14ac:dyDescent="0.25">
      <c r="A53" s="20" t="s">
        <v>116</v>
      </c>
      <c r="B53" s="20" t="s">
        <v>88</v>
      </c>
      <c r="C53" s="20" t="s">
        <v>89</v>
      </c>
      <c r="D53" s="20" t="s">
        <v>90</v>
      </c>
      <c r="E53" s="20" t="s">
        <v>91</v>
      </c>
      <c r="F53" s="20" t="s">
        <v>90</v>
      </c>
      <c r="G53" s="20" t="s">
        <v>92</v>
      </c>
      <c r="H53" s="20" t="s">
        <v>5</v>
      </c>
      <c r="I53" s="20" t="s">
        <v>100</v>
      </c>
      <c r="J53" s="20" t="s">
        <v>101</v>
      </c>
      <c r="K53" s="20" t="s">
        <v>102</v>
      </c>
      <c r="L53" s="20">
        <v>3443.6666666666601</v>
      </c>
      <c r="M53" s="20">
        <v>1.66949913665645</v>
      </c>
      <c r="N53" s="20">
        <v>0.25022957227107101</v>
      </c>
      <c r="O53" s="20">
        <v>1269.26999999999</v>
      </c>
      <c r="P53" s="20">
        <v>446.40188399649003</v>
      </c>
      <c r="Q53" s="20">
        <v>1023.5579310081</v>
      </c>
      <c r="R53" s="20">
        <v>3363.3816217672702</v>
      </c>
      <c r="S53" s="20">
        <v>6252.5618237134204</v>
      </c>
      <c r="T53" s="20">
        <v>30</v>
      </c>
      <c r="U53" s="20">
        <v>0.9</v>
      </c>
      <c r="V53" s="20">
        <v>0.16130897897149801</v>
      </c>
      <c r="W53" s="20">
        <v>0.15612761219888199</v>
      </c>
      <c r="X53" s="20">
        <v>0.15125870570604499</v>
      </c>
      <c r="Y53" s="20">
        <v>0.14685493464619401</v>
      </c>
      <c r="Z53" s="20">
        <v>0.14279759158622701</v>
      </c>
      <c r="AA53" s="20">
        <v>0.13862070723226499</v>
      </c>
      <c r="AB53" s="20">
        <v>0.13529875462220201</v>
      </c>
      <c r="AC53" s="20">
        <v>0.13290255829573899</v>
      </c>
      <c r="AD53" s="20">
        <v>0.13128780690848699</v>
      </c>
      <c r="AE53" s="20">
        <v>0.13030510442366799</v>
      </c>
      <c r="AF53" t="str">
        <f t="shared" si="0"/>
        <v>Residential</v>
      </c>
      <c r="AG53" t="str">
        <f>tbl_Data_old[[#This Row],[All_Meas_Name_Append]]</f>
        <v>Ceiling Insulation(R2 to R38) Residential</v>
      </c>
      <c r="AH53">
        <f>AVERAGEIFS('3. Incentive Adjustment'!G:G,'3. Incentive Adjustment'!A:A,tbl_Data_old[[#This Row],[Trimmed Sector]],'3. Incentive Adjustment'!B:B,tbl_Data_old[[#This Row],[Trimmed Measure Name]])</f>
        <v>0.80543313072084111</v>
      </c>
      <c r="AI53">
        <f>$AH53*tbl_Data_old[[#This Row],[2025 ]]</f>
        <v>0.12992359594639596</v>
      </c>
      <c r="AJ53">
        <f>$AH53*tbl_Data_old[[#This Row],[2026 ]]</f>
        <v>0.12575035148531491</v>
      </c>
      <c r="AK53">
        <f>$AH53*tbl_Data_old[[#This Row],[2027 ]]</f>
        <v>0.12182877288560218</v>
      </c>
      <c r="AL53">
        <f>$AH53*tbl_Data_old[[#This Row],[2028 ]]</f>
        <v>0.11828182977388856</v>
      </c>
      <c r="AM53">
        <f>$AH53*tbl_Data_old[[#This Row],[2029 ]]</f>
        <v>0.11501391125069087</v>
      </c>
      <c r="AN53">
        <f>$AH53*tbl_Data_old[[#This Row],[2030 ]]</f>
        <v>0.11164971020882034</v>
      </c>
      <c r="AO53">
        <f>$AH53*tbl_Data_old[[#This Row],[2031 ]]</f>
        <v>0.10897409951799103</v>
      </c>
      <c r="AP53">
        <f>$AH53*tbl_Data_old[[#This Row],[2032 ]]</f>
        <v>0.10704412360894615</v>
      </c>
      <c r="AQ53">
        <f>$AH53*tbl_Data_old[[#This Row],[2033 ]]</f>
        <v>0.10574354934377594</v>
      </c>
      <c r="AR53">
        <f>$AH53*tbl_Data_old[[#This Row],[2034 ]]</f>
        <v>0.10495204820486104</v>
      </c>
      <c r="AS53">
        <f>SUM(tbl_Data_old[[#This Row],[Adjusted 2025]:[Adjusted 2034]])</f>
        <v>1.1491619922262868</v>
      </c>
      <c r="AT53" s="3">
        <f>AVERAGEIFS('3. Incentive Adjustment'!F:F,'3. Incentive Adjustment'!A:A,tbl_Data_old[[#This Row],[Trimmed Sector]],'3. Incentive Adjustment'!B:B,tbl_Data_old[[#This Row],[Trimmed Measure Name]])</f>
        <v>164</v>
      </c>
      <c r="AU53" s="3">
        <f>IFERROR(VLOOKUP(tbl_Data_old[[#This Row],[All_Meas_Name_Append]],'IRA Tax Credits'!$A$3:$D$46,4,0),0)</f>
        <v>0</v>
      </c>
      <c r="AV53" s="4">
        <f>tbl_Data_old[[#This Row],[Adj. per unit Incentive ($)]]/tbl_Data_old[[#This Row],[kWh Savings]]*tbl_Data_old[[#This Row],[Sum of Annuals]]</f>
        <v>5.4727296503275014E-2</v>
      </c>
      <c r="AW53" s="4">
        <f>IFERROR(VLOOKUP(tbl_Data_old[[#This Row],[All_Programs]],'1. Set Program Names'!$B$2:$D$15,3,0)*tbl_Data_old[[#This Row],[Sum of Annuals]],"")</f>
        <v>0.51234657053560206</v>
      </c>
      <c r="AX53" s="4">
        <f>tbl_Data_old[[#This Row],[per unit IRA tax ($)]]/tbl_Data_old[[#This Row],[kWh Savings]]*tbl_Data_old[[#This Row],[Sum of Annuals]]</f>
        <v>0</v>
      </c>
      <c r="AY53" s="4">
        <f>tbl_Data_old[[#This Row],[Avoided Costs ($/unit)]]/tbl_Data_old[[#This Row],[kWh Savings]]*tbl_Data_old[[#This Row],[Sum of Annuals]]</f>
        <v>1.1223706296836791</v>
      </c>
      <c r="AZ53" s="4">
        <f>tbl_Data_old[[#This Row],[Lost Revenue ($/unit)]]/tbl_Data_old[[#This Row],[kWh Savings]]*tbl_Data_old[[#This Row],[Sum of Annuals]]</f>
        <v>2.0864988099476971</v>
      </c>
      <c r="BA53" s="4">
        <f>tbl_Data_old[[#This Row],[Incremental Cost ($/unit)]]/tbl_Data_old[[#This Row],[kWh Savings]]*tbl_Data_old[[#This Row],[Sum of Annuals]]</f>
        <v>0.42355924166287395</v>
      </c>
      <c r="BB53">
        <f>ROUNDUP(tbl_Data_old[[#This Row],[Adjusted 2025]]/$L53,0)</f>
        <v>1</v>
      </c>
      <c r="BC53">
        <f>ROUNDUP(tbl_Data_old[[#This Row],[Adjusted 2026]]/$L53,0)</f>
        <v>1</v>
      </c>
      <c r="BD53">
        <f>ROUNDUP(tbl_Data_old[[#This Row],[Adjusted 2027]]/$L53,0)</f>
        <v>1</v>
      </c>
      <c r="BE53">
        <f>ROUNDUP(tbl_Data_old[[#This Row],[Adjusted 2028]]/$L53,0)</f>
        <v>1</v>
      </c>
      <c r="BF53">
        <f>ROUNDUP(tbl_Data_old[[#This Row],[Adjusted 2029]]/$L53,0)</f>
        <v>1</v>
      </c>
      <c r="BG53">
        <f>ROUNDUP(tbl_Data_old[[#This Row],[Adjusted 2030]]/$L53,0)</f>
        <v>1</v>
      </c>
      <c r="BH53">
        <f>ROUNDUP(tbl_Data_old[[#This Row],[Adjusted 2031]]/$L53,0)</f>
        <v>1</v>
      </c>
      <c r="BI53">
        <f>ROUNDUP(tbl_Data_old[[#This Row],[Adjusted 2032]]/$L53,0)</f>
        <v>1</v>
      </c>
      <c r="BJ53">
        <f>ROUNDUP(tbl_Data_old[[#This Row],[Adjusted 2033]]/$L53,0)</f>
        <v>1</v>
      </c>
      <c r="BK53">
        <f>ROUNDUP(tbl_Data_old[[#This Row],[Adjusted 2034]]/$L53,0)</f>
        <v>1</v>
      </c>
      <c r="BL53" s="3">
        <f t="shared" si="4"/>
        <v>7.6821234782670769E-3</v>
      </c>
      <c r="BM53">
        <f t="shared" si="4"/>
        <v>7.4353678445310311E-3</v>
      </c>
      <c r="BN53">
        <f t="shared" si="4"/>
        <v>7.2034927119711814E-3</v>
      </c>
      <c r="BO53">
        <f t="shared" si="4"/>
        <v>6.9937690297093786E-3</v>
      </c>
      <c r="BP53">
        <f t="shared" si="4"/>
        <v>6.8005435156735863E-3</v>
      </c>
      <c r="BQ53">
        <f t="shared" si="3"/>
        <v>6.6016250080606432E-3</v>
      </c>
      <c r="BR53">
        <f t="shared" si="3"/>
        <v>6.4434214765389129E-3</v>
      </c>
      <c r="BS53">
        <f t="shared" si="3"/>
        <v>6.3293058446910952E-3</v>
      </c>
      <c r="BT53">
        <f t="shared" si="3"/>
        <v>6.2524054785573239E-3</v>
      </c>
      <c r="BU53">
        <f t="shared" si="3"/>
        <v>6.2056055925316786E-3</v>
      </c>
      <c r="BV53">
        <f>VLOOKUP($H53,'1. Set Program Names'!$B$2:$D$15,3,0)*V53</f>
        <v>7.1918583047230061E-2</v>
      </c>
      <c r="BW53">
        <f>VLOOKUP($H53,'1. Set Program Names'!$B$2:$D$15,3,0)*W53</f>
        <v>6.9608503602735003E-2</v>
      </c>
      <c r="BX53">
        <f>VLOOKUP($H53,'1. Set Program Names'!$B$2:$D$15,3,0)*X53</f>
        <v>6.7437732588083873E-2</v>
      </c>
      <c r="BY53">
        <f>VLOOKUP($H53,'1. Set Program Names'!$B$2:$D$15,3,0)*Y53</f>
        <v>6.5474339249980598E-2</v>
      </c>
      <c r="BZ53">
        <f>VLOOKUP($H53,'1. Set Program Names'!$B$2:$D$15,3,0)*Z53</f>
        <v>6.366539863384231E-2</v>
      </c>
      <c r="CA53">
        <f>VLOOKUP($H53,'1. Set Program Names'!$B$2:$D$15,3,0)*AA53</f>
        <v>6.1803161291541786E-2</v>
      </c>
      <c r="CB53">
        <f>VLOOKUP($H53,'1. Set Program Names'!$B$2:$D$15,3,0)*AB53</f>
        <v>6.0322089833591566E-2</v>
      </c>
      <c r="CC53">
        <f>VLOOKUP($H53,'1. Set Program Names'!$B$2:$D$15,3,0)*AC53</f>
        <v>5.9253760930879668E-2</v>
      </c>
      <c r="CD53">
        <f>VLOOKUP($H53,'1. Set Program Names'!$B$2:$D$15,3,0)*AD53</f>
        <v>5.8533834287706053E-2</v>
      </c>
      <c r="CE53">
        <f>VLOOKUP($H53,'1. Set Program Names'!$B$2:$D$15,3,0)*AE53</f>
        <v>5.8095702630585708E-2</v>
      </c>
    </row>
    <row r="54" spans="1:83" x14ac:dyDescent="0.25">
      <c r="A54" s="20" t="s">
        <v>116</v>
      </c>
      <c r="B54" s="20" t="s">
        <v>88</v>
      </c>
      <c r="C54" s="20" t="s">
        <v>89</v>
      </c>
      <c r="D54" s="20" t="s">
        <v>90</v>
      </c>
      <c r="E54" s="20" t="s">
        <v>91</v>
      </c>
      <c r="F54" s="20" t="s">
        <v>90</v>
      </c>
      <c r="G54" s="20" t="s">
        <v>92</v>
      </c>
      <c r="H54" s="20" t="s">
        <v>5</v>
      </c>
      <c r="I54" s="20" t="s">
        <v>103</v>
      </c>
      <c r="J54" s="20" t="s">
        <v>101</v>
      </c>
      <c r="K54" s="20" t="s">
        <v>102</v>
      </c>
      <c r="L54" s="20">
        <v>3523.57666666666</v>
      </c>
      <c r="M54" s="20">
        <v>1.7070465614975301</v>
      </c>
      <c r="N54" s="20">
        <v>0.25623328618049002</v>
      </c>
      <c r="O54" s="20">
        <v>1306.5999999999899</v>
      </c>
      <c r="P54" s="20">
        <v>465.31519597206898</v>
      </c>
      <c r="Q54" s="20">
        <v>1047.30950808685</v>
      </c>
      <c r="R54" s="20">
        <v>3440.61303289528</v>
      </c>
      <c r="S54" s="20">
        <v>6397.6520033667803</v>
      </c>
      <c r="T54" s="20">
        <v>30</v>
      </c>
      <c r="U54" s="20">
        <v>0.9</v>
      </c>
      <c r="V54" s="20">
        <v>0.16503396338779799</v>
      </c>
      <c r="W54" s="20">
        <v>0.159747356963823</v>
      </c>
      <c r="X54" s="20">
        <v>0.15477901061155</v>
      </c>
      <c r="Y54" s="20">
        <v>0.15028529891631801</v>
      </c>
      <c r="Z54" s="20">
        <v>0.14614489819263099</v>
      </c>
      <c r="AA54" s="20">
        <v>0.14188101020629099</v>
      </c>
      <c r="AB54" s="20">
        <v>0.13849111997551999</v>
      </c>
      <c r="AC54" s="20">
        <v>0.13604796137584399</v>
      </c>
      <c r="AD54" s="20">
        <v>0.13440402929220199</v>
      </c>
      <c r="AE54" s="20">
        <v>0.13340655770288701</v>
      </c>
      <c r="AF54" t="str">
        <f t="shared" si="0"/>
        <v>Residential</v>
      </c>
      <c r="AG54" t="str">
        <f>tbl_Data_old[[#This Row],[All_Meas_Name_Append]]</f>
        <v>Ceiling Insulation(R2 to R49) Residential</v>
      </c>
      <c r="AH54">
        <f>AVERAGEIFS('3. Incentive Adjustment'!G:G,'3. Incentive Adjustment'!A:A,tbl_Data_old[[#This Row],[Trimmed Sector]],'3. Incentive Adjustment'!B:B,tbl_Data_old[[#This Row],[Trimmed Measure Name]])</f>
        <v>0.79801279130038982</v>
      </c>
      <c r="AI54">
        <f>$AH54*tbl_Data_old[[#This Row],[2025 ]]</f>
        <v>0.13169921378246302</v>
      </c>
      <c r="AJ54">
        <f>$AH54*tbl_Data_old[[#This Row],[2026 ]]</f>
        <v>0.12748043423356015</v>
      </c>
      <c r="AK54">
        <f>$AH54*tbl_Data_old[[#This Row],[2027 ]]</f>
        <v>0.12351563029283567</v>
      </c>
      <c r="AL54">
        <f>$AH54*tbl_Data_old[[#This Row],[2028 ]]</f>
        <v>0.11992959087962438</v>
      </c>
      <c r="AM54">
        <f>$AH54*tbl_Data_old[[#This Row],[2029 ]]</f>
        <v>0.11662549814101275</v>
      </c>
      <c r="AN54">
        <f>$AH54*tbl_Data_old[[#This Row],[2030 ]]</f>
        <v>0.11322286098724137</v>
      </c>
      <c r="AO54">
        <f>$AH54*tbl_Data_old[[#This Row],[2031 ]]</f>
        <v>0.11051768522198188</v>
      </c>
      <c r="AP54">
        <f>$AH54*tbl_Data_old[[#This Row],[2032 ]]</f>
        <v>0.10856801340826489</v>
      </c>
      <c r="AQ54">
        <f>$AH54*tbl_Data_old[[#This Row],[2033 ]]</f>
        <v>0.10725613457748948</v>
      </c>
      <c r="AR54">
        <f>$AH54*tbl_Data_old[[#This Row],[2034 ]]</f>
        <v>0.10646013949025739</v>
      </c>
      <c r="AS54">
        <f>SUM(tbl_Data_old[[#This Row],[Adjusted 2025]:[Adjusted 2034]])</f>
        <v>1.1652752010147309</v>
      </c>
      <c r="AT54" s="3">
        <f>AVERAGEIFS('3. Incentive Adjustment'!F:F,'3. Incentive Adjustment'!A:A,tbl_Data_old[[#This Row],[Trimmed Sector]],'3. Incentive Adjustment'!B:B,tbl_Data_old[[#This Row],[Trimmed Measure Name]])</f>
        <v>164</v>
      </c>
      <c r="AU54" s="3">
        <f>IFERROR(VLOOKUP(tbl_Data_old[[#This Row],[All_Meas_Name_Append]],'IRA Tax Credits'!$A$3:$D$46,4,0),0)</f>
        <v>0</v>
      </c>
      <c r="AV54" s="4">
        <f>tbl_Data_old[[#This Row],[Adj. per unit Incentive ($)]]/tbl_Data_old[[#This Row],[kWh Savings]]*tbl_Data_old[[#This Row],[Sum of Annuals]]</f>
        <v>5.4236121715269307E-2</v>
      </c>
      <c r="AW54" s="4">
        <f>IFERROR(VLOOKUP(tbl_Data_old[[#This Row],[All_Programs]],'1. Set Program Names'!$B$2:$D$15,3,0)*tbl_Data_old[[#This Row],[Sum of Annuals]],"")</f>
        <v>0.51953054226363482</v>
      </c>
      <c r="AX54" s="4">
        <f>tbl_Data_old[[#This Row],[per unit IRA tax ($)]]/tbl_Data_old[[#This Row],[kWh Savings]]*tbl_Data_old[[#This Row],[Sum of Annuals]]</f>
        <v>0</v>
      </c>
      <c r="AY54" s="4">
        <f>tbl_Data_old[[#This Row],[Avoided Costs ($/unit)]]/tbl_Data_old[[#This Row],[kWh Savings]]*tbl_Data_old[[#This Row],[Sum of Annuals]]</f>
        <v>1.1378384587027457</v>
      </c>
      <c r="AZ54" s="4">
        <f>tbl_Data_old[[#This Row],[Lost Revenue ($/unit)]]/tbl_Data_old[[#This Row],[kWh Savings]]*tbl_Data_old[[#This Row],[Sum of Annuals]]</f>
        <v>2.1157550777227878</v>
      </c>
      <c r="BA54" s="4">
        <f>tbl_Data_old[[#This Row],[Incremental Cost ($/unit)]]/tbl_Data_old[[#This Row],[kWh Savings]]*tbl_Data_old[[#This Row],[Sum of Annuals]]</f>
        <v>0.43210315020225809</v>
      </c>
      <c r="BB54">
        <f>ROUNDUP(tbl_Data_old[[#This Row],[Adjusted 2025]]/$L54,0)</f>
        <v>1</v>
      </c>
      <c r="BC54">
        <f>ROUNDUP(tbl_Data_old[[#This Row],[Adjusted 2026]]/$L54,0)</f>
        <v>1</v>
      </c>
      <c r="BD54">
        <f>ROUNDUP(tbl_Data_old[[#This Row],[Adjusted 2027]]/$L54,0)</f>
        <v>1</v>
      </c>
      <c r="BE54">
        <f>ROUNDUP(tbl_Data_old[[#This Row],[Adjusted 2028]]/$L54,0)</f>
        <v>1</v>
      </c>
      <c r="BF54">
        <f>ROUNDUP(tbl_Data_old[[#This Row],[Adjusted 2029]]/$L54,0)</f>
        <v>1</v>
      </c>
      <c r="BG54">
        <f>ROUNDUP(tbl_Data_old[[#This Row],[Adjusted 2030]]/$L54,0)</f>
        <v>1</v>
      </c>
      <c r="BH54">
        <f>ROUNDUP(tbl_Data_old[[#This Row],[Adjusted 2031]]/$L54,0)</f>
        <v>1</v>
      </c>
      <c r="BI54">
        <f>ROUNDUP(tbl_Data_old[[#This Row],[Adjusted 2032]]/$L54,0)</f>
        <v>1</v>
      </c>
      <c r="BJ54">
        <f>ROUNDUP(tbl_Data_old[[#This Row],[Adjusted 2033]]/$L54,0)</f>
        <v>1</v>
      </c>
      <c r="BK54">
        <f>ROUNDUP(tbl_Data_old[[#This Row],[Adjusted 2034]]/$L54,0)</f>
        <v>1</v>
      </c>
      <c r="BL54" s="3">
        <f t="shared" si="4"/>
        <v>7.6812774507339383E-3</v>
      </c>
      <c r="BM54">
        <f t="shared" si="4"/>
        <v>7.4352196703729133E-3</v>
      </c>
      <c r="BN54">
        <f t="shared" si="4"/>
        <v>7.203974864638747E-3</v>
      </c>
      <c r="BO54">
        <f t="shared" si="4"/>
        <v>6.994821272213801E-3</v>
      </c>
      <c r="BP54">
        <f t="shared" si="4"/>
        <v>6.8021120500452266E-3</v>
      </c>
      <c r="BQ54">
        <f t="shared" si="3"/>
        <v>6.6036552841190052E-3</v>
      </c>
      <c r="BR54">
        <f t="shared" si="3"/>
        <v>6.4458775342815461E-3</v>
      </c>
      <c r="BS54">
        <f t="shared" si="3"/>
        <v>6.3321640981195589E-3</v>
      </c>
      <c r="BT54">
        <f t="shared" si="3"/>
        <v>6.2556495541711407E-3</v>
      </c>
      <c r="BU54">
        <f t="shared" si="3"/>
        <v>6.2092236193546264E-3</v>
      </c>
      <c r="BV54">
        <f>VLOOKUP($H54,'1. Set Program Names'!$B$2:$D$15,3,0)*V54</f>
        <v>7.3579343674452444E-2</v>
      </c>
      <c r="BW54">
        <f>VLOOKUP($H54,'1. Set Program Names'!$B$2:$D$15,3,0)*W54</f>
        <v>7.1222343800267859E-2</v>
      </c>
      <c r="BX54">
        <f>VLOOKUP($H54,'1. Set Program Names'!$B$2:$D$15,3,0)*X54</f>
        <v>6.9007238156294476E-2</v>
      </c>
      <c r="BY54">
        <f>VLOOKUP($H54,'1. Set Program Names'!$B$2:$D$15,3,0)*Y54</f>
        <v>6.700374535753989E-2</v>
      </c>
      <c r="BZ54">
        <f>VLOOKUP($H54,'1. Set Program Names'!$B$2:$D$15,3,0)*Z54</f>
        <v>6.5157774009919428E-2</v>
      </c>
      <c r="CA54">
        <f>VLOOKUP($H54,'1. Set Program Names'!$B$2:$D$15,3,0)*AA54</f>
        <v>6.3256746651089879E-2</v>
      </c>
      <c r="CB54">
        <f>VLOOKUP($H54,'1. Set Program Names'!$B$2:$D$15,3,0)*AB54</f>
        <v>6.174538563673633E-2</v>
      </c>
      <c r="CC54">
        <f>VLOOKUP($H54,'1. Set Program Names'!$B$2:$D$15,3,0)*AC54</f>
        <v>6.0656118902989296E-2</v>
      </c>
      <c r="CD54">
        <f>VLOOKUP($H54,'1. Set Program Names'!$B$2:$D$15,3,0)*AD54</f>
        <v>5.9923182231793187E-2</v>
      </c>
      <c r="CE54">
        <f>VLOOKUP($H54,'1. Set Program Names'!$B$2:$D$15,3,0)*AE54</f>
        <v>5.9478465863300904E-2</v>
      </c>
    </row>
    <row r="55" spans="1:83" x14ac:dyDescent="0.25">
      <c r="A55" s="20" t="s">
        <v>116</v>
      </c>
      <c r="B55" s="20" t="s">
        <v>88</v>
      </c>
      <c r="C55" s="20" t="s">
        <v>89</v>
      </c>
      <c r="D55" s="20" t="s">
        <v>90</v>
      </c>
      <c r="E55" s="20" t="s">
        <v>91</v>
      </c>
      <c r="F55" s="20" t="s">
        <v>90</v>
      </c>
      <c r="G55" s="20" t="s">
        <v>92</v>
      </c>
      <c r="H55" s="20" t="s">
        <v>5</v>
      </c>
      <c r="I55" s="20" t="s">
        <v>296</v>
      </c>
      <c r="J55" s="20" t="s">
        <v>97</v>
      </c>
      <c r="K55" s="20" t="s">
        <v>102</v>
      </c>
      <c r="L55" s="20">
        <v>936.45</v>
      </c>
      <c r="M55" s="20">
        <v>0.42562333070119601</v>
      </c>
      <c r="N55" s="20">
        <v>3.9115067461125599E-2</v>
      </c>
      <c r="O55" s="53">
        <v>685.00999995999996</v>
      </c>
      <c r="P55" s="20">
        <v>458.12689399999903</v>
      </c>
      <c r="Q55" s="20">
        <v>278.34018715299698</v>
      </c>
      <c r="R55" s="20">
        <v>763.90764278946904</v>
      </c>
      <c r="S55" s="20">
        <v>1415.5155729468199</v>
      </c>
      <c r="T55" s="20">
        <v>20</v>
      </c>
      <c r="U55" s="20">
        <v>0.9</v>
      </c>
      <c r="V55" s="20">
        <v>5.30562126059937</v>
      </c>
      <c r="W55" s="20">
        <v>5.1355961970103001</v>
      </c>
      <c r="X55" s="20">
        <v>4.9757393681938602</v>
      </c>
      <c r="Y55" s="20">
        <v>4.8310858215519703</v>
      </c>
      <c r="Z55" s="20">
        <v>4.6977418472019501</v>
      </c>
      <c r="AA55" s="20">
        <v>4.56038680977883</v>
      </c>
      <c r="AB55" s="20">
        <v>4.4510868063783597</v>
      </c>
      <c r="AC55" s="20">
        <v>4.3721776189021204</v>
      </c>
      <c r="AD55" s="20">
        <v>4.3189151042521203</v>
      </c>
      <c r="AE55" s="20">
        <v>4.2863858217882003</v>
      </c>
      <c r="AF55" t="str">
        <f t="shared" si="0"/>
        <v>Residential</v>
      </c>
      <c r="AG55" t="str">
        <f>tbl_Data_old[[#This Row],[All_Meas_Name_Append]]</f>
        <v>Duct Repair</v>
      </c>
      <c r="AH55">
        <f>AVERAGEIFS('3. Incentive Adjustment'!G:G,'3. Incentive Adjustment'!A:A,tbl_Data_old[[#This Row],[Trimmed Sector]],'3. Incentive Adjustment'!B:B,tbl_Data_old[[#This Row],[Trimmed Measure Name]])</f>
        <v>0.36456477469769399</v>
      </c>
      <c r="AI55">
        <f>$AH55*tbl_Data_old[[#This Row],[2025 ]]</f>
        <v>1.9342426195017046</v>
      </c>
      <c r="AJ55">
        <f>$AH55*tbl_Data_old[[#This Row],[2026 ]]</f>
        <v>1.8722574705013941</v>
      </c>
      <c r="AK55">
        <f>$AH55*tbl_Data_old[[#This Row],[2027 ]]</f>
        <v>1.813979301720041</v>
      </c>
      <c r="AL55">
        <f>$AH55*tbl_Data_old[[#This Row],[2028 ]]</f>
        <v>1.761243714079318</v>
      </c>
      <c r="AM55">
        <f>$AH55*tbl_Data_old[[#This Row],[2029 ]]</f>
        <v>1.7126311981131077</v>
      </c>
      <c r="AN55">
        <f>$AH55*tbl_Data_old[[#This Row],[2030 ]]</f>
        <v>1.6625563898413547</v>
      </c>
      <c r="AO55">
        <f>$AH55*tbl_Data_old[[#This Row],[2031 ]]</f>
        <v>1.6227094587272051</v>
      </c>
      <c r="AP55">
        <f>$AH55*tbl_Data_old[[#This Row],[2032 ]]</f>
        <v>1.5939419485733517</v>
      </c>
      <c r="AQ55">
        <f>$AH55*tbl_Data_old[[#This Row],[2033 ]]</f>
        <v>1.5745243119201418</v>
      </c>
      <c r="AR55">
        <f>$AH55*tbl_Data_old[[#This Row],[2034 ]]</f>
        <v>1.5626652813876052</v>
      </c>
      <c r="AS55">
        <f>SUM(tbl_Data_old[[#This Row],[Adjusted 2025]:[Adjusted 2034]])</f>
        <v>17.110751694365224</v>
      </c>
      <c r="AT55" s="3">
        <f>AVERAGEIFS('3. Incentive Adjustment'!F:F,'3. Incentive Adjustment'!A:A,tbl_Data_old[[#This Row],[Trimmed Sector]],'3. Incentive Adjustment'!B:B,tbl_Data_old[[#This Row],[Trimmed Measure Name]])</f>
        <v>100</v>
      </c>
      <c r="AU55" s="3">
        <f>IFERROR(VLOOKUP(tbl_Data_old[[#This Row],[All_Meas_Name_Append]],'IRA Tax Credits'!$A$3:$D$46,4,0),0)</f>
        <v>0</v>
      </c>
      <c r="AV55" s="4">
        <f>tbl_Data_old[[#This Row],[Adj. per unit Incentive ($)]]/tbl_Data_old[[#This Row],[kWh Savings]]*tbl_Data_old[[#This Row],[Sum of Annuals]]</f>
        <v>1.8271933038993244</v>
      </c>
      <c r="AW55" s="4">
        <f>IFERROR(VLOOKUP(tbl_Data_old[[#This Row],[All_Programs]],'1. Set Program Names'!$B$2:$D$15,3,0)*tbl_Data_old[[#This Row],[Sum of Annuals]],"")</f>
        <v>7.6287198925806319</v>
      </c>
      <c r="AX55" s="4">
        <f>tbl_Data_old[[#This Row],[per unit IRA tax ($)]]/tbl_Data_old[[#This Row],[kWh Savings]]*tbl_Data_old[[#This Row],[Sum of Annuals]]</f>
        <v>0</v>
      </c>
      <c r="AY55" s="4">
        <f>tbl_Data_old[[#This Row],[Avoided Costs ($/unit)]]/tbl_Data_old[[#This Row],[kWh Savings]]*tbl_Data_old[[#This Row],[Sum of Annuals]]</f>
        <v>13.958069297024348</v>
      </c>
      <c r="AZ55" s="4">
        <f>tbl_Data_old[[#This Row],[Lost Revenue ($/unit)]]/tbl_Data_old[[#This Row],[kWh Savings]]*tbl_Data_old[[#This Row],[Sum of Annuals]]</f>
        <v>25.86420576453645</v>
      </c>
      <c r="BA55" s="4">
        <f>tbl_Data_old[[#This Row],[Incremental Cost ($/unit)]]/tbl_Data_old[[#This Row],[kWh Savings]]*tbl_Data_old[[#This Row],[Sum of Annuals]]</f>
        <v>12.516456850309885</v>
      </c>
      <c r="BB55">
        <f>ROUNDUP(tbl_Data_old[[#This Row],[Adjusted 2025]]/$L55,0)</f>
        <v>1</v>
      </c>
      <c r="BC55">
        <f>ROUNDUP(tbl_Data_old[[#This Row],[Adjusted 2026]]/$L55,0)</f>
        <v>1</v>
      </c>
      <c r="BD55">
        <f>ROUNDUP(tbl_Data_old[[#This Row],[Adjusted 2027]]/$L55,0)</f>
        <v>1</v>
      </c>
      <c r="BE55">
        <f>ROUNDUP(tbl_Data_old[[#This Row],[Adjusted 2028]]/$L55,0)</f>
        <v>1</v>
      </c>
      <c r="BF55">
        <f>ROUNDUP(tbl_Data_old[[#This Row],[Adjusted 2029]]/$L55,0)</f>
        <v>1</v>
      </c>
      <c r="BG55">
        <f>ROUNDUP(tbl_Data_old[[#This Row],[Adjusted 2030]]/$L55,0)</f>
        <v>1</v>
      </c>
      <c r="BH55">
        <f>ROUNDUP(tbl_Data_old[[#This Row],[Adjusted 2031]]/$L55,0)</f>
        <v>1</v>
      </c>
      <c r="BI55">
        <f>ROUNDUP(tbl_Data_old[[#This Row],[Adjusted 2032]]/$L55,0)</f>
        <v>1</v>
      </c>
      <c r="BJ55">
        <f>ROUNDUP(tbl_Data_old[[#This Row],[Adjusted 2033]]/$L55,0)</f>
        <v>1</v>
      </c>
      <c r="BK55">
        <f>ROUNDUP(tbl_Data_old[[#This Row],[Adjusted 2034]]/$L55,0)</f>
        <v>1</v>
      </c>
      <c r="BL55" s="3">
        <f t="shared" si="4"/>
        <v>0.56656749005279194</v>
      </c>
      <c r="BM55">
        <f t="shared" si="4"/>
        <v>0.54841114816704573</v>
      </c>
      <c r="BN55">
        <f t="shared" si="4"/>
        <v>0.53134063411755672</v>
      </c>
      <c r="BO55">
        <f t="shared" si="4"/>
        <v>0.51589362182198406</v>
      </c>
      <c r="BP55">
        <f t="shared" si="4"/>
        <v>0.50165431653606174</v>
      </c>
      <c r="BQ55">
        <f t="shared" si="3"/>
        <v>0.48698668479671414</v>
      </c>
      <c r="BR55">
        <f t="shared" si="3"/>
        <v>0.47531494541922786</v>
      </c>
      <c r="BS55">
        <f t="shared" si="3"/>
        <v>0.46688852783406698</v>
      </c>
      <c r="BT55">
        <f t="shared" si="3"/>
        <v>0.46120082270832613</v>
      </c>
      <c r="BU55">
        <f t="shared" si="3"/>
        <v>0.45772714205651133</v>
      </c>
      <c r="BV55">
        <f>VLOOKUP($H55,'1. Set Program Names'!$B$2:$D$15,3,0)*V55</f>
        <v>2.365477518241474</v>
      </c>
      <c r="BW55">
        <f>VLOOKUP($H55,'1. Set Program Names'!$B$2:$D$15,3,0)*W55</f>
        <v>2.2896729242640879</v>
      </c>
      <c r="BX55">
        <f>VLOOKUP($H55,'1. Set Program Names'!$B$2:$D$15,3,0)*X55</f>
        <v>2.2184017731340981</v>
      </c>
      <c r="BY55">
        <f>VLOOKUP($H55,'1. Set Program Names'!$B$2:$D$15,3,0)*Y55</f>
        <v>2.1539089087345329</v>
      </c>
      <c r="BZ55">
        <f>VLOOKUP($H55,'1. Set Program Names'!$B$2:$D$15,3,0)*Z55</f>
        <v>2.0944583452613483</v>
      </c>
      <c r="CA55">
        <f>VLOOKUP($H55,'1. Set Program Names'!$B$2:$D$15,3,0)*AA55</f>
        <v>2.0332194748100298</v>
      </c>
      <c r="CB55">
        <f>VLOOKUP($H55,'1. Set Program Names'!$B$2:$D$15,3,0)*AB55</f>
        <v>1.9844887629690717</v>
      </c>
      <c r="CC55">
        <f>VLOOKUP($H55,'1. Set Program Names'!$B$2:$D$15,3,0)*AC55</f>
        <v>1.9493076032538266</v>
      </c>
      <c r="CD55">
        <f>VLOOKUP($H55,'1. Set Program Names'!$B$2:$D$15,3,0)*AD55</f>
        <v>1.9255608496162802</v>
      </c>
      <c r="CE55">
        <f>VLOOKUP($H55,'1. Set Program Names'!$B$2:$D$15,3,0)*AE55</f>
        <v>1.9110578757752419</v>
      </c>
    </row>
    <row r="56" spans="1:83" x14ac:dyDescent="0.25">
      <c r="A56" s="20" t="s">
        <v>116</v>
      </c>
      <c r="B56" s="20" t="s">
        <v>88</v>
      </c>
      <c r="C56" s="20" t="s">
        <v>89</v>
      </c>
      <c r="D56" s="20" t="s">
        <v>90</v>
      </c>
      <c r="E56" s="20" t="s">
        <v>91</v>
      </c>
      <c r="F56" s="20" t="s">
        <v>90</v>
      </c>
      <c r="G56" s="20" t="s">
        <v>92</v>
      </c>
      <c r="H56" s="20" t="s">
        <v>5</v>
      </c>
      <c r="I56" s="20" t="s">
        <v>297</v>
      </c>
      <c r="J56" s="20" t="s">
        <v>97</v>
      </c>
      <c r="K56" s="20" t="s">
        <v>298</v>
      </c>
      <c r="L56" s="20">
        <v>57.93</v>
      </c>
      <c r="M56" s="20">
        <v>0</v>
      </c>
      <c r="N56" s="20">
        <v>1.1014721785810099E-2</v>
      </c>
      <c r="O56" s="53">
        <v>154.1011072</v>
      </c>
      <c r="P56" s="20">
        <v>140.06582681793901</v>
      </c>
      <c r="Q56" s="20">
        <v>17.218481543887101</v>
      </c>
      <c r="R56" s="20">
        <v>46.999759951794701</v>
      </c>
      <c r="S56" s="20">
        <v>87.565611768711094</v>
      </c>
      <c r="T56" s="20">
        <v>20</v>
      </c>
      <c r="U56" s="20">
        <v>0.8</v>
      </c>
      <c r="V56" s="20">
        <v>0.231233185341991</v>
      </c>
      <c r="W56" s="20">
        <v>0.21513698555076</v>
      </c>
      <c r="X56" s="20">
        <v>0.19940897809639899</v>
      </c>
      <c r="Y56" s="20">
        <v>0.18442280552343299</v>
      </c>
      <c r="Z56" s="20">
        <v>0.17014950205999399</v>
      </c>
      <c r="AA56" s="20">
        <v>0.15616043450376799</v>
      </c>
      <c r="AB56" s="20">
        <v>0.143642186173051</v>
      </c>
      <c r="AC56" s="20">
        <v>0.13259740562970701</v>
      </c>
      <c r="AD56" s="20">
        <v>0.122787771907478</v>
      </c>
      <c r="AE56" s="20">
        <v>0.113991990392543</v>
      </c>
      <c r="AF56" t="str">
        <f t="shared" si="0"/>
        <v>Residential</v>
      </c>
      <c r="AG56" t="str">
        <f>tbl_Data_old[[#This Row],[All_Meas_Name_Append]]</f>
        <v>Energy Star Windows Residential</v>
      </c>
      <c r="AH56">
        <f>AVERAGEIFS('3. Incentive Adjustment'!G:G,'3. Incentive Adjustment'!A:A,tbl_Data_old[[#This Row],[Trimmed Sector]],'3. Incentive Adjustment'!B:B,tbl_Data_old[[#This Row],[Trimmed Measure Name]])</f>
        <v>1.5721893920937398</v>
      </c>
      <c r="AI56">
        <f>$AH56*tbl_Data_old[[#This Row],[2025 ]]</f>
        <v>0.36354236109472388</v>
      </c>
      <c r="AJ56">
        <f>$AH56*tbl_Data_old[[#This Row],[2026 ]]</f>
        <v>0.33823608652992904</v>
      </c>
      <c r="AK56">
        <f>$AH56*tbl_Data_old[[#This Row],[2027 ]]</f>
        <v>0.31350868005141141</v>
      </c>
      <c r="AL56">
        <f>$AH56*tbl_Data_old[[#This Row],[2028 ]]</f>
        <v>0.28994757850410807</v>
      </c>
      <c r="AM56">
        <f>$AH56*tbl_Data_old[[#This Row],[2029 ]]</f>
        <v>0.26750724220875449</v>
      </c>
      <c r="AN56">
        <f>$AH56*tbl_Data_old[[#This Row],[2030 ]]</f>
        <v>0.24551377859157325</v>
      </c>
      <c r="AO56">
        <f>$AH56*tbl_Data_old[[#This Row],[2031 ]]</f>
        <v>0.22583272135842483</v>
      </c>
      <c r="AP56">
        <f>$AH56*tbl_Data_old[[#This Row],[2032 ]]</f>
        <v>0.2084682345501761</v>
      </c>
      <c r="AQ56">
        <f>$AH56*tbl_Data_old[[#This Row],[2033 ]]</f>
        <v>0.19304563247176262</v>
      </c>
      <c r="AR56">
        <f>$AH56*tbl_Data_old[[#This Row],[2034 ]]</f>
        <v>0.17921699807880759</v>
      </c>
      <c r="AS56">
        <f>SUM(tbl_Data_old[[#This Row],[Adjusted 2025]:[Adjusted 2034]])</f>
        <v>2.6248193134396711</v>
      </c>
      <c r="AT56" s="3">
        <f>AVERAGEIFS('3. Incentive Adjustment'!F:F,'3. Incentive Adjustment'!A:A,tbl_Data_old[[#This Row],[Trimmed Sector]],'3. Incentive Adjustment'!B:B,tbl_Data_old[[#This Row],[Trimmed Measure Name]])</f>
        <v>150</v>
      </c>
      <c r="AU56" s="3">
        <f>IFERROR(VLOOKUP(tbl_Data_old[[#This Row],[All_Meas_Name_Append]],'IRA Tax Credits'!$A$3:$D$46,4,0),0)</f>
        <v>0</v>
      </c>
      <c r="AV56" s="4">
        <f>tbl_Data_old[[#This Row],[Adj. per unit Incentive ($)]]/tbl_Data_old[[#This Row],[kWh Savings]]*tbl_Data_old[[#This Row],[Sum of Annuals]]</f>
        <v>6.7965285174512458</v>
      </c>
      <c r="AW56" s="4">
        <f>IFERROR(VLOOKUP(tbl_Data_old[[#This Row],[All_Programs]],'1. Set Program Names'!$B$2:$D$15,3,0)*tbl_Data_old[[#This Row],[Sum of Annuals]],"")</f>
        <v>1.1702590084023723</v>
      </c>
      <c r="AX56" s="4">
        <f>tbl_Data_old[[#This Row],[per unit IRA tax ($)]]/tbl_Data_old[[#This Row],[kWh Savings]]*tbl_Data_old[[#This Row],[Sum of Annuals]]</f>
        <v>0</v>
      </c>
      <c r="AY56" s="4">
        <f>tbl_Data_old[[#This Row],[Avoided Costs ($/unit)]]/tbl_Data_old[[#This Row],[kWh Savings]]*tbl_Data_old[[#This Row],[Sum of Annuals]]</f>
        <v>2.1295680588382377</v>
      </c>
      <c r="AZ56" s="4">
        <f>tbl_Data_old[[#This Row],[Lost Revenue ($/unit)]]/tbl_Data_old[[#This Row],[kWh Savings]]*tbl_Data_old[[#This Row],[Sum of Annuals]]</f>
        <v>3.9676145168940624</v>
      </c>
      <c r="BA56" s="4">
        <f>tbl_Data_old[[#This Row],[Incremental Cost ($/unit)]]/tbl_Data_old[[#This Row],[kWh Savings]]*tbl_Data_old[[#This Row],[Sum of Annuals]]</f>
        <v>6.982350464370743</v>
      </c>
      <c r="BB56">
        <f>ROUNDUP(tbl_Data_old[[#This Row],[Adjusted 2025]]/$L56,0)</f>
        <v>1</v>
      </c>
      <c r="BC56">
        <f>ROUNDUP(tbl_Data_old[[#This Row],[Adjusted 2026]]/$L56,0)</f>
        <v>1</v>
      </c>
      <c r="BD56">
        <f>ROUNDUP(tbl_Data_old[[#This Row],[Adjusted 2027]]/$L56,0)</f>
        <v>1</v>
      </c>
      <c r="BE56">
        <f>ROUNDUP(tbl_Data_old[[#This Row],[Adjusted 2028]]/$L56,0)</f>
        <v>1</v>
      </c>
      <c r="BF56">
        <f>ROUNDUP(tbl_Data_old[[#This Row],[Adjusted 2029]]/$L56,0)</f>
        <v>1</v>
      </c>
      <c r="BG56">
        <f>ROUNDUP(tbl_Data_old[[#This Row],[Adjusted 2030]]/$L56,0)</f>
        <v>1</v>
      </c>
      <c r="BH56">
        <f>ROUNDUP(tbl_Data_old[[#This Row],[Adjusted 2031]]/$L56,0)</f>
        <v>1</v>
      </c>
      <c r="BI56">
        <f>ROUNDUP(tbl_Data_old[[#This Row],[Adjusted 2032]]/$L56,0)</f>
        <v>1</v>
      </c>
      <c r="BJ56">
        <f>ROUNDUP(tbl_Data_old[[#This Row],[Adjusted 2033]]/$L56,0)</f>
        <v>1</v>
      </c>
      <c r="BK56">
        <f>ROUNDUP(tbl_Data_old[[#This Row],[Adjusted 2034]]/$L56,0)</f>
        <v>1</v>
      </c>
      <c r="BL56" s="3">
        <f t="shared" si="4"/>
        <v>0.59873947525114191</v>
      </c>
      <c r="BM56">
        <f t="shared" si="4"/>
        <v>0.55706107082019674</v>
      </c>
      <c r="BN56">
        <f t="shared" si="4"/>
        <v>0.51633603857172183</v>
      </c>
      <c r="BO56">
        <f t="shared" si="4"/>
        <v>0.4775318630850155</v>
      </c>
      <c r="BP56">
        <f t="shared" si="4"/>
        <v>0.44057354236145518</v>
      </c>
      <c r="BQ56">
        <f t="shared" si="3"/>
        <v>0.40435120275444841</v>
      </c>
      <c r="BR56">
        <f t="shared" si="3"/>
        <v>0.37193730236419215</v>
      </c>
      <c r="BS56">
        <f t="shared" si="3"/>
        <v>0.34333869919654847</v>
      </c>
      <c r="BT56">
        <f t="shared" si="3"/>
        <v>0.31793830115866911</v>
      </c>
      <c r="BU56">
        <f t="shared" si="3"/>
        <v>0.29516310303610305</v>
      </c>
      <c r="BV56">
        <f>VLOOKUP($H56,'1. Set Program Names'!$B$2:$D$15,3,0)*V56</f>
        <v>0.10309384604208485</v>
      </c>
      <c r="BW56">
        <f>VLOOKUP($H56,'1. Set Program Names'!$B$2:$D$15,3,0)*W56</f>
        <v>9.5917457667355918E-2</v>
      </c>
      <c r="BX56">
        <f>VLOOKUP($H56,'1. Set Program Names'!$B$2:$D$15,3,0)*X56</f>
        <v>8.8905225505910151E-2</v>
      </c>
      <c r="BY56">
        <f>VLOOKUP($H56,'1. Set Program Names'!$B$2:$D$15,3,0)*Y56</f>
        <v>8.2223735711474025E-2</v>
      </c>
      <c r="BZ56">
        <f>VLOOKUP($H56,'1. Set Program Names'!$B$2:$D$15,3,0)*Z56</f>
        <v>7.5860074078757153E-2</v>
      </c>
      <c r="CA56">
        <f>VLOOKUP($H56,'1. Set Program Names'!$B$2:$D$15,3,0)*AA56</f>
        <v>6.9623137218760567E-2</v>
      </c>
      <c r="CB56">
        <f>VLOOKUP($H56,'1. Set Program Names'!$B$2:$D$15,3,0)*AB56</f>
        <v>6.4041955762410299E-2</v>
      </c>
      <c r="CC56">
        <f>VLOOKUP($H56,'1. Set Program Names'!$B$2:$D$15,3,0)*AC56</f>
        <v>5.9117710554180039E-2</v>
      </c>
      <c r="CD56">
        <f>VLOOKUP($H56,'1. Set Program Names'!$B$2:$D$15,3,0)*AD56</f>
        <v>5.4744147705953899E-2</v>
      </c>
      <c r="CE56">
        <f>VLOOKUP($H56,'1. Set Program Names'!$B$2:$D$15,3,0)*AE56</f>
        <v>5.0822604420636124E-2</v>
      </c>
    </row>
    <row r="57" spans="1:83" x14ac:dyDescent="0.25">
      <c r="A57" s="20" t="s">
        <v>116</v>
      </c>
      <c r="B57" s="20" t="s">
        <v>88</v>
      </c>
      <c r="C57" s="20" t="s">
        <v>89</v>
      </c>
      <c r="D57" s="20" t="s">
        <v>90</v>
      </c>
      <c r="E57" s="20" t="s">
        <v>91</v>
      </c>
      <c r="F57" s="20" t="s">
        <v>90</v>
      </c>
      <c r="G57" s="20" t="s">
        <v>92</v>
      </c>
      <c r="H57" s="20" t="s">
        <v>5</v>
      </c>
      <c r="I57" s="20" t="s">
        <v>107</v>
      </c>
      <c r="J57" s="20" t="s">
        <v>94</v>
      </c>
      <c r="K57" s="20" t="s">
        <v>108</v>
      </c>
      <c r="L57" s="20">
        <v>1663.1099999999899</v>
      </c>
      <c r="M57" s="20">
        <v>6.6647595975018806E-2</v>
      </c>
      <c r="N57" s="20">
        <v>0.309148293753995</v>
      </c>
      <c r="O57" s="20">
        <v>1389.5</v>
      </c>
      <c r="P57" s="20">
        <v>988.78817699699403</v>
      </c>
      <c r="Q57" s="20">
        <v>494.32468221049697</v>
      </c>
      <c r="R57" s="20">
        <v>791.96156853290995</v>
      </c>
      <c r="S57" s="20">
        <v>2127.4894292214699</v>
      </c>
      <c r="T57" s="20">
        <v>15</v>
      </c>
      <c r="U57" s="20">
        <v>0.7</v>
      </c>
      <c r="V57" s="20">
        <v>11.3237316421546</v>
      </c>
      <c r="W57" s="20">
        <v>12.593322286446</v>
      </c>
      <c r="X57" s="20">
        <v>13.763291475686501</v>
      </c>
      <c r="Y57" s="20">
        <v>14.869506853172</v>
      </c>
      <c r="Z57" s="20">
        <v>15.9227287320054</v>
      </c>
      <c r="AA57" s="20">
        <v>16.885621007079699</v>
      </c>
      <c r="AB57" s="20">
        <v>17.891129341963499</v>
      </c>
      <c r="AC57" s="20">
        <v>18.983387349974301</v>
      </c>
      <c r="AD57" s="20">
        <v>20.176770203904301</v>
      </c>
      <c r="AE57" s="20">
        <v>21.479321929658099</v>
      </c>
      <c r="AF57" t="str">
        <f t="shared" si="0"/>
        <v>Residential</v>
      </c>
      <c r="AG57" t="str">
        <f>tbl_Data_old[[#This Row],[All_Meas_Name_Append]]</f>
        <v>Heat Pump Water Heater 50 Gallons- CEE Advanced Tier</v>
      </c>
      <c r="AH57">
        <f>AVERAGEIFS('3. Incentive Adjustment'!G:G,'3. Incentive Adjustment'!A:A,tbl_Data_old[[#This Row],[Trimmed Sector]],'3. Incentive Adjustment'!B:B,tbl_Data_old[[#This Row],[Trimmed Measure Name]])</f>
        <v>0.46049099596140497</v>
      </c>
      <c r="AI57">
        <f>$AH57*tbl_Data_old[[#This Row],[2025 ]]</f>
        <v>5.2144764618954476</v>
      </c>
      <c r="AJ57">
        <f>$AH57*tbl_Data_old[[#This Row],[2026 ]]</f>
        <v>5.7991115221484764</v>
      </c>
      <c r="AK57">
        <f>$AH57*tbl_Data_old[[#This Row],[2027 ]]</f>
        <v>6.3378717993459919</v>
      </c>
      <c r="AL57">
        <f>$AH57*tbl_Data_old[[#This Row],[2028 ]]</f>
        <v>6.8472740202721107</v>
      </c>
      <c r="AM57">
        <f>$AH57*tbl_Data_old[[#This Row],[2029 ]]</f>
        <v>7.3322732122244449</v>
      </c>
      <c r="AN57">
        <f>$AH57*tbl_Data_old[[#This Row],[2030 ]]</f>
        <v>7.7756764349769529</v>
      </c>
      <c r="AO57">
        <f>$AH57*tbl_Data_old[[#This Row],[2031 ]]</f>
        <v>8.2387039695550879</v>
      </c>
      <c r="AP57">
        <f>$AH57*tbl_Data_old[[#This Row],[2032 ]]</f>
        <v>8.7416789475108025</v>
      </c>
      <c r="AQ57">
        <f>$AH57*tbl_Data_old[[#This Row],[2033 ]]</f>
        <v>9.291221006480292</v>
      </c>
      <c r="AR57">
        <f>$AH57*tbl_Data_old[[#This Row],[2034 ]]</f>
        <v>9.8910343479639042</v>
      </c>
      <c r="AS57">
        <f>SUM(tbl_Data_old[[#This Row],[Adjusted 2025]:[Adjusted 2034]])</f>
        <v>75.469321722373508</v>
      </c>
      <c r="AT57" s="3">
        <f>AVERAGEIFS('3. Incentive Adjustment'!F:F,'3. Incentive Adjustment'!A:A,tbl_Data_old[[#This Row],[Trimmed Sector]],'3. Incentive Adjustment'!B:B,tbl_Data_old[[#This Row],[Trimmed Measure Name]])</f>
        <v>500</v>
      </c>
      <c r="AU57" s="3">
        <f>IFERROR(VLOOKUP(tbl_Data_old[[#This Row],[All_Meas_Name_Append]],'IRA Tax Credits'!$A$3:$D$46,4,0),0)</f>
        <v>1666.6666666666667</v>
      </c>
      <c r="AV57" s="4">
        <f>tbl_Data_old[[#This Row],[Adj. per unit Incentive ($)]]/tbl_Data_old[[#This Row],[kWh Savings]]*tbl_Data_old[[#This Row],[Sum of Annuals]]</f>
        <v>22.689215302167014</v>
      </c>
      <c r="AW57" s="4">
        <f>IFERROR(VLOOKUP(tbl_Data_old[[#This Row],[All_Programs]],'1. Set Program Names'!$B$2:$D$15,3,0)*tbl_Data_old[[#This Row],[Sum of Annuals]],"")</f>
        <v>33.647517431547712</v>
      </c>
      <c r="AX57" s="4">
        <f>tbl_Data_old[[#This Row],[per unit IRA tax ($)]]/tbl_Data_old[[#This Row],[kWh Savings]]*tbl_Data_old[[#This Row],[Sum of Annuals]]</f>
        <v>75.630717673890061</v>
      </c>
      <c r="AY57" s="4">
        <f>tbl_Data_old[[#This Row],[Avoided Costs ($/unit)]]/tbl_Data_old[[#This Row],[kWh Savings]]*tbl_Data_old[[#This Row],[Sum of Annuals]]</f>
        <v>35.937973078970181</v>
      </c>
      <c r="AZ57" s="4">
        <f>tbl_Data_old[[#This Row],[Lost Revenue ($/unit)]]/tbl_Data_old[[#This Row],[kWh Savings]]*tbl_Data_old[[#This Row],[Sum of Annuals]]</f>
        <v>96.542131425380674</v>
      </c>
      <c r="BA57" s="4">
        <f>tbl_Data_old[[#This Row],[Incremental Cost ($/unit)]]/tbl_Data_old[[#This Row],[kWh Savings]]*tbl_Data_old[[#This Row],[Sum of Annuals]]</f>
        <v>63.053329324722128</v>
      </c>
      <c r="BB57">
        <f>ROUNDUP(tbl_Data_old[[#This Row],[Adjusted 2025]]/$L57,0)</f>
        <v>1</v>
      </c>
      <c r="BC57">
        <f>ROUNDUP(tbl_Data_old[[#This Row],[Adjusted 2026]]/$L57,0)</f>
        <v>1</v>
      </c>
      <c r="BD57">
        <f>ROUNDUP(tbl_Data_old[[#This Row],[Adjusted 2027]]/$L57,0)</f>
        <v>1</v>
      </c>
      <c r="BE57">
        <f>ROUNDUP(tbl_Data_old[[#This Row],[Adjusted 2028]]/$L57,0)</f>
        <v>1</v>
      </c>
      <c r="BF57">
        <f>ROUNDUP(tbl_Data_old[[#This Row],[Adjusted 2029]]/$L57,0)</f>
        <v>1</v>
      </c>
      <c r="BG57">
        <f>ROUNDUP(tbl_Data_old[[#This Row],[Adjusted 2030]]/$L57,0)</f>
        <v>1</v>
      </c>
      <c r="BH57">
        <f>ROUNDUP(tbl_Data_old[[#This Row],[Adjusted 2031]]/$L57,0)</f>
        <v>1</v>
      </c>
      <c r="BI57">
        <f>ROUNDUP(tbl_Data_old[[#This Row],[Adjusted 2032]]/$L57,0)</f>
        <v>1</v>
      </c>
      <c r="BJ57">
        <f>ROUNDUP(tbl_Data_old[[#This Row],[Adjusted 2033]]/$L57,0)</f>
        <v>1</v>
      </c>
      <c r="BK57">
        <f>ROUNDUP(tbl_Data_old[[#This Row],[Adjusted 2034]]/$L57,0)</f>
        <v>1</v>
      </c>
      <c r="BL57" s="3">
        <f t="shared" si="4"/>
        <v>3.4043844490606965</v>
      </c>
      <c r="BM57">
        <f t="shared" si="4"/>
        <v>3.7860761724859082</v>
      </c>
      <c r="BN57">
        <f t="shared" si="4"/>
        <v>4.1378175453477475</v>
      </c>
      <c r="BO57">
        <f t="shared" si="4"/>
        <v>4.4703918722069167</v>
      </c>
      <c r="BP57">
        <f t="shared" si="4"/>
        <v>4.787034150478771</v>
      </c>
      <c r="BQ57">
        <f t="shared" si="3"/>
        <v>5.0765195949395414</v>
      </c>
      <c r="BR57">
        <f t="shared" si="3"/>
        <v>5.3788171984906619</v>
      </c>
      <c r="BS57">
        <f t="shared" si="3"/>
        <v>5.7071953598903313</v>
      </c>
      <c r="BT57">
        <f t="shared" si="3"/>
        <v>6.0659758536430015</v>
      </c>
      <c r="BU57">
        <f t="shared" si="3"/>
        <v>6.4575770483185808</v>
      </c>
      <c r="BV57">
        <f>VLOOKUP($H57,'1. Set Program Names'!$B$2:$D$15,3,0)*V57</f>
        <v>5.0486137827128514</v>
      </c>
      <c r="BW57">
        <f>VLOOKUP($H57,'1. Set Program Names'!$B$2:$D$15,3,0)*W57</f>
        <v>5.6146527023664845</v>
      </c>
      <c r="BX57">
        <f>VLOOKUP($H57,'1. Set Program Names'!$B$2:$D$15,3,0)*X57</f>
        <v>6.1362760294471217</v>
      </c>
      <c r="BY57">
        <f>VLOOKUP($H57,'1. Set Program Names'!$B$2:$D$15,3,0)*Y57</f>
        <v>6.6294751247552073</v>
      </c>
      <c r="BZ57">
        <f>VLOOKUP($H57,'1. Set Program Names'!$B$2:$D$15,3,0)*Z57</f>
        <v>7.0990474054986326</v>
      </c>
      <c r="CA57">
        <f>VLOOKUP($H57,'1. Set Program Names'!$B$2:$D$15,3,0)*AA57</f>
        <v>7.5283468065115375</v>
      </c>
      <c r="CB57">
        <f>VLOOKUP($H57,'1. Set Program Names'!$B$2:$D$15,3,0)*AB57</f>
        <v>7.9766463069367433</v>
      </c>
      <c r="CC57">
        <f>VLOOKUP($H57,'1. Set Program Names'!$B$2:$D$15,3,0)*AC57</f>
        <v>8.4636225977730195</v>
      </c>
      <c r="CD57">
        <f>VLOOKUP($H57,'1. Set Program Names'!$B$2:$D$15,3,0)*AD57</f>
        <v>8.9956847584458597</v>
      </c>
      <c r="CE57">
        <f>VLOOKUP($H57,'1. Set Program Names'!$B$2:$D$15,3,0)*AE57</f>
        <v>9.5764191667796297</v>
      </c>
    </row>
    <row r="58" spans="1:83" x14ac:dyDescent="0.25">
      <c r="A58" s="20" t="s">
        <v>116</v>
      </c>
      <c r="B58" s="20" t="s">
        <v>88</v>
      </c>
      <c r="C58" s="20" t="s">
        <v>89</v>
      </c>
      <c r="D58" s="20" t="s">
        <v>90</v>
      </c>
      <c r="E58" s="20" t="s">
        <v>91</v>
      </c>
      <c r="F58" s="20" t="s">
        <v>90</v>
      </c>
      <c r="G58" s="20" t="s">
        <v>92</v>
      </c>
      <c r="H58" s="20" t="s">
        <v>5</v>
      </c>
      <c r="I58" s="20" t="s">
        <v>109</v>
      </c>
      <c r="J58" s="20" t="s">
        <v>94</v>
      </c>
      <c r="K58" s="20" t="s">
        <v>95</v>
      </c>
      <c r="L58" s="20">
        <v>1590.11499999999</v>
      </c>
      <c r="M58" s="20">
        <v>6.3722388822036402E-2</v>
      </c>
      <c r="N58" s="20">
        <v>0.29557957027655002</v>
      </c>
      <c r="O58" s="20">
        <v>1389.5</v>
      </c>
      <c r="P58" s="20">
        <v>1006.47372867305</v>
      </c>
      <c r="Q58" s="20">
        <v>472.62844433209199</v>
      </c>
      <c r="R58" s="20">
        <v>757.20185047754296</v>
      </c>
      <c r="S58" s="20">
        <v>2034.1125083407001</v>
      </c>
      <c r="T58" s="20">
        <v>15</v>
      </c>
      <c r="U58" s="20">
        <v>0.7</v>
      </c>
      <c r="V58" s="20">
        <v>16.182437277644102</v>
      </c>
      <c r="W58" s="20">
        <v>17.989395943882599</v>
      </c>
      <c r="X58" s="20">
        <v>19.653437600584802</v>
      </c>
      <c r="Y58" s="20">
        <v>21.2260650630901</v>
      </c>
      <c r="Z58" s="20">
        <v>22.722837219007999</v>
      </c>
      <c r="AA58" s="20">
        <v>24.0906400596167</v>
      </c>
      <c r="AB58" s="20">
        <v>25.5192622786141</v>
      </c>
      <c r="AC58" s="20">
        <v>27.071649233175901</v>
      </c>
      <c r="AD58" s="20">
        <v>28.768268270200899</v>
      </c>
      <c r="AE58" s="20">
        <v>30.6205539907785</v>
      </c>
      <c r="AF58" t="str">
        <f t="shared" si="0"/>
        <v>Residential</v>
      </c>
      <c r="AG58" t="str">
        <f>tbl_Data_old[[#This Row],[All_Meas_Name_Append]]</f>
        <v>Heat Pump Water Heater 50 Gallons-ENERGY STAR</v>
      </c>
      <c r="AH58">
        <f>AVERAGEIFS('3. Incentive Adjustment'!G:G,'3. Incentive Adjustment'!A:A,tbl_Data_old[[#This Row],[Trimmed Sector]],'3. Incentive Adjustment'!B:B,tbl_Data_old[[#This Row],[Trimmed Measure Name]])</f>
        <v>0.43153525594917136</v>
      </c>
      <c r="AI58">
        <f>$AH58*tbl_Data_old[[#This Row],[2025 ]]</f>
        <v>6.9832922124895589</v>
      </c>
      <c r="AJ58">
        <f>$AH58*tbl_Data_old[[#This Row],[2026 ]]</f>
        <v>7.7630585830143621</v>
      </c>
      <c r="AK58">
        <f>$AH58*tbl_Data_old[[#This Row],[2027 ]]</f>
        <v>8.4811512252494303</v>
      </c>
      <c r="AL58">
        <f>$AH58*tbl_Data_old[[#This Row],[2028 ]]</f>
        <v>9.1597954197943512</v>
      </c>
      <c r="AM58">
        <f>$AH58*tbl_Data_old[[#This Row],[2029 ]]</f>
        <v>9.8057053751959735</v>
      </c>
      <c r="AN58">
        <f>$AH58*tbl_Data_old[[#This Row],[2030 ]]</f>
        <v>10.395960524106053</v>
      </c>
      <c r="AO58">
        <f>$AH58*tbl_Data_old[[#This Row],[2031 ]]</f>
        <v>11.01246137903577</v>
      </c>
      <c r="AP58">
        <f>$AH58*tbl_Data_old[[#This Row],[2032 ]]</f>
        <v>11.682371080804751</v>
      </c>
      <c r="AQ58">
        <f>$AH58*tbl_Data_old[[#This Row],[2033 ]]</f>
        <v>12.414522011195571</v>
      </c>
      <c r="AR58">
        <f>$AH58*tbl_Data_old[[#This Row],[2034 ]]</f>
        <v>13.21384860371602</v>
      </c>
      <c r="AS58">
        <f>SUM(tbl_Data_old[[#This Row],[Adjusted 2025]:[Adjusted 2034]])</f>
        <v>100.91216641460184</v>
      </c>
      <c r="AT58" s="3">
        <f>AVERAGEIFS('3. Incentive Adjustment'!F:F,'3. Incentive Adjustment'!A:A,tbl_Data_old[[#This Row],[Trimmed Sector]],'3. Incentive Adjustment'!B:B,tbl_Data_old[[#This Row],[Trimmed Measure Name]])</f>
        <v>500</v>
      </c>
      <c r="AU58" s="3">
        <f>IFERROR(VLOOKUP(tbl_Data_old[[#This Row],[All_Meas_Name_Append]],'IRA Tax Credits'!$A$3:$D$46,4,0),0)</f>
        <v>1666.6666666666667</v>
      </c>
      <c r="AV58" s="4">
        <f>tbl_Data_old[[#This Row],[Adj. per unit Incentive ($)]]/tbl_Data_old[[#This Row],[kWh Savings]]*tbl_Data_old[[#This Row],[Sum of Annuals]]</f>
        <v>31.731090648978995</v>
      </c>
      <c r="AW58" s="4">
        <f>IFERROR(VLOOKUP(tbl_Data_old[[#This Row],[All_Programs]],'1. Set Program Names'!$B$2:$D$15,3,0)*tbl_Data_old[[#This Row],[Sum of Annuals]],"")</f>
        <v>44.991048031162464</v>
      </c>
      <c r="AX58" s="4">
        <f>tbl_Data_old[[#This Row],[per unit IRA tax ($)]]/tbl_Data_old[[#This Row],[kWh Savings]]*tbl_Data_old[[#This Row],[Sum of Annuals]]</f>
        <v>105.77030216326332</v>
      </c>
      <c r="AY58" s="4">
        <f>tbl_Data_old[[#This Row],[Avoided Costs ($/unit)]]/tbl_Data_old[[#This Row],[kWh Savings]]*tbl_Data_old[[#This Row],[Sum of Annuals]]</f>
        <v>48.053681114155111</v>
      </c>
      <c r="AZ58" s="4">
        <f>tbl_Data_old[[#This Row],[Lost Revenue ($/unit)]]/tbl_Data_old[[#This Row],[kWh Savings]]*tbl_Data_old[[#This Row],[Sum of Annuals]]</f>
        <v>129.08921678476162</v>
      </c>
      <c r="BA58" s="4">
        <f>tbl_Data_old[[#This Row],[Incremental Cost ($/unit)]]/tbl_Data_old[[#This Row],[kWh Savings]]*tbl_Data_old[[#This Row],[Sum of Annuals]]</f>
        <v>88.180700913512638</v>
      </c>
      <c r="BB58">
        <f>ROUNDUP(tbl_Data_old[[#This Row],[Adjusted 2025]]/$L58,0)</f>
        <v>1</v>
      </c>
      <c r="BC58">
        <f>ROUNDUP(tbl_Data_old[[#This Row],[Adjusted 2026]]/$L58,0)</f>
        <v>1</v>
      </c>
      <c r="BD58">
        <f>ROUNDUP(tbl_Data_old[[#This Row],[Adjusted 2027]]/$L58,0)</f>
        <v>1</v>
      </c>
      <c r="BE58">
        <f>ROUNDUP(tbl_Data_old[[#This Row],[Adjusted 2028]]/$L58,0)</f>
        <v>1</v>
      </c>
      <c r="BF58">
        <f>ROUNDUP(tbl_Data_old[[#This Row],[Adjusted 2029]]/$L58,0)</f>
        <v>1</v>
      </c>
      <c r="BG58">
        <f>ROUNDUP(tbl_Data_old[[#This Row],[Adjusted 2030]]/$L58,0)</f>
        <v>1</v>
      </c>
      <c r="BH58">
        <f>ROUNDUP(tbl_Data_old[[#This Row],[Adjusted 2031]]/$L58,0)</f>
        <v>1</v>
      </c>
      <c r="BI58">
        <f>ROUNDUP(tbl_Data_old[[#This Row],[Adjusted 2032]]/$L58,0)</f>
        <v>1</v>
      </c>
      <c r="BJ58">
        <f>ROUNDUP(tbl_Data_old[[#This Row],[Adjusted 2033]]/$L58,0)</f>
        <v>1</v>
      </c>
      <c r="BK58">
        <f>ROUNDUP(tbl_Data_old[[#This Row],[Adjusted 2034]]/$L58,0)</f>
        <v>1</v>
      </c>
      <c r="BL58" s="3">
        <f t="shared" si="4"/>
        <v>5.0884487215214627</v>
      </c>
      <c r="BM58">
        <f t="shared" si="4"/>
        <v>5.6566336220596343</v>
      </c>
      <c r="BN58">
        <f t="shared" si="4"/>
        <v>6.1798793170886768</v>
      </c>
      <c r="BO58">
        <f t="shared" si="4"/>
        <v>6.674380489175384</v>
      </c>
      <c r="BP58">
        <f t="shared" si="4"/>
        <v>7.1450295164211832</v>
      </c>
      <c r="BQ58">
        <f t="shared" si="3"/>
        <v>7.5751250883165211</v>
      </c>
      <c r="BR58">
        <f t="shared" si="3"/>
        <v>8.024344867702732</v>
      </c>
      <c r="BS58">
        <f t="shared" si="3"/>
        <v>8.5124815605085384</v>
      </c>
      <c r="BT58">
        <f t="shared" si="3"/>
        <v>9.0459709738607206</v>
      </c>
      <c r="BU58">
        <f t="shared" si="3"/>
        <v>9.6284086342115796</v>
      </c>
      <c r="BV58">
        <f>VLOOKUP($H58,'1. Set Program Names'!$B$2:$D$15,3,0)*V58</f>
        <v>7.2148368099489115</v>
      </c>
      <c r="BW58">
        <f>VLOOKUP($H58,'1. Set Program Names'!$B$2:$D$15,3,0)*W58</f>
        <v>8.0204578468519294</v>
      </c>
      <c r="BX58">
        <f>VLOOKUP($H58,'1. Set Program Names'!$B$2:$D$15,3,0)*X58</f>
        <v>8.7623602433870502</v>
      </c>
      <c r="BY58">
        <f>VLOOKUP($H58,'1. Set Program Names'!$B$2:$D$15,3,0)*Y58</f>
        <v>9.463506202438257</v>
      </c>
      <c r="BZ58">
        <f>VLOOKUP($H58,'1. Set Program Names'!$B$2:$D$15,3,0)*Z58</f>
        <v>10.130832555159039</v>
      </c>
      <c r="CA58">
        <f>VLOOKUP($H58,'1. Set Program Names'!$B$2:$D$15,3,0)*AA58</f>
        <v>10.740658758336082</v>
      </c>
      <c r="CB58">
        <f>VLOOKUP($H58,'1. Set Program Names'!$B$2:$D$15,3,0)*AB58</f>
        <v>11.37760089481961</v>
      </c>
      <c r="CC58">
        <f>VLOOKUP($H58,'1. Set Program Names'!$B$2:$D$15,3,0)*AC58</f>
        <v>12.069722752046269</v>
      </c>
      <c r="CD58">
        <f>VLOOKUP($H58,'1. Set Program Names'!$B$2:$D$15,3,0)*AD58</f>
        <v>12.826149566547114</v>
      </c>
      <c r="CE58">
        <f>VLOOKUP($H58,'1. Set Program Names'!$B$2:$D$15,3,0)*AE58</f>
        <v>13.651979382543262</v>
      </c>
    </row>
    <row r="59" spans="1:83" x14ac:dyDescent="0.25">
      <c r="A59" s="20" t="s">
        <v>116</v>
      </c>
      <c r="B59" s="20" t="s">
        <v>88</v>
      </c>
      <c r="C59" s="20" t="s">
        <v>89</v>
      </c>
      <c r="D59" s="20" t="s">
        <v>90</v>
      </c>
      <c r="E59" s="20" t="s">
        <v>91</v>
      </c>
      <c r="F59" s="20" t="s">
        <v>90</v>
      </c>
      <c r="G59" s="20" t="s">
        <v>92</v>
      </c>
      <c r="H59" s="20" t="s">
        <v>5</v>
      </c>
      <c r="I59" s="20" t="s">
        <v>110</v>
      </c>
      <c r="J59" s="20" t="s">
        <v>94</v>
      </c>
      <c r="K59" s="20" t="s">
        <v>108</v>
      </c>
      <c r="L59" s="20">
        <v>461.909999999999</v>
      </c>
      <c r="M59" s="20">
        <v>1.8510616289253799E-2</v>
      </c>
      <c r="N59" s="20">
        <v>8.5862443475120898E-2</v>
      </c>
      <c r="O59" s="20">
        <v>1729.5</v>
      </c>
      <c r="P59" s="20">
        <v>1631.9996867488601</v>
      </c>
      <c r="Q59" s="20">
        <v>137.29309183388401</v>
      </c>
      <c r="R59" s="20">
        <v>219.958372038552</v>
      </c>
      <c r="S59" s="20">
        <v>590.88613636602201</v>
      </c>
      <c r="T59" s="20">
        <v>15</v>
      </c>
      <c r="U59" s="20">
        <v>0.7</v>
      </c>
      <c r="V59" s="20">
        <v>8.7049149284718901</v>
      </c>
      <c r="W59" s="20">
        <v>9.6826029265776601</v>
      </c>
      <c r="X59" s="20">
        <v>10.5838229558649</v>
      </c>
      <c r="Y59" s="20">
        <v>11.4360888516178</v>
      </c>
      <c r="Z59" s="20">
        <v>12.2476292980575</v>
      </c>
      <c r="AA59" s="20">
        <v>12.9896868016617</v>
      </c>
      <c r="AB59" s="20">
        <v>13.7645066679025</v>
      </c>
      <c r="AC59" s="20">
        <v>14.606043833169799</v>
      </c>
      <c r="AD59" s="20">
        <v>15.525365605983501</v>
      </c>
      <c r="AE59" s="20">
        <v>16.5286688519951</v>
      </c>
      <c r="AF59" t="str">
        <f t="shared" si="0"/>
        <v>Residential</v>
      </c>
      <c r="AG59" t="str">
        <f>tbl_Data_old[[#This Row],[All_Meas_Name_Append]]</f>
        <v>Heat Pump Water Heater 80 Gallons-ENERGY STAR</v>
      </c>
      <c r="AH59">
        <f>AVERAGEIFS('3. Incentive Adjustment'!G:G,'3. Incentive Adjustment'!A:A,tbl_Data_old[[#This Row],[Trimmed Sector]],'3. Incentive Adjustment'!B:B,tbl_Data_old[[#This Row],[Trimmed Measure Name]])</f>
        <v>1.5551101216712928E-3</v>
      </c>
      <c r="AI59">
        <f>$AH59*tbl_Data_old[[#This Row],[2025 ]]</f>
        <v>1.3537101313554173E-2</v>
      </c>
      <c r="AJ59">
        <f>$AH59*tbl_Data_old[[#This Row],[2026 ]]</f>
        <v>1.5057513815245E-2</v>
      </c>
      <c r="AK59">
        <f>$AH59*tbl_Data_old[[#This Row],[2027 ]]</f>
        <v>1.6459010204642487E-2</v>
      </c>
      <c r="AL59">
        <f>$AH59*tbl_Data_old[[#This Row],[2028 ]]</f>
        <v>1.7784377525483071E-2</v>
      </c>
      <c r="AM59">
        <f>$AH59*tbl_Data_old[[#This Row],[2029 ]]</f>
        <v>1.9046412287887091E-2</v>
      </c>
      <c r="AN59">
        <f>$AH59*tbl_Data_old[[#This Row],[2030 ]]</f>
        <v>2.0200393422604112E-2</v>
      </c>
      <c r="AO59">
        <f>$AH59*tbl_Data_old[[#This Row],[2031 ]]</f>
        <v>2.1405323639067178E-2</v>
      </c>
      <c r="AP59">
        <f>$AH59*tbl_Data_old[[#This Row],[2032 ]]</f>
        <v>2.2714006602536922E-2</v>
      </c>
      <c r="AQ59">
        <f>$AH59*tbl_Data_old[[#This Row],[2033 ]]</f>
        <v>2.4143653196512307E-2</v>
      </c>
      <c r="AR59">
        <f>$AH59*tbl_Data_old[[#This Row],[2034 ]]</f>
        <v>2.5703900229490609E-2</v>
      </c>
      <c r="AS59">
        <f>SUM(tbl_Data_old[[#This Row],[Adjusted 2025]:[Adjusted 2034]])</f>
        <v>0.19605169223702296</v>
      </c>
      <c r="AT59" s="3">
        <f>AVERAGEIFS('3. Incentive Adjustment'!F:F,'3. Incentive Adjustment'!A:A,tbl_Data_old[[#This Row],[Trimmed Sector]],'3. Incentive Adjustment'!B:B,tbl_Data_old[[#This Row],[Trimmed Measure Name]])</f>
        <v>500</v>
      </c>
      <c r="AU59" s="3">
        <f>IFERROR(VLOOKUP(tbl_Data_old[[#This Row],[All_Meas_Name_Append]],'IRA Tax Credits'!$A$3:$D$46,4,0),0)</f>
        <v>1666.6666666666667</v>
      </c>
      <c r="AV59" s="4">
        <f>tbl_Data_old[[#This Row],[Adj. per unit Incentive ($)]]/tbl_Data_old[[#This Row],[kWh Savings]]*tbl_Data_old[[#This Row],[Sum of Annuals]]</f>
        <v>0.21221849736639539</v>
      </c>
      <c r="AW59" s="4">
        <f>IFERROR(VLOOKUP(tbl_Data_old[[#This Row],[All_Programs]],'1. Set Program Names'!$B$2:$D$15,3,0)*tbl_Data_old[[#This Row],[Sum of Annuals]],"")</f>
        <v>8.7408400943320322E-2</v>
      </c>
      <c r="AX59" s="4">
        <f>tbl_Data_old[[#This Row],[per unit IRA tax ($)]]/tbl_Data_old[[#This Row],[kWh Savings]]*tbl_Data_old[[#This Row],[Sum of Annuals]]</f>
        <v>0.70739499122131799</v>
      </c>
      <c r="AY59" s="4">
        <f>tbl_Data_old[[#This Row],[Avoided Costs ($/unit)]]/tbl_Data_old[[#This Row],[kWh Savings]]*tbl_Data_old[[#This Row],[Sum of Annuals]]</f>
        <v>9.3358470394360127E-2</v>
      </c>
      <c r="AZ59" s="4">
        <f>tbl_Data_old[[#This Row],[Lost Revenue ($/unit)]]/tbl_Data_old[[#This Row],[kWh Savings]]*tbl_Data_old[[#This Row],[Sum of Annuals]]</f>
        <v>0.25079393594846433</v>
      </c>
      <c r="BA59" s="4">
        <f>tbl_Data_old[[#This Row],[Incremental Cost ($/unit)]]/tbl_Data_old[[#This Row],[kWh Savings]]*tbl_Data_old[[#This Row],[Sum of Annuals]]</f>
        <v>0.73406378239036163</v>
      </c>
      <c r="BB59">
        <f>ROUNDUP(tbl_Data_old[[#This Row],[Adjusted 2025]]/$L59,0)</f>
        <v>1</v>
      </c>
      <c r="BC59">
        <f>ROUNDUP(tbl_Data_old[[#This Row],[Adjusted 2026]]/$L59,0)</f>
        <v>1</v>
      </c>
      <c r="BD59">
        <f>ROUNDUP(tbl_Data_old[[#This Row],[Adjusted 2027]]/$L59,0)</f>
        <v>1</v>
      </c>
      <c r="BE59">
        <f>ROUNDUP(tbl_Data_old[[#This Row],[Adjusted 2028]]/$L59,0)</f>
        <v>1</v>
      </c>
      <c r="BF59">
        <f>ROUNDUP(tbl_Data_old[[#This Row],[Adjusted 2029]]/$L59,0)</f>
        <v>1</v>
      </c>
      <c r="BG59">
        <f>ROUNDUP(tbl_Data_old[[#This Row],[Adjusted 2030]]/$L59,0)</f>
        <v>1</v>
      </c>
      <c r="BH59">
        <f>ROUNDUP(tbl_Data_old[[#This Row],[Adjusted 2031]]/$L59,0)</f>
        <v>1</v>
      </c>
      <c r="BI59">
        <f>ROUNDUP(tbl_Data_old[[#This Row],[Adjusted 2032]]/$L59,0)</f>
        <v>1</v>
      </c>
      <c r="BJ59">
        <f>ROUNDUP(tbl_Data_old[[#This Row],[Adjusted 2033]]/$L59,0)</f>
        <v>1</v>
      </c>
      <c r="BK59">
        <f>ROUNDUP(tbl_Data_old[[#This Row],[Adjusted 2034]]/$L59,0)</f>
        <v>1</v>
      </c>
      <c r="BL59" s="3">
        <f t="shared" si="4"/>
        <v>9.4227392007879338</v>
      </c>
      <c r="BM59">
        <f t="shared" si="4"/>
        <v>10.481049259138882</v>
      </c>
      <c r="BN59">
        <f t="shared" si="4"/>
        <v>11.456585650738157</v>
      </c>
      <c r="BO59">
        <f t="shared" si="4"/>
        <v>12.379131055419698</v>
      </c>
      <c r="BP59">
        <f t="shared" si="4"/>
        <v>13.257592710763491</v>
      </c>
      <c r="BQ59">
        <f t="shared" si="3"/>
        <v>14.060841724212215</v>
      </c>
      <c r="BR59">
        <f t="shared" si="3"/>
        <v>14.899554748655074</v>
      </c>
      <c r="BS59">
        <f t="shared" si="3"/>
        <v>15.810486710798459</v>
      </c>
      <c r="BT59">
        <f t="shared" si="3"/>
        <v>16.805617551020259</v>
      </c>
      <c r="BU59">
        <f t="shared" si="3"/>
        <v>17.891655140606545</v>
      </c>
      <c r="BV59">
        <f>VLOOKUP($H59,'1. Set Program Names'!$B$2:$D$15,3,0)*V59</f>
        <v>3.8810309952615558</v>
      </c>
      <c r="BW59">
        <f>VLOOKUP($H59,'1. Set Program Names'!$B$2:$D$15,3,0)*W59</f>
        <v>4.3169269753512562</v>
      </c>
      <c r="BX59">
        <f>VLOOKUP($H59,'1. Set Program Names'!$B$2:$D$15,3,0)*X59</f>
        <v>4.7187301975486617</v>
      </c>
      <c r="BY59">
        <f>VLOOKUP($H59,'1. Set Program Names'!$B$2:$D$15,3,0)*Y59</f>
        <v>5.0987075304462737</v>
      </c>
      <c r="BZ59">
        <f>VLOOKUP($H59,'1. Set Program Names'!$B$2:$D$15,3,0)*Z59</f>
        <v>5.4605276806052574</v>
      </c>
      <c r="CA59">
        <f>VLOOKUP($H59,'1. Set Program Names'!$B$2:$D$15,3,0)*AA59</f>
        <v>5.7913693023119359</v>
      </c>
      <c r="CB59">
        <f>VLOOKUP($H59,'1. Set Program Names'!$B$2:$D$15,3,0)*AB59</f>
        <v>6.1368178151732602</v>
      </c>
      <c r="CC59">
        <f>VLOOKUP($H59,'1. Set Program Names'!$B$2:$D$15,3,0)*AC59</f>
        <v>6.5120118117721759</v>
      </c>
      <c r="CD59">
        <f>VLOOKUP($H59,'1. Set Program Names'!$B$2:$D$15,3,0)*AD59</f>
        <v>6.9218855812720825</v>
      </c>
      <c r="CE59">
        <f>VLOOKUP($H59,'1. Set Program Names'!$B$2:$D$15,3,0)*AE59</f>
        <v>7.3692019568384426</v>
      </c>
    </row>
    <row r="60" spans="1:83" x14ac:dyDescent="0.25">
      <c r="A60" s="20" t="s">
        <v>116</v>
      </c>
      <c r="B60" s="20" t="s">
        <v>88</v>
      </c>
      <c r="C60" s="20" t="s">
        <v>89</v>
      </c>
      <c r="D60" s="20" t="s">
        <v>90</v>
      </c>
      <c r="E60" s="20" t="s">
        <v>91</v>
      </c>
      <c r="F60" s="20" t="s">
        <v>90</v>
      </c>
      <c r="G60" s="20" t="s">
        <v>92</v>
      </c>
      <c r="H60" s="20" t="s">
        <v>5</v>
      </c>
      <c r="I60" s="20" t="s">
        <v>299</v>
      </c>
      <c r="J60" s="20" t="s">
        <v>97</v>
      </c>
      <c r="K60" s="20" t="s">
        <v>102</v>
      </c>
      <c r="L60" s="20">
        <v>408.28</v>
      </c>
      <c r="M60" s="20">
        <v>0.16567198429270899</v>
      </c>
      <c r="N60" s="20">
        <v>2.3547919008134799E-2</v>
      </c>
      <c r="O60" s="53">
        <v>128.60999999999999</v>
      </c>
      <c r="P60" s="20">
        <v>29.691921599999901</v>
      </c>
      <c r="Q60" s="20">
        <v>121.35269540373299</v>
      </c>
      <c r="R60" s="20">
        <v>238.630335182902</v>
      </c>
      <c r="S60" s="20">
        <v>423.90838942107399</v>
      </c>
      <c r="T60" s="20">
        <v>11</v>
      </c>
      <c r="U60" s="20">
        <v>0.7</v>
      </c>
      <c r="V60" s="20">
        <v>0.72353632671475698</v>
      </c>
      <c r="W60" s="20">
        <v>0.59961349939452901</v>
      </c>
      <c r="X60" s="20">
        <v>0.49670866028684901</v>
      </c>
      <c r="Y60" s="20">
        <v>0.41304628508713298</v>
      </c>
      <c r="Z60" s="20">
        <v>0.34569504041402299</v>
      </c>
      <c r="AA60" s="20">
        <v>0.29068630688333402</v>
      </c>
      <c r="AB60" s="20">
        <v>0.24790233266482001</v>
      </c>
      <c r="AC60" s="20">
        <v>0.21466992662638701</v>
      </c>
      <c r="AD60" s="20">
        <v>0.18893785888776701</v>
      </c>
      <c r="AE60" s="20">
        <v>0.168984386591161</v>
      </c>
      <c r="AF60" t="str">
        <f t="shared" si="0"/>
        <v>Residential</v>
      </c>
      <c r="AG60" t="str">
        <f>tbl_Data_old[[#This Row],[All_Meas_Name_Append]]</f>
        <v>Smart Thermostat Residential</v>
      </c>
      <c r="AH60">
        <f>AVERAGEIFS('3. Incentive Adjustment'!G:G,'3. Incentive Adjustment'!A:A,tbl_Data_old[[#This Row],[Trimmed Sector]],'3. Incentive Adjustment'!B:B,tbl_Data_old[[#This Row],[Trimmed Measure Name]])</f>
        <v>1.1402432304340044</v>
      </c>
      <c r="AI60">
        <f>$AH60*tbl_Data_old[[#This Row],[2025 ]]</f>
        <v>0.82500739850958782</v>
      </c>
      <c r="AJ60">
        <f>$AH60*tbl_Data_old[[#This Row],[2026 ]]</f>
        <v>0.68370523356145574</v>
      </c>
      <c r="AK60">
        <f>$AH60*tbl_Data_old[[#This Row],[2027 ]]</f>
        <v>0.56636868739002322</v>
      </c>
      <c r="AL60">
        <f>$AH60*tbl_Data_old[[#This Row],[2028 ]]</f>
        <v>0.47097323042651729</v>
      </c>
      <c r="AM60">
        <f>$AH60*tbl_Data_old[[#This Row],[2029 ]]</f>
        <v>0.3941764296266993</v>
      </c>
      <c r="AN60">
        <f>$AH60*tbl_Data_old[[#This Row],[2030 ]]</f>
        <v>0.33145309360358316</v>
      </c>
      <c r="AO60">
        <f>$AH60*tbl_Data_old[[#This Row],[2031 ]]</f>
        <v>0.28266895662985958</v>
      </c>
      <c r="AP60">
        <f>$AH60*tbl_Data_old[[#This Row],[2032 ]]</f>
        <v>0.24477593061350222</v>
      </c>
      <c r="AQ60">
        <f>$AH60*tbl_Data_old[[#This Row],[2033 ]]</f>
        <v>0.21543511456947154</v>
      </c>
      <c r="AR60">
        <f>$AH60*tbl_Data_old[[#This Row],[2034 ]]</f>
        <v>0.19268330285961408</v>
      </c>
      <c r="AS60">
        <f>SUM(tbl_Data_old[[#This Row],[Adjusted 2025]:[Adjusted 2034]])</f>
        <v>4.2072473777903143</v>
      </c>
      <c r="AT60" s="3">
        <f>AVERAGEIFS('3. Incentive Adjustment'!F:F,'3. Incentive Adjustment'!A:A,tbl_Data_old[[#This Row],[Trimmed Sector]],'3. Incentive Adjustment'!B:B,tbl_Data_old[[#This Row],[Trimmed Measure Name]])</f>
        <v>50</v>
      </c>
      <c r="AU60" s="3">
        <f>IFERROR(VLOOKUP(tbl_Data_old[[#This Row],[All_Meas_Name_Append]],'IRA Tax Credits'!$A$3:$D$46,4,0),0)</f>
        <v>0</v>
      </c>
      <c r="AV60" s="4">
        <f>tbl_Data_old[[#This Row],[Adj. per unit Incentive ($)]]/tbl_Data_old[[#This Row],[kWh Savings]]*tbl_Data_old[[#This Row],[Sum of Annuals]]</f>
        <v>0.51524044501204014</v>
      </c>
      <c r="AW60" s="4">
        <f>IFERROR(VLOOKUP(tbl_Data_old[[#This Row],[All_Programs]],'1. Set Program Names'!$B$2:$D$15,3,0)*tbl_Data_old[[#This Row],[Sum of Annuals]],"")</f>
        <v>1.8757745034969002</v>
      </c>
      <c r="AX60" s="4">
        <f>tbl_Data_old[[#This Row],[per unit IRA tax ($)]]/tbl_Data_old[[#This Row],[kWh Savings]]*tbl_Data_old[[#This Row],[Sum of Annuals]]</f>
        <v>0</v>
      </c>
      <c r="AY60" s="4">
        <f>tbl_Data_old[[#This Row],[Avoided Costs ($/unit)]]/tbl_Data_old[[#This Row],[kWh Savings]]*tbl_Data_old[[#This Row],[Sum of Annuals]]</f>
        <v>2.4590400018602141</v>
      </c>
      <c r="AZ60" s="4">
        <f>tbl_Data_old[[#This Row],[Lost Revenue ($/unit)]]/tbl_Data_old[[#This Row],[kWh Savings]]*tbl_Data_old[[#This Row],[Sum of Annuals]]</f>
        <v>4.3682949441930274</v>
      </c>
      <c r="BA60" s="4">
        <f>tbl_Data_old[[#This Row],[Incremental Cost ($/unit)]]/tbl_Data_old[[#This Row],[kWh Savings]]*tbl_Data_old[[#This Row],[Sum of Annuals]]</f>
        <v>1.3253014726599694</v>
      </c>
      <c r="BB60">
        <f>ROUNDUP(tbl_Data_old[[#This Row],[Adjusted 2025]]/$L60,0)</f>
        <v>1</v>
      </c>
      <c r="BC60">
        <f>ROUNDUP(tbl_Data_old[[#This Row],[Adjusted 2026]]/$L60,0)</f>
        <v>1</v>
      </c>
      <c r="BD60">
        <f>ROUNDUP(tbl_Data_old[[#This Row],[Adjusted 2027]]/$L60,0)</f>
        <v>1</v>
      </c>
      <c r="BE60">
        <f>ROUNDUP(tbl_Data_old[[#This Row],[Adjusted 2028]]/$L60,0)</f>
        <v>1</v>
      </c>
      <c r="BF60">
        <f>ROUNDUP(tbl_Data_old[[#This Row],[Adjusted 2029]]/$L60,0)</f>
        <v>1</v>
      </c>
      <c r="BG60">
        <f>ROUNDUP(tbl_Data_old[[#This Row],[Adjusted 2030]]/$L60,0)</f>
        <v>1</v>
      </c>
      <c r="BH60">
        <f>ROUNDUP(tbl_Data_old[[#This Row],[Adjusted 2031]]/$L60,0)</f>
        <v>1</v>
      </c>
      <c r="BI60">
        <f>ROUNDUP(tbl_Data_old[[#This Row],[Adjusted 2032]]/$L60,0)</f>
        <v>1</v>
      </c>
      <c r="BJ60">
        <f>ROUNDUP(tbl_Data_old[[#This Row],[Adjusted 2033]]/$L60,0)</f>
        <v>1</v>
      </c>
      <c r="BK60">
        <f>ROUNDUP(tbl_Data_old[[#This Row],[Adjusted 2034]]/$L60,0)</f>
        <v>1</v>
      </c>
      <c r="BL60" s="3">
        <f t="shared" si="4"/>
        <v>8.8607858175119653E-2</v>
      </c>
      <c r="BM60">
        <f t="shared" si="4"/>
        <v>7.3431652223293953E-2</v>
      </c>
      <c r="BN60">
        <f t="shared" si="4"/>
        <v>6.0829413672828583E-2</v>
      </c>
      <c r="BO60">
        <f t="shared" si="4"/>
        <v>5.0583702984120335E-2</v>
      </c>
      <c r="BP60">
        <f t="shared" si="4"/>
        <v>4.2335534487854293E-2</v>
      </c>
      <c r="BQ60">
        <f t="shared" si="3"/>
        <v>3.559889131029368E-2</v>
      </c>
      <c r="BR60">
        <f t="shared" si="3"/>
        <v>3.0359352976489177E-2</v>
      </c>
      <c r="BS60">
        <f t="shared" si="3"/>
        <v>2.628954720123286E-2</v>
      </c>
      <c r="BT60">
        <f t="shared" si="3"/>
        <v>2.3138270168483275E-2</v>
      </c>
      <c r="BU60">
        <f t="shared" si="3"/>
        <v>2.0694668682174122E-2</v>
      </c>
      <c r="BV60">
        <f>VLOOKUP($H60,'1. Set Program Names'!$B$2:$D$15,3,0)*V60</f>
        <v>0.32258407270507439</v>
      </c>
      <c r="BW60">
        <f>VLOOKUP($H60,'1. Set Program Names'!$B$2:$D$15,3,0)*W60</f>
        <v>0.2673338677573876</v>
      </c>
      <c r="BX60">
        <f>VLOOKUP($H60,'1. Set Program Names'!$B$2:$D$15,3,0)*X60</f>
        <v>0.22145439927079338</v>
      </c>
      <c r="BY60">
        <f>VLOOKUP($H60,'1. Set Program Names'!$B$2:$D$15,3,0)*Y60</f>
        <v>0.18415406101874585</v>
      </c>
      <c r="BZ60">
        <f>VLOOKUP($H60,'1. Set Program Names'!$B$2:$D$15,3,0)*Z60</f>
        <v>0.15412593664376462</v>
      </c>
      <c r="CA60">
        <f>VLOOKUP($H60,'1. Set Program Names'!$B$2:$D$15,3,0)*AA60</f>
        <v>0.12960064241666011</v>
      </c>
      <c r="CB60">
        <f>VLOOKUP($H60,'1. Set Program Names'!$B$2:$D$15,3,0)*AB60</f>
        <v>0.1105256794323093</v>
      </c>
      <c r="CC60">
        <f>VLOOKUP($H60,'1. Set Program Names'!$B$2:$D$15,3,0)*AC60</f>
        <v>9.5709222414398276E-2</v>
      </c>
      <c r="CD60">
        <f>VLOOKUP($H60,'1. Set Program Names'!$B$2:$D$15,3,0)*AD60</f>
        <v>8.4236743557757066E-2</v>
      </c>
      <c r="CE60">
        <f>VLOOKUP($H60,'1. Set Program Names'!$B$2:$D$15,3,0)*AE60</f>
        <v>7.5340614752071544E-2</v>
      </c>
    </row>
    <row r="61" spans="1:83" x14ac:dyDescent="0.25">
      <c r="A61" s="20" t="s">
        <v>116</v>
      </c>
      <c r="B61" s="20" t="s">
        <v>88</v>
      </c>
      <c r="C61" s="20" t="s">
        <v>89</v>
      </c>
      <c r="D61" s="20" t="s">
        <v>90</v>
      </c>
      <c r="E61" s="20" t="s">
        <v>91</v>
      </c>
      <c r="F61" s="20" t="s">
        <v>90</v>
      </c>
      <c r="G61" s="20" t="s">
        <v>92</v>
      </c>
      <c r="H61" s="20" t="s">
        <v>5</v>
      </c>
      <c r="I61" s="20" t="s">
        <v>112</v>
      </c>
      <c r="J61" s="20" t="s">
        <v>94</v>
      </c>
      <c r="K61" s="20" t="s">
        <v>108</v>
      </c>
      <c r="L61" s="20">
        <v>1330.8133333333301</v>
      </c>
      <c r="M61" s="20">
        <v>5.33311142126306E-2</v>
      </c>
      <c r="N61" s="20">
        <v>0.24737910980336</v>
      </c>
      <c r="O61" s="20">
        <v>8990.02</v>
      </c>
      <c r="P61" s="20">
        <v>8776.4394094329891</v>
      </c>
      <c r="Q61" s="20">
        <v>395.55644430103399</v>
      </c>
      <c r="R61" s="20">
        <v>713.19672296706005</v>
      </c>
      <c r="S61" s="20">
        <v>2011.6258188035599</v>
      </c>
      <c r="T61" s="20">
        <v>20</v>
      </c>
      <c r="U61" s="20">
        <v>0.7</v>
      </c>
      <c r="V61" s="20">
        <v>28.081366953140499</v>
      </c>
      <c r="W61" s="20">
        <v>31.252700226439501</v>
      </c>
      <c r="X61" s="20">
        <v>34.1788786858137</v>
      </c>
      <c r="Y61" s="20">
        <v>36.948100995349201</v>
      </c>
      <c r="Z61" s="20">
        <v>39.586490129190203</v>
      </c>
      <c r="AA61" s="20">
        <v>42.0006959329396</v>
      </c>
      <c r="AB61" s="20">
        <v>44.521032065674603</v>
      </c>
      <c r="AC61" s="20">
        <v>47.257338240656303</v>
      </c>
      <c r="AD61" s="20">
        <v>50.245505629848303</v>
      </c>
      <c r="AE61" s="20">
        <v>53.5056794630027</v>
      </c>
      <c r="AF61" t="str">
        <f t="shared" si="0"/>
        <v>Residential</v>
      </c>
      <c r="AG61" t="str">
        <f>tbl_Data_old[[#This Row],[All_Meas_Name_Append]]</f>
        <v>Solar Thermal Water Heating System</v>
      </c>
      <c r="AH61">
        <f>AVERAGEIFS('3. Incentive Adjustment'!G:G,'3. Incentive Adjustment'!A:A,tbl_Data_old[[#This Row],[Trimmed Sector]],'3. Incentive Adjustment'!B:B,tbl_Data_old[[#This Row],[Trimmed Measure Name]])</f>
        <v>2.7736651842107431E-8</v>
      </c>
      <c r="AI61">
        <f>$AH61*tbl_Data_old[[#This Row],[2025 ]]</f>
        <v>7.7888309842971915E-7</v>
      </c>
      <c r="AJ61">
        <f>$AH61*tbl_Data_old[[#This Row],[2026 ]]</f>
        <v>8.6684526530650447E-7</v>
      </c>
      <c r="AK61">
        <f>$AH61*tbl_Data_old[[#This Row],[2027 ]]</f>
        <v>9.4800765846204102E-7</v>
      </c>
      <c r="AL61">
        <f>$AH61*tbl_Data_old[[#This Row],[2028 ]]</f>
        <v>1.0248166135350238E-6</v>
      </c>
      <c r="AM61">
        <f>$AH61*tbl_Data_old[[#This Row],[2029 ]]</f>
        <v>1.0979966943643711E-6</v>
      </c>
      <c r="AN61">
        <f>$AH61*tbl_Data_old[[#This Row],[2030 ]]</f>
        <v>1.1649586802181632E-6</v>
      </c>
      <c r="AO61">
        <f>$AH61*tbl_Data_old[[#This Row],[2031 ]]</f>
        <v>1.2348643660569176E-6</v>
      </c>
      <c r="AP61">
        <f>$AH61*tbl_Data_old[[#This Row],[2032 ]]</f>
        <v>1.3107603377657936E-6</v>
      </c>
      <c r="AQ61">
        <f>$AH61*tbl_Data_old[[#This Row],[2033 ]]</f>
        <v>1.3936420962857511E-6</v>
      </c>
      <c r="AR61">
        <f>$AH61*tbl_Data_old[[#This Row],[2034 ]]</f>
        <v>1.4840684028407035E-6</v>
      </c>
      <c r="AS61">
        <f>SUM(tbl_Data_old[[#This Row],[Adjusted 2025]:[Adjusted 2034]])</f>
        <v>1.1304843213264988E-5</v>
      </c>
      <c r="AT61" s="3">
        <f>AVERAGEIFS('3. Incentive Adjustment'!F:F,'3. Incentive Adjustment'!A:A,tbl_Data_old[[#This Row],[Trimmed Sector]],'3. Incentive Adjustment'!B:B,tbl_Data_old[[#This Row],[Trimmed Measure Name]])</f>
        <v>0</v>
      </c>
      <c r="AU61" s="3">
        <f>IFERROR(VLOOKUP(tbl_Data_old[[#This Row],[All_Meas_Name_Append]],'IRA Tax Credits'!$A$3:$D$46,4,0),0)</f>
        <v>41666.666666666672</v>
      </c>
      <c r="AV61" s="4">
        <f>tbl_Data_old[[#This Row],[Adj. per unit Incentive ($)]]/tbl_Data_old[[#This Row],[kWh Savings]]*tbl_Data_old[[#This Row],[Sum of Annuals]]</f>
        <v>0</v>
      </c>
      <c r="AW61" s="4">
        <f>IFERROR(VLOOKUP(tbl_Data_old[[#This Row],[All_Programs]],'1. Set Program Names'!$B$2:$D$15,3,0)*tbl_Data_old[[#This Row],[Sum of Annuals]],"")</f>
        <v>5.0401924967411059E-6</v>
      </c>
      <c r="AX61" s="4">
        <f>tbl_Data_old[[#This Row],[per unit IRA tax ($)]]/tbl_Data_old[[#This Row],[kWh Savings]]*tbl_Data_old[[#This Row],[Sum of Annuals]]</f>
        <v>3.5394530704484651E-4</v>
      </c>
      <c r="AY61" s="4">
        <f>tbl_Data_old[[#This Row],[Avoided Costs ($/unit)]]/tbl_Data_old[[#This Row],[kWh Savings]]*tbl_Data_old[[#This Row],[Sum of Annuals]]</f>
        <v>6.0583831942549054E-6</v>
      </c>
      <c r="AZ61" s="4">
        <f>tbl_Data_old[[#This Row],[Lost Revenue ($/unit)]]/tbl_Data_old[[#This Row],[kWh Savings]]*tbl_Data_old[[#This Row],[Sum of Annuals]]</f>
        <v>1.7088132434298404E-5</v>
      </c>
      <c r="BA61" s="4">
        <f>tbl_Data_old[[#This Row],[Incremental Cost ($/unit)]]/tbl_Data_old[[#This Row],[kWh Savings]]*tbl_Data_old[[#This Row],[Sum of Annuals]]</f>
        <v>7.6367409341743467E-5</v>
      </c>
      <c r="BB61">
        <f>ROUNDUP(tbl_Data_old[[#This Row],[Adjusted 2025]]/$L61,0)</f>
        <v>1</v>
      </c>
      <c r="BC61">
        <f>ROUNDUP(tbl_Data_old[[#This Row],[Adjusted 2026]]/$L61,0)</f>
        <v>1</v>
      </c>
      <c r="BD61">
        <f>ROUNDUP(tbl_Data_old[[#This Row],[Adjusted 2027]]/$L61,0)</f>
        <v>1</v>
      </c>
      <c r="BE61">
        <f>ROUNDUP(tbl_Data_old[[#This Row],[Adjusted 2028]]/$L61,0)</f>
        <v>1</v>
      </c>
      <c r="BF61">
        <f>ROUNDUP(tbl_Data_old[[#This Row],[Adjusted 2029]]/$L61,0)</f>
        <v>1</v>
      </c>
      <c r="BG61">
        <f>ROUNDUP(tbl_Data_old[[#This Row],[Adjusted 2030]]/$L61,0)</f>
        <v>1</v>
      </c>
      <c r="BH61">
        <f>ROUNDUP(tbl_Data_old[[#This Row],[Adjusted 2031]]/$L61,0)</f>
        <v>1</v>
      </c>
      <c r="BI61">
        <f>ROUNDUP(tbl_Data_old[[#This Row],[Adjusted 2032]]/$L61,0)</f>
        <v>1</v>
      </c>
      <c r="BJ61">
        <f>ROUNDUP(tbl_Data_old[[#This Row],[Adjusted 2033]]/$L61,0)</f>
        <v>1</v>
      </c>
      <c r="BK61">
        <f>ROUNDUP(tbl_Data_old[[#This Row],[Adjusted 2034]]/$L61,0)</f>
        <v>1</v>
      </c>
      <c r="BL61" s="3">
        <f t="shared" si="4"/>
        <v>0</v>
      </c>
      <c r="BM61">
        <f t="shared" si="4"/>
        <v>0</v>
      </c>
      <c r="BN61">
        <f t="shared" si="4"/>
        <v>0</v>
      </c>
      <c r="BO61">
        <f t="shared" si="4"/>
        <v>0</v>
      </c>
      <c r="BP61">
        <f t="shared" si="4"/>
        <v>0</v>
      </c>
      <c r="BQ61">
        <f t="shared" si="3"/>
        <v>0</v>
      </c>
      <c r="BR61">
        <f t="shared" si="3"/>
        <v>0</v>
      </c>
      <c r="BS61">
        <f t="shared" si="3"/>
        <v>0</v>
      </c>
      <c r="BT61">
        <f t="shared" si="3"/>
        <v>0</v>
      </c>
      <c r="BU61">
        <f t="shared" si="3"/>
        <v>0</v>
      </c>
      <c r="BV61">
        <f>VLOOKUP($H61,'1. Set Program Names'!$B$2:$D$15,3,0)*V61</f>
        <v>12.519898980056272</v>
      </c>
      <c r="BW61">
        <f>VLOOKUP($H61,'1. Set Program Names'!$B$2:$D$15,3,0)*W61</f>
        <v>13.933817763997604</v>
      </c>
      <c r="BX61">
        <f>VLOOKUP($H61,'1. Set Program Names'!$B$2:$D$15,3,0)*X61</f>
        <v>15.238435832274529</v>
      </c>
      <c r="BY61">
        <f>VLOOKUP($H61,'1. Set Program Names'!$B$2:$D$15,3,0)*Y61</f>
        <v>16.473075998707923</v>
      </c>
      <c r="BZ61">
        <f>VLOOKUP($H61,'1. Set Program Names'!$B$2:$D$15,3,0)*Z61</f>
        <v>17.649385025290879</v>
      </c>
      <c r="CA61">
        <f>VLOOKUP($H61,'1. Set Program Names'!$B$2:$D$15,3,0)*AA61</f>
        <v>18.725743338988558</v>
      </c>
      <c r="CB61">
        <f>VLOOKUP($H61,'1. Set Program Names'!$B$2:$D$15,3,0)*AB61</f>
        <v>19.849419185334742</v>
      </c>
      <c r="CC61">
        <f>VLOOKUP($H61,'1. Set Program Names'!$B$2:$D$15,3,0)*AC61</f>
        <v>21.069383902381531</v>
      </c>
      <c r="CD61">
        <f>VLOOKUP($H61,'1. Set Program Names'!$B$2:$D$15,3,0)*AD61</f>
        <v>22.401639341036322</v>
      </c>
      <c r="CE61">
        <f>VLOOKUP($H61,'1. Set Program Names'!$B$2:$D$15,3,0)*AE61</f>
        <v>23.855167123947584</v>
      </c>
    </row>
    <row r="62" spans="1:83" x14ac:dyDescent="0.25">
      <c r="A62" s="20" t="s">
        <v>117</v>
      </c>
      <c r="B62" s="20" t="s">
        <v>88</v>
      </c>
      <c r="C62" s="20" t="s">
        <v>89</v>
      </c>
      <c r="D62" s="20" t="s">
        <v>90</v>
      </c>
      <c r="E62" s="20" t="s">
        <v>91</v>
      </c>
      <c r="F62" s="20" t="s">
        <v>90</v>
      </c>
      <c r="G62" s="20" t="s">
        <v>92</v>
      </c>
      <c r="H62" s="20" t="s">
        <v>5</v>
      </c>
      <c r="I62" s="20" t="s">
        <v>93</v>
      </c>
      <c r="J62" s="20" t="s">
        <v>94</v>
      </c>
      <c r="K62" s="20" t="s">
        <v>95</v>
      </c>
      <c r="L62" s="20">
        <v>1200.2266666666601</v>
      </c>
      <c r="M62" s="20">
        <v>4.8097974252120097E-2</v>
      </c>
      <c r="N62" s="20">
        <v>0.22310492157346501</v>
      </c>
      <c r="O62" s="20">
        <v>1210</v>
      </c>
      <c r="P62" s="20">
        <v>933.85922631496703</v>
      </c>
      <c r="Q62" s="20">
        <v>356.74228738962802</v>
      </c>
      <c r="R62" s="20">
        <v>571.53970184074296</v>
      </c>
      <c r="S62" s="20">
        <v>1535.35818196214</v>
      </c>
      <c r="T62" s="20">
        <v>15</v>
      </c>
      <c r="U62" s="20">
        <v>0.7</v>
      </c>
      <c r="V62" s="20">
        <v>9.4027764274098296</v>
      </c>
      <c r="W62" s="20">
        <v>19.392884443794902</v>
      </c>
      <c r="X62" s="20">
        <v>29.966106300301799</v>
      </c>
      <c r="Y62" s="20">
        <v>41.135907643484003</v>
      </c>
      <c r="Z62" s="20">
        <v>52.915109772591201</v>
      </c>
      <c r="AA62" s="20">
        <v>65.282227478799101</v>
      </c>
      <c r="AB62" s="20">
        <v>78.307377525674994</v>
      </c>
      <c r="AC62" s="20">
        <v>92.0869684667109</v>
      </c>
      <c r="AD62" s="20">
        <v>106.723620686065</v>
      </c>
      <c r="AE62" s="20">
        <v>122.322985101764</v>
      </c>
      <c r="AF62" t="str">
        <f t="shared" si="0"/>
        <v>Residential</v>
      </c>
      <c r="AG62" t="str">
        <f>tbl_Data_old[[#This Row],[All_Meas_Name_Append]]</f>
        <v>120v Heat Pump Water Heater 50 Gallons</v>
      </c>
      <c r="AH62">
        <f>AVERAGEIFS('3. Incentive Adjustment'!G:G,'3. Incentive Adjustment'!A:A,tbl_Data_old[[#This Row],[Trimmed Sector]],'3. Incentive Adjustment'!B:B,tbl_Data_old[[#This Row],[Trimmed Measure Name]])</f>
        <v>0.38528347196238832</v>
      </c>
      <c r="AI62">
        <f>$AH62*tbl_Data_old[[#This Row],[2025 ]]</f>
        <v>3.622734348038561</v>
      </c>
      <c r="AJ62">
        <f>$AH62*tbl_Data_old[[#This Row],[2026 ]]</f>
        <v>7.4717578498706896</v>
      </c>
      <c r="AK62">
        <f>$AH62*tbl_Data_old[[#This Row],[2027 ]]</f>
        <v>11.545445476574276</v>
      </c>
      <c r="AL62">
        <f>$AH62*tbl_Data_old[[#This Row],[2028 ]]</f>
        <v>15.848985319205665</v>
      </c>
      <c r="AM62">
        <f>$AH62*tbl_Data_old[[#This Row],[2029 ]]</f>
        <v>20.387317212454843</v>
      </c>
      <c r="AN62">
        <f>$AH62*tbl_Data_old[[#This Row],[2030 ]]</f>
        <v>25.15216326047015</v>
      </c>
      <c r="AO62">
        <f>$AH62*tbl_Data_old[[#This Row],[2031 ]]</f>
        <v>30.17053829336156</v>
      </c>
      <c r="AP62">
        <f>$AH62*tbl_Data_old[[#This Row],[2032 ]]</f>
        <v>35.479586933345345</v>
      </c>
      <c r="AQ62">
        <f>$AH62*tbl_Data_old[[#This Row],[2033 ]]</f>
        <v>41.118847118324091</v>
      </c>
      <c r="AR62">
        <f>$AH62*tbl_Data_old[[#This Row],[2034 ]]</f>
        <v>47.129024400811133</v>
      </c>
      <c r="AS62">
        <f>SUM(tbl_Data_old[[#This Row],[Adjusted 2025]:[Adjusted 2034]])</f>
        <v>237.92640021245631</v>
      </c>
      <c r="AT62" s="3">
        <f>AVERAGEIFS('3. Incentive Adjustment'!F:F,'3. Incentive Adjustment'!A:A,tbl_Data_old[[#This Row],[Trimmed Sector]],'3. Incentive Adjustment'!B:B,tbl_Data_old[[#This Row],[Trimmed Measure Name]])</f>
        <v>500</v>
      </c>
      <c r="AU62" s="3">
        <f>IFERROR(VLOOKUP(tbl_Data_old[[#This Row],[All_Meas_Name_Append]],'IRA Tax Credits'!$A$3:$D$46,4,0),0)</f>
        <v>1666.6666666666667</v>
      </c>
      <c r="AV62" s="4">
        <f>tbl_Data_old[[#This Row],[Adj. per unit Incentive ($)]]/tbl_Data_old[[#This Row],[kWh Savings]]*tbl_Data_old[[#This Row],[Sum of Annuals]]</f>
        <v>99.117277936024976</v>
      </c>
      <c r="AW62" s="4">
        <f>IFERROR(VLOOKUP(tbl_Data_old[[#This Row],[All_Programs]],'1. Set Program Names'!$B$2:$D$15,3,0)*tbl_Data_old[[#This Row],[Sum of Annuals]],"")</f>
        <v>106.07797335219304</v>
      </c>
      <c r="AX62" s="4">
        <f>tbl_Data_old[[#This Row],[per unit IRA tax ($)]]/tbl_Data_old[[#This Row],[kWh Savings]]*tbl_Data_old[[#This Row],[Sum of Annuals]]</f>
        <v>330.39092645341657</v>
      </c>
      <c r="AY62" s="4">
        <f>tbl_Data_old[[#This Row],[Avoided Costs ($/unit)]]/tbl_Data_old[[#This Row],[kWh Savings]]*tbl_Data_old[[#This Row],[Sum of Annuals]]</f>
        <v>113.29891895764354</v>
      </c>
      <c r="AZ62" s="4">
        <f>tbl_Data_old[[#This Row],[Lost Revenue ($/unit)]]/tbl_Data_old[[#This Row],[kWh Savings]]*tbl_Data_old[[#This Row],[Sum of Annuals]]</f>
        <v>304.3610473057829</v>
      </c>
      <c r="BA62" s="4">
        <f>tbl_Data_old[[#This Row],[Incremental Cost ($/unit)]]/tbl_Data_old[[#This Row],[kWh Savings]]*tbl_Data_old[[#This Row],[Sum of Annuals]]</f>
        <v>239.86381260518041</v>
      </c>
      <c r="BB62">
        <f>ROUNDUP(tbl_Data_old[[#This Row],[Adjusted 2025]]/$L62,0)</f>
        <v>1</v>
      </c>
      <c r="BC62">
        <f>ROUNDUP(tbl_Data_old[[#This Row],[Adjusted 2026]]/$L62,0)</f>
        <v>1</v>
      </c>
      <c r="BD62">
        <f>ROUNDUP(tbl_Data_old[[#This Row],[Adjusted 2027]]/$L62,0)</f>
        <v>1</v>
      </c>
      <c r="BE62">
        <f>ROUNDUP(tbl_Data_old[[#This Row],[Adjusted 2028]]/$L62,0)</f>
        <v>1</v>
      </c>
      <c r="BF62">
        <f>ROUNDUP(tbl_Data_old[[#This Row],[Adjusted 2029]]/$L62,0)</f>
        <v>1</v>
      </c>
      <c r="BG62">
        <f>ROUNDUP(tbl_Data_old[[#This Row],[Adjusted 2030]]/$L62,0)</f>
        <v>1</v>
      </c>
      <c r="BH62">
        <f>ROUNDUP(tbl_Data_old[[#This Row],[Adjusted 2031]]/$L62,0)</f>
        <v>1</v>
      </c>
      <c r="BI62">
        <f>ROUNDUP(tbl_Data_old[[#This Row],[Adjusted 2032]]/$L62,0)</f>
        <v>1</v>
      </c>
      <c r="BJ62">
        <f>ROUNDUP(tbl_Data_old[[#This Row],[Adjusted 2033]]/$L62,0)</f>
        <v>1</v>
      </c>
      <c r="BK62">
        <f>ROUNDUP(tbl_Data_old[[#This Row],[Adjusted 2034]]/$L62,0)</f>
        <v>1</v>
      </c>
      <c r="BL62" s="3">
        <f t="shared" si="4"/>
        <v>3.9170836178485233</v>
      </c>
      <c r="BM62">
        <f t="shared" si="4"/>
        <v>8.078842514661817</v>
      </c>
      <c r="BN62">
        <f t="shared" si="4"/>
        <v>12.483519626974056</v>
      </c>
      <c r="BO62">
        <f t="shared" si="4"/>
        <v>17.13672458125308</v>
      </c>
      <c r="BP62">
        <f t="shared" si="4"/>
        <v>22.043798576626426</v>
      </c>
      <c r="BQ62">
        <f t="shared" si="3"/>
        <v>27.195791133396799</v>
      </c>
      <c r="BR62">
        <f t="shared" si="3"/>
        <v>32.621912052310435</v>
      </c>
      <c r="BS62">
        <f t="shared" si="3"/>
        <v>38.362323977711739</v>
      </c>
      <c r="BT62">
        <f t="shared" si="3"/>
        <v>44.459777327920939</v>
      </c>
      <c r="BU62">
        <f t="shared" si="3"/>
        <v>50.958285005234288</v>
      </c>
      <c r="BV62">
        <f>VLOOKUP($H62,'1. Set Program Names'!$B$2:$D$15,3,0)*V62</f>
        <v>4.19216810918316</v>
      </c>
      <c r="BW62">
        <f>VLOOKUP($H62,'1. Set Program Names'!$B$2:$D$15,3,0)*W62</f>
        <v>8.6461942744230829</v>
      </c>
      <c r="BX62">
        <f>VLOOKUP($H62,'1. Set Program Names'!$B$2:$D$15,3,0)*X62</f>
        <v>13.360198039200105</v>
      </c>
      <c r="BY62">
        <f>VLOOKUP($H62,'1. Set Program Names'!$B$2:$D$15,3,0)*Y62</f>
        <v>18.340182976446844</v>
      </c>
      <c r="BZ62">
        <f>VLOOKUP($H62,'1. Set Program Names'!$B$2:$D$15,3,0)*Z62</f>
        <v>23.591865380945784</v>
      </c>
      <c r="CA62">
        <f>VLOOKUP($H62,'1. Set Program Names'!$B$2:$D$15,3,0)*AA62</f>
        <v>29.105666208895578</v>
      </c>
      <c r="CB62">
        <f>VLOOKUP($H62,'1. Set Program Names'!$B$2:$D$15,3,0)*AB62</f>
        <v>34.91284657369345</v>
      </c>
      <c r="CC62">
        <f>VLOOKUP($H62,'1. Set Program Names'!$B$2:$D$15,3,0)*AC62</f>
        <v>41.056389616172524</v>
      </c>
      <c r="CD62">
        <f>VLOOKUP($H62,'1. Set Program Names'!$B$2:$D$15,3,0)*AD62</f>
        <v>47.582047982388062</v>
      </c>
      <c r="CE62">
        <f>VLOOKUP($H62,'1. Set Program Names'!$B$2:$D$15,3,0)*AE62</f>
        <v>54.536925462659525</v>
      </c>
    </row>
    <row r="63" spans="1:83" x14ac:dyDescent="0.25">
      <c r="A63" s="20" t="s">
        <v>117</v>
      </c>
      <c r="B63" s="20" t="s">
        <v>88</v>
      </c>
      <c r="C63" s="20" t="s">
        <v>89</v>
      </c>
      <c r="D63" s="20" t="s">
        <v>90</v>
      </c>
      <c r="E63" s="20" t="s">
        <v>91</v>
      </c>
      <c r="F63" s="20" t="s">
        <v>90</v>
      </c>
      <c r="G63" s="20" t="s">
        <v>92</v>
      </c>
      <c r="H63" s="20" t="s">
        <v>5</v>
      </c>
      <c r="I63" s="20" t="s">
        <v>96</v>
      </c>
      <c r="J63" s="20" t="s">
        <v>97</v>
      </c>
      <c r="K63" s="20" t="s">
        <v>98</v>
      </c>
      <c r="L63" s="20">
        <v>5868.07</v>
      </c>
      <c r="M63" s="20">
        <v>0.20813520080661799</v>
      </c>
      <c r="N63" s="20">
        <v>1.1349578069705</v>
      </c>
      <c r="O63" s="20">
        <v>1935.1666666666599</v>
      </c>
      <c r="P63" s="20">
        <v>513.45064263862798</v>
      </c>
      <c r="Q63" s="20">
        <v>1744.1611426417701</v>
      </c>
      <c r="R63" s="20">
        <v>3388.0400735263802</v>
      </c>
      <c r="S63" s="20">
        <v>7811.7411984889604</v>
      </c>
      <c r="T63" s="20">
        <v>16</v>
      </c>
      <c r="U63" s="20">
        <v>0.7</v>
      </c>
      <c r="V63" s="20">
        <v>57.026964794333701</v>
      </c>
      <c r="W63" s="20">
        <v>117.40561217238999</v>
      </c>
      <c r="X63" s="20">
        <v>181.083143614753</v>
      </c>
      <c r="Y63" s="20">
        <v>248.113009134154</v>
      </c>
      <c r="Z63" s="20">
        <v>318.54385726997799</v>
      </c>
      <c r="AA63" s="20">
        <v>392.21909944770601</v>
      </c>
      <c r="AB63" s="20">
        <v>469.52727831745</v>
      </c>
      <c r="AC63" s="20">
        <v>551.00781225216394</v>
      </c>
      <c r="AD63" s="20">
        <v>637.23035385745004</v>
      </c>
      <c r="AE63" s="20">
        <v>728.77555082319498</v>
      </c>
      <c r="AF63" t="str">
        <f t="shared" si="0"/>
        <v>Residential</v>
      </c>
      <c r="AG63" t="str">
        <f>tbl_Data_old[[#This Row],[All_Meas_Name_Append]]</f>
        <v>ASHP - CEE Tier 2: 16.8 SEER/16 SEER2; 9.0 HSPF (from elec resistance)</v>
      </c>
      <c r="AH63">
        <f>AVERAGEIFS('3. Incentive Adjustment'!G:G,'3. Incentive Adjustment'!A:A,tbl_Data_old[[#This Row],[Trimmed Sector]],'3. Incentive Adjustment'!B:B,tbl_Data_old[[#This Row],[Trimmed Measure Name]])</f>
        <v>0.9303958662075158</v>
      </c>
      <c r="AI63">
        <f>$AH63*tbl_Data_old[[#This Row],[2025 ]]</f>
        <v>53.057652307009612</v>
      </c>
      <c r="AJ63">
        <f>$AH63*tbl_Data_old[[#This Row],[2026 ]]</f>
        <v>109.23369623475445</v>
      </c>
      <c r="AK63">
        <f>$AH63*tbl_Data_old[[#This Row],[2027 ]]</f>
        <v>168.47900825902809</v>
      </c>
      <c r="AL63">
        <f>$AH63*tbl_Data_old[[#This Row],[2028 ]]</f>
        <v>230.84331805072449</v>
      </c>
      <c r="AM63">
        <f>$AH63*tbl_Data_old[[#This Row],[2029 ]]</f>
        <v>296.37188800978447</v>
      </c>
      <c r="AN63">
        <f>$AH63*tbl_Data_old[[#This Row],[2030 ]]</f>
        <v>364.91902877378021</v>
      </c>
      <c r="AO63">
        <f>$AH63*tbl_Data_old[[#This Row],[2031 ]]</f>
        <v>436.84623881822125</v>
      </c>
      <c r="AP63">
        <f>$AH63*tbl_Data_old[[#This Row],[2032 ]]</f>
        <v>512.65539076746029</v>
      </c>
      <c r="AQ63">
        <f>$AH63*tbl_Data_old[[#This Row],[2033 ]]</f>
        <v>592.87648705092408</v>
      </c>
      <c r="AR63">
        <f>$AH63*tbl_Data_old[[#This Row],[2034 ]]</f>
        <v>678.04975987900593</v>
      </c>
      <c r="AS63">
        <f>SUM(tbl_Data_old[[#This Row],[Adjusted 2025]:[Adjusted 2034]])</f>
        <v>3443.3324681506929</v>
      </c>
      <c r="AT63" s="3">
        <f>AVERAGEIFS('3. Incentive Adjustment'!F:F,'3. Incentive Adjustment'!A:A,tbl_Data_old[[#This Row],[Trimmed Sector]],'3. Incentive Adjustment'!B:B,tbl_Data_old[[#This Row],[Trimmed Measure Name]])</f>
        <v>353</v>
      </c>
      <c r="AU63" s="3">
        <f>IFERROR(VLOOKUP(tbl_Data_old[[#This Row],[All_Meas_Name_Append]],'IRA Tax Credits'!$A$3:$D$46,4,0),0)</f>
        <v>0</v>
      </c>
      <c r="AV63" s="4">
        <f>tbl_Data_old[[#This Row],[Adj. per unit Incentive ($)]]/tbl_Data_old[[#This Row],[kWh Savings]]*tbl_Data_old[[#This Row],[Sum of Annuals]]</f>
        <v>207.13733156850458</v>
      </c>
      <c r="AW63" s="4">
        <f>IFERROR(VLOOKUP(tbl_Data_old[[#This Row],[All_Programs]],'1. Set Program Names'!$B$2:$D$15,3,0)*tbl_Data_old[[#This Row],[Sum of Annuals]],"")</f>
        <v>1535.187896227867</v>
      </c>
      <c r="AX63" s="4">
        <f>tbl_Data_old[[#This Row],[per unit IRA tax ($)]]/tbl_Data_old[[#This Row],[kWh Savings]]*tbl_Data_old[[#This Row],[Sum of Annuals]]</f>
        <v>0</v>
      </c>
      <c r="AY63" s="4">
        <f>tbl_Data_old[[#This Row],[Avoided Costs ($/unit)]]/tbl_Data_old[[#This Row],[kWh Savings]]*tbl_Data_old[[#This Row],[Sum of Annuals]]</f>
        <v>1988.0724648085393</v>
      </c>
      <c r="AZ63" s="4">
        <f>tbl_Data_old[[#This Row],[Lost Revenue ($/unit)]]/tbl_Data_old[[#This Row],[kWh Savings]]*tbl_Data_old[[#This Row],[Sum of Annuals]]</f>
        <v>4583.8618321777767</v>
      </c>
      <c r="BA63" s="4">
        <f>tbl_Data_old[[#This Row],[Incremental Cost ($/unit)]]/tbl_Data_old[[#This Row],[kWh Savings]]*tbl_Data_old[[#This Row],[Sum of Annuals]]</f>
        <v>1135.5389786788944</v>
      </c>
      <c r="BB63">
        <f>ROUNDUP(tbl_Data_old[[#This Row],[Adjusted 2025]]/$L63,0)</f>
        <v>1</v>
      </c>
      <c r="BC63">
        <f>ROUNDUP(tbl_Data_old[[#This Row],[Adjusted 2026]]/$L63,0)</f>
        <v>1</v>
      </c>
      <c r="BD63">
        <f>ROUNDUP(tbl_Data_old[[#This Row],[Adjusted 2027]]/$L63,0)</f>
        <v>1</v>
      </c>
      <c r="BE63">
        <f>ROUNDUP(tbl_Data_old[[#This Row],[Adjusted 2028]]/$L63,0)</f>
        <v>1</v>
      </c>
      <c r="BF63">
        <f>ROUNDUP(tbl_Data_old[[#This Row],[Adjusted 2029]]/$L63,0)</f>
        <v>1</v>
      </c>
      <c r="BG63">
        <f>ROUNDUP(tbl_Data_old[[#This Row],[Adjusted 2030]]/$L63,0)</f>
        <v>1</v>
      </c>
      <c r="BH63">
        <f>ROUNDUP(tbl_Data_old[[#This Row],[Adjusted 2031]]/$L63,0)</f>
        <v>1</v>
      </c>
      <c r="BI63">
        <f>ROUNDUP(tbl_Data_old[[#This Row],[Adjusted 2032]]/$L63,0)</f>
        <v>1</v>
      </c>
      <c r="BJ63">
        <f>ROUNDUP(tbl_Data_old[[#This Row],[Adjusted 2033]]/$L63,0)</f>
        <v>1</v>
      </c>
      <c r="BK63">
        <f>ROUNDUP(tbl_Data_old[[#This Row],[Adjusted 2034]]/$L63,0)</f>
        <v>1</v>
      </c>
      <c r="BL63" s="3">
        <f t="shared" si="4"/>
        <v>3.4305177975722509</v>
      </c>
      <c r="BM63">
        <f t="shared" si="4"/>
        <v>7.0626596303134876</v>
      </c>
      <c r="BN63">
        <f t="shared" si="4"/>
        <v>10.893249347060927</v>
      </c>
      <c r="BO63">
        <f t="shared" si="4"/>
        <v>14.925502290251542</v>
      </c>
      <c r="BP63">
        <f t="shared" si="4"/>
        <v>19.162344964579876</v>
      </c>
      <c r="BQ63">
        <f t="shared" si="3"/>
        <v>23.594357617588106</v>
      </c>
      <c r="BR63">
        <f t="shared" si="3"/>
        <v>28.24491344616882</v>
      </c>
      <c r="BS63">
        <f t="shared" si="3"/>
        <v>33.14646173699596</v>
      </c>
      <c r="BT63">
        <f t="shared" si="3"/>
        <v>38.333270549206105</v>
      </c>
      <c r="BU63">
        <f t="shared" si="3"/>
        <v>43.840269362940084</v>
      </c>
      <c r="BV63">
        <f>VLOOKUP($H63,'1. Set Program Names'!$B$2:$D$15,3,0)*V63</f>
        <v>25.425109808781439</v>
      </c>
      <c r="BW63">
        <f>VLOOKUP($H63,'1. Set Program Names'!$B$2:$D$15,3,0)*W63</f>
        <v>52.344545995315222</v>
      </c>
      <c r="BX63">
        <f>VLOOKUP($H63,'1. Set Program Names'!$B$2:$D$15,3,0)*X63</f>
        <v>80.734768675289942</v>
      </c>
      <c r="BY63">
        <f>VLOOKUP($H63,'1. Set Program Names'!$B$2:$D$15,3,0)*Y63</f>
        <v>110.61960819717099</v>
      </c>
      <c r="BZ63">
        <f>VLOOKUP($H63,'1. Set Program Names'!$B$2:$D$15,3,0)*Z63</f>
        <v>142.02075420304894</v>
      </c>
      <c r="CA63">
        <f>VLOOKUP($H63,'1. Set Program Names'!$B$2:$D$15,3,0)*AA63</f>
        <v>174.8683926722004</v>
      </c>
      <c r="CB63">
        <f>VLOOKUP($H63,'1. Set Program Names'!$B$2:$D$15,3,0)*AB63</f>
        <v>209.33575287572748</v>
      </c>
      <c r="CC63">
        <f>VLOOKUP($H63,'1. Set Program Names'!$B$2:$D$15,3,0)*AC63</f>
        <v>245.66333106684468</v>
      </c>
      <c r="CD63">
        <f>VLOOKUP($H63,'1. Set Program Names'!$B$2:$D$15,3,0)*AD63</f>
        <v>284.1051032392337</v>
      </c>
      <c r="CE63">
        <f>VLOOKUP($H63,'1. Set Program Names'!$B$2:$D$15,3,0)*AE63</f>
        <v>324.91994747502332</v>
      </c>
    </row>
    <row r="64" spans="1:83" x14ac:dyDescent="0.25">
      <c r="A64" s="20" t="s">
        <v>117</v>
      </c>
      <c r="B64" s="20" t="s">
        <v>88</v>
      </c>
      <c r="C64" s="20" t="s">
        <v>89</v>
      </c>
      <c r="D64" s="20" t="s">
        <v>90</v>
      </c>
      <c r="E64" s="20" t="s">
        <v>91</v>
      </c>
      <c r="F64" s="20" t="s">
        <v>90</v>
      </c>
      <c r="G64" s="20" t="s">
        <v>92</v>
      </c>
      <c r="H64" s="20" t="s">
        <v>5</v>
      </c>
      <c r="I64" s="20" t="s">
        <v>99</v>
      </c>
      <c r="J64" s="20" t="s">
        <v>97</v>
      </c>
      <c r="K64" s="20" t="s">
        <v>98</v>
      </c>
      <c r="L64" s="20">
        <v>253.96999999999801</v>
      </c>
      <c r="M64" s="20">
        <v>0.107126245482503</v>
      </c>
      <c r="N64" s="20">
        <v>1.33192706841354E-2</v>
      </c>
      <c r="O64" s="20">
        <v>874.99999999999898</v>
      </c>
      <c r="P64" s="20">
        <v>813.468148399999</v>
      </c>
      <c r="Q64" s="20">
        <v>75.487273566390598</v>
      </c>
      <c r="R64" s="20">
        <v>185.54516688855901</v>
      </c>
      <c r="S64" s="20">
        <v>338.09206641710699</v>
      </c>
      <c r="T64" s="20">
        <v>16</v>
      </c>
      <c r="U64" s="20">
        <v>0.7</v>
      </c>
      <c r="V64" s="20">
        <v>0.45841230448627901</v>
      </c>
      <c r="W64" s="20">
        <v>0.97023937265806603</v>
      </c>
      <c r="X64" s="20">
        <v>1.53179361418681</v>
      </c>
      <c r="Y64" s="20">
        <v>2.1408040531389898</v>
      </c>
      <c r="Z64" s="20">
        <v>2.79540833590739</v>
      </c>
      <c r="AA64" s="20">
        <v>3.49217614635254</v>
      </c>
      <c r="AB64" s="20">
        <v>4.2331400996497504</v>
      </c>
      <c r="AC64" s="20">
        <v>5.0221853272218198</v>
      </c>
      <c r="AD64" s="20">
        <v>5.8638346233930498</v>
      </c>
      <c r="AE64" s="20">
        <v>6.76299187138099</v>
      </c>
      <c r="AF64" t="str">
        <f t="shared" si="0"/>
        <v>Residential</v>
      </c>
      <c r="AG64" t="str">
        <f>tbl_Data_old[[#This Row],[All_Meas_Name_Append]]</f>
        <v>ASHP - ENERGY STAR/CEE Tier 1: 16 SEER/15.2 SEER2_ 9.0 HSPF</v>
      </c>
      <c r="AH64">
        <f>AVERAGEIFS('3. Incentive Adjustment'!G:G,'3. Incentive Adjustment'!A:A,tbl_Data_old[[#This Row],[Trimmed Sector]],'3. Incentive Adjustment'!B:B,tbl_Data_old[[#This Row],[Trimmed Measure Name]])</f>
        <v>8.3636985731950567E-3</v>
      </c>
      <c r="AI64">
        <f>$AH64*tbl_Data_old[[#This Row],[2025 ]]</f>
        <v>3.8340223369669494E-3</v>
      </c>
      <c r="AJ64">
        <f>$AH64*tbl_Data_old[[#This Row],[2026 ]]</f>
        <v>8.1147896567579335E-3</v>
      </c>
      <c r="AK64">
        <f>$AH64*tbl_Data_old[[#This Row],[2027 ]]</f>
        <v>1.2811460065403521E-2</v>
      </c>
      <c r="AL64">
        <f>$AH64*tbl_Data_old[[#This Row],[2028 ]]</f>
        <v>1.7905039804728764E-2</v>
      </c>
      <c r="AM64">
        <f>$AH64*tbl_Data_old[[#This Row],[2029 ]]</f>
        <v>2.3379952710526206E-2</v>
      </c>
      <c r="AN64">
        <f>$AH64*tbl_Data_old[[#This Row],[2030 ]]</f>
        <v>2.9207508652594551E-2</v>
      </c>
      <c r="AO64">
        <f>$AH64*tbl_Data_old[[#This Row],[2031 ]]</f>
        <v>3.5404707811575398E-2</v>
      </c>
      <c r="AP64">
        <f>$AH64*tbl_Data_old[[#This Row],[2032 ]]</f>
        <v>4.2004044255606283E-2</v>
      </c>
      <c r="AQ64">
        <f>$AH64*tbl_Data_old[[#This Row],[2033 ]]</f>
        <v>4.9043345273124227E-2</v>
      </c>
      <c r="AR64">
        <f>$AH64*tbl_Data_old[[#This Row],[2034 ]]</f>
        <v>5.6563625465198955E-2</v>
      </c>
      <c r="AS64">
        <f>SUM(tbl_Data_old[[#This Row],[Adjusted 2025]:[Adjusted 2034]])</f>
        <v>0.27826849603248277</v>
      </c>
      <c r="AT64" s="3">
        <f>AVERAGEIFS('3. Incentive Adjustment'!F:F,'3. Incentive Adjustment'!A:A,tbl_Data_old[[#This Row],[Trimmed Sector]],'3. Incentive Adjustment'!B:B,tbl_Data_old[[#This Row],[Trimmed Measure Name]])</f>
        <v>353</v>
      </c>
      <c r="AU64" s="3">
        <f>IFERROR(VLOOKUP(tbl_Data_old[[#This Row],[All_Meas_Name_Append]],'IRA Tax Credits'!$A$3:$D$46,4,0),0)</f>
        <v>0</v>
      </c>
      <c r="AV64" s="4">
        <f>tbl_Data_old[[#This Row],[Adj. per unit Incentive ($)]]/tbl_Data_old[[#This Row],[kWh Savings]]*tbl_Data_old[[#This Row],[Sum of Annuals]]</f>
        <v>0.38677315863868644</v>
      </c>
      <c r="AW64" s="4">
        <f>IFERROR(VLOOKUP(tbl_Data_old[[#This Row],[All_Programs]],'1. Set Program Names'!$B$2:$D$15,3,0)*tbl_Data_old[[#This Row],[Sum of Annuals]],"")</f>
        <v>0.12406424037236016</v>
      </c>
      <c r="AX64" s="4">
        <f>tbl_Data_old[[#This Row],[per unit IRA tax ($)]]/tbl_Data_old[[#This Row],[kWh Savings]]*tbl_Data_old[[#This Row],[Sum of Annuals]]</f>
        <v>0</v>
      </c>
      <c r="AY64" s="4">
        <f>tbl_Data_old[[#This Row],[Avoided Costs ($/unit)]]/tbl_Data_old[[#This Row],[kWh Savings]]*tbl_Data_old[[#This Row],[Sum of Annuals]]</f>
        <v>0.20329713956835743</v>
      </c>
      <c r="AZ64" s="4">
        <f>tbl_Data_old[[#This Row],[Lost Revenue ($/unit)]]/tbl_Data_old[[#This Row],[kWh Savings]]*tbl_Data_old[[#This Row],[Sum of Annuals]]</f>
        <v>0.37043891342443347</v>
      </c>
      <c r="BA64" s="4">
        <f>tbl_Data_old[[#This Row],[Incremental Cost ($/unit)]]/tbl_Data_old[[#This Row],[kWh Savings]]*tbl_Data_old[[#This Row],[Sum of Annuals]]</f>
        <v>0.95871533656898078</v>
      </c>
      <c r="BB64">
        <f>ROUNDUP(tbl_Data_old[[#This Row],[Adjusted 2025]]/$L64,0)</f>
        <v>1</v>
      </c>
      <c r="BC64">
        <f>ROUNDUP(tbl_Data_old[[#This Row],[Adjusted 2026]]/$L64,0)</f>
        <v>1</v>
      </c>
      <c r="BD64">
        <f>ROUNDUP(tbl_Data_old[[#This Row],[Adjusted 2027]]/$L64,0)</f>
        <v>1</v>
      </c>
      <c r="BE64">
        <f>ROUNDUP(tbl_Data_old[[#This Row],[Adjusted 2028]]/$L64,0)</f>
        <v>1</v>
      </c>
      <c r="BF64">
        <f>ROUNDUP(tbl_Data_old[[#This Row],[Adjusted 2029]]/$L64,0)</f>
        <v>1</v>
      </c>
      <c r="BG64">
        <f>ROUNDUP(tbl_Data_old[[#This Row],[Adjusted 2030]]/$L64,0)</f>
        <v>1</v>
      </c>
      <c r="BH64">
        <f>ROUNDUP(tbl_Data_old[[#This Row],[Adjusted 2031]]/$L64,0)</f>
        <v>1</v>
      </c>
      <c r="BI64">
        <f>ROUNDUP(tbl_Data_old[[#This Row],[Adjusted 2032]]/$L64,0)</f>
        <v>1</v>
      </c>
      <c r="BJ64">
        <f>ROUNDUP(tbl_Data_old[[#This Row],[Adjusted 2033]]/$L64,0)</f>
        <v>1</v>
      </c>
      <c r="BK64">
        <f>ROUNDUP(tbl_Data_old[[#This Row],[Adjusted 2034]]/$L64,0)</f>
        <v>1</v>
      </c>
      <c r="BL64" s="3">
        <f t="shared" si="4"/>
        <v>0.63716007199140745</v>
      </c>
      <c r="BM64">
        <f t="shared" si="4"/>
        <v>1.3485628166645667</v>
      </c>
      <c r="BN64">
        <f t="shared" si="4"/>
        <v>2.1290827491748954</v>
      </c>
      <c r="BO64">
        <f t="shared" si="4"/>
        <v>2.9755633766116838</v>
      </c>
      <c r="BP64">
        <f t="shared" si="4"/>
        <v>3.8854161616541969</v>
      </c>
      <c r="BQ64">
        <f t="shared" si="3"/>
        <v>4.8538732120425889</v>
      </c>
      <c r="BR64">
        <f t="shared" si="3"/>
        <v>5.883759716408921</v>
      </c>
      <c r="BS64">
        <f t="shared" si="3"/>
        <v>6.9804757274848068</v>
      </c>
      <c r="BT64">
        <f t="shared" si="3"/>
        <v>8.1503076034876667</v>
      </c>
      <c r="BU64">
        <f t="shared" si="3"/>
        <v>9.4000713887368903</v>
      </c>
      <c r="BV64">
        <f>VLOOKUP($H64,'1. Set Program Names'!$B$2:$D$15,3,0)*V64</f>
        <v>0.20438021243624518</v>
      </c>
      <c r="BW64">
        <f>VLOOKUP($H64,'1. Set Program Names'!$B$2:$D$15,3,0)*W64</f>
        <v>0.43257505777487293</v>
      </c>
      <c r="BX64">
        <f>VLOOKUP($H64,'1. Set Program Names'!$B$2:$D$15,3,0)*X64</f>
        <v>0.68294044730501913</v>
      </c>
      <c r="BY64">
        <f>VLOOKUP($H64,'1. Set Program Names'!$B$2:$D$15,3,0)*Y64</f>
        <v>0.95446388084030498</v>
      </c>
      <c r="BZ64">
        <f>VLOOKUP($H64,'1. Set Program Names'!$B$2:$D$15,3,0)*Z64</f>
        <v>1.2463150398614653</v>
      </c>
      <c r="CA64">
        <f>VLOOKUP($H64,'1. Set Program Names'!$B$2:$D$15,3,0)*AA64</f>
        <v>1.5569645397196865</v>
      </c>
      <c r="CB64">
        <f>VLOOKUP($H64,'1. Set Program Names'!$B$2:$D$15,3,0)*AB64</f>
        <v>1.8873186089722422</v>
      </c>
      <c r="CC64">
        <f>VLOOKUP($H64,'1. Set Program Names'!$B$2:$D$15,3,0)*AC64</f>
        <v>2.2391094087713603</v>
      </c>
      <c r="CD64">
        <f>VLOOKUP($H64,'1. Set Program Names'!$B$2:$D$15,3,0)*AD64</f>
        <v>2.6143533982211262</v>
      </c>
      <c r="CE64">
        <f>VLOOKUP($H64,'1. Set Program Names'!$B$2:$D$15,3,0)*AE64</f>
        <v>3.0152369424866037</v>
      </c>
    </row>
    <row r="65" spans="1:83" x14ac:dyDescent="0.25">
      <c r="A65" s="20" t="s">
        <v>117</v>
      </c>
      <c r="B65" s="20" t="s">
        <v>88</v>
      </c>
      <c r="C65" s="20" t="s">
        <v>89</v>
      </c>
      <c r="D65" s="20" t="s">
        <v>90</v>
      </c>
      <c r="E65" s="20" t="s">
        <v>91</v>
      </c>
      <c r="F65" s="20" t="s">
        <v>90</v>
      </c>
      <c r="G65" s="20" t="s">
        <v>92</v>
      </c>
      <c r="H65" s="20" t="s">
        <v>5</v>
      </c>
      <c r="I65" s="20" t="s">
        <v>100</v>
      </c>
      <c r="J65" s="20" t="s">
        <v>101</v>
      </c>
      <c r="K65" s="20" t="s">
        <v>102</v>
      </c>
      <c r="L65" s="20">
        <v>3443.6666666666601</v>
      </c>
      <c r="M65" s="20">
        <v>1.66949913665645</v>
      </c>
      <c r="N65" s="20">
        <v>0.25022957227107101</v>
      </c>
      <c r="O65" s="20">
        <v>1269.26999999999</v>
      </c>
      <c r="P65" s="20">
        <v>446.40188399649003</v>
      </c>
      <c r="Q65" s="20">
        <v>1023.5579310081</v>
      </c>
      <c r="R65" s="20">
        <v>3363.3816217672702</v>
      </c>
      <c r="S65" s="20">
        <v>6252.5618237134204</v>
      </c>
      <c r="T65" s="20">
        <v>30</v>
      </c>
      <c r="U65" s="20">
        <v>0.9</v>
      </c>
      <c r="V65" s="20">
        <v>0.16130897897149801</v>
      </c>
      <c r="W65" s="20">
        <v>0.31743659117037998</v>
      </c>
      <c r="X65" s="20">
        <v>0.46869529687642503</v>
      </c>
      <c r="Y65" s="20">
        <v>0.61555023152262001</v>
      </c>
      <c r="Z65" s="20">
        <v>0.75834782310884696</v>
      </c>
      <c r="AA65" s="20">
        <v>0.89696853034111301</v>
      </c>
      <c r="AB65" s="20">
        <v>1.0322672849633101</v>
      </c>
      <c r="AC65" s="20">
        <v>1.16516984325905</v>
      </c>
      <c r="AD65" s="20">
        <v>1.29645765016754</v>
      </c>
      <c r="AE65" s="20">
        <v>1.42676275459121</v>
      </c>
      <c r="AF65" t="str">
        <f t="shared" si="0"/>
        <v>Residential</v>
      </c>
      <c r="AG65" t="str">
        <f>tbl_Data_old[[#This Row],[All_Meas_Name_Append]]</f>
        <v>Ceiling Insulation(R2 to R38) Residential</v>
      </c>
      <c r="AH65">
        <f>AVERAGEIFS('3. Incentive Adjustment'!G:G,'3. Incentive Adjustment'!A:A,tbl_Data_old[[#This Row],[Trimmed Sector]],'3. Incentive Adjustment'!B:B,tbl_Data_old[[#This Row],[Trimmed Measure Name]])</f>
        <v>0.80543313072084111</v>
      </c>
      <c r="AI65">
        <f>$AH65*tbl_Data_old[[#This Row],[2025 ]]</f>
        <v>0.12992359594639596</v>
      </c>
      <c r="AJ65">
        <f>$AH65*tbl_Data_old[[#This Row],[2026 ]]</f>
        <v>0.25567394743171085</v>
      </c>
      <c r="AK65">
        <f>$AH65*tbl_Data_old[[#This Row],[2027 ]]</f>
        <v>0.37750272031731308</v>
      </c>
      <c r="AL65">
        <f>$AH65*tbl_Data_old[[#This Row],[2028 ]]</f>
        <v>0.49578455009120243</v>
      </c>
      <c r="AM65">
        <f>$AH65*tbl_Data_old[[#This Row],[2029 ]]</f>
        <v>0.6107984613418932</v>
      </c>
      <c r="AN65">
        <f>$AH65*tbl_Data_old[[#This Row],[2030 ]]</f>
        <v>0.72244817155071439</v>
      </c>
      <c r="AO65">
        <f>$AH65*tbl_Data_old[[#This Row],[2031 ]]</f>
        <v>0.83142227106870148</v>
      </c>
      <c r="AP65">
        <f>$AH65*tbl_Data_old[[#This Row],[2032 ]]</f>
        <v>0.93846639467764836</v>
      </c>
      <c r="AQ65">
        <f>$AH65*tbl_Data_old[[#This Row],[2033 ]]</f>
        <v>1.0442099440214268</v>
      </c>
      <c r="AR65">
        <f>$AH65*tbl_Data_old[[#This Row],[2034 ]]</f>
        <v>1.1491619922262895</v>
      </c>
      <c r="AS65">
        <f>SUM(tbl_Data_old[[#This Row],[Adjusted 2025]:[Adjusted 2034]])</f>
        <v>6.5553920486732959</v>
      </c>
      <c r="AT65" s="3">
        <f>AVERAGEIFS('3. Incentive Adjustment'!F:F,'3. Incentive Adjustment'!A:A,tbl_Data_old[[#This Row],[Trimmed Sector]],'3. Incentive Adjustment'!B:B,tbl_Data_old[[#This Row],[Trimmed Measure Name]])</f>
        <v>164</v>
      </c>
      <c r="AU65" s="3">
        <f>IFERROR(VLOOKUP(tbl_Data_old[[#This Row],[All_Meas_Name_Append]],'IRA Tax Credits'!$A$3:$D$46,4,0),0)</f>
        <v>0</v>
      </c>
      <c r="AV65" s="4">
        <f>tbl_Data_old[[#This Row],[Adj. per unit Incentive ($)]]/tbl_Data_old[[#This Row],[kWh Savings]]*tbl_Data_old[[#This Row],[Sum of Annuals]]</f>
        <v>0.31219174213021661</v>
      </c>
      <c r="AW65" s="4">
        <f>IFERROR(VLOOKUP(tbl_Data_old[[#This Row],[All_Programs]],'1. Set Program Names'!$B$2:$D$15,3,0)*tbl_Data_old[[#This Row],[Sum of Annuals]],"")</f>
        <v>2.9226798809690822</v>
      </c>
      <c r="AX65" s="4">
        <f>tbl_Data_old[[#This Row],[per unit IRA tax ($)]]/tbl_Data_old[[#This Row],[kWh Savings]]*tbl_Data_old[[#This Row],[Sum of Annuals]]</f>
        <v>0</v>
      </c>
      <c r="AY65" s="4">
        <f>tbl_Data_old[[#This Row],[Avoided Costs ($/unit)]]/tbl_Data_old[[#This Row],[kWh Savings]]*tbl_Data_old[[#This Row],[Sum of Annuals]]</f>
        <v>6.402560780172422</v>
      </c>
      <c r="AZ65" s="4">
        <f>tbl_Data_old[[#This Row],[Lost Revenue ($/unit)]]/tbl_Data_old[[#This Row],[kWh Savings]]*tbl_Data_old[[#This Row],[Sum of Annuals]]</f>
        <v>11.902427856841323</v>
      </c>
      <c r="BA65" s="4">
        <f>tbl_Data_old[[#This Row],[Incremental Cost ($/unit)]]/tbl_Data_old[[#This Row],[kWh Savings]]*tbl_Data_old[[#This Row],[Sum of Annuals]]</f>
        <v>2.4161927593513228</v>
      </c>
      <c r="BB65">
        <f>ROUNDUP(tbl_Data_old[[#This Row],[Adjusted 2025]]/$L65,0)</f>
        <v>1</v>
      </c>
      <c r="BC65">
        <f>ROUNDUP(tbl_Data_old[[#This Row],[Adjusted 2026]]/$L65,0)</f>
        <v>1</v>
      </c>
      <c r="BD65">
        <f>ROUNDUP(tbl_Data_old[[#This Row],[Adjusted 2027]]/$L65,0)</f>
        <v>1</v>
      </c>
      <c r="BE65">
        <f>ROUNDUP(tbl_Data_old[[#This Row],[Adjusted 2028]]/$L65,0)</f>
        <v>1</v>
      </c>
      <c r="BF65">
        <f>ROUNDUP(tbl_Data_old[[#This Row],[Adjusted 2029]]/$L65,0)</f>
        <v>1</v>
      </c>
      <c r="BG65">
        <f>ROUNDUP(tbl_Data_old[[#This Row],[Adjusted 2030]]/$L65,0)</f>
        <v>1</v>
      </c>
      <c r="BH65">
        <f>ROUNDUP(tbl_Data_old[[#This Row],[Adjusted 2031]]/$L65,0)</f>
        <v>1</v>
      </c>
      <c r="BI65">
        <f>ROUNDUP(tbl_Data_old[[#This Row],[Adjusted 2032]]/$L65,0)</f>
        <v>1</v>
      </c>
      <c r="BJ65">
        <f>ROUNDUP(tbl_Data_old[[#This Row],[Adjusted 2033]]/$L65,0)</f>
        <v>1</v>
      </c>
      <c r="BK65">
        <f>ROUNDUP(tbl_Data_old[[#This Row],[Adjusted 2034]]/$L65,0)</f>
        <v>1</v>
      </c>
      <c r="BL65" s="3">
        <f t="shared" si="4"/>
        <v>7.6821234782670769E-3</v>
      </c>
      <c r="BM65">
        <f t="shared" si="4"/>
        <v>1.5117491322798106E-2</v>
      </c>
      <c r="BN65">
        <f t="shared" si="4"/>
        <v>2.232098403476929E-2</v>
      </c>
      <c r="BO65">
        <f t="shared" si="4"/>
        <v>2.9314753064478716E-2</v>
      </c>
      <c r="BP65">
        <f t="shared" si="4"/>
        <v>3.6115296580152299E-2</v>
      </c>
      <c r="BQ65">
        <f t="shared" si="3"/>
        <v>4.271692158821299E-2</v>
      </c>
      <c r="BR65">
        <f t="shared" si="3"/>
        <v>4.9160343064751671E-2</v>
      </c>
      <c r="BS65">
        <f t="shared" si="3"/>
        <v>5.5489648909442808E-2</v>
      </c>
      <c r="BT65">
        <f t="shared" si="3"/>
        <v>6.1742054388000275E-2</v>
      </c>
      <c r="BU65">
        <f t="shared" si="3"/>
        <v>6.7947659980532052E-2</v>
      </c>
      <c r="BV65">
        <f>VLOOKUP($H65,'1. Set Program Names'!$B$2:$D$15,3,0)*V65</f>
        <v>7.1918583047230061E-2</v>
      </c>
      <c r="BW65">
        <f>VLOOKUP($H65,'1. Set Program Names'!$B$2:$D$15,3,0)*W65</f>
        <v>0.14152708664996505</v>
      </c>
      <c r="BX65">
        <f>VLOOKUP($H65,'1. Set Program Names'!$B$2:$D$15,3,0)*X65</f>
        <v>0.20896481923804894</v>
      </c>
      <c r="BY65">
        <f>VLOOKUP($H65,'1. Set Program Names'!$B$2:$D$15,3,0)*Y65</f>
        <v>0.27443915848802997</v>
      </c>
      <c r="BZ65">
        <f>VLOOKUP($H65,'1. Set Program Names'!$B$2:$D$15,3,0)*Z65</f>
        <v>0.33810455712187226</v>
      </c>
      <c r="CA65">
        <f>VLOOKUP($H65,'1. Set Program Names'!$B$2:$D$15,3,0)*AA65</f>
        <v>0.39990771841341449</v>
      </c>
      <c r="CB65">
        <f>VLOOKUP($H65,'1. Set Program Names'!$B$2:$D$15,3,0)*AB65</f>
        <v>0.46022980824700388</v>
      </c>
      <c r="CC65">
        <f>VLOOKUP($H65,'1. Set Program Names'!$B$2:$D$15,3,0)*AC65</f>
        <v>0.51948356917788396</v>
      </c>
      <c r="CD65">
        <f>VLOOKUP($H65,'1. Set Program Names'!$B$2:$D$15,3,0)*AD65</f>
        <v>0.57801740346559138</v>
      </c>
      <c r="CE65">
        <f>VLOOKUP($H65,'1. Set Program Names'!$B$2:$D$15,3,0)*AE65</f>
        <v>0.63611310609617799</v>
      </c>
    </row>
    <row r="66" spans="1:83" x14ac:dyDescent="0.25">
      <c r="A66" s="20" t="s">
        <v>117</v>
      </c>
      <c r="B66" s="20" t="s">
        <v>88</v>
      </c>
      <c r="C66" s="20" t="s">
        <v>89</v>
      </c>
      <c r="D66" s="20" t="s">
        <v>90</v>
      </c>
      <c r="E66" s="20" t="s">
        <v>91</v>
      </c>
      <c r="F66" s="20" t="s">
        <v>90</v>
      </c>
      <c r="G66" s="20" t="s">
        <v>92</v>
      </c>
      <c r="H66" s="20" t="s">
        <v>5</v>
      </c>
      <c r="I66" s="20" t="s">
        <v>103</v>
      </c>
      <c r="J66" s="20" t="s">
        <v>101</v>
      </c>
      <c r="K66" s="20" t="s">
        <v>102</v>
      </c>
      <c r="L66" s="20">
        <v>3523.57666666666</v>
      </c>
      <c r="M66" s="20">
        <v>1.7070465614975301</v>
      </c>
      <c r="N66" s="20">
        <v>0.25623328618049002</v>
      </c>
      <c r="O66" s="20">
        <v>1306.5999999999899</v>
      </c>
      <c r="P66" s="20">
        <v>465.31519597206898</v>
      </c>
      <c r="Q66" s="20">
        <v>1047.30950808685</v>
      </c>
      <c r="R66" s="20">
        <v>3440.61303289528</v>
      </c>
      <c r="S66" s="20">
        <v>6397.6520033667803</v>
      </c>
      <c r="T66" s="20">
        <v>30</v>
      </c>
      <c r="U66" s="20">
        <v>0.9</v>
      </c>
      <c r="V66" s="20">
        <v>0.16503396338779799</v>
      </c>
      <c r="W66" s="20">
        <v>0.32478132035162099</v>
      </c>
      <c r="X66" s="20">
        <v>0.47956033096317202</v>
      </c>
      <c r="Y66" s="20">
        <v>0.62984562987949</v>
      </c>
      <c r="Z66" s="20">
        <v>0.77599052807212199</v>
      </c>
      <c r="AA66" s="20">
        <v>0.91787153827841395</v>
      </c>
      <c r="AB66" s="20">
        <v>1.0563626582539301</v>
      </c>
      <c r="AC66" s="20">
        <v>1.1924106196297699</v>
      </c>
      <c r="AD66" s="20">
        <v>1.3268146489219801</v>
      </c>
      <c r="AE66" s="20">
        <v>1.4602212066248601</v>
      </c>
      <c r="AF66" t="str">
        <f t="shared" ref="AF66:AF129" si="5">IF(C66="Residential","Residential","NonResidential")</f>
        <v>Residential</v>
      </c>
      <c r="AG66" t="str">
        <f>tbl_Data_old[[#This Row],[All_Meas_Name_Append]]</f>
        <v>Ceiling Insulation(R2 to R49) Residential</v>
      </c>
      <c r="AH66">
        <f>AVERAGEIFS('3. Incentive Adjustment'!G:G,'3. Incentive Adjustment'!A:A,tbl_Data_old[[#This Row],[Trimmed Sector]],'3. Incentive Adjustment'!B:B,tbl_Data_old[[#This Row],[Trimmed Measure Name]])</f>
        <v>0.79801279130038982</v>
      </c>
      <c r="AI66">
        <f>$AH66*tbl_Data_old[[#This Row],[2025 ]]</f>
        <v>0.13169921378246302</v>
      </c>
      <c r="AJ66">
        <f>$AH66*tbl_Data_old[[#This Row],[2026 ]]</f>
        <v>0.25917964801602317</v>
      </c>
      <c r="AK66">
        <f>$AH66*tbl_Data_old[[#This Row],[2027 ]]</f>
        <v>0.38269527830885969</v>
      </c>
      <c r="AL66">
        <f>$AH66*tbl_Data_old[[#This Row],[2028 ]]</f>
        <v>0.50262486918848404</v>
      </c>
      <c r="AM66">
        <f>$AH66*tbl_Data_old[[#This Row],[2029 ]]</f>
        <v>0.61925036732949756</v>
      </c>
      <c r="AN66">
        <f>$AH66*tbl_Data_old[[#This Row],[2030 ]]</f>
        <v>0.73247322831673967</v>
      </c>
      <c r="AO66">
        <f>$AH66*tbl_Data_old[[#This Row],[2031 ]]</f>
        <v>0.84299091353871847</v>
      </c>
      <c r="AP66">
        <f>$AH66*tbl_Data_old[[#This Row],[2032 ]]</f>
        <v>0.95155892694698008</v>
      </c>
      <c r="AQ66">
        <f>$AH66*tbl_Data_old[[#This Row],[2033 ]]</f>
        <v>1.058815061524476</v>
      </c>
      <c r="AR66">
        <f>$AH66*tbl_Data_old[[#This Row],[2034 ]]</f>
        <v>1.1652752010147278</v>
      </c>
      <c r="AS66">
        <f>SUM(tbl_Data_old[[#This Row],[Adjusted 2025]:[Adjusted 2034]])</f>
        <v>6.6465627079669698</v>
      </c>
      <c r="AT66" s="3">
        <f>AVERAGEIFS('3. Incentive Adjustment'!F:F,'3. Incentive Adjustment'!A:A,tbl_Data_old[[#This Row],[Trimmed Sector]],'3. Incentive Adjustment'!B:B,tbl_Data_old[[#This Row],[Trimmed Measure Name]])</f>
        <v>164</v>
      </c>
      <c r="AU66" s="3">
        <f>IFERROR(VLOOKUP(tbl_Data_old[[#This Row],[All_Meas_Name_Append]],'IRA Tax Credits'!$A$3:$D$46,4,0),0)</f>
        <v>0</v>
      </c>
      <c r="AV66" s="4">
        <f>tbl_Data_old[[#This Row],[Adj. per unit Incentive ($)]]/tbl_Data_old[[#This Row],[kWh Savings]]*tbl_Data_old[[#This Row],[Sum of Annuals]]</f>
        <v>0.30935506368242832</v>
      </c>
      <c r="AW66" s="4">
        <f>IFERROR(VLOOKUP(tbl_Data_old[[#This Row],[All_Programs]],'1. Set Program Names'!$B$2:$D$15,3,0)*tbl_Data_old[[#This Row],[Sum of Annuals]],"")</f>
        <v>2.9633277399642184</v>
      </c>
      <c r="AX66" s="4">
        <f>tbl_Data_old[[#This Row],[per unit IRA tax ($)]]/tbl_Data_old[[#This Row],[kWh Savings]]*tbl_Data_old[[#This Row],[Sum of Annuals]]</f>
        <v>0</v>
      </c>
      <c r="AY66" s="4">
        <f>tbl_Data_old[[#This Row],[Avoided Costs ($/unit)]]/tbl_Data_old[[#This Row],[kWh Savings]]*tbl_Data_old[[#This Row],[Sum of Annuals]]</f>
        <v>6.4900674627921475</v>
      </c>
      <c r="AZ66" s="4">
        <f>tbl_Data_old[[#This Row],[Lost Revenue ($/unit)]]/tbl_Data_old[[#This Row],[kWh Savings]]*tbl_Data_old[[#This Row],[Sum of Annuals]]</f>
        <v>12.067963676338691</v>
      </c>
      <c r="BA66" s="4">
        <f>tbl_Data_old[[#This Row],[Incremental Cost ($/unit)]]/tbl_Data_old[[#This Row],[kWh Savings]]*tbl_Data_old[[#This Row],[Sum of Annuals]]</f>
        <v>2.4646544280942542</v>
      </c>
      <c r="BB66">
        <f>ROUNDUP(tbl_Data_old[[#This Row],[Adjusted 2025]]/$L66,0)</f>
        <v>1</v>
      </c>
      <c r="BC66">
        <f>ROUNDUP(tbl_Data_old[[#This Row],[Adjusted 2026]]/$L66,0)</f>
        <v>1</v>
      </c>
      <c r="BD66">
        <f>ROUNDUP(tbl_Data_old[[#This Row],[Adjusted 2027]]/$L66,0)</f>
        <v>1</v>
      </c>
      <c r="BE66">
        <f>ROUNDUP(tbl_Data_old[[#This Row],[Adjusted 2028]]/$L66,0)</f>
        <v>1</v>
      </c>
      <c r="BF66">
        <f>ROUNDUP(tbl_Data_old[[#This Row],[Adjusted 2029]]/$L66,0)</f>
        <v>1</v>
      </c>
      <c r="BG66">
        <f>ROUNDUP(tbl_Data_old[[#This Row],[Adjusted 2030]]/$L66,0)</f>
        <v>1</v>
      </c>
      <c r="BH66">
        <f>ROUNDUP(tbl_Data_old[[#This Row],[Adjusted 2031]]/$L66,0)</f>
        <v>1</v>
      </c>
      <c r="BI66">
        <f>ROUNDUP(tbl_Data_old[[#This Row],[Adjusted 2032]]/$L66,0)</f>
        <v>1</v>
      </c>
      <c r="BJ66">
        <f>ROUNDUP(tbl_Data_old[[#This Row],[Adjusted 2033]]/$L66,0)</f>
        <v>1</v>
      </c>
      <c r="BK66">
        <f>ROUNDUP(tbl_Data_old[[#This Row],[Adjusted 2034]]/$L66,0)</f>
        <v>1</v>
      </c>
      <c r="BL66" s="3">
        <f t="shared" si="4"/>
        <v>7.6812774507339383E-3</v>
      </c>
      <c r="BM66">
        <f t="shared" si="4"/>
        <v>1.5116497121106852E-2</v>
      </c>
      <c r="BN66">
        <f t="shared" si="4"/>
        <v>2.2320471985745646E-2</v>
      </c>
      <c r="BO66">
        <f t="shared" si="4"/>
        <v>2.9315293257959448E-2</v>
      </c>
      <c r="BP66">
        <f t="shared" si="4"/>
        <v>3.6117405308004717E-2</v>
      </c>
      <c r="BQ66">
        <f t="shared" si="3"/>
        <v>4.2721060592123772E-2</v>
      </c>
      <c r="BR66">
        <f t="shared" si="3"/>
        <v>4.9166938126405137E-2</v>
      </c>
      <c r="BS66">
        <f t="shared" si="3"/>
        <v>5.5499102224524505E-2</v>
      </c>
      <c r="BT66">
        <f t="shared" si="3"/>
        <v>6.1754751778696028E-2</v>
      </c>
      <c r="BU66">
        <f t="shared" si="3"/>
        <v>6.7963975398050325E-2</v>
      </c>
      <c r="BV66">
        <f>VLOOKUP($H66,'1. Set Program Names'!$B$2:$D$15,3,0)*V66</f>
        <v>7.3579343674452444E-2</v>
      </c>
      <c r="BW66">
        <f>VLOOKUP($H66,'1. Set Program Names'!$B$2:$D$15,3,0)*W66</f>
        <v>0.1448016874747203</v>
      </c>
      <c r="BX66">
        <f>VLOOKUP($H66,'1. Set Program Names'!$B$2:$D$15,3,0)*X66</f>
        <v>0.21380892563101522</v>
      </c>
      <c r="BY66">
        <f>VLOOKUP($H66,'1. Set Program Names'!$B$2:$D$15,3,0)*Y66</f>
        <v>0.28081267098855511</v>
      </c>
      <c r="BZ66">
        <f>VLOOKUP($H66,'1. Set Program Names'!$B$2:$D$15,3,0)*Z66</f>
        <v>0.34597044499847501</v>
      </c>
      <c r="CA66">
        <f>VLOOKUP($H66,'1. Set Program Names'!$B$2:$D$15,3,0)*AA66</f>
        <v>0.40922719164956528</v>
      </c>
      <c r="CB66">
        <f>VLOOKUP($H66,'1. Set Program Names'!$B$2:$D$15,3,0)*AB66</f>
        <v>0.47097257728629988</v>
      </c>
      <c r="CC66">
        <f>VLOOKUP($H66,'1. Set Program Names'!$B$2:$D$15,3,0)*AC66</f>
        <v>0.53162869618928732</v>
      </c>
      <c r="CD66">
        <f>VLOOKUP($H66,'1. Set Program Names'!$B$2:$D$15,3,0)*AD66</f>
        <v>0.59155187842108414</v>
      </c>
      <c r="CE66">
        <f>VLOOKUP($H66,'1. Set Program Names'!$B$2:$D$15,3,0)*AE66</f>
        <v>0.651030344284382</v>
      </c>
    </row>
    <row r="67" spans="1:83" x14ac:dyDescent="0.25">
      <c r="A67" s="20" t="s">
        <v>117</v>
      </c>
      <c r="B67" s="20" t="s">
        <v>88</v>
      </c>
      <c r="C67" s="20" t="s">
        <v>89</v>
      </c>
      <c r="D67" s="20" t="s">
        <v>90</v>
      </c>
      <c r="E67" s="20" t="s">
        <v>91</v>
      </c>
      <c r="F67" s="20" t="s">
        <v>90</v>
      </c>
      <c r="G67" s="20" t="s">
        <v>92</v>
      </c>
      <c r="H67" s="20" t="s">
        <v>5</v>
      </c>
      <c r="I67" s="20" t="s">
        <v>296</v>
      </c>
      <c r="J67" s="20" t="s">
        <v>97</v>
      </c>
      <c r="K67" s="20" t="s">
        <v>102</v>
      </c>
      <c r="L67" s="20">
        <v>936.45</v>
      </c>
      <c r="M67" s="20">
        <v>0.42562333070119601</v>
      </c>
      <c r="N67" s="20">
        <v>3.9115067461125599E-2</v>
      </c>
      <c r="O67" s="53">
        <v>685.00999995999996</v>
      </c>
      <c r="P67" s="20">
        <v>458.12689399999903</v>
      </c>
      <c r="Q67" s="20">
        <v>278.34018715299698</v>
      </c>
      <c r="R67" s="20">
        <v>763.90764278946904</v>
      </c>
      <c r="S67" s="20">
        <v>1415.5155729468199</v>
      </c>
      <c r="T67" s="20">
        <v>20</v>
      </c>
      <c r="U67" s="20">
        <v>0.9</v>
      </c>
      <c r="V67" s="20">
        <v>5.30562126059937</v>
      </c>
      <c r="W67" s="20">
        <v>10.4412174576096</v>
      </c>
      <c r="X67" s="20">
        <v>15.416956825803499</v>
      </c>
      <c r="Y67" s="20">
        <v>20.248042647355501</v>
      </c>
      <c r="Z67" s="20">
        <v>24.945784494557401</v>
      </c>
      <c r="AA67" s="20">
        <v>29.506171304336299</v>
      </c>
      <c r="AB67" s="20">
        <v>33.957258110714598</v>
      </c>
      <c r="AC67" s="20">
        <v>38.329435729616797</v>
      </c>
      <c r="AD67" s="20">
        <v>42.648350833868903</v>
      </c>
      <c r="AE67" s="20">
        <v>46.934736655657098</v>
      </c>
      <c r="AF67" t="str">
        <f t="shared" si="5"/>
        <v>Residential</v>
      </c>
      <c r="AG67" t="str">
        <f>tbl_Data_old[[#This Row],[All_Meas_Name_Append]]</f>
        <v>Duct Repair</v>
      </c>
      <c r="AH67">
        <f>AVERAGEIFS('3. Incentive Adjustment'!G:G,'3. Incentive Adjustment'!A:A,tbl_Data_old[[#This Row],[Trimmed Sector]],'3. Incentive Adjustment'!B:B,tbl_Data_old[[#This Row],[Trimmed Measure Name]])</f>
        <v>0.36456477469769399</v>
      </c>
      <c r="AI67">
        <f>$AH67*tbl_Data_old[[#This Row],[2025 ]]</f>
        <v>1.9342426195017046</v>
      </c>
      <c r="AJ67">
        <f>$AH67*tbl_Data_old[[#This Row],[2026 ]]</f>
        <v>3.8065000900030732</v>
      </c>
      <c r="AK67">
        <f>$AH67*tbl_Data_old[[#This Row],[2027 ]]</f>
        <v>5.6204793917231282</v>
      </c>
      <c r="AL67">
        <f>$AH67*tbl_Data_old[[#This Row],[2028 ]]</f>
        <v>7.3817231058024575</v>
      </c>
      <c r="AM67">
        <f>$AH67*tbl_Data_old[[#This Row],[2029 ]]</f>
        <v>9.0943543039155479</v>
      </c>
      <c r="AN67">
        <f>$AH67*tbl_Data_old[[#This Row],[2030 ]]</f>
        <v>10.756910693756927</v>
      </c>
      <c r="AO67">
        <f>$AH67*tbl_Data_old[[#This Row],[2031 ]]</f>
        <v>12.37962015248411</v>
      </c>
      <c r="AP67">
        <f>$AH67*tbl_Data_old[[#This Row],[2032 ]]</f>
        <v>13.973562101057491</v>
      </c>
      <c r="AQ67">
        <f>$AH67*tbl_Data_old[[#This Row],[2033 ]]</f>
        <v>15.548086412977627</v>
      </c>
      <c r="AR67">
        <f>$AH67*tbl_Data_old[[#This Row],[2034 ]]</f>
        <v>17.110751694365231</v>
      </c>
      <c r="AS67">
        <f>SUM(tbl_Data_old[[#This Row],[Adjusted 2025]:[Adjusted 2034]])</f>
        <v>97.606230565587296</v>
      </c>
      <c r="AT67" s="3">
        <f>AVERAGEIFS('3. Incentive Adjustment'!F:F,'3. Incentive Adjustment'!A:A,tbl_Data_old[[#This Row],[Trimmed Sector]],'3. Incentive Adjustment'!B:B,tbl_Data_old[[#This Row],[Trimmed Measure Name]])</f>
        <v>100</v>
      </c>
      <c r="AU67" s="3">
        <f>IFERROR(VLOOKUP(tbl_Data_old[[#This Row],[All_Meas_Name_Append]],'IRA Tax Credits'!$A$3:$D$46,4,0),0)</f>
        <v>0</v>
      </c>
      <c r="AV67" s="4">
        <f>tbl_Data_old[[#This Row],[Adj. per unit Incentive ($)]]/tbl_Data_old[[#This Row],[kWh Savings]]*tbl_Data_old[[#This Row],[Sum of Annuals]]</f>
        <v>10.423005025958384</v>
      </c>
      <c r="AW67" s="4">
        <f>IFERROR(VLOOKUP(tbl_Data_old[[#This Row],[All_Programs]],'1. Set Program Names'!$B$2:$D$15,3,0)*tbl_Data_old[[#This Row],[Sum of Annuals]],"")</f>
        <v>43.517117544328386</v>
      </c>
      <c r="AX67" s="4">
        <f>tbl_Data_old[[#This Row],[per unit IRA tax ($)]]/tbl_Data_old[[#This Row],[kWh Savings]]*tbl_Data_old[[#This Row],[Sum of Annuals]]</f>
        <v>0</v>
      </c>
      <c r="AY67" s="4">
        <f>tbl_Data_old[[#This Row],[Avoided Costs ($/unit)]]/tbl_Data_old[[#This Row],[kWh Savings]]*tbl_Data_old[[#This Row],[Sum of Annuals]]</f>
        <v>79.622132001626582</v>
      </c>
      <c r="AZ67" s="4">
        <f>tbl_Data_old[[#This Row],[Lost Revenue ($/unit)]]/tbl_Data_old[[#This Row],[kWh Savings]]*tbl_Data_old[[#This Row],[Sum of Annuals]]</f>
        <v>147.53925931147066</v>
      </c>
      <c r="BA67" s="4">
        <f>tbl_Data_old[[#This Row],[Incremental Cost ($/unit)]]/tbl_Data_old[[#This Row],[kWh Savings]]*tbl_Data_old[[#This Row],[Sum of Annuals]]</f>
        <v>71.398626724148329</v>
      </c>
      <c r="BB67">
        <f>ROUNDUP(tbl_Data_old[[#This Row],[Adjusted 2025]]/$L67,0)</f>
        <v>1</v>
      </c>
      <c r="BC67">
        <f>ROUNDUP(tbl_Data_old[[#This Row],[Adjusted 2026]]/$L67,0)</f>
        <v>1</v>
      </c>
      <c r="BD67">
        <f>ROUNDUP(tbl_Data_old[[#This Row],[Adjusted 2027]]/$L67,0)</f>
        <v>1</v>
      </c>
      <c r="BE67">
        <f>ROUNDUP(tbl_Data_old[[#This Row],[Adjusted 2028]]/$L67,0)</f>
        <v>1</v>
      </c>
      <c r="BF67">
        <f>ROUNDUP(tbl_Data_old[[#This Row],[Adjusted 2029]]/$L67,0)</f>
        <v>1</v>
      </c>
      <c r="BG67">
        <f>ROUNDUP(tbl_Data_old[[#This Row],[Adjusted 2030]]/$L67,0)</f>
        <v>1</v>
      </c>
      <c r="BH67">
        <f>ROUNDUP(tbl_Data_old[[#This Row],[Adjusted 2031]]/$L67,0)</f>
        <v>1</v>
      </c>
      <c r="BI67">
        <f>ROUNDUP(tbl_Data_old[[#This Row],[Adjusted 2032]]/$L67,0)</f>
        <v>1</v>
      </c>
      <c r="BJ67">
        <f>ROUNDUP(tbl_Data_old[[#This Row],[Adjusted 2033]]/$L67,0)</f>
        <v>1</v>
      </c>
      <c r="BK67">
        <f>ROUNDUP(tbl_Data_old[[#This Row],[Adjusted 2034]]/$L67,0)</f>
        <v>1</v>
      </c>
      <c r="BL67" s="3">
        <f t="shared" si="4"/>
        <v>0.56656749005279194</v>
      </c>
      <c r="BM67">
        <f t="shared" si="4"/>
        <v>1.1149786382198301</v>
      </c>
      <c r="BN67">
        <f t="shared" si="4"/>
        <v>1.6463192723373909</v>
      </c>
      <c r="BO67">
        <f t="shared" si="4"/>
        <v>2.1622128941593783</v>
      </c>
      <c r="BP67">
        <f t="shared" si="4"/>
        <v>2.6638672106954351</v>
      </c>
      <c r="BQ67">
        <f t="shared" si="3"/>
        <v>3.1508538954921561</v>
      </c>
      <c r="BR67">
        <f t="shared" si="3"/>
        <v>3.6261688409113777</v>
      </c>
      <c r="BS67">
        <f t="shared" si="3"/>
        <v>4.0930573687454528</v>
      </c>
      <c r="BT67">
        <f t="shared" si="3"/>
        <v>4.5542581914537781</v>
      </c>
      <c r="BU67">
        <f t="shared" si="3"/>
        <v>5.011985333510288</v>
      </c>
      <c r="BV67">
        <f>VLOOKUP($H67,'1. Set Program Names'!$B$2:$D$15,3,0)*V67</f>
        <v>2.365477518241474</v>
      </c>
      <c r="BW67">
        <f>VLOOKUP($H67,'1. Set Program Names'!$B$2:$D$15,3,0)*W67</f>
        <v>4.6551504425055308</v>
      </c>
      <c r="BX67">
        <f>VLOOKUP($H67,'1. Set Program Names'!$B$2:$D$15,3,0)*X67</f>
        <v>6.8735522156396458</v>
      </c>
      <c r="BY67">
        <f>VLOOKUP($H67,'1. Set Program Names'!$B$2:$D$15,3,0)*Y67</f>
        <v>9.0274611243741933</v>
      </c>
      <c r="BZ67">
        <f>VLOOKUP($H67,'1. Set Program Names'!$B$2:$D$15,3,0)*Z67</f>
        <v>11.12191946963552</v>
      </c>
      <c r="CA67">
        <f>VLOOKUP($H67,'1. Set Program Names'!$B$2:$D$15,3,0)*AA67</f>
        <v>13.155138944445579</v>
      </c>
      <c r="CB67">
        <f>VLOOKUP($H67,'1. Set Program Names'!$B$2:$D$15,3,0)*AB67</f>
        <v>15.139627707414624</v>
      </c>
      <c r="CC67">
        <f>VLOOKUP($H67,'1. Set Program Names'!$B$2:$D$15,3,0)*AC67</f>
        <v>17.088935310668486</v>
      </c>
      <c r="CD67">
        <f>VLOOKUP($H67,'1. Set Program Names'!$B$2:$D$15,3,0)*AD67</f>
        <v>19.014496160284761</v>
      </c>
      <c r="CE67">
        <f>VLOOKUP($H67,'1. Set Program Names'!$B$2:$D$15,3,0)*AE67</f>
        <v>20.925554036059999</v>
      </c>
    </row>
    <row r="68" spans="1:83" x14ac:dyDescent="0.25">
      <c r="A68" s="20" t="s">
        <v>117</v>
      </c>
      <c r="B68" s="20" t="s">
        <v>88</v>
      </c>
      <c r="C68" s="20" t="s">
        <v>89</v>
      </c>
      <c r="D68" s="20" t="s">
        <v>90</v>
      </c>
      <c r="E68" s="20" t="s">
        <v>91</v>
      </c>
      <c r="F68" s="20" t="s">
        <v>90</v>
      </c>
      <c r="G68" s="20" t="s">
        <v>92</v>
      </c>
      <c r="H68" s="20" t="s">
        <v>5</v>
      </c>
      <c r="I68" s="20" t="s">
        <v>297</v>
      </c>
      <c r="J68" s="20" t="s">
        <v>97</v>
      </c>
      <c r="K68" s="20" t="s">
        <v>298</v>
      </c>
      <c r="L68" s="20">
        <v>57.93</v>
      </c>
      <c r="M68" s="20">
        <v>0</v>
      </c>
      <c r="N68" s="20">
        <v>1.1014721785810099E-2</v>
      </c>
      <c r="O68" s="53">
        <v>154.1011072</v>
      </c>
      <c r="P68" s="20">
        <v>140.06582681793901</v>
      </c>
      <c r="Q68" s="20">
        <v>17.218481543887101</v>
      </c>
      <c r="R68" s="20">
        <v>46.999759951794701</v>
      </c>
      <c r="S68" s="20">
        <v>87.565611768711094</v>
      </c>
      <c r="T68" s="20">
        <v>20</v>
      </c>
      <c r="U68" s="20">
        <v>0.8</v>
      </c>
      <c r="V68" s="20">
        <v>0.231233185341991</v>
      </c>
      <c r="W68" s="20">
        <v>0.44637017089275099</v>
      </c>
      <c r="X68" s="20">
        <v>0.64577914898915001</v>
      </c>
      <c r="Y68" s="20">
        <v>0.83020195451258405</v>
      </c>
      <c r="Z68" s="20">
        <v>1.00035145657257</v>
      </c>
      <c r="AA68" s="20">
        <v>1.1565118910763399</v>
      </c>
      <c r="AB68" s="20">
        <v>1.30015407724939</v>
      </c>
      <c r="AC68" s="20">
        <v>1.4327514828790999</v>
      </c>
      <c r="AD68" s="20">
        <v>1.5555392547865801</v>
      </c>
      <c r="AE68" s="20">
        <v>1.66953124517912</v>
      </c>
      <c r="AF68" t="str">
        <f t="shared" si="5"/>
        <v>Residential</v>
      </c>
      <c r="AG68" t="str">
        <f>tbl_Data_old[[#This Row],[All_Meas_Name_Append]]</f>
        <v>Energy Star Windows Residential</v>
      </c>
      <c r="AH68">
        <f>AVERAGEIFS('3. Incentive Adjustment'!G:G,'3. Incentive Adjustment'!A:A,tbl_Data_old[[#This Row],[Trimmed Sector]],'3. Incentive Adjustment'!B:B,tbl_Data_old[[#This Row],[Trimmed Measure Name]])</f>
        <v>1.5721893920937398</v>
      </c>
      <c r="AI68">
        <f>$AH68*tbl_Data_old[[#This Row],[2025 ]]</f>
        <v>0.36354236109472388</v>
      </c>
      <c r="AJ68">
        <f>$AH68*tbl_Data_old[[#This Row],[2026 ]]</f>
        <v>0.70177844762465291</v>
      </c>
      <c r="AK68">
        <f>$AH68*tbl_Data_old[[#This Row],[2027 ]]</f>
        <v>1.0152871276760644</v>
      </c>
      <c r="AL68">
        <f>$AH68*tbl_Data_old[[#This Row],[2028 ]]</f>
        <v>1.3052347061801741</v>
      </c>
      <c r="AM68">
        <f>$AH68*tbl_Data_old[[#This Row],[2029 ]]</f>
        <v>1.5727419483889158</v>
      </c>
      <c r="AN68">
        <f>$AH68*tbl_Data_old[[#This Row],[2030 ]]</f>
        <v>1.8182557269804922</v>
      </c>
      <c r="AO68">
        <f>$AH68*tbl_Data_old[[#This Row],[2031 ]]</f>
        <v>2.0440884483389157</v>
      </c>
      <c r="AP68">
        <f>$AH68*tbl_Data_old[[#This Row],[2032 ]]</f>
        <v>2.2525566828890962</v>
      </c>
      <c r="AQ68">
        <f>$AH68*tbl_Data_old[[#This Row],[2033 ]]</f>
        <v>2.4456023153608624</v>
      </c>
      <c r="AR68">
        <f>$AH68*tbl_Data_old[[#This Row],[2034 ]]</f>
        <v>2.6248193134396649</v>
      </c>
      <c r="AS68">
        <f>SUM(tbl_Data_old[[#This Row],[Adjusted 2025]:[Adjusted 2034]])</f>
        <v>16.143907077973562</v>
      </c>
      <c r="AT68" s="3">
        <f>AVERAGEIFS('3. Incentive Adjustment'!F:F,'3. Incentive Adjustment'!A:A,tbl_Data_old[[#This Row],[Trimmed Sector]],'3. Incentive Adjustment'!B:B,tbl_Data_old[[#This Row],[Trimmed Measure Name]])</f>
        <v>150</v>
      </c>
      <c r="AU68" s="3">
        <f>IFERROR(VLOOKUP(tbl_Data_old[[#This Row],[All_Meas_Name_Append]],'IRA Tax Credits'!$A$3:$D$46,4,0),0)</f>
        <v>0</v>
      </c>
      <c r="AV68" s="4">
        <f>tbl_Data_old[[#This Row],[Adj. per unit Incentive ($)]]/tbl_Data_old[[#This Row],[kWh Savings]]*tbl_Data_old[[#This Row],[Sum of Annuals]]</f>
        <v>41.801934432867846</v>
      </c>
      <c r="AW68" s="4">
        <f>IFERROR(VLOOKUP(tbl_Data_old[[#This Row],[All_Programs]],'1. Set Program Names'!$B$2:$D$15,3,0)*tbl_Data_old[[#This Row],[Sum of Annuals]],"")</f>
        <v>7.197658365311173</v>
      </c>
      <c r="AX68" s="4">
        <f>tbl_Data_old[[#This Row],[per unit IRA tax ($)]]/tbl_Data_old[[#This Row],[kWh Savings]]*tbl_Data_old[[#This Row],[Sum of Annuals]]</f>
        <v>0</v>
      </c>
      <c r="AY68" s="4">
        <f>tbl_Data_old[[#This Row],[Avoided Costs ($/unit)]]/tbl_Data_old[[#This Row],[kWh Savings]]*tbl_Data_old[[#This Row],[Sum of Annuals]]</f>
        <v>13.097872559103001</v>
      </c>
      <c r="AZ68" s="4">
        <f>tbl_Data_old[[#This Row],[Lost Revenue ($/unit)]]/tbl_Data_old[[#This Row],[kWh Savings]]*tbl_Data_old[[#This Row],[Sum of Annuals]]</f>
        <v>24.402746411530817</v>
      </c>
      <c r="BA68" s="4">
        <f>tbl_Data_old[[#This Row],[Incremental Cost ($/unit)]]/tbl_Data_old[[#This Row],[kWh Savings]]*tbl_Data_old[[#This Row],[Sum of Annuals]]</f>
        <v>42.944829194711595</v>
      </c>
      <c r="BB68">
        <f>ROUNDUP(tbl_Data_old[[#This Row],[Adjusted 2025]]/$L68,0)</f>
        <v>1</v>
      </c>
      <c r="BC68">
        <f>ROUNDUP(tbl_Data_old[[#This Row],[Adjusted 2026]]/$L68,0)</f>
        <v>1</v>
      </c>
      <c r="BD68">
        <f>ROUNDUP(tbl_Data_old[[#This Row],[Adjusted 2027]]/$L68,0)</f>
        <v>1</v>
      </c>
      <c r="BE68">
        <f>ROUNDUP(tbl_Data_old[[#This Row],[Adjusted 2028]]/$L68,0)</f>
        <v>1</v>
      </c>
      <c r="BF68">
        <f>ROUNDUP(tbl_Data_old[[#This Row],[Adjusted 2029]]/$L68,0)</f>
        <v>1</v>
      </c>
      <c r="BG68">
        <f>ROUNDUP(tbl_Data_old[[#This Row],[Adjusted 2030]]/$L68,0)</f>
        <v>1</v>
      </c>
      <c r="BH68">
        <f>ROUNDUP(tbl_Data_old[[#This Row],[Adjusted 2031]]/$L68,0)</f>
        <v>1</v>
      </c>
      <c r="BI68">
        <f>ROUNDUP(tbl_Data_old[[#This Row],[Adjusted 2032]]/$L68,0)</f>
        <v>1</v>
      </c>
      <c r="BJ68">
        <f>ROUNDUP(tbl_Data_old[[#This Row],[Adjusted 2033]]/$L68,0)</f>
        <v>1</v>
      </c>
      <c r="BK68">
        <f>ROUNDUP(tbl_Data_old[[#This Row],[Adjusted 2034]]/$L68,0)</f>
        <v>1</v>
      </c>
      <c r="BL68" s="3">
        <f t="shared" si="4"/>
        <v>0.59873947525114191</v>
      </c>
      <c r="BM68">
        <f t="shared" si="4"/>
        <v>1.1558005460713388</v>
      </c>
      <c r="BN68">
        <f t="shared" si="4"/>
        <v>1.6721365846430607</v>
      </c>
      <c r="BO68">
        <f t="shared" si="4"/>
        <v>2.1496684477280787</v>
      </c>
      <c r="BP68">
        <f t="shared" si="4"/>
        <v>2.5902419900895133</v>
      </c>
      <c r="BQ68">
        <f t="shared" si="3"/>
        <v>2.9945931928439666</v>
      </c>
      <c r="BR68">
        <f t="shared" si="3"/>
        <v>3.3665304952081563</v>
      </c>
      <c r="BS68">
        <f t="shared" si="3"/>
        <v>3.7098691944047126</v>
      </c>
      <c r="BT68">
        <f t="shared" si="3"/>
        <v>4.0278074955633869</v>
      </c>
      <c r="BU68">
        <f t="shared" si="3"/>
        <v>4.3229705985994817</v>
      </c>
      <c r="BV68">
        <f>VLOOKUP($H68,'1. Set Program Names'!$B$2:$D$15,3,0)*V68</f>
        <v>0.10309384604208485</v>
      </c>
      <c r="BW68">
        <f>VLOOKUP($H68,'1. Set Program Names'!$B$2:$D$15,3,0)*W68</f>
        <v>0.19901130370944076</v>
      </c>
      <c r="BX68">
        <f>VLOOKUP($H68,'1. Set Program Names'!$B$2:$D$15,3,0)*X68</f>
        <v>0.28791652921535094</v>
      </c>
      <c r="BY68">
        <f>VLOOKUP($H68,'1. Set Program Names'!$B$2:$D$15,3,0)*Y68</f>
        <v>0.37014026492682545</v>
      </c>
      <c r="BZ68">
        <f>VLOOKUP($H68,'1. Set Program Names'!$B$2:$D$15,3,0)*Z68</f>
        <v>0.44600033900557901</v>
      </c>
      <c r="CA68">
        <f>VLOOKUP($H68,'1. Set Program Names'!$B$2:$D$15,3,0)*AA68</f>
        <v>0.51562347622434046</v>
      </c>
      <c r="CB68">
        <f>VLOOKUP($H68,'1. Set Program Names'!$B$2:$D$15,3,0)*AB68</f>
        <v>0.57966543198675036</v>
      </c>
      <c r="CC68">
        <f>VLOOKUP($H68,'1. Set Program Names'!$B$2:$D$15,3,0)*AC68</f>
        <v>0.6387831425409316</v>
      </c>
      <c r="CD68">
        <f>VLOOKUP($H68,'1. Set Program Names'!$B$2:$D$15,3,0)*AD68</f>
        <v>0.69352729024688653</v>
      </c>
      <c r="CE68">
        <f>VLOOKUP($H68,'1. Set Program Names'!$B$2:$D$15,3,0)*AE68</f>
        <v>0.74434989466752122</v>
      </c>
    </row>
    <row r="69" spans="1:83" x14ac:dyDescent="0.25">
      <c r="A69" s="20" t="s">
        <v>117</v>
      </c>
      <c r="B69" s="20" t="s">
        <v>88</v>
      </c>
      <c r="C69" s="20" t="s">
        <v>89</v>
      </c>
      <c r="D69" s="20" t="s">
        <v>90</v>
      </c>
      <c r="E69" s="20" t="s">
        <v>91</v>
      </c>
      <c r="F69" s="20" t="s">
        <v>90</v>
      </c>
      <c r="G69" s="20" t="s">
        <v>92</v>
      </c>
      <c r="H69" s="20" t="s">
        <v>5</v>
      </c>
      <c r="I69" s="20" t="s">
        <v>107</v>
      </c>
      <c r="J69" s="20" t="s">
        <v>94</v>
      </c>
      <c r="K69" s="20" t="s">
        <v>108</v>
      </c>
      <c r="L69" s="20">
        <v>1663.1099999999899</v>
      </c>
      <c r="M69" s="20">
        <v>6.6647595975018806E-2</v>
      </c>
      <c r="N69" s="20">
        <v>0.309148293753995</v>
      </c>
      <c r="O69" s="20">
        <v>1389.5</v>
      </c>
      <c r="P69" s="20">
        <v>988.78817699699403</v>
      </c>
      <c r="Q69" s="20">
        <v>494.32468221049697</v>
      </c>
      <c r="R69" s="20">
        <v>791.96156853290995</v>
      </c>
      <c r="S69" s="20">
        <v>2127.4894292214699</v>
      </c>
      <c r="T69" s="20">
        <v>15</v>
      </c>
      <c r="U69" s="20">
        <v>0.7</v>
      </c>
      <c r="V69" s="20">
        <v>11.3237316421546</v>
      </c>
      <c r="W69" s="20">
        <v>23.917053928600701</v>
      </c>
      <c r="X69" s="20">
        <v>37.680345404287202</v>
      </c>
      <c r="Y69" s="20">
        <v>52.5498522574593</v>
      </c>
      <c r="Z69" s="20">
        <v>68.472580989464703</v>
      </c>
      <c r="AA69" s="20">
        <v>85.358201996544494</v>
      </c>
      <c r="AB69" s="20">
        <v>103.249331338508</v>
      </c>
      <c r="AC69" s="20">
        <v>122.232718688482</v>
      </c>
      <c r="AD69" s="20">
        <v>142.40948889238601</v>
      </c>
      <c r="AE69" s="20">
        <v>163.888810822045</v>
      </c>
      <c r="AF69" t="str">
        <f t="shared" si="5"/>
        <v>Residential</v>
      </c>
      <c r="AG69" t="str">
        <f>tbl_Data_old[[#This Row],[All_Meas_Name_Append]]</f>
        <v>Heat Pump Water Heater 50 Gallons- CEE Advanced Tier</v>
      </c>
      <c r="AH69">
        <f>AVERAGEIFS('3. Incentive Adjustment'!G:G,'3. Incentive Adjustment'!A:A,tbl_Data_old[[#This Row],[Trimmed Sector]],'3. Incentive Adjustment'!B:B,tbl_Data_old[[#This Row],[Trimmed Measure Name]])</f>
        <v>0.46049099596140497</v>
      </c>
      <c r="AI69">
        <f>$AH69*tbl_Data_old[[#This Row],[2025 ]]</f>
        <v>5.2144764618954476</v>
      </c>
      <c r="AJ69">
        <f>$AH69*tbl_Data_old[[#This Row],[2026 ]]</f>
        <v>11.013587984043971</v>
      </c>
      <c r="AK69">
        <f>$AH69*tbl_Data_old[[#This Row],[2027 ]]</f>
        <v>17.351459783389963</v>
      </c>
      <c r="AL69">
        <f>$AH69*tbl_Data_old[[#This Row],[2028 ]]</f>
        <v>24.198733803662119</v>
      </c>
      <c r="AM69">
        <f>$AH69*tbl_Data_old[[#This Row],[2029 ]]</f>
        <v>31.531007015886566</v>
      </c>
      <c r="AN69">
        <f>$AH69*tbl_Data_old[[#This Row],[2030 ]]</f>
        <v>39.306683450863559</v>
      </c>
      <c r="AO69">
        <f>$AH69*tbl_Data_old[[#This Row],[2031 ]]</f>
        <v>47.545387420418649</v>
      </c>
      <c r="AP69">
        <f>$AH69*tbl_Data_old[[#This Row],[2032 ]]</f>
        <v>56.287066367929313</v>
      </c>
      <c r="AQ69">
        <f>$AH69*tbl_Data_old[[#This Row],[2033 ]]</f>
        <v>65.57828737440947</v>
      </c>
      <c r="AR69">
        <f>$AH69*tbl_Data_old[[#This Row],[2034 ]]</f>
        <v>75.469321722373792</v>
      </c>
      <c r="AS69">
        <f>SUM(tbl_Data_old[[#This Row],[Adjusted 2025]:[Adjusted 2034]])</f>
        <v>373.49601138487287</v>
      </c>
      <c r="AT69" s="3">
        <f>AVERAGEIFS('3. Incentive Adjustment'!F:F,'3. Incentive Adjustment'!A:A,tbl_Data_old[[#This Row],[Trimmed Sector]],'3. Incentive Adjustment'!B:B,tbl_Data_old[[#This Row],[Trimmed Measure Name]])</f>
        <v>500</v>
      </c>
      <c r="AU69" s="3">
        <f>IFERROR(VLOOKUP(tbl_Data_old[[#This Row],[All_Meas_Name_Append]],'IRA Tax Credits'!$A$3:$D$46,4,0),0)</f>
        <v>1666.6666666666667</v>
      </c>
      <c r="AV69" s="4">
        <f>tbl_Data_old[[#This Row],[Adj. per unit Incentive ($)]]/tbl_Data_old[[#This Row],[kWh Savings]]*tbl_Data_old[[#This Row],[Sum of Annuals]]</f>
        <v>112.28842691850664</v>
      </c>
      <c r="AW69" s="4">
        <f>IFERROR(VLOOKUP(tbl_Data_old[[#This Row],[All_Programs]],'1. Set Program Names'!$B$2:$D$15,3,0)*tbl_Data_old[[#This Row],[Sum of Annuals]],"")</f>
        <v>166.52082285722196</v>
      </c>
      <c r="AX69" s="4">
        <f>tbl_Data_old[[#This Row],[per unit IRA tax ($)]]/tbl_Data_old[[#This Row],[kWh Savings]]*tbl_Data_old[[#This Row],[Sum of Annuals]]</f>
        <v>374.29475639502215</v>
      </c>
      <c r="AY69" s="4">
        <f>tbl_Data_old[[#This Row],[Avoided Costs ($/unit)]]/tbl_Data_old[[#This Row],[kWh Savings]]*tbl_Data_old[[#This Row],[Sum of Annuals]]</f>
        <v>177.85623742094708</v>
      </c>
      <c r="AZ69" s="4">
        <f>tbl_Data_old[[#This Row],[Lost Revenue ($/unit)]]/tbl_Data_old[[#This Row],[kWh Savings]]*tbl_Data_old[[#This Row],[Sum of Annuals]]</f>
        <v>477.7848825860608</v>
      </c>
      <c r="BA69" s="4">
        <f>tbl_Data_old[[#This Row],[Incremental Cost ($/unit)]]/tbl_Data_old[[#This Row],[kWh Savings]]*tbl_Data_old[[#This Row],[Sum of Annuals]]</f>
        <v>312.0495384065299</v>
      </c>
      <c r="BB69">
        <f>ROUNDUP(tbl_Data_old[[#This Row],[Adjusted 2025]]/$L69,0)</f>
        <v>1</v>
      </c>
      <c r="BC69">
        <f>ROUNDUP(tbl_Data_old[[#This Row],[Adjusted 2026]]/$L69,0)</f>
        <v>1</v>
      </c>
      <c r="BD69">
        <f>ROUNDUP(tbl_Data_old[[#This Row],[Adjusted 2027]]/$L69,0)</f>
        <v>1</v>
      </c>
      <c r="BE69">
        <f>ROUNDUP(tbl_Data_old[[#This Row],[Adjusted 2028]]/$L69,0)</f>
        <v>1</v>
      </c>
      <c r="BF69">
        <f>ROUNDUP(tbl_Data_old[[#This Row],[Adjusted 2029]]/$L69,0)</f>
        <v>1</v>
      </c>
      <c r="BG69">
        <f>ROUNDUP(tbl_Data_old[[#This Row],[Adjusted 2030]]/$L69,0)</f>
        <v>1</v>
      </c>
      <c r="BH69">
        <f>ROUNDUP(tbl_Data_old[[#This Row],[Adjusted 2031]]/$L69,0)</f>
        <v>1</v>
      </c>
      <c r="BI69">
        <f>ROUNDUP(tbl_Data_old[[#This Row],[Adjusted 2032]]/$L69,0)</f>
        <v>1</v>
      </c>
      <c r="BJ69">
        <f>ROUNDUP(tbl_Data_old[[#This Row],[Adjusted 2033]]/$L69,0)</f>
        <v>1</v>
      </c>
      <c r="BK69">
        <f>ROUNDUP(tbl_Data_old[[#This Row],[Adjusted 2034]]/$L69,0)</f>
        <v>1</v>
      </c>
      <c r="BL69" s="3">
        <f t="shared" si="4"/>
        <v>3.4043844490606965</v>
      </c>
      <c r="BM69">
        <f t="shared" si="4"/>
        <v>7.1904606215466353</v>
      </c>
      <c r="BN69">
        <f t="shared" si="4"/>
        <v>11.328278166894382</v>
      </c>
      <c r="BO69">
        <f t="shared" si="4"/>
        <v>15.798670039101328</v>
      </c>
      <c r="BP69">
        <f t="shared" si="4"/>
        <v>20.585704189580099</v>
      </c>
      <c r="BQ69">
        <f t="shared" si="3"/>
        <v>25.662223784519671</v>
      </c>
      <c r="BR69">
        <f t="shared" si="3"/>
        <v>31.041040983010333</v>
      </c>
      <c r="BS69">
        <f t="shared" si="3"/>
        <v>36.748236342900576</v>
      </c>
      <c r="BT69">
        <f t="shared" si="3"/>
        <v>42.814212196543487</v>
      </c>
      <c r="BU69">
        <f t="shared" si="3"/>
        <v>49.27178924486234</v>
      </c>
      <c r="BV69">
        <f>VLOOKUP($H69,'1. Set Program Names'!$B$2:$D$15,3,0)*V69</f>
        <v>5.0486137827128514</v>
      </c>
      <c r="BW69">
        <f>VLOOKUP($H69,'1. Set Program Names'!$B$2:$D$15,3,0)*W69</f>
        <v>10.663266485079381</v>
      </c>
      <c r="BX69">
        <f>VLOOKUP($H69,'1. Set Program Names'!$B$2:$D$15,3,0)*X69</f>
        <v>16.799542514526504</v>
      </c>
      <c r="BY69">
        <f>VLOOKUP($H69,'1. Set Program Names'!$B$2:$D$15,3,0)*Y69</f>
        <v>23.429017639281753</v>
      </c>
      <c r="BZ69">
        <f>VLOOKUP($H69,'1. Set Program Names'!$B$2:$D$15,3,0)*Z69</f>
        <v>30.528065044780391</v>
      </c>
      <c r="CA69">
        <f>VLOOKUP($H69,'1. Set Program Names'!$B$2:$D$15,3,0)*AA69</f>
        <v>38.056411851291969</v>
      </c>
      <c r="CB69">
        <f>VLOOKUP($H69,'1. Set Program Names'!$B$2:$D$15,3,0)*AB69</f>
        <v>46.033058158228712</v>
      </c>
      <c r="CC69">
        <f>VLOOKUP($H69,'1. Set Program Names'!$B$2:$D$15,3,0)*AC69</f>
        <v>54.496680756001595</v>
      </c>
      <c r="CD69">
        <f>VLOOKUP($H69,'1. Set Program Names'!$B$2:$D$15,3,0)*AD69</f>
        <v>63.492365514447329</v>
      </c>
      <c r="CE69">
        <f>VLOOKUP($H69,'1. Set Program Names'!$B$2:$D$15,3,0)*AE69</f>
        <v>73.068784681227356</v>
      </c>
    </row>
    <row r="70" spans="1:83" x14ac:dyDescent="0.25">
      <c r="A70" s="20" t="s">
        <v>117</v>
      </c>
      <c r="B70" s="20" t="s">
        <v>88</v>
      </c>
      <c r="C70" s="20" t="s">
        <v>89</v>
      </c>
      <c r="D70" s="20" t="s">
        <v>90</v>
      </c>
      <c r="E70" s="20" t="s">
        <v>91</v>
      </c>
      <c r="F70" s="20" t="s">
        <v>90</v>
      </c>
      <c r="G70" s="20" t="s">
        <v>92</v>
      </c>
      <c r="H70" s="20" t="s">
        <v>5</v>
      </c>
      <c r="I70" s="20" t="s">
        <v>109</v>
      </c>
      <c r="J70" s="20" t="s">
        <v>94</v>
      </c>
      <c r="K70" s="20" t="s">
        <v>95</v>
      </c>
      <c r="L70" s="20">
        <v>1590.11499999999</v>
      </c>
      <c r="M70" s="20">
        <v>6.3722388822036402E-2</v>
      </c>
      <c r="N70" s="20">
        <v>0.29557957027655002</v>
      </c>
      <c r="O70" s="20">
        <v>1389.5</v>
      </c>
      <c r="P70" s="20">
        <v>1006.47372867305</v>
      </c>
      <c r="Q70" s="20">
        <v>472.62844433209199</v>
      </c>
      <c r="R70" s="20">
        <v>757.20185047754296</v>
      </c>
      <c r="S70" s="20">
        <v>2034.1125083407001</v>
      </c>
      <c r="T70" s="20">
        <v>15</v>
      </c>
      <c r="U70" s="20">
        <v>0.7</v>
      </c>
      <c r="V70" s="20">
        <v>16.182437277644102</v>
      </c>
      <c r="W70" s="20">
        <v>34.171833221526697</v>
      </c>
      <c r="X70" s="20">
        <v>53.825270822111598</v>
      </c>
      <c r="Y70" s="20">
        <v>75.051335885201695</v>
      </c>
      <c r="Z70" s="20">
        <v>97.774173104209794</v>
      </c>
      <c r="AA70" s="20">
        <v>121.864813163826</v>
      </c>
      <c r="AB70" s="20">
        <v>147.38407544244001</v>
      </c>
      <c r="AC70" s="20">
        <v>174.45572467561601</v>
      </c>
      <c r="AD70" s="20">
        <v>203.223992945817</v>
      </c>
      <c r="AE70" s="20">
        <v>233.844546936596</v>
      </c>
      <c r="AF70" t="str">
        <f t="shared" si="5"/>
        <v>Residential</v>
      </c>
      <c r="AG70" t="str">
        <f>tbl_Data_old[[#This Row],[All_Meas_Name_Append]]</f>
        <v>Heat Pump Water Heater 50 Gallons-ENERGY STAR</v>
      </c>
      <c r="AH70">
        <f>AVERAGEIFS('3. Incentive Adjustment'!G:G,'3. Incentive Adjustment'!A:A,tbl_Data_old[[#This Row],[Trimmed Sector]],'3. Incentive Adjustment'!B:B,tbl_Data_old[[#This Row],[Trimmed Measure Name]])</f>
        <v>0.43153525594917136</v>
      </c>
      <c r="AI70">
        <f>$AH70*tbl_Data_old[[#This Row],[2025 ]]</f>
        <v>6.9832922124895589</v>
      </c>
      <c r="AJ70">
        <f>$AH70*tbl_Data_old[[#This Row],[2026 ]]</f>
        <v>14.74635079550392</v>
      </c>
      <c r="AK70">
        <f>$AH70*tbl_Data_old[[#This Row],[2027 ]]</f>
        <v>23.227502020753395</v>
      </c>
      <c r="AL70">
        <f>$AH70*tbl_Data_old[[#This Row],[2028 ]]</f>
        <v>32.387297440547741</v>
      </c>
      <c r="AM70">
        <f>$AH70*tbl_Data_old[[#This Row],[2029 ]]</f>
        <v>42.19300281574376</v>
      </c>
      <c r="AN70">
        <f>$AH70*tbl_Data_old[[#This Row],[2030 ]]</f>
        <v>52.588963339849599</v>
      </c>
      <c r="AO70">
        <f>$AH70*tbl_Data_old[[#This Row],[2031 ]]</f>
        <v>63.601424718885326</v>
      </c>
      <c r="AP70">
        <f>$AH70*tbl_Data_old[[#This Row],[2032 ]]</f>
        <v>75.283795799690125</v>
      </c>
      <c r="AQ70">
        <f>$AH70*tbl_Data_old[[#This Row],[2033 ]]</f>
        <v>87.69831781088574</v>
      </c>
      <c r="AR70">
        <f>$AH70*tbl_Data_old[[#This Row],[2034 ]]</f>
        <v>100.91216641460197</v>
      </c>
      <c r="AS70">
        <f>SUM(tbl_Data_old[[#This Row],[Adjusted 2025]:[Adjusted 2034]])</f>
        <v>499.62211336895115</v>
      </c>
      <c r="AT70" s="3">
        <f>AVERAGEIFS('3. Incentive Adjustment'!F:F,'3. Incentive Adjustment'!A:A,tbl_Data_old[[#This Row],[Trimmed Sector]],'3. Incentive Adjustment'!B:B,tbl_Data_old[[#This Row],[Trimmed Measure Name]])</f>
        <v>500</v>
      </c>
      <c r="AU70" s="3">
        <f>IFERROR(VLOOKUP(tbl_Data_old[[#This Row],[All_Meas_Name_Append]],'IRA Tax Credits'!$A$3:$D$46,4,0),0)</f>
        <v>1666.6666666666667</v>
      </c>
      <c r="AV70" s="4">
        <f>tbl_Data_old[[#This Row],[Adj. per unit Incentive ($)]]/tbl_Data_old[[#This Row],[kWh Savings]]*tbl_Data_old[[#This Row],[Sum of Annuals]]</f>
        <v>157.10250936849042</v>
      </c>
      <c r="AW70" s="4">
        <f>IFERROR(VLOOKUP(tbl_Data_old[[#This Row],[All_Programs]],'1. Set Program Names'!$B$2:$D$15,3,0)*tbl_Data_old[[#This Row],[Sum of Annuals]],"")</f>
        <v>222.75334381049188</v>
      </c>
      <c r="AX70" s="4">
        <f>tbl_Data_old[[#This Row],[per unit IRA tax ($)]]/tbl_Data_old[[#This Row],[kWh Savings]]*tbl_Data_old[[#This Row],[Sum of Annuals]]</f>
        <v>523.67503122830135</v>
      </c>
      <c r="AY70" s="4">
        <f>tbl_Data_old[[#This Row],[Avoided Costs ($/unit)]]/tbl_Data_old[[#This Row],[kWh Savings]]*tbl_Data_old[[#This Row],[Sum of Annuals]]</f>
        <v>237.91662161697295</v>
      </c>
      <c r="AZ70" s="4">
        <f>tbl_Data_old[[#This Row],[Lost Revenue ($/unit)]]/tbl_Data_old[[#This Row],[kWh Savings]]*tbl_Data_old[[#This Row],[Sum of Annuals]]</f>
        <v>639.12835879631677</v>
      </c>
      <c r="BA70" s="4">
        <f>tbl_Data_old[[#This Row],[Incremental Cost ($/unit)]]/tbl_Data_old[[#This Row],[kWh Savings]]*tbl_Data_old[[#This Row],[Sum of Annuals]]</f>
        <v>436.58787353503487</v>
      </c>
      <c r="BB70">
        <f>ROUNDUP(tbl_Data_old[[#This Row],[Adjusted 2025]]/$L70,0)</f>
        <v>1</v>
      </c>
      <c r="BC70">
        <f>ROUNDUP(tbl_Data_old[[#This Row],[Adjusted 2026]]/$L70,0)</f>
        <v>1</v>
      </c>
      <c r="BD70">
        <f>ROUNDUP(tbl_Data_old[[#This Row],[Adjusted 2027]]/$L70,0)</f>
        <v>1</v>
      </c>
      <c r="BE70">
        <f>ROUNDUP(tbl_Data_old[[#This Row],[Adjusted 2028]]/$L70,0)</f>
        <v>1</v>
      </c>
      <c r="BF70">
        <f>ROUNDUP(tbl_Data_old[[#This Row],[Adjusted 2029]]/$L70,0)</f>
        <v>1</v>
      </c>
      <c r="BG70">
        <f>ROUNDUP(tbl_Data_old[[#This Row],[Adjusted 2030]]/$L70,0)</f>
        <v>1</v>
      </c>
      <c r="BH70">
        <f>ROUNDUP(tbl_Data_old[[#This Row],[Adjusted 2031]]/$L70,0)</f>
        <v>1</v>
      </c>
      <c r="BI70">
        <f>ROUNDUP(tbl_Data_old[[#This Row],[Adjusted 2032]]/$L70,0)</f>
        <v>1</v>
      </c>
      <c r="BJ70">
        <f>ROUNDUP(tbl_Data_old[[#This Row],[Adjusted 2033]]/$L70,0)</f>
        <v>1</v>
      </c>
      <c r="BK70">
        <f>ROUNDUP(tbl_Data_old[[#This Row],[Adjusted 2034]]/$L70,0)</f>
        <v>1</v>
      </c>
      <c r="BL70" s="3">
        <f t="shared" si="4"/>
        <v>5.0884487215214627</v>
      </c>
      <c r="BM70">
        <f t="shared" si="4"/>
        <v>10.745082343581096</v>
      </c>
      <c r="BN70">
        <f t="shared" si="4"/>
        <v>16.924961660669805</v>
      </c>
      <c r="BO70">
        <f t="shared" si="4"/>
        <v>23.599342149845189</v>
      </c>
      <c r="BP70">
        <f t="shared" si="4"/>
        <v>30.744371666266403</v>
      </c>
      <c r="BQ70">
        <f t="shared" si="3"/>
        <v>38.319496754582765</v>
      </c>
      <c r="BR70">
        <f t="shared" si="3"/>
        <v>46.343841622285474</v>
      </c>
      <c r="BS70">
        <f t="shared" si="3"/>
        <v>54.856323182794043</v>
      </c>
      <c r="BT70">
        <f t="shared" si="3"/>
        <v>63.90229415665479</v>
      </c>
      <c r="BU70">
        <f t="shared" si="3"/>
        <v>73.530702790866528</v>
      </c>
      <c r="BV70">
        <f>VLOOKUP($H70,'1. Set Program Names'!$B$2:$D$15,3,0)*V70</f>
        <v>7.2148368099489115</v>
      </c>
      <c r="BW70">
        <f>VLOOKUP($H70,'1. Set Program Names'!$B$2:$D$15,3,0)*W70</f>
        <v>15.235294656800841</v>
      </c>
      <c r="BX70">
        <f>VLOOKUP($H70,'1. Set Program Names'!$B$2:$D$15,3,0)*X70</f>
        <v>23.997654900187936</v>
      </c>
      <c r="BY70">
        <f>VLOOKUP($H70,'1. Set Program Names'!$B$2:$D$15,3,0)*Y70</f>
        <v>33.461161102626193</v>
      </c>
      <c r="BZ70">
        <f>VLOOKUP($H70,'1. Set Program Names'!$B$2:$D$15,3,0)*Z70</f>
        <v>43.591993657785274</v>
      </c>
      <c r="CA70">
        <f>VLOOKUP($H70,'1. Set Program Names'!$B$2:$D$15,3,0)*AA70</f>
        <v>54.332652416121135</v>
      </c>
      <c r="CB70">
        <f>VLOOKUP($H70,'1. Set Program Names'!$B$2:$D$15,3,0)*AB70</f>
        <v>65.710253310940701</v>
      </c>
      <c r="CC70">
        <f>VLOOKUP($H70,'1. Set Program Names'!$B$2:$D$15,3,0)*AC70</f>
        <v>77.779976062987018</v>
      </c>
      <c r="CD70">
        <f>VLOOKUP($H70,'1. Set Program Names'!$B$2:$D$15,3,0)*AD70</f>
        <v>90.606125629534176</v>
      </c>
      <c r="CE70">
        <f>VLOOKUP($H70,'1. Set Program Names'!$B$2:$D$15,3,0)*AE70</f>
        <v>104.25810501207766</v>
      </c>
    </row>
    <row r="71" spans="1:83" x14ac:dyDescent="0.25">
      <c r="A71" s="20" t="s">
        <v>117</v>
      </c>
      <c r="B71" s="20" t="s">
        <v>88</v>
      </c>
      <c r="C71" s="20" t="s">
        <v>89</v>
      </c>
      <c r="D71" s="20" t="s">
        <v>90</v>
      </c>
      <c r="E71" s="20" t="s">
        <v>91</v>
      </c>
      <c r="F71" s="20" t="s">
        <v>90</v>
      </c>
      <c r="G71" s="20" t="s">
        <v>92</v>
      </c>
      <c r="H71" s="20" t="s">
        <v>5</v>
      </c>
      <c r="I71" s="20" t="s">
        <v>110</v>
      </c>
      <c r="J71" s="20" t="s">
        <v>94</v>
      </c>
      <c r="K71" s="20" t="s">
        <v>108</v>
      </c>
      <c r="L71" s="20">
        <v>461.909999999999</v>
      </c>
      <c r="M71" s="20">
        <v>1.8510616289253799E-2</v>
      </c>
      <c r="N71" s="20">
        <v>8.5862443475120898E-2</v>
      </c>
      <c r="O71" s="20">
        <v>1729.5</v>
      </c>
      <c r="P71" s="20">
        <v>1631.9996867488601</v>
      </c>
      <c r="Q71" s="20">
        <v>137.29309183388401</v>
      </c>
      <c r="R71" s="20">
        <v>219.958372038552</v>
      </c>
      <c r="S71" s="20">
        <v>590.88613636602201</v>
      </c>
      <c r="T71" s="20">
        <v>15</v>
      </c>
      <c r="U71" s="20">
        <v>0.7</v>
      </c>
      <c r="V71" s="20">
        <v>8.7049149284718901</v>
      </c>
      <c r="W71" s="20">
        <v>18.387517855049499</v>
      </c>
      <c r="X71" s="20">
        <v>28.971340810914501</v>
      </c>
      <c r="Y71" s="20">
        <v>40.407429662532401</v>
      </c>
      <c r="Z71" s="20">
        <v>52.655058960589997</v>
      </c>
      <c r="AA71" s="20">
        <v>65.644745762251702</v>
      </c>
      <c r="AB71" s="20">
        <v>79.409252430154297</v>
      </c>
      <c r="AC71" s="20">
        <v>94.015296263324203</v>
      </c>
      <c r="AD71" s="20">
        <v>109.540661869307</v>
      </c>
      <c r="AE71" s="20">
        <v>126.06933072130199</v>
      </c>
      <c r="AF71" t="str">
        <f t="shared" si="5"/>
        <v>Residential</v>
      </c>
      <c r="AG71" t="str">
        <f>tbl_Data_old[[#This Row],[All_Meas_Name_Append]]</f>
        <v>Heat Pump Water Heater 80 Gallons-ENERGY STAR</v>
      </c>
      <c r="AH71">
        <f>AVERAGEIFS('3. Incentive Adjustment'!G:G,'3. Incentive Adjustment'!A:A,tbl_Data_old[[#This Row],[Trimmed Sector]],'3. Incentive Adjustment'!B:B,tbl_Data_old[[#This Row],[Trimmed Measure Name]])</f>
        <v>1.5551101216712928E-3</v>
      </c>
      <c r="AI71">
        <f>$AH71*tbl_Data_old[[#This Row],[2025 ]]</f>
        <v>1.3537101313554173E-2</v>
      </c>
      <c r="AJ71">
        <f>$AH71*tbl_Data_old[[#This Row],[2026 ]]</f>
        <v>2.8594615128799093E-2</v>
      </c>
      <c r="AK71">
        <f>$AH71*tbl_Data_old[[#This Row],[2027 ]]</f>
        <v>4.5053625333441739E-2</v>
      </c>
      <c r="AL71">
        <f>$AH71*tbl_Data_old[[#This Row],[2028 ]]</f>
        <v>6.2838002858924963E-2</v>
      </c>
      <c r="AM71">
        <f>$AH71*tbl_Data_old[[#This Row],[2029 ]]</f>
        <v>8.1884415146812203E-2</v>
      </c>
      <c r="AN71">
        <f>$AH71*tbl_Data_old[[#This Row],[2030 ]]</f>
        <v>0.10208480856941633</v>
      </c>
      <c r="AO71">
        <f>$AH71*tbl_Data_old[[#This Row],[2031 ]]</f>
        <v>0.12349013220848365</v>
      </c>
      <c r="AP71">
        <f>$AH71*tbl_Data_old[[#This Row],[2032 ]]</f>
        <v>0.14620413881102073</v>
      </c>
      <c r="AQ71">
        <f>$AH71*tbl_Data_old[[#This Row],[2033 ]]</f>
        <v>0.17034779200753195</v>
      </c>
      <c r="AR71">
        <f>$AH71*tbl_Data_old[[#This Row],[2034 ]]</f>
        <v>0.1960516922370224</v>
      </c>
      <c r="AS71">
        <f>SUM(tbl_Data_old[[#This Row],[Adjusted 2025]:[Adjusted 2034]])</f>
        <v>0.97008632361500724</v>
      </c>
      <c r="AT71" s="3">
        <f>AVERAGEIFS('3. Incentive Adjustment'!F:F,'3. Incentive Adjustment'!A:A,tbl_Data_old[[#This Row],[Trimmed Sector]],'3. Incentive Adjustment'!B:B,tbl_Data_old[[#This Row],[Trimmed Measure Name]])</f>
        <v>500</v>
      </c>
      <c r="AU71" s="3">
        <f>IFERROR(VLOOKUP(tbl_Data_old[[#This Row],[All_Meas_Name_Append]],'IRA Tax Credits'!$A$3:$D$46,4,0),0)</f>
        <v>1666.6666666666667</v>
      </c>
      <c r="AV71" s="4">
        <f>tbl_Data_old[[#This Row],[Adj. per unit Incentive ($)]]/tbl_Data_old[[#This Row],[kWh Savings]]*tbl_Data_old[[#This Row],[Sum of Annuals]]</f>
        <v>1.0500815349472943</v>
      </c>
      <c r="AW71" s="4">
        <f>IFERROR(VLOOKUP(tbl_Data_old[[#This Row],[All_Programs]],'1. Set Program Names'!$B$2:$D$15,3,0)*tbl_Data_old[[#This Row],[Sum of Annuals]],"")</f>
        <v>0.43250682183175493</v>
      </c>
      <c r="AX71" s="4">
        <f>tbl_Data_old[[#This Row],[per unit IRA tax ($)]]/tbl_Data_old[[#This Row],[kWh Savings]]*tbl_Data_old[[#This Row],[Sum of Annuals]]</f>
        <v>3.5002717831576478</v>
      </c>
      <c r="AY71" s="4">
        <f>tbl_Data_old[[#This Row],[Avoided Costs ($/unit)]]/tbl_Data_old[[#This Row],[kWh Savings]]*tbl_Data_old[[#This Row],[Sum of Annuals]]</f>
        <v>0.4619484498695014</v>
      </c>
      <c r="AZ71" s="4">
        <f>tbl_Data_old[[#This Row],[Lost Revenue ($/unit)]]/tbl_Data_old[[#This Row],[kWh Savings]]*tbl_Data_old[[#This Row],[Sum of Annuals]]</f>
        <v>1.240957242108617</v>
      </c>
      <c r="BA71" s="4">
        <f>tbl_Data_old[[#This Row],[Incremental Cost ($/unit)]]/tbl_Data_old[[#This Row],[kWh Savings]]*tbl_Data_old[[#This Row],[Sum of Annuals]]</f>
        <v>3.6322320293826906</v>
      </c>
      <c r="BB71">
        <f>ROUNDUP(tbl_Data_old[[#This Row],[Adjusted 2025]]/$L71,0)</f>
        <v>1</v>
      </c>
      <c r="BC71">
        <f>ROUNDUP(tbl_Data_old[[#This Row],[Adjusted 2026]]/$L71,0)</f>
        <v>1</v>
      </c>
      <c r="BD71">
        <f>ROUNDUP(tbl_Data_old[[#This Row],[Adjusted 2027]]/$L71,0)</f>
        <v>1</v>
      </c>
      <c r="BE71">
        <f>ROUNDUP(tbl_Data_old[[#This Row],[Adjusted 2028]]/$L71,0)</f>
        <v>1</v>
      </c>
      <c r="BF71">
        <f>ROUNDUP(tbl_Data_old[[#This Row],[Adjusted 2029]]/$L71,0)</f>
        <v>1</v>
      </c>
      <c r="BG71">
        <f>ROUNDUP(tbl_Data_old[[#This Row],[Adjusted 2030]]/$L71,0)</f>
        <v>1</v>
      </c>
      <c r="BH71">
        <f>ROUNDUP(tbl_Data_old[[#This Row],[Adjusted 2031]]/$L71,0)</f>
        <v>1</v>
      </c>
      <c r="BI71">
        <f>ROUNDUP(tbl_Data_old[[#This Row],[Adjusted 2032]]/$L71,0)</f>
        <v>1</v>
      </c>
      <c r="BJ71">
        <f>ROUNDUP(tbl_Data_old[[#This Row],[Adjusted 2033]]/$L71,0)</f>
        <v>1</v>
      </c>
      <c r="BK71">
        <f>ROUNDUP(tbl_Data_old[[#This Row],[Adjusted 2034]]/$L71,0)</f>
        <v>1</v>
      </c>
      <c r="BL71" s="3">
        <f t="shared" si="4"/>
        <v>9.4227392007879338</v>
      </c>
      <c r="BM71">
        <f t="shared" si="4"/>
        <v>19.903788459926762</v>
      </c>
      <c r="BN71">
        <f t="shared" si="4"/>
        <v>31.360374110665028</v>
      </c>
      <c r="BO71">
        <f t="shared" si="4"/>
        <v>43.739505166084832</v>
      </c>
      <c r="BP71">
        <f t="shared" si="4"/>
        <v>56.997097876848429</v>
      </c>
      <c r="BQ71">
        <f t="shared" si="3"/>
        <v>71.057939601060653</v>
      </c>
      <c r="BR71">
        <f t="shared" si="3"/>
        <v>85.95749434971583</v>
      </c>
      <c r="BS71">
        <f t="shared" si="3"/>
        <v>101.7679810605144</v>
      </c>
      <c r="BT71">
        <f t="shared" si="3"/>
        <v>118.5735986115339</v>
      </c>
      <c r="BU71">
        <f t="shared" si="3"/>
        <v>136.46525375214034</v>
      </c>
      <c r="BV71">
        <f>VLOOKUP($H71,'1. Set Program Names'!$B$2:$D$15,3,0)*V71</f>
        <v>3.8810309952615558</v>
      </c>
      <c r="BW71">
        <f>VLOOKUP($H71,'1. Set Program Names'!$B$2:$D$15,3,0)*W71</f>
        <v>8.197957970612789</v>
      </c>
      <c r="BX71">
        <f>VLOOKUP($H71,'1. Set Program Names'!$B$2:$D$15,3,0)*X71</f>
        <v>12.916688168161496</v>
      </c>
      <c r="BY71">
        <f>VLOOKUP($H71,'1. Set Program Names'!$B$2:$D$15,3,0)*Y71</f>
        <v>18.015395698607815</v>
      </c>
      <c r="BZ71">
        <f>VLOOKUP($H71,'1. Set Program Names'!$B$2:$D$15,3,0)*Z71</f>
        <v>23.475923379213114</v>
      </c>
      <c r="CA71">
        <f>VLOOKUP($H71,'1. Set Program Names'!$B$2:$D$15,3,0)*AA71</f>
        <v>29.267292681525053</v>
      </c>
      <c r="CB71">
        <f>VLOOKUP($H71,'1. Set Program Names'!$B$2:$D$15,3,0)*AB71</f>
        <v>35.404110496698358</v>
      </c>
      <c r="CC71">
        <f>VLOOKUP($H71,'1. Set Program Names'!$B$2:$D$15,3,0)*AC71</f>
        <v>41.916122308470577</v>
      </c>
      <c r="CD71">
        <f>VLOOKUP($H71,'1. Set Program Names'!$B$2:$D$15,3,0)*AD71</f>
        <v>48.83800788974235</v>
      </c>
      <c r="CE71">
        <f>VLOOKUP($H71,'1. Set Program Names'!$B$2:$D$15,3,0)*AE71</f>
        <v>56.207209846580746</v>
      </c>
    </row>
    <row r="72" spans="1:83" x14ac:dyDescent="0.25">
      <c r="A72" s="20" t="s">
        <v>117</v>
      </c>
      <c r="B72" s="20" t="s">
        <v>88</v>
      </c>
      <c r="C72" s="20" t="s">
        <v>89</v>
      </c>
      <c r="D72" s="20" t="s">
        <v>90</v>
      </c>
      <c r="E72" s="20" t="s">
        <v>91</v>
      </c>
      <c r="F72" s="20" t="s">
        <v>90</v>
      </c>
      <c r="G72" s="20" t="s">
        <v>92</v>
      </c>
      <c r="H72" s="20" t="s">
        <v>5</v>
      </c>
      <c r="I72" s="20" t="s">
        <v>299</v>
      </c>
      <c r="J72" s="20" t="s">
        <v>97</v>
      </c>
      <c r="K72" s="20" t="s">
        <v>102</v>
      </c>
      <c r="L72" s="20">
        <v>408.28</v>
      </c>
      <c r="M72" s="20">
        <v>0.16567198429270899</v>
      </c>
      <c r="N72" s="20">
        <v>2.3547919008134799E-2</v>
      </c>
      <c r="O72" s="53">
        <v>128.60999999999999</v>
      </c>
      <c r="P72" s="20">
        <v>29.691921599999901</v>
      </c>
      <c r="Q72" s="20">
        <v>121.35269540373299</v>
      </c>
      <c r="R72" s="20">
        <v>238.630335182902</v>
      </c>
      <c r="S72" s="20">
        <v>423.90838942107399</v>
      </c>
      <c r="T72" s="20">
        <v>11</v>
      </c>
      <c r="U72" s="20">
        <v>0.7</v>
      </c>
      <c r="V72" s="20">
        <v>0.72353632671475698</v>
      </c>
      <c r="W72" s="20">
        <v>1.32314982610928</v>
      </c>
      <c r="X72" s="20">
        <v>1.81985848639613</v>
      </c>
      <c r="Y72" s="20">
        <v>2.2329047714832702</v>
      </c>
      <c r="Z72" s="20">
        <v>2.5785998118972899</v>
      </c>
      <c r="AA72" s="20">
        <v>2.8692861187806198</v>
      </c>
      <c r="AB72" s="20">
        <v>3.1171884514454402</v>
      </c>
      <c r="AC72" s="20">
        <v>3.3318583780718298</v>
      </c>
      <c r="AD72" s="20">
        <v>3.5207962369596002</v>
      </c>
      <c r="AE72" s="20">
        <v>3.6897806235507602</v>
      </c>
      <c r="AF72" t="str">
        <f t="shared" si="5"/>
        <v>Residential</v>
      </c>
      <c r="AG72" t="str">
        <f>tbl_Data_old[[#This Row],[All_Meas_Name_Append]]</f>
        <v>Smart Thermostat Residential</v>
      </c>
      <c r="AH72">
        <f>AVERAGEIFS('3. Incentive Adjustment'!G:G,'3. Incentive Adjustment'!A:A,tbl_Data_old[[#This Row],[Trimmed Sector]],'3. Incentive Adjustment'!B:B,tbl_Data_old[[#This Row],[Trimmed Measure Name]])</f>
        <v>1.1402432304340044</v>
      </c>
      <c r="AI72">
        <f>$AH72*tbl_Data_old[[#This Row],[2025 ]]</f>
        <v>0.82500739850958782</v>
      </c>
      <c r="AJ72">
        <f>$AH72*tbl_Data_old[[#This Row],[2026 ]]</f>
        <v>1.5087126320710367</v>
      </c>
      <c r="AK72">
        <f>$AH72*tbl_Data_old[[#This Row],[2027 ]]</f>
        <v>2.0750813194610611</v>
      </c>
      <c r="AL72">
        <f>$AH72*tbl_Data_old[[#This Row],[2028 ]]</f>
        <v>2.5460545498875864</v>
      </c>
      <c r="AM72">
        <f>$AH72*tbl_Data_old[[#This Row],[2029 ]]</f>
        <v>2.9402309795142823</v>
      </c>
      <c r="AN72">
        <f>$AH72*tbl_Data_old[[#This Row],[2030 ]]</f>
        <v>3.2716840731178607</v>
      </c>
      <c r="AO72">
        <f>$AH72*tbl_Data_old[[#This Row],[2031 ]]</f>
        <v>3.5543530297477206</v>
      </c>
      <c r="AP72">
        <f>$AH72*tbl_Data_old[[#This Row],[2032 ]]</f>
        <v>3.7991289603612257</v>
      </c>
      <c r="AQ72">
        <f>$AH72*tbl_Data_old[[#This Row],[2033 ]]</f>
        <v>4.0145640749307008</v>
      </c>
      <c r="AR72">
        <f>$AH72*tbl_Data_old[[#This Row],[2034 ]]</f>
        <v>4.2072473777903143</v>
      </c>
      <c r="AS72">
        <f>SUM(tbl_Data_old[[#This Row],[Adjusted 2025]:[Adjusted 2034]])</f>
        <v>28.742064395391377</v>
      </c>
      <c r="AT72" s="3">
        <f>AVERAGEIFS('3. Incentive Adjustment'!F:F,'3. Incentive Adjustment'!A:A,tbl_Data_old[[#This Row],[Trimmed Sector]],'3. Incentive Adjustment'!B:B,tbl_Data_old[[#This Row],[Trimmed Measure Name]])</f>
        <v>50</v>
      </c>
      <c r="AU72" s="3">
        <f>IFERROR(VLOOKUP(tbl_Data_old[[#This Row],[All_Meas_Name_Append]],'IRA Tax Credits'!$A$3:$D$46,4,0),0)</f>
        <v>0</v>
      </c>
      <c r="AV72" s="4">
        <f>tbl_Data_old[[#This Row],[Adj. per unit Incentive ($)]]/tbl_Data_old[[#This Row],[kWh Savings]]*tbl_Data_old[[#This Row],[Sum of Annuals]]</f>
        <v>3.519896198122781</v>
      </c>
      <c r="AW72" s="4">
        <f>IFERROR(VLOOKUP(tbl_Data_old[[#This Row],[All_Programs]],'1. Set Program Names'!$B$2:$D$15,3,0)*tbl_Data_old[[#This Row],[Sum of Annuals]],"")</f>
        <v>12.814466735506564</v>
      </c>
      <c r="AX72" s="4">
        <f>tbl_Data_old[[#This Row],[per unit IRA tax ($)]]/tbl_Data_old[[#This Row],[kWh Savings]]*tbl_Data_old[[#This Row],[Sum of Annuals]]</f>
        <v>0</v>
      </c>
      <c r="AY72" s="4">
        <f>tbl_Data_old[[#This Row],[Avoided Costs ($/unit)]]/tbl_Data_old[[#This Row],[kWh Savings]]*tbl_Data_old[[#This Row],[Sum of Annuals]]</f>
        <v>16.799080191341233</v>
      </c>
      <c r="AZ72" s="4">
        <f>tbl_Data_old[[#This Row],[Lost Revenue ($/unit)]]/tbl_Data_old[[#This Row],[kWh Savings]]*tbl_Data_old[[#This Row],[Sum of Annuals]]</f>
        <v>29.842270565511793</v>
      </c>
      <c r="BA72" s="4">
        <f>tbl_Data_old[[#This Row],[Incremental Cost ($/unit)]]/tbl_Data_old[[#This Row],[kWh Savings]]*tbl_Data_old[[#This Row],[Sum of Annuals]]</f>
        <v>9.0538770008114167</v>
      </c>
      <c r="BB72">
        <f>ROUNDUP(tbl_Data_old[[#This Row],[Adjusted 2025]]/$L72,0)</f>
        <v>1</v>
      </c>
      <c r="BC72">
        <f>ROUNDUP(tbl_Data_old[[#This Row],[Adjusted 2026]]/$L72,0)</f>
        <v>1</v>
      </c>
      <c r="BD72">
        <f>ROUNDUP(tbl_Data_old[[#This Row],[Adjusted 2027]]/$L72,0)</f>
        <v>1</v>
      </c>
      <c r="BE72">
        <f>ROUNDUP(tbl_Data_old[[#This Row],[Adjusted 2028]]/$L72,0)</f>
        <v>1</v>
      </c>
      <c r="BF72">
        <f>ROUNDUP(tbl_Data_old[[#This Row],[Adjusted 2029]]/$L72,0)</f>
        <v>1</v>
      </c>
      <c r="BG72">
        <f>ROUNDUP(tbl_Data_old[[#This Row],[Adjusted 2030]]/$L72,0)</f>
        <v>1</v>
      </c>
      <c r="BH72">
        <f>ROUNDUP(tbl_Data_old[[#This Row],[Adjusted 2031]]/$L72,0)</f>
        <v>1</v>
      </c>
      <c r="BI72">
        <f>ROUNDUP(tbl_Data_old[[#This Row],[Adjusted 2032]]/$L72,0)</f>
        <v>1</v>
      </c>
      <c r="BJ72">
        <f>ROUNDUP(tbl_Data_old[[#This Row],[Adjusted 2033]]/$L72,0)</f>
        <v>1</v>
      </c>
      <c r="BK72">
        <f>ROUNDUP(tbl_Data_old[[#This Row],[Adjusted 2034]]/$L72,0)</f>
        <v>1</v>
      </c>
      <c r="BL72" s="3">
        <f t="shared" si="4"/>
        <v>8.8607858175119653E-2</v>
      </c>
      <c r="BM72">
        <f t="shared" si="4"/>
        <v>0.16203951039841288</v>
      </c>
      <c r="BN72">
        <f t="shared" si="4"/>
        <v>0.22286892407124156</v>
      </c>
      <c r="BO72">
        <f t="shared" si="4"/>
        <v>0.27345262705536277</v>
      </c>
      <c r="BP72">
        <f t="shared" si="4"/>
        <v>0.31578816154321671</v>
      </c>
      <c r="BQ72">
        <f t="shared" si="3"/>
        <v>0.35138705285350985</v>
      </c>
      <c r="BR72">
        <f t="shared" si="3"/>
        <v>0.38174640582999908</v>
      </c>
      <c r="BS72">
        <f t="shared" si="3"/>
        <v>0.40803595303123225</v>
      </c>
      <c r="BT72">
        <f t="shared" si="3"/>
        <v>0.43117422319971593</v>
      </c>
      <c r="BU72">
        <f t="shared" si="3"/>
        <v>0.45186889188188994</v>
      </c>
      <c r="BV72">
        <f>VLOOKUP($H72,'1. Set Program Names'!$B$2:$D$15,3,0)*V72</f>
        <v>0.32258407270507439</v>
      </c>
      <c r="BW72">
        <f>VLOOKUP($H72,'1. Set Program Names'!$B$2:$D$15,3,0)*W72</f>
        <v>0.58991794046245927</v>
      </c>
      <c r="BX72">
        <f>VLOOKUP($H72,'1. Set Program Names'!$B$2:$D$15,3,0)*X72</f>
        <v>0.81137233973325307</v>
      </c>
      <c r="BY72">
        <f>VLOOKUP($H72,'1. Set Program Names'!$B$2:$D$15,3,0)*Y72</f>
        <v>0.99552640075200216</v>
      </c>
      <c r="BZ72">
        <f>VLOOKUP($H72,'1. Set Program Names'!$B$2:$D$15,3,0)*Z72</f>
        <v>1.1496523373957654</v>
      </c>
      <c r="CA72">
        <f>VLOOKUP($H72,'1. Set Program Names'!$B$2:$D$15,3,0)*AA72</f>
        <v>1.2792529798124237</v>
      </c>
      <c r="CB72">
        <f>VLOOKUP($H72,'1. Set Program Names'!$B$2:$D$15,3,0)*AB72</f>
        <v>1.389778659244733</v>
      </c>
      <c r="CC72">
        <f>VLOOKUP($H72,'1. Set Program Names'!$B$2:$D$15,3,0)*AC72</f>
        <v>1.4854878816591326</v>
      </c>
      <c r="CD72">
        <f>VLOOKUP($H72,'1. Set Program Names'!$B$2:$D$15,3,0)*AD72</f>
        <v>1.569724625216891</v>
      </c>
      <c r="CE72">
        <f>VLOOKUP($H72,'1. Set Program Names'!$B$2:$D$15,3,0)*AE72</f>
        <v>1.6450652399689623</v>
      </c>
    </row>
    <row r="73" spans="1:83" x14ac:dyDescent="0.25">
      <c r="A73" s="20" t="s">
        <v>117</v>
      </c>
      <c r="B73" s="20" t="s">
        <v>88</v>
      </c>
      <c r="C73" s="20" t="s">
        <v>89</v>
      </c>
      <c r="D73" s="20" t="s">
        <v>90</v>
      </c>
      <c r="E73" s="20" t="s">
        <v>91</v>
      </c>
      <c r="F73" s="20" t="s">
        <v>90</v>
      </c>
      <c r="G73" s="20" t="s">
        <v>92</v>
      </c>
      <c r="H73" s="20" t="s">
        <v>5</v>
      </c>
      <c r="I73" s="20" t="s">
        <v>112</v>
      </c>
      <c r="J73" s="20" t="s">
        <v>94</v>
      </c>
      <c r="K73" s="20" t="s">
        <v>108</v>
      </c>
      <c r="L73" s="20">
        <v>1330.8133333333301</v>
      </c>
      <c r="M73" s="20">
        <v>5.33311142126306E-2</v>
      </c>
      <c r="N73" s="20">
        <v>0.24737910980336</v>
      </c>
      <c r="O73" s="20">
        <v>8990.02</v>
      </c>
      <c r="P73" s="20">
        <v>8776.4394094329891</v>
      </c>
      <c r="Q73" s="20">
        <v>395.55644430103399</v>
      </c>
      <c r="R73" s="20">
        <v>713.19672296706005</v>
      </c>
      <c r="S73" s="20">
        <v>2011.6258188035599</v>
      </c>
      <c r="T73" s="20">
        <v>20</v>
      </c>
      <c r="U73" s="20">
        <v>0.7</v>
      </c>
      <c r="V73" s="20">
        <v>28.081366953140499</v>
      </c>
      <c r="W73" s="20">
        <v>59.334067179580003</v>
      </c>
      <c r="X73" s="20">
        <v>93.512945865393704</v>
      </c>
      <c r="Y73" s="20">
        <v>130.46104686074301</v>
      </c>
      <c r="Z73" s="20">
        <v>170.04753698993301</v>
      </c>
      <c r="AA73" s="20">
        <v>212.04823292287199</v>
      </c>
      <c r="AB73" s="20">
        <v>256.56926498854699</v>
      </c>
      <c r="AC73" s="20">
        <v>303.82660322920299</v>
      </c>
      <c r="AD73" s="20">
        <v>354.07210885905198</v>
      </c>
      <c r="AE73" s="20">
        <v>407.577788322054</v>
      </c>
      <c r="AF73" t="str">
        <f t="shared" si="5"/>
        <v>Residential</v>
      </c>
      <c r="AG73" t="str">
        <f>tbl_Data_old[[#This Row],[All_Meas_Name_Append]]</f>
        <v>Solar Thermal Water Heating System</v>
      </c>
      <c r="AH73">
        <f>AVERAGEIFS('3. Incentive Adjustment'!G:G,'3. Incentive Adjustment'!A:A,tbl_Data_old[[#This Row],[Trimmed Sector]],'3. Incentive Adjustment'!B:B,tbl_Data_old[[#This Row],[Trimmed Measure Name]])</f>
        <v>2.7736651842107431E-8</v>
      </c>
      <c r="AI73">
        <f>$AH73*tbl_Data_old[[#This Row],[2025 ]]</f>
        <v>7.7888309842971915E-7</v>
      </c>
      <c r="AJ73">
        <f>$AH73*tbl_Data_old[[#This Row],[2026 ]]</f>
        <v>1.6457283637362237E-6</v>
      </c>
      <c r="AK73">
        <f>$AH73*tbl_Data_old[[#This Row],[2027 ]]</f>
        <v>2.5937360221982648E-6</v>
      </c>
      <c r="AL73">
        <f>$AH73*tbl_Data_old[[#This Row],[2028 ]]</f>
        <v>3.6185526357332914E-6</v>
      </c>
      <c r="AM73">
        <f>$AH73*tbl_Data_old[[#This Row],[2029 ]]</f>
        <v>4.7165493300976566E-6</v>
      </c>
      <c r="AN73">
        <f>$AH73*tbl_Data_old[[#This Row],[2030 ]]</f>
        <v>5.8815080103158031E-6</v>
      </c>
      <c r="AO73">
        <f>$AH73*tbl_Data_old[[#This Row],[2031 ]]</f>
        <v>7.1163723763727317E-6</v>
      </c>
      <c r="AP73">
        <f>$AH73*tbl_Data_old[[#This Row],[2032 ]]</f>
        <v>8.4271327141385162E-6</v>
      </c>
      <c r="AQ73">
        <f>$AH73*tbl_Data_old[[#This Row],[2033 ]]</f>
        <v>9.8207748104242864E-6</v>
      </c>
      <c r="AR73">
        <f>$AH73*tbl_Data_old[[#This Row],[2034 ]]</f>
        <v>1.1304843213264971E-5</v>
      </c>
      <c r="AS73">
        <f>SUM(tbl_Data_old[[#This Row],[Adjusted 2025]:[Adjusted 2034]])</f>
        <v>5.5904080574711466E-5</v>
      </c>
      <c r="AT73" s="3">
        <f>AVERAGEIFS('3. Incentive Adjustment'!F:F,'3. Incentive Adjustment'!A:A,tbl_Data_old[[#This Row],[Trimmed Sector]],'3. Incentive Adjustment'!B:B,tbl_Data_old[[#This Row],[Trimmed Measure Name]])</f>
        <v>0</v>
      </c>
      <c r="AU73" s="3">
        <f>IFERROR(VLOOKUP(tbl_Data_old[[#This Row],[All_Meas_Name_Append]],'IRA Tax Credits'!$A$3:$D$46,4,0),0)</f>
        <v>41666.666666666672</v>
      </c>
      <c r="AV73" s="4">
        <f>tbl_Data_old[[#This Row],[Adj. per unit Incentive ($)]]/tbl_Data_old[[#This Row],[kWh Savings]]*tbl_Data_old[[#This Row],[Sum of Annuals]]</f>
        <v>0</v>
      </c>
      <c r="AW73" s="4">
        <f>IFERROR(VLOOKUP(tbl_Data_old[[#This Row],[All_Programs]],'1. Set Program Names'!$B$2:$D$15,3,0)*tbl_Data_old[[#This Row],[Sum of Annuals]],"")</f>
        <v>2.492447901614841E-5</v>
      </c>
      <c r="AX73" s="4">
        <f>tbl_Data_old[[#This Row],[per unit IRA tax ($)]]/tbl_Data_old[[#This Row],[kWh Savings]]*tbl_Data_old[[#This Row],[Sum of Annuals]]</f>
        <v>1.7503106050031937E-3</v>
      </c>
      <c r="AY73" s="4">
        <f>tbl_Data_old[[#This Row],[Avoided Costs ($/unit)]]/tbl_Data_old[[#This Row],[kWh Savings]]*tbl_Data_old[[#This Row],[Sum of Annuals]]</f>
        <v>2.9959578903906477E-5</v>
      </c>
      <c r="AZ73" s="4">
        <f>tbl_Data_old[[#This Row],[Lost Revenue ($/unit)]]/tbl_Data_old[[#This Row],[kWh Savings]]*tbl_Data_old[[#This Row],[Sum of Annuals]]</f>
        <v>8.4503280094802495E-5</v>
      </c>
      <c r="BA73" s="4">
        <f>tbl_Data_old[[#This Row],[Incremental Cost ($/unit)]]/tbl_Data_old[[#This Row],[kWh Savings]]*tbl_Data_old[[#This Row],[Sum of Annuals]]</f>
        <v>3.7764785628457943E-4</v>
      </c>
      <c r="BB73">
        <f>ROUNDUP(tbl_Data_old[[#This Row],[Adjusted 2025]]/$L73,0)</f>
        <v>1</v>
      </c>
      <c r="BC73">
        <f>ROUNDUP(tbl_Data_old[[#This Row],[Adjusted 2026]]/$L73,0)</f>
        <v>1</v>
      </c>
      <c r="BD73">
        <f>ROUNDUP(tbl_Data_old[[#This Row],[Adjusted 2027]]/$L73,0)</f>
        <v>1</v>
      </c>
      <c r="BE73">
        <f>ROUNDUP(tbl_Data_old[[#This Row],[Adjusted 2028]]/$L73,0)</f>
        <v>1</v>
      </c>
      <c r="BF73">
        <f>ROUNDUP(tbl_Data_old[[#This Row],[Adjusted 2029]]/$L73,0)</f>
        <v>1</v>
      </c>
      <c r="BG73">
        <f>ROUNDUP(tbl_Data_old[[#This Row],[Adjusted 2030]]/$L73,0)</f>
        <v>1</v>
      </c>
      <c r="BH73">
        <f>ROUNDUP(tbl_Data_old[[#This Row],[Adjusted 2031]]/$L73,0)</f>
        <v>1</v>
      </c>
      <c r="BI73">
        <f>ROUNDUP(tbl_Data_old[[#This Row],[Adjusted 2032]]/$L73,0)</f>
        <v>1</v>
      </c>
      <c r="BJ73">
        <f>ROUNDUP(tbl_Data_old[[#This Row],[Adjusted 2033]]/$L73,0)</f>
        <v>1</v>
      </c>
      <c r="BK73">
        <f>ROUNDUP(tbl_Data_old[[#This Row],[Adjusted 2034]]/$L73,0)</f>
        <v>1</v>
      </c>
      <c r="BL73" s="3">
        <f t="shared" si="4"/>
        <v>0</v>
      </c>
      <c r="BM73">
        <f t="shared" si="4"/>
        <v>0</v>
      </c>
      <c r="BN73">
        <f t="shared" si="4"/>
        <v>0</v>
      </c>
      <c r="BO73">
        <f t="shared" si="4"/>
        <v>0</v>
      </c>
      <c r="BP73">
        <f t="shared" si="4"/>
        <v>0</v>
      </c>
      <c r="BQ73">
        <f t="shared" si="3"/>
        <v>0</v>
      </c>
      <c r="BR73">
        <f t="shared" si="3"/>
        <v>0</v>
      </c>
      <c r="BS73">
        <f t="shared" si="3"/>
        <v>0</v>
      </c>
      <c r="BT73">
        <f t="shared" si="3"/>
        <v>0</v>
      </c>
      <c r="BU73">
        <f t="shared" si="3"/>
        <v>0</v>
      </c>
      <c r="BV73">
        <f>VLOOKUP($H73,'1. Set Program Names'!$B$2:$D$15,3,0)*V73</f>
        <v>12.519898980056272</v>
      </c>
      <c r="BW73">
        <f>VLOOKUP($H73,'1. Set Program Names'!$B$2:$D$15,3,0)*W73</f>
        <v>26.453716744053878</v>
      </c>
      <c r="BX73">
        <f>VLOOKUP($H73,'1. Set Program Names'!$B$2:$D$15,3,0)*X73</f>
        <v>41.692152576328404</v>
      </c>
      <c r="BY73">
        <f>VLOOKUP($H73,'1. Set Program Names'!$B$2:$D$15,3,0)*Y73</f>
        <v>58.16522857503638</v>
      </c>
      <c r="BZ73">
        <f>VLOOKUP($H73,'1. Set Program Names'!$B$2:$D$15,3,0)*Z73</f>
        <v>75.814613600327164</v>
      </c>
      <c r="CA73">
        <f>VLOOKUP($H73,'1. Set Program Names'!$B$2:$D$15,3,0)*AA73</f>
        <v>94.540356939315444</v>
      </c>
      <c r="CB73">
        <f>VLOOKUP($H73,'1. Set Program Names'!$B$2:$D$15,3,0)*AB73</f>
        <v>114.38977612465037</v>
      </c>
      <c r="CC73">
        <f>VLOOKUP($H73,'1. Set Program Names'!$B$2:$D$15,3,0)*AC73</f>
        <v>135.45916002703177</v>
      </c>
      <c r="CD73">
        <f>VLOOKUP($H73,'1. Set Program Names'!$B$2:$D$15,3,0)*AD73</f>
        <v>157.8607993680684</v>
      </c>
      <c r="CE73">
        <f>VLOOKUP($H73,'1. Set Program Names'!$B$2:$D$15,3,0)*AE73</f>
        <v>181.71596649201567</v>
      </c>
    </row>
    <row r="74" spans="1:83" x14ac:dyDescent="0.25">
      <c r="A74" s="20" t="s">
        <v>87</v>
      </c>
      <c r="B74" s="20" t="s">
        <v>88</v>
      </c>
      <c r="C74" s="20" t="s">
        <v>89</v>
      </c>
      <c r="D74" s="20" t="s">
        <v>90</v>
      </c>
      <c r="E74" s="20" t="s">
        <v>91</v>
      </c>
      <c r="F74" s="20" t="s">
        <v>90</v>
      </c>
      <c r="G74" s="20" t="s">
        <v>92</v>
      </c>
      <c r="H74" s="20" t="s">
        <v>7</v>
      </c>
      <c r="I74" s="20" t="s">
        <v>93</v>
      </c>
      <c r="J74" s="20" t="s">
        <v>94</v>
      </c>
      <c r="K74" s="20" t="s">
        <v>95</v>
      </c>
      <c r="L74" s="20">
        <v>1200.2266666666601</v>
      </c>
      <c r="M74" s="20">
        <v>4.8097974252120097E-2</v>
      </c>
      <c r="N74" s="20">
        <v>0.22310492157346501</v>
      </c>
      <c r="O74" s="20">
        <v>1210</v>
      </c>
      <c r="P74" s="20">
        <v>933.85922631496703</v>
      </c>
      <c r="Q74" s="20">
        <v>346.114635734861</v>
      </c>
      <c r="R74" s="20">
        <v>571.53970184074296</v>
      </c>
      <c r="S74" s="20">
        <v>1535.35818196214</v>
      </c>
      <c r="T74" s="20">
        <v>15</v>
      </c>
      <c r="U74" s="20">
        <v>0.1</v>
      </c>
      <c r="V74" s="20">
        <v>7226.2368301811603</v>
      </c>
      <c r="W74" s="20">
        <v>7677.6138455284799</v>
      </c>
      <c r="X74" s="20">
        <v>8125.7494297578696</v>
      </c>
      <c r="Y74" s="20">
        <v>8584.2336542872999</v>
      </c>
      <c r="Z74" s="20">
        <v>9052.5713242923903</v>
      </c>
      <c r="AA74" s="20">
        <v>9504.3971471310397</v>
      </c>
      <c r="AB74" s="20">
        <v>10010.109217634301</v>
      </c>
      <c r="AC74" s="20">
        <v>10589.913344390099</v>
      </c>
      <c r="AD74" s="20">
        <v>11248.583453470899</v>
      </c>
      <c r="AE74" s="20">
        <v>11988.4485756298</v>
      </c>
      <c r="AF74" t="str">
        <f t="shared" si="5"/>
        <v>Residential</v>
      </c>
      <c r="AG74" t="str">
        <f>tbl_Data_old[[#This Row],[All_Meas_Name_Append]]</f>
        <v>120v Heat Pump Water Heater 50 Gallons</v>
      </c>
      <c r="AH74">
        <f>AVERAGEIFS('3. Incentive Adjustment'!G:G,'3. Incentive Adjustment'!A:A,tbl_Data_old[[#This Row],[Trimmed Sector]],'3. Incentive Adjustment'!B:B,tbl_Data_old[[#This Row],[Trimmed Measure Name]])</f>
        <v>0.38528347196238832</v>
      </c>
      <c r="AI74">
        <f>$AH74*tbl_Data_old[[#This Row],[2025 ]]</f>
        <v>2784.1496151546808</v>
      </c>
      <c r="AJ74">
        <f>$AH74*tbl_Data_old[[#This Row],[2026 ]]</f>
        <v>2958.0577187917165</v>
      </c>
      <c r="AK74">
        <f>$AH74*tbl_Data_old[[#This Row],[2027 ]]</f>
        <v>3130.7169525935092</v>
      </c>
      <c r="AL74">
        <f>$AH74*tbl_Data_old[[#This Row],[2028 ]]</f>
        <v>3307.3633464601912</v>
      </c>
      <c r="AM74">
        <f>$AH74*tbl_Data_old[[#This Row],[2029 ]]</f>
        <v>3487.8061100105278</v>
      </c>
      <c r="AN74">
        <f>$AH74*tbl_Data_old[[#This Row],[2030 ]]</f>
        <v>3661.8871317560656</v>
      </c>
      <c r="AO74">
        <f>$AH74*tbl_Data_old[[#This Row],[2031 ]]</f>
        <v>3856.7296340928501</v>
      </c>
      <c r="AP74">
        <f>$AH74*tbl_Data_old[[#This Row],[2032 ]]</f>
        <v>4080.1185811074447</v>
      </c>
      <c r="AQ74">
        <f>$AH74*tbl_Data_old[[#This Row],[2033 ]]</f>
        <v>4333.8932876119407</v>
      </c>
      <c r="AR74">
        <f>$AH74*tbl_Data_old[[#This Row],[2034 ]]</f>
        <v>4618.9510906611986</v>
      </c>
      <c r="AS74">
        <f>SUM(tbl_Data_old[[#This Row],[Adjusted 2025]:[Adjusted 2034]])</f>
        <v>36219.673468240129</v>
      </c>
      <c r="AT74" s="3">
        <f>AVERAGEIFS('3. Incentive Adjustment'!F:F,'3. Incentive Adjustment'!A:A,tbl_Data_old[[#This Row],[Trimmed Sector]],'3. Incentive Adjustment'!B:B,tbl_Data_old[[#This Row],[Trimmed Measure Name]])</f>
        <v>500</v>
      </c>
      <c r="AU74" s="3">
        <f>IFERROR(VLOOKUP(tbl_Data_old[[#This Row],[All_Meas_Name_Append]],'IRA Tax Credits'!$A$3:$D$46,4,0),0)</f>
        <v>1666.6666666666667</v>
      </c>
      <c r="AV74" s="4">
        <f>tbl_Data_old[[#This Row],[Adj. per unit Incentive ($)]]/tbl_Data_old[[#This Row],[kWh Savings]]*tbl_Data_old[[#This Row],[Sum of Annuals]]</f>
        <v>15088.680527667131</v>
      </c>
      <c r="AW74" s="4">
        <f>IFERROR(VLOOKUP(tbl_Data_old[[#This Row],[All_Programs]],'1. Set Program Names'!$B$2:$D$15,3,0)*tbl_Data_old[[#This Row],[Sum of Annuals]],"")</f>
        <v>15667.23949365957</v>
      </c>
      <c r="AX74" s="4">
        <f>tbl_Data_old[[#This Row],[per unit IRA tax ($)]]/tbl_Data_old[[#This Row],[kWh Savings]]*tbl_Data_old[[#This Row],[Sum of Annuals]]</f>
        <v>50295.601758890443</v>
      </c>
      <c r="AY74" s="4">
        <f>tbl_Data_old[[#This Row],[Avoided Costs ($/unit)]]/tbl_Data_old[[#This Row],[kWh Savings]]*tbl_Data_old[[#This Row],[Sum of Annuals]]</f>
        <v>17247.559939906194</v>
      </c>
      <c r="AZ74" s="4">
        <f>tbl_Data_old[[#This Row],[Lost Revenue ($/unit)]]/tbl_Data_old[[#This Row],[kWh Savings]]*tbl_Data_old[[#This Row],[Sum of Annuals]]</f>
        <v>46333.058206333102</v>
      </c>
      <c r="BA74" s="4">
        <f>tbl_Data_old[[#This Row],[Incremental Cost ($/unit)]]/tbl_Data_old[[#This Row],[kWh Savings]]*tbl_Data_old[[#This Row],[Sum of Annuals]]</f>
        <v>36514.606876954458</v>
      </c>
      <c r="BB74">
        <f>ROUNDUP(tbl_Data_old[[#This Row],[Adjusted 2025]]/$L74,0)</f>
        <v>3</v>
      </c>
      <c r="BC74">
        <f>ROUNDUP(tbl_Data_old[[#This Row],[Adjusted 2026]]/$L74,0)</f>
        <v>3</v>
      </c>
      <c r="BD74">
        <f>ROUNDUP(tbl_Data_old[[#This Row],[Adjusted 2027]]/$L74,0)</f>
        <v>3</v>
      </c>
      <c r="BE74">
        <f>ROUNDUP(tbl_Data_old[[#This Row],[Adjusted 2028]]/$L74,0)</f>
        <v>3</v>
      </c>
      <c r="BF74">
        <f>ROUNDUP(tbl_Data_old[[#This Row],[Adjusted 2029]]/$L74,0)</f>
        <v>3</v>
      </c>
      <c r="BG74">
        <f>ROUNDUP(tbl_Data_old[[#This Row],[Adjusted 2030]]/$L74,0)</f>
        <v>4</v>
      </c>
      <c r="BH74">
        <f>ROUNDUP(tbl_Data_old[[#This Row],[Adjusted 2031]]/$L74,0)</f>
        <v>4</v>
      </c>
      <c r="BI74">
        <f>ROUNDUP(tbl_Data_old[[#This Row],[Adjusted 2032]]/$L74,0)</f>
        <v>4</v>
      </c>
      <c r="BJ74">
        <f>ROUNDUP(tbl_Data_old[[#This Row],[Adjusted 2033]]/$L74,0)</f>
        <v>4</v>
      </c>
      <c r="BK74">
        <f>ROUNDUP(tbl_Data_old[[#This Row],[Adjusted 2034]]/$L74,0)</f>
        <v>4</v>
      </c>
      <c r="BL74" s="3">
        <f t="shared" si="4"/>
        <v>3010.3633883799171</v>
      </c>
      <c r="BM74" s="3">
        <f t="shared" si="4"/>
        <v>3198.4016264407787</v>
      </c>
      <c r="BN74" s="3">
        <f t="shared" si="4"/>
        <v>3385.0895232669582</v>
      </c>
      <c r="BO74" s="3">
        <f t="shared" si="4"/>
        <v>3576.0885392289842</v>
      </c>
      <c r="BP74" s="3">
        <f t="shared" si="4"/>
        <v>3771.1923821163386</v>
      </c>
      <c r="BQ74" s="3">
        <f t="shared" si="3"/>
        <v>3959.417587982447</v>
      </c>
      <c r="BR74" s="3">
        <f t="shared" si="3"/>
        <v>4170.0911567958092</v>
      </c>
      <c r="BS74" s="3">
        <f t="shared" si="3"/>
        <v>4411.6305854964157</v>
      </c>
      <c r="BT74" s="3">
        <f t="shared" si="3"/>
        <v>4686.0246342930895</v>
      </c>
      <c r="BU74" s="3">
        <f t="shared" si="3"/>
        <v>4994.2435493975572</v>
      </c>
      <c r="BV74">
        <f>VLOOKUP($H74,'1. Set Program Names'!$B$2:$D$15,3,0)*V74</f>
        <v>3125.7924827960251</v>
      </c>
      <c r="BW74">
        <f>VLOOKUP($H74,'1. Set Program Names'!$B$2:$D$15,3,0)*W74</f>
        <v>3321.0408416080049</v>
      </c>
      <c r="BX74">
        <f>VLOOKUP($H74,'1. Set Program Names'!$B$2:$D$15,3,0)*X74</f>
        <v>3514.8870818263063</v>
      </c>
      <c r="BY74">
        <f>VLOOKUP($H74,'1. Set Program Names'!$B$2:$D$15,3,0)*Y74</f>
        <v>3713.2097463325467</v>
      </c>
      <c r="BZ74">
        <f>VLOOKUP($H74,'1. Set Program Names'!$B$2:$D$15,3,0)*Z74</f>
        <v>3915.7946328668309</v>
      </c>
      <c r="CA74">
        <f>VLOOKUP($H74,'1. Set Program Names'!$B$2:$D$15,3,0)*AA74</f>
        <v>4111.2371285602321</v>
      </c>
      <c r="CB74">
        <f>VLOOKUP($H74,'1. Set Program Names'!$B$2:$D$15,3,0)*AB74</f>
        <v>4329.988745146632</v>
      </c>
      <c r="CC74">
        <f>VLOOKUP($H74,'1. Set Program Names'!$B$2:$D$15,3,0)*AC74</f>
        <v>4580.7897392875821</v>
      </c>
      <c r="CD74">
        <f>VLOOKUP($H74,'1. Set Program Names'!$B$2:$D$15,3,0)*AD74</f>
        <v>4865.7051280288042</v>
      </c>
      <c r="CE74">
        <f>VLOOKUP($H74,'1. Set Program Names'!$B$2:$D$15,3,0)*AE74</f>
        <v>5185.7423606127359</v>
      </c>
    </row>
    <row r="75" spans="1:83" x14ac:dyDescent="0.25">
      <c r="A75" s="20" t="s">
        <v>87</v>
      </c>
      <c r="B75" s="20" t="s">
        <v>88</v>
      </c>
      <c r="C75" s="20" t="s">
        <v>89</v>
      </c>
      <c r="D75" s="20" t="s">
        <v>90</v>
      </c>
      <c r="E75" s="20" t="s">
        <v>91</v>
      </c>
      <c r="F75" s="20" t="s">
        <v>90</v>
      </c>
      <c r="G75" s="20" t="s">
        <v>92</v>
      </c>
      <c r="H75" s="20" t="s">
        <v>7</v>
      </c>
      <c r="I75" s="20" t="s">
        <v>118</v>
      </c>
      <c r="J75" s="20" t="s">
        <v>97</v>
      </c>
      <c r="K75" s="20" t="s">
        <v>102</v>
      </c>
      <c r="L75" s="20">
        <v>466.599999999999</v>
      </c>
      <c r="M75" s="20">
        <v>0.18933941062023901</v>
      </c>
      <c r="N75" s="20">
        <v>2.6910820932303899E-2</v>
      </c>
      <c r="O75" s="20">
        <v>674.44999999999902</v>
      </c>
      <c r="P75" s="20">
        <v>561.40215199999898</v>
      </c>
      <c r="Q75" s="20">
        <v>134.555491490957</v>
      </c>
      <c r="R75" s="20">
        <v>370.49545033119801</v>
      </c>
      <c r="S75" s="20">
        <v>705.301475078208</v>
      </c>
      <c r="T75" s="20">
        <v>20</v>
      </c>
      <c r="U75" s="20">
        <v>1</v>
      </c>
      <c r="V75" s="20">
        <v>2487.29589231101</v>
      </c>
      <c r="W75" s="20">
        <v>2407.1118783636398</v>
      </c>
      <c r="X75" s="20">
        <v>2331.5779235125901</v>
      </c>
      <c r="Y75" s="20">
        <v>2263.0689510617599</v>
      </c>
      <c r="Z75" s="20">
        <v>2199.77247352121</v>
      </c>
      <c r="AA75" s="20">
        <v>2134.5258516240701</v>
      </c>
      <c r="AB75" s="20">
        <v>2082.34660736042</v>
      </c>
      <c r="AC75" s="20">
        <v>2044.31788577567</v>
      </c>
      <c r="AD75" s="20">
        <v>2018.20779502954</v>
      </c>
      <c r="AE75" s="20">
        <v>2001.70598169855</v>
      </c>
      <c r="AF75" t="str">
        <f t="shared" si="5"/>
        <v>Residential</v>
      </c>
      <c r="AG75" t="str">
        <f>tbl_Data_old[[#This Row],[All_Meas_Name_Append]]</f>
        <v>Air Sealing-Infiltration Control</v>
      </c>
      <c r="AH75" t="e">
        <f>AVERAGEIFS('3. Incentive Adjustment'!G:G,'3. Incentive Adjustment'!A:A,tbl_Data_old[[#This Row],[Trimmed Sector]],'3. Incentive Adjustment'!B:B,tbl_Data_old[[#This Row],[Trimmed Measure Name]])</f>
        <v>#DIV/0!</v>
      </c>
      <c r="AI75" t="e">
        <f>$AH75*tbl_Data_old[[#This Row],[2025 ]]</f>
        <v>#DIV/0!</v>
      </c>
      <c r="AJ75" t="e">
        <f>$AH75*tbl_Data_old[[#This Row],[2026 ]]</f>
        <v>#DIV/0!</v>
      </c>
      <c r="AK75" t="e">
        <f>$AH75*tbl_Data_old[[#This Row],[2027 ]]</f>
        <v>#DIV/0!</v>
      </c>
      <c r="AL75" t="e">
        <f>$AH75*tbl_Data_old[[#This Row],[2028 ]]</f>
        <v>#DIV/0!</v>
      </c>
      <c r="AM75" t="e">
        <f>$AH75*tbl_Data_old[[#This Row],[2029 ]]</f>
        <v>#DIV/0!</v>
      </c>
      <c r="AN75" t="e">
        <f>$AH75*tbl_Data_old[[#This Row],[2030 ]]</f>
        <v>#DIV/0!</v>
      </c>
      <c r="AO75" t="e">
        <f>$AH75*tbl_Data_old[[#This Row],[2031 ]]</f>
        <v>#DIV/0!</v>
      </c>
      <c r="AP75" t="e">
        <f>$AH75*tbl_Data_old[[#This Row],[2032 ]]</f>
        <v>#DIV/0!</v>
      </c>
      <c r="AQ75" t="e">
        <f>$AH75*tbl_Data_old[[#This Row],[2033 ]]</f>
        <v>#DIV/0!</v>
      </c>
      <c r="AR75" t="e">
        <f>$AH75*tbl_Data_old[[#This Row],[2034 ]]</f>
        <v>#DIV/0!</v>
      </c>
      <c r="AS75" t="e">
        <f>SUM(tbl_Data_old[[#This Row],[Adjusted 2025]:[Adjusted 2034]])</f>
        <v>#DIV/0!</v>
      </c>
      <c r="AT75" s="3" t="e">
        <f>AVERAGEIFS('3. Incentive Adjustment'!F:F,'3. Incentive Adjustment'!A:A,tbl_Data_old[[#This Row],[Trimmed Sector]],'3. Incentive Adjustment'!B:B,tbl_Data_old[[#This Row],[Trimmed Measure Name]])</f>
        <v>#DIV/0!</v>
      </c>
      <c r="AU75" s="3">
        <f>IFERROR(VLOOKUP(tbl_Data_old[[#This Row],[All_Meas_Name_Append]],'IRA Tax Credits'!$A$3:$D$46,4,0),0)</f>
        <v>500</v>
      </c>
      <c r="AV75" s="4" t="e">
        <f>tbl_Data_old[[#This Row],[Adj. per unit Incentive ($)]]/tbl_Data_old[[#This Row],[kWh Savings]]*tbl_Data_old[[#This Row],[Sum of Annuals]]</f>
        <v>#DIV/0!</v>
      </c>
      <c r="AW75" s="4" t="str">
        <f>IFERROR(VLOOKUP(tbl_Data_old[[#This Row],[All_Programs]],'1. Set Program Names'!$B$2:$D$15,3,0)*tbl_Data_old[[#This Row],[Sum of Annuals]],"")</f>
        <v/>
      </c>
      <c r="AX75" s="4" t="e">
        <f>tbl_Data_old[[#This Row],[per unit IRA tax ($)]]/tbl_Data_old[[#This Row],[kWh Savings]]*tbl_Data_old[[#This Row],[Sum of Annuals]]</f>
        <v>#DIV/0!</v>
      </c>
      <c r="AY75" s="4" t="e">
        <f>tbl_Data_old[[#This Row],[Avoided Costs ($/unit)]]/tbl_Data_old[[#This Row],[kWh Savings]]*tbl_Data_old[[#This Row],[Sum of Annuals]]</f>
        <v>#DIV/0!</v>
      </c>
      <c r="AZ75" s="4" t="e">
        <f>tbl_Data_old[[#This Row],[Lost Revenue ($/unit)]]/tbl_Data_old[[#This Row],[kWh Savings]]*tbl_Data_old[[#This Row],[Sum of Annuals]]</f>
        <v>#DIV/0!</v>
      </c>
      <c r="BA75" s="4" t="e">
        <f>tbl_Data_old[[#This Row],[Incremental Cost ($/unit)]]/tbl_Data_old[[#This Row],[kWh Savings]]*tbl_Data_old[[#This Row],[Sum of Annuals]]</f>
        <v>#DIV/0!</v>
      </c>
      <c r="BB75" t="e">
        <f>ROUNDUP(tbl_Data_old[[#This Row],[Adjusted 2025]]/$L75,0)</f>
        <v>#DIV/0!</v>
      </c>
      <c r="BC75" t="e">
        <f>ROUNDUP(tbl_Data_old[[#This Row],[Adjusted 2026]]/$L75,0)</f>
        <v>#DIV/0!</v>
      </c>
      <c r="BD75" t="e">
        <f>ROUNDUP(tbl_Data_old[[#This Row],[Adjusted 2027]]/$L75,0)</f>
        <v>#DIV/0!</v>
      </c>
      <c r="BE75" t="e">
        <f>ROUNDUP(tbl_Data_old[[#This Row],[Adjusted 2028]]/$L75,0)</f>
        <v>#DIV/0!</v>
      </c>
      <c r="BF75" t="e">
        <f>ROUNDUP(tbl_Data_old[[#This Row],[Adjusted 2029]]/$L75,0)</f>
        <v>#DIV/0!</v>
      </c>
      <c r="BG75" t="e">
        <f>ROUNDUP(tbl_Data_old[[#This Row],[Adjusted 2030]]/$L75,0)</f>
        <v>#DIV/0!</v>
      </c>
      <c r="BH75" t="e">
        <f>ROUNDUP(tbl_Data_old[[#This Row],[Adjusted 2031]]/$L75,0)</f>
        <v>#DIV/0!</v>
      </c>
      <c r="BI75" t="e">
        <f>ROUNDUP(tbl_Data_old[[#This Row],[Adjusted 2032]]/$L75,0)</f>
        <v>#DIV/0!</v>
      </c>
      <c r="BJ75" t="e">
        <f>ROUNDUP(tbl_Data_old[[#This Row],[Adjusted 2033]]/$L75,0)</f>
        <v>#DIV/0!</v>
      </c>
      <c r="BK75" t="e">
        <f>ROUNDUP(tbl_Data_old[[#This Row],[Adjusted 2034]]/$L75,0)</f>
        <v>#DIV/0!</v>
      </c>
      <c r="BL75" s="3" t="e">
        <f t="shared" si="4"/>
        <v>#DIV/0!</v>
      </c>
      <c r="BM75" s="3" t="e">
        <f t="shared" si="4"/>
        <v>#DIV/0!</v>
      </c>
      <c r="BN75" s="3" t="e">
        <f t="shared" si="4"/>
        <v>#DIV/0!</v>
      </c>
      <c r="BO75" s="3" t="e">
        <f t="shared" si="4"/>
        <v>#DIV/0!</v>
      </c>
      <c r="BP75" s="3" t="e">
        <f t="shared" si="4"/>
        <v>#DIV/0!</v>
      </c>
      <c r="BQ75" s="3" t="e">
        <f t="shared" si="4"/>
        <v>#DIV/0!</v>
      </c>
      <c r="BR75" s="3" t="e">
        <f t="shared" si="4"/>
        <v>#DIV/0!</v>
      </c>
      <c r="BS75" s="3" t="e">
        <f t="shared" si="4"/>
        <v>#DIV/0!</v>
      </c>
      <c r="BT75" s="3" t="e">
        <f t="shared" si="4"/>
        <v>#DIV/0!</v>
      </c>
      <c r="BU75" s="3" t="e">
        <f t="shared" si="4"/>
        <v>#DIV/0!</v>
      </c>
      <c r="BV75">
        <f>VLOOKUP($H75,'1. Set Program Names'!$B$2:$D$15,3,0)*V75</f>
        <v>1075.9086624732549</v>
      </c>
      <c r="BW75">
        <f>VLOOKUP($H75,'1. Set Program Names'!$B$2:$D$15,3,0)*W75</f>
        <v>1041.224138020599</v>
      </c>
      <c r="BX75">
        <f>VLOOKUP($H75,'1. Set Program Names'!$B$2:$D$15,3,0)*X75</f>
        <v>1008.5510505176883</v>
      </c>
      <c r="BY75">
        <f>VLOOKUP($H75,'1. Set Program Names'!$B$2:$D$15,3,0)*Y75</f>
        <v>978.91670056163844</v>
      </c>
      <c r="BZ75">
        <f>VLOOKUP($H75,'1. Set Program Names'!$B$2:$D$15,3,0)*Z75</f>
        <v>951.53707568450056</v>
      </c>
      <c r="CA75">
        <f>VLOOKUP($H75,'1. Set Program Names'!$B$2:$D$15,3,0)*AA75</f>
        <v>923.3138932664948</v>
      </c>
      <c r="CB75">
        <f>VLOOKUP($H75,'1. Set Program Names'!$B$2:$D$15,3,0)*AB75</f>
        <v>900.74315647634637</v>
      </c>
      <c r="CC75">
        <f>VLOOKUP($H75,'1. Set Program Names'!$B$2:$D$15,3,0)*AC75</f>
        <v>884.29339225557226</v>
      </c>
      <c r="CD75">
        <f>VLOOKUP($H75,'1. Set Program Names'!$B$2:$D$15,3,0)*AD75</f>
        <v>872.99916992417809</v>
      </c>
      <c r="CE75">
        <f>VLOOKUP($H75,'1. Set Program Names'!$B$2:$D$15,3,0)*AE75</f>
        <v>865.86111933509733</v>
      </c>
    </row>
    <row r="76" spans="1:83" x14ac:dyDescent="0.25">
      <c r="A76" s="20" t="s">
        <v>87</v>
      </c>
      <c r="B76" s="20" t="s">
        <v>88</v>
      </c>
      <c r="C76" s="20" t="s">
        <v>89</v>
      </c>
      <c r="D76" s="20" t="s">
        <v>90</v>
      </c>
      <c r="E76" s="20" t="s">
        <v>91</v>
      </c>
      <c r="F76" s="20" t="s">
        <v>90</v>
      </c>
      <c r="G76" s="20" t="s">
        <v>92</v>
      </c>
      <c r="H76" s="20" t="s">
        <v>7</v>
      </c>
      <c r="I76" s="20" t="s">
        <v>96</v>
      </c>
      <c r="J76" s="20" t="s">
        <v>97</v>
      </c>
      <c r="K76" s="20" t="s">
        <v>98</v>
      </c>
      <c r="L76" s="20">
        <v>5868.07</v>
      </c>
      <c r="M76" s="20">
        <v>0.20813520080661799</v>
      </c>
      <c r="N76" s="20">
        <v>1.1349578069705</v>
      </c>
      <c r="O76" s="20">
        <v>1935.1666666666599</v>
      </c>
      <c r="P76" s="20">
        <v>513.45064263862798</v>
      </c>
      <c r="Q76" s="20">
        <v>1692.2011207744099</v>
      </c>
      <c r="R76" s="20">
        <v>3388.0400735263802</v>
      </c>
      <c r="S76" s="20">
        <v>7811.7411984889604</v>
      </c>
      <c r="T76" s="20">
        <v>16</v>
      </c>
      <c r="U76" s="20">
        <v>0.1</v>
      </c>
      <c r="V76" s="20">
        <v>45156.892441113698</v>
      </c>
      <c r="W76" s="20">
        <v>47833.142445536701</v>
      </c>
      <c r="X76" s="20">
        <v>50469.409352955598</v>
      </c>
      <c r="Y76" s="20">
        <v>53150.142249579701</v>
      </c>
      <c r="Z76" s="20">
        <v>55872.076310802899</v>
      </c>
      <c r="AA76" s="20">
        <v>58472.992028387998</v>
      </c>
      <c r="AB76" s="20">
        <v>61386.128192589902</v>
      </c>
      <c r="AC76" s="20">
        <v>64732.157891890303</v>
      </c>
      <c r="AD76" s="20">
        <v>68535.901858009005</v>
      </c>
      <c r="AE76" s="20">
        <v>72806.7951418593</v>
      </c>
      <c r="AF76" t="str">
        <f t="shared" si="5"/>
        <v>Residential</v>
      </c>
      <c r="AG76" t="str">
        <f>tbl_Data_old[[#This Row],[All_Meas_Name_Append]]</f>
        <v>ASHP - CEE Tier 2: 16.8 SEER/16 SEER2; 9.0 HSPF (from elec resistance)</v>
      </c>
      <c r="AH76">
        <f>AVERAGEIFS('3. Incentive Adjustment'!G:G,'3. Incentive Adjustment'!A:A,tbl_Data_old[[#This Row],[Trimmed Sector]],'3. Incentive Adjustment'!B:B,tbl_Data_old[[#This Row],[Trimmed Measure Name]])</f>
        <v>0.9303958662075158</v>
      </c>
      <c r="AI76">
        <f>$AH76*tbl_Data_old[[#This Row],[2025 ]]</f>
        <v>42013.786057989601</v>
      </c>
      <c r="AJ76">
        <f>$AH76*tbl_Data_old[[#This Row],[2026 ]]</f>
        <v>44503.757999042609</v>
      </c>
      <c r="AK76">
        <f>$AH76*tbl_Data_old[[#This Row],[2027 ]]</f>
        <v>46956.529831924825</v>
      </c>
      <c r="AL76">
        <f>$AH76*tbl_Data_old[[#This Row],[2028 ]]</f>
        <v>49450.672637350392</v>
      </c>
      <c r="AM76">
        <f>$AH76*tbl_Data_old[[#This Row],[2029 ]]</f>
        <v>51983.148836001885</v>
      </c>
      <c r="AN76">
        <f>$AH76*tbl_Data_old[[#This Row],[2030 ]]</f>
        <v>54403.030067997221</v>
      </c>
      <c r="AO76">
        <f>$AH76*tbl_Data_old[[#This Row],[2031 ]]</f>
        <v>57113.399912870285</v>
      </c>
      <c r="AP76">
        <f>$AH76*tbl_Data_old[[#This Row],[2032 ]]</f>
        <v>60226.532113306959</v>
      </c>
      <c r="AQ76">
        <f>$AH76*tbl_Data_old[[#This Row],[2033 ]]</f>
        <v>63765.519775495581</v>
      </c>
      <c r="AR76">
        <f>$AH76*tbl_Data_old[[#This Row],[2034 ]]</f>
        <v>67739.14123180334</v>
      </c>
      <c r="AS76">
        <f>SUM(tbl_Data_old[[#This Row],[Adjusted 2025]:[Adjusted 2034]])</f>
        <v>538155.51846378273</v>
      </c>
      <c r="AT76" s="3">
        <f>AVERAGEIFS('3. Incentive Adjustment'!F:F,'3. Incentive Adjustment'!A:A,tbl_Data_old[[#This Row],[Trimmed Sector]],'3. Incentive Adjustment'!B:B,tbl_Data_old[[#This Row],[Trimmed Measure Name]])</f>
        <v>353</v>
      </c>
      <c r="AU76" s="3">
        <f>IFERROR(VLOOKUP(tbl_Data_old[[#This Row],[All_Meas_Name_Append]],'IRA Tax Credits'!$A$3:$D$46,4,0),0)</f>
        <v>0</v>
      </c>
      <c r="AV76" s="4">
        <f>tbl_Data_old[[#This Row],[Adj. per unit Incentive ($)]]/tbl_Data_old[[#This Row],[kWh Savings]]*tbl_Data_old[[#This Row],[Sum of Annuals]]</f>
        <v>32373.31831721764</v>
      </c>
      <c r="AW76" s="4">
        <f>IFERROR(VLOOKUP(tbl_Data_old[[#This Row],[All_Programs]],'1. Set Program Names'!$B$2:$D$15,3,0)*tbl_Data_old[[#This Row],[Sum of Annuals]],"")</f>
        <v>232785.40597556336</v>
      </c>
      <c r="AX76" s="4">
        <f>tbl_Data_old[[#This Row],[per unit IRA tax ($)]]/tbl_Data_old[[#This Row],[kWh Savings]]*tbl_Data_old[[#This Row],[Sum of Annuals]]</f>
        <v>0</v>
      </c>
      <c r="AY76" s="4">
        <f>tbl_Data_old[[#This Row],[Avoided Costs ($/unit)]]/tbl_Data_old[[#This Row],[kWh Savings]]*tbl_Data_old[[#This Row],[Sum of Annuals]]</f>
        <v>310714.16365937382</v>
      </c>
      <c r="AZ76" s="4">
        <f>tbl_Data_old[[#This Row],[Lost Revenue ($/unit)]]/tbl_Data_old[[#This Row],[kWh Savings]]*tbl_Data_old[[#This Row],[Sum of Annuals]]</f>
        <v>716407.88790483389</v>
      </c>
      <c r="BA76" s="4">
        <f>tbl_Data_old[[#This Row],[Incremental Cost ($/unit)]]/tbl_Data_old[[#This Row],[kWh Savings]]*tbl_Data_old[[#This Row],[Sum of Annuals]]</f>
        <v>177472.42633673878</v>
      </c>
      <c r="BB76">
        <f>ROUNDUP(tbl_Data_old[[#This Row],[Adjusted 2025]]/$L76,0)</f>
        <v>8</v>
      </c>
      <c r="BC76">
        <f>ROUNDUP(tbl_Data_old[[#This Row],[Adjusted 2026]]/$L76,0)</f>
        <v>8</v>
      </c>
      <c r="BD76">
        <f>ROUNDUP(tbl_Data_old[[#This Row],[Adjusted 2027]]/$L76,0)</f>
        <v>9</v>
      </c>
      <c r="BE76">
        <f>ROUNDUP(tbl_Data_old[[#This Row],[Adjusted 2028]]/$L76,0)</f>
        <v>9</v>
      </c>
      <c r="BF76">
        <f>ROUNDUP(tbl_Data_old[[#This Row],[Adjusted 2029]]/$L76,0)</f>
        <v>9</v>
      </c>
      <c r="BG76">
        <f>ROUNDUP(tbl_Data_old[[#This Row],[Adjusted 2030]]/$L76,0)</f>
        <v>10</v>
      </c>
      <c r="BH76">
        <f>ROUNDUP(tbl_Data_old[[#This Row],[Adjusted 2031]]/$L76,0)</f>
        <v>10</v>
      </c>
      <c r="BI76">
        <f>ROUNDUP(tbl_Data_old[[#This Row],[Adjusted 2032]]/$L76,0)</f>
        <v>11</v>
      </c>
      <c r="BJ76">
        <f>ROUNDUP(tbl_Data_old[[#This Row],[Adjusted 2033]]/$L76,0)</f>
        <v>11</v>
      </c>
      <c r="BK76">
        <f>ROUNDUP(tbl_Data_old[[#This Row],[Adjusted 2034]]/$L76,0)</f>
        <v>12</v>
      </c>
      <c r="BL76" s="3">
        <f t="shared" ref="BL76:BU101" si="6">$AT76/$L76*V76</f>
        <v>2716.4609542342091</v>
      </c>
      <c r="BM76" s="3">
        <f t="shared" si="6"/>
        <v>2877.453623299391</v>
      </c>
      <c r="BN76" s="3">
        <f t="shared" si="6"/>
        <v>3036.0410665846398</v>
      </c>
      <c r="BO76" s="3">
        <f t="shared" si="6"/>
        <v>3197.3034088041954</v>
      </c>
      <c r="BP76" s="3">
        <f t="shared" si="6"/>
        <v>3361.0442509570307</v>
      </c>
      <c r="BQ76" s="3">
        <f t="shared" si="6"/>
        <v>3517.5051057708861</v>
      </c>
      <c r="BR76" s="3">
        <f t="shared" si="6"/>
        <v>3692.7479140474188</v>
      </c>
      <c r="BS76" s="3">
        <f t="shared" si="6"/>
        <v>3894.0318939339986</v>
      </c>
      <c r="BT76" s="3">
        <f t="shared" si="6"/>
        <v>4122.850162979852</v>
      </c>
      <c r="BU76" s="3">
        <f t="shared" si="6"/>
        <v>4379.7702967204441</v>
      </c>
      <c r="BV76">
        <f>VLOOKUP($H76,'1. Set Program Names'!$B$2:$D$15,3,0)*V76</f>
        <v>19533.137130149</v>
      </c>
      <c r="BW76">
        <f>VLOOKUP($H76,'1. Set Program Names'!$B$2:$D$15,3,0)*W76</f>
        <v>20690.780083528171</v>
      </c>
      <c r="BX76">
        <f>VLOOKUP($H76,'1. Set Program Names'!$B$2:$D$15,3,0)*X76</f>
        <v>21831.127884950467</v>
      </c>
      <c r="BY76">
        <f>VLOOKUP($H76,'1. Set Program Names'!$B$2:$D$15,3,0)*Y76</f>
        <v>22990.709965301627</v>
      </c>
      <c r="BZ76">
        <f>VLOOKUP($H76,'1. Set Program Names'!$B$2:$D$15,3,0)*Z76</f>
        <v>24168.114086863556</v>
      </c>
      <c r="CA76">
        <f>VLOOKUP($H76,'1. Set Program Names'!$B$2:$D$15,3,0)*AA76</f>
        <v>25293.170321452773</v>
      </c>
      <c r="CB76">
        <f>VLOOKUP($H76,'1. Set Program Names'!$B$2:$D$15,3,0)*AB76</f>
        <v>26553.281128421062</v>
      </c>
      <c r="CC76">
        <f>VLOOKUP($H76,'1. Set Program Names'!$B$2:$D$15,3,0)*AC76</f>
        <v>28000.645050622217</v>
      </c>
      <c r="CD76">
        <f>VLOOKUP($H76,'1. Set Program Names'!$B$2:$D$15,3,0)*AD76</f>
        <v>29645.99858319894</v>
      </c>
      <c r="CE76">
        <f>VLOOKUP($H76,'1. Set Program Names'!$B$2:$D$15,3,0)*AE76</f>
        <v>31493.422966762715</v>
      </c>
    </row>
    <row r="77" spans="1:83" x14ac:dyDescent="0.25">
      <c r="A77" s="20" t="s">
        <v>87</v>
      </c>
      <c r="B77" s="20" t="s">
        <v>88</v>
      </c>
      <c r="C77" s="20" t="s">
        <v>89</v>
      </c>
      <c r="D77" s="20" t="s">
        <v>90</v>
      </c>
      <c r="E77" s="20" t="s">
        <v>91</v>
      </c>
      <c r="F77" s="20" t="s">
        <v>90</v>
      </c>
      <c r="G77" s="20" t="s">
        <v>92</v>
      </c>
      <c r="H77" s="20" t="s">
        <v>7</v>
      </c>
      <c r="I77" s="20" t="s">
        <v>99</v>
      </c>
      <c r="J77" s="20" t="s">
        <v>97</v>
      </c>
      <c r="K77" s="20" t="s">
        <v>98</v>
      </c>
      <c r="L77" s="20">
        <v>253.96999999999801</v>
      </c>
      <c r="M77" s="20">
        <v>0.107126245482503</v>
      </c>
      <c r="N77" s="20">
        <v>1.33192706841354E-2</v>
      </c>
      <c r="O77" s="20">
        <v>874.99999999999898</v>
      </c>
      <c r="P77" s="20">
        <v>813.468148399999</v>
      </c>
      <c r="Q77" s="20">
        <v>73.238444436258604</v>
      </c>
      <c r="R77" s="20">
        <v>185.54516688855901</v>
      </c>
      <c r="S77" s="20">
        <v>338.09206641710699</v>
      </c>
      <c r="T77" s="20">
        <v>16</v>
      </c>
      <c r="U77" s="20">
        <v>9.9999999999999895E-2</v>
      </c>
      <c r="V77" s="20">
        <v>6403.4953372358796</v>
      </c>
      <c r="W77" s="20">
        <v>7162.1265099292104</v>
      </c>
      <c r="X77" s="20">
        <v>7871.68929935919</v>
      </c>
      <c r="Y77" s="20">
        <v>8551.8101162827297</v>
      </c>
      <c r="Z77" s="20">
        <v>9208.0744238273401</v>
      </c>
      <c r="AA77" s="20">
        <v>9818.2550129053798</v>
      </c>
      <c r="AB77" s="20">
        <v>10459.216306586401</v>
      </c>
      <c r="AC77" s="20">
        <v>11157.3068976962</v>
      </c>
      <c r="AD77" s="20">
        <v>11921.8498089774</v>
      </c>
      <c r="AE77" s="20">
        <v>12758.590910515501</v>
      </c>
      <c r="AF77" t="str">
        <f t="shared" si="5"/>
        <v>Residential</v>
      </c>
      <c r="AG77" t="str">
        <f>tbl_Data_old[[#This Row],[All_Meas_Name_Append]]</f>
        <v>ASHP - ENERGY STAR/CEE Tier 1: 16 SEER/15.2 SEER2_ 9.0 HSPF</v>
      </c>
      <c r="AH77">
        <f>AVERAGEIFS('3. Incentive Adjustment'!G:G,'3. Incentive Adjustment'!A:A,tbl_Data_old[[#This Row],[Trimmed Sector]],'3. Incentive Adjustment'!B:B,tbl_Data_old[[#This Row],[Trimmed Measure Name]])</f>
        <v>8.3636985731950567E-3</v>
      </c>
      <c r="AI77">
        <f>$AH77*tbl_Data_old[[#This Row],[2025 ]]</f>
        <v>53.556904815500921</v>
      </c>
      <c r="AJ77">
        <f>$AH77*tbl_Data_old[[#This Row],[2026 ]]</f>
        <v>59.90186727213743</v>
      </c>
      <c r="AK77">
        <f>$AH77*tbl_Data_old[[#This Row],[2027 ]]</f>
        <v>65.836436561685247</v>
      </c>
      <c r="AL77">
        <f>$AH77*tbl_Data_old[[#This Row],[2028 ]]</f>
        <v>71.524762067788913</v>
      </c>
      <c r="AM77">
        <f>$AH77*tbl_Data_old[[#This Row],[2029 ]]</f>
        <v>77.013558920438612</v>
      </c>
      <c r="AN77">
        <f>$AH77*tbl_Data_old[[#This Row],[2030 ]]</f>
        <v>82.116925442701941</v>
      </c>
      <c r="AO77">
        <f>$AH77*tbl_Data_old[[#This Row],[2031 ]]</f>
        <v>87.477732500135147</v>
      </c>
      <c r="AP77">
        <f>$AH77*tbl_Data_old[[#This Row],[2032 ]]</f>
        <v>93.316351780961071</v>
      </c>
      <c r="AQ77">
        <f>$AH77*tbl_Data_old[[#This Row],[2033 ]]</f>
        <v>99.710758237190035</v>
      </c>
      <c r="AR77">
        <f>$AH77*tbl_Data_old[[#This Row],[2034 ]]</f>
        <v>106.70900859425791</v>
      </c>
      <c r="AS77">
        <f>SUM(tbl_Data_old[[#This Row],[Adjusted 2025]:[Adjusted 2034]])</f>
        <v>797.16430619279731</v>
      </c>
      <c r="AT77" s="3">
        <f>AVERAGEIFS('3. Incentive Adjustment'!F:F,'3. Incentive Adjustment'!A:A,tbl_Data_old[[#This Row],[Trimmed Sector]],'3. Incentive Adjustment'!B:B,tbl_Data_old[[#This Row],[Trimmed Measure Name]])</f>
        <v>353</v>
      </c>
      <c r="AU77" s="3">
        <f>IFERROR(VLOOKUP(tbl_Data_old[[#This Row],[All_Meas_Name_Append]],'IRA Tax Credits'!$A$3:$D$46,4,0),0)</f>
        <v>0</v>
      </c>
      <c r="AV77" s="4">
        <f>tbl_Data_old[[#This Row],[Adj. per unit Incentive ($)]]/tbl_Data_old[[#This Row],[kWh Savings]]*tbl_Data_old[[#This Row],[Sum of Annuals]]</f>
        <v>1108.0009453323607</v>
      </c>
      <c r="AW77" s="4">
        <f>IFERROR(VLOOKUP(tbl_Data_old[[#This Row],[All_Programs]],'1. Set Program Names'!$B$2:$D$15,3,0)*tbl_Data_old[[#This Row],[Sum of Annuals]],"")</f>
        <v>344.82265865458584</v>
      </c>
      <c r="AX77" s="4">
        <f>tbl_Data_old[[#This Row],[per unit IRA tax ($)]]/tbl_Data_old[[#This Row],[kWh Savings]]*tbl_Data_old[[#This Row],[Sum of Annuals]]</f>
        <v>0</v>
      </c>
      <c r="AY77" s="4">
        <f>tbl_Data_old[[#This Row],[Avoided Costs ($/unit)]]/tbl_Data_old[[#This Row],[kWh Savings]]*tbl_Data_old[[#This Row],[Sum of Annuals]]</f>
        <v>582.39155896423233</v>
      </c>
      <c r="AZ77" s="4">
        <f>tbl_Data_old[[#This Row],[Lost Revenue ($/unit)]]/tbl_Data_old[[#This Row],[kWh Savings]]*tbl_Data_old[[#This Row],[Sum of Annuals]]</f>
        <v>1061.2077314434159</v>
      </c>
      <c r="BA77" s="4">
        <f>tbl_Data_old[[#This Row],[Incremental Cost ($/unit)]]/tbl_Data_old[[#This Row],[kWh Savings]]*tbl_Data_old[[#This Row],[Sum of Annuals]]</f>
        <v>2746.4612667586816</v>
      </c>
      <c r="BB77">
        <f>ROUNDUP(tbl_Data_old[[#This Row],[Adjusted 2025]]/$L77,0)</f>
        <v>1</v>
      </c>
      <c r="BC77">
        <f>ROUNDUP(tbl_Data_old[[#This Row],[Adjusted 2026]]/$L77,0)</f>
        <v>1</v>
      </c>
      <c r="BD77">
        <f>ROUNDUP(tbl_Data_old[[#This Row],[Adjusted 2027]]/$L77,0)</f>
        <v>1</v>
      </c>
      <c r="BE77">
        <f>ROUNDUP(tbl_Data_old[[#This Row],[Adjusted 2028]]/$L77,0)</f>
        <v>1</v>
      </c>
      <c r="BF77">
        <f>ROUNDUP(tbl_Data_old[[#This Row],[Adjusted 2029]]/$L77,0)</f>
        <v>1</v>
      </c>
      <c r="BG77">
        <f>ROUNDUP(tbl_Data_old[[#This Row],[Adjusted 2030]]/$L77,0)</f>
        <v>1</v>
      </c>
      <c r="BH77">
        <f>ROUNDUP(tbl_Data_old[[#This Row],[Adjusted 2031]]/$L77,0)</f>
        <v>1</v>
      </c>
      <c r="BI77">
        <f>ROUNDUP(tbl_Data_old[[#This Row],[Adjusted 2032]]/$L77,0)</f>
        <v>1</v>
      </c>
      <c r="BJ77">
        <f>ROUNDUP(tbl_Data_old[[#This Row],[Adjusted 2033]]/$L77,0)</f>
        <v>1</v>
      </c>
      <c r="BK77">
        <f>ROUNDUP(tbl_Data_old[[#This Row],[Adjusted 2034]]/$L77,0)</f>
        <v>1</v>
      </c>
      <c r="BL77" s="3">
        <f t="shared" si="6"/>
        <v>8900.3971100692343</v>
      </c>
      <c r="BM77" s="3">
        <f t="shared" si="6"/>
        <v>9954.8397763713474</v>
      </c>
      <c r="BN77" s="3">
        <f t="shared" si="6"/>
        <v>10941.080925596787</v>
      </c>
      <c r="BO77" s="3">
        <f t="shared" si="6"/>
        <v>11886.39985450182</v>
      </c>
      <c r="BP77" s="3">
        <f t="shared" si="6"/>
        <v>12798.559954368928</v>
      </c>
      <c r="BQ77" s="3">
        <f t="shared" si="6"/>
        <v>13646.667006164611</v>
      </c>
      <c r="BR77" s="3">
        <f t="shared" si="6"/>
        <v>14537.557019431541</v>
      </c>
      <c r="BS77" s="3">
        <f t="shared" si="6"/>
        <v>15507.852639629837</v>
      </c>
      <c r="BT77" s="3">
        <f t="shared" si="6"/>
        <v>16570.512196594304</v>
      </c>
      <c r="BU77" s="3">
        <f t="shared" si="6"/>
        <v>17733.522035720784</v>
      </c>
      <c r="BV77">
        <f>VLOOKUP($H77,'1. Set Program Names'!$B$2:$D$15,3,0)*V77</f>
        <v>2769.9061156081029</v>
      </c>
      <c r="BW77">
        <f>VLOOKUP($H77,'1. Set Program Names'!$B$2:$D$15,3,0)*W77</f>
        <v>3098.0608208227809</v>
      </c>
      <c r="BX77">
        <f>VLOOKUP($H77,'1. Set Program Names'!$B$2:$D$15,3,0)*X77</f>
        <v>3404.9904282234843</v>
      </c>
      <c r="BY77">
        <f>VLOOKUP($H77,'1. Set Program Names'!$B$2:$D$15,3,0)*Y77</f>
        <v>3699.1845692255579</v>
      </c>
      <c r="BZ77">
        <f>VLOOKUP($H77,'1. Set Program Names'!$B$2:$D$15,3,0)*Z77</f>
        <v>3983.0593006324516</v>
      </c>
      <c r="CA77">
        <f>VLOOKUP($H77,'1. Set Program Names'!$B$2:$D$15,3,0)*AA77</f>
        <v>4246.9999855712776</v>
      </c>
      <c r="CB77">
        <f>VLOOKUP($H77,'1. Set Program Names'!$B$2:$D$15,3,0)*AB77</f>
        <v>4524.2552209911119</v>
      </c>
      <c r="CC77">
        <f>VLOOKUP($H77,'1. Set Program Names'!$B$2:$D$15,3,0)*AC77</f>
        <v>4826.2223960618103</v>
      </c>
      <c r="CD77">
        <f>VLOOKUP($H77,'1. Set Program Names'!$B$2:$D$15,3,0)*AD77</f>
        <v>5156.93429231139</v>
      </c>
      <c r="CE77">
        <f>VLOOKUP($H77,'1. Set Program Names'!$B$2:$D$15,3,0)*AE77</f>
        <v>5518.8763524318701</v>
      </c>
    </row>
    <row r="78" spans="1:83" x14ac:dyDescent="0.25">
      <c r="A78" s="20" t="s">
        <v>87</v>
      </c>
      <c r="B78" s="20" t="s">
        <v>88</v>
      </c>
      <c r="C78" s="20" t="s">
        <v>89</v>
      </c>
      <c r="D78" s="20" t="s">
        <v>90</v>
      </c>
      <c r="E78" s="20" t="s">
        <v>91</v>
      </c>
      <c r="F78" s="20" t="s">
        <v>90</v>
      </c>
      <c r="G78" s="20" t="s">
        <v>92</v>
      </c>
      <c r="H78" s="20" t="s">
        <v>7</v>
      </c>
      <c r="I78" s="20" t="s">
        <v>100</v>
      </c>
      <c r="J78" s="20" t="s">
        <v>101</v>
      </c>
      <c r="K78" s="20" t="s">
        <v>102</v>
      </c>
      <c r="L78" s="20">
        <v>3443.6666666666601</v>
      </c>
      <c r="M78" s="20">
        <v>1.66949913665645</v>
      </c>
      <c r="N78" s="20">
        <v>0.25022957227107101</v>
      </c>
      <c r="O78" s="20">
        <v>1269.26999999999</v>
      </c>
      <c r="P78" s="20">
        <v>446.40188399649003</v>
      </c>
      <c r="Q78" s="20">
        <v>993.06528260685695</v>
      </c>
      <c r="R78" s="20">
        <v>3363.3816217672702</v>
      </c>
      <c r="S78" s="20">
        <v>6252.5618237134204</v>
      </c>
      <c r="T78" s="20">
        <v>30</v>
      </c>
      <c r="U78" s="20">
        <v>0.1</v>
      </c>
      <c r="V78" s="20">
        <v>934.18477375556097</v>
      </c>
      <c r="W78" s="20">
        <v>904.09568951013705</v>
      </c>
      <c r="X78" s="20">
        <v>875.68958420230899</v>
      </c>
      <c r="Y78" s="20">
        <v>849.86625817965501</v>
      </c>
      <c r="Z78" s="20">
        <v>825.95152275885903</v>
      </c>
      <c r="AA78" s="20">
        <v>801.26157870652298</v>
      </c>
      <c r="AB78" s="20">
        <v>781.43827675307296</v>
      </c>
      <c r="AC78" s="20">
        <v>766.88786576922496</v>
      </c>
      <c r="AD78" s="20">
        <v>756.77112637076198</v>
      </c>
      <c r="AE78" s="20">
        <v>750.21887690871904</v>
      </c>
      <c r="AF78" t="str">
        <f t="shared" si="5"/>
        <v>Residential</v>
      </c>
      <c r="AG78" t="str">
        <f>tbl_Data_old[[#This Row],[All_Meas_Name_Append]]</f>
        <v>Ceiling Insulation(R2 to R38) Residential</v>
      </c>
      <c r="AH78">
        <f>AVERAGEIFS('3. Incentive Adjustment'!G:G,'3. Incentive Adjustment'!A:A,tbl_Data_old[[#This Row],[Trimmed Sector]],'3. Incentive Adjustment'!B:B,tbl_Data_old[[#This Row],[Trimmed Measure Name]])</f>
        <v>0.80543313072084111</v>
      </c>
      <c r="AI78">
        <f>$AH78*tbl_Data_old[[#This Row],[2025 ]]</f>
        <v>752.42336699768214</v>
      </c>
      <c r="AJ78">
        <f>$AH78*tbl_Data_old[[#This Row],[2026 ]]</f>
        <v>728.18862167336715</v>
      </c>
      <c r="AK78">
        <f>$AH78*tbl_Data_old[[#This Row],[2027 ]]</f>
        <v>705.30940334369734</v>
      </c>
      <c r="AL78">
        <f>$AH78*tbl_Data_old[[#This Row],[2028 ]]</f>
        <v>684.51044101964612</v>
      </c>
      <c r="AM78">
        <f>$AH78*tbl_Data_old[[#This Row],[2029 ]]</f>
        <v>665.2487207993139</v>
      </c>
      <c r="AN78">
        <f>$AH78*tbl_Data_old[[#This Row],[2030 ]]</f>
        <v>645.36262186391843</v>
      </c>
      <c r="AO78">
        <f>$AH78*tbl_Data_old[[#This Row],[2031 ]]</f>
        <v>629.39627771032667</v>
      </c>
      <c r="AP78">
        <f>$AH78*tbl_Data_old[[#This Row],[2032 ]]</f>
        <v>617.67689463833096</v>
      </c>
      <c r="AQ78">
        <f>$AH78*tbl_Data_old[[#This Row],[2033 ]]</f>
        <v>609.52853755194008</v>
      </c>
      <c r="AR78">
        <f>$AH78*tbl_Data_old[[#This Row],[2034 ]]</f>
        <v>604.25113875446289</v>
      </c>
      <c r="AS78">
        <f>SUM(tbl_Data_old[[#This Row],[Adjusted 2025]:[Adjusted 2034]])</f>
        <v>6641.8960243526863</v>
      </c>
      <c r="AT78" s="3">
        <f>AVERAGEIFS('3. Incentive Adjustment'!F:F,'3. Incentive Adjustment'!A:A,tbl_Data_old[[#This Row],[Trimmed Sector]],'3. Incentive Adjustment'!B:B,tbl_Data_old[[#This Row],[Trimmed Measure Name]])</f>
        <v>164</v>
      </c>
      <c r="AU78" s="3">
        <f>IFERROR(VLOOKUP(tbl_Data_old[[#This Row],[All_Meas_Name_Append]],'IRA Tax Credits'!$A$3:$D$46,4,0),0)</f>
        <v>0</v>
      </c>
      <c r="AV78" s="4">
        <f>tbl_Data_old[[#This Row],[Adj. per unit Incentive ($)]]/tbl_Data_old[[#This Row],[kWh Savings]]*tbl_Data_old[[#This Row],[Sum of Annuals]]</f>
        <v>316.31137779319789</v>
      </c>
      <c r="AW78" s="4">
        <f>IFERROR(VLOOKUP(tbl_Data_old[[#This Row],[All_Programs]],'1. Set Program Names'!$B$2:$D$15,3,0)*tbl_Data_old[[#This Row],[Sum of Annuals]],"")</f>
        <v>2873.0290955484711</v>
      </c>
      <c r="AX78" s="4">
        <f>tbl_Data_old[[#This Row],[per unit IRA tax ($)]]/tbl_Data_old[[#This Row],[kWh Savings]]*tbl_Data_old[[#This Row],[Sum of Annuals]]</f>
        <v>0</v>
      </c>
      <c r="AY78" s="4">
        <f>tbl_Data_old[[#This Row],[Avoided Costs ($/unit)]]/tbl_Data_old[[#This Row],[kWh Savings]]*tbl_Data_old[[#This Row],[Sum of Annuals]]</f>
        <v>6487.0480172288153</v>
      </c>
      <c r="AZ78" s="4">
        <f>tbl_Data_old[[#This Row],[Lost Revenue ($/unit)]]/tbl_Data_old[[#This Row],[kWh Savings]]*tbl_Data_old[[#This Row],[Sum of Annuals]]</f>
        <v>12059.490519487454</v>
      </c>
      <c r="BA78" s="4">
        <f>tbl_Data_old[[#This Row],[Incremental Cost ($/unit)]]/tbl_Data_old[[#This Row],[kWh Savings]]*tbl_Data_old[[#This Row],[Sum of Annuals]]</f>
        <v>2448.076478607129</v>
      </c>
      <c r="BB78">
        <f>ROUNDUP(tbl_Data_old[[#This Row],[Adjusted 2025]]/$L78,0)</f>
        <v>1</v>
      </c>
      <c r="BC78">
        <f>ROUNDUP(tbl_Data_old[[#This Row],[Adjusted 2026]]/$L78,0)</f>
        <v>1</v>
      </c>
      <c r="BD78">
        <f>ROUNDUP(tbl_Data_old[[#This Row],[Adjusted 2027]]/$L78,0)</f>
        <v>1</v>
      </c>
      <c r="BE78">
        <f>ROUNDUP(tbl_Data_old[[#This Row],[Adjusted 2028]]/$L78,0)</f>
        <v>1</v>
      </c>
      <c r="BF78">
        <f>ROUNDUP(tbl_Data_old[[#This Row],[Adjusted 2029]]/$L78,0)</f>
        <v>1</v>
      </c>
      <c r="BG78">
        <f>ROUNDUP(tbl_Data_old[[#This Row],[Adjusted 2030]]/$L78,0)</f>
        <v>1</v>
      </c>
      <c r="BH78">
        <f>ROUNDUP(tbl_Data_old[[#This Row],[Adjusted 2031]]/$L78,0)</f>
        <v>1</v>
      </c>
      <c r="BI78">
        <f>ROUNDUP(tbl_Data_old[[#This Row],[Adjusted 2032]]/$L78,0)</f>
        <v>1</v>
      </c>
      <c r="BJ78">
        <f>ROUNDUP(tbl_Data_old[[#This Row],[Adjusted 2033]]/$L78,0)</f>
        <v>1</v>
      </c>
      <c r="BK78">
        <f>ROUNDUP(tbl_Data_old[[#This Row],[Adjusted 2034]]/$L78,0)</f>
        <v>1</v>
      </c>
      <c r="BL78" s="3">
        <f t="shared" si="6"/>
        <v>44.489295197728858</v>
      </c>
      <c r="BM78" s="3">
        <f t="shared" si="6"/>
        <v>43.056342971540822</v>
      </c>
      <c r="BN78" s="3">
        <f t="shared" si="6"/>
        <v>41.703540356939001</v>
      </c>
      <c r="BO78" s="3">
        <f t="shared" si="6"/>
        <v>40.473739137004266</v>
      </c>
      <c r="BP78" s="3">
        <f t="shared" si="6"/>
        <v>39.33483198115956</v>
      </c>
      <c r="BQ78" s="3">
        <f t="shared" si="6"/>
        <v>38.159006555377992</v>
      </c>
      <c r="BR78" s="3">
        <f t="shared" si="6"/>
        <v>37.214948423435544</v>
      </c>
      <c r="BS78" s="3">
        <f t="shared" si="6"/>
        <v>36.522004642189465</v>
      </c>
      <c r="BT78" s="3">
        <f t="shared" si="6"/>
        <v>36.040208515575991</v>
      </c>
      <c r="BU78" s="3">
        <f t="shared" si="6"/>
        <v>35.728166434913412</v>
      </c>
      <c r="BV78">
        <f>VLOOKUP($H78,'1. Set Program Names'!$B$2:$D$15,3,0)*V78</f>
        <v>404.09244977297988</v>
      </c>
      <c r="BW78">
        <f>VLOOKUP($H78,'1. Set Program Names'!$B$2:$D$15,3,0)*W78</f>
        <v>391.07706769253889</v>
      </c>
      <c r="BX78">
        <f>VLOOKUP($H78,'1. Set Program Names'!$B$2:$D$15,3,0)*X78</f>
        <v>378.78967765490916</v>
      </c>
      <c r="BY78">
        <f>VLOOKUP($H78,'1. Set Program Names'!$B$2:$D$15,3,0)*Y78</f>
        <v>367.61949872785351</v>
      </c>
      <c r="BZ78">
        <f>VLOOKUP($H78,'1. Set Program Names'!$B$2:$D$15,3,0)*Z78</f>
        <v>357.27490278350695</v>
      </c>
      <c r="CA78">
        <f>VLOOKUP($H78,'1. Set Program Names'!$B$2:$D$15,3,0)*AA78</f>
        <v>346.59498136201216</v>
      </c>
      <c r="CB78">
        <f>VLOOKUP($H78,'1. Set Program Names'!$B$2:$D$15,3,0)*AB78</f>
        <v>338.02018237791401</v>
      </c>
      <c r="CC78">
        <f>VLOOKUP($H78,'1. Set Program Names'!$B$2:$D$15,3,0)*AC78</f>
        <v>331.7262334880927</v>
      </c>
      <c r="CD78">
        <f>VLOOKUP($H78,'1. Set Program Names'!$B$2:$D$15,3,0)*AD78</f>
        <v>327.35012062253509</v>
      </c>
      <c r="CE78">
        <f>VLOOKUP($H78,'1. Set Program Names'!$B$2:$D$15,3,0)*AE78</f>
        <v>324.515869186391</v>
      </c>
    </row>
    <row r="79" spans="1:83" x14ac:dyDescent="0.25">
      <c r="A79" s="20" t="s">
        <v>87</v>
      </c>
      <c r="B79" s="20" t="s">
        <v>88</v>
      </c>
      <c r="C79" s="20" t="s">
        <v>89</v>
      </c>
      <c r="D79" s="20" t="s">
        <v>90</v>
      </c>
      <c r="E79" s="20" t="s">
        <v>91</v>
      </c>
      <c r="F79" s="20" t="s">
        <v>90</v>
      </c>
      <c r="G79" s="20" t="s">
        <v>92</v>
      </c>
      <c r="H79" s="20" t="s">
        <v>7</v>
      </c>
      <c r="I79" s="20" t="s">
        <v>103</v>
      </c>
      <c r="J79" s="20" t="s">
        <v>101</v>
      </c>
      <c r="K79" s="20" t="s">
        <v>102</v>
      </c>
      <c r="L79" s="20">
        <v>3523.57666666666</v>
      </c>
      <c r="M79" s="20">
        <v>1.7070465614975301</v>
      </c>
      <c r="N79" s="20">
        <v>0.25623328618049002</v>
      </c>
      <c r="O79" s="20">
        <v>1306.5999999999899</v>
      </c>
      <c r="P79" s="20">
        <v>465.31519597206898</v>
      </c>
      <c r="Q79" s="20">
        <v>1016.10928030304</v>
      </c>
      <c r="R79" s="20">
        <v>3440.61303289528</v>
      </c>
      <c r="S79" s="20">
        <v>6397.6520033667803</v>
      </c>
      <c r="T79" s="20">
        <v>30</v>
      </c>
      <c r="U79" s="20">
        <v>0.1</v>
      </c>
      <c r="V79" s="20">
        <v>956.08903221608796</v>
      </c>
      <c r="W79" s="20">
        <v>925.35556688192503</v>
      </c>
      <c r="X79" s="20">
        <v>896.33849905135799</v>
      </c>
      <c r="Y79" s="20">
        <v>869.95944738686501</v>
      </c>
      <c r="Z79" s="20">
        <v>845.52893267854904</v>
      </c>
      <c r="AA79" s="20">
        <v>820.29992818398102</v>
      </c>
      <c r="AB79" s="20">
        <v>800.04872193738095</v>
      </c>
      <c r="AC79" s="20">
        <v>785.19223941625398</v>
      </c>
      <c r="AD79" s="20">
        <v>774.872161867047</v>
      </c>
      <c r="AE79" s="20">
        <v>768.19925635988295</v>
      </c>
      <c r="AF79" t="str">
        <f t="shared" si="5"/>
        <v>Residential</v>
      </c>
      <c r="AG79" t="str">
        <f>tbl_Data_old[[#This Row],[All_Meas_Name_Append]]</f>
        <v>Ceiling Insulation(R2 to R49) Residential</v>
      </c>
      <c r="AH79">
        <f>AVERAGEIFS('3. Incentive Adjustment'!G:G,'3. Incentive Adjustment'!A:A,tbl_Data_old[[#This Row],[Trimmed Sector]],'3. Incentive Adjustment'!B:B,tbl_Data_old[[#This Row],[Trimmed Measure Name]])</f>
        <v>0.79801279130038982</v>
      </c>
      <c r="AI79">
        <f>$AH79*tbl_Data_old[[#This Row],[2025 ]]</f>
        <v>762.97127733044863</v>
      </c>
      <c r="AJ79">
        <f>$AH79*tbl_Data_old[[#This Row],[2026 ]]</f>
        <v>738.4455788727995</v>
      </c>
      <c r="AK79">
        <f>$AH79*tbl_Data_old[[#This Row],[2027 ]]</f>
        <v>715.28958757797602</v>
      </c>
      <c r="AL79">
        <f>$AH79*tbl_Data_old[[#This Row],[2028 ]]</f>
        <v>694.23876692733677</v>
      </c>
      <c r="AM79">
        <f>$AH79*tbl_Data_old[[#This Row],[2029 ]]</f>
        <v>674.74290369204834</v>
      </c>
      <c r="AN79">
        <f>$AH79*tbl_Data_old[[#This Row],[2030 ]]</f>
        <v>654.60983539360802</v>
      </c>
      <c r="AO79">
        <f>$AH79*tbl_Data_old[[#This Row],[2031 ]]</f>
        <v>638.44911376955883</v>
      </c>
      <c r="AP79">
        <f>$AH79*tbl_Data_old[[#This Row],[2032 ]]</f>
        <v>626.59345068396885</v>
      </c>
      <c r="AQ79">
        <f>$AH79*tbl_Data_old[[#This Row],[2033 ]]</f>
        <v>618.35789679248967</v>
      </c>
      <c r="AR79">
        <f>$AH79*tbl_Data_old[[#This Row],[2034 ]]</f>
        <v>613.03283284263398</v>
      </c>
      <c r="AS79">
        <f>SUM(tbl_Data_old[[#This Row],[Adjusted 2025]:[Adjusted 2034]])</f>
        <v>6736.7312438828676</v>
      </c>
      <c r="AT79" s="3">
        <f>AVERAGEIFS('3. Incentive Adjustment'!F:F,'3. Incentive Adjustment'!A:A,tbl_Data_old[[#This Row],[Trimmed Sector]],'3. Incentive Adjustment'!B:B,tbl_Data_old[[#This Row],[Trimmed Measure Name]])</f>
        <v>164</v>
      </c>
      <c r="AU79" s="3">
        <f>IFERROR(VLOOKUP(tbl_Data_old[[#This Row],[All_Meas_Name_Append]],'IRA Tax Credits'!$A$3:$D$46,4,0),0)</f>
        <v>0</v>
      </c>
      <c r="AV79" s="4">
        <f>tbl_Data_old[[#This Row],[Adj. per unit Incentive ($)]]/tbl_Data_old[[#This Row],[kWh Savings]]*tbl_Data_old[[#This Row],[Sum of Annuals]]</f>
        <v>313.55183341078401</v>
      </c>
      <c r="AW79" s="4">
        <f>IFERROR(VLOOKUP(tbl_Data_old[[#This Row],[All_Programs]],'1. Set Program Names'!$B$2:$D$15,3,0)*tbl_Data_old[[#This Row],[Sum of Annuals]],"")</f>
        <v>2914.0511687627973</v>
      </c>
      <c r="AX79" s="4">
        <f>tbl_Data_old[[#This Row],[per unit IRA tax ($)]]/tbl_Data_old[[#This Row],[kWh Savings]]*tbl_Data_old[[#This Row],[Sum of Annuals]]</f>
        <v>0</v>
      </c>
      <c r="AY79" s="4">
        <f>tbl_Data_old[[#This Row],[Avoided Costs ($/unit)]]/tbl_Data_old[[#This Row],[kWh Savings]]*tbl_Data_old[[#This Row],[Sum of Annuals]]</f>
        <v>6578.1129543984953</v>
      </c>
      <c r="AZ79" s="4">
        <f>tbl_Data_old[[#This Row],[Lost Revenue ($/unit)]]/tbl_Data_old[[#This Row],[kWh Savings]]*tbl_Data_old[[#This Row],[Sum of Annuals]]</f>
        <v>12231.679970608717</v>
      </c>
      <c r="BA79" s="4">
        <f>tbl_Data_old[[#This Row],[Incremental Cost ($/unit)]]/tbl_Data_old[[#This Row],[kWh Savings]]*tbl_Data_old[[#This Row],[Sum of Annuals]]</f>
        <v>2498.090399600776</v>
      </c>
      <c r="BB79">
        <f>ROUNDUP(tbl_Data_old[[#This Row],[Adjusted 2025]]/$L79,0)</f>
        <v>1</v>
      </c>
      <c r="BC79">
        <f>ROUNDUP(tbl_Data_old[[#This Row],[Adjusted 2026]]/$L79,0)</f>
        <v>1</v>
      </c>
      <c r="BD79">
        <f>ROUNDUP(tbl_Data_old[[#This Row],[Adjusted 2027]]/$L79,0)</f>
        <v>1</v>
      </c>
      <c r="BE79">
        <f>ROUNDUP(tbl_Data_old[[#This Row],[Adjusted 2028]]/$L79,0)</f>
        <v>1</v>
      </c>
      <c r="BF79">
        <f>ROUNDUP(tbl_Data_old[[#This Row],[Adjusted 2029]]/$L79,0)</f>
        <v>1</v>
      </c>
      <c r="BG79">
        <f>ROUNDUP(tbl_Data_old[[#This Row],[Adjusted 2030]]/$L79,0)</f>
        <v>1</v>
      </c>
      <c r="BH79">
        <f>ROUNDUP(tbl_Data_old[[#This Row],[Adjusted 2031]]/$L79,0)</f>
        <v>1</v>
      </c>
      <c r="BI79">
        <f>ROUNDUP(tbl_Data_old[[#This Row],[Adjusted 2032]]/$L79,0)</f>
        <v>1</v>
      </c>
      <c r="BJ79">
        <f>ROUNDUP(tbl_Data_old[[#This Row],[Adjusted 2033]]/$L79,0)</f>
        <v>1</v>
      </c>
      <c r="BK79">
        <f>ROUNDUP(tbl_Data_old[[#This Row],[Adjusted 2034]]/$L79,0)</f>
        <v>1</v>
      </c>
      <c r="BL79" s="3">
        <f t="shared" si="6"/>
        <v>44.499840961817789</v>
      </c>
      <c r="BM79" s="3">
        <f t="shared" si="6"/>
        <v>43.069394347023142</v>
      </c>
      <c r="BN79" s="3">
        <f t="shared" si="6"/>
        <v>41.718835078870519</v>
      </c>
      <c r="BO79" s="3">
        <f t="shared" si="6"/>
        <v>40.491058622662614</v>
      </c>
      <c r="BP79" s="3">
        <f t="shared" si="6"/>
        <v>39.353974122680924</v>
      </c>
      <c r="BQ79" s="3">
        <f t="shared" si="6"/>
        <v>38.179725020553867</v>
      </c>
      <c r="BR79" s="3">
        <f t="shared" si="6"/>
        <v>37.237160649566505</v>
      </c>
      <c r="BS79" s="3">
        <f t="shared" si="6"/>
        <v>36.545686229124925</v>
      </c>
      <c r="BT79" s="3">
        <f t="shared" si="6"/>
        <v>36.065352500592468</v>
      </c>
      <c r="BU79" s="3">
        <f t="shared" si="6"/>
        <v>35.754771347774764</v>
      </c>
      <c r="BV79">
        <f>VLOOKUP($H79,'1. Set Program Names'!$B$2:$D$15,3,0)*V79</f>
        <v>413.56739060956744</v>
      </c>
      <c r="BW79">
        <f>VLOOKUP($H79,'1. Set Program Names'!$B$2:$D$15,3,0)*W79</f>
        <v>400.27327402172369</v>
      </c>
      <c r="BX79">
        <f>VLOOKUP($H79,'1. Set Program Names'!$B$2:$D$15,3,0)*X79</f>
        <v>387.72160506468856</v>
      </c>
      <c r="BY79">
        <f>VLOOKUP($H79,'1. Set Program Names'!$B$2:$D$15,3,0)*Y79</f>
        <v>376.31104057117847</v>
      </c>
      <c r="BZ79">
        <f>VLOOKUP($H79,'1. Set Program Names'!$B$2:$D$15,3,0)*Z79</f>
        <v>365.74333831886003</v>
      </c>
      <c r="CA79">
        <f>VLOOKUP($H79,'1. Set Program Names'!$B$2:$D$15,3,0)*AA79</f>
        <v>354.83024005612697</v>
      </c>
      <c r="CB79">
        <f>VLOOKUP($H79,'1. Set Program Names'!$B$2:$D$15,3,0)*AB79</f>
        <v>346.07034611121907</v>
      </c>
      <c r="CC79">
        <f>VLOOKUP($H79,'1. Set Program Names'!$B$2:$D$15,3,0)*AC79</f>
        <v>339.64400243100988</v>
      </c>
      <c r="CD79">
        <f>VLOOKUP($H79,'1. Set Program Names'!$B$2:$D$15,3,0)*AD79</f>
        <v>335.17993329194536</v>
      </c>
      <c r="CE79">
        <f>VLOOKUP($H79,'1. Set Program Names'!$B$2:$D$15,3,0)*AE79</f>
        <v>332.29349068525067</v>
      </c>
    </row>
    <row r="80" spans="1:83" x14ac:dyDescent="0.25">
      <c r="A80" s="20" t="s">
        <v>87</v>
      </c>
      <c r="B80" s="20" t="s">
        <v>88</v>
      </c>
      <c r="C80" s="20" t="s">
        <v>89</v>
      </c>
      <c r="D80" s="20" t="s">
        <v>90</v>
      </c>
      <c r="E80" s="20" t="s">
        <v>91</v>
      </c>
      <c r="F80" s="20" t="s">
        <v>90</v>
      </c>
      <c r="G80" s="20" t="s">
        <v>92</v>
      </c>
      <c r="H80" s="20" t="s">
        <v>7</v>
      </c>
      <c r="I80" s="20" t="s">
        <v>296</v>
      </c>
      <c r="J80" s="20" t="s">
        <v>97</v>
      </c>
      <c r="K80" s="20" t="s">
        <v>102</v>
      </c>
      <c r="L80" s="20">
        <v>936.45</v>
      </c>
      <c r="M80" s="20">
        <v>0.42562333070119601</v>
      </c>
      <c r="N80" s="20">
        <v>3.9115067461125599E-2</v>
      </c>
      <c r="O80" s="53">
        <v>685.00999995999996</v>
      </c>
      <c r="P80" s="20">
        <v>458.12689399999903</v>
      </c>
      <c r="Q80" s="20">
        <v>270.04819975719403</v>
      </c>
      <c r="R80" s="20">
        <v>763.90764278946904</v>
      </c>
      <c r="S80" s="20">
        <v>1415.5155729468199</v>
      </c>
      <c r="T80" s="20">
        <v>20</v>
      </c>
      <c r="U80" s="20">
        <v>0.1</v>
      </c>
      <c r="V80" s="20">
        <v>10188.348686834201</v>
      </c>
      <c r="W80" s="20">
        <v>9861.0238169987406</v>
      </c>
      <c r="X80" s="20">
        <v>9552.2311074149002</v>
      </c>
      <c r="Y80" s="20">
        <v>9271.7617972090193</v>
      </c>
      <c r="Z80" s="20">
        <v>9012.2432431219295</v>
      </c>
      <c r="AA80" s="20">
        <v>8744.3738699095993</v>
      </c>
      <c r="AB80" s="20">
        <v>8529.7112194967904</v>
      </c>
      <c r="AC80" s="20">
        <v>8372.7061235266301</v>
      </c>
      <c r="AD80" s="20">
        <v>8264.2190098731207</v>
      </c>
      <c r="AE80" s="20">
        <v>8194.78178380602</v>
      </c>
      <c r="AF80" t="str">
        <f t="shared" si="5"/>
        <v>Residential</v>
      </c>
      <c r="AG80" t="str">
        <f>tbl_Data_old[[#This Row],[All_Meas_Name_Append]]</f>
        <v>Duct Repair</v>
      </c>
      <c r="AH80">
        <f>AVERAGEIFS('3. Incentive Adjustment'!G:G,'3. Incentive Adjustment'!A:A,tbl_Data_old[[#This Row],[Trimmed Sector]],'3. Incentive Adjustment'!B:B,tbl_Data_old[[#This Row],[Trimmed Measure Name]])</f>
        <v>0.36456477469769399</v>
      </c>
      <c r="AI80">
        <f>$AH80*tbl_Data_old[[#This Row],[2025 ]]</f>
        <v>3714.3130435572566</v>
      </c>
      <c r="AJ80">
        <f>$AH80*tbl_Data_old[[#This Row],[2026 ]]</f>
        <v>3594.9819261327402</v>
      </c>
      <c r="AK80">
        <f>$AH80*tbl_Data_old[[#This Row],[2027 ]]</f>
        <v>3482.4069815350172</v>
      </c>
      <c r="AL80">
        <f>$AH80*tbl_Data_old[[#This Row],[2028 ]]</f>
        <v>3380.1577506501926</v>
      </c>
      <c r="AM80">
        <f>$AH80*tbl_Data_old[[#This Row],[2029 ]]</f>
        <v>3285.5464274495612</v>
      </c>
      <c r="AN80">
        <f>$AH80*tbl_Data_old[[#This Row],[2030 ]]</f>
        <v>3187.8906897559955</v>
      </c>
      <c r="AO80">
        <f>$AH80*tbl_Data_old[[#This Row],[2031 ]]</f>
        <v>3109.6322489722402</v>
      </c>
      <c r="AP80">
        <f>$AH80*tbl_Data_old[[#This Row],[2032 ]]</f>
        <v>3052.3937215334886</v>
      </c>
      <c r="AQ80">
        <f>$AH80*tbl_Data_old[[#This Row],[2033 ]]</f>
        <v>3012.8431413867938</v>
      </c>
      <c r="AR80">
        <f>$AH80*tbl_Data_old[[#This Row],[2034 ]]</f>
        <v>2987.5287747100087</v>
      </c>
      <c r="AS80">
        <f>SUM(tbl_Data_old[[#This Row],[Adjusted 2025]:[Adjusted 2034]])</f>
        <v>32807.694705683301</v>
      </c>
      <c r="AT80" s="3">
        <f>AVERAGEIFS('3. Incentive Adjustment'!F:F,'3. Incentive Adjustment'!A:A,tbl_Data_old[[#This Row],[Trimmed Sector]],'3. Incentive Adjustment'!B:B,tbl_Data_old[[#This Row],[Trimmed Measure Name]])</f>
        <v>100</v>
      </c>
      <c r="AU80" s="3">
        <f>IFERROR(VLOOKUP(tbl_Data_old[[#This Row],[All_Meas_Name_Append]],'IRA Tax Credits'!$A$3:$D$46,4,0),0)</f>
        <v>0</v>
      </c>
      <c r="AV80" s="4">
        <f>tbl_Data_old[[#This Row],[Adj. per unit Incentive ($)]]/tbl_Data_old[[#This Row],[kWh Savings]]*tbl_Data_old[[#This Row],[Sum of Annuals]]</f>
        <v>3503.4112558794704</v>
      </c>
      <c r="AW80" s="4">
        <f>IFERROR(VLOOKUP(tbl_Data_old[[#This Row],[All_Programs]],'1. Set Program Names'!$B$2:$D$15,3,0)*tbl_Data_old[[#This Row],[Sum of Annuals]],"")</f>
        <v>14191.348539890147</v>
      </c>
      <c r="AX80" s="4">
        <f>tbl_Data_old[[#This Row],[per unit IRA tax ($)]]/tbl_Data_old[[#This Row],[kWh Savings]]*tbl_Data_old[[#This Row],[Sum of Annuals]]</f>
        <v>0</v>
      </c>
      <c r="AY80" s="4">
        <f>tbl_Data_old[[#This Row],[Avoided Costs ($/unit)]]/tbl_Data_old[[#This Row],[kWh Savings]]*tbl_Data_old[[#This Row],[Sum of Annuals]]</f>
        <v>26762.826342009794</v>
      </c>
      <c r="AZ80" s="4">
        <f>tbl_Data_old[[#This Row],[Lost Revenue ($/unit)]]/tbl_Data_old[[#This Row],[kWh Savings]]*tbl_Data_old[[#This Row],[Sum of Annuals]]</f>
        <v>49591.331911345667</v>
      </c>
      <c r="BA80" s="4">
        <f>tbl_Data_old[[#This Row],[Incremental Cost ($/unit)]]/tbl_Data_old[[#This Row],[kWh Savings]]*tbl_Data_old[[#This Row],[Sum of Annuals]]</f>
        <v>23998.717442498593</v>
      </c>
      <c r="BB80">
        <f>ROUNDUP(tbl_Data_old[[#This Row],[Adjusted 2025]]/$L80,0)</f>
        <v>4</v>
      </c>
      <c r="BC80">
        <f>ROUNDUP(tbl_Data_old[[#This Row],[Adjusted 2026]]/$L80,0)</f>
        <v>4</v>
      </c>
      <c r="BD80">
        <f>ROUNDUP(tbl_Data_old[[#This Row],[Adjusted 2027]]/$L80,0)</f>
        <v>4</v>
      </c>
      <c r="BE80">
        <f>ROUNDUP(tbl_Data_old[[#This Row],[Adjusted 2028]]/$L80,0)</f>
        <v>4</v>
      </c>
      <c r="BF80">
        <f>ROUNDUP(tbl_Data_old[[#This Row],[Adjusted 2029]]/$L80,0)</f>
        <v>4</v>
      </c>
      <c r="BG80">
        <f>ROUNDUP(tbl_Data_old[[#This Row],[Adjusted 2030]]/$L80,0)</f>
        <v>4</v>
      </c>
      <c r="BH80">
        <f>ROUNDUP(tbl_Data_old[[#This Row],[Adjusted 2031]]/$L80,0)</f>
        <v>4</v>
      </c>
      <c r="BI80">
        <f>ROUNDUP(tbl_Data_old[[#This Row],[Adjusted 2032]]/$L80,0)</f>
        <v>4</v>
      </c>
      <c r="BJ80">
        <f>ROUNDUP(tbl_Data_old[[#This Row],[Adjusted 2033]]/$L80,0)</f>
        <v>4</v>
      </c>
      <c r="BK80">
        <f>ROUNDUP(tbl_Data_old[[#This Row],[Adjusted 2034]]/$L80,0)</f>
        <v>4</v>
      </c>
      <c r="BL80" s="3">
        <f t="shared" si="6"/>
        <v>1087.9757260755193</v>
      </c>
      <c r="BM80" s="3">
        <f t="shared" si="6"/>
        <v>1053.0219250359057</v>
      </c>
      <c r="BN80" s="3">
        <f t="shared" si="6"/>
        <v>1020.0471042143093</v>
      </c>
      <c r="BO80" s="3">
        <f t="shared" si="6"/>
        <v>990.09683348913654</v>
      </c>
      <c r="BP80" s="3">
        <f t="shared" si="6"/>
        <v>962.38381580670932</v>
      </c>
      <c r="BQ80" s="3">
        <f t="shared" si="6"/>
        <v>933.77904532111688</v>
      </c>
      <c r="BR80" s="3">
        <f t="shared" si="6"/>
        <v>910.85602215780773</v>
      </c>
      <c r="BS80" s="3">
        <f t="shared" si="6"/>
        <v>894.0900340142698</v>
      </c>
      <c r="BT80" s="3">
        <f t="shared" si="6"/>
        <v>882.50510009857658</v>
      </c>
      <c r="BU80" s="3">
        <f t="shared" si="6"/>
        <v>875.09015791617492</v>
      </c>
      <c r="BV80">
        <f>VLOOKUP($H80,'1. Set Program Names'!$B$2:$D$15,3,0)*V80</f>
        <v>4407.0882930933094</v>
      </c>
      <c r="BW80">
        <f>VLOOKUP($H80,'1. Set Program Names'!$B$2:$D$15,3,0)*W80</f>
        <v>4265.5001274120277</v>
      </c>
      <c r="BX80">
        <f>VLOOKUP($H80,'1. Set Program Names'!$B$2:$D$15,3,0)*X80</f>
        <v>4131.9282624092048</v>
      </c>
      <c r="BY80">
        <f>VLOOKUP($H80,'1. Set Program Names'!$B$2:$D$15,3,0)*Y80</f>
        <v>4010.6080120356023</v>
      </c>
      <c r="BZ80">
        <f>VLOOKUP($H80,'1. Set Program Names'!$B$2:$D$15,3,0)*Z80</f>
        <v>3898.3502540109207</v>
      </c>
      <c r="CA80">
        <f>VLOOKUP($H80,'1. Set Program Names'!$B$2:$D$15,3,0)*AA80</f>
        <v>3782.4802523993912</v>
      </c>
      <c r="CB80">
        <f>VLOOKUP($H80,'1. Set Program Names'!$B$2:$D$15,3,0)*AB80</f>
        <v>3689.6254353257291</v>
      </c>
      <c r="CC80">
        <f>VLOOKUP($H80,'1. Set Program Names'!$B$2:$D$15,3,0)*AC80</f>
        <v>3621.7110615960364</v>
      </c>
      <c r="CD80">
        <f>VLOOKUP($H80,'1. Set Program Names'!$B$2:$D$15,3,0)*AD80</f>
        <v>3574.7837033724509</v>
      </c>
      <c r="CE80">
        <f>VLOOKUP($H80,'1. Set Program Names'!$B$2:$D$15,3,0)*AE80</f>
        <v>3544.7478265575319</v>
      </c>
    </row>
    <row r="81" spans="1:83" x14ac:dyDescent="0.25">
      <c r="A81" s="20" t="s">
        <v>87</v>
      </c>
      <c r="B81" s="20" t="s">
        <v>88</v>
      </c>
      <c r="C81" s="20" t="s">
        <v>89</v>
      </c>
      <c r="D81" s="20" t="s">
        <v>90</v>
      </c>
      <c r="E81" s="20" t="s">
        <v>91</v>
      </c>
      <c r="F81" s="20" t="s">
        <v>90</v>
      </c>
      <c r="G81" s="20" t="s">
        <v>92</v>
      </c>
      <c r="H81" s="20" t="s">
        <v>7</v>
      </c>
      <c r="I81" s="20" t="s">
        <v>297</v>
      </c>
      <c r="J81" s="20" t="s">
        <v>97</v>
      </c>
      <c r="K81" s="20" t="s">
        <v>298</v>
      </c>
      <c r="L81" s="20">
        <v>57.93</v>
      </c>
      <c r="M81" s="20">
        <v>0</v>
      </c>
      <c r="N81" s="20">
        <v>1.1014721785810099E-2</v>
      </c>
      <c r="O81" s="53">
        <v>154.1011072</v>
      </c>
      <c r="P81" s="20">
        <v>140.06582681793901</v>
      </c>
      <c r="Q81" s="20">
        <v>16.705528551374101</v>
      </c>
      <c r="R81" s="20">
        <v>46.999759951794701</v>
      </c>
      <c r="S81" s="20">
        <v>87.565611768711094</v>
      </c>
      <c r="T81" s="20">
        <v>20</v>
      </c>
      <c r="U81" s="20">
        <v>0.2</v>
      </c>
      <c r="V81" s="20">
        <v>304.03260943272801</v>
      </c>
      <c r="W81" s="20">
        <v>282.86882354602398</v>
      </c>
      <c r="X81" s="20">
        <v>262.18914843600697</v>
      </c>
      <c r="Y81" s="20">
        <v>242.48486098250299</v>
      </c>
      <c r="Z81" s="20">
        <v>223.71787608456799</v>
      </c>
      <c r="AA81" s="20">
        <v>205.32461342912401</v>
      </c>
      <c r="AB81" s="20">
        <v>188.865229799193</v>
      </c>
      <c r="AC81" s="20">
        <v>174.34320760658201</v>
      </c>
      <c r="AD81" s="20">
        <v>161.44519500627999</v>
      </c>
      <c r="AE81" s="20">
        <v>149.88022693290199</v>
      </c>
      <c r="AF81" t="str">
        <f t="shared" si="5"/>
        <v>Residential</v>
      </c>
      <c r="AG81" t="str">
        <f>tbl_Data_old[[#This Row],[All_Meas_Name_Append]]</f>
        <v>Energy Star Windows Residential</v>
      </c>
      <c r="AH81">
        <f>AVERAGEIFS('3. Incentive Adjustment'!G:G,'3. Incentive Adjustment'!A:A,tbl_Data_old[[#This Row],[Trimmed Sector]],'3. Incentive Adjustment'!B:B,tbl_Data_old[[#This Row],[Trimmed Measure Name]])</f>
        <v>1.5721893920937398</v>
      </c>
      <c r="AI81">
        <f>$AH81*tbl_Data_old[[#This Row],[2025 ]]</f>
        <v>477.99684340071406</v>
      </c>
      <c r="AJ81">
        <f>$AH81*tbl_Data_old[[#This Row],[2026 ]]</f>
        <v>444.7233637330948</v>
      </c>
      <c r="AK81">
        <f>$AH81*tbl_Data_old[[#This Row],[2027 ]]</f>
        <v>412.21099789318112</v>
      </c>
      <c r="AL81">
        <f>$AH81*tbl_Data_old[[#This Row],[2028 ]]</f>
        <v>381.23212618001639</v>
      </c>
      <c r="AM81">
        <f>$AH81*tbl_Data_old[[#This Row],[2029 ]]</f>
        <v>351.72687160189957</v>
      </c>
      <c r="AN81">
        <f>$AH81*tbl_Data_old[[#This Row],[2030 ]]</f>
        <v>322.8091791690166</v>
      </c>
      <c r="AO81">
        <f>$AH81*tbl_Data_old[[#This Row],[2031 ]]</f>
        <v>296.93191082563771</v>
      </c>
      <c r="AP81">
        <f>$AH81*tbl_Data_old[[#This Row],[2032 ]]</f>
        <v>274.10054158266485</v>
      </c>
      <c r="AQ81">
        <f>$AH81*tbl_Data_old[[#This Row],[2033 ]]</f>
        <v>253.82242299337861</v>
      </c>
      <c r="AR81">
        <f>$AH81*tbl_Data_old[[#This Row],[2034 ]]</f>
        <v>235.64010286851095</v>
      </c>
      <c r="AS81">
        <f>SUM(tbl_Data_old[[#This Row],[Adjusted 2025]:[Adjusted 2034]])</f>
        <v>3451.1943602481147</v>
      </c>
      <c r="AT81" s="3">
        <f>AVERAGEIFS('3. Incentive Adjustment'!F:F,'3. Incentive Adjustment'!A:A,tbl_Data_old[[#This Row],[Trimmed Sector]],'3. Incentive Adjustment'!B:B,tbl_Data_old[[#This Row],[Trimmed Measure Name]])</f>
        <v>150</v>
      </c>
      <c r="AU81" s="3">
        <f>IFERROR(VLOOKUP(tbl_Data_old[[#This Row],[All_Meas_Name_Append]],'IRA Tax Credits'!$A$3:$D$46,4,0),0)</f>
        <v>0</v>
      </c>
      <c r="AV81" s="4">
        <f>tbl_Data_old[[#This Row],[Adj. per unit Incentive ($)]]/tbl_Data_old[[#This Row],[kWh Savings]]*tbl_Data_old[[#This Row],[Sum of Annuals]]</f>
        <v>8936.2878307822757</v>
      </c>
      <c r="AW81" s="4">
        <f>IFERROR(VLOOKUP(tbl_Data_old[[#This Row],[All_Programs]],'1. Set Program Names'!$B$2:$D$15,3,0)*tbl_Data_old[[#This Row],[Sum of Annuals]],"")</f>
        <v>1492.8541150043027</v>
      </c>
      <c r="AX81" s="4">
        <f>tbl_Data_old[[#This Row],[per unit IRA tax ($)]]/tbl_Data_old[[#This Row],[kWh Savings]]*tbl_Data_old[[#This Row],[Sum of Annuals]]</f>
        <v>0</v>
      </c>
      <c r="AY81" s="4">
        <f>tbl_Data_old[[#This Row],[Avoided Costs ($/unit)]]/tbl_Data_old[[#This Row],[kWh Savings]]*tbl_Data_old[[#This Row],[Sum of Annuals]]</f>
        <v>2800.0225527127409</v>
      </c>
      <c r="AZ81" s="4">
        <f>tbl_Data_old[[#This Row],[Lost Revenue ($/unit)]]/tbl_Data_old[[#This Row],[kWh Savings]]*tbl_Data_old[[#This Row],[Sum of Annuals]]</f>
        <v>5216.7434056249213</v>
      </c>
      <c r="BA81" s="4">
        <f>tbl_Data_old[[#This Row],[Incremental Cost ($/unit)]]/tbl_Data_old[[#This Row],[kWh Savings]]*tbl_Data_old[[#This Row],[Sum of Annuals]]</f>
        <v>9180.6123265428978</v>
      </c>
      <c r="BB81">
        <f>ROUNDUP(tbl_Data_old[[#This Row],[Adjusted 2025]]/$L81,0)</f>
        <v>9</v>
      </c>
      <c r="BC81">
        <f>ROUNDUP(tbl_Data_old[[#This Row],[Adjusted 2026]]/$L81,0)</f>
        <v>8</v>
      </c>
      <c r="BD81">
        <f>ROUNDUP(tbl_Data_old[[#This Row],[Adjusted 2027]]/$L81,0)</f>
        <v>8</v>
      </c>
      <c r="BE81">
        <f>ROUNDUP(tbl_Data_old[[#This Row],[Adjusted 2028]]/$L81,0)</f>
        <v>7</v>
      </c>
      <c r="BF81">
        <f>ROUNDUP(tbl_Data_old[[#This Row],[Adjusted 2029]]/$L81,0)</f>
        <v>7</v>
      </c>
      <c r="BG81">
        <f>ROUNDUP(tbl_Data_old[[#This Row],[Adjusted 2030]]/$L81,0)</f>
        <v>6</v>
      </c>
      <c r="BH81">
        <f>ROUNDUP(tbl_Data_old[[#This Row],[Adjusted 2031]]/$L81,0)</f>
        <v>6</v>
      </c>
      <c r="BI81">
        <f>ROUNDUP(tbl_Data_old[[#This Row],[Adjusted 2032]]/$L81,0)</f>
        <v>5</v>
      </c>
      <c r="BJ81">
        <f>ROUNDUP(tbl_Data_old[[#This Row],[Adjusted 2033]]/$L81,0)</f>
        <v>5</v>
      </c>
      <c r="BK81">
        <f>ROUNDUP(tbl_Data_old[[#This Row],[Adjusted 2034]]/$L81,0)</f>
        <v>5</v>
      </c>
      <c r="BL81" s="3">
        <f t="shared" si="6"/>
        <v>787.2413501624236</v>
      </c>
      <c r="BM81" s="3">
        <f t="shared" si="6"/>
        <v>732.44128313315377</v>
      </c>
      <c r="BN81" s="3">
        <f t="shared" si="6"/>
        <v>678.89473960643966</v>
      </c>
      <c r="BO81" s="3">
        <f t="shared" si="6"/>
        <v>627.87379850466857</v>
      </c>
      <c r="BP81" s="3">
        <f t="shared" si="6"/>
        <v>579.27984485905745</v>
      </c>
      <c r="BQ81" s="3">
        <f t="shared" si="6"/>
        <v>531.65358215723461</v>
      </c>
      <c r="BR81" s="3">
        <f t="shared" si="6"/>
        <v>489.03477420816415</v>
      </c>
      <c r="BS81" s="3">
        <f t="shared" si="6"/>
        <v>451.43243813200934</v>
      </c>
      <c r="BT81" s="3">
        <f t="shared" si="6"/>
        <v>418.03520198415328</v>
      </c>
      <c r="BU81" s="3">
        <f t="shared" si="6"/>
        <v>388.08966062377522</v>
      </c>
      <c r="BV81">
        <f>VLOOKUP($H81,'1. Set Program Names'!$B$2:$D$15,3,0)*V81</f>
        <v>131.51282851960667</v>
      </c>
      <c r="BW81">
        <f>VLOOKUP($H81,'1. Set Program Names'!$B$2:$D$15,3,0)*W81</f>
        <v>122.35818767585984</v>
      </c>
      <c r="BX81">
        <f>VLOOKUP($H81,'1. Set Program Names'!$B$2:$D$15,3,0)*X81</f>
        <v>113.41295455873065</v>
      </c>
      <c r="BY81">
        <f>VLOOKUP($H81,'1. Set Program Names'!$B$2:$D$15,3,0)*Y81</f>
        <v>104.88963667579452</v>
      </c>
      <c r="BZ81">
        <f>VLOOKUP($H81,'1. Set Program Names'!$B$2:$D$15,3,0)*Z81</f>
        <v>96.771759875285468</v>
      </c>
      <c r="CA81">
        <f>VLOOKUP($H81,'1. Set Program Names'!$B$2:$D$15,3,0)*AA81</f>
        <v>88.815540961680014</v>
      </c>
      <c r="CB81">
        <f>VLOOKUP($H81,'1. Set Program Names'!$B$2:$D$15,3,0)*AB81</f>
        <v>81.695843831492752</v>
      </c>
      <c r="CC81">
        <f>VLOOKUP($H81,'1. Set Program Names'!$B$2:$D$15,3,0)*AC81</f>
        <v>75.414174842307062</v>
      </c>
      <c r="CD81">
        <f>VLOOKUP($H81,'1. Set Program Names'!$B$2:$D$15,3,0)*AD81</f>
        <v>69.834990022257131</v>
      </c>
      <c r="CE81">
        <f>VLOOKUP($H81,'1. Set Program Names'!$B$2:$D$15,3,0)*AE81</f>
        <v>64.832429060435629</v>
      </c>
    </row>
    <row r="82" spans="1:83" x14ac:dyDescent="0.25">
      <c r="A82" s="20" t="s">
        <v>87</v>
      </c>
      <c r="B82" s="20" t="s">
        <v>88</v>
      </c>
      <c r="C82" s="20" t="s">
        <v>89</v>
      </c>
      <c r="D82" s="20" t="s">
        <v>90</v>
      </c>
      <c r="E82" s="20" t="s">
        <v>91</v>
      </c>
      <c r="F82" s="20" t="s">
        <v>90</v>
      </c>
      <c r="G82" s="20" t="s">
        <v>92</v>
      </c>
      <c r="H82" s="20" t="s">
        <v>7</v>
      </c>
      <c r="I82" s="20" t="s">
        <v>107</v>
      </c>
      <c r="J82" s="20" t="s">
        <v>94</v>
      </c>
      <c r="K82" s="20" t="s">
        <v>108</v>
      </c>
      <c r="L82" s="20">
        <v>1663.1099999999899</v>
      </c>
      <c r="M82" s="20">
        <v>6.6647595975018806E-2</v>
      </c>
      <c r="N82" s="20">
        <v>0.309148293753995</v>
      </c>
      <c r="O82" s="20">
        <v>1389.5</v>
      </c>
      <c r="P82" s="20">
        <v>988.78817699699403</v>
      </c>
      <c r="Q82" s="20">
        <v>479.59833573408702</v>
      </c>
      <c r="R82" s="20">
        <v>791.96156853290995</v>
      </c>
      <c r="S82" s="20">
        <v>2127.4894292214699</v>
      </c>
      <c r="T82" s="20">
        <v>15</v>
      </c>
      <c r="U82" s="20">
        <v>0.1</v>
      </c>
      <c r="V82" s="20">
        <v>8702.5324146909006</v>
      </c>
      <c r="W82" s="20">
        <v>9678.2402541635493</v>
      </c>
      <c r="X82" s="20">
        <v>10577.386853121399</v>
      </c>
      <c r="Y82" s="20">
        <v>11427.537270352999</v>
      </c>
      <c r="Z82" s="20">
        <v>12236.961038953201</v>
      </c>
      <c r="AA82" s="20">
        <v>12976.964555505499</v>
      </c>
      <c r="AB82" s="20">
        <v>13749.7194347357</v>
      </c>
      <c r="AC82" s="20">
        <v>14589.143311979</v>
      </c>
      <c r="AD82" s="20">
        <v>15506.283818099801</v>
      </c>
      <c r="AE82" s="20">
        <v>16507.3229607959</v>
      </c>
      <c r="AF82" t="str">
        <f t="shared" si="5"/>
        <v>Residential</v>
      </c>
      <c r="AG82" t="str">
        <f>tbl_Data_old[[#This Row],[All_Meas_Name_Append]]</f>
        <v>Heat Pump Water Heater 50 Gallons- CEE Advanced Tier</v>
      </c>
      <c r="AH82">
        <f>AVERAGEIFS('3. Incentive Adjustment'!G:G,'3. Incentive Adjustment'!A:A,tbl_Data_old[[#This Row],[Trimmed Sector]],'3. Incentive Adjustment'!B:B,tbl_Data_old[[#This Row],[Trimmed Measure Name]])</f>
        <v>0.46049099596140497</v>
      </c>
      <c r="AI82">
        <f>$AH82*tbl_Data_old[[#This Row],[2025 ]]</f>
        <v>4007.4378190274233</v>
      </c>
      <c r="AJ82">
        <f>$AH82*tbl_Data_old[[#This Row],[2026 ]]</f>
        <v>4456.7424937935339</v>
      </c>
      <c r="AK82">
        <f>$AH82*tbl_Data_old[[#This Row],[2027 ]]</f>
        <v>4870.7914066629446</v>
      </c>
      <c r="AL82">
        <f>$AH82*tbl_Data_old[[#This Row],[2028 ]]</f>
        <v>5262.2780190109279</v>
      </c>
      <c r="AM82">
        <f>$AH82*tbl_Data_old[[#This Row],[2029 ]]</f>
        <v>5635.0103763684683</v>
      </c>
      <c r="AN82">
        <f>$AH82*tbl_Data_old[[#This Row],[2030 ]]</f>
        <v>5975.7753327205783</v>
      </c>
      <c r="AO82">
        <f>$AH82*tbl_Data_old[[#This Row],[2031 ]]</f>
        <v>6331.6219966913286</v>
      </c>
      <c r="AP82">
        <f>$AH82*tbl_Data_old[[#This Row],[2032 ]]</f>
        <v>6718.1691339568797</v>
      </c>
      <c r="AQ82">
        <f>$AH82*tbl_Data_old[[#This Row],[2033 ]]</f>
        <v>7140.5040790569947</v>
      </c>
      <c r="AR82">
        <f>$AH82*tbl_Data_old[[#This Row],[2034 ]]</f>
        <v>7601.4735908734719</v>
      </c>
      <c r="AS82">
        <f>SUM(tbl_Data_old[[#This Row],[Adjusted 2025]:[Adjusted 2034]])</f>
        <v>57999.804248162545</v>
      </c>
      <c r="AT82" s="3">
        <f>AVERAGEIFS('3. Incentive Adjustment'!F:F,'3. Incentive Adjustment'!A:A,tbl_Data_old[[#This Row],[Trimmed Sector]],'3. Incentive Adjustment'!B:B,tbl_Data_old[[#This Row],[Trimmed Measure Name]])</f>
        <v>500</v>
      </c>
      <c r="AU82" s="3">
        <f>IFERROR(VLOOKUP(tbl_Data_old[[#This Row],[All_Meas_Name_Append]],'IRA Tax Credits'!$A$3:$D$46,4,0),0)</f>
        <v>1666.6666666666667</v>
      </c>
      <c r="AV82" s="4">
        <f>tbl_Data_old[[#This Row],[Adj. per unit Incentive ($)]]/tbl_Data_old[[#This Row],[kWh Savings]]*tbl_Data_old[[#This Row],[Sum of Annuals]]</f>
        <v>17437.152157152232</v>
      </c>
      <c r="AW82" s="4">
        <f>IFERROR(VLOOKUP(tbl_Data_old[[#This Row],[All_Programs]],'1. Set Program Names'!$B$2:$D$15,3,0)*tbl_Data_old[[#This Row],[Sum of Annuals]],"")</f>
        <v>25088.487463536731</v>
      </c>
      <c r="AX82" s="4">
        <f>tbl_Data_old[[#This Row],[per unit IRA tax ($)]]/tbl_Data_old[[#This Row],[kWh Savings]]*tbl_Data_old[[#This Row],[Sum of Annuals]]</f>
        <v>58123.840523840779</v>
      </c>
      <c r="AY82" s="4">
        <f>tbl_Data_old[[#This Row],[Avoided Costs ($/unit)]]/tbl_Data_old[[#This Row],[kWh Savings]]*tbl_Data_old[[#This Row],[Sum of Annuals]]</f>
        <v>27619.108746250593</v>
      </c>
      <c r="AZ82" s="4">
        <f>tbl_Data_old[[#This Row],[Lost Revenue ($/unit)]]/tbl_Data_old[[#This Row],[kWh Savings]]*tbl_Data_old[[#This Row],[Sum of Annuals]]</f>
        <v>74194.71378013544</v>
      </c>
      <c r="BA82" s="4">
        <f>tbl_Data_old[[#This Row],[Incremental Cost ($/unit)]]/tbl_Data_old[[#This Row],[kWh Savings]]*tbl_Data_old[[#This Row],[Sum of Annuals]]</f>
        <v>48457.845844726049</v>
      </c>
      <c r="BB82">
        <f>ROUNDUP(tbl_Data_old[[#This Row],[Adjusted 2025]]/$L82,0)</f>
        <v>3</v>
      </c>
      <c r="BC82">
        <f>ROUNDUP(tbl_Data_old[[#This Row],[Adjusted 2026]]/$L82,0)</f>
        <v>3</v>
      </c>
      <c r="BD82">
        <f>ROUNDUP(tbl_Data_old[[#This Row],[Adjusted 2027]]/$L82,0)</f>
        <v>3</v>
      </c>
      <c r="BE82">
        <f>ROUNDUP(tbl_Data_old[[#This Row],[Adjusted 2028]]/$L82,0)</f>
        <v>4</v>
      </c>
      <c r="BF82">
        <f>ROUNDUP(tbl_Data_old[[#This Row],[Adjusted 2029]]/$L82,0)</f>
        <v>4</v>
      </c>
      <c r="BG82">
        <f>ROUNDUP(tbl_Data_old[[#This Row],[Adjusted 2030]]/$L82,0)</f>
        <v>4</v>
      </c>
      <c r="BH82">
        <f>ROUNDUP(tbl_Data_old[[#This Row],[Adjusted 2031]]/$L82,0)</f>
        <v>4</v>
      </c>
      <c r="BI82">
        <f>ROUNDUP(tbl_Data_old[[#This Row],[Adjusted 2032]]/$L82,0)</f>
        <v>5</v>
      </c>
      <c r="BJ82">
        <f>ROUNDUP(tbl_Data_old[[#This Row],[Adjusted 2033]]/$L82,0)</f>
        <v>5</v>
      </c>
      <c r="BK82">
        <f>ROUNDUP(tbl_Data_old[[#This Row],[Adjusted 2034]]/$L82,0)</f>
        <v>5</v>
      </c>
      <c r="BL82" s="3">
        <f t="shared" si="6"/>
        <v>2616.343000370076</v>
      </c>
      <c r="BM82" s="3">
        <f t="shared" si="6"/>
        <v>2909.6813362205771</v>
      </c>
      <c r="BN82" s="3">
        <f t="shared" si="6"/>
        <v>3180.0021805898177</v>
      </c>
      <c r="BO82" s="3">
        <f t="shared" si="6"/>
        <v>3435.5927360045544</v>
      </c>
      <c r="BP82" s="3">
        <f t="shared" si="6"/>
        <v>3678.9391678702177</v>
      </c>
      <c r="BQ82" s="3">
        <f t="shared" si="6"/>
        <v>3901.4149862322934</v>
      </c>
      <c r="BR82" s="3">
        <f t="shared" si="6"/>
        <v>4133.7372256602939</v>
      </c>
      <c r="BS82" s="3">
        <f t="shared" si="6"/>
        <v>4386.1029372618432</v>
      </c>
      <c r="BT82" s="3">
        <f t="shared" si="6"/>
        <v>4661.8334981149455</v>
      </c>
      <c r="BU82" s="3">
        <f t="shared" si="6"/>
        <v>4962.7874767141084</v>
      </c>
      <c r="BV82">
        <f>VLOOKUP($H82,'1. Set Program Names'!$B$2:$D$15,3,0)*V82</f>
        <v>3764.3812460610429</v>
      </c>
      <c r="BW82">
        <f>VLOOKUP($H82,'1. Set Program Names'!$B$2:$D$15,3,0)*W82</f>
        <v>4186.434979103763</v>
      </c>
      <c r="BX82">
        <f>VLOOKUP($H82,'1. Set Program Names'!$B$2:$D$15,3,0)*X82</f>
        <v>4575.371260324926</v>
      </c>
      <c r="BY82">
        <f>VLOOKUP($H82,'1. Set Program Names'!$B$2:$D$15,3,0)*Y82</f>
        <v>4943.1136753437013</v>
      </c>
      <c r="BZ82">
        <f>VLOOKUP($H82,'1. Set Program Names'!$B$2:$D$15,3,0)*Z82</f>
        <v>5293.2393065325023</v>
      </c>
      <c r="CA82">
        <f>VLOOKUP($H82,'1. Set Program Names'!$B$2:$D$15,3,0)*AA82</f>
        <v>5613.336403215093</v>
      </c>
      <c r="CB82">
        <f>VLOOKUP($H82,'1. Set Program Names'!$B$2:$D$15,3,0)*AB82</f>
        <v>5947.6004813661484</v>
      </c>
      <c r="CC82">
        <f>VLOOKUP($H82,'1. Set Program Names'!$B$2:$D$15,3,0)*AC82</f>
        <v>6310.7030072075022</v>
      </c>
      <c r="CD82">
        <f>VLOOKUP($H82,'1. Set Program Names'!$B$2:$D$15,3,0)*AD82</f>
        <v>6707.4227614960246</v>
      </c>
      <c r="CE82">
        <f>VLOOKUP($H82,'1. Set Program Names'!$B$2:$D$15,3,0)*AE82</f>
        <v>7140.4338433021549</v>
      </c>
    </row>
    <row r="83" spans="1:83" x14ac:dyDescent="0.25">
      <c r="A83" s="20" t="s">
        <v>87</v>
      </c>
      <c r="B83" s="20" t="s">
        <v>88</v>
      </c>
      <c r="C83" s="20" t="s">
        <v>89</v>
      </c>
      <c r="D83" s="20" t="s">
        <v>90</v>
      </c>
      <c r="E83" s="20" t="s">
        <v>91</v>
      </c>
      <c r="F83" s="20" t="s">
        <v>90</v>
      </c>
      <c r="G83" s="20" t="s">
        <v>92</v>
      </c>
      <c r="H83" s="20" t="s">
        <v>7</v>
      </c>
      <c r="I83" s="20" t="s">
        <v>109</v>
      </c>
      <c r="J83" s="20" t="s">
        <v>94</v>
      </c>
      <c r="K83" s="20" t="s">
        <v>95</v>
      </c>
      <c r="L83" s="20">
        <v>1590.11499999999</v>
      </c>
      <c r="M83" s="20">
        <v>6.3722388822036402E-2</v>
      </c>
      <c r="N83" s="20">
        <v>0.29557957027655002</v>
      </c>
      <c r="O83" s="20">
        <v>1389.5</v>
      </c>
      <c r="P83" s="20">
        <v>1006.47372867305</v>
      </c>
      <c r="Q83" s="20">
        <v>458.54844696129999</v>
      </c>
      <c r="R83" s="20">
        <v>757.20185047754296</v>
      </c>
      <c r="S83" s="20">
        <v>2034.1125083407001</v>
      </c>
      <c r="T83" s="20">
        <v>15</v>
      </c>
      <c r="U83" s="20">
        <v>0.1</v>
      </c>
      <c r="V83" s="20">
        <v>12436.552667244599</v>
      </c>
      <c r="W83" s="20">
        <v>13825.239441347199</v>
      </c>
      <c r="X83" s="20">
        <v>15104.0914059185</v>
      </c>
      <c r="Y83" s="20">
        <v>16312.689587258001</v>
      </c>
      <c r="Z83" s="20">
        <v>17462.991326641499</v>
      </c>
      <c r="AA83" s="20">
        <v>18514.177360845199</v>
      </c>
      <c r="AB83" s="20">
        <v>19612.104401335098</v>
      </c>
      <c r="AC83" s="20">
        <v>20805.147315026599</v>
      </c>
      <c r="AD83" s="20">
        <v>22109.035700205899</v>
      </c>
      <c r="AE83" s="20">
        <v>23532.557294852901</v>
      </c>
      <c r="AF83" t="str">
        <f t="shared" si="5"/>
        <v>Residential</v>
      </c>
      <c r="AG83" t="str">
        <f>tbl_Data_old[[#This Row],[All_Meas_Name_Append]]</f>
        <v>Heat Pump Water Heater 50 Gallons-ENERGY STAR</v>
      </c>
      <c r="AH83">
        <f>AVERAGEIFS('3. Incentive Adjustment'!G:G,'3. Incentive Adjustment'!A:A,tbl_Data_old[[#This Row],[Trimmed Sector]],'3. Incentive Adjustment'!B:B,tbl_Data_old[[#This Row],[Trimmed Measure Name]])</f>
        <v>0.43153525594917136</v>
      </c>
      <c r="AI83">
        <f>$AH83*tbl_Data_old[[#This Row],[2025 ]]</f>
        <v>5366.8109383847477</v>
      </c>
      <c r="AJ83">
        <f>$AH83*tbl_Data_old[[#This Row],[2026 ]]</f>
        <v>5966.0782408803425</v>
      </c>
      <c r="AK83">
        <f>$AH83*tbl_Data_old[[#This Row],[2027 ]]</f>
        <v>6517.9479507327196</v>
      </c>
      <c r="AL83">
        <f>$AH83*tbl_Data_old[[#This Row],[2028 ]]</f>
        <v>7039.5006762567637</v>
      </c>
      <c r="AM83">
        <f>$AH83*tbl_Data_old[[#This Row],[2029 ]]</f>
        <v>7535.8964317803984</v>
      </c>
      <c r="AN83">
        <f>$AH83*tbl_Data_old[[#This Row],[2030 ]]</f>
        <v>7989.520266100687</v>
      </c>
      <c r="AO83">
        <f>$AH83*tbl_Data_old[[#This Row],[2031 ]]</f>
        <v>8463.3144925320121</v>
      </c>
      <c r="AP83">
        <f>$AH83*tbl_Data_old[[#This Row],[2032 ]]</f>
        <v>8978.1545716502187</v>
      </c>
      <c r="AQ83">
        <f>$AH83*tbl_Data_old[[#This Row],[2033 ]]</f>
        <v>9540.8283796777196</v>
      </c>
      <c r="AR83">
        <f>$AH83*tbl_Data_old[[#This Row],[2034 ]]</f>
        <v>10155.128135372886</v>
      </c>
      <c r="AS83">
        <f>SUM(tbl_Data_old[[#This Row],[Adjusted 2025]:[Adjusted 2034]])</f>
        <v>77553.180083368497</v>
      </c>
      <c r="AT83" s="3">
        <f>AVERAGEIFS('3. Incentive Adjustment'!F:F,'3. Incentive Adjustment'!A:A,tbl_Data_old[[#This Row],[Trimmed Sector]],'3. Incentive Adjustment'!B:B,tbl_Data_old[[#This Row],[Trimmed Measure Name]])</f>
        <v>500</v>
      </c>
      <c r="AU83" s="3">
        <f>IFERROR(VLOOKUP(tbl_Data_old[[#This Row],[All_Meas_Name_Append]],'IRA Tax Credits'!$A$3:$D$46,4,0),0)</f>
        <v>1666.6666666666667</v>
      </c>
      <c r="AV83" s="4">
        <f>tbl_Data_old[[#This Row],[Adj. per unit Incentive ($)]]/tbl_Data_old[[#This Row],[kWh Savings]]*tbl_Data_old[[#This Row],[Sum of Annuals]]</f>
        <v>24386.028709674767</v>
      </c>
      <c r="AW83" s="4">
        <f>IFERROR(VLOOKUP(tbl_Data_old[[#This Row],[All_Programs]],'1. Set Program Names'!$B$2:$D$15,3,0)*tbl_Data_old[[#This Row],[Sum of Annuals]],"")</f>
        <v>33546.526777125066</v>
      </c>
      <c r="AX83" s="4">
        <f>tbl_Data_old[[#This Row],[per unit IRA tax ($)]]/tbl_Data_old[[#This Row],[kWh Savings]]*tbl_Data_old[[#This Row],[Sum of Annuals]]</f>
        <v>81286.762365582559</v>
      </c>
      <c r="AY83" s="4">
        <f>tbl_Data_old[[#This Row],[Avoided Costs ($/unit)]]/tbl_Data_old[[#This Row],[kWh Savings]]*tbl_Data_old[[#This Row],[Sum of Annuals]]</f>
        <v>36930.292129528447</v>
      </c>
      <c r="AZ83" s="4">
        <f>tbl_Data_old[[#This Row],[Lost Revenue ($/unit)]]/tbl_Data_old[[#This Row],[kWh Savings]]*tbl_Data_old[[#This Row],[Sum of Annuals]]</f>
        <v>99207.852054209739</v>
      </c>
      <c r="BA83" s="4">
        <f>tbl_Data_old[[#This Row],[Incremental Cost ($/unit)]]/tbl_Data_old[[#This Row],[kWh Savings]]*tbl_Data_old[[#This Row],[Sum of Annuals]]</f>
        <v>67768.773784186182</v>
      </c>
      <c r="BB83">
        <f>ROUNDUP(tbl_Data_old[[#This Row],[Adjusted 2025]]/$L83,0)</f>
        <v>4</v>
      </c>
      <c r="BC83">
        <f>ROUNDUP(tbl_Data_old[[#This Row],[Adjusted 2026]]/$L83,0)</f>
        <v>4</v>
      </c>
      <c r="BD83">
        <f>ROUNDUP(tbl_Data_old[[#This Row],[Adjusted 2027]]/$L83,0)</f>
        <v>5</v>
      </c>
      <c r="BE83">
        <f>ROUNDUP(tbl_Data_old[[#This Row],[Adjusted 2028]]/$L83,0)</f>
        <v>5</v>
      </c>
      <c r="BF83">
        <f>ROUNDUP(tbl_Data_old[[#This Row],[Adjusted 2029]]/$L83,0)</f>
        <v>5</v>
      </c>
      <c r="BG83">
        <f>ROUNDUP(tbl_Data_old[[#This Row],[Adjusted 2030]]/$L83,0)</f>
        <v>6</v>
      </c>
      <c r="BH83">
        <f>ROUNDUP(tbl_Data_old[[#This Row],[Adjusted 2031]]/$L83,0)</f>
        <v>6</v>
      </c>
      <c r="BI83">
        <f>ROUNDUP(tbl_Data_old[[#This Row],[Adjusted 2032]]/$L83,0)</f>
        <v>6</v>
      </c>
      <c r="BJ83">
        <f>ROUNDUP(tbl_Data_old[[#This Row],[Adjusted 2033]]/$L83,0)</f>
        <v>7</v>
      </c>
      <c r="BK83">
        <f>ROUNDUP(tbl_Data_old[[#This Row],[Adjusted 2034]]/$L83,0)</f>
        <v>7</v>
      </c>
      <c r="BL83" s="3">
        <f t="shared" si="6"/>
        <v>3910.5827777376721</v>
      </c>
      <c r="BM83" s="3">
        <f t="shared" si="6"/>
        <v>4347.2451493594126</v>
      </c>
      <c r="BN83" s="3">
        <f t="shared" si="6"/>
        <v>4749.3707706419327</v>
      </c>
      <c r="BO83" s="3">
        <f t="shared" si="6"/>
        <v>5129.4056050216814</v>
      </c>
      <c r="BP83" s="3">
        <f t="shared" si="6"/>
        <v>5491.109550768846</v>
      </c>
      <c r="BQ83" s="3">
        <f t="shared" si="6"/>
        <v>5821.6472899272421</v>
      </c>
      <c r="BR83" s="3">
        <f t="shared" si="6"/>
        <v>6166.8823957183031</v>
      </c>
      <c r="BS83" s="3">
        <f t="shared" si="6"/>
        <v>6542.0259902669704</v>
      </c>
      <c r="BT83" s="3">
        <f t="shared" si="6"/>
        <v>6952.0241303949824</v>
      </c>
      <c r="BU83" s="3">
        <f t="shared" si="6"/>
        <v>7399.6400558616979</v>
      </c>
      <c r="BV83">
        <f>VLOOKUP($H83,'1. Set Program Names'!$B$2:$D$15,3,0)*V83</f>
        <v>5379.5749783356405</v>
      </c>
      <c r="BW83">
        <f>VLOOKUP($H83,'1. Set Program Names'!$B$2:$D$15,3,0)*W83</f>
        <v>5980.2675353964014</v>
      </c>
      <c r="BX83">
        <f>VLOOKUP($H83,'1. Set Program Names'!$B$2:$D$15,3,0)*X83</f>
        <v>6533.4497727637427</v>
      </c>
      <c r="BY83">
        <f>VLOOKUP($H83,'1. Set Program Names'!$B$2:$D$15,3,0)*Y83</f>
        <v>7056.2429220518279</v>
      </c>
      <c r="BZ83">
        <f>VLOOKUP($H83,'1. Set Program Names'!$B$2:$D$15,3,0)*Z83</f>
        <v>7553.8192697982367</v>
      </c>
      <c r="CA83">
        <f>VLOOKUP($H83,'1. Set Program Names'!$B$2:$D$15,3,0)*AA83</f>
        <v>8008.5219706577818</v>
      </c>
      <c r="CB83">
        <f>VLOOKUP($H83,'1. Set Program Names'!$B$2:$D$15,3,0)*AB83</f>
        <v>8483.443035448814</v>
      </c>
      <c r="CC83">
        <f>VLOOKUP($H83,'1. Set Program Names'!$B$2:$D$15,3,0)*AC83</f>
        <v>8999.507573452127</v>
      </c>
      <c r="CD83">
        <f>VLOOKUP($H83,'1. Set Program Names'!$B$2:$D$15,3,0)*AD83</f>
        <v>9563.5196046902911</v>
      </c>
      <c r="CE83">
        <f>VLOOKUP($H83,'1. Set Program Names'!$B$2:$D$15,3,0)*AE83</f>
        <v>10179.280367064011</v>
      </c>
    </row>
    <row r="84" spans="1:83" x14ac:dyDescent="0.25">
      <c r="A84" s="20" t="s">
        <v>87</v>
      </c>
      <c r="B84" s="20" t="s">
        <v>88</v>
      </c>
      <c r="C84" s="20" t="s">
        <v>89</v>
      </c>
      <c r="D84" s="20" t="s">
        <v>90</v>
      </c>
      <c r="E84" s="20" t="s">
        <v>91</v>
      </c>
      <c r="F84" s="20" t="s">
        <v>90</v>
      </c>
      <c r="G84" s="20" t="s">
        <v>92</v>
      </c>
      <c r="H84" s="20" t="s">
        <v>7</v>
      </c>
      <c r="I84" s="20" t="s">
        <v>110</v>
      </c>
      <c r="J84" s="20" t="s">
        <v>94</v>
      </c>
      <c r="K84" s="20" t="s">
        <v>108</v>
      </c>
      <c r="L84" s="20">
        <v>461.909999999999</v>
      </c>
      <c r="M84" s="20">
        <v>1.8510616289253799E-2</v>
      </c>
      <c r="N84" s="20">
        <v>8.5862443475120898E-2</v>
      </c>
      <c r="O84" s="20">
        <v>1729.5</v>
      </c>
      <c r="P84" s="20">
        <v>1631.9996867488601</v>
      </c>
      <c r="Q84" s="20">
        <v>133.20301559063</v>
      </c>
      <c r="R84" s="20">
        <v>219.958372038552</v>
      </c>
      <c r="S84" s="20">
        <v>590.88613636602201</v>
      </c>
      <c r="T84" s="20">
        <v>15</v>
      </c>
      <c r="U84" s="20">
        <v>0.1</v>
      </c>
      <c r="V84" s="20">
        <v>6689.9151910437904</v>
      </c>
      <c r="W84" s="20">
        <v>7441.2895404054198</v>
      </c>
      <c r="X84" s="20">
        <v>8133.8966036499296</v>
      </c>
      <c r="Y84" s="20">
        <v>8788.8813576257799</v>
      </c>
      <c r="Z84" s="20">
        <v>9412.5677239365905</v>
      </c>
      <c r="AA84" s="20">
        <v>9982.8549475087093</v>
      </c>
      <c r="AB84" s="20">
        <v>10578.3207545934</v>
      </c>
      <c r="AC84" s="20">
        <v>11225.0602473983</v>
      </c>
      <c r="AD84" s="20">
        <v>11931.5788916286</v>
      </c>
      <c r="AE84" s="20">
        <v>12702.6391124198</v>
      </c>
      <c r="AF84" t="str">
        <f t="shared" si="5"/>
        <v>Residential</v>
      </c>
      <c r="AG84" t="str">
        <f>tbl_Data_old[[#This Row],[All_Meas_Name_Append]]</f>
        <v>Heat Pump Water Heater 80 Gallons-ENERGY STAR</v>
      </c>
      <c r="AH84">
        <f>AVERAGEIFS('3. Incentive Adjustment'!G:G,'3. Incentive Adjustment'!A:A,tbl_Data_old[[#This Row],[Trimmed Sector]],'3. Incentive Adjustment'!B:B,tbl_Data_old[[#This Row],[Trimmed Measure Name]])</f>
        <v>1.5551101216712928E-3</v>
      </c>
      <c r="AI84">
        <f>$AH84*tbl_Data_old[[#This Row],[2025 ]]</f>
        <v>10.403554826714739</v>
      </c>
      <c r="AJ84">
        <f>$AH84*tbl_Data_old[[#This Row],[2026 ]]</f>
        <v>11.572024682571191</v>
      </c>
      <c r="AK84">
        <f>$AH84*tbl_Data_old[[#This Row],[2027 ]]</f>
        <v>12.649104936963758</v>
      </c>
      <c r="AL84">
        <f>$AH84*tbl_Data_old[[#This Row],[2028 ]]</f>
        <v>13.667678357411983</v>
      </c>
      <c r="AM84">
        <f>$AH84*tbl_Data_old[[#This Row],[2029 ]]</f>
        <v>14.637579338410315</v>
      </c>
      <c r="AN84">
        <f>$AH84*tbl_Data_old[[#This Row],[2030 ]]</f>
        <v>15.524438772047136</v>
      </c>
      <c r="AO84">
        <f>$AH84*tbl_Data_old[[#This Row],[2031 ]]</f>
        <v>16.450453675753703</v>
      </c>
      <c r="AP84">
        <f>$AH84*tbl_Data_old[[#This Row],[2032 ]]</f>
        <v>17.456204807099162</v>
      </c>
      <c r="AQ84">
        <f>$AH84*tbl_Data_old[[#This Row],[2033 ]]</f>
        <v>18.55491910189118</v>
      </c>
      <c r="AR84">
        <f>$AH84*tbl_Data_old[[#This Row],[2034 ]]</f>
        <v>19.754002655661676</v>
      </c>
      <c r="AS84">
        <f>SUM(tbl_Data_old[[#This Row],[Adjusted 2025]:[Adjusted 2034]])</f>
        <v>150.66996115452486</v>
      </c>
      <c r="AT84" s="3">
        <f>AVERAGEIFS('3. Incentive Adjustment'!F:F,'3. Incentive Adjustment'!A:A,tbl_Data_old[[#This Row],[Trimmed Sector]],'3. Incentive Adjustment'!B:B,tbl_Data_old[[#This Row],[Trimmed Measure Name]])</f>
        <v>500</v>
      </c>
      <c r="AU84" s="3">
        <f>IFERROR(VLOOKUP(tbl_Data_old[[#This Row],[All_Meas_Name_Append]],'IRA Tax Credits'!$A$3:$D$46,4,0),0)</f>
        <v>1666.6666666666667</v>
      </c>
      <c r="AV84" s="4">
        <f>tbl_Data_old[[#This Row],[Adj. per unit Incentive ($)]]/tbl_Data_old[[#This Row],[kWh Savings]]*tbl_Data_old[[#This Row],[Sum of Annuals]]</f>
        <v>163.09450017809226</v>
      </c>
      <c r="AW84" s="4">
        <f>IFERROR(VLOOKUP(tbl_Data_old[[#This Row],[All_Programs]],'1. Set Program Names'!$B$2:$D$15,3,0)*tbl_Data_old[[#This Row],[Sum of Annuals]],"")</f>
        <v>65.174037749905295</v>
      </c>
      <c r="AX84" s="4">
        <f>tbl_Data_old[[#This Row],[per unit IRA tax ($)]]/tbl_Data_old[[#This Row],[kWh Savings]]*tbl_Data_old[[#This Row],[Sum of Annuals]]</f>
        <v>543.64833392697415</v>
      </c>
      <c r="AY84" s="4">
        <f>tbl_Data_old[[#This Row],[Avoided Costs ($/unit)]]/tbl_Data_old[[#This Row],[kWh Savings]]*tbl_Data_old[[#This Row],[Sum of Annuals]]</f>
        <v>71.748001495229005</v>
      </c>
      <c r="AZ84" s="4">
        <f>tbl_Data_old[[#This Row],[Lost Revenue ($/unit)]]/tbl_Data_old[[#This Row],[kWh Savings]]*tbl_Data_old[[#This Row],[Sum of Annuals]]</f>
        <v>192.74055814556084</v>
      </c>
      <c r="BA84" s="4">
        <f>tbl_Data_old[[#This Row],[Incremental Cost ($/unit)]]/tbl_Data_old[[#This Row],[kWh Savings]]*tbl_Data_old[[#This Row],[Sum of Annuals]]</f>
        <v>564.14387611602103</v>
      </c>
      <c r="BB84">
        <f>ROUNDUP(tbl_Data_old[[#This Row],[Adjusted 2025]]/$L84,0)</f>
        <v>1</v>
      </c>
      <c r="BC84">
        <f>ROUNDUP(tbl_Data_old[[#This Row],[Adjusted 2026]]/$L84,0)</f>
        <v>1</v>
      </c>
      <c r="BD84">
        <f>ROUNDUP(tbl_Data_old[[#This Row],[Adjusted 2027]]/$L84,0)</f>
        <v>1</v>
      </c>
      <c r="BE84">
        <f>ROUNDUP(tbl_Data_old[[#This Row],[Adjusted 2028]]/$L84,0)</f>
        <v>1</v>
      </c>
      <c r="BF84">
        <f>ROUNDUP(tbl_Data_old[[#This Row],[Adjusted 2029]]/$L84,0)</f>
        <v>1</v>
      </c>
      <c r="BG84">
        <f>ROUNDUP(tbl_Data_old[[#This Row],[Adjusted 2030]]/$L84,0)</f>
        <v>1</v>
      </c>
      <c r="BH84">
        <f>ROUNDUP(tbl_Data_old[[#This Row],[Adjusted 2031]]/$L84,0)</f>
        <v>1</v>
      </c>
      <c r="BI84">
        <f>ROUNDUP(tbl_Data_old[[#This Row],[Adjusted 2032]]/$L84,0)</f>
        <v>1</v>
      </c>
      <c r="BJ84">
        <f>ROUNDUP(tbl_Data_old[[#This Row],[Adjusted 2033]]/$L84,0)</f>
        <v>1</v>
      </c>
      <c r="BK84">
        <f>ROUNDUP(tbl_Data_old[[#This Row],[Adjusted 2034]]/$L84,0)</f>
        <v>1</v>
      </c>
      <c r="BL84" s="3">
        <f t="shared" si="6"/>
        <v>7241.578652815273</v>
      </c>
      <c r="BM84" s="3">
        <f t="shared" si="6"/>
        <v>8054.9127973040595</v>
      </c>
      <c r="BN84" s="3">
        <f t="shared" si="6"/>
        <v>8804.6335905803589</v>
      </c>
      <c r="BO84" s="3">
        <f t="shared" si="6"/>
        <v>9513.6296655471833</v>
      </c>
      <c r="BP84" s="3">
        <f t="shared" si="6"/>
        <v>10188.746426724483</v>
      </c>
      <c r="BQ84" s="3">
        <f t="shared" si="6"/>
        <v>10806.060647646438</v>
      </c>
      <c r="BR84" s="3">
        <f t="shared" si="6"/>
        <v>11450.62972721247</v>
      </c>
      <c r="BS84" s="3">
        <f t="shared" si="6"/>
        <v>12150.70062068187</v>
      </c>
      <c r="BT84" s="3">
        <f t="shared" si="6"/>
        <v>12915.480171059977</v>
      </c>
      <c r="BU84" s="3">
        <f t="shared" si="6"/>
        <v>13750.123522352653</v>
      </c>
      <c r="BV84">
        <f>VLOOKUP($H84,'1. Set Program Names'!$B$2:$D$15,3,0)*V84</f>
        <v>2893.8003425751785</v>
      </c>
      <c r="BW84">
        <f>VLOOKUP($H84,'1. Set Program Names'!$B$2:$D$15,3,0)*W84</f>
        <v>3218.8160247613732</v>
      </c>
      <c r="BX84">
        <f>VLOOKUP($H84,'1. Set Program Names'!$B$2:$D$15,3,0)*X84</f>
        <v>3518.4112363075806</v>
      </c>
      <c r="BY84">
        <f>VLOOKUP($H84,'1. Set Program Names'!$B$2:$D$15,3,0)*Y84</f>
        <v>3801.7324819900846</v>
      </c>
      <c r="BZ84">
        <f>VLOOKUP($H84,'1. Set Program Names'!$B$2:$D$15,3,0)*Z84</f>
        <v>4071.5152473838707</v>
      </c>
      <c r="CA84">
        <f>VLOOKUP($H84,'1. Set Program Names'!$B$2:$D$15,3,0)*AA84</f>
        <v>4318.1995947652249</v>
      </c>
      <c r="CB84">
        <f>VLOOKUP($H84,'1. Set Program Names'!$B$2:$D$15,3,0)*AB84</f>
        <v>4575.775230229242</v>
      </c>
      <c r="CC84">
        <f>VLOOKUP($H84,'1. Set Program Names'!$B$2:$D$15,3,0)*AC84</f>
        <v>4855.5298926412943</v>
      </c>
      <c r="CD84">
        <f>VLOOKUP($H84,'1. Set Program Names'!$B$2:$D$15,3,0)*AD84</f>
        <v>5161.1427197585235</v>
      </c>
      <c r="CE84">
        <f>VLOOKUP($H84,'1. Set Program Names'!$B$2:$D$15,3,0)*AE84</f>
        <v>5494.6737537630861</v>
      </c>
    </row>
    <row r="85" spans="1:83" x14ac:dyDescent="0.25">
      <c r="A85" s="20" t="s">
        <v>87</v>
      </c>
      <c r="B85" s="20" t="s">
        <v>88</v>
      </c>
      <c r="C85" s="20" t="s">
        <v>89</v>
      </c>
      <c r="D85" s="20" t="s">
        <v>90</v>
      </c>
      <c r="E85" s="20" t="s">
        <v>91</v>
      </c>
      <c r="F85" s="20" t="s">
        <v>90</v>
      </c>
      <c r="G85" s="20" t="s">
        <v>92</v>
      </c>
      <c r="H85" s="20" t="s">
        <v>7</v>
      </c>
      <c r="I85" s="20" t="s">
        <v>299</v>
      </c>
      <c r="J85" s="20" t="s">
        <v>97</v>
      </c>
      <c r="K85" s="20" t="s">
        <v>102</v>
      </c>
      <c r="L85" s="20">
        <v>408.28</v>
      </c>
      <c r="M85" s="20">
        <v>0.16567198429270899</v>
      </c>
      <c r="N85" s="20">
        <v>2.3547919008134799E-2</v>
      </c>
      <c r="O85" s="53">
        <v>128.60999999999999</v>
      </c>
      <c r="P85" s="20">
        <v>29.691921599999901</v>
      </c>
      <c r="Q85" s="20">
        <v>117.737496926549</v>
      </c>
      <c r="R85" s="20">
        <v>238.630335182902</v>
      </c>
      <c r="S85" s="20">
        <v>423.90838942107399</v>
      </c>
      <c r="T85" s="20">
        <v>11</v>
      </c>
      <c r="U85" s="20">
        <v>9.9999999999999895E-2</v>
      </c>
      <c r="V85" s="20">
        <v>1792.5542711856299</v>
      </c>
      <c r="W85" s="20">
        <v>1486.68131724211</v>
      </c>
      <c r="X85" s="20">
        <v>1232.8572238736999</v>
      </c>
      <c r="Y85" s="20">
        <v>1026.6034032944101</v>
      </c>
      <c r="Z85" s="20">
        <v>860.64189008096696</v>
      </c>
      <c r="AA85" s="20">
        <v>725.12927826564999</v>
      </c>
      <c r="AB85" s="20">
        <v>619.83236469928499</v>
      </c>
      <c r="AC85" s="20">
        <v>538.15290223586101</v>
      </c>
      <c r="AD85" s="20">
        <v>475.038740726367</v>
      </c>
      <c r="AE85" s="20">
        <v>426.2422682358</v>
      </c>
      <c r="AF85" t="str">
        <f t="shared" si="5"/>
        <v>Residential</v>
      </c>
      <c r="AG85" t="str">
        <f>tbl_Data_old[[#This Row],[All_Meas_Name_Append]]</f>
        <v>Smart Thermostat Residential</v>
      </c>
      <c r="AH85">
        <f>AVERAGEIFS('3. Incentive Adjustment'!G:G,'3. Incentive Adjustment'!A:A,tbl_Data_old[[#This Row],[Trimmed Sector]],'3. Incentive Adjustment'!B:B,tbl_Data_old[[#This Row],[Trimmed Measure Name]])</f>
        <v>1.1402432304340044</v>
      </c>
      <c r="AI85">
        <f>$AH85*tbl_Data_old[[#This Row],[2025 ]]</f>
        <v>2043.9478729049752</v>
      </c>
      <c r="AJ85">
        <f>$AH85*tbl_Data_old[[#This Row],[2026 ]]</f>
        <v>1695.1783077980244</v>
      </c>
      <c r="AK85">
        <f>$AH85*tbl_Data_old[[#This Row],[2027 ]]</f>
        <v>1405.7571036136462</v>
      </c>
      <c r="AL85">
        <f>$AH85*tbl_Data_old[[#This Row],[2028 ]]</f>
        <v>1170.5775809469612</v>
      </c>
      <c r="AM85">
        <f>$AH85*tbl_Data_old[[#This Row],[2029 ]]</f>
        <v>981.34108899274918</v>
      </c>
      <c r="AN85">
        <f>$AH85*tbl_Data_old[[#This Row],[2030 ]]</f>
        <v>826.82375073190292</v>
      </c>
      <c r="AO85">
        <f>$AH85*tbl_Data_old[[#This Row],[2031 ]]</f>
        <v>706.75965785226072</v>
      </c>
      <c r="AP85">
        <f>$AH85*tbl_Data_old[[#This Row],[2032 ]]</f>
        <v>613.62520371285314</v>
      </c>
      <c r="AQ85">
        <f>$AH85*tbl_Data_old[[#This Row],[2033 ]]</f>
        <v>541.65970830713422</v>
      </c>
      <c r="AR85">
        <f>$AH85*tbl_Data_old[[#This Row],[2034 ]]</f>
        <v>486.01986088070601</v>
      </c>
      <c r="AS85">
        <f>SUM(tbl_Data_old[[#This Row],[Adjusted 2025]:[Adjusted 2034]])</f>
        <v>10471.690135741212</v>
      </c>
      <c r="AT85" s="3">
        <f>AVERAGEIFS('3. Incentive Adjustment'!F:F,'3. Incentive Adjustment'!A:A,tbl_Data_old[[#This Row],[Trimmed Sector]],'3. Incentive Adjustment'!B:B,tbl_Data_old[[#This Row],[Trimmed Measure Name]])</f>
        <v>50</v>
      </c>
      <c r="AU85" s="3">
        <f>IFERROR(VLOOKUP(tbl_Data_old[[#This Row],[All_Meas_Name_Append]],'IRA Tax Credits'!$A$3:$D$46,4,0),0)</f>
        <v>0</v>
      </c>
      <c r="AV85" s="4">
        <f>tbl_Data_old[[#This Row],[Adj. per unit Incentive ($)]]/tbl_Data_old[[#This Row],[kWh Savings]]*tbl_Data_old[[#This Row],[Sum of Annuals]]</f>
        <v>1282.4152708608324</v>
      </c>
      <c r="AW85" s="4">
        <f>IFERROR(VLOOKUP(tbl_Data_old[[#This Row],[All_Programs]],'1. Set Program Names'!$B$2:$D$15,3,0)*tbl_Data_old[[#This Row],[Sum of Annuals]],"")</f>
        <v>4529.6509203461255</v>
      </c>
      <c r="AX85" s="4">
        <f>tbl_Data_old[[#This Row],[per unit IRA tax ($)]]/tbl_Data_old[[#This Row],[kWh Savings]]*tbl_Data_old[[#This Row],[Sum of Annuals]]</f>
        <v>0</v>
      </c>
      <c r="AY85" s="4">
        <f>tbl_Data_old[[#This Row],[Avoided Costs ($/unit)]]/tbl_Data_old[[#This Row],[kWh Savings]]*tbl_Data_old[[#This Row],[Sum of Annuals]]</f>
        <v>6120.4637185838492</v>
      </c>
      <c r="AZ85" s="4">
        <f>tbl_Data_old[[#This Row],[Lost Revenue ($/unit)]]/tbl_Data_old[[#This Row],[kWh Savings]]*tbl_Data_old[[#This Row],[Sum of Annuals]]</f>
        <v>10872.531840792117</v>
      </c>
      <c r="BA85" s="4">
        <f>tbl_Data_old[[#This Row],[Incremental Cost ($/unit)]]/tbl_Data_old[[#This Row],[kWh Savings]]*tbl_Data_old[[#This Row],[Sum of Annuals]]</f>
        <v>3298.6285597082328</v>
      </c>
      <c r="BB85">
        <f>ROUNDUP(tbl_Data_old[[#This Row],[Adjusted 2025]]/$L85,0)</f>
        <v>6</v>
      </c>
      <c r="BC85">
        <f>ROUNDUP(tbl_Data_old[[#This Row],[Adjusted 2026]]/$L85,0)</f>
        <v>5</v>
      </c>
      <c r="BD85">
        <f>ROUNDUP(tbl_Data_old[[#This Row],[Adjusted 2027]]/$L85,0)</f>
        <v>4</v>
      </c>
      <c r="BE85">
        <f>ROUNDUP(tbl_Data_old[[#This Row],[Adjusted 2028]]/$L85,0)</f>
        <v>3</v>
      </c>
      <c r="BF85">
        <f>ROUNDUP(tbl_Data_old[[#This Row],[Adjusted 2029]]/$L85,0)</f>
        <v>3</v>
      </c>
      <c r="BG85">
        <f>ROUNDUP(tbl_Data_old[[#This Row],[Adjusted 2030]]/$L85,0)</f>
        <v>3</v>
      </c>
      <c r="BH85">
        <f>ROUNDUP(tbl_Data_old[[#This Row],[Adjusted 2031]]/$L85,0)</f>
        <v>2</v>
      </c>
      <c r="BI85">
        <f>ROUNDUP(tbl_Data_old[[#This Row],[Adjusted 2032]]/$L85,0)</f>
        <v>2</v>
      </c>
      <c r="BJ85">
        <f>ROUNDUP(tbl_Data_old[[#This Row],[Adjusted 2033]]/$L85,0)</f>
        <v>2</v>
      </c>
      <c r="BK85">
        <f>ROUNDUP(tbl_Data_old[[#This Row],[Adjusted 2034]]/$L85,0)</f>
        <v>2</v>
      </c>
      <c r="BL85" s="3">
        <f t="shared" si="6"/>
        <v>219.52511403762492</v>
      </c>
      <c r="BM85" s="3">
        <f t="shared" si="6"/>
        <v>182.0663903745114</v>
      </c>
      <c r="BN85" s="3">
        <f t="shared" si="6"/>
        <v>150.98182912139953</v>
      </c>
      <c r="BO85" s="3">
        <f t="shared" si="6"/>
        <v>125.72296013696608</v>
      </c>
      <c r="BP85" s="3">
        <f t="shared" si="6"/>
        <v>105.39848756747416</v>
      </c>
      <c r="BQ85" s="3">
        <f t="shared" si="6"/>
        <v>88.802938947003284</v>
      </c>
      <c r="BR85" s="3">
        <f t="shared" si="6"/>
        <v>75.907755057715917</v>
      </c>
      <c r="BS85" s="3">
        <f t="shared" si="6"/>
        <v>65.904881727718859</v>
      </c>
      <c r="BT85" s="3">
        <f t="shared" si="6"/>
        <v>58.17560751523061</v>
      </c>
      <c r="BU85" s="3">
        <f t="shared" si="6"/>
        <v>52.19974873074851</v>
      </c>
      <c r="BV85">
        <f>VLOOKUP($H85,'1. Set Program Names'!$B$2:$D$15,3,0)*V85</f>
        <v>775.39012317915945</v>
      </c>
      <c r="BW85">
        <f>VLOOKUP($H85,'1. Set Program Names'!$B$2:$D$15,3,0)*W85</f>
        <v>643.0812323144105</v>
      </c>
      <c r="BX85">
        <f>VLOOKUP($H85,'1. Set Program Names'!$B$2:$D$15,3,0)*X85</f>
        <v>533.28667926436844</v>
      </c>
      <c r="BY85">
        <f>VLOOKUP($H85,'1. Set Program Names'!$B$2:$D$15,3,0)*Y85</f>
        <v>444.06919898168286</v>
      </c>
      <c r="BZ85">
        <f>VLOOKUP($H85,'1. Set Program Names'!$B$2:$D$15,3,0)*Z85</f>
        <v>372.280623181154</v>
      </c>
      <c r="CA85">
        <f>VLOOKUP($H85,'1. Set Program Names'!$B$2:$D$15,3,0)*AA85</f>
        <v>313.66307254024116</v>
      </c>
      <c r="CB85">
        <f>VLOOKUP($H85,'1. Set Program Names'!$B$2:$D$15,3,0)*AB85</f>
        <v>268.11567233427326</v>
      </c>
      <c r="CC85">
        <f>VLOOKUP($H85,'1. Set Program Names'!$B$2:$D$15,3,0)*AC85</f>
        <v>232.78427429585741</v>
      </c>
      <c r="CD85">
        <f>VLOOKUP($H85,'1. Set Program Names'!$B$2:$D$15,3,0)*AD85</f>
        <v>205.48351233073859</v>
      </c>
      <c r="CE85">
        <f>VLOOKUP($H85,'1. Set Program Names'!$B$2:$D$15,3,0)*AE85</f>
        <v>184.37603267259493</v>
      </c>
    </row>
    <row r="86" spans="1:83" x14ac:dyDescent="0.25">
      <c r="A86" s="20" t="s">
        <v>87</v>
      </c>
      <c r="B86" s="20" t="s">
        <v>88</v>
      </c>
      <c r="C86" s="20" t="s">
        <v>89</v>
      </c>
      <c r="D86" s="20" t="s">
        <v>90</v>
      </c>
      <c r="E86" s="20" t="s">
        <v>91</v>
      </c>
      <c r="F86" s="20" t="s">
        <v>90</v>
      </c>
      <c r="G86" s="20" t="s">
        <v>92</v>
      </c>
      <c r="H86" s="20" t="s">
        <v>7</v>
      </c>
      <c r="I86" s="20" t="s">
        <v>112</v>
      </c>
      <c r="J86" s="20" t="s">
        <v>94</v>
      </c>
      <c r="K86" s="20" t="s">
        <v>108</v>
      </c>
      <c r="L86" s="20">
        <v>1330.8133333333301</v>
      </c>
      <c r="M86" s="20">
        <v>5.33311142126306E-2</v>
      </c>
      <c r="N86" s="20">
        <v>0.24737910980336</v>
      </c>
      <c r="O86" s="20">
        <v>8990.02</v>
      </c>
      <c r="P86" s="20">
        <v>8776.4394094329891</v>
      </c>
      <c r="Q86" s="20">
        <v>383.77248638959497</v>
      </c>
      <c r="R86" s="20">
        <v>713.19672296706005</v>
      </c>
      <c r="S86" s="20">
        <v>2011.6258188035599</v>
      </c>
      <c r="T86" s="20">
        <v>20</v>
      </c>
      <c r="U86" s="20">
        <v>0.1</v>
      </c>
      <c r="V86" s="20">
        <v>21581.137197634602</v>
      </c>
      <c r="W86" s="20">
        <v>24018.3753343926</v>
      </c>
      <c r="X86" s="20">
        <v>26267.2067001127</v>
      </c>
      <c r="Y86" s="20">
        <v>28395.4138736653</v>
      </c>
      <c r="Z86" s="20">
        <v>30423.072925063501</v>
      </c>
      <c r="AA86" s="20">
        <v>32278.4422438357</v>
      </c>
      <c r="AB86" s="20">
        <v>34215.375013364901</v>
      </c>
      <c r="AC86" s="20">
        <v>36318.2854263642</v>
      </c>
      <c r="AD86" s="20">
        <v>38614.7566239117</v>
      </c>
      <c r="AE86" s="20">
        <v>41120.270650306898</v>
      </c>
      <c r="AF86" t="str">
        <f t="shared" si="5"/>
        <v>Residential</v>
      </c>
      <c r="AG86" t="str">
        <f>tbl_Data_old[[#This Row],[All_Meas_Name_Append]]</f>
        <v>Solar Thermal Water Heating System</v>
      </c>
      <c r="AH86">
        <f>AVERAGEIFS('3. Incentive Adjustment'!G:G,'3. Incentive Adjustment'!A:A,tbl_Data_old[[#This Row],[Trimmed Sector]],'3. Incentive Adjustment'!B:B,tbl_Data_old[[#This Row],[Trimmed Measure Name]])</f>
        <v>2.7736651842107431E-8</v>
      </c>
      <c r="AI86">
        <f>$AH86*tbl_Data_old[[#This Row],[2025 ]]</f>
        <v>5.9858848880754495E-4</v>
      </c>
      <c r="AJ86">
        <f>$AH86*tbl_Data_old[[#This Row],[2026 ]]</f>
        <v>6.661893144631082E-4</v>
      </c>
      <c r="AK86">
        <f>$AH86*tbl_Data_old[[#This Row],[2027 ]]</f>
        <v>7.2856436710569752E-4</v>
      </c>
      <c r="AL86">
        <f>$AH86*tbl_Data_old[[#This Row],[2028 ]]</f>
        <v>7.8759370852640156E-4</v>
      </c>
      <c r="AM86">
        <f>$AH86*tbl_Data_old[[#This Row],[2029 ]]</f>
        <v>8.4383418168953127E-4</v>
      </c>
      <c r="AN86">
        <f>$AH86*tbl_Data_old[[#This Row],[2030 ]]</f>
        <v>8.9529591452284379E-4</v>
      </c>
      <c r="AO86">
        <f>$AH86*tbl_Data_old[[#This Row],[2031 ]]</f>
        <v>9.4901994439284415E-4</v>
      </c>
      <c r="AP86">
        <f>$AH86*tbl_Data_old[[#This Row],[2032 ]]</f>
        <v>1.0073476383733481E-3</v>
      </c>
      <c r="AQ86">
        <f>$AH86*tbl_Data_old[[#This Row],[2033 ]]</f>
        <v>1.0710440604451506E-3</v>
      </c>
      <c r="AR86">
        <f>$AH86*tbl_Data_old[[#This Row],[2034 ]]</f>
        <v>1.140538630680791E-3</v>
      </c>
      <c r="AS86">
        <f>SUM(tbl_Data_old[[#This Row],[Adjusted 2025]:[Adjusted 2034]])</f>
        <v>8.6880162490072608E-3</v>
      </c>
      <c r="AT86" s="3">
        <f>AVERAGEIFS('3. Incentive Adjustment'!F:F,'3. Incentive Adjustment'!A:A,tbl_Data_old[[#This Row],[Trimmed Sector]],'3. Incentive Adjustment'!B:B,tbl_Data_old[[#This Row],[Trimmed Measure Name]])</f>
        <v>0</v>
      </c>
      <c r="AU86" s="3">
        <f>IFERROR(VLOOKUP(tbl_Data_old[[#This Row],[All_Meas_Name_Append]],'IRA Tax Credits'!$A$3:$D$46,4,0),0)</f>
        <v>41666.666666666672</v>
      </c>
      <c r="AV86" s="4">
        <f>tbl_Data_old[[#This Row],[Adj. per unit Incentive ($)]]/tbl_Data_old[[#This Row],[kWh Savings]]*tbl_Data_old[[#This Row],[Sum of Annuals]]</f>
        <v>0</v>
      </c>
      <c r="AW86" s="4">
        <f>IFERROR(VLOOKUP(tbl_Data_old[[#This Row],[All_Programs]],'1. Set Program Names'!$B$2:$D$15,3,0)*tbl_Data_old[[#This Row],[Sum of Annuals]],"")</f>
        <v>3.7581021103726812E-3</v>
      </c>
      <c r="AX86" s="4">
        <f>tbl_Data_old[[#This Row],[per unit IRA tax ($)]]/tbl_Data_old[[#This Row],[kWh Savings]]*tbl_Data_old[[#This Row],[Sum of Annuals]]</f>
        <v>0.27201461540459226</v>
      </c>
      <c r="AY86" s="4">
        <f>tbl_Data_old[[#This Row],[Avoided Costs ($/unit)]]/tbl_Data_old[[#This Row],[kWh Savings]]*tbl_Data_old[[#This Row],[Sum of Annuals]]</f>
        <v>4.6559983753368082E-3</v>
      </c>
      <c r="AZ86" s="4">
        <f>tbl_Data_old[[#This Row],[Lost Revenue ($/unit)]]/tbl_Data_old[[#This Row],[kWh Savings]]*tbl_Data_old[[#This Row],[Sum of Annuals]]</f>
        <v>1.3132598962555159E-2</v>
      </c>
      <c r="BA86" s="4">
        <f>tbl_Data_old[[#This Row],[Incremental Cost ($/unit)]]/tbl_Data_old[[#This Row],[kWh Savings]]*tbl_Data_old[[#This Row],[Sum of Annuals]]</f>
        <v>5.8690003986710218E-2</v>
      </c>
      <c r="BB86">
        <f>ROUNDUP(tbl_Data_old[[#This Row],[Adjusted 2025]]/$L86,0)</f>
        <v>1</v>
      </c>
      <c r="BC86">
        <f>ROUNDUP(tbl_Data_old[[#This Row],[Adjusted 2026]]/$L86,0)</f>
        <v>1</v>
      </c>
      <c r="BD86">
        <f>ROUNDUP(tbl_Data_old[[#This Row],[Adjusted 2027]]/$L86,0)</f>
        <v>1</v>
      </c>
      <c r="BE86">
        <f>ROUNDUP(tbl_Data_old[[#This Row],[Adjusted 2028]]/$L86,0)</f>
        <v>1</v>
      </c>
      <c r="BF86">
        <f>ROUNDUP(tbl_Data_old[[#This Row],[Adjusted 2029]]/$L86,0)</f>
        <v>1</v>
      </c>
      <c r="BG86">
        <f>ROUNDUP(tbl_Data_old[[#This Row],[Adjusted 2030]]/$L86,0)</f>
        <v>1</v>
      </c>
      <c r="BH86">
        <f>ROUNDUP(tbl_Data_old[[#This Row],[Adjusted 2031]]/$L86,0)</f>
        <v>1</v>
      </c>
      <c r="BI86">
        <f>ROUNDUP(tbl_Data_old[[#This Row],[Adjusted 2032]]/$L86,0)</f>
        <v>1</v>
      </c>
      <c r="BJ86">
        <f>ROUNDUP(tbl_Data_old[[#This Row],[Adjusted 2033]]/$L86,0)</f>
        <v>1</v>
      </c>
      <c r="BK86">
        <f>ROUNDUP(tbl_Data_old[[#This Row],[Adjusted 2034]]/$L86,0)</f>
        <v>1</v>
      </c>
      <c r="BL86" s="3">
        <f t="shared" si="6"/>
        <v>0</v>
      </c>
      <c r="BM86" s="3">
        <f t="shared" si="6"/>
        <v>0</v>
      </c>
      <c r="BN86" s="3">
        <f t="shared" si="6"/>
        <v>0</v>
      </c>
      <c r="BO86" s="3">
        <f t="shared" si="6"/>
        <v>0</v>
      </c>
      <c r="BP86" s="3">
        <f t="shared" si="6"/>
        <v>0</v>
      </c>
      <c r="BQ86" s="3">
        <f t="shared" si="6"/>
        <v>0</v>
      </c>
      <c r="BR86" s="3">
        <f t="shared" si="6"/>
        <v>0</v>
      </c>
      <c r="BS86" s="3">
        <f t="shared" si="6"/>
        <v>0</v>
      </c>
      <c r="BT86" s="3">
        <f t="shared" si="6"/>
        <v>0</v>
      </c>
      <c r="BU86" s="3">
        <f t="shared" si="6"/>
        <v>0</v>
      </c>
      <c r="BV86">
        <f>VLOOKUP($H86,'1. Set Program Names'!$B$2:$D$15,3,0)*V86</f>
        <v>9335.1709898033805</v>
      </c>
      <c r="BW86">
        <f>VLOOKUP($H86,'1. Set Program Names'!$B$2:$D$15,3,0)*W86</f>
        <v>10389.42659001334</v>
      </c>
      <c r="BX86">
        <f>VLOOKUP($H86,'1. Set Program Names'!$B$2:$D$15,3,0)*X86</f>
        <v>11362.184658041893</v>
      </c>
      <c r="BY86">
        <f>VLOOKUP($H86,'1. Set Program Names'!$B$2:$D$15,3,0)*Y86</f>
        <v>12282.765333883999</v>
      </c>
      <c r="BZ86">
        <f>VLOOKUP($H86,'1. Set Program Names'!$B$2:$D$15,3,0)*Z86</f>
        <v>13159.852754277183</v>
      </c>
      <c r="CA86">
        <f>VLOOKUP($H86,'1. Set Program Names'!$B$2:$D$15,3,0)*AA86</f>
        <v>13962.414254227791</v>
      </c>
      <c r="CB86">
        <f>VLOOKUP($H86,'1. Set Program Names'!$B$2:$D$15,3,0)*AB86</f>
        <v>14800.25697000879</v>
      </c>
      <c r="CC86">
        <f>VLOOKUP($H86,'1. Set Program Names'!$B$2:$D$15,3,0)*AC86</f>
        <v>15709.895238919762</v>
      </c>
      <c r="CD86">
        <f>VLOOKUP($H86,'1. Set Program Names'!$B$2:$D$15,3,0)*AD86</f>
        <v>16703.26046828377</v>
      </c>
      <c r="CE86">
        <f>VLOOKUP($H86,'1. Set Program Names'!$B$2:$D$15,3,0)*AE86</f>
        <v>17787.04959577764</v>
      </c>
    </row>
    <row r="87" spans="1:83" x14ac:dyDescent="0.25">
      <c r="A87" s="20" t="s">
        <v>113</v>
      </c>
      <c r="B87" s="20" t="s">
        <v>88</v>
      </c>
      <c r="C87" s="20" t="s">
        <v>89</v>
      </c>
      <c r="D87" s="20" t="s">
        <v>90</v>
      </c>
      <c r="E87" s="20" t="s">
        <v>91</v>
      </c>
      <c r="F87" s="20" t="s">
        <v>90</v>
      </c>
      <c r="G87" s="20" t="s">
        <v>92</v>
      </c>
      <c r="H87" s="20" t="s">
        <v>7</v>
      </c>
      <c r="I87" s="20" t="s">
        <v>93</v>
      </c>
      <c r="J87" s="20" t="s">
        <v>94</v>
      </c>
      <c r="K87" s="20" t="s">
        <v>95</v>
      </c>
      <c r="L87" s="20">
        <v>1200.2266666666601</v>
      </c>
      <c r="M87" s="20">
        <v>4.8097974252120097E-2</v>
      </c>
      <c r="N87" s="20">
        <v>0.22310492157346501</v>
      </c>
      <c r="O87" s="20">
        <v>1210</v>
      </c>
      <c r="P87" s="20">
        <v>933.85922631496703</v>
      </c>
      <c r="Q87" s="20">
        <v>346.114635734861</v>
      </c>
      <c r="R87" s="20">
        <v>571.53970184074296</v>
      </c>
      <c r="S87" s="20">
        <v>1535.35818196214</v>
      </c>
      <c r="T87" s="20">
        <v>15</v>
      </c>
      <c r="U87" s="20">
        <v>0.1</v>
      </c>
      <c r="V87" s="20">
        <v>7226.2368301811603</v>
      </c>
      <c r="W87" s="20">
        <v>14903.8506757096</v>
      </c>
      <c r="X87" s="20">
        <v>23029.6001054675</v>
      </c>
      <c r="Y87" s="20">
        <v>31613.833759754802</v>
      </c>
      <c r="Z87" s="20">
        <v>40666.405084047197</v>
      </c>
      <c r="AA87" s="20">
        <v>50170.802231178197</v>
      </c>
      <c r="AB87" s="20">
        <v>60180.9114488126</v>
      </c>
      <c r="AC87" s="20">
        <v>70770.824793202803</v>
      </c>
      <c r="AD87" s="20">
        <v>82019.408246673702</v>
      </c>
      <c r="AE87" s="20">
        <v>94007.856822303598</v>
      </c>
      <c r="AF87" t="str">
        <f t="shared" si="5"/>
        <v>Residential</v>
      </c>
      <c r="AG87" t="str">
        <f>tbl_Data_old[[#This Row],[All_Meas_Name_Append]]</f>
        <v>120v Heat Pump Water Heater 50 Gallons</v>
      </c>
      <c r="AH87">
        <f>AVERAGEIFS('3. Incentive Adjustment'!G:G,'3. Incentive Adjustment'!A:A,tbl_Data_old[[#This Row],[Trimmed Sector]],'3. Incentive Adjustment'!B:B,tbl_Data_old[[#This Row],[Trimmed Measure Name]])</f>
        <v>0.38528347196238832</v>
      </c>
      <c r="AI87">
        <f>$AH87*tbl_Data_old[[#This Row],[2025 ]]</f>
        <v>2784.1496151546808</v>
      </c>
      <c r="AJ87">
        <f>$AH87*tbl_Data_old[[#This Row],[2026 ]]</f>
        <v>5742.2073339463823</v>
      </c>
      <c r="AK87">
        <f>$AH87*tbl_Data_old[[#This Row],[2027 ]]</f>
        <v>8872.9242865399028</v>
      </c>
      <c r="AL87">
        <f>$AH87*tbl_Data_old[[#This Row],[2028 ]]</f>
        <v>12180.287633000095</v>
      </c>
      <c r="AM87">
        <f>$AH87*tbl_Data_old[[#This Row],[2029 ]]</f>
        <v>15668.093743010624</v>
      </c>
      <c r="AN87">
        <f>$AH87*tbl_Data_old[[#This Row],[2030 ]]</f>
        <v>19329.980874766676</v>
      </c>
      <c r="AO87">
        <f>$AH87*tbl_Data_old[[#This Row],[2031 ]]</f>
        <v>23186.710508859564</v>
      </c>
      <c r="AP87">
        <f>$AH87*tbl_Data_old[[#This Row],[2032 ]]</f>
        <v>27266.82908996705</v>
      </c>
      <c r="AQ87">
        <f>$AH87*tbl_Data_old[[#This Row],[2033 ]]</f>
        <v>31600.72237757899</v>
      </c>
      <c r="AR87">
        <f>$AH87*tbl_Data_old[[#This Row],[2034 ]]</f>
        <v>36219.673468240224</v>
      </c>
      <c r="AS87">
        <f>SUM(tbl_Data_old[[#This Row],[Adjusted 2025]:[Adjusted 2034]])</f>
        <v>182851.5789310642</v>
      </c>
      <c r="AT87" s="3">
        <f>AVERAGEIFS('3. Incentive Adjustment'!F:F,'3. Incentive Adjustment'!A:A,tbl_Data_old[[#This Row],[Trimmed Sector]],'3. Incentive Adjustment'!B:B,tbl_Data_old[[#This Row],[Trimmed Measure Name]])</f>
        <v>500</v>
      </c>
      <c r="AU87" s="3">
        <f>IFERROR(VLOOKUP(tbl_Data_old[[#This Row],[All_Meas_Name_Append]],'IRA Tax Credits'!$A$3:$D$46,4,0),0)</f>
        <v>1666.6666666666667</v>
      </c>
      <c r="AV87" s="4">
        <f>tbl_Data_old[[#This Row],[Adj. per unit Incentive ($)]]/tbl_Data_old[[#This Row],[kWh Savings]]*tbl_Data_old[[#This Row],[Sum of Annuals]]</f>
        <v>76173.769509258753</v>
      </c>
      <c r="AW87" s="4">
        <f>IFERROR(VLOOKUP(tbl_Data_old[[#This Row],[All_Programs]],'1. Set Program Names'!$B$2:$D$15,3,0)*tbl_Data_old[[#This Row],[Sum of Annuals]],"")</f>
        <v>79094.569458744911</v>
      </c>
      <c r="AX87" s="4">
        <f>tbl_Data_old[[#This Row],[per unit IRA tax ($)]]/tbl_Data_old[[#This Row],[kWh Savings]]*tbl_Data_old[[#This Row],[Sum of Annuals]]</f>
        <v>253912.56503086249</v>
      </c>
      <c r="AY87" s="4">
        <f>tbl_Data_old[[#This Row],[Avoided Costs ($/unit)]]/tbl_Data_old[[#This Row],[kWh Savings]]*tbl_Data_old[[#This Row],[Sum of Annuals]]</f>
        <v>87072.667026814452</v>
      </c>
      <c r="AZ87" s="4">
        <f>tbl_Data_old[[#This Row],[Lost Revenue ($/unit)]]/tbl_Data_old[[#This Row],[kWh Savings]]*tbl_Data_old[[#This Row],[Sum of Annuals]]</f>
        <v>233908.04053387721</v>
      </c>
      <c r="BA87" s="4">
        <f>tbl_Data_old[[#This Row],[Incremental Cost ($/unit)]]/tbl_Data_old[[#This Row],[kWh Savings]]*tbl_Data_old[[#This Row],[Sum of Annuals]]</f>
        <v>184340.52221240615</v>
      </c>
      <c r="BB87">
        <f>ROUNDUP(tbl_Data_old[[#This Row],[Adjusted 2025]]/$L87,0)</f>
        <v>3</v>
      </c>
      <c r="BC87">
        <f>ROUNDUP(tbl_Data_old[[#This Row],[Adjusted 2026]]/$L87,0)</f>
        <v>5</v>
      </c>
      <c r="BD87">
        <f>ROUNDUP(tbl_Data_old[[#This Row],[Adjusted 2027]]/$L87,0)</f>
        <v>8</v>
      </c>
      <c r="BE87">
        <f>ROUNDUP(tbl_Data_old[[#This Row],[Adjusted 2028]]/$L87,0)</f>
        <v>11</v>
      </c>
      <c r="BF87">
        <f>ROUNDUP(tbl_Data_old[[#This Row],[Adjusted 2029]]/$L87,0)</f>
        <v>14</v>
      </c>
      <c r="BG87">
        <f>ROUNDUP(tbl_Data_old[[#This Row],[Adjusted 2030]]/$L87,0)</f>
        <v>17</v>
      </c>
      <c r="BH87">
        <f>ROUNDUP(tbl_Data_old[[#This Row],[Adjusted 2031]]/$L87,0)</f>
        <v>20</v>
      </c>
      <c r="BI87">
        <f>ROUNDUP(tbl_Data_old[[#This Row],[Adjusted 2032]]/$L87,0)</f>
        <v>23</v>
      </c>
      <c r="BJ87">
        <f>ROUNDUP(tbl_Data_old[[#This Row],[Adjusted 2033]]/$L87,0)</f>
        <v>27</v>
      </c>
      <c r="BK87">
        <f>ROUNDUP(tbl_Data_old[[#This Row],[Adjusted 2034]]/$L87,0)</f>
        <v>31</v>
      </c>
      <c r="BL87" s="3">
        <f t="shared" si="6"/>
        <v>3010.3633883799171</v>
      </c>
      <c r="BM87" s="3">
        <f t="shared" si="6"/>
        <v>6208.7650148206785</v>
      </c>
      <c r="BN87" s="3">
        <f t="shared" si="6"/>
        <v>9593.8545380876494</v>
      </c>
      <c r="BO87" s="3">
        <f t="shared" si="6"/>
        <v>13169.943077316635</v>
      </c>
      <c r="BP87" s="3">
        <f t="shared" si="6"/>
        <v>16941.135459432975</v>
      </c>
      <c r="BQ87" s="3">
        <f t="shared" si="6"/>
        <v>20900.553047415407</v>
      </c>
      <c r="BR87" s="3">
        <f t="shared" si="6"/>
        <v>25070.644204211258</v>
      </c>
      <c r="BS87" s="3">
        <f t="shared" si="6"/>
        <v>29482.274789707717</v>
      </c>
      <c r="BT87" s="3">
        <f t="shared" si="6"/>
        <v>34168.299424000805</v>
      </c>
      <c r="BU87" s="3">
        <f t="shared" si="6"/>
        <v>39162.542973398406</v>
      </c>
      <c r="BV87">
        <f>VLOOKUP($H87,'1. Set Program Names'!$B$2:$D$15,3,0)*V87</f>
        <v>3125.7924827960251</v>
      </c>
      <c r="BW87">
        <f>VLOOKUP($H87,'1. Set Program Names'!$B$2:$D$15,3,0)*W87</f>
        <v>6446.8333244040123</v>
      </c>
      <c r="BX87">
        <f>VLOOKUP($H87,'1. Set Program Names'!$B$2:$D$15,3,0)*X87</f>
        <v>9961.7204062303317</v>
      </c>
      <c r="BY87">
        <f>VLOOKUP($H87,'1. Set Program Names'!$B$2:$D$15,3,0)*Y87</f>
        <v>13674.93015256288</v>
      </c>
      <c r="BZ87">
        <f>VLOOKUP($H87,'1. Set Program Names'!$B$2:$D$15,3,0)*Z87</f>
        <v>17590.724785429713</v>
      </c>
      <c r="CA87">
        <f>VLOOKUP($H87,'1. Set Program Names'!$B$2:$D$15,3,0)*AA87</f>
        <v>21701.961913989926</v>
      </c>
      <c r="CB87">
        <f>VLOOKUP($H87,'1. Set Program Names'!$B$2:$D$15,3,0)*AB87</f>
        <v>26031.950659136604</v>
      </c>
      <c r="CC87">
        <f>VLOOKUP($H87,'1. Set Program Names'!$B$2:$D$15,3,0)*AC87</f>
        <v>30612.74039842423</v>
      </c>
      <c r="CD87">
        <f>VLOOKUP($H87,'1. Set Program Names'!$B$2:$D$15,3,0)*AD87</f>
        <v>35478.445526453033</v>
      </c>
      <c r="CE87">
        <f>VLOOKUP($H87,'1. Set Program Names'!$B$2:$D$15,3,0)*AE87</f>
        <v>40664.187887065811</v>
      </c>
    </row>
    <row r="88" spans="1:83" x14ac:dyDescent="0.25">
      <c r="A88" s="20" t="s">
        <v>113</v>
      </c>
      <c r="B88" s="20" t="s">
        <v>88</v>
      </c>
      <c r="C88" s="20" t="s">
        <v>89</v>
      </c>
      <c r="D88" s="20" t="s">
        <v>90</v>
      </c>
      <c r="E88" s="20" t="s">
        <v>91</v>
      </c>
      <c r="F88" s="20" t="s">
        <v>90</v>
      </c>
      <c r="G88" s="20" t="s">
        <v>92</v>
      </c>
      <c r="H88" s="20" t="s">
        <v>7</v>
      </c>
      <c r="I88" s="20" t="s">
        <v>118</v>
      </c>
      <c r="J88" s="20" t="s">
        <v>97</v>
      </c>
      <c r="K88" s="20" t="s">
        <v>102</v>
      </c>
      <c r="L88" s="20">
        <v>466.599999999999</v>
      </c>
      <c r="M88" s="20">
        <v>0.18933941062023901</v>
      </c>
      <c r="N88" s="20">
        <v>2.6910820932303899E-2</v>
      </c>
      <c r="O88" s="20">
        <v>674.44999999999902</v>
      </c>
      <c r="P88" s="20">
        <v>561.40215199999898</v>
      </c>
      <c r="Q88" s="20">
        <v>134.555491490957</v>
      </c>
      <c r="R88" s="20">
        <v>370.49545033119801</v>
      </c>
      <c r="S88" s="20">
        <v>705.301475078208</v>
      </c>
      <c r="T88" s="20">
        <v>20</v>
      </c>
      <c r="U88" s="20">
        <v>1</v>
      </c>
      <c r="V88" s="20">
        <v>2487.29589231101</v>
      </c>
      <c r="W88" s="20">
        <v>4894.4077706746502</v>
      </c>
      <c r="X88" s="20">
        <v>7225.9856941872504</v>
      </c>
      <c r="Y88" s="20">
        <v>9489.0546452490107</v>
      </c>
      <c r="Z88" s="20">
        <v>11688.827118770199</v>
      </c>
      <c r="AA88" s="20">
        <v>13823.3529703943</v>
      </c>
      <c r="AB88" s="20">
        <v>15905.6995777547</v>
      </c>
      <c r="AC88" s="20">
        <v>17950.017463530399</v>
      </c>
      <c r="AD88" s="20">
        <v>19968.225258559902</v>
      </c>
      <c r="AE88" s="20">
        <v>21969.931240258498</v>
      </c>
      <c r="AF88" t="str">
        <f t="shared" si="5"/>
        <v>Residential</v>
      </c>
      <c r="AG88" t="str">
        <f>tbl_Data_old[[#This Row],[All_Meas_Name_Append]]</f>
        <v>Air Sealing-Infiltration Control</v>
      </c>
      <c r="AH88" t="e">
        <f>AVERAGEIFS('3. Incentive Adjustment'!G:G,'3. Incentive Adjustment'!A:A,tbl_Data_old[[#This Row],[Trimmed Sector]],'3. Incentive Adjustment'!B:B,tbl_Data_old[[#This Row],[Trimmed Measure Name]])</f>
        <v>#DIV/0!</v>
      </c>
      <c r="AI88" t="e">
        <f>$AH88*tbl_Data_old[[#This Row],[2025 ]]</f>
        <v>#DIV/0!</v>
      </c>
      <c r="AJ88" t="e">
        <f>$AH88*tbl_Data_old[[#This Row],[2026 ]]</f>
        <v>#DIV/0!</v>
      </c>
      <c r="AK88" t="e">
        <f>$AH88*tbl_Data_old[[#This Row],[2027 ]]</f>
        <v>#DIV/0!</v>
      </c>
      <c r="AL88" t="e">
        <f>$AH88*tbl_Data_old[[#This Row],[2028 ]]</f>
        <v>#DIV/0!</v>
      </c>
      <c r="AM88" t="e">
        <f>$AH88*tbl_Data_old[[#This Row],[2029 ]]</f>
        <v>#DIV/0!</v>
      </c>
      <c r="AN88" t="e">
        <f>$AH88*tbl_Data_old[[#This Row],[2030 ]]</f>
        <v>#DIV/0!</v>
      </c>
      <c r="AO88" t="e">
        <f>$AH88*tbl_Data_old[[#This Row],[2031 ]]</f>
        <v>#DIV/0!</v>
      </c>
      <c r="AP88" t="e">
        <f>$AH88*tbl_Data_old[[#This Row],[2032 ]]</f>
        <v>#DIV/0!</v>
      </c>
      <c r="AQ88" t="e">
        <f>$AH88*tbl_Data_old[[#This Row],[2033 ]]</f>
        <v>#DIV/0!</v>
      </c>
      <c r="AR88" t="e">
        <f>$AH88*tbl_Data_old[[#This Row],[2034 ]]</f>
        <v>#DIV/0!</v>
      </c>
      <c r="AS88" t="e">
        <f>SUM(tbl_Data_old[[#This Row],[Adjusted 2025]:[Adjusted 2034]])</f>
        <v>#DIV/0!</v>
      </c>
      <c r="AT88" s="3" t="e">
        <f>AVERAGEIFS('3. Incentive Adjustment'!F:F,'3. Incentive Adjustment'!A:A,tbl_Data_old[[#This Row],[Trimmed Sector]],'3. Incentive Adjustment'!B:B,tbl_Data_old[[#This Row],[Trimmed Measure Name]])</f>
        <v>#DIV/0!</v>
      </c>
      <c r="AU88" s="3">
        <f>IFERROR(VLOOKUP(tbl_Data_old[[#This Row],[All_Meas_Name_Append]],'IRA Tax Credits'!$A$3:$D$46,4,0),0)</f>
        <v>500</v>
      </c>
      <c r="AV88" s="4" t="e">
        <f>tbl_Data_old[[#This Row],[Adj. per unit Incentive ($)]]/tbl_Data_old[[#This Row],[kWh Savings]]*tbl_Data_old[[#This Row],[Sum of Annuals]]</f>
        <v>#DIV/0!</v>
      </c>
      <c r="AW88" s="4" t="str">
        <f>IFERROR(VLOOKUP(tbl_Data_old[[#This Row],[All_Programs]],'1. Set Program Names'!$B$2:$D$15,3,0)*tbl_Data_old[[#This Row],[Sum of Annuals]],"")</f>
        <v/>
      </c>
      <c r="AX88" s="4" t="e">
        <f>tbl_Data_old[[#This Row],[per unit IRA tax ($)]]/tbl_Data_old[[#This Row],[kWh Savings]]*tbl_Data_old[[#This Row],[Sum of Annuals]]</f>
        <v>#DIV/0!</v>
      </c>
      <c r="AY88" s="4" t="e">
        <f>tbl_Data_old[[#This Row],[Avoided Costs ($/unit)]]/tbl_Data_old[[#This Row],[kWh Savings]]*tbl_Data_old[[#This Row],[Sum of Annuals]]</f>
        <v>#DIV/0!</v>
      </c>
      <c r="AZ88" s="4" t="e">
        <f>tbl_Data_old[[#This Row],[Lost Revenue ($/unit)]]/tbl_Data_old[[#This Row],[kWh Savings]]*tbl_Data_old[[#This Row],[Sum of Annuals]]</f>
        <v>#DIV/0!</v>
      </c>
      <c r="BA88" s="4" t="e">
        <f>tbl_Data_old[[#This Row],[Incremental Cost ($/unit)]]/tbl_Data_old[[#This Row],[kWh Savings]]*tbl_Data_old[[#This Row],[Sum of Annuals]]</f>
        <v>#DIV/0!</v>
      </c>
      <c r="BB88" t="e">
        <f>ROUNDUP(tbl_Data_old[[#This Row],[Adjusted 2025]]/$L88,0)</f>
        <v>#DIV/0!</v>
      </c>
      <c r="BC88" t="e">
        <f>ROUNDUP(tbl_Data_old[[#This Row],[Adjusted 2026]]/$L88,0)</f>
        <v>#DIV/0!</v>
      </c>
      <c r="BD88" t="e">
        <f>ROUNDUP(tbl_Data_old[[#This Row],[Adjusted 2027]]/$L88,0)</f>
        <v>#DIV/0!</v>
      </c>
      <c r="BE88" t="e">
        <f>ROUNDUP(tbl_Data_old[[#This Row],[Adjusted 2028]]/$L88,0)</f>
        <v>#DIV/0!</v>
      </c>
      <c r="BF88" t="e">
        <f>ROUNDUP(tbl_Data_old[[#This Row],[Adjusted 2029]]/$L88,0)</f>
        <v>#DIV/0!</v>
      </c>
      <c r="BG88" t="e">
        <f>ROUNDUP(tbl_Data_old[[#This Row],[Adjusted 2030]]/$L88,0)</f>
        <v>#DIV/0!</v>
      </c>
      <c r="BH88" t="e">
        <f>ROUNDUP(tbl_Data_old[[#This Row],[Adjusted 2031]]/$L88,0)</f>
        <v>#DIV/0!</v>
      </c>
      <c r="BI88" t="e">
        <f>ROUNDUP(tbl_Data_old[[#This Row],[Adjusted 2032]]/$L88,0)</f>
        <v>#DIV/0!</v>
      </c>
      <c r="BJ88" t="e">
        <f>ROUNDUP(tbl_Data_old[[#This Row],[Adjusted 2033]]/$L88,0)</f>
        <v>#DIV/0!</v>
      </c>
      <c r="BK88" t="e">
        <f>ROUNDUP(tbl_Data_old[[#This Row],[Adjusted 2034]]/$L88,0)</f>
        <v>#DIV/0!</v>
      </c>
      <c r="BL88" s="3" t="e">
        <f t="shared" si="6"/>
        <v>#DIV/0!</v>
      </c>
      <c r="BM88" s="3" t="e">
        <f t="shared" si="6"/>
        <v>#DIV/0!</v>
      </c>
      <c r="BN88" s="3" t="e">
        <f t="shared" si="6"/>
        <v>#DIV/0!</v>
      </c>
      <c r="BO88" s="3" t="e">
        <f t="shared" si="6"/>
        <v>#DIV/0!</v>
      </c>
      <c r="BP88" s="3" t="e">
        <f t="shared" si="6"/>
        <v>#DIV/0!</v>
      </c>
      <c r="BQ88" s="3" t="e">
        <f t="shared" si="6"/>
        <v>#DIV/0!</v>
      </c>
      <c r="BR88" s="3" t="e">
        <f t="shared" si="6"/>
        <v>#DIV/0!</v>
      </c>
      <c r="BS88" s="3" t="e">
        <f t="shared" si="6"/>
        <v>#DIV/0!</v>
      </c>
      <c r="BT88" s="3" t="e">
        <f t="shared" si="6"/>
        <v>#DIV/0!</v>
      </c>
      <c r="BU88" s="3" t="e">
        <f t="shared" si="6"/>
        <v>#DIV/0!</v>
      </c>
      <c r="BV88">
        <f>VLOOKUP($H88,'1. Set Program Names'!$B$2:$D$15,3,0)*V88</f>
        <v>1075.9086624732549</v>
      </c>
      <c r="BW88">
        <f>VLOOKUP($H88,'1. Set Program Names'!$B$2:$D$15,3,0)*W88</f>
        <v>2117.1328004938541</v>
      </c>
      <c r="BX88">
        <f>VLOOKUP($H88,'1. Set Program Names'!$B$2:$D$15,3,0)*X88</f>
        <v>3125.6838510115467</v>
      </c>
      <c r="BY88">
        <f>VLOOKUP($H88,'1. Set Program Names'!$B$2:$D$15,3,0)*Y88</f>
        <v>4104.6005515731858</v>
      </c>
      <c r="BZ88">
        <f>VLOOKUP($H88,'1. Set Program Names'!$B$2:$D$15,3,0)*Z88</f>
        <v>5056.1376272576772</v>
      </c>
      <c r="CA88">
        <f>VLOOKUP($H88,'1. Set Program Names'!$B$2:$D$15,3,0)*AA88</f>
        <v>5979.4515205241851</v>
      </c>
      <c r="CB88">
        <f>VLOOKUP($H88,'1. Set Program Names'!$B$2:$D$15,3,0)*AB88</f>
        <v>6880.1946770005225</v>
      </c>
      <c r="CC88">
        <f>VLOOKUP($H88,'1. Set Program Names'!$B$2:$D$15,3,0)*AC88</f>
        <v>7764.4880692561073</v>
      </c>
      <c r="CD88">
        <f>VLOOKUP($H88,'1. Set Program Names'!$B$2:$D$15,3,0)*AD88</f>
        <v>8637.4872391802692</v>
      </c>
      <c r="CE88">
        <f>VLOOKUP($H88,'1. Set Program Names'!$B$2:$D$15,3,0)*AE88</f>
        <v>9503.3483585153863</v>
      </c>
    </row>
    <row r="89" spans="1:83" x14ac:dyDescent="0.25">
      <c r="A89" s="20" t="s">
        <v>113</v>
      </c>
      <c r="B89" s="20" t="s">
        <v>88</v>
      </c>
      <c r="C89" s="20" t="s">
        <v>89</v>
      </c>
      <c r="D89" s="20" t="s">
        <v>90</v>
      </c>
      <c r="E89" s="20" t="s">
        <v>91</v>
      </c>
      <c r="F89" s="20" t="s">
        <v>90</v>
      </c>
      <c r="G89" s="20" t="s">
        <v>92</v>
      </c>
      <c r="H89" s="20" t="s">
        <v>7</v>
      </c>
      <c r="I89" s="20" t="s">
        <v>96</v>
      </c>
      <c r="J89" s="20" t="s">
        <v>97</v>
      </c>
      <c r="K89" s="20" t="s">
        <v>98</v>
      </c>
      <c r="L89" s="20">
        <v>5868.07</v>
      </c>
      <c r="M89" s="20">
        <v>0.20813520080661799</v>
      </c>
      <c r="N89" s="20">
        <v>1.1349578069705</v>
      </c>
      <c r="O89" s="20">
        <v>1935.1666666666599</v>
      </c>
      <c r="P89" s="20">
        <v>513.45064263862798</v>
      </c>
      <c r="Q89" s="20">
        <v>1692.2011207744099</v>
      </c>
      <c r="R89" s="20">
        <v>3388.0400735263802</v>
      </c>
      <c r="S89" s="20">
        <v>7811.7411984889604</v>
      </c>
      <c r="T89" s="20">
        <v>16</v>
      </c>
      <c r="U89" s="20">
        <v>0.1</v>
      </c>
      <c r="V89" s="20">
        <v>45156.892441113698</v>
      </c>
      <c r="W89" s="20">
        <v>92990.034886650406</v>
      </c>
      <c r="X89" s="20">
        <v>143459.444239606</v>
      </c>
      <c r="Y89" s="20">
        <v>196609.58648918499</v>
      </c>
      <c r="Z89" s="20">
        <v>252481.662799988</v>
      </c>
      <c r="AA89" s="20">
        <v>310954.65482837602</v>
      </c>
      <c r="AB89" s="20">
        <v>372340.78302096599</v>
      </c>
      <c r="AC89" s="20">
        <v>437072.94091285701</v>
      </c>
      <c r="AD89" s="20">
        <v>505608.842770866</v>
      </c>
      <c r="AE89" s="20">
        <v>578415.63791272498</v>
      </c>
      <c r="AF89" t="str">
        <f t="shared" si="5"/>
        <v>Residential</v>
      </c>
      <c r="AG89" t="str">
        <f>tbl_Data_old[[#This Row],[All_Meas_Name_Append]]</f>
        <v>ASHP - CEE Tier 2: 16.8 SEER/16 SEER2; 9.0 HSPF (from elec resistance)</v>
      </c>
      <c r="AH89">
        <f>AVERAGEIFS('3. Incentive Adjustment'!G:G,'3. Incentive Adjustment'!A:A,tbl_Data_old[[#This Row],[Trimmed Sector]],'3. Incentive Adjustment'!B:B,tbl_Data_old[[#This Row],[Trimmed Measure Name]])</f>
        <v>0.9303958662075158</v>
      </c>
      <c r="AI89">
        <f>$AH89*tbl_Data_old[[#This Row],[2025 ]]</f>
        <v>42013.786057989601</v>
      </c>
      <c r="AJ89">
        <f>$AH89*tbl_Data_old[[#This Row],[2026 ]]</f>
        <v>86517.544057032224</v>
      </c>
      <c r="AK89">
        <f>$AH89*tbl_Data_old[[#This Row],[2027 ]]</f>
        <v>133474.07388895703</v>
      </c>
      <c r="AL89">
        <f>$AH89*tbl_Data_old[[#This Row],[2028 ]]</f>
        <v>182924.74652630676</v>
      </c>
      <c r="AM89">
        <f>$AH89*tbl_Data_old[[#This Row],[2029 ]]</f>
        <v>234907.89536230874</v>
      </c>
      <c r="AN89">
        <f>$AH89*tbl_Data_old[[#This Row],[2030 ]]</f>
        <v>289310.925430306</v>
      </c>
      <c r="AO89">
        <f>$AH89*tbl_Data_old[[#This Row],[2031 ]]</f>
        <v>346424.32534317632</v>
      </c>
      <c r="AP89">
        <f>$AH89*tbl_Data_old[[#This Row],[2032 ]]</f>
        <v>406650.85745648399</v>
      </c>
      <c r="AQ89">
        <f>$AH89*tbl_Data_old[[#This Row],[2033 ]]</f>
        <v>470416.37723197951</v>
      </c>
      <c r="AR89">
        <f>$AH89*tbl_Data_old[[#This Row],[2034 ]]</f>
        <v>538155.51846378262</v>
      </c>
      <c r="AS89">
        <f>SUM(tbl_Data_old[[#This Row],[Adjusted 2025]:[Adjusted 2034]])</f>
        <v>2730796.0498183225</v>
      </c>
      <c r="AT89" s="3">
        <f>AVERAGEIFS('3. Incentive Adjustment'!F:F,'3. Incentive Adjustment'!A:A,tbl_Data_old[[#This Row],[Trimmed Sector]],'3. Incentive Adjustment'!B:B,tbl_Data_old[[#This Row],[Trimmed Measure Name]])</f>
        <v>353</v>
      </c>
      <c r="AU89" s="3">
        <f>IFERROR(VLOOKUP(tbl_Data_old[[#This Row],[All_Meas_Name_Append]],'IRA Tax Credits'!$A$3:$D$46,4,0),0)</f>
        <v>0</v>
      </c>
      <c r="AV89" s="4">
        <f>tbl_Data_old[[#This Row],[Adj. per unit Incentive ($)]]/tbl_Data_old[[#This Row],[kWh Savings]]*tbl_Data_old[[#This Row],[Sum of Annuals]]</f>
        <v>164273.94451427265</v>
      </c>
      <c r="AW89" s="4">
        <f>IFERROR(VLOOKUP(tbl_Data_old[[#This Row],[All_Programs]],'1. Set Program Names'!$B$2:$D$15,3,0)*tbl_Data_old[[#This Row],[Sum of Annuals]],"")</f>
        <v>1181237.4774267117</v>
      </c>
      <c r="AX89" s="4">
        <f>tbl_Data_old[[#This Row],[per unit IRA tax ($)]]/tbl_Data_old[[#This Row],[kWh Savings]]*tbl_Data_old[[#This Row],[Sum of Annuals]]</f>
        <v>0</v>
      </c>
      <c r="AY89" s="4">
        <f>tbl_Data_old[[#This Row],[Avoided Costs ($/unit)]]/tbl_Data_old[[#This Row],[kWh Savings]]*tbl_Data_old[[#This Row],[Sum of Annuals]]</f>
        <v>1576676.2239393904</v>
      </c>
      <c r="AZ89" s="4">
        <f>tbl_Data_old[[#This Row],[Lost Revenue ($/unit)]]/tbl_Data_old[[#This Row],[kWh Savings]]*tbl_Data_old[[#This Row],[Sum of Annuals]]</f>
        <v>3635313.1450437205</v>
      </c>
      <c r="BA89" s="4">
        <f>tbl_Data_old[[#This Row],[Incremental Cost ($/unit)]]/tbl_Data_old[[#This Row],[kWh Savings]]*tbl_Data_old[[#This Row],[Sum of Annuals]]</f>
        <v>900559.38137639908</v>
      </c>
      <c r="BB89">
        <f>ROUNDUP(tbl_Data_old[[#This Row],[Adjusted 2025]]/$L89,0)</f>
        <v>8</v>
      </c>
      <c r="BC89">
        <f>ROUNDUP(tbl_Data_old[[#This Row],[Adjusted 2026]]/$L89,0)</f>
        <v>15</v>
      </c>
      <c r="BD89">
        <f>ROUNDUP(tbl_Data_old[[#This Row],[Adjusted 2027]]/$L89,0)</f>
        <v>23</v>
      </c>
      <c r="BE89">
        <f>ROUNDUP(tbl_Data_old[[#This Row],[Adjusted 2028]]/$L89,0)</f>
        <v>32</v>
      </c>
      <c r="BF89">
        <f>ROUNDUP(tbl_Data_old[[#This Row],[Adjusted 2029]]/$L89,0)</f>
        <v>41</v>
      </c>
      <c r="BG89">
        <f>ROUNDUP(tbl_Data_old[[#This Row],[Adjusted 2030]]/$L89,0)</f>
        <v>50</v>
      </c>
      <c r="BH89">
        <f>ROUNDUP(tbl_Data_old[[#This Row],[Adjusted 2031]]/$L89,0)</f>
        <v>60</v>
      </c>
      <c r="BI89">
        <f>ROUNDUP(tbl_Data_old[[#This Row],[Adjusted 2032]]/$L89,0)</f>
        <v>70</v>
      </c>
      <c r="BJ89">
        <f>ROUNDUP(tbl_Data_old[[#This Row],[Adjusted 2033]]/$L89,0)</f>
        <v>81</v>
      </c>
      <c r="BK89">
        <f>ROUNDUP(tbl_Data_old[[#This Row],[Adjusted 2034]]/$L89,0)</f>
        <v>92</v>
      </c>
      <c r="BL89" s="3">
        <f t="shared" si="6"/>
        <v>2716.4609542342091</v>
      </c>
      <c r="BM89" s="3">
        <f t="shared" si="6"/>
        <v>5593.9145775336001</v>
      </c>
      <c r="BN89" s="3">
        <f t="shared" si="6"/>
        <v>8629.9556441182394</v>
      </c>
      <c r="BO89" s="3">
        <f t="shared" si="6"/>
        <v>11827.259052922393</v>
      </c>
      <c r="BP89" s="3">
        <f t="shared" si="6"/>
        <v>15188.303303879431</v>
      </c>
      <c r="BQ89" s="3">
        <f t="shared" si="6"/>
        <v>18705.808409650319</v>
      </c>
      <c r="BR89" s="3">
        <f t="shared" si="6"/>
        <v>22398.55632369774</v>
      </c>
      <c r="BS89" s="3">
        <f t="shared" si="6"/>
        <v>26292.588217631783</v>
      </c>
      <c r="BT89" s="3">
        <f t="shared" si="6"/>
        <v>30415.438380611635</v>
      </c>
      <c r="BU89" s="3">
        <f t="shared" si="6"/>
        <v>34795.208677332055</v>
      </c>
      <c r="BV89">
        <f>VLOOKUP($H89,'1. Set Program Names'!$B$2:$D$15,3,0)*V89</f>
        <v>19533.137130149</v>
      </c>
      <c r="BW89">
        <f>VLOOKUP($H89,'1. Set Program Names'!$B$2:$D$15,3,0)*W89</f>
        <v>40223.917213677174</v>
      </c>
      <c r="BX89">
        <f>VLOOKUP($H89,'1. Set Program Names'!$B$2:$D$15,3,0)*X89</f>
        <v>62055.045098627641</v>
      </c>
      <c r="BY89">
        <f>VLOOKUP($H89,'1. Set Program Names'!$B$2:$D$15,3,0)*Y89</f>
        <v>85045.755063928955</v>
      </c>
      <c r="BZ89">
        <f>VLOOKUP($H89,'1. Set Program Names'!$B$2:$D$15,3,0)*Z89</f>
        <v>109213.86915079257</v>
      </c>
      <c r="CA89">
        <f>VLOOKUP($H89,'1. Set Program Names'!$B$2:$D$15,3,0)*AA89</f>
        <v>134507.03947224535</v>
      </c>
      <c r="CB89">
        <f>VLOOKUP($H89,'1. Set Program Names'!$B$2:$D$15,3,0)*AB89</f>
        <v>161060.32060066643</v>
      </c>
      <c r="CC89">
        <f>VLOOKUP($H89,'1. Set Program Names'!$B$2:$D$15,3,0)*AC89</f>
        <v>189060.96565128898</v>
      </c>
      <c r="CD89">
        <f>VLOOKUP($H89,'1. Set Program Names'!$B$2:$D$15,3,0)*AD89</f>
        <v>218706.96423448791</v>
      </c>
      <c r="CE89">
        <f>VLOOKUP($H89,'1. Set Program Names'!$B$2:$D$15,3,0)*AE89</f>
        <v>250200.38720125047</v>
      </c>
    </row>
    <row r="90" spans="1:83" x14ac:dyDescent="0.25">
      <c r="A90" s="20" t="s">
        <v>113</v>
      </c>
      <c r="B90" s="20" t="s">
        <v>88</v>
      </c>
      <c r="C90" s="20" t="s">
        <v>89</v>
      </c>
      <c r="D90" s="20" t="s">
        <v>90</v>
      </c>
      <c r="E90" s="20" t="s">
        <v>91</v>
      </c>
      <c r="F90" s="20" t="s">
        <v>90</v>
      </c>
      <c r="G90" s="20" t="s">
        <v>92</v>
      </c>
      <c r="H90" s="20" t="s">
        <v>7</v>
      </c>
      <c r="I90" s="20" t="s">
        <v>99</v>
      </c>
      <c r="J90" s="20" t="s">
        <v>97</v>
      </c>
      <c r="K90" s="20" t="s">
        <v>98</v>
      </c>
      <c r="L90" s="20">
        <v>253.96999999999801</v>
      </c>
      <c r="M90" s="20">
        <v>0.107126245482503</v>
      </c>
      <c r="N90" s="20">
        <v>1.33192706841354E-2</v>
      </c>
      <c r="O90" s="20">
        <v>874.99999999999898</v>
      </c>
      <c r="P90" s="20">
        <v>813.468148399999</v>
      </c>
      <c r="Q90" s="20">
        <v>73.238444436258604</v>
      </c>
      <c r="R90" s="20">
        <v>185.54516688855901</v>
      </c>
      <c r="S90" s="20">
        <v>338.09206641710699</v>
      </c>
      <c r="T90" s="20">
        <v>16</v>
      </c>
      <c r="U90" s="20">
        <v>9.9999999999999895E-2</v>
      </c>
      <c r="V90" s="20">
        <v>6403.4953372358796</v>
      </c>
      <c r="W90" s="20">
        <v>13565.621847165099</v>
      </c>
      <c r="X90" s="20">
        <v>21437.311146524298</v>
      </c>
      <c r="Y90" s="20">
        <v>29989.121262806999</v>
      </c>
      <c r="Z90" s="20">
        <v>39197.195686634303</v>
      </c>
      <c r="AA90" s="20">
        <v>49015.450699539702</v>
      </c>
      <c r="AB90" s="20">
        <v>59474.667006126198</v>
      </c>
      <c r="AC90" s="20">
        <v>70631.973903822494</v>
      </c>
      <c r="AD90" s="20">
        <v>82553.823712799902</v>
      </c>
      <c r="AE90" s="20">
        <v>95312.414623315402</v>
      </c>
      <c r="AF90" t="str">
        <f t="shared" si="5"/>
        <v>Residential</v>
      </c>
      <c r="AG90" t="str">
        <f>tbl_Data_old[[#This Row],[All_Meas_Name_Append]]</f>
        <v>ASHP - ENERGY STAR/CEE Tier 1: 16 SEER/15.2 SEER2_ 9.0 HSPF</v>
      </c>
      <c r="AH90">
        <f>AVERAGEIFS('3. Incentive Adjustment'!G:G,'3. Incentive Adjustment'!A:A,tbl_Data_old[[#This Row],[Trimmed Sector]],'3. Incentive Adjustment'!B:B,tbl_Data_old[[#This Row],[Trimmed Measure Name]])</f>
        <v>8.3636985731950567E-3</v>
      </c>
      <c r="AI90">
        <f>$AH90*tbl_Data_old[[#This Row],[2025 ]]</f>
        <v>53.556904815500921</v>
      </c>
      <c r="AJ90">
        <f>$AH90*tbl_Data_old[[#This Row],[2026 ]]</f>
        <v>113.45877208763842</v>
      </c>
      <c r="AK90">
        <f>$AH90*tbl_Data_old[[#This Row],[2027 ]]</f>
        <v>179.29520864932377</v>
      </c>
      <c r="AL90">
        <f>$AH90*tbl_Data_old[[#This Row],[2028 ]]</f>
        <v>250.81997071711243</v>
      </c>
      <c r="AM90">
        <f>$AH90*tbl_Data_old[[#This Row],[2029 ]]</f>
        <v>327.83352963755073</v>
      </c>
      <c r="AN90">
        <f>$AH90*tbl_Data_old[[#This Row],[2030 ]]</f>
        <v>409.95045508025282</v>
      </c>
      <c r="AO90">
        <f>$AH90*tbl_Data_old[[#This Row],[2031 ]]</f>
        <v>497.42818758038879</v>
      </c>
      <c r="AP90">
        <f>$AH90*tbl_Data_old[[#This Row],[2032 ]]</f>
        <v>590.74453936135069</v>
      </c>
      <c r="AQ90">
        <f>$AH90*tbl_Data_old[[#This Row],[2033 ]]</f>
        <v>690.45529759854082</v>
      </c>
      <c r="AR90">
        <f>$AH90*tbl_Data_old[[#This Row],[2034 ]]</f>
        <v>797.16430619279868</v>
      </c>
      <c r="AS90">
        <f>SUM(tbl_Data_old[[#This Row],[Adjusted 2025]:[Adjusted 2034]])</f>
        <v>3910.7071717204581</v>
      </c>
      <c r="AT90" s="3">
        <f>AVERAGEIFS('3. Incentive Adjustment'!F:F,'3. Incentive Adjustment'!A:A,tbl_Data_old[[#This Row],[Trimmed Sector]],'3. Incentive Adjustment'!B:B,tbl_Data_old[[#This Row],[Trimmed Measure Name]])</f>
        <v>353</v>
      </c>
      <c r="AU90" s="3">
        <f>IFERROR(VLOOKUP(tbl_Data_old[[#This Row],[All_Meas_Name_Append]],'IRA Tax Credits'!$A$3:$D$46,4,0),0)</f>
        <v>0</v>
      </c>
      <c r="AV90" s="4">
        <f>tbl_Data_old[[#This Row],[Adj. per unit Incentive ($)]]/tbl_Data_old[[#This Row],[kWh Savings]]*tbl_Data_old[[#This Row],[Sum of Annuals]]</f>
        <v>5435.6011797351366</v>
      </c>
      <c r="AW90" s="4">
        <f>IFERROR(VLOOKUP(tbl_Data_old[[#This Row],[All_Programs]],'1. Set Program Names'!$B$2:$D$15,3,0)*tbl_Data_old[[#This Row],[Sum of Annuals]],"")</f>
        <v>1691.6217067125735</v>
      </c>
      <c r="AX90" s="4">
        <f>tbl_Data_old[[#This Row],[per unit IRA tax ($)]]/tbl_Data_old[[#This Row],[kWh Savings]]*tbl_Data_old[[#This Row],[Sum of Annuals]]</f>
        <v>0</v>
      </c>
      <c r="AY90" s="4">
        <f>tbl_Data_old[[#This Row],[Avoided Costs ($/unit)]]/tbl_Data_old[[#This Row],[kWh Savings]]*tbl_Data_old[[#This Row],[Sum of Annuals]]</f>
        <v>2857.0808159592184</v>
      </c>
      <c r="AZ90" s="4">
        <f>tbl_Data_old[[#This Row],[Lost Revenue ($/unit)]]/tbl_Data_old[[#This Row],[kWh Savings]]*tbl_Data_old[[#This Row],[Sum of Annuals]]</f>
        <v>5206.044291999764</v>
      </c>
      <c r="BA90" s="4">
        <f>tbl_Data_old[[#This Row],[Incremental Cost ($/unit)]]/tbl_Data_old[[#This Row],[kWh Savings]]*tbl_Data_old[[#This Row],[Sum of Annuals]]</f>
        <v>13473.515672147985</v>
      </c>
      <c r="BB90">
        <f>ROUNDUP(tbl_Data_old[[#This Row],[Adjusted 2025]]/$L90,0)</f>
        <v>1</v>
      </c>
      <c r="BC90">
        <f>ROUNDUP(tbl_Data_old[[#This Row],[Adjusted 2026]]/$L90,0)</f>
        <v>1</v>
      </c>
      <c r="BD90">
        <f>ROUNDUP(tbl_Data_old[[#This Row],[Adjusted 2027]]/$L90,0)</f>
        <v>1</v>
      </c>
      <c r="BE90">
        <f>ROUNDUP(tbl_Data_old[[#This Row],[Adjusted 2028]]/$L90,0)</f>
        <v>1</v>
      </c>
      <c r="BF90">
        <f>ROUNDUP(tbl_Data_old[[#This Row],[Adjusted 2029]]/$L90,0)</f>
        <v>2</v>
      </c>
      <c r="BG90">
        <f>ROUNDUP(tbl_Data_old[[#This Row],[Adjusted 2030]]/$L90,0)</f>
        <v>2</v>
      </c>
      <c r="BH90">
        <f>ROUNDUP(tbl_Data_old[[#This Row],[Adjusted 2031]]/$L90,0)</f>
        <v>2</v>
      </c>
      <c r="BI90">
        <f>ROUNDUP(tbl_Data_old[[#This Row],[Adjusted 2032]]/$L90,0)</f>
        <v>3</v>
      </c>
      <c r="BJ90">
        <f>ROUNDUP(tbl_Data_old[[#This Row],[Adjusted 2033]]/$L90,0)</f>
        <v>3</v>
      </c>
      <c r="BK90">
        <f>ROUNDUP(tbl_Data_old[[#This Row],[Adjusted 2034]]/$L90,0)</f>
        <v>4</v>
      </c>
      <c r="BL90" s="3">
        <f t="shared" si="6"/>
        <v>8900.3971100692343</v>
      </c>
      <c r="BM90" s="3">
        <f t="shared" si="6"/>
        <v>18855.236886440594</v>
      </c>
      <c r="BN90" s="3">
        <f t="shared" si="6"/>
        <v>29796.317812037392</v>
      </c>
      <c r="BO90" s="3">
        <f t="shared" si="6"/>
        <v>41682.717666539174</v>
      </c>
      <c r="BP90" s="3">
        <f t="shared" si="6"/>
        <v>54481.277620908048</v>
      </c>
      <c r="BQ90" s="3">
        <f t="shared" si="6"/>
        <v>68127.944627072691</v>
      </c>
      <c r="BR90" s="3">
        <f t="shared" si="6"/>
        <v>82665.501646504359</v>
      </c>
      <c r="BS90" s="3">
        <f t="shared" si="6"/>
        <v>98173.35428613433</v>
      </c>
      <c r="BT90" s="3">
        <f t="shared" si="6"/>
        <v>114743.86648272864</v>
      </c>
      <c r="BU90" s="3">
        <f t="shared" si="6"/>
        <v>132477.38851844944</v>
      </c>
      <c r="BV90">
        <f>VLOOKUP($H90,'1. Set Program Names'!$B$2:$D$15,3,0)*V90</f>
        <v>2769.9061156081029</v>
      </c>
      <c r="BW90">
        <f>VLOOKUP($H90,'1. Set Program Names'!$B$2:$D$15,3,0)*W90</f>
        <v>5867.9669364308875</v>
      </c>
      <c r="BX90">
        <f>VLOOKUP($H90,'1. Set Program Names'!$B$2:$D$15,3,0)*X90</f>
        <v>9272.9573646543759</v>
      </c>
      <c r="BY90">
        <f>VLOOKUP($H90,'1. Set Program Names'!$B$2:$D$15,3,0)*Y90</f>
        <v>12972.141933879921</v>
      </c>
      <c r="BZ90">
        <f>VLOOKUP($H90,'1. Set Program Names'!$B$2:$D$15,3,0)*Z90</f>
        <v>16955.201234512358</v>
      </c>
      <c r="CA90">
        <f>VLOOKUP($H90,'1. Set Program Names'!$B$2:$D$15,3,0)*AA90</f>
        <v>21202.201220083643</v>
      </c>
      <c r="CB90">
        <f>VLOOKUP($H90,'1. Set Program Names'!$B$2:$D$15,3,0)*AB90</f>
        <v>25726.456441074795</v>
      </c>
      <c r="CC90">
        <f>VLOOKUP($H90,'1. Set Program Names'!$B$2:$D$15,3,0)*AC90</f>
        <v>30552.678837136649</v>
      </c>
      <c r="CD90">
        <f>VLOOKUP($H90,'1. Set Program Names'!$B$2:$D$15,3,0)*AD90</f>
        <v>35709.613129448044</v>
      </c>
      <c r="CE90">
        <f>VLOOKUP($H90,'1. Set Program Names'!$B$2:$D$15,3,0)*AE90</f>
        <v>41228.489481879915</v>
      </c>
    </row>
    <row r="91" spans="1:83" x14ac:dyDescent="0.25">
      <c r="A91" s="20" t="s">
        <v>113</v>
      </c>
      <c r="B91" s="20" t="s">
        <v>88</v>
      </c>
      <c r="C91" s="20" t="s">
        <v>89</v>
      </c>
      <c r="D91" s="20" t="s">
        <v>90</v>
      </c>
      <c r="E91" s="20" t="s">
        <v>91</v>
      </c>
      <c r="F91" s="20" t="s">
        <v>90</v>
      </c>
      <c r="G91" s="20" t="s">
        <v>92</v>
      </c>
      <c r="H91" s="20" t="s">
        <v>7</v>
      </c>
      <c r="I91" s="20" t="s">
        <v>100</v>
      </c>
      <c r="J91" s="20" t="s">
        <v>101</v>
      </c>
      <c r="K91" s="20" t="s">
        <v>102</v>
      </c>
      <c r="L91" s="20">
        <v>3443.6666666666601</v>
      </c>
      <c r="M91" s="20">
        <v>1.66949913665645</v>
      </c>
      <c r="N91" s="20">
        <v>0.25022957227107101</v>
      </c>
      <c r="O91" s="20">
        <v>1269.26999999999</v>
      </c>
      <c r="P91" s="20">
        <v>446.40188399649003</v>
      </c>
      <c r="Q91" s="20">
        <v>993.06528260685695</v>
      </c>
      <c r="R91" s="20">
        <v>3363.3816217672702</v>
      </c>
      <c r="S91" s="20">
        <v>6252.5618237134204</v>
      </c>
      <c r="T91" s="20">
        <v>30</v>
      </c>
      <c r="U91" s="20">
        <v>0.1</v>
      </c>
      <c r="V91" s="20">
        <v>934.18477375556097</v>
      </c>
      <c r="W91" s="20">
        <v>1838.2804632656901</v>
      </c>
      <c r="X91" s="20">
        <v>2713.9700474679998</v>
      </c>
      <c r="Y91" s="20">
        <v>3563.8363056476601</v>
      </c>
      <c r="Z91" s="20">
        <v>4389.78782840652</v>
      </c>
      <c r="AA91" s="20">
        <v>5191.0494071130397</v>
      </c>
      <c r="AB91" s="20">
        <v>5972.4876838661203</v>
      </c>
      <c r="AC91" s="20">
        <v>6739.3755496353397</v>
      </c>
      <c r="AD91" s="20">
        <v>7496.1466760061003</v>
      </c>
      <c r="AE91" s="20">
        <v>8246.36555291482</v>
      </c>
      <c r="AF91" t="str">
        <f t="shared" si="5"/>
        <v>Residential</v>
      </c>
      <c r="AG91" t="str">
        <f>tbl_Data_old[[#This Row],[All_Meas_Name_Append]]</f>
        <v>Ceiling Insulation(R2 to R38) Residential</v>
      </c>
      <c r="AH91">
        <f>AVERAGEIFS('3. Incentive Adjustment'!G:G,'3. Incentive Adjustment'!A:A,tbl_Data_old[[#This Row],[Trimmed Sector]],'3. Incentive Adjustment'!B:B,tbl_Data_old[[#This Row],[Trimmed Measure Name]])</f>
        <v>0.80543313072084111</v>
      </c>
      <c r="AI91">
        <f>$AH91*tbl_Data_old[[#This Row],[2025 ]]</f>
        <v>752.42336699768214</v>
      </c>
      <c r="AJ91">
        <f>$AH91*tbl_Data_old[[#This Row],[2026 ]]</f>
        <v>1480.6119886710428</v>
      </c>
      <c r="AK91">
        <f>$AH91*tbl_Data_old[[#This Row],[2027 ]]</f>
        <v>2185.9213920147408</v>
      </c>
      <c r="AL91">
        <f>$AH91*tbl_Data_old[[#This Row],[2028 ]]</f>
        <v>2870.4318330343913</v>
      </c>
      <c r="AM91">
        <f>$AH91*tbl_Data_old[[#This Row],[2029 ]]</f>
        <v>3535.6805538337057</v>
      </c>
      <c r="AN91">
        <f>$AH91*tbl_Data_old[[#This Row],[2030 ]]</f>
        <v>4181.0431756976213</v>
      </c>
      <c r="AO91">
        <f>$AH91*tbl_Data_old[[#This Row],[2031 ]]</f>
        <v>4810.4394534079547</v>
      </c>
      <c r="AP91">
        <f>$AH91*tbl_Data_old[[#This Row],[2032 ]]</f>
        <v>5428.116348046281</v>
      </c>
      <c r="AQ91">
        <f>$AH91*tbl_Data_old[[#This Row],[2033 ]]</f>
        <v>6037.6448855982198</v>
      </c>
      <c r="AR91">
        <f>$AH91*tbl_Data_old[[#This Row],[2034 ]]</f>
        <v>6641.8960243526835</v>
      </c>
      <c r="AS91">
        <f>SUM(tbl_Data_old[[#This Row],[Adjusted 2025]:[Adjusted 2034]])</f>
        <v>37924.209021654322</v>
      </c>
      <c r="AT91" s="3">
        <f>AVERAGEIFS('3. Incentive Adjustment'!F:F,'3. Incentive Adjustment'!A:A,tbl_Data_old[[#This Row],[Trimmed Sector]],'3. Incentive Adjustment'!B:B,tbl_Data_old[[#This Row],[Trimmed Measure Name]])</f>
        <v>164</v>
      </c>
      <c r="AU91" s="3">
        <f>IFERROR(VLOOKUP(tbl_Data_old[[#This Row],[All_Meas_Name_Append]],'IRA Tax Credits'!$A$3:$D$46,4,0),0)</f>
        <v>0</v>
      </c>
      <c r="AV91" s="4">
        <f>tbl_Data_old[[#This Row],[Adj. per unit Incentive ($)]]/tbl_Data_old[[#This Row],[kWh Savings]]*tbl_Data_old[[#This Row],[Sum of Annuals]]</f>
        <v>1806.0895207292576</v>
      </c>
      <c r="AW91" s="4">
        <f>IFERROR(VLOOKUP(tbl_Data_old[[#This Row],[All_Programs]],'1. Set Program Names'!$B$2:$D$15,3,0)*tbl_Data_old[[#This Row],[Sum of Annuals]],"")</f>
        <v>16404.556100453799</v>
      </c>
      <c r="AX91" s="4">
        <f>tbl_Data_old[[#This Row],[per unit IRA tax ($)]]/tbl_Data_old[[#This Row],[kWh Savings]]*tbl_Data_old[[#This Row],[Sum of Annuals]]</f>
        <v>0</v>
      </c>
      <c r="AY91" s="4">
        <f>tbl_Data_old[[#This Row],[Avoided Costs ($/unit)]]/tbl_Data_old[[#This Row],[kWh Savings]]*tbl_Data_old[[#This Row],[Sum of Annuals]]</f>
        <v>37040.050617605135</v>
      </c>
      <c r="AZ91" s="4">
        <f>tbl_Data_old[[#This Row],[Lost Revenue ($/unit)]]/tbl_Data_old[[#This Row],[kWh Savings]]*tbl_Data_old[[#This Row],[Sum of Annuals]]</f>
        <v>68857.84382634527</v>
      </c>
      <c r="BA91" s="4">
        <f>tbl_Data_old[[#This Row],[Incremental Cost ($/unit)]]/tbl_Data_old[[#This Row],[kWh Savings]]*tbl_Data_old[[#This Row],[Sum of Annuals]]</f>
        <v>13978.141743756139</v>
      </c>
      <c r="BB91">
        <f>ROUNDUP(tbl_Data_old[[#This Row],[Adjusted 2025]]/$L91,0)</f>
        <v>1</v>
      </c>
      <c r="BC91">
        <f>ROUNDUP(tbl_Data_old[[#This Row],[Adjusted 2026]]/$L91,0)</f>
        <v>1</v>
      </c>
      <c r="BD91">
        <f>ROUNDUP(tbl_Data_old[[#This Row],[Adjusted 2027]]/$L91,0)</f>
        <v>1</v>
      </c>
      <c r="BE91">
        <f>ROUNDUP(tbl_Data_old[[#This Row],[Adjusted 2028]]/$L91,0)</f>
        <v>1</v>
      </c>
      <c r="BF91">
        <f>ROUNDUP(tbl_Data_old[[#This Row],[Adjusted 2029]]/$L91,0)</f>
        <v>2</v>
      </c>
      <c r="BG91">
        <f>ROUNDUP(tbl_Data_old[[#This Row],[Adjusted 2030]]/$L91,0)</f>
        <v>2</v>
      </c>
      <c r="BH91">
        <f>ROUNDUP(tbl_Data_old[[#This Row],[Adjusted 2031]]/$L91,0)</f>
        <v>2</v>
      </c>
      <c r="BI91">
        <f>ROUNDUP(tbl_Data_old[[#This Row],[Adjusted 2032]]/$L91,0)</f>
        <v>2</v>
      </c>
      <c r="BJ91">
        <f>ROUNDUP(tbl_Data_old[[#This Row],[Adjusted 2033]]/$L91,0)</f>
        <v>2</v>
      </c>
      <c r="BK91">
        <f>ROUNDUP(tbl_Data_old[[#This Row],[Adjusted 2034]]/$L91,0)</f>
        <v>2</v>
      </c>
      <c r="BL91" s="3">
        <f t="shared" si="6"/>
        <v>44.489295197728858</v>
      </c>
      <c r="BM91" s="3">
        <f t="shared" si="6"/>
        <v>87.54563816926931</v>
      </c>
      <c r="BN91" s="3">
        <f t="shared" si="6"/>
        <v>129.24917852620834</v>
      </c>
      <c r="BO91" s="3">
        <f t="shared" si="6"/>
        <v>169.72291766321285</v>
      </c>
      <c r="BP91" s="3">
        <f t="shared" si="6"/>
        <v>209.05774964437245</v>
      </c>
      <c r="BQ91" s="3">
        <f t="shared" si="6"/>
        <v>247.21675619975028</v>
      </c>
      <c r="BR91" s="3">
        <f t="shared" si="6"/>
        <v>284.43170462318619</v>
      </c>
      <c r="BS91" s="3">
        <f t="shared" si="6"/>
        <v>320.95370926537538</v>
      </c>
      <c r="BT91" s="3">
        <f t="shared" si="6"/>
        <v>356.99391778095134</v>
      </c>
      <c r="BU91" s="3">
        <f t="shared" si="6"/>
        <v>392.72208421586475</v>
      </c>
      <c r="BV91">
        <f>VLOOKUP($H91,'1. Set Program Names'!$B$2:$D$15,3,0)*V91</f>
        <v>404.09244977297988</v>
      </c>
      <c r="BW91">
        <f>VLOOKUP($H91,'1. Set Program Names'!$B$2:$D$15,3,0)*W91</f>
        <v>795.16951746551536</v>
      </c>
      <c r="BX91">
        <f>VLOOKUP($H91,'1. Set Program Names'!$B$2:$D$15,3,0)*X91</f>
        <v>1173.9591951204247</v>
      </c>
      <c r="BY91">
        <f>VLOOKUP($H91,'1. Set Program Names'!$B$2:$D$15,3,0)*Y91</f>
        <v>1541.5786938482806</v>
      </c>
      <c r="BZ91">
        <f>VLOOKUP($H91,'1. Set Program Names'!$B$2:$D$15,3,0)*Z91</f>
        <v>1898.8535966317879</v>
      </c>
      <c r="CA91">
        <f>VLOOKUP($H91,'1. Set Program Names'!$B$2:$D$15,3,0)*AA91</f>
        <v>2245.4485779937986</v>
      </c>
      <c r="CB91">
        <f>VLOOKUP($H91,'1. Set Program Names'!$B$2:$D$15,3,0)*AB91</f>
        <v>2583.4687603717161</v>
      </c>
      <c r="CC91">
        <f>VLOOKUP($H91,'1. Set Program Names'!$B$2:$D$15,3,0)*AC91</f>
        <v>2915.1949938598063</v>
      </c>
      <c r="CD91">
        <f>VLOOKUP($H91,'1. Set Program Names'!$B$2:$D$15,3,0)*AD91</f>
        <v>3242.5451144823405</v>
      </c>
      <c r="CE91">
        <f>VLOOKUP($H91,'1. Set Program Names'!$B$2:$D$15,3,0)*AE91</f>
        <v>3567.0609836687322</v>
      </c>
    </row>
    <row r="92" spans="1:83" x14ac:dyDescent="0.25">
      <c r="A92" s="20" t="s">
        <v>113</v>
      </c>
      <c r="B92" s="20" t="s">
        <v>88</v>
      </c>
      <c r="C92" s="20" t="s">
        <v>89</v>
      </c>
      <c r="D92" s="20" t="s">
        <v>90</v>
      </c>
      <c r="E92" s="20" t="s">
        <v>91</v>
      </c>
      <c r="F92" s="20" t="s">
        <v>90</v>
      </c>
      <c r="G92" s="20" t="s">
        <v>92</v>
      </c>
      <c r="H92" s="20" t="s">
        <v>7</v>
      </c>
      <c r="I92" s="20" t="s">
        <v>103</v>
      </c>
      <c r="J92" s="20" t="s">
        <v>101</v>
      </c>
      <c r="K92" s="20" t="s">
        <v>102</v>
      </c>
      <c r="L92" s="20">
        <v>3523.57666666666</v>
      </c>
      <c r="M92" s="20">
        <v>1.7070465614975301</v>
      </c>
      <c r="N92" s="20">
        <v>0.25623328618049002</v>
      </c>
      <c r="O92" s="20">
        <v>1306.5999999999899</v>
      </c>
      <c r="P92" s="20">
        <v>465.31519597206898</v>
      </c>
      <c r="Q92" s="20">
        <v>1016.10928030304</v>
      </c>
      <c r="R92" s="20">
        <v>3440.61303289528</v>
      </c>
      <c r="S92" s="20">
        <v>6397.6520033667803</v>
      </c>
      <c r="T92" s="20">
        <v>30</v>
      </c>
      <c r="U92" s="20">
        <v>0.1</v>
      </c>
      <c r="V92" s="20">
        <v>956.08903221608796</v>
      </c>
      <c r="W92" s="20">
        <v>1881.44459909801</v>
      </c>
      <c r="X92" s="20">
        <v>2777.7830981493698</v>
      </c>
      <c r="Y92" s="20">
        <v>3647.74254553623</v>
      </c>
      <c r="Z92" s="20">
        <v>4493.2714782147796</v>
      </c>
      <c r="AA92" s="20">
        <v>5313.5714063987598</v>
      </c>
      <c r="AB92" s="20">
        <v>6113.6201283361497</v>
      </c>
      <c r="AC92" s="20">
        <v>6898.8123677524</v>
      </c>
      <c r="AD92" s="20">
        <v>7673.6845296194497</v>
      </c>
      <c r="AE92" s="20">
        <v>8441.8837859793293</v>
      </c>
      <c r="AF92" t="str">
        <f t="shared" si="5"/>
        <v>Residential</v>
      </c>
      <c r="AG92" t="str">
        <f>tbl_Data_old[[#This Row],[All_Meas_Name_Append]]</f>
        <v>Ceiling Insulation(R2 to R49) Residential</v>
      </c>
      <c r="AH92">
        <f>AVERAGEIFS('3. Incentive Adjustment'!G:G,'3. Incentive Adjustment'!A:A,tbl_Data_old[[#This Row],[Trimmed Sector]],'3. Incentive Adjustment'!B:B,tbl_Data_old[[#This Row],[Trimmed Measure Name]])</f>
        <v>0.79801279130038982</v>
      </c>
      <c r="AI92">
        <f>$AH92*tbl_Data_old[[#This Row],[2025 ]]</f>
        <v>762.97127733044863</v>
      </c>
      <c r="AJ92">
        <f>$AH92*tbl_Data_old[[#This Row],[2026 ]]</f>
        <v>1501.416856203246</v>
      </c>
      <c r="AK92">
        <f>$AH92*tbl_Data_old[[#This Row],[2027 ]]</f>
        <v>2216.7064437812232</v>
      </c>
      <c r="AL92">
        <f>$AH92*tbl_Data_old[[#This Row],[2028 ]]</f>
        <v>2910.9452107085563</v>
      </c>
      <c r="AM92">
        <f>$AH92*tbl_Data_old[[#This Row],[2029 ]]</f>
        <v>3585.6881144006052</v>
      </c>
      <c r="AN92">
        <f>$AH92*tbl_Data_old[[#This Row],[2030 ]]</f>
        <v>4240.2979497942124</v>
      </c>
      <c r="AO92">
        <f>$AH92*tbl_Data_old[[#This Row],[2031 ]]</f>
        <v>4878.7470635637783</v>
      </c>
      <c r="AP92">
        <f>$AH92*tbl_Data_old[[#This Row],[2032 ]]</f>
        <v>5505.3405142477441</v>
      </c>
      <c r="AQ92">
        <f>$AH92*tbl_Data_old[[#This Row],[2033 ]]</f>
        <v>6123.6984110402364</v>
      </c>
      <c r="AR92">
        <f>$AH92*tbl_Data_old[[#This Row],[2034 ]]</f>
        <v>6736.7312438828676</v>
      </c>
      <c r="AS92">
        <f>SUM(tbl_Data_old[[#This Row],[Adjusted 2025]:[Adjusted 2034]])</f>
        <v>38462.543084952922</v>
      </c>
      <c r="AT92" s="3">
        <f>AVERAGEIFS('3. Incentive Adjustment'!F:F,'3. Incentive Adjustment'!A:A,tbl_Data_old[[#This Row],[Trimmed Sector]],'3. Incentive Adjustment'!B:B,tbl_Data_old[[#This Row],[Trimmed Measure Name]])</f>
        <v>164</v>
      </c>
      <c r="AU92" s="3">
        <f>IFERROR(VLOOKUP(tbl_Data_old[[#This Row],[All_Meas_Name_Append]],'IRA Tax Credits'!$A$3:$D$46,4,0),0)</f>
        <v>0</v>
      </c>
      <c r="AV92" s="4">
        <f>tbl_Data_old[[#This Row],[Adj. per unit Incentive ($)]]/tbl_Data_old[[#This Row],[kWh Savings]]*tbl_Data_old[[#This Row],[Sum of Annuals]]</f>
        <v>1790.1858431533938</v>
      </c>
      <c r="AW92" s="4">
        <f>IFERROR(VLOOKUP(tbl_Data_old[[#This Row],[All_Programs]],'1. Set Program Names'!$B$2:$D$15,3,0)*tbl_Data_old[[#This Row],[Sum of Annuals]],"")</f>
        <v>16637.418738066746</v>
      </c>
      <c r="AX92" s="4">
        <f>tbl_Data_old[[#This Row],[per unit IRA tax ($)]]/tbl_Data_old[[#This Row],[kWh Savings]]*tbl_Data_old[[#This Row],[Sum of Annuals]]</f>
        <v>0</v>
      </c>
      <c r="AY92" s="4">
        <f>tbl_Data_old[[#This Row],[Avoided Costs ($/unit)]]/tbl_Data_old[[#This Row],[kWh Savings]]*tbl_Data_old[[#This Row],[Sum of Annuals]]</f>
        <v>37556.93136133044</v>
      </c>
      <c r="AZ92" s="4">
        <f>tbl_Data_old[[#This Row],[Lost Revenue ($/unit)]]/tbl_Data_old[[#This Row],[kWh Savings]]*tbl_Data_old[[#This Row],[Sum of Annuals]]</f>
        <v>69835.280767372911</v>
      </c>
      <c r="BA92" s="4">
        <f>tbl_Data_old[[#This Row],[Incremental Cost ($/unit)]]/tbl_Data_old[[#This Row],[kWh Savings]]*tbl_Data_old[[#This Row],[Sum of Annuals]]</f>
        <v>14262.541601611012</v>
      </c>
      <c r="BB92">
        <f>ROUNDUP(tbl_Data_old[[#This Row],[Adjusted 2025]]/$L92,0)</f>
        <v>1</v>
      </c>
      <c r="BC92">
        <f>ROUNDUP(tbl_Data_old[[#This Row],[Adjusted 2026]]/$L92,0)</f>
        <v>1</v>
      </c>
      <c r="BD92">
        <f>ROUNDUP(tbl_Data_old[[#This Row],[Adjusted 2027]]/$L92,0)</f>
        <v>1</v>
      </c>
      <c r="BE92">
        <f>ROUNDUP(tbl_Data_old[[#This Row],[Adjusted 2028]]/$L92,0)</f>
        <v>1</v>
      </c>
      <c r="BF92">
        <f>ROUNDUP(tbl_Data_old[[#This Row],[Adjusted 2029]]/$L92,0)</f>
        <v>2</v>
      </c>
      <c r="BG92">
        <f>ROUNDUP(tbl_Data_old[[#This Row],[Adjusted 2030]]/$L92,0)</f>
        <v>2</v>
      </c>
      <c r="BH92">
        <f>ROUNDUP(tbl_Data_old[[#This Row],[Adjusted 2031]]/$L92,0)</f>
        <v>2</v>
      </c>
      <c r="BI92">
        <f>ROUNDUP(tbl_Data_old[[#This Row],[Adjusted 2032]]/$L92,0)</f>
        <v>2</v>
      </c>
      <c r="BJ92">
        <f>ROUNDUP(tbl_Data_old[[#This Row],[Adjusted 2033]]/$L92,0)</f>
        <v>2</v>
      </c>
      <c r="BK92">
        <f>ROUNDUP(tbl_Data_old[[#This Row],[Adjusted 2034]]/$L92,0)</f>
        <v>2</v>
      </c>
      <c r="BL92" s="3">
        <f t="shared" si="6"/>
        <v>44.499840961817789</v>
      </c>
      <c r="BM92" s="3">
        <f t="shared" si="6"/>
        <v>87.569235308840803</v>
      </c>
      <c r="BN92" s="3">
        <f t="shared" si="6"/>
        <v>129.2880703877114</v>
      </c>
      <c r="BO92" s="3">
        <f t="shared" si="6"/>
        <v>169.77912901037379</v>
      </c>
      <c r="BP92" s="3">
        <f t="shared" si="6"/>
        <v>209.13310313305473</v>
      </c>
      <c r="BQ92" s="3">
        <f t="shared" si="6"/>
        <v>247.31282815360856</v>
      </c>
      <c r="BR92" s="3">
        <f t="shared" si="6"/>
        <v>284.54998880317549</v>
      </c>
      <c r="BS92" s="3">
        <f t="shared" si="6"/>
        <v>321.09567503230022</v>
      </c>
      <c r="BT92" s="3">
        <f t="shared" si="6"/>
        <v>357.16102753289283</v>
      </c>
      <c r="BU92" s="3">
        <f t="shared" si="6"/>
        <v>392.91579888066747</v>
      </c>
      <c r="BV92">
        <f>VLOOKUP($H92,'1. Set Program Names'!$B$2:$D$15,3,0)*V92</f>
        <v>413.56739060956744</v>
      </c>
      <c r="BW92">
        <f>VLOOKUP($H92,'1. Set Program Names'!$B$2:$D$15,3,0)*W92</f>
        <v>813.84066463128977</v>
      </c>
      <c r="BX92">
        <f>VLOOKUP($H92,'1. Set Program Names'!$B$2:$D$15,3,0)*X92</f>
        <v>1201.5622696959792</v>
      </c>
      <c r="BY92">
        <f>VLOOKUP($H92,'1. Set Program Names'!$B$2:$D$15,3,0)*Y92</f>
        <v>1577.8733102671554</v>
      </c>
      <c r="BZ92">
        <f>VLOOKUP($H92,'1. Set Program Names'!$B$2:$D$15,3,0)*Z92</f>
        <v>1943.6166485860158</v>
      </c>
      <c r="CA92">
        <f>VLOOKUP($H92,'1. Set Program Names'!$B$2:$D$15,3,0)*AA92</f>
        <v>2298.4468886421423</v>
      </c>
      <c r="CB92">
        <f>VLOOKUP($H92,'1. Set Program Names'!$B$2:$D$15,3,0)*AB92</f>
        <v>2644.5172347533653</v>
      </c>
      <c r="CC92">
        <f>VLOOKUP($H92,'1. Set Program Names'!$B$2:$D$15,3,0)*AC92</f>
        <v>2984.1612371843735</v>
      </c>
      <c r="CD92">
        <f>VLOOKUP($H92,'1. Set Program Names'!$B$2:$D$15,3,0)*AD92</f>
        <v>3319.3411704763203</v>
      </c>
      <c r="CE92">
        <f>VLOOKUP($H92,'1. Set Program Names'!$B$2:$D$15,3,0)*AE92</f>
        <v>3651.6346611615695</v>
      </c>
    </row>
    <row r="93" spans="1:83" x14ac:dyDescent="0.25">
      <c r="A93" s="20" t="s">
        <v>113</v>
      </c>
      <c r="B93" s="20" t="s">
        <v>88</v>
      </c>
      <c r="C93" s="20" t="s">
        <v>89</v>
      </c>
      <c r="D93" s="20" t="s">
        <v>90</v>
      </c>
      <c r="E93" s="20" t="s">
        <v>91</v>
      </c>
      <c r="F93" s="20" t="s">
        <v>90</v>
      </c>
      <c r="G93" s="20" t="s">
        <v>92</v>
      </c>
      <c r="H93" s="20" t="s">
        <v>7</v>
      </c>
      <c r="I93" s="20" t="s">
        <v>296</v>
      </c>
      <c r="J93" s="20" t="s">
        <v>97</v>
      </c>
      <c r="K93" s="20" t="s">
        <v>102</v>
      </c>
      <c r="L93" s="20">
        <v>936.45</v>
      </c>
      <c r="M93" s="20">
        <v>0.42562333070119601</v>
      </c>
      <c r="N93" s="20">
        <v>3.9115067461125599E-2</v>
      </c>
      <c r="O93" s="53">
        <v>685.00999995999996</v>
      </c>
      <c r="P93" s="20">
        <v>458.12689399999903</v>
      </c>
      <c r="Q93" s="20">
        <v>270.04819975719403</v>
      </c>
      <c r="R93" s="20">
        <v>763.90764278946904</v>
      </c>
      <c r="S93" s="20">
        <v>1415.5155729468199</v>
      </c>
      <c r="T93" s="20">
        <v>20</v>
      </c>
      <c r="U93" s="20">
        <v>0.1</v>
      </c>
      <c r="V93" s="20">
        <v>10188.348686834201</v>
      </c>
      <c r="W93" s="20">
        <v>20049.372503832899</v>
      </c>
      <c r="X93" s="20">
        <v>29601.6036112478</v>
      </c>
      <c r="Y93" s="20">
        <v>38873.365408456797</v>
      </c>
      <c r="Z93" s="20">
        <v>47885.608651578797</v>
      </c>
      <c r="AA93" s="20">
        <v>56629.982521488397</v>
      </c>
      <c r="AB93" s="20">
        <v>65159.693740985203</v>
      </c>
      <c r="AC93" s="20">
        <v>73532.399864511797</v>
      </c>
      <c r="AD93" s="20">
        <v>81796.618874384905</v>
      </c>
      <c r="AE93" s="20">
        <v>89991.400658190905</v>
      </c>
      <c r="AF93" t="str">
        <f t="shared" si="5"/>
        <v>Residential</v>
      </c>
      <c r="AG93" t="str">
        <f>tbl_Data_old[[#This Row],[All_Meas_Name_Append]]</f>
        <v>Duct Repair</v>
      </c>
      <c r="AH93">
        <f>AVERAGEIFS('3. Incentive Adjustment'!G:G,'3. Incentive Adjustment'!A:A,tbl_Data_old[[#This Row],[Trimmed Sector]],'3. Incentive Adjustment'!B:B,tbl_Data_old[[#This Row],[Trimmed Measure Name]])</f>
        <v>0.36456477469769399</v>
      </c>
      <c r="AI93">
        <f>$AH93*tbl_Data_old[[#This Row],[2025 ]]</f>
        <v>3714.3130435572566</v>
      </c>
      <c r="AJ93">
        <f>$AH93*tbl_Data_old[[#This Row],[2026 ]]</f>
        <v>7309.2949696899823</v>
      </c>
      <c r="AK93">
        <f>$AH93*tbl_Data_old[[#This Row],[2027 ]]</f>
        <v>10791.701951224999</v>
      </c>
      <c r="AL93">
        <f>$AH93*tbl_Data_old[[#This Row],[2028 ]]</f>
        <v>14171.859701875184</v>
      </c>
      <c r="AM93">
        <f>$AH93*tbl_Data_old[[#This Row],[2029 ]]</f>
        <v>17457.406129324772</v>
      </c>
      <c r="AN93">
        <f>$AH93*tbl_Data_old[[#This Row],[2030 ]]</f>
        <v>20645.296819080766</v>
      </c>
      <c r="AO93">
        <f>$AH93*tbl_Data_old[[#This Row],[2031 ]]</f>
        <v>23754.929068053014</v>
      </c>
      <c r="AP93">
        <f>$AH93*tbl_Data_old[[#This Row],[2032 ]]</f>
        <v>26807.322789586487</v>
      </c>
      <c r="AQ93">
        <f>$AH93*tbl_Data_old[[#This Row],[2033 ]]</f>
        <v>29820.165930973279</v>
      </c>
      <c r="AR93">
        <f>$AH93*tbl_Data_old[[#This Row],[2034 ]]</f>
        <v>32807.69470568328</v>
      </c>
      <c r="AS93">
        <f>SUM(tbl_Data_old[[#This Row],[Adjusted 2025]:[Adjusted 2034]])</f>
        <v>187279.98510904901</v>
      </c>
      <c r="AT93" s="3">
        <f>AVERAGEIFS('3. Incentive Adjustment'!F:F,'3. Incentive Adjustment'!A:A,tbl_Data_old[[#This Row],[Trimmed Sector]],'3. Incentive Adjustment'!B:B,tbl_Data_old[[#This Row],[Trimmed Measure Name]])</f>
        <v>100</v>
      </c>
      <c r="AU93" s="3">
        <f>IFERROR(VLOOKUP(tbl_Data_old[[#This Row],[All_Meas_Name_Append]],'IRA Tax Credits'!$A$3:$D$46,4,0),0)</f>
        <v>0</v>
      </c>
      <c r="AV93" s="4">
        <f>tbl_Data_old[[#This Row],[Adj. per unit Incentive ($)]]/tbl_Data_old[[#This Row],[kWh Savings]]*tbl_Data_old[[#This Row],[Sum of Annuals]]</f>
        <v>19998.930547178068</v>
      </c>
      <c r="AW93" s="4">
        <f>IFERROR(VLOOKUP(tbl_Data_old[[#This Row],[All_Programs]],'1. Set Program Names'!$B$2:$D$15,3,0)*tbl_Data_old[[#This Row],[Sum of Annuals]],"")</f>
        <v>81010.127870019045</v>
      </c>
      <c r="AX93" s="4">
        <f>tbl_Data_old[[#This Row],[per unit IRA tax ($)]]/tbl_Data_old[[#This Row],[kWh Savings]]*tbl_Data_old[[#This Row],[Sum of Annuals]]</f>
        <v>0</v>
      </c>
      <c r="AY93" s="4">
        <f>tbl_Data_old[[#This Row],[Avoided Costs ($/unit)]]/tbl_Data_old[[#This Row],[kWh Savings]]*tbl_Data_old[[#This Row],[Sum of Annuals]]</f>
        <v>152773.35892605103</v>
      </c>
      <c r="AZ93" s="4">
        <f>tbl_Data_old[[#This Row],[Lost Revenue ($/unit)]]/tbl_Data_old[[#This Row],[kWh Savings]]*tbl_Data_old[[#This Row],[Sum of Annuals]]</f>
        <v>283087.97631812422</v>
      </c>
      <c r="BA93" s="4">
        <f>tbl_Data_old[[#This Row],[Incremental Cost ($/unit)]]/tbl_Data_old[[#This Row],[kWh Savings]]*tbl_Data_old[[#This Row],[Sum of Annuals]]</f>
        <v>136994.67413322491</v>
      </c>
      <c r="BB93">
        <f>ROUNDUP(tbl_Data_old[[#This Row],[Adjusted 2025]]/$L93,0)</f>
        <v>4</v>
      </c>
      <c r="BC93">
        <f>ROUNDUP(tbl_Data_old[[#This Row],[Adjusted 2026]]/$L93,0)</f>
        <v>8</v>
      </c>
      <c r="BD93">
        <f>ROUNDUP(tbl_Data_old[[#This Row],[Adjusted 2027]]/$L93,0)</f>
        <v>12</v>
      </c>
      <c r="BE93">
        <f>ROUNDUP(tbl_Data_old[[#This Row],[Adjusted 2028]]/$L93,0)</f>
        <v>16</v>
      </c>
      <c r="BF93">
        <f>ROUNDUP(tbl_Data_old[[#This Row],[Adjusted 2029]]/$L93,0)</f>
        <v>19</v>
      </c>
      <c r="BG93">
        <f>ROUNDUP(tbl_Data_old[[#This Row],[Adjusted 2030]]/$L93,0)</f>
        <v>23</v>
      </c>
      <c r="BH93">
        <f>ROUNDUP(tbl_Data_old[[#This Row],[Adjusted 2031]]/$L93,0)</f>
        <v>26</v>
      </c>
      <c r="BI93">
        <f>ROUNDUP(tbl_Data_old[[#This Row],[Adjusted 2032]]/$L93,0)</f>
        <v>29</v>
      </c>
      <c r="BJ93">
        <f>ROUNDUP(tbl_Data_old[[#This Row],[Adjusted 2033]]/$L93,0)</f>
        <v>32</v>
      </c>
      <c r="BK93">
        <f>ROUNDUP(tbl_Data_old[[#This Row],[Adjusted 2034]]/$L93,0)</f>
        <v>36</v>
      </c>
      <c r="BL93" s="3">
        <f t="shared" si="6"/>
        <v>1087.9757260755193</v>
      </c>
      <c r="BM93" s="3">
        <f t="shared" si="6"/>
        <v>2140.9976511114205</v>
      </c>
      <c r="BN93" s="3">
        <f t="shared" si="6"/>
        <v>3161.04475532573</v>
      </c>
      <c r="BO93" s="3">
        <f t="shared" si="6"/>
        <v>4151.141588814864</v>
      </c>
      <c r="BP93" s="3">
        <f t="shared" si="6"/>
        <v>5113.5254046215814</v>
      </c>
      <c r="BQ93" s="3">
        <f t="shared" si="6"/>
        <v>6047.3044499426978</v>
      </c>
      <c r="BR93" s="3">
        <f t="shared" si="6"/>
        <v>6958.1604721005069</v>
      </c>
      <c r="BS93" s="3">
        <f t="shared" si="6"/>
        <v>7852.2505061147731</v>
      </c>
      <c r="BT93" s="3">
        <f t="shared" si="6"/>
        <v>8734.7556062133481</v>
      </c>
      <c r="BU93" s="3">
        <f t="shared" si="6"/>
        <v>9609.8457641295208</v>
      </c>
      <c r="BV93">
        <f>VLOOKUP($H93,'1. Set Program Names'!$B$2:$D$15,3,0)*V93</f>
        <v>4407.0882930933094</v>
      </c>
      <c r="BW93">
        <f>VLOOKUP($H93,'1. Set Program Names'!$B$2:$D$15,3,0)*W93</f>
        <v>8672.5884205053189</v>
      </c>
      <c r="BX93">
        <f>VLOOKUP($H93,'1. Set Program Names'!$B$2:$D$15,3,0)*X93</f>
        <v>12804.516682914524</v>
      </c>
      <c r="BY93">
        <f>VLOOKUP($H93,'1. Set Program Names'!$B$2:$D$15,3,0)*Y93</f>
        <v>16815.124694950118</v>
      </c>
      <c r="BZ93">
        <f>VLOOKUP($H93,'1. Set Program Names'!$B$2:$D$15,3,0)*Z93</f>
        <v>20713.474948961069</v>
      </c>
      <c r="CA93">
        <f>VLOOKUP($H93,'1. Set Program Names'!$B$2:$D$15,3,0)*AA93</f>
        <v>24495.955201360459</v>
      </c>
      <c r="CB93">
        <f>VLOOKUP($H93,'1. Set Program Names'!$B$2:$D$15,3,0)*AB93</f>
        <v>28185.580636686194</v>
      </c>
      <c r="CC93">
        <f>VLOOKUP($H93,'1. Set Program Names'!$B$2:$D$15,3,0)*AC93</f>
        <v>31807.291698282217</v>
      </c>
      <c r="CD93">
        <f>VLOOKUP($H93,'1. Set Program Names'!$B$2:$D$15,3,0)*AD93</f>
        <v>35382.075401654663</v>
      </c>
      <c r="CE93">
        <f>VLOOKUP($H93,'1. Set Program Names'!$B$2:$D$15,3,0)*AE93</f>
        <v>38926.823228212183</v>
      </c>
    </row>
    <row r="94" spans="1:83" x14ac:dyDescent="0.25">
      <c r="A94" s="20" t="s">
        <v>113</v>
      </c>
      <c r="B94" s="20" t="s">
        <v>88</v>
      </c>
      <c r="C94" s="20" t="s">
        <v>89</v>
      </c>
      <c r="D94" s="20" t="s">
        <v>90</v>
      </c>
      <c r="E94" s="20" t="s">
        <v>91</v>
      </c>
      <c r="F94" s="20" t="s">
        <v>90</v>
      </c>
      <c r="G94" s="20" t="s">
        <v>92</v>
      </c>
      <c r="H94" s="20" t="s">
        <v>7</v>
      </c>
      <c r="I94" s="20" t="s">
        <v>297</v>
      </c>
      <c r="J94" s="20" t="s">
        <v>97</v>
      </c>
      <c r="K94" s="20" t="s">
        <v>298</v>
      </c>
      <c r="L94" s="20">
        <v>57.93</v>
      </c>
      <c r="M94" s="20">
        <v>0</v>
      </c>
      <c r="N94" s="20">
        <v>1.1014721785810099E-2</v>
      </c>
      <c r="O94" s="53">
        <v>154.1011072</v>
      </c>
      <c r="P94" s="20">
        <v>140.06582681793901</v>
      </c>
      <c r="Q94" s="20">
        <v>16.705528551374101</v>
      </c>
      <c r="R94" s="20">
        <v>46.999759951794701</v>
      </c>
      <c r="S94" s="20">
        <v>87.565611768711094</v>
      </c>
      <c r="T94" s="20">
        <v>20</v>
      </c>
      <c r="U94" s="20">
        <v>0.2</v>
      </c>
      <c r="V94" s="20">
        <v>304.03260943272801</v>
      </c>
      <c r="W94" s="20">
        <v>586.90143297875204</v>
      </c>
      <c r="X94" s="20">
        <v>849.09058141475998</v>
      </c>
      <c r="Y94" s="20">
        <v>1091.5754423972601</v>
      </c>
      <c r="Z94" s="20">
        <v>1315.2933184818301</v>
      </c>
      <c r="AA94" s="20">
        <v>1520.6179319109499</v>
      </c>
      <c r="AB94" s="20">
        <v>1709.4831617101499</v>
      </c>
      <c r="AC94" s="20">
        <v>1883.8263693167301</v>
      </c>
      <c r="AD94" s="20">
        <v>2045.2715643230099</v>
      </c>
      <c r="AE94" s="20">
        <v>2195.1517912559102</v>
      </c>
      <c r="AF94" t="str">
        <f t="shared" si="5"/>
        <v>Residential</v>
      </c>
      <c r="AG94" t="str">
        <f>tbl_Data_old[[#This Row],[All_Meas_Name_Append]]</f>
        <v>Energy Star Windows Residential</v>
      </c>
      <c r="AH94">
        <f>AVERAGEIFS('3. Incentive Adjustment'!G:G,'3. Incentive Adjustment'!A:A,tbl_Data_old[[#This Row],[Trimmed Sector]],'3. Incentive Adjustment'!B:B,tbl_Data_old[[#This Row],[Trimmed Measure Name]])</f>
        <v>1.5721893920937398</v>
      </c>
      <c r="AI94">
        <f>$AH94*tbl_Data_old[[#This Row],[2025 ]]</f>
        <v>477.99684340071406</v>
      </c>
      <c r="AJ94">
        <f>$AH94*tbl_Data_old[[#This Row],[2026 ]]</f>
        <v>922.72020713380891</v>
      </c>
      <c r="AK94">
        <f>$AH94*tbl_Data_old[[#This Row],[2027 ]]</f>
        <v>1334.9312050269916</v>
      </c>
      <c r="AL94">
        <f>$AH94*tbl_Data_old[[#This Row],[2028 ]]</f>
        <v>1716.1633312070035</v>
      </c>
      <c r="AM94">
        <f>$AH94*tbl_Data_old[[#This Row],[2029 ]]</f>
        <v>2067.890202808906</v>
      </c>
      <c r="AN94">
        <f>$AH94*tbl_Data_old[[#This Row],[2030 ]]</f>
        <v>2390.6993819779159</v>
      </c>
      <c r="AO94">
        <f>$AH94*tbl_Data_old[[#This Row],[2031 ]]</f>
        <v>2687.631292803565</v>
      </c>
      <c r="AP94">
        <f>$AH94*tbl_Data_old[[#This Row],[2032 ]]</f>
        <v>2961.7318343862266</v>
      </c>
      <c r="AQ94">
        <f>$AH94*tbl_Data_old[[#This Row],[2033 ]]</f>
        <v>3215.5542573796051</v>
      </c>
      <c r="AR94">
        <f>$AH94*tbl_Data_old[[#This Row],[2034 ]]</f>
        <v>3451.1943602481133</v>
      </c>
      <c r="AS94">
        <f>SUM(tbl_Data_old[[#This Row],[Adjusted 2025]:[Adjusted 2034]])</f>
        <v>21226.512916372849</v>
      </c>
      <c r="AT94" s="3">
        <f>AVERAGEIFS('3. Incentive Adjustment'!F:F,'3. Incentive Adjustment'!A:A,tbl_Data_old[[#This Row],[Trimmed Sector]],'3. Incentive Adjustment'!B:B,tbl_Data_old[[#This Row],[Trimmed Measure Name]])</f>
        <v>150</v>
      </c>
      <c r="AU94" s="3">
        <f>IFERROR(VLOOKUP(tbl_Data_old[[#This Row],[All_Meas_Name_Append]],'IRA Tax Credits'!$A$3:$D$46,4,0),0)</f>
        <v>0</v>
      </c>
      <c r="AV94" s="4">
        <f>tbl_Data_old[[#This Row],[Adj. per unit Incentive ($)]]/tbl_Data_old[[#This Row],[kWh Savings]]*tbl_Data_old[[#This Row],[Sum of Annuals]]</f>
        <v>54962.488131467762</v>
      </c>
      <c r="AW94" s="4">
        <f>IFERROR(VLOOKUP(tbl_Data_old[[#This Row],[All_Programs]],'1. Set Program Names'!$B$2:$D$15,3,0)*tbl_Data_old[[#This Row],[Sum of Annuals]],"")</f>
        <v>9181.7741473479509</v>
      </c>
      <c r="AX94" s="4">
        <f>tbl_Data_old[[#This Row],[per unit IRA tax ($)]]/tbl_Data_old[[#This Row],[kWh Savings]]*tbl_Data_old[[#This Row],[Sum of Annuals]]</f>
        <v>0</v>
      </c>
      <c r="AY94" s="4">
        <f>tbl_Data_old[[#This Row],[Avoided Costs ($/unit)]]/tbl_Data_old[[#This Row],[kWh Savings]]*tbl_Data_old[[#This Row],[Sum of Annuals]]</f>
        <v>17221.491656882332</v>
      </c>
      <c r="AZ94" s="4">
        <f>tbl_Data_old[[#This Row],[Lost Revenue ($/unit)]]/tbl_Data_old[[#This Row],[kWh Savings]]*tbl_Data_old[[#This Row],[Sum of Annuals]]</f>
        <v>32085.492650416647</v>
      </c>
      <c r="BA94" s="4">
        <f>tbl_Data_old[[#This Row],[Incremental Cost ($/unit)]]/tbl_Data_old[[#This Row],[kWh Savings]]*tbl_Data_old[[#This Row],[Sum of Annuals]]</f>
        <v>56465.201836840271</v>
      </c>
      <c r="BB94">
        <f>ROUNDUP(tbl_Data_old[[#This Row],[Adjusted 2025]]/$L94,0)</f>
        <v>9</v>
      </c>
      <c r="BC94">
        <f>ROUNDUP(tbl_Data_old[[#This Row],[Adjusted 2026]]/$L94,0)</f>
        <v>16</v>
      </c>
      <c r="BD94">
        <f>ROUNDUP(tbl_Data_old[[#This Row],[Adjusted 2027]]/$L94,0)</f>
        <v>24</v>
      </c>
      <c r="BE94">
        <f>ROUNDUP(tbl_Data_old[[#This Row],[Adjusted 2028]]/$L94,0)</f>
        <v>30</v>
      </c>
      <c r="BF94">
        <f>ROUNDUP(tbl_Data_old[[#This Row],[Adjusted 2029]]/$L94,0)</f>
        <v>36</v>
      </c>
      <c r="BG94">
        <f>ROUNDUP(tbl_Data_old[[#This Row],[Adjusted 2030]]/$L94,0)</f>
        <v>42</v>
      </c>
      <c r="BH94">
        <f>ROUNDUP(tbl_Data_old[[#This Row],[Adjusted 2031]]/$L94,0)</f>
        <v>47</v>
      </c>
      <c r="BI94">
        <f>ROUNDUP(tbl_Data_old[[#This Row],[Adjusted 2032]]/$L94,0)</f>
        <v>52</v>
      </c>
      <c r="BJ94">
        <f>ROUNDUP(tbl_Data_old[[#This Row],[Adjusted 2033]]/$L94,0)</f>
        <v>56</v>
      </c>
      <c r="BK94">
        <f>ROUNDUP(tbl_Data_old[[#This Row],[Adjusted 2034]]/$L94,0)</f>
        <v>60</v>
      </c>
      <c r="BL94" s="3">
        <f t="shared" si="6"/>
        <v>787.2413501624236</v>
      </c>
      <c r="BM94" s="3">
        <f t="shared" si="6"/>
        <v>1519.6826332955775</v>
      </c>
      <c r="BN94" s="3">
        <f t="shared" si="6"/>
        <v>2198.5773729020198</v>
      </c>
      <c r="BO94" s="3">
        <f t="shared" si="6"/>
        <v>2826.4511714066807</v>
      </c>
      <c r="BP94" s="3">
        <f t="shared" si="6"/>
        <v>3405.7310162657432</v>
      </c>
      <c r="BQ94" s="3">
        <f t="shared" si="6"/>
        <v>3937.384598422967</v>
      </c>
      <c r="BR94" s="3">
        <f t="shared" si="6"/>
        <v>4426.4193726311496</v>
      </c>
      <c r="BS94" s="3">
        <f t="shared" si="6"/>
        <v>4877.8518107631544</v>
      </c>
      <c r="BT94" s="3">
        <f t="shared" si="6"/>
        <v>5295.8870127473065</v>
      </c>
      <c r="BU94" s="3">
        <f t="shared" si="6"/>
        <v>5683.9766733710776</v>
      </c>
      <c r="BV94">
        <f>VLOOKUP($H94,'1. Set Program Names'!$B$2:$D$15,3,0)*V94</f>
        <v>131.51282851960667</v>
      </c>
      <c r="BW94">
        <f>VLOOKUP($H94,'1. Set Program Names'!$B$2:$D$15,3,0)*W94</f>
        <v>253.87101619546655</v>
      </c>
      <c r="BX94">
        <f>VLOOKUP($H94,'1. Set Program Names'!$B$2:$D$15,3,0)*X94</f>
        <v>367.28397075419758</v>
      </c>
      <c r="BY94">
        <f>VLOOKUP($H94,'1. Set Program Names'!$B$2:$D$15,3,0)*Y94</f>
        <v>472.17360742999085</v>
      </c>
      <c r="BZ94">
        <f>VLOOKUP($H94,'1. Set Program Names'!$B$2:$D$15,3,0)*Z94</f>
        <v>568.94536730527716</v>
      </c>
      <c r="CA94">
        <f>VLOOKUP($H94,'1. Set Program Names'!$B$2:$D$15,3,0)*AA94</f>
        <v>657.76090826695543</v>
      </c>
      <c r="CB94">
        <f>VLOOKUP($H94,'1. Set Program Names'!$B$2:$D$15,3,0)*AB94</f>
        <v>739.45675209845126</v>
      </c>
      <c r="CC94">
        <f>VLOOKUP($H94,'1. Set Program Names'!$B$2:$D$15,3,0)*AC94</f>
        <v>814.8709269407575</v>
      </c>
      <c r="CD94">
        <f>VLOOKUP($H94,'1. Set Program Names'!$B$2:$D$15,3,0)*AD94</f>
        <v>884.70591696301449</v>
      </c>
      <c r="CE94">
        <f>VLOOKUP($H94,'1. Set Program Names'!$B$2:$D$15,3,0)*AE94</f>
        <v>949.53834602344944</v>
      </c>
    </row>
    <row r="95" spans="1:83" x14ac:dyDescent="0.25">
      <c r="A95" s="20" t="s">
        <v>113</v>
      </c>
      <c r="B95" s="20" t="s">
        <v>88</v>
      </c>
      <c r="C95" s="20" t="s">
        <v>89</v>
      </c>
      <c r="D95" s="20" t="s">
        <v>90</v>
      </c>
      <c r="E95" s="20" t="s">
        <v>91</v>
      </c>
      <c r="F95" s="20" t="s">
        <v>90</v>
      </c>
      <c r="G95" s="20" t="s">
        <v>92</v>
      </c>
      <c r="H95" s="20" t="s">
        <v>7</v>
      </c>
      <c r="I95" s="20" t="s">
        <v>107</v>
      </c>
      <c r="J95" s="20" t="s">
        <v>94</v>
      </c>
      <c r="K95" s="20" t="s">
        <v>108</v>
      </c>
      <c r="L95" s="20">
        <v>1663.1099999999899</v>
      </c>
      <c r="M95" s="20">
        <v>6.6647595975018806E-2</v>
      </c>
      <c r="N95" s="20">
        <v>0.309148293753995</v>
      </c>
      <c r="O95" s="20">
        <v>1389.5</v>
      </c>
      <c r="P95" s="20">
        <v>988.78817699699403</v>
      </c>
      <c r="Q95" s="20">
        <v>479.59833573408702</v>
      </c>
      <c r="R95" s="20">
        <v>791.96156853290995</v>
      </c>
      <c r="S95" s="20">
        <v>2127.4894292214699</v>
      </c>
      <c r="T95" s="20">
        <v>15</v>
      </c>
      <c r="U95" s="20">
        <v>0.1</v>
      </c>
      <c r="V95" s="20">
        <v>8702.5324146909006</v>
      </c>
      <c r="W95" s="20">
        <v>18380.772668854399</v>
      </c>
      <c r="X95" s="20">
        <v>28958.159521975798</v>
      </c>
      <c r="Y95" s="20">
        <v>40385.696792328898</v>
      </c>
      <c r="Z95" s="20">
        <v>52622.6578312821</v>
      </c>
      <c r="AA95" s="20">
        <v>65599.622386787698</v>
      </c>
      <c r="AB95" s="20">
        <v>79349.3418215235</v>
      </c>
      <c r="AC95" s="20">
        <v>93938.485133502501</v>
      </c>
      <c r="AD95" s="20">
        <v>109444.768951602</v>
      </c>
      <c r="AE95" s="20">
        <v>125952.091912398</v>
      </c>
      <c r="AF95" t="str">
        <f t="shared" si="5"/>
        <v>Residential</v>
      </c>
      <c r="AG95" t="str">
        <f>tbl_Data_old[[#This Row],[All_Meas_Name_Append]]</f>
        <v>Heat Pump Water Heater 50 Gallons- CEE Advanced Tier</v>
      </c>
      <c r="AH95">
        <f>AVERAGEIFS('3. Incentive Adjustment'!G:G,'3. Incentive Adjustment'!A:A,tbl_Data_old[[#This Row],[Trimmed Sector]],'3. Incentive Adjustment'!B:B,tbl_Data_old[[#This Row],[Trimmed Measure Name]])</f>
        <v>0.46049099596140497</v>
      </c>
      <c r="AI95">
        <f>$AH95*tbl_Data_old[[#This Row],[2025 ]]</f>
        <v>4007.4378190274233</v>
      </c>
      <c r="AJ95">
        <f>$AH95*tbl_Data_old[[#This Row],[2026 ]]</f>
        <v>8464.180312820934</v>
      </c>
      <c r="AK95">
        <f>$AH95*tbl_Data_old[[#This Row],[2027 ]]</f>
        <v>13334.971719483878</v>
      </c>
      <c r="AL95">
        <f>$AH95*tbl_Data_old[[#This Row],[2028 ]]</f>
        <v>18597.249738494851</v>
      </c>
      <c r="AM95">
        <f>$AH95*tbl_Data_old[[#This Row],[2029 ]]</f>
        <v>24232.260114863322</v>
      </c>
      <c r="AN95">
        <f>$AH95*tbl_Data_old[[#This Row],[2030 ]]</f>
        <v>30208.035447583945</v>
      </c>
      <c r="AO95">
        <f>$AH95*tbl_Data_old[[#This Row],[2031 ]]</f>
        <v>36539.657444275319</v>
      </c>
      <c r="AP95">
        <f>$AH95*tbl_Data_old[[#This Row],[2032 ]]</f>
        <v>43257.826578232198</v>
      </c>
      <c r="AQ95">
        <f>$AH95*tbl_Data_old[[#This Row],[2033 ]]</f>
        <v>50398.330657289058</v>
      </c>
      <c r="AR95">
        <f>$AH95*tbl_Data_old[[#This Row],[2034 ]]</f>
        <v>57999.804248162574</v>
      </c>
      <c r="AS95">
        <f>SUM(tbl_Data_old[[#This Row],[Adjusted 2025]:[Adjusted 2034]])</f>
        <v>287039.75408023351</v>
      </c>
      <c r="AT95" s="3">
        <f>AVERAGEIFS('3. Incentive Adjustment'!F:F,'3. Incentive Adjustment'!A:A,tbl_Data_old[[#This Row],[Trimmed Sector]],'3. Incentive Adjustment'!B:B,tbl_Data_old[[#This Row],[Trimmed Measure Name]])</f>
        <v>500</v>
      </c>
      <c r="AU95" s="3">
        <f>IFERROR(VLOOKUP(tbl_Data_old[[#This Row],[All_Meas_Name_Append]],'IRA Tax Credits'!$A$3:$D$46,4,0),0)</f>
        <v>1666.6666666666667</v>
      </c>
      <c r="AV95" s="4">
        <f>tbl_Data_old[[#This Row],[Adj. per unit Incentive ($)]]/tbl_Data_old[[#This Row],[kWh Savings]]*tbl_Data_old[[#This Row],[Sum of Annuals]]</f>
        <v>86296.082063193433</v>
      </c>
      <c r="AW95" s="4">
        <f>IFERROR(VLOOKUP(tbl_Data_old[[#This Row],[All_Programs]],'1. Set Program Names'!$B$2:$D$15,3,0)*tbl_Data_old[[#This Row],[Sum of Annuals]],"")</f>
        <v>124162.37201363912</v>
      </c>
      <c r="AX95" s="4">
        <f>tbl_Data_old[[#This Row],[per unit IRA tax ($)]]/tbl_Data_old[[#This Row],[kWh Savings]]*tbl_Data_old[[#This Row],[Sum of Annuals]]</f>
        <v>287653.60687731148</v>
      </c>
      <c r="AY95" s="4">
        <f>tbl_Data_old[[#This Row],[Avoided Costs ($/unit)]]/tbl_Data_old[[#This Row],[kWh Savings]]*tbl_Data_old[[#This Row],[Sum of Annuals]]</f>
        <v>136686.36101802276</v>
      </c>
      <c r="AZ95" s="4">
        <f>tbl_Data_old[[#This Row],[Lost Revenue ($/unit)]]/tbl_Data_old[[#This Row],[kWh Savings]]*tbl_Data_old[[#This Row],[Sum of Annuals]]</f>
        <v>367188.00474534504</v>
      </c>
      <c r="BA95" s="4">
        <f>tbl_Data_old[[#This Row],[Incremental Cost ($/unit)]]/tbl_Data_old[[#This Row],[kWh Savings]]*tbl_Data_old[[#This Row],[Sum of Annuals]]</f>
        <v>239816.81205361453</v>
      </c>
      <c r="BB95">
        <f>ROUNDUP(tbl_Data_old[[#This Row],[Adjusted 2025]]/$L95,0)</f>
        <v>3</v>
      </c>
      <c r="BC95">
        <f>ROUNDUP(tbl_Data_old[[#This Row],[Adjusted 2026]]/$L95,0)</f>
        <v>6</v>
      </c>
      <c r="BD95">
        <f>ROUNDUP(tbl_Data_old[[#This Row],[Adjusted 2027]]/$L95,0)</f>
        <v>9</v>
      </c>
      <c r="BE95">
        <f>ROUNDUP(tbl_Data_old[[#This Row],[Adjusted 2028]]/$L95,0)</f>
        <v>12</v>
      </c>
      <c r="BF95">
        <f>ROUNDUP(tbl_Data_old[[#This Row],[Adjusted 2029]]/$L95,0)</f>
        <v>15</v>
      </c>
      <c r="BG95">
        <f>ROUNDUP(tbl_Data_old[[#This Row],[Adjusted 2030]]/$L95,0)</f>
        <v>19</v>
      </c>
      <c r="BH95">
        <f>ROUNDUP(tbl_Data_old[[#This Row],[Adjusted 2031]]/$L95,0)</f>
        <v>22</v>
      </c>
      <c r="BI95">
        <f>ROUNDUP(tbl_Data_old[[#This Row],[Adjusted 2032]]/$L95,0)</f>
        <v>27</v>
      </c>
      <c r="BJ95">
        <f>ROUNDUP(tbl_Data_old[[#This Row],[Adjusted 2033]]/$L95,0)</f>
        <v>31</v>
      </c>
      <c r="BK95">
        <f>ROUNDUP(tbl_Data_old[[#This Row],[Adjusted 2034]]/$L95,0)</f>
        <v>35</v>
      </c>
      <c r="BL95" s="3">
        <f t="shared" si="6"/>
        <v>2616.343000370076</v>
      </c>
      <c r="BM95" s="3">
        <f t="shared" si="6"/>
        <v>5526.0243365906381</v>
      </c>
      <c r="BN95" s="3">
        <f t="shared" si="6"/>
        <v>8706.0265171804567</v>
      </c>
      <c r="BO95" s="3">
        <f t="shared" si="6"/>
        <v>12141.619253185041</v>
      </c>
      <c r="BP95" s="3">
        <f t="shared" si="6"/>
        <v>15820.558421055259</v>
      </c>
      <c r="BQ95" s="3">
        <f t="shared" si="6"/>
        <v>19721.97340728758</v>
      </c>
      <c r="BR95" s="3">
        <f t="shared" si="6"/>
        <v>23855.710632947907</v>
      </c>
      <c r="BS95" s="3">
        <f t="shared" si="6"/>
        <v>28241.81357020975</v>
      </c>
      <c r="BT95" s="3">
        <f t="shared" si="6"/>
        <v>32903.647068324608</v>
      </c>
      <c r="BU95" s="3">
        <f t="shared" si="6"/>
        <v>37866.434545038741</v>
      </c>
      <c r="BV95">
        <f>VLOOKUP($H95,'1. Set Program Names'!$B$2:$D$15,3,0)*V95</f>
        <v>3764.3812460610429</v>
      </c>
      <c r="BW95">
        <f>VLOOKUP($H95,'1. Set Program Names'!$B$2:$D$15,3,0)*W95</f>
        <v>7950.8162251647846</v>
      </c>
      <c r="BX95">
        <f>VLOOKUP($H95,'1. Set Program Names'!$B$2:$D$15,3,0)*X95</f>
        <v>12526.187485489711</v>
      </c>
      <c r="BY95">
        <f>VLOOKUP($H95,'1. Set Program Names'!$B$2:$D$15,3,0)*Y95</f>
        <v>17469.301160833453</v>
      </c>
      <c r="BZ95">
        <f>VLOOKUP($H95,'1. Set Program Names'!$B$2:$D$15,3,0)*Z95</f>
        <v>22762.540467365958</v>
      </c>
      <c r="CA95">
        <f>VLOOKUP($H95,'1. Set Program Names'!$B$2:$D$15,3,0)*AA95</f>
        <v>28375.876870581091</v>
      </c>
      <c r="CB95">
        <f>VLOOKUP($H95,'1. Set Program Names'!$B$2:$D$15,3,0)*AB95</f>
        <v>34323.477351947287</v>
      </c>
      <c r="CC95">
        <f>VLOOKUP($H95,'1. Set Program Names'!$B$2:$D$15,3,0)*AC95</f>
        <v>40634.180359154787</v>
      </c>
      <c r="CD95">
        <f>VLOOKUP($H95,'1. Set Program Names'!$B$2:$D$15,3,0)*AD95</f>
        <v>47341.603120650681</v>
      </c>
      <c r="CE95">
        <f>VLOOKUP($H95,'1. Set Program Names'!$B$2:$D$15,3,0)*AE95</f>
        <v>54482.03696395288</v>
      </c>
    </row>
    <row r="96" spans="1:83" x14ac:dyDescent="0.25">
      <c r="A96" s="20" t="s">
        <v>113</v>
      </c>
      <c r="B96" s="20" t="s">
        <v>88</v>
      </c>
      <c r="C96" s="20" t="s">
        <v>89</v>
      </c>
      <c r="D96" s="20" t="s">
        <v>90</v>
      </c>
      <c r="E96" s="20" t="s">
        <v>91</v>
      </c>
      <c r="F96" s="20" t="s">
        <v>90</v>
      </c>
      <c r="G96" s="20" t="s">
        <v>92</v>
      </c>
      <c r="H96" s="20" t="s">
        <v>7</v>
      </c>
      <c r="I96" s="20" t="s">
        <v>109</v>
      </c>
      <c r="J96" s="20" t="s">
        <v>94</v>
      </c>
      <c r="K96" s="20" t="s">
        <v>95</v>
      </c>
      <c r="L96" s="20">
        <v>1590.11499999999</v>
      </c>
      <c r="M96" s="20">
        <v>6.3722388822036402E-2</v>
      </c>
      <c r="N96" s="20">
        <v>0.29557957027655002</v>
      </c>
      <c r="O96" s="20">
        <v>1389.5</v>
      </c>
      <c r="P96" s="20">
        <v>1006.47372867305</v>
      </c>
      <c r="Q96" s="20">
        <v>458.54844696129999</v>
      </c>
      <c r="R96" s="20">
        <v>757.20185047754296</v>
      </c>
      <c r="S96" s="20">
        <v>2034.1125083407001</v>
      </c>
      <c r="T96" s="20">
        <v>15</v>
      </c>
      <c r="U96" s="20">
        <v>0.1</v>
      </c>
      <c r="V96" s="20">
        <v>12436.552667244599</v>
      </c>
      <c r="W96" s="20">
        <v>26261.792108591799</v>
      </c>
      <c r="X96" s="20">
        <v>41365.8835145103</v>
      </c>
      <c r="Y96" s="20">
        <v>57678.573101768299</v>
      </c>
      <c r="Z96" s="20">
        <v>75141.564428409896</v>
      </c>
      <c r="AA96" s="20">
        <v>93655.741789255204</v>
      </c>
      <c r="AB96" s="20">
        <v>113267.84619059</v>
      </c>
      <c r="AC96" s="20">
        <v>134072.99350561699</v>
      </c>
      <c r="AD96" s="20">
        <v>156182.02920582201</v>
      </c>
      <c r="AE96" s="20">
        <v>179714.58650067501</v>
      </c>
      <c r="AF96" t="str">
        <f t="shared" si="5"/>
        <v>Residential</v>
      </c>
      <c r="AG96" t="str">
        <f>tbl_Data_old[[#This Row],[All_Meas_Name_Append]]</f>
        <v>Heat Pump Water Heater 50 Gallons-ENERGY STAR</v>
      </c>
      <c r="AH96">
        <f>AVERAGEIFS('3. Incentive Adjustment'!G:G,'3. Incentive Adjustment'!A:A,tbl_Data_old[[#This Row],[Trimmed Sector]],'3. Incentive Adjustment'!B:B,tbl_Data_old[[#This Row],[Trimmed Measure Name]])</f>
        <v>0.43153525594917136</v>
      </c>
      <c r="AI96">
        <f>$AH96*tbl_Data_old[[#This Row],[2025 ]]</f>
        <v>5366.8109383847477</v>
      </c>
      <c r="AJ96">
        <f>$AH96*tbl_Data_old[[#This Row],[2026 ]]</f>
        <v>11332.88917926509</v>
      </c>
      <c r="AK96">
        <f>$AH96*tbl_Data_old[[#This Row],[2027 ]]</f>
        <v>17850.83712999781</v>
      </c>
      <c r="AL96">
        <f>$AH96*tbl_Data_old[[#This Row],[2028 ]]</f>
        <v>24890.337806254574</v>
      </c>
      <c r="AM96">
        <f>$AH96*tbl_Data_old[[#This Row],[2029 ]]</f>
        <v>32426.234238035013</v>
      </c>
      <c r="AN96">
        <f>$AH96*tbl_Data_old[[#This Row],[2030 ]]</f>
        <v>40415.754504135752</v>
      </c>
      <c r="AO96">
        <f>$AH96*tbl_Data_old[[#This Row],[2031 ]]</f>
        <v>48879.068996667629</v>
      </c>
      <c r="AP96">
        <f>$AH96*tbl_Data_old[[#This Row],[2032 ]]</f>
        <v>57857.223568318019</v>
      </c>
      <c r="AQ96">
        <f>$AH96*tbl_Data_old[[#This Row],[2033 ]]</f>
        <v>67398.051947995351</v>
      </c>
      <c r="AR96">
        <f>$AH96*tbl_Data_old[[#This Row],[2034 ]]</f>
        <v>77553.180083368294</v>
      </c>
      <c r="AS96">
        <f>SUM(tbl_Data_old[[#This Row],[Adjusted 2025]:[Adjusted 2034]])</f>
        <v>383970.38839242235</v>
      </c>
      <c r="AT96" s="3">
        <f>AVERAGEIFS('3. Incentive Adjustment'!F:F,'3. Incentive Adjustment'!A:A,tbl_Data_old[[#This Row],[Trimmed Sector]],'3. Incentive Adjustment'!B:B,tbl_Data_old[[#This Row],[Trimmed Measure Name]])</f>
        <v>500</v>
      </c>
      <c r="AU96" s="3">
        <f>IFERROR(VLOOKUP(tbl_Data_old[[#This Row],[All_Meas_Name_Append]],'IRA Tax Credits'!$A$3:$D$46,4,0),0)</f>
        <v>1666.6666666666667</v>
      </c>
      <c r="AV96" s="4">
        <f>tbl_Data_old[[#This Row],[Adj. per unit Incentive ($)]]/tbl_Data_old[[#This Row],[kWh Savings]]*tbl_Data_old[[#This Row],[Sum of Annuals]]</f>
        <v>120736.67262821391</v>
      </c>
      <c r="AW96" s="4">
        <f>IFERROR(VLOOKUP(tbl_Data_old[[#This Row],[All_Programs]],'1. Set Program Names'!$B$2:$D$15,3,0)*tbl_Data_old[[#This Row],[Sum of Annuals]],"")</f>
        <v>166090.84117482693</v>
      </c>
      <c r="AX96" s="4">
        <f>tbl_Data_old[[#This Row],[per unit IRA tax ($)]]/tbl_Data_old[[#This Row],[kWh Savings]]*tbl_Data_old[[#This Row],[Sum of Annuals]]</f>
        <v>402455.57542737975</v>
      </c>
      <c r="AY96" s="4">
        <f>tbl_Data_old[[#This Row],[Avoided Costs ($/unit)]]/tbl_Data_old[[#This Row],[kWh Savings]]*tbl_Data_old[[#This Row],[Sum of Annuals]]</f>
        <v>182844.0638691698</v>
      </c>
      <c r="AZ96" s="4">
        <f>tbl_Data_old[[#This Row],[Lost Revenue ($/unit)]]/tbl_Data_old[[#This Row],[kWh Savings]]*tbl_Data_old[[#This Row],[Sum of Annuals]]</f>
        <v>491183.95201697235</v>
      </c>
      <c r="BA96" s="4">
        <f>tbl_Data_old[[#This Row],[Incremental Cost ($/unit)]]/tbl_Data_old[[#This Row],[kWh Savings]]*tbl_Data_old[[#This Row],[Sum of Annuals]]</f>
        <v>335527.21323380648</v>
      </c>
      <c r="BB96">
        <f>ROUNDUP(tbl_Data_old[[#This Row],[Adjusted 2025]]/$L96,0)</f>
        <v>4</v>
      </c>
      <c r="BC96">
        <f>ROUNDUP(tbl_Data_old[[#This Row],[Adjusted 2026]]/$L96,0)</f>
        <v>8</v>
      </c>
      <c r="BD96">
        <f>ROUNDUP(tbl_Data_old[[#This Row],[Adjusted 2027]]/$L96,0)</f>
        <v>12</v>
      </c>
      <c r="BE96">
        <f>ROUNDUP(tbl_Data_old[[#This Row],[Adjusted 2028]]/$L96,0)</f>
        <v>16</v>
      </c>
      <c r="BF96">
        <f>ROUNDUP(tbl_Data_old[[#This Row],[Adjusted 2029]]/$L96,0)</f>
        <v>21</v>
      </c>
      <c r="BG96">
        <f>ROUNDUP(tbl_Data_old[[#This Row],[Adjusted 2030]]/$L96,0)</f>
        <v>26</v>
      </c>
      <c r="BH96">
        <f>ROUNDUP(tbl_Data_old[[#This Row],[Adjusted 2031]]/$L96,0)</f>
        <v>31</v>
      </c>
      <c r="BI96">
        <f>ROUNDUP(tbl_Data_old[[#This Row],[Adjusted 2032]]/$L96,0)</f>
        <v>37</v>
      </c>
      <c r="BJ96">
        <f>ROUNDUP(tbl_Data_old[[#This Row],[Adjusted 2033]]/$L96,0)</f>
        <v>43</v>
      </c>
      <c r="BK96">
        <f>ROUNDUP(tbl_Data_old[[#This Row],[Adjusted 2034]]/$L96,0)</f>
        <v>49</v>
      </c>
      <c r="BL96" s="3">
        <f t="shared" si="6"/>
        <v>3910.5827777376721</v>
      </c>
      <c r="BM96" s="3">
        <f t="shared" si="6"/>
        <v>8257.8279270970852</v>
      </c>
      <c r="BN96" s="3">
        <f t="shared" si="6"/>
        <v>13007.198697739019</v>
      </c>
      <c r="BO96" s="3">
        <f t="shared" si="6"/>
        <v>18136.604302760697</v>
      </c>
      <c r="BP96" s="3">
        <f t="shared" si="6"/>
        <v>23627.713853529574</v>
      </c>
      <c r="BQ96" s="3">
        <f t="shared" si="6"/>
        <v>29449.361143456852</v>
      </c>
      <c r="BR96" s="3">
        <f t="shared" si="6"/>
        <v>35616.243539175062</v>
      </c>
      <c r="BS96" s="3">
        <f t="shared" si="6"/>
        <v>42158.269529442157</v>
      </c>
      <c r="BT96" s="3">
        <f t="shared" si="6"/>
        <v>49110.293659836861</v>
      </c>
      <c r="BU96" s="3">
        <f t="shared" si="6"/>
        <v>56509.933715698593</v>
      </c>
      <c r="BV96">
        <f>VLOOKUP($H96,'1. Set Program Names'!$B$2:$D$15,3,0)*V96</f>
        <v>5379.5749783356405</v>
      </c>
      <c r="BW96">
        <f>VLOOKUP($H96,'1. Set Program Names'!$B$2:$D$15,3,0)*W96</f>
        <v>11359.842513732041</v>
      </c>
      <c r="BX96">
        <f>VLOOKUP($H96,'1. Set Program Names'!$B$2:$D$15,3,0)*X96</f>
        <v>17893.292286495784</v>
      </c>
      <c r="BY96">
        <f>VLOOKUP($H96,'1. Set Program Names'!$B$2:$D$15,3,0)*Y96</f>
        <v>24949.535208547612</v>
      </c>
      <c r="BZ96">
        <f>VLOOKUP($H96,'1. Set Program Names'!$B$2:$D$15,3,0)*Z96</f>
        <v>32503.354478345893</v>
      </c>
      <c r="CA96">
        <f>VLOOKUP($H96,'1. Set Program Names'!$B$2:$D$15,3,0)*AA96</f>
        <v>40511.876449003721</v>
      </c>
      <c r="CB96">
        <f>VLOOKUP($H96,'1. Set Program Names'!$B$2:$D$15,3,0)*AB96</f>
        <v>48995.319484452404</v>
      </c>
      <c r="CC96">
        <f>VLOOKUP($H96,'1. Set Program Names'!$B$2:$D$15,3,0)*AC96</f>
        <v>57994.827057904702</v>
      </c>
      <c r="CD96">
        <f>VLOOKUP($H96,'1. Set Program Names'!$B$2:$D$15,3,0)*AD96</f>
        <v>67558.346662594617</v>
      </c>
      <c r="CE96">
        <f>VLOOKUP($H96,'1. Set Program Names'!$B$2:$D$15,3,0)*AE96</f>
        <v>77737.627029658659</v>
      </c>
    </row>
    <row r="97" spans="1:83" x14ac:dyDescent="0.25">
      <c r="A97" s="20" t="s">
        <v>113</v>
      </c>
      <c r="B97" s="20" t="s">
        <v>88</v>
      </c>
      <c r="C97" s="20" t="s">
        <v>89</v>
      </c>
      <c r="D97" s="20" t="s">
        <v>90</v>
      </c>
      <c r="E97" s="20" t="s">
        <v>91</v>
      </c>
      <c r="F97" s="20" t="s">
        <v>90</v>
      </c>
      <c r="G97" s="20" t="s">
        <v>92</v>
      </c>
      <c r="H97" s="20" t="s">
        <v>7</v>
      </c>
      <c r="I97" s="20" t="s">
        <v>110</v>
      </c>
      <c r="J97" s="20" t="s">
        <v>94</v>
      </c>
      <c r="K97" s="20" t="s">
        <v>108</v>
      </c>
      <c r="L97" s="20">
        <v>461.909999999999</v>
      </c>
      <c r="M97" s="20">
        <v>1.8510616289253799E-2</v>
      </c>
      <c r="N97" s="20">
        <v>8.5862443475120898E-2</v>
      </c>
      <c r="O97" s="20">
        <v>1729.5</v>
      </c>
      <c r="P97" s="20">
        <v>1631.9996867488601</v>
      </c>
      <c r="Q97" s="20">
        <v>133.20301559063</v>
      </c>
      <c r="R97" s="20">
        <v>219.958372038552</v>
      </c>
      <c r="S97" s="20">
        <v>590.88613636602201</v>
      </c>
      <c r="T97" s="20">
        <v>15</v>
      </c>
      <c r="U97" s="20">
        <v>0.1</v>
      </c>
      <c r="V97" s="20">
        <v>6689.9151910437904</v>
      </c>
      <c r="W97" s="20">
        <v>14131.204731449199</v>
      </c>
      <c r="X97" s="20">
        <v>22265.101335099102</v>
      </c>
      <c r="Y97" s="20">
        <v>31053.982692724901</v>
      </c>
      <c r="Z97" s="20">
        <v>40466.550416661499</v>
      </c>
      <c r="AA97" s="20">
        <v>50449.405364170198</v>
      </c>
      <c r="AB97" s="20">
        <v>61027.726118763698</v>
      </c>
      <c r="AC97" s="20">
        <v>72252.786366162094</v>
      </c>
      <c r="AD97" s="20">
        <v>84184.365257790705</v>
      </c>
      <c r="AE97" s="20">
        <v>96887.004370210605</v>
      </c>
      <c r="AF97" t="str">
        <f t="shared" si="5"/>
        <v>Residential</v>
      </c>
      <c r="AG97" t="str">
        <f>tbl_Data_old[[#This Row],[All_Meas_Name_Append]]</f>
        <v>Heat Pump Water Heater 80 Gallons-ENERGY STAR</v>
      </c>
      <c r="AH97">
        <f>AVERAGEIFS('3. Incentive Adjustment'!G:G,'3. Incentive Adjustment'!A:A,tbl_Data_old[[#This Row],[Trimmed Sector]],'3. Incentive Adjustment'!B:B,tbl_Data_old[[#This Row],[Trimmed Measure Name]])</f>
        <v>1.5551101216712928E-3</v>
      </c>
      <c r="AI97">
        <f>$AH97*tbl_Data_old[[#This Row],[2025 ]]</f>
        <v>10.403554826714739</v>
      </c>
      <c r="AJ97">
        <f>$AH97*tbl_Data_old[[#This Row],[2026 ]]</f>
        <v>21.975579509285911</v>
      </c>
      <c r="AK97">
        <f>$AH97*tbl_Data_old[[#This Row],[2027 ]]</f>
        <v>34.624684446249624</v>
      </c>
      <c r="AL97">
        <f>$AH97*tbl_Data_old[[#This Row],[2028 ]]</f>
        <v>48.292362803661639</v>
      </c>
      <c r="AM97">
        <f>$AH97*tbl_Data_old[[#This Row],[2029 ]]</f>
        <v>62.929942142071965</v>
      </c>
      <c r="AN97">
        <f>$AH97*tbl_Data_old[[#This Row],[2030 ]]</f>
        <v>78.454380914119085</v>
      </c>
      <c r="AO97">
        <f>$AH97*tbl_Data_old[[#This Row],[2031 ]]</f>
        <v>94.904834589872948</v>
      </c>
      <c r="AP97">
        <f>$AH97*tbl_Data_old[[#This Row],[2032 ]]</f>
        <v>112.36103939697226</v>
      </c>
      <c r="AQ97">
        <f>$AH97*tbl_Data_old[[#This Row],[2033 ]]</f>
        <v>130.91595849886346</v>
      </c>
      <c r="AR97">
        <f>$AH97*tbl_Data_old[[#This Row],[2034 ]]</f>
        <v>150.66996115452528</v>
      </c>
      <c r="AS97">
        <f>SUM(tbl_Data_old[[#This Row],[Adjusted 2025]:[Adjusted 2034]])</f>
        <v>745.53229828233691</v>
      </c>
      <c r="AT97" s="3">
        <f>AVERAGEIFS('3. Incentive Adjustment'!F:F,'3. Incentive Adjustment'!A:A,tbl_Data_old[[#This Row],[Trimmed Sector]],'3. Incentive Adjustment'!B:B,tbl_Data_old[[#This Row],[Trimmed Measure Name]])</f>
        <v>500</v>
      </c>
      <c r="AU97" s="3">
        <f>IFERROR(VLOOKUP(tbl_Data_old[[#This Row],[All_Meas_Name_Append]],'IRA Tax Credits'!$A$3:$D$46,4,0),0)</f>
        <v>1666.6666666666667</v>
      </c>
      <c r="AV97" s="4">
        <f>tbl_Data_old[[#This Row],[Adj. per unit Incentive ($)]]/tbl_Data_old[[#This Row],[kWh Savings]]*tbl_Data_old[[#This Row],[Sum of Annuals]]</f>
        <v>807.0103464769528</v>
      </c>
      <c r="AW97" s="4">
        <f>IFERROR(VLOOKUP(tbl_Data_old[[#This Row],[All_Programs]],'1. Set Program Names'!$B$2:$D$15,3,0)*tbl_Data_old[[#This Row],[Sum of Annuals]],"")</f>
        <v>322.4886352907078</v>
      </c>
      <c r="AX97" s="4">
        <f>tbl_Data_old[[#This Row],[per unit IRA tax ($)]]/tbl_Data_old[[#This Row],[kWh Savings]]*tbl_Data_old[[#This Row],[Sum of Annuals]]</f>
        <v>2690.0344882565096</v>
      </c>
      <c r="AY97" s="4">
        <f>tbl_Data_old[[#This Row],[Avoided Costs ($/unit)]]/tbl_Data_old[[#This Row],[kWh Savings]]*tbl_Data_old[[#This Row],[Sum of Annuals]]</f>
        <v>355.01736405867666</v>
      </c>
      <c r="AZ97" s="4">
        <f>tbl_Data_old[[#This Row],[Lost Revenue ($/unit)]]/tbl_Data_old[[#This Row],[kWh Savings]]*tbl_Data_old[[#This Row],[Sum of Annuals]]</f>
        <v>953.70245127434271</v>
      </c>
      <c r="BA97" s="4">
        <f>tbl_Data_old[[#This Row],[Incremental Cost ($/unit)]]/tbl_Data_old[[#This Row],[kWh Savings]]*tbl_Data_old[[#This Row],[Sum of Annuals]]</f>
        <v>2791.4487884637797</v>
      </c>
      <c r="BB97">
        <f>ROUNDUP(tbl_Data_old[[#This Row],[Adjusted 2025]]/$L97,0)</f>
        <v>1</v>
      </c>
      <c r="BC97">
        <f>ROUNDUP(tbl_Data_old[[#This Row],[Adjusted 2026]]/$L97,0)</f>
        <v>1</v>
      </c>
      <c r="BD97">
        <f>ROUNDUP(tbl_Data_old[[#This Row],[Adjusted 2027]]/$L97,0)</f>
        <v>1</v>
      </c>
      <c r="BE97">
        <f>ROUNDUP(tbl_Data_old[[#This Row],[Adjusted 2028]]/$L97,0)</f>
        <v>1</v>
      </c>
      <c r="BF97">
        <f>ROUNDUP(tbl_Data_old[[#This Row],[Adjusted 2029]]/$L97,0)</f>
        <v>1</v>
      </c>
      <c r="BG97">
        <f>ROUNDUP(tbl_Data_old[[#This Row],[Adjusted 2030]]/$L97,0)</f>
        <v>1</v>
      </c>
      <c r="BH97">
        <f>ROUNDUP(tbl_Data_old[[#This Row],[Adjusted 2031]]/$L97,0)</f>
        <v>1</v>
      </c>
      <c r="BI97">
        <f>ROUNDUP(tbl_Data_old[[#This Row],[Adjusted 2032]]/$L97,0)</f>
        <v>1</v>
      </c>
      <c r="BJ97">
        <f>ROUNDUP(tbl_Data_old[[#This Row],[Adjusted 2033]]/$L97,0)</f>
        <v>1</v>
      </c>
      <c r="BK97">
        <f>ROUNDUP(tbl_Data_old[[#This Row],[Adjusted 2034]]/$L97,0)</f>
        <v>1</v>
      </c>
      <c r="BL97" s="3">
        <f t="shared" si="6"/>
        <v>7241.578652815273</v>
      </c>
      <c r="BM97" s="3">
        <f t="shared" si="6"/>
        <v>15296.491450119322</v>
      </c>
      <c r="BN97" s="3">
        <f t="shared" si="6"/>
        <v>24101.125040699651</v>
      </c>
      <c r="BO97" s="3">
        <f t="shared" si="6"/>
        <v>33614.754706246858</v>
      </c>
      <c r="BP97" s="3">
        <f t="shared" si="6"/>
        <v>43803.501132971345</v>
      </c>
      <c r="BQ97" s="3">
        <f t="shared" si="6"/>
        <v>54609.561780617776</v>
      </c>
      <c r="BR97" s="3">
        <f t="shared" si="6"/>
        <v>66060.191507830357</v>
      </c>
      <c r="BS97" s="3">
        <f t="shared" si="6"/>
        <v>78210.892128512322</v>
      </c>
      <c r="BT97" s="3">
        <f t="shared" si="6"/>
        <v>91126.372299572307</v>
      </c>
      <c r="BU97" s="3">
        <f t="shared" si="6"/>
        <v>104876.49582192507</v>
      </c>
      <c r="BV97">
        <f>VLOOKUP($H97,'1. Set Program Names'!$B$2:$D$15,3,0)*V97</f>
        <v>2893.8003425751785</v>
      </c>
      <c r="BW97">
        <f>VLOOKUP($H97,'1. Set Program Names'!$B$2:$D$15,3,0)*W97</f>
        <v>6112.6163673365463</v>
      </c>
      <c r="BX97">
        <f>VLOOKUP($H97,'1. Set Program Names'!$B$2:$D$15,3,0)*X97</f>
        <v>9631.0276036441155</v>
      </c>
      <c r="BY97">
        <f>VLOOKUP($H97,'1. Set Program Names'!$B$2:$D$15,3,0)*Y97</f>
        <v>13432.760085634209</v>
      </c>
      <c r="BZ97">
        <f>VLOOKUP($H97,'1. Set Program Names'!$B$2:$D$15,3,0)*Z97</f>
        <v>17504.275333018082</v>
      </c>
      <c r="CA97">
        <f>VLOOKUP($H97,'1. Set Program Names'!$B$2:$D$15,3,0)*AA97</f>
        <v>21822.474927783303</v>
      </c>
      <c r="CB97">
        <f>VLOOKUP($H97,'1. Set Program Names'!$B$2:$D$15,3,0)*AB97</f>
        <v>26398.250158012586</v>
      </c>
      <c r="CC97">
        <f>VLOOKUP($H97,'1. Set Program Names'!$B$2:$D$15,3,0)*AC97</f>
        <v>31253.780050653924</v>
      </c>
      <c r="CD97">
        <f>VLOOKUP($H97,'1. Set Program Names'!$B$2:$D$15,3,0)*AD97</f>
        <v>36414.92277041245</v>
      </c>
      <c r="CE97">
        <f>VLOOKUP($H97,'1. Set Program Names'!$B$2:$D$15,3,0)*AE97</f>
        <v>41909.596524175584</v>
      </c>
    </row>
    <row r="98" spans="1:83" x14ac:dyDescent="0.25">
      <c r="A98" s="20" t="s">
        <v>113</v>
      </c>
      <c r="B98" s="20" t="s">
        <v>88</v>
      </c>
      <c r="C98" s="20" t="s">
        <v>89</v>
      </c>
      <c r="D98" s="20" t="s">
        <v>90</v>
      </c>
      <c r="E98" s="20" t="s">
        <v>91</v>
      </c>
      <c r="F98" s="20" t="s">
        <v>90</v>
      </c>
      <c r="G98" s="20" t="s">
        <v>92</v>
      </c>
      <c r="H98" s="20" t="s">
        <v>7</v>
      </c>
      <c r="I98" s="20" t="s">
        <v>299</v>
      </c>
      <c r="J98" s="20" t="s">
        <v>97</v>
      </c>
      <c r="K98" s="20" t="s">
        <v>102</v>
      </c>
      <c r="L98" s="20">
        <v>408.28</v>
      </c>
      <c r="M98" s="20">
        <v>0.16567198429270899</v>
      </c>
      <c r="N98" s="20">
        <v>2.3547919008134799E-2</v>
      </c>
      <c r="O98" s="53">
        <v>128.60999999999999</v>
      </c>
      <c r="P98" s="20">
        <v>29.691921599999901</v>
      </c>
      <c r="Q98" s="20">
        <v>117.737496926549</v>
      </c>
      <c r="R98" s="20">
        <v>238.630335182902</v>
      </c>
      <c r="S98" s="20">
        <v>423.90838942107399</v>
      </c>
      <c r="T98" s="20">
        <v>11</v>
      </c>
      <c r="U98" s="20">
        <v>9.9999999999999895E-2</v>
      </c>
      <c r="V98" s="20">
        <v>1792.5542711856299</v>
      </c>
      <c r="W98" s="20">
        <v>3279.2355884277499</v>
      </c>
      <c r="X98" s="20">
        <v>4512.0928123014501</v>
      </c>
      <c r="Y98" s="20">
        <v>5538.6962155958699</v>
      </c>
      <c r="Z98" s="20">
        <v>6399.3381056768303</v>
      </c>
      <c r="AA98" s="20">
        <v>7124.4673839424804</v>
      </c>
      <c r="AB98" s="20">
        <v>7744.2997486417698</v>
      </c>
      <c r="AC98" s="20">
        <v>8282.4526508776307</v>
      </c>
      <c r="AD98" s="20">
        <v>8757.4913916040005</v>
      </c>
      <c r="AE98" s="20">
        <v>9183.7336598397997</v>
      </c>
      <c r="AF98" t="str">
        <f t="shared" si="5"/>
        <v>Residential</v>
      </c>
      <c r="AG98" t="str">
        <f>tbl_Data_old[[#This Row],[All_Meas_Name_Append]]</f>
        <v>Smart Thermostat Residential</v>
      </c>
      <c r="AH98">
        <f>AVERAGEIFS('3. Incentive Adjustment'!G:G,'3. Incentive Adjustment'!A:A,tbl_Data_old[[#This Row],[Trimmed Sector]],'3. Incentive Adjustment'!B:B,tbl_Data_old[[#This Row],[Trimmed Measure Name]])</f>
        <v>1.1402432304340044</v>
      </c>
      <c r="AI98">
        <f>$AH98*tbl_Data_old[[#This Row],[2025 ]]</f>
        <v>2043.9478729049752</v>
      </c>
      <c r="AJ98">
        <f>$AH98*tbl_Data_old[[#This Row],[2026 ]]</f>
        <v>3739.126180703011</v>
      </c>
      <c r="AK98">
        <f>$AH98*tbl_Data_old[[#This Row],[2027 ]]</f>
        <v>5144.8832843166574</v>
      </c>
      <c r="AL98">
        <f>$AH98*tbl_Data_old[[#This Row],[2028 ]]</f>
        <v>6315.4608652636298</v>
      </c>
      <c r="AM98">
        <f>$AH98*tbl_Data_old[[#This Row],[2029 ]]</f>
        <v>7296.8019542563716</v>
      </c>
      <c r="AN98">
        <f>$AH98*tbl_Data_old[[#This Row],[2030 ]]</f>
        <v>8123.6257049882743</v>
      </c>
      <c r="AO98">
        <f>$AH98*tbl_Data_old[[#This Row],[2031 ]]</f>
        <v>8830.3853628405395</v>
      </c>
      <c r="AP98">
        <f>$AH98*tbl_Data_old[[#This Row],[2032 ]]</f>
        <v>9444.0105665533938</v>
      </c>
      <c r="AQ98">
        <f>$AH98*tbl_Data_old[[#This Row],[2033 ]]</f>
        <v>9985.6702748605312</v>
      </c>
      <c r="AR98">
        <f>$AH98*tbl_Data_old[[#This Row],[2034 ]]</f>
        <v>10471.690135741235</v>
      </c>
      <c r="AS98">
        <f>SUM(tbl_Data_old[[#This Row],[Adjusted 2025]:[Adjusted 2034]])</f>
        <v>71395.602202428621</v>
      </c>
      <c r="AT98" s="3">
        <f>AVERAGEIFS('3. Incentive Adjustment'!F:F,'3. Incentive Adjustment'!A:A,tbl_Data_old[[#This Row],[Trimmed Sector]],'3. Incentive Adjustment'!B:B,tbl_Data_old[[#This Row],[Trimmed Measure Name]])</f>
        <v>50</v>
      </c>
      <c r="AU98" s="3">
        <f>IFERROR(VLOOKUP(tbl_Data_old[[#This Row],[All_Meas_Name_Append]],'IRA Tax Credits'!$A$3:$D$46,4,0),0)</f>
        <v>0</v>
      </c>
      <c r="AV98" s="4">
        <f>tbl_Data_old[[#This Row],[Adj. per unit Incentive ($)]]/tbl_Data_old[[#This Row],[kWh Savings]]*tbl_Data_old[[#This Row],[Sum of Annuals]]</f>
        <v>8743.4606400544508</v>
      </c>
      <c r="AW98" s="4">
        <f>IFERROR(VLOOKUP(tbl_Data_old[[#This Row],[All_Programs]],'1. Set Program Names'!$B$2:$D$15,3,0)*tbl_Data_old[[#This Row],[Sum of Annuals]],"")</f>
        <v>30882.995107074552</v>
      </c>
      <c r="AX98" s="4">
        <f>tbl_Data_old[[#This Row],[per unit IRA tax ($)]]/tbl_Data_old[[#This Row],[kWh Savings]]*tbl_Data_old[[#This Row],[Sum of Annuals]]</f>
        <v>0</v>
      </c>
      <c r="AY98" s="4">
        <f>tbl_Data_old[[#This Row],[Avoided Costs ($/unit)]]/tbl_Data_old[[#This Row],[kWh Savings]]*tbl_Data_old[[#This Row],[Sum of Annuals]]</f>
        <v>41729.098863894091</v>
      </c>
      <c r="AZ98" s="4">
        <f>tbl_Data_old[[#This Row],[Lost Revenue ($/unit)]]/tbl_Data_old[[#This Row],[kWh Savings]]*tbl_Data_old[[#This Row],[Sum of Annuals]]</f>
        <v>74128.526357840703</v>
      </c>
      <c r="BA98" s="4">
        <f>tbl_Data_old[[#This Row],[Incremental Cost ($/unit)]]/tbl_Data_old[[#This Row],[kWh Savings]]*tbl_Data_old[[#This Row],[Sum of Annuals]]</f>
        <v>22489.929458348059</v>
      </c>
      <c r="BB98">
        <f>ROUNDUP(tbl_Data_old[[#This Row],[Adjusted 2025]]/$L98,0)</f>
        <v>6</v>
      </c>
      <c r="BC98">
        <f>ROUNDUP(tbl_Data_old[[#This Row],[Adjusted 2026]]/$L98,0)</f>
        <v>10</v>
      </c>
      <c r="BD98">
        <f>ROUNDUP(tbl_Data_old[[#This Row],[Adjusted 2027]]/$L98,0)</f>
        <v>13</v>
      </c>
      <c r="BE98">
        <f>ROUNDUP(tbl_Data_old[[#This Row],[Adjusted 2028]]/$L98,0)</f>
        <v>16</v>
      </c>
      <c r="BF98">
        <f>ROUNDUP(tbl_Data_old[[#This Row],[Adjusted 2029]]/$L98,0)</f>
        <v>18</v>
      </c>
      <c r="BG98">
        <f>ROUNDUP(tbl_Data_old[[#This Row],[Adjusted 2030]]/$L98,0)</f>
        <v>20</v>
      </c>
      <c r="BH98">
        <f>ROUNDUP(tbl_Data_old[[#This Row],[Adjusted 2031]]/$L98,0)</f>
        <v>22</v>
      </c>
      <c r="BI98">
        <f>ROUNDUP(tbl_Data_old[[#This Row],[Adjusted 2032]]/$L98,0)</f>
        <v>24</v>
      </c>
      <c r="BJ98">
        <f>ROUNDUP(tbl_Data_old[[#This Row],[Adjusted 2033]]/$L98,0)</f>
        <v>25</v>
      </c>
      <c r="BK98">
        <f>ROUNDUP(tbl_Data_old[[#This Row],[Adjusted 2034]]/$L98,0)</f>
        <v>26</v>
      </c>
      <c r="BL98" s="3">
        <f t="shared" si="6"/>
        <v>219.52511403762492</v>
      </c>
      <c r="BM98" s="3">
        <f t="shared" si="6"/>
        <v>401.59150441213751</v>
      </c>
      <c r="BN98" s="3">
        <f t="shared" si="6"/>
        <v>552.57333353353715</v>
      </c>
      <c r="BO98" s="3">
        <f t="shared" si="6"/>
        <v>678.29629367050438</v>
      </c>
      <c r="BP98" s="3">
        <f t="shared" si="6"/>
        <v>783.69478123797774</v>
      </c>
      <c r="BQ98" s="3">
        <f t="shared" si="6"/>
        <v>872.49772018498106</v>
      </c>
      <c r="BR98" s="3">
        <f t="shared" si="6"/>
        <v>948.40547524269743</v>
      </c>
      <c r="BS98" s="3">
        <f t="shared" si="6"/>
        <v>1014.3103569704164</v>
      </c>
      <c r="BT98" s="3">
        <f t="shared" si="6"/>
        <v>1072.4859644856472</v>
      </c>
      <c r="BU98" s="3">
        <f t="shared" si="6"/>
        <v>1124.6857132163957</v>
      </c>
      <c r="BV98">
        <f>VLOOKUP($H98,'1. Set Program Names'!$B$2:$D$15,3,0)*V98</f>
        <v>775.39012317915945</v>
      </c>
      <c r="BW98">
        <f>VLOOKUP($H98,'1. Set Program Names'!$B$2:$D$15,3,0)*W98</f>
        <v>1418.4713554935743</v>
      </c>
      <c r="BX98">
        <f>VLOOKUP($H98,'1. Set Program Names'!$B$2:$D$15,3,0)*X98</f>
        <v>1951.7580347579428</v>
      </c>
      <c r="BY98">
        <f>VLOOKUP($H98,'1. Set Program Names'!$B$2:$D$15,3,0)*Y98</f>
        <v>2395.8272337396302</v>
      </c>
      <c r="BZ98">
        <f>VLOOKUP($H98,'1. Set Program Names'!$B$2:$D$15,3,0)*Z98</f>
        <v>2768.1078569207812</v>
      </c>
      <c r="CA98">
        <f>VLOOKUP($H98,'1. Set Program Names'!$B$2:$D$15,3,0)*AA98</f>
        <v>3081.7709294610222</v>
      </c>
      <c r="CB98">
        <f>VLOOKUP($H98,'1. Set Program Names'!$B$2:$D$15,3,0)*AB98</f>
        <v>3349.8866017952973</v>
      </c>
      <c r="CC98">
        <f>VLOOKUP($H98,'1. Set Program Names'!$B$2:$D$15,3,0)*AC98</f>
        <v>3582.6708760911547</v>
      </c>
      <c r="CD98">
        <f>VLOOKUP($H98,'1. Set Program Names'!$B$2:$D$15,3,0)*AD98</f>
        <v>3788.1543884218945</v>
      </c>
      <c r="CE98">
        <f>VLOOKUP($H98,'1. Set Program Names'!$B$2:$D$15,3,0)*AE98</f>
        <v>3972.5304210944892</v>
      </c>
    </row>
    <row r="99" spans="1:83" x14ac:dyDescent="0.25">
      <c r="A99" s="20" t="s">
        <v>113</v>
      </c>
      <c r="B99" s="20" t="s">
        <v>88</v>
      </c>
      <c r="C99" s="20" t="s">
        <v>89</v>
      </c>
      <c r="D99" s="20" t="s">
        <v>90</v>
      </c>
      <c r="E99" s="20" t="s">
        <v>91</v>
      </c>
      <c r="F99" s="20" t="s">
        <v>90</v>
      </c>
      <c r="G99" s="20" t="s">
        <v>92</v>
      </c>
      <c r="H99" s="20" t="s">
        <v>7</v>
      </c>
      <c r="I99" s="20" t="s">
        <v>112</v>
      </c>
      <c r="J99" s="20" t="s">
        <v>94</v>
      </c>
      <c r="K99" s="20" t="s">
        <v>108</v>
      </c>
      <c r="L99" s="20">
        <v>1330.8133333333301</v>
      </c>
      <c r="M99" s="20">
        <v>5.33311142126306E-2</v>
      </c>
      <c r="N99" s="20">
        <v>0.24737910980336</v>
      </c>
      <c r="O99" s="20">
        <v>8990.02</v>
      </c>
      <c r="P99" s="20">
        <v>8776.4394094329891</v>
      </c>
      <c r="Q99" s="20">
        <v>383.77248638959497</v>
      </c>
      <c r="R99" s="20">
        <v>713.19672296706005</v>
      </c>
      <c r="S99" s="20">
        <v>2011.6258188035599</v>
      </c>
      <c r="T99" s="20">
        <v>20</v>
      </c>
      <c r="U99" s="20">
        <v>0.1</v>
      </c>
      <c r="V99" s="20">
        <v>21581.137197634602</v>
      </c>
      <c r="W99" s="20">
        <v>45599.512532027198</v>
      </c>
      <c r="X99" s="20">
        <v>71866.719232139905</v>
      </c>
      <c r="Y99" s="20">
        <v>100262.133105805</v>
      </c>
      <c r="Z99" s="20">
        <v>130685.20603086799</v>
      </c>
      <c r="AA99" s="20">
        <v>162963.648274704</v>
      </c>
      <c r="AB99" s="20">
        <v>197179.023288069</v>
      </c>
      <c r="AC99" s="20">
        <v>233497.30871443299</v>
      </c>
      <c r="AD99" s="20">
        <v>272112.06533834501</v>
      </c>
      <c r="AE99" s="20">
        <v>313232.33598865202</v>
      </c>
      <c r="AF99" t="str">
        <f t="shared" si="5"/>
        <v>Residential</v>
      </c>
      <c r="AG99" t="str">
        <f>tbl_Data_old[[#This Row],[All_Meas_Name_Append]]</f>
        <v>Solar Thermal Water Heating System</v>
      </c>
      <c r="AH99">
        <f>AVERAGEIFS('3. Incentive Adjustment'!G:G,'3. Incentive Adjustment'!A:A,tbl_Data_old[[#This Row],[Trimmed Sector]],'3. Incentive Adjustment'!B:B,tbl_Data_old[[#This Row],[Trimmed Measure Name]])</f>
        <v>2.7736651842107431E-8</v>
      </c>
      <c r="AI99">
        <f>$AH99*tbl_Data_old[[#This Row],[2025 ]]</f>
        <v>5.9858848880754495E-4</v>
      </c>
      <c r="AJ99">
        <f>$AH99*tbl_Data_old[[#This Row],[2026 ]]</f>
        <v>1.264777803270653E-3</v>
      </c>
      <c r="AK99">
        <f>$AH99*tbl_Data_old[[#This Row],[2027 ]]</f>
        <v>1.993342170376351E-3</v>
      </c>
      <c r="AL99">
        <f>$AH99*tbl_Data_old[[#This Row],[2028 ]]</f>
        <v>2.7809358789027466E-3</v>
      </c>
      <c r="AM99">
        <f>$AH99*tbl_Data_old[[#This Row],[2029 ]]</f>
        <v>3.6247700605922641E-3</v>
      </c>
      <c r="AN99">
        <f>$AH99*tbl_Data_old[[#This Row],[2030 ]]</f>
        <v>4.5200659751151165E-3</v>
      </c>
      <c r="AO99">
        <f>$AH99*tbl_Data_old[[#This Row],[2031 ]]</f>
        <v>5.4690859195079631E-3</v>
      </c>
      <c r="AP99">
        <f>$AH99*tbl_Data_old[[#This Row],[2032 ]]</f>
        <v>6.4764335578813056E-3</v>
      </c>
      <c r="AQ99">
        <f>$AH99*tbl_Data_old[[#This Row],[2033 ]]</f>
        <v>7.547477618326465E-3</v>
      </c>
      <c r="AR99">
        <f>$AH99*tbl_Data_old[[#This Row],[2034 ]]</f>
        <v>8.6880162490072591E-3</v>
      </c>
      <c r="AS99">
        <f>SUM(tbl_Data_old[[#This Row],[Adjusted 2025]:[Adjusted 2034]])</f>
        <v>4.296349372178767E-2</v>
      </c>
      <c r="AT99" s="3">
        <f>AVERAGEIFS('3. Incentive Adjustment'!F:F,'3. Incentive Adjustment'!A:A,tbl_Data_old[[#This Row],[Trimmed Sector]],'3. Incentive Adjustment'!B:B,tbl_Data_old[[#This Row],[Trimmed Measure Name]])</f>
        <v>0</v>
      </c>
      <c r="AU99" s="3">
        <f>IFERROR(VLOOKUP(tbl_Data_old[[#This Row],[All_Meas_Name_Append]],'IRA Tax Credits'!$A$3:$D$46,4,0),0)</f>
        <v>41666.666666666672</v>
      </c>
      <c r="AV99" s="4">
        <f>tbl_Data_old[[#This Row],[Adj. per unit Incentive ($)]]/tbl_Data_old[[#This Row],[kWh Savings]]*tbl_Data_old[[#This Row],[Sum of Annuals]]</f>
        <v>0</v>
      </c>
      <c r="AW99" s="4">
        <f>IFERROR(VLOOKUP(tbl_Data_old[[#This Row],[All_Programs]],'1. Set Program Names'!$B$2:$D$15,3,0)*tbl_Data_old[[#This Row],[Sum of Annuals]],"")</f>
        <v>1.8584357095704454E-2</v>
      </c>
      <c r="AX99" s="4">
        <f>tbl_Data_old[[#This Row],[per unit IRA tax ($)]]/tbl_Data_old[[#This Row],[kWh Savings]]*tbl_Data_old[[#This Row],[Sum of Annuals]]</f>
        <v>1.3451515151695386</v>
      </c>
      <c r="AY99" s="4">
        <f>tbl_Data_old[[#This Row],[Avoided Costs ($/unit)]]/tbl_Data_old[[#This Row],[kWh Savings]]*tbl_Data_old[[#This Row],[Sum of Annuals]]</f>
        <v>2.3024583660314169E-2</v>
      </c>
      <c r="AZ99" s="4">
        <f>tbl_Data_old[[#This Row],[Lost Revenue ($/unit)]]/tbl_Data_old[[#This Row],[kWh Savings]]*tbl_Data_old[[#This Row],[Sum of Annuals]]</f>
        <v>6.4942596434826527E-2</v>
      </c>
      <c r="BA99" s="4">
        <f>tbl_Data_old[[#This Row],[Incremental Cost ($/unit)]]/tbl_Data_old[[#This Row],[kWh Savings]]*tbl_Data_old[[#This Row],[Sum of Annuals]]</f>
        <v>0.29023053658570686</v>
      </c>
      <c r="BB99">
        <f>ROUNDUP(tbl_Data_old[[#This Row],[Adjusted 2025]]/$L99,0)</f>
        <v>1</v>
      </c>
      <c r="BC99">
        <f>ROUNDUP(tbl_Data_old[[#This Row],[Adjusted 2026]]/$L99,0)</f>
        <v>1</v>
      </c>
      <c r="BD99">
        <f>ROUNDUP(tbl_Data_old[[#This Row],[Adjusted 2027]]/$L99,0)</f>
        <v>1</v>
      </c>
      <c r="BE99">
        <f>ROUNDUP(tbl_Data_old[[#This Row],[Adjusted 2028]]/$L99,0)</f>
        <v>1</v>
      </c>
      <c r="BF99">
        <f>ROUNDUP(tbl_Data_old[[#This Row],[Adjusted 2029]]/$L99,0)</f>
        <v>1</v>
      </c>
      <c r="BG99">
        <f>ROUNDUP(tbl_Data_old[[#This Row],[Adjusted 2030]]/$L99,0)</f>
        <v>1</v>
      </c>
      <c r="BH99">
        <f>ROUNDUP(tbl_Data_old[[#This Row],[Adjusted 2031]]/$L99,0)</f>
        <v>1</v>
      </c>
      <c r="BI99">
        <f>ROUNDUP(tbl_Data_old[[#This Row],[Adjusted 2032]]/$L99,0)</f>
        <v>1</v>
      </c>
      <c r="BJ99">
        <f>ROUNDUP(tbl_Data_old[[#This Row],[Adjusted 2033]]/$L99,0)</f>
        <v>1</v>
      </c>
      <c r="BK99">
        <f>ROUNDUP(tbl_Data_old[[#This Row],[Adjusted 2034]]/$L99,0)</f>
        <v>1</v>
      </c>
      <c r="BL99" s="3">
        <f t="shared" si="6"/>
        <v>0</v>
      </c>
      <c r="BM99" s="3">
        <f t="shared" si="6"/>
        <v>0</v>
      </c>
      <c r="BN99" s="3">
        <f t="shared" si="6"/>
        <v>0</v>
      </c>
      <c r="BO99" s="3">
        <f t="shared" si="6"/>
        <v>0</v>
      </c>
      <c r="BP99" s="3">
        <f t="shared" si="6"/>
        <v>0</v>
      </c>
      <c r="BQ99" s="3">
        <f t="shared" si="6"/>
        <v>0</v>
      </c>
      <c r="BR99" s="3">
        <f t="shared" si="6"/>
        <v>0</v>
      </c>
      <c r="BS99" s="3">
        <f t="shared" si="6"/>
        <v>0</v>
      </c>
      <c r="BT99" s="3">
        <f t="shared" si="6"/>
        <v>0</v>
      </c>
      <c r="BU99" s="3">
        <f t="shared" si="6"/>
        <v>0</v>
      </c>
      <c r="BV99">
        <f>VLOOKUP($H99,'1. Set Program Names'!$B$2:$D$15,3,0)*V99</f>
        <v>9335.1709898033805</v>
      </c>
      <c r="BW99">
        <f>VLOOKUP($H99,'1. Set Program Names'!$B$2:$D$15,3,0)*W99</f>
        <v>19724.597579816716</v>
      </c>
      <c r="BX99">
        <f>VLOOKUP($H99,'1. Set Program Names'!$B$2:$D$15,3,0)*X99</f>
        <v>31086.782237858613</v>
      </c>
      <c r="BY99">
        <f>VLOOKUP($H99,'1. Set Program Names'!$B$2:$D$15,3,0)*Y99</f>
        <v>43369.547571742522</v>
      </c>
      <c r="BZ99">
        <f>VLOOKUP($H99,'1. Set Program Names'!$B$2:$D$15,3,0)*Z99</f>
        <v>56529.400326019488</v>
      </c>
      <c r="CA99">
        <f>VLOOKUP($H99,'1. Set Program Names'!$B$2:$D$15,3,0)*AA99</f>
        <v>70491.814580247417</v>
      </c>
      <c r="CB99">
        <f>VLOOKUP($H99,'1. Set Program Names'!$B$2:$D$15,3,0)*AB99</f>
        <v>85292.071550256253</v>
      </c>
      <c r="CC99">
        <f>VLOOKUP($H99,'1. Set Program Names'!$B$2:$D$15,3,0)*AC99</f>
        <v>101001.96678917592</v>
      </c>
      <c r="CD99">
        <f>VLOOKUP($H99,'1. Set Program Names'!$B$2:$D$15,3,0)*AD99</f>
        <v>117705.22725745983</v>
      </c>
      <c r="CE99">
        <f>VLOOKUP($H99,'1. Set Program Names'!$B$2:$D$15,3,0)*AE99</f>
        <v>135492.2768532375</v>
      </c>
    </row>
    <row r="100" spans="1:83" x14ac:dyDescent="0.25">
      <c r="A100" s="20" t="s">
        <v>114</v>
      </c>
      <c r="B100" s="20" t="s">
        <v>88</v>
      </c>
      <c r="C100" s="20" t="s">
        <v>89</v>
      </c>
      <c r="D100" s="20" t="s">
        <v>90</v>
      </c>
      <c r="E100" s="20" t="s">
        <v>91</v>
      </c>
      <c r="F100" s="20" t="s">
        <v>90</v>
      </c>
      <c r="G100" s="20" t="s">
        <v>92</v>
      </c>
      <c r="H100" s="20" t="s">
        <v>7</v>
      </c>
      <c r="I100" s="20" t="s">
        <v>93</v>
      </c>
      <c r="J100" s="20" t="s">
        <v>94</v>
      </c>
      <c r="K100" s="20" t="s">
        <v>95</v>
      </c>
      <c r="L100" s="20">
        <v>1200.2266666666601</v>
      </c>
      <c r="M100" s="20">
        <v>4.8097974252120097E-2</v>
      </c>
      <c r="N100" s="20">
        <v>0.22310492157346501</v>
      </c>
      <c r="O100" s="20">
        <v>1210</v>
      </c>
      <c r="P100" s="20">
        <v>933.85922631496703</v>
      </c>
      <c r="Q100" s="20">
        <v>346.114635734861</v>
      </c>
      <c r="R100" s="20">
        <v>571.53970184074296</v>
      </c>
      <c r="S100" s="20">
        <v>1535.35818196214</v>
      </c>
      <c r="T100" s="20">
        <v>15</v>
      </c>
      <c r="U100" s="20">
        <v>0.1</v>
      </c>
      <c r="V100" s="20">
        <v>0.289584761487644</v>
      </c>
      <c r="W100" s="20">
        <v>0.30767327815297502</v>
      </c>
      <c r="X100" s="20">
        <v>0.32563189746243099</v>
      </c>
      <c r="Y100" s="20">
        <v>0.344005228966274</v>
      </c>
      <c r="Z100" s="20">
        <v>0.36277342818964597</v>
      </c>
      <c r="AA100" s="20">
        <v>0.38087993040034201</v>
      </c>
      <c r="AB100" s="20">
        <v>0.40114587417712</v>
      </c>
      <c r="AC100" s="20">
        <v>0.42438098862214602</v>
      </c>
      <c r="AD100" s="20">
        <v>0.45077658441006102</v>
      </c>
      <c r="AE100" s="20">
        <v>0.48042599529548202</v>
      </c>
      <c r="AF100" t="str">
        <f t="shared" si="5"/>
        <v>Residential</v>
      </c>
      <c r="AG100" t="str">
        <f>tbl_Data_old[[#This Row],[All_Meas_Name_Append]]</f>
        <v>120v Heat Pump Water Heater 50 Gallons</v>
      </c>
      <c r="AH100">
        <f>AVERAGEIFS('3. Incentive Adjustment'!G:G,'3. Incentive Adjustment'!A:A,tbl_Data_old[[#This Row],[Trimmed Sector]],'3. Incentive Adjustment'!B:B,tbl_Data_old[[#This Row],[Trimmed Measure Name]])</f>
        <v>0.38528347196238832</v>
      </c>
      <c r="AI100">
        <f>$AH100*tbl_Data_old[[#This Row],[2025 ]]</f>
        <v>0.1115722223333596</v>
      </c>
      <c r="AJ100">
        <f>$AH100*tbl_Data_old[[#This Row],[2026 ]]</f>
        <v>0.11854142883682785</v>
      </c>
      <c r="AK100">
        <f>$AH100*tbl_Data_old[[#This Row],[2027 ]]</f>
        <v>0.12546058803602583</v>
      </c>
      <c r="AL100">
        <f>$AH100*tbl_Data_old[[#This Row],[2028 ]]</f>
        <v>0.1325395289893424</v>
      </c>
      <c r="AM100">
        <f>$AH100*tbl_Data_old[[#This Row],[2029 ]]</f>
        <v>0.13977060594860496</v>
      </c>
      <c r="AN100">
        <f>$AH100*tbl_Data_old[[#This Row],[2030 ]]</f>
        <v>0.14674674198543658</v>
      </c>
      <c r="AO100">
        <f>$AH100*tbl_Data_old[[#This Row],[2031 ]]</f>
        <v>0.15455487516634817</v>
      </c>
      <c r="AP100">
        <f>$AH100*tbl_Data_old[[#This Row],[2032 ]]</f>
        <v>0.16350698073117123</v>
      </c>
      <c r="AQ100">
        <f>$AH100*tbl_Data_old[[#This Row],[2033 ]]</f>
        <v>0.17367676752085492</v>
      </c>
      <c r="AR100">
        <f>$AH100*tbl_Data_old[[#This Row],[2034 ]]</f>
        <v>0.18510019548842935</v>
      </c>
      <c r="AS100">
        <f>SUM(tbl_Data_old[[#This Row],[Adjusted 2025]:[Adjusted 2034]])</f>
        <v>1.4514699350364006</v>
      </c>
      <c r="AT100" s="3">
        <f>AVERAGEIFS('3. Incentive Adjustment'!F:F,'3. Incentive Adjustment'!A:A,tbl_Data_old[[#This Row],[Trimmed Sector]],'3. Incentive Adjustment'!B:B,tbl_Data_old[[#This Row],[Trimmed Measure Name]])</f>
        <v>500</v>
      </c>
      <c r="AU100" s="3">
        <f>IFERROR(VLOOKUP(tbl_Data_old[[#This Row],[All_Meas_Name_Append]],'IRA Tax Credits'!$A$3:$D$46,4,0),0)</f>
        <v>1666.6666666666667</v>
      </c>
      <c r="AV100" s="4">
        <f>tbl_Data_old[[#This Row],[Adj. per unit Incentive ($)]]/tbl_Data_old[[#This Row],[kWh Savings]]*tbl_Data_old[[#This Row],[Sum of Annuals]]</f>
        <v>0.60466492511264891</v>
      </c>
      <c r="AW100" s="4">
        <f>IFERROR(VLOOKUP(tbl_Data_old[[#This Row],[All_Programs]],'1. Set Program Names'!$B$2:$D$15,3,0)*tbl_Data_old[[#This Row],[Sum of Annuals]],"")</f>
        <v>0.6278501408910333</v>
      </c>
      <c r="AX100" s="4">
        <f>tbl_Data_old[[#This Row],[per unit IRA tax ($)]]/tbl_Data_old[[#This Row],[kWh Savings]]*tbl_Data_old[[#This Row],[Sum of Annuals]]</f>
        <v>2.0155497503754964</v>
      </c>
      <c r="AY100" s="4">
        <f>tbl_Data_old[[#This Row],[Avoided Costs ($/unit)]]/tbl_Data_old[[#This Row],[kWh Savings]]*tbl_Data_old[[#This Row],[Sum of Annuals]]</f>
        <v>0.69118002202487716</v>
      </c>
      <c r="AZ100" s="4">
        <f>tbl_Data_old[[#This Row],[Lost Revenue ($/unit)]]/tbl_Data_old[[#This Row],[kWh Savings]]*tbl_Data_old[[#This Row],[Sum of Annuals]]</f>
        <v>1.8567544802344604</v>
      </c>
      <c r="BA100" s="4">
        <f>tbl_Data_old[[#This Row],[Incremental Cost ($/unit)]]/tbl_Data_old[[#This Row],[kWh Savings]]*tbl_Data_old[[#This Row],[Sum of Annuals]]</f>
        <v>1.4632891187726103</v>
      </c>
      <c r="BB100">
        <f>ROUNDUP(tbl_Data_old[[#This Row],[Adjusted 2025]]/$L100,0)</f>
        <v>1</v>
      </c>
      <c r="BC100">
        <f>ROUNDUP(tbl_Data_old[[#This Row],[Adjusted 2026]]/$L100,0)</f>
        <v>1</v>
      </c>
      <c r="BD100">
        <f>ROUNDUP(tbl_Data_old[[#This Row],[Adjusted 2027]]/$L100,0)</f>
        <v>1</v>
      </c>
      <c r="BE100">
        <f>ROUNDUP(tbl_Data_old[[#This Row],[Adjusted 2028]]/$L100,0)</f>
        <v>1</v>
      </c>
      <c r="BF100">
        <f>ROUNDUP(tbl_Data_old[[#This Row],[Adjusted 2029]]/$L100,0)</f>
        <v>1</v>
      </c>
      <c r="BG100">
        <f>ROUNDUP(tbl_Data_old[[#This Row],[Adjusted 2030]]/$L100,0)</f>
        <v>1</v>
      </c>
      <c r="BH100">
        <f>ROUNDUP(tbl_Data_old[[#This Row],[Adjusted 2031]]/$L100,0)</f>
        <v>1</v>
      </c>
      <c r="BI100">
        <f>ROUNDUP(tbl_Data_old[[#This Row],[Adjusted 2032]]/$L100,0)</f>
        <v>1</v>
      </c>
      <c r="BJ100">
        <f>ROUNDUP(tbl_Data_old[[#This Row],[Adjusted 2033]]/$L100,0)</f>
        <v>1</v>
      </c>
      <c r="BK100">
        <f>ROUNDUP(tbl_Data_old[[#This Row],[Adjusted 2034]]/$L100,0)</f>
        <v>1</v>
      </c>
      <c r="BL100" s="3">
        <f t="shared" si="6"/>
        <v>0.12063753019748169</v>
      </c>
      <c r="BM100" s="3">
        <f t="shared" si="6"/>
        <v>0.12817298877697131</v>
      </c>
      <c r="BN100" s="3">
        <f t="shared" si="6"/>
        <v>0.13565433367965193</v>
      </c>
      <c r="BO100" s="3">
        <f t="shared" si="6"/>
        <v>0.14330844269677223</v>
      </c>
      <c r="BP100" s="3">
        <f t="shared" si="6"/>
        <v>0.15112704885868</v>
      </c>
      <c r="BQ100" s="3">
        <f t="shared" si="6"/>
        <v>0.15867000000014334</v>
      </c>
      <c r="BR100" s="3">
        <f t="shared" si="6"/>
        <v>0.16711254853685506</v>
      </c>
      <c r="BS100" s="3">
        <f t="shared" si="6"/>
        <v>0.17679201787807372</v>
      </c>
      <c r="BT100" s="3">
        <f t="shared" si="6"/>
        <v>0.18778810575088462</v>
      </c>
      <c r="BU100" s="3">
        <f t="shared" si="6"/>
        <v>0.20013969387538658</v>
      </c>
      <c r="BV100">
        <f>VLOOKUP($H100,'1. Set Program Names'!$B$2:$D$15,3,0)*V100</f>
        <v>0.12526324446076378</v>
      </c>
      <c r="BW100">
        <f>VLOOKUP($H100,'1. Set Program Names'!$B$2:$D$15,3,0)*W100</f>
        <v>0.1330876419647693</v>
      </c>
      <c r="BX100">
        <f>VLOOKUP($H100,'1. Set Program Names'!$B$2:$D$15,3,0)*X100</f>
        <v>0.14085585086216379</v>
      </c>
      <c r="BY100">
        <f>VLOOKUP($H100,'1. Set Program Names'!$B$2:$D$15,3,0)*Y100</f>
        <v>0.14880344832517028</v>
      </c>
      <c r="BZ100">
        <f>VLOOKUP($H100,'1. Set Program Names'!$B$2:$D$15,3,0)*Z100</f>
        <v>0.15692185039621942</v>
      </c>
      <c r="CA100">
        <f>VLOOKUP($H100,'1. Set Program Names'!$B$2:$D$15,3,0)*AA100</f>
        <v>0.16475402775629971</v>
      </c>
      <c r="CB100">
        <f>VLOOKUP($H100,'1. Set Program Names'!$B$2:$D$15,3,0)*AB100</f>
        <v>0.17352029659067328</v>
      </c>
      <c r="CC100">
        <f>VLOOKUP($H100,'1. Set Program Names'!$B$2:$D$15,3,0)*AC100</f>
        <v>0.18357091460610123</v>
      </c>
      <c r="CD100">
        <f>VLOOKUP($H100,'1. Set Program Names'!$B$2:$D$15,3,0)*AD100</f>
        <v>0.19498863545192061</v>
      </c>
      <c r="CE100">
        <f>VLOOKUP($H100,'1. Set Program Names'!$B$2:$D$15,3,0)*AE100</f>
        <v>0.20781383172529769</v>
      </c>
    </row>
    <row r="101" spans="1:83" x14ac:dyDescent="0.25">
      <c r="A101" s="20" t="s">
        <v>114</v>
      </c>
      <c r="B101" s="20" t="s">
        <v>88</v>
      </c>
      <c r="C101" s="20" t="s">
        <v>89</v>
      </c>
      <c r="D101" s="20" t="s">
        <v>90</v>
      </c>
      <c r="E101" s="20" t="s">
        <v>91</v>
      </c>
      <c r="F101" s="20" t="s">
        <v>90</v>
      </c>
      <c r="G101" s="20" t="s">
        <v>92</v>
      </c>
      <c r="H101" s="20" t="s">
        <v>7</v>
      </c>
      <c r="I101" s="20" t="s">
        <v>118</v>
      </c>
      <c r="J101" s="20" t="s">
        <v>97</v>
      </c>
      <c r="K101" s="20" t="s">
        <v>102</v>
      </c>
      <c r="L101" s="20">
        <v>466.599999999999</v>
      </c>
      <c r="M101" s="20">
        <v>0.18933941062023901</v>
      </c>
      <c r="N101" s="20">
        <v>2.6910820932303899E-2</v>
      </c>
      <c r="O101" s="20">
        <v>674.44999999999902</v>
      </c>
      <c r="P101" s="20">
        <v>561.40215199999898</v>
      </c>
      <c r="Q101" s="20">
        <v>134.555491490957</v>
      </c>
      <c r="R101" s="20">
        <v>370.49545033119801</v>
      </c>
      <c r="S101" s="20">
        <v>705.301475078208</v>
      </c>
      <c r="T101" s="20">
        <v>20</v>
      </c>
      <c r="U101" s="20">
        <v>1</v>
      </c>
      <c r="V101" s="20">
        <v>0.64663041775415497</v>
      </c>
      <c r="W101" s="20">
        <v>0.62575609911549501</v>
      </c>
      <c r="X101" s="20">
        <v>0.60603797988904795</v>
      </c>
      <c r="Y101" s="20">
        <v>0.58809998665015495</v>
      </c>
      <c r="Z101" s="20">
        <v>0.57147644743533099</v>
      </c>
      <c r="AA101" s="20">
        <v>0.55431132987243004</v>
      </c>
      <c r="AB101" s="20">
        <v>0.54050832477893396</v>
      </c>
      <c r="AC101" s="20">
        <v>0.53034751234599897</v>
      </c>
      <c r="AD101" s="20">
        <v>0.52324728422835698</v>
      </c>
      <c r="AE101" s="20">
        <v>0.51860539986161103</v>
      </c>
      <c r="AF101" t="str">
        <f t="shared" si="5"/>
        <v>Residential</v>
      </c>
      <c r="AG101" t="str">
        <f>tbl_Data_old[[#This Row],[All_Meas_Name_Append]]</f>
        <v>Air Sealing-Infiltration Control</v>
      </c>
      <c r="AH101" t="e">
        <f>AVERAGEIFS('3. Incentive Adjustment'!G:G,'3. Incentive Adjustment'!A:A,tbl_Data_old[[#This Row],[Trimmed Sector]],'3. Incentive Adjustment'!B:B,tbl_Data_old[[#This Row],[Trimmed Measure Name]])</f>
        <v>#DIV/0!</v>
      </c>
      <c r="AI101" t="e">
        <f>$AH101*tbl_Data_old[[#This Row],[2025 ]]</f>
        <v>#DIV/0!</v>
      </c>
      <c r="AJ101" t="e">
        <f>$AH101*tbl_Data_old[[#This Row],[2026 ]]</f>
        <v>#DIV/0!</v>
      </c>
      <c r="AK101" t="e">
        <f>$AH101*tbl_Data_old[[#This Row],[2027 ]]</f>
        <v>#DIV/0!</v>
      </c>
      <c r="AL101" t="e">
        <f>$AH101*tbl_Data_old[[#This Row],[2028 ]]</f>
        <v>#DIV/0!</v>
      </c>
      <c r="AM101" t="e">
        <f>$AH101*tbl_Data_old[[#This Row],[2029 ]]</f>
        <v>#DIV/0!</v>
      </c>
      <c r="AN101" t="e">
        <f>$AH101*tbl_Data_old[[#This Row],[2030 ]]</f>
        <v>#DIV/0!</v>
      </c>
      <c r="AO101" t="e">
        <f>$AH101*tbl_Data_old[[#This Row],[2031 ]]</f>
        <v>#DIV/0!</v>
      </c>
      <c r="AP101" t="e">
        <f>$AH101*tbl_Data_old[[#This Row],[2032 ]]</f>
        <v>#DIV/0!</v>
      </c>
      <c r="AQ101" t="e">
        <f>$AH101*tbl_Data_old[[#This Row],[2033 ]]</f>
        <v>#DIV/0!</v>
      </c>
      <c r="AR101" t="e">
        <f>$AH101*tbl_Data_old[[#This Row],[2034 ]]</f>
        <v>#DIV/0!</v>
      </c>
      <c r="AS101" t="e">
        <f>SUM(tbl_Data_old[[#This Row],[Adjusted 2025]:[Adjusted 2034]])</f>
        <v>#DIV/0!</v>
      </c>
      <c r="AT101" s="3" t="e">
        <f>AVERAGEIFS('3. Incentive Adjustment'!F:F,'3. Incentive Adjustment'!A:A,tbl_Data_old[[#This Row],[Trimmed Sector]],'3. Incentive Adjustment'!B:B,tbl_Data_old[[#This Row],[Trimmed Measure Name]])</f>
        <v>#DIV/0!</v>
      </c>
      <c r="AU101" s="3">
        <f>IFERROR(VLOOKUP(tbl_Data_old[[#This Row],[All_Meas_Name_Append]],'IRA Tax Credits'!$A$3:$D$46,4,0),0)</f>
        <v>500</v>
      </c>
      <c r="AV101" s="4" t="e">
        <f>tbl_Data_old[[#This Row],[Adj. per unit Incentive ($)]]/tbl_Data_old[[#This Row],[kWh Savings]]*tbl_Data_old[[#This Row],[Sum of Annuals]]</f>
        <v>#DIV/0!</v>
      </c>
      <c r="AW101" s="4" t="str">
        <f>IFERROR(VLOOKUP(tbl_Data_old[[#This Row],[All_Programs]],'1. Set Program Names'!$B$2:$D$15,3,0)*tbl_Data_old[[#This Row],[Sum of Annuals]],"")</f>
        <v/>
      </c>
      <c r="AX101" s="4" t="e">
        <f>tbl_Data_old[[#This Row],[per unit IRA tax ($)]]/tbl_Data_old[[#This Row],[kWh Savings]]*tbl_Data_old[[#This Row],[Sum of Annuals]]</f>
        <v>#DIV/0!</v>
      </c>
      <c r="AY101" s="4" t="e">
        <f>tbl_Data_old[[#This Row],[Avoided Costs ($/unit)]]/tbl_Data_old[[#This Row],[kWh Savings]]*tbl_Data_old[[#This Row],[Sum of Annuals]]</f>
        <v>#DIV/0!</v>
      </c>
      <c r="AZ101" s="4" t="e">
        <f>tbl_Data_old[[#This Row],[Lost Revenue ($/unit)]]/tbl_Data_old[[#This Row],[kWh Savings]]*tbl_Data_old[[#This Row],[Sum of Annuals]]</f>
        <v>#DIV/0!</v>
      </c>
      <c r="BA101" s="4" t="e">
        <f>tbl_Data_old[[#This Row],[Incremental Cost ($/unit)]]/tbl_Data_old[[#This Row],[kWh Savings]]*tbl_Data_old[[#This Row],[Sum of Annuals]]</f>
        <v>#DIV/0!</v>
      </c>
      <c r="BB101" t="e">
        <f>ROUNDUP(tbl_Data_old[[#This Row],[Adjusted 2025]]/$L101,0)</f>
        <v>#DIV/0!</v>
      </c>
      <c r="BC101" t="e">
        <f>ROUNDUP(tbl_Data_old[[#This Row],[Adjusted 2026]]/$L101,0)</f>
        <v>#DIV/0!</v>
      </c>
      <c r="BD101" t="e">
        <f>ROUNDUP(tbl_Data_old[[#This Row],[Adjusted 2027]]/$L101,0)</f>
        <v>#DIV/0!</v>
      </c>
      <c r="BE101" t="e">
        <f>ROUNDUP(tbl_Data_old[[#This Row],[Adjusted 2028]]/$L101,0)</f>
        <v>#DIV/0!</v>
      </c>
      <c r="BF101" t="e">
        <f>ROUNDUP(tbl_Data_old[[#This Row],[Adjusted 2029]]/$L101,0)</f>
        <v>#DIV/0!</v>
      </c>
      <c r="BG101" t="e">
        <f>ROUNDUP(tbl_Data_old[[#This Row],[Adjusted 2030]]/$L101,0)</f>
        <v>#DIV/0!</v>
      </c>
      <c r="BH101" t="e">
        <f>ROUNDUP(tbl_Data_old[[#This Row],[Adjusted 2031]]/$L101,0)</f>
        <v>#DIV/0!</v>
      </c>
      <c r="BI101" t="e">
        <f>ROUNDUP(tbl_Data_old[[#This Row],[Adjusted 2032]]/$L101,0)</f>
        <v>#DIV/0!</v>
      </c>
      <c r="BJ101" t="e">
        <f>ROUNDUP(tbl_Data_old[[#This Row],[Adjusted 2033]]/$L101,0)</f>
        <v>#DIV/0!</v>
      </c>
      <c r="BK101" t="e">
        <f>ROUNDUP(tbl_Data_old[[#This Row],[Adjusted 2034]]/$L101,0)</f>
        <v>#DIV/0!</v>
      </c>
      <c r="BL101" s="3" t="e">
        <f t="shared" si="6"/>
        <v>#DIV/0!</v>
      </c>
      <c r="BM101" s="3" t="e">
        <f t="shared" si="6"/>
        <v>#DIV/0!</v>
      </c>
      <c r="BN101" s="3" t="e">
        <f t="shared" si="6"/>
        <v>#DIV/0!</v>
      </c>
      <c r="BO101" s="3" t="e">
        <f t="shared" si="6"/>
        <v>#DIV/0!</v>
      </c>
      <c r="BP101" s="3" t="e">
        <f t="shared" si="6"/>
        <v>#DIV/0!</v>
      </c>
      <c r="BQ101" s="3" t="e">
        <f t="shared" ref="BQ101:BU132" si="7">$AT101/$L101*AA101</f>
        <v>#DIV/0!</v>
      </c>
      <c r="BR101" s="3" t="e">
        <f t="shared" si="7"/>
        <v>#DIV/0!</v>
      </c>
      <c r="BS101" s="3" t="e">
        <f t="shared" si="7"/>
        <v>#DIV/0!</v>
      </c>
      <c r="BT101" s="3" t="e">
        <f t="shared" si="7"/>
        <v>#DIV/0!</v>
      </c>
      <c r="BU101" s="3" t="e">
        <f t="shared" si="7"/>
        <v>#DIV/0!</v>
      </c>
      <c r="BV101">
        <f>VLOOKUP($H101,'1. Set Program Names'!$B$2:$D$15,3,0)*V101</f>
        <v>0.27970748073482654</v>
      </c>
      <c r="BW101">
        <f>VLOOKUP($H101,'1. Set Program Names'!$B$2:$D$15,3,0)*W101</f>
        <v>0.27067805230373865</v>
      </c>
      <c r="BX101">
        <f>VLOOKUP($H101,'1. Set Program Names'!$B$2:$D$15,3,0)*X101</f>
        <v>0.26214875132712523</v>
      </c>
      <c r="BY101">
        <f>VLOOKUP($H101,'1. Set Program Names'!$B$2:$D$15,3,0)*Y101</f>
        <v>0.25438946447557986</v>
      </c>
      <c r="BZ101">
        <f>VLOOKUP($H101,'1. Set Program Names'!$B$2:$D$15,3,0)*Z101</f>
        <v>0.24719875994481524</v>
      </c>
      <c r="CA101">
        <f>VLOOKUP($H101,'1. Set Program Names'!$B$2:$D$15,3,0)*AA101</f>
        <v>0.23977378942346012</v>
      </c>
      <c r="CB101">
        <f>VLOOKUP($H101,'1. Set Program Names'!$B$2:$D$15,3,0)*AB101</f>
        <v>0.23380313961289148</v>
      </c>
      <c r="CC101">
        <f>VLOOKUP($H101,'1. Set Program Names'!$B$2:$D$15,3,0)*AC101</f>
        <v>0.22940796244552863</v>
      </c>
      <c r="CD101">
        <f>VLOOKUP($H101,'1. Set Program Names'!$B$2:$D$15,3,0)*AD101</f>
        <v>0.22633667649160483</v>
      </c>
      <c r="CE101">
        <f>VLOOKUP($H101,'1. Set Program Names'!$B$2:$D$15,3,0)*AE101</f>
        <v>0.22432877561587072</v>
      </c>
    </row>
    <row r="102" spans="1:83" x14ac:dyDescent="0.25">
      <c r="A102" s="20" t="s">
        <v>114</v>
      </c>
      <c r="B102" s="20" t="s">
        <v>88</v>
      </c>
      <c r="C102" s="20" t="s">
        <v>89</v>
      </c>
      <c r="D102" s="20" t="s">
        <v>90</v>
      </c>
      <c r="E102" s="20" t="s">
        <v>91</v>
      </c>
      <c r="F102" s="20" t="s">
        <v>90</v>
      </c>
      <c r="G102" s="20" t="s">
        <v>92</v>
      </c>
      <c r="H102" s="20" t="s">
        <v>7</v>
      </c>
      <c r="I102" s="20" t="s">
        <v>96</v>
      </c>
      <c r="J102" s="20" t="s">
        <v>97</v>
      </c>
      <c r="K102" s="20" t="s">
        <v>98</v>
      </c>
      <c r="L102" s="20">
        <v>5868.07</v>
      </c>
      <c r="M102" s="20">
        <v>0.20813520080661799</v>
      </c>
      <c r="N102" s="20">
        <v>1.1349578069705</v>
      </c>
      <c r="O102" s="20">
        <v>1935.1666666666599</v>
      </c>
      <c r="P102" s="20">
        <v>513.45064263862798</v>
      </c>
      <c r="Q102" s="20">
        <v>1692.2011207744099</v>
      </c>
      <c r="R102" s="20">
        <v>3388.0400735263802</v>
      </c>
      <c r="S102" s="20">
        <v>7811.7411984889604</v>
      </c>
      <c r="T102" s="20">
        <v>16</v>
      </c>
      <c r="U102" s="20">
        <v>0.1</v>
      </c>
      <c r="V102" s="20">
        <v>3.2603408201456898</v>
      </c>
      <c r="W102" s="20">
        <v>3.4648876546311902</v>
      </c>
      <c r="X102" s="20">
        <v>3.6674779796284902</v>
      </c>
      <c r="Y102" s="20">
        <v>3.8743700881355001</v>
      </c>
      <c r="Z102" s="20">
        <v>4.0856020340219397</v>
      </c>
      <c r="AA102" s="20">
        <v>4.2896132949879302</v>
      </c>
      <c r="AB102" s="20">
        <v>4.5184868571976802</v>
      </c>
      <c r="AC102" s="20">
        <v>4.7815478518549499</v>
      </c>
      <c r="AD102" s="20">
        <v>5.0810366463409</v>
      </c>
      <c r="AE102" s="20">
        <v>5.4180057403734301</v>
      </c>
      <c r="AF102" t="str">
        <f t="shared" si="5"/>
        <v>Residential</v>
      </c>
      <c r="AG102" t="str">
        <f>tbl_Data_old[[#This Row],[All_Meas_Name_Append]]</f>
        <v>ASHP - CEE Tier 2: 16.8 SEER/16 SEER2; 9.0 HSPF (from elec resistance)</v>
      </c>
      <c r="AH102">
        <f>AVERAGEIFS('3. Incentive Adjustment'!G:G,'3. Incentive Adjustment'!A:A,tbl_Data_old[[#This Row],[Trimmed Sector]],'3. Incentive Adjustment'!B:B,tbl_Data_old[[#This Row],[Trimmed Measure Name]])</f>
        <v>0.9303958662075158</v>
      </c>
      <c r="AI102">
        <f>$AH102*tbl_Data_old[[#This Row],[2025 ]]</f>
        <v>3.0334076214911714</v>
      </c>
      <c r="AJ102">
        <f>$AH102*tbl_Data_old[[#This Row],[2026 ]]</f>
        <v>3.2237171507423139</v>
      </c>
      <c r="AK102">
        <f>$AH102*tbl_Data_old[[#This Row],[2027 ]]</f>
        <v>3.4122063516534391</v>
      </c>
      <c r="AL102">
        <f>$AH102*tbl_Data_old[[#This Row],[2028 ]]</f>
        <v>3.6046979141593178</v>
      </c>
      <c r="AM102">
        <f>$AH102*tbl_Data_old[[#This Row],[2029 ]]</f>
        <v>3.801227243423031</v>
      </c>
      <c r="AN102">
        <f>$AH102*tbl_Data_old[[#This Row],[2030 ]]</f>
        <v>3.9910384772855712</v>
      </c>
      <c r="AO102">
        <f>$AH102*tbl_Data_old[[#This Row],[2031 ]]</f>
        <v>4.2039814934497111</v>
      </c>
      <c r="AP102">
        <f>$AH102*tbl_Data_old[[#This Row],[2032 ]]</f>
        <v>4.4487323554392724</v>
      </c>
      <c r="AQ102">
        <f>$AH102*tbl_Data_old[[#This Row],[2033 ]]</f>
        <v>4.727375491804473</v>
      </c>
      <c r="AR102">
        <f>$AH102*tbl_Data_old[[#This Row],[2034 ]]</f>
        <v>5.0408901439320308</v>
      </c>
      <c r="AS102">
        <f>SUM(tbl_Data_old[[#This Row],[Adjusted 2025]:[Adjusted 2034]])</f>
        <v>39.487274243380327</v>
      </c>
      <c r="AT102" s="3">
        <f>AVERAGEIFS('3. Incentive Adjustment'!F:F,'3. Incentive Adjustment'!A:A,tbl_Data_old[[#This Row],[Trimmed Sector]],'3. Incentive Adjustment'!B:B,tbl_Data_old[[#This Row],[Trimmed Measure Name]])</f>
        <v>353</v>
      </c>
      <c r="AU102" s="3">
        <f>IFERROR(VLOOKUP(tbl_Data_old[[#This Row],[All_Meas_Name_Append]],'IRA Tax Credits'!$A$3:$D$46,4,0),0)</f>
        <v>0</v>
      </c>
      <c r="AV102" s="4">
        <f>tbl_Data_old[[#This Row],[Adj. per unit Incentive ($)]]/tbl_Data_old[[#This Row],[kWh Savings]]*tbl_Data_old[[#This Row],[Sum of Annuals]]</f>
        <v>2.3753990337390753</v>
      </c>
      <c r="AW102" s="4">
        <f>IFERROR(VLOOKUP(tbl_Data_old[[#This Row],[All_Programs]],'1. Set Program Names'!$B$2:$D$15,3,0)*tbl_Data_old[[#This Row],[Sum of Annuals]],"")</f>
        <v>17.080678075834523</v>
      </c>
      <c r="AX102" s="4">
        <f>tbl_Data_old[[#This Row],[per unit IRA tax ($)]]/tbl_Data_old[[#This Row],[kWh Savings]]*tbl_Data_old[[#This Row],[Sum of Annuals]]</f>
        <v>0</v>
      </c>
      <c r="AY102" s="4">
        <f>tbl_Data_old[[#This Row],[Avoided Costs ($/unit)]]/tbl_Data_old[[#This Row],[kWh Savings]]*tbl_Data_old[[#This Row],[Sum of Annuals]]</f>
        <v>22.798717045109996</v>
      </c>
      <c r="AZ102" s="4">
        <f>tbl_Data_old[[#This Row],[Lost Revenue ($/unit)]]/tbl_Data_old[[#This Row],[kWh Savings]]*tbl_Data_old[[#This Row],[Sum of Annuals]]</f>
        <v>52.566579305128627</v>
      </c>
      <c r="BA102" s="4">
        <f>tbl_Data_old[[#This Row],[Incremental Cost ($/unit)]]/tbl_Data_old[[#This Row],[kWh Savings]]*tbl_Data_old[[#This Row],[Sum of Annuals]]</f>
        <v>13.022076572589381</v>
      </c>
      <c r="BB102">
        <f>ROUNDUP(tbl_Data_old[[#This Row],[Adjusted 2025]]/$L102,0)</f>
        <v>1</v>
      </c>
      <c r="BC102">
        <f>ROUNDUP(tbl_Data_old[[#This Row],[Adjusted 2026]]/$L102,0)</f>
        <v>1</v>
      </c>
      <c r="BD102">
        <f>ROUNDUP(tbl_Data_old[[#This Row],[Adjusted 2027]]/$L102,0)</f>
        <v>1</v>
      </c>
      <c r="BE102">
        <f>ROUNDUP(tbl_Data_old[[#This Row],[Adjusted 2028]]/$L102,0)</f>
        <v>1</v>
      </c>
      <c r="BF102">
        <f>ROUNDUP(tbl_Data_old[[#This Row],[Adjusted 2029]]/$L102,0)</f>
        <v>1</v>
      </c>
      <c r="BG102">
        <f>ROUNDUP(tbl_Data_old[[#This Row],[Adjusted 2030]]/$L102,0)</f>
        <v>1</v>
      </c>
      <c r="BH102">
        <f>ROUNDUP(tbl_Data_old[[#This Row],[Adjusted 2031]]/$L102,0)</f>
        <v>1</v>
      </c>
      <c r="BI102">
        <f>ROUNDUP(tbl_Data_old[[#This Row],[Adjusted 2032]]/$L102,0)</f>
        <v>1</v>
      </c>
      <c r="BJ102">
        <f>ROUNDUP(tbl_Data_old[[#This Row],[Adjusted 2033]]/$L102,0)</f>
        <v>1</v>
      </c>
      <c r="BK102">
        <f>ROUNDUP(tbl_Data_old[[#This Row],[Adjusted 2034]]/$L102,0)</f>
        <v>1</v>
      </c>
      <c r="BL102" s="3">
        <f t="shared" ref="BL102:BU133" si="8">$AT102/$L102*V102</f>
        <v>0.19612927410740305</v>
      </c>
      <c r="BM102" s="3">
        <f t="shared" si="8"/>
        <v>0.20843400676624685</v>
      </c>
      <c r="BN102" s="3">
        <f t="shared" si="8"/>
        <v>0.22062104351326026</v>
      </c>
      <c r="BO102" s="3">
        <f t="shared" si="8"/>
        <v>0.23306685862844712</v>
      </c>
      <c r="BP102" s="3">
        <f t="shared" si="8"/>
        <v>0.24577374128286553</v>
      </c>
      <c r="BQ102" s="3">
        <f t="shared" si="7"/>
        <v>0.25804625594628888</v>
      </c>
      <c r="BR102" s="3">
        <f t="shared" si="7"/>
        <v>0.27181438881792158</v>
      </c>
      <c r="BS102" s="3">
        <f t="shared" si="7"/>
        <v>0.28763910309604307</v>
      </c>
      <c r="BT102" s="3">
        <f t="shared" si="7"/>
        <v>0.30565517046632673</v>
      </c>
      <c r="BU102" s="3">
        <f t="shared" si="7"/>
        <v>0.32592590517015319</v>
      </c>
      <c r="BV102">
        <f>VLOOKUP($H102,'1. Set Program Names'!$B$2:$D$15,3,0)*V102</f>
        <v>1.4102982045094326</v>
      </c>
      <c r="BW102">
        <f>VLOOKUP($H102,'1. Set Program Names'!$B$2:$D$15,3,0)*W102</f>
        <v>1.4987773081756863</v>
      </c>
      <c r="BX102">
        <f>VLOOKUP($H102,'1. Set Program Names'!$B$2:$D$15,3,0)*X102</f>
        <v>1.5864101009896312</v>
      </c>
      <c r="BY102">
        <f>VLOOKUP($H102,'1. Set Program Names'!$B$2:$D$15,3,0)*Y102</f>
        <v>1.6759036801123097</v>
      </c>
      <c r="BZ102">
        <f>VLOOKUP($H102,'1. Set Program Names'!$B$2:$D$15,3,0)*Z102</f>
        <v>1.7672745061860597</v>
      </c>
      <c r="CA102">
        <f>VLOOKUP($H102,'1. Set Program Names'!$B$2:$D$15,3,0)*AA102</f>
        <v>1.8555219413199073</v>
      </c>
      <c r="CB102">
        <f>VLOOKUP($H102,'1. Set Program Names'!$B$2:$D$15,3,0)*AB102</f>
        <v>1.9545238529757767</v>
      </c>
      <c r="CC102">
        <f>VLOOKUP($H102,'1. Set Program Names'!$B$2:$D$15,3,0)*AC102</f>
        <v>2.0683139347209836</v>
      </c>
      <c r="CD102">
        <f>VLOOKUP($H102,'1. Set Program Names'!$B$2:$D$15,3,0)*AD102</f>
        <v>2.1978612834289497</v>
      </c>
      <c r="CE102">
        <f>VLOOKUP($H102,'1. Set Program Names'!$B$2:$D$15,3,0)*AE102</f>
        <v>2.3436211700496408</v>
      </c>
    </row>
    <row r="103" spans="1:83" x14ac:dyDescent="0.25">
      <c r="A103" s="20" t="s">
        <v>114</v>
      </c>
      <c r="B103" s="20" t="s">
        <v>88</v>
      </c>
      <c r="C103" s="20" t="s">
        <v>89</v>
      </c>
      <c r="D103" s="20" t="s">
        <v>90</v>
      </c>
      <c r="E103" s="20" t="s">
        <v>91</v>
      </c>
      <c r="F103" s="20" t="s">
        <v>90</v>
      </c>
      <c r="G103" s="20" t="s">
        <v>92</v>
      </c>
      <c r="H103" s="20" t="s">
        <v>7</v>
      </c>
      <c r="I103" s="20" t="s">
        <v>99</v>
      </c>
      <c r="J103" s="20" t="s">
        <v>97</v>
      </c>
      <c r="K103" s="20" t="s">
        <v>98</v>
      </c>
      <c r="L103" s="20">
        <v>253.96999999999801</v>
      </c>
      <c r="M103" s="20">
        <v>0.107126245482503</v>
      </c>
      <c r="N103" s="20">
        <v>1.33192706841354E-2</v>
      </c>
      <c r="O103" s="20">
        <v>874.99999999999898</v>
      </c>
      <c r="P103" s="20">
        <v>813.468148399999</v>
      </c>
      <c r="Q103" s="20">
        <v>73.238444436258604</v>
      </c>
      <c r="R103" s="20">
        <v>185.54516688855901</v>
      </c>
      <c r="S103" s="20">
        <v>338.09206641710699</v>
      </c>
      <c r="T103" s="20">
        <v>16</v>
      </c>
      <c r="U103" s="20">
        <v>9.9999999999999895E-2</v>
      </c>
      <c r="V103" s="20">
        <v>3.5291828740087801</v>
      </c>
      <c r="W103" s="20">
        <v>3.9476814045789701</v>
      </c>
      <c r="X103" s="20">
        <v>4.3392132259002398</v>
      </c>
      <c r="Y103" s="20">
        <v>4.7145900393464197</v>
      </c>
      <c r="Z103" s="20">
        <v>5.0768863441096297</v>
      </c>
      <c r="AA103" s="20">
        <v>5.4138418052696196</v>
      </c>
      <c r="AB103" s="20">
        <v>5.7678363473070897</v>
      </c>
      <c r="AC103" s="20">
        <v>6.1534063285516201</v>
      </c>
      <c r="AD103" s="20">
        <v>6.5757030023384004</v>
      </c>
      <c r="AE103" s="20">
        <v>7.0379063481143298</v>
      </c>
      <c r="AF103" t="str">
        <f t="shared" si="5"/>
        <v>Residential</v>
      </c>
      <c r="AG103" t="str">
        <f>tbl_Data_old[[#This Row],[All_Meas_Name_Append]]</f>
        <v>ASHP - ENERGY STAR/CEE Tier 1: 16 SEER/15.2 SEER2_ 9.0 HSPF</v>
      </c>
      <c r="AH103">
        <f>AVERAGEIFS('3. Incentive Adjustment'!G:G,'3. Incentive Adjustment'!A:A,tbl_Data_old[[#This Row],[Trimmed Sector]],'3. Incentive Adjustment'!B:B,tbl_Data_old[[#This Row],[Trimmed Measure Name]])</f>
        <v>8.3636985731950567E-3</v>
      </c>
      <c r="AI103">
        <f>$AH103*tbl_Data_old[[#This Row],[2025 ]]</f>
        <v>2.9517021767891664E-2</v>
      </c>
      <c r="AJ103">
        <f>$AH103*tbl_Data_old[[#This Row],[2026 ]]</f>
        <v>3.301721733090579E-2</v>
      </c>
      <c r="AK103">
        <f>$AH103*tbl_Data_old[[#This Row],[2027 ]]</f>
        <v>3.6291871466250958E-2</v>
      </c>
      <c r="AL103">
        <f>$AH103*tbl_Data_old[[#This Row],[2028 ]]</f>
        <v>3.9431409985281274E-2</v>
      </c>
      <c r="AM103">
        <f>$AH103*tbl_Data_old[[#This Row],[2029 ]]</f>
        <v>4.2461547072503179E-2</v>
      </c>
      <c r="AN103">
        <f>$AH103*tbl_Data_old[[#This Row],[2030 ]]</f>
        <v>4.527974098223727E-2</v>
      </c>
      <c r="AO103">
        <f>$AH103*tbl_Data_old[[#This Row],[2031 ]]</f>
        <v>4.8240444628394892E-2</v>
      </c>
      <c r="AP103">
        <f>$AH103*tbl_Data_old[[#This Row],[2032 ]]</f>
        <v>5.1465235730396616E-2</v>
      </c>
      <c r="AQ103">
        <f>$AH103*tbl_Data_old[[#This Row],[2033 ]]</f>
        <v>5.4997197818412127E-2</v>
      </c>
      <c r="AR103">
        <f>$AH103*tbl_Data_old[[#This Row],[2034 ]]</f>
        <v>5.8862927282004249E-2</v>
      </c>
      <c r="AS103">
        <f>SUM(tbl_Data_old[[#This Row],[Adjusted 2025]:[Adjusted 2034]])</f>
        <v>0.43956461406427805</v>
      </c>
      <c r="AT103" s="3">
        <f>AVERAGEIFS('3. Incentive Adjustment'!F:F,'3. Incentive Adjustment'!A:A,tbl_Data_old[[#This Row],[Trimmed Sector]],'3. Incentive Adjustment'!B:B,tbl_Data_old[[#This Row],[Trimmed Measure Name]])</f>
        <v>353</v>
      </c>
      <c r="AU103" s="3">
        <f>IFERROR(VLOOKUP(tbl_Data_old[[#This Row],[All_Meas_Name_Append]],'IRA Tax Credits'!$A$3:$D$46,4,0),0)</f>
        <v>0</v>
      </c>
      <c r="AV103" s="4">
        <f>tbl_Data_old[[#This Row],[Adj. per unit Incentive ($)]]/tbl_Data_old[[#This Row],[kWh Savings]]*tbl_Data_old[[#This Row],[Sum of Annuals]]</f>
        <v>0.61096314038938204</v>
      </c>
      <c r="AW103" s="4">
        <f>IFERROR(VLOOKUP(tbl_Data_old[[#This Row],[All_Programs]],'1. Set Program Names'!$B$2:$D$15,3,0)*tbl_Data_old[[#This Row],[Sum of Annuals]],"")</f>
        <v>0.19013876774791652</v>
      </c>
      <c r="AX103" s="4">
        <f>tbl_Data_old[[#This Row],[per unit IRA tax ($)]]/tbl_Data_old[[#This Row],[kWh Savings]]*tbl_Data_old[[#This Row],[Sum of Annuals]]</f>
        <v>0</v>
      </c>
      <c r="AY103" s="4">
        <f>tbl_Data_old[[#This Row],[Avoided Costs ($/unit)]]/tbl_Data_old[[#This Row],[kWh Savings]]*tbl_Data_old[[#This Row],[Sum of Annuals]]</f>
        <v>0.32113670777990366</v>
      </c>
      <c r="AZ103" s="4">
        <f>tbl_Data_old[[#This Row],[Lost Revenue ($/unit)]]/tbl_Data_old[[#This Row],[kWh Savings]]*tbl_Data_old[[#This Row],[Sum of Annuals]]</f>
        <v>0.58516087999697231</v>
      </c>
      <c r="BA103" s="4">
        <f>tbl_Data_old[[#This Row],[Incremental Cost ($/unit)]]/tbl_Data_old[[#This Row],[kWh Savings]]*tbl_Data_old[[#This Row],[Sum of Annuals]]</f>
        <v>1.51442704770739</v>
      </c>
      <c r="BB103">
        <f>ROUNDUP(tbl_Data_old[[#This Row],[Adjusted 2025]]/$L103,0)</f>
        <v>1</v>
      </c>
      <c r="BC103">
        <f>ROUNDUP(tbl_Data_old[[#This Row],[Adjusted 2026]]/$L103,0)</f>
        <v>1</v>
      </c>
      <c r="BD103">
        <f>ROUNDUP(tbl_Data_old[[#This Row],[Adjusted 2027]]/$L103,0)</f>
        <v>1</v>
      </c>
      <c r="BE103">
        <f>ROUNDUP(tbl_Data_old[[#This Row],[Adjusted 2028]]/$L103,0)</f>
        <v>1</v>
      </c>
      <c r="BF103">
        <f>ROUNDUP(tbl_Data_old[[#This Row],[Adjusted 2029]]/$L103,0)</f>
        <v>1</v>
      </c>
      <c r="BG103">
        <f>ROUNDUP(tbl_Data_old[[#This Row],[Adjusted 2030]]/$L103,0)</f>
        <v>1</v>
      </c>
      <c r="BH103">
        <f>ROUNDUP(tbl_Data_old[[#This Row],[Adjusted 2031]]/$L103,0)</f>
        <v>1</v>
      </c>
      <c r="BI103">
        <f>ROUNDUP(tbl_Data_old[[#This Row],[Adjusted 2032]]/$L103,0)</f>
        <v>1</v>
      </c>
      <c r="BJ103">
        <f>ROUNDUP(tbl_Data_old[[#This Row],[Adjusted 2033]]/$L103,0)</f>
        <v>1</v>
      </c>
      <c r="BK103">
        <f>ROUNDUP(tbl_Data_old[[#This Row],[Adjusted 2034]]/$L103,0)</f>
        <v>1</v>
      </c>
      <c r="BL103" s="3">
        <f t="shared" si="8"/>
        <v>4.9053098969370756</v>
      </c>
      <c r="BM103" s="3">
        <f t="shared" si="8"/>
        <v>5.4869926992022187</v>
      </c>
      <c r="BN103" s="3">
        <f t="shared" si="8"/>
        <v>6.0311937187179456</v>
      </c>
      <c r="BO103" s="3">
        <f t="shared" si="8"/>
        <v>6.5529404413485812</v>
      </c>
      <c r="BP103" s="3">
        <f t="shared" si="8"/>
        <v>7.0565061994358125</v>
      </c>
      <c r="BQ103" s="3">
        <f t="shared" si="7"/>
        <v>7.5248500108681764</v>
      </c>
      <c r="BR103" s="3">
        <f t="shared" si="7"/>
        <v>8.0168769169564076</v>
      </c>
      <c r="BS103" s="3">
        <f t="shared" si="7"/>
        <v>8.5527914083503518</v>
      </c>
      <c r="BT103" s="3">
        <f t="shared" si="7"/>
        <v>9.1397533560084803</v>
      </c>
      <c r="BU103" s="3">
        <f t="shared" si="7"/>
        <v>9.7821827022261605</v>
      </c>
      <c r="BV103">
        <f>VLOOKUP($H103,'1. Set Program Names'!$B$2:$D$15,3,0)*V103</f>
        <v>1.5265889504084462</v>
      </c>
      <c r="BW103">
        <f>VLOOKUP($H103,'1. Set Program Names'!$B$2:$D$15,3,0)*W103</f>
        <v>1.7076153396147751</v>
      </c>
      <c r="BX103">
        <f>VLOOKUP($H103,'1. Set Program Names'!$B$2:$D$15,3,0)*X103</f>
        <v>1.8769769662293265</v>
      </c>
      <c r="BY103">
        <f>VLOOKUP($H103,'1. Set Program Names'!$B$2:$D$15,3,0)*Y103</f>
        <v>2.0393505569737331</v>
      </c>
      <c r="BZ103">
        <f>VLOOKUP($H103,'1. Set Program Names'!$B$2:$D$15,3,0)*Z103</f>
        <v>2.1960660221026598</v>
      </c>
      <c r="CA103">
        <f>VLOOKUP($H103,'1. Set Program Names'!$B$2:$D$15,3,0)*AA103</f>
        <v>2.3418200116663477</v>
      </c>
      <c r="CB103">
        <f>VLOOKUP($H103,'1. Set Program Names'!$B$2:$D$15,3,0)*AB103</f>
        <v>2.4949444531225251</v>
      </c>
      <c r="CC103">
        <f>VLOOKUP($H103,'1. Set Program Names'!$B$2:$D$15,3,0)*AC103</f>
        <v>2.6617272167225581</v>
      </c>
      <c r="CD103">
        <f>VLOOKUP($H103,'1. Set Program Names'!$B$2:$D$15,3,0)*AD103</f>
        <v>2.8443965367923503</v>
      </c>
      <c r="CE103">
        <f>VLOOKUP($H103,'1. Set Program Names'!$B$2:$D$15,3,0)*AE103</f>
        <v>3.044327950293138</v>
      </c>
    </row>
    <row r="104" spans="1:83" x14ac:dyDescent="0.25">
      <c r="A104" s="20" t="s">
        <v>114</v>
      </c>
      <c r="B104" s="20" t="s">
        <v>88</v>
      </c>
      <c r="C104" s="20" t="s">
        <v>89</v>
      </c>
      <c r="D104" s="20" t="s">
        <v>90</v>
      </c>
      <c r="E104" s="20" t="s">
        <v>91</v>
      </c>
      <c r="F104" s="20" t="s">
        <v>90</v>
      </c>
      <c r="G104" s="20" t="s">
        <v>92</v>
      </c>
      <c r="H104" s="20" t="s">
        <v>7</v>
      </c>
      <c r="I104" s="20" t="s">
        <v>100</v>
      </c>
      <c r="J104" s="20" t="s">
        <v>101</v>
      </c>
      <c r="K104" s="20" t="s">
        <v>102</v>
      </c>
      <c r="L104" s="20">
        <v>3443.6666666666601</v>
      </c>
      <c r="M104" s="20">
        <v>1.66949913665645</v>
      </c>
      <c r="N104" s="20">
        <v>0.25022957227107101</v>
      </c>
      <c r="O104" s="20">
        <v>1269.26999999999</v>
      </c>
      <c r="P104" s="20">
        <v>446.40188399649003</v>
      </c>
      <c r="Q104" s="20">
        <v>993.06528260685695</v>
      </c>
      <c r="R104" s="20">
        <v>3363.3816217672702</v>
      </c>
      <c r="S104" s="20">
        <v>6252.5618237134204</v>
      </c>
      <c r="T104" s="20">
        <v>30</v>
      </c>
      <c r="U104" s="20">
        <v>0.1</v>
      </c>
      <c r="V104" s="20">
        <v>0.75523368587477402</v>
      </c>
      <c r="W104" s="20">
        <v>0.73089886029625595</v>
      </c>
      <c r="X104" s="20">
        <v>0.70790992918153095</v>
      </c>
      <c r="Y104" s="20">
        <v>0.68699614164974998</v>
      </c>
      <c r="Z104" s="20">
        <v>0.66761399743299898</v>
      </c>
      <c r="AA104" s="20">
        <v>0.64759551549627103</v>
      </c>
      <c r="AB104" s="20">
        <v>0.63150161701324703</v>
      </c>
      <c r="AC104" s="20">
        <v>0.61966027576956195</v>
      </c>
      <c r="AD104" s="20">
        <v>0.61139262883156198</v>
      </c>
      <c r="AE104" s="20">
        <v>0.60599553068479095</v>
      </c>
      <c r="AF104" t="str">
        <f t="shared" si="5"/>
        <v>Residential</v>
      </c>
      <c r="AG104" t="str">
        <f>tbl_Data_old[[#This Row],[All_Meas_Name_Append]]</f>
        <v>Ceiling Insulation(R2 to R38) Residential</v>
      </c>
      <c r="AH104">
        <f>AVERAGEIFS('3. Incentive Adjustment'!G:G,'3. Incentive Adjustment'!A:A,tbl_Data_old[[#This Row],[Trimmed Sector]],'3. Incentive Adjustment'!B:B,tbl_Data_old[[#This Row],[Trimmed Measure Name]])</f>
        <v>0.80543313072084111</v>
      </c>
      <c r="AI104">
        <f>$AH104*tbl_Data_old[[#This Row],[2025 ]]</f>
        <v>0.60829023203995947</v>
      </c>
      <c r="AJ104">
        <f>$AH104*tbl_Data_old[[#This Row],[2026 ]]</f>
        <v>0.5886901572887081</v>
      </c>
      <c r="AK104">
        <f>$AH104*tbl_Data_old[[#This Row],[2027 ]]</f>
        <v>0.57017411052904943</v>
      </c>
      <c r="AL104">
        <f>$AH104*tbl_Data_old[[#This Row],[2028 ]]</f>
        <v>0.55332945316209659</v>
      </c>
      <c r="AM104">
        <f>$AH104*tbl_Data_old[[#This Row],[2029 ]]</f>
        <v>0.53771843206551595</v>
      </c>
      <c r="AN104">
        <f>$AH104*tbl_Data_old[[#This Row],[2030 ]]</f>
        <v>0.5215948834869385</v>
      </c>
      <c r="AO104">
        <f>$AH104*tbl_Data_old[[#This Row],[2031 ]]</f>
        <v>0.50863232444625317</v>
      </c>
      <c r="AP104">
        <f>$AH104*tbl_Data_old[[#This Row],[2032 ]]</f>
        <v>0.49909491589641802</v>
      </c>
      <c r="AQ104">
        <f>$AH104*tbl_Data_old[[#This Row],[2033 ]]</f>
        <v>0.49243587913945014</v>
      </c>
      <c r="AR104">
        <f>$AH104*tbl_Data_old[[#This Row],[2034 ]]</f>
        <v>0.48808887748228869</v>
      </c>
      <c r="AS104">
        <f>SUM(tbl_Data_old[[#This Row],[Adjusted 2025]:[Adjusted 2034]])</f>
        <v>5.368049265536678</v>
      </c>
      <c r="AT104" s="3">
        <f>AVERAGEIFS('3. Incentive Adjustment'!F:F,'3. Incentive Adjustment'!A:A,tbl_Data_old[[#This Row],[Trimmed Sector]],'3. Incentive Adjustment'!B:B,tbl_Data_old[[#This Row],[Trimmed Measure Name]])</f>
        <v>164</v>
      </c>
      <c r="AU104" s="3">
        <f>IFERROR(VLOOKUP(tbl_Data_old[[#This Row],[All_Meas_Name_Append]],'IRA Tax Credits'!$A$3:$D$46,4,0),0)</f>
        <v>0</v>
      </c>
      <c r="AV104" s="4">
        <f>tbl_Data_old[[#This Row],[Adj. per unit Incentive ($)]]/tbl_Data_old[[#This Row],[kWh Savings]]*tbl_Data_old[[#This Row],[Sum of Annuals]]</f>
        <v>0.25564613673836517</v>
      </c>
      <c r="AW104" s="4">
        <f>IFERROR(VLOOKUP(tbl_Data_old[[#This Row],[All_Programs]],'1. Set Program Names'!$B$2:$D$15,3,0)*tbl_Data_old[[#This Row],[Sum of Annuals]],"")</f>
        <v>2.3220119179338625</v>
      </c>
      <c r="AX104" s="4">
        <f>tbl_Data_old[[#This Row],[per unit IRA tax ($)]]/tbl_Data_old[[#This Row],[kWh Savings]]*tbl_Data_old[[#This Row],[Sum of Annuals]]</f>
        <v>0</v>
      </c>
      <c r="AY104" s="4">
        <f>tbl_Data_old[[#This Row],[Avoided Costs ($/unit)]]/tbl_Data_old[[#This Row],[kWh Savings]]*tbl_Data_old[[#This Row],[Sum of Annuals]]</f>
        <v>5.2428994998879261</v>
      </c>
      <c r="AZ104" s="4">
        <f>tbl_Data_old[[#This Row],[Lost Revenue ($/unit)]]/tbl_Data_old[[#This Row],[kWh Savings]]*tbl_Data_old[[#This Row],[Sum of Annuals]]</f>
        <v>9.7466053350617248</v>
      </c>
      <c r="BA104" s="4">
        <f>tbl_Data_old[[#This Row],[Incremental Cost ($/unit)]]/tbl_Data_old[[#This Row],[kWh Savings]]*tbl_Data_old[[#This Row],[Sum of Annuals]]</f>
        <v>1.9785608047433061</v>
      </c>
      <c r="BB104">
        <f>ROUNDUP(tbl_Data_old[[#This Row],[Adjusted 2025]]/$L104,0)</f>
        <v>1</v>
      </c>
      <c r="BC104">
        <f>ROUNDUP(tbl_Data_old[[#This Row],[Adjusted 2026]]/$L104,0)</f>
        <v>1</v>
      </c>
      <c r="BD104">
        <f>ROUNDUP(tbl_Data_old[[#This Row],[Adjusted 2027]]/$L104,0)</f>
        <v>1</v>
      </c>
      <c r="BE104">
        <f>ROUNDUP(tbl_Data_old[[#This Row],[Adjusted 2028]]/$L104,0)</f>
        <v>1</v>
      </c>
      <c r="BF104">
        <f>ROUNDUP(tbl_Data_old[[#This Row],[Adjusted 2029]]/$L104,0)</f>
        <v>1</v>
      </c>
      <c r="BG104">
        <f>ROUNDUP(tbl_Data_old[[#This Row],[Adjusted 2030]]/$L104,0)</f>
        <v>1</v>
      </c>
      <c r="BH104">
        <f>ROUNDUP(tbl_Data_old[[#This Row],[Adjusted 2031]]/$L104,0)</f>
        <v>1</v>
      </c>
      <c r="BI104">
        <f>ROUNDUP(tbl_Data_old[[#This Row],[Adjusted 2032]]/$L104,0)</f>
        <v>1</v>
      </c>
      <c r="BJ104">
        <f>ROUNDUP(tbl_Data_old[[#This Row],[Adjusted 2033]]/$L104,0)</f>
        <v>1</v>
      </c>
      <c r="BK104">
        <f>ROUNDUP(tbl_Data_old[[#This Row],[Adjusted 2034]]/$L104,0)</f>
        <v>1</v>
      </c>
      <c r="BL104" s="3">
        <f t="shared" si="8"/>
        <v>3.5966989976806647E-2</v>
      </c>
      <c r="BM104" s="3">
        <f t="shared" si="8"/>
        <v>3.4808076591400505E-2</v>
      </c>
      <c r="BN104" s="3">
        <f t="shared" si="8"/>
        <v>3.3713259622235398E-2</v>
      </c>
      <c r="BO104" s="3">
        <f t="shared" si="8"/>
        <v>3.2717268579196365E-2</v>
      </c>
      <c r="BP104" s="3">
        <f t="shared" si="8"/>
        <v>3.1794219991969422E-2</v>
      </c>
      <c r="BQ104" s="3">
        <f t="shared" si="7"/>
        <v>3.0840866675458906E-2</v>
      </c>
      <c r="BR104" s="3">
        <f t="shared" si="7"/>
        <v>3.0074416375038052E-2</v>
      </c>
      <c r="BS104" s="3">
        <f t="shared" si="7"/>
        <v>2.9510488401764113E-2</v>
      </c>
      <c r="BT104" s="3">
        <f t="shared" si="7"/>
        <v>2.9116752820165428E-2</v>
      </c>
      <c r="BU104" s="3">
        <f t="shared" si="7"/>
        <v>2.885972326947224E-2</v>
      </c>
      <c r="BV104">
        <f>VLOOKUP($H104,'1. Set Program Names'!$B$2:$D$15,3,0)*V104</f>
        <v>0.32668508291922682</v>
      </c>
      <c r="BW104">
        <f>VLOOKUP($H104,'1. Set Program Names'!$B$2:$D$15,3,0)*W104</f>
        <v>0.31615877210890464</v>
      </c>
      <c r="BX104">
        <f>VLOOKUP($H104,'1. Set Program Names'!$B$2:$D$15,3,0)*X104</f>
        <v>0.30621464354591627</v>
      </c>
      <c r="BY104">
        <f>VLOOKUP($H104,'1. Set Program Names'!$B$2:$D$15,3,0)*Y104</f>
        <v>0.29716814238771999</v>
      </c>
      <c r="BZ104">
        <f>VLOOKUP($H104,'1. Set Program Names'!$B$2:$D$15,3,0)*Z104</f>
        <v>0.28878417129502754</v>
      </c>
      <c r="CA104">
        <f>VLOOKUP($H104,'1. Set Program Names'!$B$2:$D$15,3,0)*AA104</f>
        <v>0.28012494494730161</v>
      </c>
      <c r="CB104">
        <f>VLOOKUP($H104,'1. Set Program Names'!$B$2:$D$15,3,0)*AB104</f>
        <v>0.27316334265286674</v>
      </c>
      <c r="CC104">
        <f>VLOOKUP($H104,'1. Set Program Names'!$B$2:$D$15,3,0)*AC104</f>
        <v>0.26804123327345336</v>
      </c>
      <c r="CD104">
        <f>VLOOKUP($H104,'1. Set Program Names'!$B$2:$D$15,3,0)*AD104</f>
        <v>0.26446496678004477</v>
      </c>
      <c r="CE104">
        <f>VLOOKUP($H104,'1. Set Program Names'!$B$2:$D$15,3,0)*AE104</f>
        <v>0.26213038943189743</v>
      </c>
    </row>
    <row r="105" spans="1:83" x14ac:dyDescent="0.25">
      <c r="A105" s="20" t="s">
        <v>114</v>
      </c>
      <c r="B105" s="20" t="s">
        <v>88</v>
      </c>
      <c r="C105" s="20" t="s">
        <v>89</v>
      </c>
      <c r="D105" s="20" t="s">
        <v>90</v>
      </c>
      <c r="E105" s="20" t="s">
        <v>91</v>
      </c>
      <c r="F105" s="20" t="s">
        <v>90</v>
      </c>
      <c r="G105" s="20" t="s">
        <v>92</v>
      </c>
      <c r="H105" s="20" t="s">
        <v>7</v>
      </c>
      <c r="I105" s="20" t="s">
        <v>103</v>
      </c>
      <c r="J105" s="20" t="s">
        <v>101</v>
      </c>
      <c r="K105" s="20" t="s">
        <v>102</v>
      </c>
      <c r="L105" s="20">
        <v>3523.57666666666</v>
      </c>
      <c r="M105" s="20">
        <v>1.7070465614975301</v>
      </c>
      <c r="N105" s="20">
        <v>0.25623328618049002</v>
      </c>
      <c r="O105" s="20">
        <v>1306.5999999999899</v>
      </c>
      <c r="P105" s="20">
        <v>465.31519597206898</v>
      </c>
      <c r="Q105" s="20">
        <v>1016.10928030304</v>
      </c>
      <c r="R105" s="20">
        <v>3440.61303289528</v>
      </c>
      <c r="S105" s="20">
        <v>6397.6520033667803</v>
      </c>
      <c r="T105" s="20">
        <v>30</v>
      </c>
      <c r="U105" s="20">
        <v>0.1</v>
      </c>
      <c r="V105" s="20">
        <v>0.77298052696743902</v>
      </c>
      <c r="W105" s="20">
        <v>0.74812070369099903</v>
      </c>
      <c r="X105" s="20">
        <v>0.72463377213648095</v>
      </c>
      <c r="Y105" s="20">
        <v>0.70326666598690102</v>
      </c>
      <c r="Z105" s="20">
        <v>0.68346350732948502</v>
      </c>
      <c r="AA105" s="20">
        <v>0.66300513969489705</v>
      </c>
      <c r="AB105" s="20">
        <v>0.64656130462877903</v>
      </c>
      <c r="AC105" s="20">
        <v>0.63446856310369804</v>
      </c>
      <c r="AD105" s="20">
        <v>0.62603254140771503</v>
      </c>
      <c r="AE105" s="20">
        <v>0.62053382164776105</v>
      </c>
      <c r="AF105" t="str">
        <f t="shared" si="5"/>
        <v>Residential</v>
      </c>
      <c r="AG105" t="str">
        <f>tbl_Data_old[[#This Row],[All_Meas_Name_Append]]</f>
        <v>Ceiling Insulation(R2 to R49) Residential</v>
      </c>
      <c r="AH105">
        <f>AVERAGEIFS('3. Incentive Adjustment'!G:G,'3. Incentive Adjustment'!A:A,tbl_Data_old[[#This Row],[Trimmed Sector]],'3. Incentive Adjustment'!B:B,tbl_Data_old[[#This Row],[Trimmed Measure Name]])</f>
        <v>0.79801279130038982</v>
      </c>
      <c r="AI105">
        <f>$AH105*tbl_Data_old[[#This Row],[2025 ]]</f>
        <v>0.6168483479461323</v>
      </c>
      <c r="AJ105">
        <f>$AH105*tbl_Data_old[[#This Row],[2026 ]]</f>
        <v>0.59700989098206603</v>
      </c>
      <c r="AK105">
        <f>$AH105*tbl_Data_old[[#This Row],[2027 ]]</f>
        <v>0.57826701917316381</v>
      </c>
      <c r="AL105">
        <f>$AH105*tbl_Data_old[[#This Row],[2028 ]]</f>
        <v>0.56121579515272579</v>
      </c>
      <c r="AM105">
        <f>$AH105*tbl_Data_old[[#This Row],[2029 ]]</f>
        <v>0.5454126212359568</v>
      </c>
      <c r="AN105">
        <f>$AH105*tbl_Data_old[[#This Row],[2030 ]]</f>
        <v>0.52908658217442972</v>
      </c>
      <c r="AO105">
        <f>$AH105*tbl_Data_old[[#This Row],[2031 ]]</f>
        <v>0.51596419145363359</v>
      </c>
      <c r="AP105">
        <f>$AH105*tbl_Data_old[[#This Row],[2032 ]]</f>
        <v>0.50631402903472955</v>
      </c>
      <c r="AQ105">
        <f>$AH105*tbl_Data_old[[#This Row],[2033 ]]</f>
        <v>0.49958197581364755</v>
      </c>
      <c r="AR105">
        <f>$AH105*tbl_Data_old[[#This Row],[2034 ]]</f>
        <v>0.49519392710942806</v>
      </c>
      <c r="AS105">
        <f>SUM(tbl_Data_old[[#This Row],[Adjusted 2025]:[Adjusted 2034]])</f>
        <v>5.4448943800759135</v>
      </c>
      <c r="AT105" s="3">
        <f>AVERAGEIFS('3. Incentive Adjustment'!F:F,'3. Incentive Adjustment'!A:A,tbl_Data_old[[#This Row],[Trimmed Sector]],'3. Incentive Adjustment'!B:B,tbl_Data_old[[#This Row],[Trimmed Measure Name]])</f>
        <v>164</v>
      </c>
      <c r="AU105" s="3">
        <f>IFERROR(VLOOKUP(tbl_Data_old[[#This Row],[All_Meas_Name_Append]],'IRA Tax Credits'!$A$3:$D$46,4,0),0)</f>
        <v>0</v>
      </c>
      <c r="AV105" s="4">
        <f>tbl_Data_old[[#This Row],[Adj. per unit Incentive ($)]]/tbl_Data_old[[#This Row],[kWh Savings]]*tbl_Data_old[[#This Row],[Sum of Annuals]]</f>
        <v>0.25342507423776356</v>
      </c>
      <c r="AW105" s="4">
        <f>IFERROR(VLOOKUP(tbl_Data_old[[#This Row],[All_Programs]],'1. Set Program Names'!$B$2:$D$15,3,0)*tbl_Data_old[[#This Row],[Sum of Annuals]],"")</f>
        <v>2.355252162754391</v>
      </c>
      <c r="AX105" s="4">
        <f>tbl_Data_old[[#This Row],[per unit IRA tax ($)]]/tbl_Data_old[[#This Row],[kWh Savings]]*tbl_Data_old[[#This Row],[Sum of Annuals]]</f>
        <v>0</v>
      </c>
      <c r="AY105" s="4">
        <f>tbl_Data_old[[#This Row],[Avoided Costs ($/unit)]]/tbl_Data_old[[#This Row],[kWh Savings]]*tbl_Data_old[[#This Row],[Sum of Annuals]]</f>
        <v>5.3166927639323367</v>
      </c>
      <c r="AZ105" s="4">
        <f>tbl_Data_old[[#This Row],[Lost Revenue ($/unit)]]/tbl_Data_old[[#This Row],[kWh Savings]]*tbl_Data_old[[#This Row],[Sum of Annuals]]</f>
        <v>9.8861306945158738</v>
      </c>
      <c r="BA105" s="4">
        <f>tbl_Data_old[[#This Row],[Incremental Cost ($/unit)]]/tbl_Data_old[[#This Row],[kWh Savings]]*tbl_Data_old[[#This Row],[Sum of Annuals]]</f>
        <v>2.0190561097503616</v>
      </c>
      <c r="BB105">
        <f>ROUNDUP(tbl_Data_old[[#This Row],[Adjusted 2025]]/$L105,0)</f>
        <v>1</v>
      </c>
      <c r="BC105">
        <f>ROUNDUP(tbl_Data_old[[#This Row],[Adjusted 2026]]/$L105,0)</f>
        <v>1</v>
      </c>
      <c r="BD105">
        <f>ROUNDUP(tbl_Data_old[[#This Row],[Adjusted 2027]]/$L105,0)</f>
        <v>1</v>
      </c>
      <c r="BE105">
        <f>ROUNDUP(tbl_Data_old[[#This Row],[Adjusted 2028]]/$L105,0)</f>
        <v>1</v>
      </c>
      <c r="BF105">
        <f>ROUNDUP(tbl_Data_old[[#This Row],[Adjusted 2029]]/$L105,0)</f>
        <v>1</v>
      </c>
      <c r="BG105">
        <f>ROUNDUP(tbl_Data_old[[#This Row],[Adjusted 2030]]/$L105,0)</f>
        <v>1</v>
      </c>
      <c r="BH105">
        <f>ROUNDUP(tbl_Data_old[[#This Row],[Adjusted 2031]]/$L105,0)</f>
        <v>1</v>
      </c>
      <c r="BI105">
        <f>ROUNDUP(tbl_Data_old[[#This Row],[Adjusted 2032]]/$L105,0)</f>
        <v>1</v>
      </c>
      <c r="BJ105">
        <f>ROUNDUP(tbl_Data_old[[#This Row],[Adjusted 2033]]/$L105,0)</f>
        <v>1</v>
      </c>
      <c r="BK105">
        <f>ROUNDUP(tbl_Data_old[[#This Row],[Adjusted 2034]]/$L105,0)</f>
        <v>1</v>
      </c>
      <c r="BL105" s="3">
        <f t="shared" si="8"/>
        <v>3.5977308971847803E-2</v>
      </c>
      <c r="BM105" s="3">
        <f t="shared" si="8"/>
        <v>3.4820242898642974E-2</v>
      </c>
      <c r="BN105" s="3">
        <f t="shared" si="8"/>
        <v>3.3727076170817841E-2</v>
      </c>
      <c r="BO105" s="3">
        <f t="shared" si="8"/>
        <v>3.2732573783036359E-2</v>
      </c>
      <c r="BP105" s="3">
        <f t="shared" si="8"/>
        <v>3.1810863167076188E-2</v>
      </c>
      <c r="BQ105" s="3">
        <f t="shared" si="7"/>
        <v>3.0858656755956303E-2</v>
      </c>
      <c r="BR105" s="3">
        <f t="shared" si="7"/>
        <v>3.0093301207897646E-2</v>
      </c>
      <c r="BS105" s="3">
        <f t="shared" si="7"/>
        <v>2.9530461287632929E-2</v>
      </c>
      <c r="BT105" s="3">
        <f t="shared" si="7"/>
        <v>2.9137818331619138E-2</v>
      </c>
      <c r="BU105" s="3">
        <f t="shared" si="7"/>
        <v>2.8881888029558888E-2</v>
      </c>
      <c r="BV105">
        <f>VLOOKUP($H105,'1. Set Program Names'!$B$2:$D$15,3,0)*V105</f>
        <v>0.33436168469473726</v>
      </c>
      <c r="BW105">
        <f>VLOOKUP($H105,'1. Set Program Names'!$B$2:$D$15,3,0)*W105</f>
        <v>0.32360828004619552</v>
      </c>
      <c r="BX105">
        <f>VLOOKUP($H105,'1. Set Program Names'!$B$2:$D$15,3,0)*X105</f>
        <v>0.31344873562185138</v>
      </c>
      <c r="BY105">
        <f>VLOOKUP($H105,'1. Set Program Names'!$B$2:$D$15,3,0)*Y105</f>
        <v>0.30420614624220227</v>
      </c>
      <c r="BZ105">
        <f>VLOOKUP($H105,'1. Set Program Names'!$B$2:$D$15,3,0)*Z105</f>
        <v>0.29564006047423608</v>
      </c>
      <c r="CA105">
        <f>VLOOKUP($H105,'1. Set Program Names'!$B$2:$D$15,3,0)*AA105</f>
        <v>0.28679055647024543</v>
      </c>
      <c r="CB105">
        <f>VLOOKUP($H105,'1. Set Program Names'!$B$2:$D$15,3,0)*AB105</f>
        <v>0.27967758505152146</v>
      </c>
      <c r="CC105">
        <f>VLOOKUP($H105,'1. Set Program Names'!$B$2:$D$15,3,0)*AC105</f>
        <v>0.27444672956701527</v>
      </c>
      <c r="CD105">
        <f>VLOOKUP($H105,'1. Set Program Names'!$B$2:$D$15,3,0)*AD105</f>
        <v>0.27079763062081497</v>
      </c>
      <c r="CE105">
        <f>VLOOKUP($H105,'1. Set Program Names'!$B$2:$D$15,3,0)*AE105</f>
        <v>0.26841909566623406</v>
      </c>
    </row>
    <row r="106" spans="1:83" x14ac:dyDescent="0.25">
      <c r="A106" s="20" t="s">
        <v>114</v>
      </c>
      <c r="B106" s="20" t="s">
        <v>88</v>
      </c>
      <c r="C106" s="20" t="s">
        <v>89</v>
      </c>
      <c r="D106" s="20" t="s">
        <v>90</v>
      </c>
      <c r="E106" s="20" t="s">
        <v>91</v>
      </c>
      <c r="F106" s="20" t="s">
        <v>90</v>
      </c>
      <c r="G106" s="20" t="s">
        <v>92</v>
      </c>
      <c r="H106" s="20" t="s">
        <v>7</v>
      </c>
      <c r="I106" s="20" t="s">
        <v>296</v>
      </c>
      <c r="J106" s="20" t="s">
        <v>97</v>
      </c>
      <c r="K106" s="20" t="s">
        <v>102</v>
      </c>
      <c r="L106" s="20">
        <v>936.45</v>
      </c>
      <c r="M106" s="20">
        <v>0.42562333070119601</v>
      </c>
      <c r="N106" s="20">
        <v>3.9115067461125599E-2</v>
      </c>
      <c r="O106" s="53">
        <v>685.00999995999996</v>
      </c>
      <c r="P106" s="20">
        <v>458.12689399999903</v>
      </c>
      <c r="Q106" s="20">
        <v>270.04819975719403</v>
      </c>
      <c r="R106" s="20">
        <v>763.90764278946904</v>
      </c>
      <c r="S106" s="20">
        <v>1415.5155729468199</v>
      </c>
      <c r="T106" s="20">
        <v>20</v>
      </c>
      <c r="U106" s="20">
        <v>0.1</v>
      </c>
      <c r="V106" s="20">
        <v>4.1284377578209099</v>
      </c>
      <c r="W106" s="20">
        <v>3.9956553351636499</v>
      </c>
      <c r="X106" s="20">
        <v>3.8702062026737498</v>
      </c>
      <c r="Y106" s="20">
        <v>3.7560795928464099</v>
      </c>
      <c r="Z106" s="20">
        <v>3.6503065333962899</v>
      </c>
      <c r="AA106" s="20">
        <v>3.5410346949945302</v>
      </c>
      <c r="AB106" s="20">
        <v>3.45320458522465</v>
      </c>
      <c r="AC106" s="20">
        <v>3.3886136081782898</v>
      </c>
      <c r="AD106" s="20">
        <v>3.34355308679091</v>
      </c>
      <c r="AE106" s="20">
        <v>3.3141806163114702</v>
      </c>
      <c r="AF106" t="str">
        <f t="shared" si="5"/>
        <v>Residential</v>
      </c>
      <c r="AG106" t="str">
        <f>tbl_Data_old[[#This Row],[All_Meas_Name_Append]]</f>
        <v>Duct Repair</v>
      </c>
      <c r="AH106">
        <f>AVERAGEIFS('3. Incentive Adjustment'!G:G,'3. Incentive Adjustment'!A:A,tbl_Data_old[[#This Row],[Trimmed Sector]],'3. Incentive Adjustment'!B:B,tbl_Data_old[[#This Row],[Trimmed Measure Name]])</f>
        <v>0.36456477469769399</v>
      </c>
      <c r="AI106">
        <f>$AH106*tbl_Data_old[[#This Row],[2025 ]]</f>
        <v>1.505082981033433</v>
      </c>
      <c r="AJ106">
        <f>$AH106*tbl_Data_old[[#This Row],[2026 ]]</f>
        <v>1.456675187033575</v>
      </c>
      <c r="AK106">
        <f>$AH106*tbl_Data_old[[#This Row],[2027 ]]</f>
        <v>1.4109408523113733</v>
      </c>
      <c r="AL106">
        <f>$AH106*tbl_Data_old[[#This Row],[2028 ]]</f>
        <v>1.3693343105126576</v>
      </c>
      <c r="AM106">
        <f>$AH106*tbl_Data_old[[#This Row],[2029 ]]</f>
        <v>1.3307731789251389</v>
      </c>
      <c r="AN106">
        <f>$AH106*tbl_Data_old[[#This Row],[2030 ]]</f>
        <v>1.2909365157773984</v>
      </c>
      <c r="AO106">
        <f>$AH106*tbl_Data_old[[#This Row],[2031 ]]</f>
        <v>1.2589167515974684</v>
      </c>
      <c r="AP106">
        <f>$AH106*tbl_Data_old[[#This Row],[2032 ]]</f>
        <v>1.2353691566030582</v>
      </c>
      <c r="AQ106">
        <f>$AH106*tbl_Data_old[[#This Row],[2033 ]]</f>
        <v>1.2189416777757074</v>
      </c>
      <c r="AR106">
        <f>$AH106*tbl_Data_old[[#This Row],[2034 ]]</f>
        <v>1.2082335096930557</v>
      </c>
      <c r="AS106">
        <f>SUM(tbl_Data_old[[#This Row],[Adjusted 2025]:[Adjusted 2034]])</f>
        <v>13.285204121262865</v>
      </c>
      <c r="AT106" s="3">
        <f>AVERAGEIFS('3. Incentive Adjustment'!F:F,'3. Incentive Adjustment'!A:A,tbl_Data_old[[#This Row],[Trimmed Sector]],'3. Incentive Adjustment'!B:B,tbl_Data_old[[#This Row],[Trimmed Measure Name]])</f>
        <v>100</v>
      </c>
      <c r="AU106" s="3">
        <f>IFERROR(VLOOKUP(tbl_Data_old[[#This Row],[All_Meas_Name_Append]],'IRA Tax Credits'!$A$3:$D$46,4,0),0)</f>
        <v>0</v>
      </c>
      <c r="AV106" s="4">
        <f>tbl_Data_old[[#This Row],[Adj. per unit Incentive ($)]]/tbl_Data_old[[#This Row],[kWh Savings]]*tbl_Data_old[[#This Row],[Sum of Annuals]]</f>
        <v>1.418677358242604</v>
      </c>
      <c r="AW106" s="4">
        <f>IFERROR(VLOOKUP(tbl_Data_old[[#This Row],[All_Programs]],'1. Set Program Names'!$B$2:$D$15,3,0)*tbl_Data_old[[#This Row],[Sum of Annuals]],"")</f>
        <v>5.7466689994456166</v>
      </c>
      <c r="AX106" s="4">
        <f>tbl_Data_old[[#This Row],[per unit IRA tax ($)]]/tbl_Data_old[[#This Row],[kWh Savings]]*tbl_Data_old[[#This Row],[Sum of Annuals]]</f>
        <v>0</v>
      </c>
      <c r="AY106" s="4">
        <f>tbl_Data_old[[#This Row],[Avoided Costs ($/unit)]]/tbl_Data_old[[#This Row],[kWh Savings]]*tbl_Data_old[[#This Row],[Sum of Annuals]]</f>
        <v>10.837384766138987</v>
      </c>
      <c r="AZ106" s="4">
        <f>tbl_Data_old[[#This Row],[Lost Revenue ($/unit)]]/tbl_Data_old[[#This Row],[kWh Savings]]*tbl_Data_old[[#This Row],[Sum of Annuals]]</f>
        <v>20.081598935794606</v>
      </c>
      <c r="BA106" s="4">
        <f>tbl_Data_old[[#This Row],[Incremental Cost ($/unit)]]/tbl_Data_old[[#This Row],[kWh Savings]]*tbl_Data_old[[#This Row],[Sum of Annuals]]</f>
        <v>9.7180817711301888</v>
      </c>
      <c r="BB106">
        <f>ROUNDUP(tbl_Data_old[[#This Row],[Adjusted 2025]]/$L106,0)</f>
        <v>1</v>
      </c>
      <c r="BC106">
        <f>ROUNDUP(tbl_Data_old[[#This Row],[Adjusted 2026]]/$L106,0)</f>
        <v>1</v>
      </c>
      <c r="BD106">
        <f>ROUNDUP(tbl_Data_old[[#This Row],[Adjusted 2027]]/$L106,0)</f>
        <v>1</v>
      </c>
      <c r="BE106">
        <f>ROUNDUP(tbl_Data_old[[#This Row],[Adjusted 2028]]/$L106,0)</f>
        <v>1</v>
      </c>
      <c r="BF106">
        <f>ROUNDUP(tbl_Data_old[[#This Row],[Adjusted 2029]]/$L106,0)</f>
        <v>1</v>
      </c>
      <c r="BG106">
        <f>ROUNDUP(tbl_Data_old[[#This Row],[Adjusted 2030]]/$L106,0)</f>
        <v>1</v>
      </c>
      <c r="BH106">
        <f>ROUNDUP(tbl_Data_old[[#This Row],[Adjusted 2031]]/$L106,0)</f>
        <v>1</v>
      </c>
      <c r="BI106">
        <f>ROUNDUP(tbl_Data_old[[#This Row],[Adjusted 2032]]/$L106,0)</f>
        <v>1</v>
      </c>
      <c r="BJ106">
        <f>ROUNDUP(tbl_Data_old[[#This Row],[Adjusted 2033]]/$L106,0)</f>
        <v>1</v>
      </c>
      <c r="BK106">
        <f>ROUNDUP(tbl_Data_old[[#This Row],[Adjusted 2034]]/$L106,0)</f>
        <v>1</v>
      </c>
      <c r="BL106" s="3">
        <f t="shared" si="8"/>
        <v>0.44086045788038974</v>
      </c>
      <c r="BM106" s="3">
        <f t="shared" si="8"/>
        <v>0.42668111860362534</v>
      </c>
      <c r="BN106" s="3">
        <f t="shared" si="8"/>
        <v>0.4132848740107587</v>
      </c>
      <c r="BO106" s="3">
        <f t="shared" si="8"/>
        <v>0.40109771934928823</v>
      </c>
      <c r="BP106" s="3">
        <f t="shared" si="8"/>
        <v>0.38980260915118692</v>
      </c>
      <c r="BQ106" s="3">
        <f t="shared" si="7"/>
        <v>0.37813387740878102</v>
      </c>
      <c r="BR106" s="3">
        <f t="shared" si="7"/>
        <v>0.3687548278311335</v>
      </c>
      <c r="BS106" s="3">
        <f t="shared" si="7"/>
        <v>0.36185739849199527</v>
      </c>
      <c r="BT106" s="3">
        <f t="shared" si="7"/>
        <v>0.35704555361107476</v>
      </c>
      <c r="BU106" s="3">
        <f t="shared" si="7"/>
        <v>0.35390897712760638</v>
      </c>
      <c r="BV106">
        <f>VLOOKUP($H106,'1. Set Program Names'!$B$2:$D$15,3,0)*V106</f>
        <v>1.7858035949209763</v>
      </c>
      <c r="BW106">
        <f>VLOOKUP($H106,'1. Set Program Names'!$B$2:$D$15,3,0)*W106</f>
        <v>1.7283670192394258</v>
      </c>
      <c r="BX106">
        <f>VLOOKUP($H106,'1. Set Program Names'!$B$2:$D$15,3,0)*X106</f>
        <v>1.6741025432022651</v>
      </c>
      <c r="BY106">
        <f>VLOOKUP($H106,'1. Set Program Names'!$B$2:$D$15,3,0)*Y106</f>
        <v>1.6247357555548763</v>
      </c>
      <c r="BZ106">
        <f>VLOOKUP($H106,'1. Set Program Names'!$B$2:$D$15,3,0)*Z106</f>
        <v>1.5789823929290303</v>
      </c>
      <c r="CA106">
        <f>VLOOKUP($H106,'1. Set Program Names'!$B$2:$D$15,3,0)*AA106</f>
        <v>1.5317155929217354</v>
      </c>
      <c r="CB106">
        <f>VLOOKUP($H106,'1. Set Program Names'!$B$2:$D$15,3,0)*AB106</f>
        <v>1.4937236611135776</v>
      </c>
      <c r="CC106">
        <f>VLOOKUP($H106,'1. Set Program Names'!$B$2:$D$15,3,0)*AC106</f>
        <v>1.4657840854737765</v>
      </c>
      <c r="CD106">
        <f>VLOOKUP($H106,'1. Set Program Names'!$B$2:$D$15,3,0)*AD106</f>
        <v>1.4462926347597247</v>
      </c>
      <c r="CE106">
        <f>VLOOKUP($H106,'1. Set Program Names'!$B$2:$D$15,3,0)*AE106</f>
        <v>1.4335872322683039</v>
      </c>
    </row>
    <row r="107" spans="1:83" x14ac:dyDescent="0.25">
      <c r="A107" s="20" t="s">
        <v>114</v>
      </c>
      <c r="B107" s="20" t="s">
        <v>88</v>
      </c>
      <c r="C107" s="20" t="s">
        <v>89</v>
      </c>
      <c r="D107" s="20" t="s">
        <v>90</v>
      </c>
      <c r="E107" s="20" t="s">
        <v>91</v>
      </c>
      <c r="F107" s="20" t="s">
        <v>90</v>
      </c>
      <c r="G107" s="20" t="s">
        <v>92</v>
      </c>
      <c r="H107" s="20" t="s">
        <v>7</v>
      </c>
      <c r="I107" s="20" t="s">
        <v>297</v>
      </c>
      <c r="J107" s="20" t="s">
        <v>97</v>
      </c>
      <c r="K107" s="20" t="s">
        <v>298</v>
      </c>
      <c r="L107" s="20">
        <v>57.93</v>
      </c>
      <c r="M107" s="20">
        <v>0</v>
      </c>
      <c r="N107" s="20">
        <v>1.1014721785810099E-2</v>
      </c>
      <c r="O107" s="53">
        <v>154.1011072</v>
      </c>
      <c r="P107" s="20">
        <v>140.06582681793901</v>
      </c>
      <c r="Q107" s="20">
        <v>16.705528551374101</v>
      </c>
      <c r="R107" s="20">
        <v>46.999759951794701</v>
      </c>
      <c r="S107" s="20">
        <v>87.565611768711094</v>
      </c>
      <c r="T107" s="20">
        <v>20</v>
      </c>
      <c r="U107" s="20">
        <v>0.2</v>
      </c>
      <c r="V107" s="20">
        <v>0</v>
      </c>
      <c r="W107" s="20">
        <v>0</v>
      </c>
      <c r="X107" s="20">
        <v>0</v>
      </c>
      <c r="Y107" s="20">
        <v>0</v>
      </c>
      <c r="Z107" s="20">
        <v>0</v>
      </c>
      <c r="AA107" s="20">
        <v>0</v>
      </c>
      <c r="AB107" s="20">
        <v>0</v>
      </c>
      <c r="AC107" s="20">
        <v>0</v>
      </c>
      <c r="AD107" s="20">
        <v>0</v>
      </c>
      <c r="AE107" s="20">
        <v>0</v>
      </c>
      <c r="AF107" t="str">
        <f t="shared" si="5"/>
        <v>Residential</v>
      </c>
      <c r="AG107" t="str">
        <f>tbl_Data_old[[#This Row],[All_Meas_Name_Append]]</f>
        <v>Energy Star Windows Residential</v>
      </c>
      <c r="AH107">
        <f>AVERAGEIFS('3. Incentive Adjustment'!G:G,'3. Incentive Adjustment'!A:A,tbl_Data_old[[#This Row],[Trimmed Sector]],'3. Incentive Adjustment'!B:B,tbl_Data_old[[#This Row],[Trimmed Measure Name]])</f>
        <v>1.5721893920937398</v>
      </c>
      <c r="AI107">
        <f>$AH107*tbl_Data_old[[#This Row],[2025 ]]</f>
        <v>0</v>
      </c>
      <c r="AJ107">
        <f>$AH107*tbl_Data_old[[#This Row],[2026 ]]</f>
        <v>0</v>
      </c>
      <c r="AK107">
        <f>$AH107*tbl_Data_old[[#This Row],[2027 ]]</f>
        <v>0</v>
      </c>
      <c r="AL107">
        <f>$AH107*tbl_Data_old[[#This Row],[2028 ]]</f>
        <v>0</v>
      </c>
      <c r="AM107">
        <f>$AH107*tbl_Data_old[[#This Row],[2029 ]]</f>
        <v>0</v>
      </c>
      <c r="AN107">
        <f>$AH107*tbl_Data_old[[#This Row],[2030 ]]</f>
        <v>0</v>
      </c>
      <c r="AO107">
        <f>$AH107*tbl_Data_old[[#This Row],[2031 ]]</f>
        <v>0</v>
      </c>
      <c r="AP107">
        <f>$AH107*tbl_Data_old[[#This Row],[2032 ]]</f>
        <v>0</v>
      </c>
      <c r="AQ107">
        <f>$AH107*tbl_Data_old[[#This Row],[2033 ]]</f>
        <v>0</v>
      </c>
      <c r="AR107">
        <f>$AH107*tbl_Data_old[[#This Row],[2034 ]]</f>
        <v>0</v>
      </c>
      <c r="AS107">
        <f>SUM(tbl_Data_old[[#This Row],[Adjusted 2025]:[Adjusted 2034]])</f>
        <v>0</v>
      </c>
      <c r="AT107" s="3">
        <f>AVERAGEIFS('3. Incentive Adjustment'!F:F,'3. Incentive Adjustment'!A:A,tbl_Data_old[[#This Row],[Trimmed Sector]],'3. Incentive Adjustment'!B:B,tbl_Data_old[[#This Row],[Trimmed Measure Name]])</f>
        <v>150</v>
      </c>
      <c r="AU107" s="3">
        <f>IFERROR(VLOOKUP(tbl_Data_old[[#This Row],[All_Meas_Name_Append]],'IRA Tax Credits'!$A$3:$D$46,4,0),0)</f>
        <v>0</v>
      </c>
      <c r="AV107" s="4">
        <f>tbl_Data_old[[#This Row],[Adj. per unit Incentive ($)]]/tbl_Data_old[[#This Row],[kWh Savings]]*tbl_Data_old[[#This Row],[Sum of Annuals]]</f>
        <v>0</v>
      </c>
      <c r="AW107" s="4">
        <f>IFERROR(VLOOKUP(tbl_Data_old[[#This Row],[All_Programs]],'1. Set Program Names'!$B$2:$D$15,3,0)*tbl_Data_old[[#This Row],[Sum of Annuals]],"")</f>
        <v>0</v>
      </c>
      <c r="AX107" s="4">
        <f>tbl_Data_old[[#This Row],[per unit IRA tax ($)]]/tbl_Data_old[[#This Row],[kWh Savings]]*tbl_Data_old[[#This Row],[Sum of Annuals]]</f>
        <v>0</v>
      </c>
      <c r="AY107" s="4">
        <f>tbl_Data_old[[#This Row],[Avoided Costs ($/unit)]]/tbl_Data_old[[#This Row],[kWh Savings]]*tbl_Data_old[[#This Row],[Sum of Annuals]]</f>
        <v>0</v>
      </c>
      <c r="AZ107" s="4">
        <f>tbl_Data_old[[#This Row],[Lost Revenue ($/unit)]]/tbl_Data_old[[#This Row],[kWh Savings]]*tbl_Data_old[[#This Row],[Sum of Annuals]]</f>
        <v>0</v>
      </c>
      <c r="BA107" s="4">
        <f>tbl_Data_old[[#This Row],[Incremental Cost ($/unit)]]/tbl_Data_old[[#This Row],[kWh Savings]]*tbl_Data_old[[#This Row],[Sum of Annuals]]</f>
        <v>0</v>
      </c>
      <c r="BB107">
        <f>ROUNDUP(tbl_Data_old[[#This Row],[Adjusted 2025]]/$L107,0)</f>
        <v>0</v>
      </c>
      <c r="BC107">
        <f>ROUNDUP(tbl_Data_old[[#This Row],[Adjusted 2026]]/$L107,0)</f>
        <v>0</v>
      </c>
      <c r="BD107">
        <f>ROUNDUP(tbl_Data_old[[#This Row],[Adjusted 2027]]/$L107,0)</f>
        <v>0</v>
      </c>
      <c r="BE107">
        <f>ROUNDUP(tbl_Data_old[[#This Row],[Adjusted 2028]]/$L107,0)</f>
        <v>0</v>
      </c>
      <c r="BF107">
        <f>ROUNDUP(tbl_Data_old[[#This Row],[Adjusted 2029]]/$L107,0)</f>
        <v>0</v>
      </c>
      <c r="BG107">
        <f>ROUNDUP(tbl_Data_old[[#This Row],[Adjusted 2030]]/$L107,0)</f>
        <v>0</v>
      </c>
      <c r="BH107">
        <f>ROUNDUP(tbl_Data_old[[#This Row],[Adjusted 2031]]/$L107,0)</f>
        <v>0</v>
      </c>
      <c r="BI107">
        <f>ROUNDUP(tbl_Data_old[[#This Row],[Adjusted 2032]]/$L107,0)</f>
        <v>0</v>
      </c>
      <c r="BJ107">
        <f>ROUNDUP(tbl_Data_old[[#This Row],[Adjusted 2033]]/$L107,0)</f>
        <v>0</v>
      </c>
      <c r="BK107">
        <f>ROUNDUP(tbl_Data_old[[#This Row],[Adjusted 2034]]/$L107,0)</f>
        <v>0</v>
      </c>
      <c r="BL107" s="3">
        <f t="shared" si="8"/>
        <v>0</v>
      </c>
      <c r="BM107" s="3">
        <f t="shared" si="8"/>
        <v>0</v>
      </c>
      <c r="BN107" s="3">
        <f t="shared" si="8"/>
        <v>0</v>
      </c>
      <c r="BO107" s="3">
        <f t="shared" si="8"/>
        <v>0</v>
      </c>
      <c r="BP107" s="3">
        <f t="shared" si="8"/>
        <v>0</v>
      </c>
      <c r="BQ107" s="3">
        <f t="shared" si="7"/>
        <v>0</v>
      </c>
      <c r="BR107" s="3">
        <f t="shared" si="7"/>
        <v>0</v>
      </c>
      <c r="BS107" s="3">
        <f t="shared" si="7"/>
        <v>0</v>
      </c>
      <c r="BT107" s="3">
        <f t="shared" si="7"/>
        <v>0</v>
      </c>
      <c r="BU107" s="3">
        <f t="shared" si="7"/>
        <v>0</v>
      </c>
      <c r="BV107">
        <f>VLOOKUP($H107,'1. Set Program Names'!$B$2:$D$15,3,0)*V107</f>
        <v>0</v>
      </c>
      <c r="BW107">
        <f>VLOOKUP($H107,'1. Set Program Names'!$B$2:$D$15,3,0)*W107</f>
        <v>0</v>
      </c>
      <c r="BX107">
        <f>VLOOKUP($H107,'1. Set Program Names'!$B$2:$D$15,3,0)*X107</f>
        <v>0</v>
      </c>
      <c r="BY107">
        <f>VLOOKUP($H107,'1. Set Program Names'!$B$2:$D$15,3,0)*Y107</f>
        <v>0</v>
      </c>
      <c r="BZ107">
        <f>VLOOKUP($H107,'1. Set Program Names'!$B$2:$D$15,3,0)*Z107</f>
        <v>0</v>
      </c>
      <c r="CA107">
        <f>VLOOKUP($H107,'1. Set Program Names'!$B$2:$D$15,3,0)*AA107</f>
        <v>0</v>
      </c>
      <c r="CB107">
        <f>VLOOKUP($H107,'1. Set Program Names'!$B$2:$D$15,3,0)*AB107</f>
        <v>0</v>
      </c>
      <c r="CC107">
        <f>VLOOKUP($H107,'1. Set Program Names'!$B$2:$D$15,3,0)*AC107</f>
        <v>0</v>
      </c>
      <c r="CD107">
        <f>VLOOKUP($H107,'1. Set Program Names'!$B$2:$D$15,3,0)*AD107</f>
        <v>0</v>
      </c>
      <c r="CE107">
        <f>VLOOKUP($H107,'1. Set Program Names'!$B$2:$D$15,3,0)*AE107</f>
        <v>0</v>
      </c>
    </row>
    <row r="108" spans="1:83" x14ac:dyDescent="0.25">
      <c r="A108" s="20" t="s">
        <v>114</v>
      </c>
      <c r="B108" s="20" t="s">
        <v>88</v>
      </c>
      <c r="C108" s="20" t="s">
        <v>89</v>
      </c>
      <c r="D108" s="20" t="s">
        <v>90</v>
      </c>
      <c r="E108" s="20" t="s">
        <v>91</v>
      </c>
      <c r="F108" s="20" t="s">
        <v>90</v>
      </c>
      <c r="G108" s="20" t="s">
        <v>92</v>
      </c>
      <c r="H108" s="20" t="s">
        <v>7</v>
      </c>
      <c r="I108" s="20" t="s">
        <v>107</v>
      </c>
      <c r="J108" s="20" t="s">
        <v>94</v>
      </c>
      <c r="K108" s="20" t="s">
        <v>108</v>
      </c>
      <c r="L108" s="20">
        <v>1663.1099999999899</v>
      </c>
      <c r="M108" s="20">
        <v>6.6647595975018806E-2</v>
      </c>
      <c r="N108" s="20">
        <v>0.309148293753995</v>
      </c>
      <c r="O108" s="20">
        <v>1389.5</v>
      </c>
      <c r="P108" s="20">
        <v>988.78817699699403</v>
      </c>
      <c r="Q108" s="20">
        <v>479.59833573408702</v>
      </c>
      <c r="R108" s="20">
        <v>791.96156853290995</v>
      </c>
      <c r="S108" s="20">
        <v>2127.4894292214699</v>
      </c>
      <c r="T108" s="20">
        <v>15</v>
      </c>
      <c r="U108" s="20">
        <v>0.1</v>
      </c>
      <c r="V108" s="20">
        <v>0.34874594244146501</v>
      </c>
      <c r="W108" s="20">
        <v>0.38784653222496301</v>
      </c>
      <c r="X108" s="20">
        <v>0.42387900106325699</v>
      </c>
      <c r="Y108" s="20">
        <v>0.45794799320788399</v>
      </c>
      <c r="Z108" s="20">
        <v>0.49038490255377098</v>
      </c>
      <c r="AA108" s="20">
        <v>0.52003985946658804</v>
      </c>
      <c r="AB108" s="20">
        <v>0.55100729696540396</v>
      </c>
      <c r="AC108" s="20">
        <v>0.58464643293494001</v>
      </c>
      <c r="AD108" s="20">
        <v>0.62139999097034704</v>
      </c>
      <c r="AE108" s="20">
        <v>0.66151570931585102</v>
      </c>
      <c r="AF108" t="str">
        <f t="shared" si="5"/>
        <v>Residential</v>
      </c>
      <c r="AG108" t="str">
        <f>tbl_Data_old[[#This Row],[All_Meas_Name_Append]]</f>
        <v>Heat Pump Water Heater 50 Gallons- CEE Advanced Tier</v>
      </c>
      <c r="AH108">
        <f>AVERAGEIFS('3. Incentive Adjustment'!G:G,'3. Incentive Adjustment'!A:A,tbl_Data_old[[#This Row],[Trimmed Sector]],'3. Incentive Adjustment'!B:B,tbl_Data_old[[#This Row],[Trimmed Measure Name]])</f>
        <v>0.46049099596140497</v>
      </c>
      <c r="AI108">
        <f>$AH108*tbl_Data_old[[#This Row],[2025 ]]</f>
        <v>0.16059436637236904</v>
      </c>
      <c r="AJ108">
        <f>$AH108*tbl_Data_old[[#This Row],[2026 ]]</f>
        <v>0.17859983590445036</v>
      </c>
      <c r="AK108">
        <f>$AH108*tbl_Data_old[[#This Row],[2027 ]]</f>
        <v>0.19519246336674465</v>
      </c>
      <c r="AL108">
        <f>$AH108*tbl_Data_old[[#This Row],[2028 ]]</f>
        <v>0.21088092749082521</v>
      </c>
      <c r="AM108">
        <f>$AH108*tbl_Data_old[[#This Row],[2029 ]]</f>
        <v>0.22581783218142251</v>
      </c>
      <c r="AN108">
        <f>$AH108*tbl_Data_old[[#This Row],[2030 ]]</f>
        <v>0.23947367282539819</v>
      </c>
      <c r="AO108">
        <f>$AH108*tbl_Data_old[[#This Row],[2031 ]]</f>
        <v>0.25373389896160048</v>
      </c>
      <c r="AP108">
        <f>$AH108*tbl_Data_old[[#This Row],[2032 ]]</f>
        <v>0.26922441818749326</v>
      </c>
      <c r="AQ108">
        <f>$AH108*tbl_Data_old[[#This Row],[2033 ]]</f>
        <v>0.28614910073234318</v>
      </c>
      <c r="AR108">
        <f>$AH108*tbl_Data_old[[#This Row],[2034 ]]</f>
        <v>0.30462202782697151</v>
      </c>
      <c r="AS108">
        <f>SUM(tbl_Data_old[[#This Row],[Adjusted 2025]:[Adjusted 2034]])</f>
        <v>2.3242885438496184</v>
      </c>
      <c r="AT108" s="3">
        <f>AVERAGEIFS('3. Incentive Adjustment'!F:F,'3. Incentive Adjustment'!A:A,tbl_Data_old[[#This Row],[Trimmed Sector]],'3. Incentive Adjustment'!B:B,tbl_Data_old[[#This Row],[Trimmed Measure Name]])</f>
        <v>500</v>
      </c>
      <c r="AU108" s="3">
        <f>IFERROR(VLOOKUP(tbl_Data_old[[#This Row],[All_Meas_Name_Append]],'IRA Tax Credits'!$A$3:$D$46,4,0),0)</f>
        <v>1666.6666666666667</v>
      </c>
      <c r="AV108" s="4">
        <f>tbl_Data_old[[#This Row],[Adj. per unit Incentive ($)]]/tbl_Data_old[[#This Row],[kWh Savings]]*tbl_Data_old[[#This Row],[Sum of Annuals]]</f>
        <v>0.69877775488381189</v>
      </c>
      <c r="AW108" s="4">
        <f>IFERROR(VLOOKUP(tbl_Data_old[[#This Row],[All_Programs]],'1. Set Program Names'!$B$2:$D$15,3,0)*tbl_Data_old[[#This Row],[Sum of Annuals]],"")</f>
        <v>1.0053979448708323</v>
      </c>
      <c r="AX108" s="4">
        <f>tbl_Data_old[[#This Row],[per unit IRA tax ($)]]/tbl_Data_old[[#This Row],[kWh Savings]]*tbl_Data_old[[#This Row],[Sum of Annuals]]</f>
        <v>2.3292591829460396</v>
      </c>
      <c r="AY108" s="4">
        <f>tbl_Data_old[[#This Row],[Avoided Costs ($/unit)]]/tbl_Data_old[[#This Row],[kWh Savings]]*tbl_Data_old[[#This Row],[Sum of Annuals]]</f>
        <v>1.1068102536273776</v>
      </c>
      <c r="AZ108" s="4">
        <f>tbl_Data_old[[#This Row],[Lost Revenue ($/unit)]]/tbl_Data_old[[#This Row],[kWh Savings]]*tbl_Data_old[[#This Row],[Sum of Annuals]]</f>
        <v>2.9732845737808415</v>
      </c>
      <c r="BA108" s="4">
        <f>tbl_Data_old[[#This Row],[Incremental Cost ($/unit)]]/tbl_Data_old[[#This Row],[kWh Savings]]*tbl_Data_old[[#This Row],[Sum of Annuals]]</f>
        <v>1.9419033808221129</v>
      </c>
      <c r="BB108">
        <f>ROUNDUP(tbl_Data_old[[#This Row],[Adjusted 2025]]/$L108,0)</f>
        <v>1</v>
      </c>
      <c r="BC108">
        <f>ROUNDUP(tbl_Data_old[[#This Row],[Adjusted 2026]]/$L108,0)</f>
        <v>1</v>
      </c>
      <c r="BD108">
        <f>ROUNDUP(tbl_Data_old[[#This Row],[Adjusted 2027]]/$L108,0)</f>
        <v>1</v>
      </c>
      <c r="BE108">
        <f>ROUNDUP(tbl_Data_old[[#This Row],[Adjusted 2028]]/$L108,0)</f>
        <v>1</v>
      </c>
      <c r="BF108">
        <f>ROUNDUP(tbl_Data_old[[#This Row],[Adjusted 2029]]/$L108,0)</f>
        <v>1</v>
      </c>
      <c r="BG108">
        <f>ROUNDUP(tbl_Data_old[[#This Row],[Adjusted 2030]]/$L108,0)</f>
        <v>1</v>
      </c>
      <c r="BH108">
        <f>ROUNDUP(tbl_Data_old[[#This Row],[Adjusted 2031]]/$L108,0)</f>
        <v>1</v>
      </c>
      <c r="BI108">
        <f>ROUNDUP(tbl_Data_old[[#This Row],[Adjusted 2032]]/$L108,0)</f>
        <v>1</v>
      </c>
      <c r="BJ108">
        <f>ROUNDUP(tbl_Data_old[[#This Row],[Adjusted 2033]]/$L108,0)</f>
        <v>1</v>
      </c>
      <c r="BK108">
        <f>ROUNDUP(tbl_Data_old[[#This Row],[Adjusted 2034]]/$L108,0)</f>
        <v>1</v>
      </c>
      <c r="BL108" s="3">
        <f t="shared" si="8"/>
        <v>0.10484752735581745</v>
      </c>
      <c r="BM108" s="3">
        <f t="shared" si="8"/>
        <v>0.11660279002139527</v>
      </c>
      <c r="BN108" s="3">
        <f t="shared" si="8"/>
        <v>0.12743564799179236</v>
      </c>
      <c r="BO108" s="3">
        <f t="shared" si="8"/>
        <v>0.13767820324809749</v>
      </c>
      <c r="BP108" s="3">
        <f t="shared" si="8"/>
        <v>0.14743008657087445</v>
      </c>
      <c r="BQ108" s="3">
        <f t="shared" si="7"/>
        <v>0.15634559934898812</v>
      </c>
      <c r="BR108" s="3">
        <f t="shared" si="7"/>
        <v>0.16565569834990088</v>
      </c>
      <c r="BS108" s="3">
        <f t="shared" si="7"/>
        <v>0.1757690209712357</v>
      </c>
      <c r="BT108" s="3">
        <f t="shared" si="7"/>
        <v>0.18681866832932004</v>
      </c>
      <c r="BU108" s="3">
        <f t="shared" si="7"/>
        <v>0.19887912083862616</v>
      </c>
      <c r="BV108">
        <f>VLOOKUP($H108,'1. Set Program Names'!$B$2:$D$15,3,0)*V108</f>
        <v>0.15085409887705239</v>
      </c>
      <c r="BW108">
        <f>VLOOKUP($H108,'1. Set Program Names'!$B$2:$D$15,3,0)*W108</f>
        <v>0.16776751210863688</v>
      </c>
      <c r="BX108">
        <f>VLOOKUP($H108,'1. Set Program Names'!$B$2:$D$15,3,0)*X108</f>
        <v>0.18335377407017542</v>
      </c>
      <c r="BY108">
        <f>VLOOKUP($H108,'1. Set Program Names'!$B$2:$D$15,3,0)*Y108</f>
        <v>0.19809071143394047</v>
      </c>
      <c r="BZ108">
        <f>VLOOKUP($H108,'1. Set Program Names'!$B$2:$D$15,3,0)*Z108</f>
        <v>0.21212167246957092</v>
      </c>
      <c r="CA108">
        <f>VLOOKUP($H108,'1. Set Program Names'!$B$2:$D$15,3,0)*AA108</f>
        <v>0.22494926774136881</v>
      </c>
      <c r="CB108">
        <f>VLOOKUP($H108,'1. Set Program Names'!$B$2:$D$15,3,0)*AB108</f>
        <v>0.23834459170044087</v>
      </c>
      <c r="CC108">
        <f>VLOOKUP($H108,'1. Set Program Names'!$B$2:$D$15,3,0)*AC108</f>
        <v>0.25289558979424304</v>
      </c>
      <c r="CD108">
        <f>VLOOKUP($H108,'1. Set Program Names'!$B$2:$D$15,3,0)*AD108</f>
        <v>0.26879376724440041</v>
      </c>
      <c r="CE108">
        <f>VLOOKUP($H108,'1. Set Program Names'!$B$2:$D$15,3,0)*AE108</f>
        <v>0.28614628609939002</v>
      </c>
    </row>
    <row r="109" spans="1:83" x14ac:dyDescent="0.25">
      <c r="A109" s="20" t="s">
        <v>114</v>
      </c>
      <c r="B109" s="20" t="s">
        <v>88</v>
      </c>
      <c r="C109" s="20" t="s">
        <v>89</v>
      </c>
      <c r="D109" s="20" t="s">
        <v>90</v>
      </c>
      <c r="E109" s="20" t="s">
        <v>91</v>
      </c>
      <c r="F109" s="20" t="s">
        <v>90</v>
      </c>
      <c r="G109" s="20" t="s">
        <v>92</v>
      </c>
      <c r="H109" s="20" t="s">
        <v>7</v>
      </c>
      <c r="I109" s="20" t="s">
        <v>109</v>
      </c>
      <c r="J109" s="20" t="s">
        <v>94</v>
      </c>
      <c r="K109" s="20" t="s">
        <v>95</v>
      </c>
      <c r="L109" s="20">
        <v>1590.11499999999</v>
      </c>
      <c r="M109" s="20">
        <v>6.3722388822036402E-2</v>
      </c>
      <c r="N109" s="20">
        <v>0.29557957027655002</v>
      </c>
      <c r="O109" s="20">
        <v>1389.5</v>
      </c>
      <c r="P109" s="20">
        <v>1006.47372867305</v>
      </c>
      <c r="Q109" s="20">
        <v>458.54844696129999</v>
      </c>
      <c r="R109" s="20">
        <v>757.20185047754296</v>
      </c>
      <c r="S109" s="20">
        <v>2034.1125083407001</v>
      </c>
      <c r="T109" s="20">
        <v>15</v>
      </c>
      <c r="U109" s="20">
        <v>0.1</v>
      </c>
      <c r="V109" s="20">
        <v>0.49838335256751698</v>
      </c>
      <c r="W109" s="20">
        <v>0.55403369142438397</v>
      </c>
      <c r="X109" s="20">
        <v>0.60528250181371801</v>
      </c>
      <c r="Y109" s="20">
        <v>0.65371595677824801</v>
      </c>
      <c r="Z109" s="20">
        <v>0.69981323571698095</v>
      </c>
      <c r="AA109" s="20">
        <v>0.74193854438699702</v>
      </c>
      <c r="AB109" s="20">
        <v>0.78593695567946398</v>
      </c>
      <c r="AC109" s="20">
        <v>0.83374704767132002</v>
      </c>
      <c r="AD109" s="20">
        <v>0.88599916947441504</v>
      </c>
      <c r="AE109" s="20">
        <v>0.94304548156546897</v>
      </c>
      <c r="AF109" t="str">
        <f t="shared" si="5"/>
        <v>Residential</v>
      </c>
      <c r="AG109" t="str">
        <f>tbl_Data_old[[#This Row],[All_Meas_Name_Append]]</f>
        <v>Heat Pump Water Heater 50 Gallons-ENERGY STAR</v>
      </c>
      <c r="AH109">
        <f>AVERAGEIFS('3. Incentive Adjustment'!G:G,'3. Incentive Adjustment'!A:A,tbl_Data_old[[#This Row],[Trimmed Sector]],'3. Incentive Adjustment'!B:B,tbl_Data_old[[#This Row],[Trimmed Measure Name]])</f>
        <v>0.43153525594917136</v>
      </c>
      <c r="AI109">
        <f>$AH109*tbl_Data_old[[#This Row],[2025 ]]</f>
        <v>0.21506998761102955</v>
      </c>
      <c r="AJ109">
        <f>$AH109*tbl_Data_old[[#This Row],[2026 ]]</f>
        <v>0.23908507083328576</v>
      </c>
      <c r="AK109">
        <f>$AH109*tbl_Data_old[[#This Row],[2027 ]]</f>
        <v>0.2612007393417376</v>
      </c>
      <c r="AL109">
        <f>$AH109*tbl_Data_old[[#This Row],[2028 ]]</f>
        <v>0.28210148272635871</v>
      </c>
      <c r="AM109">
        <f>$AH109*tbl_Data_old[[#This Row],[2029 ]]</f>
        <v>0.30199408379174514</v>
      </c>
      <c r="AN109">
        <f>$AH109*tbl_Data_old[[#This Row],[2030 ]]</f>
        <v>0.32017263965059839</v>
      </c>
      <c r="AO109">
        <f>$AH109*tbl_Data_old[[#This Row],[2031 ]]</f>
        <v>0.33915950532905004</v>
      </c>
      <c r="AP109">
        <f>$AH109*tbl_Data_old[[#This Row],[2032 ]]</f>
        <v>0.35979124561370907</v>
      </c>
      <c r="AQ109">
        <f>$AH109*tbl_Data_old[[#This Row],[2033 ]]</f>
        <v>0.38233987836989497</v>
      </c>
      <c r="AR109">
        <f>$AH109*tbl_Data_old[[#This Row],[2034 ]]</f>
        <v>0.40695737325906423</v>
      </c>
      <c r="AS109">
        <f>SUM(tbl_Data_old[[#This Row],[Adjusted 2025]:[Adjusted 2034]])</f>
        <v>3.1078720065264736</v>
      </c>
      <c r="AT109" s="3">
        <f>AVERAGEIFS('3. Incentive Adjustment'!F:F,'3. Incentive Adjustment'!A:A,tbl_Data_old[[#This Row],[Trimmed Sector]],'3. Incentive Adjustment'!B:B,tbl_Data_old[[#This Row],[Trimmed Measure Name]])</f>
        <v>500</v>
      </c>
      <c r="AU109" s="3">
        <f>IFERROR(VLOOKUP(tbl_Data_old[[#This Row],[All_Meas_Name_Append]],'IRA Tax Credits'!$A$3:$D$46,4,0),0)</f>
        <v>1666.6666666666667</v>
      </c>
      <c r="AV109" s="4">
        <f>tbl_Data_old[[#This Row],[Adj. per unit Incentive ($)]]/tbl_Data_old[[#This Row],[kWh Savings]]*tbl_Data_old[[#This Row],[Sum of Annuals]]</f>
        <v>0.97724755961879894</v>
      </c>
      <c r="AW109" s="4">
        <f>IFERROR(VLOOKUP(tbl_Data_old[[#This Row],[All_Programs]],'1. Set Program Names'!$B$2:$D$15,3,0)*tbl_Data_old[[#This Row],[Sum of Annuals]],"")</f>
        <v>1.3443460522797601</v>
      </c>
      <c r="AX109" s="4">
        <f>tbl_Data_old[[#This Row],[per unit IRA tax ($)]]/tbl_Data_old[[#This Row],[kWh Savings]]*tbl_Data_old[[#This Row],[Sum of Annuals]]</f>
        <v>3.2574918653959966</v>
      </c>
      <c r="AY109" s="4">
        <f>tbl_Data_old[[#This Row],[Avoided Costs ($/unit)]]/tbl_Data_old[[#This Row],[kWh Savings]]*tbl_Data_old[[#This Row],[Sum of Annuals]]</f>
        <v>1.4799473210360352</v>
      </c>
      <c r="AZ109" s="4">
        <f>tbl_Data_old[[#This Row],[Lost Revenue ($/unit)]]/tbl_Data_old[[#This Row],[kWh Savings]]*tbl_Data_old[[#This Row],[Sum of Annuals]]</f>
        <v>3.9756629695320465</v>
      </c>
      <c r="BA109" s="4">
        <f>tbl_Data_old[[#This Row],[Incremental Cost ($/unit)]]/tbl_Data_old[[#This Row],[kWh Savings]]*tbl_Data_old[[#This Row],[Sum of Annuals]]</f>
        <v>2.7157709681806423</v>
      </c>
      <c r="BB109">
        <f>ROUNDUP(tbl_Data_old[[#This Row],[Adjusted 2025]]/$L109,0)</f>
        <v>1</v>
      </c>
      <c r="BC109">
        <f>ROUNDUP(tbl_Data_old[[#This Row],[Adjusted 2026]]/$L109,0)</f>
        <v>1</v>
      </c>
      <c r="BD109">
        <f>ROUNDUP(tbl_Data_old[[#This Row],[Adjusted 2027]]/$L109,0)</f>
        <v>1</v>
      </c>
      <c r="BE109">
        <f>ROUNDUP(tbl_Data_old[[#This Row],[Adjusted 2028]]/$L109,0)</f>
        <v>1</v>
      </c>
      <c r="BF109">
        <f>ROUNDUP(tbl_Data_old[[#This Row],[Adjusted 2029]]/$L109,0)</f>
        <v>1</v>
      </c>
      <c r="BG109">
        <f>ROUNDUP(tbl_Data_old[[#This Row],[Adjusted 2030]]/$L109,0)</f>
        <v>1</v>
      </c>
      <c r="BH109">
        <f>ROUNDUP(tbl_Data_old[[#This Row],[Adjusted 2031]]/$L109,0)</f>
        <v>1</v>
      </c>
      <c r="BI109">
        <f>ROUNDUP(tbl_Data_old[[#This Row],[Adjusted 2032]]/$L109,0)</f>
        <v>1</v>
      </c>
      <c r="BJ109">
        <f>ROUNDUP(tbl_Data_old[[#This Row],[Adjusted 2033]]/$L109,0)</f>
        <v>1</v>
      </c>
      <c r="BK109">
        <f>ROUNDUP(tbl_Data_old[[#This Row],[Adjusted 2034]]/$L109,0)</f>
        <v>1</v>
      </c>
      <c r="BL109" s="3">
        <f t="shared" si="8"/>
        <v>0.15671299011943163</v>
      </c>
      <c r="BM109" s="3">
        <f t="shared" si="8"/>
        <v>0.1742118310387574</v>
      </c>
      <c r="BN109" s="3">
        <f t="shared" si="8"/>
        <v>0.19032664361185253</v>
      </c>
      <c r="BO109" s="3">
        <f t="shared" si="8"/>
        <v>0.20555618831916311</v>
      </c>
      <c r="BP109" s="3">
        <f t="shared" si="8"/>
        <v>0.22005113960845138</v>
      </c>
      <c r="BQ109" s="3">
        <f t="shared" si="7"/>
        <v>0.23329713397678836</v>
      </c>
      <c r="BR109" s="3">
        <f t="shared" si="7"/>
        <v>0.24713211172760111</v>
      </c>
      <c r="BS109" s="3">
        <f t="shared" si="7"/>
        <v>0.26216564451983826</v>
      </c>
      <c r="BT109" s="3">
        <f t="shared" si="7"/>
        <v>0.27859594100880142</v>
      </c>
      <c r="BU109" s="3">
        <f t="shared" si="7"/>
        <v>0.29653373547368422</v>
      </c>
      <c r="BV109">
        <f>VLOOKUP($H109,'1. Set Program Names'!$B$2:$D$15,3,0)*V109</f>
        <v>0.21558149471378046</v>
      </c>
      <c r="BW109">
        <f>VLOOKUP($H109,'1. Set Program Names'!$B$2:$D$15,3,0)*W109</f>
        <v>0.23965369369531944</v>
      </c>
      <c r="BX109">
        <f>VLOOKUP($H109,'1. Set Program Names'!$B$2:$D$15,3,0)*X109</f>
        <v>0.26182196053071505</v>
      </c>
      <c r="BY109">
        <f>VLOOKUP($H109,'1. Set Program Names'!$B$2:$D$15,3,0)*Y109</f>
        <v>0.28277241275110987</v>
      </c>
      <c r="BZ109">
        <f>VLOOKUP($H109,'1. Set Program Names'!$B$2:$D$15,3,0)*Z109</f>
        <v>0.30271232495855832</v>
      </c>
      <c r="CA109">
        <f>VLOOKUP($H109,'1. Set Program Names'!$B$2:$D$15,3,0)*AA109</f>
        <v>0.32093411539673544</v>
      </c>
      <c r="CB109">
        <f>VLOOKUP($H109,'1. Set Program Names'!$B$2:$D$15,3,0)*AB109</f>
        <v>0.33996613808087339</v>
      </c>
      <c r="CC109">
        <f>VLOOKUP($H109,'1. Set Program Names'!$B$2:$D$15,3,0)*AC109</f>
        <v>0.3606469474235397</v>
      </c>
      <c r="CD109">
        <f>VLOOKUP($H109,'1. Set Program Names'!$B$2:$D$15,3,0)*AD109</f>
        <v>0.38324920823792297</v>
      </c>
      <c r="CE109">
        <f>VLOOKUP($H109,'1. Set Program Names'!$B$2:$D$15,3,0)*AE109</f>
        <v>0.40792525161927196</v>
      </c>
    </row>
    <row r="110" spans="1:83" x14ac:dyDescent="0.25">
      <c r="A110" s="20" t="s">
        <v>114</v>
      </c>
      <c r="B110" s="20" t="s">
        <v>88</v>
      </c>
      <c r="C110" s="20" t="s">
        <v>89</v>
      </c>
      <c r="D110" s="20" t="s">
        <v>90</v>
      </c>
      <c r="E110" s="20" t="s">
        <v>91</v>
      </c>
      <c r="F110" s="20" t="s">
        <v>90</v>
      </c>
      <c r="G110" s="20" t="s">
        <v>92</v>
      </c>
      <c r="H110" s="20" t="s">
        <v>7</v>
      </c>
      <c r="I110" s="20" t="s">
        <v>110</v>
      </c>
      <c r="J110" s="20" t="s">
        <v>94</v>
      </c>
      <c r="K110" s="20" t="s">
        <v>108</v>
      </c>
      <c r="L110" s="20">
        <v>461.909999999999</v>
      </c>
      <c r="M110" s="20">
        <v>1.8510616289253799E-2</v>
      </c>
      <c r="N110" s="20">
        <v>8.5862443475120898E-2</v>
      </c>
      <c r="O110" s="20">
        <v>1729.5</v>
      </c>
      <c r="P110" s="20">
        <v>1631.9996867488601</v>
      </c>
      <c r="Q110" s="20">
        <v>133.20301559063</v>
      </c>
      <c r="R110" s="20">
        <v>219.958372038552</v>
      </c>
      <c r="S110" s="20">
        <v>590.88613636602201</v>
      </c>
      <c r="T110" s="20">
        <v>15</v>
      </c>
      <c r="U110" s="20">
        <v>0.1</v>
      </c>
      <c r="V110" s="20">
        <v>0.26809216754143</v>
      </c>
      <c r="W110" s="20">
        <v>0.29820280006859101</v>
      </c>
      <c r="X110" s="20">
        <v>0.32595838792541698</v>
      </c>
      <c r="Y110" s="20">
        <v>0.35220629651401197</v>
      </c>
      <c r="Z110" s="20">
        <v>0.377199951147206</v>
      </c>
      <c r="AA110" s="20">
        <v>0.40005368449397799</v>
      </c>
      <c r="AB110" s="20">
        <v>0.423916426301509</v>
      </c>
      <c r="AC110" s="20">
        <v>0.44983391367008402</v>
      </c>
      <c r="AD110" s="20">
        <v>0.47814699527591698</v>
      </c>
      <c r="AE110" s="20">
        <v>0.50904652090422997</v>
      </c>
      <c r="AF110" t="str">
        <f t="shared" si="5"/>
        <v>Residential</v>
      </c>
      <c r="AG110" t="str">
        <f>tbl_Data_old[[#This Row],[All_Meas_Name_Append]]</f>
        <v>Heat Pump Water Heater 80 Gallons-ENERGY STAR</v>
      </c>
      <c r="AH110">
        <f>AVERAGEIFS('3. Incentive Adjustment'!G:G,'3. Incentive Adjustment'!A:A,tbl_Data_old[[#This Row],[Trimmed Sector]],'3. Incentive Adjustment'!B:B,tbl_Data_old[[#This Row],[Trimmed Measure Name]])</f>
        <v>1.5551101216712928E-3</v>
      </c>
      <c r="AI110">
        <f>$AH110*tbl_Data_old[[#This Row],[2025 ]]</f>
        <v>4.1691284328447385E-4</v>
      </c>
      <c r="AJ110">
        <f>$AH110*tbl_Data_old[[#This Row],[2026 ]]</f>
        <v>4.6373819269738674E-4</v>
      </c>
      <c r="AK110">
        <f>$AH110*tbl_Data_old[[#This Row],[2027 ]]</f>
        <v>5.0690118830647364E-4</v>
      </c>
      <c r="AL110">
        <f>$AH110*tbl_Data_old[[#This Row],[2028 ]]</f>
        <v>5.4771957662530057E-4</v>
      </c>
      <c r="AM110">
        <f>$AH110*tbl_Data_old[[#This Row],[2029 ]]</f>
        <v>5.8658746192293725E-4</v>
      </c>
      <c r="AN110">
        <f>$AH110*tbl_Data_old[[#This Row],[2030 ]]</f>
        <v>6.2212753396847912E-4</v>
      </c>
      <c r="AO110">
        <f>$AH110*tbl_Data_old[[#This Row],[2031 ]]</f>
        <v>6.5923672528419924E-4</v>
      </c>
      <c r="AP110">
        <f>$AH110*tbl_Data_old[[#This Row],[2032 ]]</f>
        <v>6.995412722193582E-4</v>
      </c>
      <c r="AQ110">
        <f>$AH110*tbl_Data_old[[#This Row],[2033 ]]</f>
        <v>7.4357123200029436E-4</v>
      </c>
      <c r="AR110">
        <f>$AH110*tbl_Data_old[[#This Row],[2034 ]]</f>
        <v>7.9162339705972536E-4</v>
      </c>
      <c r="AS110">
        <f>SUM(tbl_Data_old[[#This Row],[Adjusted 2025]:[Adjusted 2034]])</f>
        <v>6.0379594233686282E-3</v>
      </c>
      <c r="AT110" s="3">
        <f>AVERAGEIFS('3. Incentive Adjustment'!F:F,'3. Incentive Adjustment'!A:A,tbl_Data_old[[#This Row],[Trimmed Sector]],'3. Incentive Adjustment'!B:B,tbl_Data_old[[#This Row],[Trimmed Measure Name]])</f>
        <v>500</v>
      </c>
      <c r="AU110" s="3">
        <f>IFERROR(VLOOKUP(tbl_Data_old[[#This Row],[All_Meas_Name_Append]],'IRA Tax Credits'!$A$3:$D$46,4,0),0)</f>
        <v>1666.6666666666667</v>
      </c>
      <c r="AV110" s="4">
        <f>tbl_Data_old[[#This Row],[Adj. per unit Incentive ($)]]/tbl_Data_old[[#This Row],[kWh Savings]]*tbl_Data_old[[#This Row],[Sum of Annuals]]</f>
        <v>6.5358613402704442E-3</v>
      </c>
      <c r="AW110" s="4">
        <f>IFERROR(VLOOKUP(tbl_Data_old[[#This Row],[All_Programs]],'1. Set Program Names'!$B$2:$D$15,3,0)*tbl_Data_old[[#This Row],[Sum of Annuals]],"")</f>
        <v>2.6117893200187196E-3</v>
      </c>
      <c r="AX110" s="4">
        <f>tbl_Data_old[[#This Row],[per unit IRA tax ($)]]/tbl_Data_old[[#This Row],[kWh Savings]]*tbl_Data_old[[#This Row],[Sum of Annuals]]</f>
        <v>2.1786204467568147E-2</v>
      </c>
      <c r="AY110" s="4">
        <f>tbl_Data_old[[#This Row],[Avoided Costs ($/unit)]]/tbl_Data_old[[#This Row],[kWh Savings]]*tbl_Data_old[[#This Row],[Sum of Annuals]]</f>
        <v>2.8752348405511907E-3</v>
      </c>
      <c r="AZ110" s="4">
        <f>tbl_Data_old[[#This Row],[Lost Revenue ($/unit)]]/tbl_Data_old[[#This Row],[kWh Savings]]*tbl_Data_old[[#This Row],[Sum of Annuals]]</f>
        <v>7.7238997103529052E-3</v>
      </c>
      <c r="BA110" s="4">
        <f>tbl_Data_old[[#This Row],[Incremental Cost ($/unit)]]/tbl_Data_old[[#This Row],[kWh Savings]]*tbl_Data_old[[#This Row],[Sum of Annuals]]</f>
        <v>2.2607544375995464E-2</v>
      </c>
      <c r="BB110">
        <f>ROUNDUP(tbl_Data_old[[#This Row],[Adjusted 2025]]/$L110,0)</f>
        <v>1</v>
      </c>
      <c r="BC110">
        <f>ROUNDUP(tbl_Data_old[[#This Row],[Adjusted 2026]]/$L110,0)</f>
        <v>1</v>
      </c>
      <c r="BD110">
        <f>ROUNDUP(tbl_Data_old[[#This Row],[Adjusted 2027]]/$L110,0)</f>
        <v>1</v>
      </c>
      <c r="BE110">
        <f>ROUNDUP(tbl_Data_old[[#This Row],[Adjusted 2028]]/$L110,0)</f>
        <v>1</v>
      </c>
      <c r="BF110">
        <f>ROUNDUP(tbl_Data_old[[#This Row],[Adjusted 2029]]/$L110,0)</f>
        <v>1</v>
      </c>
      <c r="BG110">
        <f>ROUNDUP(tbl_Data_old[[#This Row],[Adjusted 2030]]/$L110,0)</f>
        <v>1</v>
      </c>
      <c r="BH110">
        <f>ROUNDUP(tbl_Data_old[[#This Row],[Adjusted 2031]]/$L110,0)</f>
        <v>1</v>
      </c>
      <c r="BI110">
        <f>ROUNDUP(tbl_Data_old[[#This Row],[Adjusted 2032]]/$L110,0)</f>
        <v>1</v>
      </c>
      <c r="BJ110">
        <f>ROUNDUP(tbl_Data_old[[#This Row],[Adjusted 2033]]/$L110,0)</f>
        <v>1</v>
      </c>
      <c r="BK110">
        <f>ROUNDUP(tbl_Data_old[[#This Row],[Adjusted 2034]]/$L110,0)</f>
        <v>1</v>
      </c>
      <c r="BL110" s="3">
        <f t="shared" si="8"/>
        <v>0.29019957084868331</v>
      </c>
      <c r="BM110" s="3">
        <f t="shared" si="8"/>
        <v>0.32279318489380149</v>
      </c>
      <c r="BN110" s="3">
        <f t="shared" si="8"/>
        <v>0.35283755268928763</v>
      </c>
      <c r="BO110" s="3">
        <f t="shared" si="8"/>
        <v>0.38124991504190509</v>
      </c>
      <c r="BP110" s="3">
        <f t="shared" si="8"/>
        <v>0.4083045952103298</v>
      </c>
      <c r="BQ110" s="3">
        <f t="shared" si="7"/>
        <v>0.43304289200707807</v>
      </c>
      <c r="BR110" s="3">
        <f t="shared" si="7"/>
        <v>0.45887340207130173</v>
      </c>
      <c r="BS110" s="3">
        <f t="shared" si="7"/>
        <v>0.48692809602529175</v>
      </c>
      <c r="BT110" s="3">
        <f t="shared" si="7"/>
        <v>0.51757592959225607</v>
      </c>
      <c r="BU110" s="3">
        <f t="shared" si="7"/>
        <v>0.55102349040314247</v>
      </c>
      <c r="BV110">
        <f>VLOOKUP($H110,'1. Set Program Names'!$B$2:$D$15,3,0)*V110</f>
        <v>0.11596637388045389</v>
      </c>
      <c r="BW110">
        <f>VLOOKUP($H110,'1. Set Program Names'!$B$2:$D$15,3,0)*W110</f>
        <v>0.12899107691987444</v>
      </c>
      <c r="BX110">
        <f>VLOOKUP($H110,'1. Set Program Names'!$B$2:$D$15,3,0)*X110</f>
        <v>0.14099707809549275</v>
      </c>
      <c r="BY110">
        <f>VLOOKUP($H110,'1. Set Program Names'!$B$2:$D$15,3,0)*Y110</f>
        <v>0.15235091513175975</v>
      </c>
      <c r="BZ110">
        <f>VLOOKUP($H110,'1. Set Program Names'!$B$2:$D$15,3,0)*Z110</f>
        <v>0.16316221008458226</v>
      </c>
      <c r="CA110">
        <f>VLOOKUP($H110,'1. Set Program Names'!$B$2:$D$15,3,0)*AA110</f>
        <v>0.17304785728629096</v>
      </c>
      <c r="CB110">
        <f>VLOOKUP($H110,'1. Set Program Names'!$B$2:$D$15,3,0)*AB110</f>
        <v>0.18336996279068707</v>
      </c>
      <c r="CC110">
        <f>VLOOKUP($H110,'1. Set Program Names'!$B$2:$D$15,3,0)*AC110</f>
        <v>0.19458087229911813</v>
      </c>
      <c r="CD110">
        <f>VLOOKUP($H110,'1. Set Program Names'!$B$2:$D$15,3,0)*AD110</f>
        <v>0.20682802385643631</v>
      </c>
      <c r="CE110">
        <f>VLOOKUP($H110,'1. Set Program Names'!$B$2:$D$15,3,0)*AE110</f>
        <v>0.22019397174891944</v>
      </c>
    </row>
    <row r="111" spans="1:83" x14ac:dyDescent="0.25">
      <c r="A111" s="20" t="s">
        <v>114</v>
      </c>
      <c r="B111" s="20" t="s">
        <v>88</v>
      </c>
      <c r="C111" s="20" t="s">
        <v>89</v>
      </c>
      <c r="D111" s="20" t="s">
        <v>90</v>
      </c>
      <c r="E111" s="20" t="s">
        <v>91</v>
      </c>
      <c r="F111" s="20" t="s">
        <v>90</v>
      </c>
      <c r="G111" s="20" t="s">
        <v>92</v>
      </c>
      <c r="H111" s="20" t="s">
        <v>7</v>
      </c>
      <c r="I111" s="20" t="s">
        <v>299</v>
      </c>
      <c r="J111" s="20" t="s">
        <v>97</v>
      </c>
      <c r="K111" s="20" t="s">
        <v>102</v>
      </c>
      <c r="L111" s="20">
        <v>408.28</v>
      </c>
      <c r="M111" s="20">
        <v>0.16567198429270899</v>
      </c>
      <c r="N111" s="20">
        <v>2.3547919008134799E-2</v>
      </c>
      <c r="O111" s="53">
        <v>128.60999999999999</v>
      </c>
      <c r="P111" s="20">
        <v>29.691921599999901</v>
      </c>
      <c r="Q111" s="20">
        <v>117.737496926549</v>
      </c>
      <c r="R111" s="20">
        <v>238.630335182902</v>
      </c>
      <c r="S111" s="20">
        <v>423.90838942107399</v>
      </c>
      <c r="T111" s="20">
        <v>11</v>
      </c>
      <c r="U111" s="20">
        <v>9.9999999999999895E-2</v>
      </c>
      <c r="V111" s="20">
        <v>0.72745937913742598</v>
      </c>
      <c r="W111" s="20">
        <v>0.60353135433741101</v>
      </c>
      <c r="X111" s="20">
        <v>0.50072188030463605</v>
      </c>
      <c r="Y111" s="20">
        <v>0.41719935819852599</v>
      </c>
      <c r="Z111" s="20">
        <v>0.35000746550255402</v>
      </c>
      <c r="AA111" s="20">
        <v>0.29514954717790698</v>
      </c>
      <c r="AB111" s="20">
        <v>0.25254130205175201</v>
      </c>
      <c r="AC111" s="20">
        <v>0.21950934897543201</v>
      </c>
      <c r="AD111" s="20">
        <v>0.19400866566476099</v>
      </c>
      <c r="AE111" s="20">
        <v>0.174318652021449</v>
      </c>
      <c r="AF111" t="str">
        <f t="shared" si="5"/>
        <v>Residential</v>
      </c>
      <c r="AG111" t="str">
        <f>tbl_Data_old[[#This Row],[All_Meas_Name_Append]]</f>
        <v>Smart Thermostat Residential</v>
      </c>
      <c r="AH111">
        <f>AVERAGEIFS('3. Incentive Adjustment'!G:G,'3. Incentive Adjustment'!A:A,tbl_Data_old[[#This Row],[Trimmed Sector]],'3. Incentive Adjustment'!B:B,tbl_Data_old[[#This Row],[Trimmed Measure Name]])</f>
        <v>1.1402432304340044</v>
      </c>
      <c r="AI111">
        <f>$AH111*tbl_Data_old[[#This Row],[2025 ]]</f>
        <v>0.82948063247717385</v>
      </c>
      <c r="AJ111">
        <f>$AH111*tbl_Data_old[[#This Row],[2026 ]]</f>
        <v>0.68817254113789927</v>
      </c>
      <c r="AK111">
        <f>$AH111*tbl_Data_old[[#This Row],[2027 ]]</f>
        <v>0.57094473434754711</v>
      </c>
      <c r="AL111">
        <f>$AH111*tbl_Data_old[[#This Row],[2028 ]]</f>
        <v>0.47570874392728063</v>
      </c>
      <c r="AM111">
        <f>$AH111*tbl_Data_old[[#This Row],[2029 ]]</f>
        <v>0.39909364314065054</v>
      </c>
      <c r="AN111">
        <f>$AH111*tbl_Data_old[[#This Row],[2030 ]]</f>
        <v>0.33654227313527024</v>
      </c>
      <c r="AO111">
        <f>$AH111*tbl_Data_old[[#This Row],[2031 ]]</f>
        <v>0.28795851006949941</v>
      </c>
      <c r="AP111">
        <f>$AH111*tbl_Data_old[[#This Row],[2032 ]]</f>
        <v>0.25029404918621179</v>
      </c>
      <c r="AQ111">
        <f>$AH111*tbl_Data_old[[#This Row],[2033 ]]</f>
        <v>0.22121706766977781</v>
      </c>
      <c r="AR111">
        <f>$AH111*tbl_Data_old[[#This Row],[2034 ]]</f>
        <v>0.19876566290583811</v>
      </c>
      <c r="AS111">
        <f>SUM(tbl_Data_old[[#This Row],[Adjusted 2025]:[Adjusted 2034]])</f>
        <v>4.2581778579971488</v>
      </c>
      <c r="AT111" s="3">
        <f>AVERAGEIFS('3. Incentive Adjustment'!F:F,'3. Incentive Adjustment'!A:A,tbl_Data_old[[#This Row],[Trimmed Sector]],'3. Incentive Adjustment'!B:B,tbl_Data_old[[#This Row],[Trimmed Measure Name]])</f>
        <v>50</v>
      </c>
      <c r="AU111" s="3">
        <f>IFERROR(VLOOKUP(tbl_Data_old[[#This Row],[All_Meas_Name_Append]],'IRA Tax Credits'!$A$3:$D$46,4,0),0)</f>
        <v>0</v>
      </c>
      <c r="AV111" s="4">
        <f>tbl_Data_old[[#This Row],[Adj. per unit Incentive ($)]]/tbl_Data_old[[#This Row],[kWh Savings]]*tbl_Data_old[[#This Row],[Sum of Annuals]]</f>
        <v>0.52147764499818128</v>
      </c>
      <c r="AW111" s="4">
        <f>IFERROR(VLOOKUP(tbl_Data_old[[#This Row],[All_Programs]],'1. Set Program Names'!$B$2:$D$15,3,0)*tbl_Data_old[[#This Row],[Sum of Annuals]],"")</f>
        <v>1.841924178757131</v>
      </c>
      <c r="AX111" s="4">
        <f>tbl_Data_old[[#This Row],[per unit IRA tax ($)]]/tbl_Data_old[[#This Row],[kWh Savings]]*tbl_Data_old[[#This Row],[Sum of Annuals]]</f>
        <v>0</v>
      </c>
      <c r="AY111" s="4">
        <f>tbl_Data_old[[#This Row],[Avoided Costs ($/unit)]]/tbl_Data_old[[#This Row],[kWh Savings]]*tbl_Data_old[[#This Row],[Sum of Annuals]]</f>
        <v>2.4888077043261276</v>
      </c>
      <c r="AZ111" s="4">
        <f>tbl_Data_old[[#This Row],[Lost Revenue ($/unit)]]/tbl_Data_old[[#This Row],[kWh Savings]]*tbl_Data_old[[#This Row],[Sum of Annuals]]</f>
        <v>4.4211749722054723</v>
      </c>
      <c r="BA111" s="4">
        <f>tbl_Data_old[[#This Row],[Incremental Cost ($/unit)]]/tbl_Data_old[[#This Row],[kWh Savings]]*tbl_Data_old[[#This Row],[Sum of Annuals]]</f>
        <v>1.3413447984643219</v>
      </c>
      <c r="BB111">
        <f>ROUNDUP(tbl_Data_old[[#This Row],[Adjusted 2025]]/$L111,0)</f>
        <v>1</v>
      </c>
      <c r="BC111">
        <f>ROUNDUP(tbl_Data_old[[#This Row],[Adjusted 2026]]/$L111,0)</f>
        <v>1</v>
      </c>
      <c r="BD111">
        <f>ROUNDUP(tbl_Data_old[[#This Row],[Adjusted 2027]]/$L111,0)</f>
        <v>1</v>
      </c>
      <c r="BE111">
        <f>ROUNDUP(tbl_Data_old[[#This Row],[Adjusted 2028]]/$L111,0)</f>
        <v>1</v>
      </c>
      <c r="BF111">
        <f>ROUNDUP(tbl_Data_old[[#This Row],[Adjusted 2029]]/$L111,0)</f>
        <v>1</v>
      </c>
      <c r="BG111">
        <f>ROUNDUP(tbl_Data_old[[#This Row],[Adjusted 2030]]/$L111,0)</f>
        <v>1</v>
      </c>
      <c r="BH111">
        <f>ROUNDUP(tbl_Data_old[[#This Row],[Adjusted 2031]]/$L111,0)</f>
        <v>1</v>
      </c>
      <c r="BI111">
        <f>ROUNDUP(tbl_Data_old[[#This Row],[Adjusted 2032]]/$L111,0)</f>
        <v>1</v>
      </c>
      <c r="BJ111">
        <f>ROUNDUP(tbl_Data_old[[#This Row],[Adjusted 2033]]/$L111,0)</f>
        <v>1</v>
      </c>
      <c r="BK111">
        <f>ROUNDUP(tbl_Data_old[[#This Row],[Adjusted 2034]]/$L111,0)</f>
        <v>1</v>
      </c>
      <c r="BL111" s="3">
        <f t="shared" si="8"/>
        <v>8.9088294692052761E-2</v>
      </c>
      <c r="BM111" s="3">
        <f t="shared" si="8"/>
        <v>7.3911452230994795E-2</v>
      </c>
      <c r="BN111" s="3">
        <f t="shared" si="8"/>
        <v>6.1320892562045176E-2</v>
      </c>
      <c r="BO111" s="3">
        <f t="shared" si="8"/>
        <v>5.1092308978951458E-2</v>
      </c>
      <c r="BP111" s="3">
        <f t="shared" si="8"/>
        <v>4.2863655518584558E-2</v>
      </c>
      <c r="BQ111" s="3">
        <f t="shared" si="7"/>
        <v>3.6145481921464072E-2</v>
      </c>
      <c r="BR111" s="3">
        <f t="shared" si="7"/>
        <v>3.0927464246565107E-2</v>
      </c>
      <c r="BS111" s="3">
        <f t="shared" si="7"/>
        <v>2.6882206938306067E-2</v>
      </c>
      <c r="BT111" s="3">
        <f t="shared" si="7"/>
        <v>2.3759266393744614E-2</v>
      </c>
      <c r="BU111" s="3">
        <f t="shared" si="7"/>
        <v>2.1347929364829165E-2</v>
      </c>
      <c r="BV111">
        <f>VLOOKUP($H111,'1. Set Program Names'!$B$2:$D$15,3,0)*V111</f>
        <v>0.31467098467491322</v>
      </c>
      <c r="BW111">
        <f>VLOOKUP($H111,'1. Set Program Names'!$B$2:$D$15,3,0)*W111</f>
        <v>0.26106448139650701</v>
      </c>
      <c r="BX111">
        <f>VLOOKUP($H111,'1. Set Program Names'!$B$2:$D$15,3,0)*X111</f>
        <v>0.21659305198671219</v>
      </c>
      <c r="BY111">
        <f>VLOOKUP($H111,'1. Set Program Names'!$B$2:$D$15,3,0)*Y111</f>
        <v>0.18046441714138861</v>
      </c>
      <c r="BZ111">
        <f>VLOOKUP($H111,'1. Set Program Names'!$B$2:$D$15,3,0)*Z111</f>
        <v>0.15139978529640091</v>
      </c>
      <c r="CA111">
        <f>VLOOKUP($H111,'1. Set Program Names'!$B$2:$D$15,3,0)*AA111</f>
        <v>0.12767035699911092</v>
      </c>
      <c r="CB111">
        <f>VLOOKUP($H111,'1. Set Program Names'!$B$2:$D$15,3,0)*AB111</f>
        <v>0.10923966680027797</v>
      </c>
      <c r="CC111">
        <f>VLOOKUP($H111,'1. Set Program Names'!$B$2:$D$15,3,0)*AC111</f>
        <v>9.4951312703330432E-2</v>
      </c>
      <c r="CD111">
        <f>VLOOKUP($H111,'1. Set Program Names'!$B$2:$D$15,3,0)*AD111</f>
        <v>8.3920696620317398E-2</v>
      </c>
      <c r="CE111">
        <f>VLOOKUP($H111,'1. Set Program Names'!$B$2:$D$15,3,0)*AE111</f>
        <v>7.5403553039393154E-2</v>
      </c>
    </row>
    <row r="112" spans="1:83" x14ac:dyDescent="0.25">
      <c r="A112" s="20" t="s">
        <v>114</v>
      </c>
      <c r="B112" s="20" t="s">
        <v>88</v>
      </c>
      <c r="C112" s="20" t="s">
        <v>89</v>
      </c>
      <c r="D112" s="20" t="s">
        <v>90</v>
      </c>
      <c r="E112" s="20" t="s">
        <v>91</v>
      </c>
      <c r="F112" s="20" t="s">
        <v>90</v>
      </c>
      <c r="G112" s="20" t="s">
        <v>92</v>
      </c>
      <c r="H112" s="20" t="s">
        <v>7</v>
      </c>
      <c r="I112" s="20" t="s">
        <v>112</v>
      </c>
      <c r="J112" s="20" t="s">
        <v>94</v>
      </c>
      <c r="K112" s="20" t="s">
        <v>108</v>
      </c>
      <c r="L112" s="20">
        <v>1330.8133333333301</v>
      </c>
      <c r="M112" s="20">
        <v>5.33311142126306E-2</v>
      </c>
      <c r="N112" s="20">
        <v>0.24737910980336</v>
      </c>
      <c r="O112" s="20">
        <v>8990.02</v>
      </c>
      <c r="P112" s="20">
        <v>8776.4394094329891</v>
      </c>
      <c r="Q112" s="20">
        <v>383.77248638959497</v>
      </c>
      <c r="R112" s="20">
        <v>713.19672296706005</v>
      </c>
      <c r="S112" s="20">
        <v>2011.6258188035599</v>
      </c>
      <c r="T112" s="20">
        <v>20</v>
      </c>
      <c r="U112" s="20">
        <v>0.1</v>
      </c>
      <c r="V112" s="20">
        <v>0.86484412494026597</v>
      </c>
      <c r="W112" s="20">
        <v>0.96251419044017605</v>
      </c>
      <c r="X112" s="20">
        <v>1.05263402874219</v>
      </c>
      <c r="Y112" s="20">
        <v>1.13791996404055</v>
      </c>
      <c r="Z112" s="20">
        <v>1.21917652628399</v>
      </c>
      <c r="AA112" s="20">
        <v>1.2935287367463</v>
      </c>
      <c r="AB112" s="20">
        <v>1.3711495271055401</v>
      </c>
      <c r="AC112" s="20">
        <v>1.45542171810748</v>
      </c>
      <c r="AD112" s="20">
        <v>1.5474506786347</v>
      </c>
      <c r="AE112" s="20">
        <v>1.6478568373018501</v>
      </c>
      <c r="AF112" t="str">
        <f t="shared" si="5"/>
        <v>Residential</v>
      </c>
      <c r="AG112" t="str">
        <f>tbl_Data_old[[#This Row],[All_Meas_Name_Append]]</f>
        <v>Solar Thermal Water Heating System</v>
      </c>
      <c r="AH112">
        <f>AVERAGEIFS('3. Incentive Adjustment'!G:G,'3. Incentive Adjustment'!A:A,tbl_Data_old[[#This Row],[Trimmed Sector]],'3. Incentive Adjustment'!B:B,tbl_Data_old[[#This Row],[Trimmed Measure Name]])</f>
        <v>2.7736651842107431E-8</v>
      </c>
      <c r="AI112">
        <f>$AH112*tbl_Data_old[[#This Row],[2025 ]]</f>
        <v>2.3987880391160216E-8</v>
      </c>
      <c r="AJ112">
        <f>$AH112*tbl_Data_old[[#This Row],[2026 ]]</f>
        <v>2.6696920993327053E-8</v>
      </c>
      <c r="AK112">
        <f>$AH112*tbl_Data_old[[#This Row],[2027 ]]</f>
        <v>2.9196543572377031E-8</v>
      </c>
      <c r="AL112">
        <f>$AH112*tbl_Data_old[[#This Row],[2028 ]]</f>
        <v>3.1562089866776141E-8</v>
      </c>
      <c r="AM112">
        <f>$AH112*tbl_Data_old[[#This Row],[2029 ]]</f>
        <v>3.3815874843608971E-8</v>
      </c>
      <c r="AN112">
        <f>$AH112*tbl_Data_old[[#This Row],[2030 ]]</f>
        <v>3.5878156218893161E-8</v>
      </c>
      <c r="AO112">
        <f>$AH112*tbl_Data_old[[#This Row],[2031 ]]</f>
        <v>3.8031097056796609E-8</v>
      </c>
      <c r="AP112">
        <f>$AH112*tbl_Data_old[[#This Row],[2032 ]]</f>
        <v>4.0368525478588994E-8</v>
      </c>
      <c r="AQ112">
        <f>$AH112*tbl_Data_old[[#This Row],[2033 ]]</f>
        <v>4.2921100716123545E-8</v>
      </c>
      <c r="AR112">
        <f>$AH112*tbl_Data_old[[#This Row],[2034 ]]</f>
        <v>4.5706031381877683E-8</v>
      </c>
      <c r="AS112">
        <f>SUM(tbl_Data_old[[#This Row],[Adjusted 2025]:[Adjusted 2034]])</f>
        <v>3.4816422051952943E-7</v>
      </c>
      <c r="AT112" s="3">
        <f>AVERAGEIFS('3. Incentive Adjustment'!F:F,'3. Incentive Adjustment'!A:A,tbl_Data_old[[#This Row],[Trimmed Sector]],'3. Incentive Adjustment'!B:B,tbl_Data_old[[#This Row],[Trimmed Measure Name]])</f>
        <v>0</v>
      </c>
      <c r="AU112" s="3">
        <f>IFERROR(VLOOKUP(tbl_Data_old[[#This Row],[All_Meas_Name_Append]],'IRA Tax Credits'!$A$3:$D$46,4,0),0)</f>
        <v>41666.666666666672</v>
      </c>
      <c r="AV112" s="4">
        <f>tbl_Data_old[[#This Row],[Adj. per unit Incentive ($)]]/tbl_Data_old[[#This Row],[kWh Savings]]*tbl_Data_old[[#This Row],[Sum of Annuals]]</f>
        <v>0</v>
      </c>
      <c r="AW112" s="4">
        <f>IFERROR(VLOOKUP(tbl_Data_old[[#This Row],[All_Programs]],'1. Set Program Names'!$B$2:$D$15,3,0)*tbl_Data_old[[#This Row],[Sum of Annuals]],"")</f>
        <v>1.5060246831838189E-7</v>
      </c>
      <c r="AX112" s="4">
        <f>tbl_Data_old[[#This Row],[per unit IRA tax ($)]]/tbl_Data_old[[#This Row],[kWh Savings]]*tbl_Data_old[[#This Row],[Sum of Annuals]]</f>
        <v>1.0900734279022675E-5</v>
      </c>
      <c r="AY112" s="4">
        <f>tbl_Data_old[[#This Row],[Avoided Costs ($/unit)]]/tbl_Data_old[[#This Row],[kWh Savings]]*tbl_Data_old[[#This Row],[Sum of Annuals]]</f>
        <v>1.8658483117760806E-7</v>
      </c>
      <c r="AZ112" s="4">
        <f>tbl_Data_old[[#This Row],[Lost Revenue ($/unit)]]/tbl_Data_old[[#This Row],[kWh Savings]]*tbl_Data_old[[#This Row],[Sum of Annuals]]</f>
        <v>5.2627676447037649E-7</v>
      </c>
      <c r="BA112" s="4">
        <f>tbl_Data_old[[#This Row],[Incremental Cost ($/unit)]]/tbl_Data_old[[#This Row],[kWh Savings]]*tbl_Data_old[[#This Row],[Sum of Annuals]]</f>
        <v>2.3519476603943861E-6</v>
      </c>
      <c r="BB112">
        <f>ROUNDUP(tbl_Data_old[[#This Row],[Adjusted 2025]]/$L112,0)</f>
        <v>1</v>
      </c>
      <c r="BC112">
        <f>ROUNDUP(tbl_Data_old[[#This Row],[Adjusted 2026]]/$L112,0)</f>
        <v>1</v>
      </c>
      <c r="BD112">
        <f>ROUNDUP(tbl_Data_old[[#This Row],[Adjusted 2027]]/$L112,0)</f>
        <v>1</v>
      </c>
      <c r="BE112">
        <f>ROUNDUP(tbl_Data_old[[#This Row],[Adjusted 2028]]/$L112,0)</f>
        <v>1</v>
      </c>
      <c r="BF112">
        <f>ROUNDUP(tbl_Data_old[[#This Row],[Adjusted 2029]]/$L112,0)</f>
        <v>1</v>
      </c>
      <c r="BG112">
        <f>ROUNDUP(tbl_Data_old[[#This Row],[Adjusted 2030]]/$L112,0)</f>
        <v>1</v>
      </c>
      <c r="BH112">
        <f>ROUNDUP(tbl_Data_old[[#This Row],[Adjusted 2031]]/$L112,0)</f>
        <v>1</v>
      </c>
      <c r="BI112">
        <f>ROUNDUP(tbl_Data_old[[#This Row],[Adjusted 2032]]/$L112,0)</f>
        <v>1</v>
      </c>
      <c r="BJ112">
        <f>ROUNDUP(tbl_Data_old[[#This Row],[Adjusted 2033]]/$L112,0)</f>
        <v>1</v>
      </c>
      <c r="BK112">
        <f>ROUNDUP(tbl_Data_old[[#This Row],[Adjusted 2034]]/$L112,0)</f>
        <v>1</v>
      </c>
      <c r="BL112" s="3">
        <f t="shared" si="8"/>
        <v>0</v>
      </c>
      <c r="BM112" s="3">
        <f t="shared" si="8"/>
        <v>0</v>
      </c>
      <c r="BN112" s="3">
        <f t="shared" si="8"/>
        <v>0</v>
      </c>
      <c r="BO112" s="3">
        <f t="shared" si="8"/>
        <v>0</v>
      </c>
      <c r="BP112" s="3">
        <f t="shared" si="8"/>
        <v>0</v>
      </c>
      <c r="BQ112" s="3">
        <f t="shared" si="7"/>
        <v>0</v>
      </c>
      <c r="BR112" s="3">
        <f t="shared" si="7"/>
        <v>0</v>
      </c>
      <c r="BS112" s="3">
        <f t="shared" si="7"/>
        <v>0</v>
      </c>
      <c r="BT112" s="3">
        <f t="shared" si="7"/>
        <v>0</v>
      </c>
      <c r="BU112" s="3">
        <f t="shared" si="7"/>
        <v>0</v>
      </c>
      <c r="BV112">
        <f>VLOOKUP($H112,'1. Set Program Names'!$B$2:$D$15,3,0)*V112</f>
        <v>0.37409834856752372</v>
      </c>
      <c r="BW112">
        <f>VLOOKUP($H112,'1. Set Program Names'!$B$2:$D$15,3,0)*W112</f>
        <v>0.4163466672579258</v>
      </c>
      <c r="BX112">
        <f>VLOOKUP($H112,'1. Set Program Names'!$B$2:$D$15,3,0)*X112</f>
        <v>0.45532904767738491</v>
      </c>
      <c r="BY112">
        <f>VLOOKUP($H112,'1. Set Program Names'!$B$2:$D$15,3,0)*Y112</f>
        <v>0.49222046733448993</v>
      </c>
      <c r="BZ112">
        <f>VLOOKUP($H112,'1. Set Program Names'!$B$2:$D$15,3,0)*Z112</f>
        <v>0.52736893498193416</v>
      </c>
      <c r="CA112">
        <f>VLOOKUP($H112,'1. Set Program Names'!$B$2:$D$15,3,0)*AA112</f>
        <v>0.5595308452547435</v>
      </c>
      <c r="CB112">
        <f>VLOOKUP($H112,'1. Set Program Names'!$B$2:$D$15,3,0)*AB112</f>
        <v>0.59310661764020456</v>
      </c>
      <c r="CC112">
        <f>VLOOKUP($H112,'1. Set Program Names'!$B$2:$D$15,3,0)*AC112</f>
        <v>0.62955953045402535</v>
      </c>
      <c r="CD112">
        <f>VLOOKUP($H112,'1. Set Program Names'!$B$2:$D$15,3,0)*AD112</f>
        <v>0.66936772381603349</v>
      </c>
      <c r="CE112">
        <f>VLOOKUP($H112,'1. Set Program Names'!$B$2:$D$15,3,0)*AE112</f>
        <v>0.71279957131338911</v>
      </c>
    </row>
    <row r="113" spans="1:83" x14ac:dyDescent="0.25">
      <c r="A113" s="20" t="s">
        <v>115</v>
      </c>
      <c r="B113" s="20" t="s">
        <v>88</v>
      </c>
      <c r="C113" s="20" t="s">
        <v>89</v>
      </c>
      <c r="D113" s="20" t="s">
        <v>90</v>
      </c>
      <c r="E113" s="20" t="s">
        <v>91</v>
      </c>
      <c r="F113" s="20" t="s">
        <v>90</v>
      </c>
      <c r="G113" s="20" t="s">
        <v>92</v>
      </c>
      <c r="H113" s="20" t="s">
        <v>7</v>
      </c>
      <c r="I113" s="20" t="s">
        <v>93</v>
      </c>
      <c r="J113" s="20" t="s">
        <v>94</v>
      </c>
      <c r="K113" s="20" t="s">
        <v>95</v>
      </c>
      <c r="L113" s="20">
        <v>1200.2266666666601</v>
      </c>
      <c r="M113" s="20">
        <v>4.8097974252120097E-2</v>
      </c>
      <c r="N113" s="20">
        <v>0.22310492157346501</v>
      </c>
      <c r="O113" s="20">
        <v>1210</v>
      </c>
      <c r="P113" s="20">
        <v>933.85922631496703</v>
      </c>
      <c r="Q113" s="20">
        <v>346.114635734861</v>
      </c>
      <c r="R113" s="20">
        <v>571.53970184074296</v>
      </c>
      <c r="S113" s="20">
        <v>1535.35818196214</v>
      </c>
      <c r="T113" s="20">
        <v>15</v>
      </c>
      <c r="U113" s="20">
        <v>0.1</v>
      </c>
      <c r="V113" s="20">
        <v>0.289584761487644</v>
      </c>
      <c r="W113" s="20">
        <v>0.59725803964061897</v>
      </c>
      <c r="X113" s="20">
        <v>0.92288993710305101</v>
      </c>
      <c r="Y113" s="20">
        <v>1.26689516606932</v>
      </c>
      <c r="Z113" s="20">
        <v>1.6296685942589699</v>
      </c>
      <c r="AA113" s="20">
        <v>2.0105485246593102</v>
      </c>
      <c r="AB113" s="20">
        <v>2.4116943988364299</v>
      </c>
      <c r="AC113" s="20">
        <v>2.83607538745858</v>
      </c>
      <c r="AD113" s="20">
        <v>3.2868519718686402</v>
      </c>
      <c r="AE113" s="20">
        <v>3.7672779671641199</v>
      </c>
      <c r="AF113" t="str">
        <f t="shared" si="5"/>
        <v>Residential</v>
      </c>
      <c r="AG113" t="str">
        <f>tbl_Data_old[[#This Row],[All_Meas_Name_Append]]</f>
        <v>120v Heat Pump Water Heater 50 Gallons</v>
      </c>
      <c r="AH113">
        <f>AVERAGEIFS('3. Incentive Adjustment'!G:G,'3. Incentive Adjustment'!A:A,tbl_Data_old[[#This Row],[Trimmed Sector]],'3. Incentive Adjustment'!B:B,tbl_Data_old[[#This Row],[Trimmed Measure Name]])</f>
        <v>0.38528347196238832</v>
      </c>
      <c r="AI113">
        <f>$AH113*tbl_Data_old[[#This Row],[2025 ]]</f>
        <v>0.1115722223333596</v>
      </c>
      <c r="AJ113">
        <f>$AH113*tbl_Data_old[[#This Row],[2026 ]]</f>
        <v>0.23011365117018742</v>
      </c>
      <c r="AK113">
        <f>$AH113*tbl_Data_old[[#This Row],[2027 ]]</f>
        <v>0.35557423920621367</v>
      </c>
      <c r="AL113">
        <f>$AH113*tbl_Data_old[[#This Row],[2028 ]]</f>
        <v>0.48811376819555413</v>
      </c>
      <c r="AM113">
        <f>$AH113*tbl_Data_old[[#This Row],[2029 ]]</f>
        <v>0.62788437414416065</v>
      </c>
      <c r="AN113">
        <f>$AH113*tbl_Data_old[[#This Row],[2030 ]]</f>
        <v>0.77463111612959656</v>
      </c>
      <c r="AO113">
        <f>$AH113*tbl_Data_old[[#This Row],[2031 ]]</f>
        <v>0.92918599129594459</v>
      </c>
      <c r="AP113">
        <f>$AH113*tbl_Data_old[[#This Row],[2032 ]]</f>
        <v>1.0926929720271175</v>
      </c>
      <c r="AQ113">
        <f>$AH113*tbl_Data_old[[#This Row],[2033 ]]</f>
        <v>1.2663697395479721</v>
      </c>
      <c r="AR113">
        <f>$AH113*tbl_Data_old[[#This Row],[2034 ]]</f>
        <v>1.4514699350364004</v>
      </c>
      <c r="AS113">
        <f>SUM(tbl_Data_old[[#This Row],[Adjusted 2025]:[Adjusted 2034]])</f>
        <v>7.3276080090865063</v>
      </c>
      <c r="AT113" s="3">
        <f>AVERAGEIFS('3. Incentive Adjustment'!F:F,'3. Incentive Adjustment'!A:A,tbl_Data_old[[#This Row],[Trimmed Sector]],'3. Incentive Adjustment'!B:B,tbl_Data_old[[#This Row],[Trimmed Measure Name]])</f>
        <v>500</v>
      </c>
      <c r="AU113" s="3">
        <f>IFERROR(VLOOKUP(tbl_Data_old[[#This Row],[All_Meas_Name_Append]],'IRA Tax Credits'!$A$3:$D$46,4,0),0)</f>
        <v>1666.6666666666667</v>
      </c>
      <c r="AV113" s="4">
        <f>tbl_Data_old[[#This Row],[Adj. per unit Incentive ($)]]/tbl_Data_old[[#This Row],[kWh Savings]]*tbl_Data_old[[#This Row],[Sum of Annuals]]</f>
        <v>3.0525934028099746</v>
      </c>
      <c r="AW113" s="4">
        <f>IFERROR(VLOOKUP(tbl_Data_old[[#This Row],[All_Programs]],'1. Set Program Names'!$B$2:$D$15,3,0)*tbl_Data_old[[#This Row],[Sum of Annuals]],"")</f>
        <v>3.1696417609806367</v>
      </c>
      <c r="AX113" s="4">
        <f>tbl_Data_old[[#This Row],[per unit IRA tax ($)]]/tbl_Data_old[[#This Row],[kWh Savings]]*tbl_Data_old[[#This Row],[Sum of Annuals]]</f>
        <v>10.175311342699915</v>
      </c>
      <c r="AY113" s="4">
        <f>tbl_Data_old[[#This Row],[Avoided Costs ($/unit)]]/tbl_Data_old[[#This Row],[kWh Savings]]*tbl_Data_old[[#This Row],[Sum of Annuals]]</f>
        <v>3.4893566465660637</v>
      </c>
      <c r="AZ113" s="4">
        <f>tbl_Data_old[[#This Row],[Lost Revenue ($/unit)]]/tbl_Data_old[[#This Row],[kWh Savings]]*tbl_Data_old[[#This Row],[Sum of Annuals]]</f>
        <v>9.3736485144158905</v>
      </c>
      <c r="BA113" s="4">
        <f>tbl_Data_old[[#This Row],[Incremental Cost ($/unit)]]/tbl_Data_old[[#This Row],[kWh Savings]]*tbl_Data_old[[#This Row],[Sum of Annuals]]</f>
        <v>7.3872760348001378</v>
      </c>
      <c r="BB113">
        <f>ROUNDUP(tbl_Data_old[[#This Row],[Adjusted 2025]]/$L113,0)</f>
        <v>1</v>
      </c>
      <c r="BC113">
        <f>ROUNDUP(tbl_Data_old[[#This Row],[Adjusted 2026]]/$L113,0)</f>
        <v>1</v>
      </c>
      <c r="BD113">
        <f>ROUNDUP(tbl_Data_old[[#This Row],[Adjusted 2027]]/$L113,0)</f>
        <v>1</v>
      </c>
      <c r="BE113">
        <f>ROUNDUP(tbl_Data_old[[#This Row],[Adjusted 2028]]/$L113,0)</f>
        <v>1</v>
      </c>
      <c r="BF113">
        <f>ROUNDUP(tbl_Data_old[[#This Row],[Adjusted 2029]]/$L113,0)</f>
        <v>1</v>
      </c>
      <c r="BG113">
        <f>ROUNDUP(tbl_Data_old[[#This Row],[Adjusted 2030]]/$L113,0)</f>
        <v>1</v>
      </c>
      <c r="BH113">
        <f>ROUNDUP(tbl_Data_old[[#This Row],[Adjusted 2031]]/$L113,0)</f>
        <v>1</v>
      </c>
      <c r="BI113">
        <f>ROUNDUP(tbl_Data_old[[#This Row],[Adjusted 2032]]/$L113,0)</f>
        <v>1</v>
      </c>
      <c r="BJ113">
        <f>ROUNDUP(tbl_Data_old[[#This Row],[Adjusted 2033]]/$L113,0)</f>
        <v>1</v>
      </c>
      <c r="BK113">
        <f>ROUNDUP(tbl_Data_old[[#This Row],[Adjusted 2034]]/$L113,0)</f>
        <v>1</v>
      </c>
      <c r="BL113" s="3">
        <f t="shared" si="8"/>
        <v>0.12063753019748169</v>
      </c>
      <c r="BM113" s="3">
        <f t="shared" si="8"/>
        <v>0.24881051897445297</v>
      </c>
      <c r="BN113" s="3">
        <f t="shared" si="8"/>
        <v>0.38446485265410535</v>
      </c>
      <c r="BO113" s="3">
        <f t="shared" si="8"/>
        <v>0.52777329535087547</v>
      </c>
      <c r="BP113" s="3">
        <f t="shared" si="8"/>
        <v>0.67890034420955714</v>
      </c>
      <c r="BQ113" s="3">
        <f t="shared" si="7"/>
        <v>0.83757034420969978</v>
      </c>
      <c r="BR113" s="3">
        <f t="shared" si="7"/>
        <v>1.0046828927465548</v>
      </c>
      <c r="BS113" s="3">
        <f t="shared" si="7"/>
        <v>1.1814749106246301</v>
      </c>
      <c r="BT113" s="3">
        <f t="shared" si="7"/>
        <v>1.3692630163755144</v>
      </c>
      <c r="BU113" s="3">
        <f t="shared" si="7"/>
        <v>1.5694027102509001</v>
      </c>
      <c r="BV113">
        <f>VLOOKUP($H113,'1. Set Program Names'!$B$2:$D$15,3,0)*V113</f>
        <v>0.12526324446076378</v>
      </c>
      <c r="BW113">
        <f>VLOOKUP($H113,'1. Set Program Names'!$B$2:$D$15,3,0)*W113</f>
        <v>0.25835088642553306</v>
      </c>
      <c r="BX113">
        <f>VLOOKUP($H113,'1. Set Program Names'!$B$2:$D$15,3,0)*X113</f>
        <v>0.39920673728769729</v>
      </c>
      <c r="BY113">
        <f>VLOOKUP($H113,'1. Set Program Names'!$B$2:$D$15,3,0)*Y113</f>
        <v>0.54801018561286541</v>
      </c>
      <c r="BZ113">
        <f>VLOOKUP($H113,'1. Set Program Names'!$B$2:$D$15,3,0)*Z113</f>
        <v>0.7049320360090866</v>
      </c>
      <c r="CA113">
        <f>VLOOKUP($H113,'1. Set Program Names'!$B$2:$D$15,3,0)*AA113</f>
        <v>0.8696860637653856</v>
      </c>
      <c r="CB113">
        <f>VLOOKUP($H113,'1. Set Program Names'!$B$2:$D$15,3,0)*AB113</f>
        <v>1.0432063603560586</v>
      </c>
      <c r="CC113">
        <f>VLOOKUP($H113,'1. Set Program Names'!$B$2:$D$15,3,0)*AC113</f>
        <v>1.2267772749621617</v>
      </c>
      <c r="CD113">
        <f>VLOOKUP($H113,'1. Set Program Names'!$B$2:$D$15,3,0)*AD113</f>
        <v>1.4217659104140818</v>
      </c>
      <c r="CE113">
        <f>VLOOKUP($H113,'1. Set Program Names'!$B$2:$D$15,3,0)*AE113</f>
        <v>1.6295797421393785</v>
      </c>
    </row>
    <row r="114" spans="1:83" x14ac:dyDescent="0.25">
      <c r="A114" s="20" t="s">
        <v>115</v>
      </c>
      <c r="B114" s="20" t="s">
        <v>88</v>
      </c>
      <c r="C114" s="20" t="s">
        <v>89</v>
      </c>
      <c r="D114" s="20" t="s">
        <v>90</v>
      </c>
      <c r="E114" s="20" t="s">
        <v>91</v>
      </c>
      <c r="F114" s="20" t="s">
        <v>90</v>
      </c>
      <c r="G114" s="20" t="s">
        <v>92</v>
      </c>
      <c r="H114" s="20" t="s">
        <v>7</v>
      </c>
      <c r="I114" s="20" t="s">
        <v>118</v>
      </c>
      <c r="J114" s="20" t="s">
        <v>97</v>
      </c>
      <c r="K114" s="20" t="s">
        <v>102</v>
      </c>
      <c r="L114" s="20">
        <v>466.599999999999</v>
      </c>
      <c r="M114" s="20">
        <v>0.18933941062023901</v>
      </c>
      <c r="N114" s="20">
        <v>2.6910820932303899E-2</v>
      </c>
      <c r="O114" s="20">
        <v>674.44999999999902</v>
      </c>
      <c r="P114" s="20">
        <v>561.40215199999898</v>
      </c>
      <c r="Q114" s="20">
        <v>134.555491490957</v>
      </c>
      <c r="R114" s="20">
        <v>370.49545033119801</v>
      </c>
      <c r="S114" s="20">
        <v>705.301475078208</v>
      </c>
      <c r="T114" s="20">
        <v>20</v>
      </c>
      <c r="U114" s="20">
        <v>1</v>
      </c>
      <c r="V114" s="20">
        <v>0.64663041775415497</v>
      </c>
      <c r="W114" s="20">
        <v>1.27238651686965</v>
      </c>
      <c r="X114" s="20">
        <v>1.8784244967586901</v>
      </c>
      <c r="Y114" s="20">
        <v>2.46652448340885</v>
      </c>
      <c r="Z114" s="20">
        <v>3.0380009308441802</v>
      </c>
      <c r="AA114" s="20">
        <v>3.5923122607166098</v>
      </c>
      <c r="AB114" s="20">
        <v>4.1328205854955504</v>
      </c>
      <c r="AC114" s="20">
        <v>4.6631680978415497</v>
      </c>
      <c r="AD114" s="20">
        <v>5.1864153820699004</v>
      </c>
      <c r="AE114" s="20">
        <v>5.70502078193151</v>
      </c>
      <c r="AF114" t="str">
        <f t="shared" si="5"/>
        <v>Residential</v>
      </c>
      <c r="AG114" t="str">
        <f>tbl_Data_old[[#This Row],[All_Meas_Name_Append]]</f>
        <v>Air Sealing-Infiltration Control</v>
      </c>
      <c r="AH114" t="e">
        <f>AVERAGEIFS('3. Incentive Adjustment'!G:G,'3. Incentive Adjustment'!A:A,tbl_Data_old[[#This Row],[Trimmed Sector]],'3. Incentive Adjustment'!B:B,tbl_Data_old[[#This Row],[Trimmed Measure Name]])</f>
        <v>#DIV/0!</v>
      </c>
      <c r="AI114" t="e">
        <f>$AH114*tbl_Data_old[[#This Row],[2025 ]]</f>
        <v>#DIV/0!</v>
      </c>
      <c r="AJ114" t="e">
        <f>$AH114*tbl_Data_old[[#This Row],[2026 ]]</f>
        <v>#DIV/0!</v>
      </c>
      <c r="AK114" t="e">
        <f>$AH114*tbl_Data_old[[#This Row],[2027 ]]</f>
        <v>#DIV/0!</v>
      </c>
      <c r="AL114" t="e">
        <f>$AH114*tbl_Data_old[[#This Row],[2028 ]]</f>
        <v>#DIV/0!</v>
      </c>
      <c r="AM114" t="e">
        <f>$AH114*tbl_Data_old[[#This Row],[2029 ]]</f>
        <v>#DIV/0!</v>
      </c>
      <c r="AN114" t="e">
        <f>$AH114*tbl_Data_old[[#This Row],[2030 ]]</f>
        <v>#DIV/0!</v>
      </c>
      <c r="AO114" t="e">
        <f>$AH114*tbl_Data_old[[#This Row],[2031 ]]</f>
        <v>#DIV/0!</v>
      </c>
      <c r="AP114" t="e">
        <f>$AH114*tbl_Data_old[[#This Row],[2032 ]]</f>
        <v>#DIV/0!</v>
      </c>
      <c r="AQ114" t="e">
        <f>$AH114*tbl_Data_old[[#This Row],[2033 ]]</f>
        <v>#DIV/0!</v>
      </c>
      <c r="AR114" t="e">
        <f>$AH114*tbl_Data_old[[#This Row],[2034 ]]</f>
        <v>#DIV/0!</v>
      </c>
      <c r="AS114" t="e">
        <f>SUM(tbl_Data_old[[#This Row],[Adjusted 2025]:[Adjusted 2034]])</f>
        <v>#DIV/0!</v>
      </c>
      <c r="AT114" s="3" t="e">
        <f>AVERAGEIFS('3. Incentive Adjustment'!F:F,'3. Incentive Adjustment'!A:A,tbl_Data_old[[#This Row],[Trimmed Sector]],'3. Incentive Adjustment'!B:B,tbl_Data_old[[#This Row],[Trimmed Measure Name]])</f>
        <v>#DIV/0!</v>
      </c>
      <c r="AU114" s="3">
        <f>IFERROR(VLOOKUP(tbl_Data_old[[#This Row],[All_Meas_Name_Append]],'IRA Tax Credits'!$A$3:$D$46,4,0),0)</f>
        <v>500</v>
      </c>
      <c r="AV114" s="4" t="e">
        <f>tbl_Data_old[[#This Row],[Adj. per unit Incentive ($)]]/tbl_Data_old[[#This Row],[kWh Savings]]*tbl_Data_old[[#This Row],[Sum of Annuals]]</f>
        <v>#DIV/0!</v>
      </c>
      <c r="AW114" s="4" t="str">
        <f>IFERROR(VLOOKUP(tbl_Data_old[[#This Row],[All_Programs]],'1. Set Program Names'!$B$2:$D$15,3,0)*tbl_Data_old[[#This Row],[Sum of Annuals]],"")</f>
        <v/>
      </c>
      <c r="AX114" s="4" t="e">
        <f>tbl_Data_old[[#This Row],[per unit IRA tax ($)]]/tbl_Data_old[[#This Row],[kWh Savings]]*tbl_Data_old[[#This Row],[Sum of Annuals]]</f>
        <v>#DIV/0!</v>
      </c>
      <c r="AY114" s="4" t="e">
        <f>tbl_Data_old[[#This Row],[Avoided Costs ($/unit)]]/tbl_Data_old[[#This Row],[kWh Savings]]*tbl_Data_old[[#This Row],[Sum of Annuals]]</f>
        <v>#DIV/0!</v>
      </c>
      <c r="AZ114" s="4" t="e">
        <f>tbl_Data_old[[#This Row],[Lost Revenue ($/unit)]]/tbl_Data_old[[#This Row],[kWh Savings]]*tbl_Data_old[[#This Row],[Sum of Annuals]]</f>
        <v>#DIV/0!</v>
      </c>
      <c r="BA114" s="4" t="e">
        <f>tbl_Data_old[[#This Row],[Incremental Cost ($/unit)]]/tbl_Data_old[[#This Row],[kWh Savings]]*tbl_Data_old[[#This Row],[Sum of Annuals]]</f>
        <v>#DIV/0!</v>
      </c>
      <c r="BB114" t="e">
        <f>ROUNDUP(tbl_Data_old[[#This Row],[Adjusted 2025]]/$L114,0)</f>
        <v>#DIV/0!</v>
      </c>
      <c r="BC114" t="e">
        <f>ROUNDUP(tbl_Data_old[[#This Row],[Adjusted 2026]]/$L114,0)</f>
        <v>#DIV/0!</v>
      </c>
      <c r="BD114" t="e">
        <f>ROUNDUP(tbl_Data_old[[#This Row],[Adjusted 2027]]/$L114,0)</f>
        <v>#DIV/0!</v>
      </c>
      <c r="BE114" t="e">
        <f>ROUNDUP(tbl_Data_old[[#This Row],[Adjusted 2028]]/$L114,0)</f>
        <v>#DIV/0!</v>
      </c>
      <c r="BF114" t="e">
        <f>ROUNDUP(tbl_Data_old[[#This Row],[Adjusted 2029]]/$L114,0)</f>
        <v>#DIV/0!</v>
      </c>
      <c r="BG114" t="e">
        <f>ROUNDUP(tbl_Data_old[[#This Row],[Adjusted 2030]]/$L114,0)</f>
        <v>#DIV/0!</v>
      </c>
      <c r="BH114" t="e">
        <f>ROUNDUP(tbl_Data_old[[#This Row],[Adjusted 2031]]/$L114,0)</f>
        <v>#DIV/0!</v>
      </c>
      <c r="BI114" t="e">
        <f>ROUNDUP(tbl_Data_old[[#This Row],[Adjusted 2032]]/$L114,0)</f>
        <v>#DIV/0!</v>
      </c>
      <c r="BJ114" t="e">
        <f>ROUNDUP(tbl_Data_old[[#This Row],[Adjusted 2033]]/$L114,0)</f>
        <v>#DIV/0!</v>
      </c>
      <c r="BK114" t="e">
        <f>ROUNDUP(tbl_Data_old[[#This Row],[Adjusted 2034]]/$L114,0)</f>
        <v>#DIV/0!</v>
      </c>
      <c r="BL114" s="3" t="e">
        <f t="shared" si="8"/>
        <v>#DIV/0!</v>
      </c>
      <c r="BM114" s="3" t="e">
        <f t="shared" si="8"/>
        <v>#DIV/0!</v>
      </c>
      <c r="BN114" s="3" t="e">
        <f t="shared" si="8"/>
        <v>#DIV/0!</v>
      </c>
      <c r="BO114" s="3" t="e">
        <f t="shared" si="8"/>
        <v>#DIV/0!</v>
      </c>
      <c r="BP114" s="3" t="e">
        <f t="shared" si="8"/>
        <v>#DIV/0!</v>
      </c>
      <c r="BQ114" s="3" t="e">
        <f t="shared" si="7"/>
        <v>#DIV/0!</v>
      </c>
      <c r="BR114" s="3" t="e">
        <f t="shared" si="7"/>
        <v>#DIV/0!</v>
      </c>
      <c r="BS114" s="3" t="e">
        <f t="shared" si="7"/>
        <v>#DIV/0!</v>
      </c>
      <c r="BT114" s="3" t="e">
        <f t="shared" si="7"/>
        <v>#DIV/0!</v>
      </c>
      <c r="BU114" s="3" t="e">
        <f t="shared" si="7"/>
        <v>#DIV/0!</v>
      </c>
      <c r="BV114">
        <f>VLOOKUP($H114,'1. Set Program Names'!$B$2:$D$15,3,0)*V114</f>
        <v>0.27970748073482654</v>
      </c>
      <c r="BW114">
        <f>VLOOKUP($H114,'1. Set Program Names'!$B$2:$D$15,3,0)*W114</f>
        <v>0.55038553303856519</v>
      </c>
      <c r="BX114">
        <f>VLOOKUP($H114,'1. Set Program Names'!$B$2:$D$15,3,0)*X114</f>
        <v>0.81253428436568698</v>
      </c>
      <c r="BY114">
        <f>VLOOKUP($H114,'1. Set Program Names'!$B$2:$D$15,3,0)*Y114</f>
        <v>1.0669237488412691</v>
      </c>
      <c r="BZ114">
        <f>VLOOKUP($H114,'1. Set Program Names'!$B$2:$D$15,3,0)*Z114</f>
        <v>1.3141225087860839</v>
      </c>
      <c r="CA114">
        <f>VLOOKUP($H114,'1. Set Program Names'!$B$2:$D$15,3,0)*AA114</f>
        <v>1.5538962982095439</v>
      </c>
      <c r="CB114">
        <f>VLOOKUP($H114,'1. Set Program Names'!$B$2:$D$15,3,0)*AB114</f>
        <v>1.7876994378224382</v>
      </c>
      <c r="CC114">
        <f>VLOOKUP($H114,'1. Set Program Names'!$B$2:$D$15,3,0)*AC114</f>
        <v>2.017107400267967</v>
      </c>
      <c r="CD114">
        <f>VLOOKUP($H114,'1. Set Program Names'!$B$2:$D$15,3,0)*AD114</f>
        <v>2.2434440767595691</v>
      </c>
      <c r="CE114">
        <f>VLOOKUP($H114,'1. Set Program Names'!$B$2:$D$15,3,0)*AE114</f>
        <v>2.4677728523754392</v>
      </c>
    </row>
    <row r="115" spans="1:83" x14ac:dyDescent="0.25">
      <c r="A115" s="20" t="s">
        <v>115</v>
      </c>
      <c r="B115" s="20" t="s">
        <v>88</v>
      </c>
      <c r="C115" s="20" t="s">
        <v>89</v>
      </c>
      <c r="D115" s="20" t="s">
        <v>90</v>
      </c>
      <c r="E115" s="20" t="s">
        <v>91</v>
      </c>
      <c r="F115" s="20" t="s">
        <v>90</v>
      </c>
      <c r="G115" s="20" t="s">
        <v>92</v>
      </c>
      <c r="H115" s="20" t="s">
        <v>7</v>
      </c>
      <c r="I115" s="20" t="s">
        <v>96</v>
      </c>
      <c r="J115" s="20" t="s">
        <v>97</v>
      </c>
      <c r="K115" s="20" t="s">
        <v>98</v>
      </c>
      <c r="L115" s="20">
        <v>5868.07</v>
      </c>
      <c r="M115" s="20">
        <v>0.20813520080661799</v>
      </c>
      <c r="N115" s="20">
        <v>1.1349578069705</v>
      </c>
      <c r="O115" s="20">
        <v>1935.1666666666599</v>
      </c>
      <c r="P115" s="20">
        <v>513.45064263862798</v>
      </c>
      <c r="Q115" s="20">
        <v>1692.2011207744099</v>
      </c>
      <c r="R115" s="20">
        <v>3388.0400735263802</v>
      </c>
      <c r="S115" s="20">
        <v>7811.7411984889604</v>
      </c>
      <c r="T115" s="20">
        <v>16</v>
      </c>
      <c r="U115" s="20">
        <v>0.1</v>
      </c>
      <c r="V115" s="20">
        <v>3.2603408201456898</v>
      </c>
      <c r="W115" s="20">
        <v>6.7252284747768796</v>
      </c>
      <c r="X115" s="20">
        <v>10.3927064544053</v>
      </c>
      <c r="Y115" s="20">
        <v>14.267076542540799</v>
      </c>
      <c r="Z115" s="20">
        <v>18.352678576562798</v>
      </c>
      <c r="AA115" s="20">
        <v>22.6422918715507</v>
      </c>
      <c r="AB115" s="20">
        <v>27.160778728748401</v>
      </c>
      <c r="AC115" s="20">
        <v>31.9423265806034</v>
      </c>
      <c r="AD115" s="20">
        <v>37.023363226944298</v>
      </c>
      <c r="AE115" s="20">
        <v>42.4413689673177</v>
      </c>
      <c r="AF115" t="str">
        <f t="shared" si="5"/>
        <v>Residential</v>
      </c>
      <c r="AG115" t="str">
        <f>tbl_Data_old[[#This Row],[All_Meas_Name_Append]]</f>
        <v>ASHP - CEE Tier 2: 16.8 SEER/16 SEER2; 9.0 HSPF (from elec resistance)</v>
      </c>
      <c r="AH115">
        <f>AVERAGEIFS('3. Incentive Adjustment'!G:G,'3. Incentive Adjustment'!A:A,tbl_Data_old[[#This Row],[Trimmed Sector]],'3. Incentive Adjustment'!B:B,tbl_Data_old[[#This Row],[Trimmed Measure Name]])</f>
        <v>0.9303958662075158</v>
      </c>
      <c r="AI115">
        <f>$AH115*tbl_Data_old[[#This Row],[2025 ]]</f>
        <v>3.0334076214911714</v>
      </c>
      <c r="AJ115">
        <f>$AH115*tbl_Data_old[[#This Row],[2026 ]]</f>
        <v>6.2571247722334853</v>
      </c>
      <c r="AK115">
        <f>$AH115*tbl_Data_old[[#This Row],[2027 ]]</f>
        <v>9.6693311238868596</v>
      </c>
      <c r="AL115">
        <f>$AH115*tbl_Data_old[[#This Row],[2028 ]]</f>
        <v>13.274029038046177</v>
      </c>
      <c r="AM115">
        <f>$AH115*tbl_Data_old[[#This Row],[2029 ]]</f>
        <v>17.075256281469262</v>
      </c>
      <c r="AN115">
        <f>$AH115*tbl_Data_old[[#This Row],[2030 ]]</f>
        <v>21.066294758754808</v>
      </c>
      <c r="AO115">
        <f>$AH115*tbl_Data_old[[#This Row],[2031 ]]</f>
        <v>25.270276252204539</v>
      </c>
      <c r="AP115">
        <f>$AH115*tbl_Data_old[[#This Row],[2032 ]]</f>
        <v>29.719008607643858</v>
      </c>
      <c r="AQ115">
        <f>$AH115*tbl_Data_old[[#This Row],[2033 ]]</f>
        <v>34.446384099448331</v>
      </c>
      <c r="AR115">
        <f>$AH115*tbl_Data_old[[#This Row],[2034 ]]</f>
        <v>39.487274243380334</v>
      </c>
      <c r="AS115">
        <f>SUM(tbl_Data_old[[#This Row],[Adjusted 2025]:[Adjusted 2034]])</f>
        <v>199.29838679855882</v>
      </c>
      <c r="AT115" s="3">
        <f>AVERAGEIFS('3. Incentive Adjustment'!F:F,'3. Incentive Adjustment'!A:A,tbl_Data_old[[#This Row],[Trimmed Sector]],'3. Incentive Adjustment'!B:B,tbl_Data_old[[#This Row],[Trimmed Measure Name]])</f>
        <v>353</v>
      </c>
      <c r="AU115" s="3">
        <f>IFERROR(VLOOKUP(tbl_Data_old[[#This Row],[All_Meas_Name_Append]],'IRA Tax Credits'!$A$3:$D$46,4,0),0)</f>
        <v>0</v>
      </c>
      <c r="AV115" s="4">
        <f>tbl_Data_old[[#This Row],[Adj. per unit Incentive ($)]]/tbl_Data_old[[#This Row],[kWh Savings]]*tbl_Data_old[[#This Row],[Sum of Annuals]]</f>
        <v>11.989006698947229</v>
      </c>
      <c r="AW115" s="4">
        <f>IFERROR(VLOOKUP(tbl_Data_old[[#This Row],[All_Programs]],'1. Set Program Names'!$B$2:$D$15,3,0)*tbl_Data_old[[#This Row],[Sum of Annuals]],"")</f>
        <v>86.208826797154956</v>
      </c>
      <c r="AX115" s="4">
        <f>tbl_Data_old[[#This Row],[per unit IRA tax ($)]]/tbl_Data_old[[#This Row],[kWh Savings]]*tbl_Data_old[[#This Row],[Sum of Annuals]]</f>
        <v>0</v>
      </c>
      <c r="AY115" s="4">
        <f>tbl_Data_old[[#This Row],[Avoided Costs ($/unit)]]/tbl_Data_old[[#This Row],[kWh Savings]]*tbl_Data_old[[#This Row],[Sum of Annuals]]</f>
        <v>115.06865478132984</v>
      </c>
      <c r="AZ115" s="4">
        <f>tbl_Data_old[[#This Row],[Lost Revenue ($/unit)]]/tbl_Data_old[[#This Row],[kWh Savings]]*tbl_Data_old[[#This Row],[Sum of Annuals]]</f>
        <v>265.31166447344538</v>
      </c>
      <c r="BA115" s="4">
        <f>tbl_Data_old[[#This Row],[Incremental Cost ($/unit)]]/tbl_Data_old[[#This Row],[kWh Savings]]*tbl_Data_old[[#This Row],[Sum of Annuals]]</f>
        <v>65.724436629591978</v>
      </c>
      <c r="BB115">
        <f>ROUNDUP(tbl_Data_old[[#This Row],[Adjusted 2025]]/$L115,0)</f>
        <v>1</v>
      </c>
      <c r="BC115">
        <f>ROUNDUP(tbl_Data_old[[#This Row],[Adjusted 2026]]/$L115,0)</f>
        <v>1</v>
      </c>
      <c r="BD115">
        <f>ROUNDUP(tbl_Data_old[[#This Row],[Adjusted 2027]]/$L115,0)</f>
        <v>1</v>
      </c>
      <c r="BE115">
        <f>ROUNDUP(tbl_Data_old[[#This Row],[Adjusted 2028]]/$L115,0)</f>
        <v>1</v>
      </c>
      <c r="BF115">
        <f>ROUNDUP(tbl_Data_old[[#This Row],[Adjusted 2029]]/$L115,0)</f>
        <v>1</v>
      </c>
      <c r="BG115">
        <f>ROUNDUP(tbl_Data_old[[#This Row],[Adjusted 2030]]/$L115,0)</f>
        <v>1</v>
      </c>
      <c r="BH115">
        <f>ROUNDUP(tbl_Data_old[[#This Row],[Adjusted 2031]]/$L115,0)</f>
        <v>1</v>
      </c>
      <c r="BI115">
        <f>ROUNDUP(tbl_Data_old[[#This Row],[Adjusted 2032]]/$L115,0)</f>
        <v>1</v>
      </c>
      <c r="BJ115">
        <f>ROUNDUP(tbl_Data_old[[#This Row],[Adjusted 2033]]/$L115,0)</f>
        <v>1</v>
      </c>
      <c r="BK115">
        <f>ROUNDUP(tbl_Data_old[[#This Row],[Adjusted 2034]]/$L115,0)</f>
        <v>1</v>
      </c>
      <c r="BL115" s="3">
        <f t="shared" si="8"/>
        <v>0.19612927410740305</v>
      </c>
      <c r="BM115" s="3">
        <f t="shared" si="8"/>
        <v>0.4045632808736499</v>
      </c>
      <c r="BN115" s="3">
        <f t="shared" si="8"/>
        <v>0.62518432438690597</v>
      </c>
      <c r="BO115" s="3">
        <f t="shared" si="8"/>
        <v>0.85825118301535297</v>
      </c>
      <c r="BP115" s="3">
        <f t="shared" si="8"/>
        <v>1.1040249242982221</v>
      </c>
      <c r="BQ115" s="3">
        <f t="shared" si="7"/>
        <v>1.3620711802445093</v>
      </c>
      <c r="BR115" s="3">
        <f t="shared" si="7"/>
        <v>1.6338855690624321</v>
      </c>
      <c r="BS115" s="3">
        <f t="shared" si="7"/>
        <v>1.9215246721584782</v>
      </c>
      <c r="BT115" s="3">
        <f t="shared" si="7"/>
        <v>2.2271798426248046</v>
      </c>
      <c r="BU115" s="3">
        <f t="shared" si="7"/>
        <v>2.5531057477949561</v>
      </c>
      <c r="BV115">
        <f>VLOOKUP($H115,'1. Set Program Names'!$B$2:$D$15,3,0)*V115</f>
        <v>1.4102982045094326</v>
      </c>
      <c r="BW115">
        <f>VLOOKUP($H115,'1. Set Program Names'!$B$2:$D$15,3,0)*W115</f>
        <v>2.9090755126851189</v>
      </c>
      <c r="BX115">
        <f>VLOOKUP($H115,'1. Set Program Names'!$B$2:$D$15,3,0)*X115</f>
        <v>4.4954856136747194</v>
      </c>
      <c r="BY115">
        <f>VLOOKUP($H115,'1. Set Program Names'!$B$2:$D$15,3,0)*Y115</f>
        <v>6.1713892937870289</v>
      </c>
      <c r="BZ115">
        <f>VLOOKUP($H115,'1. Set Program Names'!$B$2:$D$15,3,0)*Z115</f>
        <v>7.9386637999731144</v>
      </c>
      <c r="CA115">
        <f>VLOOKUP($H115,'1. Set Program Names'!$B$2:$D$15,3,0)*AA115</f>
        <v>9.7941857412930098</v>
      </c>
      <c r="CB115">
        <f>VLOOKUP($H115,'1. Set Program Names'!$B$2:$D$15,3,0)*AB115</f>
        <v>11.748709594268796</v>
      </c>
      <c r="CC115">
        <f>VLOOKUP($H115,'1. Set Program Names'!$B$2:$D$15,3,0)*AC115</f>
        <v>13.8170235289898</v>
      </c>
      <c r="CD115">
        <f>VLOOKUP($H115,'1. Set Program Names'!$B$2:$D$15,3,0)*AD115</f>
        <v>16.01488481241875</v>
      </c>
      <c r="CE115">
        <f>VLOOKUP($H115,'1. Set Program Names'!$B$2:$D$15,3,0)*AE115</f>
        <v>18.358505982468376</v>
      </c>
    </row>
    <row r="116" spans="1:83" x14ac:dyDescent="0.25">
      <c r="A116" s="20" t="s">
        <v>115</v>
      </c>
      <c r="B116" s="20" t="s">
        <v>88</v>
      </c>
      <c r="C116" s="20" t="s">
        <v>89</v>
      </c>
      <c r="D116" s="20" t="s">
        <v>90</v>
      </c>
      <c r="E116" s="20" t="s">
        <v>91</v>
      </c>
      <c r="F116" s="20" t="s">
        <v>90</v>
      </c>
      <c r="G116" s="20" t="s">
        <v>92</v>
      </c>
      <c r="H116" s="20" t="s">
        <v>7</v>
      </c>
      <c r="I116" s="20" t="s">
        <v>99</v>
      </c>
      <c r="J116" s="20" t="s">
        <v>97</v>
      </c>
      <c r="K116" s="20" t="s">
        <v>98</v>
      </c>
      <c r="L116" s="20">
        <v>253.96999999999801</v>
      </c>
      <c r="M116" s="20">
        <v>0.107126245482503</v>
      </c>
      <c r="N116" s="20">
        <v>1.33192706841354E-2</v>
      </c>
      <c r="O116" s="20">
        <v>874.99999999999898</v>
      </c>
      <c r="P116" s="20">
        <v>813.468148399999</v>
      </c>
      <c r="Q116" s="20">
        <v>73.238444436258604</v>
      </c>
      <c r="R116" s="20">
        <v>185.54516688855901</v>
      </c>
      <c r="S116" s="20">
        <v>338.09206641710699</v>
      </c>
      <c r="T116" s="20">
        <v>16</v>
      </c>
      <c r="U116" s="20">
        <v>9.9999999999999895E-2</v>
      </c>
      <c r="V116" s="20">
        <v>3.5291828740087801</v>
      </c>
      <c r="W116" s="20">
        <v>7.4768642785877599</v>
      </c>
      <c r="X116" s="20">
        <v>11.816077504488</v>
      </c>
      <c r="Y116" s="20">
        <v>16.530667543834401</v>
      </c>
      <c r="Z116" s="20">
        <v>21.607553887944</v>
      </c>
      <c r="AA116" s="20">
        <v>27.021395693213599</v>
      </c>
      <c r="AB116" s="20">
        <v>32.789232040520702</v>
      </c>
      <c r="AC116" s="20">
        <v>38.942638369072398</v>
      </c>
      <c r="AD116" s="20">
        <v>45.518341371410799</v>
      </c>
      <c r="AE116" s="20">
        <v>52.556247719525103</v>
      </c>
      <c r="AF116" t="str">
        <f t="shared" si="5"/>
        <v>Residential</v>
      </c>
      <c r="AG116" t="str">
        <f>tbl_Data_old[[#This Row],[All_Meas_Name_Append]]</f>
        <v>ASHP - ENERGY STAR/CEE Tier 1: 16 SEER/15.2 SEER2_ 9.0 HSPF</v>
      </c>
      <c r="AH116">
        <f>AVERAGEIFS('3. Incentive Adjustment'!G:G,'3. Incentive Adjustment'!A:A,tbl_Data_old[[#This Row],[Trimmed Sector]],'3. Incentive Adjustment'!B:B,tbl_Data_old[[#This Row],[Trimmed Measure Name]])</f>
        <v>8.3636985731950567E-3</v>
      </c>
      <c r="AI116">
        <f>$AH116*tbl_Data_old[[#This Row],[2025 ]]</f>
        <v>2.9517021767891664E-2</v>
      </c>
      <c r="AJ116">
        <f>$AH116*tbl_Data_old[[#This Row],[2026 ]]</f>
        <v>6.2534239098797531E-2</v>
      </c>
      <c r="AK116">
        <f>$AH116*tbl_Data_old[[#This Row],[2027 ]]</f>
        <v>9.8826110565048489E-2</v>
      </c>
      <c r="AL116">
        <f>$AH116*tbl_Data_old[[#This Row],[2028 ]]</f>
        <v>0.13825752055032961</v>
      </c>
      <c r="AM116">
        <f>$AH116*tbl_Data_old[[#This Row],[2029 ]]</f>
        <v>0.18071906762283255</v>
      </c>
      <c r="AN116">
        <f>$AH116*tbl_Data_old[[#This Row],[2030 ]]</f>
        <v>0.22599880860506963</v>
      </c>
      <c r="AO116">
        <f>$AH116*tbl_Data_old[[#This Row],[2031 ]]</f>
        <v>0.27423925323346465</v>
      </c>
      <c r="AP116">
        <f>$AH116*tbl_Data_old[[#This Row],[2032 ]]</f>
        <v>0.32570448896386189</v>
      </c>
      <c r="AQ116">
        <f>$AH116*tbl_Data_old[[#This Row],[2033 ]]</f>
        <v>0.38070168678227401</v>
      </c>
      <c r="AR116">
        <f>$AH116*tbl_Data_old[[#This Row],[2034 ]]</f>
        <v>0.43956461406427805</v>
      </c>
      <c r="AS116">
        <f>SUM(tbl_Data_old[[#This Row],[Adjusted 2025]:[Adjusted 2034]])</f>
        <v>2.1560628112538476</v>
      </c>
      <c r="AT116" s="3">
        <f>AVERAGEIFS('3. Incentive Adjustment'!F:F,'3. Incentive Adjustment'!A:A,tbl_Data_old[[#This Row],[Trimmed Sector]],'3. Incentive Adjustment'!B:B,tbl_Data_old[[#This Row],[Trimmed Measure Name]])</f>
        <v>353</v>
      </c>
      <c r="AU116" s="3">
        <f>IFERROR(VLOOKUP(tbl_Data_old[[#This Row],[All_Meas_Name_Append]],'IRA Tax Credits'!$A$3:$D$46,4,0),0)</f>
        <v>0</v>
      </c>
      <c r="AV116" s="4">
        <f>tbl_Data_old[[#This Row],[Adj. per unit Incentive ($)]]/tbl_Data_old[[#This Row],[kWh Savings]]*tbl_Data_old[[#This Row],[Sum of Annuals]]</f>
        <v>2.9967719509100057</v>
      </c>
      <c r="AW116" s="4">
        <f>IFERROR(VLOOKUP(tbl_Data_old[[#This Row],[All_Programs]],'1. Set Program Names'!$B$2:$D$15,3,0)*tbl_Data_old[[#This Row],[Sum of Annuals]],"")</f>
        <v>0.93262995473736587</v>
      </c>
      <c r="AX116" s="4">
        <f>tbl_Data_old[[#This Row],[per unit IRA tax ($)]]/tbl_Data_old[[#This Row],[kWh Savings]]*tbl_Data_old[[#This Row],[Sum of Annuals]]</f>
        <v>0</v>
      </c>
      <c r="AY116" s="4">
        <f>tbl_Data_old[[#This Row],[Avoided Costs ($/unit)]]/tbl_Data_old[[#This Row],[kWh Savings]]*tbl_Data_old[[#This Row],[Sum of Annuals]]</f>
        <v>1.575174367587959</v>
      </c>
      <c r="AZ116" s="4">
        <f>tbl_Data_old[[#This Row],[Lost Revenue ($/unit)]]/tbl_Data_old[[#This Row],[kWh Savings]]*tbl_Data_old[[#This Row],[Sum of Annuals]]</f>
        <v>2.8702119588214985</v>
      </c>
      <c r="BA116" s="4">
        <f>tbl_Data_old[[#This Row],[Incremental Cost ($/unit)]]/tbl_Data_old[[#This Row],[kWh Savings]]*tbl_Data_old[[#This Row],[Sum of Annuals]]</f>
        <v>7.4282590851168608</v>
      </c>
      <c r="BB116">
        <f>ROUNDUP(tbl_Data_old[[#This Row],[Adjusted 2025]]/$L116,0)</f>
        <v>1</v>
      </c>
      <c r="BC116">
        <f>ROUNDUP(tbl_Data_old[[#This Row],[Adjusted 2026]]/$L116,0)</f>
        <v>1</v>
      </c>
      <c r="BD116">
        <f>ROUNDUP(tbl_Data_old[[#This Row],[Adjusted 2027]]/$L116,0)</f>
        <v>1</v>
      </c>
      <c r="BE116">
        <f>ROUNDUP(tbl_Data_old[[#This Row],[Adjusted 2028]]/$L116,0)</f>
        <v>1</v>
      </c>
      <c r="BF116">
        <f>ROUNDUP(tbl_Data_old[[#This Row],[Adjusted 2029]]/$L116,0)</f>
        <v>1</v>
      </c>
      <c r="BG116">
        <f>ROUNDUP(tbl_Data_old[[#This Row],[Adjusted 2030]]/$L116,0)</f>
        <v>1</v>
      </c>
      <c r="BH116">
        <f>ROUNDUP(tbl_Data_old[[#This Row],[Adjusted 2031]]/$L116,0)</f>
        <v>1</v>
      </c>
      <c r="BI116">
        <f>ROUNDUP(tbl_Data_old[[#This Row],[Adjusted 2032]]/$L116,0)</f>
        <v>1</v>
      </c>
      <c r="BJ116">
        <f>ROUNDUP(tbl_Data_old[[#This Row],[Adjusted 2033]]/$L116,0)</f>
        <v>1</v>
      </c>
      <c r="BK116">
        <f>ROUNDUP(tbl_Data_old[[#This Row],[Adjusted 2034]]/$L116,0)</f>
        <v>1</v>
      </c>
      <c r="BL116" s="3">
        <f t="shared" si="8"/>
        <v>4.9053098969370756</v>
      </c>
      <c r="BM116" s="3">
        <f t="shared" si="8"/>
        <v>10.392302596139308</v>
      </c>
      <c r="BN116" s="3">
        <f t="shared" si="8"/>
        <v>16.423496314857253</v>
      </c>
      <c r="BO116" s="3">
        <f t="shared" si="8"/>
        <v>22.97643675620581</v>
      </c>
      <c r="BP116" s="3">
        <f t="shared" si="8"/>
        <v>30.03294295564158</v>
      </c>
      <c r="BQ116" s="3">
        <f t="shared" si="7"/>
        <v>37.557792966509723</v>
      </c>
      <c r="BR116" s="3">
        <f t="shared" si="7"/>
        <v>45.57466988346615</v>
      </c>
      <c r="BS116" s="3">
        <f t="shared" si="7"/>
        <v>54.127461291816608</v>
      </c>
      <c r="BT116" s="3">
        <f t="shared" si="7"/>
        <v>63.267214647825092</v>
      </c>
      <c r="BU116" s="3">
        <f t="shared" si="7"/>
        <v>73.049397350051223</v>
      </c>
      <c r="BV116">
        <f>VLOOKUP($H116,'1. Set Program Names'!$B$2:$D$15,3,0)*V116</f>
        <v>1.5265889504084462</v>
      </c>
      <c r="BW116">
        <f>VLOOKUP($H116,'1. Set Program Names'!$B$2:$D$15,3,0)*W116</f>
        <v>3.2342042900232255</v>
      </c>
      <c r="BX116">
        <f>VLOOKUP($H116,'1. Set Program Names'!$B$2:$D$15,3,0)*X116</f>
        <v>5.1111812562525518</v>
      </c>
      <c r="BY116">
        <f>VLOOKUP($H116,'1. Set Program Names'!$B$2:$D$15,3,0)*Y116</f>
        <v>7.1505318132262774</v>
      </c>
      <c r="BZ116">
        <f>VLOOKUP($H116,'1. Set Program Names'!$B$2:$D$15,3,0)*Z116</f>
        <v>9.3465978353289234</v>
      </c>
      <c r="CA116">
        <f>VLOOKUP($H116,'1. Set Program Names'!$B$2:$D$15,3,0)*AA116</f>
        <v>11.688417846995263</v>
      </c>
      <c r="CB116">
        <f>VLOOKUP($H116,'1. Set Program Names'!$B$2:$D$15,3,0)*AB116</f>
        <v>14.183362300117793</v>
      </c>
      <c r="CC116">
        <f>VLOOKUP($H116,'1. Set Program Names'!$B$2:$D$15,3,0)*AC116</f>
        <v>16.845089516840385</v>
      </c>
      <c r="CD116">
        <f>VLOOKUP($H116,'1. Set Program Names'!$B$2:$D$15,3,0)*AD116</f>
        <v>19.689486053632734</v>
      </c>
      <c r="CE116">
        <f>VLOOKUP($H116,'1. Set Program Names'!$B$2:$D$15,3,0)*AE116</f>
        <v>22.733814003925861</v>
      </c>
    </row>
    <row r="117" spans="1:83" x14ac:dyDescent="0.25">
      <c r="A117" s="20" t="s">
        <v>115</v>
      </c>
      <c r="B117" s="20" t="s">
        <v>88</v>
      </c>
      <c r="C117" s="20" t="s">
        <v>89</v>
      </c>
      <c r="D117" s="20" t="s">
        <v>90</v>
      </c>
      <c r="E117" s="20" t="s">
        <v>91</v>
      </c>
      <c r="F117" s="20" t="s">
        <v>90</v>
      </c>
      <c r="G117" s="20" t="s">
        <v>92</v>
      </c>
      <c r="H117" s="20" t="s">
        <v>7</v>
      </c>
      <c r="I117" s="20" t="s">
        <v>100</v>
      </c>
      <c r="J117" s="20" t="s">
        <v>101</v>
      </c>
      <c r="K117" s="20" t="s">
        <v>102</v>
      </c>
      <c r="L117" s="20">
        <v>3443.6666666666601</v>
      </c>
      <c r="M117" s="20">
        <v>1.66949913665645</v>
      </c>
      <c r="N117" s="20">
        <v>0.25022957227107101</v>
      </c>
      <c r="O117" s="20">
        <v>1269.26999999999</v>
      </c>
      <c r="P117" s="20">
        <v>446.40188399649003</v>
      </c>
      <c r="Q117" s="20">
        <v>993.06528260685695</v>
      </c>
      <c r="R117" s="20">
        <v>3363.3816217672702</v>
      </c>
      <c r="S117" s="20">
        <v>6252.5618237134204</v>
      </c>
      <c r="T117" s="20">
        <v>30</v>
      </c>
      <c r="U117" s="20">
        <v>0.1</v>
      </c>
      <c r="V117" s="20">
        <v>0.75523368587477402</v>
      </c>
      <c r="W117" s="20">
        <v>1.48613254617103</v>
      </c>
      <c r="X117" s="20">
        <v>2.19404247535256</v>
      </c>
      <c r="Y117" s="20">
        <v>2.8810386170023099</v>
      </c>
      <c r="Z117" s="20">
        <v>3.5486526144353099</v>
      </c>
      <c r="AA117" s="20">
        <v>4.1962481299315799</v>
      </c>
      <c r="AB117" s="20">
        <v>4.8277497469448303</v>
      </c>
      <c r="AC117" s="20">
        <v>5.44741002271439</v>
      </c>
      <c r="AD117" s="20">
        <v>6.0588026515459497</v>
      </c>
      <c r="AE117" s="20">
        <v>6.6647981822307401</v>
      </c>
      <c r="AF117" t="str">
        <f t="shared" si="5"/>
        <v>Residential</v>
      </c>
      <c r="AG117" t="str">
        <f>tbl_Data_old[[#This Row],[All_Meas_Name_Append]]</f>
        <v>Ceiling Insulation(R2 to R38) Residential</v>
      </c>
      <c r="AH117">
        <f>AVERAGEIFS('3. Incentive Adjustment'!G:G,'3. Incentive Adjustment'!A:A,tbl_Data_old[[#This Row],[Trimmed Sector]],'3. Incentive Adjustment'!B:B,tbl_Data_old[[#This Row],[Trimmed Measure Name]])</f>
        <v>0.80543313072084111</v>
      </c>
      <c r="AI117">
        <f>$AH117*tbl_Data_old[[#This Row],[2025 ]]</f>
        <v>0.60829023203995947</v>
      </c>
      <c r="AJ117">
        <f>$AH117*tbl_Data_old[[#This Row],[2026 ]]</f>
        <v>1.1969803893286677</v>
      </c>
      <c r="AK117">
        <f>$AH117*tbl_Data_old[[#This Row],[2027 ]]</f>
        <v>1.7671544998577162</v>
      </c>
      <c r="AL117">
        <f>$AH117*tbl_Data_old[[#This Row],[2028 ]]</f>
        <v>2.3204839530198127</v>
      </c>
      <c r="AM117">
        <f>$AH117*tbl_Data_old[[#This Row],[2029 ]]</f>
        <v>2.8582023850853293</v>
      </c>
      <c r="AN117">
        <f>$AH117*tbl_Data_old[[#This Row],[2030 ]]</f>
        <v>3.379797268572267</v>
      </c>
      <c r="AO117">
        <f>$AH117*tbl_Data_old[[#This Row],[2031 ]]</f>
        <v>3.8884295930185231</v>
      </c>
      <c r="AP117">
        <f>$AH117*tbl_Data_old[[#This Row],[2032 ]]</f>
        <v>4.3875245089149395</v>
      </c>
      <c r="AQ117">
        <f>$AH117*tbl_Data_old[[#This Row],[2033 ]]</f>
        <v>4.8799603880543874</v>
      </c>
      <c r="AR117">
        <f>$AH117*tbl_Data_old[[#This Row],[2034 ]]</f>
        <v>5.3680492655366763</v>
      </c>
      <c r="AS117">
        <f>SUM(tbl_Data_old[[#This Row],[Adjusted 2025]:[Adjusted 2034]])</f>
        <v>30.654872483428278</v>
      </c>
      <c r="AT117" s="3">
        <f>AVERAGEIFS('3. Incentive Adjustment'!F:F,'3. Incentive Adjustment'!A:A,tbl_Data_old[[#This Row],[Trimmed Sector]],'3. Incentive Adjustment'!B:B,tbl_Data_old[[#This Row],[Trimmed Measure Name]])</f>
        <v>164</v>
      </c>
      <c r="AU117" s="3">
        <f>IFERROR(VLOOKUP(tbl_Data_old[[#This Row],[All_Meas_Name_Append]],'IRA Tax Credits'!$A$3:$D$46,4,0),0)</f>
        <v>0</v>
      </c>
      <c r="AV117" s="4">
        <f>tbl_Data_old[[#This Row],[Adj. per unit Incentive ($)]]/tbl_Data_old[[#This Row],[kWh Savings]]*tbl_Data_old[[#This Row],[Sum of Annuals]]</f>
        <v>1.4598971311438138</v>
      </c>
      <c r="AW117" s="4">
        <f>IFERROR(VLOOKUP(tbl_Data_old[[#This Row],[All_Programs]],'1. Set Program Names'!$B$2:$D$15,3,0)*tbl_Data_old[[#This Row],[Sum of Annuals]],"")</f>
        <v>13.260120339478082</v>
      </c>
      <c r="AX117" s="4">
        <f>tbl_Data_old[[#This Row],[per unit IRA tax ($)]]/tbl_Data_old[[#This Row],[kWh Savings]]*tbl_Data_old[[#This Row],[Sum of Annuals]]</f>
        <v>0</v>
      </c>
      <c r="AY117" s="4">
        <f>tbl_Data_old[[#This Row],[Avoided Costs ($/unit)]]/tbl_Data_old[[#This Row],[kWh Savings]]*tbl_Data_old[[#This Row],[Sum of Annuals]]</f>
        <v>29.940190125365035</v>
      </c>
      <c r="AZ117" s="4">
        <f>tbl_Data_old[[#This Row],[Lost Revenue ($/unit)]]/tbl_Data_old[[#This Row],[kWh Savings]]*tbl_Data_old[[#This Row],[Sum of Annuals]]</f>
        <v>55.659128467918016</v>
      </c>
      <c r="BA117" s="4">
        <f>tbl_Data_old[[#This Row],[Incremental Cost ($/unit)]]/tbl_Data_old[[#This Row],[kWh Savings]]*tbl_Data_old[[#This Row],[Sum of Annuals]]</f>
        <v>11.298802631993256</v>
      </c>
      <c r="BB117">
        <f>ROUNDUP(tbl_Data_old[[#This Row],[Adjusted 2025]]/$L117,0)</f>
        <v>1</v>
      </c>
      <c r="BC117">
        <f>ROUNDUP(tbl_Data_old[[#This Row],[Adjusted 2026]]/$L117,0)</f>
        <v>1</v>
      </c>
      <c r="BD117">
        <f>ROUNDUP(tbl_Data_old[[#This Row],[Adjusted 2027]]/$L117,0)</f>
        <v>1</v>
      </c>
      <c r="BE117">
        <f>ROUNDUP(tbl_Data_old[[#This Row],[Adjusted 2028]]/$L117,0)</f>
        <v>1</v>
      </c>
      <c r="BF117">
        <f>ROUNDUP(tbl_Data_old[[#This Row],[Adjusted 2029]]/$L117,0)</f>
        <v>1</v>
      </c>
      <c r="BG117">
        <f>ROUNDUP(tbl_Data_old[[#This Row],[Adjusted 2030]]/$L117,0)</f>
        <v>1</v>
      </c>
      <c r="BH117">
        <f>ROUNDUP(tbl_Data_old[[#This Row],[Adjusted 2031]]/$L117,0)</f>
        <v>1</v>
      </c>
      <c r="BI117">
        <f>ROUNDUP(tbl_Data_old[[#This Row],[Adjusted 2032]]/$L117,0)</f>
        <v>1</v>
      </c>
      <c r="BJ117">
        <f>ROUNDUP(tbl_Data_old[[#This Row],[Adjusted 2033]]/$L117,0)</f>
        <v>1</v>
      </c>
      <c r="BK117">
        <f>ROUNDUP(tbl_Data_old[[#This Row],[Adjusted 2034]]/$L117,0)</f>
        <v>1</v>
      </c>
      <c r="BL117" s="3">
        <f t="shared" si="8"/>
        <v>3.5966989976806647E-2</v>
      </c>
      <c r="BM117" s="3">
        <f t="shared" si="8"/>
        <v>7.0775066568207159E-2</v>
      </c>
      <c r="BN117" s="3">
        <f t="shared" si="8"/>
        <v>0.1044883261904425</v>
      </c>
      <c r="BO117" s="3">
        <f t="shared" si="8"/>
        <v>0.13720559476963887</v>
      </c>
      <c r="BP117" s="3">
        <f t="shared" si="8"/>
        <v>0.16899981476160833</v>
      </c>
      <c r="BQ117" s="3">
        <f t="shared" si="7"/>
        <v>0.19984068143706718</v>
      </c>
      <c r="BR117" s="3">
        <f t="shared" si="7"/>
        <v>0.2299150978121054</v>
      </c>
      <c r="BS117" s="3">
        <f t="shared" si="7"/>
        <v>0.25942558621386941</v>
      </c>
      <c r="BT117" s="3">
        <f t="shared" si="7"/>
        <v>0.2885423390340347</v>
      </c>
      <c r="BU117" s="3">
        <f t="shared" si="7"/>
        <v>0.31740206230350693</v>
      </c>
      <c r="BV117">
        <f>VLOOKUP($H117,'1. Set Program Names'!$B$2:$D$15,3,0)*V117</f>
        <v>0.32668508291922682</v>
      </c>
      <c r="BW117">
        <f>VLOOKUP($H117,'1. Set Program Names'!$B$2:$D$15,3,0)*W117</f>
        <v>0.64284385502813146</v>
      </c>
      <c r="BX117">
        <f>VLOOKUP($H117,'1. Set Program Names'!$B$2:$D$15,3,0)*X117</f>
        <v>0.94905849857404734</v>
      </c>
      <c r="BY117">
        <f>VLOOKUP($H117,'1. Set Program Names'!$B$2:$D$15,3,0)*Y117</f>
        <v>1.2462266409617673</v>
      </c>
      <c r="BZ117">
        <f>VLOOKUP($H117,'1. Set Program Names'!$B$2:$D$15,3,0)*Z117</f>
        <v>1.5350108122567951</v>
      </c>
      <c r="CA117">
        <f>VLOOKUP($H117,'1. Set Program Names'!$B$2:$D$15,3,0)*AA117</f>
        <v>1.8151357572040965</v>
      </c>
      <c r="CB117">
        <f>VLOOKUP($H117,'1. Set Program Names'!$B$2:$D$15,3,0)*AB117</f>
        <v>2.0882990998569646</v>
      </c>
      <c r="CC117">
        <f>VLOOKUP($H117,'1. Set Program Names'!$B$2:$D$15,3,0)*AC117</f>
        <v>2.3563403331304169</v>
      </c>
      <c r="CD117">
        <f>VLOOKUP($H117,'1. Set Program Names'!$B$2:$D$15,3,0)*AD117</f>
        <v>2.6208052999104607</v>
      </c>
      <c r="CE117">
        <f>VLOOKUP($H117,'1. Set Program Names'!$B$2:$D$15,3,0)*AE117</f>
        <v>2.8829356893423577</v>
      </c>
    </row>
    <row r="118" spans="1:83" x14ac:dyDescent="0.25">
      <c r="A118" s="20" t="s">
        <v>115</v>
      </c>
      <c r="B118" s="20" t="s">
        <v>88</v>
      </c>
      <c r="C118" s="20" t="s">
        <v>89</v>
      </c>
      <c r="D118" s="20" t="s">
        <v>90</v>
      </c>
      <c r="E118" s="20" t="s">
        <v>91</v>
      </c>
      <c r="F118" s="20" t="s">
        <v>90</v>
      </c>
      <c r="G118" s="20" t="s">
        <v>92</v>
      </c>
      <c r="H118" s="20" t="s">
        <v>7</v>
      </c>
      <c r="I118" s="20" t="s">
        <v>103</v>
      </c>
      <c r="J118" s="20" t="s">
        <v>101</v>
      </c>
      <c r="K118" s="20" t="s">
        <v>102</v>
      </c>
      <c r="L118" s="20">
        <v>3523.57666666666</v>
      </c>
      <c r="M118" s="20">
        <v>1.7070465614975301</v>
      </c>
      <c r="N118" s="20">
        <v>0.25623328618049002</v>
      </c>
      <c r="O118" s="20">
        <v>1306.5999999999899</v>
      </c>
      <c r="P118" s="20">
        <v>465.31519597206898</v>
      </c>
      <c r="Q118" s="20">
        <v>1016.10928030304</v>
      </c>
      <c r="R118" s="20">
        <v>3440.61303289528</v>
      </c>
      <c r="S118" s="20">
        <v>6397.6520033667803</v>
      </c>
      <c r="T118" s="20">
        <v>30</v>
      </c>
      <c r="U118" s="20">
        <v>0.1</v>
      </c>
      <c r="V118" s="20">
        <v>0.77298052696743902</v>
      </c>
      <c r="W118" s="20">
        <v>1.5211012306584299</v>
      </c>
      <c r="X118" s="20">
        <v>2.2457350027949099</v>
      </c>
      <c r="Y118" s="20">
        <v>2.9490016687818201</v>
      </c>
      <c r="Z118" s="20">
        <v>3.6324651761113</v>
      </c>
      <c r="AA118" s="20">
        <v>4.2954703158061998</v>
      </c>
      <c r="AB118" s="20">
        <v>4.9420316204349799</v>
      </c>
      <c r="AC118" s="20">
        <v>5.5765001835386796</v>
      </c>
      <c r="AD118" s="20">
        <v>6.2025327249463897</v>
      </c>
      <c r="AE118" s="20">
        <v>6.82306654659416</v>
      </c>
      <c r="AF118" t="str">
        <f t="shared" si="5"/>
        <v>Residential</v>
      </c>
      <c r="AG118" t="str">
        <f>tbl_Data_old[[#This Row],[All_Meas_Name_Append]]</f>
        <v>Ceiling Insulation(R2 to R49) Residential</v>
      </c>
      <c r="AH118">
        <f>AVERAGEIFS('3. Incentive Adjustment'!G:G,'3. Incentive Adjustment'!A:A,tbl_Data_old[[#This Row],[Trimmed Sector]],'3. Incentive Adjustment'!B:B,tbl_Data_old[[#This Row],[Trimmed Measure Name]])</f>
        <v>0.79801279130038982</v>
      </c>
      <c r="AI118">
        <f>$AH118*tbl_Data_old[[#This Row],[2025 ]]</f>
        <v>0.6168483479461323</v>
      </c>
      <c r="AJ118">
        <f>$AH118*tbl_Data_old[[#This Row],[2026 ]]</f>
        <v>1.2138582389281918</v>
      </c>
      <c r="AK118">
        <f>$AH118*tbl_Data_old[[#This Row],[2027 ]]</f>
        <v>1.7921252581013547</v>
      </c>
      <c r="AL118">
        <f>$AH118*tbl_Data_old[[#This Row],[2028 ]]</f>
        <v>2.3533410532540882</v>
      </c>
      <c r="AM118">
        <f>$AH118*tbl_Data_old[[#This Row],[2029 ]]</f>
        <v>2.8987536744900408</v>
      </c>
      <c r="AN118">
        <f>$AH118*tbl_Data_old[[#This Row],[2030 ]]</f>
        <v>3.4278402566644726</v>
      </c>
      <c r="AO118">
        <f>$AH118*tbl_Data_old[[#This Row],[2031 ]]</f>
        <v>3.9438044481181072</v>
      </c>
      <c r="AP118">
        <f>$AH118*tbl_Data_old[[#This Row],[2032 ]]</f>
        <v>4.4501184771528379</v>
      </c>
      <c r="AQ118">
        <f>$AH118*tbl_Data_old[[#This Row],[2033 ]]</f>
        <v>4.9497004529664812</v>
      </c>
      <c r="AR118">
        <f>$AH118*tbl_Data_old[[#This Row],[2034 ]]</f>
        <v>5.4448943800759171</v>
      </c>
      <c r="AS118">
        <f>SUM(tbl_Data_old[[#This Row],[Adjusted 2025]:[Adjusted 2034]])</f>
        <v>31.091284587697622</v>
      </c>
      <c r="AT118" s="3">
        <f>AVERAGEIFS('3. Incentive Adjustment'!F:F,'3. Incentive Adjustment'!A:A,tbl_Data_old[[#This Row],[Trimmed Sector]],'3. Incentive Adjustment'!B:B,tbl_Data_old[[#This Row],[Trimmed Measure Name]])</f>
        <v>164</v>
      </c>
      <c r="AU118" s="3">
        <f>IFERROR(VLOOKUP(tbl_Data_old[[#This Row],[All_Meas_Name_Append]],'IRA Tax Credits'!$A$3:$D$46,4,0),0)</f>
        <v>0</v>
      </c>
      <c r="AV118" s="4">
        <f>tbl_Data_old[[#This Row],[Adj. per unit Incentive ($)]]/tbl_Data_old[[#This Row],[kWh Savings]]*tbl_Data_old[[#This Row],[Sum of Annuals]]</f>
        <v>1.4471008167976345</v>
      </c>
      <c r="AW118" s="4">
        <f>IFERROR(VLOOKUP(tbl_Data_old[[#This Row],[All_Programs]],'1. Set Program Names'!$B$2:$D$15,3,0)*tbl_Data_old[[#This Row],[Sum of Annuals]],"")</f>
        <v>13.448895452581054</v>
      </c>
      <c r="AX118" s="4">
        <f>tbl_Data_old[[#This Row],[per unit IRA tax ($)]]/tbl_Data_old[[#This Row],[kWh Savings]]*tbl_Data_old[[#This Row],[Sum of Annuals]]</f>
        <v>0</v>
      </c>
      <c r="AY118" s="4">
        <f>tbl_Data_old[[#This Row],[Avoided Costs ($/unit)]]/tbl_Data_old[[#This Row],[kWh Savings]]*tbl_Data_old[[#This Row],[Sum of Annuals]]</f>
        <v>30.359231281630162</v>
      </c>
      <c r="AZ118" s="4">
        <f>tbl_Data_old[[#This Row],[Lost Revenue ($/unit)]]/tbl_Data_old[[#This Row],[kWh Savings]]*tbl_Data_old[[#This Row],[Sum of Annuals]]</f>
        <v>56.451508778409092</v>
      </c>
      <c r="BA118" s="4">
        <f>tbl_Data_old[[#This Row],[Incremental Cost ($/unit)]]/tbl_Data_old[[#This Row],[kWh Savings]]*tbl_Data_old[[#This Row],[Sum of Annuals]]</f>
        <v>11.529158092852283</v>
      </c>
      <c r="BB118">
        <f>ROUNDUP(tbl_Data_old[[#This Row],[Adjusted 2025]]/$L118,0)</f>
        <v>1</v>
      </c>
      <c r="BC118">
        <f>ROUNDUP(tbl_Data_old[[#This Row],[Adjusted 2026]]/$L118,0)</f>
        <v>1</v>
      </c>
      <c r="BD118">
        <f>ROUNDUP(tbl_Data_old[[#This Row],[Adjusted 2027]]/$L118,0)</f>
        <v>1</v>
      </c>
      <c r="BE118">
        <f>ROUNDUP(tbl_Data_old[[#This Row],[Adjusted 2028]]/$L118,0)</f>
        <v>1</v>
      </c>
      <c r="BF118">
        <f>ROUNDUP(tbl_Data_old[[#This Row],[Adjusted 2029]]/$L118,0)</f>
        <v>1</v>
      </c>
      <c r="BG118">
        <f>ROUNDUP(tbl_Data_old[[#This Row],[Adjusted 2030]]/$L118,0)</f>
        <v>1</v>
      </c>
      <c r="BH118">
        <f>ROUNDUP(tbl_Data_old[[#This Row],[Adjusted 2031]]/$L118,0)</f>
        <v>1</v>
      </c>
      <c r="BI118">
        <f>ROUNDUP(tbl_Data_old[[#This Row],[Adjusted 2032]]/$L118,0)</f>
        <v>1</v>
      </c>
      <c r="BJ118">
        <f>ROUNDUP(tbl_Data_old[[#This Row],[Adjusted 2033]]/$L118,0)</f>
        <v>1</v>
      </c>
      <c r="BK118">
        <f>ROUNDUP(tbl_Data_old[[#This Row],[Adjusted 2034]]/$L118,0)</f>
        <v>1</v>
      </c>
      <c r="BL118" s="3">
        <f t="shared" si="8"/>
        <v>3.5977308971847803E-2</v>
      </c>
      <c r="BM118" s="3">
        <f t="shared" si="8"/>
        <v>7.0797551870490402E-2</v>
      </c>
      <c r="BN118" s="3">
        <f t="shared" si="8"/>
        <v>0.10452462804130819</v>
      </c>
      <c r="BO118" s="3">
        <f t="shared" si="8"/>
        <v>0.13725720182434498</v>
      </c>
      <c r="BP118" s="3">
        <f t="shared" si="8"/>
        <v>0.16906806499142094</v>
      </c>
      <c r="BQ118" s="3">
        <f t="shared" si="7"/>
        <v>0.19992672174737736</v>
      </c>
      <c r="BR118" s="3">
        <f t="shared" si="7"/>
        <v>0.23002002295527504</v>
      </c>
      <c r="BS118" s="3">
        <f t="shared" si="7"/>
        <v>0.25955048424290805</v>
      </c>
      <c r="BT118" s="3">
        <f t="shared" si="7"/>
        <v>0.28868830257452699</v>
      </c>
      <c r="BU118" s="3">
        <f t="shared" si="7"/>
        <v>0.31757019060408631</v>
      </c>
      <c r="BV118">
        <f>VLOOKUP($H118,'1. Set Program Names'!$B$2:$D$15,3,0)*V118</f>
        <v>0.33436168469473726</v>
      </c>
      <c r="BW118">
        <f>VLOOKUP($H118,'1. Set Program Names'!$B$2:$D$15,3,0)*W118</f>
        <v>0.65796996474092928</v>
      </c>
      <c r="BX118">
        <f>VLOOKUP($H118,'1. Set Program Names'!$B$2:$D$15,3,0)*X118</f>
        <v>0.97141870036278022</v>
      </c>
      <c r="BY118">
        <f>VLOOKUP($H118,'1. Set Program Names'!$B$2:$D$15,3,0)*Y118</f>
        <v>1.2756248466049864</v>
      </c>
      <c r="BZ118">
        <f>VLOOKUP($H118,'1. Set Program Names'!$B$2:$D$15,3,0)*Z118</f>
        <v>1.5712649070792204</v>
      </c>
      <c r="CA118">
        <f>VLOOKUP($H118,'1. Set Program Names'!$B$2:$D$15,3,0)*AA118</f>
        <v>1.8580554635494668</v>
      </c>
      <c r="CB118">
        <f>VLOOKUP($H118,'1. Set Program Names'!$B$2:$D$15,3,0)*AB118</f>
        <v>2.1377330486009889</v>
      </c>
      <c r="CC118">
        <f>VLOOKUP($H118,'1. Set Program Names'!$B$2:$D$15,3,0)*AC118</f>
        <v>2.4121797781680048</v>
      </c>
      <c r="CD118">
        <f>VLOOKUP($H118,'1. Set Program Names'!$B$2:$D$15,3,0)*AD118</f>
        <v>2.6829774087888176</v>
      </c>
      <c r="CE118">
        <f>VLOOKUP($H118,'1. Set Program Names'!$B$2:$D$15,3,0)*AE118</f>
        <v>2.9513965044550559</v>
      </c>
    </row>
    <row r="119" spans="1:83" x14ac:dyDescent="0.25">
      <c r="A119" s="20" t="s">
        <v>115</v>
      </c>
      <c r="B119" s="20" t="s">
        <v>88</v>
      </c>
      <c r="C119" s="20" t="s">
        <v>89</v>
      </c>
      <c r="D119" s="20" t="s">
        <v>90</v>
      </c>
      <c r="E119" s="20" t="s">
        <v>91</v>
      </c>
      <c r="F119" s="20" t="s">
        <v>90</v>
      </c>
      <c r="G119" s="20" t="s">
        <v>92</v>
      </c>
      <c r="H119" s="20" t="s">
        <v>7</v>
      </c>
      <c r="I119" s="20" t="s">
        <v>296</v>
      </c>
      <c r="J119" s="20" t="s">
        <v>97</v>
      </c>
      <c r="K119" s="20" t="s">
        <v>102</v>
      </c>
      <c r="L119" s="20">
        <v>936.45</v>
      </c>
      <c r="M119" s="20">
        <v>0.42562333070119601</v>
      </c>
      <c r="N119" s="20">
        <v>3.9115067461125599E-2</v>
      </c>
      <c r="O119" s="53">
        <v>685.00999995999996</v>
      </c>
      <c r="P119" s="20">
        <v>458.12689399999903</v>
      </c>
      <c r="Q119" s="20">
        <v>270.04819975719403</v>
      </c>
      <c r="R119" s="20">
        <v>763.90764278946904</v>
      </c>
      <c r="S119" s="20">
        <v>1415.5155729468199</v>
      </c>
      <c r="T119" s="20">
        <v>20</v>
      </c>
      <c r="U119" s="20">
        <v>0.1</v>
      </c>
      <c r="V119" s="20">
        <v>4.1284377578209099</v>
      </c>
      <c r="W119" s="20">
        <v>8.1240930929845607</v>
      </c>
      <c r="X119" s="20">
        <v>11.994299295658299</v>
      </c>
      <c r="Y119" s="20">
        <v>15.7503788885047</v>
      </c>
      <c r="Z119" s="20">
        <v>19.400685421900999</v>
      </c>
      <c r="AA119" s="20">
        <v>22.9417201168955</v>
      </c>
      <c r="AB119" s="20">
        <v>26.3949247021202</v>
      </c>
      <c r="AC119" s="20">
        <v>29.7835383102985</v>
      </c>
      <c r="AD119" s="20">
        <v>33.127091397089401</v>
      </c>
      <c r="AE119" s="20">
        <v>36.441272013400798</v>
      </c>
      <c r="AF119" t="str">
        <f t="shared" si="5"/>
        <v>Residential</v>
      </c>
      <c r="AG119" t="str">
        <f>tbl_Data_old[[#This Row],[All_Meas_Name_Append]]</f>
        <v>Duct Repair</v>
      </c>
      <c r="AH119">
        <f>AVERAGEIFS('3. Incentive Adjustment'!G:G,'3. Incentive Adjustment'!A:A,tbl_Data_old[[#This Row],[Trimmed Sector]],'3. Incentive Adjustment'!B:B,tbl_Data_old[[#This Row],[Trimmed Measure Name]])</f>
        <v>0.36456477469769399</v>
      </c>
      <c r="AI119">
        <f>$AH119*tbl_Data_old[[#This Row],[2025 ]]</f>
        <v>1.505082981033433</v>
      </c>
      <c r="AJ119">
        <f>$AH119*tbl_Data_old[[#This Row],[2026 ]]</f>
        <v>2.9617581680670084</v>
      </c>
      <c r="AK119">
        <f>$AH119*tbl_Data_old[[#This Row],[2027 ]]</f>
        <v>4.372699020378378</v>
      </c>
      <c r="AL119">
        <f>$AH119*tbl_Data_old[[#This Row],[2028 ]]</f>
        <v>5.7420333308910321</v>
      </c>
      <c r="AM119">
        <f>$AH119*tbl_Data_old[[#This Row],[2029 ]]</f>
        <v>7.0728065098161741</v>
      </c>
      <c r="AN119">
        <f>$AH119*tbl_Data_old[[#This Row],[2030 ]]</f>
        <v>8.3637430255935623</v>
      </c>
      <c r="AO119">
        <f>$AH119*tbl_Data_old[[#This Row],[2031 ]]</f>
        <v>9.622659777191048</v>
      </c>
      <c r="AP119">
        <f>$AH119*tbl_Data_old[[#This Row],[2032 ]]</f>
        <v>10.85802893379411</v>
      </c>
      <c r="AQ119">
        <f>$AH119*tbl_Data_old[[#This Row],[2033 ]]</f>
        <v>12.076970611569815</v>
      </c>
      <c r="AR119">
        <f>$AH119*tbl_Data_old[[#This Row],[2034 ]]</f>
        <v>13.285204121262844</v>
      </c>
      <c r="AS119">
        <f>SUM(tbl_Data_old[[#This Row],[Adjusted 2025]:[Adjusted 2034]])</f>
        <v>75.8609864795974</v>
      </c>
      <c r="AT119" s="3">
        <f>AVERAGEIFS('3. Incentive Adjustment'!F:F,'3. Incentive Adjustment'!A:A,tbl_Data_old[[#This Row],[Trimmed Sector]],'3. Incentive Adjustment'!B:B,tbl_Data_old[[#This Row],[Trimmed Measure Name]])</f>
        <v>100</v>
      </c>
      <c r="AU119" s="3">
        <f>IFERROR(VLOOKUP(tbl_Data_old[[#This Row],[All_Meas_Name_Append]],'IRA Tax Credits'!$A$3:$D$46,4,0),0)</f>
        <v>0</v>
      </c>
      <c r="AV119" s="4">
        <f>tbl_Data_old[[#This Row],[Adj. per unit Incentive ($)]]/tbl_Data_old[[#This Row],[kWh Savings]]*tbl_Data_old[[#This Row],[Sum of Annuals]]</f>
        <v>8.100911578791969</v>
      </c>
      <c r="AW119" s="4">
        <f>IFERROR(VLOOKUP(tbl_Data_old[[#This Row],[All_Programs]],'1. Set Program Names'!$B$2:$D$15,3,0)*tbl_Data_old[[#This Row],[Sum of Annuals]],"")</f>
        <v>32.814548823674762</v>
      </c>
      <c r="AX119" s="4">
        <f>tbl_Data_old[[#This Row],[per unit IRA tax ($)]]/tbl_Data_old[[#This Row],[kWh Savings]]*tbl_Data_old[[#This Row],[Sum of Annuals]]</f>
        <v>0</v>
      </c>
      <c r="AY119" s="4">
        <f>tbl_Data_old[[#This Row],[Avoided Costs ($/unit)]]/tbl_Data_old[[#This Row],[kWh Savings]]*tbl_Data_old[[#This Row],[Sum of Annuals]]</f>
        <v>61.883482686008897</v>
      </c>
      <c r="AZ119" s="4">
        <f>tbl_Data_old[[#This Row],[Lost Revenue ($/unit)]]/tbl_Data_old[[#This Row],[kWh Savings]]*tbl_Data_old[[#This Row],[Sum of Annuals]]</f>
        <v>114.66966494845242</v>
      </c>
      <c r="BA119" s="4">
        <f>tbl_Data_old[[#This Row],[Incremental Cost ($/unit)]]/tbl_Data_old[[#This Row],[kWh Savings]]*tbl_Data_old[[#This Row],[Sum of Annuals]]</f>
        <v>55.492054402642502</v>
      </c>
      <c r="BB119">
        <f>ROUNDUP(tbl_Data_old[[#This Row],[Adjusted 2025]]/$L119,0)</f>
        <v>1</v>
      </c>
      <c r="BC119">
        <f>ROUNDUP(tbl_Data_old[[#This Row],[Adjusted 2026]]/$L119,0)</f>
        <v>1</v>
      </c>
      <c r="BD119">
        <f>ROUNDUP(tbl_Data_old[[#This Row],[Adjusted 2027]]/$L119,0)</f>
        <v>1</v>
      </c>
      <c r="BE119">
        <f>ROUNDUP(tbl_Data_old[[#This Row],[Adjusted 2028]]/$L119,0)</f>
        <v>1</v>
      </c>
      <c r="BF119">
        <f>ROUNDUP(tbl_Data_old[[#This Row],[Adjusted 2029]]/$L119,0)</f>
        <v>1</v>
      </c>
      <c r="BG119">
        <f>ROUNDUP(tbl_Data_old[[#This Row],[Adjusted 2030]]/$L119,0)</f>
        <v>1</v>
      </c>
      <c r="BH119">
        <f>ROUNDUP(tbl_Data_old[[#This Row],[Adjusted 2031]]/$L119,0)</f>
        <v>1</v>
      </c>
      <c r="BI119">
        <f>ROUNDUP(tbl_Data_old[[#This Row],[Adjusted 2032]]/$L119,0)</f>
        <v>1</v>
      </c>
      <c r="BJ119">
        <f>ROUNDUP(tbl_Data_old[[#This Row],[Adjusted 2033]]/$L119,0)</f>
        <v>1</v>
      </c>
      <c r="BK119">
        <f>ROUNDUP(tbl_Data_old[[#This Row],[Adjusted 2034]]/$L119,0)</f>
        <v>1</v>
      </c>
      <c r="BL119" s="3">
        <f t="shared" si="8"/>
        <v>0.44086045788038974</v>
      </c>
      <c r="BM119" s="3">
        <f t="shared" si="8"/>
        <v>0.8675415764840152</v>
      </c>
      <c r="BN119" s="3">
        <f t="shared" si="8"/>
        <v>1.2808264504947726</v>
      </c>
      <c r="BO119" s="3">
        <f t="shared" si="8"/>
        <v>1.6819241698440599</v>
      </c>
      <c r="BP119" s="3">
        <f t="shared" si="8"/>
        <v>2.0717267789952478</v>
      </c>
      <c r="BQ119" s="3">
        <f t="shared" si="7"/>
        <v>2.4498606564040255</v>
      </c>
      <c r="BR119" s="3">
        <f t="shared" si="7"/>
        <v>2.8186154842351647</v>
      </c>
      <c r="BS119" s="3">
        <f t="shared" si="7"/>
        <v>3.1804728827271611</v>
      </c>
      <c r="BT119" s="3">
        <f t="shared" si="7"/>
        <v>3.5375184363382348</v>
      </c>
      <c r="BU119" s="3">
        <f t="shared" si="7"/>
        <v>3.8914274134658333</v>
      </c>
      <c r="BV119">
        <f>VLOOKUP($H119,'1. Set Program Names'!$B$2:$D$15,3,0)*V119</f>
        <v>1.7858035949209763</v>
      </c>
      <c r="BW119">
        <f>VLOOKUP($H119,'1. Set Program Names'!$B$2:$D$15,3,0)*W119</f>
        <v>3.5141706141604026</v>
      </c>
      <c r="BX119">
        <f>VLOOKUP($H119,'1. Set Program Names'!$B$2:$D$15,3,0)*X119</f>
        <v>5.188273157362663</v>
      </c>
      <c r="BY119">
        <f>VLOOKUP($H119,'1. Set Program Names'!$B$2:$D$15,3,0)*Y119</f>
        <v>6.8130089129175353</v>
      </c>
      <c r="BZ119">
        <f>VLOOKUP($H119,'1. Set Program Names'!$B$2:$D$15,3,0)*Z119</f>
        <v>8.3919913058465685</v>
      </c>
      <c r="CA119">
        <f>VLOOKUP($H119,'1. Set Program Names'!$B$2:$D$15,3,0)*AA119</f>
        <v>9.923706898768291</v>
      </c>
      <c r="CB119">
        <f>VLOOKUP($H119,'1. Set Program Names'!$B$2:$D$15,3,0)*AB119</f>
        <v>11.417430559881891</v>
      </c>
      <c r="CC119">
        <f>VLOOKUP($H119,'1. Set Program Names'!$B$2:$D$15,3,0)*AC119</f>
        <v>12.883214645355672</v>
      </c>
      <c r="CD119">
        <f>VLOOKUP($H119,'1. Set Program Names'!$B$2:$D$15,3,0)*AD119</f>
        <v>14.329507280115394</v>
      </c>
      <c r="CE119">
        <f>VLOOKUP($H119,'1. Set Program Names'!$B$2:$D$15,3,0)*AE119</f>
        <v>15.763094512383665</v>
      </c>
    </row>
    <row r="120" spans="1:83" x14ac:dyDescent="0.25">
      <c r="A120" s="20" t="s">
        <v>115</v>
      </c>
      <c r="B120" s="20" t="s">
        <v>88</v>
      </c>
      <c r="C120" s="20" t="s">
        <v>89</v>
      </c>
      <c r="D120" s="20" t="s">
        <v>90</v>
      </c>
      <c r="E120" s="20" t="s">
        <v>91</v>
      </c>
      <c r="F120" s="20" t="s">
        <v>90</v>
      </c>
      <c r="G120" s="20" t="s">
        <v>92</v>
      </c>
      <c r="H120" s="20" t="s">
        <v>7</v>
      </c>
      <c r="I120" s="20" t="s">
        <v>297</v>
      </c>
      <c r="J120" s="20" t="s">
        <v>97</v>
      </c>
      <c r="K120" s="20" t="s">
        <v>298</v>
      </c>
      <c r="L120" s="20">
        <v>57.93</v>
      </c>
      <c r="M120" s="20">
        <v>0</v>
      </c>
      <c r="N120" s="20">
        <v>1.1014721785810099E-2</v>
      </c>
      <c r="O120" s="53">
        <v>154.1011072</v>
      </c>
      <c r="P120" s="20">
        <v>140.06582681793901</v>
      </c>
      <c r="Q120" s="20">
        <v>16.705528551374101</v>
      </c>
      <c r="R120" s="20">
        <v>46.999759951794701</v>
      </c>
      <c r="S120" s="20">
        <v>87.565611768711094</v>
      </c>
      <c r="T120" s="20">
        <v>20</v>
      </c>
      <c r="U120" s="20">
        <v>0.2</v>
      </c>
      <c r="V120" s="20">
        <v>0</v>
      </c>
      <c r="W120" s="20">
        <v>0</v>
      </c>
      <c r="X120" s="20">
        <v>0</v>
      </c>
      <c r="Y120" s="20">
        <v>0</v>
      </c>
      <c r="Z120" s="20">
        <v>0</v>
      </c>
      <c r="AA120" s="20">
        <v>0</v>
      </c>
      <c r="AB120" s="20">
        <v>0</v>
      </c>
      <c r="AC120" s="20">
        <v>0</v>
      </c>
      <c r="AD120" s="20">
        <v>0</v>
      </c>
      <c r="AE120" s="20">
        <v>0</v>
      </c>
      <c r="AF120" t="str">
        <f t="shared" si="5"/>
        <v>Residential</v>
      </c>
      <c r="AG120" t="str">
        <f>tbl_Data_old[[#This Row],[All_Meas_Name_Append]]</f>
        <v>Energy Star Windows Residential</v>
      </c>
      <c r="AH120">
        <f>AVERAGEIFS('3. Incentive Adjustment'!G:G,'3. Incentive Adjustment'!A:A,tbl_Data_old[[#This Row],[Trimmed Sector]],'3. Incentive Adjustment'!B:B,tbl_Data_old[[#This Row],[Trimmed Measure Name]])</f>
        <v>1.5721893920937398</v>
      </c>
      <c r="AI120">
        <f>$AH120*tbl_Data_old[[#This Row],[2025 ]]</f>
        <v>0</v>
      </c>
      <c r="AJ120">
        <f>$AH120*tbl_Data_old[[#This Row],[2026 ]]</f>
        <v>0</v>
      </c>
      <c r="AK120">
        <f>$AH120*tbl_Data_old[[#This Row],[2027 ]]</f>
        <v>0</v>
      </c>
      <c r="AL120">
        <f>$AH120*tbl_Data_old[[#This Row],[2028 ]]</f>
        <v>0</v>
      </c>
      <c r="AM120">
        <f>$AH120*tbl_Data_old[[#This Row],[2029 ]]</f>
        <v>0</v>
      </c>
      <c r="AN120">
        <f>$AH120*tbl_Data_old[[#This Row],[2030 ]]</f>
        <v>0</v>
      </c>
      <c r="AO120">
        <f>$AH120*tbl_Data_old[[#This Row],[2031 ]]</f>
        <v>0</v>
      </c>
      <c r="AP120">
        <f>$AH120*tbl_Data_old[[#This Row],[2032 ]]</f>
        <v>0</v>
      </c>
      <c r="AQ120">
        <f>$AH120*tbl_Data_old[[#This Row],[2033 ]]</f>
        <v>0</v>
      </c>
      <c r="AR120">
        <f>$AH120*tbl_Data_old[[#This Row],[2034 ]]</f>
        <v>0</v>
      </c>
      <c r="AS120">
        <f>SUM(tbl_Data_old[[#This Row],[Adjusted 2025]:[Adjusted 2034]])</f>
        <v>0</v>
      </c>
      <c r="AT120" s="3">
        <f>AVERAGEIFS('3. Incentive Adjustment'!F:F,'3. Incentive Adjustment'!A:A,tbl_Data_old[[#This Row],[Trimmed Sector]],'3. Incentive Adjustment'!B:B,tbl_Data_old[[#This Row],[Trimmed Measure Name]])</f>
        <v>150</v>
      </c>
      <c r="AU120" s="3">
        <f>IFERROR(VLOOKUP(tbl_Data_old[[#This Row],[All_Meas_Name_Append]],'IRA Tax Credits'!$A$3:$D$46,4,0),0)</f>
        <v>0</v>
      </c>
      <c r="AV120" s="4">
        <f>tbl_Data_old[[#This Row],[Adj. per unit Incentive ($)]]/tbl_Data_old[[#This Row],[kWh Savings]]*tbl_Data_old[[#This Row],[Sum of Annuals]]</f>
        <v>0</v>
      </c>
      <c r="AW120" s="4">
        <f>IFERROR(VLOOKUP(tbl_Data_old[[#This Row],[All_Programs]],'1. Set Program Names'!$B$2:$D$15,3,0)*tbl_Data_old[[#This Row],[Sum of Annuals]],"")</f>
        <v>0</v>
      </c>
      <c r="AX120" s="4">
        <f>tbl_Data_old[[#This Row],[per unit IRA tax ($)]]/tbl_Data_old[[#This Row],[kWh Savings]]*tbl_Data_old[[#This Row],[Sum of Annuals]]</f>
        <v>0</v>
      </c>
      <c r="AY120" s="4">
        <f>tbl_Data_old[[#This Row],[Avoided Costs ($/unit)]]/tbl_Data_old[[#This Row],[kWh Savings]]*tbl_Data_old[[#This Row],[Sum of Annuals]]</f>
        <v>0</v>
      </c>
      <c r="AZ120" s="4">
        <f>tbl_Data_old[[#This Row],[Lost Revenue ($/unit)]]/tbl_Data_old[[#This Row],[kWh Savings]]*tbl_Data_old[[#This Row],[Sum of Annuals]]</f>
        <v>0</v>
      </c>
      <c r="BA120" s="4">
        <f>tbl_Data_old[[#This Row],[Incremental Cost ($/unit)]]/tbl_Data_old[[#This Row],[kWh Savings]]*tbl_Data_old[[#This Row],[Sum of Annuals]]</f>
        <v>0</v>
      </c>
      <c r="BB120">
        <f>ROUNDUP(tbl_Data_old[[#This Row],[Adjusted 2025]]/$L120,0)</f>
        <v>0</v>
      </c>
      <c r="BC120">
        <f>ROUNDUP(tbl_Data_old[[#This Row],[Adjusted 2026]]/$L120,0)</f>
        <v>0</v>
      </c>
      <c r="BD120">
        <f>ROUNDUP(tbl_Data_old[[#This Row],[Adjusted 2027]]/$L120,0)</f>
        <v>0</v>
      </c>
      <c r="BE120">
        <f>ROUNDUP(tbl_Data_old[[#This Row],[Adjusted 2028]]/$L120,0)</f>
        <v>0</v>
      </c>
      <c r="BF120">
        <f>ROUNDUP(tbl_Data_old[[#This Row],[Adjusted 2029]]/$L120,0)</f>
        <v>0</v>
      </c>
      <c r="BG120">
        <f>ROUNDUP(tbl_Data_old[[#This Row],[Adjusted 2030]]/$L120,0)</f>
        <v>0</v>
      </c>
      <c r="BH120">
        <f>ROUNDUP(tbl_Data_old[[#This Row],[Adjusted 2031]]/$L120,0)</f>
        <v>0</v>
      </c>
      <c r="BI120">
        <f>ROUNDUP(tbl_Data_old[[#This Row],[Adjusted 2032]]/$L120,0)</f>
        <v>0</v>
      </c>
      <c r="BJ120">
        <f>ROUNDUP(tbl_Data_old[[#This Row],[Adjusted 2033]]/$L120,0)</f>
        <v>0</v>
      </c>
      <c r="BK120">
        <f>ROUNDUP(tbl_Data_old[[#This Row],[Adjusted 2034]]/$L120,0)</f>
        <v>0</v>
      </c>
      <c r="BL120" s="3">
        <f t="shared" si="8"/>
        <v>0</v>
      </c>
      <c r="BM120" s="3">
        <f t="shared" si="8"/>
        <v>0</v>
      </c>
      <c r="BN120" s="3">
        <f t="shared" si="8"/>
        <v>0</v>
      </c>
      <c r="BO120" s="3">
        <f t="shared" si="8"/>
        <v>0</v>
      </c>
      <c r="BP120" s="3">
        <f t="shared" si="8"/>
        <v>0</v>
      </c>
      <c r="BQ120" s="3">
        <f t="shared" si="7"/>
        <v>0</v>
      </c>
      <c r="BR120" s="3">
        <f t="shared" si="7"/>
        <v>0</v>
      </c>
      <c r="BS120" s="3">
        <f t="shared" si="7"/>
        <v>0</v>
      </c>
      <c r="BT120" s="3">
        <f t="shared" si="7"/>
        <v>0</v>
      </c>
      <c r="BU120" s="3">
        <f t="shared" si="7"/>
        <v>0</v>
      </c>
      <c r="BV120">
        <f>VLOOKUP($H120,'1. Set Program Names'!$B$2:$D$15,3,0)*V120</f>
        <v>0</v>
      </c>
      <c r="BW120">
        <f>VLOOKUP($H120,'1. Set Program Names'!$B$2:$D$15,3,0)*W120</f>
        <v>0</v>
      </c>
      <c r="BX120">
        <f>VLOOKUP($H120,'1. Set Program Names'!$B$2:$D$15,3,0)*X120</f>
        <v>0</v>
      </c>
      <c r="BY120">
        <f>VLOOKUP($H120,'1. Set Program Names'!$B$2:$D$15,3,0)*Y120</f>
        <v>0</v>
      </c>
      <c r="BZ120">
        <f>VLOOKUP($H120,'1. Set Program Names'!$B$2:$D$15,3,0)*Z120</f>
        <v>0</v>
      </c>
      <c r="CA120">
        <f>VLOOKUP($H120,'1. Set Program Names'!$B$2:$D$15,3,0)*AA120</f>
        <v>0</v>
      </c>
      <c r="CB120">
        <f>VLOOKUP($H120,'1. Set Program Names'!$B$2:$D$15,3,0)*AB120</f>
        <v>0</v>
      </c>
      <c r="CC120">
        <f>VLOOKUP($H120,'1. Set Program Names'!$B$2:$D$15,3,0)*AC120</f>
        <v>0</v>
      </c>
      <c r="CD120">
        <f>VLOOKUP($H120,'1. Set Program Names'!$B$2:$D$15,3,0)*AD120</f>
        <v>0</v>
      </c>
      <c r="CE120">
        <f>VLOOKUP($H120,'1. Set Program Names'!$B$2:$D$15,3,0)*AE120</f>
        <v>0</v>
      </c>
    </row>
    <row r="121" spans="1:83" x14ac:dyDescent="0.25">
      <c r="A121" s="20" t="s">
        <v>115</v>
      </c>
      <c r="B121" s="20" t="s">
        <v>88</v>
      </c>
      <c r="C121" s="20" t="s">
        <v>89</v>
      </c>
      <c r="D121" s="20" t="s">
        <v>90</v>
      </c>
      <c r="E121" s="20" t="s">
        <v>91</v>
      </c>
      <c r="F121" s="20" t="s">
        <v>90</v>
      </c>
      <c r="G121" s="20" t="s">
        <v>92</v>
      </c>
      <c r="H121" s="20" t="s">
        <v>7</v>
      </c>
      <c r="I121" s="20" t="s">
        <v>107</v>
      </c>
      <c r="J121" s="20" t="s">
        <v>94</v>
      </c>
      <c r="K121" s="20" t="s">
        <v>108</v>
      </c>
      <c r="L121" s="20">
        <v>1663.1099999999899</v>
      </c>
      <c r="M121" s="20">
        <v>6.6647595975018806E-2</v>
      </c>
      <c r="N121" s="20">
        <v>0.309148293753995</v>
      </c>
      <c r="O121" s="20">
        <v>1389.5</v>
      </c>
      <c r="P121" s="20">
        <v>988.78817699699403</v>
      </c>
      <c r="Q121" s="20">
        <v>479.59833573408702</v>
      </c>
      <c r="R121" s="20">
        <v>791.96156853290995</v>
      </c>
      <c r="S121" s="20">
        <v>2127.4894292214699</v>
      </c>
      <c r="T121" s="20">
        <v>15</v>
      </c>
      <c r="U121" s="20">
        <v>0.1</v>
      </c>
      <c r="V121" s="20">
        <v>0.34874594244146501</v>
      </c>
      <c r="W121" s="20">
        <v>0.73659247466642797</v>
      </c>
      <c r="X121" s="20">
        <v>1.1604714757296799</v>
      </c>
      <c r="Y121" s="20">
        <v>1.6184194689375699</v>
      </c>
      <c r="Z121" s="20">
        <v>2.10880437149134</v>
      </c>
      <c r="AA121" s="20">
        <v>2.6288442309579301</v>
      </c>
      <c r="AB121" s="20">
        <v>3.1798515279233301</v>
      </c>
      <c r="AC121" s="20">
        <v>3.7644979608582698</v>
      </c>
      <c r="AD121" s="20">
        <v>4.3858979518286203</v>
      </c>
      <c r="AE121" s="20">
        <v>5.0474136611444704</v>
      </c>
      <c r="AF121" t="str">
        <f t="shared" si="5"/>
        <v>Residential</v>
      </c>
      <c r="AG121" t="str">
        <f>tbl_Data_old[[#This Row],[All_Meas_Name_Append]]</f>
        <v>Heat Pump Water Heater 50 Gallons- CEE Advanced Tier</v>
      </c>
      <c r="AH121">
        <f>AVERAGEIFS('3. Incentive Adjustment'!G:G,'3. Incentive Adjustment'!A:A,tbl_Data_old[[#This Row],[Trimmed Sector]],'3. Incentive Adjustment'!B:B,tbl_Data_old[[#This Row],[Trimmed Measure Name]])</f>
        <v>0.46049099596140497</v>
      </c>
      <c r="AI121">
        <f>$AH121*tbl_Data_old[[#This Row],[2025 ]]</f>
        <v>0.16059436637236904</v>
      </c>
      <c r="AJ121">
        <f>$AH121*tbl_Data_old[[#This Row],[2026 ]]</f>
        <v>0.33919420227681935</v>
      </c>
      <c r="AK121">
        <f>$AH121*tbl_Data_old[[#This Row],[2027 ]]</f>
        <v>0.53438666564356174</v>
      </c>
      <c r="AL121">
        <f>$AH121*tbl_Data_old[[#This Row],[2028 ]]</f>
        <v>0.74526759313438973</v>
      </c>
      <c r="AM121">
        <f>$AH121*tbl_Data_old[[#This Row],[2029 ]]</f>
        <v>0.97108542531581177</v>
      </c>
      <c r="AN121">
        <f>$AH121*tbl_Data_old[[#This Row],[2030 ]]</f>
        <v>1.2105590981412109</v>
      </c>
      <c r="AO121">
        <f>$AH121*tbl_Data_old[[#This Row],[2031 ]]</f>
        <v>1.4642929971028096</v>
      </c>
      <c r="AP121">
        <f>$AH121*tbl_Data_old[[#This Row],[2032 ]]</f>
        <v>1.7335174152903028</v>
      </c>
      <c r="AQ121">
        <f>$AH121*tbl_Data_old[[#This Row],[2033 ]]</f>
        <v>2.0196665160226477</v>
      </c>
      <c r="AR121">
        <f>$AH121*tbl_Data_old[[#This Row],[2034 ]]</f>
        <v>2.3242885438496188</v>
      </c>
      <c r="AS121">
        <f>SUM(tbl_Data_old[[#This Row],[Adjusted 2025]:[Adjusted 2034]])</f>
        <v>11.502852823149542</v>
      </c>
      <c r="AT121" s="3">
        <f>AVERAGEIFS('3. Incentive Adjustment'!F:F,'3. Incentive Adjustment'!A:A,tbl_Data_old[[#This Row],[Trimmed Sector]],'3. Incentive Adjustment'!B:B,tbl_Data_old[[#This Row],[Trimmed Measure Name]])</f>
        <v>500</v>
      </c>
      <c r="AU121" s="3">
        <f>IFERROR(VLOOKUP(tbl_Data_old[[#This Row],[All_Meas_Name_Append]],'IRA Tax Credits'!$A$3:$D$46,4,0),0)</f>
        <v>1666.6666666666667</v>
      </c>
      <c r="AV121" s="4">
        <f>tbl_Data_old[[#This Row],[Adj. per unit Incentive ($)]]/tbl_Data_old[[#This Row],[kWh Savings]]*tbl_Data_old[[#This Row],[Sum of Annuals]]</f>
        <v>3.4582357219755795</v>
      </c>
      <c r="AW121" s="4">
        <f>IFERROR(VLOOKUP(tbl_Data_old[[#This Row],[All_Programs]],'1. Set Program Names'!$B$2:$D$15,3,0)*tbl_Data_old[[#This Row],[Sum of Annuals]],"")</f>
        <v>4.9756922905069629</v>
      </c>
      <c r="AX121" s="4">
        <f>tbl_Data_old[[#This Row],[per unit IRA tax ($)]]/tbl_Data_old[[#This Row],[kWh Savings]]*tbl_Data_old[[#This Row],[Sum of Annuals]]</f>
        <v>11.527452406585265</v>
      </c>
      <c r="AY121" s="4">
        <f>tbl_Data_old[[#This Row],[Avoided Costs ($/unit)]]/tbl_Data_old[[#This Row],[kWh Savings]]*tbl_Data_old[[#This Row],[Sum of Annuals]]</f>
        <v>5.4775795734646406</v>
      </c>
      <c r="AZ121" s="4">
        <f>tbl_Data_old[[#This Row],[Lost Revenue ($/unit)]]/tbl_Data_old[[#This Row],[kWh Savings]]*tbl_Data_old[[#This Row],[Sum of Annuals]]</f>
        <v>14.714719884518246</v>
      </c>
      <c r="BA121" s="4">
        <f>tbl_Data_old[[#This Row],[Incremental Cost ($/unit)]]/tbl_Data_old[[#This Row],[kWh Savings]]*tbl_Data_old[[#This Row],[Sum of Annuals]]</f>
        <v>9.6104370713701357</v>
      </c>
      <c r="BB121">
        <f>ROUNDUP(tbl_Data_old[[#This Row],[Adjusted 2025]]/$L121,0)</f>
        <v>1</v>
      </c>
      <c r="BC121">
        <f>ROUNDUP(tbl_Data_old[[#This Row],[Adjusted 2026]]/$L121,0)</f>
        <v>1</v>
      </c>
      <c r="BD121">
        <f>ROUNDUP(tbl_Data_old[[#This Row],[Adjusted 2027]]/$L121,0)</f>
        <v>1</v>
      </c>
      <c r="BE121">
        <f>ROUNDUP(tbl_Data_old[[#This Row],[Adjusted 2028]]/$L121,0)</f>
        <v>1</v>
      </c>
      <c r="BF121">
        <f>ROUNDUP(tbl_Data_old[[#This Row],[Adjusted 2029]]/$L121,0)</f>
        <v>1</v>
      </c>
      <c r="BG121">
        <f>ROUNDUP(tbl_Data_old[[#This Row],[Adjusted 2030]]/$L121,0)</f>
        <v>1</v>
      </c>
      <c r="BH121">
        <f>ROUNDUP(tbl_Data_old[[#This Row],[Adjusted 2031]]/$L121,0)</f>
        <v>1</v>
      </c>
      <c r="BI121">
        <f>ROUNDUP(tbl_Data_old[[#This Row],[Adjusted 2032]]/$L121,0)</f>
        <v>1</v>
      </c>
      <c r="BJ121">
        <f>ROUNDUP(tbl_Data_old[[#This Row],[Adjusted 2033]]/$L121,0)</f>
        <v>1</v>
      </c>
      <c r="BK121">
        <f>ROUNDUP(tbl_Data_old[[#This Row],[Adjusted 2034]]/$L121,0)</f>
        <v>1</v>
      </c>
      <c r="BL121" s="3">
        <f t="shared" si="8"/>
        <v>0.10484752735581745</v>
      </c>
      <c r="BM121" s="3">
        <f t="shared" si="8"/>
        <v>0.22145031737721271</v>
      </c>
      <c r="BN121" s="3">
        <f t="shared" si="8"/>
        <v>0.34888596536900357</v>
      </c>
      <c r="BO121" s="3">
        <f t="shared" si="8"/>
        <v>0.48656416861710283</v>
      </c>
      <c r="BP121" s="3">
        <f t="shared" si="8"/>
        <v>0.63399425518797703</v>
      </c>
      <c r="BQ121" s="3">
        <f t="shared" si="7"/>
        <v>0.79033985453696576</v>
      </c>
      <c r="BR121" s="3">
        <f t="shared" si="7"/>
        <v>0.95599555288686544</v>
      </c>
      <c r="BS121" s="3">
        <f t="shared" si="7"/>
        <v>1.131764573858101</v>
      </c>
      <c r="BT121" s="3">
        <f t="shared" si="7"/>
        <v>1.3185832421874222</v>
      </c>
      <c r="BU121" s="3">
        <f t="shared" si="7"/>
        <v>1.517462363026048</v>
      </c>
      <c r="BV121">
        <f>VLOOKUP($H121,'1. Set Program Names'!$B$2:$D$15,3,0)*V121</f>
        <v>0.15085409887705239</v>
      </c>
      <c r="BW121">
        <f>VLOOKUP($H121,'1. Set Program Names'!$B$2:$D$15,3,0)*W121</f>
        <v>0.31862161098568925</v>
      </c>
      <c r="BX121">
        <f>VLOOKUP($H121,'1. Set Program Names'!$B$2:$D$15,3,0)*X121</f>
        <v>0.50197538505586248</v>
      </c>
      <c r="BY121">
        <f>VLOOKUP($H121,'1. Set Program Names'!$B$2:$D$15,3,0)*Y121</f>
        <v>0.70006609648980556</v>
      </c>
      <c r="BZ121">
        <f>VLOOKUP($H121,'1. Set Program Names'!$B$2:$D$15,3,0)*Z121</f>
        <v>0.91218776895937614</v>
      </c>
      <c r="CA121">
        <f>VLOOKUP($H121,'1. Set Program Names'!$B$2:$D$15,3,0)*AA121</f>
        <v>1.1371370367007458</v>
      </c>
      <c r="CB121">
        <f>VLOOKUP($H121,'1. Set Program Names'!$B$2:$D$15,3,0)*AB121</f>
        <v>1.375481628401185</v>
      </c>
      <c r="CC121">
        <f>VLOOKUP($H121,'1. Set Program Names'!$B$2:$D$15,3,0)*AC121</f>
        <v>1.6283772181954279</v>
      </c>
      <c r="CD121">
        <f>VLOOKUP($H121,'1. Set Program Names'!$B$2:$D$15,3,0)*AD121</f>
        <v>1.8971709854398298</v>
      </c>
      <c r="CE121">
        <f>VLOOKUP($H121,'1. Set Program Names'!$B$2:$D$15,3,0)*AE121</f>
        <v>2.1833172715392193</v>
      </c>
    </row>
    <row r="122" spans="1:83" x14ac:dyDescent="0.25">
      <c r="A122" s="20" t="s">
        <v>115</v>
      </c>
      <c r="B122" s="20" t="s">
        <v>88</v>
      </c>
      <c r="C122" s="20" t="s">
        <v>89</v>
      </c>
      <c r="D122" s="20" t="s">
        <v>90</v>
      </c>
      <c r="E122" s="20" t="s">
        <v>91</v>
      </c>
      <c r="F122" s="20" t="s">
        <v>90</v>
      </c>
      <c r="G122" s="20" t="s">
        <v>92</v>
      </c>
      <c r="H122" s="20" t="s">
        <v>7</v>
      </c>
      <c r="I122" s="20" t="s">
        <v>109</v>
      </c>
      <c r="J122" s="20" t="s">
        <v>94</v>
      </c>
      <c r="K122" s="20" t="s">
        <v>95</v>
      </c>
      <c r="L122" s="20">
        <v>1590.11499999999</v>
      </c>
      <c r="M122" s="20">
        <v>6.3722388822036402E-2</v>
      </c>
      <c r="N122" s="20">
        <v>0.29557957027655002</v>
      </c>
      <c r="O122" s="20">
        <v>1389.5</v>
      </c>
      <c r="P122" s="20">
        <v>1006.47372867305</v>
      </c>
      <c r="Q122" s="20">
        <v>458.54844696129999</v>
      </c>
      <c r="R122" s="20">
        <v>757.20185047754296</v>
      </c>
      <c r="S122" s="20">
        <v>2034.1125083407001</v>
      </c>
      <c r="T122" s="20">
        <v>15</v>
      </c>
      <c r="U122" s="20">
        <v>0.1</v>
      </c>
      <c r="V122" s="20">
        <v>0.49838335256751698</v>
      </c>
      <c r="W122" s="20">
        <v>1.0524170439919001</v>
      </c>
      <c r="X122" s="20">
        <v>1.6576995458056201</v>
      </c>
      <c r="Y122" s="20">
        <v>2.3114155025838601</v>
      </c>
      <c r="Z122" s="20">
        <v>3.0112287383008498</v>
      </c>
      <c r="AA122" s="20">
        <v>3.7531672826878402</v>
      </c>
      <c r="AB122" s="20">
        <v>4.5391042383673099</v>
      </c>
      <c r="AC122" s="20">
        <v>5.3728512860386299</v>
      </c>
      <c r="AD122" s="20">
        <v>6.2588504555130404</v>
      </c>
      <c r="AE122" s="20">
        <v>7.2018959370785103</v>
      </c>
      <c r="AF122" t="str">
        <f t="shared" si="5"/>
        <v>Residential</v>
      </c>
      <c r="AG122" t="str">
        <f>tbl_Data_old[[#This Row],[All_Meas_Name_Append]]</f>
        <v>Heat Pump Water Heater 50 Gallons-ENERGY STAR</v>
      </c>
      <c r="AH122">
        <f>AVERAGEIFS('3. Incentive Adjustment'!G:G,'3. Incentive Adjustment'!A:A,tbl_Data_old[[#This Row],[Trimmed Sector]],'3. Incentive Adjustment'!B:B,tbl_Data_old[[#This Row],[Trimmed Measure Name]])</f>
        <v>0.43153525594917136</v>
      </c>
      <c r="AI122">
        <f>$AH122*tbl_Data_old[[#This Row],[2025 ]]</f>
        <v>0.21506998761102955</v>
      </c>
      <c r="AJ122">
        <f>$AH122*tbl_Data_old[[#This Row],[2026 ]]</f>
        <v>0.45415505844431492</v>
      </c>
      <c r="AK122">
        <f>$AH122*tbl_Data_old[[#This Row],[2027 ]]</f>
        <v>0.7153557977860534</v>
      </c>
      <c r="AL122">
        <f>$AH122*tbl_Data_old[[#This Row],[2028 ]]</f>
        <v>0.99745728051240856</v>
      </c>
      <c r="AM122">
        <f>$AH122*tbl_Data_old[[#This Row],[2029 ]]</f>
        <v>1.2994513643041576</v>
      </c>
      <c r="AN122">
        <f>$AH122*tbl_Data_old[[#This Row],[2030 ]]</f>
        <v>1.6196240039547531</v>
      </c>
      <c r="AO122">
        <f>$AH122*tbl_Data_old[[#This Row],[2031 ]]</f>
        <v>1.9587835092838055</v>
      </c>
      <c r="AP122">
        <f>$AH122*tbl_Data_old[[#This Row],[2032 ]]</f>
        <v>2.3185747548975146</v>
      </c>
      <c r="AQ122">
        <f>$AH122*tbl_Data_old[[#This Row],[2033 ]]</f>
        <v>2.7009146332674074</v>
      </c>
      <c r="AR122">
        <f>$AH122*tbl_Data_old[[#This Row],[2034 ]]</f>
        <v>3.1078720065264722</v>
      </c>
      <c r="AS122">
        <f>SUM(tbl_Data_old[[#This Row],[Adjusted 2025]:[Adjusted 2034]])</f>
        <v>15.387258396587917</v>
      </c>
      <c r="AT122" s="3">
        <f>AVERAGEIFS('3. Incentive Adjustment'!F:F,'3. Incentive Adjustment'!A:A,tbl_Data_old[[#This Row],[Trimmed Sector]],'3. Incentive Adjustment'!B:B,tbl_Data_old[[#This Row],[Trimmed Measure Name]])</f>
        <v>500</v>
      </c>
      <c r="AU122" s="3">
        <f>IFERROR(VLOOKUP(tbl_Data_old[[#This Row],[All_Meas_Name_Append]],'IRA Tax Credits'!$A$3:$D$46,4,0),0)</f>
        <v>1666.6666666666667</v>
      </c>
      <c r="AV122" s="4">
        <f>tbl_Data_old[[#This Row],[Adj. per unit Incentive ($)]]/tbl_Data_old[[#This Row],[kWh Savings]]*tbl_Data_old[[#This Row],[Sum of Annuals]]</f>
        <v>4.8384105541385409</v>
      </c>
      <c r="AW122" s="4">
        <f>IFERROR(VLOOKUP(tbl_Data_old[[#This Row],[All_Programs]],'1. Set Program Names'!$B$2:$D$15,3,0)*tbl_Data_old[[#This Row],[Sum of Annuals]],"")</f>
        <v>6.6559369360841627</v>
      </c>
      <c r="AX122" s="4">
        <f>tbl_Data_old[[#This Row],[per unit IRA tax ($)]]/tbl_Data_old[[#This Row],[kWh Savings]]*tbl_Data_old[[#This Row],[Sum of Annuals]]</f>
        <v>16.128035180461804</v>
      </c>
      <c r="AY122" s="4">
        <f>tbl_Data_old[[#This Row],[Avoided Costs ($/unit)]]/tbl_Data_old[[#This Row],[kWh Savings]]*tbl_Data_old[[#This Row],[Sum of Annuals]]</f>
        <v>7.3273068499275551</v>
      </c>
      <c r="AZ122" s="4">
        <f>tbl_Data_old[[#This Row],[Lost Revenue ($/unit)]]/tbl_Data_old[[#This Row],[kWh Savings]]*tbl_Data_old[[#This Row],[Sum of Annuals]]</f>
        <v>19.683742857321732</v>
      </c>
      <c r="BA122" s="4">
        <f>tbl_Data_old[[#This Row],[Incremental Cost ($/unit)]]/tbl_Data_old[[#This Row],[kWh Savings]]*tbl_Data_old[[#This Row],[Sum of Annuals]]</f>
        <v>13.445942929951007</v>
      </c>
      <c r="BB122">
        <f>ROUNDUP(tbl_Data_old[[#This Row],[Adjusted 2025]]/$L122,0)</f>
        <v>1</v>
      </c>
      <c r="BC122">
        <f>ROUNDUP(tbl_Data_old[[#This Row],[Adjusted 2026]]/$L122,0)</f>
        <v>1</v>
      </c>
      <c r="BD122">
        <f>ROUNDUP(tbl_Data_old[[#This Row],[Adjusted 2027]]/$L122,0)</f>
        <v>1</v>
      </c>
      <c r="BE122">
        <f>ROUNDUP(tbl_Data_old[[#This Row],[Adjusted 2028]]/$L122,0)</f>
        <v>1</v>
      </c>
      <c r="BF122">
        <f>ROUNDUP(tbl_Data_old[[#This Row],[Adjusted 2029]]/$L122,0)</f>
        <v>1</v>
      </c>
      <c r="BG122">
        <f>ROUNDUP(tbl_Data_old[[#This Row],[Adjusted 2030]]/$L122,0)</f>
        <v>1</v>
      </c>
      <c r="BH122">
        <f>ROUNDUP(tbl_Data_old[[#This Row],[Adjusted 2031]]/$L122,0)</f>
        <v>1</v>
      </c>
      <c r="BI122">
        <f>ROUNDUP(tbl_Data_old[[#This Row],[Adjusted 2032]]/$L122,0)</f>
        <v>1</v>
      </c>
      <c r="BJ122">
        <f>ROUNDUP(tbl_Data_old[[#This Row],[Adjusted 2033]]/$L122,0)</f>
        <v>1</v>
      </c>
      <c r="BK122">
        <f>ROUNDUP(tbl_Data_old[[#This Row],[Adjusted 2034]]/$L122,0)</f>
        <v>1</v>
      </c>
      <c r="BL122" s="3">
        <f t="shared" si="8"/>
        <v>0.15671299011943163</v>
      </c>
      <c r="BM122" s="3">
        <f t="shared" si="8"/>
        <v>0.33092482115818872</v>
      </c>
      <c r="BN122" s="3">
        <f t="shared" si="8"/>
        <v>0.52125146477004192</v>
      </c>
      <c r="BO122" s="3">
        <f t="shared" si="8"/>
        <v>0.72680765308920248</v>
      </c>
      <c r="BP122" s="3">
        <f t="shared" si="8"/>
        <v>0.9468587926976566</v>
      </c>
      <c r="BQ122" s="3">
        <f t="shared" si="7"/>
        <v>1.1801559266744428</v>
      </c>
      <c r="BR122" s="3">
        <f t="shared" si="7"/>
        <v>1.4272880384020459</v>
      </c>
      <c r="BS122" s="3">
        <f t="shared" si="7"/>
        <v>1.689453682921884</v>
      </c>
      <c r="BT122" s="3">
        <f t="shared" si="7"/>
        <v>1.9680496239306839</v>
      </c>
      <c r="BU122" s="3">
        <f t="shared" si="7"/>
        <v>2.2645833594043685</v>
      </c>
      <c r="BV122">
        <f>VLOOKUP($H122,'1. Set Program Names'!$B$2:$D$15,3,0)*V122</f>
        <v>0.21558149471378046</v>
      </c>
      <c r="BW122">
        <f>VLOOKUP($H122,'1. Set Program Names'!$B$2:$D$15,3,0)*W122</f>
        <v>0.45523518840909954</v>
      </c>
      <c r="BX122">
        <f>VLOOKUP($H122,'1. Set Program Names'!$B$2:$D$15,3,0)*X122</f>
        <v>0.71705714893981543</v>
      </c>
      <c r="BY122">
        <f>VLOOKUP($H122,'1. Set Program Names'!$B$2:$D$15,3,0)*Y122</f>
        <v>0.99982956169092185</v>
      </c>
      <c r="BZ122">
        <f>VLOOKUP($H122,'1. Set Program Names'!$B$2:$D$15,3,0)*Z122</f>
        <v>1.302541886649484</v>
      </c>
      <c r="CA122">
        <f>VLOOKUP($H122,'1. Set Program Names'!$B$2:$D$15,3,0)*AA122</f>
        <v>1.6234760020462164</v>
      </c>
      <c r="CB122">
        <f>VLOOKUP($H122,'1. Set Program Names'!$B$2:$D$15,3,0)*AB122</f>
        <v>1.9634421401270923</v>
      </c>
      <c r="CC122">
        <f>VLOOKUP($H122,'1. Set Program Names'!$B$2:$D$15,3,0)*AC122</f>
        <v>2.3240890875506319</v>
      </c>
      <c r="CD122">
        <f>VLOOKUP($H122,'1. Set Program Names'!$B$2:$D$15,3,0)*AD122</f>
        <v>2.7073382957885532</v>
      </c>
      <c r="CE122">
        <f>VLOOKUP($H122,'1. Set Program Names'!$B$2:$D$15,3,0)*AE122</f>
        <v>3.1152635474078254</v>
      </c>
    </row>
    <row r="123" spans="1:83" x14ac:dyDescent="0.25">
      <c r="A123" s="20" t="s">
        <v>115</v>
      </c>
      <c r="B123" s="20" t="s">
        <v>88</v>
      </c>
      <c r="C123" s="20" t="s">
        <v>89</v>
      </c>
      <c r="D123" s="20" t="s">
        <v>90</v>
      </c>
      <c r="E123" s="20" t="s">
        <v>91</v>
      </c>
      <c r="F123" s="20" t="s">
        <v>90</v>
      </c>
      <c r="G123" s="20" t="s">
        <v>92</v>
      </c>
      <c r="H123" s="20" t="s">
        <v>7</v>
      </c>
      <c r="I123" s="20" t="s">
        <v>110</v>
      </c>
      <c r="J123" s="20" t="s">
        <v>94</v>
      </c>
      <c r="K123" s="20" t="s">
        <v>108</v>
      </c>
      <c r="L123" s="20">
        <v>461.909999999999</v>
      </c>
      <c r="M123" s="20">
        <v>1.8510616289253799E-2</v>
      </c>
      <c r="N123" s="20">
        <v>8.5862443475120898E-2</v>
      </c>
      <c r="O123" s="20">
        <v>1729.5</v>
      </c>
      <c r="P123" s="20">
        <v>1631.9996867488601</v>
      </c>
      <c r="Q123" s="20">
        <v>133.20301559063</v>
      </c>
      <c r="R123" s="20">
        <v>219.958372038552</v>
      </c>
      <c r="S123" s="20">
        <v>590.88613636602201</v>
      </c>
      <c r="T123" s="20">
        <v>15</v>
      </c>
      <c r="U123" s="20">
        <v>0.1</v>
      </c>
      <c r="V123" s="20">
        <v>0.26809216754143</v>
      </c>
      <c r="W123" s="20">
        <v>0.56629496761002196</v>
      </c>
      <c r="X123" s="20">
        <v>0.89225335553543905</v>
      </c>
      <c r="Y123" s="20">
        <v>1.24445965204945</v>
      </c>
      <c r="Z123" s="20">
        <v>1.6216596031966499</v>
      </c>
      <c r="AA123" s="20">
        <v>2.0217132876906301</v>
      </c>
      <c r="AB123" s="20">
        <v>2.4456297139921399</v>
      </c>
      <c r="AC123" s="20">
        <v>2.8954636276622301</v>
      </c>
      <c r="AD123" s="20">
        <v>3.37361062293814</v>
      </c>
      <c r="AE123" s="20">
        <v>3.88265714384237</v>
      </c>
      <c r="AF123" t="str">
        <f t="shared" si="5"/>
        <v>Residential</v>
      </c>
      <c r="AG123" t="str">
        <f>tbl_Data_old[[#This Row],[All_Meas_Name_Append]]</f>
        <v>Heat Pump Water Heater 80 Gallons-ENERGY STAR</v>
      </c>
      <c r="AH123">
        <f>AVERAGEIFS('3. Incentive Adjustment'!G:G,'3. Incentive Adjustment'!A:A,tbl_Data_old[[#This Row],[Trimmed Sector]],'3. Incentive Adjustment'!B:B,tbl_Data_old[[#This Row],[Trimmed Measure Name]])</f>
        <v>1.5551101216712928E-3</v>
      </c>
      <c r="AI123">
        <f>$AH123*tbl_Data_old[[#This Row],[2025 ]]</f>
        <v>4.1691284328447385E-4</v>
      </c>
      <c r="AJ123">
        <f>$AH123*tbl_Data_old[[#This Row],[2026 ]]</f>
        <v>8.8065103598186211E-4</v>
      </c>
      <c r="AK123">
        <f>$AH123*tbl_Data_old[[#This Row],[2027 ]]</f>
        <v>1.387552224288336E-3</v>
      </c>
      <c r="AL123">
        <f>$AH123*tbl_Data_old[[#This Row],[2028 ]]</f>
        <v>1.9352718009136348E-3</v>
      </c>
      <c r="AM123">
        <f>$AH123*tbl_Data_old[[#This Row],[2029 ]]</f>
        <v>2.5218592628365628E-3</v>
      </c>
      <c r="AN123">
        <f>$AH123*tbl_Data_old[[#This Row],[2030 ]]</f>
        <v>3.1439867968050452E-3</v>
      </c>
      <c r="AO123">
        <f>$AH123*tbl_Data_old[[#This Row],[2031 ]]</f>
        <v>3.8032235220892456E-3</v>
      </c>
      <c r="AP123">
        <f>$AH123*tbl_Data_old[[#This Row],[2032 ]]</f>
        <v>4.5027647943086131E-3</v>
      </c>
      <c r="AQ123">
        <f>$AH123*tbl_Data_old[[#This Row],[2033 ]]</f>
        <v>5.2463360263088968E-3</v>
      </c>
      <c r="AR123">
        <f>$AH123*tbl_Data_old[[#This Row],[2034 ]]</f>
        <v>6.0379594233686221E-3</v>
      </c>
      <c r="AS123">
        <f>SUM(tbl_Data_old[[#This Row],[Adjusted 2025]:[Adjusted 2034]])</f>
        <v>2.9876517730185292E-2</v>
      </c>
      <c r="AT123" s="3">
        <f>AVERAGEIFS('3. Incentive Adjustment'!F:F,'3. Incentive Adjustment'!A:A,tbl_Data_old[[#This Row],[Trimmed Sector]],'3. Incentive Adjustment'!B:B,tbl_Data_old[[#This Row],[Trimmed Measure Name]])</f>
        <v>500</v>
      </c>
      <c r="AU123" s="3">
        <f>IFERROR(VLOOKUP(tbl_Data_old[[#This Row],[All_Meas_Name_Append]],'IRA Tax Credits'!$A$3:$D$46,4,0),0)</f>
        <v>1666.6666666666667</v>
      </c>
      <c r="AV123" s="4">
        <f>tbl_Data_old[[#This Row],[Adj. per unit Incentive ($)]]/tbl_Data_old[[#This Row],[kWh Savings]]*tbl_Data_old[[#This Row],[Sum of Annuals]]</f>
        <v>3.2340193685117619E-2</v>
      </c>
      <c r="AW123" s="4">
        <f>IFERROR(VLOOKUP(tbl_Data_old[[#This Row],[All_Programs]],'1. Set Program Names'!$B$2:$D$15,3,0)*tbl_Data_old[[#This Row],[Sum of Annuals]],"")</f>
        <v>1.2923433970928148E-2</v>
      </c>
      <c r="AX123" s="4">
        <f>tbl_Data_old[[#This Row],[per unit IRA tax ($)]]/tbl_Data_old[[#This Row],[kWh Savings]]*tbl_Data_old[[#This Row],[Sum of Annuals]]</f>
        <v>0.10780064561705872</v>
      </c>
      <c r="AY123" s="4">
        <f>tbl_Data_old[[#This Row],[Avoided Costs ($/unit)]]/tbl_Data_old[[#This Row],[kWh Savings]]*tbl_Data_old[[#This Row],[Sum of Annuals]]</f>
        <v>1.4226992708779862E-2</v>
      </c>
      <c r="AZ123" s="4">
        <f>tbl_Data_old[[#This Row],[Lost Revenue ($/unit)]]/tbl_Data_old[[#This Row],[kWh Savings]]*tbl_Data_old[[#This Row],[Sum of Annuals]]</f>
        <v>3.821874419185594E-2</v>
      </c>
      <c r="BA123" s="4">
        <f>tbl_Data_old[[#This Row],[Incremental Cost ($/unit)]]/tbl_Data_old[[#This Row],[kWh Savings]]*tbl_Data_old[[#This Row],[Sum of Annuals]]</f>
        <v>0.11186472995682184</v>
      </c>
      <c r="BB123">
        <f>ROUNDUP(tbl_Data_old[[#This Row],[Adjusted 2025]]/$L123,0)</f>
        <v>1</v>
      </c>
      <c r="BC123">
        <f>ROUNDUP(tbl_Data_old[[#This Row],[Adjusted 2026]]/$L123,0)</f>
        <v>1</v>
      </c>
      <c r="BD123">
        <f>ROUNDUP(tbl_Data_old[[#This Row],[Adjusted 2027]]/$L123,0)</f>
        <v>1</v>
      </c>
      <c r="BE123">
        <f>ROUNDUP(tbl_Data_old[[#This Row],[Adjusted 2028]]/$L123,0)</f>
        <v>1</v>
      </c>
      <c r="BF123">
        <f>ROUNDUP(tbl_Data_old[[#This Row],[Adjusted 2029]]/$L123,0)</f>
        <v>1</v>
      </c>
      <c r="BG123">
        <f>ROUNDUP(tbl_Data_old[[#This Row],[Adjusted 2030]]/$L123,0)</f>
        <v>1</v>
      </c>
      <c r="BH123">
        <f>ROUNDUP(tbl_Data_old[[#This Row],[Adjusted 2031]]/$L123,0)</f>
        <v>1</v>
      </c>
      <c r="BI123">
        <f>ROUNDUP(tbl_Data_old[[#This Row],[Adjusted 2032]]/$L123,0)</f>
        <v>1</v>
      </c>
      <c r="BJ123">
        <f>ROUNDUP(tbl_Data_old[[#This Row],[Adjusted 2033]]/$L123,0)</f>
        <v>1</v>
      </c>
      <c r="BK123">
        <f>ROUNDUP(tbl_Data_old[[#This Row],[Adjusted 2034]]/$L123,0)</f>
        <v>1</v>
      </c>
      <c r="BL123" s="3">
        <f t="shared" si="8"/>
        <v>0.29019957084868331</v>
      </c>
      <c r="BM123" s="3">
        <f t="shared" si="8"/>
        <v>0.6129927557424858</v>
      </c>
      <c r="BN123" s="3">
        <f t="shared" si="8"/>
        <v>0.96583030843177353</v>
      </c>
      <c r="BO123" s="3">
        <f t="shared" si="8"/>
        <v>1.3470802234736776</v>
      </c>
      <c r="BP123" s="3">
        <f t="shared" si="8"/>
        <v>1.7553848186840006</v>
      </c>
      <c r="BQ123" s="3">
        <f t="shared" si="7"/>
        <v>2.188427710691081</v>
      </c>
      <c r="BR123" s="3">
        <f t="shared" si="7"/>
        <v>2.647301112762384</v>
      </c>
      <c r="BS123" s="3">
        <f t="shared" si="7"/>
        <v>3.1342292087876822</v>
      </c>
      <c r="BT123" s="3">
        <f t="shared" si="7"/>
        <v>3.6518051383799306</v>
      </c>
      <c r="BU123" s="3">
        <f t="shared" si="7"/>
        <v>4.202828628783073</v>
      </c>
      <c r="BV123">
        <f>VLOOKUP($H123,'1. Set Program Names'!$B$2:$D$15,3,0)*V123</f>
        <v>0.11596637388045389</v>
      </c>
      <c r="BW123">
        <f>VLOOKUP($H123,'1. Set Program Names'!$B$2:$D$15,3,0)*W123</f>
        <v>0.24495745080032874</v>
      </c>
      <c r="BX123">
        <f>VLOOKUP($H123,'1. Set Program Names'!$B$2:$D$15,3,0)*X123</f>
        <v>0.38595452889582155</v>
      </c>
      <c r="BY123">
        <f>VLOOKUP($H123,'1. Set Program Names'!$B$2:$D$15,3,0)*Y123</f>
        <v>0.53830544402758085</v>
      </c>
      <c r="BZ123">
        <f>VLOOKUP($H123,'1. Set Program Names'!$B$2:$D$15,3,0)*Z123</f>
        <v>0.7014676541121605</v>
      </c>
      <c r="CA123">
        <f>VLOOKUP($H123,'1. Set Program Names'!$B$2:$D$15,3,0)*AA123</f>
        <v>0.87451551139845241</v>
      </c>
      <c r="CB123">
        <f>VLOOKUP($H123,'1. Set Program Names'!$B$2:$D$15,3,0)*AB123</f>
        <v>1.0578854741891397</v>
      </c>
      <c r="CC123">
        <f>VLOOKUP($H123,'1. Set Program Names'!$B$2:$D$15,3,0)*AC123</f>
        <v>1.2524663464882606</v>
      </c>
      <c r="CD123">
        <f>VLOOKUP($H123,'1. Set Program Names'!$B$2:$D$15,3,0)*AD123</f>
        <v>1.4592943703446939</v>
      </c>
      <c r="CE123">
        <f>VLOOKUP($H123,'1. Set Program Names'!$B$2:$D$15,3,0)*AE123</f>
        <v>1.6794883420936133</v>
      </c>
    </row>
    <row r="124" spans="1:83" x14ac:dyDescent="0.25">
      <c r="A124" s="20" t="s">
        <v>115</v>
      </c>
      <c r="B124" s="20" t="s">
        <v>88</v>
      </c>
      <c r="C124" s="20" t="s">
        <v>89</v>
      </c>
      <c r="D124" s="20" t="s">
        <v>90</v>
      </c>
      <c r="E124" s="20" t="s">
        <v>91</v>
      </c>
      <c r="F124" s="20" t="s">
        <v>90</v>
      </c>
      <c r="G124" s="20" t="s">
        <v>92</v>
      </c>
      <c r="H124" s="20" t="s">
        <v>7</v>
      </c>
      <c r="I124" s="20" t="s">
        <v>299</v>
      </c>
      <c r="J124" s="20" t="s">
        <v>97</v>
      </c>
      <c r="K124" s="20" t="s">
        <v>102</v>
      </c>
      <c r="L124" s="20">
        <v>408.28</v>
      </c>
      <c r="M124" s="20">
        <v>0.16567198429270899</v>
      </c>
      <c r="N124" s="20">
        <v>2.3547919008134799E-2</v>
      </c>
      <c r="O124" s="53">
        <v>128.60999999999999</v>
      </c>
      <c r="P124" s="20">
        <v>29.691921599999901</v>
      </c>
      <c r="Q124" s="20">
        <v>117.737496926549</v>
      </c>
      <c r="R124" s="20">
        <v>238.630335182902</v>
      </c>
      <c r="S124" s="20">
        <v>423.90838942107399</v>
      </c>
      <c r="T124" s="20">
        <v>11</v>
      </c>
      <c r="U124" s="20">
        <v>9.9999999999999895E-2</v>
      </c>
      <c r="V124" s="20">
        <v>0.72745937913742598</v>
      </c>
      <c r="W124" s="20">
        <v>1.3309907334748301</v>
      </c>
      <c r="X124" s="20">
        <v>1.8317126137794699</v>
      </c>
      <c r="Y124" s="20">
        <v>2.248911971978</v>
      </c>
      <c r="Z124" s="20">
        <v>2.59891943748055</v>
      </c>
      <c r="AA124" s="20">
        <v>2.89406898465846</v>
      </c>
      <c r="AB124" s="20">
        <v>3.1466102867102101</v>
      </c>
      <c r="AC124" s="20">
        <v>3.36611963568564</v>
      </c>
      <c r="AD124" s="20">
        <v>3.5601283013503999</v>
      </c>
      <c r="AE124" s="20">
        <v>3.7344469533718501</v>
      </c>
      <c r="AF124" t="str">
        <f t="shared" si="5"/>
        <v>Residential</v>
      </c>
      <c r="AG124" t="str">
        <f>tbl_Data_old[[#This Row],[All_Meas_Name_Append]]</f>
        <v>Smart Thermostat Residential</v>
      </c>
      <c r="AH124">
        <f>AVERAGEIFS('3. Incentive Adjustment'!G:G,'3. Incentive Adjustment'!A:A,tbl_Data_old[[#This Row],[Trimmed Sector]],'3. Incentive Adjustment'!B:B,tbl_Data_old[[#This Row],[Trimmed Measure Name]])</f>
        <v>1.1402432304340044</v>
      </c>
      <c r="AI124">
        <f>$AH124*tbl_Data_old[[#This Row],[2025 ]]</f>
        <v>0.82948063247717385</v>
      </c>
      <c r="AJ124">
        <f>$AH124*tbl_Data_old[[#This Row],[2026 ]]</f>
        <v>1.5176531736150654</v>
      </c>
      <c r="AK124">
        <f>$AH124*tbl_Data_old[[#This Row],[2027 ]]</f>
        <v>2.0885979079626167</v>
      </c>
      <c r="AL124">
        <f>$AH124*tbl_Data_old[[#This Row],[2028 ]]</f>
        <v>2.5643066518899018</v>
      </c>
      <c r="AM124">
        <f>$AH124*tbl_Data_old[[#This Row],[2029 ]]</f>
        <v>2.963400295030548</v>
      </c>
      <c r="AN124">
        <f>$AH124*tbl_Data_old[[#This Row],[2030 ]]</f>
        <v>3.2999425681658217</v>
      </c>
      <c r="AO124">
        <f>$AH124*tbl_Data_old[[#This Row],[2031 ]]</f>
        <v>3.5879010782353191</v>
      </c>
      <c r="AP124">
        <f>$AH124*tbl_Data_old[[#This Row],[2032 ]]</f>
        <v>3.8381951274215282</v>
      </c>
      <c r="AQ124">
        <f>$AH124*tbl_Data_old[[#This Row],[2033 ]]</f>
        <v>4.0594121950913049</v>
      </c>
      <c r="AR124">
        <f>$AH124*tbl_Data_old[[#This Row],[2034 ]]</f>
        <v>4.2581778579971443</v>
      </c>
      <c r="AS124">
        <f>SUM(tbl_Data_old[[#This Row],[Adjusted 2025]:[Adjusted 2034]])</f>
        <v>29.00706748788642</v>
      </c>
      <c r="AT124" s="3">
        <f>AVERAGEIFS('3. Incentive Adjustment'!F:F,'3. Incentive Adjustment'!A:A,tbl_Data_old[[#This Row],[Trimmed Sector]],'3. Incentive Adjustment'!B:B,tbl_Data_old[[#This Row],[Trimmed Measure Name]])</f>
        <v>50</v>
      </c>
      <c r="AU124" s="3">
        <f>IFERROR(VLOOKUP(tbl_Data_old[[#This Row],[All_Meas_Name_Append]],'IRA Tax Credits'!$A$3:$D$46,4,0),0)</f>
        <v>0</v>
      </c>
      <c r="AV124" s="4">
        <f>tbl_Data_old[[#This Row],[Adj. per unit Incentive ($)]]/tbl_Data_old[[#This Row],[kWh Savings]]*tbl_Data_old[[#This Row],[Sum of Annuals]]</f>
        <v>3.5523497952246528</v>
      </c>
      <c r="AW124" s="4">
        <f>IFERROR(VLOOKUP(tbl_Data_old[[#This Row],[All_Programs]],'1. Set Program Names'!$B$2:$D$15,3,0)*tbl_Data_old[[#This Row],[Sum of Annuals]],"")</f>
        <v>12.547343192918749</v>
      </c>
      <c r="AX124" s="4">
        <f>tbl_Data_old[[#This Row],[per unit IRA tax ($)]]/tbl_Data_old[[#This Row],[kWh Savings]]*tbl_Data_old[[#This Row],[Sum of Annuals]]</f>
        <v>0</v>
      </c>
      <c r="AY124" s="4">
        <f>tbl_Data_old[[#This Row],[Avoided Costs ($/unit)]]/tbl_Data_old[[#This Row],[kWh Savings]]*tbl_Data_old[[#This Row],[Sum of Annuals]]</f>
        <v>16.953968446427442</v>
      </c>
      <c r="AZ124" s="4">
        <f>tbl_Data_old[[#This Row],[Lost Revenue ($/unit)]]/tbl_Data_old[[#This Row],[kWh Savings]]*tbl_Data_old[[#This Row],[Sum of Annuals]]</f>
        <v>30.11741760707929</v>
      </c>
      <c r="BA124" s="4">
        <f>tbl_Data_old[[#This Row],[Incremental Cost ($/unit)]]/tbl_Data_old[[#This Row],[kWh Savings]]*tbl_Data_old[[#This Row],[Sum of Annuals]]</f>
        <v>9.1373541432768501</v>
      </c>
      <c r="BB124">
        <f>ROUNDUP(tbl_Data_old[[#This Row],[Adjusted 2025]]/$L124,0)</f>
        <v>1</v>
      </c>
      <c r="BC124">
        <f>ROUNDUP(tbl_Data_old[[#This Row],[Adjusted 2026]]/$L124,0)</f>
        <v>1</v>
      </c>
      <c r="BD124">
        <f>ROUNDUP(tbl_Data_old[[#This Row],[Adjusted 2027]]/$L124,0)</f>
        <v>1</v>
      </c>
      <c r="BE124">
        <f>ROUNDUP(tbl_Data_old[[#This Row],[Adjusted 2028]]/$L124,0)</f>
        <v>1</v>
      </c>
      <c r="BF124">
        <f>ROUNDUP(tbl_Data_old[[#This Row],[Adjusted 2029]]/$L124,0)</f>
        <v>1</v>
      </c>
      <c r="BG124">
        <f>ROUNDUP(tbl_Data_old[[#This Row],[Adjusted 2030]]/$L124,0)</f>
        <v>1</v>
      </c>
      <c r="BH124">
        <f>ROUNDUP(tbl_Data_old[[#This Row],[Adjusted 2031]]/$L124,0)</f>
        <v>1</v>
      </c>
      <c r="BI124">
        <f>ROUNDUP(tbl_Data_old[[#This Row],[Adjusted 2032]]/$L124,0)</f>
        <v>1</v>
      </c>
      <c r="BJ124">
        <f>ROUNDUP(tbl_Data_old[[#This Row],[Adjusted 2033]]/$L124,0)</f>
        <v>1</v>
      </c>
      <c r="BK124">
        <f>ROUNDUP(tbl_Data_old[[#This Row],[Adjusted 2034]]/$L124,0)</f>
        <v>1</v>
      </c>
      <c r="BL124" s="3">
        <f t="shared" si="8"/>
        <v>8.9088294692052761E-2</v>
      </c>
      <c r="BM124" s="3">
        <f t="shared" si="8"/>
        <v>0.16299974692304672</v>
      </c>
      <c r="BN124" s="3">
        <f t="shared" si="8"/>
        <v>0.22432063948509234</v>
      </c>
      <c r="BO124" s="3">
        <f t="shared" si="8"/>
        <v>0.27541294846404429</v>
      </c>
      <c r="BP124" s="3">
        <f t="shared" si="8"/>
        <v>0.31827660398262836</v>
      </c>
      <c r="BQ124" s="3">
        <f t="shared" si="7"/>
        <v>0.3544220859040928</v>
      </c>
      <c r="BR124" s="3">
        <f t="shared" si="7"/>
        <v>0.38534955015065769</v>
      </c>
      <c r="BS124" s="3">
        <f t="shared" si="7"/>
        <v>0.41223175708896348</v>
      </c>
      <c r="BT124" s="3">
        <f t="shared" si="7"/>
        <v>0.43599102348270796</v>
      </c>
      <c r="BU124" s="3">
        <f t="shared" si="7"/>
        <v>0.45733895284753728</v>
      </c>
      <c r="BV124">
        <f>VLOOKUP($H124,'1. Set Program Names'!$B$2:$D$15,3,0)*V124</f>
        <v>0.31467098467491322</v>
      </c>
      <c r="BW124">
        <f>VLOOKUP($H124,'1. Set Program Names'!$B$2:$D$15,3,0)*W124</f>
        <v>0.57573546607141723</v>
      </c>
      <c r="BX124">
        <f>VLOOKUP($H124,'1. Set Program Names'!$B$2:$D$15,3,0)*X124</f>
        <v>0.79232851805813109</v>
      </c>
      <c r="BY124">
        <f>VLOOKUP($H124,'1. Set Program Names'!$B$2:$D$15,3,0)*Y124</f>
        <v>0.97279293519952148</v>
      </c>
      <c r="BZ124">
        <f>VLOOKUP($H124,'1. Set Program Names'!$B$2:$D$15,3,0)*Z124</f>
        <v>1.1241927204959206</v>
      </c>
      <c r="CA124">
        <f>VLOOKUP($H124,'1. Set Program Names'!$B$2:$D$15,3,0)*AA124</f>
        <v>1.2518630774950328</v>
      </c>
      <c r="CB124">
        <f>VLOOKUP($H124,'1. Set Program Names'!$B$2:$D$15,3,0)*AB124</f>
        <v>1.3611027442953101</v>
      </c>
      <c r="CC124">
        <f>VLOOKUP($H124,'1. Set Program Names'!$B$2:$D$15,3,0)*AC124</f>
        <v>1.4560540569986395</v>
      </c>
      <c r="CD124">
        <f>VLOOKUP($H124,'1. Set Program Names'!$B$2:$D$15,3,0)*AD124</f>
        <v>1.5399747536189565</v>
      </c>
      <c r="CE124">
        <f>VLOOKUP($H124,'1. Set Program Names'!$B$2:$D$15,3,0)*AE124</f>
        <v>1.61537830665835</v>
      </c>
    </row>
    <row r="125" spans="1:83" x14ac:dyDescent="0.25">
      <c r="A125" s="20" t="s">
        <v>115</v>
      </c>
      <c r="B125" s="20" t="s">
        <v>88</v>
      </c>
      <c r="C125" s="20" t="s">
        <v>89</v>
      </c>
      <c r="D125" s="20" t="s">
        <v>90</v>
      </c>
      <c r="E125" s="20" t="s">
        <v>91</v>
      </c>
      <c r="F125" s="20" t="s">
        <v>90</v>
      </c>
      <c r="G125" s="20" t="s">
        <v>92</v>
      </c>
      <c r="H125" s="20" t="s">
        <v>7</v>
      </c>
      <c r="I125" s="20" t="s">
        <v>112</v>
      </c>
      <c r="J125" s="20" t="s">
        <v>94</v>
      </c>
      <c r="K125" s="20" t="s">
        <v>108</v>
      </c>
      <c r="L125" s="20">
        <v>1330.8133333333301</v>
      </c>
      <c r="M125" s="20">
        <v>5.33311142126306E-2</v>
      </c>
      <c r="N125" s="20">
        <v>0.24737910980336</v>
      </c>
      <c r="O125" s="20">
        <v>8990.02</v>
      </c>
      <c r="P125" s="20">
        <v>8776.4394094329891</v>
      </c>
      <c r="Q125" s="20">
        <v>383.77248638959497</v>
      </c>
      <c r="R125" s="20">
        <v>713.19672296706005</v>
      </c>
      <c r="S125" s="20">
        <v>2011.6258188035599</v>
      </c>
      <c r="T125" s="20">
        <v>20</v>
      </c>
      <c r="U125" s="20">
        <v>0.1</v>
      </c>
      <c r="V125" s="20">
        <v>0.86484412494026597</v>
      </c>
      <c r="W125" s="20">
        <v>1.82735831538044</v>
      </c>
      <c r="X125" s="20">
        <v>2.8799923441226301</v>
      </c>
      <c r="Y125" s="20">
        <v>4.01791230816319</v>
      </c>
      <c r="Z125" s="20">
        <v>5.2370888344471798</v>
      </c>
      <c r="AA125" s="20">
        <v>6.5306175711934902</v>
      </c>
      <c r="AB125" s="20">
        <v>7.9017670982990396</v>
      </c>
      <c r="AC125" s="20">
        <v>9.3571888164065307</v>
      </c>
      <c r="AD125" s="20">
        <v>10.9046394950412</v>
      </c>
      <c r="AE125" s="20">
        <v>12.552496332343001</v>
      </c>
      <c r="AF125" t="str">
        <f t="shared" si="5"/>
        <v>Residential</v>
      </c>
      <c r="AG125" t="str">
        <f>tbl_Data_old[[#This Row],[All_Meas_Name_Append]]</f>
        <v>Solar Thermal Water Heating System</v>
      </c>
      <c r="AH125">
        <f>AVERAGEIFS('3. Incentive Adjustment'!G:G,'3. Incentive Adjustment'!A:A,tbl_Data_old[[#This Row],[Trimmed Sector]],'3. Incentive Adjustment'!B:B,tbl_Data_old[[#This Row],[Trimmed Measure Name]])</f>
        <v>2.7736651842107431E-8</v>
      </c>
      <c r="AI125">
        <f>$AH125*tbl_Data_old[[#This Row],[2025 ]]</f>
        <v>2.3987880391160216E-8</v>
      </c>
      <c r="AJ125">
        <f>$AH125*tbl_Data_old[[#This Row],[2026 ]]</f>
        <v>5.0684801384487213E-8</v>
      </c>
      <c r="AK125">
        <f>$AH125*tbl_Data_old[[#This Row],[2027 ]]</f>
        <v>7.9881344956864245E-8</v>
      </c>
      <c r="AL125">
        <f>$AH125*tbl_Data_old[[#This Row],[2028 ]]</f>
        <v>1.1144343482364066E-7</v>
      </c>
      <c r="AM125">
        <f>$AH125*tbl_Data_old[[#This Row],[2029 ]]</f>
        <v>1.4525930966724962E-7</v>
      </c>
      <c r="AN125">
        <f>$AH125*tbl_Data_old[[#This Row],[2030 ]]</f>
        <v>1.8113746588614309E-7</v>
      </c>
      <c r="AO125">
        <f>$AH125*tbl_Data_old[[#This Row],[2031 ]]</f>
        <v>2.1916856294293994E-7</v>
      </c>
      <c r="AP125">
        <f>$AH125*tbl_Data_old[[#This Row],[2032 ]]</f>
        <v>2.5953708842152926E-7</v>
      </c>
      <c r="AQ125">
        <f>$AH125*tbl_Data_old[[#This Row],[2033 ]]</f>
        <v>3.0245818913765198E-7</v>
      </c>
      <c r="AR125">
        <f>$AH125*tbl_Data_old[[#This Row],[2034 ]]</f>
        <v>3.4816422051952826E-7</v>
      </c>
      <c r="AS125">
        <f>SUM(tbl_Data_old[[#This Row],[Adjusted 2025]:[Adjusted 2034]])</f>
        <v>1.7217222981311946E-6</v>
      </c>
      <c r="AT125" s="3">
        <f>AVERAGEIFS('3. Incentive Adjustment'!F:F,'3. Incentive Adjustment'!A:A,tbl_Data_old[[#This Row],[Trimmed Sector]],'3. Incentive Adjustment'!B:B,tbl_Data_old[[#This Row],[Trimmed Measure Name]])</f>
        <v>0</v>
      </c>
      <c r="AU125" s="3">
        <f>IFERROR(VLOOKUP(tbl_Data_old[[#This Row],[All_Meas_Name_Append]],'IRA Tax Credits'!$A$3:$D$46,4,0),0)</f>
        <v>41666.666666666672</v>
      </c>
      <c r="AV125" s="4">
        <f>tbl_Data_old[[#This Row],[Adj. per unit Incentive ($)]]/tbl_Data_old[[#This Row],[kWh Savings]]*tbl_Data_old[[#This Row],[Sum of Annuals]]</f>
        <v>0</v>
      </c>
      <c r="AW125" s="4">
        <f>IFERROR(VLOOKUP(tbl_Data_old[[#This Row],[All_Programs]],'1. Set Program Names'!$B$2:$D$15,3,0)*tbl_Data_old[[#This Row],[Sum of Annuals]],"")</f>
        <v>7.4475093239171699E-7</v>
      </c>
      <c r="AX125" s="4">
        <f>tbl_Data_old[[#This Row],[per unit IRA tax ($)]]/tbl_Data_old[[#This Row],[kWh Savings]]*tbl_Data_old[[#This Row],[Sum of Annuals]]</f>
        <v>5.3905703596397155E-5</v>
      </c>
      <c r="AY125" s="4">
        <f>tbl_Data_old[[#This Row],[Avoided Costs ($/unit)]]/tbl_Data_old[[#This Row],[kWh Savings]]*tbl_Data_old[[#This Row],[Sum of Annuals]]</f>
        <v>9.2268890770041871E-7</v>
      </c>
      <c r="AZ125" s="4">
        <f>tbl_Data_old[[#This Row],[Lost Revenue ($/unit)]]/tbl_Data_old[[#This Row],[kWh Savings]]*tbl_Data_old[[#This Row],[Sum of Annuals]]</f>
        <v>2.6025145232468262E-6</v>
      </c>
      <c r="BA125" s="4">
        <f>tbl_Data_old[[#This Row],[Incremental Cost ($/unit)]]/tbl_Data_old[[#This Row],[kWh Savings]]*tbl_Data_old[[#This Row],[Sum of Annuals]]</f>
        <v>1.1630720482696375E-5</v>
      </c>
      <c r="BB125">
        <f>ROUNDUP(tbl_Data_old[[#This Row],[Adjusted 2025]]/$L125,0)</f>
        <v>1</v>
      </c>
      <c r="BC125">
        <f>ROUNDUP(tbl_Data_old[[#This Row],[Adjusted 2026]]/$L125,0)</f>
        <v>1</v>
      </c>
      <c r="BD125">
        <f>ROUNDUP(tbl_Data_old[[#This Row],[Adjusted 2027]]/$L125,0)</f>
        <v>1</v>
      </c>
      <c r="BE125">
        <f>ROUNDUP(tbl_Data_old[[#This Row],[Adjusted 2028]]/$L125,0)</f>
        <v>1</v>
      </c>
      <c r="BF125">
        <f>ROUNDUP(tbl_Data_old[[#This Row],[Adjusted 2029]]/$L125,0)</f>
        <v>1</v>
      </c>
      <c r="BG125">
        <f>ROUNDUP(tbl_Data_old[[#This Row],[Adjusted 2030]]/$L125,0)</f>
        <v>1</v>
      </c>
      <c r="BH125">
        <f>ROUNDUP(tbl_Data_old[[#This Row],[Adjusted 2031]]/$L125,0)</f>
        <v>1</v>
      </c>
      <c r="BI125">
        <f>ROUNDUP(tbl_Data_old[[#This Row],[Adjusted 2032]]/$L125,0)</f>
        <v>1</v>
      </c>
      <c r="BJ125">
        <f>ROUNDUP(tbl_Data_old[[#This Row],[Adjusted 2033]]/$L125,0)</f>
        <v>1</v>
      </c>
      <c r="BK125">
        <f>ROUNDUP(tbl_Data_old[[#This Row],[Adjusted 2034]]/$L125,0)</f>
        <v>1</v>
      </c>
      <c r="BL125" s="3">
        <f t="shared" si="8"/>
        <v>0</v>
      </c>
      <c r="BM125" s="3">
        <f t="shared" si="8"/>
        <v>0</v>
      </c>
      <c r="BN125" s="3">
        <f t="shared" si="8"/>
        <v>0</v>
      </c>
      <c r="BO125" s="3">
        <f t="shared" si="8"/>
        <v>0</v>
      </c>
      <c r="BP125" s="3">
        <f t="shared" si="8"/>
        <v>0</v>
      </c>
      <c r="BQ125" s="3">
        <f t="shared" si="7"/>
        <v>0</v>
      </c>
      <c r="BR125" s="3">
        <f t="shared" si="7"/>
        <v>0</v>
      </c>
      <c r="BS125" s="3">
        <f t="shared" si="7"/>
        <v>0</v>
      </c>
      <c r="BT125" s="3">
        <f t="shared" si="7"/>
        <v>0</v>
      </c>
      <c r="BU125" s="3">
        <f t="shared" si="7"/>
        <v>0</v>
      </c>
      <c r="BV125">
        <f>VLOOKUP($H125,'1. Set Program Names'!$B$2:$D$15,3,0)*V125</f>
        <v>0.37409834856752372</v>
      </c>
      <c r="BW125">
        <f>VLOOKUP($H125,'1. Set Program Names'!$B$2:$D$15,3,0)*W125</f>
        <v>0.79044501582544868</v>
      </c>
      <c r="BX125">
        <f>VLOOKUP($H125,'1. Set Program Names'!$B$2:$D$15,3,0)*X125</f>
        <v>1.2457740635028336</v>
      </c>
      <c r="BY125">
        <f>VLOOKUP($H125,'1. Set Program Names'!$B$2:$D$15,3,0)*Y125</f>
        <v>1.7379945308373279</v>
      </c>
      <c r="BZ125">
        <f>VLOOKUP($H125,'1. Set Program Names'!$B$2:$D$15,3,0)*Z125</f>
        <v>2.2653634658192621</v>
      </c>
      <c r="CA125">
        <f>VLOOKUP($H125,'1. Set Program Names'!$B$2:$D$15,3,0)*AA125</f>
        <v>2.8248943110740097</v>
      </c>
      <c r="CB125">
        <f>VLOOKUP($H125,'1. Set Program Names'!$B$2:$D$15,3,0)*AB125</f>
        <v>3.4180009287142186</v>
      </c>
      <c r="CC125">
        <f>VLOOKUP($H125,'1. Set Program Names'!$B$2:$D$15,3,0)*AC125</f>
        <v>4.047560459168249</v>
      </c>
      <c r="CD125">
        <f>VLOOKUP($H125,'1. Set Program Names'!$B$2:$D$15,3,0)*AD125</f>
        <v>4.7169281829842689</v>
      </c>
      <c r="CE125">
        <f>VLOOKUP($H125,'1. Set Program Names'!$B$2:$D$15,3,0)*AE125</f>
        <v>5.4297277542976365</v>
      </c>
    </row>
    <row r="126" spans="1:83" x14ac:dyDescent="0.25">
      <c r="A126" s="20" t="s">
        <v>116</v>
      </c>
      <c r="B126" s="20" t="s">
        <v>88</v>
      </c>
      <c r="C126" s="20" t="s">
        <v>89</v>
      </c>
      <c r="D126" s="20" t="s">
        <v>90</v>
      </c>
      <c r="E126" s="20" t="s">
        <v>91</v>
      </c>
      <c r="F126" s="20" t="s">
        <v>90</v>
      </c>
      <c r="G126" s="20" t="s">
        <v>92</v>
      </c>
      <c r="H126" s="20" t="s">
        <v>7</v>
      </c>
      <c r="I126" s="20" t="s">
        <v>93</v>
      </c>
      <c r="J126" s="20" t="s">
        <v>94</v>
      </c>
      <c r="K126" s="20" t="s">
        <v>95</v>
      </c>
      <c r="L126" s="20">
        <v>1200.2266666666601</v>
      </c>
      <c r="M126" s="20">
        <v>4.8097974252120097E-2</v>
      </c>
      <c r="N126" s="20">
        <v>0.22310492157346501</v>
      </c>
      <c r="O126" s="20">
        <v>1210</v>
      </c>
      <c r="P126" s="20">
        <v>933.85922631496703</v>
      </c>
      <c r="Q126" s="20">
        <v>346.114635734861</v>
      </c>
      <c r="R126" s="20">
        <v>571.53970184074296</v>
      </c>
      <c r="S126" s="20">
        <v>1535.35818196214</v>
      </c>
      <c r="T126" s="20">
        <v>15</v>
      </c>
      <c r="U126" s="20">
        <v>0.1</v>
      </c>
      <c r="V126" s="20">
        <v>1.3432537753442599</v>
      </c>
      <c r="W126" s="20">
        <v>1.42715828805502</v>
      </c>
      <c r="X126" s="20">
        <v>1.5104602652152599</v>
      </c>
      <c r="Y126" s="20">
        <v>1.5956859061688899</v>
      </c>
      <c r="Z126" s="20">
        <v>1.68274316130102</v>
      </c>
      <c r="AA126" s="20">
        <v>1.7667311008868301</v>
      </c>
      <c r="AB126" s="20">
        <v>1.8607357209822699</v>
      </c>
      <c r="AC126" s="20">
        <v>1.96851299157656</v>
      </c>
      <c r="AD126" s="20">
        <v>2.0909503170505701</v>
      </c>
      <c r="AE126" s="20">
        <v>2.22848063081425</v>
      </c>
      <c r="AF126" t="str">
        <f t="shared" si="5"/>
        <v>Residential</v>
      </c>
      <c r="AG126" t="str">
        <f>tbl_Data_old[[#This Row],[All_Meas_Name_Append]]</f>
        <v>120v Heat Pump Water Heater 50 Gallons</v>
      </c>
      <c r="AH126">
        <f>AVERAGEIFS('3. Incentive Adjustment'!G:G,'3. Incentive Adjustment'!A:A,tbl_Data_old[[#This Row],[Trimmed Sector]],'3. Incentive Adjustment'!B:B,tbl_Data_old[[#This Row],[Trimmed Measure Name]])</f>
        <v>0.38528347196238832</v>
      </c>
      <c r="AI126">
        <f>$AH126*tbl_Data_old[[#This Row],[2025 ]]</f>
        <v>0.51753347829122243</v>
      </c>
      <c r="AJ126">
        <f>$AH126*tbl_Data_old[[#This Row],[2026 ]]</f>
        <v>0.54986050026173638</v>
      </c>
      <c r="AK126">
        <f>$AH126*tbl_Data_old[[#This Row],[2027 ]]</f>
        <v>0.58195537524336527</v>
      </c>
      <c r="AL126">
        <f>$AH126*tbl_Data_old[[#This Row],[2028 ]]</f>
        <v>0.61479140609019967</v>
      </c>
      <c r="AM126">
        <f>$AH126*tbl_Data_old[[#This Row],[2029 ]]</f>
        <v>0.64833312760702222</v>
      </c>
      <c r="AN126">
        <f>$AH126*tbl_Data_old[[#This Row],[2030 ]]</f>
        <v>0.68069229257361041</v>
      </c>
      <c r="AO126">
        <f>$AH126*tbl_Data_old[[#This Row],[2031 ]]</f>
        <v>0.71691071898448677</v>
      </c>
      <c r="AP126">
        <f>$AH126*tbl_Data_old[[#This Row],[2032 ]]</f>
        <v>0.75843551999768477</v>
      </c>
      <c r="AQ126">
        <f>$AH126*tbl_Data_old[[#This Row],[2033 ]]</f>
        <v>0.80560859785410033</v>
      </c>
      <c r="AR126">
        <f>$AH126*tbl_Data_old[[#This Row],[2034 ]]</f>
        <v>0.85859675464104757</v>
      </c>
      <c r="AS126">
        <f>SUM(tbl_Data_old[[#This Row],[Adjusted 2025]:[Adjusted 2034]])</f>
        <v>6.7327177715444764</v>
      </c>
      <c r="AT126" s="3">
        <f>AVERAGEIFS('3. Incentive Adjustment'!F:F,'3. Incentive Adjustment'!A:A,tbl_Data_old[[#This Row],[Trimmed Sector]],'3. Incentive Adjustment'!B:B,tbl_Data_old[[#This Row],[Trimmed Measure Name]])</f>
        <v>500</v>
      </c>
      <c r="AU126" s="3">
        <f>IFERROR(VLOOKUP(tbl_Data_old[[#This Row],[All_Meas_Name_Append]],'IRA Tax Credits'!$A$3:$D$46,4,0),0)</f>
        <v>1666.6666666666667</v>
      </c>
      <c r="AV126" s="4">
        <f>tbl_Data_old[[#This Row],[Adj. per unit Incentive ($)]]/tbl_Data_old[[#This Row],[kWh Savings]]*tbl_Data_old[[#This Row],[Sum of Annuals]]</f>
        <v>2.804769281723666</v>
      </c>
      <c r="AW126" s="4">
        <f>IFERROR(VLOOKUP(tbl_Data_old[[#This Row],[All_Programs]],'1. Set Program Names'!$B$2:$D$15,3,0)*tbl_Data_old[[#This Row],[Sum of Annuals]],"")</f>
        <v>2.912315094792338</v>
      </c>
      <c r="AX126" s="4">
        <f>tbl_Data_old[[#This Row],[per unit IRA tax ($)]]/tbl_Data_old[[#This Row],[kWh Savings]]*tbl_Data_old[[#This Row],[Sum of Annuals]]</f>
        <v>9.3492309390788861</v>
      </c>
      <c r="AY126" s="4">
        <f>tbl_Data_old[[#This Row],[Avoided Costs ($/unit)]]/tbl_Data_old[[#This Row],[kWh Savings]]*tbl_Data_old[[#This Row],[Sum of Annuals]]</f>
        <v>3.206073998016838</v>
      </c>
      <c r="AZ126" s="4">
        <f>tbl_Data_old[[#This Row],[Lost Revenue ($/unit)]]/tbl_Data_old[[#This Row],[kWh Savings]]*tbl_Data_old[[#This Row],[Sum of Annuals]]</f>
        <v>8.6126509304210099</v>
      </c>
      <c r="BA126" s="4">
        <f>tbl_Data_old[[#This Row],[Incremental Cost ($/unit)]]/tbl_Data_old[[#This Row],[kWh Savings]]*tbl_Data_old[[#This Row],[Sum of Annuals]]</f>
        <v>6.7875416617712707</v>
      </c>
      <c r="BB126">
        <f>ROUNDUP(tbl_Data_old[[#This Row],[Adjusted 2025]]/$L126,0)</f>
        <v>1</v>
      </c>
      <c r="BC126">
        <f>ROUNDUP(tbl_Data_old[[#This Row],[Adjusted 2026]]/$L126,0)</f>
        <v>1</v>
      </c>
      <c r="BD126">
        <f>ROUNDUP(tbl_Data_old[[#This Row],[Adjusted 2027]]/$L126,0)</f>
        <v>1</v>
      </c>
      <c r="BE126">
        <f>ROUNDUP(tbl_Data_old[[#This Row],[Adjusted 2028]]/$L126,0)</f>
        <v>1</v>
      </c>
      <c r="BF126">
        <f>ROUNDUP(tbl_Data_old[[#This Row],[Adjusted 2029]]/$L126,0)</f>
        <v>1</v>
      </c>
      <c r="BG126">
        <f>ROUNDUP(tbl_Data_old[[#This Row],[Adjusted 2030]]/$L126,0)</f>
        <v>1</v>
      </c>
      <c r="BH126">
        <f>ROUNDUP(tbl_Data_old[[#This Row],[Adjusted 2031]]/$L126,0)</f>
        <v>1</v>
      </c>
      <c r="BI126">
        <f>ROUNDUP(tbl_Data_old[[#This Row],[Adjusted 2032]]/$L126,0)</f>
        <v>1</v>
      </c>
      <c r="BJ126">
        <f>ROUNDUP(tbl_Data_old[[#This Row],[Adjusted 2033]]/$L126,0)</f>
        <v>1</v>
      </c>
      <c r="BK126">
        <f>ROUNDUP(tbl_Data_old[[#This Row],[Adjusted 2034]]/$L126,0)</f>
        <v>1</v>
      </c>
      <c r="BL126" s="3">
        <f t="shared" si="8"/>
        <v>0.55958337397835989</v>
      </c>
      <c r="BM126" s="3">
        <f t="shared" si="8"/>
        <v>0.59453698525904597</v>
      </c>
      <c r="BN126" s="3">
        <f t="shared" si="8"/>
        <v>0.62923958747317232</v>
      </c>
      <c r="BO126" s="3">
        <f t="shared" si="8"/>
        <v>0.66474356489700503</v>
      </c>
      <c r="BP126" s="3">
        <f t="shared" si="8"/>
        <v>0.70101057076761708</v>
      </c>
      <c r="BQ126" s="3">
        <f t="shared" si="7"/>
        <v>0.73599893668147665</v>
      </c>
      <c r="BR126" s="3">
        <f t="shared" si="7"/>
        <v>0.77516013127337613</v>
      </c>
      <c r="BS126" s="3">
        <f t="shared" si="7"/>
        <v>0.82005884648590155</v>
      </c>
      <c r="BT126" s="3">
        <f t="shared" si="7"/>
        <v>0.87106476431559376</v>
      </c>
      <c r="BU126" s="3">
        <f t="shared" si="7"/>
        <v>0.9283582396162372</v>
      </c>
      <c r="BV126">
        <f>VLOOKUP($H126,'1. Set Program Names'!$B$2:$D$15,3,0)*V126</f>
        <v>0.58103998694341252</v>
      </c>
      <c r="BW126">
        <f>VLOOKUP($H126,'1. Set Program Names'!$B$2:$D$15,3,0)*W126</f>
        <v>0.61733385625151027</v>
      </c>
      <c r="BX126">
        <f>VLOOKUP($H126,'1. Set Program Names'!$B$2:$D$15,3,0)*X126</f>
        <v>0.65336709182469255</v>
      </c>
      <c r="BY126">
        <f>VLOOKUP($H126,'1. Set Program Names'!$B$2:$D$15,3,0)*Y126</f>
        <v>0.6902324304642582</v>
      </c>
      <c r="BZ126">
        <f>VLOOKUP($H126,'1. Set Program Names'!$B$2:$D$15,3,0)*Z126</f>
        <v>0.7278900550425611</v>
      </c>
      <c r="CA126">
        <f>VLOOKUP($H126,'1. Set Program Names'!$B$2:$D$15,3,0)*AA126</f>
        <v>0.76422001161226161</v>
      </c>
      <c r="CB126">
        <f>VLOOKUP($H126,'1. Set Program Names'!$B$2:$D$15,3,0)*AB126</f>
        <v>0.80488279941561336</v>
      </c>
      <c r="CC126">
        <f>VLOOKUP($H126,'1. Set Program Names'!$B$2:$D$15,3,0)*AC126</f>
        <v>0.85150310679785279</v>
      </c>
      <c r="CD126">
        <f>VLOOKUP($H126,'1. Set Program Names'!$B$2:$D$15,3,0)*AD126</f>
        <v>0.90446479080769127</v>
      </c>
      <c r="CE126">
        <f>VLOOKUP($H126,'1. Set Program Names'!$B$2:$D$15,3,0)*AE126</f>
        <v>0.96395512180869058</v>
      </c>
    </row>
    <row r="127" spans="1:83" x14ac:dyDescent="0.25">
      <c r="A127" s="20" t="s">
        <v>116</v>
      </c>
      <c r="B127" s="20" t="s">
        <v>88</v>
      </c>
      <c r="C127" s="20" t="s">
        <v>89</v>
      </c>
      <c r="D127" s="20" t="s">
        <v>90</v>
      </c>
      <c r="E127" s="20" t="s">
        <v>91</v>
      </c>
      <c r="F127" s="20" t="s">
        <v>90</v>
      </c>
      <c r="G127" s="20" t="s">
        <v>92</v>
      </c>
      <c r="H127" s="20" t="s">
        <v>7</v>
      </c>
      <c r="I127" s="20" t="s">
        <v>118</v>
      </c>
      <c r="J127" s="20" t="s">
        <v>97</v>
      </c>
      <c r="K127" s="20" t="s">
        <v>102</v>
      </c>
      <c r="L127" s="20">
        <v>466.599999999999</v>
      </c>
      <c r="M127" s="20">
        <v>0.18933941062023901</v>
      </c>
      <c r="N127" s="20">
        <v>2.6910820932303899E-2</v>
      </c>
      <c r="O127" s="20">
        <v>674.44999999999902</v>
      </c>
      <c r="P127" s="20">
        <v>561.40215199999898</v>
      </c>
      <c r="Q127" s="20">
        <v>134.555491490957</v>
      </c>
      <c r="R127" s="20">
        <v>370.49545033119801</v>
      </c>
      <c r="S127" s="20">
        <v>705.301475078208</v>
      </c>
      <c r="T127" s="20">
        <v>20</v>
      </c>
      <c r="U127" s="20">
        <v>1</v>
      </c>
      <c r="V127" s="20">
        <v>0.26184517906951599</v>
      </c>
      <c r="W127" s="20">
        <v>0.25341330728164901</v>
      </c>
      <c r="X127" s="20">
        <v>0.245488161912536</v>
      </c>
      <c r="Y127" s="20">
        <v>0.238317633211168</v>
      </c>
      <c r="Z127" s="20">
        <v>0.23170911111929701</v>
      </c>
      <c r="AA127" s="20">
        <v>0.22490658391617099</v>
      </c>
      <c r="AB127" s="20">
        <v>0.219491142910507</v>
      </c>
      <c r="AC127" s="20">
        <v>0.215577306516472</v>
      </c>
      <c r="AD127" s="20">
        <v>0.21293056594340601</v>
      </c>
      <c r="AE127" s="20">
        <v>0.211308228998457</v>
      </c>
      <c r="AF127" t="str">
        <f t="shared" si="5"/>
        <v>Residential</v>
      </c>
      <c r="AG127" t="str">
        <f>tbl_Data_old[[#This Row],[All_Meas_Name_Append]]</f>
        <v>Air Sealing-Infiltration Control</v>
      </c>
      <c r="AH127" t="e">
        <f>AVERAGEIFS('3. Incentive Adjustment'!G:G,'3. Incentive Adjustment'!A:A,tbl_Data_old[[#This Row],[Trimmed Sector]],'3. Incentive Adjustment'!B:B,tbl_Data_old[[#This Row],[Trimmed Measure Name]])</f>
        <v>#DIV/0!</v>
      </c>
      <c r="AI127" t="e">
        <f>$AH127*tbl_Data_old[[#This Row],[2025 ]]</f>
        <v>#DIV/0!</v>
      </c>
      <c r="AJ127" t="e">
        <f>$AH127*tbl_Data_old[[#This Row],[2026 ]]</f>
        <v>#DIV/0!</v>
      </c>
      <c r="AK127" t="e">
        <f>$AH127*tbl_Data_old[[#This Row],[2027 ]]</f>
        <v>#DIV/0!</v>
      </c>
      <c r="AL127" t="e">
        <f>$AH127*tbl_Data_old[[#This Row],[2028 ]]</f>
        <v>#DIV/0!</v>
      </c>
      <c r="AM127" t="e">
        <f>$AH127*tbl_Data_old[[#This Row],[2029 ]]</f>
        <v>#DIV/0!</v>
      </c>
      <c r="AN127" t="e">
        <f>$AH127*tbl_Data_old[[#This Row],[2030 ]]</f>
        <v>#DIV/0!</v>
      </c>
      <c r="AO127" t="e">
        <f>$AH127*tbl_Data_old[[#This Row],[2031 ]]</f>
        <v>#DIV/0!</v>
      </c>
      <c r="AP127" t="e">
        <f>$AH127*tbl_Data_old[[#This Row],[2032 ]]</f>
        <v>#DIV/0!</v>
      </c>
      <c r="AQ127" t="e">
        <f>$AH127*tbl_Data_old[[#This Row],[2033 ]]</f>
        <v>#DIV/0!</v>
      </c>
      <c r="AR127" t="e">
        <f>$AH127*tbl_Data_old[[#This Row],[2034 ]]</f>
        <v>#DIV/0!</v>
      </c>
      <c r="AS127" t="e">
        <f>SUM(tbl_Data_old[[#This Row],[Adjusted 2025]:[Adjusted 2034]])</f>
        <v>#DIV/0!</v>
      </c>
      <c r="AT127" s="3" t="e">
        <f>AVERAGEIFS('3. Incentive Adjustment'!F:F,'3. Incentive Adjustment'!A:A,tbl_Data_old[[#This Row],[Trimmed Sector]],'3. Incentive Adjustment'!B:B,tbl_Data_old[[#This Row],[Trimmed Measure Name]])</f>
        <v>#DIV/0!</v>
      </c>
      <c r="AU127" s="3">
        <f>IFERROR(VLOOKUP(tbl_Data_old[[#This Row],[All_Meas_Name_Append]],'IRA Tax Credits'!$A$3:$D$46,4,0),0)</f>
        <v>500</v>
      </c>
      <c r="AV127" s="4" t="e">
        <f>tbl_Data_old[[#This Row],[Adj. per unit Incentive ($)]]/tbl_Data_old[[#This Row],[kWh Savings]]*tbl_Data_old[[#This Row],[Sum of Annuals]]</f>
        <v>#DIV/0!</v>
      </c>
      <c r="AW127" s="4" t="str">
        <f>IFERROR(VLOOKUP(tbl_Data_old[[#This Row],[All_Programs]],'1. Set Program Names'!$B$2:$D$15,3,0)*tbl_Data_old[[#This Row],[Sum of Annuals]],"")</f>
        <v/>
      </c>
      <c r="AX127" s="4" t="e">
        <f>tbl_Data_old[[#This Row],[per unit IRA tax ($)]]/tbl_Data_old[[#This Row],[kWh Savings]]*tbl_Data_old[[#This Row],[Sum of Annuals]]</f>
        <v>#DIV/0!</v>
      </c>
      <c r="AY127" s="4" t="e">
        <f>tbl_Data_old[[#This Row],[Avoided Costs ($/unit)]]/tbl_Data_old[[#This Row],[kWh Savings]]*tbl_Data_old[[#This Row],[Sum of Annuals]]</f>
        <v>#DIV/0!</v>
      </c>
      <c r="AZ127" s="4" t="e">
        <f>tbl_Data_old[[#This Row],[Lost Revenue ($/unit)]]/tbl_Data_old[[#This Row],[kWh Savings]]*tbl_Data_old[[#This Row],[Sum of Annuals]]</f>
        <v>#DIV/0!</v>
      </c>
      <c r="BA127" s="4" t="e">
        <f>tbl_Data_old[[#This Row],[Incremental Cost ($/unit)]]/tbl_Data_old[[#This Row],[kWh Savings]]*tbl_Data_old[[#This Row],[Sum of Annuals]]</f>
        <v>#DIV/0!</v>
      </c>
      <c r="BB127" t="e">
        <f>ROUNDUP(tbl_Data_old[[#This Row],[Adjusted 2025]]/$L127,0)</f>
        <v>#DIV/0!</v>
      </c>
      <c r="BC127" t="e">
        <f>ROUNDUP(tbl_Data_old[[#This Row],[Adjusted 2026]]/$L127,0)</f>
        <v>#DIV/0!</v>
      </c>
      <c r="BD127" t="e">
        <f>ROUNDUP(tbl_Data_old[[#This Row],[Adjusted 2027]]/$L127,0)</f>
        <v>#DIV/0!</v>
      </c>
      <c r="BE127" t="e">
        <f>ROUNDUP(tbl_Data_old[[#This Row],[Adjusted 2028]]/$L127,0)</f>
        <v>#DIV/0!</v>
      </c>
      <c r="BF127" t="e">
        <f>ROUNDUP(tbl_Data_old[[#This Row],[Adjusted 2029]]/$L127,0)</f>
        <v>#DIV/0!</v>
      </c>
      <c r="BG127" t="e">
        <f>ROUNDUP(tbl_Data_old[[#This Row],[Adjusted 2030]]/$L127,0)</f>
        <v>#DIV/0!</v>
      </c>
      <c r="BH127" t="e">
        <f>ROUNDUP(tbl_Data_old[[#This Row],[Adjusted 2031]]/$L127,0)</f>
        <v>#DIV/0!</v>
      </c>
      <c r="BI127" t="e">
        <f>ROUNDUP(tbl_Data_old[[#This Row],[Adjusted 2032]]/$L127,0)</f>
        <v>#DIV/0!</v>
      </c>
      <c r="BJ127" t="e">
        <f>ROUNDUP(tbl_Data_old[[#This Row],[Adjusted 2033]]/$L127,0)</f>
        <v>#DIV/0!</v>
      </c>
      <c r="BK127" t="e">
        <f>ROUNDUP(tbl_Data_old[[#This Row],[Adjusted 2034]]/$L127,0)</f>
        <v>#DIV/0!</v>
      </c>
      <c r="BL127" s="3" t="e">
        <f t="shared" si="8"/>
        <v>#DIV/0!</v>
      </c>
      <c r="BM127" s="3" t="e">
        <f t="shared" si="8"/>
        <v>#DIV/0!</v>
      </c>
      <c r="BN127" s="3" t="e">
        <f t="shared" si="8"/>
        <v>#DIV/0!</v>
      </c>
      <c r="BO127" s="3" t="e">
        <f t="shared" si="8"/>
        <v>#DIV/0!</v>
      </c>
      <c r="BP127" s="3" t="e">
        <f t="shared" si="8"/>
        <v>#DIV/0!</v>
      </c>
      <c r="BQ127" s="3" t="e">
        <f t="shared" si="7"/>
        <v>#DIV/0!</v>
      </c>
      <c r="BR127" s="3" t="e">
        <f t="shared" si="7"/>
        <v>#DIV/0!</v>
      </c>
      <c r="BS127" s="3" t="e">
        <f t="shared" si="7"/>
        <v>#DIV/0!</v>
      </c>
      <c r="BT127" s="3" t="e">
        <f t="shared" si="7"/>
        <v>#DIV/0!</v>
      </c>
      <c r="BU127" s="3" t="e">
        <f t="shared" si="7"/>
        <v>#DIV/0!</v>
      </c>
      <c r="BV127">
        <f>VLOOKUP($H127,'1. Set Program Names'!$B$2:$D$15,3,0)*V127</f>
        <v>0.11326416662313477</v>
      </c>
      <c r="BW127">
        <f>VLOOKUP($H127,'1. Set Program Names'!$B$2:$D$15,3,0)*W127</f>
        <v>0.10961686276778164</v>
      </c>
      <c r="BX127">
        <f>VLOOKUP($H127,'1. Set Program Names'!$B$2:$D$15,3,0)*X127</f>
        <v>0.10618874929710563</v>
      </c>
      <c r="BY127">
        <f>VLOOKUP($H127,'1. Set Program Names'!$B$2:$D$15,3,0)*Y127</f>
        <v>0.10308705401100644</v>
      </c>
      <c r="BZ127">
        <f>VLOOKUP($H127,'1. Set Program Names'!$B$2:$D$15,3,0)*Z127</f>
        <v>0.10022846119670976</v>
      </c>
      <c r="CA127">
        <f>VLOOKUP($H127,'1. Set Program Names'!$B$2:$D$15,3,0)*AA127</f>
        <v>9.7285949223293908E-2</v>
      </c>
      <c r="CB127">
        <f>VLOOKUP($H127,'1. Set Program Names'!$B$2:$D$15,3,0)*AB127</f>
        <v>9.4943437458964497E-2</v>
      </c>
      <c r="CC127">
        <f>VLOOKUP($H127,'1. Set Program Names'!$B$2:$D$15,3,0)*AC127</f>
        <v>9.3250462170876486E-2</v>
      </c>
      <c r="CD127">
        <f>VLOOKUP($H127,'1. Set Program Names'!$B$2:$D$15,3,0)*AD127</f>
        <v>9.2105583864003512E-2</v>
      </c>
      <c r="CE127">
        <f>VLOOKUP($H127,'1. Set Program Names'!$B$2:$D$15,3,0)*AE127</f>
        <v>9.1403823217866928E-2</v>
      </c>
    </row>
    <row r="128" spans="1:83" x14ac:dyDescent="0.25">
      <c r="A128" s="20" t="s">
        <v>116</v>
      </c>
      <c r="B128" s="20" t="s">
        <v>88</v>
      </c>
      <c r="C128" s="20" t="s">
        <v>89</v>
      </c>
      <c r="D128" s="20" t="s">
        <v>90</v>
      </c>
      <c r="E128" s="20" t="s">
        <v>91</v>
      </c>
      <c r="F128" s="20" t="s">
        <v>90</v>
      </c>
      <c r="G128" s="20" t="s">
        <v>92</v>
      </c>
      <c r="H128" s="20" t="s">
        <v>7</v>
      </c>
      <c r="I128" s="20" t="s">
        <v>96</v>
      </c>
      <c r="J128" s="20" t="s">
        <v>97</v>
      </c>
      <c r="K128" s="20" t="s">
        <v>98</v>
      </c>
      <c r="L128" s="20">
        <v>5868.07</v>
      </c>
      <c r="M128" s="20">
        <v>0.20813520080661799</v>
      </c>
      <c r="N128" s="20">
        <v>1.1349578069705</v>
      </c>
      <c r="O128" s="20">
        <v>1935.1666666666599</v>
      </c>
      <c r="P128" s="20">
        <v>513.45064263862798</v>
      </c>
      <c r="Q128" s="20">
        <v>1692.2011207744099</v>
      </c>
      <c r="R128" s="20">
        <v>3388.0400735263802</v>
      </c>
      <c r="S128" s="20">
        <v>7811.7411984889604</v>
      </c>
      <c r="T128" s="20">
        <v>16</v>
      </c>
      <c r="U128" s="20">
        <v>0.1</v>
      </c>
      <c r="V128" s="20">
        <v>8.1467092563333896</v>
      </c>
      <c r="W128" s="20">
        <v>8.6255210540081197</v>
      </c>
      <c r="X128" s="20">
        <v>9.0967902060517893</v>
      </c>
      <c r="Y128" s="20">
        <v>9.5756950742002402</v>
      </c>
      <c r="Z128" s="20">
        <v>10.0615497336891</v>
      </c>
      <c r="AA128" s="20">
        <v>10.5250345968181</v>
      </c>
      <c r="AB128" s="20">
        <v>11.0440255528206</v>
      </c>
      <c r="AC128" s="20">
        <v>11.6400762763876</v>
      </c>
      <c r="AD128" s="20">
        <v>12.3175059436123</v>
      </c>
      <c r="AE128" s="20">
        <v>13.077885280820601</v>
      </c>
      <c r="AF128" t="str">
        <f t="shared" si="5"/>
        <v>Residential</v>
      </c>
      <c r="AG128" t="str">
        <f>tbl_Data_old[[#This Row],[All_Meas_Name_Append]]</f>
        <v>ASHP - CEE Tier 2: 16.8 SEER/16 SEER2; 9.0 HSPF (from elec resistance)</v>
      </c>
      <c r="AH128">
        <f>AVERAGEIFS('3. Incentive Adjustment'!G:G,'3. Incentive Adjustment'!A:A,tbl_Data_old[[#This Row],[Trimmed Sector]],'3. Incentive Adjustment'!B:B,tbl_Data_old[[#This Row],[Trimmed Measure Name]])</f>
        <v>0.9303958662075158</v>
      </c>
      <c r="AI128">
        <f>$AH128*tbl_Data_old[[#This Row],[2025 ]]</f>
        <v>7.5796646152870908</v>
      </c>
      <c r="AJ128">
        <f>$AH128*tbl_Data_old[[#This Row],[2026 ]]</f>
        <v>8.0251491325350486</v>
      </c>
      <c r="AK128">
        <f>$AH128*tbl_Data_old[[#This Row],[2027 ]]</f>
        <v>8.4636160034676013</v>
      </c>
      <c r="AL128">
        <f>$AH128*tbl_Data_old[[#This Row],[2028 ]]</f>
        <v>8.9091871130995752</v>
      </c>
      <c r="AM128">
        <f>$AH128*tbl_Data_old[[#This Row],[2029 ]]</f>
        <v>9.3612242798656702</v>
      </c>
      <c r="AN128">
        <f>$AH128*tbl_Data_old[[#This Row],[2030 ]]</f>
        <v>9.792448680570649</v>
      </c>
      <c r="AO128">
        <f>$AH128*tbl_Data_old[[#This Row],[2031 ]]</f>
        <v>10.27531572063446</v>
      </c>
      <c r="AP128">
        <f>$AH128*tbl_Data_old[[#This Row],[2032 ]]</f>
        <v>10.829878849891196</v>
      </c>
      <c r="AQ128">
        <f>$AH128*tbl_Data_old[[#This Row],[2033 ]]</f>
        <v>11.46015661192339</v>
      </c>
      <c r="AR128">
        <f>$AH128*tbl_Data_old[[#This Row],[2034 ]]</f>
        <v>12.167610404011604</v>
      </c>
      <c r="AS128">
        <f>SUM(tbl_Data_old[[#This Row],[Adjusted 2025]:[Adjusted 2034]])</f>
        <v>96.86425141128629</v>
      </c>
      <c r="AT128" s="3">
        <f>AVERAGEIFS('3. Incentive Adjustment'!F:F,'3. Incentive Adjustment'!A:A,tbl_Data_old[[#This Row],[Trimmed Sector]],'3. Incentive Adjustment'!B:B,tbl_Data_old[[#This Row],[Trimmed Measure Name]])</f>
        <v>353</v>
      </c>
      <c r="AU128" s="3">
        <f>IFERROR(VLOOKUP(tbl_Data_old[[#This Row],[All_Meas_Name_Append]],'IRA Tax Credits'!$A$3:$D$46,4,0),0)</f>
        <v>0</v>
      </c>
      <c r="AV128" s="4">
        <f>tbl_Data_old[[#This Row],[Adj. per unit Incentive ($)]]/tbl_Data_old[[#This Row],[kWh Savings]]*tbl_Data_old[[#This Row],[Sum of Annuals]]</f>
        <v>5.8269721983861924</v>
      </c>
      <c r="AW128" s="4">
        <f>IFERROR(VLOOKUP(tbl_Data_old[[#This Row],[All_Programs]],'1. Set Program Names'!$B$2:$D$15,3,0)*tbl_Data_old[[#This Row],[Sum of Annuals]],"")</f>
        <v>41.89975446811814</v>
      </c>
      <c r="AX128" s="4">
        <f>tbl_Data_old[[#This Row],[per unit IRA tax ($)]]/tbl_Data_old[[#This Row],[kWh Savings]]*tbl_Data_old[[#This Row],[Sum of Annuals]]</f>
        <v>0</v>
      </c>
      <c r="AY128" s="4">
        <f>tbl_Data_old[[#This Row],[Avoided Costs ($/unit)]]/tbl_Data_old[[#This Row],[kWh Savings]]*tbl_Data_old[[#This Row],[Sum of Annuals]]</f>
        <v>55.926388995627555</v>
      </c>
      <c r="AZ128" s="4">
        <f>tbl_Data_old[[#This Row],[Lost Revenue ($/unit)]]/tbl_Data_old[[#This Row],[kWh Savings]]*tbl_Data_old[[#This Row],[Sum of Annuals]]</f>
        <v>128.94843848323856</v>
      </c>
      <c r="BA128" s="4">
        <f>tbl_Data_old[[#This Row],[Incremental Cost ($/unit)]]/tbl_Data_old[[#This Row],[kWh Savings]]*tbl_Data_old[[#This Row],[Sum of Annuals]]</f>
        <v>31.943802736289822</v>
      </c>
      <c r="BB128">
        <f>ROUNDUP(tbl_Data_old[[#This Row],[Adjusted 2025]]/$L128,0)</f>
        <v>1</v>
      </c>
      <c r="BC128">
        <f>ROUNDUP(tbl_Data_old[[#This Row],[Adjusted 2026]]/$L128,0)</f>
        <v>1</v>
      </c>
      <c r="BD128">
        <f>ROUNDUP(tbl_Data_old[[#This Row],[Adjusted 2027]]/$L128,0)</f>
        <v>1</v>
      </c>
      <c r="BE128">
        <f>ROUNDUP(tbl_Data_old[[#This Row],[Adjusted 2028]]/$L128,0)</f>
        <v>1</v>
      </c>
      <c r="BF128">
        <f>ROUNDUP(tbl_Data_old[[#This Row],[Adjusted 2029]]/$L128,0)</f>
        <v>1</v>
      </c>
      <c r="BG128">
        <f>ROUNDUP(tbl_Data_old[[#This Row],[Adjusted 2030]]/$L128,0)</f>
        <v>1</v>
      </c>
      <c r="BH128">
        <f>ROUNDUP(tbl_Data_old[[#This Row],[Adjusted 2031]]/$L128,0)</f>
        <v>1</v>
      </c>
      <c r="BI128">
        <f>ROUNDUP(tbl_Data_old[[#This Row],[Adjusted 2032]]/$L128,0)</f>
        <v>1</v>
      </c>
      <c r="BJ128">
        <f>ROUNDUP(tbl_Data_old[[#This Row],[Adjusted 2033]]/$L128,0)</f>
        <v>1</v>
      </c>
      <c r="BK128">
        <f>ROUNDUP(tbl_Data_old[[#This Row],[Adjusted 2034]]/$L128,0)</f>
        <v>1</v>
      </c>
      <c r="BL128" s="3">
        <f t="shared" si="8"/>
        <v>0.49007397108175033</v>
      </c>
      <c r="BM128" s="3">
        <f t="shared" si="8"/>
        <v>0.51887740467732435</v>
      </c>
      <c r="BN128" s="3">
        <f t="shared" si="8"/>
        <v>0.54722710239248706</v>
      </c>
      <c r="BO128" s="3">
        <f t="shared" si="8"/>
        <v>0.57603613474152238</v>
      </c>
      <c r="BP128" s="3">
        <f t="shared" si="8"/>
        <v>0.60526323918975955</v>
      </c>
      <c r="BQ128" s="3">
        <f t="shared" si="7"/>
        <v>0.63314466471544983</v>
      </c>
      <c r="BR128" s="3">
        <f t="shared" si="7"/>
        <v>0.66436511836867518</v>
      </c>
      <c r="BS128" s="3">
        <f t="shared" si="7"/>
        <v>0.70022118440387093</v>
      </c>
      <c r="BT128" s="3">
        <f t="shared" si="7"/>
        <v>0.74097268745859235</v>
      </c>
      <c r="BU128" s="3">
        <f t="shared" si="7"/>
        <v>0.78671411624770538</v>
      </c>
      <c r="BV128">
        <f>VLOOKUP($H128,'1. Set Program Names'!$B$2:$D$15,3,0)*V128</f>
        <v>3.5239534977063993</v>
      </c>
      <c r="BW128">
        <f>VLOOKUP($H128,'1. Set Program Names'!$B$2:$D$15,3,0)*W128</f>
        <v>3.7310690895445653</v>
      </c>
      <c r="BX128">
        <f>VLOOKUP($H128,'1. Set Program Names'!$B$2:$D$15,3,0)*X128</f>
        <v>3.9349220226063824</v>
      </c>
      <c r="BY128">
        <f>VLOOKUP($H128,'1. Set Program Names'!$B$2:$D$15,3,0)*Y128</f>
        <v>4.142077873156512</v>
      </c>
      <c r="BZ128">
        <f>VLOOKUP($H128,'1. Set Program Names'!$B$2:$D$15,3,0)*Z128</f>
        <v>4.352239936489223</v>
      </c>
      <c r="CA128">
        <f>VLOOKUP($H128,'1. Set Program Names'!$B$2:$D$15,3,0)*AA128</f>
        <v>4.5527256851720619</v>
      </c>
      <c r="CB128">
        <f>VLOOKUP($H128,'1. Set Program Names'!$B$2:$D$15,3,0)*AB128</f>
        <v>4.7772212375647261</v>
      </c>
      <c r="CC128">
        <f>VLOOKUP($H128,'1. Set Program Names'!$B$2:$D$15,3,0)*AC128</f>
        <v>5.0350498854315227</v>
      </c>
      <c r="CD128">
        <f>VLOOKUP($H128,'1. Set Program Names'!$B$2:$D$15,3,0)*AD128</f>
        <v>5.3280799384447306</v>
      </c>
      <c r="CE128">
        <f>VLOOKUP($H128,'1. Set Program Names'!$B$2:$D$15,3,0)*AE128</f>
        <v>5.6569908324791225</v>
      </c>
    </row>
    <row r="129" spans="1:83" x14ac:dyDescent="0.25">
      <c r="A129" s="20" t="s">
        <v>116</v>
      </c>
      <c r="B129" s="20" t="s">
        <v>88</v>
      </c>
      <c r="C129" s="20" t="s">
        <v>89</v>
      </c>
      <c r="D129" s="20" t="s">
        <v>90</v>
      </c>
      <c r="E129" s="20" t="s">
        <v>91</v>
      </c>
      <c r="F129" s="20" t="s">
        <v>90</v>
      </c>
      <c r="G129" s="20" t="s">
        <v>92</v>
      </c>
      <c r="H129" s="20" t="s">
        <v>7</v>
      </c>
      <c r="I129" s="20" t="s">
        <v>99</v>
      </c>
      <c r="J129" s="20" t="s">
        <v>97</v>
      </c>
      <c r="K129" s="20" t="s">
        <v>98</v>
      </c>
      <c r="L129" s="20">
        <v>253.96999999999801</v>
      </c>
      <c r="M129" s="20">
        <v>0.107126245482503</v>
      </c>
      <c r="N129" s="20">
        <v>1.33192706841354E-2</v>
      </c>
      <c r="O129" s="20">
        <v>874.99999999999898</v>
      </c>
      <c r="P129" s="20">
        <v>813.468148399999</v>
      </c>
      <c r="Q129" s="20">
        <v>73.238444436258604</v>
      </c>
      <c r="R129" s="20">
        <v>185.54516688855901</v>
      </c>
      <c r="S129" s="20">
        <v>338.09206641710699</v>
      </c>
      <c r="T129" s="20">
        <v>16</v>
      </c>
      <c r="U129" s="20">
        <v>9.9999999999999895E-2</v>
      </c>
      <c r="V129" s="20">
        <v>6.5487472069468394E-2</v>
      </c>
      <c r="W129" s="20">
        <v>7.3118152595969599E-2</v>
      </c>
      <c r="X129" s="20">
        <v>8.0222034504107503E-2</v>
      </c>
      <c r="Y129" s="20">
        <v>8.7001491278882195E-2</v>
      </c>
      <c r="Z129" s="20">
        <v>9.3514897538343106E-2</v>
      </c>
      <c r="AA129" s="20">
        <v>9.9538258635021096E-2</v>
      </c>
      <c r="AB129" s="20">
        <v>0.10585199332817199</v>
      </c>
      <c r="AC129" s="20">
        <v>0.11272074679600901</v>
      </c>
      <c r="AD129" s="20">
        <v>0.120235613738747</v>
      </c>
      <c r="AE129" s="20">
        <v>0.12845103542684799</v>
      </c>
      <c r="AF129" t="str">
        <f t="shared" si="5"/>
        <v>Residential</v>
      </c>
      <c r="AG129" t="str">
        <f>tbl_Data_old[[#This Row],[All_Meas_Name_Append]]</f>
        <v>ASHP - ENERGY STAR/CEE Tier 1: 16 SEER/15.2 SEER2_ 9.0 HSPF</v>
      </c>
      <c r="AH129">
        <f>AVERAGEIFS('3. Incentive Adjustment'!G:G,'3. Incentive Adjustment'!A:A,tbl_Data_old[[#This Row],[Trimmed Sector]],'3. Incentive Adjustment'!B:B,tbl_Data_old[[#This Row],[Trimmed Measure Name]])</f>
        <v>8.3636985731950567E-3</v>
      </c>
      <c r="AI129">
        <f>$AH129*tbl_Data_old[[#This Row],[2025 ]]</f>
        <v>5.4771747670956394E-4</v>
      </c>
      <c r="AJ129">
        <f>$AH129*tbl_Data_old[[#This Row],[2026 ]]</f>
        <v>6.1153818854156941E-4</v>
      </c>
      <c r="AK129">
        <f>$AH129*tbl_Data_old[[#This Row],[2027 ]]</f>
        <v>6.7095291552080852E-4</v>
      </c>
      <c r="AL129">
        <f>$AH129*tbl_Data_old[[#This Row],[2028 ]]</f>
        <v>7.2765424847502918E-4</v>
      </c>
      <c r="AM129">
        <f>$AH129*tbl_Data_old[[#This Row],[2029 ]]</f>
        <v>7.821304151139221E-4</v>
      </c>
      <c r="AN129">
        <f>$AH129*tbl_Data_old[[#This Row],[2030 ]]</f>
        <v>8.3250799172404643E-4</v>
      </c>
      <c r="AO129">
        <f>$AH129*tbl_Data_old[[#This Row],[2031 ]]</f>
        <v>8.8531416556868474E-4</v>
      </c>
      <c r="AP129">
        <f>$AH129*tbl_Data_old[[#This Row],[2032 ]]</f>
        <v>9.4276234914726176E-4</v>
      </c>
      <c r="AQ129">
        <f>$AH129*tbl_Data_old[[#This Row],[2033 ]]</f>
        <v>1.0056144310739902E-3</v>
      </c>
      <c r="AR129">
        <f>$AH129*tbl_Data_old[[#This Row],[2034 ]]</f>
        <v>1.0743257417249563E-3</v>
      </c>
      <c r="AS129">
        <f>SUM(tbl_Data_old[[#This Row],[Adjusted 2025]:[Adjusted 2034]])</f>
        <v>8.0805179235998326E-3</v>
      </c>
      <c r="AT129" s="3">
        <f>AVERAGEIFS('3. Incentive Adjustment'!F:F,'3. Incentive Adjustment'!A:A,tbl_Data_old[[#This Row],[Trimmed Sector]],'3. Incentive Adjustment'!B:B,tbl_Data_old[[#This Row],[Trimmed Measure Name]])</f>
        <v>353</v>
      </c>
      <c r="AU129" s="3">
        <f>IFERROR(VLOOKUP(tbl_Data_old[[#This Row],[All_Meas_Name_Append]],'IRA Tax Credits'!$A$3:$D$46,4,0),0)</f>
        <v>0</v>
      </c>
      <c r="AV129" s="4">
        <f>tbl_Data_old[[#This Row],[Adj. per unit Incentive ($)]]/tbl_Data_old[[#This Row],[kWh Savings]]*tbl_Data_old[[#This Row],[Sum of Annuals]]</f>
        <v>1.1231337665987176E-2</v>
      </c>
      <c r="AW129" s="4">
        <f>IFERROR(VLOOKUP(tbl_Data_old[[#This Row],[All_Programs]],'1. Set Program Names'!$B$2:$D$15,3,0)*tbl_Data_old[[#This Row],[Sum of Annuals]],"")</f>
        <v>3.4953216696682341E-3</v>
      </c>
      <c r="AX129" s="4">
        <f>tbl_Data_old[[#This Row],[per unit IRA tax ($)]]/tbl_Data_old[[#This Row],[kWh Savings]]*tbl_Data_old[[#This Row],[Sum of Annuals]]</f>
        <v>0</v>
      </c>
      <c r="AY129" s="4">
        <f>tbl_Data_old[[#This Row],[Avoided Costs ($/unit)]]/tbl_Data_old[[#This Row],[kWh Savings]]*tbl_Data_old[[#This Row],[Sum of Annuals]]</f>
        <v>5.9034572850349843E-3</v>
      </c>
      <c r="AZ129" s="4">
        <f>tbl_Data_old[[#This Row],[Lost Revenue ($/unit)]]/tbl_Data_old[[#This Row],[kWh Savings]]*tbl_Data_old[[#This Row],[Sum of Annuals]]</f>
        <v>1.0757014617909042E-2</v>
      </c>
      <c r="BA129" s="4">
        <f>tbl_Data_old[[#This Row],[Incremental Cost ($/unit)]]/tbl_Data_old[[#This Row],[kWh Savings]]*tbl_Data_old[[#This Row],[Sum of Annuals]]</f>
        <v>2.7839718010591413E-2</v>
      </c>
      <c r="BB129">
        <f>ROUNDUP(tbl_Data_old[[#This Row],[Adjusted 2025]]/$L129,0)</f>
        <v>1</v>
      </c>
      <c r="BC129">
        <f>ROUNDUP(tbl_Data_old[[#This Row],[Adjusted 2026]]/$L129,0)</f>
        <v>1</v>
      </c>
      <c r="BD129">
        <f>ROUNDUP(tbl_Data_old[[#This Row],[Adjusted 2027]]/$L129,0)</f>
        <v>1</v>
      </c>
      <c r="BE129">
        <f>ROUNDUP(tbl_Data_old[[#This Row],[Adjusted 2028]]/$L129,0)</f>
        <v>1</v>
      </c>
      <c r="BF129">
        <f>ROUNDUP(tbl_Data_old[[#This Row],[Adjusted 2029]]/$L129,0)</f>
        <v>1</v>
      </c>
      <c r="BG129">
        <f>ROUNDUP(tbl_Data_old[[#This Row],[Adjusted 2030]]/$L129,0)</f>
        <v>1</v>
      </c>
      <c r="BH129">
        <f>ROUNDUP(tbl_Data_old[[#This Row],[Adjusted 2031]]/$L129,0)</f>
        <v>1</v>
      </c>
      <c r="BI129">
        <f>ROUNDUP(tbl_Data_old[[#This Row],[Adjusted 2032]]/$L129,0)</f>
        <v>1</v>
      </c>
      <c r="BJ129">
        <f>ROUNDUP(tbl_Data_old[[#This Row],[Adjusted 2033]]/$L129,0)</f>
        <v>1</v>
      </c>
      <c r="BK129">
        <f>ROUNDUP(tbl_Data_old[[#This Row],[Adjusted 2034]]/$L129,0)</f>
        <v>1</v>
      </c>
      <c r="BL129" s="3">
        <f t="shared" si="8"/>
        <v>9.1022867427343876E-2</v>
      </c>
      <c r="BM129" s="3">
        <f t="shared" si="8"/>
        <v>0.10162896352473706</v>
      </c>
      <c r="BN129" s="3">
        <f t="shared" si="8"/>
        <v>0.11150284750147722</v>
      </c>
      <c r="BO129" s="3">
        <f t="shared" si="8"/>
        <v>0.12092580391954033</v>
      </c>
      <c r="BP129" s="3">
        <f t="shared" si="8"/>
        <v>0.1299789692917879</v>
      </c>
      <c r="BQ129" s="3">
        <f t="shared" si="7"/>
        <v>0.13835100719834123</v>
      </c>
      <c r="BR129" s="3">
        <f t="shared" si="7"/>
        <v>0.14712664348090329</v>
      </c>
      <c r="BS129" s="3">
        <f t="shared" si="7"/>
        <v>0.1566737158679824</v>
      </c>
      <c r="BT129" s="3">
        <f t="shared" si="7"/>
        <v>0.1671188394289799</v>
      </c>
      <c r="BU129" s="3">
        <f t="shared" si="7"/>
        <v>0.17853768360703112</v>
      </c>
      <c r="BV129">
        <f>VLOOKUP($H129,'1. Set Program Names'!$B$2:$D$15,3,0)*V129</f>
        <v>2.8327364951160498E-2</v>
      </c>
      <c r="BW129">
        <f>VLOOKUP($H129,'1. Set Program Names'!$B$2:$D$15,3,0)*W129</f>
        <v>3.1628104241732229E-2</v>
      </c>
      <c r="BX129">
        <f>VLOOKUP($H129,'1. Set Program Names'!$B$2:$D$15,3,0)*X129</f>
        <v>3.4700970685077333E-2</v>
      </c>
      <c r="BY129">
        <f>VLOOKUP($H129,'1. Set Program Names'!$B$2:$D$15,3,0)*Y129</f>
        <v>3.7633503277356074E-2</v>
      </c>
      <c r="BZ129">
        <f>VLOOKUP($H129,'1. Set Program Names'!$B$2:$D$15,3,0)*Z129</f>
        <v>4.0450952636085315E-2</v>
      </c>
      <c r="CA129">
        <f>VLOOKUP($H129,'1. Set Program Names'!$B$2:$D$15,3,0)*AA129</f>
        <v>4.3056427280719962E-2</v>
      </c>
      <c r="CB129">
        <f>VLOOKUP($H129,'1. Set Program Names'!$B$2:$D$15,3,0)*AB129</f>
        <v>4.578750638952974E-2</v>
      </c>
      <c r="CC129">
        <f>VLOOKUP($H129,'1. Set Program Names'!$B$2:$D$15,3,0)*AC129</f>
        <v>4.875866530121542E-2</v>
      </c>
      <c r="CD129">
        <f>VLOOKUP($H129,'1. Set Program Names'!$B$2:$D$15,3,0)*AD129</f>
        <v>5.2009308084014154E-2</v>
      </c>
      <c r="CE129">
        <f>VLOOKUP($H129,'1. Set Program Names'!$B$2:$D$15,3,0)*AE129</f>
        <v>5.5562983940361882E-2</v>
      </c>
    </row>
    <row r="130" spans="1:83" x14ac:dyDescent="0.25">
      <c r="A130" s="20" t="s">
        <v>116</v>
      </c>
      <c r="B130" s="20" t="s">
        <v>88</v>
      </c>
      <c r="C130" s="20" t="s">
        <v>89</v>
      </c>
      <c r="D130" s="20" t="s">
        <v>90</v>
      </c>
      <c r="E130" s="20" t="s">
        <v>91</v>
      </c>
      <c r="F130" s="20" t="s">
        <v>90</v>
      </c>
      <c r="G130" s="20" t="s">
        <v>92</v>
      </c>
      <c r="H130" s="20" t="s">
        <v>7</v>
      </c>
      <c r="I130" s="20" t="s">
        <v>100</v>
      </c>
      <c r="J130" s="20" t="s">
        <v>101</v>
      </c>
      <c r="K130" s="20" t="s">
        <v>102</v>
      </c>
      <c r="L130" s="20">
        <v>3443.6666666666601</v>
      </c>
      <c r="M130" s="20">
        <v>1.66949913665645</v>
      </c>
      <c r="N130" s="20">
        <v>0.25022957227107101</v>
      </c>
      <c r="O130" s="20">
        <v>1269.26999999999</v>
      </c>
      <c r="P130" s="20">
        <v>446.40188399649003</v>
      </c>
      <c r="Q130" s="20">
        <v>993.06528260685695</v>
      </c>
      <c r="R130" s="20">
        <v>3363.3816217672702</v>
      </c>
      <c r="S130" s="20">
        <v>6252.5618237134204</v>
      </c>
      <c r="T130" s="20">
        <v>30</v>
      </c>
      <c r="U130" s="20">
        <v>0.1</v>
      </c>
      <c r="V130" s="20">
        <v>1.7923219885722E-2</v>
      </c>
      <c r="W130" s="20">
        <v>1.7347512466542502E-2</v>
      </c>
      <c r="X130" s="20">
        <v>1.6806522856227201E-2</v>
      </c>
      <c r="Y130" s="20">
        <v>1.6317214960688199E-2</v>
      </c>
      <c r="Z130" s="20">
        <v>1.58663990651364E-2</v>
      </c>
      <c r="AA130" s="20">
        <v>1.54023008035851E-2</v>
      </c>
      <c r="AB130" s="20">
        <v>1.50331949580225E-2</v>
      </c>
      <c r="AC130" s="20">
        <v>1.47669509217488E-2</v>
      </c>
      <c r="AD130" s="20">
        <v>1.4587534100943E-2</v>
      </c>
      <c r="AE130" s="20">
        <v>1.4478344935963099E-2</v>
      </c>
      <c r="AF130" t="str">
        <f t="shared" ref="AF130:AF193" si="9">IF(C130="Residential","Residential","NonResidential")</f>
        <v>Residential</v>
      </c>
      <c r="AG130" t="str">
        <f>tbl_Data_old[[#This Row],[All_Meas_Name_Append]]</f>
        <v>Ceiling Insulation(R2 to R38) Residential</v>
      </c>
      <c r="AH130">
        <f>AVERAGEIFS('3. Incentive Adjustment'!G:G,'3. Incentive Adjustment'!A:A,tbl_Data_old[[#This Row],[Trimmed Sector]],'3. Incentive Adjustment'!B:B,tbl_Data_old[[#This Row],[Trimmed Measure Name]])</f>
        <v>0.80543313072084111</v>
      </c>
      <c r="AI130">
        <f>$AH130*tbl_Data_old[[#This Row],[2025 ]]</f>
        <v>1.4435955105155107E-2</v>
      </c>
      <c r="AJ130">
        <f>$AH130*tbl_Data_old[[#This Row],[2026 ]]</f>
        <v>1.3972261276146147E-2</v>
      </c>
      <c r="AK130">
        <f>$AH130*tbl_Data_old[[#This Row],[2027 ]]</f>
        <v>1.3536530320622447E-2</v>
      </c>
      <c r="AL130">
        <f>$AH130*tbl_Data_old[[#This Row],[2028 ]]</f>
        <v>1.3142425530432043E-2</v>
      </c>
      <c r="AM130">
        <f>$AH130*tbl_Data_old[[#This Row],[2029 ]]</f>
        <v>1.2779323472299037E-2</v>
      </c>
      <c r="AN130">
        <f>$AH130*tbl_Data_old[[#This Row],[2030 ]]</f>
        <v>1.2405523356535674E-2</v>
      </c>
      <c r="AO130">
        <f>$AH130*tbl_Data_old[[#This Row],[2031 ]]</f>
        <v>1.2108233279776826E-2</v>
      </c>
      <c r="AP130">
        <f>$AH130*tbl_Data_old[[#This Row],[2032 ]]</f>
        <v>1.1893791512105146E-2</v>
      </c>
      <c r="AQ130">
        <f>$AH130*tbl_Data_old[[#This Row],[2033 ]]</f>
        <v>1.174928326041955E-2</v>
      </c>
      <c r="AR130">
        <f>$AH130*tbl_Data_old[[#This Row],[2034 ]]</f>
        <v>1.1661338689428995E-2</v>
      </c>
      <c r="AS130">
        <f>SUM(tbl_Data_old[[#This Row],[Adjusted 2025]:[Adjusted 2034]])</f>
        <v>0.12768466580292098</v>
      </c>
      <c r="AT130" s="3">
        <f>AVERAGEIFS('3. Incentive Adjustment'!F:F,'3. Incentive Adjustment'!A:A,tbl_Data_old[[#This Row],[Trimmed Sector]],'3. Incentive Adjustment'!B:B,tbl_Data_old[[#This Row],[Trimmed Measure Name]])</f>
        <v>164</v>
      </c>
      <c r="AU130" s="3">
        <f>IFERROR(VLOOKUP(tbl_Data_old[[#This Row],[All_Meas_Name_Append]],'IRA Tax Credits'!$A$3:$D$46,4,0),0)</f>
        <v>0</v>
      </c>
      <c r="AV130" s="4">
        <f>tbl_Data_old[[#This Row],[Adj. per unit Incentive ($)]]/tbl_Data_old[[#This Row],[kWh Savings]]*tbl_Data_old[[#This Row],[Sum of Annuals]]</f>
        <v>6.0808107225861236E-3</v>
      </c>
      <c r="AW130" s="4">
        <f>IFERROR(VLOOKUP(tbl_Data_old[[#This Row],[All_Programs]],'1. Set Program Names'!$B$2:$D$15,3,0)*tbl_Data_old[[#This Row],[Sum of Annuals]],"")</f>
        <v>5.5231481878388326E-2</v>
      </c>
      <c r="AX130" s="4">
        <f>tbl_Data_old[[#This Row],[per unit IRA tax ($)]]/tbl_Data_old[[#This Row],[kWh Savings]]*tbl_Data_old[[#This Row],[Sum of Annuals]]</f>
        <v>0</v>
      </c>
      <c r="AY130" s="4">
        <f>tbl_Data_old[[#This Row],[Avoided Costs ($/unit)]]/tbl_Data_old[[#This Row],[kWh Savings]]*tbl_Data_old[[#This Row],[Sum of Annuals]]</f>
        <v>0.12470784774263123</v>
      </c>
      <c r="AZ130" s="4">
        <f>tbl_Data_old[[#This Row],[Lost Revenue ($/unit)]]/tbl_Data_old[[#This Row],[kWh Savings]]*tbl_Data_old[[#This Row],[Sum of Annuals]]</f>
        <v>0.23183320110530006</v>
      </c>
      <c r="BA130" s="4">
        <f>tbl_Data_old[[#This Row],[Incremental Cost ($/unit)]]/tbl_Data_old[[#This Row],[kWh Savings]]*tbl_Data_old[[#This Row],[Sum of Annuals]]</f>
        <v>4.7062137962541634E-2</v>
      </c>
      <c r="BB130">
        <f>ROUNDUP(tbl_Data_old[[#This Row],[Adjusted 2025]]/$L130,0)</f>
        <v>1</v>
      </c>
      <c r="BC130">
        <f>ROUNDUP(tbl_Data_old[[#This Row],[Adjusted 2026]]/$L130,0)</f>
        <v>1</v>
      </c>
      <c r="BD130">
        <f>ROUNDUP(tbl_Data_old[[#This Row],[Adjusted 2027]]/$L130,0)</f>
        <v>1</v>
      </c>
      <c r="BE130">
        <f>ROUNDUP(tbl_Data_old[[#This Row],[Adjusted 2028]]/$L130,0)</f>
        <v>1</v>
      </c>
      <c r="BF130">
        <f>ROUNDUP(tbl_Data_old[[#This Row],[Adjusted 2029]]/$L130,0)</f>
        <v>1</v>
      </c>
      <c r="BG130">
        <f>ROUNDUP(tbl_Data_old[[#This Row],[Adjusted 2030]]/$L130,0)</f>
        <v>1</v>
      </c>
      <c r="BH130">
        <f>ROUNDUP(tbl_Data_old[[#This Row],[Adjusted 2031]]/$L130,0)</f>
        <v>1</v>
      </c>
      <c r="BI130">
        <f>ROUNDUP(tbl_Data_old[[#This Row],[Adjusted 2032]]/$L130,0)</f>
        <v>1</v>
      </c>
      <c r="BJ130">
        <f>ROUNDUP(tbl_Data_old[[#This Row],[Adjusted 2033]]/$L130,0)</f>
        <v>1</v>
      </c>
      <c r="BK130">
        <f>ROUNDUP(tbl_Data_old[[#This Row],[Adjusted 2034]]/$L130,0)</f>
        <v>1</v>
      </c>
      <c r="BL130" s="3">
        <f t="shared" si="8"/>
        <v>8.5356927536300842E-4</v>
      </c>
      <c r="BM130" s="3">
        <f t="shared" si="8"/>
        <v>8.2615198272567288E-4</v>
      </c>
      <c r="BN130" s="3">
        <f t="shared" si="8"/>
        <v>8.0038807910790802E-4</v>
      </c>
      <c r="BO130" s="3">
        <f t="shared" si="8"/>
        <v>7.7708544774548528E-4</v>
      </c>
      <c r="BP130" s="3">
        <f t="shared" si="8"/>
        <v>7.5561594618595712E-4</v>
      </c>
      <c r="BQ130" s="3">
        <f t="shared" si="7"/>
        <v>7.3351388978452068E-4</v>
      </c>
      <c r="BR130" s="3">
        <f t="shared" si="7"/>
        <v>7.1593571961543734E-4</v>
      </c>
      <c r="BS130" s="3">
        <f t="shared" si="7"/>
        <v>7.032562049656783E-4</v>
      </c>
      <c r="BT130" s="3">
        <f t="shared" si="7"/>
        <v>6.947117198397028E-4</v>
      </c>
      <c r="BU130" s="3">
        <f t="shared" si="7"/>
        <v>6.8951173250351929E-4</v>
      </c>
      <c r="BV130">
        <f>VLOOKUP($H130,'1. Set Program Names'!$B$2:$D$15,3,0)*V130</f>
        <v>7.7528964664289228E-3</v>
      </c>
      <c r="BW130">
        <f>VLOOKUP($H130,'1. Set Program Names'!$B$2:$D$15,3,0)*W130</f>
        <v>7.5038675506251679E-3</v>
      </c>
      <c r="BX130">
        <f>VLOOKUP($H130,'1. Set Program Names'!$B$2:$D$15,3,0)*X130</f>
        <v>7.2698562253760996E-3</v>
      </c>
      <c r="BY130">
        <f>VLOOKUP($H130,'1. Set Program Names'!$B$2:$D$15,3,0)*Y130</f>
        <v>7.0582004247717609E-3</v>
      </c>
      <c r="BZ130">
        <f>VLOOKUP($H130,'1. Set Program Names'!$B$2:$D$15,3,0)*Z130</f>
        <v>6.8631947848299202E-3</v>
      </c>
      <c r="CA130">
        <f>VLOOKUP($H130,'1. Set Program Names'!$B$2:$D$15,3,0)*AA130</f>
        <v>6.6624437035510929E-3</v>
      </c>
      <c r="CB130">
        <f>VLOOKUP($H130,'1. Set Program Names'!$B$2:$D$15,3,0)*AB130</f>
        <v>6.5027826926364087E-3</v>
      </c>
      <c r="CC130">
        <f>VLOOKUP($H130,'1. Set Program Names'!$B$2:$D$15,3,0)*AC130</f>
        <v>6.3876157493530485E-3</v>
      </c>
      <c r="CD130">
        <f>VLOOKUP($H130,'1. Set Program Names'!$B$2:$D$15,3,0)*AD130</f>
        <v>6.3100069243253922E-3</v>
      </c>
      <c r="CE130">
        <f>VLOOKUP($H130,'1. Set Program Names'!$B$2:$D$15,3,0)*AE130</f>
        <v>6.2627758856647914E-3</v>
      </c>
    </row>
    <row r="131" spans="1:83" x14ac:dyDescent="0.25">
      <c r="A131" s="20" t="s">
        <v>116</v>
      </c>
      <c r="B131" s="20" t="s">
        <v>88</v>
      </c>
      <c r="C131" s="20" t="s">
        <v>89</v>
      </c>
      <c r="D131" s="20" t="s">
        <v>90</v>
      </c>
      <c r="E131" s="20" t="s">
        <v>91</v>
      </c>
      <c r="F131" s="20" t="s">
        <v>90</v>
      </c>
      <c r="G131" s="20" t="s">
        <v>92</v>
      </c>
      <c r="H131" s="20" t="s">
        <v>7</v>
      </c>
      <c r="I131" s="20" t="s">
        <v>103</v>
      </c>
      <c r="J131" s="20" t="s">
        <v>101</v>
      </c>
      <c r="K131" s="20" t="s">
        <v>102</v>
      </c>
      <c r="L131" s="20">
        <v>3523.57666666666</v>
      </c>
      <c r="M131" s="20">
        <v>1.7070465614975301</v>
      </c>
      <c r="N131" s="20">
        <v>0.25623328618049002</v>
      </c>
      <c r="O131" s="20">
        <v>1306.5999999999899</v>
      </c>
      <c r="P131" s="20">
        <v>465.31519597206898</v>
      </c>
      <c r="Q131" s="20">
        <v>1016.10928030304</v>
      </c>
      <c r="R131" s="20">
        <v>3440.61303289528</v>
      </c>
      <c r="S131" s="20">
        <v>6397.6520033667803</v>
      </c>
      <c r="T131" s="20">
        <v>30</v>
      </c>
      <c r="U131" s="20">
        <v>0.1</v>
      </c>
      <c r="V131" s="20">
        <v>1.8337107043088701E-2</v>
      </c>
      <c r="W131" s="20">
        <v>1.7749706329313698E-2</v>
      </c>
      <c r="X131" s="20">
        <v>1.71976678457278E-2</v>
      </c>
      <c r="Y131" s="20">
        <v>1.66983665462575E-2</v>
      </c>
      <c r="Z131" s="20">
        <v>1.62383220214035E-2</v>
      </c>
      <c r="AA131" s="20">
        <v>1.57645566895879E-2</v>
      </c>
      <c r="AB131" s="20">
        <v>1.53879022195023E-2</v>
      </c>
      <c r="AC131" s="20">
        <v>1.51164401528715E-2</v>
      </c>
      <c r="AD131" s="20">
        <v>1.4933781032466901E-2</v>
      </c>
      <c r="AE131" s="20">
        <v>1.48229508558763E-2</v>
      </c>
      <c r="AF131" t="str">
        <f t="shared" si="9"/>
        <v>Residential</v>
      </c>
      <c r="AG131" t="str">
        <f>tbl_Data_old[[#This Row],[All_Meas_Name_Append]]</f>
        <v>Ceiling Insulation(R2 to R49) Residential</v>
      </c>
      <c r="AH131">
        <f>AVERAGEIFS('3. Incentive Adjustment'!G:G,'3. Incentive Adjustment'!A:A,tbl_Data_old[[#This Row],[Trimmed Sector]],'3. Incentive Adjustment'!B:B,tbl_Data_old[[#This Row],[Trimmed Measure Name]])</f>
        <v>0.79801279130038982</v>
      </c>
      <c r="AI131">
        <f>$AH131*tbl_Data_old[[#This Row],[2025 ]]</f>
        <v>1.4633245975829252E-2</v>
      </c>
      <c r="AJ131">
        <f>$AH131*tbl_Data_old[[#This Row],[2026 ]]</f>
        <v>1.4164492692617821E-2</v>
      </c>
      <c r="AK131">
        <f>$AH131*tbl_Data_old[[#This Row],[2027 ]]</f>
        <v>1.3723958921426204E-2</v>
      </c>
      <c r="AL131">
        <f>$AH131*tbl_Data_old[[#This Row],[2028 ]]</f>
        <v>1.3325510097735999E-2</v>
      </c>
      <c r="AM131">
        <f>$AH131*tbl_Data_old[[#This Row],[2029 ]]</f>
        <v>1.2958388682334796E-2</v>
      </c>
      <c r="AN131">
        <f>$AH131*tbl_Data_old[[#This Row],[2030 ]]</f>
        <v>1.2580317887471272E-2</v>
      </c>
      <c r="AO131">
        <f>$AH131*tbl_Data_old[[#This Row],[2031 ]]</f>
        <v>1.2279742802442494E-2</v>
      </c>
      <c r="AP131">
        <f>$AH131*tbl_Data_old[[#This Row],[2032 ]]</f>
        <v>1.2063112600918278E-2</v>
      </c>
      <c r="AQ131">
        <f>$AH131*tbl_Data_old[[#This Row],[2033 ]]</f>
        <v>1.1917348286387729E-2</v>
      </c>
      <c r="AR131">
        <f>$AH131*tbl_Data_old[[#This Row],[2034 ]]</f>
        <v>1.1828904387806349E-2</v>
      </c>
      <c r="AS131">
        <f>SUM(tbl_Data_old[[#This Row],[Adjusted 2025]:[Adjusted 2034]])</f>
        <v>0.12947502233497019</v>
      </c>
      <c r="AT131" s="3">
        <f>AVERAGEIFS('3. Incentive Adjustment'!F:F,'3. Incentive Adjustment'!A:A,tbl_Data_old[[#This Row],[Trimmed Sector]],'3. Incentive Adjustment'!B:B,tbl_Data_old[[#This Row],[Trimmed Measure Name]])</f>
        <v>164</v>
      </c>
      <c r="AU131" s="3">
        <f>IFERROR(VLOOKUP(tbl_Data_old[[#This Row],[All_Meas_Name_Append]],'IRA Tax Credits'!$A$3:$D$46,4,0),0)</f>
        <v>0</v>
      </c>
      <c r="AV131" s="4">
        <f>tbl_Data_old[[#This Row],[Adj. per unit Incentive ($)]]/tbl_Data_old[[#This Row],[kWh Savings]]*tbl_Data_old[[#This Row],[Sum of Annuals]]</f>
        <v>6.0262357461410374E-3</v>
      </c>
      <c r="AW131" s="4">
        <f>IFERROR(VLOOKUP(tbl_Data_old[[#This Row],[All_Programs]],'1. Set Program Names'!$B$2:$D$15,3,0)*tbl_Data_old[[#This Row],[Sum of Annuals]],"")</f>
        <v>5.6005921344035328E-2</v>
      </c>
      <c r="AX131" s="4">
        <f>tbl_Data_old[[#This Row],[per unit IRA tax ($)]]/tbl_Data_old[[#This Row],[kWh Savings]]*tbl_Data_old[[#This Row],[Sum of Annuals]]</f>
        <v>0</v>
      </c>
      <c r="AY131" s="4">
        <f>tbl_Data_old[[#This Row],[Avoided Costs ($/unit)]]/tbl_Data_old[[#This Row],[kWh Savings]]*tbl_Data_old[[#This Row],[Sum of Annuals]]</f>
        <v>0.12642649541141626</v>
      </c>
      <c r="AZ131" s="4">
        <f>tbl_Data_old[[#This Row],[Lost Revenue ($/unit)]]/tbl_Data_old[[#This Row],[kWh Savings]]*tbl_Data_old[[#This Row],[Sum of Annuals]]</f>
        <v>0.23508389752475436</v>
      </c>
      <c r="BA131" s="4">
        <f>tbl_Data_old[[#This Row],[Incremental Cost ($/unit)]]/tbl_Data_old[[#This Row],[kWh Savings]]*tbl_Data_old[[#This Row],[Sum of Annuals]]</f>
        <v>4.801146113358426E-2</v>
      </c>
      <c r="BB131">
        <f>ROUNDUP(tbl_Data_old[[#This Row],[Adjusted 2025]]/$L131,0)</f>
        <v>1</v>
      </c>
      <c r="BC131">
        <f>ROUNDUP(tbl_Data_old[[#This Row],[Adjusted 2026]]/$L131,0)</f>
        <v>1</v>
      </c>
      <c r="BD131">
        <f>ROUNDUP(tbl_Data_old[[#This Row],[Adjusted 2027]]/$L131,0)</f>
        <v>1</v>
      </c>
      <c r="BE131">
        <f>ROUNDUP(tbl_Data_old[[#This Row],[Adjusted 2028]]/$L131,0)</f>
        <v>1</v>
      </c>
      <c r="BF131">
        <f>ROUNDUP(tbl_Data_old[[#This Row],[Adjusted 2029]]/$L131,0)</f>
        <v>1</v>
      </c>
      <c r="BG131">
        <f>ROUNDUP(tbl_Data_old[[#This Row],[Adjusted 2030]]/$L131,0)</f>
        <v>1</v>
      </c>
      <c r="BH131">
        <f>ROUNDUP(tbl_Data_old[[#This Row],[Adjusted 2031]]/$L131,0)</f>
        <v>1</v>
      </c>
      <c r="BI131">
        <f>ROUNDUP(tbl_Data_old[[#This Row],[Adjusted 2032]]/$L131,0)</f>
        <v>1</v>
      </c>
      <c r="BJ131">
        <f>ROUNDUP(tbl_Data_old[[#This Row],[Adjusted 2033]]/$L131,0)</f>
        <v>1</v>
      </c>
      <c r="BK131">
        <f>ROUNDUP(tbl_Data_old[[#This Row],[Adjusted 2034]]/$L131,0)</f>
        <v>1</v>
      </c>
      <c r="BL131" s="3">
        <f t="shared" si="8"/>
        <v>8.5347527230377254E-4</v>
      </c>
      <c r="BM131" s="3">
        <f t="shared" si="8"/>
        <v>8.2613551893032512E-4</v>
      </c>
      <c r="BN131" s="3">
        <f t="shared" si="8"/>
        <v>8.004416516265285E-4</v>
      </c>
      <c r="BO131" s="3">
        <f t="shared" si="8"/>
        <v>7.7720236357930864E-4</v>
      </c>
      <c r="BP131" s="3">
        <f t="shared" si="8"/>
        <v>7.5579022778280564E-4</v>
      </c>
      <c r="BQ131" s="3">
        <f t="shared" si="7"/>
        <v>7.3373947601322338E-4</v>
      </c>
      <c r="BR131" s="3">
        <f t="shared" si="7"/>
        <v>7.162086149201754E-4</v>
      </c>
      <c r="BS131" s="3">
        <f t="shared" si="7"/>
        <v>7.0357378867994848E-4</v>
      </c>
      <c r="BT131" s="3">
        <f t="shared" si="7"/>
        <v>6.9507217268568295E-4</v>
      </c>
      <c r="BU131" s="3">
        <f t="shared" si="7"/>
        <v>6.8991373548384582E-4</v>
      </c>
      <c r="BV131">
        <f>VLOOKUP($H131,'1. Set Program Names'!$B$2:$D$15,3,0)*V131</f>
        <v>7.9319281527167659E-3</v>
      </c>
      <c r="BW131">
        <f>VLOOKUP($H131,'1. Set Program Names'!$B$2:$D$15,3,0)*W131</f>
        <v>7.6778411668269198E-3</v>
      </c>
      <c r="BX131">
        <f>VLOOKUP($H131,'1. Set Program Names'!$B$2:$D$15,3,0)*X131</f>
        <v>7.4390505234037847E-3</v>
      </c>
      <c r="BY131">
        <f>VLOOKUP($H131,'1. Set Program Names'!$B$2:$D$15,3,0)*Y131</f>
        <v>7.2230719601194945E-3</v>
      </c>
      <c r="BZ131">
        <f>VLOOKUP($H131,'1. Set Program Names'!$B$2:$D$15,3,0)*Z131</f>
        <v>7.0240743696261794E-3</v>
      </c>
      <c r="CA131">
        <f>VLOOKUP($H131,'1. Set Program Names'!$B$2:$D$15,3,0)*AA131</f>
        <v>6.8191416850768077E-3</v>
      </c>
      <c r="CB131">
        <f>VLOOKUP($H131,'1. Set Program Names'!$B$2:$D$15,3,0)*AB131</f>
        <v>6.6562154291467798E-3</v>
      </c>
      <c r="CC131">
        <f>VLOOKUP($H131,'1. Set Program Names'!$B$2:$D$15,3,0)*AC131</f>
        <v>6.5387913663628372E-3</v>
      </c>
      <c r="CD131">
        <f>VLOOKUP($H131,'1. Set Program Names'!$B$2:$D$15,3,0)*AD131</f>
        <v>6.459780047070038E-3</v>
      </c>
      <c r="CE131">
        <f>VLOOKUP($H131,'1. Set Program Names'!$B$2:$D$15,3,0)*AE131</f>
        <v>6.411839169820216E-3</v>
      </c>
    </row>
    <row r="132" spans="1:83" x14ac:dyDescent="0.25">
      <c r="A132" s="20" t="s">
        <v>116</v>
      </c>
      <c r="B132" s="20" t="s">
        <v>88</v>
      </c>
      <c r="C132" s="20" t="s">
        <v>89</v>
      </c>
      <c r="D132" s="20" t="s">
        <v>90</v>
      </c>
      <c r="E132" s="20" t="s">
        <v>91</v>
      </c>
      <c r="F132" s="20" t="s">
        <v>90</v>
      </c>
      <c r="G132" s="20" t="s">
        <v>92</v>
      </c>
      <c r="H132" s="20" t="s">
        <v>7</v>
      </c>
      <c r="I132" s="20" t="s">
        <v>296</v>
      </c>
      <c r="J132" s="20" t="s">
        <v>97</v>
      </c>
      <c r="K132" s="20" t="s">
        <v>102</v>
      </c>
      <c r="L132" s="20">
        <v>936.45</v>
      </c>
      <c r="M132" s="20">
        <v>0.42562333070119601</v>
      </c>
      <c r="N132" s="20">
        <v>3.9115067461125599E-2</v>
      </c>
      <c r="O132" s="53">
        <v>685.00999995999996</v>
      </c>
      <c r="P132" s="20">
        <v>458.12689399999903</v>
      </c>
      <c r="Q132" s="20">
        <v>270.04819975719403</v>
      </c>
      <c r="R132" s="20">
        <v>763.90764278946904</v>
      </c>
      <c r="S132" s="20">
        <v>1415.5155729468199</v>
      </c>
      <c r="T132" s="20">
        <v>20</v>
      </c>
      <c r="U132" s="20">
        <v>0.1</v>
      </c>
      <c r="V132" s="20">
        <v>0.58951347339992999</v>
      </c>
      <c r="W132" s="20">
        <v>0.57062179966781201</v>
      </c>
      <c r="X132" s="20">
        <v>0.55285992979931797</v>
      </c>
      <c r="Y132" s="20">
        <v>0.53678731350577402</v>
      </c>
      <c r="Z132" s="20">
        <v>0.52197131635577199</v>
      </c>
      <c r="AA132" s="20">
        <v>0.50670964553098097</v>
      </c>
      <c r="AB132" s="20">
        <v>0.49456520070870702</v>
      </c>
      <c r="AC132" s="20">
        <v>0.48579751321134701</v>
      </c>
      <c r="AD132" s="20">
        <v>0.47987945602801402</v>
      </c>
      <c r="AE132" s="20">
        <v>0.47626509130979999</v>
      </c>
      <c r="AF132" t="str">
        <f t="shared" si="9"/>
        <v>Residential</v>
      </c>
      <c r="AG132" t="str">
        <f>tbl_Data_old[[#This Row],[All_Meas_Name_Append]]</f>
        <v>Duct Repair</v>
      </c>
      <c r="AH132">
        <f>AVERAGEIFS('3. Incentive Adjustment'!G:G,'3. Incentive Adjustment'!A:A,tbl_Data_old[[#This Row],[Trimmed Sector]],'3. Incentive Adjustment'!B:B,tbl_Data_old[[#This Row],[Trimmed Measure Name]])</f>
        <v>0.36456477469769399</v>
      </c>
      <c r="AI132">
        <f>$AH132*tbl_Data_old[[#This Row],[2025 ]]</f>
        <v>0.2149158466113005</v>
      </c>
      <c r="AJ132">
        <f>$AH132*tbl_Data_old[[#This Row],[2026 ]]</f>
        <v>0.20802860783348856</v>
      </c>
      <c r="AK132">
        <f>$AH132*tbl_Data_old[[#This Row],[2027 ]]</f>
        <v>0.20155325574667127</v>
      </c>
      <c r="AL132">
        <f>$AH132*tbl_Data_old[[#This Row],[2028 ]]</f>
        <v>0.19569374600881295</v>
      </c>
      <c r="AM132">
        <f>$AH132*tbl_Data_old[[#This Row],[2029 ]]</f>
        <v>0.19029235534590078</v>
      </c>
      <c r="AN132">
        <f>$AH132*tbl_Data_old[[#This Row],[2030 ]]</f>
        <v>0.18472848776015047</v>
      </c>
      <c r="AO132">
        <f>$AH132*tbl_Data_old[[#This Row],[2031 ]]</f>
        <v>0.1803010509696896</v>
      </c>
      <c r="AP132">
        <f>$AH132*tbl_Data_old[[#This Row],[2032 ]]</f>
        <v>0.17710466095259475</v>
      </c>
      <c r="AQ132">
        <f>$AH132*tbl_Data_old[[#This Row],[2033 ]]</f>
        <v>0.17494714576890488</v>
      </c>
      <c r="AR132">
        <f>$AH132*tbl_Data_old[[#This Row],[2034 ]]</f>
        <v>0.17362947570973389</v>
      </c>
      <c r="AS132">
        <f>SUM(tbl_Data_old[[#This Row],[Adjusted 2025]:[Adjusted 2034]])</f>
        <v>1.9011946327072478</v>
      </c>
      <c r="AT132" s="3">
        <f>AVERAGEIFS('3. Incentive Adjustment'!F:F,'3. Incentive Adjustment'!A:A,tbl_Data_old[[#This Row],[Trimmed Sector]],'3. Incentive Adjustment'!B:B,tbl_Data_old[[#This Row],[Trimmed Measure Name]])</f>
        <v>100</v>
      </c>
      <c r="AU132" s="3">
        <f>IFERROR(VLOOKUP(tbl_Data_old[[#This Row],[All_Meas_Name_Append]],'IRA Tax Credits'!$A$3:$D$46,4,0),0)</f>
        <v>0</v>
      </c>
      <c r="AV132" s="4">
        <f>tbl_Data_old[[#This Row],[Adj. per unit Incentive ($)]]/tbl_Data_old[[#This Row],[kWh Savings]]*tbl_Data_old[[#This Row],[Sum of Annuals]]</f>
        <v>0.20302147821103611</v>
      </c>
      <c r="AW132" s="4">
        <f>IFERROR(VLOOKUP(tbl_Data_old[[#This Row],[All_Programs]],'1. Set Program Names'!$B$2:$D$15,3,0)*tbl_Data_old[[#This Row],[Sum of Annuals]],"")</f>
        <v>0.82238377054402201</v>
      </c>
      <c r="AX132" s="4">
        <f>tbl_Data_old[[#This Row],[per unit IRA tax ($)]]/tbl_Data_old[[#This Row],[kWh Savings]]*tbl_Data_old[[#This Row],[Sum of Annuals]]</f>
        <v>0</v>
      </c>
      <c r="AY132" s="4">
        <f>tbl_Data_old[[#This Row],[Avoided Costs ($/unit)]]/tbl_Data_old[[#This Row],[kWh Savings]]*tbl_Data_old[[#This Row],[Sum of Annuals]]</f>
        <v>1.5508965885582615</v>
      </c>
      <c r="AZ132" s="4">
        <f>tbl_Data_old[[#This Row],[Lost Revenue ($/unit)]]/tbl_Data_old[[#This Row],[kWh Savings]]*tbl_Data_old[[#This Row],[Sum of Annuals]]</f>
        <v>2.8738006405040513</v>
      </c>
      <c r="BA132" s="4">
        <f>tbl_Data_old[[#This Row],[Incremental Cost ($/unit)]]/tbl_Data_old[[#This Row],[kWh Savings]]*tbl_Data_old[[#This Row],[Sum of Annuals]]</f>
        <v>1.3907174278122099</v>
      </c>
      <c r="BB132">
        <f>ROUNDUP(tbl_Data_old[[#This Row],[Adjusted 2025]]/$L132,0)</f>
        <v>1</v>
      </c>
      <c r="BC132">
        <f>ROUNDUP(tbl_Data_old[[#This Row],[Adjusted 2026]]/$L132,0)</f>
        <v>1</v>
      </c>
      <c r="BD132">
        <f>ROUNDUP(tbl_Data_old[[#This Row],[Adjusted 2027]]/$L132,0)</f>
        <v>1</v>
      </c>
      <c r="BE132">
        <f>ROUNDUP(tbl_Data_old[[#This Row],[Adjusted 2028]]/$L132,0)</f>
        <v>1</v>
      </c>
      <c r="BF132">
        <f>ROUNDUP(tbl_Data_old[[#This Row],[Adjusted 2029]]/$L132,0)</f>
        <v>1</v>
      </c>
      <c r="BG132">
        <f>ROUNDUP(tbl_Data_old[[#This Row],[Adjusted 2030]]/$L132,0)</f>
        <v>1</v>
      </c>
      <c r="BH132">
        <f>ROUNDUP(tbl_Data_old[[#This Row],[Adjusted 2031]]/$L132,0)</f>
        <v>1</v>
      </c>
      <c r="BI132">
        <f>ROUNDUP(tbl_Data_old[[#This Row],[Adjusted 2032]]/$L132,0)</f>
        <v>1</v>
      </c>
      <c r="BJ132">
        <f>ROUNDUP(tbl_Data_old[[#This Row],[Adjusted 2033]]/$L132,0)</f>
        <v>1</v>
      </c>
      <c r="BK132">
        <f>ROUNDUP(tbl_Data_old[[#This Row],[Adjusted 2034]]/$L132,0)</f>
        <v>1</v>
      </c>
      <c r="BL132" s="3">
        <f t="shared" si="8"/>
        <v>6.2951943339199096E-2</v>
      </c>
      <c r="BM132" s="3">
        <f t="shared" si="8"/>
        <v>6.0934572018560736E-2</v>
      </c>
      <c r="BN132" s="3">
        <f t="shared" si="8"/>
        <v>5.9037848235284102E-2</v>
      </c>
      <c r="BO132" s="3">
        <f t="shared" si="8"/>
        <v>5.7321513535775963E-2</v>
      </c>
      <c r="BP132" s="3">
        <f t="shared" si="8"/>
        <v>5.5739368504006827E-2</v>
      </c>
      <c r="BQ132" s="3">
        <f t="shared" si="7"/>
        <v>5.4109631644079337E-2</v>
      </c>
      <c r="BR132" s="3">
        <f t="shared" si="7"/>
        <v>5.281277171324758E-2</v>
      </c>
      <c r="BS132" s="3">
        <f t="shared" si="7"/>
        <v>5.1876503092674144E-2</v>
      </c>
      <c r="BT132" s="3">
        <f t="shared" si="7"/>
        <v>5.1244535856480748E-2</v>
      </c>
      <c r="BU132" s="3">
        <f t="shared" si="7"/>
        <v>5.0858571339612364E-2</v>
      </c>
      <c r="BV132">
        <f>VLOOKUP($H132,'1. Set Program Names'!$B$2:$D$15,3,0)*V132</f>
        <v>0.25500088454951447</v>
      </c>
      <c r="BW132">
        <f>VLOOKUP($H132,'1. Set Program Names'!$B$2:$D$15,3,0)*W132</f>
        <v>0.24682907214881172</v>
      </c>
      <c r="BX132">
        <f>VLOOKUP($H132,'1. Set Program Names'!$B$2:$D$15,3,0)*X132</f>
        <v>0.23914596950215405</v>
      </c>
      <c r="BY132">
        <f>VLOOKUP($H132,'1. Set Program Names'!$B$2:$D$15,3,0)*Y132</f>
        <v>0.23219357306540939</v>
      </c>
      <c r="BZ132">
        <f>VLOOKUP($H132,'1. Set Program Names'!$B$2:$D$15,3,0)*Z132</f>
        <v>0.22578474180164873</v>
      </c>
      <c r="CA132">
        <f>VLOOKUP($H132,'1. Set Program Names'!$B$2:$D$15,3,0)*AA132</f>
        <v>0.21918312922512828</v>
      </c>
      <c r="CB132">
        <f>VLOOKUP($H132,'1. Set Program Names'!$B$2:$D$15,3,0)*AB132</f>
        <v>0.21392990888025298</v>
      </c>
      <c r="CC132">
        <f>VLOOKUP($H132,'1. Set Program Names'!$B$2:$D$15,3,0)*AC132</f>
        <v>0.21013734404812781</v>
      </c>
      <c r="CD132">
        <f>VLOOKUP($H132,'1. Set Program Names'!$B$2:$D$15,3,0)*AD132</f>
        <v>0.20757741983153449</v>
      </c>
      <c r="CE132">
        <f>VLOOKUP($H132,'1. Set Program Names'!$B$2:$D$15,3,0)*AE132</f>
        <v>0.20601398448727753</v>
      </c>
    </row>
    <row r="133" spans="1:83" x14ac:dyDescent="0.25">
      <c r="A133" s="20" t="s">
        <v>116</v>
      </c>
      <c r="B133" s="20" t="s">
        <v>88</v>
      </c>
      <c r="C133" s="20" t="s">
        <v>89</v>
      </c>
      <c r="D133" s="20" t="s">
        <v>90</v>
      </c>
      <c r="E133" s="20" t="s">
        <v>91</v>
      </c>
      <c r="F133" s="20" t="s">
        <v>90</v>
      </c>
      <c r="G133" s="20" t="s">
        <v>92</v>
      </c>
      <c r="H133" s="20" t="s">
        <v>7</v>
      </c>
      <c r="I133" s="20" t="s">
        <v>297</v>
      </c>
      <c r="J133" s="20" t="s">
        <v>97</v>
      </c>
      <c r="K133" s="20" t="s">
        <v>298</v>
      </c>
      <c r="L133" s="20">
        <v>57.93</v>
      </c>
      <c r="M133" s="20">
        <v>0</v>
      </c>
      <c r="N133" s="20">
        <v>1.1014721785810099E-2</v>
      </c>
      <c r="O133" s="53">
        <v>154.1011072</v>
      </c>
      <c r="P133" s="20">
        <v>140.06582681793901</v>
      </c>
      <c r="Q133" s="20">
        <v>16.705528551374101</v>
      </c>
      <c r="R133" s="20">
        <v>46.999759951794701</v>
      </c>
      <c r="S133" s="20">
        <v>87.565611768711094</v>
      </c>
      <c r="T133" s="20">
        <v>20</v>
      </c>
      <c r="U133" s="20">
        <v>0.2</v>
      </c>
      <c r="V133" s="20">
        <v>5.7808296335497701E-2</v>
      </c>
      <c r="W133" s="20">
        <v>5.3784246387689999E-2</v>
      </c>
      <c r="X133" s="20">
        <v>4.9852244524099899E-2</v>
      </c>
      <c r="Y133" s="20">
        <v>4.6105701380858302E-2</v>
      </c>
      <c r="Z133" s="20">
        <v>4.2537375514998602E-2</v>
      </c>
      <c r="AA133" s="20">
        <v>3.9040108625942198E-2</v>
      </c>
      <c r="AB133" s="20">
        <v>3.5910546543262797E-2</v>
      </c>
      <c r="AC133" s="20">
        <v>3.3149351407426898E-2</v>
      </c>
      <c r="AD133" s="20">
        <v>3.06969429768695E-2</v>
      </c>
      <c r="AE133" s="20">
        <v>2.8497997598135798E-2</v>
      </c>
      <c r="AF133" t="str">
        <f t="shared" si="9"/>
        <v>Residential</v>
      </c>
      <c r="AG133" t="str">
        <f>tbl_Data_old[[#This Row],[All_Meas_Name_Append]]</f>
        <v>Energy Star Windows Residential</v>
      </c>
      <c r="AH133">
        <f>AVERAGEIFS('3. Incentive Adjustment'!G:G,'3. Incentive Adjustment'!A:A,tbl_Data_old[[#This Row],[Trimmed Sector]],'3. Incentive Adjustment'!B:B,tbl_Data_old[[#This Row],[Trimmed Measure Name]])</f>
        <v>1.5721893920937398</v>
      </c>
      <c r="AI133">
        <f>$AH133*tbl_Data_old[[#This Row],[2025 ]]</f>
        <v>9.08855902736809E-2</v>
      </c>
      <c r="AJ133">
        <f>$AH133*tbl_Data_old[[#This Row],[2026 ]]</f>
        <v>8.4559021632482259E-2</v>
      </c>
      <c r="AK133">
        <f>$AH133*tbl_Data_old[[#This Row],[2027 ]]</f>
        <v>7.837717001285309E-2</v>
      </c>
      <c r="AL133">
        <f>$AH133*tbl_Data_old[[#This Row],[2028 ]]</f>
        <v>7.2486894626027115E-2</v>
      </c>
      <c r="AM133">
        <f>$AH133*tbl_Data_old[[#This Row],[2029 ]]</f>
        <v>6.6876810552188776E-2</v>
      </c>
      <c r="AN133">
        <f>$AH133*tbl_Data_old[[#This Row],[2030 ]]</f>
        <v>6.1378444647893632E-2</v>
      </c>
      <c r="AO133">
        <f>$AH133*tbl_Data_old[[#This Row],[2031 ]]</f>
        <v>5.6458180339606284E-2</v>
      </c>
      <c r="AP133">
        <f>$AH133*tbl_Data_old[[#This Row],[2032 ]]</f>
        <v>5.2117058637544254E-2</v>
      </c>
      <c r="AQ133">
        <f>$AH133*tbl_Data_old[[#This Row],[2033 ]]</f>
        <v>4.8261408117940656E-2</v>
      </c>
      <c r="AR133">
        <f>$AH133*tbl_Data_old[[#This Row],[2034 ]]</f>
        <v>4.4804249519701973E-2</v>
      </c>
      <c r="AS133">
        <f>SUM(tbl_Data_old[[#This Row],[Adjusted 2025]:[Adjusted 2034]])</f>
        <v>0.65620482835991889</v>
      </c>
      <c r="AT133" s="3">
        <f>AVERAGEIFS('3. Incentive Adjustment'!F:F,'3. Incentive Adjustment'!A:A,tbl_Data_old[[#This Row],[Trimmed Sector]],'3. Incentive Adjustment'!B:B,tbl_Data_old[[#This Row],[Trimmed Measure Name]])</f>
        <v>150</v>
      </c>
      <c r="AU133" s="3">
        <f>IFERROR(VLOOKUP(tbl_Data_old[[#This Row],[All_Meas_Name_Append]],'IRA Tax Credits'!$A$3:$D$46,4,0),0)</f>
        <v>0</v>
      </c>
      <c r="AV133" s="4">
        <f>tbl_Data_old[[#This Row],[Adj. per unit Incentive ($)]]/tbl_Data_old[[#This Row],[kWh Savings]]*tbl_Data_old[[#This Row],[Sum of Annuals]]</f>
        <v>1.6991321293628143</v>
      </c>
      <c r="AW133" s="4">
        <f>IFERROR(VLOOKUP(tbl_Data_old[[#This Row],[All_Programs]],'1. Set Program Names'!$B$2:$D$15,3,0)*tbl_Data_old[[#This Row],[Sum of Annuals]],"")</f>
        <v>0.28384900299627575</v>
      </c>
      <c r="AX133" s="4">
        <f>tbl_Data_old[[#This Row],[per unit IRA tax ($)]]/tbl_Data_old[[#This Row],[kWh Savings]]*tbl_Data_old[[#This Row],[Sum of Annuals]]</f>
        <v>0</v>
      </c>
      <c r="AY133" s="4">
        <f>tbl_Data_old[[#This Row],[Avoided Costs ($/unit)]]/tbl_Data_old[[#This Row],[kWh Savings]]*tbl_Data_old[[#This Row],[Sum of Annuals]]</f>
        <v>0.53239201470956032</v>
      </c>
      <c r="AZ133" s="4">
        <f>tbl_Data_old[[#This Row],[Lost Revenue ($/unit)]]/tbl_Data_old[[#This Row],[kWh Savings]]*tbl_Data_old[[#This Row],[Sum of Annuals]]</f>
        <v>0.99190362922351738</v>
      </c>
      <c r="BA133" s="4">
        <f>tbl_Data_old[[#This Row],[Incremental Cost ($/unit)]]/tbl_Data_old[[#This Row],[kWh Savings]]*tbl_Data_old[[#This Row],[Sum of Annuals]]</f>
        <v>1.7455876160926886</v>
      </c>
      <c r="BB133">
        <f>ROUNDUP(tbl_Data_old[[#This Row],[Adjusted 2025]]/$L133,0)</f>
        <v>1</v>
      </c>
      <c r="BC133">
        <f>ROUNDUP(tbl_Data_old[[#This Row],[Adjusted 2026]]/$L133,0)</f>
        <v>1</v>
      </c>
      <c r="BD133">
        <f>ROUNDUP(tbl_Data_old[[#This Row],[Adjusted 2027]]/$L133,0)</f>
        <v>1</v>
      </c>
      <c r="BE133">
        <f>ROUNDUP(tbl_Data_old[[#This Row],[Adjusted 2028]]/$L133,0)</f>
        <v>1</v>
      </c>
      <c r="BF133">
        <f>ROUNDUP(tbl_Data_old[[#This Row],[Adjusted 2029]]/$L133,0)</f>
        <v>1</v>
      </c>
      <c r="BG133">
        <f>ROUNDUP(tbl_Data_old[[#This Row],[Adjusted 2030]]/$L133,0)</f>
        <v>1</v>
      </c>
      <c r="BH133">
        <f>ROUNDUP(tbl_Data_old[[#This Row],[Adjusted 2031]]/$L133,0)</f>
        <v>1</v>
      </c>
      <c r="BI133">
        <f>ROUNDUP(tbl_Data_old[[#This Row],[Adjusted 2032]]/$L133,0)</f>
        <v>1</v>
      </c>
      <c r="BJ133">
        <f>ROUNDUP(tbl_Data_old[[#This Row],[Adjusted 2033]]/$L133,0)</f>
        <v>1</v>
      </c>
      <c r="BK133">
        <f>ROUNDUP(tbl_Data_old[[#This Row],[Adjusted 2034]]/$L133,0)</f>
        <v>1</v>
      </c>
      <c r="BL133" s="3">
        <f t="shared" si="8"/>
        <v>0.14968486881278534</v>
      </c>
      <c r="BM133" s="3">
        <f t="shared" si="8"/>
        <v>0.13926526770504918</v>
      </c>
      <c r="BN133" s="3">
        <f t="shared" si="8"/>
        <v>0.12908400964293087</v>
      </c>
      <c r="BO133" s="3">
        <f t="shared" si="8"/>
        <v>0.11938296577125403</v>
      </c>
      <c r="BP133" s="3">
        <f t="shared" si="8"/>
        <v>0.11014338559036406</v>
      </c>
      <c r="BQ133" s="3">
        <f t="shared" si="8"/>
        <v>0.10108780068861263</v>
      </c>
      <c r="BR133" s="3">
        <f t="shared" si="8"/>
        <v>9.2984325591048161E-2</v>
      </c>
      <c r="BS133" s="3">
        <f t="shared" si="8"/>
        <v>8.5834674799137492E-2</v>
      </c>
      <c r="BT133" s="3">
        <f t="shared" si="8"/>
        <v>7.9484575289667278E-2</v>
      </c>
      <c r="BU133" s="3">
        <f t="shared" si="8"/>
        <v>7.3790775759025887E-2</v>
      </c>
      <c r="BV133">
        <f>VLOOKUP($H133,'1. Set Program Names'!$B$2:$D$15,3,0)*V133</f>
        <v>2.500564849660673E-2</v>
      </c>
      <c r="BW133">
        <f>VLOOKUP($H133,'1. Set Program Names'!$B$2:$D$15,3,0)*W133</f>
        <v>2.3264999058614573E-2</v>
      </c>
      <c r="BX133">
        <f>VLOOKUP($H133,'1. Set Program Names'!$B$2:$D$15,3,0)*X133</f>
        <v>2.1564166086158319E-2</v>
      </c>
      <c r="BY133">
        <f>VLOOKUP($H133,'1. Set Program Names'!$B$2:$D$15,3,0)*Y133</f>
        <v>1.9943555432394015E-2</v>
      </c>
      <c r="BZ133">
        <f>VLOOKUP($H133,'1. Set Program Names'!$B$2:$D$15,3,0)*Z133</f>
        <v>1.8400034727248341E-2</v>
      </c>
      <c r="CA133">
        <f>VLOOKUP($H133,'1. Set Program Names'!$B$2:$D$15,3,0)*AA133</f>
        <v>1.6887251405992332E-2</v>
      </c>
      <c r="CB133">
        <f>VLOOKUP($H133,'1. Set Program Names'!$B$2:$D$15,3,0)*AB133</f>
        <v>1.5533523059915207E-2</v>
      </c>
      <c r="CC133">
        <f>VLOOKUP($H133,'1. Set Program Names'!$B$2:$D$15,3,0)*AC133</f>
        <v>1.4339136105549027E-2</v>
      </c>
      <c r="CD133">
        <f>VLOOKUP($H133,'1. Set Program Names'!$B$2:$D$15,3,0)*AD133</f>
        <v>1.3278318418953812E-2</v>
      </c>
      <c r="CE133">
        <f>VLOOKUP($H133,'1. Set Program Names'!$B$2:$D$15,3,0)*AE133</f>
        <v>1.2327139112704512E-2</v>
      </c>
    </row>
    <row r="134" spans="1:83" x14ac:dyDescent="0.25">
      <c r="A134" s="20" t="s">
        <v>116</v>
      </c>
      <c r="B134" s="20" t="s">
        <v>88</v>
      </c>
      <c r="C134" s="20" t="s">
        <v>89</v>
      </c>
      <c r="D134" s="20" t="s">
        <v>90</v>
      </c>
      <c r="E134" s="20" t="s">
        <v>91</v>
      </c>
      <c r="F134" s="20" t="s">
        <v>90</v>
      </c>
      <c r="G134" s="20" t="s">
        <v>92</v>
      </c>
      <c r="H134" s="20" t="s">
        <v>7</v>
      </c>
      <c r="I134" s="20" t="s">
        <v>107</v>
      </c>
      <c r="J134" s="20" t="s">
        <v>94</v>
      </c>
      <c r="K134" s="20" t="s">
        <v>108</v>
      </c>
      <c r="L134" s="20">
        <v>1663.1099999999899</v>
      </c>
      <c r="M134" s="20">
        <v>6.6647595975018806E-2</v>
      </c>
      <c r="N134" s="20">
        <v>0.309148293753995</v>
      </c>
      <c r="O134" s="20">
        <v>1389.5</v>
      </c>
      <c r="P134" s="20">
        <v>988.78817699699403</v>
      </c>
      <c r="Q134" s="20">
        <v>479.59833573408702</v>
      </c>
      <c r="R134" s="20">
        <v>791.96156853290995</v>
      </c>
      <c r="S134" s="20">
        <v>2127.4894292214699</v>
      </c>
      <c r="T134" s="20">
        <v>15</v>
      </c>
      <c r="U134" s="20">
        <v>0.1</v>
      </c>
      <c r="V134" s="20">
        <v>1.6176759488792301</v>
      </c>
      <c r="W134" s="20">
        <v>1.79904604092086</v>
      </c>
      <c r="X134" s="20">
        <v>1.9661844965266499</v>
      </c>
      <c r="Y134" s="20">
        <v>2.1242152647388601</v>
      </c>
      <c r="Z134" s="20">
        <v>2.2746755331436299</v>
      </c>
      <c r="AA134" s="20">
        <v>2.4122315724399699</v>
      </c>
      <c r="AB134" s="20">
        <v>2.5558756202805002</v>
      </c>
      <c r="AC134" s="20">
        <v>2.71191247856776</v>
      </c>
      <c r="AD134" s="20">
        <v>2.8823957434149099</v>
      </c>
      <c r="AE134" s="20">
        <v>3.06847456137973</v>
      </c>
      <c r="AF134" t="str">
        <f t="shared" si="9"/>
        <v>Residential</v>
      </c>
      <c r="AG134" t="str">
        <f>tbl_Data_old[[#This Row],[All_Meas_Name_Append]]</f>
        <v>Heat Pump Water Heater 50 Gallons- CEE Advanced Tier</v>
      </c>
      <c r="AH134">
        <f>AVERAGEIFS('3. Incentive Adjustment'!G:G,'3. Incentive Adjustment'!A:A,tbl_Data_old[[#This Row],[Trimmed Sector]],'3. Incentive Adjustment'!B:B,tbl_Data_old[[#This Row],[Trimmed Measure Name]])</f>
        <v>0.46049099596140497</v>
      </c>
      <c r="AI134">
        <f>$AH134*tbl_Data_old[[#This Row],[2025 ]]</f>
        <v>0.74492520884220748</v>
      </c>
      <c r="AJ134">
        <f>$AH134*tbl_Data_old[[#This Row],[2026 ]]</f>
        <v>0.82844450316406937</v>
      </c>
      <c r="AK134">
        <f>$AH134*tbl_Data_old[[#This Row],[2027 ]]</f>
        <v>0.90541025704943068</v>
      </c>
      <c r="AL134">
        <f>$AH134*tbl_Data_old[[#This Row],[2028 ]]</f>
        <v>0.9781820028960172</v>
      </c>
      <c r="AM134">
        <f>$AH134*tbl_Data_old[[#This Row],[2029 ]]</f>
        <v>1.04746760174635</v>
      </c>
      <c r="AN134">
        <f>$AH134*tbl_Data_old[[#This Row],[2030 ]]</f>
        <v>1.1108109192824278</v>
      </c>
      <c r="AO134">
        <f>$AH134*tbl_Data_old[[#This Row],[2031 ]]</f>
        <v>1.1769577099364412</v>
      </c>
      <c r="AP134">
        <f>$AH134*tbl_Data_old[[#This Row],[2032 ]]</f>
        <v>1.24881127821583</v>
      </c>
      <c r="AQ134">
        <f>$AH134*tbl_Data_old[[#This Row],[2033 ]]</f>
        <v>1.3273172866400462</v>
      </c>
      <c r="AR134">
        <f>$AH134*tbl_Data_old[[#This Row],[2034 ]]</f>
        <v>1.4130049068519872</v>
      </c>
      <c r="AS134">
        <f>SUM(tbl_Data_old[[#This Row],[Adjusted 2025]:[Adjusted 2034]])</f>
        <v>10.781331674624806</v>
      </c>
      <c r="AT134" s="3">
        <f>AVERAGEIFS('3. Incentive Adjustment'!F:F,'3. Incentive Adjustment'!A:A,tbl_Data_old[[#This Row],[Trimmed Sector]],'3. Incentive Adjustment'!B:B,tbl_Data_old[[#This Row],[Trimmed Measure Name]])</f>
        <v>500</v>
      </c>
      <c r="AU134" s="3">
        <f>IFERROR(VLOOKUP(tbl_Data_old[[#This Row],[All_Meas_Name_Append]],'IRA Tax Credits'!$A$3:$D$46,4,0),0)</f>
        <v>1666.6666666666667</v>
      </c>
      <c r="AV134" s="4">
        <f>tbl_Data_old[[#This Row],[Adj. per unit Incentive ($)]]/tbl_Data_old[[#This Row],[kWh Savings]]*tbl_Data_old[[#This Row],[Sum of Annuals]]</f>
        <v>3.2413164717381506</v>
      </c>
      <c r="AW134" s="4">
        <f>IFERROR(VLOOKUP(tbl_Data_old[[#This Row],[All_Programs]],'1. Set Program Names'!$B$2:$D$15,3,0)*tbl_Data_old[[#This Row],[Sum of Annuals]],"")</f>
        <v>4.6635899562992922</v>
      </c>
      <c r="AX134" s="4">
        <f>tbl_Data_old[[#This Row],[per unit IRA tax ($)]]/tbl_Data_old[[#This Row],[kWh Savings]]*tbl_Data_old[[#This Row],[Sum of Annuals]]</f>
        <v>10.804388239127169</v>
      </c>
      <c r="AY134" s="4">
        <f>tbl_Data_old[[#This Row],[Avoided Costs ($/unit)]]/tbl_Data_old[[#This Row],[kWh Savings]]*tbl_Data_old[[#This Row],[Sum of Annuals]]</f>
        <v>5.1339961541386065</v>
      </c>
      <c r="AZ134" s="4">
        <f>tbl_Data_old[[#This Row],[Lost Revenue ($/unit)]]/tbl_Data_old[[#This Row],[kWh Savings]]*tbl_Data_old[[#This Row],[Sum of Annuals]]</f>
        <v>13.791733060768692</v>
      </c>
      <c r="BA134" s="4">
        <f>tbl_Data_old[[#This Row],[Incremental Cost ($/unit)]]/tbl_Data_old[[#This Row],[kWh Savings]]*tbl_Data_old[[#This Row],[Sum of Annuals]]</f>
        <v>9.0076184749603208</v>
      </c>
      <c r="BB134">
        <f>ROUNDUP(tbl_Data_old[[#This Row],[Adjusted 2025]]/$L134,0)</f>
        <v>1</v>
      </c>
      <c r="BC134">
        <f>ROUNDUP(tbl_Data_old[[#This Row],[Adjusted 2026]]/$L134,0)</f>
        <v>1</v>
      </c>
      <c r="BD134">
        <f>ROUNDUP(tbl_Data_old[[#This Row],[Adjusted 2027]]/$L134,0)</f>
        <v>1</v>
      </c>
      <c r="BE134">
        <f>ROUNDUP(tbl_Data_old[[#This Row],[Adjusted 2028]]/$L134,0)</f>
        <v>1</v>
      </c>
      <c r="BF134">
        <f>ROUNDUP(tbl_Data_old[[#This Row],[Adjusted 2029]]/$L134,0)</f>
        <v>1</v>
      </c>
      <c r="BG134">
        <f>ROUNDUP(tbl_Data_old[[#This Row],[Adjusted 2030]]/$L134,0)</f>
        <v>1</v>
      </c>
      <c r="BH134">
        <f>ROUNDUP(tbl_Data_old[[#This Row],[Adjusted 2031]]/$L134,0)</f>
        <v>1</v>
      </c>
      <c r="BI134">
        <f>ROUNDUP(tbl_Data_old[[#This Row],[Adjusted 2032]]/$L134,0)</f>
        <v>1</v>
      </c>
      <c r="BJ134">
        <f>ROUNDUP(tbl_Data_old[[#This Row],[Adjusted 2033]]/$L134,0)</f>
        <v>1</v>
      </c>
      <c r="BK134">
        <f>ROUNDUP(tbl_Data_old[[#This Row],[Adjusted 2034]]/$L134,0)</f>
        <v>1</v>
      </c>
      <c r="BL134" s="3">
        <f t="shared" ref="BL134:BU159" si="10">$AT134/$L134*V134</f>
        <v>0.48634063558009993</v>
      </c>
      <c r="BM134" s="3">
        <f t="shared" si="10"/>
        <v>0.54086802464084482</v>
      </c>
      <c r="BN134" s="3">
        <f t="shared" si="10"/>
        <v>0.59111679219253743</v>
      </c>
      <c r="BO134" s="3">
        <f t="shared" si="10"/>
        <v>0.6386274103152747</v>
      </c>
      <c r="BP134" s="3">
        <f t="shared" si="10"/>
        <v>0.68386202149696773</v>
      </c>
      <c r="BQ134" s="3">
        <f t="shared" si="10"/>
        <v>0.72521708499136694</v>
      </c>
      <c r="BR134" s="3">
        <f t="shared" si="10"/>
        <v>0.76840245692723752</v>
      </c>
      <c r="BS134" s="3">
        <f t="shared" si="10"/>
        <v>0.81531362284147668</v>
      </c>
      <c r="BT134" s="3">
        <f t="shared" si="10"/>
        <v>0.86656797909186034</v>
      </c>
      <c r="BU134" s="3">
        <f t="shared" si="10"/>
        <v>0.92251100690265486</v>
      </c>
      <c r="BV134">
        <f>VLOOKUP($H134,'1. Set Program Names'!$B$2:$D$15,3,0)*V134</f>
        <v>0.69974447827222097</v>
      </c>
      <c r="BW134">
        <f>VLOOKUP($H134,'1. Set Program Names'!$B$2:$D$15,3,0)*W134</f>
        <v>0.77819821340859585</v>
      </c>
      <c r="BX134">
        <f>VLOOKUP($H134,'1. Set Program Names'!$B$2:$D$15,3,0)*X134</f>
        <v>0.85049588928003805</v>
      </c>
      <c r="BY134">
        <f>VLOOKUP($H134,'1. Set Program Names'!$B$2:$D$15,3,0)*Y134</f>
        <v>0.91885392942412558</v>
      </c>
      <c r="BZ134">
        <f>VLOOKUP($H134,'1. Set Program Names'!$B$2:$D$15,3,0)*Z134</f>
        <v>0.98393726214508082</v>
      </c>
      <c r="CA134">
        <f>VLOOKUP($H134,'1. Set Program Names'!$B$2:$D$15,3,0)*AA134</f>
        <v>1.0434387210233549</v>
      </c>
      <c r="CB134">
        <f>VLOOKUP($H134,'1. Set Program Names'!$B$2:$D$15,3,0)*AB134</f>
        <v>1.1055736185488581</v>
      </c>
      <c r="CC134">
        <f>VLOOKUP($H134,'1. Set Program Names'!$B$2:$D$15,3,0)*AC134</f>
        <v>1.1730691698483022</v>
      </c>
      <c r="CD134">
        <f>VLOOKUP($H134,'1. Set Program Names'!$B$2:$D$15,3,0)*AD134</f>
        <v>1.2468136817187199</v>
      </c>
      <c r="CE134">
        <f>VLOOKUP($H134,'1. Set Program Names'!$B$2:$D$15,3,0)*AE134</f>
        <v>1.3273042308206684</v>
      </c>
    </row>
    <row r="135" spans="1:83" x14ac:dyDescent="0.25">
      <c r="A135" s="20" t="s">
        <v>116</v>
      </c>
      <c r="B135" s="20" t="s">
        <v>88</v>
      </c>
      <c r="C135" s="20" t="s">
        <v>89</v>
      </c>
      <c r="D135" s="20" t="s">
        <v>90</v>
      </c>
      <c r="E135" s="20" t="s">
        <v>91</v>
      </c>
      <c r="F135" s="20" t="s">
        <v>90</v>
      </c>
      <c r="G135" s="20" t="s">
        <v>92</v>
      </c>
      <c r="H135" s="20" t="s">
        <v>7</v>
      </c>
      <c r="I135" s="20" t="s">
        <v>109</v>
      </c>
      <c r="J135" s="20" t="s">
        <v>94</v>
      </c>
      <c r="K135" s="20" t="s">
        <v>95</v>
      </c>
      <c r="L135" s="20">
        <v>1590.11499999999</v>
      </c>
      <c r="M135" s="20">
        <v>6.3722388822036402E-2</v>
      </c>
      <c r="N135" s="20">
        <v>0.29557957027655002</v>
      </c>
      <c r="O135" s="20">
        <v>1389.5</v>
      </c>
      <c r="P135" s="20">
        <v>1006.47372867305</v>
      </c>
      <c r="Q135" s="20">
        <v>458.54844696129999</v>
      </c>
      <c r="R135" s="20">
        <v>757.20185047754296</v>
      </c>
      <c r="S135" s="20">
        <v>2034.1125083407001</v>
      </c>
      <c r="T135" s="20">
        <v>15</v>
      </c>
      <c r="U135" s="20">
        <v>0.1</v>
      </c>
      <c r="V135" s="20">
        <v>2.3117767539491498</v>
      </c>
      <c r="W135" s="20">
        <v>2.5699137062689399</v>
      </c>
      <c r="X135" s="20">
        <v>2.80763394294069</v>
      </c>
      <c r="Y135" s="20">
        <v>3.03229500901287</v>
      </c>
      <c r="Z135" s="20">
        <v>3.24611960271544</v>
      </c>
      <c r="AA135" s="20">
        <v>3.4415200085166799</v>
      </c>
      <c r="AB135" s="20">
        <v>3.6456088969448701</v>
      </c>
      <c r="AC135" s="20">
        <v>3.8673784618822702</v>
      </c>
      <c r="AD135" s="20">
        <v>4.1097526100287096</v>
      </c>
      <c r="AE135" s="20">
        <v>4.3743648558255002</v>
      </c>
      <c r="AF135" t="str">
        <f t="shared" si="9"/>
        <v>Residential</v>
      </c>
      <c r="AG135" t="str">
        <f>tbl_Data_old[[#This Row],[All_Meas_Name_Append]]</f>
        <v>Heat Pump Water Heater 50 Gallons-ENERGY STAR</v>
      </c>
      <c r="AH135">
        <f>AVERAGEIFS('3. Incentive Adjustment'!G:G,'3. Incentive Adjustment'!A:A,tbl_Data_old[[#This Row],[Trimmed Sector]],'3. Incentive Adjustment'!B:B,tbl_Data_old[[#This Row],[Trimmed Measure Name]])</f>
        <v>0.43153525594917136</v>
      </c>
      <c r="AI135">
        <f>$AH135*tbl_Data_old[[#This Row],[2025 ]]</f>
        <v>0.99761317321279086</v>
      </c>
      <c r="AJ135">
        <f>$AH135*tbl_Data_old[[#This Row],[2026 ]]</f>
        <v>1.1090083690020505</v>
      </c>
      <c r="AK135">
        <f>$AH135*tbl_Data_old[[#This Row],[2027 ]]</f>
        <v>1.2115930321784918</v>
      </c>
      <c r="AL135">
        <f>$AH135*tbl_Data_old[[#This Row],[2028 ]]</f>
        <v>1.3085422028277638</v>
      </c>
      <c r="AM135">
        <f>$AH135*tbl_Data_old[[#This Row],[2029 ]]</f>
        <v>1.4008150535994299</v>
      </c>
      <c r="AN135">
        <f>$AH135*tbl_Data_old[[#This Row],[2030 ]]</f>
        <v>1.48513721772944</v>
      </c>
      <c r="AO135">
        <f>$AH135*tbl_Data_old[[#This Row],[2031 ]]</f>
        <v>1.5732087684336808</v>
      </c>
      <c r="AP135">
        <f>$AH135*tbl_Data_old[[#This Row],[2032 ]]</f>
        <v>1.6689101544006781</v>
      </c>
      <c r="AQ135">
        <f>$AH135*tbl_Data_old[[#This Row],[2033 ]]</f>
        <v>1.7735031444565141</v>
      </c>
      <c r="AR135">
        <f>$AH135*tbl_Data_old[[#This Row],[2034 ]]</f>
        <v>1.8876926576737172</v>
      </c>
      <c r="AS135">
        <f>SUM(tbl_Data_old[[#This Row],[Adjusted 2025]:[Adjusted 2034]])</f>
        <v>14.416023773514556</v>
      </c>
      <c r="AT135" s="3">
        <f>AVERAGEIFS('3. Incentive Adjustment'!F:F,'3. Incentive Adjustment'!A:A,tbl_Data_old[[#This Row],[Trimmed Sector]],'3. Incentive Adjustment'!B:B,tbl_Data_old[[#This Row],[Trimmed Measure Name]])</f>
        <v>500</v>
      </c>
      <c r="AU135" s="3">
        <f>IFERROR(VLOOKUP(tbl_Data_old[[#This Row],[All_Meas_Name_Append]],'IRA Tax Credits'!$A$3:$D$46,4,0),0)</f>
        <v>1666.6666666666667</v>
      </c>
      <c r="AV135" s="4">
        <f>tbl_Data_old[[#This Row],[Adj. per unit Incentive ($)]]/tbl_Data_old[[#This Row],[kWh Savings]]*tbl_Data_old[[#This Row],[Sum of Annuals]]</f>
        <v>4.533012949854144</v>
      </c>
      <c r="AW135" s="4">
        <f>IFERROR(VLOOKUP(tbl_Data_old[[#This Row],[All_Programs]],'1. Set Program Names'!$B$2:$D$15,3,0)*tbl_Data_old[[#This Row],[Sum of Annuals]],"")</f>
        <v>6.2358181446332281</v>
      </c>
      <c r="AX135" s="4">
        <f>tbl_Data_old[[#This Row],[per unit IRA tax ($)]]/tbl_Data_old[[#This Row],[kWh Savings]]*tbl_Data_old[[#This Row],[Sum of Annuals]]</f>
        <v>15.110043166180482</v>
      </c>
      <c r="AY135" s="4">
        <f>tbl_Data_old[[#This Row],[Avoided Costs ($/unit)]]/tbl_Data_old[[#This Row],[kWh Savings]]*tbl_Data_old[[#This Row],[Sum of Annuals]]</f>
        <v>6.8648115877364484</v>
      </c>
      <c r="AZ135" s="4">
        <f>tbl_Data_old[[#This Row],[Lost Revenue ($/unit)]]/tbl_Data_old[[#This Row],[kWh Savings]]*tbl_Data_old[[#This Row],[Sum of Annuals]]</f>
        <v>18.441316683537384</v>
      </c>
      <c r="BA135" s="4">
        <f>tbl_Data_old[[#This Row],[Incremental Cost ($/unit)]]/tbl_Data_old[[#This Row],[kWh Savings]]*tbl_Data_old[[#This Row],[Sum of Annuals]]</f>
        <v>12.597242987644668</v>
      </c>
      <c r="BB135">
        <f>ROUNDUP(tbl_Data_old[[#This Row],[Adjusted 2025]]/$L135,0)</f>
        <v>1</v>
      </c>
      <c r="BC135">
        <f>ROUNDUP(tbl_Data_old[[#This Row],[Adjusted 2026]]/$L135,0)</f>
        <v>1</v>
      </c>
      <c r="BD135">
        <f>ROUNDUP(tbl_Data_old[[#This Row],[Adjusted 2027]]/$L135,0)</f>
        <v>1</v>
      </c>
      <c r="BE135">
        <f>ROUNDUP(tbl_Data_old[[#This Row],[Adjusted 2028]]/$L135,0)</f>
        <v>1</v>
      </c>
      <c r="BF135">
        <f>ROUNDUP(tbl_Data_old[[#This Row],[Adjusted 2029]]/$L135,0)</f>
        <v>1</v>
      </c>
      <c r="BG135">
        <f>ROUNDUP(tbl_Data_old[[#This Row],[Adjusted 2030]]/$L135,0)</f>
        <v>1</v>
      </c>
      <c r="BH135">
        <f>ROUNDUP(tbl_Data_old[[#This Row],[Adjusted 2031]]/$L135,0)</f>
        <v>1</v>
      </c>
      <c r="BI135">
        <f>ROUNDUP(tbl_Data_old[[#This Row],[Adjusted 2032]]/$L135,0)</f>
        <v>1</v>
      </c>
      <c r="BJ135">
        <f>ROUNDUP(tbl_Data_old[[#This Row],[Adjusted 2033]]/$L135,0)</f>
        <v>1</v>
      </c>
      <c r="BK135">
        <f>ROUNDUP(tbl_Data_old[[#This Row],[Adjusted 2034]]/$L135,0)</f>
        <v>1</v>
      </c>
      <c r="BL135" s="3">
        <f t="shared" si="10"/>
        <v>0.72692124593163521</v>
      </c>
      <c r="BM135" s="3">
        <f t="shared" si="10"/>
        <v>0.80809051743708971</v>
      </c>
      <c r="BN135" s="3">
        <f t="shared" si="10"/>
        <v>0.88283990244124089</v>
      </c>
      <c r="BO135" s="3">
        <f t="shared" si="10"/>
        <v>0.95348292702505444</v>
      </c>
      <c r="BP135" s="3">
        <f t="shared" si="10"/>
        <v>1.0207185023458869</v>
      </c>
      <c r="BQ135" s="3">
        <f t="shared" si="10"/>
        <v>1.0821607269023628</v>
      </c>
      <c r="BR135" s="3">
        <f t="shared" si="10"/>
        <v>1.1463349811003898</v>
      </c>
      <c r="BS135" s="3">
        <f t="shared" si="10"/>
        <v>1.2160687943583621</v>
      </c>
      <c r="BT135" s="3">
        <f t="shared" si="10"/>
        <v>1.2922815676943917</v>
      </c>
      <c r="BU135" s="3">
        <f t="shared" si="10"/>
        <v>1.3754869477445113</v>
      </c>
      <c r="BV135">
        <f>VLOOKUP($H135,'1. Set Program Names'!$B$2:$D$15,3,0)*V135</f>
        <v>0.99998582515537215</v>
      </c>
      <c r="BW135">
        <f>VLOOKUP($H135,'1. Set Program Names'!$B$2:$D$15,3,0)*W135</f>
        <v>1.1116459553247908</v>
      </c>
      <c r="BX135">
        <f>VLOOKUP($H135,'1. Set Program Names'!$B$2:$D$15,3,0)*X135</f>
        <v>1.2144745985396881</v>
      </c>
      <c r="BY135">
        <f>VLOOKUP($H135,'1. Set Program Names'!$B$2:$D$15,3,0)*Y135</f>
        <v>1.3116543461743577</v>
      </c>
      <c r="BZ135">
        <f>VLOOKUP($H135,'1. Set Program Names'!$B$2:$D$15,3,0)*Z135</f>
        <v>1.4041466521061094</v>
      </c>
      <c r="CA135">
        <f>VLOOKUP($H135,'1. Set Program Names'!$B$2:$D$15,3,0)*AA135</f>
        <v>1.4886693620507676</v>
      </c>
      <c r="CB135">
        <f>VLOOKUP($H135,'1. Set Program Names'!$B$2:$D$15,3,0)*AB135</f>
        <v>1.5769503758429826</v>
      </c>
      <c r="CC135">
        <f>VLOOKUP($H135,'1. Set Program Names'!$B$2:$D$15,3,0)*AC135</f>
        <v>1.67287937115338</v>
      </c>
      <c r="CD135">
        <f>VLOOKUP($H135,'1. Set Program Names'!$B$2:$D$15,3,0)*AD135</f>
        <v>1.7777211177089294</v>
      </c>
      <c r="CE135">
        <f>VLOOKUP($H135,'1. Set Program Names'!$B$2:$D$15,3,0)*AE135</f>
        <v>1.8921822111113507</v>
      </c>
    </row>
    <row r="136" spans="1:83" x14ac:dyDescent="0.25">
      <c r="A136" s="20" t="s">
        <v>116</v>
      </c>
      <c r="B136" s="20" t="s">
        <v>88</v>
      </c>
      <c r="C136" s="20" t="s">
        <v>89</v>
      </c>
      <c r="D136" s="20" t="s">
        <v>90</v>
      </c>
      <c r="E136" s="20" t="s">
        <v>91</v>
      </c>
      <c r="F136" s="20" t="s">
        <v>90</v>
      </c>
      <c r="G136" s="20" t="s">
        <v>92</v>
      </c>
      <c r="H136" s="20" t="s">
        <v>7</v>
      </c>
      <c r="I136" s="20" t="s">
        <v>110</v>
      </c>
      <c r="J136" s="20" t="s">
        <v>94</v>
      </c>
      <c r="K136" s="20" t="s">
        <v>108</v>
      </c>
      <c r="L136" s="20">
        <v>461.909999999999</v>
      </c>
      <c r="M136" s="20">
        <v>1.8510616289253799E-2</v>
      </c>
      <c r="N136" s="20">
        <v>8.5862443475120898E-2</v>
      </c>
      <c r="O136" s="20">
        <v>1729.5</v>
      </c>
      <c r="P136" s="20">
        <v>1631.9996867488601</v>
      </c>
      <c r="Q136" s="20">
        <v>133.20301559063</v>
      </c>
      <c r="R136" s="20">
        <v>219.958372038552</v>
      </c>
      <c r="S136" s="20">
        <v>590.88613636602201</v>
      </c>
      <c r="T136" s="20">
        <v>15</v>
      </c>
      <c r="U136" s="20">
        <v>0.1</v>
      </c>
      <c r="V136" s="20">
        <v>1.2435592754959801</v>
      </c>
      <c r="W136" s="20">
        <v>1.3832289895110901</v>
      </c>
      <c r="X136" s="20">
        <v>1.51197470798071</v>
      </c>
      <c r="Y136" s="20">
        <v>1.6337269788025499</v>
      </c>
      <c r="Z136" s="20">
        <v>1.7496613282939399</v>
      </c>
      <c r="AA136" s="20">
        <v>1.85566954309453</v>
      </c>
      <c r="AB136" s="20">
        <v>1.96635809541465</v>
      </c>
      <c r="AC136" s="20">
        <v>2.0865776904528301</v>
      </c>
      <c r="AD136" s="20">
        <v>2.2179093722833598</v>
      </c>
      <c r="AE136" s="20">
        <v>2.36123840742788</v>
      </c>
      <c r="AF136" t="str">
        <f t="shared" si="9"/>
        <v>Residential</v>
      </c>
      <c r="AG136" t="str">
        <f>tbl_Data_old[[#This Row],[All_Meas_Name_Append]]</f>
        <v>Heat Pump Water Heater 80 Gallons-ENERGY STAR</v>
      </c>
      <c r="AH136">
        <f>AVERAGEIFS('3. Incentive Adjustment'!G:G,'3. Incentive Adjustment'!A:A,tbl_Data_old[[#This Row],[Trimmed Sector]],'3. Incentive Adjustment'!B:B,tbl_Data_old[[#This Row],[Trimmed Measure Name]])</f>
        <v>1.5551101216712928E-3</v>
      </c>
      <c r="AI136">
        <f>$AH136*tbl_Data_old[[#This Row],[2025 ]]</f>
        <v>1.9338716162220183E-3</v>
      </c>
      <c r="AJ136">
        <f>$AH136*tbl_Data_old[[#This Row],[2026 ]]</f>
        <v>2.1510734021778508E-3</v>
      </c>
      <c r="AK136">
        <f>$AH136*tbl_Data_old[[#This Row],[2027 ]]</f>
        <v>2.3512871720917992E-3</v>
      </c>
      <c r="AL136">
        <f>$AH136*tbl_Data_old[[#This Row],[2028 ]]</f>
        <v>2.5406253607833068E-3</v>
      </c>
      <c r="AM136">
        <f>$AH136*tbl_Data_old[[#This Row],[2029 ]]</f>
        <v>2.7209160411267447E-3</v>
      </c>
      <c r="AN136">
        <f>$AH136*tbl_Data_old[[#This Row],[2030 ]]</f>
        <v>2.8857704889434471E-3</v>
      </c>
      <c r="AO136">
        <f>$AH136*tbl_Data_old[[#This Row],[2031 ]]</f>
        <v>3.0579033770096078E-3</v>
      </c>
      <c r="AP136">
        <f>$AH136*tbl_Data_old[[#This Row],[2032 ]]</f>
        <v>3.2448580860767059E-3</v>
      </c>
      <c r="AQ136">
        <f>$AH136*tbl_Data_old[[#This Row],[2033 ]]</f>
        <v>3.4490933137874763E-3</v>
      </c>
      <c r="AR136">
        <f>$AH136*tbl_Data_old[[#This Row],[2034 ]]</f>
        <v>3.6719857470701002E-3</v>
      </c>
      <c r="AS136">
        <f>SUM(tbl_Data_old[[#This Row],[Adjusted 2025]:[Adjusted 2034]])</f>
        <v>2.8007384605289055E-2</v>
      </c>
      <c r="AT136" s="3">
        <f>AVERAGEIFS('3. Incentive Adjustment'!F:F,'3. Incentive Adjustment'!A:A,tbl_Data_old[[#This Row],[Trimmed Sector]],'3. Incentive Adjustment'!B:B,tbl_Data_old[[#This Row],[Trimmed Measure Name]])</f>
        <v>500</v>
      </c>
      <c r="AU136" s="3">
        <f>IFERROR(VLOOKUP(tbl_Data_old[[#This Row],[All_Meas_Name_Append]],'IRA Tax Credits'!$A$3:$D$46,4,0),0)</f>
        <v>1666.6666666666667</v>
      </c>
      <c r="AV136" s="4">
        <f>tbl_Data_old[[#This Row],[Adj. per unit Incentive ($)]]/tbl_Data_old[[#This Row],[kWh Savings]]*tbl_Data_old[[#This Row],[Sum of Annuals]]</f>
        <v>3.0316928195199409E-2</v>
      </c>
      <c r="AW136" s="4">
        <f>IFERROR(VLOOKUP(tbl_Data_old[[#This Row],[All_Programs]],'1. Set Program Names'!$B$2:$D$15,3,0)*tbl_Data_old[[#This Row],[Sum of Annuals]],"")</f>
        <v>1.2114918777135471E-2</v>
      </c>
      <c r="AX136" s="4">
        <f>tbl_Data_old[[#This Row],[per unit IRA tax ($)]]/tbl_Data_old[[#This Row],[kWh Savings]]*tbl_Data_old[[#This Row],[Sum of Annuals]]</f>
        <v>0.10105642731733136</v>
      </c>
      <c r="AY136" s="4">
        <f>tbl_Data_old[[#This Row],[Avoided Costs ($/unit)]]/tbl_Data_old[[#This Row],[kWh Savings]]*tbl_Data_old[[#This Row],[Sum of Annuals]]</f>
        <v>1.3336924342051476E-2</v>
      </c>
      <c r="AZ136" s="4">
        <f>tbl_Data_old[[#This Row],[Lost Revenue ($/unit)]]/tbl_Data_old[[#This Row],[kWh Savings]]*tbl_Data_old[[#This Row],[Sum of Annuals]]</f>
        <v>3.5827705135494985E-2</v>
      </c>
      <c r="BA136" s="4">
        <f>tbl_Data_old[[#This Row],[Incremental Cost ($/unit)]]/tbl_Data_old[[#This Row],[kWh Savings]]*tbl_Data_old[[#This Row],[Sum of Annuals]]</f>
        <v>0.10486625462719475</v>
      </c>
      <c r="BB136">
        <f>ROUNDUP(tbl_Data_old[[#This Row],[Adjusted 2025]]/$L136,0)</f>
        <v>1</v>
      </c>
      <c r="BC136">
        <f>ROUNDUP(tbl_Data_old[[#This Row],[Adjusted 2026]]/$L136,0)</f>
        <v>1</v>
      </c>
      <c r="BD136">
        <f>ROUNDUP(tbl_Data_old[[#This Row],[Adjusted 2027]]/$L136,0)</f>
        <v>1</v>
      </c>
      <c r="BE136">
        <f>ROUNDUP(tbl_Data_old[[#This Row],[Adjusted 2028]]/$L136,0)</f>
        <v>1</v>
      </c>
      <c r="BF136">
        <f>ROUNDUP(tbl_Data_old[[#This Row],[Adjusted 2029]]/$L136,0)</f>
        <v>1</v>
      </c>
      <c r="BG136">
        <f>ROUNDUP(tbl_Data_old[[#This Row],[Adjusted 2030]]/$L136,0)</f>
        <v>1</v>
      </c>
      <c r="BH136">
        <f>ROUNDUP(tbl_Data_old[[#This Row],[Adjusted 2031]]/$L136,0)</f>
        <v>1</v>
      </c>
      <c r="BI136">
        <f>ROUNDUP(tbl_Data_old[[#This Row],[Adjusted 2032]]/$L136,0)</f>
        <v>1</v>
      </c>
      <c r="BJ136">
        <f>ROUNDUP(tbl_Data_old[[#This Row],[Adjusted 2033]]/$L136,0)</f>
        <v>1</v>
      </c>
      <c r="BK136">
        <f>ROUNDUP(tbl_Data_old[[#This Row],[Adjusted 2034]]/$L136,0)</f>
        <v>1</v>
      </c>
      <c r="BL136" s="3">
        <f t="shared" si="10"/>
        <v>1.3461056001125575</v>
      </c>
      <c r="BM136" s="3">
        <f t="shared" si="10"/>
        <v>1.4972927513055501</v>
      </c>
      <c r="BN136" s="3">
        <f t="shared" si="10"/>
        <v>1.6366550929626047</v>
      </c>
      <c r="BO136" s="3">
        <f t="shared" si="10"/>
        <v>1.7684472936313931</v>
      </c>
      <c r="BP136" s="3">
        <f t="shared" si="10"/>
        <v>1.8939418158233681</v>
      </c>
      <c r="BQ136" s="3">
        <f t="shared" si="10"/>
        <v>2.0086916748874608</v>
      </c>
      <c r="BR136" s="3">
        <f t="shared" si="10"/>
        <v>2.1285078212364468</v>
      </c>
      <c r="BS136" s="3">
        <f t="shared" si="10"/>
        <v>2.2586409586854961</v>
      </c>
      <c r="BT136" s="3">
        <f t="shared" si="10"/>
        <v>2.4008025072886112</v>
      </c>
      <c r="BU136" s="3">
        <f t="shared" si="10"/>
        <v>2.5559507343723729</v>
      </c>
      <c r="BV136">
        <f>VLOOKUP($H136,'1. Set Program Names'!$B$2:$D$15,3,0)*V136</f>
        <v>0.53791597571528205</v>
      </c>
      <c r="BW136">
        <f>VLOOKUP($H136,'1. Set Program Names'!$B$2:$D$15,3,0)*W136</f>
        <v>0.59833172908767129</v>
      </c>
      <c r="BX136">
        <f>VLOOKUP($H136,'1. Set Program Names'!$B$2:$D$15,3,0)*X136</f>
        <v>0.6540221815931454</v>
      </c>
      <c r="BY136">
        <f>VLOOKUP($H136,'1. Set Program Names'!$B$2:$D$15,3,0)*Y136</f>
        <v>0.70668753727436961</v>
      </c>
      <c r="BZ136">
        <f>VLOOKUP($H136,'1. Set Program Names'!$B$2:$D$15,3,0)*Z136</f>
        <v>0.75683628366259847</v>
      </c>
      <c r="CA136">
        <f>VLOOKUP($H136,'1. Set Program Names'!$B$2:$D$15,3,0)*AA136</f>
        <v>0.80269136546040942</v>
      </c>
      <c r="CB136">
        <f>VLOOKUP($H136,'1. Set Program Names'!$B$2:$D$15,3,0)*AB136</f>
        <v>0.85057098149080901</v>
      </c>
      <c r="CC136">
        <f>VLOOKUP($H136,'1. Set Program Names'!$B$2:$D$15,3,0)*AC136</f>
        <v>0.90257336050025871</v>
      </c>
      <c r="CD136">
        <f>VLOOKUP($H136,'1. Set Program Names'!$B$2:$D$15,3,0)*AD136</f>
        <v>0.9593824014251654</v>
      </c>
      <c r="CE136">
        <f>VLOOKUP($H136,'1. Set Program Names'!$B$2:$D$15,3,0)*AE136</f>
        <v>1.0213810365584559</v>
      </c>
    </row>
    <row r="137" spans="1:83" x14ac:dyDescent="0.25">
      <c r="A137" s="20" t="s">
        <v>116</v>
      </c>
      <c r="B137" s="20" t="s">
        <v>88</v>
      </c>
      <c r="C137" s="20" t="s">
        <v>89</v>
      </c>
      <c r="D137" s="20" t="s">
        <v>90</v>
      </c>
      <c r="E137" s="20" t="s">
        <v>91</v>
      </c>
      <c r="F137" s="20" t="s">
        <v>90</v>
      </c>
      <c r="G137" s="20" t="s">
        <v>92</v>
      </c>
      <c r="H137" s="20" t="s">
        <v>7</v>
      </c>
      <c r="I137" s="20" t="s">
        <v>299</v>
      </c>
      <c r="J137" s="20" t="s">
        <v>97</v>
      </c>
      <c r="K137" s="20" t="s">
        <v>102</v>
      </c>
      <c r="L137" s="20">
        <v>408.28</v>
      </c>
      <c r="M137" s="20">
        <v>0.16567198429270899</v>
      </c>
      <c r="N137" s="20">
        <v>2.3547919008134799E-2</v>
      </c>
      <c r="O137" s="53">
        <v>128.60999999999999</v>
      </c>
      <c r="P137" s="20">
        <v>29.691921599999901</v>
      </c>
      <c r="Q137" s="20">
        <v>117.737496926549</v>
      </c>
      <c r="R137" s="20">
        <v>238.630335182902</v>
      </c>
      <c r="S137" s="20">
        <v>423.90838942107399</v>
      </c>
      <c r="T137" s="20">
        <v>11</v>
      </c>
      <c r="U137" s="20">
        <v>9.9999999999999895E-2</v>
      </c>
      <c r="V137" s="20">
        <v>0.103362332387822</v>
      </c>
      <c r="W137" s="20">
        <v>8.5659071342075593E-2</v>
      </c>
      <c r="X137" s="20">
        <v>7.09583800409785E-2</v>
      </c>
      <c r="Y137" s="20">
        <v>5.9006612155304797E-2</v>
      </c>
      <c r="Z137" s="20">
        <v>4.9385005773431898E-2</v>
      </c>
      <c r="AA137" s="20">
        <v>4.1526615269047697E-2</v>
      </c>
      <c r="AB137" s="20">
        <v>3.5414618952117199E-2</v>
      </c>
      <c r="AC137" s="20">
        <v>3.0667132375198101E-2</v>
      </c>
      <c r="AD137" s="20">
        <v>2.69911226982524E-2</v>
      </c>
      <c r="AE137" s="20">
        <v>2.4140626655880199E-2</v>
      </c>
      <c r="AF137" t="str">
        <f t="shared" si="9"/>
        <v>Residential</v>
      </c>
      <c r="AG137" t="str">
        <f>tbl_Data_old[[#This Row],[All_Meas_Name_Append]]</f>
        <v>Smart Thermostat Residential</v>
      </c>
      <c r="AH137">
        <f>AVERAGEIFS('3. Incentive Adjustment'!G:G,'3. Incentive Adjustment'!A:A,tbl_Data_old[[#This Row],[Trimmed Sector]],'3. Incentive Adjustment'!B:B,tbl_Data_old[[#This Row],[Trimmed Measure Name]])</f>
        <v>1.1402432304340044</v>
      </c>
      <c r="AI137">
        <f>$AH137*tbl_Data_old[[#This Row],[2025 ]]</f>
        <v>0.11785819978708348</v>
      </c>
      <c r="AJ137">
        <f>$AH137*tbl_Data_old[[#This Row],[2026 ]]</f>
        <v>9.7672176223065121E-2</v>
      </c>
      <c r="AK137">
        <f>$AH137*tbl_Data_old[[#This Row],[2027 ]]</f>
        <v>8.0909812484289106E-2</v>
      </c>
      <c r="AL137">
        <f>$AH137*tbl_Data_old[[#This Row],[2028 ]]</f>
        <v>6.7281890060931132E-2</v>
      </c>
      <c r="AM137">
        <f>$AH137*tbl_Data_old[[#This Row],[2029 ]]</f>
        <v>5.6310918518099946E-2</v>
      </c>
      <c r="AN137">
        <f>$AH137*tbl_Data_old[[#This Row],[2030 ]]</f>
        <v>4.7350441943369001E-2</v>
      </c>
      <c r="AO137">
        <f>$AH137*tbl_Data_old[[#This Row],[2031 ]]</f>
        <v>4.038127951855143E-2</v>
      </c>
      <c r="AP137">
        <f>$AH137*tbl_Data_old[[#This Row],[2032 ]]</f>
        <v>3.4967990087643126E-2</v>
      </c>
      <c r="AQ137">
        <f>$AH137*tbl_Data_old[[#This Row],[2033 ]]</f>
        <v>3.0776444938495899E-2</v>
      </c>
      <c r="AR137">
        <f>$AH137*tbl_Data_old[[#This Row],[2034 ]]</f>
        <v>2.7526186122802075E-2</v>
      </c>
      <c r="AS137">
        <f>SUM(tbl_Data_old[[#This Row],[Adjusted 2025]:[Adjusted 2034]])</f>
        <v>0.60103533968433043</v>
      </c>
      <c r="AT137" s="3">
        <f>AVERAGEIFS('3. Incentive Adjustment'!F:F,'3. Incentive Adjustment'!A:A,tbl_Data_old[[#This Row],[Trimmed Sector]],'3. Incentive Adjustment'!B:B,tbl_Data_old[[#This Row],[Trimmed Measure Name]])</f>
        <v>50</v>
      </c>
      <c r="AU137" s="3">
        <f>IFERROR(VLOOKUP(tbl_Data_old[[#This Row],[All_Meas_Name_Append]],'IRA Tax Credits'!$A$3:$D$46,4,0),0)</f>
        <v>0</v>
      </c>
      <c r="AV137" s="4">
        <f>tbl_Data_old[[#This Row],[Adj. per unit Incentive ($)]]/tbl_Data_old[[#This Row],[kWh Savings]]*tbl_Data_old[[#This Row],[Sum of Annuals]]</f>
        <v>7.3605777858862853E-2</v>
      </c>
      <c r="AW137" s="4">
        <f>IFERROR(VLOOKUP(tbl_Data_old[[#This Row],[All_Programs]],'1. Set Program Names'!$B$2:$D$15,3,0)*tbl_Data_old[[#This Row],[Sum of Annuals]],"")</f>
        <v>0.25998480133302476</v>
      </c>
      <c r="AX137" s="4">
        <f>tbl_Data_old[[#This Row],[per unit IRA tax ($)]]/tbl_Data_old[[#This Row],[kWh Savings]]*tbl_Data_old[[#This Row],[Sum of Annuals]]</f>
        <v>0</v>
      </c>
      <c r="AY137" s="4">
        <f>tbl_Data_old[[#This Row],[Avoided Costs ($/unit)]]/tbl_Data_old[[#This Row],[kWh Savings]]*tbl_Data_old[[#This Row],[Sum of Annuals]]</f>
        <v>0.35129142883717335</v>
      </c>
      <c r="AZ137" s="4">
        <f>tbl_Data_old[[#This Row],[Lost Revenue ($/unit)]]/tbl_Data_old[[#This Row],[kWh Savings]]*tbl_Data_old[[#This Row],[Sum of Annuals]]</f>
        <v>0.62404213488471805</v>
      </c>
      <c r="BA137" s="4">
        <f>tbl_Data_old[[#This Row],[Incremental Cost ($/unit)]]/tbl_Data_old[[#This Row],[kWh Savings]]*tbl_Data_old[[#This Row],[Sum of Annuals]]</f>
        <v>0.18932878180856702</v>
      </c>
      <c r="BB137">
        <f>ROUNDUP(tbl_Data_old[[#This Row],[Adjusted 2025]]/$L137,0)</f>
        <v>1</v>
      </c>
      <c r="BC137">
        <f>ROUNDUP(tbl_Data_old[[#This Row],[Adjusted 2026]]/$L137,0)</f>
        <v>1</v>
      </c>
      <c r="BD137">
        <f>ROUNDUP(tbl_Data_old[[#This Row],[Adjusted 2027]]/$L137,0)</f>
        <v>1</v>
      </c>
      <c r="BE137">
        <f>ROUNDUP(tbl_Data_old[[#This Row],[Adjusted 2028]]/$L137,0)</f>
        <v>1</v>
      </c>
      <c r="BF137">
        <f>ROUNDUP(tbl_Data_old[[#This Row],[Adjusted 2029]]/$L137,0)</f>
        <v>1</v>
      </c>
      <c r="BG137">
        <f>ROUNDUP(tbl_Data_old[[#This Row],[Adjusted 2030]]/$L137,0)</f>
        <v>1</v>
      </c>
      <c r="BH137">
        <f>ROUNDUP(tbl_Data_old[[#This Row],[Adjusted 2031]]/$L137,0)</f>
        <v>1</v>
      </c>
      <c r="BI137">
        <f>ROUNDUP(tbl_Data_old[[#This Row],[Adjusted 2032]]/$L137,0)</f>
        <v>1</v>
      </c>
      <c r="BJ137">
        <f>ROUNDUP(tbl_Data_old[[#This Row],[Adjusted 2033]]/$L137,0)</f>
        <v>1</v>
      </c>
      <c r="BK137">
        <f>ROUNDUP(tbl_Data_old[[#This Row],[Adjusted 2034]]/$L137,0)</f>
        <v>1</v>
      </c>
      <c r="BL137" s="3">
        <f t="shared" si="10"/>
        <v>1.2658265453588469E-2</v>
      </c>
      <c r="BM137" s="3">
        <f t="shared" si="10"/>
        <v>1.0490236031899138E-2</v>
      </c>
      <c r="BN137" s="3">
        <f t="shared" si="10"/>
        <v>8.6899162389755206E-3</v>
      </c>
      <c r="BO137" s="3">
        <f t="shared" si="10"/>
        <v>7.2262432834457732E-3</v>
      </c>
      <c r="BP137" s="3">
        <f t="shared" si="10"/>
        <v>6.0479334982649043E-3</v>
      </c>
      <c r="BQ137" s="3">
        <f t="shared" si="10"/>
        <v>5.0855559014705226E-3</v>
      </c>
      <c r="BR137" s="3">
        <f t="shared" si="10"/>
        <v>4.3370504252127464E-3</v>
      </c>
      <c r="BS137" s="3">
        <f t="shared" si="10"/>
        <v>3.7556496001761174E-3</v>
      </c>
      <c r="BT137" s="3">
        <f t="shared" si="10"/>
        <v>3.3054671669261785E-3</v>
      </c>
      <c r="BU137" s="3">
        <f t="shared" si="10"/>
        <v>2.9563812403105958E-3</v>
      </c>
      <c r="BV137">
        <f>VLOOKUP($H137,'1. Set Program Names'!$B$2:$D$15,3,0)*V137</f>
        <v>4.4710574698119648E-2</v>
      </c>
      <c r="BW137">
        <f>VLOOKUP($H137,'1. Set Program Names'!$B$2:$D$15,3,0)*W137</f>
        <v>3.7052823976935143E-2</v>
      </c>
      <c r="BX137">
        <f>VLOOKUP($H137,'1. Set Program Names'!$B$2:$D$15,3,0)*X137</f>
        <v>3.0693869594350616E-2</v>
      </c>
      <c r="BY137">
        <f>VLOOKUP($H137,'1. Set Program Names'!$B$2:$D$15,3,0)*Y137</f>
        <v>2.5523993891255894E-2</v>
      </c>
      <c r="BZ137">
        <f>VLOOKUP($H137,'1. Set Program Names'!$B$2:$D$15,3,0)*Z137</f>
        <v>2.1362056549918219E-2</v>
      </c>
      <c r="CA137">
        <f>VLOOKUP($H137,'1. Set Program Names'!$B$2:$D$15,3,0)*AA137</f>
        <v>1.7962818669575456E-2</v>
      </c>
      <c r="CB137">
        <f>VLOOKUP($H137,'1. Set Program Names'!$B$2:$D$15,3,0)*AB137</f>
        <v>1.5319003833263293E-2</v>
      </c>
      <c r="CC137">
        <f>VLOOKUP($H137,'1. Set Program Names'!$B$2:$D$15,3,0)*AC137</f>
        <v>1.3265423497737986E-2</v>
      </c>
      <c r="CD137">
        <f>VLOOKUP($H137,'1. Set Program Names'!$B$2:$D$15,3,0)*AD137</f>
        <v>1.1675322912203447E-2</v>
      </c>
      <c r="CE137">
        <f>VLOOKUP($H137,'1. Set Program Names'!$B$2:$D$15,3,0)*AE137</f>
        <v>1.0442307815843332E-2</v>
      </c>
    </row>
    <row r="138" spans="1:83" x14ac:dyDescent="0.25">
      <c r="A138" s="20" t="s">
        <v>116</v>
      </c>
      <c r="B138" s="20" t="s">
        <v>88</v>
      </c>
      <c r="C138" s="20" t="s">
        <v>89</v>
      </c>
      <c r="D138" s="20" t="s">
        <v>90</v>
      </c>
      <c r="E138" s="20" t="s">
        <v>91</v>
      </c>
      <c r="F138" s="20" t="s">
        <v>90</v>
      </c>
      <c r="G138" s="20" t="s">
        <v>92</v>
      </c>
      <c r="H138" s="20" t="s">
        <v>7</v>
      </c>
      <c r="I138" s="20" t="s">
        <v>112</v>
      </c>
      <c r="J138" s="20" t="s">
        <v>94</v>
      </c>
      <c r="K138" s="20" t="s">
        <v>108</v>
      </c>
      <c r="L138" s="20">
        <v>1330.8133333333301</v>
      </c>
      <c r="M138" s="20">
        <v>5.33311142126306E-2</v>
      </c>
      <c r="N138" s="20">
        <v>0.24737910980336</v>
      </c>
      <c r="O138" s="20">
        <v>8990.02</v>
      </c>
      <c r="P138" s="20">
        <v>8776.4394094329891</v>
      </c>
      <c r="Q138" s="20">
        <v>383.77248638959497</v>
      </c>
      <c r="R138" s="20">
        <v>713.19672296706005</v>
      </c>
      <c r="S138" s="20">
        <v>2011.6258188035599</v>
      </c>
      <c r="T138" s="20">
        <v>20</v>
      </c>
      <c r="U138" s="20">
        <v>0.1</v>
      </c>
      <c r="V138" s="20">
        <v>4.0116238504486397</v>
      </c>
      <c r="W138" s="20">
        <v>4.4646714609199298</v>
      </c>
      <c r="X138" s="20">
        <v>4.8826969551162502</v>
      </c>
      <c r="Y138" s="20">
        <v>5.27830014219274</v>
      </c>
      <c r="Z138" s="20">
        <v>5.6552128755986004</v>
      </c>
      <c r="AA138" s="20">
        <v>6.0000994189913701</v>
      </c>
      <c r="AB138" s="20">
        <v>6.3601474379535103</v>
      </c>
      <c r="AC138" s="20">
        <v>6.7510483200937603</v>
      </c>
      <c r="AD138" s="20">
        <v>7.1779293756926101</v>
      </c>
      <c r="AE138" s="20">
        <v>7.64366849471467</v>
      </c>
      <c r="AF138" t="str">
        <f t="shared" si="9"/>
        <v>Residential</v>
      </c>
      <c r="AG138" t="str">
        <f>tbl_Data_old[[#This Row],[All_Meas_Name_Append]]</f>
        <v>Solar Thermal Water Heating System</v>
      </c>
      <c r="AH138">
        <f>AVERAGEIFS('3. Incentive Adjustment'!G:G,'3. Incentive Adjustment'!A:A,tbl_Data_old[[#This Row],[Trimmed Sector]],'3. Incentive Adjustment'!B:B,tbl_Data_old[[#This Row],[Trimmed Measure Name]])</f>
        <v>2.7736651842107431E-8</v>
      </c>
      <c r="AI138">
        <f>$AH138*tbl_Data_old[[#This Row],[2025 ]]</f>
        <v>1.1126901406138837E-7</v>
      </c>
      <c r="AJ138">
        <f>$AH138*tbl_Data_old[[#This Row],[2026 ]]</f>
        <v>1.2383503790092926E-7</v>
      </c>
      <c r="AK138">
        <f>$AH138*tbl_Data_old[[#This Row],[2027 ]]</f>
        <v>1.3542966549457747E-7</v>
      </c>
      <c r="AL138">
        <f>$AH138*tbl_Data_old[[#This Row],[2028 ]]</f>
        <v>1.4640237336214618E-7</v>
      </c>
      <c r="AM138">
        <f>$AH138*tbl_Data_old[[#This Row],[2029 ]]</f>
        <v>1.5685667062348158E-7</v>
      </c>
      <c r="AN138">
        <f>$AH138*tbl_Data_old[[#This Row],[2030 ]]</f>
        <v>1.6642266860259472E-7</v>
      </c>
      <c r="AO138">
        <f>$AH138*tbl_Data_old[[#This Row],[2031 ]]</f>
        <v>1.7640919515098809E-7</v>
      </c>
      <c r="AP138">
        <f>$AH138*tbl_Data_old[[#This Row],[2032 ]]</f>
        <v>1.8725147682368487E-7</v>
      </c>
      <c r="AQ138">
        <f>$AH138*tbl_Data_old[[#This Row],[2033 ]]</f>
        <v>1.9909172804082147E-7</v>
      </c>
      <c r="AR138">
        <f>$AH138*tbl_Data_old[[#This Row],[2034 ]]</f>
        <v>2.1200977183438618E-7</v>
      </c>
      <c r="AS138">
        <f>SUM(tbl_Data_old[[#This Row],[Adjusted 2025]:[Adjusted 2034]])</f>
        <v>1.614977601894998E-6</v>
      </c>
      <c r="AT138" s="3">
        <f>AVERAGEIFS('3. Incentive Adjustment'!F:F,'3. Incentive Adjustment'!A:A,tbl_Data_old[[#This Row],[Trimmed Sector]],'3. Incentive Adjustment'!B:B,tbl_Data_old[[#This Row],[Trimmed Measure Name]])</f>
        <v>0</v>
      </c>
      <c r="AU138" s="3">
        <f>IFERROR(VLOOKUP(tbl_Data_old[[#This Row],[All_Meas_Name_Append]],'IRA Tax Credits'!$A$3:$D$46,4,0),0)</f>
        <v>41666.666666666672</v>
      </c>
      <c r="AV138" s="4">
        <f>tbl_Data_old[[#This Row],[Adj. per unit Incentive ($)]]/tbl_Data_old[[#This Row],[kWh Savings]]*tbl_Data_old[[#This Row],[Sum of Annuals]]</f>
        <v>0</v>
      </c>
      <c r="AW138" s="4">
        <f>IFERROR(VLOOKUP(tbl_Data_old[[#This Row],[All_Programs]],'1. Set Program Names'!$B$2:$D$15,3,0)*tbl_Data_old[[#This Row],[Sum of Annuals]],"")</f>
        <v>6.9857727701415257E-7</v>
      </c>
      <c r="AX138" s="4">
        <f>tbl_Data_old[[#This Row],[per unit IRA tax ($)]]/tbl_Data_old[[#This Row],[kWh Savings]]*tbl_Data_old[[#This Row],[Sum of Annuals]]</f>
        <v>5.0563615292120927E-5</v>
      </c>
      <c r="AY138" s="4">
        <f>tbl_Data_old[[#This Row],[Avoided Costs ($/unit)]]/tbl_Data_old[[#This Row],[kWh Savings]]*tbl_Data_old[[#This Row],[Sum of Annuals]]</f>
        <v>8.654833134649863E-7</v>
      </c>
      <c r="AZ138" s="4">
        <f>tbl_Data_old[[#This Row],[Lost Revenue ($/unit)]]/tbl_Data_old[[#This Row],[kWh Savings]]*tbl_Data_old[[#This Row],[Sum of Annuals]]</f>
        <v>2.4411617763283429E-6</v>
      </c>
      <c r="BA138" s="4">
        <f>tbl_Data_old[[#This Row],[Incremental Cost ($/unit)]]/tbl_Data_old[[#This Row],[kWh Savings]]*tbl_Data_old[[#This Row],[Sum of Annuals]]</f>
        <v>1.0909629905963349E-5</v>
      </c>
      <c r="BB138">
        <f>ROUNDUP(tbl_Data_old[[#This Row],[Adjusted 2025]]/$L138,0)</f>
        <v>1</v>
      </c>
      <c r="BC138">
        <f>ROUNDUP(tbl_Data_old[[#This Row],[Adjusted 2026]]/$L138,0)</f>
        <v>1</v>
      </c>
      <c r="BD138">
        <f>ROUNDUP(tbl_Data_old[[#This Row],[Adjusted 2027]]/$L138,0)</f>
        <v>1</v>
      </c>
      <c r="BE138">
        <f>ROUNDUP(tbl_Data_old[[#This Row],[Adjusted 2028]]/$L138,0)</f>
        <v>1</v>
      </c>
      <c r="BF138">
        <f>ROUNDUP(tbl_Data_old[[#This Row],[Adjusted 2029]]/$L138,0)</f>
        <v>1</v>
      </c>
      <c r="BG138">
        <f>ROUNDUP(tbl_Data_old[[#This Row],[Adjusted 2030]]/$L138,0)</f>
        <v>1</v>
      </c>
      <c r="BH138">
        <f>ROUNDUP(tbl_Data_old[[#This Row],[Adjusted 2031]]/$L138,0)</f>
        <v>1</v>
      </c>
      <c r="BI138">
        <f>ROUNDUP(tbl_Data_old[[#This Row],[Adjusted 2032]]/$L138,0)</f>
        <v>1</v>
      </c>
      <c r="BJ138">
        <f>ROUNDUP(tbl_Data_old[[#This Row],[Adjusted 2033]]/$L138,0)</f>
        <v>1</v>
      </c>
      <c r="BK138">
        <f>ROUNDUP(tbl_Data_old[[#This Row],[Adjusted 2034]]/$L138,0)</f>
        <v>1</v>
      </c>
      <c r="BL138" s="3">
        <f t="shared" si="10"/>
        <v>0</v>
      </c>
      <c r="BM138" s="3">
        <f t="shared" si="10"/>
        <v>0</v>
      </c>
      <c r="BN138" s="3">
        <f t="shared" si="10"/>
        <v>0</v>
      </c>
      <c r="BO138" s="3">
        <f t="shared" si="10"/>
        <v>0</v>
      </c>
      <c r="BP138" s="3">
        <f t="shared" si="10"/>
        <v>0</v>
      </c>
      <c r="BQ138" s="3">
        <f t="shared" si="10"/>
        <v>0</v>
      </c>
      <c r="BR138" s="3">
        <f t="shared" si="10"/>
        <v>0</v>
      </c>
      <c r="BS138" s="3">
        <f t="shared" si="10"/>
        <v>0</v>
      </c>
      <c r="BT138" s="3">
        <f t="shared" si="10"/>
        <v>0</v>
      </c>
      <c r="BU138" s="3">
        <f t="shared" si="10"/>
        <v>0</v>
      </c>
      <c r="BV138">
        <f>VLOOKUP($H138,'1. Set Program Names'!$B$2:$D$15,3,0)*V138</f>
        <v>1.7352743855785362</v>
      </c>
      <c r="BW138">
        <f>VLOOKUP($H138,'1. Set Program Names'!$B$2:$D$15,3,0)*W138</f>
        <v>1.9312453796712332</v>
      </c>
      <c r="BX138">
        <f>VLOOKUP($H138,'1. Set Program Names'!$B$2:$D$15,3,0)*X138</f>
        <v>2.1120671515122198</v>
      </c>
      <c r="BY138">
        <f>VLOOKUP($H138,'1. Set Program Names'!$B$2:$D$15,3,0)*Y138</f>
        <v>2.2831898945655831</v>
      </c>
      <c r="BZ138">
        <f>VLOOKUP($H138,'1. Set Program Names'!$B$2:$D$15,3,0)*Z138</f>
        <v>2.4462278652876974</v>
      </c>
      <c r="CA138">
        <f>VLOOKUP($H138,'1. Set Program Names'!$B$2:$D$15,3,0)*AA138</f>
        <v>2.5954125363812404</v>
      </c>
      <c r="CB138">
        <f>VLOOKUP($H138,'1. Set Program Names'!$B$2:$D$15,3,0)*AB138</f>
        <v>2.7511554794324504</v>
      </c>
      <c r="CC138">
        <f>VLOOKUP($H138,'1. Set Program Names'!$B$2:$D$15,3,0)*AC138</f>
        <v>2.9202441859925559</v>
      </c>
      <c r="CD138">
        <f>VLOOKUP($H138,'1. Set Program Names'!$B$2:$D$15,3,0)*AD138</f>
        <v>3.1048965335416829</v>
      </c>
      <c r="CE138">
        <f>VLOOKUP($H138,'1. Set Program Names'!$B$2:$D$15,3,0)*AE138</f>
        <v>3.3063573867347138</v>
      </c>
    </row>
    <row r="139" spans="1:83" x14ac:dyDescent="0.25">
      <c r="A139" s="20" t="s">
        <v>117</v>
      </c>
      <c r="B139" s="20" t="s">
        <v>88</v>
      </c>
      <c r="C139" s="20" t="s">
        <v>89</v>
      </c>
      <c r="D139" s="20" t="s">
        <v>90</v>
      </c>
      <c r="E139" s="20" t="s">
        <v>91</v>
      </c>
      <c r="F139" s="20" t="s">
        <v>90</v>
      </c>
      <c r="G139" s="20" t="s">
        <v>92</v>
      </c>
      <c r="H139" s="20" t="s">
        <v>7</v>
      </c>
      <c r="I139" s="20" t="s">
        <v>93</v>
      </c>
      <c r="J139" s="20" t="s">
        <v>94</v>
      </c>
      <c r="K139" s="20" t="s">
        <v>95</v>
      </c>
      <c r="L139" s="20">
        <v>1200.2266666666601</v>
      </c>
      <c r="M139" s="20">
        <v>4.8097974252120097E-2</v>
      </c>
      <c r="N139" s="20">
        <v>0.22310492157346501</v>
      </c>
      <c r="O139" s="20">
        <v>1210</v>
      </c>
      <c r="P139" s="20">
        <v>933.85922631496703</v>
      </c>
      <c r="Q139" s="20">
        <v>346.114635734861</v>
      </c>
      <c r="R139" s="20">
        <v>571.53970184074296</v>
      </c>
      <c r="S139" s="20">
        <v>1535.35818196214</v>
      </c>
      <c r="T139" s="20">
        <v>15</v>
      </c>
      <c r="U139" s="20">
        <v>0.1</v>
      </c>
      <c r="V139" s="20">
        <v>1.3432537753442599</v>
      </c>
      <c r="W139" s="20">
        <v>2.7704120633992799</v>
      </c>
      <c r="X139" s="20">
        <v>4.2808723286145396</v>
      </c>
      <c r="Y139" s="20">
        <v>5.87655823478344</v>
      </c>
      <c r="Z139" s="20">
        <v>7.5593013960844599</v>
      </c>
      <c r="AA139" s="20">
        <v>9.32603249697131</v>
      </c>
      <c r="AB139" s="20">
        <v>11.1867682179535</v>
      </c>
      <c r="AC139" s="20">
        <v>13.1552812095301</v>
      </c>
      <c r="AD139" s="20">
        <v>15.246231526580701</v>
      </c>
      <c r="AE139" s="20">
        <v>17.474712157394901</v>
      </c>
      <c r="AF139" t="str">
        <f t="shared" si="9"/>
        <v>Residential</v>
      </c>
      <c r="AG139" t="str">
        <f>tbl_Data_old[[#This Row],[All_Meas_Name_Append]]</f>
        <v>120v Heat Pump Water Heater 50 Gallons</v>
      </c>
      <c r="AH139">
        <f>AVERAGEIFS('3. Incentive Adjustment'!G:G,'3. Incentive Adjustment'!A:A,tbl_Data_old[[#This Row],[Trimmed Sector]],'3. Incentive Adjustment'!B:B,tbl_Data_old[[#This Row],[Trimmed Measure Name]])</f>
        <v>0.38528347196238832</v>
      </c>
      <c r="AI139">
        <f>$AH139*tbl_Data_old[[#This Row],[2025 ]]</f>
        <v>0.51753347829122243</v>
      </c>
      <c r="AJ139">
        <f>$AH139*tbl_Data_old[[#This Row],[2026 ]]</f>
        <v>1.0673939785529589</v>
      </c>
      <c r="AK139">
        <f>$AH139*tbl_Data_old[[#This Row],[2027 ]]</f>
        <v>1.649349353796324</v>
      </c>
      <c r="AL139">
        <f>$AH139*tbl_Data_old[[#This Row],[2028 ]]</f>
        <v>2.2641407598865277</v>
      </c>
      <c r="AM139">
        <f>$AH139*tbl_Data_old[[#This Row],[2029 ]]</f>
        <v>2.9124738874935501</v>
      </c>
      <c r="AN139">
        <f>$AH139*tbl_Data_old[[#This Row],[2030 ]]</f>
        <v>3.5931661800671679</v>
      </c>
      <c r="AO139">
        <f>$AH139*tbl_Data_old[[#This Row],[2031 ]]</f>
        <v>4.3100768990516238</v>
      </c>
      <c r="AP139">
        <f>$AH139*tbl_Data_old[[#This Row],[2032 ]]</f>
        <v>5.0685124190493243</v>
      </c>
      <c r="AQ139">
        <f>$AH139*tbl_Data_old[[#This Row],[2033 ]]</f>
        <v>5.8741210169034366</v>
      </c>
      <c r="AR139">
        <f>$AH139*tbl_Data_old[[#This Row],[2034 ]]</f>
        <v>6.7327177715444648</v>
      </c>
      <c r="AS139">
        <f>SUM(tbl_Data_old[[#This Row],[Adjusted 2025]:[Adjusted 2034]])</f>
        <v>33.989485744636596</v>
      </c>
      <c r="AT139" s="3">
        <f>AVERAGEIFS('3. Incentive Adjustment'!F:F,'3. Incentive Adjustment'!A:A,tbl_Data_old[[#This Row],[Trimmed Sector]],'3. Incentive Adjustment'!B:B,tbl_Data_old[[#This Row],[Trimmed Measure Name]])</f>
        <v>500</v>
      </c>
      <c r="AU139" s="3">
        <f>IFERROR(VLOOKUP(tbl_Data_old[[#This Row],[All_Meas_Name_Append]],'IRA Tax Credits'!$A$3:$D$46,4,0),0)</f>
        <v>1666.6666666666667</v>
      </c>
      <c r="AV139" s="4">
        <f>tbl_Data_old[[#This Row],[Adj. per unit Incentive ($)]]/tbl_Data_old[[#This Row],[kWh Savings]]*tbl_Data_old[[#This Row],[Sum of Annuals]]</f>
        <v>14.159611133717846</v>
      </c>
      <c r="AW139" s="4">
        <f>IFERROR(VLOOKUP(tbl_Data_old[[#This Row],[All_Programs]],'1. Set Program Names'!$B$2:$D$15,3,0)*tbl_Data_old[[#This Row],[Sum of Annuals]],"")</f>
        <v>14.702545949082076</v>
      </c>
      <c r="AX139" s="4">
        <f>tbl_Data_old[[#This Row],[per unit IRA tax ($)]]/tbl_Data_old[[#This Row],[kWh Savings]]*tbl_Data_old[[#This Row],[Sum of Annuals]]</f>
        <v>47.198703779059485</v>
      </c>
      <c r="AY139" s="4">
        <f>tbl_Data_old[[#This Row],[Avoided Costs ($/unit)]]/tbl_Data_old[[#This Row],[kWh Savings]]*tbl_Data_old[[#This Row],[Sum of Annuals]]</f>
        <v>16.185559851091924</v>
      </c>
      <c r="AZ139" s="4">
        <f>tbl_Data_old[[#This Row],[Lost Revenue ($/unit)]]/tbl_Data_old[[#This Row],[kWh Savings]]*tbl_Data_old[[#This Row],[Sum of Annuals]]</f>
        <v>43.480149615111813</v>
      </c>
      <c r="BA139" s="4">
        <f>tbl_Data_old[[#This Row],[Incremental Cost ($/unit)]]/tbl_Data_old[[#This Row],[kWh Savings]]*tbl_Data_old[[#This Row],[Sum of Annuals]]</f>
        <v>34.266258943597187</v>
      </c>
      <c r="BB139">
        <f>ROUNDUP(tbl_Data_old[[#This Row],[Adjusted 2025]]/$L139,0)</f>
        <v>1</v>
      </c>
      <c r="BC139">
        <f>ROUNDUP(tbl_Data_old[[#This Row],[Adjusted 2026]]/$L139,0)</f>
        <v>1</v>
      </c>
      <c r="BD139">
        <f>ROUNDUP(tbl_Data_old[[#This Row],[Adjusted 2027]]/$L139,0)</f>
        <v>1</v>
      </c>
      <c r="BE139">
        <f>ROUNDUP(tbl_Data_old[[#This Row],[Adjusted 2028]]/$L139,0)</f>
        <v>1</v>
      </c>
      <c r="BF139">
        <f>ROUNDUP(tbl_Data_old[[#This Row],[Adjusted 2029]]/$L139,0)</f>
        <v>1</v>
      </c>
      <c r="BG139">
        <f>ROUNDUP(tbl_Data_old[[#This Row],[Adjusted 2030]]/$L139,0)</f>
        <v>1</v>
      </c>
      <c r="BH139">
        <f>ROUNDUP(tbl_Data_old[[#This Row],[Adjusted 2031]]/$L139,0)</f>
        <v>1</v>
      </c>
      <c r="BI139">
        <f>ROUNDUP(tbl_Data_old[[#This Row],[Adjusted 2032]]/$L139,0)</f>
        <v>1</v>
      </c>
      <c r="BJ139">
        <f>ROUNDUP(tbl_Data_old[[#This Row],[Adjusted 2033]]/$L139,0)</f>
        <v>1</v>
      </c>
      <c r="BK139">
        <f>ROUNDUP(tbl_Data_old[[#This Row],[Adjusted 2034]]/$L139,0)</f>
        <v>1</v>
      </c>
      <c r="BL139" s="3">
        <f t="shared" si="10"/>
        <v>0.55958337397835989</v>
      </c>
      <c r="BM139" s="3">
        <f t="shared" si="10"/>
        <v>1.1541203592374059</v>
      </c>
      <c r="BN139" s="3">
        <f t="shared" si="10"/>
        <v>1.7833599467105781</v>
      </c>
      <c r="BO139" s="3">
        <f t="shared" si="10"/>
        <v>2.4481035116075875</v>
      </c>
      <c r="BP139" s="3">
        <f t="shared" si="10"/>
        <v>3.1491140823752044</v>
      </c>
      <c r="BQ139" s="3">
        <f t="shared" si="10"/>
        <v>3.8851130190566896</v>
      </c>
      <c r="BR139" s="3">
        <f t="shared" si="10"/>
        <v>4.6602731503300321</v>
      </c>
      <c r="BS139" s="3">
        <f t="shared" si="10"/>
        <v>5.4803319968159512</v>
      </c>
      <c r="BT139" s="3">
        <f t="shared" si="10"/>
        <v>6.3513967611315572</v>
      </c>
      <c r="BU139" s="3">
        <f t="shared" si="10"/>
        <v>7.279755000747774</v>
      </c>
      <c r="BV139">
        <f>VLOOKUP($H139,'1. Set Program Names'!$B$2:$D$15,3,0)*V139</f>
        <v>0.58103998694341252</v>
      </c>
      <c r="BW139">
        <f>VLOOKUP($H139,'1. Set Program Names'!$B$2:$D$15,3,0)*W139</f>
        <v>1.1983738431949227</v>
      </c>
      <c r="BX139">
        <f>VLOOKUP($H139,'1. Set Program Names'!$B$2:$D$15,3,0)*X139</f>
        <v>1.8517409350196152</v>
      </c>
      <c r="BY139">
        <f>VLOOKUP($H139,'1. Set Program Names'!$B$2:$D$15,3,0)*Y139</f>
        <v>2.5419733654838779</v>
      </c>
      <c r="BZ139">
        <f>VLOOKUP($H139,'1. Set Program Names'!$B$2:$D$15,3,0)*Z139</f>
        <v>3.269863420526439</v>
      </c>
      <c r="CA139">
        <f>VLOOKUP($H139,'1. Set Program Names'!$B$2:$D$15,3,0)*AA139</f>
        <v>4.0340834321387096</v>
      </c>
      <c r="CB139">
        <f>VLOOKUP($H139,'1. Set Program Names'!$B$2:$D$15,3,0)*AB139</f>
        <v>4.8389662315542878</v>
      </c>
      <c r="CC139">
        <f>VLOOKUP($H139,'1. Set Program Names'!$B$2:$D$15,3,0)*AC139</f>
        <v>5.6904693383521581</v>
      </c>
      <c r="CD139">
        <f>VLOOKUP($H139,'1. Set Program Names'!$B$2:$D$15,3,0)*AD139</f>
        <v>6.5949341291598627</v>
      </c>
      <c r="CE139">
        <f>VLOOKUP($H139,'1. Set Program Names'!$B$2:$D$15,3,0)*AE139</f>
        <v>7.5588892509685319</v>
      </c>
    </row>
    <row r="140" spans="1:83" x14ac:dyDescent="0.25">
      <c r="A140" s="20" t="s">
        <v>117</v>
      </c>
      <c r="B140" s="20" t="s">
        <v>88</v>
      </c>
      <c r="C140" s="20" t="s">
        <v>89</v>
      </c>
      <c r="D140" s="20" t="s">
        <v>90</v>
      </c>
      <c r="E140" s="20" t="s">
        <v>91</v>
      </c>
      <c r="F140" s="20" t="s">
        <v>90</v>
      </c>
      <c r="G140" s="20" t="s">
        <v>92</v>
      </c>
      <c r="H140" s="20" t="s">
        <v>7</v>
      </c>
      <c r="I140" s="20" t="s">
        <v>118</v>
      </c>
      <c r="J140" s="20" t="s">
        <v>97</v>
      </c>
      <c r="K140" s="20" t="s">
        <v>102</v>
      </c>
      <c r="L140" s="20">
        <v>466.599999999999</v>
      </c>
      <c r="M140" s="20">
        <v>0.18933941062023901</v>
      </c>
      <c r="N140" s="20">
        <v>2.6910820932303899E-2</v>
      </c>
      <c r="O140" s="20">
        <v>674.44999999999902</v>
      </c>
      <c r="P140" s="20">
        <v>561.40215199999898</v>
      </c>
      <c r="Q140" s="20">
        <v>134.555491490957</v>
      </c>
      <c r="R140" s="20">
        <v>370.49545033119801</v>
      </c>
      <c r="S140" s="20">
        <v>705.301475078208</v>
      </c>
      <c r="T140" s="20">
        <v>20</v>
      </c>
      <c r="U140" s="20">
        <v>1</v>
      </c>
      <c r="V140" s="20">
        <v>0.26184517906951599</v>
      </c>
      <c r="W140" s="20">
        <v>0.515258486351166</v>
      </c>
      <c r="X140" s="20">
        <v>0.76074664826370297</v>
      </c>
      <c r="Y140" s="20">
        <v>0.99906428147487103</v>
      </c>
      <c r="Z140" s="20">
        <v>1.23077339259416</v>
      </c>
      <c r="AA140" s="20">
        <v>1.4556799765103401</v>
      </c>
      <c r="AB140" s="20">
        <v>1.6751711194208401</v>
      </c>
      <c r="AC140" s="20">
        <v>1.89074842593732</v>
      </c>
      <c r="AD140" s="20">
        <v>2.1036789918807202</v>
      </c>
      <c r="AE140" s="20">
        <v>2.3149872208791802</v>
      </c>
      <c r="AF140" t="str">
        <f t="shared" si="9"/>
        <v>Residential</v>
      </c>
      <c r="AG140" t="str">
        <f>tbl_Data_old[[#This Row],[All_Meas_Name_Append]]</f>
        <v>Air Sealing-Infiltration Control</v>
      </c>
      <c r="AH140" t="e">
        <f>AVERAGEIFS('3. Incentive Adjustment'!G:G,'3. Incentive Adjustment'!A:A,tbl_Data_old[[#This Row],[Trimmed Sector]],'3. Incentive Adjustment'!B:B,tbl_Data_old[[#This Row],[Trimmed Measure Name]])</f>
        <v>#DIV/0!</v>
      </c>
      <c r="AI140" t="e">
        <f>$AH140*tbl_Data_old[[#This Row],[2025 ]]</f>
        <v>#DIV/0!</v>
      </c>
      <c r="AJ140" t="e">
        <f>$AH140*tbl_Data_old[[#This Row],[2026 ]]</f>
        <v>#DIV/0!</v>
      </c>
      <c r="AK140" t="e">
        <f>$AH140*tbl_Data_old[[#This Row],[2027 ]]</f>
        <v>#DIV/0!</v>
      </c>
      <c r="AL140" t="e">
        <f>$AH140*tbl_Data_old[[#This Row],[2028 ]]</f>
        <v>#DIV/0!</v>
      </c>
      <c r="AM140" t="e">
        <f>$AH140*tbl_Data_old[[#This Row],[2029 ]]</f>
        <v>#DIV/0!</v>
      </c>
      <c r="AN140" t="e">
        <f>$AH140*tbl_Data_old[[#This Row],[2030 ]]</f>
        <v>#DIV/0!</v>
      </c>
      <c r="AO140" t="e">
        <f>$AH140*tbl_Data_old[[#This Row],[2031 ]]</f>
        <v>#DIV/0!</v>
      </c>
      <c r="AP140" t="e">
        <f>$AH140*tbl_Data_old[[#This Row],[2032 ]]</f>
        <v>#DIV/0!</v>
      </c>
      <c r="AQ140" t="e">
        <f>$AH140*tbl_Data_old[[#This Row],[2033 ]]</f>
        <v>#DIV/0!</v>
      </c>
      <c r="AR140" t="e">
        <f>$AH140*tbl_Data_old[[#This Row],[2034 ]]</f>
        <v>#DIV/0!</v>
      </c>
      <c r="AS140" t="e">
        <f>SUM(tbl_Data_old[[#This Row],[Adjusted 2025]:[Adjusted 2034]])</f>
        <v>#DIV/0!</v>
      </c>
      <c r="AT140" s="3" t="e">
        <f>AVERAGEIFS('3. Incentive Adjustment'!F:F,'3. Incentive Adjustment'!A:A,tbl_Data_old[[#This Row],[Trimmed Sector]],'3. Incentive Adjustment'!B:B,tbl_Data_old[[#This Row],[Trimmed Measure Name]])</f>
        <v>#DIV/0!</v>
      </c>
      <c r="AU140" s="3">
        <f>IFERROR(VLOOKUP(tbl_Data_old[[#This Row],[All_Meas_Name_Append]],'IRA Tax Credits'!$A$3:$D$46,4,0),0)</f>
        <v>500</v>
      </c>
      <c r="AV140" s="4" t="e">
        <f>tbl_Data_old[[#This Row],[Adj. per unit Incentive ($)]]/tbl_Data_old[[#This Row],[kWh Savings]]*tbl_Data_old[[#This Row],[Sum of Annuals]]</f>
        <v>#DIV/0!</v>
      </c>
      <c r="AW140" s="4" t="str">
        <f>IFERROR(VLOOKUP(tbl_Data_old[[#This Row],[All_Programs]],'1. Set Program Names'!$B$2:$D$15,3,0)*tbl_Data_old[[#This Row],[Sum of Annuals]],"")</f>
        <v/>
      </c>
      <c r="AX140" s="4" t="e">
        <f>tbl_Data_old[[#This Row],[per unit IRA tax ($)]]/tbl_Data_old[[#This Row],[kWh Savings]]*tbl_Data_old[[#This Row],[Sum of Annuals]]</f>
        <v>#DIV/0!</v>
      </c>
      <c r="AY140" s="4" t="e">
        <f>tbl_Data_old[[#This Row],[Avoided Costs ($/unit)]]/tbl_Data_old[[#This Row],[kWh Savings]]*tbl_Data_old[[#This Row],[Sum of Annuals]]</f>
        <v>#DIV/0!</v>
      </c>
      <c r="AZ140" s="4" t="e">
        <f>tbl_Data_old[[#This Row],[Lost Revenue ($/unit)]]/tbl_Data_old[[#This Row],[kWh Savings]]*tbl_Data_old[[#This Row],[Sum of Annuals]]</f>
        <v>#DIV/0!</v>
      </c>
      <c r="BA140" s="4" t="e">
        <f>tbl_Data_old[[#This Row],[Incremental Cost ($/unit)]]/tbl_Data_old[[#This Row],[kWh Savings]]*tbl_Data_old[[#This Row],[Sum of Annuals]]</f>
        <v>#DIV/0!</v>
      </c>
      <c r="BB140" t="e">
        <f>ROUNDUP(tbl_Data_old[[#This Row],[Adjusted 2025]]/$L140,0)</f>
        <v>#DIV/0!</v>
      </c>
      <c r="BC140" t="e">
        <f>ROUNDUP(tbl_Data_old[[#This Row],[Adjusted 2026]]/$L140,0)</f>
        <v>#DIV/0!</v>
      </c>
      <c r="BD140" t="e">
        <f>ROUNDUP(tbl_Data_old[[#This Row],[Adjusted 2027]]/$L140,0)</f>
        <v>#DIV/0!</v>
      </c>
      <c r="BE140" t="e">
        <f>ROUNDUP(tbl_Data_old[[#This Row],[Adjusted 2028]]/$L140,0)</f>
        <v>#DIV/0!</v>
      </c>
      <c r="BF140" t="e">
        <f>ROUNDUP(tbl_Data_old[[#This Row],[Adjusted 2029]]/$L140,0)</f>
        <v>#DIV/0!</v>
      </c>
      <c r="BG140" t="e">
        <f>ROUNDUP(tbl_Data_old[[#This Row],[Adjusted 2030]]/$L140,0)</f>
        <v>#DIV/0!</v>
      </c>
      <c r="BH140" t="e">
        <f>ROUNDUP(tbl_Data_old[[#This Row],[Adjusted 2031]]/$L140,0)</f>
        <v>#DIV/0!</v>
      </c>
      <c r="BI140" t="e">
        <f>ROUNDUP(tbl_Data_old[[#This Row],[Adjusted 2032]]/$L140,0)</f>
        <v>#DIV/0!</v>
      </c>
      <c r="BJ140" t="e">
        <f>ROUNDUP(tbl_Data_old[[#This Row],[Adjusted 2033]]/$L140,0)</f>
        <v>#DIV/0!</v>
      </c>
      <c r="BK140" t="e">
        <f>ROUNDUP(tbl_Data_old[[#This Row],[Adjusted 2034]]/$L140,0)</f>
        <v>#DIV/0!</v>
      </c>
      <c r="BL140" s="3" t="e">
        <f t="shared" si="10"/>
        <v>#DIV/0!</v>
      </c>
      <c r="BM140" s="3" t="e">
        <f t="shared" si="10"/>
        <v>#DIV/0!</v>
      </c>
      <c r="BN140" s="3" t="e">
        <f t="shared" si="10"/>
        <v>#DIV/0!</v>
      </c>
      <c r="BO140" s="3" t="e">
        <f t="shared" si="10"/>
        <v>#DIV/0!</v>
      </c>
      <c r="BP140" s="3" t="e">
        <f t="shared" si="10"/>
        <v>#DIV/0!</v>
      </c>
      <c r="BQ140" s="3" t="e">
        <f t="shared" si="10"/>
        <v>#DIV/0!</v>
      </c>
      <c r="BR140" s="3" t="e">
        <f t="shared" si="10"/>
        <v>#DIV/0!</v>
      </c>
      <c r="BS140" s="3" t="e">
        <f t="shared" si="10"/>
        <v>#DIV/0!</v>
      </c>
      <c r="BT140" s="3" t="e">
        <f t="shared" si="10"/>
        <v>#DIV/0!</v>
      </c>
      <c r="BU140" s="3" t="e">
        <f t="shared" si="10"/>
        <v>#DIV/0!</v>
      </c>
      <c r="BV140">
        <f>VLOOKUP($H140,'1. Set Program Names'!$B$2:$D$15,3,0)*V140</f>
        <v>0.11326416662313477</v>
      </c>
      <c r="BW140">
        <f>VLOOKUP($H140,'1. Set Program Names'!$B$2:$D$15,3,0)*W140</f>
        <v>0.22288102939091683</v>
      </c>
      <c r="BX140">
        <f>VLOOKUP($H140,'1. Set Program Names'!$B$2:$D$15,3,0)*X140</f>
        <v>0.3290697786880229</v>
      </c>
      <c r="BY140">
        <f>VLOOKUP($H140,'1. Set Program Names'!$B$2:$D$15,3,0)*Y140</f>
        <v>0.43215683269902933</v>
      </c>
      <c r="BZ140">
        <f>VLOOKUP($H140,'1. Set Program Names'!$B$2:$D$15,3,0)*Z140</f>
        <v>0.53238529389573563</v>
      </c>
      <c r="CA140">
        <f>VLOOKUP($H140,'1. Set Program Names'!$B$2:$D$15,3,0)*AA140</f>
        <v>0.62967124311903344</v>
      </c>
      <c r="CB140">
        <f>VLOOKUP($H140,'1. Set Program Names'!$B$2:$D$15,3,0)*AB140</f>
        <v>0.72461468057799494</v>
      </c>
      <c r="CC140">
        <f>VLOOKUP($H140,'1. Set Program Names'!$B$2:$D$15,3,0)*AC140</f>
        <v>0.81786514274887478</v>
      </c>
      <c r="CD140">
        <f>VLOOKUP($H140,'1. Set Program Names'!$B$2:$D$15,3,0)*AD140</f>
        <v>0.90997072661287581</v>
      </c>
      <c r="CE140">
        <f>VLOOKUP($H140,'1. Set Program Names'!$B$2:$D$15,3,0)*AE140</f>
        <v>1.001374549830744</v>
      </c>
    </row>
    <row r="141" spans="1:83" x14ac:dyDescent="0.25">
      <c r="A141" s="20" t="s">
        <v>117</v>
      </c>
      <c r="B141" s="20" t="s">
        <v>88</v>
      </c>
      <c r="C141" s="20" t="s">
        <v>89</v>
      </c>
      <c r="D141" s="20" t="s">
        <v>90</v>
      </c>
      <c r="E141" s="20" t="s">
        <v>91</v>
      </c>
      <c r="F141" s="20" t="s">
        <v>90</v>
      </c>
      <c r="G141" s="20" t="s">
        <v>92</v>
      </c>
      <c r="H141" s="20" t="s">
        <v>7</v>
      </c>
      <c r="I141" s="20" t="s">
        <v>96</v>
      </c>
      <c r="J141" s="20" t="s">
        <v>97</v>
      </c>
      <c r="K141" s="20" t="s">
        <v>98</v>
      </c>
      <c r="L141" s="20">
        <v>5868.07</v>
      </c>
      <c r="M141" s="20">
        <v>0.20813520080661799</v>
      </c>
      <c r="N141" s="20">
        <v>1.1349578069705</v>
      </c>
      <c r="O141" s="20">
        <v>1935.1666666666599</v>
      </c>
      <c r="P141" s="20">
        <v>513.45064263862798</v>
      </c>
      <c r="Q141" s="20">
        <v>1692.2011207744099</v>
      </c>
      <c r="R141" s="20">
        <v>3388.0400735263802</v>
      </c>
      <c r="S141" s="20">
        <v>7811.7411984889604</v>
      </c>
      <c r="T141" s="20">
        <v>16</v>
      </c>
      <c r="U141" s="20">
        <v>0.1</v>
      </c>
      <c r="V141" s="20">
        <v>8.1467092563333896</v>
      </c>
      <c r="W141" s="20">
        <v>16.772230310341499</v>
      </c>
      <c r="X141" s="20">
        <v>25.869020516393299</v>
      </c>
      <c r="Y141" s="20">
        <v>35.444715590593503</v>
      </c>
      <c r="Z141" s="20">
        <v>45.506265324282701</v>
      </c>
      <c r="AA141" s="20">
        <v>56.031299921100803</v>
      </c>
      <c r="AB141" s="20">
        <v>67.075325473921495</v>
      </c>
      <c r="AC141" s="20">
        <v>78.715401750309098</v>
      </c>
      <c r="AD141" s="20">
        <v>91.032907693921501</v>
      </c>
      <c r="AE141" s="20">
        <v>104.110792974742</v>
      </c>
      <c r="AF141" t="str">
        <f t="shared" si="9"/>
        <v>Residential</v>
      </c>
      <c r="AG141" t="str">
        <f>tbl_Data_old[[#This Row],[All_Meas_Name_Append]]</f>
        <v>ASHP - CEE Tier 2: 16.8 SEER/16 SEER2; 9.0 HSPF (from elec resistance)</v>
      </c>
      <c r="AH141">
        <f>AVERAGEIFS('3. Incentive Adjustment'!G:G,'3. Incentive Adjustment'!A:A,tbl_Data_old[[#This Row],[Trimmed Sector]],'3. Incentive Adjustment'!B:B,tbl_Data_old[[#This Row],[Trimmed Measure Name]])</f>
        <v>0.9303958662075158</v>
      </c>
      <c r="AI141">
        <f>$AH141*tbl_Data_old[[#This Row],[2025 ]]</f>
        <v>7.5796646152870908</v>
      </c>
      <c r="AJ141">
        <f>$AH141*tbl_Data_old[[#This Row],[2026 ]]</f>
        <v>15.60481374782213</v>
      </c>
      <c r="AK141">
        <f>$AH141*tbl_Data_old[[#This Row],[2027 ]]</f>
        <v>24.068429751289742</v>
      </c>
      <c r="AL141">
        <f>$AH141*tbl_Data_old[[#This Row],[2028 ]]</f>
        <v>32.977616864389283</v>
      </c>
      <c r="AM141">
        <f>$AH141*tbl_Data_old[[#This Row],[2029 ]]</f>
        <v>42.338841144255042</v>
      </c>
      <c r="AN141">
        <f>$AH141*tbl_Data_old[[#This Row],[2030 ]]</f>
        <v>52.131289824825693</v>
      </c>
      <c r="AO141">
        <f>$AH141*tbl_Data_old[[#This Row],[2031 ]]</f>
        <v>62.406605545460238</v>
      </c>
      <c r="AP141">
        <f>$AH141*tbl_Data_old[[#This Row],[2032 ]]</f>
        <v>73.23648439535144</v>
      </c>
      <c r="AQ141">
        <f>$AH141*tbl_Data_old[[#This Row],[2033 ]]</f>
        <v>84.69664100727492</v>
      </c>
      <c r="AR141">
        <f>$AH141*tbl_Data_old[[#This Row],[2034 ]]</f>
        <v>96.864251411286432</v>
      </c>
      <c r="AS141">
        <f>SUM(tbl_Data_old[[#This Row],[Adjusted 2025]:[Adjusted 2034]])</f>
        <v>491.90463830724207</v>
      </c>
      <c r="AT141" s="3">
        <f>AVERAGEIFS('3. Incentive Adjustment'!F:F,'3. Incentive Adjustment'!A:A,tbl_Data_old[[#This Row],[Trimmed Sector]],'3. Incentive Adjustment'!B:B,tbl_Data_old[[#This Row],[Trimmed Measure Name]])</f>
        <v>353</v>
      </c>
      <c r="AU141" s="3">
        <f>IFERROR(VLOOKUP(tbl_Data_old[[#This Row],[All_Meas_Name_Append]],'IRA Tax Credits'!$A$3:$D$46,4,0),0)</f>
        <v>0</v>
      </c>
      <c r="AV141" s="4">
        <f>tbl_Data_old[[#This Row],[Adj. per unit Incentive ($)]]/tbl_Data_old[[#This Row],[kWh Savings]]*tbl_Data_old[[#This Row],[Sum of Annuals]]</f>
        <v>29.591047366929239</v>
      </c>
      <c r="AW141" s="4">
        <f>IFERROR(VLOOKUP(tbl_Data_old[[#This Row],[All_Programs]],'1. Set Program Names'!$B$2:$D$15,3,0)*tbl_Data_old[[#This Row],[Sum of Annuals]],"")</f>
        <v>212.77905178133051</v>
      </c>
      <c r="AX141" s="4">
        <f>tbl_Data_old[[#This Row],[per unit IRA tax ($)]]/tbl_Data_old[[#This Row],[kWh Savings]]*tbl_Data_old[[#This Row],[Sum of Annuals]]</f>
        <v>0</v>
      </c>
      <c r="AY141" s="4">
        <f>tbl_Data_old[[#This Row],[Avoided Costs ($/unit)]]/tbl_Data_old[[#This Row],[kWh Savings]]*tbl_Data_old[[#This Row],[Sum of Annuals]]</f>
        <v>284.01035211550578</v>
      </c>
      <c r="AZ141" s="4">
        <f>tbl_Data_old[[#This Row],[Lost Revenue ($/unit)]]/tbl_Data_old[[#This Row],[kWh Savings]]*tbl_Data_old[[#This Row],[Sum of Annuals]]</f>
        <v>654.83740459682554</v>
      </c>
      <c r="BA141" s="4">
        <f>tbl_Data_old[[#This Row],[Incremental Cost ($/unit)]]/tbl_Data_old[[#This Row],[kWh Savings]]*tbl_Data_old[[#This Row],[Sum of Annuals]]</f>
        <v>162.21985409698499</v>
      </c>
      <c r="BB141">
        <f>ROUNDUP(tbl_Data_old[[#This Row],[Adjusted 2025]]/$L141,0)</f>
        <v>1</v>
      </c>
      <c r="BC141">
        <f>ROUNDUP(tbl_Data_old[[#This Row],[Adjusted 2026]]/$L141,0)</f>
        <v>1</v>
      </c>
      <c r="BD141">
        <f>ROUNDUP(tbl_Data_old[[#This Row],[Adjusted 2027]]/$L141,0)</f>
        <v>1</v>
      </c>
      <c r="BE141">
        <f>ROUNDUP(tbl_Data_old[[#This Row],[Adjusted 2028]]/$L141,0)</f>
        <v>1</v>
      </c>
      <c r="BF141">
        <f>ROUNDUP(tbl_Data_old[[#This Row],[Adjusted 2029]]/$L141,0)</f>
        <v>1</v>
      </c>
      <c r="BG141">
        <f>ROUNDUP(tbl_Data_old[[#This Row],[Adjusted 2030]]/$L141,0)</f>
        <v>1</v>
      </c>
      <c r="BH141">
        <f>ROUNDUP(tbl_Data_old[[#This Row],[Adjusted 2031]]/$L141,0)</f>
        <v>1</v>
      </c>
      <c r="BI141">
        <f>ROUNDUP(tbl_Data_old[[#This Row],[Adjusted 2032]]/$L141,0)</f>
        <v>1</v>
      </c>
      <c r="BJ141">
        <f>ROUNDUP(tbl_Data_old[[#This Row],[Adjusted 2033]]/$L141,0)</f>
        <v>1</v>
      </c>
      <c r="BK141">
        <f>ROUNDUP(tbl_Data_old[[#This Row],[Adjusted 2034]]/$L141,0)</f>
        <v>1</v>
      </c>
      <c r="BL141" s="3">
        <f t="shared" si="10"/>
        <v>0.49007397108175033</v>
      </c>
      <c r="BM141" s="3">
        <f t="shared" si="10"/>
        <v>1.008951375759074</v>
      </c>
      <c r="BN141" s="3">
        <f t="shared" si="10"/>
        <v>1.5561784781515617</v>
      </c>
      <c r="BO141" s="3">
        <f t="shared" si="10"/>
        <v>2.1322146128930819</v>
      </c>
      <c r="BP141" s="3">
        <f t="shared" si="10"/>
        <v>2.7374778520828476</v>
      </c>
      <c r="BQ141" s="3">
        <f t="shared" si="10"/>
        <v>3.3706225167982975</v>
      </c>
      <c r="BR141" s="3">
        <f t="shared" si="10"/>
        <v>4.0349876351669778</v>
      </c>
      <c r="BS141" s="3">
        <f t="shared" si="10"/>
        <v>4.7352088195708495</v>
      </c>
      <c r="BT141" s="3">
        <f t="shared" si="10"/>
        <v>5.4761815070294482</v>
      </c>
      <c r="BU141" s="3">
        <f t="shared" si="10"/>
        <v>6.2628956232771467</v>
      </c>
      <c r="BV141">
        <f>VLOOKUP($H141,'1. Set Program Names'!$B$2:$D$15,3,0)*V141</f>
        <v>3.5239534977063993</v>
      </c>
      <c r="BW141">
        <f>VLOOKUP($H141,'1. Set Program Names'!$B$2:$D$15,3,0)*W141</f>
        <v>7.2550225872509602</v>
      </c>
      <c r="BX141">
        <f>VLOOKUP($H141,'1. Set Program Names'!$B$2:$D$15,3,0)*X141</f>
        <v>11.189944609857347</v>
      </c>
      <c r="BY141">
        <f>VLOOKUP($H141,'1. Set Program Names'!$B$2:$D$15,3,0)*Y141</f>
        <v>15.332022483013844</v>
      </c>
      <c r="BZ141">
        <f>VLOOKUP($H141,'1. Set Program Names'!$B$2:$D$15,3,0)*Z141</f>
        <v>19.68426241950311</v>
      </c>
      <c r="CA141">
        <f>VLOOKUP($H141,'1. Set Program Names'!$B$2:$D$15,3,0)*AA141</f>
        <v>24.23698810467517</v>
      </c>
      <c r="CB141">
        <f>VLOOKUP($H141,'1. Set Program Names'!$B$2:$D$15,3,0)*AB141</f>
        <v>29.014209342239937</v>
      </c>
      <c r="CC141">
        <f>VLOOKUP($H141,'1. Set Program Names'!$B$2:$D$15,3,0)*AC141</f>
        <v>34.049259227671463</v>
      </c>
      <c r="CD141">
        <f>VLOOKUP($H141,'1. Set Program Names'!$B$2:$D$15,3,0)*AD141</f>
        <v>39.377339166116236</v>
      </c>
      <c r="CE141">
        <f>VLOOKUP($H141,'1. Set Program Names'!$B$2:$D$15,3,0)*AE141</f>
        <v>45.034329998595311</v>
      </c>
    </row>
    <row r="142" spans="1:83" x14ac:dyDescent="0.25">
      <c r="A142" s="20" t="s">
        <v>117</v>
      </c>
      <c r="B142" s="20" t="s">
        <v>88</v>
      </c>
      <c r="C142" s="20" t="s">
        <v>89</v>
      </c>
      <c r="D142" s="20" t="s">
        <v>90</v>
      </c>
      <c r="E142" s="20" t="s">
        <v>91</v>
      </c>
      <c r="F142" s="20" t="s">
        <v>90</v>
      </c>
      <c r="G142" s="20" t="s">
        <v>92</v>
      </c>
      <c r="H142" s="20" t="s">
        <v>7</v>
      </c>
      <c r="I142" s="20" t="s">
        <v>99</v>
      </c>
      <c r="J142" s="20" t="s">
        <v>97</v>
      </c>
      <c r="K142" s="20" t="s">
        <v>98</v>
      </c>
      <c r="L142" s="20">
        <v>253.96999999999801</v>
      </c>
      <c r="M142" s="20">
        <v>0.107126245482503</v>
      </c>
      <c r="N142" s="20">
        <v>1.33192706841354E-2</v>
      </c>
      <c r="O142" s="20">
        <v>874.99999999999898</v>
      </c>
      <c r="P142" s="20">
        <v>813.468148399999</v>
      </c>
      <c r="Q142" s="20">
        <v>73.238444436258604</v>
      </c>
      <c r="R142" s="20">
        <v>185.54516688855901</v>
      </c>
      <c r="S142" s="20">
        <v>338.09206641710699</v>
      </c>
      <c r="T142" s="20">
        <v>16</v>
      </c>
      <c r="U142" s="20">
        <v>9.9999999999999895E-2</v>
      </c>
      <c r="V142" s="20">
        <v>6.5487472069468394E-2</v>
      </c>
      <c r="W142" s="20">
        <v>0.13860562466543799</v>
      </c>
      <c r="X142" s="20">
        <v>0.218827659169545</v>
      </c>
      <c r="Y142" s="20">
        <v>0.30582915044842701</v>
      </c>
      <c r="Z142" s="20">
        <v>0.39934404798677098</v>
      </c>
      <c r="AA142" s="20">
        <v>0.498882306621792</v>
      </c>
      <c r="AB142" s="20">
        <v>0.60473429994996397</v>
      </c>
      <c r="AC142" s="20">
        <v>0.71745504674597405</v>
      </c>
      <c r="AD142" s="20">
        <v>0.83769066048472196</v>
      </c>
      <c r="AE142" s="20">
        <v>0.96614169591156995</v>
      </c>
      <c r="AF142" t="str">
        <f t="shared" si="9"/>
        <v>Residential</v>
      </c>
      <c r="AG142" t="str">
        <f>tbl_Data_old[[#This Row],[All_Meas_Name_Append]]</f>
        <v>ASHP - ENERGY STAR/CEE Tier 1: 16 SEER/15.2 SEER2_ 9.0 HSPF</v>
      </c>
      <c r="AH142">
        <f>AVERAGEIFS('3. Incentive Adjustment'!G:G,'3. Incentive Adjustment'!A:A,tbl_Data_old[[#This Row],[Trimmed Sector]],'3. Incentive Adjustment'!B:B,tbl_Data_old[[#This Row],[Trimmed Measure Name]])</f>
        <v>8.3636985731950567E-3</v>
      </c>
      <c r="AI142">
        <f>$AH142*tbl_Data_old[[#This Row],[2025 ]]</f>
        <v>5.4771747670956394E-4</v>
      </c>
      <c r="AJ142">
        <f>$AH142*tbl_Data_old[[#This Row],[2026 ]]</f>
        <v>1.1592556652511334E-3</v>
      </c>
      <c r="AK142">
        <f>$AH142*tbl_Data_old[[#This Row],[2027 ]]</f>
        <v>1.8302085807719378E-3</v>
      </c>
      <c r="AL142">
        <f>$AH142*tbl_Data_old[[#This Row],[2028 ]]</f>
        <v>2.5578628292469655E-3</v>
      </c>
      <c r="AM142">
        <f>$AH142*tbl_Data_old[[#This Row],[2029 ]]</f>
        <v>3.3399932443608947E-3</v>
      </c>
      <c r="AN142">
        <f>$AH142*tbl_Data_old[[#This Row],[2030 ]]</f>
        <v>4.1725012360849401E-3</v>
      </c>
      <c r="AO142">
        <f>$AH142*tbl_Data_old[[#This Row],[2031 ]]</f>
        <v>5.0578154016536255E-3</v>
      </c>
      <c r="AP142">
        <f>$AH142*tbl_Data_old[[#This Row],[2032 ]]</f>
        <v>6.0005777508008954E-3</v>
      </c>
      <c r="AQ142">
        <f>$AH142*tbl_Data_old[[#This Row],[2033 ]]</f>
        <v>7.0061921818748941E-3</v>
      </c>
      <c r="AR142">
        <f>$AH142*tbl_Data_old[[#This Row],[2034 ]]</f>
        <v>8.08051792359985E-3</v>
      </c>
      <c r="AS142">
        <f>SUM(tbl_Data_old[[#This Row],[Adjusted 2025]:[Adjusted 2034]])</f>
        <v>3.9752642290354696E-2</v>
      </c>
      <c r="AT142" s="3">
        <f>AVERAGEIFS('3. Incentive Adjustment'!F:F,'3. Incentive Adjustment'!A:A,tbl_Data_old[[#This Row],[Trimmed Sector]],'3. Incentive Adjustment'!B:B,tbl_Data_old[[#This Row],[Trimmed Measure Name]])</f>
        <v>353</v>
      </c>
      <c r="AU142" s="3">
        <f>IFERROR(VLOOKUP(tbl_Data_old[[#This Row],[All_Meas_Name_Append]],'IRA Tax Credits'!$A$3:$D$46,4,0),0)</f>
        <v>0</v>
      </c>
      <c r="AV142" s="4">
        <f>tbl_Data_old[[#This Row],[Adj. per unit Incentive ($)]]/tbl_Data_old[[#This Row],[kWh Savings]]*tbl_Data_old[[#This Row],[Sum of Annuals]]</f>
        <v>5.5253308376955225E-2</v>
      </c>
      <c r="AW142" s="4">
        <f>IFERROR(VLOOKUP(tbl_Data_old[[#This Row],[All_Programs]],'1. Set Program Names'!$B$2:$D$15,3,0)*tbl_Data_old[[#This Row],[Sum of Annuals]],"")</f>
        <v>1.7195466099794977E-2</v>
      </c>
      <c r="AX142" s="4">
        <f>tbl_Data_old[[#This Row],[per unit IRA tax ($)]]/tbl_Data_old[[#This Row],[kWh Savings]]*tbl_Data_old[[#This Row],[Sum of Annuals]]</f>
        <v>0</v>
      </c>
      <c r="AY142" s="4">
        <f>tbl_Data_old[[#This Row],[Avoided Costs ($/unit)]]/tbl_Data_old[[#This Row],[kWh Savings]]*tbl_Data_old[[#This Row],[Sum of Annuals]]</f>
        <v>2.904244850976536E-2</v>
      </c>
      <c r="AZ142" s="4">
        <f>tbl_Data_old[[#This Row],[Lost Revenue ($/unit)]]/tbl_Data_old[[#This Row],[kWh Savings]]*tbl_Data_old[[#This Row],[Sum of Annuals]]</f>
        <v>5.2919844774919088E-2</v>
      </c>
      <c r="BA142" s="4">
        <f>tbl_Data_old[[#This Row],[Incremental Cost ($/unit)]]/tbl_Data_old[[#This Row],[kWh Savings]]*tbl_Data_old[[#This Row],[Sum of Annuals]]</f>
        <v>0.13695933379556874</v>
      </c>
      <c r="BB142">
        <f>ROUNDUP(tbl_Data_old[[#This Row],[Adjusted 2025]]/$L142,0)</f>
        <v>1</v>
      </c>
      <c r="BC142">
        <f>ROUNDUP(tbl_Data_old[[#This Row],[Adjusted 2026]]/$L142,0)</f>
        <v>1</v>
      </c>
      <c r="BD142">
        <f>ROUNDUP(tbl_Data_old[[#This Row],[Adjusted 2027]]/$L142,0)</f>
        <v>1</v>
      </c>
      <c r="BE142">
        <f>ROUNDUP(tbl_Data_old[[#This Row],[Adjusted 2028]]/$L142,0)</f>
        <v>1</v>
      </c>
      <c r="BF142">
        <f>ROUNDUP(tbl_Data_old[[#This Row],[Adjusted 2029]]/$L142,0)</f>
        <v>1</v>
      </c>
      <c r="BG142">
        <f>ROUNDUP(tbl_Data_old[[#This Row],[Adjusted 2030]]/$L142,0)</f>
        <v>1</v>
      </c>
      <c r="BH142">
        <f>ROUNDUP(tbl_Data_old[[#This Row],[Adjusted 2031]]/$L142,0)</f>
        <v>1</v>
      </c>
      <c r="BI142">
        <f>ROUNDUP(tbl_Data_old[[#This Row],[Adjusted 2032]]/$L142,0)</f>
        <v>1</v>
      </c>
      <c r="BJ142">
        <f>ROUNDUP(tbl_Data_old[[#This Row],[Adjusted 2033]]/$L142,0)</f>
        <v>1</v>
      </c>
      <c r="BK142">
        <f>ROUNDUP(tbl_Data_old[[#This Row],[Adjusted 2034]]/$L142,0)</f>
        <v>1</v>
      </c>
      <c r="BL142" s="3">
        <f t="shared" si="10"/>
        <v>9.1022867427343876E-2</v>
      </c>
      <c r="BM142" s="3">
        <f t="shared" si="10"/>
        <v>0.19265183095208094</v>
      </c>
      <c r="BN142" s="3">
        <f t="shared" si="10"/>
        <v>0.30415467845355748</v>
      </c>
      <c r="BO142" s="3">
        <f t="shared" si="10"/>
        <v>0.42508048237309753</v>
      </c>
      <c r="BP142" s="3">
        <f t="shared" si="10"/>
        <v>0.55505945166488668</v>
      </c>
      <c r="BQ142" s="3">
        <f t="shared" si="10"/>
        <v>0.69341045886322783</v>
      </c>
      <c r="BR142" s="3">
        <f t="shared" si="10"/>
        <v>0.84053710234413104</v>
      </c>
      <c r="BS142" s="3">
        <f t="shared" si="10"/>
        <v>0.99721081821211488</v>
      </c>
      <c r="BT142" s="3">
        <f t="shared" si="10"/>
        <v>1.1643296576410962</v>
      </c>
      <c r="BU142" s="3">
        <f t="shared" si="10"/>
        <v>1.3428673412481271</v>
      </c>
      <c r="BV142">
        <f>VLOOKUP($H142,'1. Set Program Names'!$B$2:$D$15,3,0)*V142</f>
        <v>2.8327364951160498E-2</v>
      </c>
      <c r="BW142">
        <f>VLOOKUP($H142,'1. Set Program Names'!$B$2:$D$15,3,0)*W142</f>
        <v>5.9955469192892727E-2</v>
      </c>
      <c r="BX142">
        <f>VLOOKUP($H142,'1. Set Program Names'!$B$2:$D$15,3,0)*X142</f>
        <v>9.4656439877969845E-2</v>
      </c>
      <c r="BY142">
        <f>VLOOKUP($H142,'1. Set Program Names'!$B$2:$D$15,3,0)*Y142</f>
        <v>0.13228994315532583</v>
      </c>
      <c r="BZ142">
        <f>VLOOKUP($H142,'1. Set Program Names'!$B$2:$D$15,3,0)*Z142</f>
        <v>0.17274089579141153</v>
      </c>
      <c r="CA142">
        <f>VLOOKUP($H142,'1. Set Program Names'!$B$2:$D$15,3,0)*AA142</f>
        <v>0.21579732307213145</v>
      </c>
      <c r="CB142">
        <f>VLOOKUP($H142,'1. Set Program Names'!$B$2:$D$15,3,0)*AB142</f>
        <v>0.26158482946166117</v>
      </c>
      <c r="CC142">
        <f>VLOOKUP($H142,'1. Set Program Names'!$B$2:$D$15,3,0)*AC142</f>
        <v>0.31034349476287709</v>
      </c>
      <c r="CD142">
        <f>VLOOKUP($H142,'1. Set Program Names'!$B$2:$D$15,3,0)*AD142</f>
        <v>0.36235280284689164</v>
      </c>
      <c r="CE142">
        <f>VLOOKUP($H142,'1. Set Program Names'!$B$2:$D$15,3,0)*AE142</f>
        <v>0.4179157867872535</v>
      </c>
    </row>
    <row r="143" spans="1:83" x14ac:dyDescent="0.25">
      <c r="A143" s="20" t="s">
        <v>117</v>
      </c>
      <c r="B143" s="20" t="s">
        <v>88</v>
      </c>
      <c r="C143" s="20" t="s">
        <v>89</v>
      </c>
      <c r="D143" s="20" t="s">
        <v>90</v>
      </c>
      <c r="E143" s="20" t="s">
        <v>91</v>
      </c>
      <c r="F143" s="20" t="s">
        <v>90</v>
      </c>
      <c r="G143" s="20" t="s">
        <v>92</v>
      </c>
      <c r="H143" s="20" t="s">
        <v>7</v>
      </c>
      <c r="I143" s="20" t="s">
        <v>100</v>
      </c>
      <c r="J143" s="20" t="s">
        <v>101</v>
      </c>
      <c r="K143" s="20" t="s">
        <v>102</v>
      </c>
      <c r="L143" s="20">
        <v>3443.6666666666601</v>
      </c>
      <c r="M143" s="20">
        <v>1.66949913665645</v>
      </c>
      <c r="N143" s="20">
        <v>0.25022957227107101</v>
      </c>
      <c r="O143" s="20">
        <v>1269.26999999999</v>
      </c>
      <c r="P143" s="20">
        <v>446.40188399649003</v>
      </c>
      <c r="Q143" s="20">
        <v>993.06528260685695</v>
      </c>
      <c r="R143" s="20">
        <v>3363.3816217672702</v>
      </c>
      <c r="S143" s="20">
        <v>6252.5618237134204</v>
      </c>
      <c r="T143" s="20">
        <v>30</v>
      </c>
      <c r="U143" s="20">
        <v>0.1</v>
      </c>
      <c r="V143" s="20">
        <v>1.7923219885722E-2</v>
      </c>
      <c r="W143" s="20">
        <v>3.5270732352264501E-2</v>
      </c>
      <c r="X143" s="20">
        <v>5.2077255208491699E-2</v>
      </c>
      <c r="Y143" s="20">
        <v>6.8394470169180002E-2</v>
      </c>
      <c r="Z143" s="20">
        <v>8.4260869234316402E-2</v>
      </c>
      <c r="AA143" s="20">
        <v>9.9663170037901497E-2</v>
      </c>
      <c r="AB143" s="20">
        <v>0.11469636499592401</v>
      </c>
      <c r="AC143" s="20">
        <v>0.12946331591767199</v>
      </c>
      <c r="AD143" s="20">
        <v>0.14405085001861501</v>
      </c>
      <c r="AE143" s="20">
        <v>0.15852919495457901</v>
      </c>
      <c r="AF143" t="str">
        <f t="shared" si="9"/>
        <v>Residential</v>
      </c>
      <c r="AG143" t="str">
        <f>tbl_Data_old[[#This Row],[All_Meas_Name_Append]]</f>
        <v>Ceiling Insulation(R2 to R38) Residential</v>
      </c>
      <c r="AH143">
        <f>AVERAGEIFS('3. Incentive Adjustment'!G:G,'3. Incentive Adjustment'!A:A,tbl_Data_old[[#This Row],[Trimmed Sector]],'3. Incentive Adjustment'!B:B,tbl_Data_old[[#This Row],[Trimmed Measure Name]])</f>
        <v>0.80543313072084111</v>
      </c>
      <c r="AI143">
        <f>$AH143*tbl_Data_old[[#This Row],[2025 ]]</f>
        <v>1.4435955105155107E-2</v>
      </c>
      <c r="AJ143">
        <f>$AH143*tbl_Data_old[[#This Row],[2026 ]]</f>
        <v>2.8408216381301254E-2</v>
      </c>
      <c r="AK143">
        <f>$AH143*tbl_Data_old[[#This Row],[2027 ]]</f>
        <v>4.1944746701923698E-2</v>
      </c>
      <c r="AL143">
        <f>$AH143*tbl_Data_old[[#This Row],[2028 ]]</f>
        <v>5.5087172232355826E-2</v>
      </c>
      <c r="AM143">
        <f>$AH143*tbl_Data_old[[#This Row],[2029 ]]</f>
        <v>6.7866495704654861E-2</v>
      </c>
      <c r="AN143">
        <f>$AH143*tbl_Data_old[[#This Row],[2030 ]]</f>
        <v>8.0272019061190525E-2</v>
      </c>
      <c r="AO143">
        <f>$AH143*tbl_Data_old[[#This Row],[2031 ]]</f>
        <v>9.2380252340967361E-2</v>
      </c>
      <c r="AP143">
        <f>$AH143*tbl_Data_old[[#This Row],[2032 ]]</f>
        <v>0.10427404385307185</v>
      </c>
      <c r="AQ143">
        <f>$AH143*tbl_Data_old[[#This Row],[2033 ]]</f>
        <v>0.11602332711349142</v>
      </c>
      <c r="AR143">
        <f>$AH143*tbl_Data_old[[#This Row],[2034 ]]</f>
        <v>0.12768466580292115</v>
      </c>
      <c r="AS143">
        <f>SUM(tbl_Data_old[[#This Row],[Adjusted 2025]:[Adjusted 2034]])</f>
        <v>0.72837689429703301</v>
      </c>
      <c r="AT143" s="3">
        <f>AVERAGEIFS('3. Incentive Adjustment'!F:F,'3. Incentive Adjustment'!A:A,tbl_Data_old[[#This Row],[Trimmed Sector]],'3. Incentive Adjustment'!B:B,tbl_Data_old[[#This Row],[Trimmed Measure Name]])</f>
        <v>164</v>
      </c>
      <c r="AU143" s="3">
        <f>IFERROR(VLOOKUP(tbl_Data_old[[#This Row],[All_Meas_Name_Append]],'IRA Tax Credits'!$A$3:$D$46,4,0),0)</f>
        <v>0</v>
      </c>
      <c r="AV143" s="4">
        <f>tbl_Data_old[[#This Row],[Adj. per unit Incentive ($)]]/tbl_Data_old[[#This Row],[kWh Savings]]*tbl_Data_old[[#This Row],[Sum of Annuals]]</f>
        <v>3.4687971347801848E-2</v>
      </c>
      <c r="AW143" s="4">
        <f>IFERROR(VLOOKUP(tbl_Data_old[[#This Row],[All_Programs]],'1. Set Program Names'!$B$2:$D$15,3,0)*tbl_Data_old[[#This Row],[Sum of Annuals]],"")</f>
        <v>0.31506786648990892</v>
      </c>
      <c r="AX143" s="4">
        <f>tbl_Data_old[[#This Row],[per unit IRA tax ($)]]/tbl_Data_old[[#This Row],[kWh Savings]]*tbl_Data_old[[#This Row],[Sum of Annuals]]</f>
        <v>0</v>
      </c>
      <c r="AY143" s="4">
        <f>tbl_Data_old[[#This Row],[Avoided Costs ($/unit)]]/tbl_Data_old[[#This Row],[kWh Savings]]*tbl_Data_old[[#This Row],[Sum of Annuals]]</f>
        <v>0.71139564224138041</v>
      </c>
      <c r="AZ143" s="4">
        <f>tbl_Data_old[[#This Row],[Lost Revenue ($/unit)]]/tbl_Data_old[[#This Row],[kWh Savings]]*tbl_Data_old[[#This Row],[Sum of Annuals]]</f>
        <v>1.3224919840934806</v>
      </c>
      <c r="BA143" s="4">
        <f>tbl_Data_old[[#This Row],[Incremental Cost ($/unit)]]/tbl_Data_old[[#This Row],[kWh Savings]]*tbl_Data_old[[#This Row],[Sum of Annuals]]</f>
        <v>0.26846586215014701</v>
      </c>
      <c r="BB143">
        <f>ROUNDUP(tbl_Data_old[[#This Row],[Adjusted 2025]]/$L143,0)</f>
        <v>1</v>
      </c>
      <c r="BC143">
        <f>ROUNDUP(tbl_Data_old[[#This Row],[Adjusted 2026]]/$L143,0)</f>
        <v>1</v>
      </c>
      <c r="BD143">
        <f>ROUNDUP(tbl_Data_old[[#This Row],[Adjusted 2027]]/$L143,0)</f>
        <v>1</v>
      </c>
      <c r="BE143">
        <f>ROUNDUP(tbl_Data_old[[#This Row],[Adjusted 2028]]/$L143,0)</f>
        <v>1</v>
      </c>
      <c r="BF143">
        <f>ROUNDUP(tbl_Data_old[[#This Row],[Adjusted 2029]]/$L143,0)</f>
        <v>1</v>
      </c>
      <c r="BG143">
        <f>ROUNDUP(tbl_Data_old[[#This Row],[Adjusted 2030]]/$L143,0)</f>
        <v>1</v>
      </c>
      <c r="BH143">
        <f>ROUNDUP(tbl_Data_old[[#This Row],[Adjusted 2031]]/$L143,0)</f>
        <v>1</v>
      </c>
      <c r="BI143">
        <f>ROUNDUP(tbl_Data_old[[#This Row],[Adjusted 2032]]/$L143,0)</f>
        <v>1</v>
      </c>
      <c r="BJ143">
        <f>ROUNDUP(tbl_Data_old[[#This Row],[Adjusted 2033]]/$L143,0)</f>
        <v>1</v>
      </c>
      <c r="BK143">
        <f>ROUNDUP(tbl_Data_old[[#This Row],[Adjusted 2034]]/$L143,0)</f>
        <v>1</v>
      </c>
      <c r="BL143" s="3">
        <f t="shared" si="10"/>
        <v>8.5356927536300842E-4</v>
      </c>
      <c r="BM143" s="3">
        <f t="shared" si="10"/>
        <v>1.6797212580886814E-3</v>
      </c>
      <c r="BN143" s="3">
        <f t="shared" si="10"/>
        <v>2.4801093371965891E-3</v>
      </c>
      <c r="BO143" s="3">
        <f t="shared" si="10"/>
        <v>3.2571947849420794E-3</v>
      </c>
      <c r="BP143" s="3">
        <f t="shared" si="10"/>
        <v>4.0128107311280369E-3</v>
      </c>
      <c r="BQ143" s="3">
        <f t="shared" si="10"/>
        <v>4.7463246209125572E-3</v>
      </c>
      <c r="BR143" s="3">
        <f t="shared" si="10"/>
        <v>5.4622603405279947E-3</v>
      </c>
      <c r="BS143" s="3">
        <f t="shared" si="10"/>
        <v>6.165516545493634E-3</v>
      </c>
      <c r="BT143" s="3">
        <f t="shared" si="10"/>
        <v>6.8602282653333381E-3</v>
      </c>
      <c r="BU143" s="3">
        <f t="shared" si="10"/>
        <v>7.5497399978369005E-3</v>
      </c>
      <c r="BV143">
        <f>VLOOKUP($H143,'1. Set Program Names'!$B$2:$D$15,3,0)*V143</f>
        <v>7.7528964664289228E-3</v>
      </c>
      <c r="BW143">
        <f>VLOOKUP($H143,'1. Set Program Names'!$B$2:$D$15,3,0)*W143</f>
        <v>1.525676401705409E-2</v>
      </c>
      <c r="BX143">
        <f>VLOOKUP($H143,'1. Set Program Names'!$B$2:$D$15,3,0)*X143</f>
        <v>2.2526620242430188E-2</v>
      </c>
      <c r="BY143">
        <f>VLOOKUP($H143,'1. Set Program Names'!$B$2:$D$15,3,0)*Y143</f>
        <v>2.9584820667201993E-2</v>
      </c>
      <c r="BZ143">
        <f>VLOOKUP($H143,'1. Set Program Names'!$B$2:$D$15,3,0)*Z143</f>
        <v>3.6448015452031912E-2</v>
      </c>
      <c r="CA143">
        <f>VLOOKUP($H143,'1. Set Program Names'!$B$2:$D$15,3,0)*AA143</f>
        <v>4.3110459155583009E-2</v>
      </c>
      <c r="CB143">
        <f>VLOOKUP($H143,'1. Set Program Names'!$B$2:$D$15,3,0)*AB143</f>
        <v>4.9613241848219421E-2</v>
      </c>
      <c r="CC143">
        <f>VLOOKUP($H143,'1. Set Program Names'!$B$2:$D$15,3,0)*AC143</f>
        <v>5.6000857597572111E-2</v>
      </c>
      <c r="CD143">
        <f>VLOOKUP($H143,'1. Set Program Names'!$B$2:$D$15,3,0)*AD143</f>
        <v>6.2310864521897512E-2</v>
      </c>
      <c r="CE143">
        <f>VLOOKUP($H143,'1. Set Program Names'!$B$2:$D$15,3,0)*AE143</f>
        <v>6.8573640407562697E-2</v>
      </c>
    </row>
    <row r="144" spans="1:83" x14ac:dyDescent="0.25">
      <c r="A144" s="20" t="s">
        <v>117</v>
      </c>
      <c r="B144" s="20" t="s">
        <v>88</v>
      </c>
      <c r="C144" s="20" t="s">
        <v>89</v>
      </c>
      <c r="D144" s="20" t="s">
        <v>90</v>
      </c>
      <c r="E144" s="20" t="s">
        <v>91</v>
      </c>
      <c r="F144" s="20" t="s">
        <v>90</v>
      </c>
      <c r="G144" s="20" t="s">
        <v>92</v>
      </c>
      <c r="H144" s="20" t="s">
        <v>7</v>
      </c>
      <c r="I144" s="20" t="s">
        <v>103</v>
      </c>
      <c r="J144" s="20" t="s">
        <v>101</v>
      </c>
      <c r="K144" s="20" t="s">
        <v>102</v>
      </c>
      <c r="L144" s="20">
        <v>3523.57666666666</v>
      </c>
      <c r="M144" s="20">
        <v>1.7070465614975301</v>
      </c>
      <c r="N144" s="20">
        <v>0.25623328618049002</v>
      </c>
      <c r="O144" s="20">
        <v>1306.5999999999899</v>
      </c>
      <c r="P144" s="20">
        <v>465.31519597206898</v>
      </c>
      <c r="Q144" s="20">
        <v>1016.10928030304</v>
      </c>
      <c r="R144" s="20">
        <v>3440.61303289528</v>
      </c>
      <c r="S144" s="20">
        <v>6397.6520033667803</v>
      </c>
      <c r="T144" s="20">
        <v>30</v>
      </c>
      <c r="U144" s="20">
        <v>0.1</v>
      </c>
      <c r="V144" s="20">
        <v>1.8337107043088701E-2</v>
      </c>
      <c r="W144" s="20">
        <v>3.6086813372402403E-2</v>
      </c>
      <c r="X144" s="20">
        <v>5.3284481218130203E-2</v>
      </c>
      <c r="Y144" s="20">
        <v>6.9982847764387804E-2</v>
      </c>
      <c r="Z144" s="20">
        <v>8.6221169785791293E-2</v>
      </c>
      <c r="AA144" s="20">
        <v>0.101985726475379</v>
      </c>
      <c r="AB144" s="20">
        <v>0.11737362869488099</v>
      </c>
      <c r="AC144" s="20">
        <v>0.132490068847753</v>
      </c>
      <c r="AD144" s="20">
        <v>0.14742384988022</v>
      </c>
      <c r="AE144" s="20">
        <v>0.16224680073609599</v>
      </c>
      <c r="AF144" t="str">
        <f t="shared" si="9"/>
        <v>Residential</v>
      </c>
      <c r="AG144" t="str">
        <f>tbl_Data_old[[#This Row],[All_Meas_Name_Append]]</f>
        <v>Ceiling Insulation(R2 to R49) Residential</v>
      </c>
      <c r="AH144">
        <f>AVERAGEIFS('3. Incentive Adjustment'!G:G,'3. Incentive Adjustment'!A:A,tbl_Data_old[[#This Row],[Trimmed Sector]],'3. Incentive Adjustment'!B:B,tbl_Data_old[[#This Row],[Trimmed Measure Name]])</f>
        <v>0.79801279130038982</v>
      </c>
      <c r="AI144">
        <f>$AH144*tbl_Data_old[[#This Row],[2025 ]]</f>
        <v>1.4633245975829252E-2</v>
      </c>
      <c r="AJ144">
        <f>$AH144*tbl_Data_old[[#This Row],[2026 ]]</f>
        <v>2.8797738668447075E-2</v>
      </c>
      <c r="AK144">
        <f>$AH144*tbl_Data_old[[#This Row],[2027 ]]</f>
        <v>4.2521697589873279E-2</v>
      </c>
      <c r="AL144">
        <f>$AH144*tbl_Data_old[[#This Row],[2028 ]]</f>
        <v>5.5847207687609354E-2</v>
      </c>
      <c r="AM144">
        <f>$AH144*tbl_Data_old[[#This Row],[2029 ]]</f>
        <v>6.8805596369944141E-2</v>
      </c>
      <c r="AN144">
        <f>$AH144*tbl_Data_old[[#This Row],[2030 ]]</f>
        <v>8.1385914257415259E-2</v>
      </c>
      <c r="AO144">
        <f>$AH144*tbl_Data_old[[#This Row],[2031 ]]</f>
        <v>9.3665657059857507E-2</v>
      </c>
      <c r="AP144">
        <f>$AH144*tbl_Data_old[[#This Row],[2032 ]]</f>
        <v>0.10572876966077618</v>
      </c>
      <c r="AQ144">
        <f>$AH144*tbl_Data_old[[#This Row],[2033 ]]</f>
        <v>0.11764611794716401</v>
      </c>
      <c r="AR144">
        <f>$AH144*tbl_Data_old[[#This Row],[2034 ]]</f>
        <v>0.1294750223349701</v>
      </c>
      <c r="AS144">
        <f>SUM(tbl_Data_old[[#This Row],[Adjusted 2025]:[Adjusted 2034]])</f>
        <v>0.73850696755188627</v>
      </c>
      <c r="AT144" s="3">
        <f>AVERAGEIFS('3. Incentive Adjustment'!F:F,'3. Incentive Adjustment'!A:A,tbl_Data_old[[#This Row],[Trimmed Sector]],'3. Incentive Adjustment'!B:B,tbl_Data_old[[#This Row],[Trimmed Measure Name]])</f>
        <v>164</v>
      </c>
      <c r="AU144" s="3">
        <f>IFERROR(VLOOKUP(tbl_Data_old[[#This Row],[All_Meas_Name_Append]],'IRA Tax Credits'!$A$3:$D$46,4,0),0)</f>
        <v>0</v>
      </c>
      <c r="AV144" s="4">
        <f>tbl_Data_old[[#This Row],[Adj. per unit Incentive ($)]]/tbl_Data_old[[#This Row],[kWh Savings]]*tbl_Data_old[[#This Row],[Sum of Annuals]]</f>
        <v>3.4372784853603178E-2</v>
      </c>
      <c r="AW144" s="4">
        <f>IFERROR(VLOOKUP(tbl_Data_old[[#This Row],[All_Programs]],'1. Set Program Names'!$B$2:$D$15,3,0)*tbl_Data_old[[#This Row],[Sum of Annuals]],"")</f>
        <v>0.31944974706956875</v>
      </c>
      <c r="AX144" s="4">
        <f>tbl_Data_old[[#This Row],[per unit IRA tax ($)]]/tbl_Data_old[[#This Row],[kWh Savings]]*tbl_Data_old[[#This Row],[Sum of Annuals]]</f>
        <v>0</v>
      </c>
      <c r="AY144" s="4">
        <f>tbl_Data_old[[#This Row],[Avoided Costs ($/unit)]]/tbl_Data_old[[#This Row],[kWh Savings]]*tbl_Data_old[[#This Row],[Sum of Annuals]]</f>
        <v>0.721118606976906</v>
      </c>
      <c r="AZ144" s="4">
        <f>tbl_Data_old[[#This Row],[Lost Revenue ($/unit)]]/tbl_Data_old[[#This Row],[kWh Savings]]*tbl_Data_old[[#This Row],[Sum of Annuals]]</f>
        <v>1.3408848529265227</v>
      </c>
      <c r="BA144" s="4">
        <f>tbl_Data_old[[#This Row],[Incremental Cost ($/unit)]]/tbl_Data_old[[#This Row],[kWh Savings]]*tbl_Data_old[[#This Row],[Sum of Annuals]]</f>
        <v>0.27385049201047296</v>
      </c>
      <c r="BB144">
        <f>ROUNDUP(tbl_Data_old[[#This Row],[Adjusted 2025]]/$L144,0)</f>
        <v>1</v>
      </c>
      <c r="BC144">
        <f>ROUNDUP(tbl_Data_old[[#This Row],[Adjusted 2026]]/$L144,0)</f>
        <v>1</v>
      </c>
      <c r="BD144">
        <f>ROUNDUP(tbl_Data_old[[#This Row],[Adjusted 2027]]/$L144,0)</f>
        <v>1</v>
      </c>
      <c r="BE144">
        <f>ROUNDUP(tbl_Data_old[[#This Row],[Adjusted 2028]]/$L144,0)</f>
        <v>1</v>
      </c>
      <c r="BF144">
        <f>ROUNDUP(tbl_Data_old[[#This Row],[Adjusted 2029]]/$L144,0)</f>
        <v>1</v>
      </c>
      <c r="BG144">
        <f>ROUNDUP(tbl_Data_old[[#This Row],[Adjusted 2030]]/$L144,0)</f>
        <v>1</v>
      </c>
      <c r="BH144">
        <f>ROUNDUP(tbl_Data_old[[#This Row],[Adjusted 2031]]/$L144,0)</f>
        <v>1</v>
      </c>
      <c r="BI144">
        <f>ROUNDUP(tbl_Data_old[[#This Row],[Adjusted 2032]]/$L144,0)</f>
        <v>1</v>
      </c>
      <c r="BJ144">
        <f>ROUNDUP(tbl_Data_old[[#This Row],[Adjusted 2033]]/$L144,0)</f>
        <v>1</v>
      </c>
      <c r="BK144">
        <f>ROUNDUP(tbl_Data_old[[#This Row],[Adjusted 2034]]/$L144,0)</f>
        <v>1</v>
      </c>
      <c r="BL144" s="3">
        <f t="shared" si="10"/>
        <v>8.5347527230377254E-4</v>
      </c>
      <c r="BM144" s="3">
        <f t="shared" si="10"/>
        <v>1.679610791234098E-3</v>
      </c>
      <c r="BN144" s="3">
        <f t="shared" si="10"/>
        <v>2.4800524428606262E-3</v>
      </c>
      <c r="BO144" s="3">
        <f t="shared" si="10"/>
        <v>3.2572548064399398E-3</v>
      </c>
      <c r="BP144" s="3">
        <f t="shared" si="10"/>
        <v>4.0130450342227451E-3</v>
      </c>
      <c r="BQ144" s="3">
        <f t="shared" si="10"/>
        <v>4.7467845102359589E-3</v>
      </c>
      <c r="BR144" s="3">
        <f t="shared" si="10"/>
        <v>5.46299312515612E-3</v>
      </c>
      <c r="BS144" s="3">
        <f t="shared" si="10"/>
        <v>6.1665669138360919E-3</v>
      </c>
      <c r="BT144" s="3">
        <f t="shared" si="10"/>
        <v>6.8616390865217803E-3</v>
      </c>
      <c r="BU144" s="3">
        <f t="shared" si="10"/>
        <v>7.5515528220056116E-3</v>
      </c>
      <c r="BV144">
        <f>VLOOKUP($H144,'1. Set Program Names'!$B$2:$D$15,3,0)*V144</f>
        <v>7.9319281527167659E-3</v>
      </c>
      <c r="BW144">
        <f>VLOOKUP($H144,'1. Set Program Names'!$B$2:$D$15,3,0)*W144</f>
        <v>1.5609769319543687E-2</v>
      </c>
      <c r="BX144">
        <f>VLOOKUP($H144,'1. Set Program Names'!$B$2:$D$15,3,0)*X144</f>
        <v>2.304881984294747E-2</v>
      </c>
      <c r="BY144">
        <f>VLOOKUP($H144,'1. Set Program Names'!$B$2:$D$15,3,0)*Y144</f>
        <v>3.0271891803067011E-2</v>
      </c>
      <c r="BZ144">
        <f>VLOOKUP($H144,'1. Set Program Names'!$B$2:$D$15,3,0)*Z144</f>
        <v>3.7295966172693186E-2</v>
      </c>
      <c r="CA144">
        <f>VLOOKUP($H144,'1. Set Program Names'!$B$2:$D$15,3,0)*AA144</f>
        <v>4.4115107857769904E-2</v>
      </c>
      <c r="CB144">
        <f>VLOOKUP($H144,'1. Set Program Names'!$B$2:$D$15,3,0)*AB144</f>
        <v>5.0771323286916553E-2</v>
      </c>
      <c r="CC144">
        <f>VLOOKUP($H144,'1. Set Program Names'!$B$2:$D$15,3,0)*AC144</f>
        <v>5.7310114653279606E-2</v>
      </c>
      <c r="CD144">
        <f>VLOOKUP($H144,'1. Set Program Names'!$B$2:$D$15,3,0)*AD144</f>
        <v>6.3769894700349689E-2</v>
      </c>
      <c r="CE144">
        <f>VLOOKUP($H144,'1. Set Program Names'!$B$2:$D$15,3,0)*AE144</f>
        <v>7.0181733870169766E-2</v>
      </c>
    </row>
    <row r="145" spans="1:83" x14ac:dyDescent="0.25">
      <c r="A145" s="20" t="s">
        <v>117</v>
      </c>
      <c r="B145" s="20" t="s">
        <v>88</v>
      </c>
      <c r="C145" s="20" t="s">
        <v>89</v>
      </c>
      <c r="D145" s="20" t="s">
        <v>90</v>
      </c>
      <c r="E145" s="20" t="s">
        <v>91</v>
      </c>
      <c r="F145" s="20" t="s">
        <v>90</v>
      </c>
      <c r="G145" s="20" t="s">
        <v>92</v>
      </c>
      <c r="H145" s="20" t="s">
        <v>7</v>
      </c>
      <c r="I145" s="20" t="s">
        <v>296</v>
      </c>
      <c r="J145" s="20" t="s">
        <v>97</v>
      </c>
      <c r="K145" s="20" t="s">
        <v>102</v>
      </c>
      <c r="L145" s="20">
        <v>936.45</v>
      </c>
      <c r="M145" s="20">
        <v>0.42562333070119601</v>
      </c>
      <c r="N145" s="20">
        <v>3.9115067461125599E-2</v>
      </c>
      <c r="O145" s="53">
        <v>685.00999995999996</v>
      </c>
      <c r="P145" s="20">
        <v>458.12689399999903</v>
      </c>
      <c r="Q145" s="20">
        <v>270.04819975719403</v>
      </c>
      <c r="R145" s="20">
        <v>763.90764278946904</v>
      </c>
      <c r="S145" s="20">
        <v>1415.5155729468199</v>
      </c>
      <c r="T145" s="20">
        <v>20</v>
      </c>
      <c r="U145" s="20">
        <v>0.1</v>
      </c>
      <c r="V145" s="20">
        <v>0.58951347339992999</v>
      </c>
      <c r="W145" s="20">
        <v>1.1601352730677399</v>
      </c>
      <c r="X145" s="20">
        <v>1.7129952028670601</v>
      </c>
      <c r="Y145" s="20">
        <v>2.24978251637283</v>
      </c>
      <c r="Z145" s="20">
        <v>2.7717538327286002</v>
      </c>
      <c r="AA145" s="20">
        <v>3.2784634782595798</v>
      </c>
      <c r="AB145" s="20">
        <v>3.7730286789682901</v>
      </c>
      <c r="AC145" s="20">
        <v>4.2588261921796402</v>
      </c>
      <c r="AD145" s="20">
        <v>4.7387056482076497</v>
      </c>
      <c r="AE145" s="20">
        <v>5.2149707395174598</v>
      </c>
      <c r="AF145" t="str">
        <f t="shared" si="9"/>
        <v>Residential</v>
      </c>
      <c r="AG145" t="str">
        <f>tbl_Data_old[[#This Row],[All_Meas_Name_Append]]</f>
        <v>Duct Repair</v>
      </c>
      <c r="AH145">
        <f>AVERAGEIFS('3. Incentive Adjustment'!G:G,'3. Incentive Adjustment'!A:A,tbl_Data_old[[#This Row],[Trimmed Sector]],'3. Incentive Adjustment'!B:B,tbl_Data_old[[#This Row],[Trimmed Measure Name]])</f>
        <v>0.36456477469769399</v>
      </c>
      <c r="AI145">
        <f>$AH145*tbl_Data_old[[#This Row],[2025 ]]</f>
        <v>0.2149158466113005</v>
      </c>
      <c r="AJ145">
        <f>$AH145*tbl_Data_old[[#This Row],[2026 ]]</f>
        <v>0.42294445444478829</v>
      </c>
      <c r="AK145">
        <f>$AH145*tbl_Data_old[[#This Row],[2027 ]]</f>
        <v>0.62449771019146039</v>
      </c>
      <c r="AL145">
        <f>$AH145*tbl_Data_old[[#This Row],[2028 ]]</f>
        <v>0.82019145620027178</v>
      </c>
      <c r="AM145">
        <f>$AH145*tbl_Data_old[[#This Row],[2029 ]]</f>
        <v>1.0104838115461718</v>
      </c>
      <c r="AN145">
        <f>$AH145*tbl_Data_old[[#This Row],[2030 ]]</f>
        <v>1.1952122993063219</v>
      </c>
      <c r="AO145">
        <f>$AH145*tbl_Data_old[[#This Row],[2031 ]]</f>
        <v>1.3755133502760126</v>
      </c>
      <c r="AP145">
        <f>$AH145*tbl_Data_old[[#This Row],[2032 ]]</f>
        <v>1.5526180112286085</v>
      </c>
      <c r="AQ145">
        <f>$AH145*tbl_Data_old[[#This Row],[2033 ]]</f>
        <v>1.7275651569975119</v>
      </c>
      <c r="AR145">
        <f>$AH145*tbl_Data_old[[#This Row],[2034 ]]</f>
        <v>1.9011946327072493</v>
      </c>
      <c r="AS145">
        <f>SUM(tbl_Data_old[[#This Row],[Adjusted 2025]:[Adjusted 2034]])</f>
        <v>10.845136729509697</v>
      </c>
      <c r="AT145" s="3">
        <f>AVERAGEIFS('3. Incentive Adjustment'!F:F,'3. Incentive Adjustment'!A:A,tbl_Data_old[[#This Row],[Trimmed Sector]],'3. Incentive Adjustment'!B:B,tbl_Data_old[[#This Row],[Trimmed Measure Name]])</f>
        <v>100</v>
      </c>
      <c r="AU145" s="3">
        <f>IFERROR(VLOOKUP(tbl_Data_old[[#This Row],[All_Meas_Name_Append]],'IRA Tax Credits'!$A$3:$D$46,4,0),0)</f>
        <v>0</v>
      </c>
      <c r="AV145" s="4">
        <f>tbl_Data_old[[#This Row],[Adj. per unit Incentive ($)]]/tbl_Data_old[[#This Row],[kWh Savings]]*tbl_Data_old[[#This Row],[Sum of Annuals]]</f>
        <v>1.1581116695509313</v>
      </c>
      <c r="AW145" s="4">
        <f>IFERROR(VLOOKUP(tbl_Data_old[[#This Row],[All_Programs]],'1. Set Program Names'!$B$2:$D$15,3,0)*tbl_Data_old[[#This Row],[Sum of Annuals]],"")</f>
        <v>4.69118957220042</v>
      </c>
      <c r="AX145" s="4">
        <f>tbl_Data_old[[#This Row],[per unit IRA tax ($)]]/tbl_Data_old[[#This Row],[kWh Savings]]*tbl_Data_old[[#This Row],[Sum of Annuals]]</f>
        <v>0</v>
      </c>
      <c r="AY145" s="4">
        <f>tbl_Data_old[[#This Row],[Avoided Costs ($/unit)]]/tbl_Data_old[[#This Row],[kWh Savings]]*tbl_Data_old[[#This Row],[Sum of Annuals]]</f>
        <v>8.8469035557362847</v>
      </c>
      <c r="AZ145" s="4">
        <f>tbl_Data_old[[#This Row],[Lost Revenue ($/unit)]]/tbl_Data_old[[#This Row],[kWh Savings]]*tbl_Data_old[[#This Row],[Sum of Annuals]]</f>
        <v>16.39325103460785</v>
      </c>
      <c r="BA145" s="4">
        <f>tbl_Data_old[[#This Row],[Incremental Cost ($/unit)]]/tbl_Data_old[[#This Row],[kWh Savings]]*tbl_Data_old[[#This Row],[Sum of Annuals]]</f>
        <v>7.9331807471275901</v>
      </c>
      <c r="BB145">
        <f>ROUNDUP(tbl_Data_old[[#This Row],[Adjusted 2025]]/$L145,0)</f>
        <v>1</v>
      </c>
      <c r="BC145">
        <f>ROUNDUP(tbl_Data_old[[#This Row],[Adjusted 2026]]/$L145,0)</f>
        <v>1</v>
      </c>
      <c r="BD145">
        <f>ROUNDUP(tbl_Data_old[[#This Row],[Adjusted 2027]]/$L145,0)</f>
        <v>1</v>
      </c>
      <c r="BE145">
        <f>ROUNDUP(tbl_Data_old[[#This Row],[Adjusted 2028]]/$L145,0)</f>
        <v>1</v>
      </c>
      <c r="BF145">
        <f>ROUNDUP(tbl_Data_old[[#This Row],[Adjusted 2029]]/$L145,0)</f>
        <v>1</v>
      </c>
      <c r="BG145">
        <f>ROUNDUP(tbl_Data_old[[#This Row],[Adjusted 2030]]/$L145,0)</f>
        <v>1</v>
      </c>
      <c r="BH145">
        <f>ROUNDUP(tbl_Data_old[[#This Row],[Adjusted 2031]]/$L145,0)</f>
        <v>1</v>
      </c>
      <c r="BI145">
        <f>ROUNDUP(tbl_Data_old[[#This Row],[Adjusted 2032]]/$L145,0)</f>
        <v>1</v>
      </c>
      <c r="BJ145">
        <f>ROUNDUP(tbl_Data_old[[#This Row],[Adjusted 2033]]/$L145,0)</f>
        <v>1</v>
      </c>
      <c r="BK145">
        <f>ROUNDUP(tbl_Data_old[[#This Row],[Adjusted 2034]]/$L145,0)</f>
        <v>1</v>
      </c>
      <c r="BL145" s="3">
        <f t="shared" si="10"/>
        <v>6.2951943339199096E-2</v>
      </c>
      <c r="BM145" s="3">
        <f t="shared" si="10"/>
        <v>0.1238865153577596</v>
      </c>
      <c r="BN145" s="3">
        <f t="shared" si="10"/>
        <v>0.18292436359304395</v>
      </c>
      <c r="BO145" s="3">
        <f t="shared" si="10"/>
        <v>0.24024587712881948</v>
      </c>
      <c r="BP145" s="3">
        <f t="shared" si="10"/>
        <v>0.29598524563282613</v>
      </c>
      <c r="BQ145" s="3">
        <f t="shared" si="10"/>
        <v>0.3500948772769053</v>
      </c>
      <c r="BR145" s="3">
        <f t="shared" si="10"/>
        <v>0.40290764899015324</v>
      </c>
      <c r="BS145" s="3">
        <f t="shared" si="10"/>
        <v>0.45478415208282769</v>
      </c>
      <c r="BT145" s="3">
        <f t="shared" si="10"/>
        <v>0.506028687939308</v>
      </c>
      <c r="BU145" s="3">
        <f t="shared" si="10"/>
        <v>0.55688725927892146</v>
      </c>
      <c r="BV145">
        <f>VLOOKUP($H145,'1. Set Program Names'!$B$2:$D$15,3,0)*V145</f>
        <v>0.25500088454951447</v>
      </c>
      <c r="BW145">
        <f>VLOOKUP($H145,'1. Set Program Names'!$B$2:$D$15,3,0)*W145</f>
        <v>0.50182995669832531</v>
      </c>
      <c r="BX145">
        <f>VLOOKUP($H145,'1. Set Program Names'!$B$2:$D$15,3,0)*X145</f>
        <v>0.74097592620048025</v>
      </c>
      <c r="BY145">
        <f>VLOOKUP($H145,'1. Set Program Names'!$B$2:$D$15,3,0)*Y145</f>
        <v>0.97316949926588792</v>
      </c>
      <c r="BZ145">
        <f>VLOOKUP($H145,'1. Set Program Names'!$B$2:$D$15,3,0)*Z145</f>
        <v>1.1989542410675358</v>
      </c>
      <c r="CA145">
        <f>VLOOKUP($H145,'1. Set Program Names'!$B$2:$D$15,3,0)*AA145</f>
        <v>1.4181373702926636</v>
      </c>
      <c r="CB145">
        <f>VLOOKUP($H145,'1. Set Program Names'!$B$2:$D$15,3,0)*AB145</f>
        <v>1.6320672791729181</v>
      </c>
      <c r="CC145">
        <f>VLOOKUP($H145,'1. Set Program Names'!$B$2:$D$15,3,0)*AC145</f>
        <v>1.8422046232210472</v>
      </c>
      <c r="CD145">
        <f>VLOOKUP($H145,'1. Set Program Names'!$B$2:$D$15,3,0)*AD145</f>
        <v>2.0497820430525797</v>
      </c>
      <c r="CE145">
        <f>VLOOKUP($H145,'1. Set Program Names'!$B$2:$D$15,3,0)*AE145</f>
        <v>2.2557960275398616</v>
      </c>
    </row>
    <row r="146" spans="1:83" x14ac:dyDescent="0.25">
      <c r="A146" s="20" t="s">
        <v>117</v>
      </c>
      <c r="B146" s="20" t="s">
        <v>88</v>
      </c>
      <c r="C146" s="20" t="s">
        <v>89</v>
      </c>
      <c r="D146" s="20" t="s">
        <v>90</v>
      </c>
      <c r="E146" s="20" t="s">
        <v>91</v>
      </c>
      <c r="F146" s="20" t="s">
        <v>90</v>
      </c>
      <c r="G146" s="20" t="s">
        <v>92</v>
      </c>
      <c r="H146" s="20" t="s">
        <v>7</v>
      </c>
      <c r="I146" s="20" t="s">
        <v>297</v>
      </c>
      <c r="J146" s="20" t="s">
        <v>97</v>
      </c>
      <c r="K146" s="20" t="s">
        <v>298</v>
      </c>
      <c r="L146" s="20">
        <v>57.93</v>
      </c>
      <c r="M146" s="20">
        <v>0</v>
      </c>
      <c r="N146" s="20">
        <v>1.1014721785810099E-2</v>
      </c>
      <c r="O146" s="53">
        <v>154.1011072</v>
      </c>
      <c r="P146" s="20">
        <v>140.06582681793901</v>
      </c>
      <c r="Q146" s="20">
        <v>16.705528551374101</v>
      </c>
      <c r="R146" s="20">
        <v>46.999759951794701</v>
      </c>
      <c r="S146" s="20">
        <v>87.565611768711094</v>
      </c>
      <c r="T146" s="20">
        <v>20</v>
      </c>
      <c r="U146" s="20">
        <v>0.2</v>
      </c>
      <c r="V146" s="20">
        <v>5.7808296335497701E-2</v>
      </c>
      <c r="W146" s="20">
        <v>0.111592542723187</v>
      </c>
      <c r="X146" s="20">
        <v>0.161444787247287</v>
      </c>
      <c r="Y146" s="20">
        <v>0.20755048862814601</v>
      </c>
      <c r="Z146" s="20">
        <v>0.25008786414314399</v>
      </c>
      <c r="AA146" s="20">
        <v>0.28912797276908703</v>
      </c>
      <c r="AB146" s="20">
        <v>0.32503851931234901</v>
      </c>
      <c r="AC146" s="20">
        <v>0.35818787071977598</v>
      </c>
      <c r="AD146" s="20">
        <v>0.38888481369664601</v>
      </c>
      <c r="AE146" s="20">
        <v>0.417382811294782</v>
      </c>
      <c r="AF146" t="str">
        <f t="shared" si="9"/>
        <v>Residential</v>
      </c>
      <c r="AG146" t="str">
        <f>tbl_Data_old[[#This Row],[All_Meas_Name_Append]]</f>
        <v>Energy Star Windows Residential</v>
      </c>
      <c r="AH146">
        <f>AVERAGEIFS('3. Incentive Adjustment'!G:G,'3. Incentive Adjustment'!A:A,tbl_Data_old[[#This Row],[Trimmed Sector]],'3. Incentive Adjustment'!B:B,tbl_Data_old[[#This Row],[Trimmed Measure Name]])</f>
        <v>1.5721893920937398</v>
      </c>
      <c r="AI146">
        <f>$AH146*tbl_Data_old[[#This Row],[2025 ]]</f>
        <v>9.08855902736809E-2</v>
      </c>
      <c r="AJ146">
        <f>$AH146*tbl_Data_old[[#This Row],[2026 ]]</f>
        <v>0.17544461190616206</v>
      </c>
      <c r="AK146">
        <f>$AH146*tbl_Data_old[[#This Row],[2027 ]]</f>
        <v>0.25382178191901528</v>
      </c>
      <c r="AL146">
        <f>$AH146*tbl_Data_old[[#This Row],[2028 ]]</f>
        <v>0.32630867654504353</v>
      </c>
      <c r="AM146">
        <f>$AH146*tbl_Data_old[[#This Row],[2029 ]]</f>
        <v>0.39318548709723133</v>
      </c>
      <c r="AN146">
        <f>$AH146*tbl_Data_old[[#This Row],[2030 ]]</f>
        <v>0.45456393174512627</v>
      </c>
      <c r="AO146">
        <f>$AH146*tbl_Data_old[[#This Row],[2031 ]]</f>
        <v>0.51102211208473125</v>
      </c>
      <c r="AP146">
        <f>$AH146*tbl_Data_old[[#This Row],[2032 ]]</f>
        <v>0.56313917072227559</v>
      </c>
      <c r="AQ146">
        <f>$AH146*tbl_Data_old[[#This Row],[2033 ]]</f>
        <v>0.61140057884021715</v>
      </c>
      <c r="AR146">
        <f>$AH146*tbl_Data_old[[#This Row],[2034 ]]</f>
        <v>0.65620482835991945</v>
      </c>
      <c r="AS146">
        <f>SUM(tbl_Data_old[[#This Row],[Adjusted 2025]:[Adjusted 2034]])</f>
        <v>4.035976769493403</v>
      </c>
      <c r="AT146" s="3">
        <f>AVERAGEIFS('3. Incentive Adjustment'!F:F,'3. Incentive Adjustment'!A:A,tbl_Data_old[[#This Row],[Trimmed Sector]],'3. Incentive Adjustment'!B:B,tbl_Data_old[[#This Row],[Trimmed Measure Name]])</f>
        <v>150</v>
      </c>
      <c r="AU146" s="3">
        <f>IFERROR(VLOOKUP(tbl_Data_old[[#This Row],[All_Meas_Name_Append]],'IRA Tax Credits'!$A$3:$D$46,4,0),0)</f>
        <v>0</v>
      </c>
      <c r="AV146" s="4">
        <f>tbl_Data_old[[#This Row],[Adj. per unit Incentive ($)]]/tbl_Data_old[[#This Row],[kWh Savings]]*tbl_Data_old[[#This Row],[Sum of Annuals]]</f>
        <v>10.450483608216993</v>
      </c>
      <c r="AW146" s="4">
        <f>IFERROR(VLOOKUP(tbl_Data_old[[#This Row],[All_Programs]],'1. Set Program Names'!$B$2:$D$15,3,0)*tbl_Data_old[[#This Row],[Sum of Annuals]],"")</f>
        <v>1.7458085229273606</v>
      </c>
      <c r="AX146" s="4">
        <f>tbl_Data_old[[#This Row],[per unit IRA tax ($)]]/tbl_Data_old[[#This Row],[kWh Savings]]*tbl_Data_old[[#This Row],[Sum of Annuals]]</f>
        <v>0</v>
      </c>
      <c r="AY146" s="4">
        <f>tbl_Data_old[[#This Row],[Avoided Costs ($/unit)]]/tbl_Data_old[[#This Row],[kWh Savings]]*tbl_Data_old[[#This Row],[Sum of Annuals]]</f>
        <v>3.2744681397757605</v>
      </c>
      <c r="AZ146" s="4">
        <f>tbl_Data_old[[#This Row],[Lost Revenue ($/unit)]]/tbl_Data_old[[#This Row],[kWh Savings]]*tbl_Data_old[[#This Row],[Sum of Annuals]]</f>
        <v>6.1006866028827229</v>
      </c>
      <c r="BA146" s="4">
        <f>tbl_Data_old[[#This Row],[Incremental Cost ($/unit)]]/tbl_Data_old[[#This Row],[kWh Savings]]*tbl_Data_old[[#This Row],[Sum of Annuals]]</f>
        <v>10.736207298677931</v>
      </c>
      <c r="BB146">
        <f>ROUNDUP(tbl_Data_old[[#This Row],[Adjusted 2025]]/$L146,0)</f>
        <v>1</v>
      </c>
      <c r="BC146">
        <f>ROUNDUP(tbl_Data_old[[#This Row],[Adjusted 2026]]/$L146,0)</f>
        <v>1</v>
      </c>
      <c r="BD146">
        <f>ROUNDUP(tbl_Data_old[[#This Row],[Adjusted 2027]]/$L146,0)</f>
        <v>1</v>
      </c>
      <c r="BE146">
        <f>ROUNDUP(tbl_Data_old[[#This Row],[Adjusted 2028]]/$L146,0)</f>
        <v>1</v>
      </c>
      <c r="BF146">
        <f>ROUNDUP(tbl_Data_old[[#This Row],[Adjusted 2029]]/$L146,0)</f>
        <v>1</v>
      </c>
      <c r="BG146">
        <f>ROUNDUP(tbl_Data_old[[#This Row],[Adjusted 2030]]/$L146,0)</f>
        <v>1</v>
      </c>
      <c r="BH146">
        <f>ROUNDUP(tbl_Data_old[[#This Row],[Adjusted 2031]]/$L146,0)</f>
        <v>1</v>
      </c>
      <c r="BI146">
        <f>ROUNDUP(tbl_Data_old[[#This Row],[Adjusted 2032]]/$L146,0)</f>
        <v>1</v>
      </c>
      <c r="BJ146">
        <f>ROUNDUP(tbl_Data_old[[#This Row],[Adjusted 2033]]/$L146,0)</f>
        <v>1</v>
      </c>
      <c r="BK146">
        <f>ROUNDUP(tbl_Data_old[[#This Row],[Adjusted 2034]]/$L146,0)</f>
        <v>1</v>
      </c>
      <c r="BL146" s="3">
        <f t="shared" si="10"/>
        <v>0.14968486881278534</v>
      </c>
      <c r="BM146" s="3">
        <f t="shared" si="10"/>
        <v>0.28895013651783275</v>
      </c>
      <c r="BN146" s="3">
        <f t="shared" si="10"/>
        <v>0.41803414616076384</v>
      </c>
      <c r="BO146" s="3">
        <f t="shared" si="10"/>
        <v>0.53741711193201969</v>
      </c>
      <c r="BP146" s="3">
        <f t="shared" si="10"/>
        <v>0.64756049752238221</v>
      </c>
      <c r="BQ146" s="3">
        <f t="shared" si="10"/>
        <v>0.74864829821099699</v>
      </c>
      <c r="BR146" s="3">
        <f t="shared" si="10"/>
        <v>0.84163262380204296</v>
      </c>
      <c r="BS146" s="3">
        <f t="shared" si="10"/>
        <v>0.92746729860118071</v>
      </c>
      <c r="BT146" s="3">
        <f t="shared" si="10"/>
        <v>1.0069518738908494</v>
      </c>
      <c r="BU146" s="3">
        <f t="shared" si="10"/>
        <v>1.0807426496498758</v>
      </c>
      <c r="BV146">
        <f>VLOOKUP($H146,'1. Set Program Names'!$B$2:$D$15,3,0)*V146</f>
        <v>2.500564849660673E-2</v>
      </c>
      <c r="BW146">
        <f>VLOOKUP($H146,'1. Set Program Names'!$B$2:$D$15,3,0)*W146</f>
        <v>4.8270647555221001E-2</v>
      </c>
      <c r="BX146">
        <f>VLOOKUP($H146,'1. Set Program Names'!$B$2:$D$15,3,0)*X146</f>
        <v>6.9834813641379362E-2</v>
      </c>
      <c r="BY146">
        <f>VLOOKUP($H146,'1. Set Program Names'!$B$2:$D$15,3,0)*Y146</f>
        <v>8.9778369073773678E-2</v>
      </c>
      <c r="BZ146">
        <f>VLOOKUP($H146,'1. Set Program Names'!$B$2:$D$15,3,0)*Z146</f>
        <v>0.10817840380102176</v>
      </c>
      <c r="CA146">
        <f>VLOOKUP($H146,'1. Set Program Names'!$B$2:$D$15,3,0)*AA146</f>
        <v>0.12506565520701446</v>
      </c>
      <c r="CB146">
        <f>VLOOKUP($H146,'1. Set Program Names'!$B$2:$D$15,3,0)*AB146</f>
        <v>0.1405991782669293</v>
      </c>
      <c r="CC146">
        <f>VLOOKUP($H146,'1. Set Program Names'!$B$2:$D$15,3,0)*AC146</f>
        <v>0.15493831437247838</v>
      </c>
      <c r="CD146">
        <f>VLOOKUP($H146,'1. Set Program Names'!$B$2:$D$15,3,0)*AD146</f>
        <v>0.1682166327914324</v>
      </c>
      <c r="CE146">
        <f>VLOOKUP($H146,'1. Set Program Names'!$B$2:$D$15,3,0)*AE146</f>
        <v>0.18054377190413701</v>
      </c>
    </row>
    <row r="147" spans="1:83" x14ac:dyDescent="0.25">
      <c r="A147" s="20" t="s">
        <v>117</v>
      </c>
      <c r="B147" s="20" t="s">
        <v>88</v>
      </c>
      <c r="C147" s="20" t="s">
        <v>89</v>
      </c>
      <c r="D147" s="20" t="s">
        <v>90</v>
      </c>
      <c r="E147" s="20" t="s">
        <v>91</v>
      </c>
      <c r="F147" s="20" t="s">
        <v>90</v>
      </c>
      <c r="G147" s="20" t="s">
        <v>92</v>
      </c>
      <c r="H147" s="20" t="s">
        <v>7</v>
      </c>
      <c r="I147" s="20" t="s">
        <v>107</v>
      </c>
      <c r="J147" s="20" t="s">
        <v>94</v>
      </c>
      <c r="K147" s="20" t="s">
        <v>108</v>
      </c>
      <c r="L147" s="20">
        <v>1663.1099999999899</v>
      </c>
      <c r="M147" s="20">
        <v>6.6647595975018806E-2</v>
      </c>
      <c r="N147" s="20">
        <v>0.309148293753995</v>
      </c>
      <c r="O147" s="20">
        <v>1389.5</v>
      </c>
      <c r="P147" s="20">
        <v>988.78817699699403</v>
      </c>
      <c r="Q147" s="20">
        <v>479.59833573408702</v>
      </c>
      <c r="R147" s="20">
        <v>791.96156853290995</v>
      </c>
      <c r="S147" s="20">
        <v>2127.4894292214699</v>
      </c>
      <c r="T147" s="20">
        <v>15</v>
      </c>
      <c r="U147" s="20">
        <v>0.1</v>
      </c>
      <c r="V147" s="20">
        <v>1.6176759488792301</v>
      </c>
      <c r="W147" s="20">
        <v>3.4167219898001</v>
      </c>
      <c r="X147" s="20">
        <v>5.3829064863267497</v>
      </c>
      <c r="Y147" s="20">
        <v>7.5071217510656103</v>
      </c>
      <c r="Z147" s="20">
        <v>9.7817972842092509</v>
      </c>
      <c r="AA147" s="20">
        <v>12.194028856649201</v>
      </c>
      <c r="AB147" s="20">
        <v>14.7499044769297</v>
      </c>
      <c r="AC147" s="20">
        <v>17.4618169554975</v>
      </c>
      <c r="AD147" s="20">
        <v>20.344212698912401</v>
      </c>
      <c r="AE147" s="20">
        <v>23.412687260292099</v>
      </c>
      <c r="AF147" t="str">
        <f t="shared" si="9"/>
        <v>Residential</v>
      </c>
      <c r="AG147" t="str">
        <f>tbl_Data_old[[#This Row],[All_Meas_Name_Append]]</f>
        <v>Heat Pump Water Heater 50 Gallons- CEE Advanced Tier</v>
      </c>
      <c r="AH147">
        <f>AVERAGEIFS('3. Incentive Adjustment'!G:G,'3. Incentive Adjustment'!A:A,tbl_Data_old[[#This Row],[Trimmed Sector]],'3. Incentive Adjustment'!B:B,tbl_Data_old[[#This Row],[Trimmed Measure Name]])</f>
        <v>0.46049099596140497</v>
      </c>
      <c r="AI147">
        <f>$AH147*tbl_Data_old[[#This Row],[2025 ]]</f>
        <v>0.74492520884220748</v>
      </c>
      <c r="AJ147">
        <f>$AH147*tbl_Data_old[[#This Row],[2026 ]]</f>
        <v>1.5733697120062815</v>
      </c>
      <c r="AK147">
        <f>$AH147*tbl_Data_old[[#This Row],[2027 ]]</f>
        <v>2.478779969055712</v>
      </c>
      <c r="AL147">
        <f>$AH147*tbl_Data_old[[#This Row],[2028 ]]</f>
        <v>3.4569619719517295</v>
      </c>
      <c r="AM147">
        <f>$AH147*tbl_Data_old[[#This Row],[2029 ]]</f>
        <v>4.5044295736980846</v>
      </c>
      <c r="AN147">
        <f>$AH147*tbl_Data_old[[#This Row],[2030 ]]</f>
        <v>5.6152404929805027</v>
      </c>
      <c r="AO147">
        <f>$AH147*tbl_Data_old[[#This Row],[2031 ]]</f>
        <v>6.7921982029169437</v>
      </c>
      <c r="AP147">
        <f>$AH147*tbl_Data_old[[#This Row],[2032 ]]</f>
        <v>8.041009481132793</v>
      </c>
      <c r="AQ147">
        <f>$AH147*tbl_Data_old[[#This Row],[2033 ]]</f>
        <v>9.3683267677728335</v>
      </c>
      <c r="AR147">
        <f>$AH147*tbl_Data_old[[#This Row],[2034 ]]</f>
        <v>10.781331674624807</v>
      </c>
      <c r="AS147">
        <f>SUM(tbl_Data_old[[#This Row],[Adjusted 2025]:[Adjusted 2034]])</f>
        <v>53.356573054981901</v>
      </c>
      <c r="AT147" s="3">
        <f>AVERAGEIFS('3. Incentive Adjustment'!F:F,'3. Incentive Adjustment'!A:A,tbl_Data_old[[#This Row],[Trimmed Sector]],'3. Incentive Adjustment'!B:B,tbl_Data_old[[#This Row],[Trimmed Measure Name]])</f>
        <v>500</v>
      </c>
      <c r="AU147" s="3">
        <f>IFERROR(VLOOKUP(tbl_Data_old[[#This Row],[All_Meas_Name_Append]],'IRA Tax Credits'!$A$3:$D$46,4,0),0)</f>
        <v>1666.6666666666667</v>
      </c>
      <c r="AV147" s="4">
        <f>tbl_Data_old[[#This Row],[Adj. per unit Incentive ($)]]/tbl_Data_old[[#This Row],[kWh Savings]]*tbl_Data_old[[#This Row],[Sum of Annuals]]</f>
        <v>16.041203845500966</v>
      </c>
      <c r="AW147" s="4">
        <f>IFERROR(VLOOKUP(tbl_Data_old[[#This Row],[All_Programs]],'1. Set Program Names'!$B$2:$D$15,3,0)*tbl_Data_old[[#This Row],[Sum of Annuals]],"")</f>
        <v>23.080004002420466</v>
      </c>
      <c r="AX147" s="4">
        <f>tbl_Data_old[[#This Row],[per unit IRA tax ($)]]/tbl_Data_old[[#This Row],[kWh Savings]]*tbl_Data_old[[#This Row],[Sum of Annuals]]</f>
        <v>53.470679485003224</v>
      </c>
      <c r="AY147" s="4">
        <f>tbl_Data_old[[#This Row],[Avoided Costs ($/unit)]]/tbl_Data_old[[#This Row],[kWh Savings]]*tbl_Data_old[[#This Row],[Sum of Annuals]]</f>
        <v>25.408033917278185</v>
      </c>
      <c r="AZ147" s="4">
        <f>tbl_Data_old[[#This Row],[Lost Revenue ($/unit)]]/tbl_Data_old[[#This Row],[kWh Savings]]*tbl_Data_old[[#This Row],[Sum of Annuals]]</f>
        <v>68.254983226580194</v>
      </c>
      <c r="BA147" s="4">
        <f>tbl_Data_old[[#This Row],[Incremental Cost ($/unit)]]/tbl_Data_old[[#This Row],[kWh Savings]]*tbl_Data_old[[#This Row],[Sum of Annuals]]</f>
        <v>44.578505486647181</v>
      </c>
      <c r="BB147">
        <f>ROUNDUP(tbl_Data_old[[#This Row],[Adjusted 2025]]/$L147,0)</f>
        <v>1</v>
      </c>
      <c r="BC147">
        <f>ROUNDUP(tbl_Data_old[[#This Row],[Adjusted 2026]]/$L147,0)</f>
        <v>1</v>
      </c>
      <c r="BD147">
        <f>ROUNDUP(tbl_Data_old[[#This Row],[Adjusted 2027]]/$L147,0)</f>
        <v>1</v>
      </c>
      <c r="BE147">
        <f>ROUNDUP(tbl_Data_old[[#This Row],[Adjusted 2028]]/$L147,0)</f>
        <v>1</v>
      </c>
      <c r="BF147">
        <f>ROUNDUP(tbl_Data_old[[#This Row],[Adjusted 2029]]/$L147,0)</f>
        <v>1</v>
      </c>
      <c r="BG147">
        <f>ROUNDUP(tbl_Data_old[[#This Row],[Adjusted 2030]]/$L147,0)</f>
        <v>1</v>
      </c>
      <c r="BH147">
        <f>ROUNDUP(tbl_Data_old[[#This Row],[Adjusted 2031]]/$L147,0)</f>
        <v>1</v>
      </c>
      <c r="BI147">
        <f>ROUNDUP(tbl_Data_old[[#This Row],[Adjusted 2032]]/$L147,0)</f>
        <v>1</v>
      </c>
      <c r="BJ147">
        <f>ROUNDUP(tbl_Data_old[[#This Row],[Adjusted 2033]]/$L147,0)</f>
        <v>1</v>
      </c>
      <c r="BK147">
        <f>ROUNDUP(tbl_Data_old[[#This Row],[Adjusted 2034]]/$L147,0)</f>
        <v>1</v>
      </c>
      <c r="BL147" s="3">
        <f t="shared" si="10"/>
        <v>0.48634063558009993</v>
      </c>
      <c r="BM147" s="3">
        <f t="shared" si="10"/>
        <v>1.0272086602209478</v>
      </c>
      <c r="BN147" s="3">
        <f t="shared" si="10"/>
        <v>1.6183254524134851</v>
      </c>
      <c r="BO147" s="3">
        <f t="shared" si="10"/>
        <v>2.2569528627287601</v>
      </c>
      <c r="BP147" s="3">
        <f t="shared" si="10"/>
        <v>2.9408148842257309</v>
      </c>
      <c r="BQ147" s="3">
        <f t="shared" si="10"/>
        <v>3.6660319692170917</v>
      </c>
      <c r="BR147" s="3">
        <f t="shared" si="10"/>
        <v>4.4344344261443291</v>
      </c>
      <c r="BS147" s="3">
        <f t="shared" si="10"/>
        <v>5.2497480489858184</v>
      </c>
      <c r="BT147" s="3">
        <f t="shared" si="10"/>
        <v>6.1163160280776756</v>
      </c>
      <c r="BU147" s="3">
        <f t="shared" si="10"/>
        <v>7.0388270349803204</v>
      </c>
      <c r="BV147">
        <f>VLOOKUP($H147,'1. Set Program Names'!$B$2:$D$15,3,0)*V147</f>
        <v>0.69974447827222097</v>
      </c>
      <c r="BW147">
        <f>VLOOKUP($H147,'1. Set Program Names'!$B$2:$D$15,3,0)*W147</f>
        <v>1.4779426916808212</v>
      </c>
      <c r="BX147">
        <f>VLOOKUP($H147,'1. Set Program Names'!$B$2:$D$15,3,0)*X147</f>
        <v>2.3284385809608592</v>
      </c>
      <c r="BY147">
        <f>VLOOKUP($H147,'1. Set Program Names'!$B$2:$D$15,3,0)*Y147</f>
        <v>3.2472925103849848</v>
      </c>
      <c r="BZ147">
        <f>VLOOKUP($H147,'1. Set Program Names'!$B$2:$D$15,3,0)*Z147</f>
        <v>4.23122977253007</v>
      </c>
      <c r="CA147">
        <f>VLOOKUP($H147,'1. Set Program Names'!$B$2:$D$15,3,0)*AA147</f>
        <v>5.2746684935534169</v>
      </c>
      <c r="CB147">
        <f>VLOOKUP($H147,'1. Set Program Names'!$B$2:$D$15,3,0)*AB147</f>
        <v>6.3802421121022741</v>
      </c>
      <c r="CC147">
        <f>VLOOKUP($H147,'1. Set Program Names'!$B$2:$D$15,3,0)*AC147</f>
        <v>7.5533112819505943</v>
      </c>
      <c r="CD147">
        <f>VLOOKUP($H147,'1. Set Program Names'!$B$2:$D$15,3,0)*AD147</f>
        <v>8.80012496366931</v>
      </c>
      <c r="CE147">
        <f>VLOOKUP($H147,'1. Set Program Names'!$B$2:$D$15,3,0)*AE147</f>
        <v>10.127429194489965</v>
      </c>
    </row>
    <row r="148" spans="1:83" x14ac:dyDescent="0.25">
      <c r="A148" s="20" t="s">
        <v>117</v>
      </c>
      <c r="B148" s="20" t="s">
        <v>88</v>
      </c>
      <c r="C148" s="20" t="s">
        <v>89</v>
      </c>
      <c r="D148" s="20" t="s">
        <v>90</v>
      </c>
      <c r="E148" s="20" t="s">
        <v>91</v>
      </c>
      <c r="F148" s="20" t="s">
        <v>90</v>
      </c>
      <c r="G148" s="20" t="s">
        <v>92</v>
      </c>
      <c r="H148" s="20" t="s">
        <v>7</v>
      </c>
      <c r="I148" s="20" t="s">
        <v>109</v>
      </c>
      <c r="J148" s="20" t="s">
        <v>94</v>
      </c>
      <c r="K148" s="20" t="s">
        <v>95</v>
      </c>
      <c r="L148" s="20">
        <v>1590.11499999999</v>
      </c>
      <c r="M148" s="20">
        <v>6.3722388822036402E-2</v>
      </c>
      <c r="N148" s="20">
        <v>0.29557957027655002</v>
      </c>
      <c r="O148" s="20">
        <v>1389.5</v>
      </c>
      <c r="P148" s="20">
        <v>1006.47372867305</v>
      </c>
      <c r="Q148" s="20">
        <v>458.54844696129999</v>
      </c>
      <c r="R148" s="20">
        <v>757.20185047754296</v>
      </c>
      <c r="S148" s="20">
        <v>2034.1125083407001</v>
      </c>
      <c r="T148" s="20">
        <v>15</v>
      </c>
      <c r="U148" s="20">
        <v>0.1</v>
      </c>
      <c r="V148" s="20">
        <v>2.3117767539491498</v>
      </c>
      <c r="W148" s="20">
        <v>4.8816904602180999</v>
      </c>
      <c r="X148" s="20">
        <v>7.6893244031587997</v>
      </c>
      <c r="Y148" s="20">
        <v>10.7216194121716</v>
      </c>
      <c r="Z148" s="20">
        <v>13.967739014887099</v>
      </c>
      <c r="AA148" s="20">
        <v>17.409259023403798</v>
      </c>
      <c r="AB148" s="20">
        <v>21.054867920348599</v>
      </c>
      <c r="AC148" s="20">
        <v>24.922246382230899</v>
      </c>
      <c r="AD148" s="20">
        <v>29.031998992259599</v>
      </c>
      <c r="AE148" s="20">
        <v>33.4063638480851</v>
      </c>
      <c r="AF148" t="str">
        <f t="shared" si="9"/>
        <v>Residential</v>
      </c>
      <c r="AG148" t="str">
        <f>tbl_Data_old[[#This Row],[All_Meas_Name_Append]]</f>
        <v>Heat Pump Water Heater 50 Gallons-ENERGY STAR</v>
      </c>
      <c r="AH148">
        <f>AVERAGEIFS('3. Incentive Adjustment'!G:G,'3. Incentive Adjustment'!A:A,tbl_Data_old[[#This Row],[Trimmed Sector]],'3. Incentive Adjustment'!B:B,tbl_Data_old[[#This Row],[Trimmed Measure Name]])</f>
        <v>0.43153525594917136</v>
      </c>
      <c r="AI148">
        <f>$AH148*tbl_Data_old[[#This Row],[2025 ]]</f>
        <v>0.99761317321279086</v>
      </c>
      <c r="AJ148">
        <f>$AH148*tbl_Data_old[[#This Row],[2026 ]]</f>
        <v>2.106621542214846</v>
      </c>
      <c r="AK148">
        <f>$AH148*tbl_Data_old[[#This Row],[2027 ]]</f>
        <v>3.318214574393342</v>
      </c>
      <c r="AL148">
        <f>$AH148*tbl_Data_old[[#This Row],[2028 ]]</f>
        <v>4.6267567772210754</v>
      </c>
      <c r="AM148">
        <f>$AH148*tbl_Data_old[[#This Row],[2029 ]]</f>
        <v>6.0275718308205315</v>
      </c>
      <c r="AN148">
        <f>$AH148*tbl_Data_old[[#This Row],[2030 ]]</f>
        <v>7.5127090485499792</v>
      </c>
      <c r="AO148">
        <f>$AH148*tbl_Data_old[[#This Row],[2031 ]]</f>
        <v>9.0859178169836294</v>
      </c>
      <c r="AP148">
        <f>$AH148*tbl_Data_old[[#This Row],[2032 ]]</f>
        <v>10.754827971384321</v>
      </c>
      <c r="AQ148">
        <f>$AH148*tbl_Data_old[[#This Row],[2033 ]]</f>
        <v>12.528331115840832</v>
      </c>
      <c r="AR148">
        <f>$AH148*tbl_Data_old[[#This Row],[2034 ]]</f>
        <v>14.416023773514549</v>
      </c>
      <c r="AS148">
        <f>SUM(tbl_Data_old[[#This Row],[Adjusted 2025]:[Adjusted 2034]])</f>
        <v>71.374587624135899</v>
      </c>
      <c r="AT148" s="3">
        <f>AVERAGEIFS('3. Incentive Adjustment'!F:F,'3. Incentive Adjustment'!A:A,tbl_Data_old[[#This Row],[Trimmed Sector]],'3. Incentive Adjustment'!B:B,tbl_Data_old[[#This Row],[Trimmed Measure Name]])</f>
        <v>500</v>
      </c>
      <c r="AU148" s="3">
        <f>IFERROR(VLOOKUP(tbl_Data_old[[#This Row],[All_Meas_Name_Append]],'IRA Tax Credits'!$A$3:$D$46,4,0),0)</f>
        <v>1666.6666666666667</v>
      </c>
      <c r="AV148" s="4">
        <f>tbl_Data_old[[#This Row],[Adj. per unit Incentive ($)]]/tbl_Data_old[[#This Row],[kWh Savings]]*tbl_Data_old[[#This Row],[Sum of Annuals]]</f>
        <v>22.443215624070064</v>
      </c>
      <c r="AW148" s="4">
        <f>IFERROR(VLOOKUP(tbl_Data_old[[#This Row],[All_Programs]],'1. Set Program Names'!$B$2:$D$15,3,0)*tbl_Data_old[[#This Row],[Sum of Annuals]],"")</f>
        <v>30.873905007704689</v>
      </c>
      <c r="AX148" s="4">
        <f>tbl_Data_old[[#This Row],[per unit IRA tax ($)]]/tbl_Data_old[[#This Row],[kWh Savings]]*tbl_Data_old[[#This Row],[Sum of Annuals]]</f>
        <v>74.810718746900221</v>
      </c>
      <c r="AY148" s="4">
        <f>tbl_Data_old[[#This Row],[Avoided Costs ($/unit)]]/tbl_Data_old[[#This Row],[kWh Savings]]*tbl_Data_old[[#This Row],[Sum of Annuals]]</f>
        <v>33.98808880242472</v>
      </c>
      <c r="AZ148" s="4">
        <f>tbl_Data_old[[#This Row],[Lost Revenue ($/unit)]]/tbl_Data_old[[#This Row],[kWh Savings]]*tbl_Data_old[[#This Row],[Sum of Annuals]]</f>
        <v>91.304051256616717</v>
      </c>
      <c r="BA148" s="4">
        <f>tbl_Data_old[[#This Row],[Incremental Cost ($/unit)]]/tbl_Data_old[[#This Row],[kWh Savings]]*tbl_Data_old[[#This Row],[Sum of Annuals]]</f>
        <v>62.369696219290716</v>
      </c>
      <c r="BB148">
        <f>ROUNDUP(tbl_Data_old[[#This Row],[Adjusted 2025]]/$L148,0)</f>
        <v>1</v>
      </c>
      <c r="BC148">
        <f>ROUNDUP(tbl_Data_old[[#This Row],[Adjusted 2026]]/$L148,0)</f>
        <v>1</v>
      </c>
      <c r="BD148">
        <f>ROUNDUP(tbl_Data_old[[#This Row],[Adjusted 2027]]/$L148,0)</f>
        <v>1</v>
      </c>
      <c r="BE148">
        <f>ROUNDUP(tbl_Data_old[[#This Row],[Adjusted 2028]]/$L148,0)</f>
        <v>1</v>
      </c>
      <c r="BF148">
        <f>ROUNDUP(tbl_Data_old[[#This Row],[Adjusted 2029]]/$L148,0)</f>
        <v>1</v>
      </c>
      <c r="BG148">
        <f>ROUNDUP(tbl_Data_old[[#This Row],[Adjusted 2030]]/$L148,0)</f>
        <v>1</v>
      </c>
      <c r="BH148">
        <f>ROUNDUP(tbl_Data_old[[#This Row],[Adjusted 2031]]/$L148,0)</f>
        <v>1</v>
      </c>
      <c r="BI148">
        <f>ROUNDUP(tbl_Data_old[[#This Row],[Adjusted 2032]]/$L148,0)</f>
        <v>1</v>
      </c>
      <c r="BJ148">
        <f>ROUNDUP(tbl_Data_old[[#This Row],[Adjusted 2033]]/$L148,0)</f>
        <v>1</v>
      </c>
      <c r="BK148">
        <f>ROUNDUP(tbl_Data_old[[#This Row],[Adjusted 2034]]/$L148,0)</f>
        <v>1</v>
      </c>
      <c r="BL148" s="3">
        <f t="shared" si="10"/>
        <v>0.72692124593163521</v>
      </c>
      <c r="BM148" s="3">
        <f t="shared" si="10"/>
        <v>1.5350117633687281</v>
      </c>
      <c r="BN148" s="3">
        <f t="shared" si="10"/>
        <v>2.4178516658099722</v>
      </c>
      <c r="BO148" s="3">
        <f t="shared" si="10"/>
        <v>3.3713345928350047</v>
      </c>
      <c r="BP148" s="3">
        <f t="shared" si="10"/>
        <v>4.39205309518091</v>
      </c>
      <c r="BQ148" s="3">
        <f t="shared" si="10"/>
        <v>5.4742138220832794</v>
      </c>
      <c r="BR148" s="3">
        <f t="shared" si="10"/>
        <v>6.620548803183647</v>
      </c>
      <c r="BS148" s="3">
        <f t="shared" si="10"/>
        <v>7.8366175975420189</v>
      </c>
      <c r="BT148" s="3">
        <f t="shared" si="10"/>
        <v>9.1288991652364064</v>
      </c>
      <c r="BU148" s="3">
        <f t="shared" si="10"/>
        <v>10.504386112980919</v>
      </c>
      <c r="BV148">
        <f>VLOOKUP($H148,'1. Set Program Names'!$B$2:$D$15,3,0)*V148</f>
        <v>0.99998582515537215</v>
      </c>
      <c r="BW148">
        <f>VLOOKUP($H148,'1. Set Program Names'!$B$2:$D$15,3,0)*W148</f>
        <v>2.1116317804801672</v>
      </c>
      <c r="BX148">
        <f>VLOOKUP($H148,'1. Set Program Names'!$B$2:$D$15,3,0)*X148</f>
        <v>3.3261063790198597</v>
      </c>
      <c r="BY148">
        <f>VLOOKUP($H148,'1. Set Program Names'!$B$2:$D$15,3,0)*Y148</f>
        <v>4.6377607251941875</v>
      </c>
      <c r="BZ148">
        <f>VLOOKUP($H148,'1. Set Program Names'!$B$2:$D$15,3,0)*Z148</f>
        <v>6.0419073773003227</v>
      </c>
      <c r="CA148">
        <f>VLOOKUP($H148,'1. Set Program Names'!$B$2:$D$15,3,0)*AA148</f>
        <v>7.5305767393510985</v>
      </c>
      <c r="CB148">
        <f>VLOOKUP($H148,'1. Set Program Names'!$B$2:$D$15,3,0)*AB148</f>
        <v>9.1075271151940509</v>
      </c>
      <c r="CC148">
        <f>VLOOKUP($H148,'1. Set Program Names'!$B$2:$D$15,3,0)*AC148</f>
        <v>10.780406486347443</v>
      </c>
      <c r="CD148">
        <f>VLOOKUP($H148,'1. Set Program Names'!$B$2:$D$15,3,0)*AD148</f>
        <v>12.558127604056368</v>
      </c>
      <c r="CE148">
        <f>VLOOKUP($H148,'1. Set Program Names'!$B$2:$D$15,3,0)*AE148</f>
        <v>14.450309815167719</v>
      </c>
    </row>
    <row r="149" spans="1:83" x14ac:dyDescent="0.25">
      <c r="A149" s="20" t="s">
        <v>117</v>
      </c>
      <c r="B149" s="20" t="s">
        <v>88</v>
      </c>
      <c r="C149" s="20" t="s">
        <v>89</v>
      </c>
      <c r="D149" s="20" t="s">
        <v>90</v>
      </c>
      <c r="E149" s="20" t="s">
        <v>91</v>
      </c>
      <c r="F149" s="20" t="s">
        <v>90</v>
      </c>
      <c r="G149" s="20" t="s">
        <v>92</v>
      </c>
      <c r="H149" s="20" t="s">
        <v>7</v>
      </c>
      <c r="I149" s="20" t="s">
        <v>110</v>
      </c>
      <c r="J149" s="20" t="s">
        <v>94</v>
      </c>
      <c r="K149" s="20" t="s">
        <v>108</v>
      </c>
      <c r="L149" s="20">
        <v>461.909999999999</v>
      </c>
      <c r="M149" s="20">
        <v>1.8510616289253799E-2</v>
      </c>
      <c r="N149" s="20">
        <v>8.5862443475120898E-2</v>
      </c>
      <c r="O149" s="20">
        <v>1729.5</v>
      </c>
      <c r="P149" s="20">
        <v>1631.9996867488601</v>
      </c>
      <c r="Q149" s="20">
        <v>133.20301559063</v>
      </c>
      <c r="R149" s="20">
        <v>219.958372038552</v>
      </c>
      <c r="S149" s="20">
        <v>590.88613636602201</v>
      </c>
      <c r="T149" s="20">
        <v>15</v>
      </c>
      <c r="U149" s="20">
        <v>0.1</v>
      </c>
      <c r="V149" s="20">
        <v>1.2435592754959801</v>
      </c>
      <c r="W149" s="20">
        <v>2.6267882650070802</v>
      </c>
      <c r="X149" s="20">
        <v>4.1387629729877897</v>
      </c>
      <c r="Y149" s="20">
        <v>5.7724899517903498</v>
      </c>
      <c r="Z149" s="20">
        <v>7.5221512800842802</v>
      </c>
      <c r="AA149" s="20">
        <v>9.3778208231788192</v>
      </c>
      <c r="AB149" s="20">
        <v>11.3441789185934</v>
      </c>
      <c r="AC149" s="20">
        <v>13.4307566090463</v>
      </c>
      <c r="AD149" s="20">
        <v>15.6486659813296</v>
      </c>
      <c r="AE149" s="20">
        <v>18.009904388757501</v>
      </c>
      <c r="AF149" t="str">
        <f t="shared" si="9"/>
        <v>Residential</v>
      </c>
      <c r="AG149" t="str">
        <f>tbl_Data_old[[#This Row],[All_Meas_Name_Append]]</f>
        <v>Heat Pump Water Heater 80 Gallons-ENERGY STAR</v>
      </c>
      <c r="AH149">
        <f>AVERAGEIFS('3. Incentive Adjustment'!G:G,'3. Incentive Adjustment'!A:A,tbl_Data_old[[#This Row],[Trimmed Sector]],'3. Incentive Adjustment'!B:B,tbl_Data_old[[#This Row],[Trimmed Measure Name]])</f>
        <v>1.5551101216712928E-3</v>
      </c>
      <c r="AI149">
        <f>$AH149*tbl_Data_old[[#This Row],[2025 ]]</f>
        <v>1.9338716162220183E-3</v>
      </c>
      <c r="AJ149">
        <f>$AH149*tbl_Data_old[[#This Row],[2026 ]]</f>
        <v>4.0849450183998845E-3</v>
      </c>
      <c r="AK149">
        <f>$AH149*tbl_Data_old[[#This Row],[2027 ]]</f>
        <v>6.4362321904916833E-3</v>
      </c>
      <c r="AL149">
        <f>$AH149*tbl_Data_old[[#This Row],[2028 ]]</f>
        <v>8.9768575512750061E-3</v>
      </c>
      <c r="AM149">
        <f>$AH149*tbl_Data_old[[#This Row],[2029 ]]</f>
        <v>1.1697773592401735E-2</v>
      </c>
      <c r="AN149">
        <f>$AH149*tbl_Data_old[[#This Row],[2030 ]]</f>
        <v>1.4583544081345197E-2</v>
      </c>
      <c r="AO149">
        <f>$AH149*tbl_Data_old[[#This Row],[2031 ]]</f>
        <v>1.7641447458354696E-2</v>
      </c>
      <c r="AP149">
        <f>$AH149*tbl_Data_old[[#This Row],[2032 ]]</f>
        <v>2.0886305544431511E-2</v>
      </c>
      <c r="AQ149">
        <f>$AH149*tbl_Data_old[[#This Row],[2033 ]]</f>
        <v>2.4335398858218896E-2</v>
      </c>
      <c r="AR149">
        <f>$AH149*tbl_Data_old[[#This Row],[2034 ]]</f>
        <v>2.8007384605289027E-2</v>
      </c>
      <c r="AS149">
        <f>SUM(tbl_Data_old[[#This Row],[Adjusted 2025]:[Adjusted 2034]])</f>
        <v>0.13858376051642965</v>
      </c>
      <c r="AT149" s="3">
        <f>AVERAGEIFS('3. Incentive Adjustment'!F:F,'3. Incentive Adjustment'!A:A,tbl_Data_old[[#This Row],[Trimmed Sector]],'3. Incentive Adjustment'!B:B,tbl_Data_old[[#This Row],[Trimmed Measure Name]])</f>
        <v>500</v>
      </c>
      <c r="AU149" s="3">
        <f>IFERROR(VLOOKUP(tbl_Data_old[[#This Row],[All_Meas_Name_Append]],'IRA Tax Credits'!$A$3:$D$46,4,0),0)</f>
        <v>1666.6666666666667</v>
      </c>
      <c r="AV149" s="4">
        <f>tbl_Data_old[[#This Row],[Adj. per unit Incentive ($)]]/tbl_Data_old[[#This Row],[kWh Savings]]*tbl_Data_old[[#This Row],[Sum of Annuals]]</f>
        <v>0.15001164784961352</v>
      </c>
      <c r="AW149" s="4">
        <f>IFERROR(VLOOKUP(tbl_Data_old[[#This Row],[All_Programs]],'1. Set Program Names'!$B$2:$D$15,3,0)*tbl_Data_old[[#This Row],[Sum of Annuals]],"")</f>
        <v>5.9946011601864496E-2</v>
      </c>
      <c r="AX149" s="4">
        <f>tbl_Data_old[[#This Row],[per unit IRA tax ($)]]/tbl_Data_old[[#This Row],[kWh Savings]]*tbl_Data_old[[#This Row],[Sum of Annuals]]</f>
        <v>0.50003882616537842</v>
      </c>
      <c r="AY149" s="4">
        <f>tbl_Data_old[[#This Row],[Avoided Costs ($/unit)]]/tbl_Data_old[[#This Row],[kWh Savings]]*tbl_Data_old[[#This Row],[Sum of Annuals]]</f>
        <v>6.5992635695643079E-2</v>
      </c>
      <c r="AZ149" s="4">
        <f>tbl_Data_old[[#This Row],[Lost Revenue ($/unit)]]/tbl_Data_old[[#This Row],[kWh Savings]]*tbl_Data_old[[#This Row],[Sum of Annuals]]</f>
        <v>0.17727960601551679</v>
      </c>
      <c r="BA149" s="4">
        <f>tbl_Data_old[[#This Row],[Incremental Cost ($/unit)]]/tbl_Data_old[[#This Row],[kWh Savings]]*tbl_Data_old[[#This Row],[Sum of Annuals]]</f>
        <v>0.51889028991181307</v>
      </c>
      <c r="BB149">
        <f>ROUNDUP(tbl_Data_old[[#This Row],[Adjusted 2025]]/$L149,0)</f>
        <v>1</v>
      </c>
      <c r="BC149">
        <f>ROUNDUP(tbl_Data_old[[#This Row],[Adjusted 2026]]/$L149,0)</f>
        <v>1</v>
      </c>
      <c r="BD149">
        <f>ROUNDUP(tbl_Data_old[[#This Row],[Adjusted 2027]]/$L149,0)</f>
        <v>1</v>
      </c>
      <c r="BE149">
        <f>ROUNDUP(tbl_Data_old[[#This Row],[Adjusted 2028]]/$L149,0)</f>
        <v>1</v>
      </c>
      <c r="BF149">
        <f>ROUNDUP(tbl_Data_old[[#This Row],[Adjusted 2029]]/$L149,0)</f>
        <v>1</v>
      </c>
      <c r="BG149">
        <f>ROUNDUP(tbl_Data_old[[#This Row],[Adjusted 2030]]/$L149,0)</f>
        <v>1</v>
      </c>
      <c r="BH149">
        <f>ROUNDUP(tbl_Data_old[[#This Row],[Adjusted 2031]]/$L149,0)</f>
        <v>1</v>
      </c>
      <c r="BI149">
        <f>ROUNDUP(tbl_Data_old[[#This Row],[Adjusted 2032]]/$L149,0)</f>
        <v>1</v>
      </c>
      <c r="BJ149">
        <f>ROUNDUP(tbl_Data_old[[#This Row],[Adjusted 2033]]/$L149,0)</f>
        <v>1</v>
      </c>
      <c r="BK149">
        <f>ROUNDUP(tbl_Data_old[[#This Row],[Adjusted 2034]]/$L149,0)</f>
        <v>1</v>
      </c>
      <c r="BL149" s="3">
        <f t="shared" si="10"/>
        <v>1.3461056001125575</v>
      </c>
      <c r="BM149" s="3">
        <f t="shared" si="10"/>
        <v>2.8433983514181183</v>
      </c>
      <c r="BN149" s="3">
        <f t="shared" si="10"/>
        <v>4.4800534443807223</v>
      </c>
      <c r="BO149" s="3">
        <f t="shared" si="10"/>
        <v>6.2485007380121269</v>
      </c>
      <c r="BP149" s="3">
        <f t="shared" si="10"/>
        <v>8.142442553835485</v>
      </c>
      <c r="BQ149" s="3">
        <f t="shared" si="10"/>
        <v>10.151134228722954</v>
      </c>
      <c r="BR149" s="3">
        <f t="shared" si="10"/>
        <v>12.279642049959326</v>
      </c>
      <c r="BS149" s="3">
        <f t="shared" si="10"/>
        <v>14.538283008644898</v>
      </c>
      <c r="BT149" s="3">
        <f t="shared" si="10"/>
        <v>16.939085515933446</v>
      </c>
      <c r="BU149" s="3">
        <f t="shared" si="10"/>
        <v>19.495036250305841</v>
      </c>
      <c r="BV149">
        <f>VLOOKUP($H149,'1. Set Program Names'!$B$2:$D$15,3,0)*V149</f>
        <v>0.53791597571528205</v>
      </c>
      <c r="BW149">
        <f>VLOOKUP($H149,'1. Set Program Names'!$B$2:$D$15,3,0)*W149</f>
        <v>1.1362477048029578</v>
      </c>
      <c r="BX149">
        <f>VLOOKUP($H149,'1. Set Program Names'!$B$2:$D$15,3,0)*X149</f>
        <v>1.7902698863961028</v>
      </c>
      <c r="BY149">
        <f>VLOOKUP($H149,'1. Set Program Names'!$B$2:$D$15,3,0)*Y149</f>
        <v>2.496957423670477</v>
      </c>
      <c r="BZ149">
        <f>VLOOKUP($H149,'1. Set Program Names'!$B$2:$D$15,3,0)*Z149</f>
        <v>3.2537937073330712</v>
      </c>
      <c r="CA149">
        <f>VLOOKUP($H149,'1. Set Program Names'!$B$2:$D$15,3,0)*AA149</f>
        <v>4.0564850727934845</v>
      </c>
      <c r="CB149">
        <f>VLOOKUP($H149,'1. Set Program Names'!$B$2:$D$15,3,0)*AB149</f>
        <v>4.9070560542842632</v>
      </c>
      <c r="CC149">
        <f>VLOOKUP($H149,'1. Set Program Names'!$B$2:$D$15,3,0)*AC149</f>
        <v>5.8096294147845526</v>
      </c>
      <c r="CD149">
        <f>VLOOKUP($H149,'1. Set Program Names'!$B$2:$D$15,3,0)*AD149</f>
        <v>6.7690118162096917</v>
      </c>
      <c r="CE149">
        <f>VLOOKUP($H149,'1. Set Program Names'!$B$2:$D$15,3,0)*AE149</f>
        <v>7.7903928527681572</v>
      </c>
    </row>
    <row r="150" spans="1:83" x14ac:dyDescent="0.25">
      <c r="A150" s="20" t="s">
        <v>117</v>
      </c>
      <c r="B150" s="20" t="s">
        <v>88</v>
      </c>
      <c r="C150" s="20" t="s">
        <v>89</v>
      </c>
      <c r="D150" s="20" t="s">
        <v>90</v>
      </c>
      <c r="E150" s="20" t="s">
        <v>91</v>
      </c>
      <c r="F150" s="20" t="s">
        <v>90</v>
      </c>
      <c r="G150" s="20" t="s">
        <v>92</v>
      </c>
      <c r="H150" s="20" t="s">
        <v>7</v>
      </c>
      <c r="I150" s="20" t="s">
        <v>299</v>
      </c>
      <c r="J150" s="20" t="s">
        <v>97</v>
      </c>
      <c r="K150" s="20" t="s">
        <v>102</v>
      </c>
      <c r="L150" s="20">
        <v>408.28</v>
      </c>
      <c r="M150" s="20">
        <v>0.16567198429270899</v>
      </c>
      <c r="N150" s="20">
        <v>2.3547919008134799E-2</v>
      </c>
      <c r="O150" s="53">
        <v>128.60999999999999</v>
      </c>
      <c r="P150" s="20">
        <v>29.691921599999901</v>
      </c>
      <c r="Q150" s="20">
        <v>117.737496926549</v>
      </c>
      <c r="R150" s="20">
        <v>238.630335182902</v>
      </c>
      <c r="S150" s="20">
        <v>423.90838942107399</v>
      </c>
      <c r="T150" s="20">
        <v>11</v>
      </c>
      <c r="U150" s="20">
        <v>9.9999999999999895E-2</v>
      </c>
      <c r="V150" s="20">
        <v>0.103362332387822</v>
      </c>
      <c r="W150" s="20">
        <v>0.18902140372989801</v>
      </c>
      <c r="X150" s="20">
        <v>0.25997978377087599</v>
      </c>
      <c r="Y150" s="20">
        <v>0.318986395926181</v>
      </c>
      <c r="Z150" s="20">
        <v>0.36837140169961302</v>
      </c>
      <c r="AA150" s="20">
        <v>0.40989801696866102</v>
      </c>
      <c r="AB150" s="20">
        <v>0.44531263592077802</v>
      </c>
      <c r="AC150" s="20">
        <v>0.47597976829597599</v>
      </c>
      <c r="AD150" s="20">
        <v>0.50297089099422898</v>
      </c>
      <c r="AE150" s="20">
        <v>0.527111517650109</v>
      </c>
      <c r="AF150" t="str">
        <f t="shared" si="9"/>
        <v>Residential</v>
      </c>
      <c r="AG150" t="str">
        <f>tbl_Data_old[[#This Row],[All_Meas_Name_Append]]</f>
        <v>Smart Thermostat Residential</v>
      </c>
      <c r="AH150">
        <f>AVERAGEIFS('3. Incentive Adjustment'!G:G,'3. Incentive Adjustment'!A:A,tbl_Data_old[[#This Row],[Trimmed Sector]],'3. Incentive Adjustment'!B:B,tbl_Data_old[[#This Row],[Trimmed Measure Name]])</f>
        <v>1.1402432304340044</v>
      </c>
      <c r="AI150">
        <f>$AH150*tbl_Data_old[[#This Row],[2025 ]]</f>
        <v>0.11785819978708348</v>
      </c>
      <c r="AJ150">
        <f>$AH150*tbl_Data_old[[#This Row],[2026 ]]</f>
        <v>0.21553037601014907</v>
      </c>
      <c r="AK150">
        <f>$AH150*tbl_Data_old[[#This Row],[2027 ]]</f>
        <v>0.2964401884944376</v>
      </c>
      <c r="AL150">
        <f>$AH150*tbl_Data_old[[#This Row],[2028 ]]</f>
        <v>0.36372207855536898</v>
      </c>
      <c r="AM150">
        <f>$AH150*tbl_Data_old[[#This Row],[2029 ]]</f>
        <v>0.42003299707346908</v>
      </c>
      <c r="AN150">
        <f>$AH150*tbl_Data_old[[#This Row],[2030 ]]</f>
        <v>0.46738343901683843</v>
      </c>
      <c r="AO150">
        <f>$AH150*tbl_Data_old[[#This Row],[2031 ]]</f>
        <v>0.50776471853538963</v>
      </c>
      <c r="AP150">
        <f>$AH150*tbl_Data_old[[#This Row],[2032 ]]</f>
        <v>0.54273270862303258</v>
      </c>
      <c r="AQ150">
        <f>$AH150*tbl_Data_old[[#This Row],[2033 ]]</f>
        <v>0.57350915356152921</v>
      </c>
      <c r="AR150">
        <f>$AH150*tbl_Data_old[[#This Row],[2034 ]]</f>
        <v>0.60103533968433098</v>
      </c>
      <c r="AS150">
        <f>SUM(tbl_Data_old[[#This Row],[Adjusted 2025]:[Adjusted 2034]])</f>
        <v>4.1060091993416297</v>
      </c>
      <c r="AT150" s="3">
        <f>AVERAGEIFS('3. Incentive Adjustment'!F:F,'3. Incentive Adjustment'!A:A,tbl_Data_old[[#This Row],[Trimmed Sector]],'3. Incentive Adjustment'!B:B,tbl_Data_old[[#This Row],[Trimmed Measure Name]])</f>
        <v>50</v>
      </c>
      <c r="AU150" s="3">
        <f>IFERROR(VLOOKUP(tbl_Data_old[[#This Row],[All_Meas_Name_Append]],'IRA Tax Credits'!$A$3:$D$46,4,0),0)</f>
        <v>0</v>
      </c>
      <c r="AV150" s="4">
        <f>tbl_Data_old[[#This Row],[Adj. per unit Incentive ($)]]/tbl_Data_old[[#This Row],[kWh Savings]]*tbl_Data_old[[#This Row],[Sum of Annuals]]</f>
        <v>0.50284231401754065</v>
      </c>
      <c r="AW150" s="4">
        <f>IFERROR(VLOOKUP(tbl_Data_old[[#This Row],[All_Programs]],'1. Set Program Names'!$B$2:$D$15,3,0)*tbl_Data_old[[#This Row],[Sum of Annuals]],"")</f>
        <v>1.7761018620353786</v>
      </c>
      <c r="AX150" s="4">
        <f>tbl_Data_old[[#This Row],[per unit IRA tax ($)]]/tbl_Data_old[[#This Row],[kWh Savings]]*tbl_Data_old[[#This Row],[Sum of Annuals]]</f>
        <v>0</v>
      </c>
      <c r="AY150" s="4">
        <f>tbl_Data_old[[#This Row],[Avoided Costs ($/unit)]]/tbl_Data_old[[#This Row],[kWh Savings]]*tbl_Data_old[[#This Row],[Sum of Annuals]]</f>
        <v>2.3998685987630357</v>
      </c>
      <c r="AZ150" s="4">
        <f>tbl_Data_old[[#This Row],[Lost Revenue ($/unit)]]/tbl_Data_old[[#This Row],[kWh Savings]]*tbl_Data_old[[#This Row],[Sum of Annuals]]</f>
        <v>4.2631815093588319</v>
      </c>
      <c r="BA150" s="4">
        <f>tbl_Data_old[[#This Row],[Incremental Cost ($/unit)]]/tbl_Data_old[[#This Row],[kWh Savings]]*tbl_Data_old[[#This Row],[Sum of Annuals]]</f>
        <v>1.293411000115918</v>
      </c>
      <c r="BB150">
        <f>ROUNDUP(tbl_Data_old[[#This Row],[Adjusted 2025]]/$L150,0)</f>
        <v>1</v>
      </c>
      <c r="BC150">
        <f>ROUNDUP(tbl_Data_old[[#This Row],[Adjusted 2026]]/$L150,0)</f>
        <v>1</v>
      </c>
      <c r="BD150">
        <f>ROUNDUP(tbl_Data_old[[#This Row],[Adjusted 2027]]/$L150,0)</f>
        <v>1</v>
      </c>
      <c r="BE150">
        <f>ROUNDUP(tbl_Data_old[[#This Row],[Adjusted 2028]]/$L150,0)</f>
        <v>1</v>
      </c>
      <c r="BF150">
        <f>ROUNDUP(tbl_Data_old[[#This Row],[Adjusted 2029]]/$L150,0)</f>
        <v>1</v>
      </c>
      <c r="BG150">
        <f>ROUNDUP(tbl_Data_old[[#This Row],[Adjusted 2030]]/$L150,0)</f>
        <v>1</v>
      </c>
      <c r="BH150">
        <f>ROUNDUP(tbl_Data_old[[#This Row],[Adjusted 2031]]/$L150,0)</f>
        <v>1</v>
      </c>
      <c r="BI150">
        <f>ROUNDUP(tbl_Data_old[[#This Row],[Adjusted 2032]]/$L150,0)</f>
        <v>1</v>
      </c>
      <c r="BJ150">
        <f>ROUNDUP(tbl_Data_old[[#This Row],[Adjusted 2033]]/$L150,0)</f>
        <v>1</v>
      </c>
      <c r="BK150">
        <f>ROUNDUP(tbl_Data_old[[#This Row],[Adjusted 2034]]/$L150,0)</f>
        <v>1</v>
      </c>
      <c r="BL150" s="3">
        <f t="shared" si="10"/>
        <v>1.2658265453588469E-2</v>
      </c>
      <c r="BM150" s="3">
        <f t="shared" si="10"/>
        <v>2.3148501485487659E-2</v>
      </c>
      <c r="BN150" s="3">
        <f t="shared" si="10"/>
        <v>3.1838417724463115E-2</v>
      </c>
      <c r="BO150" s="3">
        <f t="shared" si="10"/>
        <v>3.9064661007908917E-2</v>
      </c>
      <c r="BP150" s="3">
        <f t="shared" si="10"/>
        <v>4.5112594506173831E-2</v>
      </c>
      <c r="BQ150" s="3">
        <f t="shared" si="10"/>
        <v>5.0198150407644394E-2</v>
      </c>
      <c r="BR150" s="3">
        <f t="shared" si="10"/>
        <v>5.4535200832857116E-2</v>
      </c>
      <c r="BS150" s="3">
        <f t="shared" si="10"/>
        <v>5.8290850433033219E-2</v>
      </c>
      <c r="BT150" s="3">
        <f t="shared" si="10"/>
        <v>6.1596317599959469E-2</v>
      </c>
      <c r="BU150" s="3">
        <f t="shared" si="10"/>
        <v>6.455269884027004E-2</v>
      </c>
      <c r="BV150">
        <f>VLOOKUP($H150,'1. Set Program Names'!$B$2:$D$15,3,0)*V150</f>
        <v>4.4710574698119648E-2</v>
      </c>
      <c r="BW150">
        <f>VLOOKUP($H150,'1. Set Program Names'!$B$2:$D$15,3,0)*W150</f>
        <v>8.1763398675054971E-2</v>
      </c>
      <c r="BX150">
        <f>VLOOKUP($H150,'1. Set Program Names'!$B$2:$D$15,3,0)*X150</f>
        <v>0.11245726826940536</v>
      </c>
      <c r="BY150">
        <f>VLOOKUP($H150,'1. Set Program Names'!$B$2:$D$15,3,0)*Y150</f>
        <v>0.13798126216066134</v>
      </c>
      <c r="BZ150">
        <f>VLOOKUP($H150,'1. Set Program Names'!$B$2:$D$15,3,0)*Z150</f>
        <v>0.15934331871057961</v>
      </c>
      <c r="CA150">
        <f>VLOOKUP($H150,'1. Set Program Names'!$B$2:$D$15,3,0)*AA150</f>
        <v>0.17730613738015519</v>
      </c>
      <c r="CB150">
        <f>VLOOKUP($H150,'1. Set Program Names'!$B$2:$D$15,3,0)*AB150</f>
        <v>0.19262514121341842</v>
      </c>
      <c r="CC150">
        <f>VLOOKUP($H150,'1. Set Program Names'!$B$2:$D$15,3,0)*AC150</f>
        <v>0.20589056471115633</v>
      </c>
      <c r="CD150">
        <f>VLOOKUP($H150,'1. Set Program Names'!$B$2:$D$15,3,0)*AD150</f>
        <v>0.21756588762336004</v>
      </c>
      <c r="CE150">
        <f>VLOOKUP($H150,'1. Set Program Names'!$B$2:$D$15,3,0)*AE150</f>
        <v>0.22800819543920328</v>
      </c>
    </row>
    <row r="151" spans="1:83" x14ac:dyDescent="0.25">
      <c r="A151" s="20" t="s">
        <v>117</v>
      </c>
      <c r="B151" s="20" t="s">
        <v>88</v>
      </c>
      <c r="C151" s="20" t="s">
        <v>89</v>
      </c>
      <c r="D151" s="20" t="s">
        <v>90</v>
      </c>
      <c r="E151" s="20" t="s">
        <v>91</v>
      </c>
      <c r="F151" s="20" t="s">
        <v>90</v>
      </c>
      <c r="G151" s="20" t="s">
        <v>92</v>
      </c>
      <c r="H151" s="20" t="s">
        <v>7</v>
      </c>
      <c r="I151" s="20" t="s">
        <v>112</v>
      </c>
      <c r="J151" s="20" t="s">
        <v>94</v>
      </c>
      <c r="K151" s="20" t="s">
        <v>108</v>
      </c>
      <c r="L151" s="20">
        <v>1330.8133333333301</v>
      </c>
      <c r="M151" s="20">
        <v>5.33311142126306E-2</v>
      </c>
      <c r="N151" s="20">
        <v>0.24737910980336</v>
      </c>
      <c r="O151" s="20">
        <v>8990.02</v>
      </c>
      <c r="P151" s="20">
        <v>8776.4394094329891</v>
      </c>
      <c r="Q151" s="20">
        <v>383.77248638959497</v>
      </c>
      <c r="R151" s="20">
        <v>713.19672296706005</v>
      </c>
      <c r="S151" s="20">
        <v>2011.6258188035599</v>
      </c>
      <c r="T151" s="20">
        <v>20</v>
      </c>
      <c r="U151" s="20">
        <v>0.1</v>
      </c>
      <c r="V151" s="20">
        <v>4.0116238504486397</v>
      </c>
      <c r="W151" s="20">
        <v>8.4762953113685704</v>
      </c>
      <c r="X151" s="20">
        <v>13.358992266484799</v>
      </c>
      <c r="Y151" s="20">
        <v>18.637292408677499</v>
      </c>
      <c r="Z151" s="20">
        <v>24.2925052842761</v>
      </c>
      <c r="AA151" s="20">
        <v>30.2926047032675</v>
      </c>
      <c r="AB151" s="20">
        <v>36.652752141221001</v>
      </c>
      <c r="AC151" s="20">
        <v>43.403800461314802</v>
      </c>
      <c r="AD151" s="20">
        <v>50.581729837007401</v>
      </c>
      <c r="AE151" s="20">
        <v>58.225398331722097</v>
      </c>
      <c r="AF151" t="str">
        <f t="shared" si="9"/>
        <v>Residential</v>
      </c>
      <c r="AG151" t="str">
        <f>tbl_Data_old[[#This Row],[All_Meas_Name_Append]]</f>
        <v>Solar Thermal Water Heating System</v>
      </c>
      <c r="AH151">
        <f>AVERAGEIFS('3. Incentive Adjustment'!G:G,'3. Incentive Adjustment'!A:A,tbl_Data_old[[#This Row],[Trimmed Sector]],'3. Incentive Adjustment'!B:B,tbl_Data_old[[#This Row],[Trimmed Measure Name]])</f>
        <v>2.7736651842107431E-8</v>
      </c>
      <c r="AI151">
        <f>$AH151*tbl_Data_old[[#This Row],[2025 ]]</f>
        <v>1.1126901406138837E-7</v>
      </c>
      <c r="AJ151">
        <f>$AH151*tbl_Data_old[[#This Row],[2026 ]]</f>
        <v>2.3510405196231764E-7</v>
      </c>
      <c r="AK151">
        <f>$AH151*tbl_Data_old[[#This Row],[2027 ]]</f>
        <v>3.7053371745689455E-7</v>
      </c>
      <c r="AL151">
        <f>$AH151*tbl_Data_old[[#This Row],[2028 ]]</f>
        <v>5.1693609081903959E-7</v>
      </c>
      <c r="AM151">
        <f>$AH151*tbl_Data_old[[#This Row],[2029 ]]</f>
        <v>6.7379276144252115E-7</v>
      </c>
      <c r="AN151">
        <f>$AH151*tbl_Data_old[[#This Row],[2030 ]]</f>
        <v>8.4021543004511677E-7</v>
      </c>
      <c r="AO151">
        <f>$AH151*tbl_Data_old[[#This Row],[2031 ]]</f>
        <v>1.0166246251961046E-6</v>
      </c>
      <c r="AP151">
        <f>$AH151*tbl_Data_old[[#This Row],[2032 ]]</f>
        <v>1.2038761020197907E-6</v>
      </c>
      <c r="AQ151">
        <f>$AH151*tbl_Data_old[[#This Row],[2033 ]]</f>
        <v>1.4029678300606117E-6</v>
      </c>
      <c r="AR151">
        <f>$AH151*tbl_Data_old[[#This Row],[2034 ]]</f>
        <v>1.6149776018949987E-6</v>
      </c>
      <c r="AS151">
        <f>SUM(tbl_Data_old[[#This Row],[Adjusted 2025]:[Adjusted 2034]])</f>
        <v>7.986297224958783E-6</v>
      </c>
      <c r="AT151" s="3">
        <f>AVERAGEIFS('3. Incentive Adjustment'!F:F,'3. Incentive Adjustment'!A:A,tbl_Data_old[[#This Row],[Trimmed Sector]],'3. Incentive Adjustment'!B:B,tbl_Data_old[[#This Row],[Trimmed Measure Name]])</f>
        <v>0</v>
      </c>
      <c r="AU151" s="3">
        <f>IFERROR(VLOOKUP(tbl_Data_old[[#This Row],[All_Meas_Name_Append]],'IRA Tax Credits'!$A$3:$D$46,4,0),0)</f>
        <v>41666.666666666672</v>
      </c>
      <c r="AV151" s="4">
        <f>tbl_Data_old[[#This Row],[Adj. per unit Incentive ($)]]/tbl_Data_old[[#This Row],[kWh Savings]]*tbl_Data_old[[#This Row],[Sum of Annuals]]</f>
        <v>0</v>
      </c>
      <c r="AW151" s="4">
        <f>IFERROR(VLOOKUP(tbl_Data_old[[#This Row],[All_Programs]],'1. Set Program Names'!$B$2:$D$15,3,0)*tbl_Data_old[[#This Row],[Sum of Annuals]],"")</f>
        <v>3.454565414585933E-6</v>
      </c>
      <c r="AX151" s="4">
        <f>tbl_Data_old[[#This Row],[per unit IRA tax ($)]]/tbl_Data_old[[#This Row],[kWh Savings]]*tbl_Data_old[[#This Row],[Sum of Annuals]]</f>
        <v>2.5004437214331345E-4</v>
      </c>
      <c r="AY151" s="4">
        <f>tbl_Data_old[[#This Row],[Avoided Costs ($/unit)]]/tbl_Data_old[[#This Row],[kWh Savings]]*tbl_Data_old[[#This Row],[Sum of Annuals]]</f>
        <v>4.2799398434152123E-6</v>
      </c>
      <c r="AZ151" s="4">
        <f>tbl_Data_old[[#This Row],[Lost Revenue ($/unit)]]/tbl_Data_old[[#This Row],[kWh Savings]]*tbl_Data_old[[#This Row],[Sum of Annuals]]</f>
        <v>1.207189715640036E-5</v>
      </c>
      <c r="BA151" s="4">
        <f>tbl_Data_old[[#This Row],[Incremental Cost ($/unit)]]/tbl_Data_old[[#This Row],[kWh Savings]]*tbl_Data_old[[#This Row],[Sum of Annuals]]</f>
        <v>5.3949693754939938E-5</v>
      </c>
      <c r="BB151">
        <f>ROUNDUP(tbl_Data_old[[#This Row],[Adjusted 2025]]/$L151,0)</f>
        <v>1</v>
      </c>
      <c r="BC151">
        <f>ROUNDUP(tbl_Data_old[[#This Row],[Adjusted 2026]]/$L151,0)</f>
        <v>1</v>
      </c>
      <c r="BD151">
        <f>ROUNDUP(tbl_Data_old[[#This Row],[Adjusted 2027]]/$L151,0)</f>
        <v>1</v>
      </c>
      <c r="BE151">
        <f>ROUNDUP(tbl_Data_old[[#This Row],[Adjusted 2028]]/$L151,0)</f>
        <v>1</v>
      </c>
      <c r="BF151">
        <f>ROUNDUP(tbl_Data_old[[#This Row],[Adjusted 2029]]/$L151,0)</f>
        <v>1</v>
      </c>
      <c r="BG151">
        <f>ROUNDUP(tbl_Data_old[[#This Row],[Adjusted 2030]]/$L151,0)</f>
        <v>1</v>
      </c>
      <c r="BH151">
        <f>ROUNDUP(tbl_Data_old[[#This Row],[Adjusted 2031]]/$L151,0)</f>
        <v>1</v>
      </c>
      <c r="BI151">
        <f>ROUNDUP(tbl_Data_old[[#This Row],[Adjusted 2032]]/$L151,0)</f>
        <v>1</v>
      </c>
      <c r="BJ151">
        <f>ROUNDUP(tbl_Data_old[[#This Row],[Adjusted 2033]]/$L151,0)</f>
        <v>1</v>
      </c>
      <c r="BK151">
        <f>ROUNDUP(tbl_Data_old[[#This Row],[Adjusted 2034]]/$L151,0)</f>
        <v>1</v>
      </c>
      <c r="BL151" s="3">
        <f t="shared" si="10"/>
        <v>0</v>
      </c>
      <c r="BM151" s="3">
        <f t="shared" si="10"/>
        <v>0</v>
      </c>
      <c r="BN151" s="3">
        <f t="shared" si="10"/>
        <v>0</v>
      </c>
      <c r="BO151" s="3">
        <f t="shared" si="10"/>
        <v>0</v>
      </c>
      <c r="BP151" s="3">
        <f t="shared" si="10"/>
        <v>0</v>
      </c>
      <c r="BQ151" s="3">
        <f t="shared" si="10"/>
        <v>0</v>
      </c>
      <c r="BR151" s="3">
        <f t="shared" si="10"/>
        <v>0</v>
      </c>
      <c r="BS151" s="3">
        <f t="shared" si="10"/>
        <v>0</v>
      </c>
      <c r="BT151" s="3">
        <f t="shared" si="10"/>
        <v>0</v>
      </c>
      <c r="BU151" s="3">
        <f t="shared" si="10"/>
        <v>0</v>
      </c>
      <c r="BV151">
        <f>VLOOKUP($H151,'1. Set Program Names'!$B$2:$D$15,3,0)*V151</f>
        <v>1.7352743855785362</v>
      </c>
      <c r="BW151">
        <f>VLOOKUP($H151,'1. Set Program Names'!$B$2:$D$15,3,0)*W151</f>
        <v>3.6665197652497699</v>
      </c>
      <c r="BX151">
        <f>VLOOKUP($H151,'1. Set Program Names'!$B$2:$D$15,3,0)*X151</f>
        <v>5.7785869167619799</v>
      </c>
      <c r="BY151">
        <f>VLOOKUP($H151,'1. Set Program Names'!$B$2:$D$15,3,0)*Y151</f>
        <v>8.0617768113275456</v>
      </c>
      <c r="BZ151">
        <f>VLOOKUP($H151,'1. Set Program Names'!$B$2:$D$15,3,0)*Z151</f>
        <v>10.508004676615244</v>
      </c>
      <c r="CA151">
        <f>VLOOKUP($H151,'1. Set Program Names'!$B$2:$D$15,3,0)*AA151</f>
        <v>13.103417212996497</v>
      </c>
      <c r="CB151">
        <f>VLOOKUP($H151,'1. Set Program Names'!$B$2:$D$15,3,0)*AB151</f>
        <v>15.854572692428944</v>
      </c>
      <c r="CC151">
        <f>VLOOKUP($H151,'1. Set Program Names'!$B$2:$D$15,3,0)*AC151</f>
        <v>18.774816878421515</v>
      </c>
      <c r="CD151">
        <f>VLOOKUP($H151,'1. Set Program Names'!$B$2:$D$15,3,0)*AD151</f>
        <v>21.879713411963195</v>
      </c>
      <c r="CE151">
        <f>VLOOKUP($H151,'1. Set Program Names'!$B$2:$D$15,3,0)*AE151</f>
        <v>25.186070798697919</v>
      </c>
    </row>
    <row r="152" spans="1:83" x14ac:dyDescent="0.25">
      <c r="A152" s="20" t="s">
        <v>87</v>
      </c>
      <c r="B152" s="20" t="s">
        <v>88</v>
      </c>
      <c r="C152" s="20" t="s">
        <v>89</v>
      </c>
      <c r="D152" s="20" t="s">
        <v>90</v>
      </c>
      <c r="E152" s="20" t="s">
        <v>91</v>
      </c>
      <c r="F152" s="20" t="s">
        <v>90</v>
      </c>
      <c r="G152" s="20" t="s">
        <v>92</v>
      </c>
      <c r="H152" s="20" t="s">
        <v>9</v>
      </c>
      <c r="I152" s="20" t="s">
        <v>93</v>
      </c>
      <c r="J152" s="20" t="s">
        <v>94</v>
      </c>
      <c r="K152" s="20" t="s">
        <v>95</v>
      </c>
      <c r="L152" s="20">
        <v>1200.2266666666601</v>
      </c>
      <c r="M152" s="20">
        <v>4.8097974252120097E-2</v>
      </c>
      <c r="N152" s="20">
        <v>0.22310492157346501</v>
      </c>
      <c r="O152" s="20">
        <v>1210</v>
      </c>
      <c r="P152" s="20">
        <v>933.85922631496703</v>
      </c>
      <c r="Q152" s="20">
        <v>360.56616574297698</v>
      </c>
      <c r="R152" s="20">
        <v>571.53970184074296</v>
      </c>
      <c r="S152" s="20">
        <v>1535.35818196214</v>
      </c>
      <c r="T152" s="20">
        <v>15</v>
      </c>
      <c r="U152" s="20">
        <v>0.2</v>
      </c>
      <c r="V152" s="20">
        <v>14452.473660362301</v>
      </c>
      <c r="W152" s="20">
        <v>15355.2276910569</v>
      </c>
      <c r="X152" s="20">
        <v>16251.498859515699</v>
      </c>
      <c r="Y152" s="20">
        <v>17168.4673085746</v>
      </c>
      <c r="Z152" s="20">
        <v>18105.142648584701</v>
      </c>
      <c r="AA152" s="20">
        <v>19008.794294261999</v>
      </c>
      <c r="AB152" s="20">
        <v>20020.2184352687</v>
      </c>
      <c r="AC152" s="20">
        <v>21179.8266887803</v>
      </c>
      <c r="AD152" s="20">
        <v>22497.1669069419</v>
      </c>
      <c r="AE152" s="20">
        <v>23976.8971512596</v>
      </c>
      <c r="AF152" t="str">
        <f t="shared" si="9"/>
        <v>Residential</v>
      </c>
      <c r="AG152" t="str">
        <f>tbl_Data_old[[#This Row],[All_Meas_Name_Append]]</f>
        <v>120v Heat Pump Water Heater 50 Gallons</v>
      </c>
      <c r="AH152">
        <f>AVERAGEIFS('3. Incentive Adjustment'!G:G,'3. Incentive Adjustment'!A:A,tbl_Data_old[[#This Row],[Trimmed Sector]],'3. Incentive Adjustment'!B:B,tbl_Data_old[[#This Row],[Trimmed Measure Name]])</f>
        <v>0.38528347196238832</v>
      </c>
      <c r="AI152">
        <f>$AH152*tbl_Data_old[[#This Row],[2025 ]]</f>
        <v>5568.2992303093542</v>
      </c>
      <c r="AJ152">
        <f>$AH152*tbl_Data_old[[#This Row],[2026 ]]</f>
        <v>5916.1154375834103</v>
      </c>
      <c r="AK152">
        <f>$AH152*tbl_Data_old[[#This Row],[2027 ]]</f>
        <v>6261.4339051870029</v>
      </c>
      <c r="AL152">
        <f>$AH152*tbl_Data_old[[#This Row],[2028 ]]</f>
        <v>6614.7266929203824</v>
      </c>
      <c r="AM152">
        <f>$AH152*tbl_Data_old[[#This Row],[2029 ]]</f>
        <v>6975.6122200210248</v>
      </c>
      <c r="AN152">
        <f>$AH152*tbl_Data_old[[#This Row],[2030 ]]</f>
        <v>7323.7742635121003</v>
      </c>
      <c r="AO152">
        <f>$AH152*tbl_Data_old[[#This Row],[2031 ]]</f>
        <v>7713.4592681857384</v>
      </c>
      <c r="AP152">
        <f>$AH152*tbl_Data_old[[#This Row],[2032 ]]</f>
        <v>8160.2371622149285</v>
      </c>
      <c r="AQ152">
        <f>$AH152*tbl_Data_old[[#This Row],[2033 ]]</f>
        <v>8667.7865752239195</v>
      </c>
      <c r="AR152">
        <f>$AH152*tbl_Data_old[[#This Row],[2034 ]]</f>
        <v>9237.9021813223972</v>
      </c>
      <c r="AS152">
        <f>SUM(tbl_Data_old[[#This Row],[Adjusted 2025]:[Adjusted 2034]])</f>
        <v>72439.346936480259</v>
      </c>
      <c r="AT152" s="3">
        <f>AVERAGEIFS('3. Incentive Adjustment'!F:F,'3. Incentive Adjustment'!A:A,tbl_Data_old[[#This Row],[Trimmed Sector]],'3. Incentive Adjustment'!B:B,tbl_Data_old[[#This Row],[Trimmed Measure Name]])</f>
        <v>500</v>
      </c>
      <c r="AU152" s="3">
        <f>IFERROR(VLOOKUP(tbl_Data_old[[#This Row],[All_Meas_Name_Append]],'IRA Tax Credits'!$A$3:$D$46,4,0),0)</f>
        <v>1666.6666666666667</v>
      </c>
      <c r="AV152" s="4">
        <f>tbl_Data_old[[#This Row],[Adj. per unit Incentive ($)]]/tbl_Data_old[[#This Row],[kWh Savings]]*tbl_Data_old[[#This Row],[Sum of Annuals]]</f>
        <v>30177.361055334262</v>
      </c>
      <c r="AW152" s="4">
        <f>IFERROR(VLOOKUP(tbl_Data_old[[#This Row],[All_Programs]],'1. Set Program Names'!$B$2:$D$15,3,0)*tbl_Data_old[[#This Row],[Sum of Annuals]],"")</f>
        <v>32642.80610388994</v>
      </c>
      <c r="AX152" s="4">
        <f>tbl_Data_old[[#This Row],[per unit IRA tax ($)]]/tbl_Data_old[[#This Row],[kWh Savings]]*tbl_Data_old[[#This Row],[Sum of Annuals]]</f>
        <v>100591.20351778089</v>
      </c>
      <c r="AY152" s="4">
        <f>tbl_Data_old[[#This Row],[Avoided Costs ($/unit)]]/tbl_Data_old[[#This Row],[kWh Savings]]*tbl_Data_old[[#This Row],[Sum of Annuals]]</f>
        <v>34495.119879812388</v>
      </c>
      <c r="AZ152" s="4">
        <f>tbl_Data_old[[#This Row],[Lost Revenue ($/unit)]]/tbl_Data_old[[#This Row],[kWh Savings]]*tbl_Data_old[[#This Row],[Sum of Annuals]]</f>
        <v>92666.116412666204</v>
      </c>
      <c r="BA152" s="4">
        <f>tbl_Data_old[[#This Row],[Incremental Cost ($/unit)]]/tbl_Data_old[[#This Row],[kWh Savings]]*tbl_Data_old[[#This Row],[Sum of Annuals]]</f>
        <v>73029.213753908916</v>
      </c>
      <c r="BB152">
        <f>ROUNDUP(tbl_Data_old[[#This Row],[Adjusted 2025]]/$L152,0)</f>
        <v>5</v>
      </c>
      <c r="BC152">
        <f>ROUNDUP(tbl_Data_old[[#This Row],[Adjusted 2026]]/$L152,0)</f>
        <v>5</v>
      </c>
      <c r="BD152">
        <f>ROUNDUP(tbl_Data_old[[#This Row],[Adjusted 2027]]/$L152,0)</f>
        <v>6</v>
      </c>
      <c r="BE152">
        <f>ROUNDUP(tbl_Data_old[[#This Row],[Adjusted 2028]]/$L152,0)</f>
        <v>6</v>
      </c>
      <c r="BF152">
        <f>ROUNDUP(tbl_Data_old[[#This Row],[Adjusted 2029]]/$L152,0)</f>
        <v>6</v>
      </c>
      <c r="BG152">
        <f>ROUNDUP(tbl_Data_old[[#This Row],[Adjusted 2030]]/$L152,0)</f>
        <v>7</v>
      </c>
      <c r="BH152">
        <f>ROUNDUP(tbl_Data_old[[#This Row],[Adjusted 2031]]/$L152,0)</f>
        <v>7</v>
      </c>
      <c r="BI152">
        <f>ROUNDUP(tbl_Data_old[[#This Row],[Adjusted 2032]]/$L152,0)</f>
        <v>7</v>
      </c>
      <c r="BJ152">
        <f>ROUNDUP(tbl_Data_old[[#This Row],[Adjusted 2033]]/$L152,0)</f>
        <v>8</v>
      </c>
      <c r="BK152">
        <f>ROUNDUP(tbl_Data_old[[#This Row],[Adjusted 2034]]/$L152,0)</f>
        <v>8</v>
      </c>
      <c r="BL152" s="3">
        <f t="shared" si="10"/>
        <v>6020.726776759825</v>
      </c>
      <c r="BM152" s="3">
        <f t="shared" si="10"/>
        <v>6396.803252881532</v>
      </c>
      <c r="BN152" s="3">
        <f t="shared" si="10"/>
        <v>6770.1790465338991</v>
      </c>
      <c r="BO152" s="3">
        <f t="shared" si="10"/>
        <v>7152.1770784579685</v>
      </c>
      <c r="BP152" s="3">
        <f t="shared" si="10"/>
        <v>7542.3847642326446</v>
      </c>
      <c r="BQ152" s="3">
        <f t="shared" si="10"/>
        <v>7918.8351759648604</v>
      </c>
      <c r="BR152" s="3">
        <f t="shared" si="10"/>
        <v>8340.1823135916584</v>
      </c>
      <c r="BS152" s="3">
        <f t="shared" si="10"/>
        <v>8823.2611709928751</v>
      </c>
      <c r="BT152" s="3">
        <f t="shared" si="10"/>
        <v>9372.0492685862209</v>
      </c>
      <c r="BU152" s="3">
        <f t="shared" si="10"/>
        <v>9988.4870987951144</v>
      </c>
      <c r="BV152">
        <f>VLOOKUP($H152,'1. Set Program Names'!$B$2:$D$15,3,0)*V152</f>
        <v>6512.6111066470885</v>
      </c>
      <c r="BW152">
        <f>VLOOKUP($H152,'1. Set Program Names'!$B$2:$D$15,3,0)*W152</f>
        <v>6919.4124657110906</v>
      </c>
      <c r="BX152">
        <f>VLOOKUP($H152,'1. Set Program Names'!$B$2:$D$15,3,0)*X152</f>
        <v>7323.2925006065152</v>
      </c>
      <c r="BY152">
        <f>VLOOKUP($H152,'1. Set Program Names'!$B$2:$D$15,3,0)*Y152</f>
        <v>7736.4991976831907</v>
      </c>
      <c r="BZ152">
        <f>VLOOKUP($H152,'1. Set Program Names'!$B$2:$D$15,3,0)*Z152</f>
        <v>8158.5862649928358</v>
      </c>
      <c r="CA152">
        <f>VLOOKUP($H152,'1. Set Program Names'!$B$2:$D$15,3,0)*AA152</f>
        <v>8565.7921096447863</v>
      </c>
      <c r="CB152">
        <f>VLOOKUP($H152,'1. Set Program Names'!$B$2:$D$15,3,0)*AB152</f>
        <v>9021.5626752274056</v>
      </c>
      <c r="CC152">
        <f>VLOOKUP($H152,'1. Set Program Names'!$B$2:$D$15,3,0)*AC152</f>
        <v>9544.10834932137</v>
      </c>
      <c r="CD152">
        <f>VLOOKUP($H152,'1. Set Program Names'!$B$2:$D$15,3,0)*AD152</f>
        <v>10137.731609785216</v>
      </c>
      <c r="CE152">
        <f>VLOOKUP($H152,'1. Set Program Names'!$B$2:$D$15,3,0)*AE152</f>
        <v>10804.53148435724</v>
      </c>
    </row>
    <row r="153" spans="1:83" x14ac:dyDescent="0.25">
      <c r="A153" s="20" t="s">
        <v>87</v>
      </c>
      <c r="B153" s="20" t="s">
        <v>88</v>
      </c>
      <c r="C153" s="20" t="s">
        <v>89</v>
      </c>
      <c r="D153" s="20" t="s">
        <v>90</v>
      </c>
      <c r="E153" s="20" t="s">
        <v>91</v>
      </c>
      <c r="F153" s="20" t="s">
        <v>90</v>
      </c>
      <c r="G153" s="20" t="s">
        <v>92</v>
      </c>
      <c r="H153" s="20" t="s">
        <v>9</v>
      </c>
      <c r="I153" s="20" t="s">
        <v>96</v>
      </c>
      <c r="J153" s="20" t="s">
        <v>97</v>
      </c>
      <c r="K153" s="20" t="s">
        <v>98</v>
      </c>
      <c r="L153" s="20">
        <v>5868.07</v>
      </c>
      <c r="M153" s="20">
        <v>0.20813520080661799</v>
      </c>
      <c r="N153" s="20">
        <v>1.1349578069705</v>
      </c>
      <c r="O153" s="20">
        <v>1935.1666666666599</v>
      </c>
      <c r="P153" s="20">
        <v>513.45064263862798</v>
      </c>
      <c r="Q153" s="20">
        <v>1762.8565994851499</v>
      </c>
      <c r="R153" s="20">
        <v>3388.0400735263802</v>
      </c>
      <c r="S153" s="20">
        <v>7811.7411984889604</v>
      </c>
      <c r="T153" s="20">
        <v>16</v>
      </c>
      <c r="U153" s="20">
        <v>0.2</v>
      </c>
      <c r="V153" s="20">
        <v>90313.784882227395</v>
      </c>
      <c r="W153" s="20">
        <v>95666.284891073403</v>
      </c>
      <c r="X153" s="20">
        <v>100938.81870591101</v>
      </c>
      <c r="Y153" s="20">
        <v>106300.284499159</v>
      </c>
      <c r="Z153" s="20">
        <v>111744.152621605</v>
      </c>
      <c r="AA153" s="20">
        <v>116945.984056776</v>
      </c>
      <c r="AB153" s="20">
        <v>122772.256385179</v>
      </c>
      <c r="AC153" s="20">
        <v>129464.31578378</v>
      </c>
      <c r="AD153" s="20">
        <v>137071.80371601801</v>
      </c>
      <c r="AE153" s="20">
        <v>145613.59028371799</v>
      </c>
      <c r="AF153" t="str">
        <f t="shared" si="9"/>
        <v>Residential</v>
      </c>
      <c r="AG153" t="str">
        <f>tbl_Data_old[[#This Row],[All_Meas_Name_Append]]</f>
        <v>ASHP - CEE Tier 2: 16.8 SEER/16 SEER2; 9.0 HSPF (from elec resistance)</v>
      </c>
      <c r="AH153">
        <f>AVERAGEIFS('3. Incentive Adjustment'!G:G,'3. Incentive Adjustment'!A:A,tbl_Data_old[[#This Row],[Trimmed Sector]],'3. Incentive Adjustment'!B:B,tbl_Data_old[[#This Row],[Trimmed Measure Name]])</f>
        <v>0.9303958662075158</v>
      </c>
      <c r="AI153">
        <f>$AH153*tbl_Data_old[[#This Row],[2025 ]]</f>
        <v>84027.572115979201</v>
      </c>
      <c r="AJ153">
        <f>$AH153*tbl_Data_old[[#This Row],[2026 ]]</f>
        <v>89007.515998085219</v>
      </c>
      <c r="AK153">
        <f>$AH153*tbl_Data_old[[#This Row],[2027 ]]</f>
        <v>93913.059663849475</v>
      </c>
      <c r="AL153">
        <f>$AH153*tbl_Data_old[[#This Row],[2028 ]]</f>
        <v>98901.345274700405</v>
      </c>
      <c r="AM153">
        <f>$AH153*tbl_Data_old[[#This Row],[2029 ]]</f>
        <v>103966.29767200303</v>
      </c>
      <c r="AN153">
        <f>$AH153*tbl_Data_old[[#This Row],[2030 ]]</f>
        <v>108806.06013599444</v>
      </c>
      <c r="AO153">
        <f>$AH153*tbl_Data_old[[#This Row],[2031 ]]</f>
        <v>114226.79982573983</v>
      </c>
      <c r="AP153">
        <f>$AH153*tbl_Data_old[[#This Row],[2032 ]]</f>
        <v>120453.06422661335</v>
      </c>
      <c r="AQ153">
        <f>$AH153*tbl_Data_old[[#This Row],[2033 ]]</f>
        <v>127531.03955099116</v>
      </c>
      <c r="AR153">
        <f>$AH153*tbl_Data_old[[#This Row],[2034 ]]</f>
        <v>135478.2824636061</v>
      </c>
      <c r="AS153">
        <f>SUM(tbl_Data_old[[#This Row],[Adjusted 2025]:[Adjusted 2034]])</f>
        <v>1076311.0369275622</v>
      </c>
      <c r="AT153" s="3">
        <f>AVERAGEIFS('3. Incentive Adjustment'!F:F,'3. Incentive Adjustment'!A:A,tbl_Data_old[[#This Row],[Trimmed Sector]],'3. Incentive Adjustment'!B:B,tbl_Data_old[[#This Row],[Trimmed Measure Name]])</f>
        <v>353</v>
      </c>
      <c r="AU153" s="3">
        <f>IFERROR(VLOOKUP(tbl_Data_old[[#This Row],[All_Meas_Name_Append]],'IRA Tax Credits'!$A$3:$D$46,4,0),0)</f>
        <v>0</v>
      </c>
      <c r="AV153" s="4">
        <f>tbl_Data_old[[#This Row],[Adj. per unit Incentive ($)]]/tbl_Data_old[[#This Row],[kWh Savings]]*tbl_Data_old[[#This Row],[Sum of Annuals]]</f>
        <v>64746.636634435083</v>
      </c>
      <c r="AW153" s="4">
        <f>IFERROR(VLOOKUP(tbl_Data_old[[#This Row],[All_Programs]],'1. Set Program Names'!$B$2:$D$15,3,0)*tbl_Data_old[[#This Row],[Sum of Annuals]],"")</f>
        <v>485010.06665218627</v>
      </c>
      <c r="AX153" s="4">
        <f>tbl_Data_old[[#This Row],[per unit IRA tax ($)]]/tbl_Data_old[[#This Row],[kWh Savings]]*tbl_Data_old[[#This Row],[Sum of Annuals]]</f>
        <v>0</v>
      </c>
      <c r="AY153" s="4">
        <f>tbl_Data_old[[#This Row],[Avoided Costs ($/unit)]]/tbl_Data_old[[#This Row],[kWh Savings]]*tbl_Data_old[[#This Row],[Sum of Annuals]]</f>
        <v>621428.32731874578</v>
      </c>
      <c r="AZ153" s="4">
        <f>tbl_Data_old[[#This Row],[Lost Revenue ($/unit)]]/tbl_Data_old[[#This Row],[kWh Savings]]*tbl_Data_old[[#This Row],[Sum of Annuals]]</f>
        <v>1432815.7758096633</v>
      </c>
      <c r="BA153" s="4">
        <f>tbl_Data_old[[#This Row],[Incremental Cost ($/unit)]]/tbl_Data_old[[#This Row],[kWh Savings]]*tbl_Data_old[[#This Row],[Sum of Annuals]]</f>
        <v>354944.85267347645</v>
      </c>
      <c r="BB153">
        <f>ROUNDUP(tbl_Data_old[[#This Row],[Adjusted 2025]]/$L153,0)</f>
        <v>15</v>
      </c>
      <c r="BC153">
        <f>ROUNDUP(tbl_Data_old[[#This Row],[Adjusted 2026]]/$L153,0)</f>
        <v>16</v>
      </c>
      <c r="BD153">
        <f>ROUNDUP(tbl_Data_old[[#This Row],[Adjusted 2027]]/$L153,0)</f>
        <v>17</v>
      </c>
      <c r="BE153">
        <f>ROUNDUP(tbl_Data_old[[#This Row],[Adjusted 2028]]/$L153,0)</f>
        <v>17</v>
      </c>
      <c r="BF153">
        <f>ROUNDUP(tbl_Data_old[[#This Row],[Adjusted 2029]]/$L153,0)</f>
        <v>18</v>
      </c>
      <c r="BG153">
        <f>ROUNDUP(tbl_Data_old[[#This Row],[Adjusted 2030]]/$L153,0)</f>
        <v>19</v>
      </c>
      <c r="BH153">
        <f>ROUNDUP(tbl_Data_old[[#This Row],[Adjusted 2031]]/$L153,0)</f>
        <v>20</v>
      </c>
      <c r="BI153">
        <f>ROUNDUP(tbl_Data_old[[#This Row],[Adjusted 2032]]/$L153,0)</f>
        <v>21</v>
      </c>
      <c r="BJ153">
        <f>ROUNDUP(tbl_Data_old[[#This Row],[Adjusted 2033]]/$L153,0)</f>
        <v>22</v>
      </c>
      <c r="BK153">
        <f>ROUNDUP(tbl_Data_old[[#This Row],[Adjusted 2034]]/$L153,0)</f>
        <v>24</v>
      </c>
      <c r="BL153" s="3">
        <f t="shared" si="10"/>
        <v>5432.9219084684182</v>
      </c>
      <c r="BM153" s="3">
        <f t="shared" si="10"/>
        <v>5754.907246598782</v>
      </c>
      <c r="BN153" s="3">
        <f t="shared" si="10"/>
        <v>6072.0821331692678</v>
      </c>
      <c r="BO153" s="3">
        <f t="shared" si="10"/>
        <v>6394.6068176083663</v>
      </c>
      <c r="BP153" s="3">
        <f t="shared" si="10"/>
        <v>6722.0885019140132</v>
      </c>
      <c r="BQ153" s="3">
        <f t="shared" si="10"/>
        <v>7035.0102115417722</v>
      </c>
      <c r="BR153" s="3">
        <f t="shared" si="10"/>
        <v>7385.4958280947894</v>
      </c>
      <c r="BS153" s="3">
        <f t="shared" si="10"/>
        <v>7788.0637878679599</v>
      </c>
      <c r="BT153" s="3">
        <f t="shared" si="10"/>
        <v>8245.7003259597041</v>
      </c>
      <c r="BU153" s="3">
        <f t="shared" si="10"/>
        <v>8759.54059344085</v>
      </c>
      <c r="BV153">
        <f>VLOOKUP($H153,'1. Set Program Names'!$B$2:$D$15,3,0)*V153</f>
        <v>40697.431618262177</v>
      </c>
      <c r="BW153">
        <f>VLOOKUP($H153,'1. Set Program Names'!$B$2:$D$15,3,0)*W153</f>
        <v>43109.389032967149</v>
      </c>
      <c r="BX153">
        <f>VLOOKUP($H153,'1. Set Program Names'!$B$2:$D$15,3,0)*X153</f>
        <v>45485.311874249324</v>
      </c>
      <c r="BY153">
        <f>VLOOKUP($H153,'1. Set Program Names'!$B$2:$D$15,3,0)*Y153</f>
        <v>47901.309473939116</v>
      </c>
      <c r="BZ153">
        <f>VLOOKUP($H153,'1. Set Program Names'!$B$2:$D$15,3,0)*Z153</f>
        <v>50354.439424599419</v>
      </c>
      <c r="CA153">
        <f>VLOOKUP($H153,'1. Set Program Names'!$B$2:$D$15,3,0)*AA153</f>
        <v>52698.502176466864</v>
      </c>
      <c r="CB153">
        <f>VLOOKUP($H153,'1. Set Program Names'!$B$2:$D$15,3,0)*AB153</f>
        <v>55323.952100681207</v>
      </c>
      <c r="CC153">
        <f>VLOOKUP($H153,'1. Set Program Names'!$B$2:$D$15,3,0)*AC153</f>
        <v>58339.545236491722</v>
      </c>
      <c r="CD153">
        <f>VLOOKUP($H153,'1. Set Program Names'!$B$2:$D$15,3,0)*AD153</f>
        <v>61767.651148703779</v>
      </c>
      <c r="CE153">
        <f>VLOOKUP($H153,'1. Set Program Names'!$B$2:$D$15,3,0)*AE153</f>
        <v>65616.773131467329</v>
      </c>
    </row>
    <row r="154" spans="1:83" x14ac:dyDescent="0.25">
      <c r="A154" s="20" t="s">
        <v>87</v>
      </c>
      <c r="B154" s="20" t="s">
        <v>88</v>
      </c>
      <c r="C154" s="20" t="s">
        <v>89</v>
      </c>
      <c r="D154" s="20" t="s">
        <v>90</v>
      </c>
      <c r="E154" s="20" t="s">
        <v>91</v>
      </c>
      <c r="F154" s="20" t="s">
        <v>90</v>
      </c>
      <c r="G154" s="20" t="s">
        <v>92</v>
      </c>
      <c r="H154" s="20" t="s">
        <v>9</v>
      </c>
      <c r="I154" s="20" t="s">
        <v>99</v>
      </c>
      <c r="J154" s="20" t="s">
        <v>97</v>
      </c>
      <c r="K154" s="20" t="s">
        <v>98</v>
      </c>
      <c r="L154" s="20">
        <v>253.96999999999801</v>
      </c>
      <c r="M154" s="20">
        <v>0.107126245482503</v>
      </c>
      <c r="N154" s="20">
        <v>1.33192706841354E-2</v>
      </c>
      <c r="O154" s="20">
        <v>874.99999999999898</v>
      </c>
      <c r="P154" s="20">
        <v>813.468148399999</v>
      </c>
      <c r="Q154" s="20">
        <v>76.296412716828996</v>
      </c>
      <c r="R154" s="20">
        <v>185.54516688855901</v>
      </c>
      <c r="S154" s="20">
        <v>338.09206641710699</v>
      </c>
      <c r="T154" s="20">
        <v>16</v>
      </c>
      <c r="U154" s="20">
        <v>0.19999999999999901</v>
      </c>
      <c r="V154" s="20">
        <v>12806.990674471699</v>
      </c>
      <c r="W154" s="20">
        <v>14324.253019858401</v>
      </c>
      <c r="X154" s="20">
        <v>15743.3785987183</v>
      </c>
      <c r="Y154" s="20">
        <v>17103.620232565401</v>
      </c>
      <c r="Z154" s="20">
        <v>18416.1488476546</v>
      </c>
      <c r="AA154" s="20">
        <v>19636.510025810701</v>
      </c>
      <c r="AB154" s="20">
        <v>20918.432613172899</v>
      </c>
      <c r="AC154" s="20">
        <v>22314.613795392401</v>
      </c>
      <c r="AD154" s="20">
        <v>23843.6996179548</v>
      </c>
      <c r="AE154" s="20">
        <v>25517.181821031001</v>
      </c>
      <c r="AF154" t="str">
        <f t="shared" si="9"/>
        <v>Residential</v>
      </c>
      <c r="AG154" t="str">
        <f>tbl_Data_old[[#This Row],[All_Meas_Name_Append]]</f>
        <v>ASHP - ENERGY STAR/CEE Tier 1: 16 SEER/15.2 SEER2_ 9.0 HSPF</v>
      </c>
      <c r="AH154">
        <f>AVERAGEIFS('3. Incentive Adjustment'!G:G,'3. Incentive Adjustment'!A:A,tbl_Data_old[[#This Row],[Trimmed Sector]],'3. Incentive Adjustment'!B:B,tbl_Data_old[[#This Row],[Trimmed Measure Name]])</f>
        <v>8.3636985731950567E-3</v>
      </c>
      <c r="AI154">
        <f>$AH154*tbl_Data_old[[#This Row],[2025 ]]</f>
        <v>107.11380963100135</v>
      </c>
      <c r="AJ154">
        <f>$AH154*tbl_Data_old[[#This Row],[2026 ]]</f>
        <v>119.80373454427469</v>
      </c>
      <c r="AK154">
        <f>$AH154*tbl_Data_old[[#This Row],[2027 ]]</f>
        <v>131.67287312336984</v>
      </c>
      <c r="AL154">
        <f>$AH154*tbl_Data_old[[#This Row],[2028 ]]</f>
        <v>143.04952413557734</v>
      </c>
      <c r="AM154">
        <f>$AH154*tbl_Data_old[[#This Row],[2029 ]]</f>
        <v>154.02711784087657</v>
      </c>
      <c r="AN154">
        <f>$AH154*tbl_Data_old[[#This Row],[2030 ]]</f>
        <v>164.2338508854034</v>
      </c>
      <c r="AO154">
        <f>$AH154*tbl_Data_old[[#This Row],[2031 ]]</f>
        <v>174.95546500027112</v>
      </c>
      <c r="AP154">
        <f>$AH154*tbl_Data_old[[#This Row],[2032 ]]</f>
        <v>186.63270356192214</v>
      </c>
      <c r="AQ154">
        <f>$AH154*tbl_Data_old[[#This Row],[2033 ]]</f>
        <v>199.42151647438007</v>
      </c>
      <c r="AR154">
        <f>$AH154*tbl_Data_old[[#This Row],[2034 ]]</f>
        <v>213.41801718851582</v>
      </c>
      <c r="AS154">
        <f>SUM(tbl_Data_old[[#This Row],[Adjusted 2025]:[Adjusted 2034]])</f>
        <v>1594.3286123855924</v>
      </c>
      <c r="AT154" s="3">
        <f>AVERAGEIFS('3. Incentive Adjustment'!F:F,'3. Incentive Adjustment'!A:A,tbl_Data_old[[#This Row],[Trimmed Sector]],'3. Incentive Adjustment'!B:B,tbl_Data_old[[#This Row],[Trimmed Measure Name]])</f>
        <v>353</v>
      </c>
      <c r="AU154" s="3">
        <f>IFERROR(VLOOKUP(tbl_Data_old[[#This Row],[All_Meas_Name_Append]],'IRA Tax Credits'!$A$3:$D$46,4,0),0)</f>
        <v>0</v>
      </c>
      <c r="AV154" s="4">
        <f>tbl_Data_old[[#This Row],[Adj. per unit Incentive ($)]]/tbl_Data_old[[#This Row],[kWh Savings]]*tbl_Data_old[[#This Row],[Sum of Annuals]]</f>
        <v>2216.0018906647183</v>
      </c>
      <c r="AW154" s="4">
        <f>IFERROR(VLOOKUP(tbl_Data_old[[#This Row],[All_Programs]],'1. Set Program Names'!$B$2:$D$15,3,0)*tbl_Data_old[[#This Row],[Sum of Annuals]],"")</f>
        <v>718.44048795224433</v>
      </c>
      <c r="AX154" s="4">
        <f>tbl_Data_old[[#This Row],[per unit IRA tax ($)]]/tbl_Data_old[[#This Row],[kWh Savings]]*tbl_Data_old[[#This Row],[Sum of Annuals]]</f>
        <v>0</v>
      </c>
      <c r="AY154" s="4">
        <f>tbl_Data_old[[#This Row],[Avoided Costs ($/unit)]]/tbl_Data_old[[#This Row],[kWh Savings]]*tbl_Data_old[[#This Row],[Sum of Annuals]]</f>
        <v>1164.7831179284631</v>
      </c>
      <c r="AZ154" s="4">
        <f>tbl_Data_old[[#This Row],[Lost Revenue ($/unit)]]/tbl_Data_old[[#This Row],[kWh Savings]]*tbl_Data_old[[#This Row],[Sum of Annuals]]</f>
        <v>2122.4154628868287</v>
      </c>
      <c r="BA154" s="4">
        <f>tbl_Data_old[[#This Row],[Incremental Cost ($/unit)]]/tbl_Data_old[[#This Row],[kWh Savings]]*tbl_Data_old[[#This Row],[Sum of Annuals]]</f>
        <v>5492.9225335173551</v>
      </c>
      <c r="BB154">
        <f>ROUNDUP(tbl_Data_old[[#This Row],[Adjusted 2025]]/$L154,0)</f>
        <v>1</v>
      </c>
      <c r="BC154">
        <f>ROUNDUP(tbl_Data_old[[#This Row],[Adjusted 2026]]/$L154,0)</f>
        <v>1</v>
      </c>
      <c r="BD154">
        <f>ROUNDUP(tbl_Data_old[[#This Row],[Adjusted 2027]]/$L154,0)</f>
        <v>1</v>
      </c>
      <c r="BE154">
        <f>ROUNDUP(tbl_Data_old[[#This Row],[Adjusted 2028]]/$L154,0)</f>
        <v>1</v>
      </c>
      <c r="BF154">
        <f>ROUNDUP(tbl_Data_old[[#This Row],[Adjusted 2029]]/$L154,0)</f>
        <v>1</v>
      </c>
      <c r="BG154">
        <f>ROUNDUP(tbl_Data_old[[#This Row],[Adjusted 2030]]/$L154,0)</f>
        <v>1</v>
      </c>
      <c r="BH154">
        <f>ROUNDUP(tbl_Data_old[[#This Row],[Adjusted 2031]]/$L154,0)</f>
        <v>1</v>
      </c>
      <c r="BI154">
        <f>ROUNDUP(tbl_Data_old[[#This Row],[Adjusted 2032]]/$L154,0)</f>
        <v>1</v>
      </c>
      <c r="BJ154">
        <f>ROUNDUP(tbl_Data_old[[#This Row],[Adjusted 2033]]/$L154,0)</f>
        <v>1</v>
      </c>
      <c r="BK154">
        <f>ROUNDUP(tbl_Data_old[[#This Row],[Adjusted 2034]]/$L154,0)</f>
        <v>1</v>
      </c>
      <c r="BL154" s="3">
        <f t="shared" si="10"/>
        <v>17800.794220138385</v>
      </c>
      <c r="BM154" s="3">
        <f t="shared" si="10"/>
        <v>19909.679552742666</v>
      </c>
      <c r="BN154" s="3">
        <f t="shared" si="10"/>
        <v>21882.161851193461</v>
      </c>
      <c r="BO154" s="3">
        <f t="shared" si="10"/>
        <v>23772.799709003561</v>
      </c>
      <c r="BP154" s="3">
        <f t="shared" si="10"/>
        <v>25597.119908737743</v>
      </c>
      <c r="BQ154" s="3">
        <f t="shared" si="10"/>
        <v>27293.334012329142</v>
      </c>
      <c r="BR154" s="3">
        <f t="shared" si="10"/>
        <v>29075.114038863219</v>
      </c>
      <c r="BS154" s="3">
        <f t="shared" si="10"/>
        <v>31015.705279259673</v>
      </c>
      <c r="BT154" s="3">
        <f t="shared" si="10"/>
        <v>33141.024393188607</v>
      </c>
      <c r="BU154" s="3">
        <f t="shared" si="10"/>
        <v>35467.044071441567</v>
      </c>
      <c r="BV154">
        <f>VLOOKUP($H154,'1. Set Program Names'!$B$2:$D$15,3,0)*V154</f>
        <v>5771.1193024377526</v>
      </c>
      <c r="BW154">
        <f>VLOOKUP($H154,'1. Set Program Names'!$B$2:$D$15,3,0)*W154</f>
        <v>6454.8319895858112</v>
      </c>
      <c r="BX154">
        <f>VLOOKUP($H154,'1. Set Program Names'!$B$2:$D$15,3,0)*X154</f>
        <v>7094.3220328687039</v>
      </c>
      <c r="BY154">
        <f>VLOOKUP($H154,'1. Set Program Names'!$B$2:$D$15,3,0)*Y154</f>
        <v>7707.2776403653334</v>
      </c>
      <c r="BZ154">
        <f>VLOOKUP($H154,'1. Set Program Names'!$B$2:$D$15,3,0)*Z154</f>
        <v>8298.7326837926721</v>
      </c>
      <c r="CA154">
        <f>VLOOKUP($H154,'1. Set Program Names'!$B$2:$D$15,3,0)*AA154</f>
        <v>8848.6549981144053</v>
      </c>
      <c r="CB154">
        <f>VLOOKUP($H154,'1. Set Program Names'!$B$2:$D$15,3,0)*AB154</f>
        <v>9426.3182740706925</v>
      </c>
      <c r="CC154">
        <f>VLOOKUP($H154,'1. Set Program Names'!$B$2:$D$15,3,0)*AC154</f>
        <v>10055.469053923174</v>
      </c>
      <c r="CD154">
        <f>VLOOKUP($H154,'1. Set Program Names'!$B$2:$D$15,3,0)*AD154</f>
        <v>10744.509666973967</v>
      </c>
      <c r="CE154">
        <f>VLOOKUP($H154,'1. Set Program Names'!$B$2:$D$15,3,0)*AE154</f>
        <v>11498.618550937648</v>
      </c>
    </row>
    <row r="155" spans="1:83" x14ac:dyDescent="0.25">
      <c r="A155" s="20" t="s">
        <v>87</v>
      </c>
      <c r="B155" s="20" t="s">
        <v>88</v>
      </c>
      <c r="C155" s="20" t="s">
        <v>89</v>
      </c>
      <c r="D155" s="20" t="s">
        <v>90</v>
      </c>
      <c r="E155" s="20" t="s">
        <v>91</v>
      </c>
      <c r="F155" s="20" t="s">
        <v>90</v>
      </c>
      <c r="G155" s="20" t="s">
        <v>92</v>
      </c>
      <c r="H155" s="20" t="s">
        <v>9</v>
      </c>
      <c r="I155" s="20" t="s">
        <v>107</v>
      </c>
      <c r="J155" s="20" t="s">
        <v>94</v>
      </c>
      <c r="K155" s="20" t="s">
        <v>108</v>
      </c>
      <c r="L155" s="20">
        <v>1663.1099999999899</v>
      </c>
      <c r="M155" s="20">
        <v>6.6647595975018806E-2</v>
      </c>
      <c r="N155" s="20">
        <v>0.309148293753995</v>
      </c>
      <c r="O155" s="20">
        <v>1389.5</v>
      </c>
      <c r="P155" s="20">
        <v>988.78817699699403</v>
      </c>
      <c r="Q155" s="20">
        <v>499.623289969231</v>
      </c>
      <c r="R155" s="20">
        <v>791.96156853290995</v>
      </c>
      <c r="S155" s="20">
        <v>2127.4894292214699</v>
      </c>
      <c r="T155" s="20">
        <v>15</v>
      </c>
      <c r="U155" s="20">
        <v>0.2</v>
      </c>
      <c r="V155" s="20">
        <v>17405.064829381801</v>
      </c>
      <c r="W155" s="20">
        <v>19356.480508327099</v>
      </c>
      <c r="X155" s="20">
        <v>21154.773706242799</v>
      </c>
      <c r="Y155" s="20">
        <v>22855.0745407061</v>
      </c>
      <c r="Z155" s="20">
        <v>24473.922077906402</v>
      </c>
      <c r="AA155" s="20">
        <v>25953.929111011101</v>
      </c>
      <c r="AB155" s="20">
        <v>27499.4388694714</v>
      </c>
      <c r="AC155" s="20">
        <v>29178.286623958</v>
      </c>
      <c r="AD155" s="20">
        <v>31012.567636199699</v>
      </c>
      <c r="AE155" s="20">
        <v>33014.645921591902</v>
      </c>
      <c r="AF155" t="str">
        <f t="shared" si="9"/>
        <v>Residential</v>
      </c>
      <c r="AG155" t="str">
        <f>tbl_Data_old[[#This Row],[All_Meas_Name_Append]]</f>
        <v>Heat Pump Water Heater 50 Gallons- CEE Advanced Tier</v>
      </c>
      <c r="AH155">
        <f>AVERAGEIFS('3. Incentive Adjustment'!G:G,'3. Incentive Adjustment'!A:A,tbl_Data_old[[#This Row],[Trimmed Sector]],'3. Incentive Adjustment'!B:B,tbl_Data_old[[#This Row],[Trimmed Measure Name]])</f>
        <v>0.46049099596140497</v>
      </c>
      <c r="AI155">
        <f>$AH155*tbl_Data_old[[#This Row],[2025 ]]</f>
        <v>8014.8756380548466</v>
      </c>
      <c r="AJ155">
        <f>$AH155*tbl_Data_old[[#This Row],[2026 ]]</f>
        <v>8913.4849875870677</v>
      </c>
      <c r="AK155">
        <f>$AH155*tbl_Data_old[[#This Row],[2027 ]]</f>
        <v>9741.5828133258892</v>
      </c>
      <c r="AL155">
        <f>$AH155*tbl_Data_old[[#This Row],[2028 ]]</f>
        <v>10524.556038021903</v>
      </c>
      <c r="AM155">
        <f>$AH155*tbl_Data_old[[#This Row],[2029 ]]</f>
        <v>11270.020752736937</v>
      </c>
      <c r="AN155">
        <f>$AH155*tbl_Data_old[[#This Row],[2030 ]]</f>
        <v>11951.550665441204</v>
      </c>
      <c r="AO155">
        <f>$AH155*tbl_Data_old[[#This Row],[2031 ]]</f>
        <v>12663.243993382657</v>
      </c>
      <c r="AP155">
        <f>$AH155*tbl_Data_old[[#This Row],[2032 ]]</f>
        <v>13436.338267913759</v>
      </c>
      <c r="AQ155">
        <f>$AH155*tbl_Data_old[[#This Row],[2033 ]]</f>
        <v>14281.008158114035</v>
      </c>
      <c r="AR155">
        <f>$AH155*tbl_Data_old[[#This Row],[2034 ]]</f>
        <v>15202.947181746991</v>
      </c>
      <c r="AS155">
        <f>SUM(tbl_Data_old[[#This Row],[Adjusted 2025]:[Adjusted 2034]])</f>
        <v>115999.60849632529</v>
      </c>
      <c r="AT155" s="3">
        <f>AVERAGEIFS('3. Incentive Adjustment'!F:F,'3. Incentive Adjustment'!A:A,tbl_Data_old[[#This Row],[Trimmed Sector]],'3. Incentive Adjustment'!B:B,tbl_Data_old[[#This Row],[Trimmed Measure Name]])</f>
        <v>500</v>
      </c>
      <c r="AU155" s="3">
        <f>IFERROR(VLOOKUP(tbl_Data_old[[#This Row],[All_Meas_Name_Append]],'IRA Tax Credits'!$A$3:$D$46,4,0),0)</f>
        <v>1666.6666666666667</v>
      </c>
      <c r="AV155" s="4">
        <f>tbl_Data_old[[#This Row],[Adj. per unit Incentive ($)]]/tbl_Data_old[[#This Row],[kWh Savings]]*tbl_Data_old[[#This Row],[Sum of Annuals]]</f>
        <v>34874.304314304529</v>
      </c>
      <c r="AW155" s="4">
        <f>IFERROR(VLOOKUP(tbl_Data_old[[#This Row],[All_Programs]],'1. Set Program Names'!$B$2:$D$15,3,0)*tbl_Data_old[[#This Row],[Sum of Annuals]],"")</f>
        <v>52272.043970702791</v>
      </c>
      <c r="AX155" s="4">
        <f>tbl_Data_old[[#This Row],[per unit IRA tax ($)]]/tbl_Data_old[[#This Row],[kWh Savings]]*tbl_Data_old[[#This Row],[Sum of Annuals]]</f>
        <v>116247.68104768176</v>
      </c>
      <c r="AY155" s="4">
        <f>tbl_Data_old[[#This Row],[Avoided Costs ($/unit)]]/tbl_Data_old[[#This Row],[kWh Savings]]*tbl_Data_old[[#This Row],[Sum of Annuals]]</f>
        <v>55238.217492501281</v>
      </c>
      <c r="AZ155" s="4">
        <f>tbl_Data_old[[#This Row],[Lost Revenue ($/unit)]]/tbl_Data_old[[#This Row],[kWh Savings]]*tbl_Data_old[[#This Row],[Sum of Annuals]]</f>
        <v>148389.42756027114</v>
      </c>
      <c r="BA155" s="4">
        <f>tbl_Data_old[[#This Row],[Incremental Cost ($/unit)]]/tbl_Data_old[[#This Row],[kWh Savings]]*tbl_Data_old[[#This Row],[Sum of Annuals]]</f>
        <v>96915.691689452273</v>
      </c>
      <c r="BB155">
        <f>ROUNDUP(tbl_Data_old[[#This Row],[Adjusted 2025]]/$L155,0)</f>
        <v>5</v>
      </c>
      <c r="BC155">
        <f>ROUNDUP(tbl_Data_old[[#This Row],[Adjusted 2026]]/$L155,0)</f>
        <v>6</v>
      </c>
      <c r="BD155">
        <f>ROUNDUP(tbl_Data_old[[#This Row],[Adjusted 2027]]/$L155,0)</f>
        <v>6</v>
      </c>
      <c r="BE155">
        <f>ROUNDUP(tbl_Data_old[[#This Row],[Adjusted 2028]]/$L155,0)</f>
        <v>7</v>
      </c>
      <c r="BF155">
        <f>ROUNDUP(tbl_Data_old[[#This Row],[Adjusted 2029]]/$L155,0)</f>
        <v>7</v>
      </c>
      <c r="BG155">
        <f>ROUNDUP(tbl_Data_old[[#This Row],[Adjusted 2030]]/$L155,0)</f>
        <v>8</v>
      </c>
      <c r="BH155">
        <f>ROUNDUP(tbl_Data_old[[#This Row],[Adjusted 2031]]/$L155,0)</f>
        <v>8</v>
      </c>
      <c r="BI155">
        <f>ROUNDUP(tbl_Data_old[[#This Row],[Adjusted 2032]]/$L155,0)</f>
        <v>9</v>
      </c>
      <c r="BJ155">
        <f>ROUNDUP(tbl_Data_old[[#This Row],[Adjusted 2033]]/$L155,0)</f>
        <v>9</v>
      </c>
      <c r="BK155">
        <f>ROUNDUP(tbl_Data_old[[#This Row],[Adjusted 2034]]/$L155,0)</f>
        <v>10</v>
      </c>
      <c r="BL155" s="3">
        <f t="shared" si="10"/>
        <v>5232.6860007401519</v>
      </c>
      <c r="BM155" s="3">
        <f t="shared" si="10"/>
        <v>5819.3626724411542</v>
      </c>
      <c r="BN155" s="3">
        <f t="shared" si="10"/>
        <v>6360.0043611796355</v>
      </c>
      <c r="BO155" s="3">
        <f t="shared" si="10"/>
        <v>6871.1854720091396</v>
      </c>
      <c r="BP155" s="3">
        <f t="shared" si="10"/>
        <v>7357.8783357404354</v>
      </c>
      <c r="BQ155" s="3">
        <f t="shared" si="10"/>
        <v>7802.8299724646176</v>
      </c>
      <c r="BR155" s="3">
        <f t="shared" si="10"/>
        <v>8267.4744513205878</v>
      </c>
      <c r="BS155" s="3">
        <f t="shared" si="10"/>
        <v>8772.2058745236864</v>
      </c>
      <c r="BT155" s="3">
        <f t="shared" si="10"/>
        <v>9323.666996229922</v>
      </c>
      <c r="BU155" s="3">
        <f t="shared" si="10"/>
        <v>9925.5749534282477</v>
      </c>
      <c r="BV155">
        <f>VLOOKUP($H155,'1. Set Program Names'!$B$2:$D$15,3,0)*V155</f>
        <v>7843.1153851971776</v>
      </c>
      <c r="BW155">
        <f>VLOOKUP($H155,'1. Set Program Names'!$B$2:$D$15,3,0)*W155</f>
        <v>8722.4673717875357</v>
      </c>
      <c r="BX155">
        <f>VLOOKUP($H155,'1. Set Program Names'!$B$2:$D$15,3,0)*X155</f>
        <v>9532.8189094536556</v>
      </c>
      <c r="BY155">
        <f>VLOOKUP($H155,'1. Set Program Names'!$B$2:$D$15,3,0)*Y155</f>
        <v>10299.012874541942</v>
      </c>
      <c r="BZ155">
        <f>VLOOKUP($H155,'1. Set Program Names'!$B$2:$D$15,3,0)*Z155</f>
        <v>11028.50214388787</v>
      </c>
      <c r="CA155">
        <f>VLOOKUP($H155,'1. Set Program Names'!$B$2:$D$15,3,0)*AA155</f>
        <v>11695.426745739858</v>
      </c>
      <c r="CB155">
        <f>VLOOKUP($H155,'1. Set Program Names'!$B$2:$D$15,3,0)*AB155</f>
        <v>12391.868355316034</v>
      </c>
      <c r="CC155">
        <f>VLOOKUP($H155,'1. Set Program Names'!$B$2:$D$15,3,0)*AC155</f>
        <v>13148.395077950785</v>
      </c>
      <c r="CD155">
        <f>VLOOKUP($H155,'1. Set Program Names'!$B$2:$D$15,3,0)*AD155</f>
        <v>13974.963537701757</v>
      </c>
      <c r="CE155">
        <f>VLOOKUP($H155,'1. Set Program Names'!$B$2:$D$15,3,0)*AE155</f>
        <v>14877.145239204016</v>
      </c>
    </row>
    <row r="156" spans="1:83" x14ac:dyDescent="0.25">
      <c r="A156" s="20" t="s">
        <v>87</v>
      </c>
      <c r="B156" s="20" t="s">
        <v>88</v>
      </c>
      <c r="C156" s="20" t="s">
        <v>89</v>
      </c>
      <c r="D156" s="20" t="s">
        <v>90</v>
      </c>
      <c r="E156" s="20" t="s">
        <v>91</v>
      </c>
      <c r="F156" s="20" t="s">
        <v>90</v>
      </c>
      <c r="G156" s="20" t="s">
        <v>92</v>
      </c>
      <c r="H156" s="20" t="s">
        <v>9</v>
      </c>
      <c r="I156" s="20" t="s">
        <v>109</v>
      </c>
      <c r="J156" s="20" t="s">
        <v>94</v>
      </c>
      <c r="K156" s="20" t="s">
        <v>95</v>
      </c>
      <c r="L156" s="20">
        <v>1590.11499999999</v>
      </c>
      <c r="M156" s="20">
        <v>6.3722388822036402E-2</v>
      </c>
      <c r="N156" s="20">
        <v>0.29557957027655002</v>
      </c>
      <c r="O156" s="20">
        <v>1389.5</v>
      </c>
      <c r="P156" s="20">
        <v>1006.47372867305</v>
      </c>
      <c r="Q156" s="20">
        <v>477.694492685044</v>
      </c>
      <c r="R156" s="20">
        <v>757.20185047754296</v>
      </c>
      <c r="S156" s="20">
        <v>2034.1125083407001</v>
      </c>
      <c r="T156" s="20">
        <v>15</v>
      </c>
      <c r="U156" s="20">
        <v>0.2</v>
      </c>
      <c r="V156" s="20">
        <v>24873.105334489199</v>
      </c>
      <c r="W156" s="20">
        <v>27650.478882694399</v>
      </c>
      <c r="X156" s="20">
        <v>30208.182811836999</v>
      </c>
      <c r="Y156" s="20">
        <v>32625.379174516002</v>
      </c>
      <c r="Z156" s="20">
        <v>34925.982653283099</v>
      </c>
      <c r="AA156" s="20">
        <v>37028.354721690499</v>
      </c>
      <c r="AB156" s="20">
        <v>39224.208802670197</v>
      </c>
      <c r="AC156" s="20">
        <v>41610.2946300533</v>
      </c>
      <c r="AD156" s="20">
        <v>44218.071400411798</v>
      </c>
      <c r="AE156" s="20">
        <v>47065.114589705903</v>
      </c>
      <c r="AF156" t="str">
        <f t="shared" si="9"/>
        <v>Residential</v>
      </c>
      <c r="AG156" t="str">
        <f>tbl_Data_old[[#This Row],[All_Meas_Name_Append]]</f>
        <v>Heat Pump Water Heater 50 Gallons-ENERGY STAR</v>
      </c>
      <c r="AH156">
        <f>AVERAGEIFS('3. Incentive Adjustment'!G:G,'3. Incentive Adjustment'!A:A,tbl_Data_old[[#This Row],[Trimmed Sector]],'3. Incentive Adjustment'!B:B,tbl_Data_old[[#This Row],[Trimmed Measure Name]])</f>
        <v>0.43153525594917136</v>
      </c>
      <c r="AI156">
        <f>$AH156*tbl_Data_old[[#This Row],[2025 ]]</f>
        <v>10733.621876769495</v>
      </c>
      <c r="AJ156">
        <f>$AH156*tbl_Data_old[[#This Row],[2026 ]]</f>
        <v>11932.156481760685</v>
      </c>
      <c r="AK156">
        <f>$AH156*tbl_Data_old[[#This Row],[2027 ]]</f>
        <v>13035.895901465439</v>
      </c>
      <c r="AL156">
        <f>$AH156*tbl_Data_old[[#This Row],[2028 ]]</f>
        <v>14079.001352513527</v>
      </c>
      <c r="AM156">
        <f>$AH156*tbl_Data_old[[#This Row],[2029 ]]</f>
        <v>15071.79286356084</v>
      </c>
      <c r="AN156">
        <f>$AH156*tbl_Data_old[[#This Row],[2030 ]]</f>
        <v>15979.040532201418</v>
      </c>
      <c r="AO156">
        <f>$AH156*tbl_Data_old[[#This Row],[2031 ]]</f>
        <v>16926.628985064024</v>
      </c>
      <c r="AP156">
        <f>$AH156*tbl_Data_old[[#This Row],[2032 ]]</f>
        <v>17956.309143300481</v>
      </c>
      <c r="AQ156">
        <f>$AH156*tbl_Data_old[[#This Row],[2033 ]]</f>
        <v>19081.656759355439</v>
      </c>
      <c r="AR156">
        <f>$AH156*tbl_Data_old[[#This Row],[2034 ]]</f>
        <v>20310.256270745816</v>
      </c>
      <c r="AS156">
        <f>SUM(tbl_Data_old[[#This Row],[Adjusted 2025]:[Adjusted 2034]])</f>
        <v>155106.3601667372</v>
      </c>
      <c r="AT156" s="3">
        <f>AVERAGEIFS('3. Incentive Adjustment'!F:F,'3. Incentive Adjustment'!A:A,tbl_Data_old[[#This Row],[Trimmed Sector]],'3. Incentive Adjustment'!B:B,tbl_Data_old[[#This Row],[Trimmed Measure Name]])</f>
        <v>500</v>
      </c>
      <c r="AU156" s="3">
        <f>IFERROR(VLOOKUP(tbl_Data_old[[#This Row],[All_Meas_Name_Append]],'IRA Tax Credits'!$A$3:$D$46,4,0),0)</f>
        <v>1666.6666666666667</v>
      </c>
      <c r="AV156" s="4">
        <f>tbl_Data_old[[#This Row],[Adj. per unit Incentive ($)]]/tbl_Data_old[[#This Row],[kWh Savings]]*tbl_Data_old[[#This Row],[Sum of Annuals]]</f>
        <v>48772.057419349592</v>
      </c>
      <c r="AW156" s="4">
        <f>IFERROR(VLOOKUP(tbl_Data_old[[#This Row],[All_Programs]],'1. Set Program Names'!$B$2:$D$15,3,0)*tbl_Data_old[[#This Row],[Sum of Annuals]],"")</f>
        <v>69894.429678425964</v>
      </c>
      <c r="AX156" s="4">
        <f>tbl_Data_old[[#This Row],[per unit IRA tax ($)]]/tbl_Data_old[[#This Row],[kWh Savings]]*tbl_Data_old[[#This Row],[Sum of Annuals]]</f>
        <v>162573.52473116532</v>
      </c>
      <c r="AY156" s="4">
        <f>tbl_Data_old[[#This Row],[Avoided Costs ($/unit)]]/tbl_Data_old[[#This Row],[kWh Savings]]*tbl_Data_old[[#This Row],[Sum of Annuals]]</f>
        <v>73860.584259056996</v>
      </c>
      <c r="AZ156" s="4">
        <f>tbl_Data_old[[#This Row],[Lost Revenue ($/unit)]]/tbl_Data_old[[#This Row],[kWh Savings]]*tbl_Data_old[[#This Row],[Sum of Annuals]]</f>
        <v>198415.70410841974</v>
      </c>
      <c r="BA156" s="4">
        <f>tbl_Data_old[[#This Row],[Incremental Cost ($/unit)]]/tbl_Data_old[[#This Row],[kWh Savings]]*tbl_Data_old[[#This Row],[Sum of Annuals]]</f>
        <v>135537.54756837254</v>
      </c>
      <c r="BB156">
        <f>ROUNDUP(tbl_Data_old[[#This Row],[Adjusted 2025]]/$L156,0)</f>
        <v>7</v>
      </c>
      <c r="BC156">
        <f>ROUNDUP(tbl_Data_old[[#This Row],[Adjusted 2026]]/$L156,0)</f>
        <v>8</v>
      </c>
      <c r="BD156">
        <f>ROUNDUP(tbl_Data_old[[#This Row],[Adjusted 2027]]/$L156,0)</f>
        <v>9</v>
      </c>
      <c r="BE156">
        <f>ROUNDUP(tbl_Data_old[[#This Row],[Adjusted 2028]]/$L156,0)</f>
        <v>9</v>
      </c>
      <c r="BF156">
        <f>ROUNDUP(tbl_Data_old[[#This Row],[Adjusted 2029]]/$L156,0)</f>
        <v>10</v>
      </c>
      <c r="BG156">
        <f>ROUNDUP(tbl_Data_old[[#This Row],[Adjusted 2030]]/$L156,0)</f>
        <v>11</v>
      </c>
      <c r="BH156">
        <f>ROUNDUP(tbl_Data_old[[#This Row],[Adjusted 2031]]/$L156,0)</f>
        <v>11</v>
      </c>
      <c r="BI156">
        <f>ROUNDUP(tbl_Data_old[[#This Row],[Adjusted 2032]]/$L156,0)</f>
        <v>12</v>
      </c>
      <c r="BJ156">
        <f>ROUNDUP(tbl_Data_old[[#This Row],[Adjusted 2033]]/$L156,0)</f>
        <v>13</v>
      </c>
      <c r="BK156">
        <f>ROUNDUP(tbl_Data_old[[#This Row],[Adjusted 2034]]/$L156,0)</f>
        <v>13</v>
      </c>
      <c r="BL156" s="3">
        <f t="shared" si="10"/>
        <v>7821.1655554753443</v>
      </c>
      <c r="BM156" s="3">
        <f t="shared" si="10"/>
        <v>8694.4902987188252</v>
      </c>
      <c r="BN156" s="3">
        <f t="shared" si="10"/>
        <v>9498.7415412838654</v>
      </c>
      <c r="BO156" s="3">
        <f t="shared" si="10"/>
        <v>10258.811210043363</v>
      </c>
      <c r="BP156" s="3">
        <f t="shared" si="10"/>
        <v>10982.219101537725</v>
      </c>
      <c r="BQ156" s="3">
        <f t="shared" si="10"/>
        <v>11643.294579854517</v>
      </c>
      <c r="BR156" s="3">
        <f t="shared" si="10"/>
        <v>12333.764791436606</v>
      </c>
      <c r="BS156" s="3">
        <f t="shared" si="10"/>
        <v>13084.051980533974</v>
      </c>
      <c r="BT156" s="3">
        <f t="shared" si="10"/>
        <v>13904.048260789965</v>
      </c>
      <c r="BU156" s="3">
        <f t="shared" si="10"/>
        <v>14799.280111723427</v>
      </c>
      <c r="BV156">
        <f>VLOOKUP($H156,'1. Set Program Names'!$B$2:$D$15,3,0)*V156</f>
        <v>11208.383136685577</v>
      </c>
      <c r="BW156">
        <f>VLOOKUP($H156,'1. Set Program Names'!$B$2:$D$15,3,0)*W156</f>
        <v>12459.930397204549</v>
      </c>
      <c r="BX156">
        <f>VLOOKUP($H156,'1. Set Program Names'!$B$2:$D$15,3,0)*X156</f>
        <v>13612.489565129814</v>
      </c>
      <c r="BY156">
        <f>VLOOKUP($H156,'1. Set Program Names'!$B$2:$D$15,3,0)*Y156</f>
        <v>14701.732849599885</v>
      </c>
      <c r="BZ156">
        <f>VLOOKUP($H156,'1. Set Program Names'!$B$2:$D$15,3,0)*Z156</f>
        <v>15738.436746795151</v>
      </c>
      <c r="CA156">
        <f>VLOOKUP($H156,'1. Set Program Names'!$B$2:$D$15,3,0)*AA156</f>
        <v>16685.81309251834</v>
      </c>
      <c r="CB156">
        <f>VLOOKUP($H156,'1. Set Program Names'!$B$2:$D$15,3,0)*AB156</f>
        <v>17675.314544825862</v>
      </c>
      <c r="CC156">
        <f>VLOOKUP($H156,'1. Set Program Names'!$B$2:$D$15,3,0)*AC156</f>
        <v>18750.538719317719</v>
      </c>
      <c r="CD156">
        <f>VLOOKUP($H156,'1. Set Program Names'!$B$2:$D$15,3,0)*AD156</f>
        <v>19925.661840619247</v>
      </c>
      <c r="CE156">
        <f>VLOOKUP($H156,'1. Set Program Names'!$B$2:$D$15,3,0)*AE156</f>
        <v>21208.6038152207</v>
      </c>
    </row>
    <row r="157" spans="1:83" x14ac:dyDescent="0.25">
      <c r="A157" s="20" t="s">
        <v>87</v>
      </c>
      <c r="B157" s="20" t="s">
        <v>88</v>
      </c>
      <c r="C157" s="20" t="s">
        <v>89</v>
      </c>
      <c r="D157" s="20" t="s">
        <v>90</v>
      </c>
      <c r="E157" s="20" t="s">
        <v>91</v>
      </c>
      <c r="F157" s="20" t="s">
        <v>90</v>
      </c>
      <c r="G157" s="20" t="s">
        <v>92</v>
      </c>
      <c r="H157" s="20" t="s">
        <v>9</v>
      </c>
      <c r="I157" s="20" t="s">
        <v>110</v>
      </c>
      <c r="J157" s="20" t="s">
        <v>94</v>
      </c>
      <c r="K157" s="20" t="s">
        <v>108</v>
      </c>
      <c r="L157" s="20">
        <v>461.909999999999</v>
      </c>
      <c r="M157" s="20">
        <v>1.8510616289253799E-2</v>
      </c>
      <c r="N157" s="20">
        <v>8.5862443475120898E-2</v>
      </c>
      <c r="O157" s="20">
        <v>1729.5</v>
      </c>
      <c r="P157" s="20">
        <v>1631.9996867488601</v>
      </c>
      <c r="Q157" s="20">
        <v>138.764720234794</v>
      </c>
      <c r="R157" s="20">
        <v>219.958372038552</v>
      </c>
      <c r="S157" s="20">
        <v>590.88613636602201</v>
      </c>
      <c r="T157" s="20">
        <v>15</v>
      </c>
      <c r="U157" s="20">
        <v>0.2</v>
      </c>
      <c r="V157" s="20">
        <v>13379.830382087501</v>
      </c>
      <c r="W157" s="20">
        <v>14882.579080810799</v>
      </c>
      <c r="X157" s="20">
        <v>16267.793207299799</v>
      </c>
      <c r="Y157" s="20">
        <v>17577.762715251502</v>
      </c>
      <c r="Z157" s="20">
        <v>18825.135447873101</v>
      </c>
      <c r="AA157" s="20">
        <v>19965.7098950174</v>
      </c>
      <c r="AB157" s="20">
        <v>21156.641509186898</v>
      </c>
      <c r="AC157" s="20">
        <v>22450.120494796702</v>
      </c>
      <c r="AD157" s="20">
        <v>23863.1577832572</v>
      </c>
      <c r="AE157" s="20">
        <v>25405.278224839702</v>
      </c>
      <c r="AF157" t="str">
        <f t="shared" si="9"/>
        <v>Residential</v>
      </c>
      <c r="AG157" t="str">
        <f>tbl_Data_old[[#This Row],[All_Meas_Name_Append]]</f>
        <v>Heat Pump Water Heater 80 Gallons-ENERGY STAR</v>
      </c>
      <c r="AH157">
        <f>AVERAGEIFS('3. Incentive Adjustment'!G:G,'3. Incentive Adjustment'!A:A,tbl_Data_old[[#This Row],[Trimmed Sector]],'3. Incentive Adjustment'!B:B,tbl_Data_old[[#This Row],[Trimmed Measure Name]])</f>
        <v>1.5551101216712928E-3</v>
      </c>
      <c r="AI157">
        <f>$AH157*tbl_Data_old[[#This Row],[2025 ]]</f>
        <v>20.807109653429354</v>
      </c>
      <c r="AJ157">
        <f>$AH157*tbl_Data_old[[#This Row],[2026 ]]</f>
        <v>23.144049365142319</v>
      </c>
      <c r="AK157">
        <f>$AH157*tbl_Data_old[[#This Row],[2027 ]]</f>
        <v>25.298209873927423</v>
      </c>
      <c r="AL157">
        <f>$AH157*tbl_Data_old[[#This Row],[2028 ]]</f>
        <v>27.335356714823877</v>
      </c>
      <c r="AM157">
        <f>$AH157*tbl_Data_old[[#This Row],[2029 ]]</f>
        <v>29.275158676820507</v>
      </c>
      <c r="AN157">
        <f>$AH157*tbl_Data_old[[#This Row],[2030 ]]</f>
        <v>31.048877544094243</v>
      </c>
      <c r="AO157">
        <f>$AH157*tbl_Data_old[[#This Row],[2031 ]]</f>
        <v>32.900907351507563</v>
      </c>
      <c r="AP157">
        <f>$AH157*tbl_Data_old[[#This Row],[2032 ]]</f>
        <v>34.912409614198481</v>
      </c>
      <c r="AQ157">
        <f>$AH157*tbl_Data_old[[#This Row],[2033 ]]</f>
        <v>37.10983820378236</v>
      </c>
      <c r="AR157">
        <f>$AH157*tbl_Data_old[[#This Row],[2034 ]]</f>
        <v>39.508005311323515</v>
      </c>
      <c r="AS157">
        <f>SUM(tbl_Data_old[[#This Row],[Adjusted 2025]:[Adjusted 2034]])</f>
        <v>301.33992230904965</v>
      </c>
      <c r="AT157" s="3">
        <f>AVERAGEIFS('3. Incentive Adjustment'!F:F,'3. Incentive Adjustment'!A:A,tbl_Data_old[[#This Row],[Trimmed Sector]],'3. Incentive Adjustment'!B:B,tbl_Data_old[[#This Row],[Trimmed Measure Name]])</f>
        <v>500</v>
      </c>
      <c r="AU157" s="3">
        <f>IFERROR(VLOOKUP(tbl_Data_old[[#This Row],[All_Meas_Name_Append]],'IRA Tax Credits'!$A$3:$D$46,4,0),0)</f>
        <v>1666.6666666666667</v>
      </c>
      <c r="AV157" s="4">
        <f>tbl_Data_old[[#This Row],[Adj. per unit Incentive ($)]]/tbl_Data_old[[#This Row],[kWh Savings]]*tbl_Data_old[[#This Row],[Sum of Annuals]]</f>
        <v>326.18900035618447</v>
      </c>
      <c r="AW157" s="4">
        <f>IFERROR(VLOOKUP(tbl_Data_old[[#This Row],[All_Programs]],'1. Set Program Names'!$B$2:$D$15,3,0)*tbl_Data_old[[#This Row],[Sum of Annuals]],"")</f>
        <v>135.79057613427889</v>
      </c>
      <c r="AX157" s="4">
        <f>tbl_Data_old[[#This Row],[per unit IRA tax ($)]]/tbl_Data_old[[#This Row],[kWh Savings]]*tbl_Data_old[[#This Row],[Sum of Annuals]]</f>
        <v>1087.2966678539481</v>
      </c>
      <c r="AY157" s="4">
        <f>tbl_Data_old[[#This Row],[Avoided Costs ($/unit)]]/tbl_Data_old[[#This Row],[kWh Savings]]*tbl_Data_old[[#This Row],[Sum of Annuals]]</f>
        <v>143.49600299045798</v>
      </c>
      <c r="AZ157" s="4">
        <f>tbl_Data_old[[#This Row],[Lost Revenue ($/unit)]]/tbl_Data_old[[#This Row],[kWh Savings]]*tbl_Data_old[[#This Row],[Sum of Annuals]]</f>
        <v>385.48111629112157</v>
      </c>
      <c r="BA157" s="4">
        <f>tbl_Data_old[[#This Row],[Incremental Cost ($/unit)]]/tbl_Data_old[[#This Row],[kWh Savings]]*tbl_Data_old[[#This Row],[Sum of Annuals]]</f>
        <v>1128.2877522320418</v>
      </c>
      <c r="BB157">
        <f>ROUNDUP(tbl_Data_old[[#This Row],[Adjusted 2025]]/$L157,0)</f>
        <v>1</v>
      </c>
      <c r="BC157">
        <f>ROUNDUP(tbl_Data_old[[#This Row],[Adjusted 2026]]/$L157,0)</f>
        <v>1</v>
      </c>
      <c r="BD157">
        <f>ROUNDUP(tbl_Data_old[[#This Row],[Adjusted 2027]]/$L157,0)</f>
        <v>1</v>
      </c>
      <c r="BE157">
        <f>ROUNDUP(tbl_Data_old[[#This Row],[Adjusted 2028]]/$L157,0)</f>
        <v>1</v>
      </c>
      <c r="BF157">
        <f>ROUNDUP(tbl_Data_old[[#This Row],[Adjusted 2029]]/$L157,0)</f>
        <v>1</v>
      </c>
      <c r="BG157">
        <f>ROUNDUP(tbl_Data_old[[#This Row],[Adjusted 2030]]/$L157,0)</f>
        <v>1</v>
      </c>
      <c r="BH157">
        <f>ROUNDUP(tbl_Data_old[[#This Row],[Adjusted 2031]]/$L157,0)</f>
        <v>1</v>
      </c>
      <c r="BI157">
        <f>ROUNDUP(tbl_Data_old[[#This Row],[Adjusted 2032]]/$L157,0)</f>
        <v>1</v>
      </c>
      <c r="BJ157">
        <f>ROUNDUP(tbl_Data_old[[#This Row],[Adjusted 2033]]/$L157,0)</f>
        <v>1</v>
      </c>
      <c r="BK157">
        <f>ROUNDUP(tbl_Data_old[[#This Row],[Adjusted 2034]]/$L157,0)</f>
        <v>1</v>
      </c>
      <c r="BL157" s="3">
        <f t="shared" si="10"/>
        <v>14483.157305630459</v>
      </c>
      <c r="BM157" s="3">
        <f t="shared" si="10"/>
        <v>16109.825594608077</v>
      </c>
      <c r="BN157" s="3">
        <f t="shared" si="10"/>
        <v>17609.267181160656</v>
      </c>
      <c r="BO157" s="3">
        <f t="shared" si="10"/>
        <v>19027.259331094305</v>
      </c>
      <c r="BP157" s="3">
        <f t="shared" si="10"/>
        <v>20377.492853448879</v>
      </c>
      <c r="BQ157" s="3">
        <f t="shared" si="10"/>
        <v>21612.121295292854</v>
      </c>
      <c r="BR157" s="3">
        <f t="shared" si="10"/>
        <v>22901.259454425046</v>
      </c>
      <c r="BS157" s="3">
        <f t="shared" si="10"/>
        <v>24301.401241363852</v>
      </c>
      <c r="BT157" s="3">
        <f t="shared" si="10"/>
        <v>25830.960342119954</v>
      </c>
      <c r="BU157" s="3">
        <f t="shared" si="10"/>
        <v>27500.247044705418</v>
      </c>
      <c r="BV157">
        <f>VLOOKUP($H157,'1. Set Program Names'!$B$2:$D$15,3,0)*V157</f>
        <v>6029.2538148969588</v>
      </c>
      <c r="BW157">
        <f>VLOOKUP($H157,'1. Set Program Names'!$B$2:$D$15,3,0)*W157</f>
        <v>6706.4263250013273</v>
      </c>
      <c r="BX157">
        <f>VLOOKUP($H157,'1. Set Program Names'!$B$2:$D$15,3,0)*X157</f>
        <v>7330.6351018004789</v>
      </c>
      <c r="BY157">
        <f>VLOOKUP($H157,'1. Set Program Names'!$B$2:$D$15,3,0)*Y157</f>
        <v>7920.9369537425091</v>
      </c>
      <c r="BZ157">
        <f>VLOOKUP($H157,'1. Set Program Names'!$B$2:$D$15,3,0)*Z157</f>
        <v>8483.031284686027</v>
      </c>
      <c r="CA157">
        <f>VLOOKUP($H157,'1. Set Program Names'!$B$2:$D$15,3,0)*AA157</f>
        <v>8996.9998956652216</v>
      </c>
      <c r="CB157">
        <f>VLOOKUP($H157,'1. Set Program Names'!$B$2:$D$15,3,0)*AB157</f>
        <v>9533.6605836531489</v>
      </c>
      <c r="CC157">
        <f>VLOOKUP($H157,'1. Set Program Names'!$B$2:$D$15,3,0)*AC157</f>
        <v>10116.531433713972</v>
      </c>
      <c r="CD157">
        <f>VLOOKUP($H157,'1. Set Program Names'!$B$2:$D$15,3,0)*AD157</f>
        <v>10753.27795581098</v>
      </c>
      <c r="CE157">
        <f>VLOOKUP($H157,'1. Set Program Names'!$B$2:$D$15,3,0)*AE157</f>
        <v>11448.19226263878</v>
      </c>
    </row>
    <row r="158" spans="1:83" x14ac:dyDescent="0.25">
      <c r="A158" s="20" t="s">
        <v>87</v>
      </c>
      <c r="B158" s="20" t="s">
        <v>88</v>
      </c>
      <c r="C158" s="20" t="s">
        <v>89</v>
      </c>
      <c r="D158" s="20" t="s">
        <v>90</v>
      </c>
      <c r="E158" s="20" t="s">
        <v>91</v>
      </c>
      <c r="F158" s="20" t="s">
        <v>90</v>
      </c>
      <c r="G158" s="20" t="s">
        <v>92</v>
      </c>
      <c r="H158" s="20" t="s">
        <v>9</v>
      </c>
      <c r="I158" s="20" t="s">
        <v>300</v>
      </c>
      <c r="J158" s="20" t="s">
        <v>120</v>
      </c>
      <c r="K158" s="20" t="s">
        <v>121</v>
      </c>
      <c r="L158" s="20">
        <v>1988.02171595288</v>
      </c>
      <c r="M158" s="20">
        <v>0.57653488407092901</v>
      </c>
      <c r="N158" s="20">
        <v>0.213799538654902</v>
      </c>
      <c r="O158" s="53">
        <v>1475.381509522</v>
      </c>
      <c r="P158" s="20">
        <v>647.28493209175997</v>
      </c>
      <c r="Q158" s="20">
        <v>597.23166252061401</v>
      </c>
      <c r="R158" s="20">
        <v>1282.4247459138801</v>
      </c>
      <c r="S158" s="20">
        <v>3005.0463968047102</v>
      </c>
      <c r="T158" s="20">
        <v>20</v>
      </c>
      <c r="U158" s="20">
        <v>1</v>
      </c>
      <c r="V158" s="20">
        <v>174176.96172562701</v>
      </c>
      <c r="W158" s="20">
        <v>185439.11013523201</v>
      </c>
      <c r="X158" s="20">
        <v>191005.24972435</v>
      </c>
      <c r="Y158" s="20">
        <v>195595.212580241</v>
      </c>
      <c r="Z158" s="20">
        <v>201680.49920213901</v>
      </c>
      <c r="AA158" s="20">
        <v>208079.94151249199</v>
      </c>
      <c r="AB158" s="20">
        <v>216784.396516829</v>
      </c>
      <c r="AC158" s="20">
        <v>226791.12726082001</v>
      </c>
      <c r="AD158" s="20">
        <v>238480.42962767399</v>
      </c>
      <c r="AE158" s="20">
        <v>251554.462384946</v>
      </c>
      <c r="AF158" t="str">
        <f t="shared" si="9"/>
        <v>Residential</v>
      </c>
      <c r="AG158" t="str">
        <f>tbl_Data_old[[#This Row],[All_Meas_Name_Append]]</f>
        <v>New Construction - Whole Home Improvements - Tier 1</v>
      </c>
      <c r="AH158">
        <f>AVERAGEIFS('3. Incentive Adjustment'!G:G,'3. Incentive Adjustment'!A:A,tbl_Data_old[[#This Row],[Trimmed Sector]],'3. Incentive Adjustment'!B:B,tbl_Data_old[[#This Row],[Trimmed Measure Name]])</f>
        <v>0.42355026786158312</v>
      </c>
      <c r="AI158">
        <f>$AH158*tbl_Data_old[[#This Row],[2025 ]]</f>
        <v>73772.698794206037</v>
      </c>
      <c r="AJ158">
        <f>$AH158*tbl_Data_old[[#This Row],[2026 ]]</f>
        <v>78542.784769791135</v>
      </c>
      <c r="AK158">
        <f>$AH158*tbl_Data_old[[#This Row],[2027 ]]</f>
        <v>80900.324683717015</v>
      </c>
      <c r="AL158">
        <f>$AH158*tbl_Data_old[[#This Row],[2028 ]]</f>
        <v>82844.404680804364</v>
      </c>
      <c r="AM158">
        <f>$AH158*tbl_Data_old[[#This Row],[2029 ]]</f>
        <v>85421.829459523782</v>
      </c>
      <c r="AN158">
        <f>$AH158*tbl_Data_old[[#This Row],[2030 ]]</f>
        <v>88132.314964238525</v>
      </c>
      <c r="AO158">
        <f>$AH158*tbl_Data_old[[#This Row],[2031 ]]</f>
        <v>91819.089212914565</v>
      </c>
      <c r="AP158">
        <f>$AH158*tbl_Data_old[[#This Row],[2032 ]]</f>
        <v>96057.442699950698</v>
      </c>
      <c r="AQ158">
        <f>$AH158*tbl_Data_old[[#This Row],[2033 ]]</f>
        <v>101008.44984854675</v>
      </c>
      <c r="AR158">
        <f>$AH158*tbl_Data_old[[#This Row],[2034 ]]</f>
        <v>106545.95992492042</v>
      </c>
      <c r="AS158">
        <f>SUM(tbl_Data_old[[#This Row],[Adjusted 2025]:[Adjusted 2034]])</f>
        <v>885045.29903861333</v>
      </c>
      <c r="AT158" s="3">
        <f>AVERAGEIFS('3. Incentive Adjustment'!F:F,'3. Incentive Adjustment'!A:A,tbl_Data_old[[#This Row],[Trimmed Sector]],'3. Incentive Adjustment'!B:B,tbl_Data_old[[#This Row],[Trimmed Measure Name]])</f>
        <v>0</v>
      </c>
      <c r="AU158" s="3">
        <f>IFERROR(VLOOKUP(tbl_Data_old[[#This Row],[All_Meas_Name_Append]],'IRA Tax Credits'!$A$3:$D$46,4,0),0)</f>
        <v>0</v>
      </c>
      <c r="AV158" s="4">
        <f>tbl_Data_old[[#This Row],[Adj. per unit Incentive ($)]]/tbl_Data_old[[#This Row],[kWh Savings]]*tbl_Data_old[[#This Row],[Sum of Annuals]]</f>
        <v>0</v>
      </c>
      <c r="AW158" s="4">
        <f>IFERROR(VLOOKUP(tbl_Data_old[[#This Row],[All_Programs]],'1. Set Program Names'!$B$2:$D$15,3,0)*tbl_Data_old[[#This Row],[Sum of Annuals]],"")</f>
        <v>398821.40454703127</v>
      </c>
      <c r="AX158" s="4">
        <f>tbl_Data_old[[#This Row],[per unit IRA tax ($)]]/tbl_Data_old[[#This Row],[kWh Savings]]*tbl_Data_old[[#This Row],[Sum of Annuals]]</f>
        <v>0</v>
      </c>
      <c r="AY158" s="4">
        <f>tbl_Data_old[[#This Row],[Avoided Costs ($/unit)]]/tbl_Data_old[[#This Row],[kWh Savings]]*tbl_Data_old[[#This Row],[Sum of Annuals]]</f>
        <v>570921.32527226862</v>
      </c>
      <c r="AZ158" s="4">
        <f>tbl_Data_old[[#This Row],[Lost Revenue ($/unit)]]/tbl_Data_old[[#This Row],[kWh Savings]]*tbl_Data_old[[#This Row],[Sum of Annuals]]</f>
        <v>1337813.4481846727</v>
      </c>
      <c r="BA158" s="4">
        <f>tbl_Data_old[[#This Row],[Incremental Cost ($/unit)]]/tbl_Data_old[[#This Row],[kWh Savings]]*tbl_Data_old[[#This Row],[Sum of Annuals]]</f>
        <v>656823.54413571639</v>
      </c>
      <c r="BB158">
        <f>ROUNDUP(tbl_Data_old[[#This Row],[Adjusted 2025]]/$L158,0)</f>
        <v>38</v>
      </c>
      <c r="BC158">
        <f>ROUNDUP(tbl_Data_old[[#This Row],[Adjusted 2026]]/$L158,0)</f>
        <v>40</v>
      </c>
      <c r="BD158">
        <f>ROUNDUP(tbl_Data_old[[#This Row],[Adjusted 2027]]/$L158,0)</f>
        <v>41</v>
      </c>
      <c r="BE158">
        <f>ROUNDUP(tbl_Data_old[[#This Row],[Adjusted 2028]]/$L158,0)</f>
        <v>42</v>
      </c>
      <c r="BF158">
        <f>ROUNDUP(tbl_Data_old[[#This Row],[Adjusted 2029]]/$L158,0)</f>
        <v>43</v>
      </c>
      <c r="BG158">
        <f>ROUNDUP(tbl_Data_old[[#This Row],[Adjusted 2030]]/$L158,0)</f>
        <v>45</v>
      </c>
      <c r="BH158">
        <f>ROUNDUP(tbl_Data_old[[#This Row],[Adjusted 2031]]/$L158,0)</f>
        <v>47</v>
      </c>
      <c r="BI158">
        <f>ROUNDUP(tbl_Data_old[[#This Row],[Adjusted 2032]]/$L158,0)</f>
        <v>49</v>
      </c>
      <c r="BJ158">
        <f>ROUNDUP(tbl_Data_old[[#This Row],[Adjusted 2033]]/$L158,0)</f>
        <v>51</v>
      </c>
      <c r="BK158">
        <f>ROUNDUP(tbl_Data_old[[#This Row],[Adjusted 2034]]/$L158,0)</f>
        <v>54</v>
      </c>
      <c r="BL158" s="3">
        <f t="shared" si="10"/>
        <v>0</v>
      </c>
      <c r="BM158" s="3">
        <f t="shared" si="10"/>
        <v>0</v>
      </c>
      <c r="BN158" s="3">
        <f t="shared" si="10"/>
        <v>0</v>
      </c>
      <c r="BO158" s="3">
        <f t="shared" si="10"/>
        <v>0</v>
      </c>
      <c r="BP158" s="3">
        <f t="shared" si="10"/>
        <v>0</v>
      </c>
      <c r="BQ158" s="3">
        <f t="shared" si="10"/>
        <v>0</v>
      </c>
      <c r="BR158" s="3">
        <f t="shared" si="10"/>
        <v>0</v>
      </c>
      <c r="BS158" s="3">
        <f t="shared" si="10"/>
        <v>0</v>
      </c>
      <c r="BT158" s="3">
        <f t="shared" si="10"/>
        <v>0</v>
      </c>
      <c r="BU158" s="3">
        <f t="shared" si="10"/>
        <v>0</v>
      </c>
      <c r="BV158">
        <f>VLOOKUP($H158,'1. Set Program Names'!$B$2:$D$15,3,0)*V158</f>
        <v>78488.073537712087</v>
      </c>
      <c r="BW158">
        <f>VLOOKUP($H158,'1. Set Program Names'!$B$2:$D$15,3,0)*W158</f>
        <v>83563.052018265342</v>
      </c>
      <c r="BX158">
        <f>VLOOKUP($H158,'1. Set Program Names'!$B$2:$D$15,3,0)*X158</f>
        <v>86071.280253868928</v>
      </c>
      <c r="BY158">
        <f>VLOOKUP($H158,'1. Set Program Names'!$B$2:$D$15,3,0)*Y158</f>
        <v>88139.621202059527</v>
      </c>
      <c r="BZ158">
        <f>VLOOKUP($H158,'1. Set Program Names'!$B$2:$D$15,3,0)*Z158</f>
        <v>90881.788817946421</v>
      </c>
      <c r="CA158">
        <f>VLOOKUP($H158,'1. Set Program Names'!$B$2:$D$15,3,0)*AA158</f>
        <v>93765.522083695716</v>
      </c>
      <c r="CB158">
        <f>VLOOKUP($H158,'1. Set Program Names'!$B$2:$D$15,3,0)*AB158</f>
        <v>97687.946138619329</v>
      </c>
      <c r="CC158">
        <f>VLOOKUP($H158,'1. Set Program Names'!$B$2:$D$15,3,0)*AC158</f>
        <v>102197.20505969104</v>
      </c>
      <c r="CD158">
        <f>VLOOKUP($H158,'1. Set Program Names'!$B$2:$D$15,3,0)*AD158</f>
        <v>107464.66876260852</v>
      </c>
      <c r="CE158">
        <f>VLOOKUP($H158,'1. Set Program Names'!$B$2:$D$15,3,0)*AE158</f>
        <v>113356.12325992418</v>
      </c>
    </row>
    <row r="159" spans="1:83" x14ac:dyDescent="0.25">
      <c r="A159" s="20" t="s">
        <v>87</v>
      </c>
      <c r="B159" s="20" t="s">
        <v>88</v>
      </c>
      <c r="C159" s="20" t="s">
        <v>89</v>
      </c>
      <c r="D159" s="20" t="s">
        <v>90</v>
      </c>
      <c r="E159" s="20" t="s">
        <v>91</v>
      </c>
      <c r="F159" s="20" t="s">
        <v>90</v>
      </c>
      <c r="G159" s="20" t="s">
        <v>92</v>
      </c>
      <c r="H159" s="20" t="s">
        <v>9</v>
      </c>
      <c r="I159" s="20" t="s">
        <v>119</v>
      </c>
      <c r="J159" s="20" t="s">
        <v>120</v>
      </c>
      <c r="K159" s="20" t="s">
        <v>121</v>
      </c>
      <c r="L159" s="20">
        <v>6673.4968833372895</v>
      </c>
      <c r="M159" s="20">
        <v>1.73762506704112</v>
      </c>
      <c r="N159" s="20">
        <v>0.78936762832777396</v>
      </c>
      <c r="O159" s="20">
        <v>2151.0039802452802</v>
      </c>
      <c r="P159" s="20">
        <v>549.54451231238204</v>
      </c>
      <c r="Q159" s="20">
        <v>2004.8189647422</v>
      </c>
      <c r="R159" s="20">
        <v>4267.3988807063497</v>
      </c>
      <c r="S159" s="20">
        <v>10087.499347937401</v>
      </c>
      <c r="T159" s="20">
        <v>20</v>
      </c>
      <c r="U159" s="20">
        <v>1</v>
      </c>
      <c r="V159" s="20">
        <v>294670.61931632401</v>
      </c>
      <c r="W159" s="20">
        <v>314732.13801839302</v>
      </c>
      <c r="X159" s="20">
        <v>325217.32748651103</v>
      </c>
      <c r="Y159" s="20">
        <v>334094.42684604402</v>
      </c>
      <c r="Z159" s="20">
        <v>345581.29506027303</v>
      </c>
      <c r="AA159" s="20">
        <v>357670.49590767699</v>
      </c>
      <c r="AB159" s="20">
        <v>373798.66477783601</v>
      </c>
      <c r="AC159" s="20">
        <v>392267.62956103298</v>
      </c>
      <c r="AD159" s="20">
        <v>413757.50883525301</v>
      </c>
      <c r="AE159" s="20">
        <v>437776.499244473</v>
      </c>
      <c r="AF159" t="str">
        <f t="shared" si="9"/>
        <v>Residential</v>
      </c>
      <c r="AG159" t="str">
        <f>tbl_Data_old[[#This Row],[All_Meas_Name_Append]]</f>
        <v>New Construction - Whole Home Improvements - Tier 2</v>
      </c>
      <c r="AH159">
        <f>AVERAGEIFS('3. Incentive Adjustment'!G:G,'3. Incentive Adjustment'!A:A,tbl_Data_old[[#This Row],[Trimmed Sector]],'3. Incentive Adjustment'!B:B,tbl_Data_old[[#This Row],[Trimmed Measure Name]])</f>
        <v>0.80470846489720416</v>
      </c>
      <c r="AI159">
        <f>$AH159*tbl_Data_old[[#This Row],[2025 ]]</f>
        <v>237123.94172034753</v>
      </c>
      <c r="AJ159">
        <f>$AH159*tbl_Data_old[[#This Row],[2026 ]]</f>
        <v>253267.61563859603</v>
      </c>
      <c r="AK159">
        <f>$AH159*tbl_Data_old[[#This Row],[2027 ]]</f>
        <v>261705.13635964162</v>
      </c>
      <c r="AL159">
        <f>$AH159*tbl_Data_old[[#This Row],[2028 ]]</f>
        <v>268848.61335799133</v>
      </c>
      <c r="AM159">
        <f>$AH159*tbl_Data_old[[#This Row],[2029 ]]</f>
        <v>278092.19344514009</v>
      </c>
      <c r="AN159">
        <f>$AH159*tbl_Data_old[[#This Row],[2030 ]]</f>
        <v>287820.47570088849</v>
      </c>
      <c r="AO159">
        <f>$AH159*tbl_Data_old[[#This Row],[2031 ]]</f>
        <v>300798.94971399702</v>
      </c>
      <c r="AP159">
        <f>$AH159*tbl_Data_old[[#This Row],[2032 ]]</f>
        <v>315661.08201292402</v>
      </c>
      <c r="AQ159">
        <f>$AH159*tbl_Data_old[[#This Row],[2033 ]]</f>
        <v>332954.16977450781</v>
      </c>
      <c r="AR159">
        <f>$AH159*tbl_Data_old[[#This Row],[2034 ]]</f>
        <v>352282.4546750919</v>
      </c>
      <c r="AS159">
        <f>SUM(tbl_Data_old[[#This Row],[Adjusted 2025]:[Adjusted 2034]])</f>
        <v>2888554.632399126</v>
      </c>
      <c r="AT159" s="3">
        <f>AVERAGEIFS('3. Incentive Adjustment'!F:F,'3. Incentive Adjustment'!A:A,tbl_Data_old[[#This Row],[Trimmed Sector]],'3. Incentive Adjustment'!B:B,tbl_Data_old[[#This Row],[Trimmed Measure Name]])</f>
        <v>0</v>
      </c>
      <c r="AU159" s="3">
        <f>IFERROR(VLOOKUP(tbl_Data_old[[#This Row],[All_Meas_Name_Append]],'IRA Tax Credits'!$A$3:$D$46,4,0),0)</f>
        <v>0</v>
      </c>
      <c r="AV159" s="4">
        <f>tbl_Data_old[[#This Row],[Adj. per unit Incentive ($)]]/tbl_Data_old[[#This Row],[kWh Savings]]*tbl_Data_old[[#This Row],[Sum of Annuals]]</f>
        <v>0</v>
      </c>
      <c r="AW159" s="4">
        <f>IFERROR(VLOOKUP(tbl_Data_old[[#This Row],[All_Programs]],'1. Set Program Names'!$B$2:$D$15,3,0)*tbl_Data_old[[#This Row],[Sum of Annuals]],"")</f>
        <v>1301647.9685905795</v>
      </c>
      <c r="AX159" s="4">
        <f>tbl_Data_old[[#This Row],[per unit IRA tax ($)]]/tbl_Data_old[[#This Row],[kWh Savings]]*tbl_Data_old[[#This Row],[Sum of Annuals]]</f>
        <v>0</v>
      </c>
      <c r="AY159" s="4">
        <f>tbl_Data_old[[#This Row],[Avoided Costs ($/unit)]]/tbl_Data_old[[#This Row],[kWh Savings]]*tbl_Data_old[[#This Row],[Sum of Annuals]]</f>
        <v>1847099.8069897748</v>
      </c>
      <c r="AZ159" s="4">
        <f>tbl_Data_old[[#This Row],[Lost Revenue ($/unit)]]/tbl_Data_old[[#This Row],[kWh Savings]]*tbl_Data_old[[#This Row],[Sum of Annuals]]</f>
        <v>4366270.5595265413</v>
      </c>
      <c r="BA159" s="4">
        <f>tbl_Data_old[[#This Row],[Incremental Cost ($/unit)]]/tbl_Data_old[[#This Row],[kWh Savings]]*tbl_Data_old[[#This Row],[Sum of Annuals]]</f>
        <v>931039.99598173366</v>
      </c>
      <c r="BB159">
        <f>ROUNDUP(tbl_Data_old[[#This Row],[Adjusted 2025]]/$L159,0)</f>
        <v>36</v>
      </c>
      <c r="BC159">
        <f>ROUNDUP(tbl_Data_old[[#This Row],[Adjusted 2026]]/$L159,0)</f>
        <v>38</v>
      </c>
      <c r="BD159">
        <f>ROUNDUP(tbl_Data_old[[#This Row],[Adjusted 2027]]/$L159,0)</f>
        <v>40</v>
      </c>
      <c r="BE159">
        <f>ROUNDUP(tbl_Data_old[[#This Row],[Adjusted 2028]]/$L159,0)</f>
        <v>41</v>
      </c>
      <c r="BF159">
        <f>ROUNDUP(tbl_Data_old[[#This Row],[Adjusted 2029]]/$L159,0)</f>
        <v>42</v>
      </c>
      <c r="BG159">
        <f>ROUNDUP(tbl_Data_old[[#This Row],[Adjusted 2030]]/$L159,0)</f>
        <v>44</v>
      </c>
      <c r="BH159">
        <f>ROUNDUP(tbl_Data_old[[#This Row],[Adjusted 2031]]/$L159,0)</f>
        <v>46</v>
      </c>
      <c r="BI159">
        <f>ROUNDUP(tbl_Data_old[[#This Row],[Adjusted 2032]]/$L159,0)</f>
        <v>48</v>
      </c>
      <c r="BJ159">
        <f>ROUNDUP(tbl_Data_old[[#This Row],[Adjusted 2033]]/$L159,0)</f>
        <v>50</v>
      </c>
      <c r="BK159">
        <f>ROUNDUP(tbl_Data_old[[#This Row],[Adjusted 2034]]/$L159,0)</f>
        <v>53</v>
      </c>
      <c r="BL159" s="3">
        <f t="shared" si="10"/>
        <v>0</v>
      </c>
      <c r="BM159" s="3">
        <f t="shared" si="10"/>
        <v>0</v>
      </c>
      <c r="BN159" s="3">
        <f t="shared" si="10"/>
        <v>0</v>
      </c>
      <c r="BO159" s="3">
        <f t="shared" si="10"/>
        <v>0</v>
      </c>
      <c r="BP159" s="3">
        <f t="shared" si="10"/>
        <v>0</v>
      </c>
      <c r="BQ159" s="3">
        <f t="shared" ref="BQ159:BU190" si="11">$AT159/$L159*AA159</f>
        <v>0</v>
      </c>
      <c r="BR159" s="3">
        <f t="shared" si="11"/>
        <v>0</v>
      </c>
      <c r="BS159" s="3">
        <f t="shared" si="11"/>
        <v>0</v>
      </c>
      <c r="BT159" s="3">
        <f t="shared" si="11"/>
        <v>0</v>
      </c>
      <c r="BU159" s="3">
        <f t="shared" si="11"/>
        <v>0</v>
      </c>
      <c r="BV159">
        <f>VLOOKUP($H159,'1. Set Program Names'!$B$2:$D$15,3,0)*V159</f>
        <v>132785.23754901343</v>
      </c>
      <c r="BW159">
        <f>VLOOKUP($H159,'1. Set Program Names'!$B$2:$D$15,3,0)*W159</f>
        <v>141825.41105741667</v>
      </c>
      <c r="BX159">
        <f>VLOOKUP($H159,'1. Set Program Names'!$B$2:$D$15,3,0)*X159</f>
        <v>146550.27428776093</v>
      </c>
      <c r="BY159">
        <f>VLOOKUP($H159,'1. Set Program Names'!$B$2:$D$15,3,0)*Y159</f>
        <v>150550.49578909905</v>
      </c>
      <c r="BZ159">
        <f>VLOOKUP($H159,'1. Set Program Names'!$B$2:$D$15,3,0)*Z159</f>
        <v>155726.73808994153</v>
      </c>
      <c r="CA159">
        <f>VLOOKUP($H159,'1. Set Program Names'!$B$2:$D$15,3,0)*AA159</f>
        <v>161174.40508173296</v>
      </c>
      <c r="CB159">
        <f>VLOOKUP($H159,'1. Set Program Names'!$B$2:$D$15,3,0)*AB159</f>
        <v>168442.12230316288</v>
      </c>
      <c r="CC159">
        <f>VLOOKUP($H159,'1. Set Program Names'!$B$2:$D$15,3,0)*AC159</f>
        <v>176764.65504060066</v>
      </c>
      <c r="CD159">
        <f>VLOOKUP($H159,'1. Set Program Names'!$B$2:$D$15,3,0)*AD159</f>
        <v>186448.48008887836</v>
      </c>
      <c r="CE159">
        <f>VLOOKUP($H159,'1. Set Program Names'!$B$2:$D$15,3,0)*AE159</f>
        <v>197271.97974614153</v>
      </c>
    </row>
    <row r="160" spans="1:83" x14ac:dyDescent="0.25">
      <c r="A160" s="20" t="s">
        <v>87</v>
      </c>
      <c r="B160" s="20" t="s">
        <v>88</v>
      </c>
      <c r="C160" s="20" t="s">
        <v>89</v>
      </c>
      <c r="D160" s="20" t="s">
        <v>90</v>
      </c>
      <c r="E160" s="20" t="s">
        <v>91</v>
      </c>
      <c r="F160" s="20" t="s">
        <v>90</v>
      </c>
      <c r="G160" s="20" t="s">
        <v>92</v>
      </c>
      <c r="H160" s="20" t="s">
        <v>9</v>
      </c>
      <c r="I160" s="20" t="s">
        <v>299</v>
      </c>
      <c r="J160" s="20" t="s">
        <v>97</v>
      </c>
      <c r="K160" s="20" t="s">
        <v>102</v>
      </c>
      <c r="L160" s="20">
        <v>408.28</v>
      </c>
      <c r="M160" s="20">
        <v>0.16567198429270899</v>
      </c>
      <c r="N160" s="20">
        <v>2.3547919008134799E-2</v>
      </c>
      <c r="O160" s="53">
        <v>128.60999999999999</v>
      </c>
      <c r="P160" s="20">
        <v>29.691921599999901</v>
      </c>
      <c r="Q160" s="20">
        <v>122.65346058206499</v>
      </c>
      <c r="R160" s="20">
        <v>238.630335182902</v>
      </c>
      <c r="S160" s="20">
        <v>423.90838942107399</v>
      </c>
      <c r="T160" s="20">
        <v>11</v>
      </c>
      <c r="U160" s="20">
        <v>0.19999999999999901</v>
      </c>
      <c r="V160" s="20">
        <v>3585.1085423712698</v>
      </c>
      <c r="W160" s="20">
        <v>2973.3626344842301</v>
      </c>
      <c r="X160" s="20">
        <v>2465.7144477473998</v>
      </c>
      <c r="Y160" s="20">
        <v>2053.2068065888202</v>
      </c>
      <c r="Z160" s="20">
        <v>1721.2837801619301</v>
      </c>
      <c r="AA160" s="20">
        <v>1450.2585565313</v>
      </c>
      <c r="AB160" s="20">
        <v>1239.66472939857</v>
      </c>
      <c r="AC160" s="20">
        <v>1076.30580447172</v>
      </c>
      <c r="AD160" s="20">
        <v>950.07748145273501</v>
      </c>
      <c r="AE160" s="20">
        <v>852.48453647159999</v>
      </c>
      <c r="AF160" t="str">
        <f t="shared" si="9"/>
        <v>Residential</v>
      </c>
      <c r="AG160" t="str">
        <f>tbl_Data_old[[#This Row],[All_Meas_Name_Append]]</f>
        <v>Smart Thermostat Residential</v>
      </c>
      <c r="AH160">
        <f>AVERAGEIFS('3. Incentive Adjustment'!G:G,'3. Incentive Adjustment'!A:A,tbl_Data_old[[#This Row],[Trimmed Sector]],'3. Incentive Adjustment'!B:B,tbl_Data_old[[#This Row],[Trimmed Measure Name]])</f>
        <v>1.1402432304340044</v>
      </c>
      <c r="AI160">
        <f>$AH160*tbl_Data_old[[#This Row],[2025 ]]</f>
        <v>4087.8957458099617</v>
      </c>
      <c r="AJ160">
        <f>$AH160*tbl_Data_old[[#This Row],[2026 ]]</f>
        <v>3390.3566155960602</v>
      </c>
      <c r="AK160">
        <f>$AH160*tbl_Data_old[[#This Row],[2027 ]]</f>
        <v>2811.5142072272924</v>
      </c>
      <c r="AL160">
        <f>$AH160*tbl_Data_old[[#This Row],[2028 ]]</f>
        <v>2341.1551618939225</v>
      </c>
      <c r="AM160">
        <f>$AH160*tbl_Data_old[[#This Row],[2029 ]]</f>
        <v>1962.6821779854938</v>
      </c>
      <c r="AN160">
        <f>$AH160*tbl_Data_old[[#This Row],[2030 ]]</f>
        <v>1653.6475014638058</v>
      </c>
      <c r="AO160">
        <f>$AH160*tbl_Data_old[[#This Row],[2031 ]]</f>
        <v>1413.5193157045214</v>
      </c>
      <c r="AP160">
        <f>$AH160*tbl_Data_old[[#This Row],[2032 ]]</f>
        <v>1227.250407425704</v>
      </c>
      <c r="AQ160">
        <f>$AH160*tbl_Data_old[[#This Row],[2033 ]]</f>
        <v>1083.3194166142696</v>
      </c>
      <c r="AR160">
        <f>$AH160*tbl_Data_old[[#This Row],[2034 ]]</f>
        <v>972.03972176141201</v>
      </c>
      <c r="AS160">
        <f>SUM(tbl_Data_old[[#This Row],[Adjusted 2025]:[Adjusted 2034]])</f>
        <v>20943.380271482449</v>
      </c>
      <c r="AT160" s="3">
        <f>AVERAGEIFS('3. Incentive Adjustment'!F:F,'3. Incentive Adjustment'!A:A,tbl_Data_old[[#This Row],[Trimmed Sector]],'3. Incentive Adjustment'!B:B,tbl_Data_old[[#This Row],[Trimmed Measure Name]])</f>
        <v>50</v>
      </c>
      <c r="AU160" s="3">
        <f>IFERROR(VLOOKUP(tbl_Data_old[[#This Row],[All_Meas_Name_Append]],'IRA Tax Credits'!$A$3:$D$46,4,0),0)</f>
        <v>0</v>
      </c>
      <c r="AV160" s="4">
        <f>tbl_Data_old[[#This Row],[Adj. per unit Incentive ($)]]/tbl_Data_old[[#This Row],[kWh Savings]]*tbl_Data_old[[#This Row],[Sum of Annuals]]</f>
        <v>2564.8305417216679</v>
      </c>
      <c r="AW160" s="4">
        <f>IFERROR(VLOOKUP(tbl_Data_old[[#This Row],[All_Programs]],'1. Set Program Names'!$B$2:$D$15,3,0)*tbl_Data_old[[#This Row],[Sum of Annuals]],"")</f>
        <v>9437.5602524620608</v>
      </c>
      <c r="AX160" s="4">
        <f>tbl_Data_old[[#This Row],[per unit IRA tax ($)]]/tbl_Data_old[[#This Row],[kWh Savings]]*tbl_Data_old[[#This Row],[Sum of Annuals]]</f>
        <v>0</v>
      </c>
      <c r="AY160" s="4">
        <f>tbl_Data_old[[#This Row],[Avoided Costs ($/unit)]]/tbl_Data_old[[#This Row],[kWh Savings]]*tbl_Data_old[[#This Row],[Sum of Annuals]]</f>
        <v>12240.927437167713</v>
      </c>
      <c r="AZ160" s="4">
        <f>tbl_Data_old[[#This Row],[Lost Revenue ($/unit)]]/tbl_Data_old[[#This Row],[kWh Savings]]*tbl_Data_old[[#This Row],[Sum of Annuals]]</f>
        <v>21745.063681584259</v>
      </c>
      <c r="BA160" s="4">
        <f>tbl_Data_old[[#This Row],[Incremental Cost ($/unit)]]/tbl_Data_old[[#This Row],[kWh Savings]]*tbl_Data_old[[#This Row],[Sum of Annuals]]</f>
        <v>6597.2571194164739</v>
      </c>
      <c r="BB160">
        <f>ROUNDUP(tbl_Data_old[[#This Row],[Adjusted 2025]]/$L160,0)</f>
        <v>11</v>
      </c>
      <c r="BC160">
        <f>ROUNDUP(tbl_Data_old[[#This Row],[Adjusted 2026]]/$L160,0)</f>
        <v>9</v>
      </c>
      <c r="BD160">
        <f>ROUNDUP(tbl_Data_old[[#This Row],[Adjusted 2027]]/$L160,0)</f>
        <v>7</v>
      </c>
      <c r="BE160">
        <f>ROUNDUP(tbl_Data_old[[#This Row],[Adjusted 2028]]/$L160,0)</f>
        <v>6</v>
      </c>
      <c r="BF160">
        <f>ROUNDUP(tbl_Data_old[[#This Row],[Adjusted 2029]]/$L160,0)</f>
        <v>5</v>
      </c>
      <c r="BG160">
        <f>ROUNDUP(tbl_Data_old[[#This Row],[Adjusted 2030]]/$L160,0)</f>
        <v>5</v>
      </c>
      <c r="BH160">
        <f>ROUNDUP(tbl_Data_old[[#This Row],[Adjusted 2031]]/$L160,0)</f>
        <v>4</v>
      </c>
      <c r="BI160">
        <f>ROUNDUP(tbl_Data_old[[#This Row],[Adjusted 2032]]/$L160,0)</f>
        <v>4</v>
      </c>
      <c r="BJ160">
        <f>ROUNDUP(tbl_Data_old[[#This Row],[Adjusted 2033]]/$L160,0)</f>
        <v>3</v>
      </c>
      <c r="BK160">
        <f>ROUNDUP(tbl_Data_old[[#This Row],[Adjusted 2034]]/$L160,0)</f>
        <v>3</v>
      </c>
      <c r="BL160" s="3">
        <f t="shared" ref="BL160:BU191" si="12">$AT160/$L160*V160</f>
        <v>439.05022807525108</v>
      </c>
      <c r="BM160" s="3">
        <f t="shared" si="12"/>
        <v>364.13278074902399</v>
      </c>
      <c r="BN160" s="3">
        <f t="shared" si="12"/>
        <v>301.96365824279906</v>
      </c>
      <c r="BO160" s="3">
        <f t="shared" si="12"/>
        <v>251.44592027393216</v>
      </c>
      <c r="BP160" s="3">
        <f t="shared" si="12"/>
        <v>210.79697513494784</v>
      </c>
      <c r="BQ160" s="3">
        <f t="shared" si="11"/>
        <v>177.60587789400657</v>
      </c>
      <c r="BR160" s="3">
        <f t="shared" si="11"/>
        <v>151.81551011543183</v>
      </c>
      <c r="BS160" s="3">
        <f t="shared" si="11"/>
        <v>131.80976345543746</v>
      </c>
      <c r="BT160" s="3">
        <f t="shared" si="11"/>
        <v>116.35121503046133</v>
      </c>
      <c r="BU160" s="3">
        <f t="shared" si="11"/>
        <v>104.39949746149702</v>
      </c>
      <c r="BV160">
        <f>VLOOKUP($H160,'1. Set Program Names'!$B$2:$D$15,3,0)*V160</f>
        <v>1615.5308952832354</v>
      </c>
      <c r="BW160">
        <f>VLOOKUP($H160,'1. Set Program Names'!$B$2:$D$15,3,0)*W160</f>
        <v>1339.8643701071453</v>
      </c>
      <c r="BX160">
        <f>VLOOKUP($H160,'1. Set Program Names'!$B$2:$D$15,3,0)*X160</f>
        <v>1111.1066296049803</v>
      </c>
      <c r="BY160">
        <f>VLOOKUP($H160,'1. Set Program Names'!$B$2:$D$15,3,0)*Y160</f>
        <v>925.22136812519489</v>
      </c>
      <c r="BZ160">
        <f>VLOOKUP($H160,'1. Set Program Names'!$B$2:$D$15,3,0)*Z160</f>
        <v>775.64935441598675</v>
      </c>
      <c r="CA160">
        <f>VLOOKUP($H160,'1. Set Program Names'!$B$2:$D$15,3,0)*AA160</f>
        <v>653.51926630246828</v>
      </c>
      <c r="CB160">
        <f>VLOOKUP($H160,'1. Set Program Names'!$B$2:$D$15,3,0)*AB160</f>
        <v>558.62093057067682</v>
      </c>
      <c r="CC160">
        <f>VLOOKUP($H160,'1. Set Program Names'!$B$2:$D$15,3,0)*AC160</f>
        <v>485.00770878938482</v>
      </c>
      <c r="CD160">
        <f>VLOOKUP($H160,'1. Set Program Names'!$B$2:$D$15,3,0)*AD160</f>
        <v>428.1263749924222</v>
      </c>
      <c r="CE160">
        <f>VLOOKUP($H160,'1. Set Program Names'!$B$2:$D$15,3,0)*AE160</f>
        <v>384.148789400434</v>
      </c>
    </row>
    <row r="161" spans="1:83" x14ac:dyDescent="0.25">
      <c r="A161" s="20" t="s">
        <v>87</v>
      </c>
      <c r="B161" s="20" t="s">
        <v>88</v>
      </c>
      <c r="C161" s="20" t="s">
        <v>89</v>
      </c>
      <c r="D161" s="20" t="s">
        <v>90</v>
      </c>
      <c r="E161" s="20" t="s">
        <v>91</v>
      </c>
      <c r="F161" s="20" t="s">
        <v>90</v>
      </c>
      <c r="G161" s="20" t="s">
        <v>92</v>
      </c>
      <c r="H161" s="20" t="s">
        <v>9</v>
      </c>
      <c r="I161" s="20" t="s">
        <v>112</v>
      </c>
      <c r="J161" s="20" t="s">
        <v>94</v>
      </c>
      <c r="K161" s="20" t="s">
        <v>108</v>
      </c>
      <c r="L161" s="20">
        <v>1330.8133333333301</v>
      </c>
      <c r="M161" s="20">
        <v>5.33311142126306E-2</v>
      </c>
      <c r="N161" s="20">
        <v>0.24737910980336</v>
      </c>
      <c r="O161" s="20">
        <v>8990.02</v>
      </c>
      <c r="P161" s="20">
        <v>8776.4394094329891</v>
      </c>
      <c r="Q161" s="20">
        <v>399.796367008147</v>
      </c>
      <c r="R161" s="20">
        <v>713.19672296706005</v>
      </c>
      <c r="S161" s="20">
        <v>2011.6258188035599</v>
      </c>
      <c r="T161" s="20">
        <v>20</v>
      </c>
      <c r="U161" s="20">
        <v>0.2</v>
      </c>
      <c r="V161" s="20">
        <v>43162.274395269204</v>
      </c>
      <c r="W161" s="20">
        <v>48036.7506687852</v>
      </c>
      <c r="X161" s="20">
        <v>52534.4134002254</v>
      </c>
      <c r="Y161" s="20">
        <v>56790.827747330601</v>
      </c>
      <c r="Z161" s="20">
        <v>60846.145850127003</v>
      </c>
      <c r="AA161" s="20">
        <v>64556.884487671501</v>
      </c>
      <c r="AB161" s="20">
        <v>68430.750026729802</v>
      </c>
      <c r="AC161" s="20">
        <v>72636.570852728502</v>
      </c>
      <c r="AD161" s="20">
        <v>77229.513247823503</v>
      </c>
      <c r="AE161" s="20">
        <v>82240.541300613899</v>
      </c>
      <c r="AF161" t="str">
        <f t="shared" si="9"/>
        <v>Residential</v>
      </c>
      <c r="AG161" t="str">
        <f>tbl_Data_old[[#This Row],[All_Meas_Name_Append]]</f>
        <v>Solar Thermal Water Heating System</v>
      </c>
      <c r="AH161">
        <f>AVERAGEIFS('3. Incentive Adjustment'!G:G,'3. Incentive Adjustment'!A:A,tbl_Data_old[[#This Row],[Trimmed Sector]],'3. Incentive Adjustment'!B:B,tbl_Data_old[[#This Row],[Trimmed Measure Name]])</f>
        <v>2.7736651842107431E-8</v>
      </c>
      <c r="AI161">
        <f>$AH161*tbl_Data_old[[#This Row],[2025 ]]</f>
        <v>1.1971769776150899E-3</v>
      </c>
      <c r="AJ161">
        <f>$AH161*tbl_Data_old[[#This Row],[2026 ]]</f>
        <v>1.3323786289262164E-3</v>
      </c>
      <c r="AK161">
        <f>$AH161*tbl_Data_old[[#This Row],[2027 ]]</f>
        <v>1.457128734211395E-3</v>
      </c>
      <c r="AL161">
        <f>$AH161*tbl_Data_old[[#This Row],[2028 ]]</f>
        <v>1.5751874170528031E-3</v>
      </c>
      <c r="AM161">
        <f>$AH161*tbl_Data_old[[#This Row],[2029 ]]</f>
        <v>1.6876683633790625E-3</v>
      </c>
      <c r="AN161">
        <f>$AH161*tbl_Data_old[[#This Row],[2030 ]]</f>
        <v>1.7905918290456904E-3</v>
      </c>
      <c r="AO161">
        <f>$AH161*tbl_Data_old[[#This Row],[2031 ]]</f>
        <v>1.8980398887856883E-3</v>
      </c>
      <c r="AP161">
        <f>$AH161*tbl_Data_old[[#This Row],[2032 ]]</f>
        <v>2.0146952767466988E-3</v>
      </c>
      <c r="AQ161">
        <f>$AH161*tbl_Data_old[[#This Row],[2033 ]]</f>
        <v>2.1420881208903042E-3</v>
      </c>
      <c r="AR161">
        <f>$AH161*tbl_Data_old[[#This Row],[2034 ]]</f>
        <v>2.2810772613615846E-3</v>
      </c>
      <c r="AS161">
        <f>SUM(tbl_Data_old[[#This Row],[Adjusted 2025]:[Adjusted 2034]])</f>
        <v>1.7376032498014532E-2</v>
      </c>
      <c r="AT161" s="3">
        <f>AVERAGEIFS('3. Incentive Adjustment'!F:F,'3. Incentive Adjustment'!A:A,tbl_Data_old[[#This Row],[Trimmed Sector]],'3. Incentive Adjustment'!B:B,tbl_Data_old[[#This Row],[Trimmed Measure Name]])</f>
        <v>0</v>
      </c>
      <c r="AU161" s="3">
        <f>IFERROR(VLOOKUP(tbl_Data_old[[#This Row],[All_Meas_Name_Append]],'IRA Tax Credits'!$A$3:$D$46,4,0),0)</f>
        <v>41666.666666666672</v>
      </c>
      <c r="AV161" s="4">
        <f>tbl_Data_old[[#This Row],[Adj. per unit Incentive ($)]]/tbl_Data_old[[#This Row],[kWh Savings]]*tbl_Data_old[[#This Row],[Sum of Annuals]]</f>
        <v>0</v>
      </c>
      <c r="AW161" s="4">
        <f>IFERROR(VLOOKUP(tbl_Data_old[[#This Row],[All_Programs]],'1. Set Program Names'!$B$2:$D$15,3,0)*tbl_Data_old[[#This Row],[Sum of Annuals]],"")</f>
        <v>7.8300327608549578E-3</v>
      </c>
      <c r="AX161" s="4">
        <f>tbl_Data_old[[#This Row],[per unit IRA tax ($)]]/tbl_Data_old[[#This Row],[kWh Savings]]*tbl_Data_old[[#This Row],[Sum of Annuals]]</f>
        <v>0.54402923080918486</v>
      </c>
      <c r="AY161" s="4">
        <f>tbl_Data_old[[#This Row],[Avoided Costs ($/unit)]]/tbl_Data_old[[#This Row],[kWh Savings]]*tbl_Data_old[[#This Row],[Sum of Annuals]]</f>
        <v>9.3119967506736234E-3</v>
      </c>
      <c r="AZ161" s="4">
        <f>tbl_Data_old[[#This Row],[Lost Revenue ($/unit)]]/tbl_Data_old[[#This Row],[kWh Savings]]*tbl_Data_old[[#This Row],[Sum of Annuals]]</f>
        <v>2.6265197925110336E-2</v>
      </c>
      <c r="BA161" s="4">
        <f>tbl_Data_old[[#This Row],[Incremental Cost ($/unit)]]/tbl_Data_old[[#This Row],[kWh Savings]]*tbl_Data_old[[#This Row],[Sum of Annuals]]</f>
        <v>0.11738000797342051</v>
      </c>
      <c r="BB161">
        <f>ROUNDUP(tbl_Data_old[[#This Row],[Adjusted 2025]]/$L161,0)</f>
        <v>1</v>
      </c>
      <c r="BC161">
        <f>ROUNDUP(tbl_Data_old[[#This Row],[Adjusted 2026]]/$L161,0)</f>
        <v>1</v>
      </c>
      <c r="BD161">
        <f>ROUNDUP(tbl_Data_old[[#This Row],[Adjusted 2027]]/$L161,0)</f>
        <v>1</v>
      </c>
      <c r="BE161">
        <f>ROUNDUP(tbl_Data_old[[#This Row],[Adjusted 2028]]/$L161,0)</f>
        <v>1</v>
      </c>
      <c r="BF161">
        <f>ROUNDUP(tbl_Data_old[[#This Row],[Adjusted 2029]]/$L161,0)</f>
        <v>1</v>
      </c>
      <c r="BG161">
        <f>ROUNDUP(tbl_Data_old[[#This Row],[Adjusted 2030]]/$L161,0)</f>
        <v>1</v>
      </c>
      <c r="BH161">
        <f>ROUNDUP(tbl_Data_old[[#This Row],[Adjusted 2031]]/$L161,0)</f>
        <v>1</v>
      </c>
      <c r="BI161">
        <f>ROUNDUP(tbl_Data_old[[#This Row],[Adjusted 2032]]/$L161,0)</f>
        <v>1</v>
      </c>
      <c r="BJ161">
        <f>ROUNDUP(tbl_Data_old[[#This Row],[Adjusted 2033]]/$L161,0)</f>
        <v>1</v>
      </c>
      <c r="BK161">
        <f>ROUNDUP(tbl_Data_old[[#This Row],[Adjusted 2034]]/$L161,0)</f>
        <v>1</v>
      </c>
      <c r="BL161" s="3">
        <f t="shared" si="12"/>
        <v>0</v>
      </c>
      <c r="BM161" s="3">
        <f t="shared" si="12"/>
        <v>0</v>
      </c>
      <c r="BN161" s="3">
        <f t="shared" si="12"/>
        <v>0</v>
      </c>
      <c r="BO161" s="3">
        <f t="shared" si="12"/>
        <v>0</v>
      </c>
      <c r="BP161" s="3">
        <f t="shared" si="12"/>
        <v>0</v>
      </c>
      <c r="BQ161" s="3">
        <f t="shared" si="11"/>
        <v>0</v>
      </c>
      <c r="BR161" s="3">
        <f t="shared" si="11"/>
        <v>0</v>
      </c>
      <c r="BS161" s="3">
        <f t="shared" si="11"/>
        <v>0</v>
      </c>
      <c r="BT161" s="3">
        <f t="shared" si="11"/>
        <v>0</v>
      </c>
      <c r="BU161" s="3">
        <f t="shared" si="11"/>
        <v>0</v>
      </c>
      <c r="BV161">
        <f>VLOOKUP($H161,'1. Set Program Names'!$B$2:$D$15,3,0)*V161</f>
        <v>19449.895860092696</v>
      </c>
      <c r="BW161">
        <f>VLOOKUP($H161,'1. Set Program Names'!$B$2:$D$15,3,0)*W161</f>
        <v>21646.444981303284</v>
      </c>
      <c r="BX161">
        <f>VLOOKUP($H161,'1. Set Program Names'!$B$2:$D$15,3,0)*X161</f>
        <v>23673.193408395444</v>
      </c>
      <c r="BY161">
        <f>VLOOKUP($H161,'1. Set Program Names'!$B$2:$D$15,3,0)*Y161</f>
        <v>25591.229863806941</v>
      </c>
      <c r="BZ161">
        <f>VLOOKUP($H161,'1. Set Program Names'!$B$2:$D$15,3,0)*Z161</f>
        <v>27418.647808853504</v>
      </c>
      <c r="CA161">
        <f>VLOOKUP($H161,'1. Set Program Names'!$B$2:$D$15,3,0)*AA161</f>
        <v>29090.790462952689</v>
      </c>
      <c r="CB161">
        <f>VLOOKUP($H161,'1. Set Program Names'!$B$2:$D$15,3,0)*AB161</f>
        <v>30836.441783841936</v>
      </c>
      <c r="CC161">
        <f>VLOOKUP($H161,'1. Set Program Names'!$B$2:$D$15,3,0)*AC161</f>
        <v>32731.679655756529</v>
      </c>
      <c r="CD161">
        <f>VLOOKUP($H161,'1. Set Program Names'!$B$2:$D$15,3,0)*AD161</f>
        <v>34801.363251618975</v>
      </c>
      <c r="CE161">
        <f>VLOOKUP($H161,'1. Set Program Names'!$B$2:$D$15,3,0)*AE161</f>
        <v>37059.445689217748</v>
      </c>
    </row>
    <row r="162" spans="1:83" x14ac:dyDescent="0.25">
      <c r="A162" s="20" t="s">
        <v>113</v>
      </c>
      <c r="B162" s="20" t="s">
        <v>88</v>
      </c>
      <c r="C162" s="20" t="s">
        <v>89</v>
      </c>
      <c r="D162" s="20" t="s">
        <v>90</v>
      </c>
      <c r="E162" s="20" t="s">
        <v>91</v>
      </c>
      <c r="F162" s="20" t="s">
        <v>90</v>
      </c>
      <c r="G162" s="20" t="s">
        <v>92</v>
      </c>
      <c r="H162" s="20" t="s">
        <v>9</v>
      </c>
      <c r="I162" s="20" t="s">
        <v>93</v>
      </c>
      <c r="J162" s="20" t="s">
        <v>94</v>
      </c>
      <c r="K162" s="20" t="s">
        <v>95</v>
      </c>
      <c r="L162" s="20">
        <v>1200.2266666666601</v>
      </c>
      <c r="M162" s="20">
        <v>4.8097974252120097E-2</v>
      </c>
      <c r="N162" s="20">
        <v>0.22310492157346501</v>
      </c>
      <c r="O162" s="20">
        <v>1210</v>
      </c>
      <c r="P162" s="20">
        <v>933.85922631496703</v>
      </c>
      <c r="Q162" s="20">
        <v>360.56616574297698</v>
      </c>
      <c r="R162" s="20">
        <v>571.53970184074296</v>
      </c>
      <c r="S162" s="20">
        <v>1535.35818196214</v>
      </c>
      <c r="T162" s="20">
        <v>15</v>
      </c>
      <c r="U162" s="20">
        <v>0.2</v>
      </c>
      <c r="V162" s="20">
        <v>14452.473660362301</v>
      </c>
      <c r="W162" s="20">
        <v>29807.701351419299</v>
      </c>
      <c r="X162" s="20">
        <v>46059.200210935</v>
      </c>
      <c r="Y162" s="20">
        <v>63227.667519509603</v>
      </c>
      <c r="Z162" s="20">
        <v>81332.810168094395</v>
      </c>
      <c r="AA162" s="20">
        <v>100341.604462356</v>
      </c>
      <c r="AB162" s="20">
        <v>120361.822897625</v>
      </c>
      <c r="AC162" s="20">
        <v>141541.64958640499</v>
      </c>
      <c r="AD162" s="20">
        <v>164038.816493347</v>
      </c>
      <c r="AE162" s="20">
        <v>188015.71364460699</v>
      </c>
      <c r="AF162" t="str">
        <f t="shared" si="9"/>
        <v>Residential</v>
      </c>
      <c r="AG162" t="str">
        <f>tbl_Data_old[[#This Row],[All_Meas_Name_Append]]</f>
        <v>120v Heat Pump Water Heater 50 Gallons</v>
      </c>
      <c r="AH162">
        <f>AVERAGEIFS('3. Incentive Adjustment'!G:G,'3. Incentive Adjustment'!A:A,tbl_Data_old[[#This Row],[Trimmed Sector]],'3. Incentive Adjustment'!B:B,tbl_Data_old[[#This Row],[Trimmed Measure Name]])</f>
        <v>0.38528347196238832</v>
      </c>
      <c r="AI162">
        <f>$AH162*tbl_Data_old[[#This Row],[2025 ]]</f>
        <v>5568.2992303093542</v>
      </c>
      <c r="AJ162">
        <f>$AH162*tbl_Data_old[[#This Row],[2026 ]]</f>
        <v>11484.414667892803</v>
      </c>
      <c r="AK162">
        <f>$AH162*tbl_Data_old[[#This Row],[2027 ]]</f>
        <v>17745.848573079806</v>
      </c>
      <c r="AL162">
        <f>$AH162*tbl_Data_old[[#This Row],[2028 ]]</f>
        <v>24360.575266000189</v>
      </c>
      <c r="AM162">
        <f>$AH162*tbl_Data_old[[#This Row],[2029 ]]</f>
        <v>31336.187486021248</v>
      </c>
      <c r="AN162">
        <f>$AH162*tbl_Data_old[[#This Row],[2030 ]]</f>
        <v>38659.961749533199</v>
      </c>
      <c r="AO162">
        <f>$AH162*tbl_Data_old[[#This Row],[2031 ]]</f>
        <v>46373.421017719047</v>
      </c>
      <c r="AP162">
        <f>$AH162*tbl_Data_old[[#This Row],[2032 ]]</f>
        <v>54533.65817993386</v>
      </c>
      <c r="AQ162">
        <f>$AH162*tbl_Data_old[[#This Row],[2033 ]]</f>
        <v>63201.44475515782</v>
      </c>
      <c r="AR162">
        <f>$AH162*tbl_Data_old[[#This Row],[2034 ]]</f>
        <v>72439.346936480375</v>
      </c>
      <c r="AS162">
        <f>SUM(tbl_Data_old[[#This Row],[Adjusted 2025]:[Adjusted 2034]])</f>
        <v>365703.1578621277</v>
      </c>
      <c r="AT162" s="3">
        <f>AVERAGEIFS('3. Incentive Adjustment'!F:F,'3. Incentive Adjustment'!A:A,tbl_Data_old[[#This Row],[Trimmed Sector]],'3. Incentive Adjustment'!B:B,tbl_Data_old[[#This Row],[Trimmed Measure Name]])</f>
        <v>500</v>
      </c>
      <c r="AU162" s="3">
        <f>IFERROR(VLOOKUP(tbl_Data_old[[#This Row],[All_Meas_Name_Append]],'IRA Tax Credits'!$A$3:$D$46,4,0),0)</f>
        <v>1666.6666666666667</v>
      </c>
      <c r="AV162" s="4">
        <f>tbl_Data_old[[#This Row],[Adj. per unit Incentive ($)]]/tbl_Data_old[[#This Row],[kWh Savings]]*tbl_Data_old[[#This Row],[Sum of Annuals]]</f>
        <v>152347.53901851721</v>
      </c>
      <c r="AW162" s="4">
        <f>IFERROR(VLOOKUP(tbl_Data_old[[#This Row],[All_Programs]],'1. Set Program Names'!$B$2:$D$15,3,0)*tbl_Data_old[[#This Row],[Sum of Annuals]],"")</f>
        <v>164794.10401285597</v>
      </c>
      <c r="AX162" s="4">
        <f>tbl_Data_old[[#This Row],[per unit IRA tax ($)]]/tbl_Data_old[[#This Row],[kWh Savings]]*tbl_Data_old[[#This Row],[Sum of Annuals]]</f>
        <v>507825.13006172405</v>
      </c>
      <c r="AY162" s="4">
        <f>tbl_Data_old[[#This Row],[Avoided Costs ($/unit)]]/tbl_Data_old[[#This Row],[kWh Savings]]*tbl_Data_old[[#This Row],[Sum of Annuals]]</f>
        <v>174145.33405362855</v>
      </c>
      <c r="AZ162" s="4">
        <f>tbl_Data_old[[#This Row],[Lost Revenue ($/unit)]]/tbl_Data_old[[#This Row],[kWh Savings]]*tbl_Data_old[[#This Row],[Sum of Annuals]]</f>
        <v>467816.08106775355</v>
      </c>
      <c r="BA162" s="4">
        <f>tbl_Data_old[[#This Row],[Incremental Cost ($/unit)]]/tbl_Data_old[[#This Row],[kWh Savings]]*tbl_Data_old[[#This Row],[Sum of Annuals]]</f>
        <v>368681.04442481161</v>
      </c>
      <c r="BB162">
        <f>ROUNDUP(tbl_Data_old[[#This Row],[Adjusted 2025]]/$L162,0)</f>
        <v>5</v>
      </c>
      <c r="BC162">
        <f>ROUNDUP(tbl_Data_old[[#This Row],[Adjusted 2026]]/$L162,0)</f>
        <v>10</v>
      </c>
      <c r="BD162">
        <f>ROUNDUP(tbl_Data_old[[#This Row],[Adjusted 2027]]/$L162,0)</f>
        <v>15</v>
      </c>
      <c r="BE162">
        <f>ROUNDUP(tbl_Data_old[[#This Row],[Adjusted 2028]]/$L162,0)</f>
        <v>21</v>
      </c>
      <c r="BF162">
        <f>ROUNDUP(tbl_Data_old[[#This Row],[Adjusted 2029]]/$L162,0)</f>
        <v>27</v>
      </c>
      <c r="BG162">
        <f>ROUNDUP(tbl_Data_old[[#This Row],[Adjusted 2030]]/$L162,0)</f>
        <v>33</v>
      </c>
      <c r="BH162">
        <f>ROUNDUP(tbl_Data_old[[#This Row],[Adjusted 2031]]/$L162,0)</f>
        <v>39</v>
      </c>
      <c r="BI162">
        <f>ROUNDUP(tbl_Data_old[[#This Row],[Adjusted 2032]]/$L162,0)</f>
        <v>46</v>
      </c>
      <c r="BJ162">
        <f>ROUNDUP(tbl_Data_old[[#This Row],[Adjusted 2033]]/$L162,0)</f>
        <v>53</v>
      </c>
      <c r="BK162">
        <f>ROUNDUP(tbl_Data_old[[#This Row],[Adjusted 2034]]/$L162,0)</f>
        <v>61</v>
      </c>
      <c r="BL162" s="3">
        <f t="shared" si="12"/>
        <v>6020.726776759825</v>
      </c>
      <c r="BM162" s="3">
        <f t="shared" si="12"/>
        <v>12417.530029641399</v>
      </c>
      <c r="BN162" s="3">
        <f t="shared" si="12"/>
        <v>19187.709076175299</v>
      </c>
      <c r="BO162" s="3">
        <f t="shared" si="12"/>
        <v>26339.88615463327</v>
      </c>
      <c r="BP162" s="3">
        <f t="shared" si="12"/>
        <v>33882.27091886595</v>
      </c>
      <c r="BQ162" s="3">
        <f t="shared" si="11"/>
        <v>41801.106094830648</v>
      </c>
      <c r="BR162" s="3">
        <f t="shared" si="11"/>
        <v>50141.288408422428</v>
      </c>
      <c r="BS162" s="3">
        <f t="shared" si="11"/>
        <v>58964.549579415179</v>
      </c>
      <c r="BT162" s="3">
        <f t="shared" si="11"/>
        <v>68336.598848001435</v>
      </c>
      <c r="BU162" s="3">
        <f t="shared" si="11"/>
        <v>78325.085946796724</v>
      </c>
      <c r="BV162">
        <f>VLOOKUP($H162,'1. Set Program Names'!$B$2:$D$15,3,0)*V162</f>
        <v>6512.6111066470885</v>
      </c>
      <c r="BW162">
        <f>VLOOKUP($H162,'1. Set Program Names'!$B$2:$D$15,3,0)*W162</f>
        <v>13432.023572358223</v>
      </c>
      <c r="BX162">
        <f>VLOOKUP($H162,'1. Set Program Names'!$B$2:$D$15,3,0)*X162</f>
        <v>20755.316072964739</v>
      </c>
      <c r="BY162">
        <f>VLOOKUP($H162,'1. Set Program Names'!$B$2:$D$15,3,0)*Y162</f>
        <v>28491.81527064793</v>
      </c>
      <c r="BZ162">
        <f>VLOOKUP($H162,'1. Set Program Names'!$B$2:$D$15,3,0)*Z162</f>
        <v>36650.401535640805</v>
      </c>
      <c r="CA162">
        <f>VLOOKUP($H162,'1. Set Program Names'!$B$2:$D$15,3,0)*AA162</f>
        <v>45216.193645285421</v>
      </c>
      <c r="CB162">
        <f>VLOOKUP($H162,'1. Set Program Names'!$B$2:$D$15,3,0)*AB162</f>
        <v>54237.756320512955</v>
      </c>
      <c r="CC162">
        <f>VLOOKUP($H162,'1. Set Program Names'!$B$2:$D$15,3,0)*AC162</f>
        <v>63781.864669834191</v>
      </c>
      <c r="CD162">
        <f>VLOOKUP($H162,'1. Set Program Names'!$B$2:$D$15,3,0)*AD162</f>
        <v>73919.596279619451</v>
      </c>
      <c r="CE162">
        <f>VLOOKUP($H162,'1. Set Program Names'!$B$2:$D$15,3,0)*AE162</f>
        <v>84724.127763976867</v>
      </c>
    </row>
    <row r="163" spans="1:83" x14ac:dyDescent="0.25">
      <c r="A163" s="20" t="s">
        <v>113</v>
      </c>
      <c r="B163" s="20" t="s">
        <v>88</v>
      </c>
      <c r="C163" s="20" t="s">
        <v>89</v>
      </c>
      <c r="D163" s="20" t="s">
        <v>90</v>
      </c>
      <c r="E163" s="20" t="s">
        <v>91</v>
      </c>
      <c r="F163" s="20" t="s">
        <v>90</v>
      </c>
      <c r="G163" s="20" t="s">
        <v>92</v>
      </c>
      <c r="H163" s="20" t="s">
        <v>9</v>
      </c>
      <c r="I163" s="20" t="s">
        <v>96</v>
      </c>
      <c r="J163" s="20" t="s">
        <v>97</v>
      </c>
      <c r="K163" s="20" t="s">
        <v>98</v>
      </c>
      <c r="L163" s="20">
        <v>5868.07</v>
      </c>
      <c r="M163" s="20">
        <v>0.20813520080661799</v>
      </c>
      <c r="N163" s="20">
        <v>1.1349578069705</v>
      </c>
      <c r="O163" s="20">
        <v>1935.1666666666599</v>
      </c>
      <c r="P163" s="20">
        <v>513.45064263862798</v>
      </c>
      <c r="Q163" s="20">
        <v>1762.8565994851499</v>
      </c>
      <c r="R163" s="20">
        <v>3388.0400735263802</v>
      </c>
      <c r="S163" s="20">
        <v>7811.7411984889604</v>
      </c>
      <c r="T163" s="20">
        <v>16</v>
      </c>
      <c r="U163" s="20">
        <v>0.2</v>
      </c>
      <c r="V163" s="20">
        <v>90313.784882227395</v>
      </c>
      <c r="W163" s="20">
        <v>185980.0697733</v>
      </c>
      <c r="X163" s="20">
        <v>286918.88847921201</v>
      </c>
      <c r="Y163" s="20">
        <v>393219.17297837097</v>
      </c>
      <c r="Z163" s="20">
        <v>504963.32559997699</v>
      </c>
      <c r="AA163" s="20">
        <v>621909.30965675297</v>
      </c>
      <c r="AB163" s="20">
        <v>744681.56604193302</v>
      </c>
      <c r="AC163" s="20">
        <v>874145.88182571402</v>
      </c>
      <c r="AD163" s="20">
        <v>1011217.68554173</v>
      </c>
      <c r="AE163" s="20">
        <v>1156831.27582545</v>
      </c>
      <c r="AF163" t="str">
        <f t="shared" si="9"/>
        <v>Residential</v>
      </c>
      <c r="AG163" t="str">
        <f>tbl_Data_old[[#This Row],[All_Meas_Name_Append]]</f>
        <v>ASHP - CEE Tier 2: 16.8 SEER/16 SEER2; 9.0 HSPF (from elec resistance)</v>
      </c>
      <c r="AH163">
        <f>AVERAGEIFS('3. Incentive Adjustment'!G:G,'3. Incentive Adjustment'!A:A,tbl_Data_old[[#This Row],[Trimmed Sector]],'3. Incentive Adjustment'!B:B,tbl_Data_old[[#This Row],[Trimmed Measure Name]])</f>
        <v>0.9303958662075158</v>
      </c>
      <c r="AI163">
        <f>$AH163*tbl_Data_old[[#This Row],[2025 ]]</f>
        <v>84027.572115979201</v>
      </c>
      <c r="AJ163">
        <f>$AH163*tbl_Data_old[[#This Row],[2026 ]]</f>
        <v>173035.08811406369</v>
      </c>
      <c r="AK163">
        <f>$AH163*tbl_Data_old[[#This Row],[2027 ]]</f>
        <v>266948.14777791407</v>
      </c>
      <c r="AL163">
        <f>$AH163*tbl_Data_old[[#This Row],[2028 ]]</f>
        <v>365849.49305261445</v>
      </c>
      <c r="AM163">
        <f>$AH163*tbl_Data_old[[#This Row],[2029 ]]</f>
        <v>469815.79072461842</v>
      </c>
      <c r="AN163">
        <f>$AH163*tbl_Data_old[[#This Row],[2030 ]]</f>
        <v>578621.85086061282</v>
      </c>
      <c r="AO163">
        <f>$AH163*tbl_Data_old[[#This Row],[2031 ]]</f>
        <v>692848.65068635368</v>
      </c>
      <c r="AP163">
        <f>$AH163*tbl_Data_old[[#This Row],[2032 ]]</f>
        <v>813301.71491296799</v>
      </c>
      <c r="AQ163">
        <f>$AH163*tbl_Data_old[[#This Row],[2033 ]]</f>
        <v>940832.75446395727</v>
      </c>
      <c r="AR163">
        <f>$AH163*tbl_Data_old[[#This Row],[2034 ]]</f>
        <v>1076311.0369275652</v>
      </c>
      <c r="AS163">
        <f>SUM(tbl_Data_old[[#This Row],[Adjusted 2025]:[Adjusted 2034]])</f>
        <v>5461592.0996366469</v>
      </c>
      <c r="AT163" s="3">
        <f>AVERAGEIFS('3. Incentive Adjustment'!F:F,'3. Incentive Adjustment'!A:A,tbl_Data_old[[#This Row],[Trimmed Sector]],'3. Incentive Adjustment'!B:B,tbl_Data_old[[#This Row],[Trimmed Measure Name]])</f>
        <v>353</v>
      </c>
      <c r="AU163" s="3">
        <f>IFERROR(VLOOKUP(tbl_Data_old[[#This Row],[All_Meas_Name_Append]],'IRA Tax Credits'!$A$3:$D$46,4,0),0)</f>
        <v>0</v>
      </c>
      <c r="AV163" s="4">
        <f>tbl_Data_old[[#This Row],[Adj. per unit Incentive ($)]]/tbl_Data_old[[#This Row],[kWh Savings]]*tbl_Data_old[[#This Row],[Sum of Annuals]]</f>
        <v>328547.88902854541</v>
      </c>
      <c r="AW163" s="4">
        <f>IFERROR(VLOOKUP(tbl_Data_old[[#This Row],[All_Programs]],'1. Set Program Names'!$B$2:$D$15,3,0)*tbl_Data_old[[#This Row],[Sum of Annuals]],"")</f>
        <v>2461116.7751595788</v>
      </c>
      <c r="AX163" s="4">
        <f>tbl_Data_old[[#This Row],[per unit IRA tax ($)]]/tbl_Data_old[[#This Row],[kWh Savings]]*tbl_Data_old[[#This Row],[Sum of Annuals]]</f>
        <v>0</v>
      </c>
      <c r="AY163" s="4">
        <f>tbl_Data_old[[#This Row],[Avoided Costs ($/unit)]]/tbl_Data_old[[#This Row],[kWh Savings]]*tbl_Data_old[[#This Row],[Sum of Annuals]]</f>
        <v>3153352.4478787817</v>
      </c>
      <c r="AZ163" s="4">
        <f>tbl_Data_old[[#This Row],[Lost Revenue ($/unit)]]/tbl_Data_old[[#This Row],[kWh Savings]]*tbl_Data_old[[#This Row],[Sum of Annuals]]</f>
        <v>7270626.2900874428</v>
      </c>
      <c r="BA163" s="4">
        <f>tbl_Data_old[[#This Row],[Incremental Cost ($/unit)]]/tbl_Data_old[[#This Row],[kWh Savings]]*tbl_Data_old[[#This Row],[Sum of Annuals]]</f>
        <v>1801118.7627527986</v>
      </c>
      <c r="BB163">
        <f>ROUNDUP(tbl_Data_old[[#This Row],[Adjusted 2025]]/$L163,0)</f>
        <v>15</v>
      </c>
      <c r="BC163">
        <f>ROUNDUP(tbl_Data_old[[#This Row],[Adjusted 2026]]/$L163,0)</f>
        <v>30</v>
      </c>
      <c r="BD163">
        <f>ROUNDUP(tbl_Data_old[[#This Row],[Adjusted 2027]]/$L163,0)</f>
        <v>46</v>
      </c>
      <c r="BE163">
        <f>ROUNDUP(tbl_Data_old[[#This Row],[Adjusted 2028]]/$L163,0)</f>
        <v>63</v>
      </c>
      <c r="BF163">
        <f>ROUNDUP(tbl_Data_old[[#This Row],[Adjusted 2029]]/$L163,0)</f>
        <v>81</v>
      </c>
      <c r="BG163">
        <f>ROUNDUP(tbl_Data_old[[#This Row],[Adjusted 2030]]/$L163,0)</f>
        <v>99</v>
      </c>
      <c r="BH163">
        <f>ROUNDUP(tbl_Data_old[[#This Row],[Adjusted 2031]]/$L163,0)</f>
        <v>119</v>
      </c>
      <c r="BI163">
        <f>ROUNDUP(tbl_Data_old[[#This Row],[Adjusted 2032]]/$L163,0)</f>
        <v>139</v>
      </c>
      <c r="BJ163">
        <f>ROUNDUP(tbl_Data_old[[#This Row],[Adjusted 2033]]/$L163,0)</f>
        <v>161</v>
      </c>
      <c r="BK163">
        <f>ROUNDUP(tbl_Data_old[[#This Row],[Adjusted 2034]]/$L163,0)</f>
        <v>184</v>
      </c>
      <c r="BL163" s="3">
        <f t="shared" si="12"/>
        <v>5432.9219084684182</v>
      </c>
      <c r="BM163" s="3">
        <f t="shared" si="12"/>
        <v>11187.829155067153</v>
      </c>
      <c r="BN163" s="3">
        <f t="shared" si="12"/>
        <v>17259.911288236479</v>
      </c>
      <c r="BO163" s="3">
        <f t="shared" si="12"/>
        <v>23654.518105844847</v>
      </c>
      <c r="BP163" s="3">
        <f t="shared" si="12"/>
        <v>30376.60660775892</v>
      </c>
      <c r="BQ163" s="3">
        <f t="shared" si="11"/>
        <v>37411.616819300689</v>
      </c>
      <c r="BR163" s="3">
        <f t="shared" si="11"/>
        <v>44797.112647395545</v>
      </c>
      <c r="BS163" s="3">
        <f t="shared" si="11"/>
        <v>52585.176435263566</v>
      </c>
      <c r="BT163" s="3">
        <f t="shared" si="11"/>
        <v>60830.876761223146</v>
      </c>
      <c r="BU163" s="3">
        <f t="shared" si="11"/>
        <v>69590.41735466411</v>
      </c>
      <c r="BV163">
        <f>VLOOKUP($H163,'1. Set Program Names'!$B$2:$D$15,3,0)*V163</f>
        <v>40697.431618262177</v>
      </c>
      <c r="BW163">
        <f>VLOOKUP($H163,'1. Set Program Names'!$B$2:$D$15,3,0)*W163</f>
        <v>83806.820651228976</v>
      </c>
      <c r="BX163">
        <f>VLOOKUP($H163,'1. Set Program Names'!$B$2:$D$15,3,0)*X163</f>
        <v>129292.13252547875</v>
      </c>
      <c r="BY163">
        <f>VLOOKUP($H163,'1. Set Program Names'!$B$2:$D$15,3,0)*Y163</f>
        <v>177193.44199941785</v>
      </c>
      <c r="BZ163">
        <f>VLOOKUP($H163,'1. Set Program Names'!$B$2:$D$15,3,0)*Z163</f>
        <v>227547.88142401772</v>
      </c>
      <c r="CA163">
        <f>VLOOKUP($H163,'1. Set Program Names'!$B$2:$D$15,3,0)*AA163</f>
        <v>280246.38360048458</v>
      </c>
      <c r="CB163">
        <f>VLOOKUP($H163,'1. Set Program Names'!$B$2:$D$15,3,0)*AB163</f>
        <v>335570.33570116624</v>
      </c>
      <c r="CC163">
        <f>VLOOKUP($H163,'1. Set Program Names'!$B$2:$D$15,3,0)*AC163</f>
        <v>393909.88093765842</v>
      </c>
      <c r="CD163">
        <f>VLOOKUP($H163,'1. Set Program Names'!$B$2:$D$15,3,0)*AD163</f>
        <v>455677.53208636132</v>
      </c>
      <c r="CE163">
        <f>VLOOKUP($H163,'1. Set Program Names'!$B$2:$D$15,3,0)*AE163</f>
        <v>521294.30521782953</v>
      </c>
    </row>
    <row r="164" spans="1:83" x14ac:dyDescent="0.25">
      <c r="A164" s="20" t="s">
        <v>113</v>
      </c>
      <c r="B164" s="20" t="s">
        <v>88</v>
      </c>
      <c r="C164" s="20" t="s">
        <v>89</v>
      </c>
      <c r="D164" s="20" t="s">
        <v>90</v>
      </c>
      <c r="E164" s="20" t="s">
        <v>91</v>
      </c>
      <c r="F164" s="20" t="s">
        <v>90</v>
      </c>
      <c r="G164" s="20" t="s">
        <v>92</v>
      </c>
      <c r="H164" s="20" t="s">
        <v>9</v>
      </c>
      <c r="I164" s="20" t="s">
        <v>99</v>
      </c>
      <c r="J164" s="20" t="s">
        <v>97</v>
      </c>
      <c r="K164" s="20" t="s">
        <v>98</v>
      </c>
      <c r="L164" s="20">
        <v>253.96999999999801</v>
      </c>
      <c r="M164" s="20">
        <v>0.107126245482503</v>
      </c>
      <c r="N164" s="20">
        <v>1.33192706841354E-2</v>
      </c>
      <c r="O164" s="20">
        <v>874.99999999999898</v>
      </c>
      <c r="P164" s="20">
        <v>813.468148399999</v>
      </c>
      <c r="Q164" s="20">
        <v>76.296412716828996</v>
      </c>
      <c r="R164" s="20">
        <v>185.54516688855901</v>
      </c>
      <c r="S164" s="20">
        <v>338.09206641710699</v>
      </c>
      <c r="T164" s="20">
        <v>16</v>
      </c>
      <c r="U164" s="20">
        <v>0.19999999999999901</v>
      </c>
      <c r="V164" s="20">
        <v>12806.990674471699</v>
      </c>
      <c r="W164" s="20">
        <v>27131.243694330198</v>
      </c>
      <c r="X164" s="20">
        <v>42874.622293048596</v>
      </c>
      <c r="Y164" s="20">
        <v>59978.242525613998</v>
      </c>
      <c r="Z164" s="20">
        <v>78394.391373268707</v>
      </c>
      <c r="AA164" s="20">
        <v>98030.901399079507</v>
      </c>
      <c r="AB164" s="20">
        <v>118949.334012252</v>
      </c>
      <c r="AC164" s="20">
        <v>141263.94780764499</v>
      </c>
      <c r="AD164" s="20">
        <v>165107.64742559899</v>
      </c>
      <c r="AE164" s="20">
        <v>190624.82924662999</v>
      </c>
      <c r="AF164" t="str">
        <f t="shared" si="9"/>
        <v>Residential</v>
      </c>
      <c r="AG164" t="str">
        <f>tbl_Data_old[[#This Row],[All_Meas_Name_Append]]</f>
        <v>ASHP - ENERGY STAR/CEE Tier 1: 16 SEER/15.2 SEER2_ 9.0 HSPF</v>
      </c>
      <c r="AH164">
        <f>AVERAGEIFS('3. Incentive Adjustment'!G:G,'3. Incentive Adjustment'!A:A,tbl_Data_old[[#This Row],[Trimmed Sector]],'3. Incentive Adjustment'!B:B,tbl_Data_old[[#This Row],[Trimmed Measure Name]])</f>
        <v>8.3636985731950567E-3</v>
      </c>
      <c r="AI164">
        <f>$AH164*tbl_Data_old[[#This Row],[2025 ]]</f>
        <v>107.11380963100135</v>
      </c>
      <c r="AJ164">
        <f>$AH164*tbl_Data_old[[#This Row],[2026 ]]</f>
        <v>226.91754417527684</v>
      </c>
      <c r="AK164">
        <f>$AH164*tbl_Data_old[[#This Row],[2027 ]]</f>
        <v>358.59041729864754</v>
      </c>
      <c r="AL164">
        <f>$AH164*tbl_Data_old[[#This Row],[2028 ]]</f>
        <v>501.63994143422485</v>
      </c>
      <c r="AM164">
        <f>$AH164*tbl_Data_old[[#This Row],[2029 ]]</f>
        <v>655.66705927510236</v>
      </c>
      <c r="AN164">
        <f>$AH164*tbl_Data_old[[#This Row],[2030 ]]</f>
        <v>819.90091016050656</v>
      </c>
      <c r="AO164">
        <f>$AH164*tbl_Data_old[[#This Row],[2031 ]]</f>
        <v>994.85637516077429</v>
      </c>
      <c r="AP164">
        <f>$AH164*tbl_Data_old[[#This Row],[2032 ]]</f>
        <v>1181.4890787227014</v>
      </c>
      <c r="AQ164">
        <f>$AH164*tbl_Data_old[[#This Row],[2033 ]]</f>
        <v>1380.9105951970748</v>
      </c>
      <c r="AR164">
        <f>$AH164*tbl_Data_old[[#This Row],[2034 ]]</f>
        <v>1594.3286123855905</v>
      </c>
      <c r="AS164">
        <f>SUM(tbl_Data_old[[#This Row],[Adjusted 2025]:[Adjusted 2034]])</f>
        <v>7821.4143434409007</v>
      </c>
      <c r="AT164" s="3">
        <f>AVERAGEIFS('3. Incentive Adjustment'!F:F,'3. Incentive Adjustment'!A:A,tbl_Data_old[[#This Row],[Trimmed Sector]],'3. Incentive Adjustment'!B:B,tbl_Data_old[[#This Row],[Trimmed Measure Name]])</f>
        <v>353</v>
      </c>
      <c r="AU164" s="3">
        <f>IFERROR(VLOOKUP(tbl_Data_old[[#This Row],[All_Meas_Name_Append]],'IRA Tax Credits'!$A$3:$D$46,4,0),0)</f>
        <v>0</v>
      </c>
      <c r="AV164" s="4">
        <f>tbl_Data_old[[#This Row],[Adj. per unit Incentive ($)]]/tbl_Data_old[[#This Row],[kWh Savings]]*tbl_Data_old[[#This Row],[Sum of Annuals]]</f>
        <v>10871.202359470251</v>
      </c>
      <c r="AW164" s="4">
        <f>IFERROR(VLOOKUP(tbl_Data_old[[#This Row],[All_Programs]],'1. Set Program Names'!$B$2:$D$15,3,0)*tbl_Data_old[[#This Row],[Sum of Annuals]],"")</f>
        <v>3524.5059856075272</v>
      </c>
      <c r="AX164" s="4">
        <f>tbl_Data_old[[#This Row],[per unit IRA tax ($)]]/tbl_Data_old[[#This Row],[kWh Savings]]*tbl_Data_old[[#This Row],[Sum of Annuals]]</f>
        <v>0</v>
      </c>
      <c r="AY164" s="4">
        <f>tbl_Data_old[[#This Row],[Avoided Costs ($/unit)]]/tbl_Data_old[[#This Row],[kWh Savings]]*tbl_Data_old[[#This Row],[Sum of Annuals]]</f>
        <v>5714.161631918425</v>
      </c>
      <c r="AZ164" s="4">
        <f>tbl_Data_old[[#This Row],[Lost Revenue ($/unit)]]/tbl_Data_old[[#This Row],[kWh Savings]]*tbl_Data_old[[#This Row],[Sum of Annuals]]</f>
        <v>10412.088583999508</v>
      </c>
      <c r="BA164" s="4">
        <f>tbl_Data_old[[#This Row],[Incremental Cost ($/unit)]]/tbl_Data_old[[#This Row],[kWh Savings]]*tbl_Data_old[[#This Row],[Sum of Annuals]]</f>
        <v>26947.031344295916</v>
      </c>
      <c r="BB164">
        <f>ROUNDUP(tbl_Data_old[[#This Row],[Adjusted 2025]]/$L164,0)</f>
        <v>1</v>
      </c>
      <c r="BC164">
        <f>ROUNDUP(tbl_Data_old[[#This Row],[Adjusted 2026]]/$L164,0)</f>
        <v>1</v>
      </c>
      <c r="BD164">
        <f>ROUNDUP(tbl_Data_old[[#This Row],[Adjusted 2027]]/$L164,0)</f>
        <v>2</v>
      </c>
      <c r="BE164">
        <f>ROUNDUP(tbl_Data_old[[#This Row],[Adjusted 2028]]/$L164,0)</f>
        <v>2</v>
      </c>
      <c r="BF164">
        <f>ROUNDUP(tbl_Data_old[[#This Row],[Adjusted 2029]]/$L164,0)</f>
        <v>3</v>
      </c>
      <c r="BG164">
        <f>ROUNDUP(tbl_Data_old[[#This Row],[Adjusted 2030]]/$L164,0)</f>
        <v>4</v>
      </c>
      <c r="BH164">
        <f>ROUNDUP(tbl_Data_old[[#This Row],[Adjusted 2031]]/$L164,0)</f>
        <v>4</v>
      </c>
      <c r="BI164">
        <f>ROUNDUP(tbl_Data_old[[#This Row],[Adjusted 2032]]/$L164,0)</f>
        <v>5</v>
      </c>
      <c r="BJ164">
        <f>ROUNDUP(tbl_Data_old[[#This Row],[Adjusted 2033]]/$L164,0)</f>
        <v>6</v>
      </c>
      <c r="BK164">
        <f>ROUNDUP(tbl_Data_old[[#This Row],[Adjusted 2034]]/$L164,0)</f>
        <v>7</v>
      </c>
      <c r="BL164" s="3">
        <f t="shared" si="12"/>
        <v>17800.794220138385</v>
      </c>
      <c r="BM164" s="3">
        <f t="shared" si="12"/>
        <v>37710.473772881189</v>
      </c>
      <c r="BN164" s="3">
        <f t="shared" si="12"/>
        <v>59592.635624074785</v>
      </c>
      <c r="BO164" s="3">
        <f t="shared" si="12"/>
        <v>83365.435333078349</v>
      </c>
      <c r="BP164" s="3">
        <f t="shared" si="12"/>
        <v>108962.55524181624</v>
      </c>
      <c r="BQ164" s="3">
        <f t="shared" si="11"/>
        <v>136255.88925414553</v>
      </c>
      <c r="BR164" s="3">
        <f t="shared" si="11"/>
        <v>165331.00329300817</v>
      </c>
      <c r="BS164" s="3">
        <f t="shared" si="11"/>
        <v>196346.70857226866</v>
      </c>
      <c r="BT164" s="3">
        <f t="shared" si="11"/>
        <v>229487.73296545615</v>
      </c>
      <c r="BU164" s="3">
        <f t="shared" si="11"/>
        <v>264954.77703689772</v>
      </c>
      <c r="BV164">
        <f>VLOOKUP($H164,'1. Set Program Names'!$B$2:$D$15,3,0)*V164</f>
        <v>5771.1193024377526</v>
      </c>
      <c r="BW164">
        <f>VLOOKUP($H164,'1. Set Program Names'!$B$2:$D$15,3,0)*W164</f>
        <v>12225.951292023608</v>
      </c>
      <c r="BX164">
        <f>VLOOKUP($H164,'1. Set Program Names'!$B$2:$D$15,3,0)*X164</f>
        <v>19320.273324892358</v>
      </c>
      <c r="BY164">
        <f>VLOOKUP($H164,'1. Set Program Names'!$B$2:$D$15,3,0)*Y164</f>
        <v>27027.550965257691</v>
      </c>
      <c r="BZ164">
        <f>VLOOKUP($H164,'1. Set Program Names'!$B$2:$D$15,3,0)*Z164</f>
        <v>35326.283649050412</v>
      </c>
      <c r="CA164">
        <f>VLOOKUP($H164,'1. Set Program Names'!$B$2:$D$15,3,0)*AA164</f>
        <v>44174.938647164861</v>
      </c>
      <c r="CB164">
        <f>VLOOKUP($H164,'1. Set Program Names'!$B$2:$D$15,3,0)*AB164</f>
        <v>53601.25692123537</v>
      </c>
      <c r="CC164">
        <f>VLOOKUP($H164,'1. Set Program Names'!$B$2:$D$15,3,0)*AC164</f>
        <v>63656.725975158806</v>
      </c>
      <c r="CD164">
        <f>VLOOKUP($H164,'1. Set Program Names'!$B$2:$D$15,3,0)*AD164</f>
        <v>74401.235642132422</v>
      </c>
      <c r="CE164">
        <f>VLOOKUP($H164,'1. Set Program Names'!$B$2:$D$15,3,0)*AE164</f>
        <v>85899.854193070059</v>
      </c>
    </row>
    <row r="165" spans="1:83" x14ac:dyDescent="0.25">
      <c r="A165" s="20" t="s">
        <v>113</v>
      </c>
      <c r="B165" s="20" t="s">
        <v>88</v>
      </c>
      <c r="C165" s="20" t="s">
        <v>89</v>
      </c>
      <c r="D165" s="20" t="s">
        <v>90</v>
      </c>
      <c r="E165" s="20" t="s">
        <v>91</v>
      </c>
      <c r="F165" s="20" t="s">
        <v>90</v>
      </c>
      <c r="G165" s="20" t="s">
        <v>92</v>
      </c>
      <c r="H165" s="20" t="s">
        <v>9</v>
      </c>
      <c r="I165" s="20" t="s">
        <v>107</v>
      </c>
      <c r="J165" s="20" t="s">
        <v>94</v>
      </c>
      <c r="K165" s="20" t="s">
        <v>108</v>
      </c>
      <c r="L165" s="20">
        <v>1663.1099999999899</v>
      </c>
      <c r="M165" s="20">
        <v>6.6647595975018806E-2</v>
      </c>
      <c r="N165" s="20">
        <v>0.309148293753995</v>
      </c>
      <c r="O165" s="20">
        <v>1389.5</v>
      </c>
      <c r="P165" s="20">
        <v>988.78817699699403</v>
      </c>
      <c r="Q165" s="20">
        <v>499.623289969231</v>
      </c>
      <c r="R165" s="20">
        <v>791.96156853290995</v>
      </c>
      <c r="S165" s="20">
        <v>2127.4894292214699</v>
      </c>
      <c r="T165" s="20">
        <v>15</v>
      </c>
      <c r="U165" s="20">
        <v>0.2</v>
      </c>
      <c r="V165" s="20">
        <v>17405.064829381801</v>
      </c>
      <c r="W165" s="20">
        <v>36761.5453377089</v>
      </c>
      <c r="X165" s="20">
        <v>57916.319043951698</v>
      </c>
      <c r="Y165" s="20">
        <v>80771.393584657897</v>
      </c>
      <c r="Z165" s="20">
        <v>105245.315662564</v>
      </c>
      <c r="AA165" s="20">
        <v>131199.24477357499</v>
      </c>
      <c r="AB165" s="20">
        <v>158698.683643047</v>
      </c>
      <c r="AC165" s="20">
        <v>187876.970267005</v>
      </c>
      <c r="AD165" s="20">
        <v>218889.53790320401</v>
      </c>
      <c r="AE165" s="20">
        <v>251904.183824796</v>
      </c>
      <c r="AF165" t="str">
        <f t="shared" si="9"/>
        <v>Residential</v>
      </c>
      <c r="AG165" t="str">
        <f>tbl_Data_old[[#This Row],[All_Meas_Name_Append]]</f>
        <v>Heat Pump Water Heater 50 Gallons- CEE Advanced Tier</v>
      </c>
      <c r="AH165">
        <f>AVERAGEIFS('3. Incentive Adjustment'!G:G,'3. Incentive Adjustment'!A:A,tbl_Data_old[[#This Row],[Trimmed Sector]],'3. Incentive Adjustment'!B:B,tbl_Data_old[[#This Row],[Trimmed Measure Name]])</f>
        <v>0.46049099596140497</v>
      </c>
      <c r="AI165">
        <f>$AH165*tbl_Data_old[[#This Row],[2025 ]]</f>
        <v>8014.8756380548466</v>
      </c>
      <c r="AJ165">
        <f>$AH165*tbl_Data_old[[#This Row],[2026 ]]</f>
        <v>16928.360625641915</v>
      </c>
      <c r="AK165">
        <f>$AH165*tbl_Data_old[[#This Row],[2027 ]]</f>
        <v>26669.943438967803</v>
      </c>
      <c r="AL165">
        <f>$AH165*tbl_Data_old[[#This Row],[2028 ]]</f>
        <v>37194.499476989753</v>
      </c>
      <c r="AM165">
        <f>$AH165*tbl_Data_old[[#This Row],[2029 ]]</f>
        <v>48464.52022972655</v>
      </c>
      <c r="AN165">
        <f>$AH165*tbl_Data_old[[#This Row],[2030 ]]</f>
        <v>60416.070895167701</v>
      </c>
      <c r="AO165">
        <f>$AH165*tbl_Data_old[[#This Row],[2031 ]]</f>
        <v>73079.314888550638</v>
      </c>
      <c r="AP165">
        <f>$AH165*tbl_Data_old[[#This Row],[2032 ]]</f>
        <v>86515.653156464396</v>
      </c>
      <c r="AQ165">
        <f>$AH165*tbl_Data_old[[#This Row],[2033 ]]</f>
        <v>100796.66131457812</v>
      </c>
      <c r="AR165">
        <f>$AH165*tbl_Data_old[[#This Row],[2034 ]]</f>
        <v>115999.60849632515</v>
      </c>
      <c r="AS165">
        <f>SUM(tbl_Data_old[[#This Row],[Adjusted 2025]:[Adjusted 2034]])</f>
        <v>574079.50816046679</v>
      </c>
      <c r="AT165" s="3">
        <f>AVERAGEIFS('3. Incentive Adjustment'!F:F,'3. Incentive Adjustment'!A:A,tbl_Data_old[[#This Row],[Trimmed Sector]],'3. Incentive Adjustment'!B:B,tbl_Data_old[[#This Row],[Trimmed Measure Name]])</f>
        <v>500</v>
      </c>
      <c r="AU165" s="3">
        <f>IFERROR(VLOOKUP(tbl_Data_old[[#This Row],[All_Meas_Name_Append]],'IRA Tax Credits'!$A$3:$D$46,4,0),0)</f>
        <v>1666.6666666666667</v>
      </c>
      <c r="AV165" s="4">
        <f>tbl_Data_old[[#This Row],[Adj. per unit Incentive ($)]]/tbl_Data_old[[#This Row],[kWh Savings]]*tbl_Data_old[[#This Row],[Sum of Annuals]]</f>
        <v>172592.16412638681</v>
      </c>
      <c r="AW165" s="4">
        <f>IFERROR(VLOOKUP(tbl_Data_old[[#This Row],[All_Programs]],'1. Set Program Names'!$B$2:$D$15,3,0)*tbl_Data_old[[#This Row],[Sum of Annuals]],"")</f>
        <v>258693.19459120391</v>
      </c>
      <c r="AX165" s="4">
        <f>tbl_Data_old[[#This Row],[per unit IRA tax ($)]]/tbl_Data_old[[#This Row],[kWh Savings]]*tbl_Data_old[[#This Row],[Sum of Annuals]]</f>
        <v>575307.21375462273</v>
      </c>
      <c r="AY165" s="4">
        <f>tbl_Data_old[[#This Row],[Avoided Costs ($/unit)]]/tbl_Data_old[[#This Row],[kWh Savings]]*tbl_Data_old[[#This Row],[Sum of Annuals]]</f>
        <v>273372.72203604545</v>
      </c>
      <c r="AZ165" s="4">
        <f>tbl_Data_old[[#This Row],[Lost Revenue ($/unit)]]/tbl_Data_old[[#This Row],[kWh Savings]]*tbl_Data_old[[#This Row],[Sum of Annuals]]</f>
        <v>734376.00949068973</v>
      </c>
      <c r="BA165" s="4">
        <f>tbl_Data_old[[#This Row],[Incremental Cost ($/unit)]]/tbl_Data_old[[#This Row],[kWh Savings]]*tbl_Data_old[[#This Row],[Sum of Annuals]]</f>
        <v>479633.62410722888</v>
      </c>
      <c r="BB165">
        <f>ROUNDUP(tbl_Data_old[[#This Row],[Adjusted 2025]]/$L165,0)</f>
        <v>5</v>
      </c>
      <c r="BC165">
        <f>ROUNDUP(tbl_Data_old[[#This Row],[Adjusted 2026]]/$L165,0)</f>
        <v>11</v>
      </c>
      <c r="BD165">
        <f>ROUNDUP(tbl_Data_old[[#This Row],[Adjusted 2027]]/$L165,0)</f>
        <v>17</v>
      </c>
      <c r="BE165">
        <f>ROUNDUP(tbl_Data_old[[#This Row],[Adjusted 2028]]/$L165,0)</f>
        <v>23</v>
      </c>
      <c r="BF165">
        <f>ROUNDUP(tbl_Data_old[[#This Row],[Adjusted 2029]]/$L165,0)</f>
        <v>30</v>
      </c>
      <c r="BG165">
        <f>ROUNDUP(tbl_Data_old[[#This Row],[Adjusted 2030]]/$L165,0)</f>
        <v>37</v>
      </c>
      <c r="BH165">
        <f>ROUNDUP(tbl_Data_old[[#This Row],[Adjusted 2031]]/$L165,0)</f>
        <v>44</v>
      </c>
      <c r="BI165">
        <f>ROUNDUP(tbl_Data_old[[#This Row],[Adjusted 2032]]/$L165,0)</f>
        <v>53</v>
      </c>
      <c r="BJ165">
        <f>ROUNDUP(tbl_Data_old[[#This Row],[Adjusted 2033]]/$L165,0)</f>
        <v>61</v>
      </c>
      <c r="BK165">
        <f>ROUNDUP(tbl_Data_old[[#This Row],[Adjusted 2034]]/$L165,0)</f>
        <v>70</v>
      </c>
      <c r="BL165" s="3">
        <f t="shared" si="12"/>
        <v>5232.6860007401519</v>
      </c>
      <c r="BM165" s="3">
        <f t="shared" si="12"/>
        <v>11052.048673181307</v>
      </c>
      <c r="BN165" s="3">
        <f t="shared" si="12"/>
        <v>17412.053034360943</v>
      </c>
      <c r="BO165" s="3">
        <f t="shared" si="12"/>
        <v>24283.238506370111</v>
      </c>
      <c r="BP165" s="3">
        <f t="shared" si="12"/>
        <v>31641.116842110456</v>
      </c>
      <c r="BQ165" s="3">
        <f t="shared" si="11"/>
        <v>39443.946814575043</v>
      </c>
      <c r="BR165" s="3">
        <f t="shared" si="11"/>
        <v>47711.421265895813</v>
      </c>
      <c r="BS165" s="3">
        <f t="shared" si="11"/>
        <v>56483.627140419499</v>
      </c>
      <c r="BT165" s="3">
        <f t="shared" si="11"/>
        <v>65807.294136649216</v>
      </c>
      <c r="BU165" s="3">
        <f t="shared" si="11"/>
        <v>75732.869090077482</v>
      </c>
      <c r="BV165">
        <f>VLOOKUP($H165,'1. Set Program Names'!$B$2:$D$15,3,0)*V165</f>
        <v>7843.1153851971776</v>
      </c>
      <c r="BW165">
        <f>VLOOKUP($H165,'1. Set Program Names'!$B$2:$D$15,3,0)*W165</f>
        <v>16565.582756984713</v>
      </c>
      <c r="BX165">
        <f>VLOOKUP($H165,'1. Set Program Names'!$B$2:$D$15,3,0)*X165</f>
        <v>26098.401666438371</v>
      </c>
      <c r="BY165">
        <f>VLOOKUP($H165,'1. Set Program Names'!$B$2:$D$15,3,0)*Y165</f>
        <v>36397.414540980353</v>
      </c>
      <c r="BZ165">
        <f>VLOOKUP($H165,'1. Set Program Names'!$B$2:$D$15,3,0)*Z165</f>
        <v>47425.916684868091</v>
      </c>
      <c r="CA165">
        <f>VLOOKUP($H165,'1. Set Program Names'!$B$2:$D$15,3,0)*AA165</f>
        <v>59121.3434306079</v>
      </c>
      <c r="CB165">
        <f>VLOOKUP($H165,'1. Set Program Names'!$B$2:$D$15,3,0)*AB165</f>
        <v>71513.211785924213</v>
      </c>
      <c r="CC165">
        <f>VLOOKUP($H165,'1. Set Program Names'!$B$2:$D$15,3,0)*AC165</f>
        <v>84661.606863875</v>
      </c>
      <c r="CD165">
        <f>VLOOKUP($H165,'1. Set Program Names'!$B$2:$D$15,3,0)*AD165</f>
        <v>98636.57040157645</v>
      </c>
      <c r="CE165">
        <f>VLOOKUP($H165,'1. Set Program Names'!$B$2:$D$15,3,0)*AE165</f>
        <v>113513.7156407805</v>
      </c>
    </row>
    <row r="166" spans="1:83" x14ac:dyDescent="0.25">
      <c r="A166" s="20" t="s">
        <v>113</v>
      </c>
      <c r="B166" s="20" t="s">
        <v>88</v>
      </c>
      <c r="C166" s="20" t="s">
        <v>89</v>
      </c>
      <c r="D166" s="20" t="s">
        <v>90</v>
      </c>
      <c r="E166" s="20" t="s">
        <v>91</v>
      </c>
      <c r="F166" s="20" t="s">
        <v>90</v>
      </c>
      <c r="G166" s="20" t="s">
        <v>92</v>
      </c>
      <c r="H166" s="20" t="s">
        <v>9</v>
      </c>
      <c r="I166" s="20" t="s">
        <v>109</v>
      </c>
      <c r="J166" s="20" t="s">
        <v>94</v>
      </c>
      <c r="K166" s="20" t="s">
        <v>95</v>
      </c>
      <c r="L166" s="20">
        <v>1590.11499999999</v>
      </c>
      <c r="M166" s="20">
        <v>6.3722388822036402E-2</v>
      </c>
      <c r="N166" s="20">
        <v>0.29557957027655002</v>
      </c>
      <c r="O166" s="20">
        <v>1389.5</v>
      </c>
      <c r="P166" s="20">
        <v>1006.47372867305</v>
      </c>
      <c r="Q166" s="20">
        <v>477.694492685044</v>
      </c>
      <c r="R166" s="20">
        <v>757.20185047754296</v>
      </c>
      <c r="S166" s="20">
        <v>2034.1125083407001</v>
      </c>
      <c r="T166" s="20">
        <v>15</v>
      </c>
      <c r="U166" s="20">
        <v>0.2</v>
      </c>
      <c r="V166" s="20">
        <v>24873.105334489199</v>
      </c>
      <c r="W166" s="20">
        <v>52523.584217183699</v>
      </c>
      <c r="X166" s="20">
        <v>82731.767029020702</v>
      </c>
      <c r="Y166" s="20">
        <v>115357.146203536</v>
      </c>
      <c r="Z166" s="20">
        <v>150283.12885681901</v>
      </c>
      <c r="AA166" s="20">
        <v>187311.48357851</v>
      </c>
      <c r="AB166" s="20">
        <v>226535.69238118001</v>
      </c>
      <c r="AC166" s="20">
        <v>268145.98701123398</v>
      </c>
      <c r="AD166" s="20">
        <v>312364.058411645</v>
      </c>
      <c r="AE166" s="20">
        <v>359429.17300135101</v>
      </c>
      <c r="AF166" t="str">
        <f t="shared" si="9"/>
        <v>Residential</v>
      </c>
      <c r="AG166" t="str">
        <f>tbl_Data_old[[#This Row],[All_Meas_Name_Append]]</f>
        <v>Heat Pump Water Heater 50 Gallons-ENERGY STAR</v>
      </c>
      <c r="AH166">
        <f>AVERAGEIFS('3. Incentive Adjustment'!G:G,'3. Incentive Adjustment'!A:A,tbl_Data_old[[#This Row],[Trimmed Sector]],'3. Incentive Adjustment'!B:B,tbl_Data_old[[#This Row],[Trimmed Measure Name]])</f>
        <v>0.43153525594917136</v>
      </c>
      <c r="AI166">
        <f>$AH166*tbl_Data_old[[#This Row],[2025 ]]</f>
        <v>10733.621876769495</v>
      </c>
      <c r="AJ166">
        <f>$AH166*tbl_Data_old[[#This Row],[2026 ]]</f>
        <v>22665.778358530224</v>
      </c>
      <c r="AK166">
        <f>$AH166*tbl_Data_old[[#This Row],[2027 ]]</f>
        <v>35701.674259995663</v>
      </c>
      <c r="AL166">
        <f>$AH166*tbl_Data_old[[#This Row],[2028 ]]</f>
        <v>49780.675612508887</v>
      </c>
      <c r="AM166">
        <f>$AH166*tbl_Data_old[[#This Row],[2029 ]]</f>
        <v>64852.468476069691</v>
      </c>
      <c r="AN166">
        <f>$AH166*tbl_Data_old[[#This Row],[2030 ]]</f>
        <v>80831.509008271314</v>
      </c>
      <c r="AO166">
        <f>$AH166*tbl_Data_old[[#This Row],[2031 ]]</f>
        <v>97758.137993335258</v>
      </c>
      <c r="AP166">
        <f>$AH166*tbl_Data_old[[#This Row],[2032 ]]</f>
        <v>115714.44713663604</v>
      </c>
      <c r="AQ166">
        <f>$AH166*tbl_Data_old[[#This Row],[2033 ]]</f>
        <v>134796.10389599114</v>
      </c>
      <c r="AR166">
        <f>$AH166*tbl_Data_old[[#This Row],[2034 ]]</f>
        <v>155106.36016673699</v>
      </c>
      <c r="AS166">
        <f>SUM(tbl_Data_old[[#This Row],[Adjusted 2025]:[Adjusted 2034]])</f>
        <v>767940.7767848447</v>
      </c>
      <c r="AT166" s="3">
        <f>AVERAGEIFS('3. Incentive Adjustment'!F:F,'3. Incentive Adjustment'!A:A,tbl_Data_old[[#This Row],[Trimmed Sector]],'3. Incentive Adjustment'!B:B,tbl_Data_old[[#This Row],[Trimmed Measure Name]])</f>
        <v>500</v>
      </c>
      <c r="AU166" s="3">
        <f>IFERROR(VLOOKUP(tbl_Data_old[[#This Row],[All_Meas_Name_Append]],'IRA Tax Credits'!$A$3:$D$46,4,0),0)</f>
        <v>1666.6666666666667</v>
      </c>
      <c r="AV166" s="4">
        <f>tbl_Data_old[[#This Row],[Adj. per unit Incentive ($)]]/tbl_Data_old[[#This Row],[kWh Savings]]*tbl_Data_old[[#This Row],[Sum of Annuals]]</f>
        <v>241473.34525642783</v>
      </c>
      <c r="AW166" s="4">
        <f>IFERROR(VLOOKUP(tbl_Data_old[[#This Row],[All_Programs]],'1. Set Program Names'!$B$2:$D$15,3,0)*tbl_Data_old[[#This Row],[Sum of Annuals]],"")</f>
        <v>346051.46147768846</v>
      </c>
      <c r="AX166" s="4">
        <f>tbl_Data_old[[#This Row],[per unit IRA tax ($)]]/tbl_Data_old[[#This Row],[kWh Savings]]*tbl_Data_old[[#This Row],[Sum of Annuals]]</f>
        <v>804911.1508547595</v>
      </c>
      <c r="AY166" s="4">
        <f>tbl_Data_old[[#This Row],[Avoided Costs ($/unit)]]/tbl_Data_old[[#This Row],[kWh Savings]]*tbl_Data_old[[#This Row],[Sum of Annuals]]</f>
        <v>365688.12773833959</v>
      </c>
      <c r="AZ166" s="4">
        <f>tbl_Data_old[[#This Row],[Lost Revenue ($/unit)]]/tbl_Data_old[[#This Row],[kWh Savings]]*tbl_Data_old[[#This Row],[Sum of Annuals]]</f>
        <v>982367.90403394471</v>
      </c>
      <c r="BA166" s="4">
        <f>tbl_Data_old[[#This Row],[Incremental Cost ($/unit)]]/tbl_Data_old[[#This Row],[kWh Savings]]*tbl_Data_old[[#This Row],[Sum of Annuals]]</f>
        <v>671054.42646761297</v>
      </c>
      <c r="BB166">
        <f>ROUNDUP(tbl_Data_old[[#This Row],[Adjusted 2025]]/$L166,0)</f>
        <v>7</v>
      </c>
      <c r="BC166">
        <f>ROUNDUP(tbl_Data_old[[#This Row],[Adjusted 2026]]/$L166,0)</f>
        <v>15</v>
      </c>
      <c r="BD166">
        <f>ROUNDUP(tbl_Data_old[[#This Row],[Adjusted 2027]]/$L166,0)</f>
        <v>23</v>
      </c>
      <c r="BE166">
        <f>ROUNDUP(tbl_Data_old[[#This Row],[Adjusted 2028]]/$L166,0)</f>
        <v>32</v>
      </c>
      <c r="BF166">
        <f>ROUNDUP(tbl_Data_old[[#This Row],[Adjusted 2029]]/$L166,0)</f>
        <v>41</v>
      </c>
      <c r="BG166">
        <f>ROUNDUP(tbl_Data_old[[#This Row],[Adjusted 2030]]/$L166,0)</f>
        <v>51</v>
      </c>
      <c r="BH166">
        <f>ROUNDUP(tbl_Data_old[[#This Row],[Adjusted 2031]]/$L166,0)</f>
        <v>62</v>
      </c>
      <c r="BI166">
        <f>ROUNDUP(tbl_Data_old[[#This Row],[Adjusted 2032]]/$L166,0)</f>
        <v>73</v>
      </c>
      <c r="BJ166">
        <f>ROUNDUP(tbl_Data_old[[#This Row],[Adjusted 2033]]/$L166,0)</f>
        <v>85</v>
      </c>
      <c r="BK166">
        <f>ROUNDUP(tbl_Data_old[[#This Row],[Adjusted 2034]]/$L166,0)</f>
        <v>98</v>
      </c>
      <c r="BL166" s="3">
        <f t="shared" si="12"/>
        <v>7821.1655554753443</v>
      </c>
      <c r="BM166" s="3">
        <f t="shared" si="12"/>
        <v>16515.655854194203</v>
      </c>
      <c r="BN166" s="3">
        <f t="shared" si="12"/>
        <v>26014.397395478067</v>
      </c>
      <c r="BO166" s="3">
        <f t="shared" si="12"/>
        <v>36273.208605521213</v>
      </c>
      <c r="BP166" s="3">
        <f t="shared" si="12"/>
        <v>47255.427707058901</v>
      </c>
      <c r="BQ166" s="3">
        <f t="shared" si="11"/>
        <v>58898.722286913573</v>
      </c>
      <c r="BR166" s="3">
        <f t="shared" si="11"/>
        <v>71232.487078350125</v>
      </c>
      <c r="BS166" s="3">
        <f t="shared" si="11"/>
        <v>84316.539058884315</v>
      </c>
      <c r="BT166" s="3">
        <f t="shared" si="11"/>
        <v>98220.587319674029</v>
      </c>
      <c r="BU166" s="3">
        <f t="shared" si="11"/>
        <v>113019.86743139749</v>
      </c>
      <c r="BV166">
        <f>VLOOKUP($H166,'1. Set Program Names'!$B$2:$D$15,3,0)*V166</f>
        <v>11208.383136685577</v>
      </c>
      <c r="BW166">
        <f>VLOOKUP($H166,'1. Set Program Names'!$B$2:$D$15,3,0)*W166</f>
        <v>23668.313533890174</v>
      </c>
      <c r="BX166">
        <f>VLOOKUP($H166,'1. Set Program Names'!$B$2:$D$15,3,0)*X166</f>
        <v>37280.803099019991</v>
      </c>
      <c r="BY166">
        <f>VLOOKUP($H166,'1. Set Program Names'!$B$2:$D$15,3,0)*Y166</f>
        <v>51982.535948619559</v>
      </c>
      <c r="BZ166">
        <f>VLOOKUP($H166,'1. Set Program Names'!$B$2:$D$15,3,0)*Z166</f>
        <v>67720.972695414661</v>
      </c>
      <c r="CA166">
        <f>VLOOKUP($H166,'1. Set Program Names'!$B$2:$D$15,3,0)*AA166</f>
        <v>84406.78578793323</v>
      </c>
      <c r="CB166">
        <f>VLOOKUP($H166,'1. Set Program Names'!$B$2:$D$15,3,0)*AB166</f>
        <v>102082.100332759</v>
      </c>
      <c r="CC166">
        <f>VLOOKUP($H166,'1. Set Program Names'!$B$2:$D$15,3,0)*AC166</f>
        <v>120832.63905207702</v>
      </c>
      <c r="CD166">
        <f>VLOOKUP($H166,'1. Set Program Names'!$B$2:$D$15,3,0)*AD166</f>
        <v>140758.30089269593</v>
      </c>
      <c r="CE166">
        <f>VLOOKUP($H166,'1. Set Program Names'!$B$2:$D$15,3,0)*AE166</f>
        <v>161966.90470791666</v>
      </c>
    </row>
    <row r="167" spans="1:83" x14ac:dyDescent="0.25">
      <c r="A167" s="20" t="s">
        <v>113</v>
      </c>
      <c r="B167" s="20" t="s">
        <v>88</v>
      </c>
      <c r="C167" s="20" t="s">
        <v>89</v>
      </c>
      <c r="D167" s="20" t="s">
        <v>90</v>
      </c>
      <c r="E167" s="20" t="s">
        <v>91</v>
      </c>
      <c r="F167" s="20" t="s">
        <v>90</v>
      </c>
      <c r="G167" s="20" t="s">
        <v>92</v>
      </c>
      <c r="H167" s="20" t="s">
        <v>9</v>
      </c>
      <c r="I167" s="20" t="s">
        <v>110</v>
      </c>
      <c r="J167" s="20" t="s">
        <v>94</v>
      </c>
      <c r="K167" s="20" t="s">
        <v>108</v>
      </c>
      <c r="L167" s="20">
        <v>461.909999999999</v>
      </c>
      <c r="M167" s="20">
        <v>1.8510616289253799E-2</v>
      </c>
      <c r="N167" s="20">
        <v>8.5862443475120898E-2</v>
      </c>
      <c r="O167" s="20">
        <v>1729.5</v>
      </c>
      <c r="P167" s="20">
        <v>1631.9996867488601</v>
      </c>
      <c r="Q167" s="20">
        <v>138.764720234794</v>
      </c>
      <c r="R167" s="20">
        <v>219.958372038552</v>
      </c>
      <c r="S167" s="20">
        <v>590.88613636602201</v>
      </c>
      <c r="T167" s="20">
        <v>15</v>
      </c>
      <c r="U167" s="20">
        <v>0.2</v>
      </c>
      <c r="V167" s="20">
        <v>13379.830382087501</v>
      </c>
      <c r="W167" s="20">
        <v>28262.409462898398</v>
      </c>
      <c r="X167" s="20">
        <v>44530.202670198298</v>
      </c>
      <c r="Y167" s="20">
        <v>62107.965385449803</v>
      </c>
      <c r="Z167" s="20">
        <v>80933.100833322998</v>
      </c>
      <c r="AA167" s="20">
        <v>100898.81072834</v>
      </c>
      <c r="AB167" s="20">
        <v>122055.452237527</v>
      </c>
      <c r="AC167" s="20">
        <v>144505.57273232401</v>
      </c>
      <c r="AD167" s="20">
        <v>168368.730515581</v>
      </c>
      <c r="AE167" s="20">
        <v>193774.00874042101</v>
      </c>
      <c r="AF167" t="str">
        <f t="shared" si="9"/>
        <v>Residential</v>
      </c>
      <c r="AG167" t="str">
        <f>tbl_Data_old[[#This Row],[All_Meas_Name_Append]]</f>
        <v>Heat Pump Water Heater 80 Gallons-ENERGY STAR</v>
      </c>
      <c r="AH167">
        <f>AVERAGEIFS('3. Incentive Adjustment'!G:G,'3. Incentive Adjustment'!A:A,tbl_Data_old[[#This Row],[Trimmed Sector]],'3. Incentive Adjustment'!B:B,tbl_Data_old[[#This Row],[Trimmed Measure Name]])</f>
        <v>1.5551101216712928E-3</v>
      </c>
      <c r="AI167">
        <f>$AH167*tbl_Data_old[[#This Row],[2025 ]]</f>
        <v>20.807109653429354</v>
      </c>
      <c r="AJ167">
        <f>$AH167*tbl_Data_old[[#This Row],[2026 ]]</f>
        <v>43.951159018571822</v>
      </c>
      <c r="AK167">
        <f>$AH167*tbl_Data_old[[#This Row],[2027 ]]</f>
        <v>69.249368892499405</v>
      </c>
      <c r="AL167">
        <f>$AH167*tbl_Data_old[[#This Row],[2028 ]]</f>
        <v>96.584725607323278</v>
      </c>
      <c r="AM167">
        <f>$AH167*tbl_Data_old[[#This Row],[2029 ]]</f>
        <v>125.85988428414393</v>
      </c>
      <c r="AN167">
        <f>$AH167*tbl_Data_old[[#This Row],[2030 ]]</f>
        <v>156.90876182823757</v>
      </c>
      <c r="AO167">
        <f>$AH167*tbl_Data_old[[#This Row],[2031 ]]</f>
        <v>189.80966917974527</v>
      </c>
      <c r="AP167">
        <f>$AH167*tbl_Data_old[[#This Row],[2032 ]]</f>
        <v>224.72207879394423</v>
      </c>
      <c r="AQ167">
        <f>$AH167*tbl_Data_old[[#This Row],[2033 ]]</f>
        <v>261.8319169977263</v>
      </c>
      <c r="AR167">
        <f>$AH167*tbl_Data_old[[#This Row],[2034 ]]</f>
        <v>301.33992230905028</v>
      </c>
      <c r="AS167">
        <f>SUM(tbl_Data_old[[#This Row],[Adjusted 2025]:[Adjusted 2034]])</f>
        <v>1491.0645965646715</v>
      </c>
      <c r="AT167" s="3">
        <f>AVERAGEIFS('3. Incentive Adjustment'!F:F,'3. Incentive Adjustment'!A:A,tbl_Data_old[[#This Row],[Trimmed Sector]],'3. Incentive Adjustment'!B:B,tbl_Data_old[[#This Row],[Trimmed Measure Name]])</f>
        <v>500</v>
      </c>
      <c r="AU167" s="3">
        <f>IFERROR(VLOOKUP(tbl_Data_old[[#This Row],[All_Meas_Name_Append]],'IRA Tax Credits'!$A$3:$D$46,4,0),0)</f>
        <v>1666.6666666666667</v>
      </c>
      <c r="AV167" s="4">
        <f>tbl_Data_old[[#This Row],[Adj. per unit Incentive ($)]]/tbl_Data_old[[#This Row],[kWh Savings]]*tbl_Data_old[[#This Row],[Sum of Annuals]]</f>
        <v>1614.0206929539033</v>
      </c>
      <c r="AW167" s="4">
        <f>IFERROR(VLOOKUP(tbl_Data_old[[#This Row],[All_Programs]],'1. Set Program Names'!$B$2:$D$15,3,0)*tbl_Data_old[[#This Row],[Sum of Annuals]],"")</f>
        <v>671.90738973274892</v>
      </c>
      <c r="AX167" s="4">
        <f>tbl_Data_old[[#This Row],[per unit IRA tax ($)]]/tbl_Data_old[[#This Row],[kWh Savings]]*tbl_Data_old[[#This Row],[Sum of Annuals]]</f>
        <v>5380.068976513011</v>
      </c>
      <c r="AY167" s="4">
        <f>tbl_Data_old[[#This Row],[Avoided Costs ($/unit)]]/tbl_Data_old[[#This Row],[kWh Savings]]*tbl_Data_old[[#This Row],[Sum of Annuals]]</f>
        <v>710.0347281173523</v>
      </c>
      <c r="AZ167" s="4">
        <f>tbl_Data_old[[#This Row],[Lost Revenue ($/unit)]]/tbl_Data_old[[#This Row],[kWh Savings]]*tbl_Data_old[[#This Row],[Sum of Annuals]]</f>
        <v>1907.4049025486827</v>
      </c>
      <c r="BA167" s="4">
        <f>tbl_Data_old[[#This Row],[Incremental Cost ($/unit)]]/tbl_Data_old[[#This Row],[kWh Savings]]*tbl_Data_old[[#This Row],[Sum of Annuals]]</f>
        <v>5582.8975769275503</v>
      </c>
      <c r="BB167">
        <f>ROUNDUP(tbl_Data_old[[#This Row],[Adjusted 2025]]/$L167,0)</f>
        <v>1</v>
      </c>
      <c r="BC167">
        <f>ROUNDUP(tbl_Data_old[[#This Row],[Adjusted 2026]]/$L167,0)</f>
        <v>1</v>
      </c>
      <c r="BD167">
        <f>ROUNDUP(tbl_Data_old[[#This Row],[Adjusted 2027]]/$L167,0)</f>
        <v>1</v>
      </c>
      <c r="BE167">
        <f>ROUNDUP(tbl_Data_old[[#This Row],[Adjusted 2028]]/$L167,0)</f>
        <v>1</v>
      </c>
      <c r="BF167">
        <f>ROUNDUP(tbl_Data_old[[#This Row],[Adjusted 2029]]/$L167,0)</f>
        <v>1</v>
      </c>
      <c r="BG167">
        <f>ROUNDUP(tbl_Data_old[[#This Row],[Adjusted 2030]]/$L167,0)</f>
        <v>1</v>
      </c>
      <c r="BH167">
        <f>ROUNDUP(tbl_Data_old[[#This Row],[Adjusted 2031]]/$L167,0)</f>
        <v>1</v>
      </c>
      <c r="BI167">
        <f>ROUNDUP(tbl_Data_old[[#This Row],[Adjusted 2032]]/$L167,0)</f>
        <v>1</v>
      </c>
      <c r="BJ167">
        <f>ROUNDUP(tbl_Data_old[[#This Row],[Adjusted 2033]]/$L167,0)</f>
        <v>1</v>
      </c>
      <c r="BK167">
        <f>ROUNDUP(tbl_Data_old[[#This Row],[Adjusted 2034]]/$L167,0)</f>
        <v>1</v>
      </c>
      <c r="BL167" s="3">
        <f t="shared" si="12"/>
        <v>14483.157305630459</v>
      </c>
      <c r="BM167" s="3">
        <f t="shared" si="12"/>
        <v>30592.982900238643</v>
      </c>
      <c r="BN167" s="3">
        <f t="shared" si="12"/>
        <v>48202.250081399405</v>
      </c>
      <c r="BO167" s="3">
        <f t="shared" si="12"/>
        <v>67229.509412493717</v>
      </c>
      <c r="BP167" s="3">
        <f t="shared" si="12"/>
        <v>87607.00226594269</v>
      </c>
      <c r="BQ167" s="3">
        <f t="shared" si="11"/>
        <v>109219.12356123512</v>
      </c>
      <c r="BR167" s="3">
        <f t="shared" si="11"/>
        <v>132120.38301566028</v>
      </c>
      <c r="BS167" s="3">
        <f t="shared" si="11"/>
        <v>156421.78425702447</v>
      </c>
      <c r="BT167" s="3">
        <f t="shared" si="11"/>
        <v>182252.74459914418</v>
      </c>
      <c r="BU167" s="3">
        <f t="shared" si="11"/>
        <v>209752.99164384993</v>
      </c>
      <c r="BV167">
        <f>VLOOKUP($H167,'1. Set Program Names'!$B$2:$D$15,3,0)*V167</f>
        <v>6029.2538148969588</v>
      </c>
      <c r="BW167">
        <f>VLOOKUP($H167,'1. Set Program Names'!$B$2:$D$15,3,0)*W167</f>
        <v>12735.68013989833</v>
      </c>
      <c r="BX167">
        <f>VLOOKUP($H167,'1. Set Program Names'!$B$2:$D$15,3,0)*X167</f>
        <v>20066.315241698856</v>
      </c>
      <c r="BY167">
        <f>VLOOKUP($H167,'1. Set Program Names'!$B$2:$D$15,3,0)*Y167</f>
        <v>27987.252195441364</v>
      </c>
      <c r="BZ167">
        <f>VLOOKUP($H167,'1. Set Program Names'!$B$2:$D$15,3,0)*Z167</f>
        <v>36470.283480127437</v>
      </c>
      <c r="CA167">
        <f>VLOOKUP($H167,'1. Set Program Names'!$B$2:$D$15,3,0)*AA167</f>
        <v>45467.283375792475</v>
      </c>
      <c r="CB167">
        <f>VLOOKUP($H167,'1. Set Program Names'!$B$2:$D$15,3,0)*AB167</f>
        <v>55000.943959445671</v>
      </c>
      <c r="CC167">
        <f>VLOOKUP($H167,'1. Set Program Names'!$B$2:$D$15,3,0)*AC167</f>
        <v>65117.475393159781</v>
      </c>
      <c r="CD167">
        <f>VLOOKUP($H167,'1. Set Program Names'!$B$2:$D$15,3,0)*AD167</f>
        <v>75870.753348970669</v>
      </c>
      <c r="CE167">
        <f>VLOOKUP($H167,'1. Set Program Names'!$B$2:$D$15,3,0)*AE167</f>
        <v>87318.945611609583</v>
      </c>
    </row>
    <row r="168" spans="1:83" x14ac:dyDescent="0.25">
      <c r="A168" s="20" t="s">
        <v>113</v>
      </c>
      <c r="B168" s="20" t="s">
        <v>88</v>
      </c>
      <c r="C168" s="20" t="s">
        <v>89</v>
      </c>
      <c r="D168" s="20" t="s">
        <v>90</v>
      </c>
      <c r="E168" s="20" t="s">
        <v>91</v>
      </c>
      <c r="F168" s="20" t="s">
        <v>90</v>
      </c>
      <c r="G168" s="20" t="s">
        <v>92</v>
      </c>
      <c r="H168" s="20" t="s">
        <v>9</v>
      </c>
      <c r="I168" s="20" t="s">
        <v>300</v>
      </c>
      <c r="J168" s="20" t="s">
        <v>120</v>
      </c>
      <c r="K168" s="20" t="s">
        <v>121</v>
      </c>
      <c r="L168" s="20">
        <v>1988.02171595288</v>
      </c>
      <c r="M168" s="20">
        <v>0.57653488407092901</v>
      </c>
      <c r="N168" s="20">
        <v>0.213799538654902</v>
      </c>
      <c r="O168" s="53">
        <v>1475.381509522</v>
      </c>
      <c r="P168" s="20">
        <v>647.28493209175997</v>
      </c>
      <c r="Q168" s="20">
        <v>597.23166252061401</v>
      </c>
      <c r="R168" s="20">
        <v>1282.4247459138801</v>
      </c>
      <c r="S168" s="20">
        <v>3005.0463968047102</v>
      </c>
      <c r="T168" s="20">
        <v>20</v>
      </c>
      <c r="U168" s="20">
        <v>1</v>
      </c>
      <c r="V168" s="20">
        <v>174176.96172562701</v>
      </c>
      <c r="W168" s="20">
        <v>359616.071860859</v>
      </c>
      <c r="X168" s="20">
        <v>550621.32158520899</v>
      </c>
      <c r="Y168" s="20">
        <v>746216.53416545095</v>
      </c>
      <c r="Z168" s="20">
        <v>947897.03336759098</v>
      </c>
      <c r="AA168" s="20">
        <v>1155976.97488008</v>
      </c>
      <c r="AB168" s="20">
        <v>1372761.3713969099</v>
      </c>
      <c r="AC168" s="20">
        <v>1599552.4986577299</v>
      </c>
      <c r="AD168" s="20">
        <v>1838032.9282853999</v>
      </c>
      <c r="AE168" s="20">
        <v>2089587.3906703501</v>
      </c>
      <c r="AF168" t="str">
        <f t="shared" si="9"/>
        <v>Residential</v>
      </c>
      <c r="AG168" t="str">
        <f>tbl_Data_old[[#This Row],[All_Meas_Name_Append]]</f>
        <v>New Construction - Whole Home Improvements - Tier 1</v>
      </c>
      <c r="AH168">
        <f>AVERAGEIFS('3. Incentive Adjustment'!G:G,'3. Incentive Adjustment'!A:A,tbl_Data_old[[#This Row],[Trimmed Sector]],'3. Incentive Adjustment'!B:B,tbl_Data_old[[#This Row],[Trimmed Measure Name]])</f>
        <v>0.42355026786158312</v>
      </c>
      <c r="AI168">
        <f>$AH168*tbl_Data_old[[#This Row],[2025 ]]</f>
        <v>73772.698794206037</v>
      </c>
      <c r="AJ168">
        <f>$AH168*tbl_Data_old[[#This Row],[2026 ]]</f>
        <v>152315.48356399714</v>
      </c>
      <c r="AK168">
        <f>$AH168*tbl_Data_old[[#This Row],[2027 ]]</f>
        <v>233215.80824771416</v>
      </c>
      <c r="AL168">
        <f>$AH168*tbl_Data_old[[#This Row],[2028 ]]</f>
        <v>316060.21292851894</v>
      </c>
      <c r="AM168">
        <f>$AH168*tbl_Data_old[[#This Row],[2029 ]]</f>
        <v>401482.04238804313</v>
      </c>
      <c r="AN168">
        <f>$AH168*tbl_Data_old[[#This Row],[2030 ]]</f>
        <v>489614.35735228041</v>
      </c>
      <c r="AO168">
        <f>$AH168*tbl_Data_old[[#This Row],[2031 ]]</f>
        <v>581433.44656519534</v>
      </c>
      <c r="AP168">
        <f>$AH168*tbl_Data_old[[#This Row],[2032 ]]</f>
        <v>677490.88926514611</v>
      </c>
      <c r="AQ168">
        <f>$AH168*tbl_Data_old[[#This Row],[2033 ]]</f>
        <v>778499.33911369112</v>
      </c>
      <c r="AR168">
        <f>$AH168*tbl_Data_old[[#This Row],[2034 ]]</f>
        <v>885045.29903861333</v>
      </c>
      <c r="AS168">
        <f>SUM(tbl_Data_old[[#This Row],[Adjusted 2025]:[Adjusted 2034]])</f>
        <v>4588929.577257406</v>
      </c>
      <c r="AT168" s="3">
        <f>AVERAGEIFS('3. Incentive Adjustment'!F:F,'3. Incentive Adjustment'!A:A,tbl_Data_old[[#This Row],[Trimmed Sector]],'3. Incentive Adjustment'!B:B,tbl_Data_old[[#This Row],[Trimmed Measure Name]])</f>
        <v>0</v>
      </c>
      <c r="AU168" s="3">
        <f>IFERROR(VLOOKUP(tbl_Data_old[[#This Row],[All_Meas_Name_Append]],'IRA Tax Credits'!$A$3:$D$46,4,0),0)</f>
        <v>0</v>
      </c>
      <c r="AV168" s="4">
        <f>tbl_Data_old[[#This Row],[Adj. per unit Incentive ($)]]/tbl_Data_old[[#This Row],[kWh Savings]]*tbl_Data_old[[#This Row],[Sum of Annuals]]</f>
        <v>0</v>
      </c>
      <c r="AW168" s="4">
        <f>IFERROR(VLOOKUP(tbl_Data_old[[#This Row],[All_Programs]],'1. Set Program Names'!$B$2:$D$15,3,0)*tbl_Data_old[[#This Row],[Sum of Annuals]],"")</f>
        <v>2067875.3294969657</v>
      </c>
      <c r="AX168" s="4">
        <f>tbl_Data_old[[#This Row],[per unit IRA tax ($)]]/tbl_Data_old[[#This Row],[kWh Savings]]*tbl_Data_old[[#This Row],[Sum of Annuals]]</f>
        <v>0</v>
      </c>
      <c r="AY168" s="4">
        <f>tbl_Data_old[[#This Row],[Avoided Costs ($/unit)]]/tbl_Data_old[[#This Row],[kWh Savings]]*tbl_Data_old[[#This Row],[Sum of Annuals]]</f>
        <v>2960207.5268631033</v>
      </c>
      <c r="AZ168" s="4">
        <f>tbl_Data_old[[#This Row],[Lost Revenue ($/unit)]]/tbl_Data_old[[#This Row],[kWh Savings]]*tbl_Data_old[[#This Row],[Sum of Annuals]]</f>
        <v>6936516.9307108205</v>
      </c>
      <c r="BA168" s="4">
        <f>tbl_Data_old[[#This Row],[Incremental Cost ($/unit)]]/tbl_Data_old[[#This Row],[kWh Savings]]*tbl_Data_old[[#This Row],[Sum of Annuals]]</f>
        <v>3405607.5909306905</v>
      </c>
      <c r="BB168">
        <f>ROUNDUP(tbl_Data_old[[#This Row],[Adjusted 2025]]/$L168,0)</f>
        <v>38</v>
      </c>
      <c r="BC168">
        <f>ROUNDUP(tbl_Data_old[[#This Row],[Adjusted 2026]]/$L168,0)</f>
        <v>77</v>
      </c>
      <c r="BD168">
        <f>ROUNDUP(tbl_Data_old[[#This Row],[Adjusted 2027]]/$L168,0)</f>
        <v>118</v>
      </c>
      <c r="BE168">
        <f>ROUNDUP(tbl_Data_old[[#This Row],[Adjusted 2028]]/$L168,0)</f>
        <v>159</v>
      </c>
      <c r="BF168">
        <f>ROUNDUP(tbl_Data_old[[#This Row],[Adjusted 2029]]/$L168,0)</f>
        <v>202</v>
      </c>
      <c r="BG168">
        <f>ROUNDUP(tbl_Data_old[[#This Row],[Adjusted 2030]]/$L168,0)</f>
        <v>247</v>
      </c>
      <c r="BH168">
        <f>ROUNDUP(tbl_Data_old[[#This Row],[Adjusted 2031]]/$L168,0)</f>
        <v>293</v>
      </c>
      <c r="BI168">
        <f>ROUNDUP(tbl_Data_old[[#This Row],[Adjusted 2032]]/$L168,0)</f>
        <v>341</v>
      </c>
      <c r="BJ168">
        <f>ROUNDUP(tbl_Data_old[[#This Row],[Adjusted 2033]]/$L168,0)</f>
        <v>392</v>
      </c>
      <c r="BK168">
        <f>ROUNDUP(tbl_Data_old[[#This Row],[Adjusted 2034]]/$L168,0)</f>
        <v>446</v>
      </c>
      <c r="BL168" s="3">
        <f t="shared" si="12"/>
        <v>0</v>
      </c>
      <c r="BM168" s="3">
        <f t="shared" si="12"/>
        <v>0</v>
      </c>
      <c r="BN168" s="3">
        <f t="shared" si="12"/>
        <v>0</v>
      </c>
      <c r="BO168" s="3">
        <f t="shared" si="12"/>
        <v>0</v>
      </c>
      <c r="BP168" s="3">
        <f t="shared" si="12"/>
        <v>0</v>
      </c>
      <c r="BQ168" s="3">
        <f t="shared" si="11"/>
        <v>0</v>
      </c>
      <c r="BR168" s="3">
        <f t="shared" si="11"/>
        <v>0</v>
      </c>
      <c r="BS168" s="3">
        <f t="shared" si="11"/>
        <v>0</v>
      </c>
      <c r="BT168" s="3">
        <f t="shared" si="11"/>
        <v>0</v>
      </c>
      <c r="BU168" s="3">
        <f t="shared" si="11"/>
        <v>0</v>
      </c>
      <c r="BV168">
        <f>VLOOKUP($H168,'1. Set Program Names'!$B$2:$D$15,3,0)*V168</f>
        <v>78488.073537712087</v>
      </c>
      <c r="BW168">
        <f>VLOOKUP($H168,'1. Set Program Names'!$B$2:$D$15,3,0)*W168</f>
        <v>162051.12555597743</v>
      </c>
      <c r="BX168">
        <f>VLOOKUP($H168,'1. Set Program Names'!$B$2:$D$15,3,0)*X168</f>
        <v>248122.40580984636</v>
      </c>
      <c r="BY168">
        <f>VLOOKUP($H168,'1. Set Program Names'!$B$2:$D$15,3,0)*Y168</f>
        <v>336262.02701190632</v>
      </c>
      <c r="BZ168">
        <f>VLOOKUP($H168,'1. Set Program Names'!$B$2:$D$15,3,0)*Z168</f>
        <v>427143.81582985318</v>
      </c>
      <c r="CA168">
        <f>VLOOKUP($H168,'1. Set Program Names'!$B$2:$D$15,3,0)*AA168</f>
        <v>520909.33791354753</v>
      </c>
      <c r="CB168">
        <f>VLOOKUP($H168,'1. Set Program Names'!$B$2:$D$15,3,0)*AB168</f>
        <v>618597.28405216732</v>
      </c>
      <c r="CC168">
        <f>VLOOKUP($H168,'1. Set Program Names'!$B$2:$D$15,3,0)*AC168</f>
        <v>720794.4891118583</v>
      </c>
      <c r="CD168">
        <f>VLOOKUP($H168,'1. Set Program Names'!$B$2:$D$15,3,0)*AD168</f>
        <v>828259.15787446511</v>
      </c>
      <c r="CE168">
        <f>VLOOKUP($H168,'1. Set Program Names'!$B$2:$D$15,3,0)*AE168</f>
        <v>941615.28113439109</v>
      </c>
    </row>
    <row r="169" spans="1:83" x14ac:dyDescent="0.25">
      <c r="A169" s="20" t="s">
        <v>113</v>
      </c>
      <c r="B169" s="20" t="s">
        <v>88</v>
      </c>
      <c r="C169" s="20" t="s">
        <v>89</v>
      </c>
      <c r="D169" s="20" t="s">
        <v>90</v>
      </c>
      <c r="E169" s="20" t="s">
        <v>91</v>
      </c>
      <c r="F169" s="20" t="s">
        <v>90</v>
      </c>
      <c r="G169" s="20" t="s">
        <v>92</v>
      </c>
      <c r="H169" s="20" t="s">
        <v>9</v>
      </c>
      <c r="I169" s="20" t="s">
        <v>119</v>
      </c>
      <c r="J169" s="20" t="s">
        <v>120</v>
      </c>
      <c r="K169" s="20" t="s">
        <v>121</v>
      </c>
      <c r="L169" s="20">
        <v>6673.4968833372895</v>
      </c>
      <c r="M169" s="20">
        <v>1.73762506704112</v>
      </c>
      <c r="N169" s="20">
        <v>0.78936762832777396</v>
      </c>
      <c r="O169" s="20">
        <v>2151.0039802452802</v>
      </c>
      <c r="P169" s="20">
        <v>549.54451231238204</v>
      </c>
      <c r="Q169" s="20">
        <v>2004.8189647422</v>
      </c>
      <c r="R169" s="20">
        <v>4267.3988807063497</v>
      </c>
      <c r="S169" s="20">
        <v>10087.499347937401</v>
      </c>
      <c r="T169" s="20">
        <v>20</v>
      </c>
      <c r="U169" s="20">
        <v>1</v>
      </c>
      <c r="V169" s="20">
        <v>294670.61931632401</v>
      </c>
      <c r="W169" s="20">
        <v>609402.75733471697</v>
      </c>
      <c r="X169" s="20">
        <v>934620.08482122805</v>
      </c>
      <c r="Y169" s="20">
        <v>1268714.51166727</v>
      </c>
      <c r="Z169" s="20">
        <v>1614295.80672754</v>
      </c>
      <c r="AA169" s="20">
        <v>1971966.3026352201</v>
      </c>
      <c r="AB169" s="20">
        <v>2345764.9674130599</v>
      </c>
      <c r="AC169" s="20">
        <v>2738032.5969740902</v>
      </c>
      <c r="AD169" s="20">
        <v>3151790.1058093398</v>
      </c>
      <c r="AE169" s="20">
        <v>3589566.6050538099</v>
      </c>
      <c r="AF169" t="str">
        <f t="shared" si="9"/>
        <v>Residential</v>
      </c>
      <c r="AG169" t="str">
        <f>tbl_Data_old[[#This Row],[All_Meas_Name_Append]]</f>
        <v>New Construction - Whole Home Improvements - Tier 2</v>
      </c>
      <c r="AH169">
        <f>AVERAGEIFS('3. Incentive Adjustment'!G:G,'3. Incentive Adjustment'!A:A,tbl_Data_old[[#This Row],[Trimmed Sector]],'3. Incentive Adjustment'!B:B,tbl_Data_old[[#This Row],[Trimmed Measure Name]])</f>
        <v>0.80470846489720416</v>
      </c>
      <c r="AI169">
        <f>$AH169*tbl_Data_old[[#This Row],[2025 ]]</f>
        <v>237123.94172034753</v>
      </c>
      <c r="AJ169">
        <f>$AH169*tbl_Data_old[[#This Row],[2026 ]]</f>
        <v>490391.55735894351</v>
      </c>
      <c r="AK169">
        <f>$AH169*tbl_Data_old[[#This Row],[2027 ]]</f>
        <v>752096.69371858519</v>
      </c>
      <c r="AL169">
        <f>$AH169*tbl_Data_old[[#This Row],[2028 ]]</f>
        <v>1020945.3070765749</v>
      </c>
      <c r="AM169">
        <f>$AH169*tbl_Data_old[[#This Row],[2029 ]]</f>
        <v>1299037.5005217125</v>
      </c>
      <c r="AN169">
        <f>$AH169*tbl_Data_old[[#This Row],[2030 ]]</f>
        <v>1586857.9762226036</v>
      </c>
      <c r="AO169">
        <f>$AH169*tbl_Data_old[[#This Row],[2031 ]]</f>
        <v>1887656.9259366035</v>
      </c>
      <c r="AP169">
        <f>$AH169*tbl_Data_old[[#This Row],[2032 ]]</f>
        <v>2203318.0079495255</v>
      </c>
      <c r="AQ169">
        <f>$AH169*tbl_Data_old[[#This Row],[2033 ]]</f>
        <v>2536272.1777240303</v>
      </c>
      <c r="AR169">
        <f>$AH169*tbl_Data_old[[#This Row],[2034 ]]</f>
        <v>2888554.6323991199</v>
      </c>
      <c r="AS169">
        <f>SUM(tbl_Data_old[[#This Row],[Adjusted 2025]:[Adjusted 2034]])</f>
        <v>14902254.720628045</v>
      </c>
      <c r="AT169" s="3">
        <f>AVERAGEIFS('3. Incentive Adjustment'!F:F,'3. Incentive Adjustment'!A:A,tbl_Data_old[[#This Row],[Trimmed Sector]],'3. Incentive Adjustment'!B:B,tbl_Data_old[[#This Row],[Trimmed Measure Name]])</f>
        <v>0</v>
      </c>
      <c r="AU169" s="3">
        <f>IFERROR(VLOOKUP(tbl_Data_old[[#This Row],[All_Meas_Name_Append]],'IRA Tax Credits'!$A$3:$D$46,4,0),0)</f>
        <v>0</v>
      </c>
      <c r="AV169" s="4">
        <f>tbl_Data_old[[#This Row],[Adj. per unit Incentive ($)]]/tbl_Data_old[[#This Row],[kWh Savings]]*tbl_Data_old[[#This Row],[Sum of Annuals]]</f>
        <v>0</v>
      </c>
      <c r="AW169" s="4">
        <f>IFERROR(VLOOKUP(tbl_Data_old[[#This Row],[All_Programs]],'1. Set Program Names'!$B$2:$D$15,3,0)*tbl_Data_old[[#This Row],[Sum of Annuals]],"")</f>
        <v>6715292.6127673881</v>
      </c>
      <c r="AX169" s="4">
        <f>tbl_Data_old[[#This Row],[per unit IRA tax ($)]]/tbl_Data_old[[#This Row],[kWh Savings]]*tbl_Data_old[[#This Row],[Sum of Annuals]]</f>
        <v>0</v>
      </c>
      <c r="AY169" s="4">
        <f>tbl_Data_old[[#This Row],[Avoided Costs ($/unit)]]/tbl_Data_old[[#This Row],[kWh Savings]]*tbl_Data_old[[#This Row],[Sum of Annuals]]</f>
        <v>9529316.6725818478</v>
      </c>
      <c r="AZ169" s="4">
        <f>tbl_Data_old[[#This Row],[Lost Revenue ($/unit)]]/tbl_Data_old[[#This Row],[kWh Savings]]*tbl_Data_old[[#This Row],[Sum of Annuals]]</f>
        <v>22525894.205851045</v>
      </c>
      <c r="BA169" s="4">
        <f>tbl_Data_old[[#This Row],[Incremental Cost ($/unit)]]/tbl_Data_old[[#This Row],[kWh Savings]]*tbl_Data_old[[#This Row],[Sum of Annuals]]</f>
        <v>4803300.2455932731</v>
      </c>
      <c r="BB169">
        <f>ROUNDUP(tbl_Data_old[[#This Row],[Adjusted 2025]]/$L169,0)</f>
        <v>36</v>
      </c>
      <c r="BC169">
        <f>ROUNDUP(tbl_Data_old[[#This Row],[Adjusted 2026]]/$L169,0)</f>
        <v>74</v>
      </c>
      <c r="BD169">
        <f>ROUNDUP(tbl_Data_old[[#This Row],[Adjusted 2027]]/$L169,0)</f>
        <v>113</v>
      </c>
      <c r="BE169">
        <f>ROUNDUP(tbl_Data_old[[#This Row],[Adjusted 2028]]/$L169,0)</f>
        <v>153</v>
      </c>
      <c r="BF169">
        <f>ROUNDUP(tbl_Data_old[[#This Row],[Adjusted 2029]]/$L169,0)</f>
        <v>195</v>
      </c>
      <c r="BG169">
        <f>ROUNDUP(tbl_Data_old[[#This Row],[Adjusted 2030]]/$L169,0)</f>
        <v>238</v>
      </c>
      <c r="BH169">
        <f>ROUNDUP(tbl_Data_old[[#This Row],[Adjusted 2031]]/$L169,0)</f>
        <v>283</v>
      </c>
      <c r="BI169">
        <f>ROUNDUP(tbl_Data_old[[#This Row],[Adjusted 2032]]/$L169,0)</f>
        <v>331</v>
      </c>
      <c r="BJ169">
        <f>ROUNDUP(tbl_Data_old[[#This Row],[Adjusted 2033]]/$L169,0)</f>
        <v>381</v>
      </c>
      <c r="BK169">
        <f>ROUNDUP(tbl_Data_old[[#This Row],[Adjusted 2034]]/$L169,0)</f>
        <v>433</v>
      </c>
      <c r="BL169" s="3">
        <f t="shared" si="12"/>
        <v>0</v>
      </c>
      <c r="BM169" s="3">
        <f t="shared" si="12"/>
        <v>0</v>
      </c>
      <c r="BN169" s="3">
        <f t="shared" si="12"/>
        <v>0</v>
      </c>
      <c r="BO169" s="3">
        <f t="shared" si="12"/>
        <v>0</v>
      </c>
      <c r="BP169" s="3">
        <f t="shared" si="12"/>
        <v>0</v>
      </c>
      <c r="BQ169" s="3">
        <f t="shared" si="11"/>
        <v>0</v>
      </c>
      <c r="BR169" s="3">
        <f t="shared" si="11"/>
        <v>0</v>
      </c>
      <c r="BS169" s="3">
        <f t="shared" si="11"/>
        <v>0</v>
      </c>
      <c r="BT169" s="3">
        <f t="shared" si="11"/>
        <v>0</v>
      </c>
      <c r="BU169" s="3">
        <f t="shared" si="11"/>
        <v>0</v>
      </c>
      <c r="BV169">
        <f>VLOOKUP($H169,'1. Set Program Names'!$B$2:$D$15,3,0)*V169</f>
        <v>132785.23754901343</v>
      </c>
      <c r="BW169">
        <f>VLOOKUP($H169,'1. Set Program Names'!$B$2:$D$15,3,0)*W169</f>
        <v>274610.6486064301</v>
      </c>
      <c r="BX169">
        <f>VLOOKUP($H169,'1. Set Program Names'!$B$2:$D$15,3,0)*X169</f>
        <v>421160.92289419106</v>
      </c>
      <c r="BY169">
        <f>VLOOKUP($H169,'1. Set Program Names'!$B$2:$D$15,3,0)*Y169</f>
        <v>571711.41868328908</v>
      </c>
      <c r="BZ169">
        <f>VLOOKUP($H169,'1. Set Program Names'!$B$2:$D$15,3,0)*Z169</f>
        <v>727438.15677322936</v>
      </c>
      <c r="CA169">
        <f>VLOOKUP($H169,'1. Set Program Names'!$B$2:$D$15,3,0)*AA169</f>
        <v>888612.56185496366</v>
      </c>
      <c r="CB169">
        <f>VLOOKUP($H169,'1. Set Program Names'!$B$2:$D$15,3,0)*AB169</f>
        <v>1057054.6841581282</v>
      </c>
      <c r="CC169">
        <f>VLOOKUP($H169,'1. Set Program Names'!$B$2:$D$15,3,0)*AC169</f>
        <v>1233819.3391987276</v>
      </c>
      <c r="CD169">
        <f>VLOOKUP($H169,'1. Set Program Names'!$B$2:$D$15,3,0)*AD169</f>
        <v>1420267.8192876044</v>
      </c>
      <c r="CE169">
        <f>VLOOKUP($H169,'1. Set Program Names'!$B$2:$D$15,3,0)*AE169</f>
        <v>1617539.7990337447</v>
      </c>
    </row>
    <row r="170" spans="1:83" x14ac:dyDescent="0.25">
      <c r="A170" s="20" t="s">
        <v>113</v>
      </c>
      <c r="B170" s="20" t="s">
        <v>88</v>
      </c>
      <c r="C170" s="20" t="s">
        <v>89</v>
      </c>
      <c r="D170" s="20" t="s">
        <v>90</v>
      </c>
      <c r="E170" s="20" t="s">
        <v>91</v>
      </c>
      <c r="F170" s="20" t="s">
        <v>90</v>
      </c>
      <c r="G170" s="20" t="s">
        <v>92</v>
      </c>
      <c r="H170" s="20" t="s">
        <v>9</v>
      </c>
      <c r="I170" s="20" t="s">
        <v>299</v>
      </c>
      <c r="J170" s="20" t="s">
        <v>97</v>
      </c>
      <c r="K170" s="20" t="s">
        <v>102</v>
      </c>
      <c r="L170" s="20">
        <v>408.28</v>
      </c>
      <c r="M170" s="20">
        <v>0.16567198429270899</v>
      </c>
      <c r="N170" s="20">
        <v>2.3547919008134799E-2</v>
      </c>
      <c r="O170" s="53">
        <v>128.60999999999999</v>
      </c>
      <c r="P170" s="20">
        <v>29.691921599999901</v>
      </c>
      <c r="Q170" s="20">
        <v>122.65346058206499</v>
      </c>
      <c r="R170" s="20">
        <v>238.630335182902</v>
      </c>
      <c r="S170" s="20">
        <v>423.90838942107399</v>
      </c>
      <c r="T170" s="20">
        <v>11</v>
      </c>
      <c r="U170" s="20">
        <v>0.19999999999999901</v>
      </c>
      <c r="V170" s="20">
        <v>3585.1085423712698</v>
      </c>
      <c r="W170" s="20">
        <v>6558.4711768555098</v>
      </c>
      <c r="X170" s="20">
        <v>9024.1856246029092</v>
      </c>
      <c r="Y170" s="20">
        <v>11077.3924311917</v>
      </c>
      <c r="Z170" s="20">
        <v>12798.676211353601</v>
      </c>
      <c r="AA170" s="20">
        <v>14248.934767884901</v>
      </c>
      <c r="AB170" s="20">
        <v>15488.5994972835</v>
      </c>
      <c r="AC170" s="20">
        <v>16564.9053017552</v>
      </c>
      <c r="AD170" s="20">
        <v>17514.982783208001</v>
      </c>
      <c r="AE170" s="20">
        <v>18367.467319679599</v>
      </c>
      <c r="AF170" t="str">
        <f t="shared" si="9"/>
        <v>Residential</v>
      </c>
      <c r="AG170" t="str">
        <f>tbl_Data_old[[#This Row],[All_Meas_Name_Append]]</f>
        <v>Smart Thermostat Residential</v>
      </c>
      <c r="AH170">
        <f>AVERAGEIFS('3. Incentive Adjustment'!G:G,'3. Incentive Adjustment'!A:A,tbl_Data_old[[#This Row],[Trimmed Sector]],'3. Incentive Adjustment'!B:B,tbl_Data_old[[#This Row],[Trimmed Measure Name]])</f>
        <v>1.1402432304340044</v>
      </c>
      <c r="AI170">
        <f>$AH170*tbl_Data_old[[#This Row],[2025 ]]</f>
        <v>4087.8957458099617</v>
      </c>
      <c r="AJ170">
        <f>$AH170*tbl_Data_old[[#This Row],[2026 ]]</f>
        <v>7478.2523614060337</v>
      </c>
      <c r="AK170">
        <f>$AH170*tbl_Data_old[[#This Row],[2027 ]]</f>
        <v>10289.766568633326</v>
      </c>
      <c r="AL170">
        <f>$AH170*tbl_Data_old[[#This Row],[2028 ]]</f>
        <v>12630.921730527214</v>
      </c>
      <c r="AM170">
        <f>$AH170*tbl_Data_old[[#This Row],[2029 ]]</f>
        <v>14593.603908512674</v>
      </c>
      <c r="AN170">
        <f>$AH170*tbl_Data_old[[#This Row],[2030 ]]</f>
        <v>16247.251409976481</v>
      </c>
      <c r="AO170">
        <f>$AH170*tbl_Data_old[[#This Row],[2031 ]]</f>
        <v>17660.770725681035</v>
      </c>
      <c r="AP170">
        <f>$AH170*tbl_Data_old[[#This Row],[2032 ]]</f>
        <v>18888.021133106715</v>
      </c>
      <c r="AQ170">
        <f>$AH170*tbl_Data_old[[#This Row],[2033 ]]</f>
        <v>19971.340549721062</v>
      </c>
      <c r="AR170">
        <f>$AH170*tbl_Data_old[[#This Row],[2034 ]]</f>
        <v>20943.380271482471</v>
      </c>
      <c r="AS170">
        <f>SUM(tbl_Data_old[[#This Row],[Adjusted 2025]:[Adjusted 2034]])</f>
        <v>142791.20440485695</v>
      </c>
      <c r="AT170" s="3">
        <f>AVERAGEIFS('3. Incentive Adjustment'!F:F,'3. Incentive Adjustment'!A:A,tbl_Data_old[[#This Row],[Trimmed Sector]],'3. Incentive Adjustment'!B:B,tbl_Data_old[[#This Row],[Trimmed Measure Name]])</f>
        <v>50</v>
      </c>
      <c r="AU170" s="3">
        <f>IFERROR(VLOOKUP(tbl_Data_old[[#This Row],[All_Meas_Name_Append]],'IRA Tax Credits'!$A$3:$D$46,4,0),0)</f>
        <v>0</v>
      </c>
      <c r="AV170" s="4">
        <f>tbl_Data_old[[#This Row],[Adj. per unit Incentive ($)]]/tbl_Data_old[[#This Row],[kWh Savings]]*tbl_Data_old[[#This Row],[Sum of Annuals]]</f>
        <v>17486.921280108869</v>
      </c>
      <c r="AW170" s="4">
        <f>IFERROR(VLOOKUP(tbl_Data_old[[#This Row],[All_Programs]],'1. Set Program Names'!$B$2:$D$15,3,0)*tbl_Data_old[[#This Row],[Sum of Annuals]],"")</f>
        <v>64344.942297945265</v>
      </c>
      <c r="AX170" s="4">
        <f>tbl_Data_old[[#This Row],[per unit IRA tax ($)]]/tbl_Data_old[[#This Row],[kWh Savings]]*tbl_Data_old[[#This Row],[Sum of Annuals]]</f>
        <v>0</v>
      </c>
      <c r="AY170" s="4">
        <f>tbl_Data_old[[#This Row],[Avoided Costs ($/unit)]]/tbl_Data_old[[#This Row],[kWh Savings]]*tbl_Data_old[[#This Row],[Sum of Annuals]]</f>
        <v>83458.197727788007</v>
      </c>
      <c r="AZ170" s="4">
        <f>tbl_Data_old[[#This Row],[Lost Revenue ($/unit)]]/tbl_Data_old[[#This Row],[kWh Savings]]*tbl_Data_old[[#This Row],[Sum of Annuals]]</f>
        <v>148257.05271568111</v>
      </c>
      <c r="BA170" s="4">
        <f>tbl_Data_old[[#This Row],[Incremental Cost ($/unit)]]/tbl_Data_old[[#This Row],[kWh Savings]]*tbl_Data_old[[#This Row],[Sum of Annuals]]</f>
        <v>44979.858916696023</v>
      </c>
      <c r="BB170">
        <f>ROUNDUP(tbl_Data_old[[#This Row],[Adjusted 2025]]/$L170,0)</f>
        <v>11</v>
      </c>
      <c r="BC170">
        <f>ROUNDUP(tbl_Data_old[[#This Row],[Adjusted 2026]]/$L170,0)</f>
        <v>19</v>
      </c>
      <c r="BD170">
        <f>ROUNDUP(tbl_Data_old[[#This Row],[Adjusted 2027]]/$L170,0)</f>
        <v>26</v>
      </c>
      <c r="BE170">
        <f>ROUNDUP(tbl_Data_old[[#This Row],[Adjusted 2028]]/$L170,0)</f>
        <v>31</v>
      </c>
      <c r="BF170">
        <f>ROUNDUP(tbl_Data_old[[#This Row],[Adjusted 2029]]/$L170,0)</f>
        <v>36</v>
      </c>
      <c r="BG170">
        <f>ROUNDUP(tbl_Data_old[[#This Row],[Adjusted 2030]]/$L170,0)</f>
        <v>40</v>
      </c>
      <c r="BH170">
        <f>ROUNDUP(tbl_Data_old[[#This Row],[Adjusted 2031]]/$L170,0)</f>
        <v>44</v>
      </c>
      <c r="BI170">
        <f>ROUNDUP(tbl_Data_old[[#This Row],[Adjusted 2032]]/$L170,0)</f>
        <v>47</v>
      </c>
      <c r="BJ170">
        <f>ROUNDUP(tbl_Data_old[[#This Row],[Adjusted 2033]]/$L170,0)</f>
        <v>49</v>
      </c>
      <c r="BK170">
        <f>ROUNDUP(tbl_Data_old[[#This Row],[Adjusted 2034]]/$L170,0)</f>
        <v>52</v>
      </c>
      <c r="BL170" s="3">
        <f t="shared" si="12"/>
        <v>439.05022807525108</v>
      </c>
      <c r="BM170" s="3">
        <f t="shared" si="12"/>
        <v>803.18300882427627</v>
      </c>
      <c r="BN170" s="3">
        <f t="shared" si="12"/>
        <v>1105.1466670670752</v>
      </c>
      <c r="BO170" s="3">
        <f t="shared" si="12"/>
        <v>1356.5925873410038</v>
      </c>
      <c r="BP170" s="3">
        <f t="shared" si="12"/>
        <v>1567.3895624759482</v>
      </c>
      <c r="BQ170" s="3">
        <f t="shared" si="11"/>
        <v>1744.9954403699546</v>
      </c>
      <c r="BR170" s="3">
        <f t="shared" si="11"/>
        <v>1896.8109504853901</v>
      </c>
      <c r="BS170" s="3">
        <f t="shared" si="11"/>
        <v>2028.620713940825</v>
      </c>
      <c r="BT170" s="3">
        <f t="shared" si="11"/>
        <v>2144.9719289712943</v>
      </c>
      <c r="BU170" s="3">
        <f t="shared" si="11"/>
        <v>2249.3714264327914</v>
      </c>
      <c r="BV170">
        <f>VLOOKUP($H170,'1. Set Program Names'!$B$2:$D$15,3,0)*V170</f>
        <v>1615.5308952832354</v>
      </c>
      <c r="BW170">
        <f>VLOOKUP($H170,'1. Set Program Names'!$B$2:$D$15,3,0)*W170</f>
        <v>2955.3952653903852</v>
      </c>
      <c r="BX170">
        <f>VLOOKUP($H170,'1. Set Program Names'!$B$2:$D$15,3,0)*X170</f>
        <v>4066.5018949953651</v>
      </c>
      <c r="BY170">
        <f>VLOOKUP($H170,'1. Set Program Names'!$B$2:$D$15,3,0)*Y170</f>
        <v>4991.723263120547</v>
      </c>
      <c r="BZ170">
        <f>VLOOKUP($H170,'1. Set Program Names'!$B$2:$D$15,3,0)*Z170</f>
        <v>5767.37261753652</v>
      </c>
      <c r="CA170">
        <f>VLOOKUP($H170,'1. Set Program Names'!$B$2:$D$15,3,0)*AA170</f>
        <v>6420.8918838389891</v>
      </c>
      <c r="CB170">
        <f>VLOOKUP($H170,'1. Set Program Names'!$B$2:$D$15,3,0)*AB170</f>
        <v>6979.5128144096789</v>
      </c>
      <c r="CC170">
        <f>VLOOKUP($H170,'1. Set Program Names'!$B$2:$D$15,3,0)*AC170</f>
        <v>7464.520523199054</v>
      </c>
      <c r="CD170">
        <f>VLOOKUP($H170,'1. Set Program Names'!$B$2:$D$15,3,0)*AD170</f>
        <v>7892.6468981915068</v>
      </c>
      <c r="CE170">
        <f>VLOOKUP($H170,'1. Set Program Names'!$B$2:$D$15,3,0)*AE170</f>
        <v>8276.795687591939</v>
      </c>
    </row>
    <row r="171" spans="1:83" x14ac:dyDescent="0.25">
      <c r="A171" s="20" t="s">
        <v>113</v>
      </c>
      <c r="B171" s="20" t="s">
        <v>88</v>
      </c>
      <c r="C171" s="20" t="s">
        <v>89</v>
      </c>
      <c r="D171" s="20" t="s">
        <v>90</v>
      </c>
      <c r="E171" s="20" t="s">
        <v>91</v>
      </c>
      <c r="F171" s="20" t="s">
        <v>90</v>
      </c>
      <c r="G171" s="20" t="s">
        <v>92</v>
      </c>
      <c r="H171" s="20" t="s">
        <v>9</v>
      </c>
      <c r="I171" s="20" t="s">
        <v>112</v>
      </c>
      <c r="J171" s="20" t="s">
        <v>94</v>
      </c>
      <c r="K171" s="20" t="s">
        <v>108</v>
      </c>
      <c r="L171" s="20">
        <v>1330.8133333333301</v>
      </c>
      <c r="M171" s="20">
        <v>5.33311142126306E-2</v>
      </c>
      <c r="N171" s="20">
        <v>0.24737910980336</v>
      </c>
      <c r="O171" s="20">
        <v>8990.02</v>
      </c>
      <c r="P171" s="20">
        <v>8776.4394094329891</v>
      </c>
      <c r="Q171" s="20">
        <v>399.796367008147</v>
      </c>
      <c r="R171" s="20">
        <v>713.19672296706005</v>
      </c>
      <c r="S171" s="20">
        <v>2011.6258188035599</v>
      </c>
      <c r="T171" s="20">
        <v>20</v>
      </c>
      <c r="U171" s="20">
        <v>0.2</v>
      </c>
      <c r="V171" s="20">
        <v>43162.274395269204</v>
      </c>
      <c r="W171" s="20">
        <v>91199.025064054396</v>
      </c>
      <c r="X171" s="20">
        <v>143733.438464279</v>
      </c>
      <c r="Y171" s="20">
        <v>200524.26621161</v>
      </c>
      <c r="Z171" s="20">
        <v>261370.41206173701</v>
      </c>
      <c r="AA171" s="20">
        <v>325927.29654940899</v>
      </c>
      <c r="AB171" s="20">
        <v>394358.04657613899</v>
      </c>
      <c r="AC171" s="20">
        <v>466994.61742886697</v>
      </c>
      <c r="AD171" s="20">
        <v>544224.13067669095</v>
      </c>
      <c r="AE171" s="20">
        <v>626464.67197730497</v>
      </c>
      <c r="AF171" t="str">
        <f t="shared" si="9"/>
        <v>Residential</v>
      </c>
      <c r="AG171" t="str">
        <f>tbl_Data_old[[#This Row],[All_Meas_Name_Append]]</f>
        <v>Solar Thermal Water Heating System</v>
      </c>
      <c r="AH171">
        <f>AVERAGEIFS('3. Incentive Adjustment'!G:G,'3. Incentive Adjustment'!A:A,tbl_Data_old[[#This Row],[Trimmed Sector]],'3. Incentive Adjustment'!B:B,tbl_Data_old[[#This Row],[Trimmed Measure Name]])</f>
        <v>2.7736651842107431E-8</v>
      </c>
      <c r="AI171">
        <f>$AH171*tbl_Data_old[[#This Row],[2025 ]]</f>
        <v>1.1971769776150899E-3</v>
      </c>
      <c r="AJ171">
        <f>$AH171*tbl_Data_old[[#This Row],[2026 ]]</f>
        <v>2.5295556065413061E-3</v>
      </c>
      <c r="AK171">
        <f>$AH171*tbl_Data_old[[#This Row],[2027 ]]</f>
        <v>3.9866843407526794E-3</v>
      </c>
      <c r="AL171">
        <f>$AH171*tbl_Data_old[[#This Row],[2028 ]]</f>
        <v>5.5618717578054932E-3</v>
      </c>
      <c r="AM171">
        <f>$AH171*tbl_Data_old[[#This Row],[2029 ]]</f>
        <v>7.2495401211845559E-3</v>
      </c>
      <c r="AN171">
        <f>$AH171*tbl_Data_old[[#This Row],[2030 ]]</f>
        <v>9.0401319502302589E-3</v>
      </c>
      <c r="AO171">
        <f>$AH171*tbl_Data_old[[#This Row],[2031 ]]</f>
        <v>1.0938171839015954E-2</v>
      </c>
      <c r="AP171">
        <f>$AH171*tbl_Data_old[[#This Row],[2032 ]]</f>
        <v>1.2952867115762637E-2</v>
      </c>
      <c r="AQ171">
        <f>$AH171*tbl_Data_old[[#This Row],[2033 ]]</f>
        <v>1.5094955236652956E-2</v>
      </c>
      <c r="AR171">
        <f>$AH171*tbl_Data_old[[#This Row],[2034 ]]</f>
        <v>1.7376032498014542E-2</v>
      </c>
      <c r="AS171">
        <f>SUM(tbl_Data_old[[#This Row],[Adjusted 2025]:[Adjusted 2034]])</f>
        <v>8.5926987443575478E-2</v>
      </c>
      <c r="AT171" s="3">
        <f>AVERAGEIFS('3. Incentive Adjustment'!F:F,'3. Incentive Adjustment'!A:A,tbl_Data_old[[#This Row],[Trimmed Sector]],'3. Incentive Adjustment'!B:B,tbl_Data_old[[#This Row],[Trimmed Measure Name]])</f>
        <v>0</v>
      </c>
      <c r="AU171" s="3">
        <f>IFERROR(VLOOKUP(tbl_Data_old[[#This Row],[All_Meas_Name_Append]],'IRA Tax Credits'!$A$3:$D$46,4,0),0)</f>
        <v>41666.666666666672</v>
      </c>
      <c r="AV171" s="4">
        <f>tbl_Data_old[[#This Row],[Adj. per unit Incentive ($)]]/tbl_Data_old[[#This Row],[kWh Savings]]*tbl_Data_old[[#This Row],[Sum of Annuals]]</f>
        <v>0</v>
      </c>
      <c r="AW171" s="4">
        <f>IFERROR(VLOOKUP(tbl_Data_old[[#This Row],[All_Programs]],'1. Set Program Names'!$B$2:$D$15,3,0)*tbl_Data_old[[#This Row],[Sum of Annuals]],"")</f>
        <v>3.8720641596500655E-2</v>
      </c>
      <c r="AX171" s="4">
        <f>tbl_Data_old[[#This Row],[per unit IRA tax ($)]]/tbl_Data_old[[#This Row],[kWh Savings]]*tbl_Data_old[[#This Row],[Sum of Annuals]]</f>
        <v>2.6903030303390816</v>
      </c>
      <c r="AY171" s="4">
        <f>tbl_Data_old[[#This Row],[Avoided Costs ($/unit)]]/tbl_Data_old[[#This Row],[kWh Savings]]*tbl_Data_old[[#This Row],[Sum of Annuals]]</f>
        <v>4.6049167320628408E-2</v>
      </c>
      <c r="AZ171" s="4">
        <f>tbl_Data_old[[#This Row],[Lost Revenue ($/unit)]]/tbl_Data_old[[#This Row],[kWh Savings]]*tbl_Data_old[[#This Row],[Sum of Annuals]]</f>
        <v>0.12988519286965328</v>
      </c>
      <c r="BA171" s="4">
        <f>tbl_Data_old[[#This Row],[Incremental Cost ($/unit)]]/tbl_Data_old[[#This Row],[kWh Savings]]*tbl_Data_old[[#This Row],[Sum of Annuals]]</f>
        <v>0.58046107317141471</v>
      </c>
      <c r="BB171">
        <f>ROUNDUP(tbl_Data_old[[#This Row],[Adjusted 2025]]/$L171,0)</f>
        <v>1</v>
      </c>
      <c r="BC171">
        <f>ROUNDUP(tbl_Data_old[[#This Row],[Adjusted 2026]]/$L171,0)</f>
        <v>1</v>
      </c>
      <c r="BD171">
        <f>ROUNDUP(tbl_Data_old[[#This Row],[Adjusted 2027]]/$L171,0)</f>
        <v>1</v>
      </c>
      <c r="BE171">
        <f>ROUNDUP(tbl_Data_old[[#This Row],[Adjusted 2028]]/$L171,0)</f>
        <v>1</v>
      </c>
      <c r="BF171">
        <f>ROUNDUP(tbl_Data_old[[#This Row],[Adjusted 2029]]/$L171,0)</f>
        <v>1</v>
      </c>
      <c r="BG171">
        <f>ROUNDUP(tbl_Data_old[[#This Row],[Adjusted 2030]]/$L171,0)</f>
        <v>1</v>
      </c>
      <c r="BH171">
        <f>ROUNDUP(tbl_Data_old[[#This Row],[Adjusted 2031]]/$L171,0)</f>
        <v>1</v>
      </c>
      <c r="BI171">
        <f>ROUNDUP(tbl_Data_old[[#This Row],[Adjusted 2032]]/$L171,0)</f>
        <v>1</v>
      </c>
      <c r="BJ171">
        <f>ROUNDUP(tbl_Data_old[[#This Row],[Adjusted 2033]]/$L171,0)</f>
        <v>1</v>
      </c>
      <c r="BK171">
        <f>ROUNDUP(tbl_Data_old[[#This Row],[Adjusted 2034]]/$L171,0)</f>
        <v>1</v>
      </c>
      <c r="BL171" s="3">
        <f t="shared" si="12"/>
        <v>0</v>
      </c>
      <c r="BM171" s="3">
        <f t="shared" si="12"/>
        <v>0</v>
      </c>
      <c r="BN171" s="3">
        <f t="shared" si="12"/>
        <v>0</v>
      </c>
      <c r="BO171" s="3">
        <f t="shared" si="12"/>
        <v>0</v>
      </c>
      <c r="BP171" s="3">
        <f t="shared" si="12"/>
        <v>0</v>
      </c>
      <c r="BQ171" s="3">
        <f t="shared" si="11"/>
        <v>0</v>
      </c>
      <c r="BR171" s="3">
        <f t="shared" si="11"/>
        <v>0</v>
      </c>
      <c r="BS171" s="3">
        <f t="shared" si="11"/>
        <v>0</v>
      </c>
      <c r="BT171" s="3">
        <f t="shared" si="11"/>
        <v>0</v>
      </c>
      <c r="BU171" s="3">
        <f t="shared" si="11"/>
        <v>0</v>
      </c>
      <c r="BV171">
        <f>VLOOKUP($H171,'1. Set Program Names'!$B$2:$D$15,3,0)*V171</f>
        <v>19449.895860092696</v>
      </c>
      <c r="BW171">
        <f>VLOOKUP($H171,'1. Set Program Names'!$B$2:$D$15,3,0)*W171</f>
        <v>41096.340841395977</v>
      </c>
      <c r="BX171">
        <f>VLOOKUP($H171,'1. Set Program Names'!$B$2:$D$15,3,0)*X171</f>
        <v>64769.534249791061</v>
      </c>
      <c r="BY171">
        <f>VLOOKUP($H171,'1. Set Program Names'!$B$2:$D$15,3,0)*Y171</f>
        <v>90360.764113598183</v>
      </c>
      <c r="BZ171">
        <f>VLOOKUP($H171,'1. Set Program Names'!$B$2:$D$15,3,0)*Z171</f>
        <v>117779.41192245169</v>
      </c>
      <c r="CA171">
        <f>VLOOKUP($H171,'1. Set Program Names'!$B$2:$D$15,3,0)*AA171</f>
        <v>146870.20238540458</v>
      </c>
      <c r="CB171">
        <f>VLOOKUP($H171,'1. Set Program Names'!$B$2:$D$15,3,0)*AB171</f>
        <v>177706.64416924663</v>
      </c>
      <c r="CC171">
        <f>VLOOKUP($H171,'1. Set Program Names'!$B$2:$D$15,3,0)*AC171</f>
        <v>210438.32382500291</v>
      </c>
      <c r="CD171">
        <f>VLOOKUP($H171,'1. Set Program Names'!$B$2:$D$15,3,0)*AD171</f>
        <v>245239.6870766221</v>
      </c>
      <c r="CE171">
        <f>VLOOKUP($H171,'1. Set Program Names'!$B$2:$D$15,3,0)*AE171</f>
        <v>282299.13276583992</v>
      </c>
    </row>
    <row r="172" spans="1:83" x14ac:dyDescent="0.25">
      <c r="A172" s="20" t="s">
        <v>114</v>
      </c>
      <c r="B172" s="20" t="s">
        <v>88</v>
      </c>
      <c r="C172" s="20" t="s">
        <v>89</v>
      </c>
      <c r="D172" s="20" t="s">
        <v>90</v>
      </c>
      <c r="E172" s="20" t="s">
        <v>91</v>
      </c>
      <c r="F172" s="20" t="s">
        <v>90</v>
      </c>
      <c r="G172" s="20" t="s">
        <v>92</v>
      </c>
      <c r="H172" s="20" t="s">
        <v>9</v>
      </c>
      <c r="I172" s="20" t="s">
        <v>93</v>
      </c>
      <c r="J172" s="20" t="s">
        <v>94</v>
      </c>
      <c r="K172" s="20" t="s">
        <v>95</v>
      </c>
      <c r="L172" s="20">
        <v>1200.2266666666601</v>
      </c>
      <c r="M172" s="20">
        <v>4.8097974252120097E-2</v>
      </c>
      <c r="N172" s="20">
        <v>0.22310492157346501</v>
      </c>
      <c r="O172" s="20">
        <v>1210</v>
      </c>
      <c r="P172" s="20">
        <v>933.85922631496703</v>
      </c>
      <c r="Q172" s="20">
        <v>360.56616574297698</v>
      </c>
      <c r="R172" s="20">
        <v>571.53970184074296</v>
      </c>
      <c r="S172" s="20">
        <v>1535.35818196214</v>
      </c>
      <c r="T172" s="20">
        <v>15</v>
      </c>
      <c r="U172" s="20">
        <v>0.2</v>
      </c>
      <c r="V172" s="20">
        <v>0.57916952297528901</v>
      </c>
      <c r="W172" s="20">
        <v>0.61534655630595003</v>
      </c>
      <c r="X172" s="20">
        <v>0.65126379492486197</v>
      </c>
      <c r="Y172" s="20">
        <v>0.688010457932549</v>
      </c>
      <c r="Z172" s="20">
        <v>0.72554685637929195</v>
      </c>
      <c r="AA172" s="20">
        <v>0.76175986080068403</v>
      </c>
      <c r="AB172" s="20">
        <v>0.802291748354241</v>
      </c>
      <c r="AC172" s="20">
        <v>0.84876197724429303</v>
      </c>
      <c r="AD172" s="20">
        <v>0.90155316882012204</v>
      </c>
      <c r="AE172" s="20">
        <v>0.96085199059096404</v>
      </c>
      <c r="AF172" t="str">
        <f t="shared" si="9"/>
        <v>Residential</v>
      </c>
      <c r="AG172" t="str">
        <f>tbl_Data_old[[#This Row],[All_Meas_Name_Append]]</f>
        <v>120v Heat Pump Water Heater 50 Gallons</v>
      </c>
      <c r="AH172">
        <f>AVERAGEIFS('3. Incentive Adjustment'!G:G,'3. Incentive Adjustment'!A:A,tbl_Data_old[[#This Row],[Trimmed Sector]],'3. Incentive Adjustment'!B:B,tbl_Data_old[[#This Row],[Trimmed Measure Name]])</f>
        <v>0.38528347196238832</v>
      </c>
      <c r="AI172">
        <f>$AH172*tbl_Data_old[[#This Row],[2025 ]]</f>
        <v>0.22314444466671959</v>
      </c>
      <c r="AJ172">
        <f>$AH172*tbl_Data_old[[#This Row],[2026 ]]</f>
        <v>0.23708285767365569</v>
      </c>
      <c r="AK172">
        <f>$AH172*tbl_Data_old[[#This Row],[2027 ]]</f>
        <v>0.25092117607205167</v>
      </c>
      <c r="AL172">
        <f>$AH172*tbl_Data_old[[#This Row],[2028 ]]</f>
        <v>0.2650790579786852</v>
      </c>
      <c r="AM172">
        <f>$AH172*tbl_Data_old[[#This Row],[2029 ]]</f>
        <v>0.27954121189720993</v>
      </c>
      <c r="AN172">
        <f>$AH172*tbl_Data_old[[#This Row],[2030 ]]</f>
        <v>0.29349348397087316</v>
      </c>
      <c r="AO172">
        <f>$AH172*tbl_Data_old[[#This Row],[2031 ]]</f>
        <v>0.30910975033269672</v>
      </c>
      <c r="AP172">
        <f>$AH172*tbl_Data_old[[#This Row],[2032 ]]</f>
        <v>0.32701396146234285</v>
      </c>
      <c r="AQ172">
        <f>$AH172*tbl_Data_old[[#This Row],[2033 ]]</f>
        <v>0.34735353504170985</v>
      </c>
      <c r="AR172">
        <f>$AH172*tbl_Data_old[[#This Row],[2034 ]]</f>
        <v>0.3702003909768587</v>
      </c>
      <c r="AS172">
        <f>SUM(tbl_Data_old[[#This Row],[Adjusted 2025]:[Adjusted 2034]])</f>
        <v>2.9029398700728031</v>
      </c>
      <c r="AT172" s="3">
        <f>AVERAGEIFS('3. Incentive Adjustment'!F:F,'3. Incentive Adjustment'!A:A,tbl_Data_old[[#This Row],[Trimmed Sector]],'3. Incentive Adjustment'!B:B,tbl_Data_old[[#This Row],[Trimmed Measure Name]])</f>
        <v>500</v>
      </c>
      <c r="AU172" s="3">
        <f>IFERROR(VLOOKUP(tbl_Data_old[[#This Row],[All_Meas_Name_Append]],'IRA Tax Credits'!$A$3:$D$46,4,0),0)</f>
        <v>1666.6666666666667</v>
      </c>
      <c r="AV172" s="4">
        <f>tbl_Data_old[[#This Row],[Adj. per unit Incentive ($)]]/tbl_Data_old[[#This Row],[kWh Savings]]*tbl_Data_old[[#This Row],[Sum of Annuals]]</f>
        <v>1.2093298502252987</v>
      </c>
      <c r="AW172" s="4">
        <f>IFERROR(VLOOKUP(tbl_Data_old[[#This Row],[All_Programs]],'1. Set Program Names'!$B$2:$D$15,3,0)*tbl_Data_old[[#This Row],[Sum of Annuals]],"")</f>
        <v>1.3081302816427935</v>
      </c>
      <c r="AX172" s="4">
        <f>tbl_Data_old[[#This Row],[per unit IRA tax ($)]]/tbl_Data_old[[#This Row],[kWh Savings]]*tbl_Data_old[[#This Row],[Sum of Annuals]]</f>
        <v>4.0310995007509955</v>
      </c>
      <c r="AY172" s="4">
        <f>tbl_Data_old[[#This Row],[Avoided Costs ($/unit)]]/tbl_Data_old[[#This Row],[kWh Savings]]*tbl_Data_old[[#This Row],[Sum of Annuals]]</f>
        <v>1.3823600440497552</v>
      </c>
      <c r="AZ172" s="4">
        <f>tbl_Data_old[[#This Row],[Lost Revenue ($/unit)]]/tbl_Data_old[[#This Row],[kWh Savings]]*tbl_Data_old[[#This Row],[Sum of Annuals]]</f>
        <v>3.7135089604689231</v>
      </c>
      <c r="BA172" s="4">
        <f>tbl_Data_old[[#This Row],[Incremental Cost ($/unit)]]/tbl_Data_old[[#This Row],[kWh Savings]]*tbl_Data_old[[#This Row],[Sum of Annuals]]</f>
        <v>2.9265782375452223</v>
      </c>
      <c r="BB172">
        <f>ROUNDUP(tbl_Data_old[[#This Row],[Adjusted 2025]]/$L172,0)</f>
        <v>1</v>
      </c>
      <c r="BC172">
        <f>ROUNDUP(tbl_Data_old[[#This Row],[Adjusted 2026]]/$L172,0)</f>
        <v>1</v>
      </c>
      <c r="BD172">
        <f>ROUNDUP(tbl_Data_old[[#This Row],[Adjusted 2027]]/$L172,0)</f>
        <v>1</v>
      </c>
      <c r="BE172">
        <f>ROUNDUP(tbl_Data_old[[#This Row],[Adjusted 2028]]/$L172,0)</f>
        <v>1</v>
      </c>
      <c r="BF172">
        <f>ROUNDUP(tbl_Data_old[[#This Row],[Adjusted 2029]]/$L172,0)</f>
        <v>1</v>
      </c>
      <c r="BG172">
        <f>ROUNDUP(tbl_Data_old[[#This Row],[Adjusted 2030]]/$L172,0)</f>
        <v>1</v>
      </c>
      <c r="BH172">
        <f>ROUNDUP(tbl_Data_old[[#This Row],[Adjusted 2031]]/$L172,0)</f>
        <v>1</v>
      </c>
      <c r="BI172">
        <f>ROUNDUP(tbl_Data_old[[#This Row],[Adjusted 2032]]/$L172,0)</f>
        <v>1</v>
      </c>
      <c r="BJ172">
        <f>ROUNDUP(tbl_Data_old[[#This Row],[Adjusted 2033]]/$L172,0)</f>
        <v>1</v>
      </c>
      <c r="BK172">
        <f>ROUNDUP(tbl_Data_old[[#This Row],[Adjusted 2034]]/$L172,0)</f>
        <v>1</v>
      </c>
      <c r="BL172" s="3">
        <f t="shared" si="12"/>
        <v>0.2412750603949638</v>
      </c>
      <c r="BM172" s="3">
        <f t="shared" si="12"/>
        <v>0.25634597755394262</v>
      </c>
      <c r="BN172" s="3">
        <f t="shared" si="12"/>
        <v>0.27130866735930387</v>
      </c>
      <c r="BO172" s="3">
        <f t="shared" si="12"/>
        <v>0.28661688539354485</v>
      </c>
      <c r="BP172" s="3">
        <f t="shared" si="12"/>
        <v>0.30225409771736</v>
      </c>
      <c r="BQ172" s="3">
        <f t="shared" si="11"/>
        <v>0.31734000000028667</v>
      </c>
      <c r="BR172" s="3">
        <f t="shared" si="11"/>
        <v>0.33422509707371051</v>
      </c>
      <c r="BS172" s="3">
        <f t="shared" si="11"/>
        <v>0.35358403575614783</v>
      </c>
      <c r="BT172" s="3">
        <f t="shared" si="11"/>
        <v>0.37557621150176923</v>
      </c>
      <c r="BU172" s="3">
        <f t="shared" si="11"/>
        <v>0.40027938775077315</v>
      </c>
      <c r="BV172">
        <f>VLOOKUP($H172,'1. Set Program Names'!$B$2:$D$15,3,0)*V172</f>
        <v>0.26098687024805189</v>
      </c>
      <c r="BW172">
        <f>VLOOKUP($H172,'1. Set Program Names'!$B$2:$D$15,3,0)*W172</f>
        <v>0.27728905869078097</v>
      </c>
      <c r="BX172">
        <f>VLOOKUP($H172,'1. Set Program Names'!$B$2:$D$15,3,0)*X172</f>
        <v>0.29347417776774293</v>
      </c>
      <c r="BY172">
        <f>VLOOKUP($H172,'1. Set Program Names'!$B$2:$D$15,3,0)*Y172</f>
        <v>0.31003305421063421</v>
      </c>
      <c r="BZ172">
        <f>VLOOKUP($H172,'1. Set Program Names'!$B$2:$D$15,3,0)*Z172</f>
        <v>0.32694780328215478</v>
      </c>
      <c r="CA172">
        <f>VLOOKUP($H172,'1. Set Program Names'!$B$2:$D$15,3,0)*AA172</f>
        <v>0.34326620111093903</v>
      </c>
      <c r="CB172">
        <f>VLOOKUP($H172,'1. Set Program Names'!$B$2:$D$15,3,0)*AB172</f>
        <v>0.36153078524082621</v>
      </c>
      <c r="CC172">
        <f>VLOOKUP($H172,'1. Set Program Names'!$B$2:$D$15,3,0)*AC172</f>
        <v>0.38247132012156571</v>
      </c>
      <c r="CD172">
        <f>VLOOKUP($H172,'1. Set Program Names'!$B$2:$D$15,3,0)*AD172</f>
        <v>0.4062602235763989</v>
      </c>
      <c r="CE172">
        <f>VLOOKUP($H172,'1. Set Program Names'!$B$2:$D$15,3,0)*AE172</f>
        <v>0.43298161220172787</v>
      </c>
    </row>
    <row r="173" spans="1:83" x14ac:dyDescent="0.25">
      <c r="A173" s="20" t="s">
        <v>114</v>
      </c>
      <c r="B173" s="20" t="s">
        <v>88</v>
      </c>
      <c r="C173" s="20" t="s">
        <v>89</v>
      </c>
      <c r="D173" s="20" t="s">
        <v>90</v>
      </c>
      <c r="E173" s="20" t="s">
        <v>91</v>
      </c>
      <c r="F173" s="20" t="s">
        <v>90</v>
      </c>
      <c r="G173" s="20" t="s">
        <v>92</v>
      </c>
      <c r="H173" s="20" t="s">
        <v>9</v>
      </c>
      <c r="I173" s="20" t="s">
        <v>96</v>
      </c>
      <c r="J173" s="20" t="s">
        <v>97</v>
      </c>
      <c r="K173" s="20" t="s">
        <v>98</v>
      </c>
      <c r="L173" s="20">
        <v>5868.07</v>
      </c>
      <c r="M173" s="20">
        <v>0.20813520080661799</v>
      </c>
      <c r="N173" s="20">
        <v>1.1349578069705</v>
      </c>
      <c r="O173" s="20">
        <v>1935.1666666666599</v>
      </c>
      <c r="P173" s="20">
        <v>513.45064263862798</v>
      </c>
      <c r="Q173" s="20">
        <v>1762.8565994851499</v>
      </c>
      <c r="R173" s="20">
        <v>3388.0400735263802</v>
      </c>
      <c r="S173" s="20">
        <v>7811.7411984889604</v>
      </c>
      <c r="T173" s="20">
        <v>16</v>
      </c>
      <c r="U173" s="20">
        <v>0.2</v>
      </c>
      <c r="V173" s="20">
        <v>6.5206816402913796</v>
      </c>
      <c r="W173" s="20">
        <v>6.9297753092623902</v>
      </c>
      <c r="X173" s="20">
        <v>7.3349559592569804</v>
      </c>
      <c r="Y173" s="20">
        <v>7.7487401762710002</v>
      </c>
      <c r="Z173" s="20">
        <v>8.17120406804389</v>
      </c>
      <c r="AA173" s="20">
        <v>8.5792265899758604</v>
      </c>
      <c r="AB173" s="20">
        <v>9.0369737143953603</v>
      </c>
      <c r="AC173" s="20">
        <v>9.5630957037099105</v>
      </c>
      <c r="AD173" s="20">
        <v>10.1620732926818</v>
      </c>
      <c r="AE173" s="20">
        <v>10.8360114807468</v>
      </c>
      <c r="AF173" t="str">
        <f t="shared" si="9"/>
        <v>Residential</v>
      </c>
      <c r="AG173" t="str">
        <f>tbl_Data_old[[#This Row],[All_Meas_Name_Append]]</f>
        <v>ASHP - CEE Tier 2: 16.8 SEER/16 SEER2; 9.0 HSPF (from elec resistance)</v>
      </c>
      <c r="AH173">
        <f>AVERAGEIFS('3. Incentive Adjustment'!G:G,'3. Incentive Adjustment'!A:A,tbl_Data_old[[#This Row],[Trimmed Sector]],'3. Incentive Adjustment'!B:B,tbl_Data_old[[#This Row],[Trimmed Measure Name]])</f>
        <v>0.9303958662075158</v>
      </c>
      <c r="AI173">
        <f>$AH173*tbl_Data_old[[#This Row],[2025 ]]</f>
        <v>6.0668152429823428</v>
      </c>
      <c r="AJ173">
        <f>$AH173*tbl_Data_old[[#This Row],[2026 ]]</f>
        <v>6.4474343014846376</v>
      </c>
      <c r="AK173">
        <f>$AH173*tbl_Data_old[[#This Row],[2027 ]]</f>
        <v>6.8244127033068782</v>
      </c>
      <c r="AL173">
        <f>$AH173*tbl_Data_old[[#This Row],[2028 ]]</f>
        <v>7.2093958283186357</v>
      </c>
      <c r="AM173">
        <f>$AH173*tbl_Data_old[[#This Row],[2029 ]]</f>
        <v>7.6024544868460717</v>
      </c>
      <c r="AN173">
        <f>$AH173*tbl_Data_old[[#This Row],[2030 ]]</f>
        <v>7.9820769545711423</v>
      </c>
      <c r="AO173">
        <f>$AH173*tbl_Data_old[[#This Row],[2031 ]]</f>
        <v>8.4079629868994221</v>
      </c>
      <c r="AP173">
        <f>$AH173*tbl_Data_old[[#This Row],[2032 ]]</f>
        <v>8.8974647108785554</v>
      </c>
      <c r="AQ173">
        <f>$AH173*tbl_Data_old[[#This Row],[2033 ]]</f>
        <v>9.4547509836089461</v>
      </c>
      <c r="AR173">
        <f>$AH173*tbl_Data_old[[#This Row],[2034 ]]</f>
        <v>10.081780287864005</v>
      </c>
      <c r="AS173">
        <f>SUM(tbl_Data_old[[#This Row],[Adjusted 2025]:[Adjusted 2034]])</f>
        <v>78.974548486760639</v>
      </c>
      <c r="AT173" s="3">
        <f>AVERAGEIFS('3. Incentive Adjustment'!F:F,'3. Incentive Adjustment'!A:A,tbl_Data_old[[#This Row],[Trimmed Sector]],'3. Incentive Adjustment'!B:B,tbl_Data_old[[#This Row],[Trimmed Measure Name]])</f>
        <v>353</v>
      </c>
      <c r="AU173" s="3">
        <f>IFERROR(VLOOKUP(tbl_Data_old[[#This Row],[All_Meas_Name_Append]],'IRA Tax Credits'!$A$3:$D$46,4,0),0)</f>
        <v>0</v>
      </c>
      <c r="AV173" s="4">
        <f>tbl_Data_old[[#This Row],[Adj. per unit Incentive ($)]]/tbl_Data_old[[#This Row],[kWh Savings]]*tbl_Data_old[[#This Row],[Sum of Annuals]]</f>
        <v>4.7507980674781498</v>
      </c>
      <c r="AW173" s="4">
        <f>IFERROR(VLOOKUP(tbl_Data_old[[#This Row],[All_Programs]],'1. Set Program Names'!$B$2:$D$15,3,0)*tbl_Data_old[[#This Row],[Sum of Annuals]],"")</f>
        <v>35.587715549894519</v>
      </c>
      <c r="AX173" s="4">
        <f>tbl_Data_old[[#This Row],[per unit IRA tax ($)]]/tbl_Data_old[[#This Row],[kWh Savings]]*tbl_Data_old[[#This Row],[Sum of Annuals]]</f>
        <v>0</v>
      </c>
      <c r="AY173" s="4">
        <f>tbl_Data_old[[#This Row],[Avoided Costs ($/unit)]]/tbl_Data_old[[#This Row],[kWh Savings]]*tbl_Data_old[[#This Row],[Sum of Annuals]]</f>
        <v>45.597434090219984</v>
      </c>
      <c r="AZ173" s="4">
        <f>tbl_Data_old[[#This Row],[Lost Revenue ($/unit)]]/tbl_Data_old[[#This Row],[kWh Savings]]*tbl_Data_old[[#This Row],[Sum of Annuals]]</f>
        <v>105.13315861025723</v>
      </c>
      <c r="BA173" s="4">
        <f>tbl_Data_old[[#This Row],[Incremental Cost ($/unit)]]/tbl_Data_old[[#This Row],[kWh Savings]]*tbl_Data_old[[#This Row],[Sum of Annuals]]</f>
        <v>26.044153145178758</v>
      </c>
      <c r="BB173">
        <f>ROUNDUP(tbl_Data_old[[#This Row],[Adjusted 2025]]/$L173,0)</f>
        <v>1</v>
      </c>
      <c r="BC173">
        <f>ROUNDUP(tbl_Data_old[[#This Row],[Adjusted 2026]]/$L173,0)</f>
        <v>1</v>
      </c>
      <c r="BD173">
        <f>ROUNDUP(tbl_Data_old[[#This Row],[Adjusted 2027]]/$L173,0)</f>
        <v>1</v>
      </c>
      <c r="BE173">
        <f>ROUNDUP(tbl_Data_old[[#This Row],[Adjusted 2028]]/$L173,0)</f>
        <v>1</v>
      </c>
      <c r="BF173">
        <f>ROUNDUP(tbl_Data_old[[#This Row],[Adjusted 2029]]/$L173,0)</f>
        <v>1</v>
      </c>
      <c r="BG173">
        <f>ROUNDUP(tbl_Data_old[[#This Row],[Adjusted 2030]]/$L173,0)</f>
        <v>1</v>
      </c>
      <c r="BH173">
        <f>ROUNDUP(tbl_Data_old[[#This Row],[Adjusted 2031]]/$L173,0)</f>
        <v>1</v>
      </c>
      <c r="BI173">
        <f>ROUNDUP(tbl_Data_old[[#This Row],[Adjusted 2032]]/$L173,0)</f>
        <v>1</v>
      </c>
      <c r="BJ173">
        <f>ROUNDUP(tbl_Data_old[[#This Row],[Adjusted 2033]]/$L173,0)</f>
        <v>1</v>
      </c>
      <c r="BK173">
        <f>ROUNDUP(tbl_Data_old[[#This Row],[Adjusted 2034]]/$L173,0)</f>
        <v>1</v>
      </c>
      <c r="BL173" s="3">
        <f t="shared" si="12"/>
        <v>0.3922585482148061</v>
      </c>
      <c r="BM173" s="3">
        <f t="shared" si="12"/>
        <v>0.41686801353249431</v>
      </c>
      <c r="BN173" s="3">
        <f t="shared" si="12"/>
        <v>0.44124208702652051</v>
      </c>
      <c r="BO173" s="3">
        <f t="shared" si="12"/>
        <v>0.46613371725689423</v>
      </c>
      <c r="BP173" s="3">
        <f t="shared" si="12"/>
        <v>0.49154748256573172</v>
      </c>
      <c r="BQ173" s="3">
        <f t="shared" si="11"/>
        <v>0.51609251189257777</v>
      </c>
      <c r="BR173" s="3">
        <f t="shared" si="11"/>
        <v>0.54362877763584316</v>
      </c>
      <c r="BS173" s="3">
        <f t="shared" si="11"/>
        <v>0.57527820619208681</v>
      </c>
      <c r="BT173" s="3">
        <f t="shared" si="11"/>
        <v>0.61131034093265346</v>
      </c>
      <c r="BU173" s="3">
        <f t="shared" si="11"/>
        <v>0.65185181034030282</v>
      </c>
      <c r="BV173">
        <f>VLOOKUP($H173,'1. Set Program Names'!$B$2:$D$15,3,0)*V173</f>
        <v>2.9383664465648867</v>
      </c>
      <c r="BW173">
        <f>VLOOKUP($H173,'1. Set Program Names'!$B$2:$D$15,3,0)*W173</f>
        <v>3.1227132950567609</v>
      </c>
      <c r="BX173">
        <f>VLOOKUP($H173,'1. Set Program Names'!$B$2:$D$15,3,0)*X173</f>
        <v>3.3052968488044105</v>
      </c>
      <c r="BY173">
        <f>VLOOKUP($H173,'1. Set Program Names'!$B$2:$D$15,3,0)*Y173</f>
        <v>3.4917573642019679</v>
      </c>
      <c r="BZ173">
        <f>VLOOKUP($H173,'1. Set Program Names'!$B$2:$D$15,3,0)*Z173</f>
        <v>3.6821291371160658</v>
      </c>
      <c r="CA173">
        <f>VLOOKUP($H173,'1. Set Program Names'!$B$2:$D$15,3,0)*AA173</f>
        <v>3.8659933025553883</v>
      </c>
      <c r="CB173">
        <f>VLOOKUP($H173,'1. Set Program Names'!$B$2:$D$15,3,0)*AB173</f>
        <v>4.0722644971334017</v>
      </c>
      <c r="CC173">
        <f>VLOOKUP($H173,'1. Set Program Names'!$B$2:$D$15,3,0)*AC173</f>
        <v>4.3093469503925004</v>
      </c>
      <c r="CD173">
        <f>VLOOKUP($H173,'1. Set Program Names'!$B$2:$D$15,3,0)*AD173</f>
        <v>4.5792597826344812</v>
      </c>
      <c r="CE173">
        <f>VLOOKUP($H173,'1. Set Program Names'!$B$2:$D$15,3,0)*AE173</f>
        <v>4.8829515541561532</v>
      </c>
    </row>
    <row r="174" spans="1:83" x14ac:dyDescent="0.25">
      <c r="A174" s="20" t="s">
        <v>114</v>
      </c>
      <c r="B174" s="20" t="s">
        <v>88</v>
      </c>
      <c r="C174" s="20" t="s">
        <v>89</v>
      </c>
      <c r="D174" s="20" t="s">
        <v>90</v>
      </c>
      <c r="E174" s="20" t="s">
        <v>91</v>
      </c>
      <c r="F174" s="20" t="s">
        <v>90</v>
      </c>
      <c r="G174" s="20" t="s">
        <v>92</v>
      </c>
      <c r="H174" s="20" t="s">
        <v>9</v>
      </c>
      <c r="I174" s="20" t="s">
        <v>99</v>
      </c>
      <c r="J174" s="20" t="s">
        <v>97</v>
      </c>
      <c r="K174" s="20" t="s">
        <v>98</v>
      </c>
      <c r="L174" s="20">
        <v>253.96999999999801</v>
      </c>
      <c r="M174" s="20">
        <v>0.107126245482503</v>
      </c>
      <c r="N174" s="20">
        <v>1.33192706841354E-2</v>
      </c>
      <c r="O174" s="20">
        <v>874.99999999999898</v>
      </c>
      <c r="P174" s="20">
        <v>813.468148399999</v>
      </c>
      <c r="Q174" s="20">
        <v>76.296412716828996</v>
      </c>
      <c r="R174" s="20">
        <v>185.54516688855901</v>
      </c>
      <c r="S174" s="20">
        <v>338.09206641710699</v>
      </c>
      <c r="T174" s="20">
        <v>16</v>
      </c>
      <c r="U174" s="20">
        <v>0.19999999999999901</v>
      </c>
      <c r="V174" s="20">
        <v>7.0583657480175601</v>
      </c>
      <c r="W174" s="20">
        <v>7.89536280915795</v>
      </c>
      <c r="X174" s="20">
        <v>8.6784264518004797</v>
      </c>
      <c r="Y174" s="20">
        <v>9.4291800786928501</v>
      </c>
      <c r="Z174" s="20">
        <v>10.153772688219201</v>
      </c>
      <c r="AA174" s="20">
        <v>10.8276836105392</v>
      </c>
      <c r="AB174" s="20">
        <v>11.535672694614099</v>
      </c>
      <c r="AC174" s="20">
        <v>12.306812657103199</v>
      </c>
      <c r="AD174" s="20">
        <v>13.151406004676801</v>
      </c>
      <c r="AE174" s="20">
        <v>14.075812696228599</v>
      </c>
      <c r="AF174" t="str">
        <f t="shared" si="9"/>
        <v>Residential</v>
      </c>
      <c r="AG174" t="str">
        <f>tbl_Data_old[[#This Row],[All_Meas_Name_Append]]</f>
        <v>ASHP - ENERGY STAR/CEE Tier 1: 16 SEER/15.2 SEER2_ 9.0 HSPF</v>
      </c>
      <c r="AH174">
        <f>AVERAGEIFS('3. Incentive Adjustment'!G:G,'3. Incentive Adjustment'!A:A,tbl_Data_old[[#This Row],[Trimmed Sector]],'3. Incentive Adjustment'!B:B,tbl_Data_old[[#This Row],[Trimmed Measure Name]])</f>
        <v>8.3636985731950567E-3</v>
      </c>
      <c r="AI174">
        <f>$AH174*tbl_Data_old[[#This Row],[2025 ]]</f>
        <v>5.9034043535783329E-2</v>
      </c>
      <c r="AJ174">
        <f>$AH174*tbl_Data_old[[#This Row],[2026 ]]</f>
        <v>6.6034434661811664E-2</v>
      </c>
      <c r="AK174">
        <f>$AH174*tbl_Data_old[[#This Row],[2027 ]]</f>
        <v>7.2583742932501916E-2</v>
      </c>
      <c r="AL174">
        <f>$AH174*tbl_Data_old[[#This Row],[2028 ]]</f>
        <v>7.8862819970562645E-2</v>
      </c>
      <c r="AM174">
        <f>$AH174*tbl_Data_old[[#This Row],[2029 ]]</f>
        <v>8.4923094145005859E-2</v>
      </c>
      <c r="AN174">
        <f>$AH174*tbl_Data_old[[#This Row],[2030 ]]</f>
        <v>9.0559481964474206E-2</v>
      </c>
      <c r="AO174">
        <f>$AH174*tbl_Data_old[[#This Row],[2031 ]]</f>
        <v>9.6480889256789118E-2</v>
      </c>
      <c r="AP174">
        <f>$AH174*tbl_Data_old[[#This Row],[2032 ]]</f>
        <v>0.10293047146079289</v>
      </c>
      <c r="AQ174">
        <f>$AH174*tbl_Data_old[[#This Row],[2033 ]]</f>
        <v>0.10999439563682425</v>
      </c>
      <c r="AR174">
        <f>$AH174*tbl_Data_old[[#This Row],[2034 ]]</f>
        <v>0.117725854564008</v>
      </c>
      <c r="AS174">
        <f>SUM(tbl_Data_old[[#This Row],[Adjusted 2025]:[Adjusted 2034]])</f>
        <v>0.87912922812855387</v>
      </c>
      <c r="AT174" s="3">
        <f>AVERAGEIFS('3. Incentive Adjustment'!F:F,'3. Incentive Adjustment'!A:A,tbl_Data_old[[#This Row],[Trimmed Sector]],'3. Incentive Adjustment'!B:B,tbl_Data_old[[#This Row],[Trimmed Measure Name]])</f>
        <v>353</v>
      </c>
      <c r="AU174" s="3">
        <f>IFERROR(VLOOKUP(tbl_Data_old[[#This Row],[All_Meas_Name_Append]],'IRA Tax Credits'!$A$3:$D$46,4,0),0)</f>
        <v>0</v>
      </c>
      <c r="AV174" s="4">
        <f>tbl_Data_old[[#This Row],[Adj. per unit Incentive ($)]]/tbl_Data_old[[#This Row],[kWh Savings]]*tbl_Data_old[[#This Row],[Sum of Annuals]]</f>
        <v>1.2219262807787612</v>
      </c>
      <c r="AW174" s="4">
        <f>IFERROR(VLOOKUP(tbl_Data_old[[#This Row],[All_Programs]],'1. Set Program Names'!$B$2:$D$15,3,0)*tbl_Data_old[[#This Row],[Sum of Annuals]],"")</f>
        <v>0.39615548935341044</v>
      </c>
      <c r="AX174" s="4">
        <f>tbl_Data_old[[#This Row],[per unit IRA tax ($)]]/tbl_Data_old[[#This Row],[kWh Savings]]*tbl_Data_old[[#This Row],[Sum of Annuals]]</f>
        <v>0</v>
      </c>
      <c r="AY174" s="4">
        <f>tbl_Data_old[[#This Row],[Avoided Costs ($/unit)]]/tbl_Data_old[[#This Row],[kWh Savings]]*tbl_Data_old[[#This Row],[Sum of Annuals]]</f>
        <v>0.64227341555980577</v>
      </c>
      <c r="AZ174" s="4">
        <f>tbl_Data_old[[#This Row],[Lost Revenue ($/unit)]]/tbl_Data_old[[#This Row],[kWh Savings]]*tbl_Data_old[[#This Row],[Sum of Annuals]]</f>
        <v>1.1703217599939417</v>
      </c>
      <c r="BA174" s="4">
        <f>tbl_Data_old[[#This Row],[Incremental Cost ($/unit)]]/tbl_Data_old[[#This Row],[kWh Savings]]*tbl_Data_old[[#This Row],[Sum of Annuals]]</f>
        <v>3.0288540954147725</v>
      </c>
      <c r="BB174">
        <f>ROUNDUP(tbl_Data_old[[#This Row],[Adjusted 2025]]/$L174,0)</f>
        <v>1</v>
      </c>
      <c r="BC174">
        <f>ROUNDUP(tbl_Data_old[[#This Row],[Adjusted 2026]]/$L174,0)</f>
        <v>1</v>
      </c>
      <c r="BD174">
        <f>ROUNDUP(tbl_Data_old[[#This Row],[Adjusted 2027]]/$L174,0)</f>
        <v>1</v>
      </c>
      <c r="BE174">
        <f>ROUNDUP(tbl_Data_old[[#This Row],[Adjusted 2028]]/$L174,0)</f>
        <v>1</v>
      </c>
      <c r="BF174">
        <f>ROUNDUP(tbl_Data_old[[#This Row],[Adjusted 2029]]/$L174,0)</f>
        <v>1</v>
      </c>
      <c r="BG174">
        <f>ROUNDUP(tbl_Data_old[[#This Row],[Adjusted 2030]]/$L174,0)</f>
        <v>1</v>
      </c>
      <c r="BH174">
        <f>ROUNDUP(tbl_Data_old[[#This Row],[Adjusted 2031]]/$L174,0)</f>
        <v>1</v>
      </c>
      <c r="BI174">
        <f>ROUNDUP(tbl_Data_old[[#This Row],[Adjusted 2032]]/$L174,0)</f>
        <v>1</v>
      </c>
      <c r="BJ174">
        <f>ROUNDUP(tbl_Data_old[[#This Row],[Adjusted 2033]]/$L174,0)</f>
        <v>1</v>
      </c>
      <c r="BK174">
        <f>ROUNDUP(tbl_Data_old[[#This Row],[Adjusted 2034]]/$L174,0)</f>
        <v>1</v>
      </c>
      <c r="BL174" s="3">
        <f t="shared" si="12"/>
        <v>9.8106197938741513</v>
      </c>
      <c r="BM174" s="3">
        <f t="shared" si="12"/>
        <v>10.97398539840445</v>
      </c>
      <c r="BN174" s="3">
        <f t="shared" si="12"/>
        <v>12.062387437435891</v>
      </c>
      <c r="BO174" s="3">
        <f t="shared" si="12"/>
        <v>13.105880882697178</v>
      </c>
      <c r="BP174" s="3">
        <f t="shared" si="12"/>
        <v>14.113012398871543</v>
      </c>
      <c r="BQ174" s="3">
        <f t="shared" si="11"/>
        <v>15.049700021736298</v>
      </c>
      <c r="BR174" s="3">
        <f t="shared" si="11"/>
        <v>16.033753833912701</v>
      </c>
      <c r="BS174" s="3">
        <f t="shared" si="11"/>
        <v>17.105582816700647</v>
      </c>
      <c r="BT174" s="3">
        <f t="shared" si="11"/>
        <v>18.279506712016961</v>
      </c>
      <c r="BU174" s="3">
        <f t="shared" si="11"/>
        <v>19.564365404452236</v>
      </c>
      <c r="BV174">
        <f>VLOOKUP($H174,'1. Set Program Names'!$B$2:$D$15,3,0)*V174</f>
        <v>3.180659051563647</v>
      </c>
      <c r="BW174">
        <f>VLOOKUP($H174,'1. Set Program Names'!$B$2:$D$15,3,0)*W174</f>
        <v>3.5578288347242983</v>
      </c>
      <c r="BX174">
        <f>VLOOKUP($H174,'1. Set Program Names'!$B$2:$D$15,3,0)*X174</f>
        <v>3.9106950011766251</v>
      </c>
      <c r="BY174">
        <f>VLOOKUP($H174,'1. Set Program Names'!$B$2:$D$15,3,0)*Y174</f>
        <v>4.2490015446622929</v>
      </c>
      <c r="BZ174">
        <f>VLOOKUP($H174,'1. Set Program Names'!$B$2:$D$15,3,0)*Z174</f>
        <v>4.5755193427564782</v>
      </c>
      <c r="CA174">
        <f>VLOOKUP($H174,'1. Set Program Names'!$B$2:$D$15,3,0)*AA174</f>
        <v>4.8791988277175316</v>
      </c>
      <c r="CB174">
        <f>VLOOKUP($H174,'1. Set Program Names'!$B$2:$D$15,3,0)*AB174</f>
        <v>5.1982347021766522</v>
      </c>
      <c r="CC174">
        <f>VLOOKUP($H174,'1. Set Program Names'!$B$2:$D$15,3,0)*AC174</f>
        <v>5.5457277890009342</v>
      </c>
      <c r="CD174">
        <f>VLOOKUP($H174,'1. Set Program Names'!$B$2:$D$15,3,0)*AD174</f>
        <v>5.9263206304252991</v>
      </c>
      <c r="CE174">
        <f>VLOOKUP($H174,'1. Set Program Names'!$B$2:$D$15,3,0)*AE174</f>
        <v>6.3428791675960365</v>
      </c>
    </row>
    <row r="175" spans="1:83" x14ac:dyDescent="0.25">
      <c r="A175" s="20" t="s">
        <v>114</v>
      </c>
      <c r="B175" s="20" t="s">
        <v>88</v>
      </c>
      <c r="C175" s="20" t="s">
        <v>89</v>
      </c>
      <c r="D175" s="20" t="s">
        <v>90</v>
      </c>
      <c r="E175" s="20" t="s">
        <v>91</v>
      </c>
      <c r="F175" s="20" t="s">
        <v>90</v>
      </c>
      <c r="G175" s="20" t="s">
        <v>92</v>
      </c>
      <c r="H175" s="20" t="s">
        <v>9</v>
      </c>
      <c r="I175" s="20" t="s">
        <v>107</v>
      </c>
      <c r="J175" s="20" t="s">
        <v>94</v>
      </c>
      <c r="K175" s="20" t="s">
        <v>108</v>
      </c>
      <c r="L175" s="20">
        <v>1663.1099999999899</v>
      </c>
      <c r="M175" s="20">
        <v>6.6647595975018806E-2</v>
      </c>
      <c r="N175" s="20">
        <v>0.309148293753995</v>
      </c>
      <c r="O175" s="20">
        <v>1389.5</v>
      </c>
      <c r="P175" s="20">
        <v>988.78817699699403</v>
      </c>
      <c r="Q175" s="20">
        <v>499.623289969231</v>
      </c>
      <c r="R175" s="20">
        <v>791.96156853290995</v>
      </c>
      <c r="S175" s="20">
        <v>2127.4894292214699</v>
      </c>
      <c r="T175" s="20">
        <v>15</v>
      </c>
      <c r="U175" s="20">
        <v>0.2</v>
      </c>
      <c r="V175" s="20">
        <v>0.69749188488293101</v>
      </c>
      <c r="W175" s="20">
        <v>0.77569306444992603</v>
      </c>
      <c r="X175" s="20">
        <v>0.84775800212651498</v>
      </c>
      <c r="Y175" s="20">
        <v>0.91589598641576797</v>
      </c>
      <c r="Z175" s="20">
        <v>0.98076980510754297</v>
      </c>
      <c r="AA175" s="20">
        <v>1.0400797189331701</v>
      </c>
      <c r="AB175" s="20">
        <v>1.1020145939307999</v>
      </c>
      <c r="AC175" s="20">
        <v>1.16929286586988</v>
      </c>
      <c r="AD175" s="20">
        <v>1.2427999819406901</v>
      </c>
      <c r="AE175" s="20">
        <v>1.3230314186317</v>
      </c>
      <c r="AF175" t="str">
        <f t="shared" si="9"/>
        <v>Residential</v>
      </c>
      <c r="AG175" t="str">
        <f>tbl_Data_old[[#This Row],[All_Meas_Name_Append]]</f>
        <v>Heat Pump Water Heater 50 Gallons- CEE Advanced Tier</v>
      </c>
      <c r="AH175">
        <f>AVERAGEIFS('3. Incentive Adjustment'!G:G,'3. Incentive Adjustment'!A:A,tbl_Data_old[[#This Row],[Trimmed Sector]],'3. Incentive Adjustment'!B:B,tbl_Data_old[[#This Row],[Trimmed Measure Name]])</f>
        <v>0.46049099596140497</v>
      </c>
      <c r="AI175">
        <f>$AH175*tbl_Data_old[[#This Row],[2025 ]]</f>
        <v>0.32118873274473853</v>
      </c>
      <c r="AJ175">
        <f>$AH175*tbl_Data_old[[#This Row],[2026 ]]</f>
        <v>0.35719967180890072</v>
      </c>
      <c r="AK175">
        <f>$AH175*tbl_Data_old[[#This Row],[2027 ]]</f>
        <v>0.39038492673348973</v>
      </c>
      <c r="AL175">
        <f>$AH175*tbl_Data_old[[#This Row],[2028 ]]</f>
        <v>0.42176185498165042</v>
      </c>
      <c r="AM175">
        <f>$AH175*tbl_Data_old[[#This Row],[2029 ]]</f>
        <v>0.45163566436284552</v>
      </c>
      <c r="AN175">
        <f>$AH175*tbl_Data_old[[#This Row],[2030 ]]</f>
        <v>0.47894734565079367</v>
      </c>
      <c r="AO175">
        <f>$AH175*tbl_Data_old[[#This Row],[2031 ]]</f>
        <v>0.50746779792319729</v>
      </c>
      <c r="AP175">
        <f>$AH175*tbl_Data_old[[#This Row],[2032 ]]</f>
        <v>0.53844883637498653</v>
      </c>
      <c r="AQ175">
        <f>$AH175*tbl_Data_old[[#This Row],[2033 ]]</f>
        <v>0.57229820146468446</v>
      </c>
      <c r="AR175">
        <f>$AH175*tbl_Data_old[[#This Row],[2034 ]]</f>
        <v>0.60924405565394202</v>
      </c>
      <c r="AS175">
        <f>SUM(tbl_Data_old[[#This Row],[Adjusted 2025]:[Adjusted 2034]])</f>
        <v>4.6485770876992287</v>
      </c>
      <c r="AT175" s="3">
        <f>AVERAGEIFS('3. Incentive Adjustment'!F:F,'3. Incentive Adjustment'!A:A,tbl_Data_old[[#This Row],[Trimmed Sector]],'3. Incentive Adjustment'!B:B,tbl_Data_old[[#This Row],[Trimmed Measure Name]])</f>
        <v>500</v>
      </c>
      <c r="AU175" s="3">
        <f>IFERROR(VLOOKUP(tbl_Data_old[[#This Row],[All_Meas_Name_Append]],'IRA Tax Credits'!$A$3:$D$46,4,0),0)</f>
        <v>1666.6666666666667</v>
      </c>
      <c r="AV175" s="4">
        <f>tbl_Data_old[[#This Row],[Adj. per unit Incentive ($)]]/tbl_Data_old[[#This Row],[kWh Savings]]*tbl_Data_old[[#This Row],[Sum of Annuals]]</f>
        <v>1.3975555097676213</v>
      </c>
      <c r="AW175" s="4">
        <f>IFERROR(VLOOKUP(tbl_Data_old[[#This Row],[All_Programs]],'1. Set Program Names'!$B$2:$D$15,3,0)*tbl_Data_old[[#This Row],[Sum of Annuals]],"")</f>
        <v>2.0947538451141687</v>
      </c>
      <c r="AX175" s="4">
        <f>tbl_Data_old[[#This Row],[per unit IRA tax ($)]]/tbl_Data_old[[#This Row],[kWh Savings]]*tbl_Data_old[[#This Row],[Sum of Annuals]]</f>
        <v>4.6585183658920712</v>
      </c>
      <c r="AY175" s="4">
        <f>tbl_Data_old[[#This Row],[Avoided Costs ($/unit)]]/tbl_Data_old[[#This Row],[kWh Savings]]*tbl_Data_old[[#This Row],[Sum of Annuals]]</f>
        <v>2.2136205072547517</v>
      </c>
      <c r="AZ175" s="4">
        <f>tbl_Data_old[[#This Row],[Lost Revenue ($/unit)]]/tbl_Data_old[[#This Row],[kWh Savings]]*tbl_Data_old[[#This Row],[Sum of Annuals]]</f>
        <v>5.9465691475616733</v>
      </c>
      <c r="BA175" s="4">
        <f>tbl_Data_old[[#This Row],[Incremental Cost ($/unit)]]/tbl_Data_old[[#This Row],[kWh Savings]]*tbl_Data_old[[#This Row],[Sum of Annuals]]</f>
        <v>3.8838067616442191</v>
      </c>
      <c r="BB175">
        <f>ROUNDUP(tbl_Data_old[[#This Row],[Adjusted 2025]]/$L175,0)</f>
        <v>1</v>
      </c>
      <c r="BC175">
        <f>ROUNDUP(tbl_Data_old[[#This Row],[Adjusted 2026]]/$L175,0)</f>
        <v>1</v>
      </c>
      <c r="BD175">
        <f>ROUNDUP(tbl_Data_old[[#This Row],[Adjusted 2027]]/$L175,0)</f>
        <v>1</v>
      </c>
      <c r="BE175">
        <f>ROUNDUP(tbl_Data_old[[#This Row],[Adjusted 2028]]/$L175,0)</f>
        <v>1</v>
      </c>
      <c r="BF175">
        <f>ROUNDUP(tbl_Data_old[[#This Row],[Adjusted 2029]]/$L175,0)</f>
        <v>1</v>
      </c>
      <c r="BG175">
        <f>ROUNDUP(tbl_Data_old[[#This Row],[Adjusted 2030]]/$L175,0)</f>
        <v>1</v>
      </c>
      <c r="BH175">
        <f>ROUNDUP(tbl_Data_old[[#This Row],[Adjusted 2031]]/$L175,0)</f>
        <v>1</v>
      </c>
      <c r="BI175">
        <f>ROUNDUP(tbl_Data_old[[#This Row],[Adjusted 2032]]/$L175,0)</f>
        <v>1</v>
      </c>
      <c r="BJ175">
        <f>ROUNDUP(tbl_Data_old[[#This Row],[Adjusted 2033]]/$L175,0)</f>
        <v>1</v>
      </c>
      <c r="BK175">
        <f>ROUNDUP(tbl_Data_old[[#This Row],[Adjusted 2034]]/$L175,0)</f>
        <v>1</v>
      </c>
      <c r="BL175" s="3">
        <f t="shared" si="12"/>
        <v>0.20969505471163521</v>
      </c>
      <c r="BM175" s="3">
        <f t="shared" si="12"/>
        <v>0.23320558004279054</v>
      </c>
      <c r="BN175" s="3">
        <f t="shared" si="12"/>
        <v>0.25487129598358504</v>
      </c>
      <c r="BO175" s="3">
        <f t="shared" si="12"/>
        <v>0.27535640649619497</v>
      </c>
      <c r="BP175" s="3">
        <f t="shared" si="12"/>
        <v>0.29486017314174917</v>
      </c>
      <c r="BQ175" s="3">
        <f t="shared" si="11"/>
        <v>0.3126911986979744</v>
      </c>
      <c r="BR175" s="3">
        <f t="shared" si="11"/>
        <v>0.33131139669979937</v>
      </c>
      <c r="BS175" s="3">
        <f t="shared" si="11"/>
        <v>0.3515380419424714</v>
      </c>
      <c r="BT175" s="3">
        <f t="shared" si="11"/>
        <v>0.37363733665863885</v>
      </c>
      <c r="BU175" s="3">
        <f t="shared" si="11"/>
        <v>0.39775824167725171</v>
      </c>
      <c r="BV175">
        <f>VLOOKUP($H175,'1. Set Program Names'!$B$2:$D$15,3,0)*V175</f>
        <v>0.31430559937591446</v>
      </c>
      <c r="BW175">
        <f>VLOOKUP($H175,'1. Set Program Names'!$B$2:$D$15,3,0)*W175</f>
        <v>0.34954481742048465</v>
      </c>
      <c r="BX175">
        <f>VLOOKUP($H175,'1. Set Program Names'!$B$2:$D$15,3,0)*X175</f>
        <v>0.38201890625412022</v>
      </c>
      <c r="BY175">
        <f>VLOOKUP($H175,'1. Set Program Names'!$B$2:$D$15,3,0)*Y175</f>
        <v>0.41272342118320049</v>
      </c>
      <c r="BZ175">
        <f>VLOOKUP($H175,'1. Set Program Names'!$B$2:$D$15,3,0)*Z175</f>
        <v>0.4419570293579323</v>
      </c>
      <c r="CA175">
        <f>VLOOKUP($H175,'1. Set Program Names'!$B$2:$D$15,3,0)*AA175</f>
        <v>0.4686834163137123</v>
      </c>
      <c r="CB175">
        <f>VLOOKUP($H175,'1. Set Program Names'!$B$2:$D$15,3,0)*AB175</f>
        <v>0.49659267007036306</v>
      </c>
      <c r="CC175">
        <f>VLOOKUP($H175,'1. Set Program Names'!$B$2:$D$15,3,0)*AC175</f>
        <v>0.52690977919391591</v>
      </c>
      <c r="CD175">
        <f>VLOOKUP($H175,'1. Set Program Names'!$B$2:$D$15,3,0)*AD175</f>
        <v>0.56003374619018942</v>
      </c>
      <c r="CE175">
        <f>VLOOKUP($H175,'1. Set Program Names'!$B$2:$D$15,3,0)*AE175</f>
        <v>0.59618784395749347</v>
      </c>
    </row>
    <row r="176" spans="1:83" x14ac:dyDescent="0.25">
      <c r="A176" s="20" t="s">
        <v>114</v>
      </c>
      <c r="B176" s="20" t="s">
        <v>88</v>
      </c>
      <c r="C176" s="20" t="s">
        <v>89</v>
      </c>
      <c r="D176" s="20" t="s">
        <v>90</v>
      </c>
      <c r="E176" s="20" t="s">
        <v>91</v>
      </c>
      <c r="F176" s="20" t="s">
        <v>90</v>
      </c>
      <c r="G176" s="20" t="s">
        <v>92</v>
      </c>
      <c r="H176" s="20" t="s">
        <v>9</v>
      </c>
      <c r="I176" s="20" t="s">
        <v>109</v>
      </c>
      <c r="J176" s="20" t="s">
        <v>94</v>
      </c>
      <c r="K176" s="20" t="s">
        <v>95</v>
      </c>
      <c r="L176" s="20">
        <v>1590.11499999999</v>
      </c>
      <c r="M176" s="20">
        <v>6.3722388822036402E-2</v>
      </c>
      <c r="N176" s="20">
        <v>0.29557957027655002</v>
      </c>
      <c r="O176" s="20">
        <v>1389.5</v>
      </c>
      <c r="P176" s="20">
        <v>1006.47372867305</v>
      </c>
      <c r="Q176" s="20">
        <v>477.694492685044</v>
      </c>
      <c r="R176" s="20">
        <v>757.20185047754296</v>
      </c>
      <c r="S176" s="20">
        <v>2034.1125083407001</v>
      </c>
      <c r="T176" s="20">
        <v>15</v>
      </c>
      <c r="U176" s="20">
        <v>0.2</v>
      </c>
      <c r="V176" s="20">
        <v>0.99676670513503496</v>
      </c>
      <c r="W176" s="20">
        <v>1.1080673828487599</v>
      </c>
      <c r="X176" s="20">
        <v>1.21056500362743</v>
      </c>
      <c r="Y176" s="20">
        <v>1.30743191355649</v>
      </c>
      <c r="Z176" s="20">
        <v>1.3996264714339599</v>
      </c>
      <c r="AA176" s="20">
        <v>1.48387708877399</v>
      </c>
      <c r="AB176" s="20">
        <v>1.57187391135892</v>
      </c>
      <c r="AC176" s="20">
        <v>1.66749409534264</v>
      </c>
      <c r="AD176" s="20">
        <v>1.7719983389488301</v>
      </c>
      <c r="AE176" s="20">
        <v>1.8860909631309299</v>
      </c>
      <c r="AF176" t="str">
        <f t="shared" si="9"/>
        <v>Residential</v>
      </c>
      <c r="AG176" t="str">
        <f>tbl_Data_old[[#This Row],[All_Meas_Name_Append]]</f>
        <v>Heat Pump Water Heater 50 Gallons-ENERGY STAR</v>
      </c>
      <c r="AH176">
        <f>AVERAGEIFS('3. Incentive Adjustment'!G:G,'3. Incentive Adjustment'!A:A,tbl_Data_old[[#This Row],[Trimmed Sector]],'3. Incentive Adjustment'!B:B,tbl_Data_old[[#This Row],[Trimmed Measure Name]])</f>
        <v>0.43153525594917136</v>
      </c>
      <c r="AI176">
        <f>$AH176*tbl_Data_old[[#This Row],[2025 ]]</f>
        <v>0.43013997522205955</v>
      </c>
      <c r="AJ176">
        <f>$AH176*tbl_Data_old[[#This Row],[2026 ]]</f>
        <v>0.47817014166656807</v>
      </c>
      <c r="AK176">
        <f>$AH176*tbl_Data_old[[#This Row],[2027 ]]</f>
        <v>0.52240147868347253</v>
      </c>
      <c r="AL176">
        <f>$AH176*tbl_Data_old[[#This Row],[2028 ]]</f>
        <v>0.56420296545271476</v>
      </c>
      <c r="AM176">
        <f>$AH176*tbl_Data_old[[#This Row],[2029 ]]</f>
        <v>0.6039881675834895</v>
      </c>
      <c r="AN176">
        <f>$AH176*tbl_Data_old[[#This Row],[2030 ]]</f>
        <v>0.64034527930119511</v>
      </c>
      <c r="AO176">
        <f>$AH176*tbl_Data_old[[#This Row],[2031 ]]</f>
        <v>0.67831901065809663</v>
      </c>
      <c r="AP176">
        <f>$AH176*tbl_Data_old[[#This Row],[2032 ]]</f>
        <v>0.71958249122741813</v>
      </c>
      <c r="AQ176">
        <f>$AH176*tbl_Data_old[[#This Row],[2033 ]]</f>
        <v>0.76467975673978994</v>
      </c>
      <c r="AR176">
        <f>$AH176*tbl_Data_old[[#This Row],[2034 ]]</f>
        <v>0.81391474651812501</v>
      </c>
      <c r="AS176">
        <f>SUM(tbl_Data_old[[#This Row],[Adjusted 2025]:[Adjusted 2034]])</f>
        <v>6.2157440130529293</v>
      </c>
      <c r="AT176" s="3">
        <f>AVERAGEIFS('3. Incentive Adjustment'!F:F,'3. Incentive Adjustment'!A:A,tbl_Data_old[[#This Row],[Trimmed Sector]],'3. Incentive Adjustment'!B:B,tbl_Data_old[[#This Row],[Trimmed Measure Name]])</f>
        <v>500</v>
      </c>
      <c r="AU176" s="3">
        <f>IFERROR(VLOOKUP(tbl_Data_old[[#This Row],[All_Meas_Name_Append]],'IRA Tax Credits'!$A$3:$D$46,4,0),0)</f>
        <v>1666.6666666666667</v>
      </c>
      <c r="AV176" s="4">
        <f>tbl_Data_old[[#This Row],[Adj. per unit Incentive ($)]]/tbl_Data_old[[#This Row],[kWh Savings]]*tbl_Data_old[[#This Row],[Sum of Annuals]]</f>
        <v>1.9544951192375921</v>
      </c>
      <c r="AW176" s="4">
        <f>IFERROR(VLOOKUP(tbl_Data_old[[#This Row],[All_Programs]],'1. Set Program Names'!$B$2:$D$15,3,0)*tbl_Data_old[[#This Row],[Sum of Annuals]],"")</f>
        <v>2.8009546633187821</v>
      </c>
      <c r="AX176" s="4">
        <f>tbl_Data_old[[#This Row],[per unit IRA tax ($)]]/tbl_Data_old[[#This Row],[kWh Savings]]*tbl_Data_old[[#This Row],[Sum of Annuals]]</f>
        <v>6.5149837307919745</v>
      </c>
      <c r="AY176" s="4">
        <f>tbl_Data_old[[#This Row],[Avoided Costs ($/unit)]]/tbl_Data_old[[#This Row],[kWh Savings]]*tbl_Data_old[[#This Row],[Sum of Annuals]]</f>
        <v>2.959894642072062</v>
      </c>
      <c r="AZ176" s="4">
        <f>tbl_Data_old[[#This Row],[Lost Revenue ($/unit)]]/tbl_Data_old[[#This Row],[kWh Savings]]*tbl_Data_old[[#This Row],[Sum of Annuals]]</f>
        <v>7.9513259390640698</v>
      </c>
      <c r="BA176" s="4">
        <f>tbl_Data_old[[#This Row],[Incremental Cost ($/unit)]]/tbl_Data_old[[#This Row],[kWh Savings]]*tbl_Data_old[[#This Row],[Sum of Annuals]]</f>
        <v>5.4315419363612696</v>
      </c>
      <c r="BB176">
        <f>ROUNDUP(tbl_Data_old[[#This Row],[Adjusted 2025]]/$L176,0)</f>
        <v>1</v>
      </c>
      <c r="BC176">
        <f>ROUNDUP(tbl_Data_old[[#This Row],[Adjusted 2026]]/$L176,0)</f>
        <v>1</v>
      </c>
      <c r="BD176">
        <f>ROUNDUP(tbl_Data_old[[#This Row],[Adjusted 2027]]/$L176,0)</f>
        <v>1</v>
      </c>
      <c r="BE176">
        <f>ROUNDUP(tbl_Data_old[[#This Row],[Adjusted 2028]]/$L176,0)</f>
        <v>1</v>
      </c>
      <c r="BF176">
        <f>ROUNDUP(tbl_Data_old[[#This Row],[Adjusted 2029]]/$L176,0)</f>
        <v>1</v>
      </c>
      <c r="BG176">
        <f>ROUNDUP(tbl_Data_old[[#This Row],[Adjusted 2030]]/$L176,0)</f>
        <v>1</v>
      </c>
      <c r="BH176">
        <f>ROUNDUP(tbl_Data_old[[#This Row],[Adjusted 2031]]/$L176,0)</f>
        <v>1</v>
      </c>
      <c r="BI176">
        <f>ROUNDUP(tbl_Data_old[[#This Row],[Adjusted 2032]]/$L176,0)</f>
        <v>1</v>
      </c>
      <c r="BJ176">
        <f>ROUNDUP(tbl_Data_old[[#This Row],[Adjusted 2033]]/$L176,0)</f>
        <v>1</v>
      </c>
      <c r="BK176">
        <f>ROUNDUP(tbl_Data_old[[#This Row],[Adjusted 2034]]/$L176,0)</f>
        <v>1</v>
      </c>
      <c r="BL176" s="3">
        <f t="shared" si="12"/>
        <v>0.31342598023886359</v>
      </c>
      <c r="BM176" s="3">
        <f t="shared" si="12"/>
        <v>0.34842366207751224</v>
      </c>
      <c r="BN176" s="3">
        <f t="shared" si="12"/>
        <v>0.38065328722370317</v>
      </c>
      <c r="BO176" s="3">
        <f t="shared" si="12"/>
        <v>0.41111237663832434</v>
      </c>
      <c r="BP176" s="3">
        <f t="shared" si="12"/>
        <v>0.44010227921690209</v>
      </c>
      <c r="BQ176" s="3">
        <f t="shared" si="11"/>
        <v>0.46659426795357545</v>
      </c>
      <c r="BR176" s="3">
        <f t="shared" si="11"/>
        <v>0.49426422345519971</v>
      </c>
      <c r="BS176" s="3">
        <f t="shared" si="11"/>
        <v>0.52433128903967652</v>
      </c>
      <c r="BT176" s="3">
        <f t="shared" si="11"/>
        <v>0.55719188201760284</v>
      </c>
      <c r="BU176" s="3">
        <f t="shared" si="11"/>
        <v>0.593067470947366</v>
      </c>
      <c r="BV176">
        <f>VLOOKUP($H176,'1. Set Program Names'!$B$2:$D$15,3,0)*V176</f>
        <v>0.44916559387354865</v>
      </c>
      <c r="BW176">
        <f>VLOOKUP($H176,'1. Set Program Names'!$B$2:$D$15,3,0)*W176</f>
        <v>0.49932019348674611</v>
      </c>
      <c r="BX176">
        <f>VLOOKUP($H176,'1. Set Program Names'!$B$2:$D$15,3,0)*X176</f>
        <v>0.54550793678766241</v>
      </c>
      <c r="BY176">
        <f>VLOOKUP($H176,'1. Set Program Names'!$B$2:$D$15,3,0)*Y176</f>
        <v>0.58915835458435983</v>
      </c>
      <c r="BZ176">
        <f>VLOOKUP($H176,'1. Set Program Names'!$B$2:$D$15,3,0)*Z176</f>
        <v>0.63070330500014737</v>
      </c>
      <c r="CA176">
        <f>VLOOKUP($H176,'1. Set Program Names'!$B$2:$D$15,3,0)*AA176</f>
        <v>0.66866853635949652</v>
      </c>
      <c r="CB176">
        <f>VLOOKUP($H176,'1. Set Program Names'!$B$2:$D$15,3,0)*AB176</f>
        <v>0.70832189242739485</v>
      </c>
      <c r="CC176">
        <f>VLOOKUP($H176,'1. Set Program Names'!$B$2:$D$15,3,0)*AC176</f>
        <v>0.7514105073501085</v>
      </c>
      <c r="CD176">
        <f>VLOOKUP($H176,'1. Set Program Names'!$B$2:$D$15,3,0)*AD176</f>
        <v>0.79850248022586912</v>
      </c>
      <c r="CE176">
        <f>VLOOKUP($H176,'1. Set Program Names'!$B$2:$D$15,3,0)*AE176</f>
        <v>0.8499151939866102</v>
      </c>
    </row>
    <row r="177" spans="1:83" x14ac:dyDescent="0.25">
      <c r="A177" s="20" t="s">
        <v>114</v>
      </c>
      <c r="B177" s="20" t="s">
        <v>88</v>
      </c>
      <c r="C177" s="20" t="s">
        <v>89</v>
      </c>
      <c r="D177" s="20" t="s">
        <v>90</v>
      </c>
      <c r="E177" s="20" t="s">
        <v>91</v>
      </c>
      <c r="F177" s="20" t="s">
        <v>90</v>
      </c>
      <c r="G177" s="20" t="s">
        <v>92</v>
      </c>
      <c r="H177" s="20" t="s">
        <v>9</v>
      </c>
      <c r="I177" s="20" t="s">
        <v>110</v>
      </c>
      <c r="J177" s="20" t="s">
        <v>94</v>
      </c>
      <c r="K177" s="20" t="s">
        <v>108</v>
      </c>
      <c r="L177" s="20">
        <v>461.909999999999</v>
      </c>
      <c r="M177" s="20">
        <v>1.8510616289253799E-2</v>
      </c>
      <c r="N177" s="20">
        <v>8.5862443475120898E-2</v>
      </c>
      <c r="O177" s="20">
        <v>1729.5</v>
      </c>
      <c r="P177" s="20">
        <v>1631.9996867488601</v>
      </c>
      <c r="Q177" s="20">
        <v>138.764720234794</v>
      </c>
      <c r="R177" s="20">
        <v>219.958372038552</v>
      </c>
      <c r="S177" s="20">
        <v>590.88613636602201</v>
      </c>
      <c r="T177" s="20">
        <v>15</v>
      </c>
      <c r="U177" s="20">
        <v>0.2</v>
      </c>
      <c r="V177" s="20">
        <v>0.53618433508286101</v>
      </c>
      <c r="W177" s="20">
        <v>0.59640560013718302</v>
      </c>
      <c r="X177" s="20">
        <v>0.65191677585083396</v>
      </c>
      <c r="Y177" s="20">
        <v>0.70441259302802495</v>
      </c>
      <c r="Z177" s="20">
        <v>0.75439990229441201</v>
      </c>
      <c r="AA177" s="20">
        <v>0.80010736898795598</v>
      </c>
      <c r="AB177" s="20">
        <v>0.84783285260301899</v>
      </c>
      <c r="AC177" s="20">
        <v>0.89966782734016904</v>
      </c>
      <c r="AD177" s="20">
        <v>0.95629399055183495</v>
      </c>
      <c r="AE177" s="20">
        <v>1.0180930418084599</v>
      </c>
      <c r="AF177" t="str">
        <f t="shared" si="9"/>
        <v>Residential</v>
      </c>
      <c r="AG177" t="str">
        <f>tbl_Data_old[[#This Row],[All_Meas_Name_Append]]</f>
        <v>Heat Pump Water Heater 80 Gallons-ENERGY STAR</v>
      </c>
      <c r="AH177">
        <f>AVERAGEIFS('3. Incentive Adjustment'!G:G,'3. Incentive Adjustment'!A:A,tbl_Data_old[[#This Row],[Trimmed Sector]],'3. Incentive Adjustment'!B:B,tbl_Data_old[[#This Row],[Trimmed Measure Name]])</f>
        <v>1.5551101216712928E-3</v>
      </c>
      <c r="AI177">
        <f>$AH177*tbl_Data_old[[#This Row],[2025 ]]</f>
        <v>8.3382568656894921E-4</v>
      </c>
      <c r="AJ177">
        <f>$AH177*tbl_Data_old[[#This Row],[2026 ]]</f>
        <v>9.2747638539477512E-4</v>
      </c>
      <c r="AK177">
        <f>$AH177*tbl_Data_old[[#This Row],[2027 ]]</f>
        <v>1.0138023766129473E-3</v>
      </c>
      <c r="AL177">
        <f>$AH177*tbl_Data_old[[#This Row],[2028 ]]</f>
        <v>1.0954391532506027E-3</v>
      </c>
      <c r="AM177">
        <f>$AH177*tbl_Data_old[[#This Row],[2029 ]]</f>
        <v>1.1731749238458745E-3</v>
      </c>
      <c r="AN177">
        <f>$AH177*tbl_Data_old[[#This Row],[2030 ]]</f>
        <v>1.2442550679369582E-3</v>
      </c>
      <c r="AO177">
        <f>$AH177*tbl_Data_old[[#This Row],[2031 ]]</f>
        <v>1.3184734505684002E-3</v>
      </c>
      <c r="AP177">
        <f>$AH177*tbl_Data_old[[#This Row],[2032 ]]</f>
        <v>1.3990825444387179E-3</v>
      </c>
      <c r="AQ177">
        <f>$AH177*tbl_Data_old[[#This Row],[2033 ]]</f>
        <v>1.4871424640005902E-3</v>
      </c>
      <c r="AR177">
        <f>$AH177*tbl_Data_old[[#This Row],[2034 ]]</f>
        <v>1.5832467941194507E-3</v>
      </c>
      <c r="AS177">
        <f>SUM(tbl_Data_old[[#This Row],[Adjusted 2025]:[Adjusted 2034]])</f>
        <v>1.2075918846737267E-2</v>
      </c>
      <c r="AT177" s="3">
        <f>AVERAGEIFS('3. Incentive Adjustment'!F:F,'3. Incentive Adjustment'!A:A,tbl_Data_old[[#This Row],[Trimmed Sector]],'3. Incentive Adjustment'!B:B,tbl_Data_old[[#This Row],[Trimmed Measure Name]])</f>
        <v>500</v>
      </c>
      <c r="AU177" s="3">
        <f>IFERROR(VLOOKUP(tbl_Data_old[[#This Row],[All_Meas_Name_Append]],'IRA Tax Credits'!$A$3:$D$46,4,0),0)</f>
        <v>1666.6666666666667</v>
      </c>
      <c r="AV177" s="4">
        <f>tbl_Data_old[[#This Row],[Adj. per unit Incentive ($)]]/tbl_Data_old[[#This Row],[kWh Savings]]*tbl_Data_old[[#This Row],[Sum of Annuals]]</f>
        <v>1.3071722680540901E-2</v>
      </c>
      <c r="AW177" s="4">
        <f>IFERROR(VLOOKUP(tbl_Data_old[[#This Row],[All_Programs]],'1. Set Program Names'!$B$2:$D$15,3,0)*tbl_Data_old[[#This Row],[Sum of Annuals]],"")</f>
        <v>5.4416818222561975E-3</v>
      </c>
      <c r="AX177" s="4">
        <f>tbl_Data_old[[#This Row],[per unit IRA tax ($)]]/tbl_Data_old[[#This Row],[kWh Savings]]*tbl_Data_old[[#This Row],[Sum of Annuals]]</f>
        <v>4.3572408935136329E-2</v>
      </c>
      <c r="AY177" s="4">
        <f>tbl_Data_old[[#This Row],[Avoided Costs ($/unit)]]/tbl_Data_old[[#This Row],[kWh Savings]]*tbl_Data_old[[#This Row],[Sum of Annuals]]</f>
        <v>5.7504696811023865E-3</v>
      </c>
      <c r="AZ177" s="4">
        <f>tbl_Data_old[[#This Row],[Lost Revenue ($/unit)]]/tbl_Data_old[[#This Row],[kWh Savings]]*tbl_Data_old[[#This Row],[Sum of Annuals]]</f>
        <v>1.5447799420705824E-2</v>
      </c>
      <c r="BA177" s="4">
        <f>tbl_Data_old[[#This Row],[Incremental Cost ($/unit)]]/tbl_Data_old[[#This Row],[kWh Savings]]*tbl_Data_old[[#This Row],[Sum of Annuals]]</f>
        <v>4.521508875199097E-2</v>
      </c>
      <c r="BB177">
        <f>ROUNDUP(tbl_Data_old[[#This Row],[Adjusted 2025]]/$L177,0)</f>
        <v>1</v>
      </c>
      <c r="BC177">
        <f>ROUNDUP(tbl_Data_old[[#This Row],[Adjusted 2026]]/$L177,0)</f>
        <v>1</v>
      </c>
      <c r="BD177">
        <f>ROUNDUP(tbl_Data_old[[#This Row],[Adjusted 2027]]/$L177,0)</f>
        <v>1</v>
      </c>
      <c r="BE177">
        <f>ROUNDUP(tbl_Data_old[[#This Row],[Adjusted 2028]]/$L177,0)</f>
        <v>1</v>
      </c>
      <c r="BF177">
        <f>ROUNDUP(tbl_Data_old[[#This Row],[Adjusted 2029]]/$L177,0)</f>
        <v>1</v>
      </c>
      <c r="BG177">
        <f>ROUNDUP(tbl_Data_old[[#This Row],[Adjusted 2030]]/$L177,0)</f>
        <v>1</v>
      </c>
      <c r="BH177">
        <f>ROUNDUP(tbl_Data_old[[#This Row],[Adjusted 2031]]/$L177,0)</f>
        <v>1</v>
      </c>
      <c r="BI177">
        <f>ROUNDUP(tbl_Data_old[[#This Row],[Adjusted 2032]]/$L177,0)</f>
        <v>1</v>
      </c>
      <c r="BJ177">
        <f>ROUNDUP(tbl_Data_old[[#This Row],[Adjusted 2033]]/$L177,0)</f>
        <v>1</v>
      </c>
      <c r="BK177">
        <f>ROUNDUP(tbl_Data_old[[#This Row],[Adjusted 2034]]/$L177,0)</f>
        <v>1</v>
      </c>
      <c r="BL177" s="3">
        <f t="shared" si="12"/>
        <v>0.58039914169736773</v>
      </c>
      <c r="BM177" s="3">
        <f t="shared" si="12"/>
        <v>0.64558636978760409</v>
      </c>
      <c r="BN177" s="3">
        <f t="shared" si="12"/>
        <v>0.70567510537857525</v>
      </c>
      <c r="BO177" s="3">
        <f t="shared" si="12"/>
        <v>0.76249983008381128</v>
      </c>
      <c r="BP177" s="3">
        <f t="shared" si="12"/>
        <v>0.8166091904206596</v>
      </c>
      <c r="BQ177" s="3">
        <f t="shared" si="11"/>
        <v>0.86608578401415615</v>
      </c>
      <c r="BR177" s="3">
        <f t="shared" si="11"/>
        <v>0.91774680414260457</v>
      </c>
      <c r="BS177" s="3">
        <f t="shared" si="11"/>
        <v>0.9738561920505846</v>
      </c>
      <c r="BT177" s="3">
        <f t="shared" si="11"/>
        <v>1.0351518591845132</v>
      </c>
      <c r="BU177" s="3">
        <f t="shared" si="11"/>
        <v>1.1020469808062849</v>
      </c>
      <c r="BV177">
        <f>VLOOKUP($H177,'1. Set Program Names'!$B$2:$D$15,3,0)*V177</f>
        <v>0.24161677356644889</v>
      </c>
      <c r="BW177">
        <f>VLOOKUP($H177,'1. Set Program Names'!$B$2:$D$15,3,0)*W177</f>
        <v>0.26875383597291891</v>
      </c>
      <c r="BX177">
        <f>VLOOKUP($H177,'1. Set Program Names'!$B$2:$D$15,3,0)*X177</f>
        <v>0.29376842572354972</v>
      </c>
      <c r="BY177">
        <f>VLOOKUP($H177,'1. Set Program Names'!$B$2:$D$15,3,0)*Y177</f>
        <v>0.31742422680197346</v>
      </c>
      <c r="BZ177">
        <f>VLOOKUP($H177,'1. Set Program Names'!$B$2:$D$15,3,0)*Z177</f>
        <v>0.33994963754965268</v>
      </c>
      <c r="CA177">
        <f>VLOOKUP($H177,'1. Set Program Names'!$B$2:$D$15,3,0)*AA177</f>
        <v>0.36054645455416912</v>
      </c>
      <c r="CB177">
        <f>VLOOKUP($H177,'1. Set Program Names'!$B$2:$D$15,3,0)*AB177</f>
        <v>0.38205263556967362</v>
      </c>
      <c r="CC177">
        <f>VLOOKUP($H177,'1. Set Program Names'!$B$2:$D$15,3,0)*AC177</f>
        <v>0.40541064611646277</v>
      </c>
      <c r="CD177">
        <f>VLOOKUP($H177,'1. Set Program Names'!$B$2:$D$15,3,0)*AD177</f>
        <v>0.43092767442079677</v>
      </c>
      <c r="CE177">
        <f>VLOOKUP($H177,'1. Set Program Names'!$B$2:$D$15,3,0)*AE177</f>
        <v>0.45877572293154972</v>
      </c>
    </row>
    <row r="178" spans="1:83" x14ac:dyDescent="0.25">
      <c r="A178" s="20" t="s">
        <v>114</v>
      </c>
      <c r="B178" s="20" t="s">
        <v>88</v>
      </c>
      <c r="C178" s="20" t="s">
        <v>89</v>
      </c>
      <c r="D178" s="20" t="s">
        <v>90</v>
      </c>
      <c r="E178" s="20" t="s">
        <v>91</v>
      </c>
      <c r="F178" s="20" t="s">
        <v>90</v>
      </c>
      <c r="G178" s="20" t="s">
        <v>92</v>
      </c>
      <c r="H178" s="20" t="s">
        <v>9</v>
      </c>
      <c r="I178" s="20" t="s">
        <v>300</v>
      </c>
      <c r="J178" s="20" t="s">
        <v>120</v>
      </c>
      <c r="K178" s="20" t="s">
        <v>121</v>
      </c>
      <c r="L178" s="20">
        <v>1988.02171595288</v>
      </c>
      <c r="M178" s="20">
        <v>0.57653488407092901</v>
      </c>
      <c r="N178" s="20">
        <v>0.213799538654902</v>
      </c>
      <c r="O178" s="53">
        <v>1475.381509522</v>
      </c>
      <c r="P178" s="20">
        <v>647.28493209175997</v>
      </c>
      <c r="Q178" s="20">
        <v>597.23166252061401</v>
      </c>
      <c r="R178" s="20">
        <v>1282.4247459138801</v>
      </c>
      <c r="S178" s="20">
        <v>3005.0463968047102</v>
      </c>
      <c r="T178" s="20">
        <v>20</v>
      </c>
      <c r="U178" s="20">
        <v>1</v>
      </c>
      <c r="V178" s="20">
        <v>47.9075385748069</v>
      </c>
      <c r="W178" s="20">
        <v>51.054306066315696</v>
      </c>
      <c r="X178" s="20">
        <v>52.637844895671101</v>
      </c>
      <c r="Y178" s="20">
        <v>53.9558952259313</v>
      </c>
      <c r="Z178" s="20">
        <v>55.690574570533698</v>
      </c>
      <c r="AA178" s="20">
        <v>57.5171701377243</v>
      </c>
      <c r="AB178" s="20">
        <v>59.987329072733303</v>
      </c>
      <c r="AC178" s="20">
        <v>62.825706020043697</v>
      </c>
      <c r="AD178" s="20">
        <v>66.139217882562406</v>
      </c>
      <c r="AE178" s="20">
        <v>69.846936516418594</v>
      </c>
      <c r="AF178" t="str">
        <f t="shared" si="9"/>
        <v>Residential</v>
      </c>
      <c r="AG178" t="str">
        <f>tbl_Data_old[[#This Row],[All_Meas_Name_Append]]</f>
        <v>New Construction - Whole Home Improvements - Tier 1</v>
      </c>
      <c r="AH178">
        <f>AVERAGEIFS('3. Incentive Adjustment'!G:G,'3. Incentive Adjustment'!A:A,tbl_Data_old[[#This Row],[Trimmed Sector]],'3. Incentive Adjustment'!B:B,tbl_Data_old[[#This Row],[Trimmed Measure Name]])</f>
        <v>0.42355026786158312</v>
      </c>
      <c r="AI178">
        <f>$AH178*tbl_Data_old[[#This Row],[2025 ]]</f>
        <v>20.291250795948589</v>
      </c>
      <c r="AJ178">
        <f>$AH178*tbl_Data_old[[#This Row],[2026 ]]</f>
        <v>21.62406500987526</v>
      </c>
      <c r="AK178">
        <f>$AH178*tbl_Data_old[[#This Row],[2027 ]]</f>
        <v>22.294773305217962</v>
      </c>
      <c r="AL178">
        <f>$AH178*tbl_Data_old[[#This Row],[2028 ]]</f>
        <v>22.853033875654717</v>
      </c>
      <c r="AM178">
        <f>$AH178*tbl_Data_old[[#This Row],[2029 ]]</f>
        <v>23.587757776715016</v>
      </c>
      <c r="AN178">
        <f>$AH178*tbl_Data_old[[#This Row],[2030 ]]</f>
        <v>24.361412818473376</v>
      </c>
      <c r="AO178">
        <f>$AH178*tbl_Data_old[[#This Row],[2031 ]]</f>
        <v>25.407649297057123</v>
      </c>
      <c r="AP178">
        <f>$AH178*tbl_Data_old[[#This Row],[2032 ]]</f>
        <v>26.609844613382585</v>
      </c>
      <c r="AQ178">
        <f>$AH178*tbl_Data_old[[#This Row],[2033 ]]</f>
        <v>28.013283450314916</v>
      </c>
      <c r="AR178">
        <f>$AH178*tbl_Data_old[[#This Row],[2034 ]]</f>
        <v>29.583688670840086</v>
      </c>
      <c r="AS178">
        <f>SUM(tbl_Data_old[[#This Row],[Adjusted 2025]:[Adjusted 2034]])</f>
        <v>244.62675961347966</v>
      </c>
      <c r="AT178" s="3">
        <f>AVERAGEIFS('3. Incentive Adjustment'!F:F,'3. Incentive Adjustment'!A:A,tbl_Data_old[[#This Row],[Trimmed Sector]],'3. Incentive Adjustment'!B:B,tbl_Data_old[[#This Row],[Trimmed Measure Name]])</f>
        <v>0</v>
      </c>
      <c r="AU178" s="3">
        <f>IFERROR(VLOOKUP(tbl_Data_old[[#This Row],[All_Meas_Name_Append]],'IRA Tax Credits'!$A$3:$D$46,4,0),0)</f>
        <v>0</v>
      </c>
      <c r="AV178" s="4">
        <f>tbl_Data_old[[#This Row],[Adj. per unit Incentive ($)]]/tbl_Data_old[[#This Row],[kWh Savings]]*tbl_Data_old[[#This Row],[Sum of Annuals]]</f>
        <v>0</v>
      </c>
      <c r="AW178" s="4">
        <f>IFERROR(VLOOKUP(tbl_Data_old[[#This Row],[All_Programs]],'1. Set Program Names'!$B$2:$D$15,3,0)*tbl_Data_old[[#This Row],[Sum of Annuals]],"")</f>
        <v>110.23434389721608</v>
      </c>
      <c r="AX178" s="4">
        <f>tbl_Data_old[[#This Row],[per unit IRA tax ($)]]/tbl_Data_old[[#This Row],[kWh Savings]]*tbl_Data_old[[#This Row],[Sum of Annuals]]</f>
        <v>0</v>
      </c>
      <c r="AY178" s="4">
        <f>tbl_Data_old[[#This Row],[Avoided Costs ($/unit)]]/tbl_Data_old[[#This Row],[kWh Savings]]*tbl_Data_old[[#This Row],[Sum of Annuals]]</f>
        <v>157.80280845206227</v>
      </c>
      <c r="AZ178" s="4">
        <f>tbl_Data_old[[#This Row],[Lost Revenue ($/unit)]]/tbl_Data_old[[#This Row],[kWh Savings]]*tbl_Data_old[[#This Row],[Sum of Annuals]]</f>
        <v>369.77199828330384</v>
      </c>
      <c r="BA178" s="4">
        <f>tbl_Data_old[[#This Row],[Incremental Cost ($/unit)]]/tbl_Data_old[[#This Row],[kWh Savings]]*tbl_Data_old[[#This Row],[Sum of Annuals]]</f>
        <v>181.54620493922488</v>
      </c>
      <c r="BB178">
        <f>ROUNDUP(tbl_Data_old[[#This Row],[Adjusted 2025]]/$L178,0)</f>
        <v>1</v>
      </c>
      <c r="BC178">
        <f>ROUNDUP(tbl_Data_old[[#This Row],[Adjusted 2026]]/$L178,0)</f>
        <v>1</v>
      </c>
      <c r="BD178">
        <f>ROUNDUP(tbl_Data_old[[#This Row],[Adjusted 2027]]/$L178,0)</f>
        <v>1</v>
      </c>
      <c r="BE178">
        <f>ROUNDUP(tbl_Data_old[[#This Row],[Adjusted 2028]]/$L178,0)</f>
        <v>1</v>
      </c>
      <c r="BF178">
        <f>ROUNDUP(tbl_Data_old[[#This Row],[Adjusted 2029]]/$L178,0)</f>
        <v>1</v>
      </c>
      <c r="BG178">
        <f>ROUNDUP(tbl_Data_old[[#This Row],[Adjusted 2030]]/$L178,0)</f>
        <v>1</v>
      </c>
      <c r="BH178">
        <f>ROUNDUP(tbl_Data_old[[#This Row],[Adjusted 2031]]/$L178,0)</f>
        <v>1</v>
      </c>
      <c r="BI178">
        <f>ROUNDUP(tbl_Data_old[[#This Row],[Adjusted 2032]]/$L178,0)</f>
        <v>1</v>
      </c>
      <c r="BJ178">
        <f>ROUNDUP(tbl_Data_old[[#This Row],[Adjusted 2033]]/$L178,0)</f>
        <v>1</v>
      </c>
      <c r="BK178">
        <f>ROUNDUP(tbl_Data_old[[#This Row],[Adjusted 2034]]/$L178,0)</f>
        <v>1</v>
      </c>
      <c r="BL178" s="3">
        <f t="shared" si="12"/>
        <v>0</v>
      </c>
      <c r="BM178" s="3">
        <f t="shared" si="12"/>
        <v>0</v>
      </c>
      <c r="BN178" s="3">
        <f t="shared" si="12"/>
        <v>0</v>
      </c>
      <c r="BO178" s="3">
        <f t="shared" si="12"/>
        <v>0</v>
      </c>
      <c r="BP178" s="3">
        <f t="shared" si="12"/>
        <v>0</v>
      </c>
      <c r="BQ178" s="3">
        <f t="shared" si="11"/>
        <v>0</v>
      </c>
      <c r="BR178" s="3">
        <f t="shared" si="11"/>
        <v>0</v>
      </c>
      <c r="BS178" s="3">
        <f t="shared" si="11"/>
        <v>0</v>
      </c>
      <c r="BT178" s="3">
        <f t="shared" si="11"/>
        <v>0</v>
      </c>
      <c r="BU178" s="3">
        <f t="shared" si="11"/>
        <v>0</v>
      </c>
      <c r="BV178">
        <f>VLOOKUP($H178,'1. Set Program Names'!$B$2:$D$15,3,0)*V178</f>
        <v>21.588219092909927</v>
      </c>
      <c r="BW178">
        <f>VLOOKUP($H178,'1. Set Program Names'!$B$2:$D$15,3,0)*W178</f>
        <v>23.006223608734967</v>
      </c>
      <c r="BX178">
        <f>VLOOKUP($H178,'1. Set Program Names'!$B$2:$D$15,3,0)*X178</f>
        <v>23.719801976717157</v>
      </c>
      <c r="BY178">
        <f>VLOOKUP($H178,'1. Set Program Names'!$B$2:$D$15,3,0)*Y178</f>
        <v>24.313745229733765</v>
      </c>
      <c r="BZ178">
        <f>VLOOKUP($H178,'1. Set Program Names'!$B$2:$D$15,3,0)*Z178</f>
        <v>25.095430928086781</v>
      </c>
      <c r="CA178">
        <f>VLOOKUP($H178,'1. Set Program Names'!$B$2:$D$15,3,0)*AA178</f>
        <v>25.918536152686766</v>
      </c>
      <c r="CB178">
        <f>VLOOKUP($H178,'1. Set Program Names'!$B$2:$D$15,3,0)*AB178</f>
        <v>27.031645568650919</v>
      </c>
      <c r="CC178">
        <f>VLOOKUP($H178,'1. Set Program Names'!$B$2:$D$15,3,0)*AC178</f>
        <v>28.310682338847759</v>
      </c>
      <c r="CD178">
        <f>VLOOKUP($H178,'1. Set Program Names'!$B$2:$D$15,3,0)*AD178</f>
        <v>29.80382563493492</v>
      </c>
      <c r="CE178">
        <f>VLOOKUP($H178,'1. Set Program Names'!$B$2:$D$15,3,0)*AE178</f>
        <v>31.474607407151542</v>
      </c>
    </row>
    <row r="179" spans="1:83" x14ac:dyDescent="0.25">
      <c r="A179" s="20" t="s">
        <v>114</v>
      </c>
      <c r="B179" s="20" t="s">
        <v>88</v>
      </c>
      <c r="C179" s="20" t="s">
        <v>89</v>
      </c>
      <c r="D179" s="20" t="s">
        <v>90</v>
      </c>
      <c r="E179" s="20" t="s">
        <v>91</v>
      </c>
      <c r="F179" s="20" t="s">
        <v>90</v>
      </c>
      <c r="G179" s="20" t="s">
        <v>92</v>
      </c>
      <c r="H179" s="20" t="s">
        <v>9</v>
      </c>
      <c r="I179" s="20" t="s">
        <v>119</v>
      </c>
      <c r="J179" s="20" t="s">
        <v>120</v>
      </c>
      <c r="K179" s="20" t="s">
        <v>121</v>
      </c>
      <c r="L179" s="20">
        <v>6673.4968833372895</v>
      </c>
      <c r="M179" s="20">
        <v>1.73762506704112</v>
      </c>
      <c r="N179" s="20">
        <v>0.78936762832777396</v>
      </c>
      <c r="O179" s="20">
        <v>2151.0039802452802</v>
      </c>
      <c r="P179" s="20">
        <v>549.54451231238204</v>
      </c>
      <c r="Q179" s="20">
        <v>2004.8189647422</v>
      </c>
      <c r="R179" s="20">
        <v>4267.3988807063497</v>
      </c>
      <c r="S179" s="20">
        <v>10087.499347937401</v>
      </c>
      <c r="T179" s="20">
        <v>20</v>
      </c>
      <c r="U179" s="20">
        <v>1</v>
      </c>
      <c r="V179" s="20">
        <v>59.241947855833303</v>
      </c>
      <c r="W179" s="20">
        <v>63.298679497172103</v>
      </c>
      <c r="X179" s="20">
        <v>65.430170217439695</v>
      </c>
      <c r="Y179" s="20">
        <v>67.238765083489298</v>
      </c>
      <c r="Z179" s="20">
        <v>69.574436633458205</v>
      </c>
      <c r="AA179" s="20">
        <v>72.034757803409804</v>
      </c>
      <c r="AB179" s="20">
        <v>75.313416149006002</v>
      </c>
      <c r="AC179" s="20">
        <v>79.069846759447501</v>
      </c>
      <c r="AD179" s="20">
        <v>83.442120446691405</v>
      </c>
      <c r="AE179" s="20">
        <v>88.331870606908097</v>
      </c>
      <c r="AF179" t="str">
        <f t="shared" si="9"/>
        <v>Residential</v>
      </c>
      <c r="AG179" t="str">
        <f>tbl_Data_old[[#This Row],[All_Meas_Name_Append]]</f>
        <v>New Construction - Whole Home Improvements - Tier 2</v>
      </c>
      <c r="AH179">
        <f>AVERAGEIFS('3. Incentive Adjustment'!G:G,'3. Incentive Adjustment'!A:A,tbl_Data_old[[#This Row],[Trimmed Sector]],'3. Incentive Adjustment'!B:B,tbl_Data_old[[#This Row],[Trimmed Measure Name]])</f>
        <v>0.80470846489720416</v>
      </c>
      <c r="AI179">
        <f>$AH179*tbl_Data_old[[#This Row],[2025 ]]</f>
        <v>47.672496916587832</v>
      </c>
      <c r="AJ179">
        <f>$AH179*tbl_Data_old[[#This Row],[2026 ]]</f>
        <v>50.936983208189496</v>
      </c>
      <c r="AK179">
        <f>$AH179*tbl_Data_old[[#This Row],[2027 ]]</f>
        <v>52.652211833638667</v>
      </c>
      <c r="AL179">
        <f>$AH179*tbl_Data_old[[#This Row],[2028 ]]</f>
        <v>54.107603431918406</v>
      </c>
      <c r="AM179">
        <f>$AH179*tbl_Data_old[[#This Row],[2029 ]]</f>
        <v>55.98713809939796</v>
      </c>
      <c r="AN179">
        <f>$AH179*tbl_Data_old[[#This Row],[2030 ]]</f>
        <v>57.9669793712238</v>
      </c>
      <c r="AO179">
        <f>$AH179*tbl_Data_old[[#This Row],[2031 ]]</f>
        <v>60.605343495430922</v>
      </c>
      <c r="AP179">
        <f>$AH179*tbl_Data_old[[#This Row],[2032 ]]</f>
        <v>63.628175005452171</v>
      </c>
      <c r="AQ179">
        <f>$AH179*tbl_Data_old[[#This Row],[2033 ]]</f>
        <v>67.146580652424646</v>
      </c>
      <c r="AR179">
        <f>$AH179*tbl_Data_old[[#This Row],[2034 ]]</f>
        <v>71.081403997583479</v>
      </c>
      <c r="AS179">
        <f>SUM(tbl_Data_old[[#This Row],[Adjusted 2025]:[Adjusted 2034]])</f>
        <v>581.78491601184737</v>
      </c>
      <c r="AT179" s="3">
        <f>AVERAGEIFS('3. Incentive Adjustment'!F:F,'3. Incentive Adjustment'!A:A,tbl_Data_old[[#This Row],[Trimmed Sector]],'3. Incentive Adjustment'!B:B,tbl_Data_old[[#This Row],[Trimmed Measure Name]])</f>
        <v>0</v>
      </c>
      <c r="AU179" s="3">
        <f>IFERROR(VLOOKUP(tbl_Data_old[[#This Row],[All_Meas_Name_Append]],'IRA Tax Credits'!$A$3:$D$46,4,0),0)</f>
        <v>0</v>
      </c>
      <c r="AV179" s="4">
        <f>tbl_Data_old[[#This Row],[Adj. per unit Incentive ($)]]/tbl_Data_old[[#This Row],[kWh Savings]]*tbl_Data_old[[#This Row],[Sum of Annuals]]</f>
        <v>0</v>
      </c>
      <c r="AW179" s="4">
        <f>IFERROR(VLOOKUP(tbl_Data_old[[#This Row],[All_Programs]],'1. Set Program Names'!$B$2:$D$15,3,0)*tbl_Data_old[[#This Row],[Sum of Annuals]],"")</f>
        <v>262.1654254309513</v>
      </c>
      <c r="AX179" s="4">
        <f>tbl_Data_old[[#This Row],[per unit IRA tax ($)]]/tbl_Data_old[[#This Row],[kWh Savings]]*tbl_Data_old[[#This Row],[Sum of Annuals]]</f>
        <v>0</v>
      </c>
      <c r="AY179" s="4">
        <f>tbl_Data_old[[#This Row],[Avoided Costs ($/unit)]]/tbl_Data_old[[#This Row],[kWh Savings]]*tbl_Data_old[[#This Row],[Sum of Annuals]]</f>
        <v>372.02509311119053</v>
      </c>
      <c r="AZ179" s="4">
        <f>tbl_Data_old[[#This Row],[Lost Revenue ($/unit)]]/tbl_Data_old[[#This Row],[kWh Savings]]*tbl_Data_old[[#This Row],[Sum of Annuals]]</f>
        <v>879.41225769696803</v>
      </c>
      <c r="BA179" s="4">
        <f>tbl_Data_old[[#This Row],[Incremental Cost ($/unit)]]/tbl_Data_old[[#This Row],[kWh Savings]]*tbl_Data_old[[#This Row],[Sum of Annuals]]</f>
        <v>187.52112900700681</v>
      </c>
      <c r="BB179">
        <f>ROUNDUP(tbl_Data_old[[#This Row],[Adjusted 2025]]/$L179,0)</f>
        <v>1</v>
      </c>
      <c r="BC179">
        <f>ROUNDUP(tbl_Data_old[[#This Row],[Adjusted 2026]]/$L179,0)</f>
        <v>1</v>
      </c>
      <c r="BD179">
        <f>ROUNDUP(tbl_Data_old[[#This Row],[Adjusted 2027]]/$L179,0)</f>
        <v>1</v>
      </c>
      <c r="BE179">
        <f>ROUNDUP(tbl_Data_old[[#This Row],[Adjusted 2028]]/$L179,0)</f>
        <v>1</v>
      </c>
      <c r="BF179">
        <f>ROUNDUP(tbl_Data_old[[#This Row],[Adjusted 2029]]/$L179,0)</f>
        <v>1</v>
      </c>
      <c r="BG179">
        <f>ROUNDUP(tbl_Data_old[[#This Row],[Adjusted 2030]]/$L179,0)</f>
        <v>1</v>
      </c>
      <c r="BH179">
        <f>ROUNDUP(tbl_Data_old[[#This Row],[Adjusted 2031]]/$L179,0)</f>
        <v>1</v>
      </c>
      <c r="BI179">
        <f>ROUNDUP(tbl_Data_old[[#This Row],[Adjusted 2032]]/$L179,0)</f>
        <v>1</v>
      </c>
      <c r="BJ179">
        <f>ROUNDUP(tbl_Data_old[[#This Row],[Adjusted 2033]]/$L179,0)</f>
        <v>1</v>
      </c>
      <c r="BK179">
        <f>ROUNDUP(tbl_Data_old[[#This Row],[Adjusted 2034]]/$L179,0)</f>
        <v>1</v>
      </c>
      <c r="BL179" s="3">
        <f t="shared" si="12"/>
        <v>0</v>
      </c>
      <c r="BM179" s="3">
        <f t="shared" si="12"/>
        <v>0</v>
      </c>
      <c r="BN179" s="3">
        <f t="shared" si="12"/>
        <v>0</v>
      </c>
      <c r="BO179" s="3">
        <f t="shared" si="12"/>
        <v>0</v>
      </c>
      <c r="BP179" s="3">
        <f t="shared" si="12"/>
        <v>0</v>
      </c>
      <c r="BQ179" s="3">
        <f t="shared" si="11"/>
        <v>0</v>
      </c>
      <c r="BR179" s="3">
        <f t="shared" si="11"/>
        <v>0</v>
      </c>
      <c r="BS179" s="3">
        <f t="shared" si="11"/>
        <v>0</v>
      </c>
      <c r="BT179" s="3">
        <f t="shared" si="11"/>
        <v>0</v>
      </c>
      <c r="BU179" s="3">
        <f t="shared" si="11"/>
        <v>0</v>
      </c>
      <c r="BV179">
        <f>VLOOKUP($H179,'1. Set Program Names'!$B$2:$D$15,3,0)*V179</f>
        <v>26.69575995446829</v>
      </c>
      <c r="BW179">
        <f>VLOOKUP($H179,'1. Set Program Names'!$B$2:$D$15,3,0)*W179</f>
        <v>28.523814871913295</v>
      </c>
      <c r="BX179">
        <f>VLOOKUP($H179,'1. Set Program Names'!$B$2:$D$15,3,0)*X179</f>
        <v>29.484312739942755</v>
      </c>
      <c r="BY179">
        <f>VLOOKUP($H179,'1. Set Program Names'!$B$2:$D$15,3,0)*Y179</f>
        <v>30.299306441980352</v>
      </c>
      <c r="BZ179">
        <f>VLOOKUP($H179,'1. Set Program Names'!$B$2:$D$15,3,0)*Z179</f>
        <v>31.3518128042321</v>
      </c>
      <c r="CA179">
        <f>VLOOKUP($H179,'1. Set Program Names'!$B$2:$D$15,3,0)*AA179</f>
        <v>32.460489101030419</v>
      </c>
      <c r="CB179">
        <f>VLOOKUP($H179,'1. Set Program Names'!$B$2:$D$15,3,0)*AB179</f>
        <v>33.93792661506604</v>
      </c>
      <c r="CC179">
        <f>VLOOKUP($H179,'1. Set Program Names'!$B$2:$D$15,3,0)*AC179</f>
        <v>35.630659104315022</v>
      </c>
      <c r="CD179">
        <f>VLOOKUP($H179,'1. Set Program Names'!$B$2:$D$15,3,0)*AD179</f>
        <v>37.600904395606676</v>
      </c>
      <c r="CE179">
        <f>VLOOKUP($H179,'1. Set Program Names'!$B$2:$D$15,3,0)*AE179</f>
        <v>39.804336275195261</v>
      </c>
    </row>
    <row r="180" spans="1:83" x14ac:dyDescent="0.25">
      <c r="A180" s="20" t="s">
        <v>114</v>
      </c>
      <c r="B180" s="20" t="s">
        <v>88</v>
      </c>
      <c r="C180" s="20" t="s">
        <v>89</v>
      </c>
      <c r="D180" s="20" t="s">
        <v>90</v>
      </c>
      <c r="E180" s="20" t="s">
        <v>91</v>
      </c>
      <c r="F180" s="20" t="s">
        <v>90</v>
      </c>
      <c r="G180" s="20" t="s">
        <v>92</v>
      </c>
      <c r="H180" s="20" t="s">
        <v>9</v>
      </c>
      <c r="I180" s="20" t="s">
        <v>299</v>
      </c>
      <c r="J180" s="20" t="s">
        <v>97</v>
      </c>
      <c r="K180" s="20" t="s">
        <v>102</v>
      </c>
      <c r="L180" s="20">
        <v>408.28</v>
      </c>
      <c r="M180" s="20">
        <v>0.16567198429270899</v>
      </c>
      <c r="N180" s="20">
        <v>2.3547919008134799E-2</v>
      </c>
      <c r="O180" s="53">
        <v>128.60999999999999</v>
      </c>
      <c r="P180" s="20">
        <v>29.691921599999901</v>
      </c>
      <c r="Q180" s="20">
        <v>122.65346058206499</v>
      </c>
      <c r="R180" s="20">
        <v>238.630335182902</v>
      </c>
      <c r="S180" s="20">
        <v>423.90838942107399</v>
      </c>
      <c r="T180" s="20">
        <v>11</v>
      </c>
      <c r="U180" s="20">
        <v>0.19999999999999901</v>
      </c>
      <c r="V180" s="20">
        <v>1.45491875827485</v>
      </c>
      <c r="W180" s="20">
        <v>1.20706270867482</v>
      </c>
      <c r="X180" s="20">
        <v>1.0014437606092701</v>
      </c>
      <c r="Y180" s="20">
        <v>0.83439871639705199</v>
      </c>
      <c r="Z180" s="20">
        <v>0.70001493100510903</v>
      </c>
      <c r="AA180" s="20">
        <v>0.59029909435581496</v>
      </c>
      <c r="AB180" s="20">
        <v>0.50508260410350503</v>
      </c>
      <c r="AC180" s="20">
        <v>0.43901869795086401</v>
      </c>
      <c r="AD180" s="20">
        <v>0.38801733132952199</v>
      </c>
      <c r="AE180" s="20">
        <v>0.348637304042899</v>
      </c>
      <c r="AF180" t="str">
        <f t="shared" si="9"/>
        <v>Residential</v>
      </c>
      <c r="AG180" t="str">
        <f>tbl_Data_old[[#This Row],[All_Meas_Name_Append]]</f>
        <v>Smart Thermostat Residential</v>
      </c>
      <c r="AH180">
        <f>AVERAGEIFS('3. Incentive Adjustment'!G:G,'3. Incentive Adjustment'!A:A,tbl_Data_old[[#This Row],[Trimmed Sector]],'3. Incentive Adjustment'!B:B,tbl_Data_old[[#This Row],[Trimmed Measure Name]])</f>
        <v>1.1402432304340044</v>
      </c>
      <c r="AI180">
        <f>$AH180*tbl_Data_old[[#This Row],[2025 ]]</f>
        <v>1.6589612649543453</v>
      </c>
      <c r="AJ180">
        <f>$AH180*tbl_Data_old[[#This Row],[2026 ]]</f>
        <v>1.3763450822757963</v>
      </c>
      <c r="AK180">
        <f>$AH180*tbl_Data_old[[#This Row],[2027 ]]</f>
        <v>1.141889468695092</v>
      </c>
      <c r="AL180">
        <f>$AH180*tbl_Data_old[[#This Row],[2028 ]]</f>
        <v>0.95141748785456126</v>
      </c>
      <c r="AM180">
        <f>$AH180*tbl_Data_old[[#This Row],[2029 ]]</f>
        <v>0.79818728628130231</v>
      </c>
      <c r="AN180">
        <f>$AH180*tbl_Data_old[[#This Row],[2030 ]]</f>
        <v>0.67308454627054159</v>
      </c>
      <c r="AO180">
        <f>$AH180*tbl_Data_old[[#This Row],[2031 ]]</f>
        <v>0.57591702013899992</v>
      </c>
      <c r="AP180">
        <f>$AH180*tbl_Data_old[[#This Row],[2032 ]]</f>
        <v>0.50058809837242357</v>
      </c>
      <c r="AQ180">
        <f>$AH180*tbl_Data_old[[#This Row],[2033 ]]</f>
        <v>0.44243413533955561</v>
      </c>
      <c r="AR180">
        <f>$AH180*tbl_Data_old[[#This Row],[2034 ]]</f>
        <v>0.39753132581167733</v>
      </c>
      <c r="AS180">
        <f>SUM(tbl_Data_old[[#This Row],[Adjusted 2025]:[Adjusted 2034]])</f>
        <v>8.5163557159942957</v>
      </c>
      <c r="AT180" s="3">
        <f>AVERAGEIFS('3. Incentive Adjustment'!F:F,'3. Incentive Adjustment'!A:A,tbl_Data_old[[#This Row],[Trimmed Sector]],'3. Incentive Adjustment'!B:B,tbl_Data_old[[#This Row],[Trimmed Measure Name]])</f>
        <v>50</v>
      </c>
      <c r="AU180" s="3">
        <f>IFERROR(VLOOKUP(tbl_Data_old[[#This Row],[All_Meas_Name_Append]],'IRA Tax Credits'!$A$3:$D$46,4,0),0)</f>
        <v>0</v>
      </c>
      <c r="AV180" s="4">
        <f>tbl_Data_old[[#This Row],[Adj. per unit Incentive ($)]]/tbl_Data_old[[#This Row],[kWh Savings]]*tbl_Data_old[[#This Row],[Sum of Annuals]]</f>
        <v>1.0429552899963623</v>
      </c>
      <c r="AW180" s="4">
        <f>IFERROR(VLOOKUP(tbl_Data_old[[#This Row],[All_Programs]],'1. Set Program Names'!$B$2:$D$15,3,0)*tbl_Data_old[[#This Row],[Sum of Annuals]],"")</f>
        <v>3.837662266512754</v>
      </c>
      <c r="AX180" s="4">
        <f>tbl_Data_old[[#This Row],[per unit IRA tax ($)]]/tbl_Data_old[[#This Row],[kWh Savings]]*tbl_Data_old[[#This Row],[Sum of Annuals]]</f>
        <v>0</v>
      </c>
      <c r="AY180" s="4">
        <f>tbl_Data_old[[#This Row],[Avoided Costs ($/unit)]]/tbl_Data_old[[#This Row],[kWh Savings]]*tbl_Data_old[[#This Row],[Sum of Annuals]]</f>
        <v>4.9776154086522544</v>
      </c>
      <c r="AZ180" s="4">
        <f>tbl_Data_old[[#This Row],[Lost Revenue ($/unit)]]/tbl_Data_old[[#This Row],[kWh Savings]]*tbl_Data_old[[#This Row],[Sum of Annuals]]</f>
        <v>8.8423499444109428</v>
      </c>
      <c r="BA180" s="4">
        <f>tbl_Data_old[[#This Row],[Incremental Cost ($/unit)]]/tbl_Data_old[[#This Row],[kWh Savings]]*tbl_Data_old[[#This Row],[Sum of Annuals]]</f>
        <v>2.6826895969286433</v>
      </c>
      <c r="BB180">
        <f>ROUNDUP(tbl_Data_old[[#This Row],[Adjusted 2025]]/$L180,0)</f>
        <v>1</v>
      </c>
      <c r="BC180">
        <f>ROUNDUP(tbl_Data_old[[#This Row],[Adjusted 2026]]/$L180,0)</f>
        <v>1</v>
      </c>
      <c r="BD180">
        <f>ROUNDUP(tbl_Data_old[[#This Row],[Adjusted 2027]]/$L180,0)</f>
        <v>1</v>
      </c>
      <c r="BE180">
        <f>ROUNDUP(tbl_Data_old[[#This Row],[Adjusted 2028]]/$L180,0)</f>
        <v>1</v>
      </c>
      <c r="BF180">
        <f>ROUNDUP(tbl_Data_old[[#This Row],[Adjusted 2029]]/$L180,0)</f>
        <v>1</v>
      </c>
      <c r="BG180">
        <f>ROUNDUP(tbl_Data_old[[#This Row],[Adjusted 2030]]/$L180,0)</f>
        <v>1</v>
      </c>
      <c r="BH180">
        <f>ROUNDUP(tbl_Data_old[[#This Row],[Adjusted 2031]]/$L180,0)</f>
        <v>1</v>
      </c>
      <c r="BI180">
        <f>ROUNDUP(tbl_Data_old[[#This Row],[Adjusted 2032]]/$L180,0)</f>
        <v>1</v>
      </c>
      <c r="BJ180">
        <f>ROUNDUP(tbl_Data_old[[#This Row],[Adjusted 2033]]/$L180,0)</f>
        <v>1</v>
      </c>
      <c r="BK180">
        <f>ROUNDUP(tbl_Data_old[[#This Row],[Adjusted 2034]]/$L180,0)</f>
        <v>1</v>
      </c>
      <c r="BL180" s="3">
        <f t="shared" si="12"/>
        <v>0.17817658938410527</v>
      </c>
      <c r="BM180" s="3">
        <f t="shared" si="12"/>
        <v>0.14782290446198934</v>
      </c>
      <c r="BN180" s="3">
        <f t="shared" si="12"/>
        <v>0.1226417851240901</v>
      </c>
      <c r="BO180" s="3">
        <f t="shared" si="12"/>
        <v>0.10218461795790292</v>
      </c>
      <c r="BP180" s="3">
        <f t="shared" si="12"/>
        <v>8.572731103716924E-2</v>
      </c>
      <c r="BQ180" s="3">
        <f t="shared" si="11"/>
        <v>7.2290963842928269E-2</v>
      </c>
      <c r="BR180" s="3">
        <f t="shared" si="11"/>
        <v>6.1854928493130339E-2</v>
      </c>
      <c r="BS180" s="3">
        <f t="shared" si="11"/>
        <v>5.3764413876612134E-2</v>
      </c>
      <c r="BT180" s="3">
        <f t="shared" si="11"/>
        <v>4.7518532787489229E-2</v>
      </c>
      <c r="BU180" s="3">
        <f t="shared" si="11"/>
        <v>4.2695858729658448E-2</v>
      </c>
      <c r="BV180">
        <f>VLOOKUP($H180,'1. Set Program Names'!$B$2:$D$15,3,0)*V180</f>
        <v>0.65561925848010483</v>
      </c>
      <c r="BW180">
        <f>VLOOKUP($H180,'1. Set Program Names'!$B$2:$D$15,3,0)*W180</f>
        <v>0.5439297235666497</v>
      </c>
      <c r="BX180">
        <f>VLOOKUP($H180,'1. Set Program Names'!$B$2:$D$15,3,0)*X180</f>
        <v>0.45127318072295064</v>
      </c>
      <c r="BY180">
        <f>VLOOKUP($H180,'1. Set Program Names'!$B$2:$D$15,3,0)*Y180</f>
        <v>0.3759989103237909</v>
      </c>
      <c r="BZ180">
        <f>VLOOKUP($H180,'1. Set Program Names'!$B$2:$D$15,3,0)*Z180</f>
        <v>0.31544254095311619</v>
      </c>
      <c r="CA180">
        <f>VLOOKUP($H180,'1. Set Program Names'!$B$2:$D$15,3,0)*AA180</f>
        <v>0.26600210652444289</v>
      </c>
      <c r="CB180">
        <f>VLOOKUP($H180,'1. Set Program Names'!$B$2:$D$15,3,0)*AB180</f>
        <v>0.22760163101215858</v>
      </c>
      <c r="CC180">
        <f>VLOOKUP($H180,'1. Set Program Names'!$B$2:$D$15,3,0)*AC180</f>
        <v>0.19783174254398647</v>
      </c>
      <c r="CD180">
        <f>VLOOKUP($H180,'1. Set Program Names'!$B$2:$D$15,3,0)*AD180</f>
        <v>0.17484937464503639</v>
      </c>
      <c r="CE180">
        <f>VLOOKUP($H180,'1. Set Program Names'!$B$2:$D$15,3,0)*AE180</f>
        <v>0.15710384477146752</v>
      </c>
    </row>
    <row r="181" spans="1:83" x14ac:dyDescent="0.25">
      <c r="A181" s="20" t="s">
        <v>114</v>
      </c>
      <c r="B181" s="20" t="s">
        <v>88</v>
      </c>
      <c r="C181" s="20" t="s">
        <v>89</v>
      </c>
      <c r="D181" s="20" t="s">
        <v>90</v>
      </c>
      <c r="E181" s="20" t="s">
        <v>91</v>
      </c>
      <c r="F181" s="20" t="s">
        <v>90</v>
      </c>
      <c r="G181" s="20" t="s">
        <v>92</v>
      </c>
      <c r="H181" s="20" t="s">
        <v>9</v>
      </c>
      <c r="I181" s="20" t="s">
        <v>112</v>
      </c>
      <c r="J181" s="20" t="s">
        <v>94</v>
      </c>
      <c r="K181" s="20" t="s">
        <v>108</v>
      </c>
      <c r="L181" s="20">
        <v>1330.8133333333301</v>
      </c>
      <c r="M181" s="20">
        <v>5.33311142126306E-2</v>
      </c>
      <c r="N181" s="20">
        <v>0.24737910980336</v>
      </c>
      <c r="O181" s="20">
        <v>8990.02</v>
      </c>
      <c r="P181" s="20">
        <v>8776.4394094329891</v>
      </c>
      <c r="Q181" s="20">
        <v>399.796367008147</v>
      </c>
      <c r="R181" s="20">
        <v>713.19672296706005</v>
      </c>
      <c r="S181" s="20">
        <v>2011.6258188035599</v>
      </c>
      <c r="T181" s="20">
        <v>20</v>
      </c>
      <c r="U181" s="20">
        <v>0.2</v>
      </c>
      <c r="V181" s="20">
        <v>1.7296882498805299</v>
      </c>
      <c r="W181" s="20">
        <v>1.9250283808803501</v>
      </c>
      <c r="X181" s="20">
        <v>2.1052680574843801</v>
      </c>
      <c r="Y181" s="20">
        <v>2.2758399280811101</v>
      </c>
      <c r="Z181" s="20">
        <v>2.4383530525679902</v>
      </c>
      <c r="AA181" s="20">
        <v>2.5870574734926102</v>
      </c>
      <c r="AB181" s="20">
        <v>2.7422990542110899</v>
      </c>
      <c r="AC181" s="20">
        <v>2.9108434362149702</v>
      </c>
      <c r="AD181" s="20">
        <v>3.0949013572694</v>
      </c>
      <c r="AE181" s="20">
        <v>3.2957136746037099</v>
      </c>
      <c r="AF181" t="str">
        <f t="shared" si="9"/>
        <v>Residential</v>
      </c>
      <c r="AG181" t="str">
        <f>tbl_Data_old[[#This Row],[All_Meas_Name_Append]]</f>
        <v>Solar Thermal Water Heating System</v>
      </c>
      <c r="AH181">
        <f>AVERAGEIFS('3. Incentive Adjustment'!G:G,'3. Incentive Adjustment'!A:A,tbl_Data_old[[#This Row],[Trimmed Sector]],'3. Incentive Adjustment'!B:B,tbl_Data_old[[#This Row],[Trimmed Measure Name]])</f>
        <v>2.7736651842107431E-8</v>
      </c>
      <c r="AI181">
        <f>$AH181*tbl_Data_old[[#This Row],[2025 ]]</f>
        <v>4.797576078232038E-8</v>
      </c>
      <c r="AJ181">
        <f>$AH181*tbl_Data_old[[#This Row],[2026 ]]</f>
        <v>5.3393841986654047E-8</v>
      </c>
      <c r="AK181">
        <f>$AH181*tbl_Data_old[[#This Row],[2027 ]]</f>
        <v>5.8393087144754063E-8</v>
      </c>
      <c r="AL181">
        <f>$AH181*tbl_Data_old[[#This Row],[2028 ]]</f>
        <v>6.3124179733552573E-8</v>
      </c>
      <c r="AM181">
        <f>$AH181*tbl_Data_old[[#This Row],[2029 ]]</f>
        <v>6.7631749687218221E-8</v>
      </c>
      <c r="AN181">
        <f>$AH181*tbl_Data_old[[#This Row],[2030 ]]</f>
        <v>7.1756312437786601E-8</v>
      </c>
      <c r="AO181">
        <f>$AH181*tbl_Data_old[[#This Row],[2031 ]]</f>
        <v>7.6062194113593496E-8</v>
      </c>
      <c r="AP181">
        <f>$AH181*tbl_Data_old[[#This Row],[2032 ]]</f>
        <v>8.0737050957178279E-8</v>
      </c>
      <c r="AQ181">
        <f>$AH181*tbl_Data_old[[#This Row],[2033 ]]</f>
        <v>8.584220143224709E-8</v>
      </c>
      <c r="AR181">
        <f>$AH181*tbl_Data_old[[#This Row],[2034 ]]</f>
        <v>9.1412062763755644E-8</v>
      </c>
      <c r="AS181">
        <f>SUM(tbl_Data_old[[#This Row],[Adjusted 2025]:[Adjusted 2034]])</f>
        <v>6.9632844103906045E-7</v>
      </c>
      <c r="AT181" s="3">
        <f>AVERAGEIFS('3. Incentive Adjustment'!F:F,'3. Incentive Adjustment'!A:A,tbl_Data_old[[#This Row],[Trimmed Sector]],'3. Incentive Adjustment'!B:B,tbl_Data_old[[#This Row],[Trimmed Measure Name]])</f>
        <v>0</v>
      </c>
      <c r="AU181" s="3">
        <f>IFERROR(VLOOKUP(tbl_Data_old[[#This Row],[All_Meas_Name_Append]],'IRA Tax Credits'!$A$3:$D$46,4,0),0)</f>
        <v>41666.666666666672</v>
      </c>
      <c r="AV181" s="4">
        <f>tbl_Data_old[[#This Row],[Adj. per unit Incentive ($)]]/tbl_Data_old[[#This Row],[kWh Savings]]*tbl_Data_old[[#This Row],[Sum of Annuals]]</f>
        <v>0</v>
      </c>
      <c r="AW181" s="4">
        <f>IFERROR(VLOOKUP(tbl_Data_old[[#This Row],[All_Programs]],'1. Set Program Names'!$B$2:$D$15,3,0)*tbl_Data_old[[#This Row],[Sum of Annuals]],"")</f>
        <v>3.1378132529816035E-7</v>
      </c>
      <c r="AX181" s="4">
        <f>tbl_Data_old[[#This Row],[per unit IRA tax ($)]]/tbl_Data_old[[#This Row],[kWh Savings]]*tbl_Data_old[[#This Row],[Sum of Annuals]]</f>
        <v>2.1801468558045401E-5</v>
      </c>
      <c r="AY181" s="4">
        <f>tbl_Data_old[[#This Row],[Avoided Costs ($/unit)]]/tbl_Data_old[[#This Row],[kWh Savings]]*tbl_Data_old[[#This Row],[Sum of Annuals]]</f>
        <v>3.7316966235521697E-7</v>
      </c>
      <c r="AZ181" s="4">
        <f>tbl_Data_old[[#This Row],[Lost Revenue ($/unit)]]/tbl_Data_old[[#This Row],[kWh Savings]]*tbl_Data_old[[#This Row],[Sum of Annuals]]</f>
        <v>1.0525535289407553E-6</v>
      </c>
      <c r="BA181" s="4">
        <f>tbl_Data_old[[#This Row],[Incremental Cost ($/unit)]]/tbl_Data_old[[#This Row],[kWh Savings]]*tbl_Data_old[[#This Row],[Sum of Annuals]]</f>
        <v>4.7038953207887824E-6</v>
      </c>
      <c r="BB181">
        <f>ROUNDUP(tbl_Data_old[[#This Row],[Adjusted 2025]]/$L181,0)</f>
        <v>1</v>
      </c>
      <c r="BC181">
        <f>ROUNDUP(tbl_Data_old[[#This Row],[Adjusted 2026]]/$L181,0)</f>
        <v>1</v>
      </c>
      <c r="BD181">
        <f>ROUNDUP(tbl_Data_old[[#This Row],[Adjusted 2027]]/$L181,0)</f>
        <v>1</v>
      </c>
      <c r="BE181">
        <f>ROUNDUP(tbl_Data_old[[#This Row],[Adjusted 2028]]/$L181,0)</f>
        <v>1</v>
      </c>
      <c r="BF181">
        <f>ROUNDUP(tbl_Data_old[[#This Row],[Adjusted 2029]]/$L181,0)</f>
        <v>1</v>
      </c>
      <c r="BG181">
        <f>ROUNDUP(tbl_Data_old[[#This Row],[Adjusted 2030]]/$L181,0)</f>
        <v>1</v>
      </c>
      <c r="BH181">
        <f>ROUNDUP(tbl_Data_old[[#This Row],[Adjusted 2031]]/$L181,0)</f>
        <v>1</v>
      </c>
      <c r="BI181">
        <f>ROUNDUP(tbl_Data_old[[#This Row],[Adjusted 2032]]/$L181,0)</f>
        <v>1</v>
      </c>
      <c r="BJ181">
        <f>ROUNDUP(tbl_Data_old[[#This Row],[Adjusted 2033]]/$L181,0)</f>
        <v>1</v>
      </c>
      <c r="BK181">
        <f>ROUNDUP(tbl_Data_old[[#This Row],[Adjusted 2034]]/$L181,0)</f>
        <v>1</v>
      </c>
      <c r="BL181" s="3">
        <f t="shared" si="12"/>
        <v>0</v>
      </c>
      <c r="BM181" s="3">
        <f t="shared" si="12"/>
        <v>0</v>
      </c>
      <c r="BN181" s="3">
        <f t="shared" si="12"/>
        <v>0</v>
      </c>
      <c r="BO181" s="3">
        <f t="shared" si="12"/>
        <v>0</v>
      </c>
      <c r="BP181" s="3">
        <f t="shared" si="12"/>
        <v>0</v>
      </c>
      <c r="BQ181" s="3">
        <f t="shared" si="11"/>
        <v>0</v>
      </c>
      <c r="BR181" s="3">
        <f t="shared" si="11"/>
        <v>0</v>
      </c>
      <c r="BS181" s="3">
        <f t="shared" si="11"/>
        <v>0</v>
      </c>
      <c r="BT181" s="3">
        <f t="shared" si="11"/>
        <v>0</v>
      </c>
      <c r="BU181" s="3">
        <f t="shared" si="11"/>
        <v>0</v>
      </c>
      <c r="BV181">
        <f>VLOOKUP($H181,'1. Set Program Names'!$B$2:$D$15,3,0)*V181</f>
        <v>0.77943659832461598</v>
      </c>
      <c r="BW181">
        <f>VLOOKUP($H181,'1. Set Program Names'!$B$2:$D$15,3,0)*W181</f>
        <v>0.86746127400435258</v>
      </c>
      <c r="BX181">
        <f>VLOOKUP($H181,'1. Set Program Names'!$B$2:$D$15,3,0)*X181</f>
        <v>0.94868134382044644</v>
      </c>
      <c r="BY181">
        <f>VLOOKUP($H181,'1. Set Program Names'!$B$2:$D$15,3,0)*Y181</f>
        <v>1.0255448818579886</v>
      </c>
      <c r="BZ181">
        <f>VLOOKUP($H181,'1. Set Program Names'!$B$2:$D$15,3,0)*Z181</f>
        <v>1.0987769668547549</v>
      </c>
      <c r="CA181">
        <f>VLOOKUP($H181,'1. Set Program Names'!$B$2:$D$15,3,0)*AA181</f>
        <v>1.1657865380935739</v>
      </c>
      <c r="CB181">
        <f>VLOOKUP($H181,'1. Set Program Names'!$B$2:$D$15,3,0)*AB181</f>
        <v>1.2357419012071902</v>
      </c>
      <c r="CC181">
        <f>VLOOKUP($H181,'1. Set Program Names'!$B$2:$D$15,3,0)*AC181</f>
        <v>1.3116918070846817</v>
      </c>
      <c r="CD181">
        <f>VLOOKUP($H181,'1. Set Program Names'!$B$2:$D$15,3,0)*AD181</f>
        <v>1.3946324641026584</v>
      </c>
      <c r="CE181">
        <f>VLOOKUP($H181,'1. Set Program Names'!$B$2:$D$15,3,0)*AE181</f>
        <v>1.4851230305590986</v>
      </c>
    </row>
    <row r="182" spans="1:83" x14ac:dyDescent="0.25">
      <c r="A182" s="20" t="s">
        <v>115</v>
      </c>
      <c r="B182" s="20" t="s">
        <v>88</v>
      </c>
      <c r="C182" s="20" t="s">
        <v>89</v>
      </c>
      <c r="D182" s="20" t="s">
        <v>90</v>
      </c>
      <c r="E182" s="20" t="s">
        <v>91</v>
      </c>
      <c r="F182" s="20" t="s">
        <v>90</v>
      </c>
      <c r="G182" s="20" t="s">
        <v>92</v>
      </c>
      <c r="H182" s="20" t="s">
        <v>9</v>
      </c>
      <c r="I182" s="20" t="s">
        <v>93</v>
      </c>
      <c r="J182" s="20" t="s">
        <v>94</v>
      </c>
      <c r="K182" s="20" t="s">
        <v>95</v>
      </c>
      <c r="L182" s="20">
        <v>1200.2266666666601</v>
      </c>
      <c r="M182" s="20">
        <v>4.8097974252120097E-2</v>
      </c>
      <c r="N182" s="20">
        <v>0.22310492157346501</v>
      </c>
      <c r="O182" s="20">
        <v>1210</v>
      </c>
      <c r="P182" s="20">
        <v>933.85922631496703</v>
      </c>
      <c r="Q182" s="20">
        <v>360.56616574297698</v>
      </c>
      <c r="R182" s="20">
        <v>571.53970184074296</v>
      </c>
      <c r="S182" s="20">
        <v>1535.35818196214</v>
      </c>
      <c r="T182" s="20">
        <v>15</v>
      </c>
      <c r="U182" s="20">
        <v>0.2</v>
      </c>
      <c r="V182" s="20">
        <v>0.57916952297528901</v>
      </c>
      <c r="W182" s="20">
        <v>1.1945160792812299</v>
      </c>
      <c r="X182" s="20">
        <v>1.8457798742061</v>
      </c>
      <c r="Y182" s="20">
        <v>2.5337903321386501</v>
      </c>
      <c r="Z182" s="20">
        <v>3.2593371885179399</v>
      </c>
      <c r="AA182" s="20">
        <v>4.0210970493186204</v>
      </c>
      <c r="AB182" s="20">
        <v>4.8233887976728704</v>
      </c>
      <c r="AC182" s="20">
        <v>5.67215077491716</v>
      </c>
      <c r="AD182" s="20">
        <v>6.5737039437372804</v>
      </c>
      <c r="AE182" s="20">
        <v>7.5345559343282398</v>
      </c>
      <c r="AF182" t="str">
        <f t="shared" si="9"/>
        <v>Residential</v>
      </c>
      <c r="AG182" t="str">
        <f>tbl_Data_old[[#This Row],[All_Meas_Name_Append]]</f>
        <v>120v Heat Pump Water Heater 50 Gallons</v>
      </c>
      <c r="AH182">
        <f>AVERAGEIFS('3. Incentive Adjustment'!G:G,'3. Incentive Adjustment'!A:A,tbl_Data_old[[#This Row],[Trimmed Sector]],'3. Incentive Adjustment'!B:B,tbl_Data_old[[#This Row],[Trimmed Measure Name]])</f>
        <v>0.38528347196238832</v>
      </c>
      <c r="AI182">
        <f>$AH182*tbl_Data_old[[#This Row],[2025 ]]</f>
        <v>0.22314444466671959</v>
      </c>
      <c r="AJ182">
        <f>$AH182*tbl_Data_old[[#This Row],[2026 ]]</f>
        <v>0.46022730234037179</v>
      </c>
      <c r="AK182">
        <f>$AH182*tbl_Data_old[[#This Row],[2027 ]]</f>
        <v>0.71114847841242657</v>
      </c>
      <c r="AL182">
        <f>$AH182*tbl_Data_old[[#This Row],[2028 ]]</f>
        <v>0.97622753639111226</v>
      </c>
      <c r="AM182">
        <f>$AH182*tbl_Data_old[[#This Row],[2029 ]]</f>
        <v>1.2557687482883213</v>
      </c>
      <c r="AN182">
        <f>$AH182*tbl_Data_old[[#This Row],[2030 ]]</f>
        <v>1.5492622322591931</v>
      </c>
      <c r="AO182">
        <f>$AH182*tbl_Data_old[[#This Row],[2031 ]]</f>
        <v>1.8583719825918934</v>
      </c>
      <c r="AP182">
        <f>$AH182*tbl_Data_old[[#This Row],[2032 ]]</f>
        <v>2.1853859440542349</v>
      </c>
      <c r="AQ182">
        <f>$AH182*tbl_Data_old[[#This Row],[2033 ]]</f>
        <v>2.5327394790959441</v>
      </c>
      <c r="AR182">
        <f>$AH182*tbl_Data_old[[#This Row],[2034 ]]</f>
        <v>2.9029398700728009</v>
      </c>
      <c r="AS182">
        <f>SUM(tbl_Data_old[[#This Row],[Adjusted 2025]:[Adjusted 2034]])</f>
        <v>14.65521601817302</v>
      </c>
      <c r="AT182" s="3">
        <f>AVERAGEIFS('3. Incentive Adjustment'!F:F,'3. Incentive Adjustment'!A:A,tbl_Data_old[[#This Row],[Trimmed Sector]],'3. Incentive Adjustment'!B:B,tbl_Data_old[[#This Row],[Trimmed Measure Name]])</f>
        <v>500</v>
      </c>
      <c r="AU182" s="3">
        <f>IFERROR(VLOOKUP(tbl_Data_old[[#This Row],[All_Meas_Name_Append]],'IRA Tax Credits'!$A$3:$D$46,4,0),0)</f>
        <v>1666.6666666666667</v>
      </c>
      <c r="AV182" s="4">
        <f>tbl_Data_old[[#This Row],[Adj. per unit Incentive ($)]]/tbl_Data_old[[#This Row],[kWh Savings]]*tbl_Data_old[[#This Row],[Sum of Annuals]]</f>
        <v>6.1051868056199519</v>
      </c>
      <c r="AW182" s="4">
        <f>IFERROR(VLOOKUP(tbl_Data_old[[#This Row],[All_Programs]],'1. Set Program Names'!$B$2:$D$15,3,0)*tbl_Data_old[[#This Row],[Sum of Annuals]],"")</f>
        <v>6.6039713929409993</v>
      </c>
      <c r="AX182" s="4">
        <f>tbl_Data_old[[#This Row],[per unit IRA tax ($)]]/tbl_Data_old[[#This Row],[kWh Savings]]*tbl_Data_old[[#This Row],[Sum of Annuals]]</f>
        <v>20.350622685399841</v>
      </c>
      <c r="AY182" s="4">
        <f>tbl_Data_old[[#This Row],[Avoided Costs ($/unit)]]/tbl_Data_old[[#This Row],[kWh Savings]]*tbl_Data_old[[#This Row],[Sum of Annuals]]</f>
        <v>6.978713293132131</v>
      </c>
      <c r="AZ182" s="4">
        <f>tbl_Data_old[[#This Row],[Lost Revenue ($/unit)]]/tbl_Data_old[[#This Row],[kWh Savings]]*tbl_Data_old[[#This Row],[Sum of Annuals]]</f>
        <v>18.747297028831788</v>
      </c>
      <c r="BA182" s="4">
        <f>tbl_Data_old[[#This Row],[Incremental Cost ($/unit)]]/tbl_Data_old[[#This Row],[kWh Savings]]*tbl_Data_old[[#This Row],[Sum of Annuals]]</f>
        <v>14.774552069600283</v>
      </c>
      <c r="BB182">
        <f>ROUNDUP(tbl_Data_old[[#This Row],[Adjusted 2025]]/$L182,0)</f>
        <v>1</v>
      </c>
      <c r="BC182">
        <f>ROUNDUP(tbl_Data_old[[#This Row],[Adjusted 2026]]/$L182,0)</f>
        <v>1</v>
      </c>
      <c r="BD182">
        <f>ROUNDUP(tbl_Data_old[[#This Row],[Adjusted 2027]]/$L182,0)</f>
        <v>1</v>
      </c>
      <c r="BE182">
        <f>ROUNDUP(tbl_Data_old[[#This Row],[Adjusted 2028]]/$L182,0)</f>
        <v>1</v>
      </c>
      <c r="BF182">
        <f>ROUNDUP(tbl_Data_old[[#This Row],[Adjusted 2029]]/$L182,0)</f>
        <v>1</v>
      </c>
      <c r="BG182">
        <f>ROUNDUP(tbl_Data_old[[#This Row],[Adjusted 2030]]/$L182,0)</f>
        <v>1</v>
      </c>
      <c r="BH182">
        <f>ROUNDUP(tbl_Data_old[[#This Row],[Adjusted 2031]]/$L182,0)</f>
        <v>1</v>
      </c>
      <c r="BI182">
        <f>ROUNDUP(tbl_Data_old[[#This Row],[Adjusted 2032]]/$L182,0)</f>
        <v>1</v>
      </c>
      <c r="BJ182">
        <f>ROUNDUP(tbl_Data_old[[#This Row],[Adjusted 2033]]/$L182,0)</f>
        <v>1</v>
      </c>
      <c r="BK182">
        <f>ROUNDUP(tbl_Data_old[[#This Row],[Adjusted 2034]]/$L182,0)</f>
        <v>1</v>
      </c>
      <c r="BL182" s="3">
        <f t="shared" si="12"/>
        <v>0.2412750603949638</v>
      </c>
      <c r="BM182" s="3">
        <f t="shared" si="12"/>
        <v>0.49762103794890261</v>
      </c>
      <c r="BN182" s="3">
        <f t="shared" si="12"/>
        <v>0.76892970530820981</v>
      </c>
      <c r="BO182" s="3">
        <f t="shared" si="12"/>
        <v>1.0555465907017552</v>
      </c>
      <c r="BP182" s="3">
        <f t="shared" si="12"/>
        <v>1.3578006884191143</v>
      </c>
      <c r="BQ182" s="3">
        <f t="shared" si="11"/>
        <v>1.6751406884193996</v>
      </c>
      <c r="BR182" s="3">
        <f t="shared" si="11"/>
        <v>2.009365785493114</v>
      </c>
      <c r="BS182" s="3">
        <f t="shared" si="11"/>
        <v>2.3629498212492601</v>
      </c>
      <c r="BT182" s="3">
        <f t="shared" si="11"/>
        <v>2.7385260327510288</v>
      </c>
      <c r="BU182" s="3">
        <f t="shared" si="11"/>
        <v>3.1388054205018001</v>
      </c>
      <c r="BV182">
        <f>VLOOKUP($H182,'1. Set Program Names'!$B$2:$D$15,3,0)*V182</f>
        <v>0.26098687024805189</v>
      </c>
      <c r="BW182">
        <f>VLOOKUP($H182,'1. Set Program Names'!$B$2:$D$15,3,0)*W182</f>
        <v>0.53827592893882881</v>
      </c>
      <c r="BX182">
        <f>VLOOKUP($H182,'1. Set Program Names'!$B$2:$D$15,3,0)*X182</f>
        <v>0.83175010670657534</v>
      </c>
      <c r="BY182">
        <f>VLOOKUP($H182,'1. Set Program Names'!$B$2:$D$15,3,0)*Y182</f>
        <v>1.14178316091721</v>
      </c>
      <c r="BZ182">
        <f>VLOOKUP($H182,'1. Set Program Names'!$B$2:$D$15,3,0)*Z182</f>
        <v>1.4687309641993638</v>
      </c>
      <c r="CA182">
        <f>VLOOKUP($H182,'1. Set Program Names'!$B$2:$D$15,3,0)*AA182</f>
        <v>1.8119971653103013</v>
      </c>
      <c r="CB182">
        <f>VLOOKUP($H182,'1. Set Program Names'!$B$2:$D$15,3,0)*AB182</f>
        <v>2.1735279505511316</v>
      </c>
      <c r="CC182">
        <f>VLOOKUP($H182,'1. Set Program Names'!$B$2:$D$15,3,0)*AC182</f>
        <v>2.5559992706726957</v>
      </c>
      <c r="CD182">
        <f>VLOOKUP($H182,'1. Set Program Names'!$B$2:$D$15,3,0)*AD182</f>
        <v>2.9622594942490941</v>
      </c>
      <c r="CE182">
        <f>VLOOKUP($H182,'1. Set Program Names'!$B$2:$D$15,3,0)*AE182</f>
        <v>3.3952411064508197</v>
      </c>
    </row>
    <row r="183" spans="1:83" x14ac:dyDescent="0.25">
      <c r="A183" s="20" t="s">
        <v>115</v>
      </c>
      <c r="B183" s="20" t="s">
        <v>88</v>
      </c>
      <c r="C183" s="20" t="s">
        <v>89</v>
      </c>
      <c r="D183" s="20" t="s">
        <v>90</v>
      </c>
      <c r="E183" s="20" t="s">
        <v>91</v>
      </c>
      <c r="F183" s="20" t="s">
        <v>90</v>
      </c>
      <c r="G183" s="20" t="s">
        <v>92</v>
      </c>
      <c r="H183" s="20" t="s">
        <v>9</v>
      </c>
      <c r="I183" s="20" t="s">
        <v>96</v>
      </c>
      <c r="J183" s="20" t="s">
        <v>97</v>
      </c>
      <c r="K183" s="20" t="s">
        <v>98</v>
      </c>
      <c r="L183" s="20">
        <v>5868.07</v>
      </c>
      <c r="M183" s="20">
        <v>0.20813520080661799</v>
      </c>
      <c r="N183" s="20">
        <v>1.1349578069705</v>
      </c>
      <c r="O183" s="20">
        <v>1935.1666666666599</v>
      </c>
      <c r="P183" s="20">
        <v>513.45064263862798</v>
      </c>
      <c r="Q183" s="20">
        <v>1762.8565994851499</v>
      </c>
      <c r="R183" s="20">
        <v>3388.0400735263802</v>
      </c>
      <c r="S183" s="20">
        <v>7811.7411984889604</v>
      </c>
      <c r="T183" s="20">
        <v>16</v>
      </c>
      <c r="U183" s="20">
        <v>0.2</v>
      </c>
      <c r="V183" s="20">
        <v>6.5206816402913796</v>
      </c>
      <c r="W183" s="20">
        <v>13.450456949553701</v>
      </c>
      <c r="X183" s="20">
        <v>20.785412908810699</v>
      </c>
      <c r="Y183" s="20">
        <v>28.534153085081702</v>
      </c>
      <c r="Z183" s="20">
        <v>36.705357153125597</v>
      </c>
      <c r="AA183" s="20">
        <v>45.2845837431015</v>
      </c>
      <c r="AB183" s="20">
        <v>54.321557457496802</v>
      </c>
      <c r="AC183" s="20">
        <v>63.884653161206799</v>
      </c>
      <c r="AD183" s="20">
        <v>74.046726453888596</v>
      </c>
      <c r="AE183" s="20">
        <v>84.882737934635401</v>
      </c>
      <c r="AF183" t="str">
        <f t="shared" si="9"/>
        <v>Residential</v>
      </c>
      <c r="AG183" t="str">
        <f>tbl_Data_old[[#This Row],[All_Meas_Name_Append]]</f>
        <v>ASHP - CEE Tier 2: 16.8 SEER/16 SEER2; 9.0 HSPF (from elec resistance)</v>
      </c>
      <c r="AH183">
        <f>AVERAGEIFS('3. Incentive Adjustment'!G:G,'3. Incentive Adjustment'!A:A,tbl_Data_old[[#This Row],[Trimmed Sector]],'3. Incentive Adjustment'!B:B,tbl_Data_old[[#This Row],[Trimmed Measure Name]])</f>
        <v>0.9303958662075158</v>
      </c>
      <c r="AI183">
        <f>$AH183*tbl_Data_old[[#This Row],[2025 ]]</f>
        <v>6.0668152429823428</v>
      </c>
      <c r="AJ183">
        <f>$AH183*tbl_Data_old[[#This Row],[2026 ]]</f>
        <v>12.514249544466916</v>
      </c>
      <c r="AK183">
        <f>$AH183*tbl_Data_old[[#This Row],[2027 ]]</f>
        <v>19.338662247773811</v>
      </c>
      <c r="AL183">
        <f>$AH183*tbl_Data_old[[#This Row],[2028 ]]</f>
        <v>26.548058076092449</v>
      </c>
      <c r="AM183">
        <f>$AH183*tbl_Data_old[[#This Row],[2029 ]]</f>
        <v>34.150512562938523</v>
      </c>
      <c r="AN183">
        <f>$AH183*tbl_Data_old[[#This Row],[2030 ]]</f>
        <v>42.132589517509707</v>
      </c>
      <c r="AO183">
        <f>$AH183*tbl_Data_old[[#This Row],[2031 ]]</f>
        <v>50.540552504409078</v>
      </c>
      <c r="AP183">
        <f>$AH183*tbl_Data_old[[#This Row],[2032 ]]</f>
        <v>59.438017215287715</v>
      </c>
      <c r="AQ183">
        <f>$AH183*tbl_Data_old[[#This Row],[2033 ]]</f>
        <v>68.892768198896661</v>
      </c>
      <c r="AR183">
        <f>$AH183*tbl_Data_old[[#This Row],[2034 ]]</f>
        <v>78.974548486760668</v>
      </c>
      <c r="AS183">
        <f>SUM(tbl_Data_old[[#This Row],[Adjusted 2025]:[Adjusted 2034]])</f>
        <v>398.59677359711787</v>
      </c>
      <c r="AT183" s="3">
        <f>AVERAGEIFS('3. Incentive Adjustment'!F:F,'3. Incentive Adjustment'!A:A,tbl_Data_old[[#This Row],[Trimmed Sector]],'3. Incentive Adjustment'!B:B,tbl_Data_old[[#This Row],[Trimmed Measure Name]])</f>
        <v>353</v>
      </c>
      <c r="AU183" s="3">
        <f>IFERROR(VLOOKUP(tbl_Data_old[[#This Row],[All_Meas_Name_Append]],'IRA Tax Credits'!$A$3:$D$46,4,0),0)</f>
        <v>0</v>
      </c>
      <c r="AV183" s="4">
        <f>tbl_Data_old[[#This Row],[Adj. per unit Incentive ($)]]/tbl_Data_old[[#This Row],[kWh Savings]]*tbl_Data_old[[#This Row],[Sum of Annuals]]</f>
        <v>23.978013397894472</v>
      </c>
      <c r="AW183" s="4">
        <f>IFERROR(VLOOKUP(tbl_Data_old[[#This Row],[All_Programs]],'1. Set Program Names'!$B$2:$D$15,3,0)*tbl_Data_old[[#This Row],[Sum of Annuals]],"")</f>
        <v>179.61671031595637</v>
      </c>
      <c r="AX183" s="4">
        <f>tbl_Data_old[[#This Row],[per unit IRA tax ($)]]/tbl_Data_old[[#This Row],[kWh Savings]]*tbl_Data_old[[#This Row],[Sum of Annuals]]</f>
        <v>0</v>
      </c>
      <c r="AY183" s="4">
        <f>tbl_Data_old[[#This Row],[Avoided Costs ($/unit)]]/tbl_Data_old[[#This Row],[kWh Savings]]*tbl_Data_old[[#This Row],[Sum of Annuals]]</f>
        <v>230.13730956265982</v>
      </c>
      <c r="AZ183" s="4">
        <f>tbl_Data_old[[#This Row],[Lost Revenue ($/unit)]]/tbl_Data_old[[#This Row],[kWh Savings]]*tbl_Data_old[[#This Row],[Sum of Annuals]]</f>
        <v>530.62332894689098</v>
      </c>
      <c r="BA183" s="4">
        <f>tbl_Data_old[[#This Row],[Incremental Cost ($/unit)]]/tbl_Data_old[[#This Row],[kWh Savings]]*tbl_Data_old[[#This Row],[Sum of Annuals]]</f>
        <v>131.44887325918401</v>
      </c>
      <c r="BB183">
        <f>ROUNDUP(tbl_Data_old[[#This Row],[Adjusted 2025]]/$L183,0)</f>
        <v>1</v>
      </c>
      <c r="BC183">
        <f>ROUNDUP(tbl_Data_old[[#This Row],[Adjusted 2026]]/$L183,0)</f>
        <v>1</v>
      </c>
      <c r="BD183">
        <f>ROUNDUP(tbl_Data_old[[#This Row],[Adjusted 2027]]/$L183,0)</f>
        <v>1</v>
      </c>
      <c r="BE183">
        <f>ROUNDUP(tbl_Data_old[[#This Row],[Adjusted 2028]]/$L183,0)</f>
        <v>1</v>
      </c>
      <c r="BF183">
        <f>ROUNDUP(tbl_Data_old[[#This Row],[Adjusted 2029]]/$L183,0)</f>
        <v>1</v>
      </c>
      <c r="BG183">
        <f>ROUNDUP(tbl_Data_old[[#This Row],[Adjusted 2030]]/$L183,0)</f>
        <v>1</v>
      </c>
      <c r="BH183">
        <f>ROUNDUP(tbl_Data_old[[#This Row],[Adjusted 2031]]/$L183,0)</f>
        <v>1</v>
      </c>
      <c r="BI183">
        <f>ROUNDUP(tbl_Data_old[[#This Row],[Adjusted 2032]]/$L183,0)</f>
        <v>1</v>
      </c>
      <c r="BJ183">
        <f>ROUNDUP(tbl_Data_old[[#This Row],[Adjusted 2033]]/$L183,0)</f>
        <v>1</v>
      </c>
      <c r="BK183">
        <f>ROUNDUP(tbl_Data_old[[#This Row],[Adjusted 2034]]/$L183,0)</f>
        <v>1</v>
      </c>
      <c r="BL183" s="3">
        <f t="shared" si="12"/>
        <v>0.3922585482148061</v>
      </c>
      <c r="BM183" s="3">
        <f t="shared" si="12"/>
        <v>0.80912656174729625</v>
      </c>
      <c r="BN183" s="3">
        <f t="shared" si="12"/>
        <v>1.2503686487738177</v>
      </c>
      <c r="BO183" s="3">
        <f t="shared" si="12"/>
        <v>1.7165023660307122</v>
      </c>
      <c r="BP183" s="3">
        <f t="shared" si="12"/>
        <v>2.2080498485964442</v>
      </c>
      <c r="BQ183" s="3">
        <f t="shared" si="11"/>
        <v>2.7241423604890245</v>
      </c>
      <c r="BR183" s="3">
        <f t="shared" si="11"/>
        <v>3.2677711381248642</v>
      </c>
      <c r="BS183" s="3">
        <f t="shared" si="11"/>
        <v>3.8430493443169564</v>
      </c>
      <c r="BT183" s="3">
        <f t="shared" si="11"/>
        <v>4.4543596852496092</v>
      </c>
      <c r="BU183" s="3">
        <f t="shared" si="11"/>
        <v>5.1062114955899123</v>
      </c>
      <c r="BV183">
        <f>VLOOKUP($H183,'1. Set Program Names'!$B$2:$D$15,3,0)*V183</f>
        <v>2.9383664465648867</v>
      </c>
      <c r="BW183">
        <f>VLOOKUP($H183,'1. Set Program Names'!$B$2:$D$15,3,0)*W183</f>
        <v>6.061079741621616</v>
      </c>
      <c r="BX183">
        <f>VLOOKUP($H183,'1. Set Program Names'!$B$2:$D$15,3,0)*X183</f>
        <v>9.3663765904260341</v>
      </c>
      <c r="BY183">
        <f>VLOOKUP($H183,'1. Set Program Names'!$B$2:$D$15,3,0)*Y183</f>
        <v>12.858133954628004</v>
      </c>
      <c r="BZ183">
        <f>VLOOKUP($H183,'1. Set Program Names'!$B$2:$D$15,3,0)*Z183</f>
        <v>16.540263091744073</v>
      </c>
      <c r="CA183">
        <f>VLOOKUP($H183,'1. Set Program Names'!$B$2:$D$15,3,0)*AA183</f>
        <v>20.406256394299479</v>
      </c>
      <c r="CB183">
        <f>VLOOKUP($H183,'1. Set Program Names'!$B$2:$D$15,3,0)*AB183</f>
        <v>24.478520891432854</v>
      </c>
      <c r="CC183">
        <f>VLOOKUP($H183,'1. Set Program Names'!$B$2:$D$15,3,0)*AC183</f>
        <v>28.787867841825395</v>
      </c>
      <c r="CD183">
        <f>VLOOKUP($H183,'1. Set Program Names'!$B$2:$D$15,3,0)*AD183</f>
        <v>33.367127624459876</v>
      </c>
      <c r="CE183">
        <f>VLOOKUP($H183,'1. Set Program Names'!$B$2:$D$15,3,0)*AE183</f>
        <v>38.250079178616033</v>
      </c>
    </row>
    <row r="184" spans="1:83" x14ac:dyDescent="0.25">
      <c r="A184" s="20" t="s">
        <v>115</v>
      </c>
      <c r="B184" s="20" t="s">
        <v>88</v>
      </c>
      <c r="C184" s="20" t="s">
        <v>89</v>
      </c>
      <c r="D184" s="20" t="s">
        <v>90</v>
      </c>
      <c r="E184" s="20" t="s">
        <v>91</v>
      </c>
      <c r="F184" s="20" t="s">
        <v>90</v>
      </c>
      <c r="G184" s="20" t="s">
        <v>92</v>
      </c>
      <c r="H184" s="20" t="s">
        <v>9</v>
      </c>
      <c r="I184" s="20" t="s">
        <v>99</v>
      </c>
      <c r="J184" s="20" t="s">
        <v>97</v>
      </c>
      <c r="K184" s="20" t="s">
        <v>98</v>
      </c>
      <c r="L184" s="20">
        <v>253.96999999999801</v>
      </c>
      <c r="M184" s="20">
        <v>0.107126245482503</v>
      </c>
      <c r="N184" s="20">
        <v>1.33192706841354E-2</v>
      </c>
      <c r="O184" s="20">
        <v>874.99999999999898</v>
      </c>
      <c r="P184" s="20">
        <v>813.468148399999</v>
      </c>
      <c r="Q184" s="20">
        <v>76.296412716828996</v>
      </c>
      <c r="R184" s="20">
        <v>185.54516688855901</v>
      </c>
      <c r="S184" s="20">
        <v>338.09206641710699</v>
      </c>
      <c r="T184" s="20">
        <v>16</v>
      </c>
      <c r="U184" s="20">
        <v>0.19999999999999901</v>
      </c>
      <c r="V184" s="20">
        <v>7.0583657480175601</v>
      </c>
      <c r="W184" s="20">
        <v>14.9537285571755</v>
      </c>
      <c r="X184" s="20">
        <v>23.632155008976</v>
      </c>
      <c r="Y184" s="20">
        <v>33.061335087668802</v>
      </c>
      <c r="Z184" s="20">
        <v>43.2151077758881</v>
      </c>
      <c r="AA184" s="20">
        <v>54.042791386427297</v>
      </c>
      <c r="AB184" s="20">
        <v>65.578464081041503</v>
      </c>
      <c r="AC184" s="20">
        <v>77.885276738144796</v>
      </c>
      <c r="AD184" s="20">
        <v>91.036682742821597</v>
      </c>
      <c r="AE184" s="20">
        <v>105.11249543904999</v>
      </c>
      <c r="AF184" t="str">
        <f t="shared" si="9"/>
        <v>Residential</v>
      </c>
      <c r="AG184" t="str">
        <f>tbl_Data_old[[#This Row],[All_Meas_Name_Append]]</f>
        <v>ASHP - ENERGY STAR/CEE Tier 1: 16 SEER/15.2 SEER2_ 9.0 HSPF</v>
      </c>
      <c r="AH184">
        <f>AVERAGEIFS('3. Incentive Adjustment'!G:G,'3. Incentive Adjustment'!A:A,tbl_Data_old[[#This Row],[Trimmed Sector]],'3. Incentive Adjustment'!B:B,tbl_Data_old[[#This Row],[Trimmed Measure Name]])</f>
        <v>8.3636985731950567E-3</v>
      </c>
      <c r="AI184">
        <f>$AH184*tbl_Data_old[[#This Row],[2025 ]]</f>
        <v>5.9034043535783329E-2</v>
      </c>
      <c r="AJ184">
        <f>$AH184*tbl_Data_old[[#This Row],[2026 ]]</f>
        <v>0.1250684781975949</v>
      </c>
      <c r="AK184">
        <f>$AH184*tbl_Data_old[[#This Row],[2027 ]]</f>
        <v>0.19765222113009698</v>
      </c>
      <c r="AL184">
        <f>$AH184*tbl_Data_old[[#This Row],[2028 ]]</f>
        <v>0.27651504110065922</v>
      </c>
      <c r="AM184">
        <f>$AH184*tbl_Data_old[[#This Row],[2029 ]]</f>
        <v>0.36143813524566593</v>
      </c>
      <c r="AN184">
        <f>$AH184*tbl_Data_old[[#This Row],[2030 ]]</f>
        <v>0.45199761721014009</v>
      </c>
      <c r="AO184">
        <f>$AH184*tbl_Data_old[[#This Row],[2031 ]]</f>
        <v>0.54847850646693008</v>
      </c>
      <c r="AP184">
        <f>$AH184*tbl_Data_old[[#This Row],[2032 ]]</f>
        <v>0.65140897792772379</v>
      </c>
      <c r="AQ184">
        <f>$AH184*tbl_Data_old[[#This Row],[2033 ]]</f>
        <v>0.76140337356454801</v>
      </c>
      <c r="AR184">
        <f>$AH184*tbl_Data_old[[#This Row],[2034 ]]</f>
        <v>0.87912922812855432</v>
      </c>
      <c r="AS184">
        <f>SUM(tbl_Data_old[[#This Row],[Adjusted 2025]:[Adjusted 2034]])</f>
        <v>4.312125622507696</v>
      </c>
      <c r="AT184" s="3">
        <f>AVERAGEIFS('3. Incentive Adjustment'!F:F,'3. Incentive Adjustment'!A:A,tbl_Data_old[[#This Row],[Trimmed Sector]],'3. Incentive Adjustment'!B:B,tbl_Data_old[[#This Row],[Trimmed Measure Name]])</f>
        <v>353</v>
      </c>
      <c r="AU184" s="3">
        <f>IFERROR(VLOOKUP(tbl_Data_old[[#This Row],[All_Meas_Name_Append]],'IRA Tax Credits'!$A$3:$D$46,4,0),0)</f>
        <v>0</v>
      </c>
      <c r="AV184" s="4">
        <f>tbl_Data_old[[#This Row],[Adj. per unit Incentive ($)]]/tbl_Data_old[[#This Row],[kWh Savings]]*tbl_Data_old[[#This Row],[Sum of Annuals]]</f>
        <v>5.9935439018200132</v>
      </c>
      <c r="AW184" s="4">
        <f>IFERROR(VLOOKUP(tbl_Data_old[[#This Row],[All_Programs]],'1. Set Program Names'!$B$2:$D$15,3,0)*tbl_Data_old[[#This Row],[Sum of Annuals]],"")</f>
        <v>1.9431412146020899</v>
      </c>
      <c r="AX184" s="4">
        <f>tbl_Data_old[[#This Row],[per unit IRA tax ($)]]/tbl_Data_old[[#This Row],[kWh Savings]]*tbl_Data_old[[#This Row],[Sum of Annuals]]</f>
        <v>0</v>
      </c>
      <c r="AY184" s="4">
        <f>tbl_Data_old[[#This Row],[Avoided Costs ($/unit)]]/tbl_Data_old[[#This Row],[kWh Savings]]*tbl_Data_old[[#This Row],[Sum of Annuals]]</f>
        <v>3.150348735175919</v>
      </c>
      <c r="AZ184" s="4">
        <f>tbl_Data_old[[#This Row],[Lost Revenue ($/unit)]]/tbl_Data_old[[#This Row],[kWh Savings]]*tbl_Data_old[[#This Row],[Sum of Annuals]]</f>
        <v>5.7404239176429979</v>
      </c>
      <c r="BA184" s="4">
        <f>tbl_Data_old[[#This Row],[Incremental Cost ($/unit)]]/tbl_Data_old[[#This Row],[kWh Savings]]*tbl_Data_old[[#This Row],[Sum of Annuals]]</f>
        <v>14.856518170233725</v>
      </c>
      <c r="BB184">
        <f>ROUNDUP(tbl_Data_old[[#This Row],[Adjusted 2025]]/$L184,0)</f>
        <v>1</v>
      </c>
      <c r="BC184">
        <f>ROUNDUP(tbl_Data_old[[#This Row],[Adjusted 2026]]/$L184,0)</f>
        <v>1</v>
      </c>
      <c r="BD184">
        <f>ROUNDUP(tbl_Data_old[[#This Row],[Adjusted 2027]]/$L184,0)</f>
        <v>1</v>
      </c>
      <c r="BE184">
        <f>ROUNDUP(tbl_Data_old[[#This Row],[Adjusted 2028]]/$L184,0)</f>
        <v>1</v>
      </c>
      <c r="BF184">
        <f>ROUNDUP(tbl_Data_old[[#This Row],[Adjusted 2029]]/$L184,0)</f>
        <v>1</v>
      </c>
      <c r="BG184">
        <f>ROUNDUP(tbl_Data_old[[#This Row],[Adjusted 2030]]/$L184,0)</f>
        <v>1</v>
      </c>
      <c r="BH184">
        <f>ROUNDUP(tbl_Data_old[[#This Row],[Adjusted 2031]]/$L184,0)</f>
        <v>1</v>
      </c>
      <c r="BI184">
        <f>ROUNDUP(tbl_Data_old[[#This Row],[Adjusted 2032]]/$L184,0)</f>
        <v>1</v>
      </c>
      <c r="BJ184">
        <f>ROUNDUP(tbl_Data_old[[#This Row],[Adjusted 2033]]/$L184,0)</f>
        <v>1</v>
      </c>
      <c r="BK184">
        <f>ROUNDUP(tbl_Data_old[[#This Row],[Adjusted 2034]]/$L184,0)</f>
        <v>1</v>
      </c>
      <c r="BL184" s="3">
        <f t="shared" si="12"/>
        <v>9.8106197938741513</v>
      </c>
      <c r="BM184" s="3">
        <f t="shared" si="12"/>
        <v>20.784605192278587</v>
      </c>
      <c r="BN184" s="3">
        <f t="shared" si="12"/>
        <v>32.846992629714507</v>
      </c>
      <c r="BO184" s="3">
        <f t="shared" si="12"/>
        <v>45.952873512411621</v>
      </c>
      <c r="BP184" s="3">
        <f t="shared" si="12"/>
        <v>60.065885911283296</v>
      </c>
      <c r="BQ184" s="3">
        <f t="shared" si="11"/>
        <v>75.115585933019588</v>
      </c>
      <c r="BR184" s="3">
        <f t="shared" si="11"/>
        <v>91.149339766932442</v>
      </c>
      <c r="BS184" s="3">
        <f t="shared" si="11"/>
        <v>108.25492258363322</v>
      </c>
      <c r="BT184" s="3">
        <f t="shared" si="11"/>
        <v>126.53442929565018</v>
      </c>
      <c r="BU184" s="3">
        <f t="shared" si="11"/>
        <v>146.09879470010213</v>
      </c>
      <c r="BV184">
        <f>VLOOKUP($H184,'1. Set Program Names'!$B$2:$D$15,3,0)*V184</f>
        <v>3.180659051563647</v>
      </c>
      <c r="BW184">
        <f>VLOOKUP($H184,'1. Set Program Names'!$B$2:$D$15,3,0)*W184</f>
        <v>6.7384878862879409</v>
      </c>
      <c r="BX184">
        <f>VLOOKUP($H184,'1. Set Program Names'!$B$2:$D$15,3,0)*X184</f>
        <v>10.649182887464574</v>
      </c>
      <c r="BY184">
        <f>VLOOKUP($H184,'1. Set Program Names'!$B$2:$D$15,3,0)*Y184</f>
        <v>14.898184432126847</v>
      </c>
      <c r="BZ184">
        <f>VLOOKUP($H184,'1. Set Program Names'!$B$2:$D$15,3,0)*Z184</f>
        <v>19.473703774883369</v>
      </c>
      <c r="CA184">
        <f>VLOOKUP($H184,'1. Set Program Names'!$B$2:$D$15,3,0)*AA184</f>
        <v>24.352902602600899</v>
      </c>
      <c r="CB184">
        <f>VLOOKUP($H184,'1. Set Program Names'!$B$2:$D$15,3,0)*AB184</f>
        <v>29.551137304777598</v>
      </c>
      <c r="CC184">
        <f>VLOOKUP($H184,'1. Set Program Names'!$B$2:$D$15,3,0)*AC184</f>
        <v>35.096865093778575</v>
      </c>
      <c r="CD184">
        <f>VLOOKUP($H184,'1. Set Program Names'!$B$2:$D$15,3,0)*AD184</f>
        <v>41.023185724203877</v>
      </c>
      <c r="CE184">
        <f>VLOOKUP($H184,'1. Set Program Names'!$B$2:$D$15,3,0)*AE184</f>
        <v>47.366064891799823</v>
      </c>
    </row>
    <row r="185" spans="1:83" x14ac:dyDescent="0.25">
      <c r="A185" s="20" t="s">
        <v>115</v>
      </c>
      <c r="B185" s="20" t="s">
        <v>88</v>
      </c>
      <c r="C185" s="20" t="s">
        <v>89</v>
      </c>
      <c r="D185" s="20" t="s">
        <v>90</v>
      </c>
      <c r="E185" s="20" t="s">
        <v>91</v>
      </c>
      <c r="F185" s="20" t="s">
        <v>90</v>
      </c>
      <c r="G185" s="20" t="s">
        <v>92</v>
      </c>
      <c r="H185" s="20" t="s">
        <v>9</v>
      </c>
      <c r="I185" s="20" t="s">
        <v>107</v>
      </c>
      <c r="J185" s="20" t="s">
        <v>94</v>
      </c>
      <c r="K185" s="20" t="s">
        <v>108</v>
      </c>
      <c r="L185" s="20">
        <v>1663.1099999999899</v>
      </c>
      <c r="M185" s="20">
        <v>6.6647595975018806E-2</v>
      </c>
      <c r="N185" s="20">
        <v>0.309148293753995</v>
      </c>
      <c r="O185" s="20">
        <v>1389.5</v>
      </c>
      <c r="P185" s="20">
        <v>988.78817699699403</v>
      </c>
      <c r="Q185" s="20">
        <v>499.623289969231</v>
      </c>
      <c r="R185" s="20">
        <v>791.96156853290995</v>
      </c>
      <c r="S185" s="20">
        <v>2127.4894292214699</v>
      </c>
      <c r="T185" s="20">
        <v>15</v>
      </c>
      <c r="U185" s="20">
        <v>0.2</v>
      </c>
      <c r="V185" s="20">
        <v>0.69749188488293101</v>
      </c>
      <c r="W185" s="20">
        <v>1.4731849493328499</v>
      </c>
      <c r="X185" s="20">
        <v>2.32094295145937</v>
      </c>
      <c r="Y185" s="20">
        <v>3.2368389378751399</v>
      </c>
      <c r="Z185" s="20">
        <v>4.2176087429826801</v>
      </c>
      <c r="AA185" s="20">
        <v>5.2576884619158601</v>
      </c>
      <c r="AB185" s="20">
        <v>6.3597030558466701</v>
      </c>
      <c r="AC185" s="20">
        <v>7.5289959217165503</v>
      </c>
      <c r="AD185" s="20">
        <v>8.7717959036572406</v>
      </c>
      <c r="AE185" s="20">
        <v>10.0948273222889</v>
      </c>
      <c r="AF185" t="str">
        <f t="shared" si="9"/>
        <v>Residential</v>
      </c>
      <c r="AG185" t="str">
        <f>tbl_Data_old[[#This Row],[All_Meas_Name_Append]]</f>
        <v>Heat Pump Water Heater 50 Gallons- CEE Advanced Tier</v>
      </c>
      <c r="AH185">
        <f>AVERAGEIFS('3. Incentive Adjustment'!G:G,'3. Incentive Adjustment'!A:A,tbl_Data_old[[#This Row],[Trimmed Sector]],'3. Incentive Adjustment'!B:B,tbl_Data_old[[#This Row],[Trimmed Measure Name]])</f>
        <v>0.46049099596140497</v>
      </c>
      <c r="AI185">
        <f>$AH185*tbl_Data_old[[#This Row],[2025 ]]</f>
        <v>0.32118873274473853</v>
      </c>
      <c r="AJ185">
        <f>$AH185*tbl_Data_old[[#This Row],[2026 ]]</f>
        <v>0.67838840455363603</v>
      </c>
      <c r="AK185">
        <f>$AH185*tbl_Data_old[[#This Row],[2027 ]]</f>
        <v>1.0687733312871281</v>
      </c>
      <c r="AL185">
        <f>$AH185*tbl_Data_old[[#This Row],[2028 ]]</f>
        <v>1.4905351862687795</v>
      </c>
      <c r="AM185">
        <f>$AH185*tbl_Data_old[[#This Row],[2029 ]]</f>
        <v>1.9421708506316235</v>
      </c>
      <c r="AN185">
        <f>$AH185*tbl_Data_old[[#This Row],[2030 ]]</f>
        <v>2.4211181962824218</v>
      </c>
      <c r="AO185">
        <f>$AH185*tbl_Data_old[[#This Row],[2031 ]]</f>
        <v>2.9285859942056236</v>
      </c>
      <c r="AP185">
        <f>$AH185*tbl_Data_old[[#This Row],[2032 ]]</f>
        <v>3.4670348305806105</v>
      </c>
      <c r="AQ185">
        <f>$AH185*tbl_Data_old[[#This Row],[2033 ]]</f>
        <v>4.0393330320452954</v>
      </c>
      <c r="AR185">
        <f>$AH185*tbl_Data_old[[#This Row],[2034 ]]</f>
        <v>4.6485770876992181</v>
      </c>
      <c r="AS185">
        <f>SUM(tbl_Data_old[[#This Row],[Adjusted 2025]:[Adjusted 2034]])</f>
        <v>23.00570564629907</v>
      </c>
      <c r="AT185" s="3">
        <f>AVERAGEIFS('3. Incentive Adjustment'!F:F,'3. Incentive Adjustment'!A:A,tbl_Data_old[[#This Row],[Trimmed Sector]],'3. Incentive Adjustment'!B:B,tbl_Data_old[[#This Row],[Trimmed Measure Name]])</f>
        <v>500</v>
      </c>
      <c r="AU185" s="3">
        <f>IFERROR(VLOOKUP(tbl_Data_old[[#This Row],[All_Meas_Name_Append]],'IRA Tax Credits'!$A$3:$D$46,4,0),0)</f>
        <v>1666.6666666666667</v>
      </c>
      <c r="AV185" s="4">
        <f>tbl_Data_old[[#This Row],[Adj. per unit Incentive ($)]]/tbl_Data_old[[#This Row],[kWh Savings]]*tbl_Data_old[[#This Row],[Sum of Annuals]]</f>
        <v>6.9164714439511554</v>
      </c>
      <c r="AW185" s="4">
        <f>IFERROR(VLOOKUP(tbl_Data_old[[#This Row],[All_Programs]],'1. Set Program Names'!$B$2:$D$15,3,0)*tbl_Data_old[[#This Row],[Sum of Annuals]],"")</f>
        <v>10.366890653415314</v>
      </c>
      <c r="AX185" s="4">
        <f>tbl_Data_old[[#This Row],[per unit IRA tax ($)]]/tbl_Data_old[[#This Row],[kWh Savings]]*tbl_Data_old[[#This Row],[Sum of Annuals]]</f>
        <v>23.054904813170516</v>
      </c>
      <c r="AY185" s="4">
        <f>tbl_Data_old[[#This Row],[Avoided Costs ($/unit)]]/tbl_Data_old[[#This Row],[kWh Savings]]*tbl_Data_old[[#This Row],[Sum of Annuals]]</f>
        <v>10.955159146929274</v>
      </c>
      <c r="AZ185" s="4">
        <f>tbl_Data_old[[#This Row],[Lost Revenue ($/unit)]]/tbl_Data_old[[#This Row],[kWh Savings]]*tbl_Data_old[[#This Row],[Sum of Annuals]]</f>
        <v>29.429439769036474</v>
      </c>
      <c r="BA185" s="4">
        <f>tbl_Data_old[[#This Row],[Incremental Cost ($/unit)]]/tbl_Data_old[[#This Row],[kWh Savings]]*tbl_Data_old[[#This Row],[Sum of Annuals]]</f>
        <v>19.220874142740257</v>
      </c>
      <c r="BB185">
        <f>ROUNDUP(tbl_Data_old[[#This Row],[Adjusted 2025]]/$L185,0)</f>
        <v>1</v>
      </c>
      <c r="BC185">
        <f>ROUNDUP(tbl_Data_old[[#This Row],[Adjusted 2026]]/$L185,0)</f>
        <v>1</v>
      </c>
      <c r="BD185">
        <f>ROUNDUP(tbl_Data_old[[#This Row],[Adjusted 2027]]/$L185,0)</f>
        <v>1</v>
      </c>
      <c r="BE185">
        <f>ROUNDUP(tbl_Data_old[[#This Row],[Adjusted 2028]]/$L185,0)</f>
        <v>1</v>
      </c>
      <c r="BF185">
        <f>ROUNDUP(tbl_Data_old[[#This Row],[Adjusted 2029]]/$L185,0)</f>
        <v>1</v>
      </c>
      <c r="BG185">
        <f>ROUNDUP(tbl_Data_old[[#This Row],[Adjusted 2030]]/$L185,0)</f>
        <v>1</v>
      </c>
      <c r="BH185">
        <f>ROUNDUP(tbl_Data_old[[#This Row],[Adjusted 2031]]/$L185,0)</f>
        <v>1</v>
      </c>
      <c r="BI185">
        <f>ROUNDUP(tbl_Data_old[[#This Row],[Adjusted 2032]]/$L185,0)</f>
        <v>1</v>
      </c>
      <c r="BJ185">
        <f>ROUNDUP(tbl_Data_old[[#This Row],[Adjusted 2033]]/$L185,0)</f>
        <v>1</v>
      </c>
      <c r="BK185">
        <f>ROUNDUP(tbl_Data_old[[#This Row],[Adjusted 2034]]/$L185,0)</f>
        <v>1</v>
      </c>
      <c r="BL185" s="3">
        <f t="shared" si="12"/>
        <v>0.20969505471163521</v>
      </c>
      <c r="BM185" s="3">
        <f t="shared" si="12"/>
        <v>0.44290063475442365</v>
      </c>
      <c r="BN185" s="3">
        <f t="shared" si="12"/>
        <v>0.69777193073801014</v>
      </c>
      <c r="BO185" s="3">
        <f t="shared" si="12"/>
        <v>0.97312833723420566</v>
      </c>
      <c r="BP185" s="3">
        <f t="shared" si="12"/>
        <v>1.2679885103759541</v>
      </c>
      <c r="BQ185" s="3">
        <f t="shared" si="11"/>
        <v>1.5806797090739315</v>
      </c>
      <c r="BR185" s="3">
        <f t="shared" si="11"/>
        <v>1.9119911057737338</v>
      </c>
      <c r="BS185" s="3">
        <f t="shared" si="11"/>
        <v>2.2635291477162052</v>
      </c>
      <c r="BT185" s="3">
        <f t="shared" si="11"/>
        <v>2.6371664843748444</v>
      </c>
      <c r="BU185" s="3">
        <f t="shared" si="11"/>
        <v>3.0349247260520835</v>
      </c>
      <c r="BV185">
        <f>VLOOKUP($H185,'1. Set Program Names'!$B$2:$D$15,3,0)*V185</f>
        <v>0.31430559937591446</v>
      </c>
      <c r="BW185">
        <f>VLOOKUP($H185,'1. Set Program Names'!$B$2:$D$15,3,0)*W185</f>
        <v>0.66385041679639589</v>
      </c>
      <c r="BX185">
        <f>VLOOKUP($H185,'1. Set Program Names'!$B$2:$D$15,3,0)*X185</f>
        <v>1.0458693230505185</v>
      </c>
      <c r="BY185">
        <f>VLOOKUP($H185,'1. Set Program Names'!$B$2:$D$15,3,0)*Y185</f>
        <v>1.4585927442337199</v>
      </c>
      <c r="BZ185">
        <f>VLOOKUP($H185,'1. Set Program Names'!$B$2:$D$15,3,0)*Z185</f>
        <v>1.9005497735916508</v>
      </c>
      <c r="CA185">
        <f>VLOOKUP($H185,'1. Set Program Names'!$B$2:$D$15,3,0)*AA185</f>
        <v>2.3692331899053678</v>
      </c>
      <c r="CB185">
        <f>VLOOKUP($H185,'1. Set Program Names'!$B$2:$D$15,3,0)*AB185</f>
        <v>2.8658258599757351</v>
      </c>
      <c r="CC185">
        <f>VLOOKUP($H185,'1. Set Program Names'!$B$2:$D$15,3,0)*AC185</f>
        <v>3.392735639169651</v>
      </c>
      <c r="CD185">
        <f>VLOOKUP($H185,'1. Set Program Names'!$B$2:$D$15,3,0)*AD185</f>
        <v>3.9527693853598409</v>
      </c>
      <c r="CE185">
        <f>VLOOKUP($H185,'1. Set Program Names'!$B$2:$D$15,3,0)*AE185</f>
        <v>4.5489572293173159</v>
      </c>
    </row>
    <row r="186" spans="1:83" x14ac:dyDescent="0.25">
      <c r="A186" s="20" t="s">
        <v>115</v>
      </c>
      <c r="B186" s="20" t="s">
        <v>88</v>
      </c>
      <c r="C186" s="20" t="s">
        <v>89</v>
      </c>
      <c r="D186" s="20" t="s">
        <v>90</v>
      </c>
      <c r="E186" s="20" t="s">
        <v>91</v>
      </c>
      <c r="F186" s="20" t="s">
        <v>90</v>
      </c>
      <c r="G186" s="20" t="s">
        <v>92</v>
      </c>
      <c r="H186" s="20" t="s">
        <v>9</v>
      </c>
      <c r="I186" s="20" t="s">
        <v>109</v>
      </c>
      <c r="J186" s="20" t="s">
        <v>94</v>
      </c>
      <c r="K186" s="20" t="s">
        <v>95</v>
      </c>
      <c r="L186" s="20">
        <v>1590.11499999999</v>
      </c>
      <c r="M186" s="20">
        <v>6.3722388822036402E-2</v>
      </c>
      <c r="N186" s="20">
        <v>0.29557957027655002</v>
      </c>
      <c r="O186" s="20">
        <v>1389.5</v>
      </c>
      <c r="P186" s="20">
        <v>1006.47372867305</v>
      </c>
      <c r="Q186" s="20">
        <v>477.694492685044</v>
      </c>
      <c r="R186" s="20">
        <v>757.20185047754296</v>
      </c>
      <c r="S186" s="20">
        <v>2034.1125083407001</v>
      </c>
      <c r="T186" s="20">
        <v>15</v>
      </c>
      <c r="U186" s="20">
        <v>0.2</v>
      </c>
      <c r="V186" s="20">
        <v>0.99676670513503496</v>
      </c>
      <c r="W186" s="20">
        <v>2.1048340879838001</v>
      </c>
      <c r="X186" s="20">
        <v>3.3153990916112401</v>
      </c>
      <c r="Y186" s="20">
        <v>4.6228310051677299</v>
      </c>
      <c r="Z186" s="20">
        <v>6.0224574766016996</v>
      </c>
      <c r="AA186" s="20">
        <v>7.5063345653756901</v>
      </c>
      <c r="AB186" s="20">
        <v>9.0782084767346198</v>
      </c>
      <c r="AC186" s="20">
        <v>10.745702572077199</v>
      </c>
      <c r="AD186" s="20">
        <v>12.517700911025999</v>
      </c>
      <c r="AE186" s="20">
        <v>14.403791874156999</v>
      </c>
      <c r="AF186" t="str">
        <f t="shared" si="9"/>
        <v>Residential</v>
      </c>
      <c r="AG186" t="str">
        <f>tbl_Data_old[[#This Row],[All_Meas_Name_Append]]</f>
        <v>Heat Pump Water Heater 50 Gallons-ENERGY STAR</v>
      </c>
      <c r="AH186">
        <f>AVERAGEIFS('3. Incentive Adjustment'!G:G,'3. Incentive Adjustment'!A:A,tbl_Data_old[[#This Row],[Trimmed Sector]],'3. Incentive Adjustment'!B:B,tbl_Data_old[[#This Row],[Trimmed Measure Name]])</f>
        <v>0.43153525594917136</v>
      </c>
      <c r="AI186">
        <f>$AH186*tbl_Data_old[[#This Row],[2025 ]]</f>
        <v>0.43013997522205955</v>
      </c>
      <c r="AJ186">
        <f>$AH186*tbl_Data_old[[#This Row],[2026 ]]</f>
        <v>0.90831011688862984</v>
      </c>
      <c r="AK186">
        <f>$AH186*tbl_Data_old[[#This Row],[2027 ]]</f>
        <v>1.4307115955721068</v>
      </c>
      <c r="AL186">
        <f>$AH186*tbl_Data_old[[#This Row],[2028 ]]</f>
        <v>1.9949145610248213</v>
      </c>
      <c r="AM186">
        <f>$AH186*tbl_Data_old[[#This Row],[2029 ]]</f>
        <v>2.5989027286083153</v>
      </c>
      <c r="AN186">
        <f>$AH186*tbl_Data_old[[#This Row],[2030 ]]</f>
        <v>3.2392480079095103</v>
      </c>
      <c r="AO186">
        <f>$AH186*tbl_Data_old[[#This Row],[2031 ]]</f>
        <v>3.917567018567611</v>
      </c>
      <c r="AP186">
        <f>$AH186*tbl_Data_old[[#This Row],[2032 ]]</f>
        <v>4.6371495097950035</v>
      </c>
      <c r="AQ186">
        <f>$AH186*tbl_Data_old[[#This Row],[2033 ]]</f>
        <v>5.4018292665347802</v>
      </c>
      <c r="AR186">
        <f>$AH186*tbl_Data_old[[#This Row],[2034 ]]</f>
        <v>6.2157440130529356</v>
      </c>
      <c r="AS186">
        <f>SUM(tbl_Data_old[[#This Row],[Adjusted 2025]:[Adjusted 2034]])</f>
        <v>30.774516793175771</v>
      </c>
      <c r="AT186" s="3">
        <f>AVERAGEIFS('3. Incentive Adjustment'!F:F,'3. Incentive Adjustment'!A:A,tbl_Data_old[[#This Row],[Trimmed Sector]],'3. Incentive Adjustment'!B:B,tbl_Data_old[[#This Row],[Trimmed Measure Name]])</f>
        <v>500</v>
      </c>
      <c r="AU186" s="3">
        <f>IFERROR(VLOOKUP(tbl_Data_old[[#This Row],[All_Meas_Name_Append]],'IRA Tax Credits'!$A$3:$D$46,4,0),0)</f>
        <v>1666.6666666666667</v>
      </c>
      <c r="AV186" s="4">
        <f>tbl_Data_old[[#This Row],[Adj. per unit Incentive ($)]]/tbl_Data_old[[#This Row],[kWh Savings]]*tbl_Data_old[[#This Row],[Sum of Annuals]]</f>
        <v>9.6768211082770623</v>
      </c>
      <c r="AW186" s="4">
        <f>IFERROR(VLOOKUP(tbl_Data_old[[#This Row],[All_Programs]],'1. Set Program Names'!$B$2:$D$15,3,0)*tbl_Data_old[[#This Row],[Sum of Annuals]],"")</f>
        <v>13.867692450366977</v>
      </c>
      <c r="AX186" s="4">
        <f>tbl_Data_old[[#This Row],[per unit IRA tax ($)]]/tbl_Data_old[[#This Row],[kWh Savings]]*tbl_Data_old[[#This Row],[Sum of Annuals]]</f>
        <v>32.256070360923545</v>
      </c>
      <c r="AY186" s="4">
        <f>tbl_Data_old[[#This Row],[Avoided Costs ($/unit)]]/tbl_Data_old[[#This Row],[kWh Savings]]*tbl_Data_old[[#This Row],[Sum of Annuals]]</f>
        <v>14.65461369985508</v>
      </c>
      <c r="AZ186" s="4">
        <f>tbl_Data_old[[#This Row],[Lost Revenue ($/unit)]]/tbl_Data_old[[#This Row],[kWh Savings]]*tbl_Data_old[[#This Row],[Sum of Annuals]]</f>
        <v>39.367485714643379</v>
      </c>
      <c r="BA186" s="4">
        <f>tbl_Data_old[[#This Row],[Incremental Cost ($/unit)]]/tbl_Data_old[[#This Row],[kWh Savings]]*tbl_Data_old[[#This Row],[Sum of Annuals]]</f>
        <v>26.891885859901958</v>
      </c>
      <c r="BB186">
        <f>ROUNDUP(tbl_Data_old[[#This Row],[Adjusted 2025]]/$L186,0)</f>
        <v>1</v>
      </c>
      <c r="BC186">
        <f>ROUNDUP(tbl_Data_old[[#This Row],[Adjusted 2026]]/$L186,0)</f>
        <v>1</v>
      </c>
      <c r="BD186">
        <f>ROUNDUP(tbl_Data_old[[#This Row],[Adjusted 2027]]/$L186,0)</f>
        <v>1</v>
      </c>
      <c r="BE186">
        <f>ROUNDUP(tbl_Data_old[[#This Row],[Adjusted 2028]]/$L186,0)</f>
        <v>1</v>
      </c>
      <c r="BF186">
        <f>ROUNDUP(tbl_Data_old[[#This Row],[Adjusted 2029]]/$L186,0)</f>
        <v>1</v>
      </c>
      <c r="BG186">
        <f>ROUNDUP(tbl_Data_old[[#This Row],[Adjusted 2030]]/$L186,0)</f>
        <v>1</v>
      </c>
      <c r="BH186">
        <f>ROUNDUP(tbl_Data_old[[#This Row],[Adjusted 2031]]/$L186,0)</f>
        <v>1</v>
      </c>
      <c r="BI186">
        <f>ROUNDUP(tbl_Data_old[[#This Row],[Adjusted 2032]]/$L186,0)</f>
        <v>1</v>
      </c>
      <c r="BJ186">
        <f>ROUNDUP(tbl_Data_old[[#This Row],[Adjusted 2033]]/$L186,0)</f>
        <v>1</v>
      </c>
      <c r="BK186">
        <f>ROUNDUP(tbl_Data_old[[#This Row],[Adjusted 2034]]/$L186,0)</f>
        <v>1</v>
      </c>
      <c r="BL186" s="3">
        <f t="shared" si="12"/>
        <v>0.31342598023886359</v>
      </c>
      <c r="BM186" s="3">
        <f t="shared" si="12"/>
        <v>0.66184964231637744</v>
      </c>
      <c r="BN186" s="3">
        <f t="shared" si="12"/>
        <v>1.0425029295400838</v>
      </c>
      <c r="BO186" s="3">
        <f t="shared" si="12"/>
        <v>1.4536153061784081</v>
      </c>
      <c r="BP186" s="3">
        <f t="shared" si="12"/>
        <v>1.8937175853953132</v>
      </c>
      <c r="BQ186" s="3">
        <f t="shared" si="11"/>
        <v>2.3603118533488887</v>
      </c>
      <c r="BR186" s="3">
        <f t="shared" si="11"/>
        <v>2.8545760768040918</v>
      </c>
      <c r="BS186" s="3">
        <f t="shared" si="11"/>
        <v>3.378907365843749</v>
      </c>
      <c r="BT186" s="3">
        <f t="shared" si="11"/>
        <v>3.9360992478613426</v>
      </c>
      <c r="BU186" s="3">
        <f t="shared" si="11"/>
        <v>4.5291667188087308</v>
      </c>
      <c r="BV186">
        <f>VLOOKUP($H186,'1. Set Program Names'!$B$2:$D$15,3,0)*V186</f>
        <v>0.44916559387354865</v>
      </c>
      <c r="BW186">
        <f>VLOOKUP($H186,'1. Set Program Names'!$B$2:$D$15,3,0)*W186</f>
        <v>0.94848578736029709</v>
      </c>
      <c r="BX186">
        <f>VLOOKUP($H186,'1. Set Program Names'!$B$2:$D$15,3,0)*X186</f>
        <v>1.4939937241479639</v>
      </c>
      <c r="BY186">
        <f>VLOOKUP($H186,'1. Set Program Names'!$B$2:$D$15,3,0)*Y186</f>
        <v>2.0831520787323239</v>
      </c>
      <c r="BZ186">
        <f>VLOOKUP($H186,'1. Set Program Names'!$B$2:$D$15,3,0)*Z186</f>
        <v>2.7138553837324757</v>
      </c>
      <c r="CA186">
        <f>VLOOKUP($H186,'1. Set Program Names'!$B$2:$D$15,3,0)*AA186</f>
        <v>3.3825239200919723</v>
      </c>
      <c r="CB186">
        <f>VLOOKUP($H186,'1. Set Program Names'!$B$2:$D$15,3,0)*AB186</f>
        <v>4.0908458125193716</v>
      </c>
      <c r="CC186">
        <f>VLOOKUP($H186,'1. Set Program Names'!$B$2:$D$15,3,0)*AC186</f>
        <v>4.8422563198694526</v>
      </c>
      <c r="CD186">
        <f>VLOOKUP($H186,'1. Set Program Names'!$B$2:$D$15,3,0)*AD186</f>
        <v>5.6407588000953082</v>
      </c>
      <c r="CE186">
        <f>VLOOKUP($H186,'1. Set Program Names'!$B$2:$D$15,3,0)*AE186</f>
        <v>6.4906739940819502</v>
      </c>
    </row>
    <row r="187" spans="1:83" x14ac:dyDescent="0.25">
      <c r="A187" s="20" t="s">
        <v>115</v>
      </c>
      <c r="B187" s="20" t="s">
        <v>88</v>
      </c>
      <c r="C187" s="20" t="s">
        <v>89</v>
      </c>
      <c r="D187" s="20" t="s">
        <v>90</v>
      </c>
      <c r="E187" s="20" t="s">
        <v>91</v>
      </c>
      <c r="F187" s="20" t="s">
        <v>90</v>
      </c>
      <c r="G187" s="20" t="s">
        <v>92</v>
      </c>
      <c r="H187" s="20" t="s">
        <v>9</v>
      </c>
      <c r="I187" s="20" t="s">
        <v>110</v>
      </c>
      <c r="J187" s="20" t="s">
        <v>94</v>
      </c>
      <c r="K187" s="20" t="s">
        <v>108</v>
      </c>
      <c r="L187" s="20">
        <v>461.909999999999</v>
      </c>
      <c r="M187" s="20">
        <v>1.8510616289253799E-2</v>
      </c>
      <c r="N187" s="20">
        <v>8.5862443475120898E-2</v>
      </c>
      <c r="O187" s="20">
        <v>1729.5</v>
      </c>
      <c r="P187" s="20">
        <v>1631.9996867488601</v>
      </c>
      <c r="Q187" s="20">
        <v>138.764720234794</v>
      </c>
      <c r="R187" s="20">
        <v>219.958372038552</v>
      </c>
      <c r="S187" s="20">
        <v>590.88613636602201</v>
      </c>
      <c r="T187" s="20">
        <v>15</v>
      </c>
      <c r="U187" s="20">
        <v>0.2</v>
      </c>
      <c r="V187" s="20">
        <v>0.53618433508286101</v>
      </c>
      <c r="W187" s="20">
        <v>1.1325899352200399</v>
      </c>
      <c r="X187" s="20">
        <v>1.7845067110708701</v>
      </c>
      <c r="Y187" s="20">
        <v>2.4889193040988999</v>
      </c>
      <c r="Z187" s="20">
        <v>3.2433192063933101</v>
      </c>
      <c r="AA187" s="20">
        <v>4.0434265753812699</v>
      </c>
      <c r="AB187" s="20">
        <v>4.8912594279842896</v>
      </c>
      <c r="AC187" s="20">
        <v>5.7909272553244602</v>
      </c>
      <c r="AD187" s="20">
        <v>6.7472212458762897</v>
      </c>
      <c r="AE187" s="20">
        <v>7.7653142876847498</v>
      </c>
      <c r="AF187" t="str">
        <f t="shared" si="9"/>
        <v>Residential</v>
      </c>
      <c r="AG187" t="str">
        <f>tbl_Data_old[[#This Row],[All_Meas_Name_Append]]</f>
        <v>Heat Pump Water Heater 80 Gallons-ENERGY STAR</v>
      </c>
      <c r="AH187">
        <f>AVERAGEIFS('3. Incentive Adjustment'!G:G,'3. Incentive Adjustment'!A:A,tbl_Data_old[[#This Row],[Trimmed Sector]],'3. Incentive Adjustment'!B:B,tbl_Data_old[[#This Row],[Trimmed Measure Name]])</f>
        <v>1.5551101216712928E-3</v>
      </c>
      <c r="AI187">
        <f>$AH187*tbl_Data_old[[#This Row],[2025 ]]</f>
        <v>8.3382568656894921E-4</v>
      </c>
      <c r="AJ187">
        <f>$AH187*tbl_Data_old[[#This Row],[2026 ]]</f>
        <v>1.7613020719637179E-3</v>
      </c>
      <c r="AK187">
        <f>$AH187*tbl_Data_old[[#This Row],[2027 ]]</f>
        <v>2.7751044485766594E-3</v>
      </c>
      <c r="AL187">
        <f>$AH187*tbl_Data_old[[#This Row],[2028 ]]</f>
        <v>3.8705436018272696E-3</v>
      </c>
      <c r="AM187">
        <f>$AH187*tbl_Data_old[[#This Row],[2029 ]]</f>
        <v>5.0437185256731413E-3</v>
      </c>
      <c r="AN187">
        <f>$AH187*tbl_Data_old[[#This Row],[2030 ]]</f>
        <v>6.2879735936101052E-3</v>
      </c>
      <c r="AO187">
        <f>$AH187*tbl_Data_old[[#This Row],[2031 ]]</f>
        <v>7.6064470441785069E-3</v>
      </c>
      <c r="AP187">
        <f>$AH187*tbl_Data_old[[#This Row],[2032 ]]</f>
        <v>9.0055295886172261E-3</v>
      </c>
      <c r="AQ187">
        <f>$AH187*tbl_Data_old[[#This Row],[2033 ]]</f>
        <v>1.0492672052617809E-2</v>
      </c>
      <c r="AR187">
        <f>$AH187*tbl_Data_old[[#This Row],[2034 ]]</f>
        <v>1.207591884673726E-2</v>
      </c>
      <c r="AS187">
        <f>SUM(tbl_Data_old[[#This Row],[Adjusted 2025]:[Adjusted 2034]])</f>
        <v>5.9753035460370647E-2</v>
      </c>
      <c r="AT187" s="3">
        <f>AVERAGEIFS('3. Incentive Adjustment'!F:F,'3. Incentive Adjustment'!A:A,tbl_Data_old[[#This Row],[Trimmed Sector]],'3. Incentive Adjustment'!B:B,tbl_Data_old[[#This Row],[Trimmed Measure Name]])</f>
        <v>500</v>
      </c>
      <c r="AU187" s="3">
        <f>IFERROR(VLOOKUP(tbl_Data_old[[#This Row],[All_Meas_Name_Append]],'IRA Tax Credits'!$A$3:$D$46,4,0),0)</f>
        <v>1666.6666666666667</v>
      </c>
      <c r="AV187" s="4">
        <f>tbl_Data_old[[#This Row],[Adj. per unit Incentive ($)]]/tbl_Data_old[[#This Row],[kWh Savings]]*tbl_Data_old[[#This Row],[Sum of Annuals]]</f>
        <v>6.4680387370235307E-2</v>
      </c>
      <c r="AW187" s="4">
        <f>IFERROR(VLOOKUP(tbl_Data_old[[#This Row],[All_Programs]],'1. Set Program Names'!$B$2:$D$15,3,0)*tbl_Data_old[[#This Row],[Sum of Annuals]],"")</f>
        <v>2.6926067574326362E-2</v>
      </c>
      <c r="AX187" s="4">
        <f>tbl_Data_old[[#This Row],[per unit IRA tax ($)]]/tbl_Data_old[[#This Row],[kWh Savings]]*tbl_Data_old[[#This Row],[Sum of Annuals]]</f>
        <v>0.21560129123411767</v>
      </c>
      <c r="AY187" s="4">
        <f>tbl_Data_old[[#This Row],[Avoided Costs ($/unit)]]/tbl_Data_old[[#This Row],[kWh Savings]]*tbl_Data_old[[#This Row],[Sum of Annuals]]</f>
        <v>2.8453985417559755E-2</v>
      </c>
      <c r="AZ187" s="4">
        <f>tbl_Data_old[[#This Row],[Lost Revenue ($/unit)]]/tbl_Data_old[[#This Row],[kWh Savings]]*tbl_Data_old[[#This Row],[Sum of Annuals]]</f>
        <v>7.6437488383711963E-2</v>
      </c>
      <c r="BA187" s="4">
        <f>tbl_Data_old[[#This Row],[Incremental Cost ($/unit)]]/tbl_Data_old[[#This Row],[kWh Savings]]*tbl_Data_old[[#This Row],[Sum of Annuals]]</f>
        <v>0.2237294599136439</v>
      </c>
      <c r="BB187">
        <f>ROUNDUP(tbl_Data_old[[#This Row],[Adjusted 2025]]/$L187,0)</f>
        <v>1</v>
      </c>
      <c r="BC187">
        <f>ROUNDUP(tbl_Data_old[[#This Row],[Adjusted 2026]]/$L187,0)</f>
        <v>1</v>
      </c>
      <c r="BD187">
        <f>ROUNDUP(tbl_Data_old[[#This Row],[Adjusted 2027]]/$L187,0)</f>
        <v>1</v>
      </c>
      <c r="BE187">
        <f>ROUNDUP(tbl_Data_old[[#This Row],[Adjusted 2028]]/$L187,0)</f>
        <v>1</v>
      </c>
      <c r="BF187">
        <f>ROUNDUP(tbl_Data_old[[#This Row],[Adjusted 2029]]/$L187,0)</f>
        <v>1</v>
      </c>
      <c r="BG187">
        <f>ROUNDUP(tbl_Data_old[[#This Row],[Adjusted 2030]]/$L187,0)</f>
        <v>1</v>
      </c>
      <c r="BH187">
        <f>ROUNDUP(tbl_Data_old[[#This Row],[Adjusted 2031]]/$L187,0)</f>
        <v>1</v>
      </c>
      <c r="BI187">
        <f>ROUNDUP(tbl_Data_old[[#This Row],[Adjusted 2032]]/$L187,0)</f>
        <v>1</v>
      </c>
      <c r="BJ187">
        <f>ROUNDUP(tbl_Data_old[[#This Row],[Adjusted 2033]]/$L187,0)</f>
        <v>1</v>
      </c>
      <c r="BK187">
        <f>ROUNDUP(tbl_Data_old[[#This Row],[Adjusted 2034]]/$L187,0)</f>
        <v>1</v>
      </c>
      <c r="BL187" s="3">
        <f t="shared" si="12"/>
        <v>0.58039914169736773</v>
      </c>
      <c r="BM187" s="3">
        <f t="shared" si="12"/>
        <v>1.2259855114849674</v>
      </c>
      <c r="BN187" s="3">
        <f t="shared" si="12"/>
        <v>1.9316606168635384</v>
      </c>
      <c r="BO187" s="3">
        <f t="shared" si="12"/>
        <v>2.6941604469473552</v>
      </c>
      <c r="BP187" s="3">
        <f t="shared" si="12"/>
        <v>3.5107696373680124</v>
      </c>
      <c r="BQ187" s="3">
        <f t="shared" si="11"/>
        <v>4.3768554213821727</v>
      </c>
      <c r="BR187" s="3">
        <f t="shared" si="11"/>
        <v>5.2946022255247778</v>
      </c>
      <c r="BS187" s="3">
        <f t="shared" si="11"/>
        <v>6.2684584175753644</v>
      </c>
      <c r="BT187" s="3">
        <f t="shared" si="11"/>
        <v>7.3036102767598718</v>
      </c>
      <c r="BU187" s="3">
        <f t="shared" si="11"/>
        <v>8.4056572575661566</v>
      </c>
      <c r="BV187">
        <f>VLOOKUP($H187,'1. Set Program Names'!$B$2:$D$15,3,0)*V187</f>
        <v>0.24161677356644889</v>
      </c>
      <c r="BW187">
        <f>VLOOKUP($H187,'1. Set Program Names'!$B$2:$D$15,3,0)*W187</f>
        <v>0.51037060953936597</v>
      </c>
      <c r="BX187">
        <f>VLOOKUP($H187,'1. Set Program Names'!$B$2:$D$15,3,0)*X187</f>
        <v>0.80413903526291397</v>
      </c>
      <c r="BY187">
        <f>VLOOKUP($H187,'1. Set Program Names'!$B$2:$D$15,3,0)*Y187</f>
        <v>1.1215632620648897</v>
      </c>
      <c r="BZ187">
        <f>VLOOKUP($H187,'1. Set Program Names'!$B$2:$D$15,3,0)*Z187</f>
        <v>1.4615128996145414</v>
      </c>
      <c r="CA187">
        <f>VLOOKUP($H187,'1. Set Program Names'!$B$2:$D$15,3,0)*AA187</f>
        <v>1.8220593541687122</v>
      </c>
      <c r="CB187">
        <f>VLOOKUP($H187,'1. Set Program Names'!$B$2:$D$15,3,0)*AB187</f>
        <v>2.2041119897383861</v>
      </c>
      <c r="CC187">
        <f>VLOOKUP($H187,'1. Set Program Names'!$B$2:$D$15,3,0)*AC187</f>
        <v>2.6095226358548498</v>
      </c>
      <c r="CD187">
        <f>VLOOKUP($H187,'1. Set Program Names'!$B$2:$D$15,3,0)*AD187</f>
        <v>3.0404503102756442</v>
      </c>
      <c r="CE187">
        <f>VLOOKUP($H187,'1. Set Program Names'!$B$2:$D$15,3,0)*AE187</f>
        <v>3.4992260332071936</v>
      </c>
    </row>
    <row r="188" spans="1:83" x14ac:dyDescent="0.25">
      <c r="A188" s="20" t="s">
        <v>115</v>
      </c>
      <c r="B188" s="20" t="s">
        <v>88</v>
      </c>
      <c r="C188" s="20" t="s">
        <v>89</v>
      </c>
      <c r="D188" s="20" t="s">
        <v>90</v>
      </c>
      <c r="E188" s="20" t="s">
        <v>91</v>
      </c>
      <c r="F188" s="20" t="s">
        <v>90</v>
      </c>
      <c r="G188" s="20" t="s">
        <v>92</v>
      </c>
      <c r="H188" s="20" t="s">
        <v>9</v>
      </c>
      <c r="I188" s="20" t="s">
        <v>300</v>
      </c>
      <c r="J188" s="20" t="s">
        <v>120</v>
      </c>
      <c r="K188" s="20" t="s">
        <v>121</v>
      </c>
      <c r="L188" s="20">
        <v>1988.02171595288</v>
      </c>
      <c r="M188" s="20">
        <v>0.57653488407092901</v>
      </c>
      <c r="N188" s="20">
        <v>0.213799538654902</v>
      </c>
      <c r="O188" s="53">
        <v>1475.381509522</v>
      </c>
      <c r="P188" s="20">
        <v>647.28493209175997</v>
      </c>
      <c r="Q188" s="20">
        <v>597.23166252061401</v>
      </c>
      <c r="R188" s="20">
        <v>1282.4247459138801</v>
      </c>
      <c r="S188" s="20">
        <v>3005.0463968047102</v>
      </c>
      <c r="T188" s="20">
        <v>20</v>
      </c>
      <c r="U188" s="20">
        <v>1</v>
      </c>
      <c r="V188" s="20">
        <v>47.9075385748069</v>
      </c>
      <c r="W188" s="20">
        <v>98.961844641122696</v>
      </c>
      <c r="X188" s="20">
        <v>151.59968953679299</v>
      </c>
      <c r="Y188" s="20">
        <v>205.555584762725</v>
      </c>
      <c r="Z188" s="20">
        <v>261.24615933325799</v>
      </c>
      <c r="AA188" s="20">
        <v>318.76332947098302</v>
      </c>
      <c r="AB188" s="20">
        <v>378.75065854371599</v>
      </c>
      <c r="AC188" s="20">
        <v>441.57636456376002</v>
      </c>
      <c r="AD188" s="20">
        <v>507.715582446322</v>
      </c>
      <c r="AE188" s="20">
        <v>577.56251896274102</v>
      </c>
      <c r="AF188" t="str">
        <f t="shared" si="9"/>
        <v>Residential</v>
      </c>
      <c r="AG188" t="str">
        <f>tbl_Data_old[[#This Row],[All_Meas_Name_Append]]</f>
        <v>New Construction - Whole Home Improvements - Tier 1</v>
      </c>
      <c r="AH188">
        <f>AVERAGEIFS('3. Incentive Adjustment'!G:G,'3. Incentive Adjustment'!A:A,tbl_Data_old[[#This Row],[Trimmed Sector]],'3. Incentive Adjustment'!B:B,tbl_Data_old[[#This Row],[Trimmed Measure Name]])</f>
        <v>0.42355026786158312</v>
      </c>
      <c r="AI188">
        <f>$AH188*tbl_Data_old[[#This Row],[2025 ]]</f>
        <v>20.291250795948589</v>
      </c>
      <c r="AJ188">
        <f>$AH188*tbl_Data_old[[#This Row],[2026 ]]</f>
        <v>41.915315805823894</v>
      </c>
      <c r="AK188">
        <f>$AH188*tbl_Data_old[[#This Row],[2027 ]]</f>
        <v>64.210089111041512</v>
      </c>
      <c r="AL188">
        <f>$AH188*tbl_Data_old[[#This Row],[2028 ]]</f>
        <v>87.063122986696527</v>
      </c>
      <c r="AM188">
        <f>$AH188*tbl_Data_old[[#This Row],[2029 ]]</f>
        <v>110.65088076341125</v>
      </c>
      <c r="AN188">
        <f>$AH188*tbl_Data_old[[#This Row],[2030 ]]</f>
        <v>135.01229358188493</v>
      </c>
      <c r="AO188">
        <f>$AH188*tbl_Data_old[[#This Row],[2031 ]]</f>
        <v>160.41994287894192</v>
      </c>
      <c r="AP188">
        <f>$AH188*tbl_Data_old[[#This Row],[2032 ]]</f>
        <v>187.02978749232463</v>
      </c>
      <c r="AQ188">
        <f>$AH188*tbl_Data_old[[#This Row],[2033 ]]</f>
        <v>215.04307094263936</v>
      </c>
      <c r="AR188">
        <f>$AH188*tbl_Data_old[[#This Row],[2034 ]]</f>
        <v>244.62675961347963</v>
      </c>
      <c r="AS188">
        <f>SUM(tbl_Data_old[[#This Row],[Adjusted 2025]:[Adjusted 2034]])</f>
        <v>1266.2625139721922</v>
      </c>
      <c r="AT188" s="3">
        <f>AVERAGEIFS('3. Incentive Adjustment'!F:F,'3. Incentive Adjustment'!A:A,tbl_Data_old[[#This Row],[Trimmed Sector]],'3. Incentive Adjustment'!B:B,tbl_Data_old[[#This Row],[Trimmed Measure Name]])</f>
        <v>0</v>
      </c>
      <c r="AU188" s="3">
        <f>IFERROR(VLOOKUP(tbl_Data_old[[#This Row],[All_Meas_Name_Append]],'IRA Tax Credits'!$A$3:$D$46,4,0),0)</f>
        <v>0</v>
      </c>
      <c r="AV188" s="4">
        <f>tbl_Data_old[[#This Row],[Adj. per unit Incentive ($)]]/tbl_Data_old[[#This Row],[kWh Savings]]*tbl_Data_old[[#This Row],[Sum of Annuals]]</f>
        <v>0</v>
      </c>
      <c r="AW188" s="4">
        <f>IFERROR(VLOOKUP(tbl_Data_old[[#This Row],[All_Programs]],'1. Set Program Names'!$B$2:$D$15,3,0)*tbl_Data_old[[#This Row],[Sum of Annuals]],"")</f>
        <v>570.60649313229271</v>
      </c>
      <c r="AX188" s="4">
        <f>tbl_Data_old[[#This Row],[per unit IRA tax ($)]]/tbl_Data_old[[#This Row],[kWh Savings]]*tbl_Data_old[[#This Row],[Sum of Annuals]]</f>
        <v>0</v>
      </c>
      <c r="AY188" s="4">
        <f>tbl_Data_old[[#This Row],[Avoided Costs ($/unit)]]/tbl_Data_old[[#This Row],[kWh Savings]]*tbl_Data_old[[#This Row],[Sum of Annuals]]</f>
        <v>816.83533419689718</v>
      </c>
      <c r="AZ188" s="4">
        <f>tbl_Data_old[[#This Row],[Lost Revenue ($/unit)]]/tbl_Data_old[[#This Row],[kWh Savings]]*tbl_Data_old[[#This Row],[Sum of Annuals]]</f>
        <v>1914.0523337780282</v>
      </c>
      <c r="BA188" s="4">
        <f>tbl_Data_old[[#This Row],[Incremental Cost ($/unit)]]/tbl_Data_old[[#This Row],[kWh Savings]]*tbl_Data_old[[#This Row],[Sum of Annuals]]</f>
        <v>939.73837625810722</v>
      </c>
      <c r="BB188">
        <f>ROUNDUP(tbl_Data_old[[#This Row],[Adjusted 2025]]/$L188,0)</f>
        <v>1</v>
      </c>
      <c r="BC188">
        <f>ROUNDUP(tbl_Data_old[[#This Row],[Adjusted 2026]]/$L188,0)</f>
        <v>1</v>
      </c>
      <c r="BD188">
        <f>ROUNDUP(tbl_Data_old[[#This Row],[Adjusted 2027]]/$L188,0)</f>
        <v>1</v>
      </c>
      <c r="BE188">
        <f>ROUNDUP(tbl_Data_old[[#This Row],[Adjusted 2028]]/$L188,0)</f>
        <v>1</v>
      </c>
      <c r="BF188">
        <f>ROUNDUP(tbl_Data_old[[#This Row],[Adjusted 2029]]/$L188,0)</f>
        <v>1</v>
      </c>
      <c r="BG188">
        <f>ROUNDUP(tbl_Data_old[[#This Row],[Adjusted 2030]]/$L188,0)</f>
        <v>1</v>
      </c>
      <c r="BH188">
        <f>ROUNDUP(tbl_Data_old[[#This Row],[Adjusted 2031]]/$L188,0)</f>
        <v>1</v>
      </c>
      <c r="BI188">
        <f>ROUNDUP(tbl_Data_old[[#This Row],[Adjusted 2032]]/$L188,0)</f>
        <v>1</v>
      </c>
      <c r="BJ188">
        <f>ROUNDUP(tbl_Data_old[[#This Row],[Adjusted 2033]]/$L188,0)</f>
        <v>1</v>
      </c>
      <c r="BK188">
        <f>ROUNDUP(tbl_Data_old[[#This Row],[Adjusted 2034]]/$L188,0)</f>
        <v>1</v>
      </c>
      <c r="BL188" s="3">
        <f t="shared" si="12"/>
        <v>0</v>
      </c>
      <c r="BM188" s="3">
        <f t="shared" si="12"/>
        <v>0</v>
      </c>
      <c r="BN188" s="3">
        <f t="shared" si="12"/>
        <v>0</v>
      </c>
      <c r="BO188" s="3">
        <f t="shared" si="12"/>
        <v>0</v>
      </c>
      <c r="BP188" s="3">
        <f t="shared" si="12"/>
        <v>0</v>
      </c>
      <c r="BQ188" s="3">
        <f t="shared" si="11"/>
        <v>0</v>
      </c>
      <c r="BR188" s="3">
        <f t="shared" si="11"/>
        <v>0</v>
      </c>
      <c r="BS188" s="3">
        <f t="shared" si="11"/>
        <v>0</v>
      </c>
      <c r="BT188" s="3">
        <f t="shared" si="11"/>
        <v>0</v>
      </c>
      <c r="BU188" s="3">
        <f t="shared" si="11"/>
        <v>0</v>
      </c>
      <c r="BV188">
        <f>VLOOKUP($H188,'1. Set Program Names'!$B$2:$D$15,3,0)*V188</f>
        <v>21.588219092909927</v>
      </c>
      <c r="BW188">
        <f>VLOOKUP($H188,'1. Set Program Names'!$B$2:$D$15,3,0)*W188</f>
        <v>44.594442701644937</v>
      </c>
      <c r="BX188">
        <f>VLOOKUP($H188,'1. Set Program Names'!$B$2:$D$15,3,0)*X188</f>
        <v>68.314244678361732</v>
      </c>
      <c r="BY188">
        <f>VLOOKUP($H188,'1. Set Program Names'!$B$2:$D$15,3,0)*Y188</f>
        <v>92.627989908095827</v>
      </c>
      <c r="BZ188">
        <f>VLOOKUP($H188,'1. Set Program Names'!$B$2:$D$15,3,0)*Z188</f>
        <v>117.72342083618229</v>
      </c>
      <c r="CA188">
        <f>VLOOKUP($H188,'1. Set Program Names'!$B$2:$D$15,3,0)*AA188</f>
        <v>143.64195698886937</v>
      </c>
      <c r="CB188">
        <f>VLOOKUP($H188,'1. Set Program Names'!$B$2:$D$15,3,0)*AB188</f>
        <v>170.67360255752016</v>
      </c>
      <c r="CC188">
        <f>VLOOKUP($H188,'1. Set Program Names'!$B$2:$D$15,3,0)*AC188</f>
        <v>198.98428489636805</v>
      </c>
      <c r="CD188">
        <f>VLOOKUP($H188,'1. Set Program Names'!$B$2:$D$15,3,0)*AD188</f>
        <v>228.78811053130278</v>
      </c>
      <c r="CE188">
        <f>VLOOKUP($H188,'1. Set Program Names'!$B$2:$D$15,3,0)*AE188</f>
        <v>260.2627179384545</v>
      </c>
    </row>
    <row r="189" spans="1:83" x14ac:dyDescent="0.25">
      <c r="A189" s="20" t="s">
        <v>115</v>
      </c>
      <c r="B189" s="20" t="s">
        <v>88</v>
      </c>
      <c r="C189" s="20" t="s">
        <v>89</v>
      </c>
      <c r="D189" s="20" t="s">
        <v>90</v>
      </c>
      <c r="E189" s="20" t="s">
        <v>91</v>
      </c>
      <c r="F189" s="20" t="s">
        <v>90</v>
      </c>
      <c r="G189" s="20" t="s">
        <v>92</v>
      </c>
      <c r="H189" s="20" t="s">
        <v>9</v>
      </c>
      <c r="I189" s="20" t="s">
        <v>119</v>
      </c>
      <c r="J189" s="20" t="s">
        <v>120</v>
      </c>
      <c r="K189" s="20" t="s">
        <v>121</v>
      </c>
      <c r="L189" s="20">
        <v>6673.4968833372895</v>
      </c>
      <c r="M189" s="20">
        <v>1.73762506704112</v>
      </c>
      <c r="N189" s="20">
        <v>0.78936762832777396</v>
      </c>
      <c r="O189" s="20">
        <v>2151.0039802452802</v>
      </c>
      <c r="P189" s="20">
        <v>549.54451231238204</v>
      </c>
      <c r="Q189" s="20">
        <v>2004.8189647422</v>
      </c>
      <c r="R189" s="20">
        <v>4267.3988807063497</v>
      </c>
      <c r="S189" s="20">
        <v>10087.499347937401</v>
      </c>
      <c r="T189" s="20">
        <v>20</v>
      </c>
      <c r="U189" s="20">
        <v>1</v>
      </c>
      <c r="V189" s="20">
        <v>59.241947855833303</v>
      </c>
      <c r="W189" s="20">
        <v>122.54062735300499</v>
      </c>
      <c r="X189" s="20">
        <v>187.970797570445</v>
      </c>
      <c r="Y189" s="20">
        <v>255.209562653934</v>
      </c>
      <c r="Z189" s="20">
        <v>324.78399928739202</v>
      </c>
      <c r="AA189" s="20">
        <v>396.81875709080202</v>
      </c>
      <c r="AB189" s="20">
        <v>472.13217323980803</v>
      </c>
      <c r="AC189" s="20">
        <v>551.20201999925598</v>
      </c>
      <c r="AD189" s="20">
        <v>634.64414044594696</v>
      </c>
      <c r="AE189" s="20">
        <v>722.97601105285503</v>
      </c>
      <c r="AF189" t="str">
        <f t="shared" si="9"/>
        <v>Residential</v>
      </c>
      <c r="AG189" t="str">
        <f>tbl_Data_old[[#This Row],[All_Meas_Name_Append]]</f>
        <v>New Construction - Whole Home Improvements - Tier 2</v>
      </c>
      <c r="AH189">
        <f>AVERAGEIFS('3. Incentive Adjustment'!G:G,'3. Incentive Adjustment'!A:A,tbl_Data_old[[#This Row],[Trimmed Sector]],'3. Incentive Adjustment'!B:B,tbl_Data_old[[#This Row],[Trimmed Measure Name]])</f>
        <v>0.80470846489720416</v>
      </c>
      <c r="AI189">
        <f>$AH189*tbl_Data_old[[#This Row],[2025 ]]</f>
        <v>47.672496916587832</v>
      </c>
      <c r="AJ189">
        <f>$AH189*tbl_Data_old[[#This Row],[2026 ]]</f>
        <v>98.609480124776994</v>
      </c>
      <c r="AK189">
        <f>$AH189*tbl_Data_old[[#This Row],[2027 ]]</f>
        <v>151.26169195841589</v>
      </c>
      <c r="AL189">
        <f>$AH189*tbl_Data_old[[#This Row],[2028 ]]</f>
        <v>205.36929539033406</v>
      </c>
      <c r="AM189">
        <f>$AH189*tbl_Data_old[[#This Row],[2029 ]]</f>
        <v>261.3564334897319</v>
      </c>
      <c r="AN189">
        <f>$AH189*tbl_Data_old[[#This Row],[2030 ]]</f>
        <v>319.32341286095584</v>
      </c>
      <c r="AO189">
        <f>$AH189*tbl_Data_old[[#This Row],[2031 ]]</f>
        <v>379.92875635638677</v>
      </c>
      <c r="AP189">
        <f>$AH189*tbl_Data_old[[#This Row],[2032 ]]</f>
        <v>443.5569313618393</v>
      </c>
      <c r="AQ189">
        <f>$AH189*tbl_Data_old[[#This Row],[2033 ]]</f>
        <v>510.70351201426359</v>
      </c>
      <c r="AR189">
        <f>$AH189*tbl_Data_old[[#This Row],[2034 ]]</f>
        <v>581.78491601184703</v>
      </c>
      <c r="AS189">
        <f>SUM(tbl_Data_old[[#This Row],[Adjusted 2025]:[Adjusted 2034]])</f>
        <v>2999.5669264851394</v>
      </c>
      <c r="AT189" s="3">
        <f>AVERAGEIFS('3. Incentive Adjustment'!F:F,'3. Incentive Adjustment'!A:A,tbl_Data_old[[#This Row],[Trimmed Sector]],'3. Incentive Adjustment'!B:B,tbl_Data_old[[#This Row],[Trimmed Measure Name]])</f>
        <v>0</v>
      </c>
      <c r="AU189" s="3">
        <f>IFERROR(VLOOKUP(tbl_Data_old[[#This Row],[All_Meas_Name_Append]],'IRA Tax Credits'!$A$3:$D$46,4,0),0)</f>
        <v>0</v>
      </c>
      <c r="AV189" s="4">
        <f>tbl_Data_old[[#This Row],[Adj. per unit Incentive ($)]]/tbl_Data_old[[#This Row],[kWh Savings]]*tbl_Data_old[[#This Row],[Sum of Annuals]]</f>
        <v>0</v>
      </c>
      <c r="AW189" s="4">
        <f>IFERROR(VLOOKUP(tbl_Data_old[[#This Row],[All_Programs]],'1. Set Program Names'!$B$2:$D$15,3,0)*tbl_Data_old[[#This Row],[Sum of Annuals]],"")</f>
        <v>1351.6726160266655</v>
      </c>
      <c r="AX189" s="4">
        <f>tbl_Data_old[[#This Row],[per unit IRA tax ($)]]/tbl_Data_old[[#This Row],[kWh Savings]]*tbl_Data_old[[#This Row],[Sum of Annuals]]</f>
        <v>0</v>
      </c>
      <c r="AY189" s="4">
        <f>tbl_Data_old[[#This Row],[Avoided Costs ($/unit)]]/tbl_Data_old[[#This Row],[kWh Savings]]*tbl_Data_old[[#This Row],[Sum of Annuals]]</f>
        <v>1918.0871390900022</v>
      </c>
      <c r="AZ189" s="4">
        <f>tbl_Data_old[[#This Row],[Lost Revenue ($/unit)]]/tbl_Data_old[[#This Row],[kWh Savings]]*tbl_Data_old[[#This Row],[Sum of Annuals]]</f>
        <v>4534.0741059703496</v>
      </c>
      <c r="BA189" s="4">
        <f>tbl_Data_old[[#This Row],[Incremental Cost ($/unit)]]/tbl_Data_old[[#This Row],[kWh Savings]]*tbl_Data_old[[#This Row],[Sum of Annuals]]</f>
        <v>966.82151961312877</v>
      </c>
      <c r="BB189">
        <f>ROUNDUP(tbl_Data_old[[#This Row],[Adjusted 2025]]/$L189,0)</f>
        <v>1</v>
      </c>
      <c r="BC189">
        <f>ROUNDUP(tbl_Data_old[[#This Row],[Adjusted 2026]]/$L189,0)</f>
        <v>1</v>
      </c>
      <c r="BD189">
        <f>ROUNDUP(tbl_Data_old[[#This Row],[Adjusted 2027]]/$L189,0)</f>
        <v>1</v>
      </c>
      <c r="BE189">
        <f>ROUNDUP(tbl_Data_old[[#This Row],[Adjusted 2028]]/$L189,0)</f>
        <v>1</v>
      </c>
      <c r="BF189">
        <f>ROUNDUP(tbl_Data_old[[#This Row],[Adjusted 2029]]/$L189,0)</f>
        <v>1</v>
      </c>
      <c r="BG189">
        <f>ROUNDUP(tbl_Data_old[[#This Row],[Adjusted 2030]]/$L189,0)</f>
        <v>1</v>
      </c>
      <c r="BH189">
        <f>ROUNDUP(tbl_Data_old[[#This Row],[Adjusted 2031]]/$L189,0)</f>
        <v>1</v>
      </c>
      <c r="BI189">
        <f>ROUNDUP(tbl_Data_old[[#This Row],[Adjusted 2032]]/$L189,0)</f>
        <v>1</v>
      </c>
      <c r="BJ189">
        <f>ROUNDUP(tbl_Data_old[[#This Row],[Adjusted 2033]]/$L189,0)</f>
        <v>1</v>
      </c>
      <c r="BK189">
        <f>ROUNDUP(tbl_Data_old[[#This Row],[Adjusted 2034]]/$L189,0)</f>
        <v>1</v>
      </c>
      <c r="BL189" s="3">
        <f t="shared" si="12"/>
        <v>0</v>
      </c>
      <c r="BM189" s="3">
        <f t="shared" si="12"/>
        <v>0</v>
      </c>
      <c r="BN189" s="3">
        <f t="shared" si="12"/>
        <v>0</v>
      </c>
      <c r="BO189" s="3">
        <f t="shared" si="12"/>
        <v>0</v>
      </c>
      <c r="BP189" s="3">
        <f t="shared" si="12"/>
        <v>0</v>
      </c>
      <c r="BQ189" s="3">
        <f t="shared" si="11"/>
        <v>0</v>
      </c>
      <c r="BR189" s="3">
        <f t="shared" si="11"/>
        <v>0</v>
      </c>
      <c r="BS189" s="3">
        <f t="shared" si="11"/>
        <v>0</v>
      </c>
      <c r="BT189" s="3">
        <f t="shared" si="11"/>
        <v>0</v>
      </c>
      <c r="BU189" s="3">
        <f t="shared" si="11"/>
        <v>0</v>
      </c>
      <c r="BV189">
        <f>VLOOKUP($H189,'1. Set Program Names'!$B$2:$D$15,3,0)*V189</f>
        <v>26.69575995446829</v>
      </c>
      <c r="BW189">
        <f>VLOOKUP($H189,'1. Set Program Names'!$B$2:$D$15,3,0)*W189</f>
        <v>55.219574826381397</v>
      </c>
      <c r="BX189">
        <f>VLOOKUP($H189,'1. Set Program Names'!$B$2:$D$15,3,0)*X189</f>
        <v>84.703887566324298</v>
      </c>
      <c r="BY189">
        <f>VLOOKUP($H189,'1. Set Program Names'!$B$2:$D$15,3,0)*Y189</f>
        <v>115.00319400830452</v>
      </c>
      <c r="BZ189">
        <f>VLOOKUP($H189,'1. Set Program Names'!$B$2:$D$15,3,0)*Z189</f>
        <v>146.35500681253654</v>
      </c>
      <c r="CA189">
        <f>VLOOKUP($H189,'1. Set Program Names'!$B$2:$D$15,3,0)*AA189</f>
        <v>178.81549591356705</v>
      </c>
      <c r="CB189">
        <f>VLOOKUP($H189,'1. Set Program Names'!$B$2:$D$15,3,0)*AB189</f>
        <v>212.75342252863308</v>
      </c>
      <c r="CC189">
        <f>VLOOKUP($H189,'1. Set Program Names'!$B$2:$D$15,3,0)*AC189</f>
        <v>248.38408163294832</v>
      </c>
      <c r="CD189">
        <f>VLOOKUP($H189,'1. Set Program Names'!$B$2:$D$15,3,0)*AD189</f>
        <v>285.98498602855483</v>
      </c>
      <c r="CE189">
        <f>VLOOKUP($H189,'1. Set Program Names'!$B$2:$D$15,3,0)*AE189</f>
        <v>325.78932230375005</v>
      </c>
    </row>
    <row r="190" spans="1:83" x14ac:dyDescent="0.25">
      <c r="A190" s="20" t="s">
        <v>115</v>
      </c>
      <c r="B190" s="20" t="s">
        <v>88</v>
      </c>
      <c r="C190" s="20" t="s">
        <v>89</v>
      </c>
      <c r="D190" s="20" t="s">
        <v>90</v>
      </c>
      <c r="E190" s="20" t="s">
        <v>91</v>
      </c>
      <c r="F190" s="20" t="s">
        <v>90</v>
      </c>
      <c r="G190" s="20" t="s">
        <v>92</v>
      </c>
      <c r="H190" s="20" t="s">
        <v>9</v>
      </c>
      <c r="I190" s="20" t="s">
        <v>299</v>
      </c>
      <c r="J190" s="20" t="s">
        <v>97</v>
      </c>
      <c r="K190" s="20" t="s">
        <v>102</v>
      </c>
      <c r="L190" s="20">
        <v>408.28</v>
      </c>
      <c r="M190" s="20">
        <v>0.16567198429270899</v>
      </c>
      <c r="N190" s="20">
        <v>2.3547919008134799E-2</v>
      </c>
      <c r="O190" s="53">
        <v>128.60999999999999</v>
      </c>
      <c r="P190" s="20">
        <v>29.691921599999901</v>
      </c>
      <c r="Q190" s="20">
        <v>122.65346058206499</v>
      </c>
      <c r="R190" s="20">
        <v>238.630335182902</v>
      </c>
      <c r="S190" s="20">
        <v>423.90838942107399</v>
      </c>
      <c r="T190" s="20">
        <v>11</v>
      </c>
      <c r="U190" s="20">
        <v>0.19999999999999901</v>
      </c>
      <c r="V190" s="20">
        <v>1.45491875827485</v>
      </c>
      <c r="W190" s="20">
        <v>2.66198146694967</v>
      </c>
      <c r="X190" s="20">
        <v>3.6634252275589398</v>
      </c>
      <c r="Y190" s="20">
        <v>4.4978239439559999</v>
      </c>
      <c r="Z190" s="20">
        <v>5.1978388749611097</v>
      </c>
      <c r="AA190" s="20">
        <v>5.7881379693169199</v>
      </c>
      <c r="AB190" s="20">
        <v>6.2932205734204301</v>
      </c>
      <c r="AC190" s="20">
        <v>6.7322392713712897</v>
      </c>
      <c r="AD190" s="20">
        <v>7.1202566027008096</v>
      </c>
      <c r="AE190" s="20">
        <v>7.4688939067437099</v>
      </c>
      <c r="AF190" t="str">
        <f t="shared" si="9"/>
        <v>Residential</v>
      </c>
      <c r="AG190" t="str">
        <f>tbl_Data_old[[#This Row],[All_Meas_Name_Append]]</f>
        <v>Smart Thermostat Residential</v>
      </c>
      <c r="AH190">
        <f>AVERAGEIFS('3. Incentive Adjustment'!G:G,'3. Incentive Adjustment'!A:A,tbl_Data_old[[#This Row],[Trimmed Sector]],'3. Incentive Adjustment'!B:B,tbl_Data_old[[#This Row],[Trimmed Measure Name]])</f>
        <v>1.1402432304340044</v>
      </c>
      <c r="AI190">
        <f>$AH190*tbl_Data_old[[#This Row],[2025 ]]</f>
        <v>1.6589612649543453</v>
      </c>
      <c r="AJ190">
        <f>$AH190*tbl_Data_old[[#This Row],[2026 ]]</f>
        <v>3.0353063472301418</v>
      </c>
      <c r="AK190">
        <f>$AH190*tbl_Data_old[[#This Row],[2027 ]]</f>
        <v>4.1771958159252334</v>
      </c>
      <c r="AL190">
        <f>$AH190*tbl_Data_old[[#This Row],[2028 ]]</f>
        <v>5.1286133037798036</v>
      </c>
      <c r="AM190">
        <f>$AH190*tbl_Data_old[[#This Row],[2029 ]]</f>
        <v>5.9268005900611067</v>
      </c>
      <c r="AN190">
        <f>$AH190*tbl_Data_old[[#This Row],[2030 ]]</f>
        <v>6.5998851363316433</v>
      </c>
      <c r="AO190">
        <f>$AH190*tbl_Data_old[[#This Row],[2031 ]]</f>
        <v>7.1758021564706489</v>
      </c>
      <c r="AP190">
        <f>$AH190*tbl_Data_old[[#This Row],[2032 ]]</f>
        <v>7.676390254843068</v>
      </c>
      <c r="AQ190">
        <f>$AH190*tbl_Data_old[[#This Row],[2033 ]]</f>
        <v>8.1188243901826205</v>
      </c>
      <c r="AR190">
        <f>$AH190*tbl_Data_old[[#This Row],[2034 ]]</f>
        <v>8.5163557159942993</v>
      </c>
      <c r="AS190">
        <f>SUM(tbl_Data_old[[#This Row],[Adjusted 2025]:[Adjusted 2034]])</f>
        <v>58.014134975772912</v>
      </c>
      <c r="AT190" s="3">
        <f>AVERAGEIFS('3. Incentive Adjustment'!F:F,'3. Incentive Adjustment'!A:A,tbl_Data_old[[#This Row],[Trimmed Sector]],'3. Incentive Adjustment'!B:B,tbl_Data_old[[#This Row],[Trimmed Measure Name]])</f>
        <v>50</v>
      </c>
      <c r="AU190" s="3">
        <f>IFERROR(VLOOKUP(tbl_Data_old[[#This Row],[All_Meas_Name_Append]],'IRA Tax Credits'!$A$3:$D$46,4,0),0)</f>
        <v>0</v>
      </c>
      <c r="AV190" s="4">
        <f>tbl_Data_old[[#This Row],[Adj. per unit Incentive ($)]]/tbl_Data_old[[#This Row],[kWh Savings]]*tbl_Data_old[[#This Row],[Sum of Annuals]]</f>
        <v>7.1046995904493135</v>
      </c>
      <c r="AW190" s="4">
        <f>IFERROR(VLOOKUP(tbl_Data_old[[#This Row],[All_Programs]],'1. Set Program Names'!$B$2:$D$15,3,0)*tbl_Data_old[[#This Row],[Sum of Annuals]],"")</f>
        <v>26.142479734937677</v>
      </c>
      <c r="AX190" s="4">
        <f>tbl_Data_old[[#This Row],[per unit IRA tax ($)]]/tbl_Data_old[[#This Row],[kWh Savings]]*tbl_Data_old[[#This Row],[Sum of Annuals]]</f>
        <v>0</v>
      </c>
      <c r="AY190" s="4">
        <f>tbl_Data_old[[#This Row],[Avoided Costs ($/unit)]]/tbl_Data_old[[#This Row],[kWh Savings]]*tbl_Data_old[[#This Row],[Sum of Annuals]]</f>
        <v>33.907936892854927</v>
      </c>
      <c r="AZ190" s="4">
        <f>tbl_Data_old[[#This Row],[Lost Revenue ($/unit)]]/tbl_Data_old[[#This Row],[kWh Savings]]*tbl_Data_old[[#This Row],[Sum of Annuals]]</f>
        <v>60.234835214158657</v>
      </c>
      <c r="BA190" s="4">
        <f>tbl_Data_old[[#This Row],[Incremental Cost ($/unit)]]/tbl_Data_old[[#This Row],[kWh Savings]]*tbl_Data_old[[#This Row],[Sum of Annuals]]</f>
        <v>18.274708286553725</v>
      </c>
      <c r="BB190">
        <f>ROUNDUP(tbl_Data_old[[#This Row],[Adjusted 2025]]/$L190,0)</f>
        <v>1</v>
      </c>
      <c r="BC190">
        <f>ROUNDUP(tbl_Data_old[[#This Row],[Adjusted 2026]]/$L190,0)</f>
        <v>1</v>
      </c>
      <c r="BD190">
        <f>ROUNDUP(tbl_Data_old[[#This Row],[Adjusted 2027]]/$L190,0)</f>
        <v>1</v>
      </c>
      <c r="BE190">
        <f>ROUNDUP(tbl_Data_old[[#This Row],[Adjusted 2028]]/$L190,0)</f>
        <v>1</v>
      </c>
      <c r="BF190">
        <f>ROUNDUP(tbl_Data_old[[#This Row],[Adjusted 2029]]/$L190,0)</f>
        <v>1</v>
      </c>
      <c r="BG190">
        <f>ROUNDUP(tbl_Data_old[[#This Row],[Adjusted 2030]]/$L190,0)</f>
        <v>1</v>
      </c>
      <c r="BH190">
        <f>ROUNDUP(tbl_Data_old[[#This Row],[Adjusted 2031]]/$L190,0)</f>
        <v>1</v>
      </c>
      <c r="BI190">
        <f>ROUNDUP(tbl_Data_old[[#This Row],[Adjusted 2032]]/$L190,0)</f>
        <v>1</v>
      </c>
      <c r="BJ190">
        <f>ROUNDUP(tbl_Data_old[[#This Row],[Adjusted 2033]]/$L190,0)</f>
        <v>1</v>
      </c>
      <c r="BK190">
        <f>ROUNDUP(tbl_Data_old[[#This Row],[Adjusted 2034]]/$L190,0)</f>
        <v>1</v>
      </c>
      <c r="BL190" s="3">
        <f t="shared" si="12"/>
        <v>0.17817658938410527</v>
      </c>
      <c r="BM190" s="3">
        <f t="shared" si="12"/>
        <v>0.32599949384609461</v>
      </c>
      <c r="BN190" s="3">
        <f t="shared" si="12"/>
        <v>0.44864127897018469</v>
      </c>
      <c r="BO190" s="3">
        <f t="shared" si="12"/>
        <v>0.55082589692808859</v>
      </c>
      <c r="BP190" s="3">
        <f t="shared" si="12"/>
        <v>0.63655320796525794</v>
      </c>
      <c r="BQ190" s="3">
        <f t="shared" si="11"/>
        <v>0.7088441718081856</v>
      </c>
      <c r="BR190" s="3">
        <f t="shared" si="11"/>
        <v>0.77069910030131661</v>
      </c>
      <c r="BS190" s="3">
        <f t="shared" si="11"/>
        <v>0.82446351417792818</v>
      </c>
      <c r="BT190" s="3">
        <f t="shared" si="11"/>
        <v>0.87198204696541715</v>
      </c>
      <c r="BU190" s="3">
        <f t="shared" si="11"/>
        <v>0.91467790569507579</v>
      </c>
      <c r="BV190">
        <f>VLOOKUP($H190,'1. Set Program Names'!$B$2:$D$15,3,0)*V190</f>
        <v>0.65561925848010483</v>
      </c>
      <c r="BW190">
        <f>VLOOKUP($H190,'1. Set Program Names'!$B$2:$D$15,3,0)*W190</f>
        <v>1.1995489820467544</v>
      </c>
      <c r="BX190">
        <f>VLOOKUP($H190,'1. Set Program Names'!$B$2:$D$15,3,0)*X190</f>
        <v>1.6508221627697051</v>
      </c>
      <c r="BY190">
        <f>VLOOKUP($H190,'1. Set Program Names'!$B$2:$D$15,3,0)*Y190</f>
        <v>2.0268210730934997</v>
      </c>
      <c r="BZ190">
        <f>VLOOKUP($H190,'1. Set Program Names'!$B$2:$D$15,3,0)*Z190</f>
        <v>2.3422636140466162</v>
      </c>
      <c r="CA190">
        <f>VLOOKUP($H190,'1. Set Program Names'!$B$2:$D$15,3,0)*AA190</f>
        <v>2.6082657205710569</v>
      </c>
      <c r="CB190">
        <f>VLOOKUP($H190,'1. Set Program Names'!$B$2:$D$15,3,0)*AB190</f>
        <v>2.835867351583218</v>
      </c>
      <c r="CC190">
        <f>VLOOKUP($H190,'1. Set Program Names'!$B$2:$D$15,3,0)*AC190</f>
        <v>3.0336990941272024</v>
      </c>
      <c r="CD190">
        <f>VLOOKUP($H190,'1. Set Program Names'!$B$2:$D$15,3,0)*AD190</f>
        <v>3.2085484687722379</v>
      </c>
      <c r="CE190">
        <f>VLOOKUP($H190,'1. Set Program Names'!$B$2:$D$15,3,0)*AE190</f>
        <v>3.365652313543706</v>
      </c>
    </row>
    <row r="191" spans="1:83" x14ac:dyDescent="0.25">
      <c r="A191" s="20" t="s">
        <v>115</v>
      </c>
      <c r="B191" s="20" t="s">
        <v>88</v>
      </c>
      <c r="C191" s="20" t="s">
        <v>89</v>
      </c>
      <c r="D191" s="20" t="s">
        <v>90</v>
      </c>
      <c r="E191" s="20" t="s">
        <v>91</v>
      </c>
      <c r="F191" s="20" t="s">
        <v>90</v>
      </c>
      <c r="G191" s="20" t="s">
        <v>92</v>
      </c>
      <c r="H191" s="20" t="s">
        <v>9</v>
      </c>
      <c r="I191" s="20" t="s">
        <v>112</v>
      </c>
      <c r="J191" s="20" t="s">
        <v>94</v>
      </c>
      <c r="K191" s="20" t="s">
        <v>108</v>
      </c>
      <c r="L191" s="20">
        <v>1330.8133333333301</v>
      </c>
      <c r="M191" s="20">
        <v>5.33311142126306E-2</v>
      </c>
      <c r="N191" s="20">
        <v>0.24737910980336</v>
      </c>
      <c r="O191" s="20">
        <v>8990.02</v>
      </c>
      <c r="P191" s="20">
        <v>8776.4394094329891</v>
      </c>
      <c r="Q191" s="20">
        <v>399.796367008147</v>
      </c>
      <c r="R191" s="20">
        <v>713.19672296706005</v>
      </c>
      <c r="S191" s="20">
        <v>2011.6258188035599</v>
      </c>
      <c r="T191" s="20">
        <v>20</v>
      </c>
      <c r="U191" s="20">
        <v>0.2</v>
      </c>
      <c r="V191" s="20">
        <v>1.7296882498805299</v>
      </c>
      <c r="W191" s="20">
        <v>3.65471663076088</v>
      </c>
      <c r="X191" s="20">
        <v>5.7599846882452699</v>
      </c>
      <c r="Y191" s="20">
        <v>8.03582461632638</v>
      </c>
      <c r="Z191" s="20">
        <v>10.474177668894299</v>
      </c>
      <c r="AA191" s="20">
        <v>13.0612351423869</v>
      </c>
      <c r="AB191" s="20">
        <v>15.803534196597999</v>
      </c>
      <c r="AC191" s="20">
        <v>18.714377632813001</v>
      </c>
      <c r="AD191" s="20">
        <v>21.809278990082401</v>
      </c>
      <c r="AE191" s="20">
        <v>25.104992664686101</v>
      </c>
      <c r="AF191" t="str">
        <f t="shared" si="9"/>
        <v>Residential</v>
      </c>
      <c r="AG191" t="str">
        <f>tbl_Data_old[[#This Row],[All_Meas_Name_Append]]</f>
        <v>Solar Thermal Water Heating System</v>
      </c>
      <c r="AH191">
        <f>AVERAGEIFS('3. Incentive Adjustment'!G:G,'3. Incentive Adjustment'!A:A,tbl_Data_old[[#This Row],[Trimmed Sector]],'3. Incentive Adjustment'!B:B,tbl_Data_old[[#This Row],[Trimmed Measure Name]])</f>
        <v>2.7736651842107431E-8</v>
      </c>
      <c r="AI191">
        <f>$AH191*tbl_Data_old[[#This Row],[2025 ]]</f>
        <v>4.797576078232038E-8</v>
      </c>
      <c r="AJ191">
        <f>$AH191*tbl_Data_old[[#This Row],[2026 ]]</f>
        <v>1.0136960276897443E-7</v>
      </c>
      <c r="AK191">
        <f>$AH191*tbl_Data_old[[#This Row],[2027 ]]</f>
        <v>1.5976268991372875E-7</v>
      </c>
      <c r="AL191">
        <f>$AH191*tbl_Data_old[[#This Row],[2028 ]]</f>
        <v>2.2288686964728133E-7</v>
      </c>
      <c r="AM191">
        <f>$AH191*tbl_Data_old[[#This Row],[2029 ]]</f>
        <v>2.905186193344976E-7</v>
      </c>
      <c r="AN191">
        <f>$AH191*tbl_Data_old[[#This Row],[2030 ]]</f>
        <v>3.6227493177228395E-7</v>
      </c>
      <c r="AO191">
        <f>$AH191*tbl_Data_old[[#This Row],[2031 ]]</f>
        <v>4.3833712588587766E-7</v>
      </c>
      <c r="AP191">
        <f>$AH191*tbl_Data_old[[#This Row],[2032 ]]</f>
        <v>5.1907417684305683E-7</v>
      </c>
      <c r="AQ191">
        <f>$AH191*tbl_Data_old[[#This Row],[2033 ]]</f>
        <v>6.0491637827530396E-7</v>
      </c>
      <c r="AR191">
        <f>$AH191*tbl_Data_old[[#This Row],[2034 ]]</f>
        <v>6.9632844103905928E-7</v>
      </c>
      <c r="AS191">
        <f>SUM(tbl_Data_old[[#This Row],[Adjusted 2025]:[Adjusted 2034]])</f>
        <v>3.4434445962623845E-6</v>
      </c>
      <c r="AT191" s="3">
        <f>AVERAGEIFS('3. Incentive Adjustment'!F:F,'3. Incentive Adjustment'!A:A,tbl_Data_old[[#This Row],[Trimmed Sector]],'3. Incentive Adjustment'!B:B,tbl_Data_old[[#This Row],[Trimmed Measure Name]])</f>
        <v>0</v>
      </c>
      <c r="AU191" s="3">
        <f>IFERROR(VLOOKUP(tbl_Data_old[[#This Row],[All_Meas_Name_Append]],'IRA Tax Credits'!$A$3:$D$46,4,0),0)</f>
        <v>41666.666666666672</v>
      </c>
      <c r="AV191" s="4">
        <f>tbl_Data_old[[#This Row],[Adj. per unit Incentive ($)]]/tbl_Data_old[[#This Row],[kWh Savings]]*tbl_Data_old[[#This Row],[Sum of Annuals]]</f>
        <v>0</v>
      </c>
      <c r="AW191" s="4">
        <f>IFERROR(VLOOKUP(tbl_Data_old[[#This Row],[All_Programs]],'1. Set Program Names'!$B$2:$D$15,3,0)*tbl_Data_old[[#This Row],[Sum of Annuals]],"")</f>
        <v>1.5516939210377446E-6</v>
      </c>
      <c r="AX191" s="4">
        <f>tbl_Data_old[[#This Row],[per unit IRA tax ($)]]/tbl_Data_old[[#This Row],[kWh Savings]]*tbl_Data_old[[#This Row],[Sum of Annuals]]</f>
        <v>1.0781140719279417E-4</v>
      </c>
      <c r="AY191" s="4">
        <f>tbl_Data_old[[#This Row],[Avoided Costs ($/unit)]]/tbl_Data_old[[#This Row],[kWh Savings]]*tbl_Data_old[[#This Row],[Sum of Annuals]]</f>
        <v>1.8453778154008349E-6</v>
      </c>
      <c r="AZ191" s="4">
        <f>tbl_Data_old[[#This Row],[Lost Revenue ($/unit)]]/tbl_Data_old[[#This Row],[kWh Savings]]*tbl_Data_old[[#This Row],[Sum of Annuals]]</f>
        <v>5.2050290464936456E-6</v>
      </c>
      <c r="BA191" s="4">
        <f>tbl_Data_old[[#This Row],[Incremental Cost ($/unit)]]/tbl_Data_old[[#This Row],[kWh Savings]]*tbl_Data_old[[#This Row],[Sum of Annuals]]</f>
        <v>2.326144096539272E-5</v>
      </c>
      <c r="BB191">
        <f>ROUNDUP(tbl_Data_old[[#This Row],[Adjusted 2025]]/$L191,0)</f>
        <v>1</v>
      </c>
      <c r="BC191">
        <f>ROUNDUP(tbl_Data_old[[#This Row],[Adjusted 2026]]/$L191,0)</f>
        <v>1</v>
      </c>
      <c r="BD191">
        <f>ROUNDUP(tbl_Data_old[[#This Row],[Adjusted 2027]]/$L191,0)</f>
        <v>1</v>
      </c>
      <c r="BE191">
        <f>ROUNDUP(tbl_Data_old[[#This Row],[Adjusted 2028]]/$L191,0)</f>
        <v>1</v>
      </c>
      <c r="BF191">
        <f>ROUNDUP(tbl_Data_old[[#This Row],[Adjusted 2029]]/$L191,0)</f>
        <v>1</v>
      </c>
      <c r="BG191">
        <f>ROUNDUP(tbl_Data_old[[#This Row],[Adjusted 2030]]/$L191,0)</f>
        <v>1</v>
      </c>
      <c r="BH191">
        <f>ROUNDUP(tbl_Data_old[[#This Row],[Adjusted 2031]]/$L191,0)</f>
        <v>1</v>
      </c>
      <c r="BI191">
        <f>ROUNDUP(tbl_Data_old[[#This Row],[Adjusted 2032]]/$L191,0)</f>
        <v>1</v>
      </c>
      <c r="BJ191">
        <f>ROUNDUP(tbl_Data_old[[#This Row],[Adjusted 2033]]/$L191,0)</f>
        <v>1</v>
      </c>
      <c r="BK191">
        <f>ROUNDUP(tbl_Data_old[[#This Row],[Adjusted 2034]]/$L191,0)</f>
        <v>1</v>
      </c>
      <c r="BL191" s="3">
        <f t="shared" si="12"/>
        <v>0</v>
      </c>
      <c r="BM191" s="3">
        <f t="shared" si="12"/>
        <v>0</v>
      </c>
      <c r="BN191" s="3">
        <f t="shared" si="12"/>
        <v>0</v>
      </c>
      <c r="BO191" s="3">
        <f t="shared" si="12"/>
        <v>0</v>
      </c>
      <c r="BP191" s="3">
        <f t="shared" si="12"/>
        <v>0</v>
      </c>
      <c r="BQ191" s="3">
        <f t="shared" si="12"/>
        <v>0</v>
      </c>
      <c r="BR191" s="3">
        <f t="shared" si="12"/>
        <v>0</v>
      </c>
      <c r="BS191" s="3">
        <f t="shared" si="12"/>
        <v>0</v>
      </c>
      <c r="BT191" s="3">
        <f t="shared" si="12"/>
        <v>0</v>
      </c>
      <c r="BU191" s="3">
        <f t="shared" si="12"/>
        <v>0</v>
      </c>
      <c r="BV191">
        <f>VLOOKUP($H191,'1. Set Program Names'!$B$2:$D$15,3,0)*V191</f>
        <v>0.77943659832461598</v>
      </c>
      <c r="BW191">
        <f>VLOOKUP($H191,'1. Set Program Names'!$B$2:$D$15,3,0)*W191</f>
        <v>1.6468978723289687</v>
      </c>
      <c r="BX191">
        <f>VLOOKUP($H191,'1. Set Program Names'!$B$2:$D$15,3,0)*X191</f>
        <v>2.5955792161494196</v>
      </c>
      <c r="BY191">
        <f>VLOOKUP($H191,'1. Set Program Names'!$B$2:$D$15,3,0)*Y191</f>
        <v>3.621124098007408</v>
      </c>
      <c r="BZ191">
        <f>VLOOKUP($H191,'1. Set Program Names'!$B$2:$D$15,3,0)*Z191</f>
        <v>4.7199010648621309</v>
      </c>
      <c r="CA191">
        <f>VLOOKUP($H191,'1. Set Program Names'!$B$2:$D$15,3,0)*AA191</f>
        <v>5.8856876029557013</v>
      </c>
      <c r="CB191">
        <f>VLOOKUP($H191,'1. Set Program Names'!$B$2:$D$15,3,0)*AB191</f>
        <v>7.1214295041628954</v>
      </c>
      <c r="CC191">
        <f>VLOOKUP($H191,'1. Set Program Names'!$B$2:$D$15,3,0)*AC191</f>
        <v>8.4331213112475911</v>
      </c>
      <c r="CD191">
        <f>VLOOKUP($H191,'1. Set Program Names'!$B$2:$D$15,3,0)*AD191</f>
        <v>9.8277537753502493</v>
      </c>
      <c r="CE191">
        <f>VLOOKUP($H191,'1. Set Program Names'!$B$2:$D$15,3,0)*AE191</f>
        <v>11.312876805909344</v>
      </c>
    </row>
    <row r="192" spans="1:83" x14ac:dyDescent="0.25">
      <c r="A192" s="20" t="s">
        <v>116</v>
      </c>
      <c r="B192" s="20" t="s">
        <v>88</v>
      </c>
      <c r="C192" s="20" t="s">
        <v>89</v>
      </c>
      <c r="D192" s="20" t="s">
        <v>90</v>
      </c>
      <c r="E192" s="20" t="s">
        <v>91</v>
      </c>
      <c r="F192" s="20" t="s">
        <v>90</v>
      </c>
      <c r="G192" s="20" t="s">
        <v>92</v>
      </c>
      <c r="H192" s="20" t="s">
        <v>9</v>
      </c>
      <c r="I192" s="20" t="s">
        <v>93</v>
      </c>
      <c r="J192" s="20" t="s">
        <v>94</v>
      </c>
      <c r="K192" s="20" t="s">
        <v>95</v>
      </c>
      <c r="L192" s="20">
        <v>1200.2266666666601</v>
      </c>
      <c r="M192" s="20">
        <v>4.8097974252120097E-2</v>
      </c>
      <c r="N192" s="20">
        <v>0.22310492157346501</v>
      </c>
      <c r="O192" s="20">
        <v>1210</v>
      </c>
      <c r="P192" s="20">
        <v>933.85922631496703</v>
      </c>
      <c r="Q192" s="20">
        <v>360.56616574297698</v>
      </c>
      <c r="R192" s="20">
        <v>571.53970184074296</v>
      </c>
      <c r="S192" s="20">
        <v>1535.35818196214</v>
      </c>
      <c r="T192" s="20">
        <v>15</v>
      </c>
      <c r="U192" s="20">
        <v>0.2</v>
      </c>
      <c r="V192" s="20">
        <v>2.6865075506885199</v>
      </c>
      <c r="W192" s="20">
        <v>2.85431657611004</v>
      </c>
      <c r="X192" s="20">
        <v>3.0209205304305198</v>
      </c>
      <c r="Y192" s="20">
        <v>3.1913718123377901</v>
      </c>
      <c r="Z192" s="20">
        <v>3.3654863226020502</v>
      </c>
      <c r="AA192" s="20">
        <v>3.5334622017736699</v>
      </c>
      <c r="AB192" s="20">
        <v>3.7214714419645398</v>
      </c>
      <c r="AC192" s="20">
        <v>3.93702598315312</v>
      </c>
      <c r="AD192" s="20">
        <v>4.18190063410115</v>
      </c>
      <c r="AE192" s="20">
        <v>4.4569612616284999</v>
      </c>
      <c r="AF192" t="str">
        <f t="shared" si="9"/>
        <v>Residential</v>
      </c>
      <c r="AG192" t="str">
        <f>tbl_Data_old[[#This Row],[All_Meas_Name_Append]]</f>
        <v>120v Heat Pump Water Heater 50 Gallons</v>
      </c>
      <c r="AH192">
        <f>AVERAGEIFS('3. Incentive Adjustment'!G:G,'3. Incentive Adjustment'!A:A,tbl_Data_old[[#This Row],[Trimmed Sector]],'3. Incentive Adjustment'!B:B,tbl_Data_old[[#This Row],[Trimmed Measure Name]])</f>
        <v>0.38528347196238832</v>
      </c>
      <c r="AI192">
        <f>$AH192*tbl_Data_old[[#This Row],[2025 ]]</f>
        <v>1.0350669565824449</v>
      </c>
      <c r="AJ192">
        <f>$AH192*tbl_Data_old[[#This Row],[2026 ]]</f>
        <v>1.0997210005234728</v>
      </c>
      <c r="AK192">
        <f>$AH192*tbl_Data_old[[#This Row],[2027 ]]</f>
        <v>1.1639107504867305</v>
      </c>
      <c r="AL192">
        <f>$AH192*tbl_Data_old[[#This Row],[2028 ]]</f>
        <v>1.2295828121804033</v>
      </c>
      <c r="AM192">
        <f>$AH192*tbl_Data_old[[#This Row],[2029 ]]</f>
        <v>1.2966662552140484</v>
      </c>
      <c r="AN192">
        <f>$AH192*tbl_Data_old[[#This Row],[2030 ]]</f>
        <v>1.3613845851472246</v>
      </c>
      <c r="AO192">
        <f>$AH192*tbl_Data_old[[#This Row],[2031 ]]</f>
        <v>1.4338214379689735</v>
      </c>
      <c r="AP192">
        <f>$AH192*tbl_Data_old[[#This Row],[2032 ]]</f>
        <v>1.5168710399953695</v>
      </c>
      <c r="AQ192">
        <f>$AH192*tbl_Data_old[[#This Row],[2033 ]]</f>
        <v>1.6112171957082044</v>
      </c>
      <c r="AR192">
        <f>$AH192*tbl_Data_old[[#This Row],[2034 ]]</f>
        <v>1.7171935092820951</v>
      </c>
      <c r="AS192">
        <f>SUM(tbl_Data_old[[#This Row],[Adjusted 2025]:[Adjusted 2034]])</f>
        <v>13.465435543088967</v>
      </c>
      <c r="AT192" s="3">
        <f>AVERAGEIFS('3. Incentive Adjustment'!F:F,'3. Incentive Adjustment'!A:A,tbl_Data_old[[#This Row],[Trimmed Sector]],'3. Incentive Adjustment'!B:B,tbl_Data_old[[#This Row],[Trimmed Measure Name]])</f>
        <v>500</v>
      </c>
      <c r="AU192" s="3">
        <f>IFERROR(VLOOKUP(tbl_Data_old[[#This Row],[All_Meas_Name_Append]],'IRA Tax Credits'!$A$3:$D$46,4,0),0)</f>
        <v>1666.6666666666667</v>
      </c>
      <c r="AV192" s="4">
        <f>tbl_Data_old[[#This Row],[Adj. per unit Incentive ($)]]/tbl_Data_old[[#This Row],[kWh Savings]]*tbl_Data_old[[#This Row],[Sum of Annuals]]</f>
        <v>5.6095385634473374</v>
      </c>
      <c r="AW192" s="4">
        <f>IFERROR(VLOOKUP(tbl_Data_old[[#This Row],[All_Programs]],'1. Set Program Names'!$B$2:$D$15,3,0)*tbl_Data_old[[#This Row],[Sum of Annuals]],"")</f>
        <v>6.0678294342287211</v>
      </c>
      <c r="AX192" s="4">
        <f>tbl_Data_old[[#This Row],[per unit IRA tax ($)]]/tbl_Data_old[[#This Row],[kWh Savings]]*tbl_Data_old[[#This Row],[Sum of Annuals]]</f>
        <v>18.698461878157794</v>
      </c>
      <c r="AY192" s="4">
        <f>tbl_Data_old[[#This Row],[Avoided Costs ($/unit)]]/tbl_Data_old[[#This Row],[kWh Savings]]*tbl_Data_old[[#This Row],[Sum of Annuals]]</f>
        <v>6.4121479960336822</v>
      </c>
      <c r="AZ192" s="4">
        <f>tbl_Data_old[[#This Row],[Lost Revenue ($/unit)]]/tbl_Data_old[[#This Row],[kWh Savings]]*tbl_Data_old[[#This Row],[Sum of Annuals]]</f>
        <v>17.225301860842038</v>
      </c>
      <c r="BA192" s="4">
        <f>tbl_Data_old[[#This Row],[Incremental Cost ($/unit)]]/tbl_Data_old[[#This Row],[kWh Savings]]*tbl_Data_old[[#This Row],[Sum of Annuals]]</f>
        <v>13.575083323542557</v>
      </c>
      <c r="BB192">
        <f>ROUNDUP(tbl_Data_old[[#This Row],[Adjusted 2025]]/$L192,0)</f>
        <v>1</v>
      </c>
      <c r="BC192">
        <f>ROUNDUP(tbl_Data_old[[#This Row],[Adjusted 2026]]/$L192,0)</f>
        <v>1</v>
      </c>
      <c r="BD192">
        <f>ROUNDUP(tbl_Data_old[[#This Row],[Adjusted 2027]]/$L192,0)</f>
        <v>1</v>
      </c>
      <c r="BE192">
        <f>ROUNDUP(tbl_Data_old[[#This Row],[Adjusted 2028]]/$L192,0)</f>
        <v>1</v>
      </c>
      <c r="BF192">
        <f>ROUNDUP(tbl_Data_old[[#This Row],[Adjusted 2029]]/$L192,0)</f>
        <v>1</v>
      </c>
      <c r="BG192">
        <f>ROUNDUP(tbl_Data_old[[#This Row],[Adjusted 2030]]/$L192,0)</f>
        <v>1</v>
      </c>
      <c r="BH192">
        <f>ROUNDUP(tbl_Data_old[[#This Row],[Adjusted 2031]]/$L192,0)</f>
        <v>1</v>
      </c>
      <c r="BI192">
        <f>ROUNDUP(tbl_Data_old[[#This Row],[Adjusted 2032]]/$L192,0)</f>
        <v>1</v>
      </c>
      <c r="BJ192">
        <f>ROUNDUP(tbl_Data_old[[#This Row],[Adjusted 2033]]/$L192,0)</f>
        <v>1</v>
      </c>
      <c r="BK192">
        <f>ROUNDUP(tbl_Data_old[[#This Row],[Adjusted 2034]]/$L192,0)</f>
        <v>1</v>
      </c>
      <c r="BL192" s="3">
        <f t="shared" ref="BL192:BU217" si="13">$AT192/$L192*V192</f>
        <v>1.1191667479567198</v>
      </c>
      <c r="BM192" s="3">
        <f t="shared" si="13"/>
        <v>1.1890739705180919</v>
      </c>
      <c r="BN192" s="3">
        <f t="shared" si="13"/>
        <v>1.2584791749463446</v>
      </c>
      <c r="BO192" s="3">
        <f t="shared" si="13"/>
        <v>1.3294871297940143</v>
      </c>
      <c r="BP192" s="3">
        <f t="shared" si="13"/>
        <v>1.4020211415352386</v>
      </c>
      <c r="BQ192" s="3">
        <f t="shared" si="13"/>
        <v>1.4719978733629575</v>
      </c>
      <c r="BR192" s="3">
        <f t="shared" si="13"/>
        <v>1.5503202625467523</v>
      </c>
      <c r="BS192" s="3">
        <f t="shared" si="13"/>
        <v>1.6401176929718031</v>
      </c>
      <c r="BT192" s="3">
        <f t="shared" si="13"/>
        <v>1.7421295286311915</v>
      </c>
      <c r="BU192" s="3">
        <f t="shared" si="13"/>
        <v>1.8567164792324744</v>
      </c>
      <c r="BV192">
        <f>VLOOKUP($H192,'1. Set Program Names'!$B$2:$D$15,3,0)*V192</f>
        <v>1.2106009894133736</v>
      </c>
      <c r="BW192">
        <f>VLOOKUP($H192,'1. Set Program Names'!$B$2:$D$15,3,0)*W192</f>
        <v>1.2862195270034582</v>
      </c>
      <c r="BX192">
        <f>VLOOKUP($H192,'1. Set Program Names'!$B$2:$D$15,3,0)*X192</f>
        <v>1.3612950323333659</v>
      </c>
      <c r="BY192">
        <f>VLOOKUP($H192,'1. Set Program Names'!$B$2:$D$15,3,0)*Y192</f>
        <v>1.4381042303833897</v>
      </c>
      <c r="BZ192">
        <f>VLOOKUP($H192,'1. Set Program Names'!$B$2:$D$15,3,0)*Z192</f>
        <v>1.5165641618818577</v>
      </c>
      <c r="CA192">
        <f>VLOOKUP($H192,'1. Set Program Names'!$B$2:$D$15,3,0)*AA192</f>
        <v>1.5922578875408933</v>
      </c>
      <c r="CB192">
        <f>VLOOKUP($H192,'1. Set Program Names'!$B$2:$D$15,3,0)*AB192</f>
        <v>1.6769790982203836</v>
      </c>
      <c r="CC192">
        <f>VLOOKUP($H192,'1. Set Program Names'!$B$2:$D$15,3,0)*AC192</f>
        <v>1.7741128437661806</v>
      </c>
      <c r="CD192">
        <f>VLOOKUP($H192,'1. Set Program Names'!$B$2:$D$15,3,0)*AD192</f>
        <v>1.8844588930985058</v>
      </c>
      <c r="CE192">
        <f>VLOOKUP($H192,'1. Set Program Names'!$B$2:$D$15,3,0)*AE192</f>
        <v>2.0084074253659594</v>
      </c>
    </row>
    <row r="193" spans="1:83" x14ac:dyDescent="0.25">
      <c r="A193" s="20" t="s">
        <v>116</v>
      </c>
      <c r="B193" s="20" t="s">
        <v>88</v>
      </c>
      <c r="C193" s="20" t="s">
        <v>89</v>
      </c>
      <c r="D193" s="20" t="s">
        <v>90</v>
      </c>
      <c r="E193" s="20" t="s">
        <v>91</v>
      </c>
      <c r="F193" s="20" t="s">
        <v>90</v>
      </c>
      <c r="G193" s="20" t="s">
        <v>92</v>
      </c>
      <c r="H193" s="20" t="s">
        <v>9</v>
      </c>
      <c r="I193" s="20" t="s">
        <v>96</v>
      </c>
      <c r="J193" s="20" t="s">
        <v>97</v>
      </c>
      <c r="K193" s="20" t="s">
        <v>98</v>
      </c>
      <c r="L193" s="20">
        <v>5868.07</v>
      </c>
      <c r="M193" s="20">
        <v>0.20813520080661799</v>
      </c>
      <c r="N193" s="20">
        <v>1.1349578069705</v>
      </c>
      <c r="O193" s="20">
        <v>1935.1666666666599</v>
      </c>
      <c r="P193" s="20">
        <v>513.45064263862798</v>
      </c>
      <c r="Q193" s="20">
        <v>1762.8565994851499</v>
      </c>
      <c r="R193" s="20">
        <v>3388.0400735263802</v>
      </c>
      <c r="S193" s="20">
        <v>7811.7411984889604</v>
      </c>
      <c r="T193" s="20">
        <v>16</v>
      </c>
      <c r="U193" s="20">
        <v>0.2</v>
      </c>
      <c r="V193" s="20">
        <v>16.293418512666701</v>
      </c>
      <c r="W193" s="20">
        <v>17.2510421080162</v>
      </c>
      <c r="X193" s="20">
        <v>18.193580412103501</v>
      </c>
      <c r="Y193" s="20">
        <v>19.151390148400399</v>
      </c>
      <c r="Z193" s="20">
        <v>20.123099467378299</v>
      </c>
      <c r="AA193" s="20">
        <v>21.0500691936363</v>
      </c>
      <c r="AB193" s="20">
        <v>22.088051105641199</v>
      </c>
      <c r="AC193" s="20">
        <v>23.280152552775299</v>
      </c>
      <c r="AD193" s="20">
        <v>24.635011887224699</v>
      </c>
      <c r="AE193" s="20">
        <v>26.155770561641301</v>
      </c>
      <c r="AF193" t="str">
        <f t="shared" si="9"/>
        <v>Residential</v>
      </c>
      <c r="AG193" t="str">
        <f>tbl_Data_old[[#This Row],[All_Meas_Name_Append]]</f>
        <v>ASHP - CEE Tier 2: 16.8 SEER/16 SEER2; 9.0 HSPF (from elec resistance)</v>
      </c>
      <c r="AH193">
        <f>AVERAGEIFS('3. Incentive Adjustment'!G:G,'3. Incentive Adjustment'!A:A,tbl_Data_old[[#This Row],[Trimmed Sector]],'3. Incentive Adjustment'!B:B,tbl_Data_old[[#This Row],[Trimmed Measure Name]])</f>
        <v>0.9303958662075158</v>
      </c>
      <c r="AI193">
        <f>$AH193*tbl_Data_old[[#This Row],[2025 ]]</f>
        <v>15.159329230574109</v>
      </c>
      <c r="AJ193">
        <f>$AH193*tbl_Data_old[[#This Row],[2026 ]]</f>
        <v>16.050298265070062</v>
      </c>
      <c r="AK193">
        <f>$AH193*tbl_Data_old[[#This Row],[2027 ]]</f>
        <v>16.927232006935128</v>
      </c>
      <c r="AL193">
        <f>$AH193*tbl_Data_old[[#This Row],[2028 ]]</f>
        <v>17.818374226199072</v>
      </c>
      <c r="AM193">
        <f>$AH193*tbl_Data_old[[#This Row],[2029 ]]</f>
        <v>18.722448559731433</v>
      </c>
      <c r="AN193">
        <f>$AH193*tbl_Data_old[[#This Row],[2030 ]]</f>
        <v>19.58489736114139</v>
      </c>
      <c r="AO193">
        <f>$AH193*tbl_Data_old[[#This Row],[2031 ]]</f>
        <v>20.550631441268919</v>
      </c>
      <c r="AP193">
        <f>$AH193*tbl_Data_old[[#This Row],[2032 ]]</f>
        <v>21.659757699782485</v>
      </c>
      <c r="AQ193">
        <f>$AH193*tbl_Data_old[[#This Row],[2033 ]]</f>
        <v>22.920313223846872</v>
      </c>
      <c r="AR193">
        <f>$AH193*tbl_Data_old[[#This Row],[2034 ]]</f>
        <v>24.335220808023301</v>
      </c>
      <c r="AS193">
        <f>SUM(tbl_Data_old[[#This Row],[Adjusted 2025]:[Adjusted 2034]])</f>
        <v>193.72850282257278</v>
      </c>
      <c r="AT193" s="3">
        <f>AVERAGEIFS('3. Incentive Adjustment'!F:F,'3. Incentive Adjustment'!A:A,tbl_Data_old[[#This Row],[Trimmed Sector]],'3. Incentive Adjustment'!B:B,tbl_Data_old[[#This Row],[Trimmed Measure Name]])</f>
        <v>353</v>
      </c>
      <c r="AU193" s="3">
        <f>IFERROR(VLOOKUP(tbl_Data_old[[#This Row],[All_Meas_Name_Append]],'IRA Tax Credits'!$A$3:$D$46,4,0),0)</f>
        <v>0</v>
      </c>
      <c r="AV193" s="4">
        <f>tbl_Data_old[[#This Row],[Adj. per unit Incentive ($)]]/tbl_Data_old[[#This Row],[kWh Savings]]*tbl_Data_old[[#This Row],[Sum of Annuals]]</f>
        <v>11.653944396772395</v>
      </c>
      <c r="AW193" s="4">
        <f>IFERROR(VLOOKUP(tbl_Data_old[[#This Row],[All_Programs]],'1. Set Program Names'!$B$2:$D$15,3,0)*tbl_Data_old[[#This Row],[Sum of Annuals]],"")</f>
        <v>87.298439617067672</v>
      </c>
      <c r="AX193" s="4">
        <f>tbl_Data_old[[#This Row],[per unit IRA tax ($)]]/tbl_Data_old[[#This Row],[kWh Savings]]*tbl_Data_old[[#This Row],[Sum of Annuals]]</f>
        <v>0</v>
      </c>
      <c r="AY193" s="4">
        <f>tbl_Data_old[[#This Row],[Avoided Costs ($/unit)]]/tbl_Data_old[[#This Row],[kWh Savings]]*tbl_Data_old[[#This Row],[Sum of Annuals]]</f>
        <v>111.85277799125522</v>
      </c>
      <c r="AZ193" s="4">
        <f>tbl_Data_old[[#This Row],[Lost Revenue ($/unit)]]/tbl_Data_old[[#This Row],[kWh Savings]]*tbl_Data_old[[#This Row],[Sum of Annuals]]</f>
        <v>257.89687696647735</v>
      </c>
      <c r="BA193" s="4">
        <f>tbl_Data_old[[#This Row],[Incremental Cost ($/unit)]]/tbl_Data_old[[#This Row],[kWh Savings]]*tbl_Data_old[[#This Row],[Sum of Annuals]]</f>
        <v>63.887605472579708</v>
      </c>
      <c r="BB193">
        <f>ROUNDUP(tbl_Data_old[[#This Row],[Adjusted 2025]]/$L193,0)</f>
        <v>1</v>
      </c>
      <c r="BC193">
        <f>ROUNDUP(tbl_Data_old[[#This Row],[Adjusted 2026]]/$L193,0)</f>
        <v>1</v>
      </c>
      <c r="BD193">
        <f>ROUNDUP(tbl_Data_old[[#This Row],[Adjusted 2027]]/$L193,0)</f>
        <v>1</v>
      </c>
      <c r="BE193">
        <f>ROUNDUP(tbl_Data_old[[#This Row],[Adjusted 2028]]/$L193,0)</f>
        <v>1</v>
      </c>
      <c r="BF193">
        <f>ROUNDUP(tbl_Data_old[[#This Row],[Adjusted 2029]]/$L193,0)</f>
        <v>1</v>
      </c>
      <c r="BG193">
        <f>ROUNDUP(tbl_Data_old[[#This Row],[Adjusted 2030]]/$L193,0)</f>
        <v>1</v>
      </c>
      <c r="BH193">
        <f>ROUNDUP(tbl_Data_old[[#This Row],[Adjusted 2031]]/$L193,0)</f>
        <v>1</v>
      </c>
      <c r="BI193">
        <f>ROUNDUP(tbl_Data_old[[#This Row],[Adjusted 2032]]/$L193,0)</f>
        <v>1</v>
      </c>
      <c r="BJ193">
        <f>ROUNDUP(tbl_Data_old[[#This Row],[Adjusted 2033]]/$L193,0)</f>
        <v>1</v>
      </c>
      <c r="BK193">
        <f>ROUNDUP(tbl_Data_old[[#This Row],[Adjusted 2034]]/$L193,0)</f>
        <v>1</v>
      </c>
      <c r="BL193" s="3">
        <f t="shared" si="13"/>
        <v>0.98014794216349599</v>
      </c>
      <c r="BM193" s="3">
        <f t="shared" si="13"/>
        <v>1.0377548093546463</v>
      </c>
      <c r="BN193" s="3">
        <f t="shared" si="13"/>
        <v>1.0944542047849695</v>
      </c>
      <c r="BO193" s="3">
        <f t="shared" si="13"/>
        <v>1.1520722694830399</v>
      </c>
      <c r="BP193" s="3">
        <f t="shared" si="13"/>
        <v>1.2105264783795251</v>
      </c>
      <c r="BQ193" s="3">
        <f t="shared" si="13"/>
        <v>1.2662893294309057</v>
      </c>
      <c r="BR193" s="3">
        <f t="shared" si="13"/>
        <v>1.3287302367373504</v>
      </c>
      <c r="BS193" s="3">
        <f t="shared" si="13"/>
        <v>1.4004423688077479</v>
      </c>
      <c r="BT193" s="3">
        <f t="shared" si="13"/>
        <v>1.4819453749171907</v>
      </c>
      <c r="BU193" s="3">
        <f t="shared" si="13"/>
        <v>1.5734282324954167</v>
      </c>
      <c r="BV193">
        <f>VLOOKUP($H193,'1. Set Program Names'!$B$2:$D$15,3,0)*V193</f>
        <v>7.3421824432636509</v>
      </c>
      <c r="BW193">
        <f>VLOOKUP($H193,'1. Set Program Names'!$B$2:$D$15,3,0)*W193</f>
        <v>7.7737092676414878</v>
      </c>
      <c r="BX193">
        <f>VLOOKUP($H193,'1. Set Program Names'!$B$2:$D$15,3,0)*X193</f>
        <v>8.1984383190062058</v>
      </c>
      <c r="BY193">
        <f>VLOOKUP($H193,'1. Set Program Names'!$B$2:$D$15,3,0)*Y193</f>
        <v>8.6300490226997866</v>
      </c>
      <c r="BZ193">
        <f>VLOOKUP($H193,'1. Set Program Names'!$B$2:$D$15,3,0)*Z193</f>
        <v>9.0679231923351384</v>
      </c>
      <c r="CA193">
        <f>VLOOKUP($H193,'1. Set Program Names'!$B$2:$D$15,3,0)*AA193</f>
        <v>9.4856366908423642</v>
      </c>
      <c r="CB193">
        <f>VLOOKUP($H193,'1. Set Program Names'!$B$2:$D$15,3,0)*AB193</f>
        <v>9.9533747879656236</v>
      </c>
      <c r="CC193">
        <f>VLOOKUP($H193,'1. Set Program Names'!$B$2:$D$15,3,0)*AC193</f>
        <v>10.490562629113432</v>
      </c>
      <c r="CD193">
        <f>VLOOKUP($H193,'1. Set Program Names'!$B$2:$D$15,3,0)*AD193</f>
        <v>11.101092850917585</v>
      </c>
      <c r="CE193">
        <f>VLOOKUP($H193,'1. Set Program Names'!$B$2:$D$15,3,0)*AE193</f>
        <v>11.786381062907115</v>
      </c>
    </row>
    <row r="194" spans="1:83" x14ac:dyDescent="0.25">
      <c r="A194" s="20" t="s">
        <v>116</v>
      </c>
      <c r="B194" s="20" t="s">
        <v>88</v>
      </c>
      <c r="C194" s="20" t="s">
        <v>89</v>
      </c>
      <c r="D194" s="20" t="s">
        <v>90</v>
      </c>
      <c r="E194" s="20" t="s">
        <v>91</v>
      </c>
      <c r="F194" s="20" t="s">
        <v>90</v>
      </c>
      <c r="G194" s="20" t="s">
        <v>92</v>
      </c>
      <c r="H194" s="20" t="s">
        <v>9</v>
      </c>
      <c r="I194" s="20" t="s">
        <v>99</v>
      </c>
      <c r="J194" s="20" t="s">
        <v>97</v>
      </c>
      <c r="K194" s="20" t="s">
        <v>98</v>
      </c>
      <c r="L194" s="20">
        <v>253.96999999999801</v>
      </c>
      <c r="M194" s="20">
        <v>0.107126245482503</v>
      </c>
      <c r="N194" s="20">
        <v>1.33192706841354E-2</v>
      </c>
      <c r="O194" s="20">
        <v>874.99999999999898</v>
      </c>
      <c r="P194" s="20">
        <v>813.468148399999</v>
      </c>
      <c r="Q194" s="20">
        <v>76.296412716828996</v>
      </c>
      <c r="R194" s="20">
        <v>185.54516688855901</v>
      </c>
      <c r="S194" s="20">
        <v>338.09206641710699</v>
      </c>
      <c r="T194" s="20">
        <v>16</v>
      </c>
      <c r="U194" s="20">
        <v>0.19999999999999901</v>
      </c>
      <c r="V194" s="20">
        <v>0.13097494413893601</v>
      </c>
      <c r="W194" s="20">
        <v>0.146236305191939</v>
      </c>
      <c r="X194" s="20">
        <v>0.16044406900821501</v>
      </c>
      <c r="Y194" s="20">
        <v>0.174002982557764</v>
      </c>
      <c r="Z194" s="20">
        <v>0.18702979507668599</v>
      </c>
      <c r="AA194" s="20">
        <v>0.199076517270042</v>
      </c>
      <c r="AB194" s="20">
        <v>0.21170398665634499</v>
      </c>
      <c r="AC194" s="20">
        <v>0.22544149359201901</v>
      </c>
      <c r="AD194" s="20">
        <v>0.240471227477495</v>
      </c>
      <c r="AE194" s="20">
        <v>0.25690207085369599</v>
      </c>
      <c r="AF194" t="str">
        <f t="shared" ref="AF194:AF257" si="14">IF(C194="Residential","Residential","NonResidential")</f>
        <v>Residential</v>
      </c>
      <c r="AG194" t="str">
        <f>tbl_Data_old[[#This Row],[All_Meas_Name_Append]]</f>
        <v>ASHP - ENERGY STAR/CEE Tier 1: 16 SEER/15.2 SEER2_ 9.0 HSPF</v>
      </c>
      <c r="AH194">
        <f>AVERAGEIFS('3. Incentive Adjustment'!G:G,'3. Incentive Adjustment'!A:A,tbl_Data_old[[#This Row],[Trimmed Sector]],'3. Incentive Adjustment'!B:B,tbl_Data_old[[#This Row],[Trimmed Measure Name]])</f>
        <v>8.3636985731950567E-3</v>
      </c>
      <c r="AI194">
        <f>$AH194*tbl_Data_old[[#This Row],[2025 ]]</f>
        <v>1.0954349534191214E-3</v>
      </c>
      <c r="AJ194">
        <f>$AH194*tbl_Data_old[[#This Row],[2026 ]]</f>
        <v>1.2230763770831371E-3</v>
      </c>
      <c r="AK194">
        <f>$AH194*tbl_Data_old[[#This Row],[2027 ]]</f>
        <v>1.341905831041617E-3</v>
      </c>
      <c r="AL194">
        <f>$AH194*tbl_Data_old[[#This Row],[2028 ]]</f>
        <v>1.4553084969500551E-3</v>
      </c>
      <c r="AM194">
        <f>$AH194*tbl_Data_old[[#This Row],[2029 ]]</f>
        <v>1.5642608302278425E-3</v>
      </c>
      <c r="AN194">
        <f>$AH194*tbl_Data_old[[#This Row],[2030 ]]</f>
        <v>1.6650159834480914E-3</v>
      </c>
      <c r="AO194">
        <f>$AH194*tbl_Data_old[[#This Row],[2031 ]]</f>
        <v>1.7706283311373779E-3</v>
      </c>
      <c r="AP194">
        <f>$AH194*tbl_Data_old[[#This Row],[2032 ]]</f>
        <v>1.885524698294532E-3</v>
      </c>
      <c r="AQ194">
        <f>$AH194*tbl_Data_old[[#This Row],[2033 ]]</f>
        <v>2.0112288621479887E-3</v>
      </c>
      <c r="AR194">
        <f>$AH194*tbl_Data_old[[#This Row],[2034 ]]</f>
        <v>2.1486514834499126E-3</v>
      </c>
      <c r="AS194">
        <f>SUM(tbl_Data_old[[#This Row],[Adjusted 2025]:[Adjusted 2034]])</f>
        <v>1.6161035847199676E-2</v>
      </c>
      <c r="AT194" s="3">
        <f>AVERAGEIFS('3. Incentive Adjustment'!F:F,'3. Incentive Adjustment'!A:A,tbl_Data_old[[#This Row],[Trimmed Sector]],'3. Incentive Adjustment'!B:B,tbl_Data_old[[#This Row],[Trimmed Measure Name]])</f>
        <v>353</v>
      </c>
      <c r="AU194" s="3">
        <f>IFERROR(VLOOKUP(tbl_Data_old[[#This Row],[All_Meas_Name_Append]],'IRA Tax Credits'!$A$3:$D$46,4,0),0)</f>
        <v>0</v>
      </c>
      <c r="AV194" s="4">
        <f>tbl_Data_old[[#This Row],[Adj. per unit Incentive ($)]]/tbl_Data_old[[#This Row],[kWh Savings]]*tbl_Data_old[[#This Row],[Sum of Annuals]]</f>
        <v>2.246267533197437E-2</v>
      </c>
      <c r="AW194" s="4">
        <f>IFERROR(VLOOKUP(tbl_Data_old[[#This Row],[All_Programs]],'1. Set Program Names'!$B$2:$D$15,3,0)*tbl_Data_old[[#This Row],[Sum of Annuals]],"")</f>
        <v>7.2825278237356001E-3</v>
      </c>
      <c r="AX194" s="4">
        <f>tbl_Data_old[[#This Row],[per unit IRA tax ($)]]/tbl_Data_old[[#This Row],[kWh Savings]]*tbl_Data_old[[#This Row],[Sum of Annuals]]</f>
        <v>0</v>
      </c>
      <c r="AY194" s="4">
        <f>tbl_Data_old[[#This Row],[Avoided Costs ($/unit)]]/tbl_Data_old[[#This Row],[kWh Savings]]*tbl_Data_old[[#This Row],[Sum of Annuals]]</f>
        <v>1.1806914570069976E-2</v>
      </c>
      <c r="AZ194" s="4">
        <f>tbl_Data_old[[#This Row],[Lost Revenue ($/unit)]]/tbl_Data_old[[#This Row],[kWh Savings]]*tbl_Data_old[[#This Row],[Sum of Annuals]]</f>
        <v>2.1514029235818098E-2</v>
      </c>
      <c r="BA194" s="4">
        <f>tbl_Data_old[[#This Row],[Incremental Cost ($/unit)]]/tbl_Data_old[[#This Row],[kWh Savings]]*tbl_Data_old[[#This Row],[Sum of Annuals]]</f>
        <v>5.567943602118286E-2</v>
      </c>
      <c r="BB194">
        <f>ROUNDUP(tbl_Data_old[[#This Row],[Adjusted 2025]]/$L194,0)</f>
        <v>1</v>
      </c>
      <c r="BC194">
        <f>ROUNDUP(tbl_Data_old[[#This Row],[Adjusted 2026]]/$L194,0)</f>
        <v>1</v>
      </c>
      <c r="BD194">
        <f>ROUNDUP(tbl_Data_old[[#This Row],[Adjusted 2027]]/$L194,0)</f>
        <v>1</v>
      </c>
      <c r="BE194">
        <f>ROUNDUP(tbl_Data_old[[#This Row],[Adjusted 2028]]/$L194,0)</f>
        <v>1</v>
      </c>
      <c r="BF194">
        <f>ROUNDUP(tbl_Data_old[[#This Row],[Adjusted 2029]]/$L194,0)</f>
        <v>1</v>
      </c>
      <c r="BG194">
        <f>ROUNDUP(tbl_Data_old[[#This Row],[Adjusted 2030]]/$L194,0)</f>
        <v>1</v>
      </c>
      <c r="BH194">
        <f>ROUNDUP(tbl_Data_old[[#This Row],[Adjusted 2031]]/$L194,0)</f>
        <v>1</v>
      </c>
      <c r="BI194">
        <f>ROUNDUP(tbl_Data_old[[#This Row],[Adjusted 2032]]/$L194,0)</f>
        <v>1</v>
      </c>
      <c r="BJ194">
        <f>ROUNDUP(tbl_Data_old[[#This Row],[Adjusted 2033]]/$L194,0)</f>
        <v>1</v>
      </c>
      <c r="BK194">
        <f>ROUNDUP(tbl_Data_old[[#This Row],[Adjusted 2034]]/$L194,0)</f>
        <v>1</v>
      </c>
      <c r="BL194" s="3">
        <f t="shared" si="13"/>
        <v>0.18204573485468667</v>
      </c>
      <c r="BM194" s="3">
        <f t="shared" si="13"/>
        <v>0.20325792704947385</v>
      </c>
      <c r="BN194" s="3">
        <f t="shared" si="13"/>
        <v>0.22300569500295445</v>
      </c>
      <c r="BO194" s="3">
        <f t="shared" si="13"/>
        <v>0.24185160783908011</v>
      </c>
      <c r="BP194" s="3">
        <f t="shared" si="13"/>
        <v>0.25995793858357552</v>
      </c>
      <c r="BQ194" s="3">
        <f t="shared" si="13"/>
        <v>0.27670201439668218</v>
      </c>
      <c r="BR194" s="3">
        <f t="shared" si="13"/>
        <v>0.29425328696180797</v>
      </c>
      <c r="BS194" s="3">
        <f t="shared" si="13"/>
        <v>0.31334743173596619</v>
      </c>
      <c r="BT194" s="3">
        <f t="shared" si="13"/>
        <v>0.33423767885796118</v>
      </c>
      <c r="BU194" s="3">
        <f t="shared" si="13"/>
        <v>0.35707536721406224</v>
      </c>
      <c r="BV194">
        <f>VLOOKUP($H194,'1. Set Program Names'!$B$2:$D$15,3,0)*V194</f>
        <v>5.9020268497782788E-2</v>
      </c>
      <c r="BW194">
        <f>VLOOKUP($H194,'1. Set Program Names'!$B$2:$D$15,3,0)*W194</f>
        <v>6.5897382535979002E-2</v>
      </c>
      <c r="BX194">
        <f>VLOOKUP($H194,'1. Set Program Names'!$B$2:$D$15,3,0)*X194</f>
        <v>7.2299721858988586E-2</v>
      </c>
      <c r="BY194">
        <f>VLOOKUP($H194,'1. Set Program Names'!$B$2:$D$15,3,0)*Y194</f>
        <v>7.8409674594556958E-2</v>
      </c>
      <c r="BZ194">
        <f>VLOOKUP($H194,'1. Set Program Names'!$B$2:$D$15,3,0)*Z194</f>
        <v>8.4279850585786811E-2</v>
      </c>
      <c r="CA194">
        <f>VLOOKUP($H194,'1. Set Program Names'!$B$2:$D$15,3,0)*AA194</f>
        <v>8.9708375736489321E-2</v>
      </c>
      <c r="CB194">
        <f>VLOOKUP($H194,'1. Set Program Names'!$B$2:$D$15,3,0)*AB194</f>
        <v>9.5398598691168027E-2</v>
      </c>
      <c r="CC194">
        <f>VLOOKUP($H194,'1. Set Program Names'!$B$2:$D$15,3,0)*AC194</f>
        <v>0.10158902964087364</v>
      </c>
      <c r="CD194">
        <f>VLOOKUP($H194,'1. Set Program Names'!$B$2:$D$15,3,0)*AD194</f>
        <v>0.10836176724502211</v>
      </c>
      <c r="CE194">
        <f>VLOOKUP($H194,'1. Set Program Names'!$B$2:$D$15,3,0)*AE194</f>
        <v>0.11576587643616405</v>
      </c>
    </row>
    <row r="195" spans="1:83" x14ac:dyDescent="0.25">
      <c r="A195" s="20" t="s">
        <v>116</v>
      </c>
      <c r="B195" s="20" t="s">
        <v>88</v>
      </c>
      <c r="C195" s="20" t="s">
        <v>89</v>
      </c>
      <c r="D195" s="20" t="s">
        <v>90</v>
      </c>
      <c r="E195" s="20" t="s">
        <v>91</v>
      </c>
      <c r="F195" s="20" t="s">
        <v>90</v>
      </c>
      <c r="G195" s="20" t="s">
        <v>92</v>
      </c>
      <c r="H195" s="20" t="s">
        <v>9</v>
      </c>
      <c r="I195" s="20" t="s">
        <v>107</v>
      </c>
      <c r="J195" s="20" t="s">
        <v>94</v>
      </c>
      <c r="K195" s="20" t="s">
        <v>108</v>
      </c>
      <c r="L195" s="20">
        <v>1663.1099999999899</v>
      </c>
      <c r="M195" s="20">
        <v>6.6647595975018806E-2</v>
      </c>
      <c r="N195" s="20">
        <v>0.309148293753995</v>
      </c>
      <c r="O195" s="20">
        <v>1389.5</v>
      </c>
      <c r="P195" s="20">
        <v>988.78817699699403</v>
      </c>
      <c r="Q195" s="20">
        <v>499.623289969231</v>
      </c>
      <c r="R195" s="20">
        <v>791.96156853290995</v>
      </c>
      <c r="S195" s="20">
        <v>2127.4894292214699</v>
      </c>
      <c r="T195" s="20">
        <v>15</v>
      </c>
      <c r="U195" s="20">
        <v>0.2</v>
      </c>
      <c r="V195" s="20">
        <v>3.2353518977584601</v>
      </c>
      <c r="W195" s="20">
        <v>3.5980920818417301</v>
      </c>
      <c r="X195" s="20">
        <v>3.9323689930532999</v>
      </c>
      <c r="Y195" s="20">
        <v>4.24843052947773</v>
      </c>
      <c r="Z195" s="20">
        <v>4.5493510662872696</v>
      </c>
      <c r="AA195" s="20">
        <v>4.8244631448799398</v>
      </c>
      <c r="AB195" s="20">
        <v>5.1117512405610102</v>
      </c>
      <c r="AC195" s="20">
        <v>5.4238249571355297</v>
      </c>
      <c r="AD195" s="20">
        <v>5.7647914868298198</v>
      </c>
      <c r="AE195" s="20">
        <v>6.1369491227594599</v>
      </c>
      <c r="AF195" t="str">
        <f t="shared" si="14"/>
        <v>Residential</v>
      </c>
      <c r="AG195" t="str">
        <f>tbl_Data_old[[#This Row],[All_Meas_Name_Append]]</f>
        <v>Heat Pump Water Heater 50 Gallons- CEE Advanced Tier</v>
      </c>
      <c r="AH195">
        <f>AVERAGEIFS('3. Incentive Adjustment'!G:G,'3. Incentive Adjustment'!A:A,tbl_Data_old[[#This Row],[Trimmed Sector]],'3. Incentive Adjustment'!B:B,tbl_Data_old[[#This Row],[Trimmed Measure Name]])</f>
        <v>0.46049099596140497</v>
      </c>
      <c r="AI195">
        <f>$AH195*tbl_Data_old[[#This Row],[2025 ]]</f>
        <v>1.489850417684415</v>
      </c>
      <c r="AJ195">
        <f>$AH195*tbl_Data_old[[#This Row],[2026 ]]</f>
        <v>1.6568890063281434</v>
      </c>
      <c r="AK195">
        <f>$AH195*tbl_Data_old[[#This Row],[2027 ]]</f>
        <v>1.8108205140988614</v>
      </c>
      <c r="AL195">
        <f>$AH195*tbl_Data_old[[#This Row],[2028 ]]</f>
        <v>1.9563640057920391</v>
      </c>
      <c r="AM195">
        <f>$AH195*tbl_Data_old[[#This Row],[2029 ]]</f>
        <v>2.0949352034927045</v>
      </c>
      <c r="AN195">
        <f>$AH195*tbl_Data_old[[#This Row],[2030 ]]</f>
        <v>2.2216218385648556</v>
      </c>
      <c r="AO195">
        <f>$AH195*tbl_Data_old[[#This Row],[2031 ]]</f>
        <v>2.3539154198728869</v>
      </c>
      <c r="AP195">
        <f>$AH195*tbl_Data_old[[#This Row],[2032 ]]</f>
        <v>2.4976225564316645</v>
      </c>
      <c r="AQ195">
        <f>$AH195*tbl_Data_old[[#This Row],[2033 ]]</f>
        <v>2.6546345732800924</v>
      </c>
      <c r="AR195">
        <f>$AH195*tbl_Data_old[[#This Row],[2034 ]]</f>
        <v>2.8260098137039744</v>
      </c>
      <c r="AS195">
        <f>SUM(tbl_Data_old[[#This Row],[Adjusted 2025]:[Adjusted 2034]])</f>
        <v>21.56266334924964</v>
      </c>
      <c r="AT195" s="3">
        <f>AVERAGEIFS('3. Incentive Adjustment'!F:F,'3. Incentive Adjustment'!A:A,tbl_Data_old[[#This Row],[Trimmed Sector]],'3. Incentive Adjustment'!B:B,tbl_Data_old[[#This Row],[Trimmed Measure Name]])</f>
        <v>500</v>
      </c>
      <c r="AU195" s="3">
        <f>IFERROR(VLOOKUP(tbl_Data_old[[#This Row],[All_Meas_Name_Append]],'IRA Tax Credits'!$A$3:$D$46,4,0),0)</f>
        <v>1666.6666666666667</v>
      </c>
      <c r="AV195" s="4">
        <f>tbl_Data_old[[#This Row],[Adj. per unit Incentive ($)]]/tbl_Data_old[[#This Row],[kWh Savings]]*tbl_Data_old[[#This Row],[Sum of Annuals]]</f>
        <v>6.4826329434763101</v>
      </c>
      <c r="AW195" s="4">
        <f>IFERROR(VLOOKUP(tbl_Data_old[[#This Row],[All_Programs]],'1. Set Program Names'!$B$2:$D$15,3,0)*tbl_Data_old[[#This Row],[Sum of Annuals]],"")</f>
        <v>9.7166231966476371</v>
      </c>
      <c r="AX195" s="4">
        <f>tbl_Data_old[[#This Row],[per unit IRA tax ($)]]/tbl_Data_old[[#This Row],[kWh Savings]]*tbl_Data_old[[#This Row],[Sum of Annuals]]</f>
        <v>21.608776478254367</v>
      </c>
      <c r="AY195" s="4">
        <f>tbl_Data_old[[#This Row],[Avoided Costs ($/unit)]]/tbl_Data_old[[#This Row],[kWh Savings]]*tbl_Data_old[[#This Row],[Sum of Annuals]]</f>
        <v>10.267992308277226</v>
      </c>
      <c r="AZ195" s="4">
        <f>tbl_Data_old[[#This Row],[Lost Revenue ($/unit)]]/tbl_Data_old[[#This Row],[kWh Savings]]*tbl_Data_old[[#This Row],[Sum of Annuals]]</f>
        <v>27.58346612153742</v>
      </c>
      <c r="BA195" s="4">
        <f>tbl_Data_old[[#This Row],[Incremental Cost ($/unit)]]/tbl_Data_old[[#This Row],[kWh Savings]]*tbl_Data_old[[#This Row],[Sum of Annuals]]</f>
        <v>18.015236949920663</v>
      </c>
      <c r="BB195">
        <f>ROUNDUP(tbl_Data_old[[#This Row],[Adjusted 2025]]/$L195,0)</f>
        <v>1</v>
      </c>
      <c r="BC195">
        <f>ROUNDUP(tbl_Data_old[[#This Row],[Adjusted 2026]]/$L195,0)</f>
        <v>1</v>
      </c>
      <c r="BD195">
        <f>ROUNDUP(tbl_Data_old[[#This Row],[Adjusted 2027]]/$L195,0)</f>
        <v>1</v>
      </c>
      <c r="BE195">
        <f>ROUNDUP(tbl_Data_old[[#This Row],[Adjusted 2028]]/$L195,0)</f>
        <v>1</v>
      </c>
      <c r="BF195">
        <f>ROUNDUP(tbl_Data_old[[#This Row],[Adjusted 2029]]/$L195,0)</f>
        <v>1</v>
      </c>
      <c r="BG195">
        <f>ROUNDUP(tbl_Data_old[[#This Row],[Adjusted 2030]]/$L195,0)</f>
        <v>1</v>
      </c>
      <c r="BH195">
        <f>ROUNDUP(tbl_Data_old[[#This Row],[Adjusted 2031]]/$L195,0)</f>
        <v>1</v>
      </c>
      <c r="BI195">
        <f>ROUNDUP(tbl_Data_old[[#This Row],[Adjusted 2032]]/$L195,0)</f>
        <v>1</v>
      </c>
      <c r="BJ195">
        <f>ROUNDUP(tbl_Data_old[[#This Row],[Adjusted 2033]]/$L195,0)</f>
        <v>1</v>
      </c>
      <c r="BK195">
        <f>ROUNDUP(tbl_Data_old[[#This Row],[Adjusted 2034]]/$L195,0)</f>
        <v>1</v>
      </c>
      <c r="BL195" s="3">
        <f t="shared" si="13"/>
        <v>0.97268127116019987</v>
      </c>
      <c r="BM195" s="3">
        <f t="shared" si="13"/>
        <v>1.0817360492816928</v>
      </c>
      <c r="BN195" s="3">
        <f t="shared" si="13"/>
        <v>1.1822335843850749</v>
      </c>
      <c r="BO195" s="3">
        <f t="shared" si="13"/>
        <v>1.2772548206305525</v>
      </c>
      <c r="BP195" s="3">
        <f t="shared" si="13"/>
        <v>1.3677240429939383</v>
      </c>
      <c r="BQ195" s="3">
        <f t="shared" si="13"/>
        <v>1.4504341699827339</v>
      </c>
      <c r="BR195" s="3">
        <f t="shared" si="13"/>
        <v>1.5368049138544779</v>
      </c>
      <c r="BS195" s="3">
        <f t="shared" si="13"/>
        <v>1.6306272456829563</v>
      </c>
      <c r="BT195" s="3">
        <f t="shared" si="13"/>
        <v>1.7331359581837207</v>
      </c>
      <c r="BU195" s="3">
        <f t="shared" si="13"/>
        <v>1.8450220138053097</v>
      </c>
      <c r="BV195">
        <f>VLOOKUP($H195,'1. Set Program Names'!$B$2:$D$15,3,0)*V195</f>
        <v>1.4579226503655345</v>
      </c>
      <c r="BW195">
        <f>VLOOKUP($H195,'1. Set Program Names'!$B$2:$D$15,3,0)*W195</f>
        <v>1.6213815714613085</v>
      </c>
      <c r="BX195">
        <f>VLOOKUP($H195,'1. Set Program Names'!$B$2:$D$15,3,0)*X195</f>
        <v>1.7720142988277583</v>
      </c>
      <c r="BY195">
        <f>VLOOKUP($H195,'1. Set Program Names'!$B$2:$D$15,3,0)*Y195</f>
        <v>1.9144387668374849</v>
      </c>
      <c r="BZ195">
        <f>VLOOKUP($H195,'1. Set Program Names'!$B$2:$D$15,3,0)*Z195</f>
        <v>2.0500403583919429</v>
      </c>
      <c r="CA195">
        <f>VLOOKUP($H195,'1. Set Program Names'!$B$2:$D$15,3,0)*AA195</f>
        <v>2.1740120756716874</v>
      </c>
      <c r="CB195">
        <f>VLOOKUP($H195,'1. Set Program Names'!$B$2:$D$15,3,0)*AB195</f>
        <v>2.3034705813025589</v>
      </c>
      <c r="CC195">
        <f>VLOOKUP($H195,'1. Set Program Names'!$B$2:$D$15,3,0)*AC195</f>
        <v>2.4440980476047462</v>
      </c>
      <c r="CD195">
        <f>VLOOKUP($H195,'1. Set Program Names'!$B$2:$D$15,3,0)*AD195</f>
        <v>2.5977452681751716</v>
      </c>
      <c r="CE195">
        <f>VLOOKUP($H195,'1. Set Program Names'!$B$2:$D$15,3,0)*AE195</f>
        <v>2.7654479058091872</v>
      </c>
    </row>
    <row r="196" spans="1:83" x14ac:dyDescent="0.25">
      <c r="A196" s="20" t="s">
        <v>116</v>
      </c>
      <c r="B196" s="20" t="s">
        <v>88</v>
      </c>
      <c r="C196" s="20" t="s">
        <v>89</v>
      </c>
      <c r="D196" s="20" t="s">
        <v>90</v>
      </c>
      <c r="E196" s="20" t="s">
        <v>91</v>
      </c>
      <c r="F196" s="20" t="s">
        <v>90</v>
      </c>
      <c r="G196" s="20" t="s">
        <v>92</v>
      </c>
      <c r="H196" s="20" t="s">
        <v>9</v>
      </c>
      <c r="I196" s="20" t="s">
        <v>109</v>
      </c>
      <c r="J196" s="20" t="s">
        <v>94</v>
      </c>
      <c r="K196" s="20" t="s">
        <v>95</v>
      </c>
      <c r="L196" s="20">
        <v>1590.11499999999</v>
      </c>
      <c r="M196" s="20">
        <v>6.3722388822036402E-2</v>
      </c>
      <c r="N196" s="20">
        <v>0.29557957027655002</v>
      </c>
      <c r="O196" s="20">
        <v>1389.5</v>
      </c>
      <c r="P196" s="20">
        <v>1006.47372867305</v>
      </c>
      <c r="Q196" s="20">
        <v>477.694492685044</v>
      </c>
      <c r="R196" s="20">
        <v>757.20185047754296</v>
      </c>
      <c r="S196" s="20">
        <v>2034.1125083407001</v>
      </c>
      <c r="T196" s="20">
        <v>15</v>
      </c>
      <c r="U196" s="20">
        <v>0.2</v>
      </c>
      <c r="V196" s="20">
        <v>4.6235535078983103</v>
      </c>
      <c r="W196" s="20">
        <v>5.1398274125378904</v>
      </c>
      <c r="X196" s="20">
        <v>5.6152678858813898</v>
      </c>
      <c r="Y196" s="20">
        <v>6.0645900180257399</v>
      </c>
      <c r="Z196" s="20">
        <v>6.49223920543088</v>
      </c>
      <c r="AA196" s="20">
        <v>6.8830400170333599</v>
      </c>
      <c r="AB196" s="20">
        <v>7.2912177938897402</v>
      </c>
      <c r="AC196" s="20">
        <v>7.7347569237645502</v>
      </c>
      <c r="AD196" s="20">
        <v>8.2195052200574192</v>
      </c>
      <c r="AE196" s="20">
        <v>8.7487297116510092</v>
      </c>
      <c r="AF196" t="str">
        <f t="shared" si="14"/>
        <v>Residential</v>
      </c>
      <c r="AG196" t="str">
        <f>tbl_Data_old[[#This Row],[All_Meas_Name_Append]]</f>
        <v>Heat Pump Water Heater 50 Gallons-ENERGY STAR</v>
      </c>
      <c r="AH196">
        <f>AVERAGEIFS('3. Incentive Adjustment'!G:G,'3. Incentive Adjustment'!A:A,tbl_Data_old[[#This Row],[Trimmed Sector]],'3. Incentive Adjustment'!B:B,tbl_Data_old[[#This Row],[Trimmed Measure Name]])</f>
        <v>0.43153525594917136</v>
      </c>
      <c r="AI196">
        <f>$AH196*tbl_Data_old[[#This Row],[2025 ]]</f>
        <v>1.9952263464255864</v>
      </c>
      <c r="AJ196">
        <f>$AH196*tbl_Data_old[[#This Row],[2026 ]]</f>
        <v>2.2180167380041058</v>
      </c>
      <c r="AK196">
        <f>$AH196*tbl_Data_old[[#This Row],[2027 ]]</f>
        <v>2.423186064356988</v>
      </c>
      <c r="AL196">
        <f>$AH196*tbl_Data_old[[#This Row],[2028 ]]</f>
        <v>2.6170844056555276</v>
      </c>
      <c r="AM196">
        <f>$AH196*tbl_Data_old[[#This Row],[2029 ]]</f>
        <v>2.8016301071988599</v>
      </c>
      <c r="AN196">
        <f>$AH196*tbl_Data_old[[#This Row],[2030 ]]</f>
        <v>2.9702744354588799</v>
      </c>
      <c r="AO196">
        <f>$AH196*tbl_Data_old[[#This Row],[2031 ]]</f>
        <v>3.1464175368673617</v>
      </c>
      <c r="AP196">
        <f>$AH196*tbl_Data_old[[#This Row],[2032 ]]</f>
        <v>3.3378203088013603</v>
      </c>
      <c r="AQ196">
        <f>$AH196*tbl_Data_old[[#This Row],[2033 ]]</f>
        <v>3.5470062889130283</v>
      </c>
      <c r="AR196">
        <f>$AH196*tbl_Data_old[[#This Row],[2034 ]]</f>
        <v>3.7753853153474384</v>
      </c>
      <c r="AS196">
        <f>SUM(tbl_Data_old[[#This Row],[Adjusted 2025]:[Adjusted 2034]])</f>
        <v>28.832047547029134</v>
      </c>
      <c r="AT196" s="3">
        <f>AVERAGEIFS('3. Incentive Adjustment'!F:F,'3. Incentive Adjustment'!A:A,tbl_Data_old[[#This Row],[Trimmed Sector]],'3. Incentive Adjustment'!B:B,tbl_Data_old[[#This Row],[Trimmed Measure Name]])</f>
        <v>500</v>
      </c>
      <c r="AU196" s="3">
        <f>IFERROR(VLOOKUP(tbl_Data_old[[#This Row],[All_Meas_Name_Append]],'IRA Tax Credits'!$A$3:$D$46,4,0),0)</f>
        <v>1666.6666666666667</v>
      </c>
      <c r="AV196" s="4">
        <f>tbl_Data_old[[#This Row],[Adj. per unit Incentive ($)]]/tbl_Data_old[[#This Row],[kWh Savings]]*tbl_Data_old[[#This Row],[Sum of Annuals]]</f>
        <v>9.0660258997082952</v>
      </c>
      <c r="AW196" s="4">
        <f>IFERROR(VLOOKUP(tbl_Data_old[[#This Row],[All_Programs]],'1. Set Program Names'!$B$2:$D$15,3,0)*tbl_Data_old[[#This Row],[Sum of Annuals]],"")</f>
        <v>12.99237192849184</v>
      </c>
      <c r="AX196" s="4">
        <f>tbl_Data_old[[#This Row],[per unit IRA tax ($)]]/tbl_Data_old[[#This Row],[kWh Savings]]*tbl_Data_old[[#This Row],[Sum of Annuals]]</f>
        <v>30.220086332360985</v>
      </c>
      <c r="AY196" s="4">
        <f>tbl_Data_old[[#This Row],[Avoided Costs ($/unit)]]/tbl_Data_old[[#This Row],[kWh Savings]]*tbl_Data_old[[#This Row],[Sum of Annuals]]</f>
        <v>13.729623175472907</v>
      </c>
      <c r="AZ196" s="4">
        <f>tbl_Data_old[[#This Row],[Lost Revenue ($/unit)]]/tbl_Data_old[[#This Row],[kWh Savings]]*tbl_Data_old[[#This Row],[Sum of Annuals]]</f>
        <v>36.882633367074796</v>
      </c>
      <c r="BA196" s="4">
        <f>tbl_Data_old[[#This Row],[Incremental Cost ($/unit)]]/tbl_Data_old[[#This Row],[kWh Savings]]*tbl_Data_old[[#This Row],[Sum of Annuals]]</f>
        <v>25.194485975289357</v>
      </c>
      <c r="BB196">
        <f>ROUNDUP(tbl_Data_old[[#This Row],[Adjusted 2025]]/$L196,0)</f>
        <v>1</v>
      </c>
      <c r="BC196">
        <f>ROUNDUP(tbl_Data_old[[#This Row],[Adjusted 2026]]/$L196,0)</f>
        <v>1</v>
      </c>
      <c r="BD196">
        <f>ROUNDUP(tbl_Data_old[[#This Row],[Adjusted 2027]]/$L196,0)</f>
        <v>1</v>
      </c>
      <c r="BE196">
        <f>ROUNDUP(tbl_Data_old[[#This Row],[Adjusted 2028]]/$L196,0)</f>
        <v>1</v>
      </c>
      <c r="BF196">
        <f>ROUNDUP(tbl_Data_old[[#This Row],[Adjusted 2029]]/$L196,0)</f>
        <v>1</v>
      </c>
      <c r="BG196">
        <f>ROUNDUP(tbl_Data_old[[#This Row],[Adjusted 2030]]/$L196,0)</f>
        <v>1</v>
      </c>
      <c r="BH196">
        <f>ROUNDUP(tbl_Data_old[[#This Row],[Adjusted 2031]]/$L196,0)</f>
        <v>1</v>
      </c>
      <c r="BI196">
        <f>ROUNDUP(tbl_Data_old[[#This Row],[Adjusted 2032]]/$L196,0)</f>
        <v>1</v>
      </c>
      <c r="BJ196">
        <f>ROUNDUP(tbl_Data_old[[#This Row],[Adjusted 2033]]/$L196,0)</f>
        <v>1</v>
      </c>
      <c r="BK196">
        <f>ROUNDUP(tbl_Data_old[[#This Row],[Adjusted 2034]]/$L196,0)</f>
        <v>1</v>
      </c>
      <c r="BL196" s="3">
        <f t="shared" si="13"/>
        <v>1.4538424918632737</v>
      </c>
      <c r="BM196" s="3">
        <f t="shared" si="13"/>
        <v>1.6161810348741827</v>
      </c>
      <c r="BN196" s="3">
        <f t="shared" si="13"/>
        <v>1.7656798048824849</v>
      </c>
      <c r="BO196" s="3">
        <f t="shared" si="13"/>
        <v>1.9069658540501089</v>
      </c>
      <c r="BP196" s="3">
        <f t="shared" si="13"/>
        <v>2.0414370046917738</v>
      </c>
      <c r="BQ196" s="3">
        <f t="shared" si="13"/>
        <v>2.1643214538047255</v>
      </c>
      <c r="BR196" s="3">
        <f t="shared" si="13"/>
        <v>2.2926699622007796</v>
      </c>
      <c r="BS196" s="3">
        <f t="shared" si="13"/>
        <v>2.4321375887167274</v>
      </c>
      <c r="BT196" s="3">
        <f t="shared" si="13"/>
        <v>2.5845631353887835</v>
      </c>
      <c r="BU196" s="3">
        <f t="shared" si="13"/>
        <v>2.7509738954890253</v>
      </c>
      <c r="BV196">
        <f>VLOOKUP($H196,'1. Set Program Names'!$B$2:$D$15,3,0)*V196</f>
        <v>2.0834776547837555</v>
      </c>
      <c r="BW196">
        <f>VLOOKUP($H196,'1. Set Program Names'!$B$2:$D$15,3,0)*W196</f>
        <v>2.3161223386242309</v>
      </c>
      <c r="BX196">
        <f>VLOOKUP($H196,'1. Set Program Names'!$B$2:$D$15,3,0)*X196</f>
        <v>2.5303665559126922</v>
      </c>
      <c r="BY196">
        <f>VLOOKUP($H196,'1. Set Program Names'!$B$2:$D$15,3,0)*Y196</f>
        <v>2.7328412586544988</v>
      </c>
      <c r="BZ196">
        <f>VLOOKUP($H196,'1. Set Program Names'!$B$2:$D$15,3,0)*Z196</f>
        <v>2.9255496429141314</v>
      </c>
      <c r="CA196">
        <f>VLOOKUP($H196,'1. Set Program Names'!$B$2:$D$15,3,0)*AA196</f>
        <v>3.1016533166478086</v>
      </c>
      <c r="CB196">
        <f>VLOOKUP($H196,'1. Set Program Names'!$B$2:$D$15,3,0)*AB196</f>
        <v>3.2855874434632137</v>
      </c>
      <c r="CC196">
        <f>VLOOKUP($H196,'1. Set Program Names'!$B$2:$D$15,3,0)*AC196</f>
        <v>3.4854561947467819</v>
      </c>
      <c r="CD196">
        <f>VLOOKUP($H196,'1. Set Program Names'!$B$2:$D$15,3,0)*AD196</f>
        <v>3.7038947273160256</v>
      </c>
      <c r="CE196">
        <f>VLOOKUP($H196,'1. Set Program Names'!$B$2:$D$15,3,0)*AE196</f>
        <v>3.9423752381862784</v>
      </c>
    </row>
    <row r="197" spans="1:83" x14ac:dyDescent="0.25">
      <c r="A197" s="20" t="s">
        <v>116</v>
      </c>
      <c r="B197" s="20" t="s">
        <v>88</v>
      </c>
      <c r="C197" s="20" t="s">
        <v>89</v>
      </c>
      <c r="D197" s="20" t="s">
        <v>90</v>
      </c>
      <c r="E197" s="20" t="s">
        <v>91</v>
      </c>
      <c r="F197" s="20" t="s">
        <v>90</v>
      </c>
      <c r="G197" s="20" t="s">
        <v>92</v>
      </c>
      <c r="H197" s="20" t="s">
        <v>9</v>
      </c>
      <c r="I197" s="20" t="s">
        <v>110</v>
      </c>
      <c r="J197" s="20" t="s">
        <v>94</v>
      </c>
      <c r="K197" s="20" t="s">
        <v>108</v>
      </c>
      <c r="L197" s="20">
        <v>461.909999999999</v>
      </c>
      <c r="M197" s="20">
        <v>1.8510616289253799E-2</v>
      </c>
      <c r="N197" s="20">
        <v>8.5862443475120898E-2</v>
      </c>
      <c r="O197" s="20">
        <v>1729.5</v>
      </c>
      <c r="P197" s="20">
        <v>1631.9996867488601</v>
      </c>
      <c r="Q197" s="20">
        <v>138.764720234794</v>
      </c>
      <c r="R197" s="20">
        <v>219.958372038552</v>
      </c>
      <c r="S197" s="20">
        <v>590.88613636602201</v>
      </c>
      <c r="T197" s="20">
        <v>15</v>
      </c>
      <c r="U197" s="20">
        <v>0.2</v>
      </c>
      <c r="V197" s="20">
        <v>2.48711855099197</v>
      </c>
      <c r="W197" s="20">
        <v>2.7664579790221899</v>
      </c>
      <c r="X197" s="20">
        <v>3.02394941596142</v>
      </c>
      <c r="Y197" s="20">
        <v>3.26745395760511</v>
      </c>
      <c r="Z197" s="20">
        <v>3.4993226565878799</v>
      </c>
      <c r="AA197" s="20">
        <v>3.7113390861890698</v>
      </c>
      <c r="AB197" s="20">
        <v>3.9327161908293</v>
      </c>
      <c r="AC197" s="20">
        <v>4.1731553809056701</v>
      </c>
      <c r="AD197" s="20">
        <v>4.4358187445667303</v>
      </c>
      <c r="AE197" s="20">
        <v>4.7224768148557601</v>
      </c>
      <c r="AF197" t="str">
        <f t="shared" si="14"/>
        <v>Residential</v>
      </c>
      <c r="AG197" t="str">
        <f>tbl_Data_old[[#This Row],[All_Meas_Name_Append]]</f>
        <v>Heat Pump Water Heater 80 Gallons-ENERGY STAR</v>
      </c>
      <c r="AH197">
        <f>AVERAGEIFS('3. Incentive Adjustment'!G:G,'3. Incentive Adjustment'!A:A,tbl_Data_old[[#This Row],[Trimmed Sector]],'3. Incentive Adjustment'!B:B,tbl_Data_old[[#This Row],[Trimmed Measure Name]])</f>
        <v>1.5551101216712928E-3</v>
      </c>
      <c r="AI197">
        <f>$AH197*tbl_Data_old[[#This Row],[2025 ]]</f>
        <v>3.8677432324440517E-3</v>
      </c>
      <c r="AJ197">
        <f>$AH197*tbl_Data_old[[#This Row],[2026 ]]</f>
        <v>4.3021468043557163E-3</v>
      </c>
      <c r="AK197">
        <f>$AH197*tbl_Data_old[[#This Row],[2027 ]]</f>
        <v>4.7025743441835985E-3</v>
      </c>
      <c r="AL197">
        <f>$AH197*tbl_Data_old[[#This Row],[2028 ]]</f>
        <v>5.0812507215666301E-3</v>
      </c>
      <c r="AM197">
        <f>$AH197*tbl_Data_old[[#This Row],[2029 ]]</f>
        <v>5.4418320822534894E-3</v>
      </c>
      <c r="AN197">
        <f>$AH197*tbl_Data_old[[#This Row],[2030 ]]</f>
        <v>5.771540977886909E-3</v>
      </c>
      <c r="AO197">
        <f>$AH197*tbl_Data_old[[#This Row],[2031 ]]</f>
        <v>6.1158067540192157E-3</v>
      </c>
      <c r="AP197">
        <f>$AH197*tbl_Data_old[[#This Row],[2032 ]]</f>
        <v>6.4897161721534265E-3</v>
      </c>
      <c r="AQ197">
        <f>$AH197*tbl_Data_old[[#This Row],[2033 ]]</f>
        <v>6.8981866275749692E-3</v>
      </c>
      <c r="AR197">
        <f>$AH197*tbl_Data_old[[#This Row],[2034 ]]</f>
        <v>7.3439714941402005E-3</v>
      </c>
      <c r="AS197">
        <f>SUM(tbl_Data_old[[#This Row],[Adjusted 2025]:[Adjusted 2034]])</f>
        <v>5.6014769210578214E-2</v>
      </c>
      <c r="AT197" s="3">
        <f>AVERAGEIFS('3. Incentive Adjustment'!F:F,'3. Incentive Adjustment'!A:A,tbl_Data_old[[#This Row],[Trimmed Sector]],'3. Incentive Adjustment'!B:B,tbl_Data_old[[#This Row],[Trimmed Measure Name]])</f>
        <v>500</v>
      </c>
      <c r="AU197" s="3">
        <f>IFERROR(VLOOKUP(tbl_Data_old[[#This Row],[All_Meas_Name_Append]],'IRA Tax Credits'!$A$3:$D$46,4,0),0)</f>
        <v>1666.6666666666667</v>
      </c>
      <c r="AV197" s="4">
        <f>tbl_Data_old[[#This Row],[Adj. per unit Incentive ($)]]/tbl_Data_old[[#This Row],[kWh Savings]]*tbl_Data_old[[#This Row],[Sum of Annuals]]</f>
        <v>6.0633856390398928E-2</v>
      </c>
      <c r="AW197" s="4">
        <f>IFERROR(VLOOKUP(tbl_Data_old[[#This Row],[All_Programs]],'1. Set Program Names'!$B$2:$D$15,3,0)*tbl_Data_old[[#This Row],[Sum of Annuals]],"")</f>
        <v>2.5241520356311102E-2</v>
      </c>
      <c r="AX197" s="4">
        <f>tbl_Data_old[[#This Row],[per unit IRA tax ($)]]/tbl_Data_old[[#This Row],[kWh Savings]]*tbl_Data_old[[#This Row],[Sum of Annuals]]</f>
        <v>0.20211285463466308</v>
      </c>
      <c r="AY197" s="4">
        <f>tbl_Data_old[[#This Row],[Avoided Costs ($/unit)]]/tbl_Data_old[[#This Row],[kWh Savings]]*tbl_Data_old[[#This Row],[Sum of Annuals]]</f>
        <v>2.6673848684103003E-2</v>
      </c>
      <c r="AZ197" s="4">
        <f>tbl_Data_old[[#This Row],[Lost Revenue ($/unit)]]/tbl_Data_old[[#This Row],[kWh Savings]]*tbl_Data_old[[#This Row],[Sum of Annuals]]</f>
        <v>7.1655410270990108E-2</v>
      </c>
      <c r="BA197" s="4">
        <f>tbl_Data_old[[#This Row],[Incremental Cost ($/unit)]]/tbl_Data_old[[#This Row],[kWh Savings]]*tbl_Data_old[[#This Row],[Sum of Annuals]]</f>
        <v>0.20973250925438988</v>
      </c>
      <c r="BB197">
        <f>ROUNDUP(tbl_Data_old[[#This Row],[Adjusted 2025]]/$L197,0)</f>
        <v>1</v>
      </c>
      <c r="BC197">
        <f>ROUNDUP(tbl_Data_old[[#This Row],[Adjusted 2026]]/$L197,0)</f>
        <v>1</v>
      </c>
      <c r="BD197">
        <f>ROUNDUP(tbl_Data_old[[#This Row],[Adjusted 2027]]/$L197,0)</f>
        <v>1</v>
      </c>
      <c r="BE197">
        <f>ROUNDUP(tbl_Data_old[[#This Row],[Adjusted 2028]]/$L197,0)</f>
        <v>1</v>
      </c>
      <c r="BF197">
        <f>ROUNDUP(tbl_Data_old[[#This Row],[Adjusted 2029]]/$L197,0)</f>
        <v>1</v>
      </c>
      <c r="BG197">
        <f>ROUNDUP(tbl_Data_old[[#This Row],[Adjusted 2030]]/$L197,0)</f>
        <v>1</v>
      </c>
      <c r="BH197">
        <f>ROUNDUP(tbl_Data_old[[#This Row],[Adjusted 2031]]/$L197,0)</f>
        <v>1</v>
      </c>
      <c r="BI197">
        <f>ROUNDUP(tbl_Data_old[[#This Row],[Adjusted 2032]]/$L197,0)</f>
        <v>1</v>
      </c>
      <c r="BJ197">
        <f>ROUNDUP(tbl_Data_old[[#This Row],[Adjusted 2033]]/$L197,0)</f>
        <v>1</v>
      </c>
      <c r="BK197">
        <f>ROUNDUP(tbl_Data_old[[#This Row],[Adjusted 2034]]/$L197,0)</f>
        <v>1</v>
      </c>
      <c r="BL197" s="3">
        <f t="shared" si="13"/>
        <v>2.6922112002251257</v>
      </c>
      <c r="BM197" s="3">
        <f t="shared" si="13"/>
        <v>2.9945855026111103</v>
      </c>
      <c r="BN197" s="3">
        <f t="shared" si="13"/>
        <v>3.2733101859252094</v>
      </c>
      <c r="BO197" s="3">
        <f t="shared" si="13"/>
        <v>3.5368945872627973</v>
      </c>
      <c r="BP197" s="3">
        <f t="shared" si="13"/>
        <v>3.7878836316467361</v>
      </c>
      <c r="BQ197" s="3">
        <f t="shared" si="13"/>
        <v>4.0173833497749323</v>
      </c>
      <c r="BR197" s="3">
        <f t="shared" si="13"/>
        <v>4.2570156424728935</v>
      </c>
      <c r="BS197" s="3">
        <f t="shared" si="13"/>
        <v>4.5172819173710028</v>
      </c>
      <c r="BT197" s="3">
        <f t="shared" si="13"/>
        <v>4.801605014577234</v>
      </c>
      <c r="BU197" s="3">
        <f t="shared" si="13"/>
        <v>5.1119014687447457</v>
      </c>
      <c r="BV197">
        <f>VLOOKUP($H197,'1. Set Program Names'!$B$2:$D$15,3,0)*V197</f>
        <v>1.1207518020366534</v>
      </c>
      <c r="BW197">
        <f>VLOOKUP($H197,'1. Set Program Names'!$B$2:$D$15,3,0)*W197</f>
        <v>1.2466284584669998</v>
      </c>
      <c r="BX197">
        <f>VLOOKUP($H197,'1. Set Program Names'!$B$2:$D$15,3,0)*X197</f>
        <v>1.362659916574837</v>
      </c>
      <c r="BY197">
        <f>VLOOKUP($H197,'1. Set Program Names'!$B$2:$D$15,3,0)*Y197</f>
        <v>1.4723885637044349</v>
      </c>
      <c r="BZ197">
        <f>VLOOKUP($H197,'1. Set Program Names'!$B$2:$D$15,3,0)*Z197</f>
        <v>1.5768738372822413</v>
      </c>
      <c r="CA197">
        <f>VLOOKUP($H197,'1. Set Program Names'!$B$2:$D$15,3,0)*AA197</f>
        <v>1.6724132298223109</v>
      </c>
      <c r="CB197">
        <f>VLOOKUP($H197,'1. Set Program Names'!$B$2:$D$15,3,0)*AB197</f>
        <v>1.7721707539886753</v>
      </c>
      <c r="CC197">
        <f>VLOOKUP($H197,'1. Set Program Names'!$B$2:$D$15,3,0)*AC197</f>
        <v>1.8805180844570393</v>
      </c>
      <c r="CD197">
        <f>VLOOKUP($H197,'1. Set Program Names'!$B$2:$D$15,3,0)*AD197</f>
        <v>1.9988801295773775</v>
      </c>
      <c r="CE197">
        <f>VLOOKUP($H197,'1. Set Program Names'!$B$2:$D$15,3,0)*AE197</f>
        <v>2.1280547315345872</v>
      </c>
    </row>
    <row r="198" spans="1:83" x14ac:dyDescent="0.25">
      <c r="A198" s="20" t="s">
        <v>116</v>
      </c>
      <c r="B198" s="20" t="s">
        <v>88</v>
      </c>
      <c r="C198" s="20" t="s">
        <v>89</v>
      </c>
      <c r="D198" s="20" t="s">
        <v>90</v>
      </c>
      <c r="E198" s="20" t="s">
        <v>91</v>
      </c>
      <c r="F198" s="20" t="s">
        <v>90</v>
      </c>
      <c r="G198" s="20" t="s">
        <v>92</v>
      </c>
      <c r="H198" s="20" t="s">
        <v>9</v>
      </c>
      <c r="I198" s="20" t="s">
        <v>300</v>
      </c>
      <c r="J198" s="20" t="s">
        <v>120</v>
      </c>
      <c r="K198" s="20" t="s">
        <v>121</v>
      </c>
      <c r="L198" s="20">
        <v>1988.02171595288</v>
      </c>
      <c r="M198" s="20">
        <v>0.57653488407092901</v>
      </c>
      <c r="N198" s="20">
        <v>0.213799538654902</v>
      </c>
      <c r="O198" s="53">
        <v>1475.381509522</v>
      </c>
      <c r="P198" s="20">
        <v>647.28493209175997</v>
      </c>
      <c r="Q198" s="20">
        <v>597.23166252061401</v>
      </c>
      <c r="R198" s="20">
        <v>1282.4247459138801</v>
      </c>
      <c r="S198" s="20">
        <v>3005.0463968047102</v>
      </c>
      <c r="T198" s="20">
        <v>20</v>
      </c>
      <c r="U198" s="20">
        <v>1</v>
      </c>
      <c r="V198" s="20">
        <v>21.846936654712199</v>
      </c>
      <c r="W198" s="20">
        <v>23.286230445899498</v>
      </c>
      <c r="X198" s="20">
        <v>24.012570753859698</v>
      </c>
      <c r="Y198" s="20">
        <v>24.6173904123951</v>
      </c>
      <c r="Z198" s="20">
        <v>25.411457617589399</v>
      </c>
      <c r="AA198" s="20">
        <v>26.246147644169099</v>
      </c>
      <c r="AB198" s="20">
        <v>27.372733016754299</v>
      </c>
      <c r="AC198" s="20">
        <v>28.665202403892099</v>
      </c>
      <c r="AD198" s="20">
        <v>30.1720570384167</v>
      </c>
      <c r="AE198" s="20">
        <v>31.856131878916301</v>
      </c>
      <c r="AF198" t="str">
        <f t="shared" si="14"/>
        <v>Residential</v>
      </c>
      <c r="AG198" t="str">
        <f>tbl_Data_old[[#This Row],[All_Meas_Name_Append]]</f>
        <v>New Construction - Whole Home Improvements - Tier 1</v>
      </c>
      <c r="AH198">
        <f>AVERAGEIFS('3. Incentive Adjustment'!G:G,'3. Incentive Adjustment'!A:A,tbl_Data_old[[#This Row],[Trimmed Sector]],'3. Incentive Adjustment'!B:B,tbl_Data_old[[#This Row],[Trimmed Measure Name]])</f>
        <v>0.42355026786158312</v>
      </c>
      <c r="AI198">
        <f>$AH198*tbl_Data_old[[#This Row],[2025 ]]</f>
        <v>9.2532758720583903</v>
      </c>
      <c r="AJ198">
        <f>$AH198*tbl_Data_old[[#This Row],[2026 ]]</f>
        <v>9.8628891428472851</v>
      </c>
      <c r="AK198">
        <f>$AH198*tbl_Data_old[[#This Row],[2027 ]]</f>
        <v>10.170530774842492</v>
      </c>
      <c r="AL198">
        <f>$AH198*tbl_Data_old[[#This Row],[2028 ]]</f>
        <v>10.426702303223113</v>
      </c>
      <c r="AM198">
        <f>$AH198*tbl_Data_old[[#This Row],[2029 ]]</f>
        <v>10.763029680683257</v>
      </c>
      <c r="AN198">
        <f>$AH198*tbl_Data_old[[#This Row],[2030 ]]</f>
        <v>11.11656286502248</v>
      </c>
      <c r="AO198">
        <f>$AH198*tbl_Data_old[[#This Row],[2031 ]]</f>
        <v>11.593728401349884</v>
      </c>
      <c r="AP198">
        <f>$AH198*tbl_Data_old[[#This Row],[2032 ]]</f>
        <v>12.141154156474995</v>
      </c>
      <c r="AQ198">
        <f>$AH198*tbl_Data_old[[#This Row],[2033 ]]</f>
        <v>12.779382840556357</v>
      </c>
      <c r="AR198">
        <f>$AH198*tbl_Data_old[[#This Row],[2034 ]]</f>
        <v>13.492673190348917</v>
      </c>
      <c r="AS198">
        <f>SUM(tbl_Data_old[[#This Row],[Adjusted 2025]:[Adjusted 2034]])</f>
        <v>111.59992922740716</v>
      </c>
      <c r="AT198" s="3">
        <f>AVERAGEIFS('3. Incentive Adjustment'!F:F,'3. Incentive Adjustment'!A:A,tbl_Data_old[[#This Row],[Trimmed Sector]],'3. Incentive Adjustment'!B:B,tbl_Data_old[[#This Row],[Trimmed Measure Name]])</f>
        <v>0</v>
      </c>
      <c r="AU198" s="3">
        <f>IFERROR(VLOOKUP(tbl_Data_old[[#This Row],[All_Meas_Name_Append]],'IRA Tax Credits'!$A$3:$D$46,4,0),0)</f>
        <v>0</v>
      </c>
      <c r="AV198" s="4">
        <f>tbl_Data_old[[#This Row],[Adj. per unit Incentive ($)]]/tbl_Data_old[[#This Row],[kWh Savings]]*tbl_Data_old[[#This Row],[Sum of Annuals]]</f>
        <v>0</v>
      </c>
      <c r="AW198" s="4">
        <f>IFERROR(VLOOKUP(tbl_Data_old[[#This Row],[All_Programs]],'1. Set Program Names'!$B$2:$D$15,3,0)*tbl_Data_old[[#This Row],[Sum of Annuals]],"")</f>
        <v>50.289449105228194</v>
      </c>
      <c r="AX198" s="4">
        <f>tbl_Data_old[[#This Row],[per unit IRA tax ($)]]/tbl_Data_old[[#This Row],[kWh Savings]]*tbl_Data_old[[#This Row],[Sum of Annuals]]</f>
        <v>0</v>
      </c>
      <c r="AY198" s="4">
        <f>tbl_Data_old[[#This Row],[Avoided Costs ($/unit)]]/tbl_Data_old[[#This Row],[kWh Savings]]*tbl_Data_old[[#This Row],[Sum of Annuals]]</f>
        <v>71.990416269103179</v>
      </c>
      <c r="AZ198" s="4">
        <f>tbl_Data_old[[#This Row],[Lost Revenue ($/unit)]]/tbl_Data_old[[#This Row],[kWh Savings]]*tbl_Data_old[[#This Row],[Sum of Annuals]]</f>
        <v>168.69180176321038</v>
      </c>
      <c r="BA198" s="4">
        <f>tbl_Data_old[[#This Row],[Incremental Cost ($/unit)]]/tbl_Data_old[[#This Row],[kWh Savings]]*tbl_Data_old[[#This Row],[Sum of Annuals]]</f>
        <v>82.82227036295761</v>
      </c>
      <c r="BB198">
        <f>ROUNDUP(tbl_Data_old[[#This Row],[Adjusted 2025]]/$L198,0)</f>
        <v>1</v>
      </c>
      <c r="BC198">
        <f>ROUNDUP(tbl_Data_old[[#This Row],[Adjusted 2026]]/$L198,0)</f>
        <v>1</v>
      </c>
      <c r="BD198">
        <f>ROUNDUP(tbl_Data_old[[#This Row],[Adjusted 2027]]/$L198,0)</f>
        <v>1</v>
      </c>
      <c r="BE198">
        <f>ROUNDUP(tbl_Data_old[[#This Row],[Adjusted 2028]]/$L198,0)</f>
        <v>1</v>
      </c>
      <c r="BF198">
        <f>ROUNDUP(tbl_Data_old[[#This Row],[Adjusted 2029]]/$L198,0)</f>
        <v>1</v>
      </c>
      <c r="BG198">
        <f>ROUNDUP(tbl_Data_old[[#This Row],[Adjusted 2030]]/$L198,0)</f>
        <v>1</v>
      </c>
      <c r="BH198">
        <f>ROUNDUP(tbl_Data_old[[#This Row],[Adjusted 2031]]/$L198,0)</f>
        <v>1</v>
      </c>
      <c r="BI198">
        <f>ROUNDUP(tbl_Data_old[[#This Row],[Adjusted 2032]]/$L198,0)</f>
        <v>1</v>
      </c>
      <c r="BJ198">
        <f>ROUNDUP(tbl_Data_old[[#This Row],[Adjusted 2033]]/$L198,0)</f>
        <v>1</v>
      </c>
      <c r="BK198">
        <f>ROUNDUP(tbl_Data_old[[#This Row],[Adjusted 2034]]/$L198,0)</f>
        <v>1</v>
      </c>
      <c r="BL198" s="3">
        <f t="shared" si="13"/>
        <v>0</v>
      </c>
      <c r="BM198" s="3">
        <f t="shared" si="13"/>
        <v>0</v>
      </c>
      <c r="BN198" s="3">
        <f t="shared" si="13"/>
        <v>0</v>
      </c>
      <c r="BO198" s="3">
        <f t="shared" si="13"/>
        <v>0</v>
      </c>
      <c r="BP198" s="3">
        <f t="shared" si="13"/>
        <v>0</v>
      </c>
      <c r="BQ198" s="3">
        <f t="shared" si="13"/>
        <v>0</v>
      </c>
      <c r="BR198" s="3">
        <f t="shared" si="13"/>
        <v>0</v>
      </c>
      <c r="BS198" s="3">
        <f t="shared" si="13"/>
        <v>0</v>
      </c>
      <c r="BT198" s="3">
        <f t="shared" si="13"/>
        <v>0</v>
      </c>
      <c r="BU198" s="3">
        <f t="shared" si="13"/>
        <v>0</v>
      </c>
      <c r="BV198">
        <f>VLOOKUP($H198,'1. Set Program Names'!$B$2:$D$15,3,0)*V198</f>
        <v>9.8447231697032063</v>
      </c>
      <c r="BW198">
        <f>VLOOKUP($H198,'1. Set Program Names'!$B$2:$D$15,3,0)*W198</f>
        <v>10.493301465052241</v>
      </c>
      <c r="BX198">
        <f>VLOOKUP($H198,'1. Set Program Names'!$B$2:$D$15,3,0)*X198</f>
        <v>10.82060681554049</v>
      </c>
      <c r="BY198">
        <f>VLOOKUP($H198,'1. Set Program Names'!$B$2:$D$15,3,0)*Y198</f>
        <v>11.093152216297678</v>
      </c>
      <c r="BZ198">
        <f>VLOOKUP($H198,'1. Set Program Names'!$B$2:$D$15,3,0)*Z198</f>
        <v>11.450976836601672</v>
      </c>
      <c r="CA198">
        <f>VLOOKUP($H198,'1. Set Program Names'!$B$2:$D$15,3,0)*AA198</f>
        <v>11.827107017874338</v>
      </c>
      <c r="CB198">
        <f>VLOOKUP($H198,'1. Set Program Names'!$B$2:$D$15,3,0)*AB198</f>
        <v>12.334771835849907</v>
      </c>
      <c r="CC198">
        <f>VLOOKUP($H198,'1. Set Program Names'!$B$2:$D$15,3,0)*AC198</f>
        <v>12.91718773803284</v>
      </c>
      <c r="CD198">
        <f>VLOOKUP($H198,'1. Set Program Names'!$B$2:$D$15,3,0)*AD198</f>
        <v>13.596210475560634</v>
      </c>
      <c r="CE198">
        <f>VLOOKUP($H198,'1. Set Program Names'!$B$2:$D$15,3,0)*AE198</f>
        <v>14.355092641230513</v>
      </c>
    </row>
    <row r="199" spans="1:83" x14ac:dyDescent="0.25">
      <c r="A199" s="20" t="s">
        <v>116</v>
      </c>
      <c r="B199" s="20" t="s">
        <v>88</v>
      </c>
      <c r="C199" s="20" t="s">
        <v>89</v>
      </c>
      <c r="D199" s="20" t="s">
        <v>90</v>
      </c>
      <c r="E199" s="20" t="s">
        <v>91</v>
      </c>
      <c r="F199" s="20" t="s">
        <v>90</v>
      </c>
      <c r="G199" s="20" t="s">
        <v>92</v>
      </c>
      <c r="H199" s="20" t="s">
        <v>9</v>
      </c>
      <c r="I199" s="20" t="s">
        <v>119</v>
      </c>
      <c r="J199" s="20" t="s">
        <v>120</v>
      </c>
      <c r="K199" s="20" t="s">
        <v>121</v>
      </c>
      <c r="L199" s="20">
        <v>6673.4968833372895</v>
      </c>
      <c r="M199" s="20">
        <v>1.73762506704112</v>
      </c>
      <c r="N199" s="20">
        <v>0.78936762832777396</v>
      </c>
      <c r="O199" s="20">
        <v>2151.0039802452802</v>
      </c>
      <c r="P199" s="20">
        <v>549.54451231238204</v>
      </c>
      <c r="Q199" s="20">
        <v>2004.8189647422</v>
      </c>
      <c r="R199" s="20">
        <v>4267.3988807063497</v>
      </c>
      <c r="S199" s="20">
        <v>10087.499347937401</v>
      </c>
      <c r="T199" s="20">
        <v>20</v>
      </c>
      <c r="U199" s="20">
        <v>1</v>
      </c>
      <c r="V199" s="20">
        <v>27.804735790512801</v>
      </c>
      <c r="W199" s="20">
        <v>29.618565798737599</v>
      </c>
      <c r="X199" s="20">
        <v>30.523853789122398</v>
      </c>
      <c r="Y199" s="20">
        <v>31.2735398292551</v>
      </c>
      <c r="Z199" s="20">
        <v>32.262370793040802</v>
      </c>
      <c r="AA199" s="20">
        <v>33.301224918066602</v>
      </c>
      <c r="AB199" s="20">
        <v>34.708535008012298</v>
      </c>
      <c r="AC199" s="20">
        <v>36.323858007415197</v>
      </c>
      <c r="AD199" s="20">
        <v>38.208178584454402</v>
      </c>
      <c r="AE199" s="20">
        <v>40.313919946196002</v>
      </c>
      <c r="AF199" t="str">
        <f t="shared" si="14"/>
        <v>Residential</v>
      </c>
      <c r="AG199" t="str">
        <f>tbl_Data_old[[#This Row],[All_Meas_Name_Append]]</f>
        <v>New Construction - Whole Home Improvements - Tier 2</v>
      </c>
      <c r="AH199">
        <f>AVERAGEIFS('3. Incentive Adjustment'!G:G,'3. Incentive Adjustment'!A:A,tbl_Data_old[[#This Row],[Trimmed Sector]],'3. Incentive Adjustment'!B:B,tbl_Data_old[[#This Row],[Trimmed Measure Name]])</f>
        <v>0.80470846489720416</v>
      </c>
      <c r="AI199">
        <f>$AH199*tbl_Data_old[[#This Row],[2025 ]]</f>
        <v>22.374706254855905</v>
      </c>
      <c r="AJ199">
        <f>$AH199*tbl_Data_old[[#This Row],[2026 ]]</f>
        <v>23.834310616358966</v>
      </c>
      <c r="AK199">
        <f>$AH199*tbl_Data_old[[#This Row],[2027 ]]</f>
        <v>24.562803525391395</v>
      </c>
      <c r="AL199">
        <f>$AH199*tbl_Data_old[[#This Row],[2028 ]]</f>
        <v>25.166082227901445</v>
      </c>
      <c r="AM199">
        <f>$AH199*tbl_Data_old[[#This Row],[2029 ]]</f>
        <v>25.961802874812257</v>
      </c>
      <c r="AN199">
        <f>$AH199*tbl_Data_old[[#This Row],[2030 ]]</f>
        <v>26.797777583013897</v>
      </c>
      <c r="AO199">
        <f>$AH199*tbl_Data_old[[#This Row],[2031 ]]</f>
        <v>27.930251925128445</v>
      </c>
      <c r="AP199">
        <f>$AH199*tbl_Data_old[[#This Row],[2032 ]]</f>
        <v>29.230116016291099</v>
      </c>
      <c r="AQ199">
        <f>$AH199*tbl_Data_old[[#This Row],[2033 ]]</f>
        <v>30.746444735214531</v>
      </c>
      <c r="AR199">
        <f>$AH199*tbl_Data_old[[#This Row],[2034 ]]</f>
        <v>32.440952633892167</v>
      </c>
      <c r="AS199">
        <f>SUM(tbl_Data_old[[#This Row],[Adjusted 2025]:[Adjusted 2034]])</f>
        <v>269.04524839286012</v>
      </c>
      <c r="AT199" s="3">
        <f>AVERAGEIFS('3. Incentive Adjustment'!F:F,'3. Incentive Adjustment'!A:A,tbl_Data_old[[#This Row],[Trimmed Sector]],'3. Incentive Adjustment'!B:B,tbl_Data_old[[#This Row],[Trimmed Measure Name]])</f>
        <v>0</v>
      </c>
      <c r="AU199" s="3">
        <f>IFERROR(VLOOKUP(tbl_Data_old[[#This Row],[All_Meas_Name_Append]],'IRA Tax Credits'!$A$3:$D$46,4,0),0)</f>
        <v>0</v>
      </c>
      <c r="AV199" s="4">
        <f>tbl_Data_old[[#This Row],[Adj. per unit Incentive ($)]]/tbl_Data_old[[#This Row],[kWh Savings]]*tbl_Data_old[[#This Row],[Sum of Annuals]]</f>
        <v>0</v>
      </c>
      <c r="AW199" s="4">
        <f>IFERROR(VLOOKUP(tbl_Data_old[[#This Row],[All_Programs]],'1. Set Program Names'!$B$2:$D$15,3,0)*tbl_Data_old[[#This Row],[Sum of Annuals]],"")</f>
        <v>121.23786654457331</v>
      </c>
      <c r="AX199" s="4">
        <f>tbl_Data_old[[#This Row],[per unit IRA tax ($)]]/tbl_Data_old[[#This Row],[kWh Savings]]*tbl_Data_old[[#This Row],[Sum of Annuals]]</f>
        <v>0</v>
      </c>
      <c r="AY199" s="4">
        <f>tbl_Data_old[[#This Row],[Avoided Costs ($/unit)]]/tbl_Data_old[[#This Row],[kWh Savings]]*tbl_Data_old[[#This Row],[Sum of Annuals]]</f>
        <v>172.04224590525294</v>
      </c>
      <c r="AZ199" s="4">
        <f>tbl_Data_old[[#This Row],[Lost Revenue ($/unit)]]/tbl_Data_old[[#This Row],[kWh Savings]]*tbl_Data_old[[#This Row],[Sum of Annuals]]</f>
        <v>406.68240581711569</v>
      </c>
      <c r="BA199" s="4">
        <f>tbl_Data_old[[#This Row],[Incremental Cost ($/unit)]]/tbl_Data_old[[#This Row],[kWh Savings]]*tbl_Data_old[[#This Row],[Sum of Annuals]]</f>
        <v>86.718763831911247</v>
      </c>
      <c r="BB199">
        <f>ROUNDUP(tbl_Data_old[[#This Row],[Adjusted 2025]]/$L199,0)</f>
        <v>1</v>
      </c>
      <c r="BC199">
        <f>ROUNDUP(tbl_Data_old[[#This Row],[Adjusted 2026]]/$L199,0)</f>
        <v>1</v>
      </c>
      <c r="BD199">
        <f>ROUNDUP(tbl_Data_old[[#This Row],[Adjusted 2027]]/$L199,0)</f>
        <v>1</v>
      </c>
      <c r="BE199">
        <f>ROUNDUP(tbl_Data_old[[#This Row],[Adjusted 2028]]/$L199,0)</f>
        <v>1</v>
      </c>
      <c r="BF199">
        <f>ROUNDUP(tbl_Data_old[[#This Row],[Adjusted 2029]]/$L199,0)</f>
        <v>1</v>
      </c>
      <c r="BG199">
        <f>ROUNDUP(tbl_Data_old[[#This Row],[Adjusted 2030]]/$L199,0)</f>
        <v>1</v>
      </c>
      <c r="BH199">
        <f>ROUNDUP(tbl_Data_old[[#This Row],[Adjusted 2031]]/$L199,0)</f>
        <v>1</v>
      </c>
      <c r="BI199">
        <f>ROUNDUP(tbl_Data_old[[#This Row],[Adjusted 2032]]/$L199,0)</f>
        <v>1</v>
      </c>
      <c r="BJ199">
        <f>ROUNDUP(tbl_Data_old[[#This Row],[Adjusted 2033]]/$L199,0)</f>
        <v>1</v>
      </c>
      <c r="BK199">
        <f>ROUNDUP(tbl_Data_old[[#This Row],[Adjusted 2034]]/$L199,0)</f>
        <v>1</v>
      </c>
      <c r="BL199" s="3">
        <f t="shared" si="13"/>
        <v>0</v>
      </c>
      <c r="BM199" s="3">
        <f t="shared" si="13"/>
        <v>0</v>
      </c>
      <c r="BN199" s="3">
        <f t="shared" si="13"/>
        <v>0</v>
      </c>
      <c r="BO199" s="3">
        <f t="shared" si="13"/>
        <v>0</v>
      </c>
      <c r="BP199" s="3">
        <f t="shared" si="13"/>
        <v>0</v>
      </c>
      <c r="BQ199" s="3">
        <f t="shared" si="13"/>
        <v>0</v>
      </c>
      <c r="BR199" s="3">
        <f t="shared" si="13"/>
        <v>0</v>
      </c>
      <c r="BS199" s="3">
        <f t="shared" si="13"/>
        <v>0</v>
      </c>
      <c r="BT199" s="3">
        <f t="shared" si="13"/>
        <v>0</v>
      </c>
      <c r="BU199" s="3">
        <f t="shared" si="13"/>
        <v>0</v>
      </c>
      <c r="BV199">
        <f>VLOOKUP($H199,'1. Set Program Names'!$B$2:$D$15,3,0)*V199</f>
        <v>12.529442044466045</v>
      </c>
      <c r="BW199">
        <f>VLOOKUP($H199,'1. Set Program Names'!$B$2:$D$15,3,0)*W199</f>
        <v>13.346794819827441</v>
      </c>
      <c r="BX199">
        <f>VLOOKUP($H199,'1. Set Program Names'!$B$2:$D$15,3,0)*X199</f>
        <v>13.754738038368927</v>
      </c>
      <c r="BY199">
        <f>VLOOKUP($H199,'1. Set Program Names'!$B$2:$D$15,3,0)*Y199</f>
        <v>14.092563503144355</v>
      </c>
      <c r="BZ199">
        <f>VLOOKUP($H199,'1. Set Program Names'!$B$2:$D$15,3,0)*Z199</f>
        <v>14.538153072700842</v>
      </c>
      <c r="CA199">
        <f>VLOOKUP($H199,'1. Set Program Names'!$B$2:$D$15,3,0)*AA199</f>
        <v>15.006284208714243</v>
      </c>
      <c r="CB199">
        <f>VLOOKUP($H199,'1. Set Program Names'!$B$2:$D$15,3,0)*AB199</f>
        <v>15.640449925785482</v>
      </c>
      <c r="CC199">
        <f>VLOOKUP($H199,'1. Set Program Names'!$B$2:$D$15,3,0)*AC199</f>
        <v>16.368350958782077</v>
      </c>
      <c r="CD199">
        <f>VLOOKUP($H199,'1. Set Program Names'!$B$2:$D$15,3,0)*AD199</f>
        <v>17.217468376803481</v>
      </c>
      <c r="CE199">
        <f>VLOOKUP($H199,'1. Set Program Names'!$B$2:$D$15,3,0)*AE199</f>
        <v>18.166363002213973</v>
      </c>
    </row>
    <row r="200" spans="1:83" x14ac:dyDescent="0.25">
      <c r="A200" s="20" t="s">
        <v>116</v>
      </c>
      <c r="B200" s="20" t="s">
        <v>88</v>
      </c>
      <c r="C200" s="20" t="s">
        <v>89</v>
      </c>
      <c r="D200" s="20" t="s">
        <v>90</v>
      </c>
      <c r="E200" s="20" t="s">
        <v>91</v>
      </c>
      <c r="F200" s="20" t="s">
        <v>90</v>
      </c>
      <c r="G200" s="20" t="s">
        <v>92</v>
      </c>
      <c r="H200" s="20" t="s">
        <v>9</v>
      </c>
      <c r="I200" s="20" t="s">
        <v>299</v>
      </c>
      <c r="J200" s="20" t="s">
        <v>97</v>
      </c>
      <c r="K200" s="20" t="s">
        <v>102</v>
      </c>
      <c r="L200" s="20">
        <v>408.28</v>
      </c>
      <c r="M200" s="20">
        <v>0.16567198429270899</v>
      </c>
      <c r="N200" s="20">
        <v>2.3547919008134799E-2</v>
      </c>
      <c r="O200" s="53">
        <v>128.60999999999999</v>
      </c>
      <c r="P200" s="20">
        <v>29.691921599999901</v>
      </c>
      <c r="Q200" s="20">
        <v>122.65346058206499</v>
      </c>
      <c r="R200" s="20">
        <v>238.630335182902</v>
      </c>
      <c r="S200" s="20">
        <v>423.90838942107399</v>
      </c>
      <c r="T200" s="20">
        <v>11</v>
      </c>
      <c r="U200" s="20">
        <v>0.19999999999999901</v>
      </c>
      <c r="V200" s="20">
        <v>0.206724664775644</v>
      </c>
      <c r="W200" s="20">
        <v>0.17131814268415099</v>
      </c>
      <c r="X200" s="20">
        <v>0.141916760081957</v>
      </c>
      <c r="Y200" s="20">
        <v>0.118013224310609</v>
      </c>
      <c r="Z200" s="20">
        <v>9.8770011546863906E-2</v>
      </c>
      <c r="AA200" s="20">
        <v>8.3053230538095504E-2</v>
      </c>
      <c r="AB200" s="20">
        <v>7.0829237904234496E-2</v>
      </c>
      <c r="AC200" s="20">
        <v>6.13342647503963E-2</v>
      </c>
      <c r="AD200" s="20">
        <v>5.3982245396504903E-2</v>
      </c>
      <c r="AE200" s="20">
        <v>4.8281253311760398E-2</v>
      </c>
      <c r="AF200" t="str">
        <f t="shared" si="14"/>
        <v>Residential</v>
      </c>
      <c r="AG200" t="str">
        <f>tbl_Data_old[[#This Row],[All_Meas_Name_Append]]</f>
        <v>Smart Thermostat Residential</v>
      </c>
      <c r="AH200">
        <f>AVERAGEIFS('3. Incentive Adjustment'!G:G,'3. Incentive Adjustment'!A:A,tbl_Data_old[[#This Row],[Trimmed Sector]],'3. Incentive Adjustment'!B:B,tbl_Data_old[[#This Row],[Trimmed Measure Name]])</f>
        <v>1.1402432304340044</v>
      </c>
      <c r="AI200">
        <f>$AH200*tbl_Data_old[[#This Row],[2025 ]]</f>
        <v>0.23571639957416696</v>
      </c>
      <c r="AJ200">
        <f>$AH200*tbl_Data_old[[#This Row],[2026 ]]</f>
        <v>0.19534435244613002</v>
      </c>
      <c r="AK200">
        <f>$AH200*tbl_Data_old[[#This Row],[2027 ]]</f>
        <v>0.16181962496857821</v>
      </c>
      <c r="AL200">
        <f>$AH200*tbl_Data_old[[#This Row],[2028 ]]</f>
        <v>0.1345637801218616</v>
      </c>
      <c r="AM200">
        <f>$AH200*tbl_Data_old[[#This Row],[2029 ]]</f>
        <v>0.11262183703620002</v>
      </c>
      <c r="AN200">
        <f>$AH200*tbl_Data_old[[#This Row],[2030 ]]</f>
        <v>9.4700883886738127E-2</v>
      </c>
      <c r="AO200">
        <f>$AH200*tbl_Data_old[[#This Row],[2031 ]]</f>
        <v>8.0762559037102971E-2</v>
      </c>
      <c r="AP200">
        <f>$AH200*tbl_Data_old[[#This Row],[2032 ]]</f>
        <v>6.9935980175286364E-2</v>
      </c>
      <c r="AQ200">
        <f>$AH200*tbl_Data_old[[#This Row],[2033 ]]</f>
        <v>6.1552889876991916E-2</v>
      </c>
      <c r="AR200">
        <f>$AH200*tbl_Data_old[[#This Row],[2034 ]]</f>
        <v>5.505237224560415E-2</v>
      </c>
      <c r="AS200">
        <f>SUM(tbl_Data_old[[#This Row],[Adjusted 2025]:[Adjusted 2034]])</f>
        <v>1.2020706793686604</v>
      </c>
      <c r="AT200" s="3">
        <f>AVERAGEIFS('3. Incentive Adjustment'!F:F,'3. Incentive Adjustment'!A:A,tbl_Data_old[[#This Row],[Trimmed Sector]],'3. Incentive Adjustment'!B:B,tbl_Data_old[[#This Row],[Trimmed Measure Name]])</f>
        <v>50</v>
      </c>
      <c r="AU200" s="3">
        <f>IFERROR(VLOOKUP(tbl_Data_old[[#This Row],[All_Meas_Name_Append]],'IRA Tax Credits'!$A$3:$D$46,4,0),0)</f>
        <v>0</v>
      </c>
      <c r="AV200" s="4">
        <f>tbl_Data_old[[#This Row],[Adj. per unit Incentive ($)]]/tbl_Data_old[[#This Row],[kWh Savings]]*tbl_Data_old[[#This Row],[Sum of Annuals]]</f>
        <v>0.14721155571772565</v>
      </c>
      <c r="AW200" s="4">
        <f>IFERROR(VLOOKUP(tbl_Data_old[[#This Row],[All_Programs]],'1. Set Program Names'!$B$2:$D$15,3,0)*tbl_Data_old[[#This Row],[Sum of Annuals]],"")</f>
        <v>0.54168020239345638</v>
      </c>
      <c r="AX200" s="4">
        <f>tbl_Data_old[[#This Row],[per unit IRA tax ($)]]/tbl_Data_old[[#This Row],[kWh Savings]]*tbl_Data_old[[#This Row],[Sum of Annuals]]</f>
        <v>0</v>
      </c>
      <c r="AY200" s="4">
        <f>tbl_Data_old[[#This Row],[Avoided Costs ($/unit)]]/tbl_Data_old[[#This Row],[kWh Savings]]*tbl_Data_old[[#This Row],[Sum of Annuals]]</f>
        <v>0.70258285767434647</v>
      </c>
      <c r="AZ200" s="4">
        <f>tbl_Data_old[[#This Row],[Lost Revenue ($/unit)]]/tbl_Data_old[[#This Row],[kWh Savings]]*tbl_Data_old[[#This Row],[Sum of Annuals]]</f>
        <v>1.2480842697694357</v>
      </c>
      <c r="BA200" s="4">
        <f>tbl_Data_old[[#This Row],[Incremental Cost ($/unit)]]/tbl_Data_old[[#This Row],[kWh Savings]]*tbl_Data_old[[#This Row],[Sum of Annuals]]</f>
        <v>0.37865756361713387</v>
      </c>
      <c r="BB200">
        <f>ROUNDUP(tbl_Data_old[[#This Row],[Adjusted 2025]]/$L200,0)</f>
        <v>1</v>
      </c>
      <c r="BC200">
        <f>ROUNDUP(tbl_Data_old[[#This Row],[Adjusted 2026]]/$L200,0)</f>
        <v>1</v>
      </c>
      <c r="BD200">
        <f>ROUNDUP(tbl_Data_old[[#This Row],[Adjusted 2027]]/$L200,0)</f>
        <v>1</v>
      </c>
      <c r="BE200">
        <f>ROUNDUP(tbl_Data_old[[#This Row],[Adjusted 2028]]/$L200,0)</f>
        <v>1</v>
      </c>
      <c r="BF200">
        <f>ROUNDUP(tbl_Data_old[[#This Row],[Adjusted 2029]]/$L200,0)</f>
        <v>1</v>
      </c>
      <c r="BG200">
        <f>ROUNDUP(tbl_Data_old[[#This Row],[Adjusted 2030]]/$L200,0)</f>
        <v>1</v>
      </c>
      <c r="BH200">
        <f>ROUNDUP(tbl_Data_old[[#This Row],[Adjusted 2031]]/$L200,0)</f>
        <v>1</v>
      </c>
      <c r="BI200">
        <f>ROUNDUP(tbl_Data_old[[#This Row],[Adjusted 2032]]/$L200,0)</f>
        <v>1</v>
      </c>
      <c r="BJ200">
        <f>ROUNDUP(tbl_Data_old[[#This Row],[Adjusted 2033]]/$L200,0)</f>
        <v>1</v>
      </c>
      <c r="BK200">
        <f>ROUNDUP(tbl_Data_old[[#This Row],[Adjusted 2034]]/$L200,0)</f>
        <v>1</v>
      </c>
      <c r="BL200" s="3">
        <f t="shared" si="13"/>
        <v>2.5316530907176938E-2</v>
      </c>
      <c r="BM200" s="3">
        <f t="shared" si="13"/>
        <v>2.0980472063798251E-2</v>
      </c>
      <c r="BN200" s="3">
        <f t="shared" si="13"/>
        <v>1.7379832477951041E-2</v>
      </c>
      <c r="BO200" s="3">
        <f t="shared" si="13"/>
        <v>1.4452486566891472E-2</v>
      </c>
      <c r="BP200" s="3">
        <f t="shared" si="13"/>
        <v>1.2095866996529822E-2</v>
      </c>
      <c r="BQ200" s="3">
        <f t="shared" si="13"/>
        <v>1.0171111802941059E-2</v>
      </c>
      <c r="BR200" s="3">
        <f t="shared" si="13"/>
        <v>8.6741008504255049E-3</v>
      </c>
      <c r="BS200" s="3">
        <f t="shared" si="13"/>
        <v>7.5112992003522469E-3</v>
      </c>
      <c r="BT200" s="3">
        <f t="shared" si="13"/>
        <v>6.61093433385237E-3</v>
      </c>
      <c r="BU200" s="3">
        <f t="shared" si="13"/>
        <v>5.9127624806211915E-3</v>
      </c>
      <c r="BV200">
        <f>VLOOKUP($H200,'1. Set Program Names'!$B$2:$D$15,3,0)*V200</f>
        <v>9.3154803770941805E-2</v>
      </c>
      <c r="BW200">
        <f>VLOOKUP($H200,'1. Set Program Names'!$B$2:$D$15,3,0)*W200</f>
        <v>7.7199825098105926E-2</v>
      </c>
      <c r="BX200">
        <f>VLOOKUP($H200,'1. Set Program Names'!$B$2:$D$15,3,0)*X200</f>
        <v>6.3950897932717896E-2</v>
      </c>
      <c r="BY200">
        <f>VLOOKUP($H200,'1. Set Program Names'!$B$2:$D$15,3,0)*Y200</f>
        <v>5.3179424743351474E-2</v>
      </c>
      <c r="BZ200">
        <f>VLOOKUP($H200,'1. Set Program Names'!$B$2:$D$15,3,0)*Z200</f>
        <v>4.4507998375943193E-2</v>
      </c>
      <c r="CA200">
        <f>VLOOKUP($H200,'1. Set Program Names'!$B$2:$D$15,3,0)*AA200</f>
        <v>3.7425661817934261E-2</v>
      </c>
      <c r="CB200">
        <f>VLOOKUP($H200,'1. Set Program Names'!$B$2:$D$15,3,0)*AB200</f>
        <v>3.1917254602275666E-2</v>
      </c>
      <c r="CC200">
        <f>VLOOKUP($H200,'1. Set Program Names'!$B$2:$D$15,3,0)*AC200</f>
        <v>2.7638605211715048E-2</v>
      </c>
      <c r="CD200">
        <f>VLOOKUP($H200,'1. Set Program Names'!$B$2:$D$15,3,0)*AD200</f>
        <v>2.4325619211833478E-2</v>
      </c>
      <c r="CE200">
        <f>VLOOKUP($H200,'1. Set Program Names'!$B$2:$D$15,3,0)*AE200</f>
        <v>2.1756623395439548E-2</v>
      </c>
    </row>
    <row r="201" spans="1:83" x14ac:dyDescent="0.25">
      <c r="A201" s="20" t="s">
        <v>116</v>
      </c>
      <c r="B201" s="20" t="s">
        <v>88</v>
      </c>
      <c r="C201" s="20" t="s">
        <v>89</v>
      </c>
      <c r="D201" s="20" t="s">
        <v>90</v>
      </c>
      <c r="E201" s="20" t="s">
        <v>91</v>
      </c>
      <c r="F201" s="20" t="s">
        <v>90</v>
      </c>
      <c r="G201" s="20" t="s">
        <v>92</v>
      </c>
      <c r="H201" s="20" t="s">
        <v>9</v>
      </c>
      <c r="I201" s="20" t="s">
        <v>112</v>
      </c>
      <c r="J201" s="20" t="s">
        <v>94</v>
      </c>
      <c r="K201" s="20" t="s">
        <v>108</v>
      </c>
      <c r="L201" s="20">
        <v>1330.8133333333301</v>
      </c>
      <c r="M201" s="20">
        <v>5.33311142126306E-2</v>
      </c>
      <c r="N201" s="20">
        <v>0.24737910980336</v>
      </c>
      <c r="O201" s="20">
        <v>8990.02</v>
      </c>
      <c r="P201" s="20">
        <v>8776.4394094329891</v>
      </c>
      <c r="Q201" s="20">
        <v>399.796367008147</v>
      </c>
      <c r="R201" s="20">
        <v>713.19672296706005</v>
      </c>
      <c r="S201" s="20">
        <v>2011.6258188035599</v>
      </c>
      <c r="T201" s="20">
        <v>20</v>
      </c>
      <c r="U201" s="20">
        <v>0.2</v>
      </c>
      <c r="V201" s="20">
        <v>8.0232477008972793</v>
      </c>
      <c r="W201" s="20">
        <v>8.9293429218398597</v>
      </c>
      <c r="X201" s="20">
        <v>9.7653939102325094</v>
      </c>
      <c r="Y201" s="20">
        <v>10.5566002843854</v>
      </c>
      <c r="Z201" s="20">
        <v>11.310425751197201</v>
      </c>
      <c r="AA201" s="20">
        <v>12.000198837982699</v>
      </c>
      <c r="AB201" s="20">
        <v>12.720294875906999</v>
      </c>
      <c r="AC201" s="20">
        <v>13.502096640187499</v>
      </c>
      <c r="AD201" s="20">
        <v>14.355858751385201</v>
      </c>
      <c r="AE201" s="20">
        <v>15.287336989429299</v>
      </c>
      <c r="AF201" t="str">
        <f t="shared" si="14"/>
        <v>Residential</v>
      </c>
      <c r="AG201" t="str">
        <f>tbl_Data_old[[#This Row],[All_Meas_Name_Append]]</f>
        <v>Solar Thermal Water Heating System</v>
      </c>
      <c r="AH201">
        <f>AVERAGEIFS('3. Incentive Adjustment'!G:G,'3. Incentive Adjustment'!A:A,tbl_Data_old[[#This Row],[Trimmed Sector]],'3. Incentive Adjustment'!B:B,tbl_Data_old[[#This Row],[Trimmed Measure Name]])</f>
        <v>2.7736651842107431E-8</v>
      </c>
      <c r="AI201">
        <f>$AH201*tbl_Data_old[[#This Row],[2025 ]]</f>
        <v>2.2253802812277674E-7</v>
      </c>
      <c r="AJ201">
        <f>$AH201*tbl_Data_old[[#This Row],[2026 ]]</f>
        <v>2.4767007580185851E-7</v>
      </c>
      <c r="AK201">
        <f>$AH201*tbl_Data_old[[#This Row],[2027 ]]</f>
        <v>2.7085933098915521E-7</v>
      </c>
      <c r="AL201">
        <f>$AH201*tbl_Data_old[[#This Row],[2028 ]]</f>
        <v>2.9280474672429013E-7</v>
      </c>
      <c r="AM201">
        <f>$AH201*tbl_Data_old[[#This Row],[2029 ]]</f>
        <v>3.1371334124696317E-7</v>
      </c>
      <c r="AN201">
        <f>$AH201*tbl_Data_old[[#This Row],[2030 ]]</f>
        <v>3.3284533720518827E-7</v>
      </c>
      <c r="AO201">
        <f>$AH201*tbl_Data_old[[#This Row],[2031 ]]</f>
        <v>3.528183903019756E-7</v>
      </c>
      <c r="AP201">
        <f>$AH201*tbl_Data_old[[#This Row],[2032 ]]</f>
        <v>3.7450295364736917E-7</v>
      </c>
      <c r="AQ201">
        <f>$AH201*tbl_Data_old[[#This Row],[2033 ]]</f>
        <v>3.9818345608164241E-7</v>
      </c>
      <c r="AR201">
        <f>$AH201*tbl_Data_old[[#This Row],[2034 ]]</f>
        <v>4.2401954366877125E-7</v>
      </c>
      <c r="AS201">
        <f>SUM(tbl_Data_old[[#This Row],[Adjusted 2025]:[Adjusted 2034]])</f>
        <v>3.2299552037899906E-6</v>
      </c>
      <c r="AT201" s="3">
        <f>AVERAGEIFS('3. Incentive Adjustment'!F:F,'3. Incentive Adjustment'!A:A,tbl_Data_old[[#This Row],[Trimmed Sector]],'3. Incentive Adjustment'!B:B,tbl_Data_old[[#This Row],[Trimmed Measure Name]])</f>
        <v>0</v>
      </c>
      <c r="AU201" s="3">
        <f>IFERROR(VLOOKUP(tbl_Data_old[[#This Row],[All_Meas_Name_Append]],'IRA Tax Credits'!$A$3:$D$46,4,0),0)</f>
        <v>41666.666666666672</v>
      </c>
      <c r="AV201" s="4">
        <f>tbl_Data_old[[#This Row],[Adj. per unit Incentive ($)]]/tbl_Data_old[[#This Row],[kWh Savings]]*tbl_Data_old[[#This Row],[Sum of Annuals]]</f>
        <v>0</v>
      </c>
      <c r="AW201" s="4">
        <f>IFERROR(VLOOKUP(tbl_Data_old[[#This Row],[All_Programs]],'1. Set Program Names'!$B$2:$D$15,3,0)*tbl_Data_old[[#This Row],[Sum of Annuals]],"")</f>
        <v>1.4554907781543003E-6</v>
      </c>
      <c r="AX201" s="4">
        <f>tbl_Data_old[[#This Row],[per unit IRA tax ($)]]/tbl_Data_old[[#This Row],[kWh Savings]]*tbl_Data_old[[#This Row],[Sum of Annuals]]</f>
        <v>1.0112723058424168E-4</v>
      </c>
      <c r="AY201" s="4">
        <f>tbl_Data_old[[#This Row],[Avoided Costs ($/unit)]]/tbl_Data_old[[#This Row],[kWh Savings]]*tbl_Data_old[[#This Row],[Sum of Annuals]]</f>
        <v>1.7309666269299698E-6</v>
      </c>
      <c r="AZ201" s="4">
        <f>tbl_Data_old[[#This Row],[Lost Revenue ($/unit)]]/tbl_Data_old[[#This Row],[kWh Savings]]*tbl_Data_old[[#This Row],[Sum of Annuals]]</f>
        <v>4.8823235526566772E-6</v>
      </c>
      <c r="BA201" s="4">
        <f>tbl_Data_old[[#This Row],[Incremental Cost ($/unit)]]/tbl_Data_old[[#This Row],[kWh Savings]]*tbl_Data_old[[#This Row],[Sum of Annuals]]</f>
        <v>2.1819259811926661E-5</v>
      </c>
      <c r="BB201">
        <f>ROUNDUP(tbl_Data_old[[#This Row],[Adjusted 2025]]/$L201,0)</f>
        <v>1</v>
      </c>
      <c r="BC201">
        <f>ROUNDUP(tbl_Data_old[[#This Row],[Adjusted 2026]]/$L201,0)</f>
        <v>1</v>
      </c>
      <c r="BD201">
        <f>ROUNDUP(tbl_Data_old[[#This Row],[Adjusted 2027]]/$L201,0)</f>
        <v>1</v>
      </c>
      <c r="BE201">
        <f>ROUNDUP(tbl_Data_old[[#This Row],[Adjusted 2028]]/$L201,0)</f>
        <v>1</v>
      </c>
      <c r="BF201">
        <f>ROUNDUP(tbl_Data_old[[#This Row],[Adjusted 2029]]/$L201,0)</f>
        <v>1</v>
      </c>
      <c r="BG201">
        <f>ROUNDUP(tbl_Data_old[[#This Row],[Adjusted 2030]]/$L201,0)</f>
        <v>1</v>
      </c>
      <c r="BH201">
        <f>ROUNDUP(tbl_Data_old[[#This Row],[Adjusted 2031]]/$L201,0)</f>
        <v>1</v>
      </c>
      <c r="BI201">
        <f>ROUNDUP(tbl_Data_old[[#This Row],[Adjusted 2032]]/$L201,0)</f>
        <v>1</v>
      </c>
      <c r="BJ201">
        <f>ROUNDUP(tbl_Data_old[[#This Row],[Adjusted 2033]]/$L201,0)</f>
        <v>1</v>
      </c>
      <c r="BK201">
        <f>ROUNDUP(tbl_Data_old[[#This Row],[Adjusted 2034]]/$L201,0)</f>
        <v>1</v>
      </c>
      <c r="BL201" s="3">
        <f t="shared" si="13"/>
        <v>0</v>
      </c>
      <c r="BM201" s="3">
        <f t="shared" si="13"/>
        <v>0</v>
      </c>
      <c r="BN201" s="3">
        <f t="shared" si="13"/>
        <v>0</v>
      </c>
      <c r="BO201" s="3">
        <f t="shared" si="13"/>
        <v>0</v>
      </c>
      <c r="BP201" s="3">
        <f t="shared" si="13"/>
        <v>0</v>
      </c>
      <c r="BQ201" s="3">
        <f t="shared" si="13"/>
        <v>0</v>
      </c>
      <c r="BR201" s="3">
        <f t="shared" si="13"/>
        <v>0</v>
      </c>
      <c r="BS201" s="3">
        <f t="shared" si="13"/>
        <v>0</v>
      </c>
      <c r="BT201" s="3">
        <f t="shared" si="13"/>
        <v>0</v>
      </c>
      <c r="BU201" s="3">
        <f t="shared" si="13"/>
        <v>0</v>
      </c>
      <c r="BV201">
        <f>VLOOKUP($H201,'1. Set Program Names'!$B$2:$D$15,3,0)*V201</f>
        <v>3.6154566558078374</v>
      </c>
      <c r="BW201">
        <f>VLOOKUP($H201,'1. Set Program Names'!$B$2:$D$15,3,0)*W201</f>
        <v>4.0237636306736588</v>
      </c>
      <c r="BX201">
        <f>VLOOKUP($H201,'1. Set Program Names'!$B$2:$D$15,3,0)*X201</f>
        <v>4.400507092082794</v>
      </c>
      <c r="BY201">
        <f>VLOOKUP($H201,'1. Set Program Names'!$B$2:$D$15,3,0)*Y201</f>
        <v>4.7570425572945609</v>
      </c>
      <c r="BZ201">
        <f>VLOOKUP($H201,'1. Set Program Names'!$B$2:$D$15,3,0)*Z201</f>
        <v>5.096733341239494</v>
      </c>
      <c r="CA201">
        <f>VLOOKUP($H201,'1. Set Program Names'!$B$2:$D$15,3,0)*AA201</f>
        <v>5.4075606758283099</v>
      </c>
      <c r="CB201">
        <f>VLOOKUP($H201,'1. Set Program Names'!$B$2:$D$15,3,0)*AB201</f>
        <v>5.7320522171829538</v>
      </c>
      <c r="CC201">
        <f>VLOOKUP($H201,'1. Set Program Names'!$B$2:$D$15,3,0)*AC201</f>
        <v>6.0843497527400494</v>
      </c>
      <c r="CD201">
        <f>VLOOKUP($H201,'1. Set Program Names'!$B$2:$D$15,3,0)*AD201</f>
        <v>6.4690742461719397</v>
      </c>
      <c r="CE201">
        <f>VLOOKUP($H201,'1. Set Program Names'!$B$2:$D$15,3,0)*AE201</f>
        <v>6.8888193819353614</v>
      </c>
    </row>
    <row r="202" spans="1:83" x14ac:dyDescent="0.25">
      <c r="A202" s="20" t="s">
        <v>117</v>
      </c>
      <c r="B202" s="20" t="s">
        <v>88</v>
      </c>
      <c r="C202" s="20" t="s">
        <v>89</v>
      </c>
      <c r="D202" s="20" t="s">
        <v>90</v>
      </c>
      <c r="E202" s="20" t="s">
        <v>91</v>
      </c>
      <c r="F202" s="20" t="s">
        <v>90</v>
      </c>
      <c r="G202" s="20" t="s">
        <v>92</v>
      </c>
      <c r="H202" s="20" t="s">
        <v>9</v>
      </c>
      <c r="I202" s="20" t="s">
        <v>93</v>
      </c>
      <c r="J202" s="20" t="s">
        <v>94</v>
      </c>
      <c r="K202" s="20" t="s">
        <v>95</v>
      </c>
      <c r="L202" s="20">
        <v>1200.2266666666601</v>
      </c>
      <c r="M202" s="20">
        <v>4.8097974252120097E-2</v>
      </c>
      <c r="N202" s="20">
        <v>0.22310492157346501</v>
      </c>
      <c r="O202" s="20">
        <v>1210</v>
      </c>
      <c r="P202" s="20">
        <v>933.85922631496703</v>
      </c>
      <c r="Q202" s="20">
        <v>360.56616574297698</v>
      </c>
      <c r="R202" s="20">
        <v>571.53970184074296</v>
      </c>
      <c r="S202" s="20">
        <v>1535.35818196214</v>
      </c>
      <c r="T202" s="20">
        <v>15</v>
      </c>
      <c r="U202" s="20">
        <v>0.2</v>
      </c>
      <c r="V202" s="20">
        <v>2.6865075506885199</v>
      </c>
      <c r="W202" s="20">
        <v>5.5408241267985696</v>
      </c>
      <c r="X202" s="20">
        <v>8.5617446572290898</v>
      </c>
      <c r="Y202" s="20">
        <v>11.7531164695668</v>
      </c>
      <c r="Z202" s="20">
        <v>15.1186027921689</v>
      </c>
      <c r="AA202" s="20">
        <v>18.652064993942599</v>
      </c>
      <c r="AB202" s="20">
        <v>22.373536435907099</v>
      </c>
      <c r="AC202" s="20">
        <v>26.310562419060201</v>
      </c>
      <c r="AD202" s="20">
        <v>30.492463053161401</v>
      </c>
      <c r="AE202" s="20">
        <v>34.949424314789901</v>
      </c>
      <c r="AF202" t="str">
        <f t="shared" si="14"/>
        <v>Residential</v>
      </c>
      <c r="AG202" t="str">
        <f>tbl_Data_old[[#This Row],[All_Meas_Name_Append]]</f>
        <v>120v Heat Pump Water Heater 50 Gallons</v>
      </c>
      <c r="AH202">
        <f>AVERAGEIFS('3. Incentive Adjustment'!G:G,'3. Incentive Adjustment'!A:A,tbl_Data_old[[#This Row],[Trimmed Sector]],'3. Incentive Adjustment'!B:B,tbl_Data_old[[#This Row],[Trimmed Measure Name]])</f>
        <v>0.38528347196238832</v>
      </c>
      <c r="AI202">
        <f>$AH202*tbl_Data_old[[#This Row],[2025 ]]</f>
        <v>1.0350669565824449</v>
      </c>
      <c r="AJ202">
        <f>$AH202*tbl_Data_old[[#This Row],[2026 ]]</f>
        <v>2.1347879571059214</v>
      </c>
      <c r="AK202">
        <f>$AH202*tbl_Data_old[[#This Row],[2027 ]]</f>
        <v>3.2986987075926519</v>
      </c>
      <c r="AL202">
        <f>$AH202*tbl_Data_old[[#This Row],[2028 ]]</f>
        <v>4.5282815197730244</v>
      </c>
      <c r="AM202">
        <f>$AH202*tbl_Data_old[[#This Row],[2029 ]]</f>
        <v>5.8249477749870922</v>
      </c>
      <c r="AN202">
        <f>$AH202*tbl_Data_old[[#This Row],[2030 ]]</f>
        <v>7.1863323601343279</v>
      </c>
      <c r="AO202">
        <f>$AH202*tbl_Data_old[[#This Row],[2031 ]]</f>
        <v>8.6201537981032867</v>
      </c>
      <c r="AP202">
        <f>$AH202*tbl_Data_old[[#This Row],[2032 ]]</f>
        <v>10.137024838098649</v>
      </c>
      <c r="AQ202">
        <f>$AH202*tbl_Data_old[[#This Row],[2033 ]]</f>
        <v>11.748242033806873</v>
      </c>
      <c r="AR202">
        <f>$AH202*tbl_Data_old[[#This Row],[2034 ]]</f>
        <v>13.465435543088967</v>
      </c>
      <c r="AS202">
        <f>SUM(tbl_Data_old[[#This Row],[Adjusted 2025]:[Adjusted 2034]])</f>
        <v>67.978971489273235</v>
      </c>
      <c r="AT202" s="3">
        <f>AVERAGEIFS('3. Incentive Adjustment'!F:F,'3. Incentive Adjustment'!A:A,tbl_Data_old[[#This Row],[Trimmed Sector]],'3. Incentive Adjustment'!B:B,tbl_Data_old[[#This Row],[Trimmed Measure Name]])</f>
        <v>500</v>
      </c>
      <c r="AU202" s="3">
        <f>IFERROR(VLOOKUP(tbl_Data_old[[#This Row],[All_Meas_Name_Append]],'IRA Tax Credits'!$A$3:$D$46,4,0),0)</f>
        <v>1666.6666666666667</v>
      </c>
      <c r="AV202" s="4">
        <f>tbl_Data_old[[#This Row],[Adj. per unit Incentive ($)]]/tbl_Data_old[[#This Row],[kWh Savings]]*tbl_Data_old[[#This Row],[Sum of Annuals]]</f>
        <v>28.319222267435709</v>
      </c>
      <c r="AW202" s="4">
        <f>IFERROR(VLOOKUP(tbl_Data_old[[#This Row],[All_Programs]],'1. Set Program Names'!$B$2:$D$15,3,0)*tbl_Data_old[[#This Row],[Sum of Annuals]],"")</f>
        <v>30.632860169377285</v>
      </c>
      <c r="AX202" s="4">
        <f>tbl_Data_old[[#This Row],[per unit IRA tax ($)]]/tbl_Data_old[[#This Row],[kWh Savings]]*tbl_Data_old[[#This Row],[Sum of Annuals]]</f>
        <v>94.397407558119028</v>
      </c>
      <c r="AY202" s="4">
        <f>tbl_Data_old[[#This Row],[Avoided Costs ($/unit)]]/tbl_Data_old[[#This Row],[kWh Savings]]*tbl_Data_old[[#This Row],[Sum of Annuals]]</f>
        <v>32.371119702183869</v>
      </c>
      <c r="AZ202" s="4">
        <f>tbl_Data_old[[#This Row],[Lost Revenue ($/unit)]]/tbl_Data_old[[#This Row],[kWh Savings]]*tbl_Data_old[[#This Row],[Sum of Annuals]]</f>
        <v>86.960299230223683</v>
      </c>
      <c r="BA202" s="4">
        <f>tbl_Data_old[[#This Row],[Incremental Cost ($/unit)]]/tbl_Data_old[[#This Row],[kWh Savings]]*tbl_Data_old[[#This Row],[Sum of Annuals]]</f>
        <v>68.532517887194416</v>
      </c>
      <c r="BB202">
        <f>ROUNDUP(tbl_Data_old[[#This Row],[Adjusted 2025]]/$L202,0)</f>
        <v>1</v>
      </c>
      <c r="BC202">
        <f>ROUNDUP(tbl_Data_old[[#This Row],[Adjusted 2026]]/$L202,0)</f>
        <v>1</v>
      </c>
      <c r="BD202">
        <f>ROUNDUP(tbl_Data_old[[#This Row],[Adjusted 2027]]/$L202,0)</f>
        <v>1</v>
      </c>
      <c r="BE202">
        <f>ROUNDUP(tbl_Data_old[[#This Row],[Adjusted 2028]]/$L202,0)</f>
        <v>1</v>
      </c>
      <c r="BF202">
        <f>ROUNDUP(tbl_Data_old[[#This Row],[Adjusted 2029]]/$L202,0)</f>
        <v>1</v>
      </c>
      <c r="BG202">
        <f>ROUNDUP(tbl_Data_old[[#This Row],[Adjusted 2030]]/$L202,0)</f>
        <v>1</v>
      </c>
      <c r="BH202">
        <f>ROUNDUP(tbl_Data_old[[#This Row],[Adjusted 2031]]/$L202,0)</f>
        <v>1</v>
      </c>
      <c r="BI202">
        <f>ROUNDUP(tbl_Data_old[[#This Row],[Adjusted 2032]]/$L202,0)</f>
        <v>1</v>
      </c>
      <c r="BJ202">
        <f>ROUNDUP(tbl_Data_old[[#This Row],[Adjusted 2033]]/$L202,0)</f>
        <v>1</v>
      </c>
      <c r="BK202">
        <f>ROUNDUP(tbl_Data_old[[#This Row],[Adjusted 2034]]/$L202,0)</f>
        <v>1</v>
      </c>
      <c r="BL202" s="3">
        <f t="shared" si="13"/>
        <v>1.1191667479567198</v>
      </c>
      <c r="BM202" s="3">
        <f t="shared" si="13"/>
        <v>2.3082407184748157</v>
      </c>
      <c r="BN202" s="3">
        <f t="shared" si="13"/>
        <v>3.5667198934211606</v>
      </c>
      <c r="BO202" s="3">
        <f t="shared" si="13"/>
        <v>4.8962070232151413</v>
      </c>
      <c r="BP202" s="3">
        <f t="shared" si="13"/>
        <v>6.2982281647504008</v>
      </c>
      <c r="BQ202" s="3">
        <f t="shared" si="13"/>
        <v>7.7702260381133703</v>
      </c>
      <c r="BR202" s="3">
        <f t="shared" si="13"/>
        <v>9.320546300660105</v>
      </c>
      <c r="BS202" s="3">
        <f t="shared" si="13"/>
        <v>10.960663993631902</v>
      </c>
      <c r="BT202" s="3">
        <f t="shared" si="13"/>
        <v>12.702793522263114</v>
      </c>
      <c r="BU202" s="3">
        <f t="shared" si="13"/>
        <v>14.559510001495589</v>
      </c>
      <c r="BV202">
        <f>VLOOKUP($H202,'1. Set Program Names'!$B$2:$D$15,3,0)*V202</f>
        <v>1.2106009894133736</v>
      </c>
      <c r="BW202">
        <f>VLOOKUP($H202,'1. Set Program Names'!$B$2:$D$15,3,0)*W202</f>
        <v>2.496820516416836</v>
      </c>
      <c r="BX202">
        <f>VLOOKUP($H202,'1. Set Program Names'!$B$2:$D$15,3,0)*X202</f>
        <v>3.8581155487502019</v>
      </c>
      <c r="BY202">
        <f>VLOOKUP($H202,'1. Set Program Names'!$B$2:$D$15,3,0)*Y202</f>
        <v>5.2962197791335557</v>
      </c>
      <c r="BZ202">
        <f>VLOOKUP($H202,'1. Set Program Names'!$B$2:$D$15,3,0)*Z202</f>
        <v>6.8127839410154367</v>
      </c>
      <c r="CA202">
        <f>VLOOKUP($H202,'1. Set Program Names'!$B$2:$D$15,3,0)*AA202</f>
        <v>8.4050418285563424</v>
      </c>
      <c r="CB202">
        <f>VLOOKUP($H202,'1. Set Program Names'!$B$2:$D$15,3,0)*AB202</f>
        <v>10.082020926776709</v>
      </c>
      <c r="CC202">
        <f>VLOOKUP($H202,'1. Set Program Names'!$B$2:$D$15,3,0)*AC202</f>
        <v>11.856133770542881</v>
      </c>
      <c r="CD202">
        <f>VLOOKUP($H202,'1. Set Program Names'!$B$2:$D$15,3,0)*AD202</f>
        <v>13.74059266364141</v>
      </c>
      <c r="CE202">
        <f>VLOOKUP($H202,'1. Set Program Names'!$B$2:$D$15,3,0)*AE202</f>
        <v>15.749000089007369</v>
      </c>
    </row>
    <row r="203" spans="1:83" x14ac:dyDescent="0.25">
      <c r="A203" s="20" t="s">
        <v>117</v>
      </c>
      <c r="B203" s="20" t="s">
        <v>88</v>
      </c>
      <c r="C203" s="20" t="s">
        <v>89</v>
      </c>
      <c r="D203" s="20" t="s">
        <v>90</v>
      </c>
      <c r="E203" s="20" t="s">
        <v>91</v>
      </c>
      <c r="F203" s="20" t="s">
        <v>90</v>
      </c>
      <c r="G203" s="20" t="s">
        <v>92</v>
      </c>
      <c r="H203" s="20" t="s">
        <v>9</v>
      </c>
      <c r="I203" s="20" t="s">
        <v>96</v>
      </c>
      <c r="J203" s="20" t="s">
        <v>97</v>
      </c>
      <c r="K203" s="20" t="s">
        <v>98</v>
      </c>
      <c r="L203" s="20">
        <v>5868.07</v>
      </c>
      <c r="M203" s="20">
        <v>0.20813520080661799</v>
      </c>
      <c r="N203" s="20">
        <v>1.1349578069705</v>
      </c>
      <c r="O203" s="20">
        <v>1935.1666666666599</v>
      </c>
      <c r="P203" s="20">
        <v>513.45064263862798</v>
      </c>
      <c r="Q203" s="20">
        <v>1762.8565994851499</v>
      </c>
      <c r="R203" s="20">
        <v>3388.0400735263802</v>
      </c>
      <c r="S203" s="20">
        <v>7811.7411984889604</v>
      </c>
      <c r="T203" s="20">
        <v>16</v>
      </c>
      <c r="U203" s="20">
        <v>0.2</v>
      </c>
      <c r="V203" s="20">
        <v>16.293418512666701</v>
      </c>
      <c r="W203" s="20">
        <v>33.544460620682997</v>
      </c>
      <c r="X203" s="20">
        <v>51.738041032786597</v>
      </c>
      <c r="Y203" s="20">
        <v>70.889431181187007</v>
      </c>
      <c r="Z203" s="20">
        <v>91.012530648565402</v>
      </c>
      <c r="AA203" s="20">
        <v>112.062599842201</v>
      </c>
      <c r="AB203" s="20">
        <v>134.15065094784299</v>
      </c>
      <c r="AC203" s="20">
        <v>157.430803500618</v>
      </c>
      <c r="AD203" s="20">
        <v>182.065815387843</v>
      </c>
      <c r="AE203" s="20">
        <v>208.22158594948399</v>
      </c>
      <c r="AF203" t="str">
        <f t="shared" si="14"/>
        <v>Residential</v>
      </c>
      <c r="AG203" t="str">
        <f>tbl_Data_old[[#This Row],[All_Meas_Name_Append]]</f>
        <v>ASHP - CEE Tier 2: 16.8 SEER/16 SEER2; 9.0 HSPF (from elec resistance)</v>
      </c>
      <c r="AH203">
        <f>AVERAGEIFS('3. Incentive Adjustment'!G:G,'3. Incentive Adjustment'!A:A,tbl_Data_old[[#This Row],[Trimmed Sector]],'3. Incentive Adjustment'!B:B,tbl_Data_old[[#This Row],[Trimmed Measure Name]])</f>
        <v>0.9303958662075158</v>
      </c>
      <c r="AI203">
        <f>$AH203*tbl_Data_old[[#This Row],[2025 ]]</f>
        <v>15.159329230574109</v>
      </c>
      <c r="AJ203">
        <f>$AH203*tbl_Data_old[[#This Row],[2026 ]]</f>
        <v>31.209627495644259</v>
      </c>
      <c r="AK203">
        <f>$AH203*tbl_Data_old[[#This Row],[2027 ]]</f>
        <v>48.136859502579483</v>
      </c>
      <c r="AL203">
        <f>$AH203*tbl_Data_old[[#This Row],[2028 ]]</f>
        <v>65.955233728778566</v>
      </c>
      <c r="AM203">
        <f>$AH203*tbl_Data_old[[#This Row],[2029 ]]</f>
        <v>84.677682288510084</v>
      </c>
      <c r="AN203">
        <f>$AH203*tbl_Data_old[[#This Row],[2030 ]]</f>
        <v>104.26257964965082</v>
      </c>
      <c r="AO203">
        <f>$AH203*tbl_Data_old[[#This Row],[2031 ]]</f>
        <v>124.81321109092048</v>
      </c>
      <c r="AP203">
        <f>$AH203*tbl_Data_old[[#This Row],[2032 ]]</f>
        <v>146.47296879070268</v>
      </c>
      <c r="AQ203">
        <f>$AH203*tbl_Data_old[[#This Row],[2033 ]]</f>
        <v>169.39328201454984</v>
      </c>
      <c r="AR203">
        <f>$AH203*tbl_Data_old[[#This Row],[2034 ]]</f>
        <v>193.72850282257286</v>
      </c>
      <c r="AS203">
        <f>SUM(tbl_Data_old[[#This Row],[Adjusted 2025]:[Adjusted 2034]])</f>
        <v>983.80927661448322</v>
      </c>
      <c r="AT203" s="3">
        <f>AVERAGEIFS('3. Incentive Adjustment'!F:F,'3. Incentive Adjustment'!A:A,tbl_Data_old[[#This Row],[Trimmed Sector]],'3. Incentive Adjustment'!B:B,tbl_Data_old[[#This Row],[Trimmed Measure Name]])</f>
        <v>353</v>
      </c>
      <c r="AU203" s="3">
        <f>IFERROR(VLOOKUP(tbl_Data_old[[#This Row],[All_Meas_Name_Append]],'IRA Tax Credits'!$A$3:$D$46,4,0),0)</f>
        <v>0</v>
      </c>
      <c r="AV203" s="4">
        <f>tbl_Data_old[[#This Row],[Adj. per unit Incentive ($)]]/tbl_Data_old[[#This Row],[kWh Savings]]*tbl_Data_old[[#This Row],[Sum of Annuals]]</f>
        <v>59.18209473385842</v>
      </c>
      <c r="AW203" s="4">
        <f>IFERROR(VLOOKUP(tbl_Data_old[[#This Row],[All_Programs]],'1. Set Program Names'!$B$2:$D$15,3,0)*tbl_Data_old[[#This Row],[Sum of Annuals]],"")</f>
        <v>443.32668387933967</v>
      </c>
      <c r="AX203" s="4">
        <f>tbl_Data_old[[#This Row],[per unit IRA tax ($)]]/tbl_Data_old[[#This Row],[kWh Savings]]*tbl_Data_old[[#This Row],[Sum of Annuals]]</f>
        <v>0</v>
      </c>
      <c r="AY203" s="4">
        <f>tbl_Data_old[[#This Row],[Avoided Costs ($/unit)]]/tbl_Data_old[[#This Row],[kWh Savings]]*tbl_Data_old[[#This Row],[Sum of Annuals]]</f>
        <v>568.020704231011</v>
      </c>
      <c r="AZ203" s="4">
        <f>tbl_Data_old[[#This Row],[Lost Revenue ($/unit)]]/tbl_Data_old[[#This Row],[kWh Savings]]*tbl_Data_old[[#This Row],[Sum of Annuals]]</f>
        <v>1309.6748091936499</v>
      </c>
      <c r="BA203" s="4">
        <f>tbl_Data_old[[#This Row],[Incremental Cost ($/unit)]]/tbl_Data_old[[#This Row],[kWh Savings]]*tbl_Data_old[[#This Row],[Sum of Annuals]]</f>
        <v>324.43970819396969</v>
      </c>
      <c r="BB203">
        <f>ROUNDUP(tbl_Data_old[[#This Row],[Adjusted 2025]]/$L203,0)</f>
        <v>1</v>
      </c>
      <c r="BC203">
        <f>ROUNDUP(tbl_Data_old[[#This Row],[Adjusted 2026]]/$L203,0)</f>
        <v>1</v>
      </c>
      <c r="BD203">
        <f>ROUNDUP(tbl_Data_old[[#This Row],[Adjusted 2027]]/$L203,0)</f>
        <v>1</v>
      </c>
      <c r="BE203">
        <f>ROUNDUP(tbl_Data_old[[#This Row],[Adjusted 2028]]/$L203,0)</f>
        <v>1</v>
      </c>
      <c r="BF203">
        <f>ROUNDUP(tbl_Data_old[[#This Row],[Adjusted 2029]]/$L203,0)</f>
        <v>1</v>
      </c>
      <c r="BG203">
        <f>ROUNDUP(tbl_Data_old[[#This Row],[Adjusted 2030]]/$L203,0)</f>
        <v>1</v>
      </c>
      <c r="BH203">
        <f>ROUNDUP(tbl_Data_old[[#This Row],[Adjusted 2031]]/$L203,0)</f>
        <v>1</v>
      </c>
      <c r="BI203">
        <f>ROUNDUP(tbl_Data_old[[#This Row],[Adjusted 2032]]/$L203,0)</f>
        <v>1</v>
      </c>
      <c r="BJ203">
        <f>ROUNDUP(tbl_Data_old[[#This Row],[Adjusted 2033]]/$L203,0)</f>
        <v>1</v>
      </c>
      <c r="BK203">
        <f>ROUNDUP(tbl_Data_old[[#This Row],[Adjusted 2034]]/$L203,0)</f>
        <v>1</v>
      </c>
      <c r="BL203" s="3">
        <f t="shared" si="13"/>
        <v>0.98014794216349599</v>
      </c>
      <c r="BM203" s="3">
        <f t="shared" si="13"/>
        <v>2.017902751518148</v>
      </c>
      <c r="BN203" s="3">
        <f t="shared" si="13"/>
        <v>3.1123569563031235</v>
      </c>
      <c r="BO203" s="3">
        <f t="shared" si="13"/>
        <v>4.2644292257861638</v>
      </c>
      <c r="BP203" s="3">
        <f t="shared" si="13"/>
        <v>5.4749557041656951</v>
      </c>
      <c r="BQ203" s="3">
        <f t="shared" si="13"/>
        <v>6.7412450335965577</v>
      </c>
      <c r="BR203" s="3">
        <f t="shared" si="13"/>
        <v>8.0699752703339556</v>
      </c>
      <c r="BS203" s="3">
        <f t="shared" si="13"/>
        <v>9.4704176391416865</v>
      </c>
      <c r="BT203" s="3">
        <f t="shared" si="13"/>
        <v>10.952363014058896</v>
      </c>
      <c r="BU203" s="3">
        <f t="shared" si="13"/>
        <v>12.525791246554293</v>
      </c>
      <c r="BV203">
        <f>VLOOKUP($H203,'1. Set Program Names'!$B$2:$D$15,3,0)*V203</f>
        <v>7.3421824432636509</v>
      </c>
      <c r="BW203">
        <f>VLOOKUP($H203,'1. Set Program Names'!$B$2:$D$15,3,0)*W203</f>
        <v>15.115891710905181</v>
      </c>
      <c r="BX203">
        <f>VLOOKUP($H203,'1. Set Program Names'!$B$2:$D$15,3,0)*X203</f>
        <v>23.314330029911432</v>
      </c>
      <c r="BY203">
        <f>VLOOKUP($H203,'1. Set Program Names'!$B$2:$D$15,3,0)*Y203</f>
        <v>31.944379052611222</v>
      </c>
      <c r="BZ203">
        <f>VLOOKUP($H203,'1. Set Program Names'!$B$2:$D$15,3,0)*Z203</f>
        <v>41.012302244946405</v>
      </c>
      <c r="CA203">
        <f>VLOOKUP($H203,'1. Set Program Names'!$B$2:$D$15,3,0)*AA203</f>
        <v>50.497938935788454</v>
      </c>
      <c r="CB203">
        <f>VLOOKUP($H203,'1. Set Program Names'!$B$2:$D$15,3,0)*AB203</f>
        <v>60.451313723754431</v>
      </c>
      <c r="CC203">
        <f>VLOOKUP($H203,'1. Set Program Names'!$B$2:$D$15,3,0)*AC203</f>
        <v>70.941876352867737</v>
      </c>
      <c r="CD203">
        <f>VLOOKUP($H203,'1. Set Program Names'!$B$2:$D$15,3,0)*AD203</f>
        <v>82.042969203785461</v>
      </c>
      <c r="CE203">
        <f>VLOOKUP($H203,'1. Set Program Names'!$B$2:$D$15,3,0)*AE203</f>
        <v>93.82935026669243</v>
      </c>
    </row>
    <row r="204" spans="1:83" x14ac:dyDescent="0.25">
      <c r="A204" s="20" t="s">
        <v>117</v>
      </c>
      <c r="B204" s="20" t="s">
        <v>88</v>
      </c>
      <c r="C204" s="20" t="s">
        <v>89</v>
      </c>
      <c r="D204" s="20" t="s">
        <v>90</v>
      </c>
      <c r="E204" s="20" t="s">
        <v>91</v>
      </c>
      <c r="F204" s="20" t="s">
        <v>90</v>
      </c>
      <c r="G204" s="20" t="s">
        <v>92</v>
      </c>
      <c r="H204" s="20" t="s">
        <v>9</v>
      </c>
      <c r="I204" s="20" t="s">
        <v>99</v>
      </c>
      <c r="J204" s="20" t="s">
        <v>97</v>
      </c>
      <c r="K204" s="20" t="s">
        <v>98</v>
      </c>
      <c r="L204" s="20">
        <v>253.96999999999801</v>
      </c>
      <c r="M204" s="20">
        <v>0.107126245482503</v>
      </c>
      <c r="N204" s="20">
        <v>1.33192706841354E-2</v>
      </c>
      <c r="O204" s="20">
        <v>874.99999999999898</v>
      </c>
      <c r="P204" s="20">
        <v>813.468148399999</v>
      </c>
      <c r="Q204" s="20">
        <v>76.296412716828996</v>
      </c>
      <c r="R204" s="20">
        <v>185.54516688855901</v>
      </c>
      <c r="S204" s="20">
        <v>338.09206641710699</v>
      </c>
      <c r="T204" s="20">
        <v>16</v>
      </c>
      <c r="U204" s="20">
        <v>0.19999999999999901</v>
      </c>
      <c r="V204" s="20">
        <v>0.13097494413893601</v>
      </c>
      <c r="W204" s="20">
        <v>0.27721124933087599</v>
      </c>
      <c r="X204" s="20">
        <v>0.43765531833909099</v>
      </c>
      <c r="Y204" s="20">
        <v>0.61165830089685502</v>
      </c>
      <c r="Z204" s="20">
        <v>0.79868809597354196</v>
      </c>
      <c r="AA204" s="20">
        <v>0.99776461324358401</v>
      </c>
      <c r="AB204" s="20">
        <v>1.2094685998999199</v>
      </c>
      <c r="AC204" s="20">
        <v>1.4349100934919401</v>
      </c>
      <c r="AD204" s="20">
        <v>1.6753813209694399</v>
      </c>
      <c r="AE204" s="20">
        <v>1.9322833918231399</v>
      </c>
      <c r="AF204" t="str">
        <f t="shared" si="14"/>
        <v>Residential</v>
      </c>
      <c r="AG204" t="str">
        <f>tbl_Data_old[[#This Row],[All_Meas_Name_Append]]</f>
        <v>ASHP - ENERGY STAR/CEE Tier 1: 16 SEER/15.2 SEER2_ 9.0 HSPF</v>
      </c>
      <c r="AH204">
        <f>AVERAGEIFS('3. Incentive Adjustment'!G:G,'3. Incentive Adjustment'!A:A,tbl_Data_old[[#This Row],[Trimmed Sector]],'3. Incentive Adjustment'!B:B,tbl_Data_old[[#This Row],[Trimmed Measure Name]])</f>
        <v>8.3636985731950567E-3</v>
      </c>
      <c r="AI204">
        <f>$AH204*tbl_Data_old[[#This Row],[2025 ]]</f>
        <v>1.0954349534191214E-3</v>
      </c>
      <c r="AJ204">
        <f>$AH204*tbl_Data_old[[#This Row],[2026 ]]</f>
        <v>2.3185113305022667E-3</v>
      </c>
      <c r="AK204">
        <f>$AH204*tbl_Data_old[[#This Row],[2027 ]]</f>
        <v>3.6604171615438837E-3</v>
      </c>
      <c r="AL204">
        <f>$AH204*tbl_Data_old[[#This Row],[2028 ]]</f>
        <v>5.1157256584939389E-3</v>
      </c>
      <c r="AM204">
        <f>$AH204*tbl_Data_old[[#This Row],[2029 ]]</f>
        <v>6.6799864887217893E-3</v>
      </c>
      <c r="AN204">
        <f>$AH204*tbl_Data_old[[#This Row],[2030 ]]</f>
        <v>8.3450024721698803E-3</v>
      </c>
      <c r="AO204">
        <f>$AH204*tbl_Data_old[[#This Row],[2031 ]]</f>
        <v>1.0115630803307183E-2</v>
      </c>
      <c r="AP204">
        <f>$AH204*tbl_Data_old[[#This Row],[2032 ]]</f>
        <v>1.2001155501601725E-2</v>
      </c>
      <c r="AQ204">
        <f>$AH204*tbl_Data_old[[#This Row],[2033 ]]</f>
        <v>1.4012384363749754E-2</v>
      </c>
      <c r="AR204">
        <f>$AH204*tbl_Data_old[[#This Row],[2034 ]]</f>
        <v>1.61610358471997E-2</v>
      </c>
      <c r="AS204">
        <f>SUM(tbl_Data_old[[#This Row],[Adjusted 2025]:[Adjusted 2034]])</f>
        <v>7.950528458070924E-2</v>
      </c>
      <c r="AT204" s="3">
        <f>AVERAGEIFS('3. Incentive Adjustment'!F:F,'3. Incentive Adjustment'!A:A,tbl_Data_old[[#This Row],[Trimmed Sector]],'3. Incentive Adjustment'!B:B,tbl_Data_old[[#This Row],[Trimmed Measure Name]])</f>
        <v>353</v>
      </c>
      <c r="AU204" s="3">
        <f>IFERROR(VLOOKUP(tbl_Data_old[[#This Row],[All_Meas_Name_Append]],'IRA Tax Credits'!$A$3:$D$46,4,0),0)</f>
        <v>0</v>
      </c>
      <c r="AV204" s="4">
        <f>tbl_Data_old[[#This Row],[Adj. per unit Incentive ($)]]/tbl_Data_old[[#This Row],[kWh Savings]]*tbl_Data_old[[#This Row],[Sum of Annuals]]</f>
        <v>0.11050661675391023</v>
      </c>
      <c r="AW204" s="4">
        <f>IFERROR(VLOOKUP(tbl_Data_old[[#This Row],[All_Programs]],'1. Set Program Names'!$B$2:$D$15,3,0)*tbl_Data_old[[#This Row],[Sum of Annuals]],"")</f>
        <v>3.5826877222932395E-2</v>
      </c>
      <c r="AX204" s="4">
        <f>tbl_Data_old[[#This Row],[per unit IRA tax ($)]]/tbl_Data_old[[#This Row],[kWh Savings]]*tbl_Data_old[[#This Row],[Sum of Annuals]]</f>
        <v>0</v>
      </c>
      <c r="AY204" s="4">
        <f>tbl_Data_old[[#This Row],[Avoided Costs ($/unit)]]/tbl_Data_old[[#This Row],[kWh Savings]]*tbl_Data_old[[#This Row],[Sum of Annuals]]</f>
        <v>5.808489701953061E-2</v>
      </c>
      <c r="AZ204" s="4">
        <f>tbl_Data_old[[#This Row],[Lost Revenue ($/unit)]]/tbl_Data_old[[#This Row],[kWh Savings]]*tbl_Data_old[[#This Row],[Sum of Annuals]]</f>
        <v>0.10583968954983797</v>
      </c>
      <c r="BA204" s="4">
        <f>tbl_Data_old[[#This Row],[Incremental Cost ($/unit)]]/tbl_Data_old[[#This Row],[kWh Savings]]*tbl_Data_old[[#This Row],[Sum of Annuals]]</f>
        <v>0.27391866759113692</v>
      </c>
      <c r="BB204">
        <f>ROUNDUP(tbl_Data_old[[#This Row],[Adjusted 2025]]/$L204,0)</f>
        <v>1</v>
      </c>
      <c r="BC204">
        <f>ROUNDUP(tbl_Data_old[[#This Row],[Adjusted 2026]]/$L204,0)</f>
        <v>1</v>
      </c>
      <c r="BD204">
        <f>ROUNDUP(tbl_Data_old[[#This Row],[Adjusted 2027]]/$L204,0)</f>
        <v>1</v>
      </c>
      <c r="BE204">
        <f>ROUNDUP(tbl_Data_old[[#This Row],[Adjusted 2028]]/$L204,0)</f>
        <v>1</v>
      </c>
      <c r="BF204">
        <f>ROUNDUP(tbl_Data_old[[#This Row],[Adjusted 2029]]/$L204,0)</f>
        <v>1</v>
      </c>
      <c r="BG204">
        <f>ROUNDUP(tbl_Data_old[[#This Row],[Adjusted 2030]]/$L204,0)</f>
        <v>1</v>
      </c>
      <c r="BH204">
        <f>ROUNDUP(tbl_Data_old[[#This Row],[Adjusted 2031]]/$L204,0)</f>
        <v>1</v>
      </c>
      <c r="BI204">
        <f>ROUNDUP(tbl_Data_old[[#This Row],[Adjusted 2032]]/$L204,0)</f>
        <v>1</v>
      </c>
      <c r="BJ204">
        <f>ROUNDUP(tbl_Data_old[[#This Row],[Adjusted 2033]]/$L204,0)</f>
        <v>1</v>
      </c>
      <c r="BK204">
        <f>ROUNDUP(tbl_Data_old[[#This Row],[Adjusted 2034]]/$L204,0)</f>
        <v>1</v>
      </c>
      <c r="BL204" s="3">
        <f t="shared" si="13"/>
        <v>0.18204573485468667</v>
      </c>
      <c r="BM204" s="3">
        <f t="shared" si="13"/>
        <v>0.38530366190416188</v>
      </c>
      <c r="BN204" s="3">
        <f t="shared" si="13"/>
        <v>0.60830935690711629</v>
      </c>
      <c r="BO204" s="3">
        <f t="shared" si="13"/>
        <v>0.85016096474619651</v>
      </c>
      <c r="BP204" s="3">
        <f t="shared" si="13"/>
        <v>1.1101189033297734</v>
      </c>
      <c r="BQ204" s="3">
        <f t="shared" si="13"/>
        <v>1.3868209177264557</v>
      </c>
      <c r="BR204" s="3">
        <f t="shared" si="13"/>
        <v>1.681074204688251</v>
      </c>
      <c r="BS204" s="3">
        <f t="shared" si="13"/>
        <v>1.9944216364242187</v>
      </c>
      <c r="BT204" s="3">
        <f t="shared" si="13"/>
        <v>2.3286593152821866</v>
      </c>
      <c r="BU204" s="3">
        <f t="shared" si="13"/>
        <v>2.6857346824962542</v>
      </c>
      <c r="BV204">
        <f>VLOOKUP($H204,'1. Set Program Names'!$B$2:$D$15,3,0)*V204</f>
        <v>5.9020268497782788E-2</v>
      </c>
      <c r="BW204">
        <f>VLOOKUP($H204,'1. Set Program Names'!$B$2:$D$15,3,0)*W204</f>
        <v>0.12491765103376223</v>
      </c>
      <c r="BX204">
        <f>VLOOKUP($H204,'1. Set Program Names'!$B$2:$D$15,3,0)*X204</f>
        <v>0.19721737289275082</v>
      </c>
      <c r="BY204">
        <f>VLOOKUP($H204,'1. Set Program Names'!$B$2:$D$15,3,0)*Y204</f>
        <v>0.27562704748730776</v>
      </c>
      <c r="BZ204">
        <f>VLOOKUP($H204,'1. Set Program Names'!$B$2:$D$15,3,0)*Z204</f>
        <v>0.35990689807309501</v>
      </c>
      <c r="CA204">
        <f>VLOOKUP($H204,'1. Set Program Names'!$B$2:$D$15,3,0)*AA204</f>
        <v>0.44961527380958438</v>
      </c>
      <c r="CB204">
        <f>VLOOKUP($H204,'1. Set Program Names'!$B$2:$D$15,3,0)*AB204</f>
        <v>0.54501387250074829</v>
      </c>
      <c r="CC204">
        <f>VLOOKUP($H204,'1. Set Program Names'!$B$2:$D$15,3,0)*AC204</f>
        <v>0.64660290214162253</v>
      </c>
      <c r="CD204">
        <f>VLOOKUP($H204,'1. Set Program Names'!$B$2:$D$15,3,0)*AD204</f>
        <v>0.75496466938664675</v>
      </c>
      <c r="CE204">
        <f>VLOOKUP($H204,'1. Set Program Names'!$B$2:$D$15,3,0)*AE204</f>
        <v>0.87073054582281262</v>
      </c>
    </row>
    <row r="205" spans="1:83" x14ac:dyDescent="0.25">
      <c r="A205" s="20" t="s">
        <v>117</v>
      </c>
      <c r="B205" s="20" t="s">
        <v>88</v>
      </c>
      <c r="C205" s="20" t="s">
        <v>89</v>
      </c>
      <c r="D205" s="20" t="s">
        <v>90</v>
      </c>
      <c r="E205" s="20" t="s">
        <v>91</v>
      </c>
      <c r="F205" s="20" t="s">
        <v>90</v>
      </c>
      <c r="G205" s="20" t="s">
        <v>92</v>
      </c>
      <c r="H205" s="20" t="s">
        <v>9</v>
      </c>
      <c r="I205" s="20" t="s">
        <v>107</v>
      </c>
      <c r="J205" s="20" t="s">
        <v>94</v>
      </c>
      <c r="K205" s="20" t="s">
        <v>108</v>
      </c>
      <c r="L205" s="20">
        <v>1663.1099999999899</v>
      </c>
      <c r="M205" s="20">
        <v>6.6647595975018806E-2</v>
      </c>
      <c r="N205" s="20">
        <v>0.309148293753995</v>
      </c>
      <c r="O205" s="20">
        <v>1389.5</v>
      </c>
      <c r="P205" s="20">
        <v>988.78817699699403</v>
      </c>
      <c r="Q205" s="20">
        <v>499.623289969231</v>
      </c>
      <c r="R205" s="20">
        <v>791.96156853290995</v>
      </c>
      <c r="S205" s="20">
        <v>2127.4894292214699</v>
      </c>
      <c r="T205" s="20">
        <v>15</v>
      </c>
      <c r="U205" s="20">
        <v>0.2</v>
      </c>
      <c r="V205" s="20">
        <v>3.2353518977584601</v>
      </c>
      <c r="W205" s="20">
        <v>6.8334439796002</v>
      </c>
      <c r="X205" s="20">
        <v>10.765812972653499</v>
      </c>
      <c r="Y205" s="20">
        <v>15.014243502131199</v>
      </c>
      <c r="Z205" s="20">
        <v>19.563594568418502</v>
      </c>
      <c r="AA205" s="20">
        <v>24.388057713298402</v>
      </c>
      <c r="AB205" s="20">
        <v>29.4998089538594</v>
      </c>
      <c r="AC205" s="20">
        <v>34.923633910995001</v>
      </c>
      <c r="AD205" s="20">
        <v>40.688425397824801</v>
      </c>
      <c r="AE205" s="20">
        <v>46.825374520584297</v>
      </c>
      <c r="AF205" t="str">
        <f t="shared" si="14"/>
        <v>Residential</v>
      </c>
      <c r="AG205" t="str">
        <f>tbl_Data_old[[#This Row],[All_Meas_Name_Append]]</f>
        <v>Heat Pump Water Heater 50 Gallons- CEE Advanced Tier</v>
      </c>
      <c r="AH205">
        <f>AVERAGEIFS('3. Incentive Adjustment'!G:G,'3. Incentive Adjustment'!A:A,tbl_Data_old[[#This Row],[Trimmed Sector]],'3. Incentive Adjustment'!B:B,tbl_Data_old[[#This Row],[Trimmed Measure Name]])</f>
        <v>0.46049099596140497</v>
      </c>
      <c r="AI205">
        <f>$AH205*tbl_Data_old[[#This Row],[2025 ]]</f>
        <v>1.489850417684415</v>
      </c>
      <c r="AJ205">
        <f>$AH205*tbl_Data_old[[#This Row],[2026 ]]</f>
        <v>3.146739424012563</v>
      </c>
      <c r="AK205">
        <f>$AH205*tbl_Data_old[[#This Row],[2027 ]]</f>
        <v>4.9575599381114239</v>
      </c>
      <c r="AL205">
        <f>$AH205*tbl_Data_old[[#This Row],[2028 ]]</f>
        <v>6.9139239439034492</v>
      </c>
      <c r="AM205">
        <f>$AH205*tbl_Data_old[[#This Row],[2029 ]]</f>
        <v>9.0088591473961692</v>
      </c>
      <c r="AN205">
        <f>$AH205*tbl_Data_old[[#This Row],[2030 ]]</f>
        <v>11.230480985961005</v>
      </c>
      <c r="AO205">
        <f>$AH205*tbl_Data_old[[#This Row],[2031 ]]</f>
        <v>13.584396405833887</v>
      </c>
      <c r="AP205">
        <f>$AH205*tbl_Data_old[[#This Row],[2032 ]]</f>
        <v>16.082018962265586</v>
      </c>
      <c r="AQ205">
        <f>$AH205*tbl_Data_old[[#This Row],[2033 ]]</f>
        <v>18.736653535545667</v>
      </c>
      <c r="AR205">
        <f>$AH205*tbl_Data_old[[#This Row],[2034 ]]</f>
        <v>21.562663349249657</v>
      </c>
      <c r="AS205">
        <f>SUM(tbl_Data_old[[#This Row],[Adjusted 2025]:[Adjusted 2034]])</f>
        <v>106.71314610996382</v>
      </c>
      <c r="AT205" s="3">
        <f>AVERAGEIFS('3. Incentive Adjustment'!F:F,'3. Incentive Adjustment'!A:A,tbl_Data_old[[#This Row],[Trimmed Sector]],'3. Incentive Adjustment'!B:B,tbl_Data_old[[#This Row],[Trimmed Measure Name]])</f>
        <v>500</v>
      </c>
      <c r="AU205" s="3">
        <f>IFERROR(VLOOKUP(tbl_Data_old[[#This Row],[All_Meas_Name_Append]],'IRA Tax Credits'!$A$3:$D$46,4,0),0)</f>
        <v>1666.6666666666667</v>
      </c>
      <c r="AV205" s="4">
        <f>tbl_Data_old[[#This Row],[Adj. per unit Incentive ($)]]/tbl_Data_old[[#This Row],[kWh Savings]]*tbl_Data_old[[#This Row],[Sum of Annuals]]</f>
        <v>32.08240769100194</v>
      </c>
      <c r="AW205" s="4">
        <f>IFERROR(VLOOKUP(tbl_Data_old[[#This Row],[All_Programs]],'1. Set Program Names'!$B$2:$D$15,3,0)*tbl_Data_old[[#This Row],[Sum of Annuals]],"")</f>
        <v>48.087354242137522</v>
      </c>
      <c r="AX205" s="4">
        <f>tbl_Data_old[[#This Row],[per unit IRA tax ($)]]/tbl_Data_old[[#This Row],[kWh Savings]]*tbl_Data_old[[#This Row],[Sum of Annuals]]</f>
        <v>106.94135897000646</v>
      </c>
      <c r="AY205" s="4">
        <f>tbl_Data_old[[#This Row],[Avoided Costs ($/unit)]]/tbl_Data_old[[#This Row],[kWh Savings]]*tbl_Data_old[[#This Row],[Sum of Annuals]]</f>
        <v>50.816067834556371</v>
      </c>
      <c r="AZ205" s="4">
        <f>tbl_Data_old[[#This Row],[Lost Revenue ($/unit)]]/tbl_Data_old[[#This Row],[kWh Savings]]*tbl_Data_old[[#This Row],[Sum of Annuals]]</f>
        <v>136.50996645316042</v>
      </c>
      <c r="BA205" s="4">
        <f>tbl_Data_old[[#This Row],[Incremental Cost ($/unit)]]/tbl_Data_old[[#This Row],[kWh Savings]]*tbl_Data_old[[#This Row],[Sum of Annuals]]</f>
        <v>89.157010973294376</v>
      </c>
      <c r="BB205">
        <f>ROUNDUP(tbl_Data_old[[#This Row],[Adjusted 2025]]/$L205,0)</f>
        <v>1</v>
      </c>
      <c r="BC205">
        <f>ROUNDUP(tbl_Data_old[[#This Row],[Adjusted 2026]]/$L205,0)</f>
        <v>1</v>
      </c>
      <c r="BD205">
        <f>ROUNDUP(tbl_Data_old[[#This Row],[Adjusted 2027]]/$L205,0)</f>
        <v>1</v>
      </c>
      <c r="BE205">
        <f>ROUNDUP(tbl_Data_old[[#This Row],[Adjusted 2028]]/$L205,0)</f>
        <v>1</v>
      </c>
      <c r="BF205">
        <f>ROUNDUP(tbl_Data_old[[#This Row],[Adjusted 2029]]/$L205,0)</f>
        <v>1</v>
      </c>
      <c r="BG205">
        <f>ROUNDUP(tbl_Data_old[[#This Row],[Adjusted 2030]]/$L205,0)</f>
        <v>1</v>
      </c>
      <c r="BH205">
        <f>ROUNDUP(tbl_Data_old[[#This Row],[Adjusted 2031]]/$L205,0)</f>
        <v>1</v>
      </c>
      <c r="BI205">
        <f>ROUNDUP(tbl_Data_old[[#This Row],[Adjusted 2032]]/$L205,0)</f>
        <v>1</v>
      </c>
      <c r="BJ205">
        <f>ROUNDUP(tbl_Data_old[[#This Row],[Adjusted 2033]]/$L205,0)</f>
        <v>1</v>
      </c>
      <c r="BK205">
        <f>ROUNDUP(tbl_Data_old[[#This Row],[Adjusted 2034]]/$L205,0)</f>
        <v>1</v>
      </c>
      <c r="BL205" s="3">
        <f t="shared" si="13"/>
        <v>0.97268127116019987</v>
      </c>
      <c r="BM205" s="3">
        <f t="shared" si="13"/>
        <v>2.0544173204418956</v>
      </c>
      <c r="BN205" s="3">
        <f t="shared" si="13"/>
        <v>3.2366509048269703</v>
      </c>
      <c r="BO205" s="3">
        <f t="shared" si="13"/>
        <v>4.5139057254575139</v>
      </c>
      <c r="BP205" s="3">
        <f t="shared" si="13"/>
        <v>5.8816297684514618</v>
      </c>
      <c r="BQ205" s="3">
        <f t="shared" si="13"/>
        <v>7.3320639384341835</v>
      </c>
      <c r="BR205" s="3">
        <f t="shared" si="13"/>
        <v>8.8688688522886583</v>
      </c>
      <c r="BS205" s="3">
        <f t="shared" si="13"/>
        <v>10.499496097971637</v>
      </c>
      <c r="BT205" s="3">
        <f t="shared" si="13"/>
        <v>12.232632056155351</v>
      </c>
      <c r="BU205" s="3">
        <f t="shared" si="13"/>
        <v>14.077654069960671</v>
      </c>
      <c r="BV205">
        <f>VLOOKUP($H205,'1. Set Program Names'!$B$2:$D$15,3,0)*V205</f>
        <v>1.4579226503655345</v>
      </c>
      <c r="BW205">
        <f>VLOOKUP($H205,'1. Set Program Names'!$B$2:$D$15,3,0)*W205</f>
        <v>3.0793042218268472</v>
      </c>
      <c r="BX205">
        <f>VLOOKUP($H205,'1. Set Program Names'!$B$2:$D$15,3,0)*X205</f>
        <v>4.8513185206546057</v>
      </c>
      <c r="BY205">
        <f>VLOOKUP($H205,'1. Set Program Names'!$B$2:$D$15,3,0)*Y205</f>
        <v>6.7657572874920771</v>
      </c>
      <c r="BZ205">
        <f>VLOOKUP($H205,'1. Set Program Names'!$B$2:$D$15,3,0)*Z205</f>
        <v>8.8157976458840341</v>
      </c>
      <c r="CA205">
        <f>VLOOKUP($H205,'1. Set Program Names'!$B$2:$D$15,3,0)*AA205</f>
        <v>10.989809721555703</v>
      </c>
      <c r="CB205">
        <f>VLOOKUP($H205,'1. Set Program Names'!$B$2:$D$15,3,0)*AB205</f>
        <v>13.293280302858257</v>
      </c>
      <c r="CC205">
        <f>VLOOKUP($H205,'1. Set Program Names'!$B$2:$D$15,3,0)*AC205</f>
        <v>15.737378350463036</v>
      </c>
      <c r="CD205">
        <f>VLOOKUP($H205,'1. Set Program Names'!$B$2:$D$15,3,0)*AD205</f>
        <v>18.3351236186382</v>
      </c>
      <c r="CE205">
        <f>VLOOKUP($H205,'1. Set Program Names'!$B$2:$D$15,3,0)*AE205</f>
        <v>21.100571524447403</v>
      </c>
    </row>
    <row r="206" spans="1:83" x14ac:dyDescent="0.25">
      <c r="A206" s="20" t="s">
        <v>117</v>
      </c>
      <c r="B206" s="20" t="s">
        <v>88</v>
      </c>
      <c r="C206" s="20" t="s">
        <v>89</v>
      </c>
      <c r="D206" s="20" t="s">
        <v>90</v>
      </c>
      <c r="E206" s="20" t="s">
        <v>91</v>
      </c>
      <c r="F206" s="20" t="s">
        <v>90</v>
      </c>
      <c r="G206" s="20" t="s">
        <v>92</v>
      </c>
      <c r="H206" s="20" t="s">
        <v>9</v>
      </c>
      <c r="I206" s="20" t="s">
        <v>109</v>
      </c>
      <c r="J206" s="20" t="s">
        <v>94</v>
      </c>
      <c r="K206" s="20" t="s">
        <v>95</v>
      </c>
      <c r="L206" s="20">
        <v>1590.11499999999</v>
      </c>
      <c r="M206" s="20">
        <v>6.3722388822036402E-2</v>
      </c>
      <c r="N206" s="20">
        <v>0.29557957027655002</v>
      </c>
      <c r="O206" s="20">
        <v>1389.5</v>
      </c>
      <c r="P206" s="20">
        <v>1006.47372867305</v>
      </c>
      <c r="Q206" s="20">
        <v>477.694492685044</v>
      </c>
      <c r="R206" s="20">
        <v>757.20185047754296</v>
      </c>
      <c r="S206" s="20">
        <v>2034.1125083407001</v>
      </c>
      <c r="T206" s="20">
        <v>15</v>
      </c>
      <c r="U206" s="20">
        <v>0.2</v>
      </c>
      <c r="V206" s="20">
        <v>4.6235535078983103</v>
      </c>
      <c r="W206" s="20">
        <v>9.7633809204362105</v>
      </c>
      <c r="X206" s="20">
        <v>15.378648806317599</v>
      </c>
      <c r="Y206" s="20">
        <v>21.4432388243433</v>
      </c>
      <c r="Z206" s="20">
        <v>27.935478029774199</v>
      </c>
      <c r="AA206" s="20">
        <v>34.818518046807597</v>
      </c>
      <c r="AB206" s="20">
        <v>42.109735840697297</v>
      </c>
      <c r="AC206" s="20">
        <v>49.844492764461897</v>
      </c>
      <c r="AD206" s="20">
        <v>58.063997984519297</v>
      </c>
      <c r="AE206" s="20">
        <v>66.812727696170299</v>
      </c>
      <c r="AF206" t="str">
        <f t="shared" si="14"/>
        <v>Residential</v>
      </c>
      <c r="AG206" t="str">
        <f>tbl_Data_old[[#This Row],[All_Meas_Name_Append]]</f>
        <v>Heat Pump Water Heater 50 Gallons-ENERGY STAR</v>
      </c>
      <c r="AH206">
        <f>AVERAGEIFS('3. Incentive Adjustment'!G:G,'3. Incentive Adjustment'!A:A,tbl_Data_old[[#This Row],[Trimmed Sector]],'3. Incentive Adjustment'!B:B,tbl_Data_old[[#This Row],[Trimmed Measure Name]])</f>
        <v>0.43153525594917136</v>
      </c>
      <c r="AI206">
        <f>$AH206*tbl_Data_old[[#This Row],[2025 ]]</f>
        <v>1.9952263464255864</v>
      </c>
      <c r="AJ206">
        <f>$AH206*tbl_Data_old[[#This Row],[2026 ]]</f>
        <v>4.2132430844296964</v>
      </c>
      <c r="AK206">
        <f>$AH206*tbl_Data_old[[#This Row],[2027 ]]</f>
        <v>6.636429148786684</v>
      </c>
      <c r="AL206">
        <f>$AH206*tbl_Data_old[[#This Row],[2028 ]]</f>
        <v>9.2535135544421951</v>
      </c>
      <c r="AM206">
        <f>$AH206*tbl_Data_old[[#This Row],[2029 ]]</f>
        <v>12.055143661641063</v>
      </c>
      <c r="AN206">
        <f>$AH206*tbl_Data_old[[#This Row],[2030 ]]</f>
        <v>15.025418097099958</v>
      </c>
      <c r="AO206">
        <f>$AH206*tbl_Data_old[[#This Row],[2031 ]]</f>
        <v>18.171835633967302</v>
      </c>
      <c r="AP206">
        <f>$AH206*tbl_Data_old[[#This Row],[2032 ]]</f>
        <v>21.509655942768685</v>
      </c>
      <c r="AQ206">
        <f>$AH206*tbl_Data_old[[#This Row],[2033 ]]</f>
        <v>25.056662231681706</v>
      </c>
      <c r="AR206">
        <f>$AH206*tbl_Data_old[[#This Row],[2034 ]]</f>
        <v>28.832047547029141</v>
      </c>
      <c r="AS206">
        <f>SUM(tbl_Data_old[[#This Row],[Adjusted 2025]:[Adjusted 2034]])</f>
        <v>142.74917524827202</v>
      </c>
      <c r="AT206" s="3">
        <f>AVERAGEIFS('3. Incentive Adjustment'!F:F,'3. Incentive Adjustment'!A:A,tbl_Data_old[[#This Row],[Trimmed Sector]],'3. Incentive Adjustment'!B:B,tbl_Data_old[[#This Row],[Trimmed Measure Name]])</f>
        <v>500</v>
      </c>
      <c r="AU206" s="3">
        <f>IFERROR(VLOOKUP(tbl_Data_old[[#This Row],[All_Meas_Name_Append]],'IRA Tax Credits'!$A$3:$D$46,4,0),0)</f>
        <v>1666.6666666666667</v>
      </c>
      <c r="AV206" s="4">
        <f>tbl_Data_old[[#This Row],[Adj. per unit Incentive ($)]]/tbl_Data_old[[#This Row],[kWh Savings]]*tbl_Data_old[[#This Row],[Sum of Annuals]]</f>
        <v>44.886431248140198</v>
      </c>
      <c r="AW206" s="4">
        <f>IFERROR(VLOOKUP(tbl_Data_old[[#This Row],[All_Programs]],'1. Set Program Names'!$B$2:$D$15,3,0)*tbl_Data_old[[#This Row],[Sum of Annuals]],"")</f>
        <v>64.326003010567163</v>
      </c>
      <c r="AX206" s="4">
        <f>tbl_Data_old[[#This Row],[per unit IRA tax ($)]]/tbl_Data_old[[#This Row],[kWh Savings]]*tbl_Data_old[[#This Row],[Sum of Annuals]]</f>
        <v>149.62143749380067</v>
      </c>
      <c r="AY206" s="4">
        <f>tbl_Data_old[[#This Row],[Avoided Costs ($/unit)]]/tbl_Data_old[[#This Row],[kWh Savings]]*tbl_Data_old[[#This Row],[Sum of Annuals]]</f>
        <v>67.976177604849539</v>
      </c>
      <c r="AZ206" s="4">
        <f>tbl_Data_old[[#This Row],[Lost Revenue ($/unit)]]/tbl_Data_old[[#This Row],[kWh Savings]]*tbl_Data_old[[#This Row],[Sum of Annuals]]</f>
        <v>182.60810251323372</v>
      </c>
      <c r="BA206" s="4">
        <f>tbl_Data_old[[#This Row],[Incremental Cost ($/unit)]]/tbl_Data_old[[#This Row],[kWh Savings]]*tbl_Data_old[[#This Row],[Sum of Annuals]]</f>
        <v>124.73939243858163</v>
      </c>
      <c r="BB206">
        <f>ROUNDUP(tbl_Data_old[[#This Row],[Adjusted 2025]]/$L206,0)</f>
        <v>1</v>
      </c>
      <c r="BC206">
        <f>ROUNDUP(tbl_Data_old[[#This Row],[Adjusted 2026]]/$L206,0)</f>
        <v>1</v>
      </c>
      <c r="BD206">
        <f>ROUNDUP(tbl_Data_old[[#This Row],[Adjusted 2027]]/$L206,0)</f>
        <v>1</v>
      </c>
      <c r="BE206">
        <f>ROUNDUP(tbl_Data_old[[#This Row],[Adjusted 2028]]/$L206,0)</f>
        <v>1</v>
      </c>
      <c r="BF206">
        <f>ROUNDUP(tbl_Data_old[[#This Row],[Adjusted 2029]]/$L206,0)</f>
        <v>1</v>
      </c>
      <c r="BG206">
        <f>ROUNDUP(tbl_Data_old[[#This Row],[Adjusted 2030]]/$L206,0)</f>
        <v>1</v>
      </c>
      <c r="BH206">
        <f>ROUNDUP(tbl_Data_old[[#This Row],[Adjusted 2031]]/$L206,0)</f>
        <v>1</v>
      </c>
      <c r="BI206">
        <f>ROUNDUP(tbl_Data_old[[#This Row],[Adjusted 2032]]/$L206,0)</f>
        <v>1</v>
      </c>
      <c r="BJ206">
        <f>ROUNDUP(tbl_Data_old[[#This Row],[Adjusted 2033]]/$L206,0)</f>
        <v>1</v>
      </c>
      <c r="BK206">
        <f>ROUNDUP(tbl_Data_old[[#This Row],[Adjusted 2034]]/$L206,0)</f>
        <v>1</v>
      </c>
      <c r="BL206" s="3">
        <f t="shared" si="13"/>
        <v>1.4538424918632737</v>
      </c>
      <c r="BM206" s="3">
        <f t="shared" si="13"/>
        <v>3.0700235267374598</v>
      </c>
      <c r="BN206" s="3">
        <f t="shared" si="13"/>
        <v>4.8357033316199445</v>
      </c>
      <c r="BO206" s="3">
        <f t="shared" si="13"/>
        <v>6.7426691856700405</v>
      </c>
      <c r="BP206" s="3">
        <f t="shared" si="13"/>
        <v>8.7841061903618201</v>
      </c>
      <c r="BQ206" s="3">
        <f t="shared" si="13"/>
        <v>10.948427644166559</v>
      </c>
      <c r="BR206" s="3">
        <f t="shared" si="13"/>
        <v>13.241097606367326</v>
      </c>
      <c r="BS206" s="3">
        <f t="shared" si="13"/>
        <v>15.673235195084068</v>
      </c>
      <c r="BT206" s="3">
        <f t="shared" si="13"/>
        <v>18.257798330472845</v>
      </c>
      <c r="BU206" s="3">
        <f t="shared" si="13"/>
        <v>21.00877222596187</v>
      </c>
      <c r="BV206">
        <f>VLOOKUP($H206,'1. Set Program Names'!$B$2:$D$15,3,0)*V206</f>
        <v>2.0834776547837555</v>
      </c>
      <c r="BW206">
        <f>VLOOKUP($H206,'1. Set Program Names'!$B$2:$D$15,3,0)*W206</f>
        <v>4.3995999934079908</v>
      </c>
      <c r="BX206">
        <f>VLOOKUP($H206,'1. Set Program Names'!$B$2:$D$15,3,0)*X206</f>
        <v>6.9299665493206826</v>
      </c>
      <c r="BY206">
        <f>VLOOKUP($H206,'1. Set Program Names'!$B$2:$D$15,3,0)*Y206</f>
        <v>9.6628078079751631</v>
      </c>
      <c r="BZ206">
        <f>VLOOKUP($H206,'1. Set Program Names'!$B$2:$D$15,3,0)*Z206</f>
        <v>12.588357450889303</v>
      </c>
      <c r="CA206">
        <f>VLOOKUP($H206,'1. Set Program Names'!$B$2:$D$15,3,0)*AA206</f>
        <v>15.69001076753713</v>
      </c>
      <c r="CB206">
        <f>VLOOKUP($H206,'1. Set Program Names'!$B$2:$D$15,3,0)*AB206</f>
        <v>18.975598211000325</v>
      </c>
      <c r="CC206">
        <f>VLOOKUP($H206,'1. Set Program Names'!$B$2:$D$15,3,0)*AC206</f>
        <v>22.461054405747127</v>
      </c>
      <c r="CD206">
        <f>VLOOKUP($H206,'1. Set Program Names'!$B$2:$D$15,3,0)*AD206</f>
        <v>26.164949133063146</v>
      </c>
      <c r="CE206">
        <f>VLOOKUP($H206,'1. Set Program Names'!$B$2:$D$15,3,0)*AE206</f>
        <v>30.107324371249423</v>
      </c>
    </row>
    <row r="207" spans="1:83" x14ac:dyDescent="0.25">
      <c r="A207" s="20" t="s">
        <v>117</v>
      </c>
      <c r="B207" s="20" t="s">
        <v>88</v>
      </c>
      <c r="C207" s="20" t="s">
        <v>89</v>
      </c>
      <c r="D207" s="20" t="s">
        <v>90</v>
      </c>
      <c r="E207" s="20" t="s">
        <v>91</v>
      </c>
      <c r="F207" s="20" t="s">
        <v>90</v>
      </c>
      <c r="G207" s="20" t="s">
        <v>92</v>
      </c>
      <c r="H207" s="20" t="s">
        <v>9</v>
      </c>
      <c r="I207" s="20" t="s">
        <v>110</v>
      </c>
      <c r="J207" s="20" t="s">
        <v>94</v>
      </c>
      <c r="K207" s="20" t="s">
        <v>108</v>
      </c>
      <c r="L207" s="20">
        <v>461.909999999999</v>
      </c>
      <c r="M207" s="20">
        <v>1.8510616289253799E-2</v>
      </c>
      <c r="N207" s="20">
        <v>8.5862443475120898E-2</v>
      </c>
      <c r="O207" s="20">
        <v>1729.5</v>
      </c>
      <c r="P207" s="20">
        <v>1631.9996867488601</v>
      </c>
      <c r="Q207" s="20">
        <v>138.764720234794</v>
      </c>
      <c r="R207" s="20">
        <v>219.958372038552</v>
      </c>
      <c r="S207" s="20">
        <v>590.88613636602201</v>
      </c>
      <c r="T207" s="20">
        <v>15</v>
      </c>
      <c r="U207" s="20">
        <v>0.2</v>
      </c>
      <c r="V207" s="20">
        <v>2.48711855099197</v>
      </c>
      <c r="W207" s="20">
        <v>5.2535765300141604</v>
      </c>
      <c r="X207" s="20">
        <v>8.2775259459755794</v>
      </c>
      <c r="Y207" s="20">
        <v>11.5449799035807</v>
      </c>
      <c r="Z207" s="20">
        <v>15.0443025601685</v>
      </c>
      <c r="AA207" s="20">
        <v>18.755641646357599</v>
      </c>
      <c r="AB207" s="20">
        <v>22.688357837186899</v>
      </c>
      <c r="AC207" s="20">
        <v>26.8615132180926</v>
      </c>
      <c r="AD207" s="20">
        <v>31.2973319626593</v>
      </c>
      <c r="AE207" s="20">
        <v>36.019808777515102</v>
      </c>
      <c r="AF207" t="str">
        <f t="shared" si="14"/>
        <v>Residential</v>
      </c>
      <c r="AG207" t="str">
        <f>tbl_Data_old[[#This Row],[All_Meas_Name_Append]]</f>
        <v>Heat Pump Water Heater 80 Gallons-ENERGY STAR</v>
      </c>
      <c r="AH207">
        <f>AVERAGEIFS('3. Incentive Adjustment'!G:G,'3. Incentive Adjustment'!A:A,tbl_Data_old[[#This Row],[Trimmed Sector]],'3. Incentive Adjustment'!B:B,tbl_Data_old[[#This Row],[Trimmed Measure Name]])</f>
        <v>1.5551101216712928E-3</v>
      </c>
      <c r="AI207">
        <f>$AH207*tbl_Data_old[[#This Row],[2025 ]]</f>
        <v>3.8677432324440517E-3</v>
      </c>
      <c r="AJ207">
        <f>$AH207*tbl_Data_old[[#This Row],[2026 ]]</f>
        <v>8.1698900367997689E-3</v>
      </c>
      <c r="AK207">
        <f>$AH207*tbl_Data_old[[#This Row],[2027 ]]</f>
        <v>1.2872464380983367E-2</v>
      </c>
      <c r="AL207">
        <f>$AH207*tbl_Data_old[[#This Row],[2028 ]]</f>
        <v>1.7953715102550012E-2</v>
      </c>
      <c r="AM207">
        <f>$AH207*tbl_Data_old[[#This Row],[2029 ]]</f>
        <v>2.3395547184803377E-2</v>
      </c>
      <c r="AN207">
        <f>$AH207*tbl_Data_old[[#This Row],[2030 ]]</f>
        <v>2.9167088162690331E-2</v>
      </c>
      <c r="AO207">
        <f>$AH207*tbl_Data_old[[#This Row],[2031 ]]</f>
        <v>3.5282894916709551E-2</v>
      </c>
      <c r="AP207">
        <f>$AH207*tbl_Data_old[[#This Row],[2032 ]]</f>
        <v>4.1772611088863022E-2</v>
      </c>
      <c r="AQ207">
        <f>$AH207*tbl_Data_old[[#This Row],[2033 ]]</f>
        <v>4.8670797716437945E-2</v>
      </c>
      <c r="AR207">
        <f>$AH207*tbl_Data_old[[#This Row],[2034 ]]</f>
        <v>5.6014769210578214E-2</v>
      </c>
      <c r="AS207">
        <f>SUM(tbl_Data_old[[#This Row],[Adjusted 2025]:[Adjusted 2034]])</f>
        <v>0.27716752103285963</v>
      </c>
      <c r="AT207" s="3">
        <f>AVERAGEIFS('3. Incentive Adjustment'!F:F,'3. Incentive Adjustment'!A:A,tbl_Data_old[[#This Row],[Trimmed Sector]],'3. Incentive Adjustment'!B:B,tbl_Data_old[[#This Row],[Trimmed Measure Name]])</f>
        <v>500</v>
      </c>
      <c r="AU207" s="3">
        <f>IFERROR(VLOOKUP(tbl_Data_old[[#This Row],[All_Meas_Name_Append]],'IRA Tax Credits'!$A$3:$D$46,4,0),0)</f>
        <v>1666.6666666666667</v>
      </c>
      <c r="AV207" s="4">
        <f>tbl_Data_old[[#This Row],[Adj. per unit Incentive ($)]]/tbl_Data_old[[#This Row],[kWh Savings]]*tbl_Data_old[[#This Row],[Sum of Annuals]]</f>
        <v>0.30002329569922742</v>
      </c>
      <c r="AW207" s="4">
        <f>IFERROR(VLOOKUP(tbl_Data_old[[#This Row],[All_Programs]],'1. Set Program Names'!$B$2:$D$15,3,0)*tbl_Data_old[[#This Row],[Sum of Annuals]],"")</f>
        <v>0.12489794607487224</v>
      </c>
      <c r="AX207" s="4">
        <f>tbl_Data_old[[#This Row],[per unit IRA tax ($)]]/tbl_Data_old[[#This Row],[kWh Savings]]*tbl_Data_old[[#This Row],[Sum of Annuals]]</f>
        <v>1.000077652330758</v>
      </c>
      <c r="AY207" s="4">
        <f>tbl_Data_old[[#This Row],[Avoided Costs ($/unit)]]/tbl_Data_old[[#This Row],[kWh Savings]]*tbl_Data_old[[#This Row],[Sum of Annuals]]</f>
        <v>0.13198527139128632</v>
      </c>
      <c r="AZ207" s="4">
        <f>tbl_Data_old[[#This Row],[Lost Revenue ($/unit)]]/tbl_Data_old[[#This Row],[kWh Savings]]*tbl_Data_old[[#This Row],[Sum of Annuals]]</f>
        <v>0.35455921203103402</v>
      </c>
      <c r="BA207" s="4">
        <f>tbl_Data_old[[#This Row],[Incremental Cost ($/unit)]]/tbl_Data_old[[#This Row],[kWh Savings]]*tbl_Data_old[[#This Row],[Sum of Annuals]]</f>
        <v>1.0377805798236275</v>
      </c>
      <c r="BB207">
        <f>ROUNDUP(tbl_Data_old[[#This Row],[Adjusted 2025]]/$L207,0)</f>
        <v>1</v>
      </c>
      <c r="BC207">
        <f>ROUNDUP(tbl_Data_old[[#This Row],[Adjusted 2026]]/$L207,0)</f>
        <v>1</v>
      </c>
      <c r="BD207">
        <f>ROUNDUP(tbl_Data_old[[#This Row],[Adjusted 2027]]/$L207,0)</f>
        <v>1</v>
      </c>
      <c r="BE207">
        <f>ROUNDUP(tbl_Data_old[[#This Row],[Adjusted 2028]]/$L207,0)</f>
        <v>1</v>
      </c>
      <c r="BF207">
        <f>ROUNDUP(tbl_Data_old[[#This Row],[Adjusted 2029]]/$L207,0)</f>
        <v>1</v>
      </c>
      <c r="BG207">
        <f>ROUNDUP(tbl_Data_old[[#This Row],[Adjusted 2030]]/$L207,0)</f>
        <v>1</v>
      </c>
      <c r="BH207">
        <f>ROUNDUP(tbl_Data_old[[#This Row],[Adjusted 2031]]/$L207,0)</f>
        <v>1</v>
      </c>
      <c r="BI207">
        <f>ROUNDUP(tbl_Data_old[[#This Row],[Adjusted 2032]]/$L207,0)</f>
        <v>1</v>
      </c>
      <c r="BJ207">
        <f>ROUNDUP(tbl_Data_old[[#This Row],[Adjusted 2033]]/$L207,0)</f>
        <v>1</v>
      </c>
      <c r="BK207">
        <f>ROUNDUP(tbl_Data_old[[#This Row],[Adjusted 2034]]/$L207,0)</f>
        <v>1</v>
      </c>
      <c r="BL207" s="3">
        <f t="shared" si="13"/>
        <v>2.6922112002251257</v>
      </c>
      <c r="BM207" s="3">
        <f t="shared" si="13"/>
        <v>5.6867967028362365</v>
      </c>
      <c r="BN207" s="3">
        <f t="shared" si="13"/>
        <v>8.9601068887614446</v>
      </c>
      <c r="BO207" s="3">
        <f t="shared" si="13"/>
        <v>12.497001476024254</v>
      </c>
      <c r="BP207" s="3">
        <f t="shared" si="13"/>
        <v>16.284885107670902</v>
      </c>
      <c r="BQ207" s="3">
        <f t="shared" si="13"/>
        <v>20.302268457445869</v>
      </c>
      <c r="BR207" s="3">
        <f t="shared" si="13"/>
        <v>24.559284099918763</v>
      </c>
      <c r="BS207" s="3">
        <f t="shared" si="13"/>
        <v>29.076566017289796</v>
      </c>
      <c r="BT207" s="3">
        <f t="shared" si="13"/>
        <v>33.878171031866998</v>
      </c>
      <c r="BU207" s="3">
        <f t="shared" si="13"/>
        <v>38.990072500611788</v>
      </c>
      <c r="BV207">
        <f>VLOOKUP($H207,'1. Set Program Names'!$B$2:$D$15,3,0)*V207</f>
        <v>1.1207518020366534</v>
      </c>
      <c r="BW207">
        <f>VLOOKUP($H207,'1. Set Program Names'!$B$2:$D$15,3,0)*W207</f>
        <v>2.3673802605036531</v>
      </c>
      <c r="BX207">
        <f>VLOOKUP($H207,'1. Set Program Names'!$B$2:$D$15,3,0)*X207</f>
        <v>3.7300401770784899</v>
      </c>
      <c r="BY207">
        <f>VLOOKUP($H207,'1. Set Program Names'!$B$2:$D$15,3,0)*Y207</f>
        <v>5.2024287407829295</v>
      </c>
      <c r="BZ207">
        <f>VLOOKUP($H207,'1. Set Program Names'!$B$2:$D$15,3,0)*Z207</f>
        <v>6.7793025780651348</v>
      </c>
      <c r="CA207">
        <f>VLOOKUP($H207,'1. Set Program Names'!$B$2:$D$15,3,0)*AA207</f>
        <v>8.4517158078874584</v>
      </c>
      <c r="CB207">
        <f>VLOOKUP($H207,'1. Set Program Names'!$B$2:$D$15,3,0)*AB207</f>
        <v>10.223886561876135</v>
      </c>
      <c r="CC207">
        <f>VLOOKUP($H207,'1. Set Program Names'!$B$2:$D$15,3,0)*AC207</f>
        <v>12.104404646333188</v>
      </c>
      <c r="CD207">
        <f>VLOOKUP($H207,'1. Set Program Names'!$B$2:$D$15,3,0)*AD207</f>
        <v>14.10328477591055</v>
      </c>
      <c r="CE207">
        <f>VLOOKUP($H207,'1. Set Program Names'!$B$2:$D$15,3,0)*AE207</f>
        <v>16.231339507445156</v>
      </c>
    </row>
    <row r="208" spans="1:83" x14ac:dyDescent="0.25">
      <c r="A208" s="20" t="s">
        <v>117</v>
      </c>
      <c r="B208" s="20" t="s">
        <v>88</v>
      </c>
      <c r="C208" s="20" t="s">
        <v>89</v>
      </c>
      <c r="D208" s="20" t="s">
        <v>90</v>
      </c>
      <c r="E208" s="20" t="s">
        <v>91</v>
      </c>
      <c r="F208" s="20" t="s">
        <v>90</v>
      </c>
      <c r="G208" s="20" t="s">
        <v>92</v>
      </c>
      <c r="H208" s="20" t="s">
        <v>9</v>
      </c>
      <c r="I208" s="20" t="s">
        <v>300</v>
      </c>
      <c r="J208" s="20" t="s">
        <v>120</v>
      </c>
      <c r="K208" s="20" t="s">
        <v>121</v>
      </c>
      <c r="L208" s="20">
        <v>1988.02171595288</v>
      </c>
      <c r="M208" s="20">
        <v>0.57653488407092901</v>
      </c>
      <c r="N208" s="20">
        <v>0.213799538654902</v>
      </c>
      <c r="O208" s="53">
        <v>1475.381509522</v>
      </c>
      <c r="P208" s="20">
        <v>647.28493209175997</v>
      </c>
      <c r="Q208" s="20">
        <v>597.23166252061401</v>
      </c>
      <c r="R208" s="20">
        <v>1282.4247459138801</v>
      </c>
      <c r="S208" s="20">
        <v>3005.0463968047102</v>
      </c>
      <c r="T208" s="20">
        <v>20</v>
      </c>
      <c r="U208" s="20">
        <v>1</v>
      </c>
      <c r="V208" s="20">
        <v>21.846936654712199</v>
      </c>
      <c r="W208" s="20">
        <v>45.133167100611701</v>
      </c>
      <c r="X208" s="20">
        <v>69.145737854471506</v>
      </c>
      <c r="Y208" s="20">
        <v>93.763128266866602</v>
      </c>
      <c r="Z208" s="20">
        <v>119.17458588445599</v>
      </c>
      <c r="AA208" s="20">
        <v>145.42073352862499</v>
      </c>
      <c r="AB208" s="20">
        <v>172.793466545379</v>
      </c>
      <c r="AC208" s="20">
        <v>201.45866894927099</v>
      </c>
      <c r="AD208" s="20">
        <v>231.63072598768801</v>
      </c>
      <c r="AE208" s="20">
        <v>263.486857866604</v>
      </c>
      <c r="AF208" t="str">
        <f t="shared" si="14"/>
        <v>Residential</v>
      </c>
      <c r="AG208" t="str">
        <f>tbl_Data_old[[#This Row],[All_Meas_Name_Append]]</f>
        <v>New Construction - Whole Home Improvements - Tier 1</v>
      </c>
      <c r="AH208">
        <f>AVERAGEIFS('3. Incentive Adjustment'!G:G,'3. Incentive Adjustment'!A:A,tbl_Data_old[[#This Row],[Trimmed Sector]],'3. Incentive Adjustment'!B:B,tbl_Data_old[[#This Row],[Trimmed Measure Name]])</f>
        <v>0.42355026786158312</v>
      </c>
      <c r="AI208">
        <f>$AH208*tbl_Data_old[[#This Row],[2025 ]]</f>
        <v>9.2532758720583903</v>
      </c>
      <c r="AJ208">
        <f>$AH208*tbl_Data_old[[#This Row],[2026 ]]</f>
        <v>19.116165014905675</v>
      </c>
      <c r="AK208">
        <f>$AH208*tbl_Data_old[[#This Row],[2027 ]]</f>
        <v>29.286695789748215</v>
      </c>
      <c r="AL208">
        <f>$AH208*tbl_Data_old[[#This Row],[2028 ]]</f>
        <v>39.713398092971325</v>
      </c>
      <c r="AM208">
        <f>$AH208*tbl_Data_old[[#This Row],[2029 ]]</f>
        <v>50.476427773654578</v>
      </c>
      <c r="AN208">
        <f>$AH208*tbl_Data_old[[#This Row],[2030 ]]</f>
        <v>61.592990638677016</v>
      </c>
      <c r="AO208">
        <f>$AH208*tbl_Data_old[[#This Row],[2031 ]]</f>
        <v>73.186719040026773</v>
      </c>
      <c r="AP208">
        <f>$AH208*tbl_Data_old[[#This Row],[2032 ]]</f>
        <v>85.327873196501727</v>
      </c>
      <c r="AQ208">
        <f>$AH208*tbl_Data_old[[#This Row],[2033 ]]</f>
        <v>98.107256037058221</v>
      </c>
      <c r="AR208">
        <f>$AH208*tbl_Data_old[[#This Row],[2034 ]]</f>
        <v>111.599929227407</v>
      </c>
      <c r="AS208">
        <f>SUM(tbl_Data_old[[#This Row],[Adjusted 2025]:[Adjusted 2034]])</f>
        <v>577.66073068300898</v>
      </c>
      <c r="AT208" s="3">
        <f>AVERAGEIFS('3. Incentive Adjustment'!F:F,'3. Incentive Adjustment'!A:A,tbl_Data_old[[#This Row],[Trimmed Sector]],'3. Incentive Adjustment'!B:B,tbl_Data_old[[#This Row],[Trimmed Measure Name]])</f>
        <v>0</v>
      </c>
      <c r="AU208" s="3">
        <f>IFERROR(VLOOKUP(tbl_Data_old[[#This Row],[All_Meas_Name_Append]],'IRA Tax Credits'!$A$3:$D$46,4,0),0)</f>
        <v>0</v>
      </c>
      <c r="AV208" s="4">
        <f>tbl_Data_old[[#This Row],[Adj. per unit Incentive ($)]]/tbl_Data_old[[#This Row],[kWh Savings]]*tbl_Data_old[[#This Row],[Sum of Annuals]]</f>
        <v>0</v>
      </c>
      <c r="AW208" s="4">
        <f>IFERROR(VLOOKUP(tbl_Data_old[[#This Row],[All_Programs]],'1. Set Program Names'!$B$2:$D$15,3,0)*tbl_Data_old[[#This Row],[Sum of Annuals]],"")</f>
        <v>260.30697435816865</v>
      </c>
      <c r="AX208" s="4">
        <f>tbl_Data_old[[#This Row],[per unit IRA tax ($)]]/tbl_Data_old[[#This Row],[kWh Savings]]*tbl_Data_old[[#This Row],[Sum of Annuals]]</f>
        <v>0</v>
      </c>
      <c r="AY208" s="4">
        <f>tbl_Data_old[[#This Row],[Avoided Costs ($/unit)]]/tbl_Data_old[[#This Row],[kWh Savings]]*tbl_Data_old[[#This Row],[Sum of Annuals]]</f>
        <v>372.63497165346996</v>
      </c>
      <c r="AZ208" s="4">
        <f>tbl_Data_old[[#This Row],[Lost Revenue ($/unit)]]/tbl_Data_old[[#This Row],[kWh Savings]]*tbl_Data_old[[#This Row],[Sum of Annuals]]</f>
        <v>873.17823713133748</v>
      </c>
      <c r="BA208" s="4">
        <f>tbl_Data_old[[#This Row],[Incremental Cost ($/unit)]]/tbl_Data_old[[#This Row],[kWh Savings]]*tbl_Data_old[[#This Row],[Sum of Annuals]]</f>
        <v>428.7025408161486</v>
      </c>
      <c r="BB208">
        <f>ROUNDUP(tbl_Data_old[[#This Row],[Adjusted 2025]]/$L208,0)</f>
        <v>1</v>
      </c>
      <c r="BC208">
        <f>ROUNDUP(tbl_Data_old[[#This Row],[Adjusted 2026]]/$L208,0)</f>
        <v>1</v>
      </c>
      <c r="BD208">
        <f>ROUNDUP(tbl_Data_old[[#This Row],[Adjusted 2027]]/$L208,0)</f>
        <v>1</v>
      </c>
      <c r="BE208">
        <f>ROUNDUP(tbl_Data_old[[#This Row],[Adjusted 2028]]/$L208,0)</f>
        <v>1</v>
      </c>
      <c r="BF208">
        <f>ROUNDUP(tbl_Data_old[[#This Row],[Adjusted 2029]]/$L208,0)</f>
        <v>1</v>
      </c>
      <c r="BG208">
        <f>ROUNDUP(tbl_Data_old[[#This Row],[Adjusted 2030]]/$L208,0)</f>
        <v>1</v>
      </c>
      <c r="BH208">
        <f>ROUNDUP(tbl_Data_old[[#This Row],[Adjusted 2031]]/$L208,0)</f>
        <v>1</v>
      </c>
      <c r="BI208">
        <f>ROUNDUP(tbl_Data_old[[#This Row],[Adjusted 2032]]/$L208,0)</f>
        <v>1</v>
      </c>
      <c r="BJ208">
        <f>ROUNDUP(tbl_Data_old[[#This Row],[Adjusted 2033]]/$L208,0)</f>
        <v>1</v>
      </c>
      <c r="BK208">
        <f>ROUNDUP(tbl_Data_old[[#This Row],[Adjusted 2034]]/$L208,0)</f>
        <v>1</v>
      </c>
      <c r="BL208" s="3">
        <f t="shared" si="13"/>
        <v>0</v>
      </c>
      <c r="BM208" s="3">
        <f t="shared" si="13"/>
        <v>0</v>
      </c>
      <c r="BN208" s="3">
        <f t="shared" si="13"/>
        <v>0</v>
      </c>
      <c r="BO208" s="3">
        <f t="shared" si="13"/>
        <v>0</v>
      </c>
      <c r="BP208" s="3">
        <f t="shared" si="13"/>
        <v>0</v>
      </c>
      <c r="BQ208" s="3">
        <f t="shared" si="13"/>
        <v>0</v>
      </c>
      <c r="BR208" s="3">
        <f t="shared" si="13"/>
        <v>0</v>
      </c>
      <c r="BS208" s="3">
        <f t="shared" si="13"/>
        <v>0</v>
      </c>
      <c r="BT208" s="3">
        <f t="shared" si="13"/>
        <v>0</v>
      </c>
      <c r="BU208" s="3">
        <f t="shared" si="13"/>
        <v>0</v>
      </c>
      <c r="BV208">
        <f>VLOOKUP($H208,'1. Set Program Names'!$B$2:$D$15,3,0)*V208</f>
        <v>9.8447231697032063</v>
      </c>
      <c r="BW208">
        <f>VLOOKUP($H208,'1. Set Program Names'!$B$2:$D$15,3,0)*W208</f>
        <v>20.338024634755449</v>
      </c>
      <c r="BX208">
        <f>VLOOKUP($H208,'1. Set Program Names'!$B$2:$D$15,3,0)*X208</f>
        <v>31.158631450295989</v>
      </c>
      <c r="BY208">
        <f>VLOOKUP($H208,'1. Set Program Names'!$B$2:$D$15,3,0)*Y208</f>
        <v>42.251783666593667</v>
      </c>
      <c r="BZ208">
        <f>VLOOKUP($H208,'1. Set Program Names'!$B$2:$D$15,3,0)*Z208</f>
        <v>53.702760503195329</v>
      </c>
      <c r="CA208">
        <f>VLOOKUP($H208,'1. Set Program Names'!$B$2:$D$15,3,0)*AA208</f>
        <v>65.529867521069619</v>
      </c>
      <c r="CB208">
        <f>VLOOKUP($H208,'1. Set Program Names'!$B$2:$D$15,3,0)*AB208</f>
        <v>77.864639356919398</v>
      </c>
      <c r="CC208">
        <f>VLOOKUP($H208,'1. Set Program Names'!$B$2:$D$15,3,0)*AC208</f>
        <v>90.781827094952192</v>
      </c>
      <c r="CD208">
        <f>VLOOKUP($H208,'1. Set Program Names'!$B$2:$D$15,3,0)*AD208</f>
        <v>104.37803757051297</v>
      </c>
      <c r="CE208">
        <f>VLOOKUP($H208,'1. Set Program Names'!$B$2:$D$15,3,0)*AE208</f>
        <v>118.73313021174334</v>
      </c>
    </row>
    <row r="209" spans="1:83" x14ac:dyDescent="0.25">
      <c r="A209" s="20" t="s">
        <v>117</v>
      </c>
      <c r="B209" s="20" t="s">
        <v>88</v>
      </c>
      <c r="C209" s="20" t="s">
        <v>89</v>
      </c>
      <c r="D209" s="20" t="s">
        <v>90</v>
      </c>
      <c r="E209" s="20" t="s">
        <v>91</v>
      </c>
      <c r="F209" s="20" t="s">
        <v>90</v>
      </c>
      <c r="G209" s="20" t="s">
        <v>92</v>
      </c>
      <c r="H209" s="20" t="s">
        <v>9</v>
      </c>
      <c r="I209" s="20" t="s">
        <v>119</v>
      </c>
      <c r="J209" s="20" t="s">
        <v>120</v>
      </c>
      <c r="K209" s="20" t="s">
        <v>121</v>
      </c>
      <c r="L209" s="20">
        <v>6673.4968833372895</v>
      </c>
      <c r="M209" s="20">
        <v>1.73762506704112</v>
      </c>
      <c r="N209" s="20">
        <v>0.78936762832777396</v>
      </c>
      <c r="O209" s="20">
        <v>2151.0039802452802</v>
      </c>
      <c r="P209" s="20">
        <v>549.54451231238204</v>
      </c>
      <c r="Q209" s="20">
        <v>2004.8189647422</v>
      </c>
      <c r="R209" s="20">
        <v>4267.3988807063497</v>
      </c>
      <c r="S209" s="20">
        <v>10087.499347937401</v>
      </c>
      <c r="T209" s="20">
        <v>20</v>
      </c>
      <c r="U209" s="20">
        <v>1</v>
      </c>
      <c r="V209" s="20">
        <v>27.804735790512801</v>
      </c>
      <c r="W209" s="20">
        <v>57.4233015892504</v>
      </c>
      <c r="X209" s="20">
        <v>87.947155378372798</v>
      </c>
      <c r="Y209" s="20">
        <v>119.220695207628</v>
      </c>
      <c r="Z209" s="20">
        <v>151.483066000668</v>
      </c>
      <c r="AA209" s="20">
        <v>184.784290918735</v>
      </c>
      <c r="AB209" s="20">
        <v>219.492825926747</v>
      </c>
      <c r="AC209" s="20">
        <v>255.816683934163</v>
      </c>
      <c r="AD209" s="20">
        <v>294.024862518617</v>
      </c>
      <c r="AE209" s="20">
        <v>334.33878246481299</v>
      </c>
      <c r="AF209" t="str">
        <f t="shared" si="14"/>
        <v>Residential</v>
      </c>
      <c r="AG209" t="str">
        <f>tbl_Data_old[[#This Row],[All_Meas_Name_Append]]</f>
        <v>New Construction - Whole Home Improvements - Tier 2</v>
      </c>
      <c r="AH209">
        <f>AVERAGEIFS('3. Incentive Adjustment'!G:G,'3. Incentive Adjustment'!A:A,tbl_Data_old[[#This Row],[Trimmed Sector]],'3. Incentive Adjustment'!B:B,tbl_Data_old[[#This Row],[Trimmed Measure Name]])</f>
        <v>0.80470846489720416</v>
      </c>
      <c r="AI209">
        <f>$AH209*tbl_Data_old[[#This Row],[2025 ]]</f>
        <v>22.374706254855905</v>
      </c>
      <c r="AJ209">
        <f>$AH209*tbl_Data_old[[#This Row],[2026 ]]</f>
        <v>46.209016871214871</v>
      </c>
      <c r="AK209">
        <f>$AH209*tbl_Data_old[[#This Row],[2027 ]]</f>
        <v>70.771820396606273</v>
      </c>
      <c r="AL209">
        <f>$AH209*tbl_Data_old[[#This Row],[2028 ]]</f>
        <v>95.937902624507785</v>
      </c>
      <c r="AM209">
        <f>$AH209*tbl_Data_old[[#This Row],[2029 ]]</f>
        <v>121.89970549931941</v>
      </c>
      <c r="AN209">
        <f>$AH209*tbl_Data_old[[#This Row],[2030 ]]</f>
        <v>148.69748308233363</v>
      </c>
      <c r="AO209">
        <f>$AH209*tbl_Data_old[[#This Row],[2031 ]]</f>
        <v>176.62773500746184</v>
      </c>
      <c r="AP209">
        <f>$AH209*tbl_Data_old[[#This Row],[2032 ]]</f>
        <v>205.85785102375357</v>
      </c>
      <c r="AQ209">
        <f>$AH209*tbl_Data_old[[#This Row],[2033 ]]</f>
        <v>236.60429575896779</v>
      </c>
      <c r="AR209">
        <f>$AH209*tbl_Data_old[[#This Row],[2034 ]]</f>
        <v>269.04524839285995</v>
      </c>
      <c r="AS209">
        <f>SUM(tbl_Data_old[[#This Row],[Adjusted 2025]:[Adjusted 2034]])</f>
        <v>1394.0257649118812</v>
      </c>
      <c r="AT209" s="3">
        <f>AVERAGEIFS('3. Incentive Adjustment'!F:F,'3. Incentive Adjustment'!A:A,tbl_Data_old[[#This Row],[Trimmed Sector]],'3. Incentive Adjustment'!B:B,tbl_Data_old[[#This Row],[Trimmed Measure Name]])</f>
        <v>0</v>
      </c>
      <c r="AU209" s="3">
        <f>IFERROR(VLOOKUP(tbl_Data_old[[#This Row],[All_Meas_Name_Append]],'IRA Tax Credits'!$A$3:$D$46,4,0),0)</f>
        <v>0</v>
      </c>
      <c r="AV209" s="4">
        <f>tbl_Data_old[[#This Row],[Adj. per unit Incentive ($)]]/tbl_Data_old[[#This Row],[kWh Savings]]*tbl_Data_old[[#This Row],[Sum of Annuals]]</f>
        <v>0</v>
      </c>
      <c r="AW209" s="4">
        <f>IFERROR(VLOOKUP(tbl_Data_old[[#This Row],[All_Programs]],'1. Set Program Names'!$B$2:$D$15,3,0)*tbl_Data_old[[#This Row],[Sum of Annuals]],"")</f>
        <v>628.17950012369931</v>
      </c>
      <c r="AX209" s="4">
        <f>tbl_Data_old[[#This Row],[per unit IRA tax ($)]]/tbl_Data_old[[#This Row],[kWh Savings]]*tbl_Data_old[[#This Row],[Sum of Annuals]]</f>
        <v>0</v>
      </c>
      <c r="AY209" s="4">
        <f>tbl_Data_old[[#This Row],[Avoided Costs ($/unit)]]/tbl_Data_old[[#This Row],[kWh Savings]]*tbl_Data_old[[#This Row],[Sum of Annuals]]</f>
        <v>891.41631334453552</v>
      </c>
      <c r="AZ209" s="4">
        <f>tbl_Data_old[[#This Row],[Lost Revenue ($/unit)]]/tbl_Data_old[[#This Row],[kWh Savings]]*tbl_Data_old[[#This Row],[Sum of Annuals]]</f>
        <v>2107.1762286527478</v>
      </c>
      <c r="BA209" s="4">
        <f>tbl_Data_old[[#This Row],[Incremental Cost ($/unit)]]/tbl_Data_old[[#This Row],[kWh Savings]]*tbl_Data_old[[#This Row],[Sum of Annuals]]</f>
        <v>449.32289941977274</v>
      </c>
      <c r="BB209">
        <f>ROUNDUP(tbl_Data_old[[#This Row],[Adjusted 2025]]/$L209,0)</f>
        <v>1</v>
      </c>
      <c r="BC209">
        <f>ROUNDUP(tbl_Data_old[[#This Row],[Adjusted 2026]]/$L209,0)</f>
        <v>1</v>
      </c>
      <c r="BD209">
        <f>ROUNDUP(tbl_Data_old[[#This Row],[Adjusted 2027]]/$L209,0)</f>
        <v>1</v>
      </c>
      <c r="BE209">
        <f>ROUNDUP(tbl_Data_old[[#This Row],[Adjusted 2028]]/$L209,0)</f>
        <v>1</v>
      </c>
      <c r="BF209">
        <f>ROUNDUP(tbl_Data_old[[#This Row],[Adjusted 2029]]/$L209,0)</f>
        <v>1</v>
      </c>
      <c r="BG209">
        <f>ROUNDUP(tbl_Data_old[[#This Row],[Adjusted 2030]]/$L209,0)</f>
        <v>1</v>
      </c>
      <c r="BH209">
        <f>ROUNDUP(tbl_Data_old[[#This Row],[Adjusted 2031]]/$L209,0)</f>
        <v>1</v>
      </c>
      <c r="BI209">
        <f>ROUNDUP(tbl_Data_old[[#This Row],[Adjusted 2032]]/$L209,0)</f>
        <v>1</v>
      </c>
      <c r="BJ209">
        <f>ROUNDUP(tbl_Data_old[[#This Row],[Adjusted 2033]]/$L209,0)</f>
        <v>1</v>
      </c>
      <c r="BK209">
        <f>ROUNDUP(tbl_Data_old[[#This Row],[Adjusted 2034]]/$L209,0)</f>
        <v>1</v>
      </c>
      <c r="BL209" s="3">
        <f t="shared" si="13"/>
        <v>0</v>
      </c>
      <c r="BM209" s="3">
        <f t="shared" si="13"/>
        <v>0</v>
      </c>
      <c r="BN209" s="3">
        <f t="shared" si="13"/>
        <v>0</v>
      </c>
      <c r="BO209" s="3">
        <f t="shared" si="13"/>
        <v>0</v>
      </c>
      <c r="BP209" s="3">
        <f t="shared" si="13"/>
        <v>0</v>
      </c>
      <c r="BQ209" s="3">
        <f t="shared" si="13"/>
        <v>0</v>
      </c>
      <c r="BR209" s="3">
        <f t="shared" si="13"/>
        <v>0</v>
      </c>
      <c r="BS209" s="3">
        <f t="shared" si="13"/>
        <v>0</v>
      </c>
      <c r="BT209" s="3">
        <f t="shared" si="13"/>
        <v>0</v>
      </c>
      <c r="BU209" s="3">
        <f t="shared" si="13"/>
        <v>0</v>
      </c>
      <c r="BV209">
        <f>VLOOKUP($H209,'1. Set Program Names'!$B$2:$D$15,3,0)*V209</f>
        <v>12.529442044466045</v>
      </c>
      <c r="BW209">
        <f>VLOOKUP($H209,'1. Set Program Names'!$B$2:$D$15,3,0)*W209</f>
        <v>25.876236864293485</v>
      </c>
      <c r="BX209">
        <f>VLOOKUP($H209,'1. Set Program Names'!$B$2:$D$15,3,0)*X209</f>
        <v>39.630974902662409</v>
      </c>
      <c r="BY209">
        <f>VLOOKUP($H209,'1. Set Program Names'!$B$2:$D$15,3,0)*Y209</f>
        <v>53.723538405806814</v>
      </c>
      <c r="BZ209">
        <f>VLOOKUP($H209,'1. Set Program Names'!$B$2:$D$15,3,0)*Z209</f>
        <v>68.261691478507288</v>
      </c>
      <c r="CA209">
        <f>VLOOKUP($H209,'1. Set Program Names'!$B$2:$D$15,3,0)*AA209</f>
        <v>83.267975687221707</v>
      </c>
      <c r="CB209">
        <f>VLOOKUP($H209,'1. Set Program Names'!$B$2:$D$15,3,0)*AB209</f>
        <v>98.908425613007068</v>
      </c>
      <c r="CC209">
        <f>VLOOKUP($H209,'1. Set Program Names'!$B$2:$D$15,3,0)*AC209</f>
        <v>115.2767765717895</v>
      </c>
      <c r="CD209">
        <f>VLOOKUP($H209,'1. Set Program Names'!$B$2:$D$15,3,0)*AD209</f>
        <v>132.49424494859281</v>
      </c>
      <c r="CE209">
        <f>VLOOKUP($H209,'1. Set Program Names'!$B$2:$D$15,3,0)*AE209</f>
        <v>150.66060795080676</v>
      </c>
    </row>
    <row r="210" spans="1:83" x14ac:dyDescent="0.25">
      <c r="A210" s="20" t="s">
        <v>117</v>
      </c>
      <c r="B210" s="20" t="s">
        <v>88</v>
      </c>
      <c r="C210" s="20" t="s">
        <v>89</v>
      </c>
      <c r="D210" s="20" t="s">
        <v>90</v>
      </c>
      <c r="E210" s="20" t="s">
        <v>91</v>
      </c>
      <c r="F210" s="20" t="s">
        <v>90</v>
      </c>
      <c r="G210" s="20" t="s">
        <v>92</v>
      </c>
      <c r="H210" s="20" t="s">
        <v>9</v>
      </c>
      <c r="I210" s="20" t="s">
        <v>299</v>
      </c>
      <c r="J210" s="20" t="s">
        <v>97</v>
      </c>
      <c r="K210" s="20" t="s">
        <v>102</v>
      </c>
      <c r="L210" s="20">
        <v>408.28</v>
      </c>
      <c r="M210" s="20">
        <v>0.16567198429270899</v>
      </c>
      <c r="N210" s="20">
        <v>2.3547919008134799E-2</v>
      </c>
      <c r="O210" s="53">
        <v>128.60999999999999</v>
      </c>
      <c r="P210" s="20">
        <v>29.691921599999901</v>
      </c>
      <c r="Q210" s="20">
        <v>122.65346058206499</v>
      </c>
      <c r="R210" s="20">
        <v>238.630335182902</v>
      </c>
      <c r="S210" s="20">
        <v>423.90838942107399</v>
      </c>
      <c r="T210" s="20">
        <v>11</v>
      </c>
      <c r="U210" s="20">
        <v>0.19999999999999901</v>
      </c>
      <c r="V210" s="20">
        <v>0.206724664775644</v>
      </c>
      <c r="W210" s="20">
        <v>0.37804280745979602</v>
      </c>
      <c r="X210" s="20">
        <v>0.51995956754175299</v>
      </c>
      <c r="Y210" s="20">
        <v>0.637972791852363</v>
      </c>
      <c r="Z210" s="20">
        <v>0.73674280339922604</v>
      </c>
      <c r="AA210" s="20">
        <v>0.81979603393732203</v>
      </c>
      <c r="AB210" s="20">
        <v>0.89062527184155704</v>
      </c>
      <c r="AC210" s="20">
        <v>0.95195953659195298</v>
      </c>
      <c r="AD210" s="20">
        <v>1.00594178198845</v>
      </c>
      <c r="AE210" s="20">
        <v>1.05422303530021</v>
      </c>
      <c r="AF210" t="str">
        <f t="shared" si="14"/>
        <v>Residential</v>
      </c>
      <c r="AG210" t="str">
        <f>tbl_Data_old[[#This Row],[All_Meas_Name_Append]]</f>
        <v>Smart Thermostat Residential</v>
      </c>
      <c r="AH210">
        <f>AVERAGEIFS('3. Incentive Adjustment'!G:G,'3. Incentive Adjustment'!A:A,tbl_Data_old[[#This Row],[Trimmed Sector]],'3. Incentive Adjustment'!B:B,tbl_Data_old[[#This Row],[Trimmed Measure Name]])</f>
        <v>1.1402432304340044</v>
      </c>
      <c r="AI210">
        <f>$AH210*tbl_Data_old[[#This Row],[2025 ]]</f>
        <v>0.23571639957416696</v>
      </c>
      <c r="AJ210">
        <f>$AH210*tbl_Data_old[[#This Row],[2026 ]]</f>
        <v>0.43106075202029814</v>
      </c>
      <c r="AK210">
        <f>$AH210*tbl_Data_old[[#This Row],[2027 ]]</f>
        <v>0.5928803769888763</v>
      </c>
      <c r="AL210">
        <f>$AH210*tbl_Data_old[[#This Row],[2028 ]]</f>
        <v>0.72744415711073906</v>
      </c>
      <c r="AM210">
        <f>$AH210*tbl_Data_old[[#This Row],[2029 ]]</f>
        <v>0.84006599414693817</v>
      </c>
      <c r="AN210">
        <f>$AH210*tbl_Data_old[[#This Row],[2030 ]]</f>
        <v>0.93476687803367686</v>
      </c>
      <c r="AO210">
        <f>$AH210*tbl_Data_old[[#This Row],[2031 ]]</f>
        <v>1.0155294370707804</v>
      </c>
      <c r="AP210">
        <f>$AH210*tbl_Data_old[[#This Row],[2032 ]]</f>
        <v>1.0854654172460663</v>
      </c>
      <c r="AQ210">
        <f>$AH210*tbl_Data_old[[#This Row],[2033 ]]</f>
        <v>1.1470183071230493</v>
      </c>
      <c r="AR210">
        <f>$AH210*tbl_Data_old[[#This Row],[2034 ]]</f>
        <v>1.2020706793686529</v>
      </c>
      <c r="AS210">
        <f>SUM(tbl_Data_old[[#This Row],[Adjusted 2025]:[Adjusted 2034]])</f>
        <v>8.2120183986832433</v>
      </c>
      <c r="AT210" s="3">
        <f>AVERAGEIFS('3. Incentive Adjustment'!F:F,'3. Incentive Adjustment'!A:A,tbl_Data_old[[#This Row],[Trimmed Sector]],'3. Incentive Adjustment'!B:B,tbl_Data_old[[#This Row],[Trimmed Measure Name]])</f>
        <v>50</v>
      </c>
      <c r="AU210" s="3">
        <f>IFERROR(VLOOKUP(tbl_Data_old[[#This Row],[All_Meas_Name_Append]],'IRA Tax Credits'!$A$3:$D$46,4,0),0)</f>
        <v>0</v>
      </c>
      <c r="AV210" s="4">
        <f>tbl_Data_old[[#This Row],[Adj. per unit Incentive ($)]]/tbl_Data_old[[#This Row],[kWh Savings]]*tbl_Data_old[[#This Row],[Sum of Annuals]]</f>
        <v>1.0056846280350793</v>
      </c>
      <c r="AW210" s="4">
        <f>IFERROR(VLOOKUP(tbl_Data_old[[#This Row],[All_Programs]],'1. Set Program Names'!$B$2:$D$15,3,0)*tbl_Data_old[[#This Row],[Sum of Annuals]],"")</f>
        <v>3.7005209964806833</v>
      </c>
      <c r="AX210" s="4">
        <f>tbl_Data_old[[#This Row],[per unit IRA tax ($)]]/tbl_Data_old[[#This Row],[kWh Savings]]*tbl_Data_old[[#This Row],[Sum of Annuals]]</f>
        <v>0</v>
      </c>
      <c r="AY210" s="4">
        <f>tbl_Data_old[[#This Row],[Avoided Costs ($/unit)]]/tbl_Data_old[[#This Row],[kWh Savings]]*tbl_Data_old[[#This Row],[Sum of Annuals]]</f>
        <v>4.7997371975260616</v>
      </c>
      <c r="AZ210" s="4">
        <f>tbl_Data_old[[#This Row],[Lost Revenue ($/unit)]]/tbl_Data_old[[#This Row],[kWh Savings]]*tbl_Data_old[[#This Row],[Sum of Annuals]]</f>
        <v>8.5263630187176478</v>
      </c>
      <c r="BA210" s="4">
        <f>tbl_Data_old[[#This Row],[Incremental Cost ($/unit)]]/tbl_Data_old[[#This Row],[kWh Savings]]*tbl_Data_old[[#This Row],[Sum of Annuals]]</f>
        <v>2.5868220002318312</v>
      </c>
      <c r="BB210">
        <f>ROUNDUP(tbl_Data_old[[#This Row],[Adjusted 2025]]/$L210,0)</f>
        <v>1</v>
      </c>
      <c r="BC210">
        <f>ROUNDUP(tbl_Data_old[[#This Row],[Adjusted 2026]]/$L210,0)</f>
        <v>1</v>
      </c>
      <c r="BD210">
        <f>ROUNDUP(tbl_Data_old[[#This Row],[Adjusted 2027]]/$L210,0)</f>
        <v>1</v>
      </c>
      <c r="BE210">
        <f>ROUNDUP(tbl_Data_old[[#This Row],[Adjusted 2028]]/$L210,0)</f>
        <v>1</v>
      </c>
      <c r="BF210">
        <f>ROUNDUP(tbl_Data_old[[#This Row],[Adjusted 2029]]/$L210,0)</f>
        <v>1</v>
      </c>
      <c r="BG210">
        <f>ROUNDUP(tbl_Data_old[[#This Row],[Adjusted 2030]]/$L210,0)</f>
        <v>1</v>
      </c>
      <c r="BH210">
        <f>ROUNDUP(tbl_Data_old[[#This Row],[Adjusted 2031]]/$L210,0)</f>
        <v>1</v>
      </c>
      <c r="BI210">
        <f>ROUNDUP(tbl_Data_old[[#This Row],[Adjusted 2032]]/$L210,0)</f>
        <v>1</v>
      </c>
      <c r="BJ210">
        <f>ROUNDUP(tbl_Data_old[[#This Row],[Adjusted 2033]]/$L210,0)</f>
        <v>1</v>
      </c>
      <c r="BK210">
        <f>ROUNDUP(tbl_Data_old[[#This Row],[Adjusted 2034]]/$L210,0)</f>
        <v>1</v>
      </c>
      <c r="BL210" s="3">
        <f t="shared" si="13"/>
        <v>2.5316530907176938E-2</v>
      </c>
      <c r="BM210" s="3">
        <f t="shared" si="13"/>
        <v>4.6297002970975318E-2</v>
      </c>
      <c r="BN210" s="3">
        <f t="shared" si="13"/>
        <v>6.3676835448926355E-2</v>
      </c>
      <c r="BO210" s="3">
        <f t="shared" si="13"/>
        <v>7.8129322015817945E-2</v>
      </c>
      <c r="BP210" s="3">
        <f t="shared" si="13"/>
        <v>9.0225189012347662E-2</v>
      </c>
      <c r="BQ210" s="3">
        <f t="shared" si="13"/>
        <v>0.10039630081528879</v>
      </c>
      <c r="BR210" s="3">
        <f t="shared" si="13"/>
        <v>0.10907040166571436</v>
      </c>
      <c r="BS210" s="3">
        <f t="shared" si="13"/>
        <v>0.11658170086606656</v>
      </c>
      <c r="BT210" s="3">
        <f t="shared" si="13"/>
        <v>0.12319263519991795</v>
      </c>
      <c r="BU210" s="3">
        <f t="shared" si="13"/>
        <v>0.12910539768053911</v>
      </c>
      <c r="BV210">
        <f>VLOOKUP($H210,'1. Set Program Names'!$B$2:$D$15,3,0)*V210</f>
        <v>9.3154803770941805E-2</v>
      </c>
      <c r="BW210">
        <f>VLOOKUP($H210,'1. Set Program Names'!$B$2:$D$15,3,0)*W210</f>
        <v>0.1703546288690482</v>
      </c>
      <c r="BX210">
        <f>VLOOKUP($H210,'1. Set Program Names'!$B$2:$D$15,3,0)*X210</f>
        <v>0.23430552680176608</v>
      </c>
      <c r="BY210">
        <f>VLOOKUP($H210,'1. Set Program Names'!$B$2:$D$15,3,0)*Y210</f>
        <v>0.28748495154511799</v>
      </c>
      <c r="BZ210">
        <f>VLOOKUP($H210,'1. Set Program Names'!$B$2:$D$15,3,0)*Z210</f>
        <v>0.33199294992106082</v>
      </c>
      <c r="CA210">
        <f>VLOOKUP($H210,'1. Set Program Names'!$B$2:$D$15,3,0)*AA210</f>
        <v>0.36941861173899532</v>
      </c>
      <c r="CB210">
        <f>VLOOKUP($H210,'1. Set Program Names'!$B$2:$D$15,3,0)*AB210</f>
        <v>0.40133586634127122</v>
      </c>
      <c r="CC210">
        <f>VLOOKUP($H210,'1. Set Program Names'!$B$2:$D$15,3,0)*AC210</f>
        <v>0.42897447155298607</v>
      </c>
      <c r="CD210">
        <f>VLOOKUP($H210,'1. Set Program Names'!$B$2:$D$15,3,0)*AD210</f>
        <v>0.45330009076481598</v>
      </c>
      <c r="CE210">
        <f>VLOOKUP($H210,'1. Set Program Names'!$B$2:$D$15,3,0)*AE210</f>
        <v>0.47505671416025536</v>
      </c>
    </row>
    <row r="211" spans="1:83" x14ac:dyDescent="0.25">
      <c r="A211" s="20" t="s">
        <v>117</v>
      </c>
      <c r="B211" s="20" t="s">
        <v>88</v>
      </c>
      <c r="C211" s="20" t="s">
        <v>89</v>
      </c>
      <c r="D211" s="20" t="s">
        <v>90</v>
      </c>
      <c r="E211" s="20" t="s">
        <v>91</v>
      </c>
      <c r="F211" s="20" t="s">
        <v>90</v>
      </c>
      <c r="G211" s="20" t="s">
        <v>92</v>
      </c>
      <c r="H211" s="20" t="s">
        <v>9</v>
      </c>
      <c r="I211" s="20" t="s">
        <v>112</v>
      </c>
      <c r="J211" s="20" t="s">
        <v>94</v>
      </c>
      <c r="K211" s="20" t="s">
        <v>108</v>
      </c>
      <c r="L211" s="20">
        <v>1330.8133333333301</v>
      </c>
      <c r="M211" s="20">
        <v>5.33311142126306E-2</v>
      </c>
      <c r="N211" s="20">
        <v>0.24737910980336</v>
      </c>
      <c r="O211" s="20">
        <v>8990.02</v>
      </c>
      <c r="P211" s="20">
        <v>8776.4394094329891</v>
      </c>
      <c r="Q211" s="20">
        <v>399.796367008147</v>
      </c>
      <c r="R211" s="20">
        <v>713.19672296706005</v>
      </c>
      <c r="S211" s="20">
        <v>2011.6258188035599</v>
      </c>
      <c r="T211" s="20">
        <v>20</v>
      </c>
      <c r="U211" s="20">
        <v>0.2</v>
      </c>
      <c r="V211" s="20">
        <v>8.0232477008972793</v>
      </c>
      <c r="W211" s="20">
        <v>16.952590622737102</v>
      </c>
      <c r="X211" s="20">
        <v>26.717984532969599</v>
      </c>
      <c r="Y211" s="20">
        <v>37.274584817355098</v>
      </c>
      <c r="Z211" s="20">
        <v>48.585010568552299</v>
      </c>
      <c r="AA211" s="20">
        <v>60.5852094065351</v>
      </c>
      <c r="AB211" s="20">
        <v>73.305504282442101</v>
      </c>
      <c r="AC211" s="20">
        <v>86.807600922629604</v>
      </c>
      <c r="AD211" s="20">
        <v>101.16345967401401</v>
      </c>
      <c r="AE211" s="20">
        <v>116.450796663444</v>
      </c>
      <c r="AF211" t="str">
        <f t="shared" si="14"/>
        <v>Residential</v>
      </c>
      <c r="AG211" t="str">
        <f>tbl_Data_old[[#This Row],[All_Meas_Name_Append]]</f>
        <v>Solar Thermal Water Heating System</v>
      </c>
      <c r="AH211">
        <f>AVERAGEIFS('3. Incentive Adjustment'!G:G,'3. Incentive Adjustment'!A:A,tbl_Data_old[[#This Row],[Trimmed Sector]],'3. Incentive Adjustment'!B:B,tbl_Data_old[[#This Row],[Trimmed Measure Name]])</f>
        <v>2.7736651842107431E-8</v>
      </c>
      <c r="AI211">
        <f>$AH211*tbl_Data_old[[#This Row],[2025 ]]</f>
        <v>2.2253802812277674E-7</v>
      </c>
      <c r="AJ211">
        <f>$AH211*tbl_Data_old[[#This Row],[2026 ]]</f>
        <v>4.7020810392463422E-7</v>
      </c>
      <c r="AK211">
        <f>$AH211*tbl_Data_old[[#This Row],[2027 ]]</f>
        <v>7.4106743491378911E-7</v>
      </c>
      <c r="AL211">
        <f>$AH211*tbl_Data_old[[#This Row],[2028 ]]</f>
        <v>1.0338721816380819E-6</v>
      </c>
      <c r="AM211">
        <f>$AH211*tbl_Data_old[[#This Row],[2029 ]]</f>
        <v>1.3475855228850451E-6</v>
      </c>
      <c r="AN211">
        <f>$AH211*tbl_Data_old[[#This Row],[2030 ]]</f>
        <v>1.6804308600902363E-6</v>
      </c>
      <c r="AO211">
        <f>$AH211*tbl_Data_old[[#This Row],[2031 ]]</f>
        <v>2.0332492503922118E-6</v>
      </c>
      <c r="AP211">
        <f>$AH211*tbl_Data_old[[#This Row],[2032 ]]</f>
        <v>2.4077522040395813E-6</v>
      </c>
      <c r="AQ211">
        <f>$AH211*tbl_Data_old[[#This Row],[2033 ]]</f>
        <v>2.8059356601212014E-6</v>
      </c>
      <c r="AR211">
        <f>$AH211*tbl_Data_old[[#This Row],[2034 ]]</f>
        <v>3.2299552037899919E-6</v>
      </c>
      <c r="AS211">
        <f>SUM(tbl_Data_old[[#This Row],[Adjusted 2025]:[Adjusted 2034]])</f>
        <v>1.5972594449917549E-5</v>
      </c>
      <c r="AT211" s="3">
        <f>AVERAGEIFS('3. Incentive Adjustment'!F:F,'3. Incentive Adjustment'!A:A,tbl_Data_old[[#This Row],[Trimmed Sector]],'3. Incentive Adjustment'!B:B,tbl_Data_old[[#This Row],[Trimmed Measure Name]])</f>
        <v>0</v>
      </c>
      <c r="AU211" s="3">
        <f>IFERROR(VLOOKUP(tbl_Data_old[[#This Row],[All_Meas_Name_Append]],'IRA Tax Credits'!$A$3:$D$46,4,0),0)</f>
        <v>41666.666666666672</v>
      </c>
      <c r="AV211" s="4">
        <f>tbl_Data_old[[#This Row],[Adj. per unit Incentive ($)]]/tbl_Data_old[[#This Row],[kWh Savings]]*tbl_Data_old[[#This Row],[Sum of Annuals]]</f>
        <v>0</v>
      </c>
      <c r="AW211" s="4">
        <f>IFERROR(VLOOKUP(tbl_Data_old[[#This Row],[All_Programs]],'1. Set Program Names'!$B$2:$D$15,3,0)*tbl_Data_old[[#This Row],[Sum of Annuals]],"")</f>
        <v>7.1976118733085424E-6</v>
      </c>
      <c r="AX211" s="4">
        <f>tbl_Data_old[[#This Row],[per unit IRA tax ($)]]/tbl_Data_old[[#This Row],[kWh Savings]]*tbl_Data_old[[#This Row],[Sum of Annuals]]</f>
        <v>5.0008874428662635E-4</v>
      </c>
      <c r="AY211" s="4">
        <f>tbl_Data_old[[#This Row],[Avoided Costs ($/unit)]]/tbl_Data_old[[#This Row],[kWh Savings]]*tbl_Data_old[[#This Row],[Sum of Annuals]]</f>
        <v>8.5598796868304161E-6</v>
      </c>
      <c r="AZ211" s="4">
        <f>tbl_Data_old[[#This Row],[Lost Revenue ($/unit)]]/tbl_Data_old[[#This Row],[kWh Savings]]*tbl_Data_old[[#This Row],[Sum of Annuals]]</f>
        <v>2.4143794312800693E-5</v>
      </c>
      <c r="BA211" s="4">
        <f>tbl_Data_old[[#This Row],[Incremental Cost ($/unit)]]/tbl_Data_old[[#This Row],[kWh Savings]]*tbl_Data_old[[#This Row],[Sum of Annuals]]</f>
        <v>1.0789938750987975E-4</v>
      </c>
      <c r="BB211">
        <f>ROUNDUP(tbl_Data_old[[#This Row],[Adjusted 2025]]/$L211,0)</f>
        <v>1</v>
      </c>
      <c r="BC211">
        <f>ROUNDUP(tbl_Data_old[[#This Row],[Adjusted 2026]]/$L211,0)</f>
        <v>1</v>
      </c>
      <c r="BD211">
        <f>ROUNDUP(tbl_Data_old[[#This Row],[Adjusted 2027]]/$L211,0)</f>
        <v>1</v>
      </c>
      <c r="BE211">
        <f>ROUNDUP(tbl_Data_old[[#This Row],[Adjusted 2028]]/$L211,0)</f>
        <v>1</v>
      </c>
      <c r="BF211">
        <f>ROUNDUP(tbl_Data_old[[#This Row],[Adjusted 2029]]/$L211,0)</f>
        <v>1</v>
      </c>
      <c r="BG211">
        <f>ROUNDUP(tbl_Data_old[[#This Row],[Adjusted 2030]]/$L211,0)</f>
        <v>1</v>
      </c>
      <c r="BH211">
        <f>ROUNDUP(tbl_Data_old[[#This Row],[Adjusted 2031]]/$L211,0)</f>
        <v>1</v>
      </c>
      <c r="BI211">
        <f>ROUNDUP(tbl_Data_old[[#This Row],[Adjusted 2032]]/$L211,0)</f>
        <v>1</v>
      </c>
      <c r="BJ211">
        <f>ROUNDUP(tbl_Data_old[[#This Row],[Adjusted 2033]]/$L211,0)</f>
        <v>1</v>
      </c>
      <c r="BK211">
        <f>ROUNDUP(tbl_Data_old[[#This Row],[Adjusted 2034]]/$L211,0)</f>
        <v>1</v>
      </c>
      <c r="BL211" s="3">
        <f t="shared" si="13"/>
        <v>0</v>
      </c>
      <c r="BM211" s="3">
        <f t="shared" si="13"/>
        <v>0</v>
      </c>
      <c r="BN211" s="3">
        <f t="shared" si="13"/>
        <v>0</v>
      </c>
      <c r="BO211" s="3">
        <f t="shared" si="13"/>
        <v>0</v>
      </c>
      <c r="BP211" s="3">
        <f t="shared" si="13"/>
        <v>0</v>
      </c>
      <c r="BQ211" s="3">
        <f t="shared" si="13"/>
        <v>0</v>
      </c>
      <c r="BR211" s="3">
        <f t="shared" si="13"/>
        <v>0</v>
      </c>
      <c r="BS211" s="3">
        <f t="shared" si="13"/>
        <v>0</v>
      </c>
      <c r="BT211" s="3">
        <f t="shared" si="13"/>
        <v>0</v>
      </c>
      <c r="BU211" s="3">
        <f t="shared" si="13"/>
        <v>0</v>
      </c>
      <c r="BV211">
        <f>VLOOKUP($H211,'1. Set Program Names'!$B$2:$D$15,3,0)*V211</f>
        <v>3.6154566558078374</v>
      </c>
      <c r="BW211">
        <f>VLOOKUP($H211,'1. Set Program Names'!$B$2:$D$15,3,0)*W211</f>
        <v>7.6392202864814793</v>
      </c>
      <c r="BX211">
        <f>VLOOKUP($H211,'1. Set Program Names'!$B$2:$D$15,3,0)*X211</f>
        <v>12.039727378564267</v>
      </c>
      <c r="BY211">
        <f>VLOOKUP($H211,'1. Set Program Names'!$B$2:$D$15,3,0)*Y211</f>
        <v>16.796769935858872</v>
      </c>
      <c r="BZ211">
        <f>VLOOKUP($H211,'1. Set Program Names'!$B$2:$D$15,3,0)*Z211</f>
        <v>21.893503277098368</v>
      </c>
      <c r="CA211">
        <f>VLOOKUP($H211,'1. Set Program Names'!$B$2:$D$15,3,0)*AA211</f>
        <v>27.301063952926725</v>
      </c>
      <c r="CB211">
        <f>VLOOKUP($H211,'1. Set Program Names'!$B$2:$D$15,3,0)*AB211</f>
        <v>33.033116170109679</v>
      </c>
      <c r="CC211">
        <f>VLOOKUP($H211,'1. Set Program Names'!$B$2:$D$15,3,0)*AC211</f>
        <v>39.117465922849732</v>
      </c>
      <c r="CD211">
        <f>VLOOKUP($H211,'1. Set Program Names'!$B$2:$D$15,3,0)*AD211</f>
        <v>45.586540169021312</v>
      </c>
      <c r="CE211">
        <f>VLOOKUP($H211,'1. Set Program Names'!$B$2:$D$15,3,0)*AE211</f>
        <v>52.475359550956981</v>
      </c>
    </row>
    <row r="212" spans="1:83" x14ac:dyDescent="0.25">
      <c r="A212" s="20" t="s">
        <v>87</v>
      </c>
      <c r="B212" s="20" t="s">
        <v>88</v>
      </c>
      <c r="C212" s="20" t="s">
        <v>89</v>
      </c>
      <c r="D212" s="20" t="s">
        <v>90</v>
      </c>
      <c r="E212" s="20" t="s">
        <v>91</v>
      </c>
      <c r="F212" s="20" t="s">
        <v>90</v>
      </c>
      <c r="G212" s="20" t="s">
        <v>92</v>
      </c>
      <c r="H212" s="20" t="s">
        <v>273</v>
      </c>
      <c r="I212" s="20" t="s">
        <v>301</v>
      </c>
      <c r="J212" s="20" t="s">
        <v>302</v>
      </c>
      <c r="K212" s="20" t="s">
        <v>104</v>
      </c>
      <c r="L212" s="20">
        <v>275.64999999999901</v>
      </c>
      <c r="M212" s="20">
        <v>4.0357303140515798E-2</v>
      </c>
      <c r="N212" s="20">
        <v>4.1157633527981498E-2</v>
      </c>
      <c r="O212" s="20">
        <v>86.42</v>
      </c>
      <c r="P212" s="20">
        <v>19.6355180000002</v>
      </c>
      <c r="Q212" s="20">
        <v>0.27564999999999901</v>
      </c>
      <c r="R212" s="20">
        <v>112.309715968343</v>
      </c>
      <c r="S212" s="20">
        <v>337.427777357906</v>
      </c>
      <c r="T212" s="20">
        <v>14</v>
      </c>
      <c r="U212" s="20">
        <v>1</v>
      </c>
      <c r="V212" s="20">
        <v>36409.361887842402</v>
      </c>
      <c r="W212" s="20">
        <v>50267.325349325001</v>
      </c>
      <c r="X212" s="20">
        <v>65832.3485495364</v>
      </c>
      <c r="Y212" s="20">
        <v>82499.263145371704</v>
      </c>
      <c r="Z212" s="20">
        <v>99259.379340910295</v>
      </c>
      <c r="AA212" s="20">
        <v>114572.521923997</v>
      </c>
      <c r="AB212" s="20">
        <v>128459.72958502801</v>
      </c>
      <c r="AC212" s="20">
        <v>140864.66875009399</v>
      </c>
      <c r="AD212" s="20">
        <v>152121.09575920299</v>
      </c>
      <c r="AE212" s="20">
        <v>162692.38372901501</v>
      </c>
      <c r="AF212" t="str">
        <f t="shared" si="14"/>
        <v>Residential</v>
      </c>
      <c r="AG212" t="str">
        <f>tbl_Data_old[[#This Row],[All_Meas_Name_Append]]</f>
        <v>Energy Star Clothes Washer</v>
      </c>
      <c r="AH212">
        <f>AVERAGEIFS('3. Incentive Adjustment'!G:G,'3. Incentive Adjustment'!A:A,tbl_Data_old[[#This Row],[Trimmed Sector]],'3. Incentive Adjustment'!B:B,tbl_Data_old[[#This Row],[Trimmed Measure Name]])</f>
        <v>0.8286551255656105</v>
      </c>
      <c r="AI212">
        <f>$AH212*tbl_Data_old[[#This Row],[2025 ]]</f>
        <v>30170.804346933797</v>
      </c>
      <c r="AJ212">
        <f>$AH212*tbl_Data_old[[#This Row],[2026 ]]</f>
        <v>41654.276799192303</v>
      </c>
      <c r="AK212">
        <f>$AH212*tbl_Data_old[[#This Row],[2027 ]]</f>
        <v>54552.31305359512</v>
      </c>
      <c r="AL212">
        <f>$AH212*tbl_Data_old[[#This Row],[2028 ]]</f>
        <v>68363.437260798339</v>
      </c>
      <c r="AM212">
        <f>$AH212*tbl_Data_old[[#This Row],[2029 ]]</f>
        <v>82251.793451306585</v>
      </c>
      <c r="AN212">
        <f>$AH212*tbl_Data_old[[#This Row],[2030 ]]</f>
        <v>94941.107541298392</v>
      </c>
      <c r="AO212">
        <f>$AH212*tbl_Data_old[[#This Row],[2031 ]]</f>
        <v>106448.81334940575</v>
      </c>
      <c r="AP212">
        <f>$AH212*tbl_Data_old[[#This Row],[2032 ]]</f>
        <v>116728.22977086726</v>
      </c>
      <c r="AQ212">
        <f>$AH212*tbl_Data_old[[#This Row],[2033 ]]</f>
        <v>126055.92570752061</v>
      </c>
      <c r="AR212">
        <f>$AH212*tbl_Data_old[[#This Row],[2034 ]]</f>
        <v>134815.87766753542</v>
      </c>
      <c r="AS212">
        <f>SUM(tbl_Data_old[[#This Row],[Adjusted 2025]:[Adjusted 2034]])</f>
        <v>855982.57894845353</v>
      </c>
      <c r="AT212" s="3">
        <f>AVERAGEIFS('3. Incentive Adjustment'!F:F,'3. Incentive Adjustment'!A:A,tbl_Data_old[[#This Row],[Trimmed Sector]],'3. Incentive Adjustment'!B:B,tbl_Data_old[[#This Row],[Trimmed Measure Name]])</f>
        <v>0</v>
      </c>
      <c r="AU212" s="3">
        <f>IFERROR(VLOOKUP(tbl_Data_old[[#This Row],[All_Meas_Name_Append]],'IRA Tax Credits'!$A$3:$D$46,4,0),0)</f>
        <v>0</v>
      </c>
      <c r="AV212" s="4">
        <f>tbl_Data_old[[#This Row],[Adj. per unit Incentive ($)]]/tbl_Data_old[[#This Row],[kWh Savings]]*tbl_Data_old[[#This Row],[Sum of Annuals]]</f>
        <v>0</v>
      </c>
      <c r="AW212" s="4" t="str">
        <f>IFERROR(VLOOKUP(tbl_Data_old[[#This Row],[All_Programs]],'1. Set Program Names'!$B$2:$D$15,3,0)*tbl_Data_old[[#This Row],[Sum of Annuals]],"")</f>
        <v/>
      </c>
      <c r="AX212" s="4">
        <f>tbl_Data_old[[#This Row],[per unit IRA tax ($)]]/tbl_Data_old[[#This Row],[kWh Savings]]*tbl_Data_old[[#This Row],[Sum of Annuals]]</f>
        <v>0</v>
      </c>
      <c r="AY212" s="4">
        <f>tbl_Data_old[[#This Row],[Avoided Costs ($/unit)]]/tbl_Data_old[[#This Row],[kWh Savings]]*tbl_Data_old[[#This Row],[Sum of Annuals]]</f>
        <v>348758.06390549935</v>
      </c>
      <c r="AZ212" s="4">
        <f>tbl_Data_old[[#This Row],[Lost Revenue ($/unit)]]/tbl_Data_old[[#This Row],[kWh Savings]]*tbl_Data_old[[#This Row],[Sum of Annuals]]</f>
        <v>1047822.5977568149</v>
      </c>
      <c r="BA212" s="4">
        <f>tbl_Data_old[[#This Row],[Incremental Cost ($/unit)]]/tbl_Data_old[[#This Row],[kWh Savings]]*tbl_Data_old[[#This Row],[Sum of Annuals]]</f>
        <v>268362.10583248909</v>
      </c>
      <c r="BB212">
        <f>ROUNDUP(tbl_Data_old[[#This Row],[Adjusted 2025]]/$L212,0)</f>
        <v>110</v>
      </c>
      <c r="BC212">
        <f>ROUNDUP(tbl_Data_old[[#This Row],[Adjusted 2026]]/$L212,0)</f>
        <v>152</v>
      </c>
      <c r="BD212">
        <f>ROUNDUP(tbl_Data_old[[#This Row],[Adjusted 2027]]/$L212,0)</f>
        <v>198</v>
      </c>
      <c r="BE212">
        <f>ROUNDUP(tbl_Data_old[[#This Row],[Adjusted 2028]]/$L212,0)</f>
        <v>249</v>
      </c>
      <c r="BF212">
        <f>ROUNDUP(tbl_Data_old[[#This Row],[Adjusted 2029]]/$L212,0)</f>
        <v>299</v>
      </c>
      <c r="BG212">
        <f>ROUNDUP(tbl_Data_old[[#This Row],[Adjusted 2030]]/$L212,0)</f>
        <v>345</v>
      </c>
      <c r="BH212">
        <f>ROUNDUP(tbl_Data_old[[#This Row],[Adjusted 2031]]/$L212,0)</f>
        <v>387</v>
      </c>
      <c r="BI212">
        <f>ROUNDUP(tbl_Data_old[[#This Row],[Adjusted 2032]]/$L212,0)</f>
        <v>424</v>
      </c>
      <c r="BJ212">
        <f>ROUNDUP(tbl_Data_old[[#This Row],[Adjusted 2033]]/$L212,0)</f>
        <v>458</v>
      </c>
      <c r="BK212">
        <f>ROUNDUP(tbl_Data_old[[#This Row],[Adjusted 2034]]/$L212,0)</f>
        <v>490</v>
      </c>
      <c r="BL212" s="3">
        <f t="shared" si="13"/>
        <v>0</v>
      </c>
      <c r="BM212" s="3">
        <f t="shared" si="13"/>
        <v>0</v>
      </c>
      <c r="BN212" s="3">
        <f t="shared" si="13"/>
        <v>0</v>
      </c>
      <c r="BO212" s="3">
        <f t="shared" si="13"/>
        <v>0</v>
      </c>
      <c r="BP212" s="3">
        <f t="shared" si="13"/>
        <v>0</v>
      </c>
      <c r="BQ212" s="3">
        <f t="shared" si="13"/>
        <v>0</v>
      </c>
      <c r="BR212" s="3">
        <f t="shared" si="13"/>
        <v>0</v>
      </c>
      <c r="BS212" s="3">
        <f t="shared" si="13"/>
        <v>0</v>
      </c>
      <c r="BT212" s="3">
        <f t="shared" si="13"/>
        <v>0</v>
      </c>
      <c r="BU212" s="3">
        <f t="shared" si="13"/>
        <v>0</v>
      </c>
      <c r="BV212" t="e">
        <f>VLOOKUP($H212,'1. Set Program Names'!$B$2:$D$15,3,0)*V212</f>
        <v>#N/A</v>
      </c>
      <c r="BW212" t="e">
        <f>VLOOKUP($H212,'1. Set Program Names'!$B$2:$D$15,3,0)*W212</f>
        <v>#N/A</v>
      </c>
      <c r="BX212" t="e">
        <f>VLOOKUP($H212,'1. Set Program Names'!$B$2:$D$15,3,0)*X212</f>
        <v>#N/A</v>
      </c>
      <c r="BY212" t="e">
        <f>VLOOKUP($H212,'1. Set Program Names'!$B$2:$D$15,3,0)*Y212</f>
        <v>#N/A</v>
      </c>
      <c r="BZ212" t="e">
        <f>VLOOKUP($H212,'1. Set Program Names'!$B$2:$D$15,3,0)*Z212</f>
        <v>#N/A</v>
      </c>
      <c r="CA212" t="e">
        <f>VLOOKUP($H212,'1. Set Program Names'!$B$2:$D$15,3,0)*AA212</f>
        <v>#N/A</v>
      </c>
      <c r="CB212" t="e">
        <f>VLOOKUP($H212,'1. Set Program Names'!$B$2:$D$15,3,0)*AB212</f>
        <v>#N/A</v>
      </c>
      <c r="CC212" t="e">
        <f>VLOOKUP($H212,'1. Set Program Names'!$B$2:$D$15,3,0)*AC212</f>
        <v>#N/A</v>
      </c>
      <c r="CD212" t="e">
        <f>VLOOKUP($H212,'1. Set Program Names'!$B$2:$D$15,3,0)*AD212</f>
        <v>#N/A</v>
      </c>
      <c r="CE212" t="e">
        <f>VLOOKUP($H212,'1. Set Program Names'!$B$2:$D$15,3,0)*AE212</f>
        <v>#N/A</v>
      </c>
    </row>
    <row r="213" spans="1:83" x14ac:dyDescent="0.25">
      <c r="A213" s="20" t="s">
        <v>87</v>
      </c>
      <c r="B213" s="20" t="s">
        <v>88</v>
      </c>
      <c r="C213" s="20" t="s">
        <v>89</v>
      </c>
      <c r="D213" s="20" t="s">
        <v>90</v>
      </c>
      <c r="E213" s="20" t="s">
        <v>91</v>
      </c>
      <c r="F213" s="20" t="s">
        <v>90</v>
      </c>
      <c r="G213" s="20" t="s">
        <v>92</v>
      </c>
      <c r="H213" s="20" t="s">
        <v>273</v>
      </c>
      <c r="I213" s="20" t="s">
        <v>105</v>
      </c>
      <c r="J213" s="20" t="s">
        <v>97</v>
      </c>
      <c r="K213" s="20" t="s">
        <v>98</v>
      </c>
      <c r="L213" s="20">
        <v>1409.8599999999899</v>
      </c>
      <c r="M213" s="20">
        <v>0.25259796946801399</v>
      </c>
      <c r="N213" s="20">
        <v>0.18561076930699899</v>
      </c>
      <c r="O213" s="20">
        <v>15905.9999999999</v>
      </c>
      <c r="P213" s="20">
        <v>15564.4191191999</v>
      </c>
      <c r="Q213" s="20">
        <v>1.4098599999999899</v>
      </c>
      <c r="R213" s="20">
        <v>1051.8249065196901</v>
      </c>
      <c r="S213" s="20">
        <v>2376.3089492588301</v>
      </c>
      <c r="T213" s="20">
        <v>25</v>
      </c>
      <c r="U213" s="20">
        <v>1</v>
      </c>
      <c r="V213" s="20">
        <v>740.43259059130696</v>
      </c>
      <c r="W213" s="20">
        <v>859.50873228656496</v>
      </c>
      <c r="X213" s="20">
        <v>980.43223287273804</v>
      </c>
      <c r="Y213" s="20">
        <v>1105.47893650728</v>
      </c>
      <c r="Z213" s="20">
        <v>1235.3939873602901</v>
      </c>
      <c r="AA213" s="20">
        <v>1367.15156336727</v>
      </c>
      <c r="AB213" s="20">
        <v>1511.5713288782099</v>
      </c>
      <c r="AC213" s="20">
        <v>1673.54532056109</v>
      </c>
      <c r="AD213" s="20">
        <v>1855.9735987317899</v>
      </c>
      <c r="AE213" s="20">
        <v>2061.4953534718002</v>
      </c>
      <c r="AF213" t="str">
        <f t="shared" si="14"/>
        <v>Residential</v>
      </c>
      <c r="AG213" t="str">
        <f>tbl_Data_old[[#This Row],[All_Meas_Name_Append]]</f>
        <v>Energy Star Ground Source Heat Pump</v>
      </c>
      <c r="AH213">
        <f>AVERAGEIFS('3. Incentive Adjustment'!G:G,'3. Incentive Adjustment'!A:A,tbl_Data_old[[#This Row],[Trimmed Sector]],'3. Incentive Adjustment'!B:B,tbl_Data_old[[#This Row],[Trimmed Measure Name]])</f>
        <v>2.2369945105234762E-13</v>
      </c>
      <c r="AI213">
        <f>$AH213*tbl_Data_old[[#This Row],[2025 ]]</f>
        <v>1.6563436405654303E-10</v>
      </c>
      <c r="AJ213">
        <f>$AH213*tbl_Data_old[[#This Row],[2026 ]]</f>
        <v>1.922716315872038E-10</v>
      </c>
      <c r="AK213">
        <f>$AH213*tbl_Data_old[[#This Row],[2027 ]]</f>
        <v>2.1932215228765896E-10</v>
      </c>
      <c r="AL213">
        <f>$AH213*tbl_Data_old[[#This Row],[2028 ]]</f>
        <v>2.4729503124661159E-10</v>
      </c>
      <c r="AM213">
        <f>$AH213*tbl_Data_old[[#This Row],[2029 ]]</f>
        <v>2.7635695680586778E-10</v>
      </c>
      <c r="AN213">
        <f>$AH213*tbl_Data_old[[#This Row],[2030 ]]</f>
        <v>3.0583105423061715E-10</v>
      </c>
      <c r="AO213">
        <f>$AH213*tbl_Data_old[[#This Row],[2031 ]]</f>
        <v>3.3813767649652319E-10</v>
      </c>
      <c r="AP213">
        <f>$AH213*tbl_Data_old[[#This Row],[2032 ]]</f>
        <v>3.7437116952074097E-10</v>
      </c>
      <c r="AQ213">
        <f>$AH213*tbl_Data_old[[#This Row],[2033 ]]</f>
        <v>4.151802752039515E-10</v>
      </c>
      <c r="AR213">
        <f>$AH213*tbl_Data_old[[#This Row],[2034 ]]</f>
        <v>4.6115537891860702E-10</v>
      </c>
      <c r="AS213">
        <f>SUM(tbl_Data_old[[#This Row],[Adjusted 2025]:[Adjusted 2034]])</f>
        <v>2.9955556903543253E-9</v>
      </c>
      <c r="AT213" s="3">
        <f>AVERAGEIFS('3. Incentive Adjustment'!F:F,'3. Incentive Adjustment'!A:A,tbl_Data_old[[#This Row],[Trimmed Sector]],'3. Incentive Adjustment'!B:B,tbl_Data_old[[#This Row],[Trimmed Measure Name]])</f>
        <v>0</v>
      </c>
      <c r="AU213" s="3">
        <f>IFERROR(VLOOKUP(tbl_Data_old[[#This Row],[All_Meas_Name_Append]],'IRA Tax Credits'!$A$3:$D$46,4,0),0)</f>
        <v>41666.666666666672</v>
      </c>
      <c r="AV213" s="4">
        <f>tbl_Data_old[[#This Row],[Adj. per unit Incentive ($)]]/tbl_Data_old[[#This Row],[kWh Savings]]*tbl_Data_old[[#This Row],[Sum of Annuals]]</f>
        <v>0</v>
      </c>
      <c r="AW213" s="4" t="str">
        <f>IFERROR(VLOOKUP(tbl_Data_old[[#This Row],[All_Programs]],'1. Set Program Names'!$B$2:$D$15,3,0)*tbl_Data_old[[#This Row],[Sum of Annuals]],"")</f>
        <v/>
      </c>
      <c r="AX213" s="4">
        <f>tbl_Data_old[[#This Row],[per unit IRA tax ($)]]/tbl_Data_old[[#This Row],[kWh Savings]]*tbl_Data_old[[#This Row],[Sum of Annuals]]</f>
        <v>8.8529939448903523E-8</v>
      </c>
      <c r="AY213" s="4">
        <f>tbl_Data_old[[#This Row],[Avoided Costs ($/unit)]]/tbl_Data_old[[#This Row],[kWh Savings]]*tbl_Data_old[[#This Row],[Sum of Annuals]]</f>
        <v>2.2348318868408824E-9</v>
      </c>
      <c r="AZ213" s="4">
        <f>tbl_Data_old[[#This Row],[Lost Revenue ($/unit)]]/tbl_Data_old[[#This Row],[kWh Savings]]*tbl_Data_old[[#This Row],[Sum of Annuals]]</f>
        <v>5.0489876973545222E-9</v>
      </c>
      <c r="BA213" s="4">
        <f>tbl_Data_old[[#This Row],[Incremental Cost ($/unit)]]/tbl_Data_old[[#This Row],[kWh Savings]]*tbl_Data_old[[#This Row],[Sum of Annuals]]</f>
        <v>3.379577320498201E-8</v>
      </c>
      <c r="BB213">
        <f>ROUNDUP(tbl_Data_old[[#This Row],[Adjusted 2025]]/$L213,0)</f>
        <v>1</v>
      </c>
      <c r="BC213">
        <f>ROUNDUP(tbl_Data_old[[#This Row],[Adjusted 2026]]/$L213,0)</f>
        <v>1</v>
      </c>
      <c r="BD213">
        <f>ROUNDUP(tbl_Data_old[[#This Row],[Adjusted 2027]]/$L213,0)</f>
        <v>1</v>
      </c>
      <c r="BE213">
        <f>ROUNDUP(tbl_Data_old[[#This Row],[Adjusted 2028]]/$L213,0)</f>
        <v>1</v>
      </c>
      <c r="BF213">
        <f>ROUNDUP(tbl_Data_old[[#This Row],[Adjusted 2029]]/$L213,0)</f>
        <v>1</v>
      </c>
      <c r="BG213">
        <f>ROUNDUP(tbl_Data_old[[#This Row],[Adjusted 2030]]/$L213,0)</f>
        <v>1</v>
      </c>
      <c r="BH213">
        <f>ROUNDUP(tbl_Data_old[[#This Row],[Adjusted 2031]]/$L213,0)</f>
        <v>1</v>
      </c>
      <c r="BI213">
        <f>ROUNDUP(tbl_Data_old[[#This Row],[Adjusted 2032]]/$L213,0)</f>
        <v>1</v>
      </c>
      <c r="BJ213">
        <f>ROUNDUP(tbl_Data_old[[#This Row],[Adjusted 2033]]/$L213,0)</f>
        <v>1</v>
      </c>
      <c r="BK213">
        <f>ROUNDUP(tbl_Data_old[[#This Row],[Adjusted 2034]]/$L213,0)</f>
        <v>1</v>
      </c>
      <c r="BL213" s="3">
        <f t="shared" si="13"/>
        <v>0</v>
      </c>
      <c r="BM213" s="3">
        <f t="shared" si="13"/>
        <v>0</v>
      </c>
      <c r="BN213" s="3">
        <f t="shared" si="13"/>
        <v>0</v>
      </c>
      <c r="BO213" s="3">
        <f t="shared" si="13"/>
        <v>0</v>
      </c>
      <c r="BP213" s="3">
        <f t="shared" si="13"/>
        <v>0</v>
      </c>
      <c r="BQ213" s="3">
        <f t="shared" si="13"/>
        <v>0</v>
      </c>
      <c r="BR213" s="3">
        <f t="shared" si="13"/>
        <v>0</v>
      </c>
      <c r="BS213" s="3">
        <f t="shared" si="13"/>
        <v>0</v>
      </c>
      <c r="BT213" s="3">
        <f t="shared" si="13"/>
        <v>0</v>
      </c>
      <c r="BU213" s="3">
        <f t="shared" si="13"/>
        <v>0</v>
      </c>
      <c r="BV213" t="e">
        <f>VLOOKUP($H213,'1. Set Program Names'!$B$2:$D$15,3,0)*V213</f>
        <v>#N/A</v>
      </c>
      <c r="BW213" t="e">
        <f>VLOOKUP($H213,'1. Set Program Names'!$B$2:$D$15,3,0)*W213</f>
        <v>#N/A</v>
      </c>
      <c r="BX213" t="e">
        <f>VLOOKUP($H213,'1. Set Program Names'!$B$2:$D$15,3,0)*X213</f>
        <v>#N/A</v>
      </c>
      <c r="BY213" t="e">
        <f>VLOOKUP($H213,'1. Set Program Names'!$B$2:$D$15,3,0)*Y213</f>
        <v>#N/A</v>
      </c>
      <c r="BZ213" t="e">
        <f>VLOOKUP($H213,'1. Set Program Names'!$B$2:$D$15,3,0)*Z213</f>
        <v>#N/A</v>
      </c>
      <c r="CA213" t="e">
        <f>VLOOKUP($H213,'1. Set Program Names'!$B$2:$D$15,3,0)*AA213</f>
        <v>#N/A</v>
      </c>
      <c r="CB213" t="e">
        <f>VLOOKUP($H213,'1. Set Program Names'!$B$2:$D$15,3,0)*AB213</f>
        <v>#N/A</v>
      </c>
      <c r="CC213" t="e">
        <f>VLOOKUP($H213,'1. Set Program Names'!$B$2:$D$15,3,0)*AC213</f>
        <v>#N/A</v>
      </c>
      <c r="CD213" t="e">
        <f>VLOOKUP($H213,'1. Set Program Names'!$B$2:$D$15,3,0)*AD213</f>
        <v>#N/A</v>
      </c>
      <c r="CE213" t="e">
        <f>VLOOKUP($H213,'1. Set Program Names'!$B$2:$D$15,3,0)*AE213</f>
        <v>#N/A</v>
      </c>
    </row>
    <row r="214" spans="1:83" x14ac:dyDescent="0.25">
      <c r="A214" s="20" t="s">
        <v>87</v>
      </c>
      <c r="B214" s="20" t="s">
        <v>88</v>
      </c>
      <c r="C214" s="20" t="s">
        <v>89</v>
      </c>
      <c r="D214" s="20" t="s">
        <v>90</v>
      </c>
      <c r="E214" s="20" t="s">
        <v>91</v>
      </c>
      <c r="F214" s="20" t="s">
        <v>90</v>
      </c>
      <c r="G214" s="20" t="s">
        <v>92</v>
      </c>
      <c r="H214" s="20" t="s">
        <v>273</v>
      </c>
      <c r="I214" s="20" t="s">
        <v>106</v>
      </c>
      <c r="J214" s="20" t="s">
        <v>97</v>
      </c>
      <c r="K214" s="20" t="s">
        <v>98</v>
      </c>
      <c r="L214" s="20">
        <v>127.25</v>
      </c>
      <c r="M214" s="20">
        <v>7.3045840411791796E-2</v>
      </c>
      <c r="N214" s="20">
        <v>3.5010079032079199E-4</v>
      </c>
      <c r="O214" s="20">
        <v>41.15</v>
      </c>
      <c r="P214" s="20">
        <v>10.3198699999999</v>
      </c>
      <c r="Q214" s="20">
        <v>0.12725</v>
      </c>
      <c r="R214" s="20">
        <v>86.902802703254196</v>
      </c>
      <c r="S214" s="20">
        <v>140.464426641062</v>
      </c>
      <c r="T214" s="20">
        <v>12</v>
      </c>
      <c r="U214" s="20">
        <v>1</v>
      </c>
      <c r="V214" s="20">
        <v>14801.411723232401</v>
      </c>
      <c r="W214" s="20">
        <v>15680.494028376699</v>
      </c>
      <c r="X214" s="20">
        <v>16280.601575319801</v>
      </c>
      <c r="Y214" s="20">
        <v>16754.1113691625</v>
      </c>
      <c r="Z214" s="20">
        <v>17175.598001268299</v>
      </c>
      <c r="AA214" s="20">
        <v>17508.203704103002</v>
      </c>
      <c r="AB214" s="20">
        <v>17905.2826547847</v>
      </c>
      <c r="AC214" s="20">
        <v>18383.979856088699</v>
      </c>
      <c r="AD214" s="20">
        <v>18957.093349866602</v>
      </c>
      <c r="AE214" s="20">
        <v>19621.242251226398</v>
      </c>
      <c r="AF214" t="str">
        <f t="shared" si="14"/>
        <v>Residential</v>
      </c>
      <c r="AG214" t="str">
        <f>tbl_Data_old[[#This Row],[All_Meas_Name_Append]]</f>
        <v>Energy Star Room AC Residential</v>
      </c>
      <c r="AH214">
        <f>AVERAGEIFS('3. Incentive Adjustment'!G:G,'3. Incentive Adjustment'!A:A,tbl_Data_old[[#This Row],[Trimmed Sector]],'3. Incentive Adjustment'!B:B,tbl_Data_old[[#This Row],[Trimmed Measure Name]])</f>
        <v>0.8073629241290271</v>
      </c>
      <c r="AI214">
        <f>$AH214*tbl_Data_old[[#This Row],[2025 ]]</f>
        <v>11950.111050106572</v>
      </c>
      <c r="AJ214">
        <f>$AH214*tbl_Data_old[[#This Row],[2026 ]]</f>
        <v>12659.849510537959</v>
      </c>
      <c r="AK214">
        <f>$AH214*tbl_Data_old[[#This Row],[2027 ]]</f>
        <v>13144.35409442984</v>
      </c>
      <c r="AL214">
        <f>$AH214*tbl_Data_old[[#This Row],[2028 ]]</f>
        <v>13526.648346190414</v>
      </c>
      <c r="AM214">
        <f>$AH214*tbl_Data_old[[#This Row],[2029 ]]</f>
        <v>13866.941025968648</v>
      </c>
      <c r="AN214">
        <f>$AH214*tbl_Data_old[[#This Row],[2030 ]]</f>
        <v>14135.474538791263</v>
      </c>
      <c r="AO214">
        <f>$AH214*tbl_Data_old[[#This Row],[2031 ]]</f>
        <v>14456.061361523725</v>
      </c>
      <c r="AP214">
        <f>$AH214*tbl_Data_old[[#This Row],[2032 ]]</f>
        <v>14842.543733740904</v>
      </c>
      <c r="AQ214">
        <f>$AH214*tbl_Data_old[[#This Row],[2033 ]]</f>
        <v>15305.254319935233</v>
      </c>
      <c r="AR214">
        <f>$AH214*tbl_Data_old[[#This Row],[2034 ]]</f>
        <v>15841.46351899416</v>
      </c>
      <c r="AS214">
        <f>SUM(tbl_Data_old[[#This Row],[Adjusted 2025]:[Adjusted 2034]])</f>
        <v>139728.70150021871</v>
      </c>
      <c r="AT214" s="3">
        <f>AVERAGEIFS('3. Incentive Adjustment'!F:F,'3. Incentive Adjustment'!A:A,tbl_Data_old[[#This Row],[Trimmed Sector]],'3. Incentive Adjustment'!B:B,tbl_Data_old[[#This Row],[Trimmed Measure Name]])</f>
        <v>0</v>
      </c>
      <c r="AU214" s="3">
        <f>IFERROR(VLOOKUP(tbl_Data_old[[#This Row],[All_Meas_Name_Append]],'IRA Tax Credits'!$A$3:$D$46,4,0),0)</f>
        <v>0</v>
      </c>
      <c r="AV214" s="4">
        <f>tbl_Data_old[[#This Row],[Adj. per unit Incentive ($)]]/tbl_Data_old[[#This Row],[kWh Savings]]*tbl_Data_old[[#This Row],[Sum of Annuals]]</f>
        <v>0</v>
      </c>
      <c r="AW214" s="4" t="str">
        <f>IFERROR(VLOOKUP(tbl_Data_old[[#This Row],[All_Programs]],'1. Set Program Names'!$B$2:$D$15,3,0)*tbl_Data_old[[#This Row],[Sum of Annuals]],"")</f>
        <v/>
      </c>
      <c r="AX214" s="4">
        <f>tbl_Data_old[[#This Row],[per unit IRA tax ($)]]/tbl_Data_old[[#This Row],[kWh Savings]]*tbl_Data_old[[#This Row],[Sum of Annuals]]</f>
        <v>0</v>
      </c>
      <c r="AY214" s="4">
        <f>tbl_Data_old[[#This Row],[Avoided Costs ($/unit)]]/tbl_Data_old[[#This Row],[kWh Savings]]*tbl_Data_old[[#This Row],[Sum of Annuals]]</f>
        <v>95424.878416152496</v>
      </c>
      <c r="AZ214" s="4">
        <f>tbl_Data_old[[#This Row],[Lost Revenue ($/unit)]]/tbl_Data_old[[#This Row],[kWh Savings]]*tbl_Data_old[[#This Row],[Sum of Annuals]]</f>
        <v>154238.993646588</v>
      </c>
      <c r="BA214" s="4">
        <f>tbl_Data_old[[#This Row],[Incremental Cost ($/unit)]]/tbl_Data_old[[#This Row],[kWh Savings]]*tbl_Data_old[[#This Row],[Sum of Annuals]]</f>
        <v>45185.352194373285</v>
      </c>
      <c r="BB214">
        <f>ROUNDUP(tbl_Data_old[[#This Row],[Adjusted 2025]]/$L214,0)</f>
        <v>94</v>
      </c>
      <c r="BC214">
        <f>ROUNDUP(tbl_Data_old[[#This Row],[Adjusted 2026]]/$L214,0)</f>
        <v>100</v>
      </c>
      <c r="BD214">
        <f>ROUNDUP(tbl_Data_old[[#This Row],[Adjusted 2027]]/$L214,0)</f>
        <v>104</v>
      </c>
      <c r="BE214">
        <f>ROUNDUP(tbl_Data_old[[#This Row],[Adjusted 2028]]/$L214,0)</f>
        <v>107</v>
      </c>
      <c r="BF214">
        <f>ROUNDUP(tbl_Data_old[[#This Row],[Adjusted 2029]]/$L214,0)</f>
        <v>109</v>
      </c>
      <c r="BG214">
        <f>ROUNDUP(tbl_Data_old[[#This Row],[Adjusted 2030]]/$L214,0)</f>
        <v>112</v>
      </c>
      <c r="BH214">
        <f>ROUNDUP(tbl_Data_old[[#This Row],[Adjusted 2031]]/$L214,0)</f>
        <v>114</v>
      </c>
      <c r="BI214">
        <f>ROUNDUP(tbl_Data_old[[#This Row],[Adjusted 2032]]/$L214,0)</f>
        <v>117</v>
      </c>
      <c r="BJ214">
        <f>ROUNDUP(tbl_Data_old[[#This Row],[Adjusted 2033]]/$L214,0)</f>
        <v>121</v>
      </c>
      <c r="BK214">
        <f>ROUNDUP(tbl_Data_old[[#This Row],[Adjusted 2034]]/$L214,0)</f>
        <v>125</v>
      </c>
      <c r="BL214" s="3">
        <f t="shared" si="13"/>
        <v>0</v>
      </c>
      <c r="BM214" s="3">
        <f t="shared" si="13"/>
        <v>0</v>
      </c>
      <c r="BN214" s="3">
        <f t="shared" si="13"/>
        <v>0</v>
      </c>
      <c r="BO214" s="3">
        <f t="shared" si="13"/>
        <v>0</v>
      </c>
      <c r="BP214" s="3">
        <f t="shared" si="13"/>
        <v>0</v>
      </c>
      <c r="BQ214" s="3">
        <f t="shared" si="13"/>
        <v>0</v>
      </c>
      <c r="BR214" s="3">
        <f t="shared" si="13"/>
        <v>0</v>
      </c>
      <c r="BS214" s="3">
        <f t="shared" si="13"/>
        <v>0</v>
      </c>
      <c r="BT214" s="3">
        <f t="shared" si="13"/>
        <v>0</v>
      </c>
      <c r="BU214" s="3">
        <f t="shared" si="13"/>
        <v>0</v>
      </c>
      <c r="BV214" t="e">
        <f>VLOOKUP($H214,'1. Set Program Names'!$B$2:$D$15,3,0)*V214</f>
        <v>#N/A</v>
      </c>
      <c r="BW214" t="e">
        <f>VLOOKUP($H214,'1. Set Program Names'!$B$2:$D$15,3,0)*W214</f>
        <v>#N/A</v>
      </c>
      <c r="BX214" t="e">
        <f>VLOOKUP($H214,'1. Set Program Names'!$B$2:$D$15,3,0)*X214</f>
        <v>#N/A</v>
      </c>
      <c r="BY214" t="e">
        <f>VLOOKUP($H214,'1. Set Program Names'!$B$2:$D$15,3,0)*Y214</f>
        <v>#N/A</v>
      </c>
      <c r="BZ214" t="e">
        <f>VLOOKUP($H214,'1. Set Program Names'!$B$2:$D$15,3,0)*Z214</f>
        <v>#N/A</v>
      </c>
      <c r="CA214" t="e">
        <f>VLOOKUP($H214,'1. Set Program Names'!$B$2:$D$15,3,0)*AA214</f>
        <v>#N/A</v>
      </c>
      <c r="CB214" t="e">
        <f>VLOOKUP($H214,'1. Set Program Names'!$B$2:$D$15,3,0)*AB214</f>
        <v>#N/A</v>
      </c>
      <c r="CC214" t="e">
        <f>VLOOKUP($H214,'1. Set Program Names'!$B$2:$D$15,3,0)*AC214</f>
        <v>#N/A</v>
      </c>
      <c r="CD214" t="e">
        <f>VLOOKUP($H214,'1. Set Program Names'!$B$2:$D$15,3,0)*AD214</f>
        <v>#N/A</v>
      </c>
      <c r="CE214" t="e">
        <f>VLOOKUP($H214,'1. Set Program Names'!$B$2:$D$15,3,0)*AE214</f>
        <v>#N/A</v>
      </c>
    </row>
    <row r="215" spans="1:83" x14ac:dyDescent="0.25">
      <c r="A215" s="20" t="s">
        <v>87</v>
      </c>
      <c r="B215" s="20" t="s">
        <v>88</v>
      </c>
      <c r="C215" s="20" t="s">
        <v>89</v>
      </c>
      <c r="D215" s="20" t="s">
        <v>90</v>
      </c>
      <c r="E215" s="20" t="s">
        <v>91</v>
      </c>
      <c r="F215" s="20" t="s">
        <v>90</v>
      </c>
      <c r="G215" s="20" t="s">
        <v>92</v>
      </c>
      <c r="H215" s="20" t="s">
        <v>273</v>
      </c>
      <c r="I215" s="20" t="s">
        <v>111</v>
      </c>
      <c r="J215" s="20" t="s">
        <v>97</v>
      </c>
      <c r="K215" s="20" t="s">
        <v>102</v>
      </c>
      <c r="L215" s="20">
        <v>586.59333333333302</v>
      </c>
      <c r="M215" s="20">
        <v>0.33672458163683799</v>
      </c>
      <c r="N215" s="20">
        <v>1.6138843976181299E-3</v>
      </c>
      <c r="O215" s="20">
        <v>250</v>
      </c>
      <c r="P215" s="20">
        <v>142.46266525790699</v>
      </c>
      <c r="Q215" s="20">
        <v>0.58659333333333297</v>
      </c>
      <c r="R215" s="20">
        <v>435.979615776</v>
      </c>
      <c r="S215" s="20">
        <v>718.05871460051901</v>
      </c>
      <c r="T215" s="20">
        <v>14</v>
      </c>
      <c r="U215" s="20">
        <v>1</v>
      </c>
      <c r="V215" s="20">
        <v>85788.859882834004</v>
      </c>
      <c r="W215" s="20">
        <v>116564.384145616</v>
      </c>
      <c r="X215" s="20">
        <v>150643.02622488901</v>
      </c>
      <c r="Y215" s="20">
        <v>186920.87743645601</v>
      </c>
      <c r="Z215" s="20">
        <v>223437.395214549</v>
      </c>
      <c r="AA215" s="20">
        <v>256777.014042981</v>
      </c>
      <c r="AB215" s="20">
        <v>287023.43130165501</v>
      </c>
      <c r="AC215" s="20">
        <v>313784.85522544198</v>
      </c>
      <c r="AD215" s="20">
        <v>337720.86648013903</v>
      </c>
      <c r="AE215" s="20">
        <v>359754.928678467</v>
      </c>
      <c r="AF215" t="str">
        <f t="shared" si="14"/>
        <v>Residential</v>
      </c>
      <c r="AG215" t="str">
        <f>tbl_Data_old[[#This Row],[All_Meas_Name_Append]]</f>
        <v>Properly Sized CAC</v>
      </c>
      <c r="AH215">
        <f>AVERAGEIFS('3. Incentive Adjustment'!G:G,'3. Incentive Adjustment'!A:A,tbl_Data_old[[#This Row],[Trimmed Sector]],'3. Incentive Adjustment'!B:B,tbl_Data_old[[#This Row],[Trimmed Measure Name]])</f>
        <v>0.52686902587198514</v>
      </c>
      <c r="AI215">
        <f>$AH215*tbl_Data_old[[#This Row],[2025 ]]</f>
        <v>45199.493037136977</v>
      </c>
      <c r="AJ215">
        <f>$AH215*tbl_Data_old[[#This Row],[2026 ]]</f>
        <v>61414.163526168573</v>
      </c>
      <c r="AK215">
        <f>$AH215*tbl_Data_old[[#This Row],[2027 ]]</f>
        <v>79369.144481515177</v>
      </c>
      <c r="AL215">
        <f>$AH215*tbl_Data_old[[#This Row],[2028 ]]</f>
        <v>98482.820610082301</v>
      </c>
      <c r="AM215">
        <f>$AH215*tbl_Data_old[[#This Row],[2029 ]]</f>
        <v>117722.24276006319</v>
      </c>
      <c r="AN215">
        <f>$AH215*tbl_Data_old[[#This Row],[2030 ]]</f>
        <v>135287.85525514244</v>
      </c>
      <c r="AO215">
        <f>$AH215*tbl_Data_old[[#This Row],[2031 ]]</f>
        <v>151223.75565233763</v>
      </c>
      <c r="AP215">
        <f>$AH215*tbl_Data_old[[#This Row],[2032 ]]</f>
        <v>165323.5210060105</v>
      </c>
      <c r="AQ215">
        <f>$AH215*tbl_Data_old[[#This Row],[2033 ]]</f>
        <v>177934.66393903361</v>
      </c>
      <c r="AR215">
        <f>$AH215*tbl_Data_old[[#This Row],[2034 ]]</f>
        <v>189543.72882546938</v>
      </c>
      <c r="AS215">
        <f>SUM(tbl_Data_old[[#This Row],[Adjusted 2025]:[Adjusted 2034]])</f>
        <v>1221501.3890929599</v>
      </c>
      <c r="AT215" s="3">
        <f>AVERAGEIFS('3. Incentive Adjustment'!F:F,'3. Incentive Adjustment'!A:A,tbl_Data_old[[#This Row],[Trimmed Sector]],'3. Incentive Adjustment'!B:B,tbl_Data_old[[#This Row],[Trimmed Measure Name]])</f>
        <v>0</v>
      </c>
      <c r="AU215" s="3">
        <f>IFERROR(VLOOKUP(tbl_Data_old[[#This Row],[All_Meas_Name_Append]],'IRA Tax Credits'!$A$3:$D$46,4,0),0)</f>
        <v>0</v>
      </c>
      <c r="AV215" s="4">
        <f>tbl_Data_old[[#This Row],[Adj. per unit Incentive ($)]]/tbl_Data_old[[#This Row],[kWh Savings]]*tbl_Data_old[[#This Row],[Sum of Annuals]]</f>
        <v>0</v>
      </c>
      <c r="AW215" s="4" t="str">
        <f>IFERROR(VLOOKUP(tbl_Data_old[[#This Row],[All_Programs]],'1. Set Program Names'!$B$2:$D$15,3,0)*tbl_Data_old[[#This Row],[Sum of Annuals]],"")</f>
        <v/>
      </c>
      <c r="AX215" s="4">
        <f>tbl_Data_old[[#This Row],[per unit IRA tax ($)]]/tbl_Data_old[[#This Row],[kWh Savings]]*tbl_Data_old[[#This Row],[Sum of Annuals]]</f>
        <v>0</v>
      </c>
      <c r="AY215" s="4">
        <f>tbl_Data_old[[#This Row],[Avoided Costs ($/unit)]]/tbl_Data_old[[#This Row],[kWh Savings]]*tbl_Data_old[[#This Row],[Sum of Annuals]]</f>
        <v>907868.66475343378</v>
      </c>
      <c r="AZ215" s="4">
        <f>tbl_Data_old[[#This Row],[Lost Revenue ($/unit)]]/tbl_Data_old[[#This Row],[kWh Savings]]*tbl_Data_old[[#This Row],[Sum of Annuals]]</f>
        <v>1495260.289356919</v>
      </c>
      <c r="BA215" s="4">
        <f>tbl_Data_old[[#This Row],[Incremental Cost ($/unit)]]/tbl_Data_old[[#This Row],[kWh Savings]]*tbl_Data_old[[#This Row],[Sum of Annuals]]</f>
        <v>520591.23402909481</v>
      </c>
      <c r="BB215">
        <f>ROUNDUP(tbl_Data_old[[#This Row],[Adjusted 2025]]/$L215,0)</f>
        <v>78</v>
      </c>
      <c r="BC215">
        <f>ROUNDUP(tbl_Data_old[[#This Row],[Adjusted 2026]]/$L215,0)</f>
        <v>105</v>
      </c>
      <c r="BD215">
        <f>ROUNDUP(tbl_Data_old[[#This Row],[Adjusted 2027]]/$L215,0)</f>
        <v>136</v>
      </c>
      <c r="BE215">
        <f>ROUNDUP(tbl_Data_old[[#This Row],[Adjusted 2028]]/$L215,0)</f>
        <v>168</v>
      </c>
      <c r="BF215">
        <f>ROUNDUP(tbl_Data_old[[#This Row],[Adjusted 2029]]/$L215,0)</f>
        <v>201</v>
      </c>
      <c r="BG215">
        <f>ROUNDUP(tbl_Data_old[[#This Row],[Adjusted 2030]]/$L215,0)</f>
        <v>231</v>
      </c>
      <c r="BH215">
        <f>ROUNDUP(tbl_Data_old[[#This Row],[Adjusted 2031]]/$L215,0)</f>
        <v>258</v>
      </c>
      <c r="BI215">
        <f>ROUNDUP(tbl_Data_old[[#This Row],[Adjusted 2032]]/$L215,0)</f>
        <v>282</v>
      </c>
      <c r="BJ215">
        <f>ROUNDUP(tbl_Data_old[[#This Row],[Adjusted 2033]]/$L215,0)</f>
        <v>304</v>
      </c>
      <c r="BK215">
        <f>ROUNDUP(tbl_Data_old[[#This Row],[Adjusted 2034]]/$L215,0)</f>
        <v>324</v>
      </c>
      <c r="BL215" s="3">
        <f t="shared" si="13"/>
        <v>0</v>
      </c>
      <c r="BM215" s="3">
        <f t="shared" si="13"/>
        <v>0</v>
      </c>
      <c r="BN215" s="3">
        <f t="shared" si="13"/>
        <v>0</v>
      </c>
      <c r="BO215" s="3">
        <f t="shared" si="13"/>
        <v>0</v>
      </c>
      <c r="BP215" s="3">
        <f t="shared" si="13"/>
        <v>0</v>
      </c>
      <c r="BQ215" s="3">
        <f t="shared" si="13"/>
        <v>0</v>
      </c>
      <c r="BR215" s="3">
        <f t="shared" si="13"/>
        <v>0</v>
      </c>
      <c r="BS215" s="3">
        <f t="shared" si="13"/>
        <v>0</v>
      </c>
      <c r="BT215" s="3">
        <f t="shared" si="13"/>
        <v>0</v>
      </c>
      <c r="BU215" s="3">
        <f t="shared" si="13"/>
        <v>0</v>
      </c>
      <c r="BV215" t="e">
        <f>VLOOKUP($H215,'1. Set Program Names'!$B$2:$D$15,3,0)*V215</f>
        <v>#N/A</v>
      </c>
      <c r="BW215" t="e">
        <f>VLOOKUP($H215,'1. Set Program Names'!$B$2:$D$15,3,0)*W215</f>
        <v>#N/A</v>
      </c>
      <c r="BX215" t="e">
        <f>VLOOKUP($H215,'1. Set Program Names'!$B$2:$D$15,3,0)*X215</f>
        <v>#N/A</v>
      </c>
      <c r="BY215" t="e">
        <f>VLOOKUP($H215,'1. Set Program Names'!$B$2:$D$15,3,0)*Y215</f>
        <v>#N/A</v>
      </c>
      <c r="BZ215" t="e">
        <f>VLOOKUP($H215,'1. Set Program Names'!$B$2:$D$15,3,0)*Z215</f>
        <v>#N/A</v>
      </c>
      <c r="CA215" t="e">
        <f>VLOOKUP($H215,'1. Set Program Names'!$B$2:$D$15,3,0)*AA215</f>
        <v>#N/A</v>
      </c>
      <c r="CB215" t="e">
        <f>VLOOKUP($H215,'1. Set Program Names'!$B$2:$D$15,3,0)*AB215</f>
        <v>#N/A</v>
      </c>
      <c r="CC215" t="e">
        <f>VLOOKUP($H215,'1. Set Program Names'!$B$2:$D$15,3,0)*AC215</f>
        <v>#N/A</v>
      </c>
      <c r="CD215" t="e">
        <f>VLOOKUP($H215,'1. Set Program Names'!$B$2:$D$15,3,0)*AD215</f>
        <v>#N/A</v>
      </c>
      <c r="CE215" t="e">
        <f>VLOOKUP($H215,'1. Set Program Names'!$B$2:$D$15,3,0)*AE215</f>
        <v>#N/A</v>
      </c>
    </row>
    <row r="216" spans="1:83" x14ac:dyDescent="0.25">
      <c r="A216" s="20" t="s">
        <v>113</v>
      </c>
      <c r="B216" s="20" t="s">
        <v>88</v>
      </c>
      <c r="C216" s="20" t="s">
        <v>89</v>
      </c>
      <c r="D216" s="20" t="s">
        <v>90</v>
      </c>
      <c r="E216" s="20" t="s">
        <v>91</v>
      </c>
      <c r="F216" s="20" t="s">
        <v>90</v>
      </c>
      <c r="G216" s="20" t="s">
        <v>92</v>
      </c>
      <c r="H216" s="20" t="s">
        <v>273</v>
      </c>
      <c r="I216" s="20" t="s">
        <v>301</v>
      </c>
      <c r="J216" s="20" t="s">
        <v>302</v>
      </c>
      <c r="K216" s="20" t="s">
        <v>104</v>
      </c>
      <c r="L216" s="20">
        <v>275.64999999999901</v>
      </c>
      <c r="M216" s="20">
        <v>4.0357303140515798E-2</v>
      </c>
      <c r="N216" s="20">
        <v>4.1157633527981498E-2</v>
      </c>
      <c r="O216" s="20">
        <v>86.42</v>
      </c>
      <c r="P216" s="20">
        <v>19.6355180000002</v>
      </c>
      <c r="Q216" s="20">
        <v>0.27564999999999901</v>
      </c>
      <c r="R216" s="20">
        <v>112.309715968343</v>
      </c>
      <c r="S216" s="20">
        <v>337.427777357906</v>
      </c>
      <c r="T216" s="20">
        <v>14</v>
      </c>
      <c r="U216" s="20">
        <v>1</v>
      </c>
      <c r="V216" s="20">
        <v>36409.361887842402</v>
      </c>
      <c r="W216" s="20">
        <v>86676.687237167498</v>
      </c>
      <c r="X216" s="20">
        <v>152509.03578670399</v>
      </c>
      <c r="Y216" s="20">
        <v>235008.29893207501</v>
      </c>
      <c r="Z216" s="20">
        <v>334267.67827298498</v>
      </c>
      <c r="AA216" s="20">
        <v>448840.200196983</v>
      </c>
      <c r="AB216" s="20">
        <v>577299.92978201201</v>
      </c>
      <c r="AC216" s="20">
        <v>718164.59853210603</v>
      </c>
      <c r="AD216" s="20">
        <v>870285.69429131004</v>
      </c>
      <c r="AE216" s="20">
        <v>1032978.07802032</v>
      </c>
      <c r="AF216" t="str">
        <f t="shared" si="14"/>
        <v>Residential</v>
      </c>
      <c r="AG216" t="str">
        <f>tbl_Data_old[[#This Row],[All_Meas_Name_Append]]</f>
        <v>Energy Star Clothes Washer</v>
      </c>
      <c r="AH216">
        <f>AVERAGEIFS('3. Incentive Adjustment'!G:G,'3. Incentive Adjustment'!A:A,tbl_Data_old[[#This Row],[Trimmed Sector]],'3. Incentive Adjustment'!B:B,tbl_Data_old[[#This Row],[Trimmed Measure Name]])</f>
        <v>0.8286551255656105</v>
      </c>
      <c r="AI216">
        <f>$AH216*tbl_Data_old[[#This Row],[2025 ]]</f>
        <v>30170.804346933797</v>
      </c>
      <c r="AJ216">
        <f>$AH216*tbl_Data_old[[#This Row],[2026 ]]</f>
        <v>71825.081146126176</v>
      </c>
      <c r="AK216">
        <f>$AH216*tbl_Data_old[[#This Row],[2027 ]]</f>
        <v>126377.39419972137</v>
      </c>
      <c r="AL216">
        <f>$AH216*tbl_Data_old[[#This Row],[2028 ]]</f>
        <v>194740.83146051914</v>
      </c>
      <c r="AM216">
        <f>$AH216*tbl_Data_old[[#This Row],[2029 ]]</f>
        <v>276992.62491182546</v>
      </c>
      <c r="AN216">
        <f>$AH216*tbl_Data_old[[#This Row],[2030 ]]</f>
        <v>371933.73245312471</v>
      </c>
      <c r="AO216">
        <f>$AH216*tbl_Data_old[[#This Row],[2031 ]]</f>
        <v>478382.5458025313</v>
      </c>
      <c r="AP216">
        <f>$AH216*tbl_Data_old[[#This Row],[2032 ]]</f>
        <v>595110.77557339857</v>
      </c>
      <c r="AQ216">
        <f>$AH216*tbl_Data_old[[#This Row],[2033 ]]</f>
        <v>721166.70128092007</v>
      </c>
      <c r="AR216">
        <f>$AH216*tbl_Data_old[[#This Row],[2034 ]]</f>
        <v>855982.57894845132</v>
      </c>
      <c r="AS216">
        <f>SUM(tbl_Data_old[[#This Row],[Adjusted 2025]:[Adjusted 2034]])</f>
        <v>3722683.0701235514</v>
      </c>
      <c r="AT216" s="3">
        <f>AVERAGEIFS('3. Incentive Adjustment'!F:F,'3. Incentive Adjustment'!A:A,tbl_Data_old[[#This Row],[Trimmed Sector]],'3. Incentive Adjustment'!B:B,tbl_Data_old[[#This Row],[Trimmed Measure Name]])</f>
        <v>0</v>
      </c>
      <c r="AU216" s="3">
        <f>IFERROR(VLOOKUP(tbl_Data_old[[#This Row],[All_Meas_Name_Append]],'IRA Tax Credits'!$A$3:$D$46,4,0),0)</f>
        <v>0</v>
      </c>
      <c r="AV216" s="4">
        <f>tbl_Data_old[[#This Row],[Adj. per unit Incentive ($)]]/tbl_Data_old[[#This Row],[kWh Savings]]*tbl_Data_old[[#This Row],[Sum of Annuals]]</f>
        <v>0</v>
      </c>
      <c r="AW216" s="4" t="str">
        <f>IFERROR(VLOOKUP(tbl_Data_old[[#This Row],[All_Programs]],'1. Set Program Names'!$B$2:$D$15,3,0)*tbl_Data_old[[#This Row],[Sum of Annuals]],"")</f>
        <v/>
      </c>
      <c r="AX216" s="4">
        <f>tbl_Data_old[[#This Row],[per unit IRA tax ($)]]/tbl_Data_old[[#This Row],[kWh Savings]]*tbl_Data_old[[#This Row],[Sum of Annuals]]</f>
        <v>0</v>
      </c>
      <c r="AY216" s="4">
        <f>tbl_Data_old[[#This Row],[Avoided Costs ($/unit)]]/tbl_Data_old[[#This Row],[kWh Savings]]*tbl_Data_old[[#This Row],[Sum of Annuals]]</f>
        <v>1516754.8639424511</v>
      </c>
      <c r="AZ216" s="4">
        <f>tbl_Data_old[[#This Row],[Lost Revenue ($/unit)]]/tbl_Data_old[[#This Row],[kWh Savings]]*tbl_Data_old[[#This Row],[Sum of Annuals]]</f>
        <v>4556998.6365307467</v>
      </c>
      <c r="BA216" s="4">
        <f>tbl_Data_old[[#This Row],[Incremental Cost ($/unit)]]/tbl_Data_old[[#This Row],[kWh Savings]]*tbl_Data_old[[#This Row],[Sum of Annuals]]</f>
        <v>1167111.4490117121</v>
      </c>
      <c r="BB216">
        <f>ROUNDUP(tbl_Data_old[[#This Row],[Adjusted 2025]]/$L216,0)</f>
        <v>110</v>
      </c>
      <c r="BC216">
        <f>ROUNDUP(tbl_Data_old[[#This Row],[Adjusted 2026]]/$L216,0)</f>
        <v>261</v>
      </c>
      <c r="BD216">
        <f>ROUNDUP(tbl_Data_old[[#This Row],[Adjusted 2027]]/$L216,0)</f>
        <v>459</v>
      </c>
      <c r="BE216">
        <f>ROUNDUP(tbl_Data_old[[#This Row],[Adjusted 2028]]/$L216,0)</f>
        <v>707</v>
      </c>
      <c r="BF216">
        <f>ROUNDUP(tbl_Data_old[[#This Row],[Adjusted 2029]]/$L216,0)</f>
        <v>1005</v>
      </c>
      <c r="BG216">
        <f>ROUNDUP(tbl_Data_old[[#This Row],[Adjusted 2030]]/$L216,0)</f>
        <v>1350</v>
      </c>
      <c r="BH216">
        <f>ROUNDUP(tbl_Data_old[[#This Row],[Adjusted 2031]]/$L216,0)</f>
        <v>1736</v>
      </c>
      <c r="BI216">
        <f>ROUNDUP(tbl_Data_old[[#This Row],[Adjusted 2032]]/$L216,0)</f>
        <v>2159</v>
      </c>
      <c r="BJ216">
        <f>ROUNDUP(tbl_Data_old[[#This Row],[Adjusted 2033]]/$L216,0)</f>
        <v>2617</v>
      </c>
      <c r="BK216">
        <f>ROUNDUP(tbl_Data_old[[#This Row],[Adjusted 2034]]/$L216,0)</f>
        <v>3106</v>
      </c>
      <c r="BL216" s="3">
        <f t="shared" si="13"/>
        <v>0</v>
      </c>
      <c r="BM216" s="3">
        <f t="shared" si="13"/>
        <v>0</v>
      </c>
      <c r="BN216" s="3">
        <f t="shared" si="13"/>
        <v>0</v>
      </c>
      <c r="BO216" s="3">
        <f t="shared" si="13"/>
        <v>0</v>
      </c>
      <c r="BP216" s="3">
        <f t="shared" si="13"/>
        <v>0</v>
      </c>
      <c r="BQ216" s="3">
        <f t="shared" si="13"/>
        <v>0</v>
      </c>
      <c r="BR216" s="3">
        <f t="shared" si="13"/>
        <v>0</v>
      </c>
      <c r="BS216" s="3">
        <f t="shared" si="13"/>
        <v>0</v>
      </c>
      <c r="BT216" s="3">
        <f t="shared" si="13"/>
        <v>0</v>
      </c>
      <c r="BU216" s="3">
        <f t="shared" si="13"/>
        <v>0</v>
      </c>
      <c r="BV216" t="e">
        <f>VLOOKUP($H216,'1. Set Program Names'!$B$2:$D$15,3,0)*V216</f>
        <v>#N/A</v>
      </c>
      <c r="BW216" t="e">
        <f>VLOOKUP($H216,'1. Set Program Names'!$B$2:$D$15,3,0)*W216</f>
        <v>#N/A</v>
      </c>
      <c r="BX216" t="e">
        <f>VLOOKUP($H216,'1. Set Program Names'!$B$2:$D$15,3,0)*X216</f>
        <v>#N/A</v>
      </c>
      <c r="BY216" t="e">
        <f>VLOOKUP($H216,'1. Set Program Names'!$B$2:$D$15,3,0)*Y216</f>
        <v>#N/A</v>
      </c>
      <c r="BZ216" t="e">
        <f>VLOOKUP($H216,'1. Set Program Names'!$B$2:$D$15,3,0)*Z216</f>
        <v>#N/A</v>
      </c>
      <c r="CA216" t="e">
        <f>VLOOKUP($H216,'1. Set Program Names'!$B$2:$D$15,3,0)*AA216</f>
        <v>#N/A</v>
      </c>
      <c r="CB216" t="e">
        <f>VLOOKUP($H216,'1. Set Program Names'!$B$2:$D$15,3,0)*AB216</f>
        <v>#N/A</v>
      </c>
      <c r="CC216" t="e">
        <f>VLOOKUP($H216,'1. Set Program Names'!$B$2:$D$15,3,0)*AC216</f>
        <v>#N/A</v>
      </c>
      <c r="CD216" t="e">
        <f>VLOOKUP($H216,'1. Set Program Names'!$B$2:$D$15,3,0)*AD216</f>
        <v>#N/A</v>
      </c>
      <c r="CE216" t="e">
        <f>VLOOKUP($H216,'1. Set Program Names'!$B$2:$D$15,3,0)*AE216</f>
        <v>#N/A</v>
      </c>
    </row>
    <row r="217" spans="1:83" x14ac:dyDescent="0.25">
      <c r="A217" s="20" t="s">
        <v>113</v>
      </c>
      <c r="B217" s="20" t="s">
        <v>88</v>
      </c>
      <c r="C217" s="20" t="s">
        <v>89</v>
      </c>
      <c r="D217" s="20" t="s">
        <v>90</v>
      </c>
      <c r="E217" s="20" t="s">
        <v>91</v>
      </c>
      <c r="F217" s="20" t="s">
        <v>90</v>
      </c>
      <c r="G217" s="20" t="s">
        <v>92</v>
      </c>
      <c r="H217" s="20" t="s">
        <v>273</v>
      </c>
      <c r="I217" s="20" t="s">
        <v>105</v>
      </c>
      <c r="J217" s="20" t="s">
        <v>97</v>
      </c>
      <c r="K217" s="20" t="s">
        <v>98</v>
      </c>
      <c r="L217" s="20">
        <v>1409.8599999999899</v>
      </c>
      <c r="M217" s="20">
        <v>0.25259796946801399</v>
      </c>
      <c r="N217" s="20">
        <v>0.18561076930699899</v>
      </c>
      <c r="O217" s="20">
        <v>15905.9999999999</v>
      </c>
      <c r="P217" s="20">
        <v>15564.4191191999</v>
      </c>
      <c r="Q217" s="20">
        <v>1.4098599999999899</v>
      </c>
      <c r="R217" s="20">
        <v>1051.8249065196901</v>
      </c>
      <c r="S217" s="20">
        <v>2376.3089492588301</v>
      </c>
      <c r="T217" s="20">
        <v>25</v>
      </c>
      <c r="U217" s="20">
        <v>1</v>
      </c>
      <c r="V217" s="20">
        <v>740.43259059130696</v>
      </c>
      <c r="W217" s="20">
        <v>1599.9413228778701</v>
      </c>
      <c r="X217" s="20">
        <v>2580.3735557506102</v>
      </c>
      <c r="Y217" s="20">
        <v>3685.8524922578999</v>
      </c>
      <c r="Z217" s="20">
        <v>4921.2464796181903</v>
      </c>
      <c r="AA217" s="20">
        <v>6288.3980429854701</v>
      </c>
      <c r="AB217" s="20">
        <v>7799.96937186368</v>
      </c>
      <c r="AC217" s="20">
        <v>9473.5146924247802</v>
      </c>
      <c r="AD217" s="20">
        <v>11329.4882911565</v>
      </c>
      <c r="AE217" s="20">
        <v>13390.983644628301</v>
      </c>
      <c r="AF217" t="str">
        <f t="shared" si="14"/>
        <v>Residential</v>
      </c>
      <c r="AG217" t="str">
        <f>tbl_Data_old[[#This Row],[All_Meas_Name_Append]]</f>
        <v>Energy Star Ground Source Heat Pump</v>
      </c>
      <c r="AH217">
        <f>AVERAGEIFS('3. Incentive Adjustment'!G:G,'3. Incentive Adjustment'!A:A,tbl_Data_old[[#This Row],[Trimmed Sector]],'3. Incentive Adjustment'!B:B,tbl_Data_old[[#This Row],[Trimmed Measure Name]])</f>
        <v>2.2369945105234762E-13</v>
      </c>
      <c r="AI217">
        <f>$AH217*tbl_Data_old[[#This Row],[2025 ]]</f>
        <v>1.6563436405654303E-10</v>
      </c>
      <c r="AJ217">
        <f>$AH217*tbl_Data_old[[#This Row],[2026 ]]</f>
        <v>3.5790599564374639E-10</v>
      </c>
      <c r="AK217">
        <f>$AH217*tbl_Data_old[[#This Row],[2027 ]]</f>
        <v>5.7722814793140586E-10</v>
      </c>
      <c r="AL217">
        <f>$AH217*tbl_Data_old[[#This Row],[2028 ]]</f>
        <v>8.2452317917801963E-10</v>
      </c>
      <c r="AM217">
        <f>$AH217*tbl_Data_old[[#This Row],[2029 ]]</f>
        <v>1.1008801359838874E-9</v>
      </c>
      <c r="AN217">
        <f>$AH217*tbl_Data_old[[#This Row],[2030 ]]</f>
        <v>1.4067111902145067E-9</v>
      </c>
      <c r="AO217">
        <f>$AH217*tbl_Data_old[[#This Row],[2031 ]]</f>
        <v>1.74484886671103E-9</v>
      </c>
      <c r="AP217">
        <f>$AH217*tbl_Data_old[[#This Row],[2032 ]]</f>
        <v>2.1192200362317732E-9</v>
      </c>
      <c r="AQ217">
        <f>$AH217*tbl_Data_old[[#This Row],[2033 ]]</f>
        <v>2.534400311435709E-9</v>
      </c>
      <c r="AR217">
        <f>$AH217*tbl_Data_old[[#This Row],[2034 ]]</f>
        <v>2.9955556903543162E-9</v>
      </c>
      <c r="AS217">
        <f>SUM(tbl_Data_old[[#This Row],[Adjusted 2025]:[Adjusted 2034]])</f>
        <v>1.3826907917740937E-8</v>
      </c>
      <c r="AT217" s="3">
        <f>AVERAGEIFS('3. Incentive Adjustment'!F:F,'3. Incentive Adjustment'!A:A,tbl_Data_old[[#This Row],[Trimmed Sector]],'3. Incentive Adjustment'!B:B,tbl_Data_old[[#This Row],[Trimmed Measure Name]])</f>
        <v>0</v>
      </c>
      <c r="AU217" s="3">
        <f>IFERROR(VLOOKUP(tbl_Data_old[[#This Row],[All_Meas_Name_Append]],'IRA Tax Credits'!$A$3:$D$46,4,0),0)</f>
        <v>41666.666666666672</v>
      </c>
      <c r="AV217" s="4">
        <f>tbl_Data_old[[#This Row],[Adj. per unit Incentive ($)]]/tbl_Data_old[[#This Row],[kWh Savings]]*tbl_Data_old[[#This Row],[Sum of Annuals]]</f>
        <v>0</v>
      </c>
      <c r="AW217" s="4" t="str">
        <f>IFERROR(VLOOKUP(tbl_Data_old[[#This Row],[All_Programs]],'1. Set Program Names'!$B$2:$D$15,3,0)*tbl_Data_old[[#This Row],[Sum of Annuals]],"")</f>
        <v/>
      </c>
      <c r="AX217" s="4">
        <f>tbl_Data_old[[#This Row],[per unit IRA tax ($)]]/tbl_Data_old[[#This Row],[kWh Savings]]*tbl_Data_old[[#This Row],[Sum of Annuals]]</f>
        <v>4.086371435739789E-7</v>
      </c>
      <c r="AY217" s="4">
        <f>tbl_Data_old[[#This Row],[Avoided Costs ($/unit)]]/tbl_Data_old[[#This Row],[kWh Savings]]*tbl_Data_old[[#This Row],[Sum of Annuals]]</f>
        <v>1.0315553408164163E-8</v>
      </c>
      <c r="AZ217" s="4">
        <f>tbl_Data_old[[#This Row],[Lost Revenue ($/unit)]]/tbl_Data_old[[#This Row],[kWh Savings]]*tbl_Data_old[[#This Row],[Sum of Annuals]]</f>
        <v>2.3305154430585875E-8</v>
      </c>
      <c r="BA217" s="4">
        <f>tbl_Data_old[[#This Row],[Incremental Cost ($/unit)]]/tbl_Data_old[[#This Row],[kWh Savings]]*tbl_Data_old[[#This Row],[Sum of Annuals]]</f>
        <v>1.5599477773650401E-7</v>
      </c>
      <c r="BB217">
        <f>ROUNDUP(tbl_Data_old[[#This Row],[Adjusted 2025]]/$L217,0)</f>
        <v>1</v>
      </c>
      <c r="BC217">
        <f>ROUNDUP(tbl_Data_old[[#This Row],[Adjusted 2026]]/$L217,0)</f>
        <v>1</v>
      </c>
      <c r="BD217">
        <f>ROUNDUP(tbl_Data_old[[#This Row],[Adjusted 2027]]/$L217,0)</f>
        <v>1</v>
      </c>
      <c r="BE217">
        <f>ROUNDUP(tbl_Data_old[[#This Row],[Adjusted 2028]]/$L217,0)</f>
        <v>1</v>
      </c>
      <c r="BF217">
        <f>ROUNDUP(tbl_Data_old[[#This Row],[Adjusted 2029]]/$L217,0)</f>
        <v>1</v>
      </c>
      <c r="BG217">
        <f>ROUNDUP(tbl_Data_old[[#This Row],[Adjusted 2030]]/$L217,0)</f>
        <v>1</v>
      </c>
      <c r="BH217">
        <f>ROUNDUP(tbl_Data_old[[#This Row],[Adjusted 2031]]/$L217,0)</f>
        <v>1</v>
      </c>
      <c r="BI217">
        <f>ROUNDUP(tbl_Data_old[[#This Row],[Adjusted 2032]]/$L217,0)</f>
        <v>1</v>
      </c>
      <c r="BJ217">
        <f>ROUNDUP(tbl_Data_old[[#This Row],[Adjusted 2033]]/$L217,0)</f>
        <v>1</v>
      </c>
      <c r="BK217">
        <f>ROUNDUP(tbl_Data_old[[#This Row],[Adjusted 2034]]/$L217,0)</f>
        <v>1</v>
      </c>
      <c r="BL217" s="3">
        <f t="shared" si="13"/>
        <v>0</v>
      </c>
      <c r="BM217" s="3">
        <f t="shared" si="13"/>
        <v>0</v>
      </c>
      <c r="BN217" s="3">
        <f t="shared" si="13"/>
        <v>0</v>
      </c>
      <c r="BO217" s="3">
        <f t="shared" si="13"/>
        <v>0</v>
      </c>
      <c r="BP217" s="3">
        <f t="shared" si="13"/>
        <v>0</v>
      </c>
      <c r="BQ217" s="3">
        <f t="shared" ref="BQ217:BU240" si="15">$AT217/$L217*AA217</f>
        <v>0</v>
      </c>
      <c r="BR217" s="3">
        <f t="shared" si="15"/>
        <v>0</v>
      </c>
      <c r="BS217" s="3">
        <f t="shared" si="15"/>
        <v>0</v>
      </c>
      <c r="BT217" s="3">
        <f t="shared" si="15"/>
        <v>0</v>
      </c>
      <c r="BU217" s="3">
        <f t="shared" si="15"/>
        <v>0</v>
      </c>
      <c r="BV217" t="e">
        <f>VLOOKUP($H217,'1. Set Program Names'!$B$2:$D$15,3,0)*V217</f>
        <v>#N/A</v>
      </c>
      <c r="BW217" t="e">
        <f>VLOOKUP($H217,'1. Set Program Names'!$B$2:$D$15,3,0)*W217</f>
        <v>#N/A</v>
      </c>
      <c r="BX217" t="e">
        <f>VLOOKUP($H217,'1. Set Program Names'!$B$2:$D$15,3,0)*X217</f>
        <v>#N/A</v>
      </c>
      <c r="BY217" t="e">
        <f>VLOOKUP($H217,'1. Set Program Names'!$B$2:$D$15,3,0)*Y217</f>
        <v>#N/A</v>
      </c>
      <c r="BZ217" t="e">
        <f>VLOOKUP($H217,'1. Set Program Names'!$B$2:$D$15,3,0)*Z217</f>
        <v>#N/A</v>
      </c>
      <c r="CA217" t="e">
        <f>VLOOKUP($H217,'1. Set Program Names'!$B$2:$D$15,3,0)*AA217</f>
        <v>#N/A</v>
      </c>
      <c r="CB217" t="e">
        <f>VLOOKUP($H217,'1. Set Program Names'!$B$2:$D$15,3,0)*AB217</f>
        <v>#N/A</v>
      </c>
      <c r="CC217" t="e">
        <f>VLOOKUP($H217,'1. Set Program Names'!$B$2:$D$15,3,0)*AC217</f>
        <v>#N/A</v>
      </c>
      <c r="CD217" t="e">
        <f>VLOOKUP($H217,'1. Set Program Names'!$B$2:$D$15,3,0)*AD217</f>
        <v>#N/A</v>
      </c>
      <c r="CE217" t="e">
        <f>VLOOKUP($H217,'1. Set Program Names'!$B$2:$D$15,3,0)*AE217</f>
        <v>#N/A</v>
      </c>
    </row>
    <row r="218" spans="1:83" x14ac:dyDescent="0.25">
      <c r="A218" s="20" t="s">
        <v>113</v>
      </c>
      <c r="B218" s="20" t="s">
        <v>88</v>
      </c>
      <c r="C218" s="20" t="s">
        <v>89</v>
      </c>
      <c r="D218" s="20" t="s">
        <v>90</v>
      </c>
      <c r="E218" s="20" t="s">
        <v>91</v>
      </c>
      <c r="F218" s="20" t="s">
        <v>90</v>
      </c>
      <c r="G218" s="20" t="s">
        <v>92</v>
      </c>
      <c r="H218" s="20" t="s">
        <v>273</v>
      </c>
      <c r="I218" s="20" t="s">
        <v>106</v>
      </c>
      <c r="J218" s="20" t="s">
        <v>97</v>
      </c>
      <c r="K218" s="20" t="s">
        <v>98</v>
      </c>
      <c r="L218" s="20">
        <v>127.25</v>
      </c>
      <c r="M218" s="20">
        <v>7.3045840411791796E-2</v>
      </c>
      <c r="N218" s="20">
        <v>3.5010079032079199E-4</v>
      </c>
      <c r="O218" s="20">
        <v>41.15</v>
      </c>
      <c r="P218" s="20">
        <v>10.3198699999999</v>
      </c>
      <c r="Q218" s="20">
        <v>0.12725</v>
      </c>
      <c r="R218" s="20">
        <v>86.902802703254196</v>
      </c>
      <c r="S218" s="20">
        <v>140.464426641062</v>
      </c>
      <c r="T218" s="20">
        <v>12</v>
      </c>
      <c r="U218" s="20">
        <v>1</v>
      </c>
      <c r="V218" s="20">
        <v>14801.411723232401</v>
      </c>
      <c r="W218" s="20">
        <v>30481.905751609102</v>
      </c>
      <c r="X218" s="20">
        <v>46762.507326929001</v>
      </c>
      <c r="Y218" s="20">
        <v>63516.6186960915</v>
      </c>
      <c r="Z218" s="20">
        <v>80692.216697359807</v>
      </c>
      <c r="AA218" s="20">
        <v>98200.420401462907</v>
      </c>
      <c r="AB218" s="20">
        <v>116105.703056247</v>
      </c>
      <c r="AC218" s="20">
        <v>134489.68291233599</v>
      </c>
      <c r="AD218" s="20">
        <v>153446.776262203</v>
      </c>
      <c r="AE218" s="20">
        <v>173068.01851342901</v>
      </c>
      <c r="AF218" t="str">
        <f t="shared" si="14"/>
        <v>Residential</v>
      </c>
      <c r="AG218" t="str">
        <f>tbl_Data_old[[#This Row],[All_Meas_Name_Append]]</f>
        <v>Energy Star Room AC Residential</v>
      </c>
      <c r="AH218">
        <f>AVERAGEIFS('3. Incentive Adjustment'!G:G,'3. Incentive Adjustment'!A:A,tbl_Data_old[[#This Row],[Trimmed Sector]],'3. Incentive Adjustment'!B:B,tbl_Data_old[[#This Row],[Trimmed Measure Name]])</f>
        <v>0.8073629241290271</v>
      </c>
      <c r="AI218">
        <f>$AH218*tbl_Data_old[[#This Row],[2025 ]]</f>
        <v>11950.111050106572</v>
      </c>
      <c r="AJ218">
        <f>$AH218*tbl_Data_old[[#This Row],[2026 ]]</f>
        <v>24609.960560644533</v>
      </c>
      <c r="AK218">
        <f>$AH218*tbl_Data_old[[#This Row],[2027 ]]</f>
        <v>37754.31465507445</v>
      </c>
      <c r="AL218">
        <f>$AH218*tbl_Data_old[[#This Row],[2028 ]]</f>
        <v>51280.963001264863</v>
      </c>
      <c r="AM218">
        <f>$AH218*tbl_Data_old[[#This Row],[2029 ]]</f>
        <v>65147.904027233519</v>
      </c>
      <c r="AN218">
        <f>$AH218*tbl_Data_old[[#This Row],[2030 ]]</f>
        <v>79283.378566024869</v>
      </c>
      <c r="AO218">
        <f>$AH218*tbl_Data_old[[#This Row],[2031 ]]</f>
        <v>93739.439927548097</v>
      </c>
      <c r="AP218">
        <f>$AH218*tbl_Data_old[[#This Row],[2032 ]]</f>
        <v>108581.98366128924</v>
      </c>
      <c r="AQ218">
        <f>$AH218*tbl_Data_old[[#This Row],[2033 ]]</f>
        <v>123887.2379812248</v>
      </c>
      <c r="AR218">
        <f>$AH218*tbl_Data_old[[#This Row],[2034 ]]</f>
        <v>139728.70150021865</v>
      </c>
      <c r="AS218">
        <f>SUM(tbl_Data_old[[#This Row],[Adjusted 2025]:[Adjusted 2034]])</f>
        <v>735963.99493062962</v>
      </c>
      <c r="AT218" s="3">
        <f>AVERAGEIFS('3. Incentive Adjustment'!F:F,'3. Incentive Adjustment'!A:A,tbl_Data_old[[#This Row],[Trimmed Sector]],'3. Incentive Adjustment'!B:B,tbl_Data_old[[#This Row],[Trimmed Measure Name]])</f>
        <v>0</v>
      </c>
      <c r="AU218" s="3">
        <f>IFERROR(VLOOKUP(tbl_Data_old[[#This Row],[All_Meas_Name_Append]],'IRA Tax Credits'!$A$3:$D$46,4,0),0)</f>
        <v>0</v>
      </c>
      <c r="AV218" s="4">
        <f>tbl_Data_old[[#This Row],[Adj. per unit Incentive ($)]]/tbl_Data_old[[#This Row],[kWh Savings]]*tbl_Data_old[[#This Row],[Sum of Annuals]]</f>
        <v>0</v>
      </c>
      <c r="AW218" s="4" t="str">
        <f>IFERROR(VLOOKUP(tbl_Data_old[[#This Row],[All_Programs]],'1. Set Program Names'!$B$2:$D$15,3,0)*tbl_Data_old[[#This Row],[Sum of Annuals]],"")</f>
        <v/>
      </c>
      <c r="AX218" s="4">
        <f>tbl_Data_old[[#This Row],[per unit IRA tax ($)]]/tbl_Data_old[[#This Row],[kWh Savings]]*tbl_Data_old[[#This Row],[Sum of Annuals]]</f>
        <v>0</v>
      </c>
      <c r="AY218" s="4">
        <f>tbl_Data_old[[#This Row],[Avoided Costs ($/unit)]]/tbl_Data_old[[#This Row],[kWh Savings]]*tbl_Data_old[[#This Row],[Sum of Annuals]]</f>
        <v>502611.66088923591</v>
      </c>
      <c r="AZ218" s="4">
        <f>tbl_Data_old[[#This Row],[Lost Revenue ($/unit)]]/tbl_Data_old[[#This Row],[kWh Savings]]*tbl_Data_old[[#This Row],[Sum of Annuals]]</f>
        <v>812391.04578700475</v>
      </c>
      <c r="BA218" s="4">
        <f>tbl_Data_old[[#This Row],[Incremental Cost ($/unit)]]/tbl_Data_old[[#This Row],[kWh Savings]]*tbl_Data_old[[#This Row],[Sum of Annuals]]</f>
        <v>237995.42940192856</v>
      </c>
      <c r="BB218">
        <f>ROUNDUP(tbl_Data_old[[#This Row],[Adjusted 2025]]/$L218,0)</f>
        <v>94</v>
      </c>
      <c r="BC218">
        <f>ROUNDUP(tbl_Data_old[[#This Row],[Adjusted 2026]]/$L218,0)</f>
        <v>194</v>
      </c>
      <c r="BD218">
        <f>ROUNDUP(tbl_Data_old[[#This Row],[Adjusted 2027]]/$L218,0)</f>
        <v>297</v>
      </c>
      <c r="BE218">
        <f>ROUNDUP(tbl_Data_old[[#This Row],[Adjusted 2028]]/$L218,0)</f>
        <v>403</v>
      </c>
      <c r="BF218">
        <f>ROUNDUP(tbl_Data_old[[#This Row],[Adjusted 2029]]/$L218,0)</f>
        <v>512</v>
      </c>
      <c r="BG218">
        <f>ROUNDUP(tbl_Data_old[[#This Row],[Adjusted 2030]]/$L218,0)</f>
        <v>624</v>
      </c>
      <c r="BH218">
        <f>ROUNDUP(tbl_Data_old[[#This Row],[Adjusted 2031]]/$L218,0)</f>
        <v>737</v>
      </c>
      <c r="BI218">
        <f>ROUNDUP(tbl_Data_old[[#This Row],[Adjusted 2032]]/$L218,0)</f>
        <v>854</v>
      </c>
      <c r="BJ218">
        <f>ROUNDUP(tbl_Data_old[[#This Row],[Adjusted 2033]]/$L218,0)</f>
        <v>974</v>
      </c>
      <c r="BK218">
        <f>ROUNDUP(tbl_Data_old[[#This Row],[Adjusted 2034]]/$L218,0)</f>
        <v>1099</v>
      </c>
      <c r="BL218" s="3">
        <f t="shared" ref="BL218:BU241" si="16">$AT218/$L218*V218</f>
        <v>0</v>
      </c>
      <c r="BM218" s="3">
        <f t="shared" si="16"/>
        <v>0</v>
      </c>
      <c r="BN218" s="3">
        <f t="shared" si="16"/>
        <v>0</v>
      </c>
      <c r="BO218" s="3">
        <f t="shared" si="16"/>
        <v>0</v>
      </c>
      <c r="BP218" s="3">
        <f t="shared" si="16"/>
        <v>0</v>
      </c>
      <c r="BQ218" s="3">
        <f t="shared" si="15"/>
        <v>0</v>
      </c>
      <c r="BR218" s="3">
        <f t="shared" si="15"/>
        <v>0</v>
      </c>
      <c r="BS218" s="3">
        <f t="shared" si="15"/>
        <v>0</v>
      </c>
      <c r="BT218" s="3">
        <f t="shared" si="15"/>
        <v>0</v>
      </c>
      <c r="BU218" s="3">
        <f t="shared" si="15"/>
        <v>0</v>
      </c>
      <c r="BV218" t="e">
        <f>VLOOKUP($H218,'1. Set Program Names'!$B$2:$D$15,3,0)*V218</f>
        <v>#N/A</v>
      </c>
      <c r="BW218" t="e">
        <f>VLOOKUP($H218,'1. Set Program Names'!$B$2:$D$15,3,0)*W218</f>
        <v>#N/A</v>
      </c>
      <c r="BX218" t="e">
        <f>VLOOKUP($H218,'1. Set Program Names'!$B$2:$D$15,3,0)*X218</f>
        <v>#N/A</v>
      </c>
      <c r="BY218" t="e">
        <f>VLOOKUP($H218,'1. Set Program Names'!$B$2:$D$15,3,0)*Y218</f>
        <v>#N/A</v>
      </c>
      <c r="BZ218" t="e">
        <f>VLOOKUP($H218,'1. Set Program Names'!$B$2:$D$15,3,0)*Z218</f>
        <v>#N/A</v>
      </c>
      <c r="CA218" t="e">
        <f>VLOOKUP($H218,'1. Set Program Names'!$B$2:$D$15,3,0)*AA218</f>
        <v>#N/A</v>
      </c>
      <c r="CB218" t="e">
        <f>VLOOKUP($H218,'1. Set Program Names'!$B$2:$D$15,3,0)*AB218</f>
        <v>#N/A</v>
      </c>
      <c r="CC218" t="e">
        <f>VLOOKUP($H218,'1. Set Program Names'!$B$2:$D$15,3,0)*AC218</f>
        <v>#N/A</v>
      </c>
      <c r="CD218" t="e">
        <f>VLOOKUP($H218,'1. Set Program Names'!$B$2:$D$15,3,0)*AD218</f>
        <v>#N/A</v>
      </c>
      <c r="CE218" t="e">
        <f>VLOOKUP($H218,'1. Set Program Names'!$B$2:$D$15,3,0)*AE218</f>
        <v>#N/A</v>
      </c>
    </row>
    <row r="219" spans="1:83" x14ac:dyDescent="0.25">
      <c r="A219" s="20" t="s">
        <v>113</v>
      </c>
      <c r="B219" s="20" t="s">
        <v>88</v>
      </c>
      <c r="C219" s="20" t="s">
        <v>89</v>
      </c>
      <c r="D219" s="20" t="s">
        <v>90</v>
      </c>
      <c r="E219" s="20" t="s">
        <v>91</v>
      </c>
      <c r="F219" s="20" t="s">
        <v>90</v>
      </c>
      <c r="G219" s="20" t="s">
        <v>92</v>
      </c>
      <c r="H219" s="20" t="s">
        <v>273</v>
      </c>
      <c r="I219" s="20" t="s">
        <v>111</v>
      </c>
      <c r="J219" s="20" t="s">
        <v>97</v>
      </c>
      <c r="K219" s="20" t="s">
        <v>102</v>
      </c>
      <c r="L219" s="20">
        <v>586.59333333333302</v>
      </c>
      <c r="M219" s="20">
        <v>0.33672458163683799</v>
      </c>
      <c r="N219" s="20">
        <v>1.6138843976181299E-3</v>
      </c>
      <c r="O219" s="20">
        <v>250</v>
      </c>
      <c r="P219" s="20">
        <v>142.46266525790699</v>
      </c>
      <c r="Q219" s="20">
        <v>0.58659333333333297</v>
      </c>
      <c r="R219" s="20">
        <v>435.979615776</v>
      </c>
      <c r="S219" s="20">
        <v>718.05871460051901</v>
      </c>
      <c r="T219" s="20">
        <v>14</v>
      </c>
      <c r="U219" s="20">
        <v>1</v>
      </c>
      <c r="V219" s="20">
        <v>85788.859882834004</v>
      </c>
      <c r="W219" s="20">
        <v>202353.24402844999</v>
      </c>
      <c r="X219" s="20">
        <v>352996.27025334002</v>
      </c>
      <c r="Y219" s="20">
        <v>539917.14768979605</v>
      </c>
      <c r="Z219" s="20">
        <v>763354.54290434602</v>
      </c>
      <c r="AA219" s="20">
        <v>1020131.55694732</v>
      </c>
      <c r="AB219" s="20">
        <v>1307154.9882489799</v>
      </c>
      <c r="AC219" s="20">
        <v>1620939.84347442</v>
      </c>
      <c r="AD219" s="20">
        <v>1958660.70995456</v>
      </c>
      <c r="AE219" s="20">
        <v>2318415.63863303</v>
      </c>
      <c r="AF219" t="str">
        <f t="shared" si="14"/>
        <v>Residential</v>
      </c>
      <c r="AG219" t="str">
        <f>tbl_Data_old[[#This Row],[All_Meas_Name_Append]]</f>
        <v>Properly Sized CAC</v>
      </c>
      <c r="AH219">
        <f>AVERAGEIFS('3. Incentive Adjustment'!G:G,'3. Incentive Adjustment'!A:A,tbl_Data_old[[#This Row],[Trimmed Sector]],'3. Incentive Adjustment'!B:B,tbl_Data_old[[#This Row],[Trimmed Measure Name]])</f>
        <v>0.52686902587198514</v>
      </c>
      <c r="AI219">
        <f>$AH219*tbl_Data_old[[#This Row],[2025 ]]</f>
        <v>45199.493037136977</v>
      </c>
      <c r="AJ219">
        <f>$AH219*tbl_Data_old[[#This Row],[2026 ]]</f>
        <v>106613.65656330554</v>
      </c>
      <c r="AK219">
        <f>$AH219*tbl_Data_old[[#This Row],[2027 ]]</f>
        <v>185982.80104482127</v>
      </c>
      <c r="AL219">
        <f>$AH219*tbl_Data_old[[#This Row],[2028 ]]</f>
        <v>284465.62165490357</v>
      </c>
      <c r="AM219">
        <f>$AH219*tbl_Data_old[[#This Row],[2029 ]]</f>
        <v>402187.86441496725</v>
      </c>
      <c r="AN219">
        <f>$AH219*tbl_Data_old[[#This Row],[2030 ]]</f>
        <v>537475.71967010607</v>
      </c>
      <c r="AO219">
        <f>$AH219*tbl_Data_old[[#This Row],[2031 ]]</f>
        <v>688699.4753224462</v>
      </c>
      <c r="AP219">
        <f>$AH219*tbl_Data_old[[#This Row],[2032 ]]</f>
        <v>854022.99632845575</v>
      </c>
      <c r="AQ219">
        <f>$AH219*tbl_Data_old[[#This Row],[2033 ]]</f>
        <v>1031957.6602674898</v>
      </c>
      <c r="AR219">
        <f>$AH219*tbl_Data_old[[#This Row],[2034 ]]</f>
        <v>1221501.3890929609</v>
      </c>
      <c r="AS219">
        <f>SUM(tbl_Data_old[[#This Row],[Adjusted 2025]:[Adjusted 2034]])</f>
        <v>5358106.6773965936</v>
      </c>
      <c r="AT219" s="3">
        <f>AVERAGEIFS('3. Incentive Adjustment'!F:F,'3. Incentive Adjustment'!A:A,tbl_Data_old[[#This Row],[Trimmed Sector]],'3. Incentive Adjustment'!B:B,tbl_Data_old[[#This Row],[Trimmed Measure Name]])</f>
        <v>0</v>
      </c>
      <c r="AU219" s="3">
        <f>IFERROR(VLOOKUP(tbl_Data_old[[#This Row],[All_Meas_Name_Append]],'IRA Tax Credits'!$A$3:$D$46,4,0),0)</f>
        <v>0</v>
      </c>
      <c r="AV219" s="4">
        <f>tbl_Data_old[[#This Row],[Adj. per unit Incentive ($)]]/tbl_Data_old[[#This Row],[kWh Savings]]*tbl_Data_old[[#This Row],[Sum of Annuals]]</f>
        <v>0</v>
      </c>
      <c r="AW219" s="4" t="str">
        <f>IFERROR(VLOOKUP(tbl_Data_old[[#This Row],[All_Programs]],'1. Set Program Names'!$B$2:$D$15,3,0)*tbl_Data_old[[#This Row],[Sum of Annuals]],"")</f>
        <v/>
      </c>
      <c r="AX219" s="4">
        <f>tbl_Data_old[[#This Row],[per unit IRA tax ($)]]/tbl_Data_old[[#This Row],[kWh Savings]]*tbl_Data_old[[#This Row],[Sum of Annuals]]</f>
        <v>0</v>
      </c>
      <c r="AY219" s="4">
        <f>tbl_Data_old[[#This Row],[Avoided Costs ($/unit)]]/tbl_Data_old[[#This Row],[kWh Savings]]*tbl_Data_old[[#This Row],[Sum of Annuals]]</f>
        <v>3982359.0855076001</v>
      </c>
      <c r="AZ219" s="4">
        <f>tbl_Data_old[[#This Row],[Lost Revenue ($/unit)]]/tbl_Data_old[[#This Row],[kWh Savings]]*tbl_Data_old[[#This Row],[Sum of Annuals]]</f>
        <v>6558948.0391819282</v>
      </c>
      <c r="BA219" s="4">
        <f>tbl_Data_old[[#This Row],[Incremental Cost ($/unit)]]/tbl_Data_old[[#This Row],[kWh Savings]]*tbl_Data_old[[#This Row],[Sum of Annuals]]</f>
        <v>2283569.5416742135</v>
      </c>
      <c r="BB219">
        <f>ROUNDUP(tbl_Data_old[[#This Row],[Adjusted 2025]]/$L219,0)</f>
        <v>78</v>
      </c>
      <c r="BC219">
        <f>ROUNDUP(tbl_Data_old[[#This Row],[Adjusted 2026]]/$L219,0)</f>
        <v>182</v>
      </c>
      <c r="BD219">
        <f>ROUNDUP(tbl_Data_old[[#This Row],[Adjusted 2027]]/$L219,0)</f>
        <v>318</v>
      </c>
      <c r="BE219">
        <f>ROUNDUP(tbl_Data_old[[#This Row],[Adjusted 2028]]/$L219,0)</f>
        <v>485</v>
      </c>
      <c r="BF219">
        <f>ROUNDUP(tbl_Data_old[[#This Row],[Adjusted 2029]]/$L219,0)</f>
        <v>686</v>
      </c>
      <c r="BG219">
        <f>ROUNDUP(tbl_Data_old[[#This Row],[Adjusted 2030]]/$L219,0)</f>
        <v>917</v>
      </c>
      <c r="BH219">
        <f>ROUNDUP(tbl_Data_old[[#This Row],[Adjusted 2031]]/$L219,0)</f>
        <v>1175</v>
      </c>
      <c r="BI219">
        <f>ROUNDUP(tbl_Data_old[[#This Row],[Adjusted 2032]]/$L219,0)</f>
        <v>1456</v>
      </c>
      <c r="BJ219">
        <f>ROUNDUP(tbl_Data_old[[#This Row],[Adjusted 2033]]/$L219,0)</f>
        <v>1760</v>
      </c>
      <c r="BK219">
        <f>ROUNDUP(tbl_Data_old[[#This Row],[Adjusted 2034]]/$L219,0)</f>
        <v>2083</v>
      </c>
      <c r="BL219" s="3">
        <f t="shared" si="16"/>
        <v>0</v>
      </c>
      <c r="BM219" s="3">
        <f t="shared" si="16"/>
        <v>0</v>
      </c>
      <c r="BN219" s="3">
        <f t="shared" si="16"/>
        <v>0</v>
      </c>
      <c r="BO219" s="3">
        <f t="shared" si="16"/>
        <v>0</v>
      </c>
      <c r="BP219" s="3">
        <f t="shared" si="16"/>
        <v>0</v>
      </c>
      <c r="BQ219" s="3">
        <f t="shared" si="15"/>
        <v>0</v>
      </c>
      <c r="BR219" s="3">
        <f t="shared" si="15"/>
        <v>0</v>
      </c>
      <c r="BS219" s="3">
        <f t="shared" si="15"/>
        <v>0</v>
      </c>
      <c r="BT219" s="3">
        <f t="shared" si="15"/>
        <v>0</v>
      </c>
      <c r="BU219" s="3">
        <f t="shared" si="15"/>
        <v>0</v>
      </c>
      <c r="BV219" t="e">
        <f>VLOOKUP($H219,'1. Set Program Names'!$B$2:$D$15,3,0)*V219</f>
        <v>#N/A</v>
      </c>
      <c r="BW219" t="e">
        <f>VLOOKUP($H219,'1. Set Program Names'!$B$2:$D$15,3,0)*W219</f>
        <v>#N/A</v>
      </c>
      <c r="BX219" t="e">
        <f>VLOOKUP($H219,'1. Set Program Names'!$B$2:$D$15,3,0)*X219</f>
        <v>#N/A</v>
      </c>
      <c r="BY219" t="e">
        <f>VLOOKUP($H219,'1. Set Program Names'!$B$2:$D$15,3,0)*Y219</f>
        <v>#N/A</v>
      </c>
      <c r="BZ219" t="e">
        <f>VLOOKUP($H219,'1. Set Program Names'!$B$2:$D$15,3,0)*Z219</f>
        <v>#N/A</v>
      </c>
      <c r="CA219" t="e">
        <f>VLOOKUP($H219,'1. Set Program Names'!$B$2:$D$15,3,0)*AA219</f>
        <v>#N/A</v>
      </c>
      <c r="CB219" t="e">
        <f>VLOOKUP($H219,'1. Set Program Names'!$B$2:$D$15,3,0)*AB219</f>
        <v>#N/A</v>
      </c>
      <c r="CC219" t="e">
        <f>VLOOKUP($H219,'1. Set Program Names'!$B$2:$D$15,3,0)*AC219</f>
        <v>#N/A</v>
      </c>
      <c r="CD219" t="e">
        <f>VLOOKUP($H219,'1. Set Program Names'!$B$2:$D$15,3,0)*AD219</f>
        <v>#N/A</v>
      </c>
      <c r="CE219" t="e">
        <f>VLOOKUP($H219,'1. Set Program Names'!$B$2:$D$15,3,0)*AE219</f>
        <v>#N/A</v>
      </c>
    </row>
    <row r="220" spans="1:83" x14ac:dyDescent="0.25">
      <c r="A220" s="20" t="s">
        <v>114</v>
      </c>
      <c r="B220" s="20" t="s">
        <v>88</v>
      </c>
      <c r="C220" s="20" t="s">
        <v>89</v>
      </c>
      <c r="D220" s="20" t="s">
        <v>90</v>
      </c>
      <c r="E220" s="20" t="s">
        <v>91</v>
      </c>
      <c r="F220" s="20" t="s">
        <v>90</v>
      </c>
      <c r="G220" s="20" t="s">
        <v>92</v>
      </c>
      <c r="H220" s="20" t="s">
        <v>273</v>
      </c>
      <c r="I220" s="20" t="s">
        <v>301</v>
      </c>
      <c r="J220" s="20" t="s">
        <v>302</v>
      </c>
      <c r="K220" s="20" t="s">
        <v>104</v>
      </c>
      <c r="L220" s="20">
        <v>275.64999999999901</v>
      </c>
      <c r="M220" s="20">
        <v>4.0357303140515798E-2</v>
      </c>
      <c r="N220" s="20">
        <v>4.1157633527981498E-2</v>
      </c>
      <c r="O220" s="20">
        <v>86.42</v>
      </c>
      <c r="P220" s="20">
        <v>19.6355180000002</v>
      </c>
      <c r="Q220" s="20">
        <v>0.27564999999999901</v>
      </c>
      <c r="R220" s="20">
        <v>112.309715968343</v>
      </c>
      <c r="S220" s="20">
        <v>337.427777357906</v>
      </c>
      <c r="T220" s="20">
        <v>14</v>
      </c>
      <c r="U220" s="20">
        <v>1</v>
      </c>
      <c r="V220" s="20">
        <v>5.3725367897417096</v>
      </c>
      <c r="W220" s="20">
        <v>7.4174069733241303</v>
      </c>
      <c r="X220" s="20">
        <v>9.7141695486726896</v>
      </c>
      <c r="Y220" s="20">
        <v>12.173526351284099</v>
      </c>
      <c r="Z220" s="20">
        <v>14.646635908607699</v>
      </c>
      <c r="AA220" s="20">
        <v>16.906231178297698</v>
      </c>
      <c r="AB220" s="20">
        <v>18.955416612953201</v>
      </c>
      <c r="AC220" s="20">
        <v>20.785879674737298</v>
      </c>
      <c r="AD220" s="20">
        <v>22.446869186549499</v>
      </c>
      <c r="AE220" s="20">
        <v>24.006760120856999</v>
      </c>
      <c r="AF220" t="str">
        <f t="shared" si="14"/>
        <v>Residential</v>
      </c>
      <c r="AG220" t="str">
        <f>tbl_Data_old[[#This Row],[All_Meas_Name_Append]]</f>
        <v>Energy Star Clothes Washer</v>
      </c>
      <c r="AH220">
        <f>AVERAGEIFS('3. Incentive Adjustment'!G:G,'3. Incentive Adjustment'!A:A,tbl_Data_old[[#This Row],[Trimmed Sector]],'3. Incentive Adjustment'!B:B,tbl_Data_old[[#This Row],[Trimmed Measure Name]])</f>
        <v>0.8286551255656105</v>
      </c>
      <c r="AI220">
        <f>$AH220*tbl_Data_old[[#This Row],[2025 ]]</f>
        <v>4.4519801481092784</v>
      </c>
      <c r="AJ220">
        <f>$AH220*tbl_Data_old[[#This Row],[2026 ]]</f>
        <v>6.146472306851142</v>
      </c>
      <c r="AK220">
        <f>$AH220*tbl_Data_old[[#This Row],[2027 ]]</f>
        <v>8.0496963871209974</v>
      </c>
      <c r="AL220">
        <f>$AH220*tbl_Data_old[[#This Row],[2028 ]]</f>
        <v>10.087655007199594</v>
      </c>
      <c r="AM220">
        <f>$AH220*tbl_Data_old[[#This Row],[2029 ]]</f>
        <v>12.137009917961093</v>
      </c>
      <c r="AN220">
        <f>$AH220*tbl_Data_old[[#This Row],[2030 ]]</f>
        <v>14.009435119893519</v>
      </c>
      <c r="AO220">
        <f>$AH220*tbl_Data_old[[#This Row],[2031 ]]</f>
        <v>15.707503133555194</v>
      </c>
      <c r="AP220">
        <f>$AH220*tbl_Data_old[[#This Row],[2032 ]]</f>
        <v>17.224325731861107</v>
      </c>
      <c r="AQ220">
        <f>$AH220*tbl_Data_old[[#This Row],[2033 ]]</f>
        <v>18.600713204335008</v>
      </c>
      <c r="AR220">
        <f>$AH220*tbl_Data_old[[#This Row],[2034 ]]</f>
        <v>19.893324822372247</v>
      </c>
      <c r="AS220">
        <f>SUM(tbl_Data_old[[#This Row],[Adjusted 2025]:[Adjusted 2034]])</f>
        <v>126.30811577925918</v>
      </c>
      <c r="AT220" s="3">
        <f>AVERAGEIFS('3. Incentive Adjustment'!F:F,'3. Incentive Adjustment'!A:A,tbl_Data_old[[#This Row],[Trimmed Sector]],'3. Incentive Adjustment'!B:B,tbl_Data_old[[#This Row],[Trimmed Measure Name]])</f>
        <v>0</v>
      </c>
      <c r="AU220" s="3">
        <f>IFERROR(VLOOKUP(tbl_Data_old[[#This Row],[All_Meas_Name_Append]],'IRA Tax Credits'!$A$3:$D$46,4,0),0)</f>
        <v>0</v>
      </c>
      <c r="AV220" s="4">
        <f>tbl_Data_old[[#This Row],[Adj. per unit Incentive ($)]]/tbl_Data_old[[#This Row],[kWh Savings]]*tbl_Data_old[[#This Row],[Sum of Annuals]]</f>
        <v>0</v>
      </c>
      <c r="AW220" s="4" t="str">
        <f>IFERROR(VLOOKUP(tbl_Data_old[[#This Row],[All_Programs]],'1. Set Program Names'!$B$2:$D$15,3,0)*tbl_Data_old[[#This Row],[Sum of Annuals]],"")</f>
        <v/>
      </c>
      <c r="AX220" s="4">
        <f>tbl_Data_old[[#This Row],[per unit IRA tax ($)]]/tbl_Data_old[[#This Row],[kWh Savings]]*tbl_Data_old[[#This Row],[Sum of Annuals]]</f>
        <v>0</v>
      </c>
      <c r="AY220" s="4">
        <f>tbl_Data_old[[#This Row],[Avoided Costs ($/unit)]]/tbl_Data_old[[#This Row],[kWh Savings]]*tbl_Data_old[[#This Row],[Sum of Annuals]]</f>
        <v>51.462465473118925</v>
      </c>
      <c r="AZ220" s="4">
        <f>tbl_Data_old[[#This Row],[Lost Revenue ($/unit)]]/tbl_Data_old[[#This Row],[kWh Savings]]*tbl_Data_old[[#This Row],[Sum of Annuals]]</f>
        <v>154.61587799622941</v>
      </c>
      <c r="BA220" s="4">
        <f>tbl_Data_old[[#This Row],[Incremental Cost ($/unit)]]/tbl_Data_old[[#This Row],[kWh Savings]]*tbl_Data_old[[#This Row],[Sum of Annuals]]</f>
        <v>39.599301163227345</v>
      </c>
      <c r="BB220">
        <f>ROUNDUP(tbl_Data_old[[#This Row],[Adjusted 2025]]/$L220,0)</f>
        <v>1</v>
      </c>
      <c r="BC220">
        <f>ROUNDUP(tbl_Data_old[[#This Row],[Adjusted 2026]]/$L220,0)</f>
        <v>1</v>
      </c>
      <c r="BD220">
        <f>ROUNDUP(tbl_Data_old[[#This Row],[Adjusted 2027]]/$L220,0)</f>
        <v>1</v>
      </c>
      <c r="BE220">
        <f>ROUNDUP(tbl_Data_old[[#This Row],[Adjusted 2028]]/$L220,0)</f>
        <v>1</v>
      </c>
      <c r="BF220">
        <f>ROUNDUP(tbl_Data_old[[#This Row],[Adjusted 2029]]/$L220,0)</f>
        <v>1</v>
      </c>
      <c r="BG220">
        <f>ROUNDUP(tbl_Data_old[[#This Row],[Adjusted 2030]]/$L220,0)</f>
        <v>1</v>
      </c>
      <c r="BH220">
        <f>ROUNDUP(tbl_Data_old[[#This Row],[Adjusted 2031]]/$L220,0)</f>
        <v>1</v>
      </c>
      <c r="BI220">
        <f>ROUNDUP(tbl_Data_old[[#This Row],[Adjusted 2032]]/$L220,0)</f>
        <v>1</v>
      </c>
      <c r="BJ220">
        <f>ROUNDUP(tbl_Data_old[[#This Row],[Adjusted 2033]]/$L220,0)</f>
        <v>1</v>
      </c>
      <c r="BK220">
        <f>ROUNDUP(tbl_Data_old[[#This Row],[Adjusted 2034]]/$L220,0)</f>
        <v>1</v>
      </c>
      <c r="BL220" s="3">
        <f t="shared" si="16"/>
        <v>0</v>
      </c>
      <c r="BM220" s="3">
        <f t="shared" si="16"/>
        <v>0</v>
      </c>
      <c r="BN220" s="3">
        <f t="shared" si="16"/>
        <v>0</v>
      </c>
      <c r="BO220" s="3">
        <f t="shared" si="16"/>
        <v>0</v>
      </c>
      <c r="BP220" s="3">
        <f t="shared" si="16"/>
        <v>0</v>
      </c>
      <c r="BQ220" s="3">
        <f t="shared" si="15"/>
        <v>0</v>
      </c>
      <c r="BR220" s="3">
        <f t="shared" si="15"/>
        <v>0</v>
      </c>
      <c r="BS220" s="3">
        <f t="shared" si="15"/>
        <v>0</v>
      </c>
      <c r="BT220" s="3">
        <f t="shared" si="15"/>
        <v>0</v>
      </c>
      <c r="BU220" s="3">
        <f t="shared" si="15"/>
        <v>0</v>
      </c>
      <c r="BV220" t="e">
        <f>VLOOKUP($H220,'1. Set Program Names'!$B$2:$D$15,3,0)*V220</f>
        <v>#N/A</v>
      </c>
      <c r="BW220" t="e">
        <f>VLOOKUP($H220,'1. Set Program Names'!$B$2:$D$15,3,0)*W220</f>
        <v>#N/A</v>
      </c>
      <c r="BX220" t="e">
        <f>VLOOKUP($H220,'1. Set Program Names'!$B$2:$D$15,3,0)*X220</f>
        <v>#N/A</v>
      </c>
      <c r="BY220" t="e">
        <f>VLOOKUP($H220,'1. Set Program Names'!$B$2:$D$15,3,0)*Y220</f>
        <v>#N/A</v>
      </c>
      <c r="BZ220" t="e">
        <f>VLOOKUP($H220,'1. Set Program Names'!$B$2:$D$15,3,0)*Z220</f>
        <v>#N/A</v>
      </c>
      <c r="CA220" t="e">
        <f>VLOOKUP($H220,'1. Set Program Names'!$B$2:$D$15,3,0)*AA220</f>
        <v>#N/A</v>
      </c>
      <c r="CB220" t="e">
        <f>VLOOKUP($H220,'1. Set Program Names'!$B$2:$D$15,3,0)*AB220</f>
        <v>#N/A</v>
      </c>
      <c r="CC220" t="e">
        <f>VLOOKUP($H220,'1. Set Program Names'!$B$2:$D$15,3,0)*AC220</f>
        <v>#N/A</v>
      </c>
      <c r="CD220" t="e">
        <f>VLOOKUP($H220,'1. Set Program Names'!$B$2:$D$15,3,0)*AD220</f>
        <v>#N/A</v>
      </c>
      <c r="CE220" t="e">
        <f>VLOOKUP($H220,'1. Set Program Names'!$B$2:$D$15,3,0)*AE220</f>
        <v>#N/A</v>
      </c>
    </row>
    <row r="221" spans="1:83" x14ac:dyDescent="0.25">
      <c r="A221" s="20" t="s">
        <v>114</v>
      </c>
      <c r="B221" s="20" t="s">
        <v>88</v>
      </c>
      <c r="C221" s="20" t="s">
        <v>89</v>
      </c>
      <c r="D221" s="20" t="s">
        <v>90</v>
      </c>
      <c r="E221" s="20" t="s">
        <v>91</v>
      </c>
      <c r="F221" s="20" t="s">
        <v>90</v>
      </c>
      <c r="G221" s="20" t="s">
        <v>92</v>
      </c>
      <c r="H221" s="20" t="s">
        <v>273</v>
      </c>
      <c r="I221" s="20" t="s">
        <v>105</v>
      </c>
      <c r="J221" s="20" t="s">
        <v>97</v>
      </c>
      <c r="K221" s="20" t="s">
        <v>98</v>
      </c>
      <c r="L221" s="20">
        <v>1409.8599999999899</v>
      </c>
      <c r="M221" s="20">
        <v>0.25259796946801399</v>
      </c>
      <c r="N221" s="20">
        <v>0.18561076930699899</v>
      </c>
      <c r="O221" s="20">
        <v>15905.9999999999</v>
      </c>
      <c r="P221" s="20">
        <v>15564.4191191999</v>
      </c>
      <c r="Q221" s="20">
        <v>1.4098599999999899</v>
      </c>
      <c r="R221" s="20">
        <v>1051.8249065196901</v>
      </c>
      <c r="S221" s="20">
        <v>2376.3089492588301</v>
      </c>
      <c r="T221" s="20">
        <v>25</v>
      </c>
      <c r="U221" s="20">
        <v>1</v>
      </c>
      <c r="V221" s="20">
        <v>0.23963219726893201</v>
      </c>
      <c r="W221" s="20">
        <v>0.27863313956754099</v>
      </c>
      <c r="X221" s="20">
        <v>0.31836207733409599</v>
      </c>
      <c r="Y221" s="20">
        <v>0.35956212486000599</v>
      </c>
      <c r="Z221" s="20">
        <v>0.40248260073091402</v>
      </c>
      <c r="AA221" s="20">
        <v>0.44614383557019199</v>
      </c>
      <c r="AB221" s="20">
        <v>0.494085297178187</v>
      </c>
      <c r="AC221" s="20">
        <v>0.54792896689430903</v>
      </c>
      <c r="AD221" s="20">
        <v>0.60865405819423102</v>
      </c>
      <c r="AE221" s="20">
        <v>0.67716028875170697</v>
      </c>
      <c r="AF221" t="str">
        <f t="shared" si="14"/>
        <v>Residential</v>
      </c>
      <c r="AG221" t="str">
        <f>tbl_Data_old[[#This Row],[All_Meas_Name_Append]]</f>
        <v>Energy Star Ground Source Heat Pump</v>
      </c>
      <c r="AH221">
        <f>AVERAGEIFS('3. Incentive Adjustment'!G:G,'3. Incentive Adjustment'!A:A,tbl_Data_old[[#This Row],[Trimmed Sector]],'3. Incentive Adjustment'!B:B,tbl_Data_old[[#This Row],[Trimmed Measure Name]])</f>
        <v>2.2369945105234762E-13</v>
      </c>
      <c r="AI221">
        <f>$AH221*tbl_Data_old[[#This Row],[2025 ]]</f>
        <v>5.3605590983527963E-14</v>
      </c>
      <c r="AJ221">
        <f>$AH221*tbl_Data_old[[#This Row],[2026 ]]</f>
        <v>6.2330080366251075E-14</v>
      </c>
      <c r="AK221">
        <f>$AH221*tbl_Data_old[[#This Row],[2027 ]]</f>
        <v>7.1217421935522317E-14</v>
      </c>
      <c r="AL221">
        <f>$AH221*tbl_Data_old[[#This Row],[2028 ]]</f>
        <v>8.0433849950399019E-14</v>
      </c>
      <c r="AM221">
        <f>$AH221*tbl_Data_old[[#This Row],[2029 ]]</f>
        <v>9.0035136841626668E-14</v>
      </c>
      <c r="AN221">
        <f>$AH221*tbl_Data_old[[#This Row],[2030 ]]</f>
        <v>9.9802131107440788E-14</v>
      </c>
      <c r="AO221">
        <f>$AH221*tbl_Data_old[[#This Row],[2031 ]]</f>
        <v>1.1052660975179647E-13</v>
      </c>
      <c r="AP221">
        <f>$AH221*tbl_Data_old[[#This Row],[2032 ]]</f>
        <v>1.2257140910993689E-13</v>
      </c>
      <c r="AQ221">
        <f>$AH221*tbl_Data_old[[#This Row],[2033 ]]</f>
        <v>1.3615557869883312E-13</v>
      </c>
      <c r="AR221">
        <f>$AH221*tbl_Data_old[[#This Row],[2034 ]]</f>
        <v>1.5148038486820606E-13</v>
      </c>
      <c r="AS221">
        <f>SUM(tbl_Data_old[[#This Row],[Adjusted 2025]:[Adjusted 2034]])</f>
        <v>9.7815819361354035E-13</v>
      </c>
      <c r="AT221" s="3">
        <f>AVERAGEIFS('3. Incentive Adjustment'!F:F,'3. Incentive Adjustment'!A:A,tbl_Data_old[[#This Row],[Trimmed Sector]],'3. Incentive Adjustment'!B:B,tbl_Data_old[[#This Row],[Trimmed Measure Name]])</f>
        <v>0</v>
      </c>
      <c r="AU221" s="3">
        <f>IFERROR(VLOOKUP(tbl_Data_old[[#This Row],[All_Meas_Name_Append]],'IRA Tax Credits'!$A$3:$D$46,4,0),0)</f>
        <v>41666.666666666672</v>
      </c>
      <c r="AV221" s="4">
        <f>tbl_Data_old[[#This Row],[Adj. per unit Incentive ($)]]/tbl_Data_old[[#This Row],[kWh Savings]]*tbl_Data_old[[#This Row],[Sum of Annuals]]</f>
        <v>0</v>
      </c>
      <c r="AW221" s="4" t="str">
        <f>IFERROR(VLOOKUP(tbl_Data_old[[#This Row],[All_Programs]],'1. Set Program Names'!$B$2:$D$15,3,0)*tbl_Data_old[[#This Row],[Sum of Annuals]],"")</f>
        <v/>
      </c>
      <c r="AX221" s="4">
        <f>tbl_Data_old[[#This Row],[per unit IRA tax ($)]]/tbl_Data_old[[#This Row],[kWh Savings]]*tbl_Data_old[[#This Row],[Sum of Annuals]]</f>
        <v>2.8908254295153049E-11</v>
      </c>
      <c r="AY221" s="4">
        <f>tbl_Data_old[[#This Row],[Avoided Costs ($/unit)]]/tbl_Data_old[[#This Row],[kWh Savings]]*tbl_Data_old[[#This Row],[Sum of Annuals]]</f>
        <v>7.2975412491952271E-13</v>
      </c>
      <c r="AZ221" s="4">
        <f>tbl_Data_old[[#This Row],[Lost Revenue ($/unit)]]/tbl_Data_old[[#This Row],[kWh Savings]]*tbl_Data_old[[#This Row],[Sum of Annuals]]</f>
        <v>1.6486786413365328E-12</v>
      </c>
      <c r="BA221" s="4">
        <f>tbl_Data_old[[#This Row],[Incremental Cost ($/unit)]]/tbl_Data_old[[#This Row],[kWh Savings]]*tbl_Data_old[[#This Row],[Sum of Annuals]]</f>
        <v>1.1035552627648835E-11</v>
      </c>
      <c r="BB221">
        <f>ROUNDUP(tbl_Data_old[[#This Row],[Adjusted 2025]]/$L221,0)</f>
        <v>1</v>
      </c>
      <c r="BC221">
        <f>ROUNDUP(tbl_Data_old[[#This Row],[Adjusted 2026]]/$L221,0)</f>
        <v>1</v>
      </c>
      <c r="BD221">
        <f>ROUNDUP(tbl_Data_old[[#This Row],[Adjusted 2027]]/$L221,0)</f>
        <v>1</v>
      </c>
      <c r="BE221">
        <f>ROUNDUP(tbl_Data_old[[#This Row],[Adjusted 2028]]/$L221,0)</f>
        <v>1</v>
      </c>
      <c r="BF221">
        <f>ROUNDUP(tbl_Data_old[[#This Row],[Adjusted 2029]]/$L221,0)</f>
        <v>1</v>
      </c>
      <c r="BG221">
        <f>ROUNDUP(tbl_Data_old[[#This Row],[Adjusted 2030]]/$L221,0)</f>
        <v>1</v>
      </c>
      <c r="BH221">
        <f>ROUNDUP(tbl_Data_old[[#This Row],[Adjusted 2031]]/$L221,0)</f>
        <v>1</v>
      </c>
      <c r="BI221">
        <f>ROUNDUP(tbl_Data_old[[#This Row],[Adjusted 2032]]/$L221,0)</f>
        <v>1</v>
      </c>
      <c r="BJ221">
        <f>ROUNDUP(tbl_Data_old[[#This Row],[Adjusted 2033]]/$L221,0)</f>
        <v>1</v>
      </c>
      <c r="BK221">
        <f>ROUNDUP(tbl_Data_old[[#This Row],[Adjusted 2034]]/$L221,0)</f>
        <v>1</v>
      </c>
      <c r="BL221" s="3">
        <f t="shared" si="16"/>
        <v>0</v>
      </c>
      <c r="BM221" s="3">
        <f t="shared" si="16"/>
        <v>0</v>
      </c>
      <c r="BN221" s="3">
        <f t="shared" si="16"/>
        <v>0</v>
      </c>
      <c r="BO221" s="3">
        <f t="shared" si="16"/>
        <v>0</v>
      </c>
      <c r="BP221" s="3">
        <f t="shared" si="16"/>
        <v>0</v>
      </c>
      <c r="BQ221" s="3">
        <f t="shared" si="15"/>
        <v>0</v>
      </c>
      <c r="BR221" s="3">
        <f t="shared" si="15"/>
        <v>0</v>
      </c>
      <c r="BS221" s="3">
        <f t="shared" si="15"/>
        <v>0</v>
      </c>
      <c r="BT221" s="3">
        <f t="shared" si="15"/>
        <v>0</v>
      </c>
      <c r="BU221" s="3">
        <f t="shared" si="15"/>
        <v>0</v>
      </c>
      <c r="BV221" t="e">
        <f>VLOOKUP($H221,'1. Set Program Names'!$B$2:$D$15,3,0)*V221</f>
        <v>#N/A</v>
      </c>
      <c r="BW221" t="e">
        <f>VLOOKUP($H221,'1. Set Program Names'!$B$2:$D$15,3,0)*W221</f>
        <v>#N/A</v>
      </c>
      <c r="BX221" t="e">
        <f>VLOOKUP($H221,'1. Set Program Names'!$B$2:$D$15,3,0)*X221</f>
        <v>#N/A</v>
      </c>
      <c r="BY221" t="e">
        <f>VLOOKUP($H221,'1. Set Program Names'!$B$2:$D$15,3,0)*Y221</f>
        <v>#N/A</v>
      </c>
      <c r="BZ221" t="e">
        <f>VLOOKUP($H221,'1. Set Program Names'!$B$2:$D$15,3,0)*Z221</f>
        <v>#N/A</v>
      </c>
      <c r="CA221" t="e">
        <f>VLOOKUP($H221,'1. Set Program Names'!$B$2:$D$15,3,0)*AA221</f>
        <v>#N/A</v>
      </c>
      <c r="CB221" t="e">
        <f>VLOOKUP($H221,'1. Set Program Names'!$B$2:$D$15,3,0)*AB221</f>
        <v>#N/A</v>
      </c>
      <c r="CC221" t="e">
        <f>VLOOKUP($H221,'1. Set Program Names'!$B$2:$D$15,3,0)*AC221</f>
        <v>#N/A</v>
      </c>
      <c r="CD221" t="e">
        <f>VLOOKUP($H221,'1. Set Program Names'!$B$2:$D$15,3,0)*AD221</f>
        <v>#N/A</v>
      </c>
      <c r="CE221" t="e">
        <f>VLOOKUP($H221,'1. Set Program Names'!$B$2:$D$15,3,0)*AE221</f>
        <v>#N/A</v>
      </c>
    </row>
    <row r="222" spans="1:83" x14ac:dyDescent="0.25">
      <c r="A222" s="20" t="s">
        <v>114</v>
      </c>
      <c r="B222" s="20" t="s">
        <v>88</v>
      </c>
      <c r="C222" s="20" t="s">
        <v>89</v>
      </c>
      <c r="D222" s="20" t="s">
        <v>90</v>
      </c>
      <c r="E222" s="20" t="s">
        <v>91</v>
      </c>
      <c r="F222" s="20" t="s">
        <v>90</v>
      </c>
      <c r="G222" s="20" t="s">
        <v>92</v>
      </c>
      <c r="H222" s="20" t="s">
        <v>273</v>
      </c>
      <c r="I222" s="20" t="s">
        <v>106</v>
      </c>
      <c r="J222" s="20" t="s">
        <v>97</v>
      </c>
      <c r="K222" s="20" t="s">
        <v>98</v>
      </c>
      <c r="L222" s="20">
        <v>127.25</v>
      </c>
      <c r="M222" s="20">
        <v>7.3045840411791796E-2</v>
      </c>
      <c r="N222" s="20">
        <v>3.5010079032079199E-4</v>
      </c>
      <c r="O222" s="20">
        <v>41.15</v>
      </c>
      <c r="P222" s="20">
        <v>10.3198699999999</v>
      </c>
      <c r="Q222" s="20">
        <v>0.12725</v>
      </c>
      <c r="R222" s="20">
        <v>86.902802703254196</v>
      </c>
      <c r="S222" s="20">
        <v>140.464426641062</v>
      </c>
      <c r="T222" s="20">
        <v>12</v>
      </c>
      <c r="U222" s="20">
        <v>1</v>
      </c>
      <c r="V222" s="20">
        <v>8.4965151953199491</v>
      </c>
      <c r="W222" s="20">
        <v>9.0011384233780696</v>
      </c>
      <c r="X222" s="20">
        <v>9.3456206245876796</v>
      </c>
      <c r="Y222" s="20">
        <v>9.6174313973534993</v>
      </c>
      <c r="Z222" s="20">
        <v>9.8593791008073595</v>
      </c>
      <c r="AA222" s="20">
        <v>10.050306119190999</v>
      </c>
      <c r="AB222" s="20">
        <v>10.278242980977801</v>
      </c>
      <c r="AC222" s="20">
        <v>10.5530315025654</v>
      </c>
      <c r="AD222" s="20">
        <v>10.8820181965092</v>
      </c>
      <c r="AE222" s="20">
        <v>11.263262319561401</v>
      </c>
      <c r="AF222" t="str">
        <f t="shared" si="14"/>
        <v>Residential</v>
      </c>
      <c r="AG222" t="str">
        <f>tbl_Data_old[[#This Row],[All_Meas_Name_Append]]</f>
        <v>Energy Star Room AC Residential</v>
      </c>
      <c r="AH222">
        <f>AVERAGEIFS('3. Incentive Adjustment'!G:G,'3. Incentive Adjustment'!A:A,tbl_Data_old[[#This Row],[Trimmed Sector]],'3. Incentive Adjustment'!B:B,tbl_Data_old[[#This Row],[Trimmed Measure Name]])</f>
        <v>0.8073629241290271</v>
      </c>
      <c r="AI222">
        <f>$AH222*tbl_Data_old[[#This Row],[2025 ]]</f>
        <v>6.8597713530002258</v>
      </c>
      <c r="AJ222">
        <f>$AH222*tbl_Data_old[[#This Row],[2026 ]]</f>
        <v>7.2671854379886591</v>
      </c>
      <c r="AK222">
        <f>$AH222*tbl_Data_old[[#This Row],[2027 ]]</f>
        <v>7.545307595267654</v>
      </c>
      <c r="AL222">
        <f>$AH222*tbl_Data_old[[#This Row],[2028 ]]</f>
        <v>7.7647575355776359</v>
      </c>
      <c r="AM222">
        <f>$AH222*tbl_Data_old[[#This Row],[2029 ]]</f>
        <v>7.9600971409244474</v>
      </c>
      <c r="AN222">
        <f>$AH222*tbl_Data_old[[#This Row],[2030 ]]</f>
        <v>8.1142445367819001</v>
      </c>
      <c r="AO222">
        <f>$AH222*tbl_Data_old[[#This Row],[2031 ]]</f>
        <v>8.2982723080308851</v>
      </c>
      <c r="AP222">
        <f>$AH222*tbl_Data_old[[#This Row],[2032 ]]</f>
        <v>8.5201263723369411</v>
      </c>
      <c r="AQ222">
        <f>$AH222*tbl_Data_old[[#This Row],[2033 ]]</f>
        <v>8.7857380315589495</v>
      </c>
      <c r="AR222">
        <f>$AH222*tbl_Data_old[[#This Row],[2034 ]]</f>
        <v>9.0935404015533816</v>
      </c>
      <c r="AS222">
        <f>SUM(tbl_Data_old[[#This Row],[Adjusted 2025]:[Adjusted 2034]])</f>
        <v>80.209040713020698</v>
      </c>
      <c r="AT222" s="3">
        <f>AVERAGEIFS('3. Incentive Adjustment'!F:F,'3. Incentive Adjustment'!A:A,tbl_Data_old[[#This Row],[Trimmed Sector]],'3. Incentive Adjustment'!B:B,tbl_Data_old[[#This Row],[Trimmed Measure Name]])</f>
        <v>0</v>
      </c>
      <c r="AU222" s="3">
        <f>IFERROR(VLOOKUP(tbl_Data_old[[#This Row],[All_Meas_Name_Append]],'IRA Tax Credits'!$A$3:$D$46,4,0),0)</f>
        <v>0</v>
      </c>
      <c r="AV222" s="4">
        <f>tbl_Data_old[[#This Row],[Adj. per unit Incentive ($)]]/tbl_Data_old[[#This Row],[kWh Savings]]*tbl_Data_old[[#This Row],[Sum of Annuals]]</f>
        <v>0</v>
      </c>
      <c r="AW222" s="4" t="str">
        <f>IFERROR(VLOOKUP(tbl_Data_old[[#This Row],[All_Programs]],'1. Set Program Names'!$B$2:$D$15,3,0)*tbl_Data_old[[#This Row],[Sum of Annuals]],"")</f>
        <v/>
      </c>
      <c r="AX222" s="4">
        <f>tbl_Data_old[[#This Row],[per unit IRA tax ($)]]/tbl_Data_old[[#This Row],[kWh Savings]]*tbl_Data_old[[#This Row],[Sum of Annuals]]</f>
        <v>0</v>
      </c>
      <c r="AY222" s="4">
        <f>tbl_Data_old[[#This Row],[Avoided Costs ($/unit)]]/tbl_Data_old[[#This Row],[kWh Savings]]*tbl_Data_old[[#This Row],[Sum of Annuals]]</f>
        <v>54.777135089201735</v>
      </c>
      <c r="AZ222" s="4">
        <f>tbl_Data_old[[#This Row],[Lost Revenue ($/unit)]]/tbl_Data_old[[#This Row],[kWh Savings]]*tbl_Data_old[[#This Row],[Sum of Annuals]]</f>
        <v>88.538443341328502</v>
      </c>
      <c r="BA222" s="4">
        <f>tbl_Data_old[[#This Row],[Incremental Cost ($/unit)]]/tbl_Data_old[[#This Row],[kWh Savings]]*tbl_Data_old[[#This Row],[Sum of Annuals]]</f>
        <v>25.937933401499425</v>
      </c>
      <c r="BB222">
        <f>ROUNDUP(tbl_Data_old[[#This Row],[Adjusted 2025]]/$L222,0)</f>
        <v>1</v>
      </c>
      <c r="BC222">
        <f>ROUNDUP(tbl_Data_old[[#This Row],[Adjusted 2026]]/$L222,0)</f>
        <v>1</v>
      </c>
      <c r="BD222">
        <f>ROUNDUP(tbl_Data_old[[#This Row],[Adjusted 2027]]/$L222,0)</f>
        <v>1</v>
      </c>
      <c r="BE222">
        <f>ROUNDUP(tbl_Data_old[[#This Row],[Adjusted 2028]]/$L222,0)</f>
        <v>1</v>
      </c>
      <c r="BF222">
        <f>ROUNDUP(tbl_Data_old[[#This Row],[Adjusted 2029]]/$L222,0)</f>
        <v>1</v>
      </c>
      <c r="BG222">
        <f>ROUNDUP(tbl_Data_old[[#This Row],[Adjusted 2030]]/$L222,0)</f>
        <v>1</v>
      </c>
      <c r="BH222">
        <f>ROUNDUP(tbl_Data_old[[#This Row],[Adjusted 2031]]/$L222,0)</f>
        <v>1</v>
      </c>
      <c r="BI222">
        <f>ROUNDUP(tbl_Data_old[[#This Row],[Adjusted 2032]]/$L222,0)</f>
        <v>1</v>
      </c>
      <c r="BJ222">
        <f>ROUNDUP(tbl_Data_old[[#This Row],[Adjusted 2033]]/$L222,0)</f>
        <v>1</v>
      </c>
      <c r="BK222">
        <f>ROUNDUP(tbl_Data_old[[#This Row],[Adjusted 2034]]/$L222,0)</f>
        <v>1</v>
      </c>
      <c r="BL222" s="3">
        <f t="shared" si="16"/>
        <v>0</v>
      </c>
      <c r="BM222" s="3">
        <f t="shared" si="16"/>
        <v>0</v>
      </c>
      <c r="BN222" s="3">
        <f t="shared" si="16"/>
        <v>0</v>
      </c>
      <c r="BO222" s="3">
        <f t="shared" si="16"/>
        <v>0</v>
      </c>
      <c r="BP222" s="3">
        <f t="shared" si="16"/>
        <v>0</v>
      </c>
      <c r="BQ222" s="3">
        <f t="shared" si="15"/>
        <v>0</v>
      </c>
      <c r="BR222" s="3">
        <f t="shared" si="15"/>
        <v>0</v>
      </c>
      <c r="BS222" s="3">
        <f t="shared" si="15"/>
        <v>0</v>
      </c>
      <c r="BT222" s="3">
        <f t="shared" si="15"/>
        <v>0</v>
      </c>
      <c r="BU222" s="3">
        <f t="shared" si="15"/>
        <v>0</v>
      </c>
      <c r="BV222" t="e">
        <f>VLOOKUP($H222,'1. Set Program Names'!$B$2:$D$15,3,0)*V222</f>
        <v>#N/A</v>
      </c>
      <c r="BW222" t="e">
        <f>VLOOKUP($H222,'1. Set Program Names'!$B$2:$D$15,3,0)*W222</f>
        <v>#N/A</v>
      </c>
      <c r="BX222" t="e">
        <f>VLOOKUP($H222,'1. Set Program Names'!$B$2:$D$15,3,0)*X222</f>
        <v>#N/A</v>
      </c>
      <c r="BY222" t="e">
        <f>VLOOKUP($H222,'1. Set Program Names'!$B$2:$D$15,3,0)*Y222</f>
        <v>#N/A</v>
      </c>
      <c r="BZ222" t="e">
        <f>VLOOKUP($H222,'1. Set Program Names'!$B$2:$D$15,3,0)*Z222</f>
        <v>#N/A</v>
      </c>
      <c r="CA222" t="e">
        <f>VLOOKUP($H222,'1. Set Program Names'!$B$2:$D$15,3,0)*AA222</f>
        <v>#N/A</v>
      </c>
      <c r="CB222" t="e">
        <f>VLOOKUP($H222,'1. Set Program Names'!$B$2:$D$15,3,0)*AB222</f>
        <v>#N/A</v>
      </c>
      <c r="CC222" t="e">
        <f>VLOOKUP($H222,'1. Set Program Names'!$B$2:$D$15,3,0)*AC222</f>
        <v>#N/A</v>
      </c>
      <c r="CD222" t="e">
        <f>VLOOKUP($H222,'1. Set Program Names'!$B$2:$D$15,3,0)*AD222</f>
        <v>#N/A</v>
      </c>
      <c r="CE222" t="e">
        <f>VLOOKUP($H222,'1. Set Program Names'!$B$2:$D$15,3,0)*AE222</f>
        <v>#N/A</v>
      </c>
    </row>
    <row r="223" spans="1:83" x14ac:dyDescent="0.25">
      <c r="A223" s="20" t="s">
        <v>114</v>
      </c>
      <c r="B223" s="20" t="s">
        <v>88</v>
      </c>
      <c r="C223" s="20" t="s">
        <v>89</v>
      </c>
      <c r="D223" s="20" t="s">
        <v>90</v>
      </c>
      <c r="E223" s="20" t="s">
        <v>91</v>
      </c>
      <c r="F223" s="20" t="s">
        <v>90</v>
      </c>
      <c r="G223" s="20" t="s">
        <v>92</v>
      </c>
      <c r="H223" s="20" t="s">
        <v>273</v>
      </c>
      <c r="I223" s="20" t="s">
        <v>111</v>
      </c>
      <c r="J223" s="20" t="s">
        <v>97</v>
      </c>
      <c r="K223" s="20" t="s">
        <v>102</v>
      </c>
      <c r="L223" s="20">
        <v>586.59333333333302</v>
      </c>
      <c r="M223" s="20">
        <v>0.33672458163683799</v>
      </c>
      <c r="N223" s="20">
        <v>1.6138843976181299E-3</v>
      </c>
      <c r="O223" s="20">
        <v>250</v>
      </c>
      <c r="P223" s="20">
        <v>142.46266525790699</v>
      </c>
      <c r="Q223" s="20">
        <v>0.58659333333333297</v>
      </c>
      <c r="R223" s="20">
        <v>435.979615776</v>
      </c>
      <c r="S223" s="20">
        <v>718.05871460051901</v>
      </c>
      <c r="T223" s="20">
        <v>14</v>
      </c>
      <c r="U223" s="20">
        <v>1</v>
      </c>
      <c r="V223" s="20">
        <v>49.245731772974999</v>
      </c>
      <c r="W223" s="20">
        <v>66.911932432216105</v>
      </c>
      <c r="X223" s="20">
        <v>86.474235385246999</v>
      </c>
      <c r="Y223" s="20">
        <v>107.29895939375599</v>
      </c>
      <c r="Z223" s="20">
        <v>128.260686152207</v>
      </c>
      <c r="AA223" s="20">
        <v>147.39876455167001</v>
      </c>
      <c r="AB223" s="20">
        <v>164.76123974306901</v>
      </c>
      <c r="AC223" s="20">
        <v>180.123209889468</v>
      </c>
      <c r="AD223" s="20">
        <v>193.86329679088701</v>
      </c>
      <c r="AE223" s="20">
        <v>206.511600059747</v>
      </c>
      <c r="AF223" t="str">
        <f t="shared" si="14"/>
        <v>Residential</v>
      </c>
      <c r="AG223" t="str">
        <f>tbl_Data_old[[#This Row],[All_Meas_Name_Append]]</f>
        <v>Properly Sized CAC</v>
      </c>
      <c r="AH223">
        <f>AVERAGEIFS('3. Incentive Adjustment'!G:G,'3. Incentive Adjustment'!A:A,tbl_Data_old[[#This Row],[Trimmed Sector]],'3. Incentive Adjustment'!B:B,tbl_Data_old[[#This Row],[Trimmed Measure Name]])</f>
        <v>0.52686902587198514</v>
      </c>
      <c r="AI223">
        <f>$AH223*tbl_Data_old[[#This Row],[2025 ]]</f>
        <v>25.946050727580406</v>
      </c>
      <c r="AJ223">
        <f>$AH223*tbl_Data_old[[#This Row],[2026 ]]</f>
        <v>35.253824659773791</v>
      </c>
      <c r="AK223">
        <f>$AH223*tbl_Data_old[[#This Row],[2027 ]]</f>
        <v>45.560596160449833</v>
      </c>
      <c r="AL223">
        <f>$AH223*tbl_Data_old[[#This Row],[2028 ]]</f>
        <v>56.53249821286591</v>
      </c>
      <c r="AM223">
        <f>$AH223*tbl_Data_old[[#This Row],[2029 ]]</f>
        <v>67.576582770685718</v>
      </c>
      <c r="AN223">
        <f>$AH223*tbl_Data_old[[#This Row],[2030 ]]</f>
        <v>77.659843494072476</v>
      </c>
      <c r="AO223">
        <f>$AH223*tbl_Data_old[[#This Row],[2031 ]]</f>
        <v>86.807593884891375</v>
      </c>
      <c r="AP223">
        <f>$AH223*tbl_Data_old[[#This Row],[2032 ]]</f>
        <v>94.901340131399124</v>
      </c>
      <c r="AQ223">
        <f>$AH223*tbl_Data_old[[#This Row],[2033 ]]</f>
        <v>102.14056633254619</v>
      </c>
      <c r="AR223">
        <f>$AH223*tbl_Data_old[[#This Row],[2034 ]]</f>
        <v>108.80456555474389</v>
      </c>
      <c r="AS223">
        <f>SUM(tbl_Data_old[[#This Row],[Adjusted 2025]:[Adjusted 2034]])</f>
        <v>701.18346192900879</v>
      </c>
      <c r="AT223" s="3">
        <f>AVERAGEIFS('3. Incentive Adjustment'!F:F,'3. Incentive Adjustment'!A:A,tbl_Data_old[[#This Row],[Trimmed Sector]],'3. Incentive Adjustment'!B:B,tbl_Data_old[[#This Row],[Trimmed Measure Name]])</f>
        <v>0</v>
      </c>
      <c r="AU223" s="3">
        <f>IFERROR(VLOOKUP(tbl_Data_old[[#This Row],[All_Meas_Name_Append]],'IRA Tax Credits'!$A$3:$D$46,4,0),0)</f>
        <v>0</v>
      </c>
      <c r="AV223" s="4">
        <f>tbl_Data_old[[#This Row],[Adj. per unit Incentive ($)]]/tbl_Data_old[[#This Row],[kWh Savings]]*tbl_Data_old[[#This Row],[Sum of Annuals]]</f>
        <v>0</v>
      </c>
      <c r="AW223" s="4" t="str">
        <f>IFERROR(VLOOKUP(tbl_Data_old[[#This Row],[All_Programs]],'1. Set Program Names'!$B$2:$D$15,3,0)*tbl_Data_old[[#This Row],[Sum of Annuals]],"")</f>
        <v/>
      </c>
      <c r="AX223" s="4">
        <f>tbl_Data_old[[#This Row],[per unit IRA tax ($)]]/tbl_Data_old[[#This Row],[kWh Savings]]*tbl_Data_old[[#This Row],[Sum of Annuals]]</f>
        <v>0</v>
      </c>
      <c r="AY223" s="4">
        <f>tbl_Data_old[[#This Row],[Avoided Costs ($/unit)]]/tbl_Data_old[[#This Row],[kWh Savings]]*tbl_Data_old[[#This Row],[Sum of Annuals]]</f>
        <v>521.14758035713828</v>
      </c>
      <c r="AZ223" s="4">
        <f>tbl_Data_old[[#This Row],[Lost Revenue ($/unit)]]/tbl_Data_old[[#This Row],[kWh Savings]]*tbl_Data_old[[#This Row],[Sum of Annuals]]</f>
        <v>858.33040841222123</v>
      </c>
      <c r="BA223" s="4">
        <f>tbl_Data_old[[#This Row],[Incremental Cost ($/unit)]]/tbl_Data_old[[#This Row],[kWh Savings]]*tbl_Data_old[[#This Row],[Sum of Annuals]]</f>
        <v>298.83712534905322</v>
      </c>
      <c r="BB223">
        <f>ROUNDUP(tbl_Data_old[[#This Row],[Adjusted 2025]]/$L223,0)</f>
        <v>1</v>
      </c>
      <c r="BC223">
        <f>ROUNDUP(tbl_Data_old[[#This Row],[Adjusted 2026]]/$L223,0)</f>
        <v>1</v>
      </c>
      <c r="BD223">
        <f>ROUNDUP(tbl_Data_old[[#This Row],[Adjusted 2027]]/$L223,0)</f>
        <v>1</v>
      </c>
      <c r="BE223">
        <f>ROUNDUP(tbl_Data_old[[#This Row],[Adjusted 2028]]/$L223,0)</f>
        <v>1</v>
      </c>
      <c r="BF223">
        <f>ROUNDUP(tbl_Data_old[[#This Row],[Adjusted 2029]]/$L223,0)</f>
        <v>1</v>
      </c>
      <c r="BG223">
        <f>ROUNDUP(tbl_Data_old[[#This Row],[Adjusted 2030]]/$L223,0)</f>
        <v>1</v>
      </c>
      <c r="BH223">
        <f>ROUNDUP(tbl_Data_old[[#This Row],[Adjusted 2031]]/$L223,0)</f>
        <v>1</v>
      </c>
      <c r="BI223">
        <f>ROUNDUP(tbl_Data_old[[#This Row],[Adjusted 2032]]/$L223,0)</f>
        <v>1</v>
      </c>
      <c r="BJ223">
        <f>ROUNDUP(tbl_Data_old[[#This Row],[Adjusted 2033]]/$L223,0)</f>
        <v>1</v>
      </c>
      <c r="BK223">
        <f>ROUNDUP(tbl_Data_old[[#This Row],[Adjusted 2034]]/$L223,0)</f>
        <v>1</v>
      </c>
      <c r="BL223" s="3">
        <f t="shared" si="16"/>
        <v>0</v>
      </c>
      <c r="BM223" s="3">
        <f t="shared" si="16"/>
        <v>0</v>
      </c>
      <c r="BN223" s="3">
        <f t="shared" si="16"/>
        <v>0</v>
      </c>
      <c r="BO223" s="3">
        <f t="shared" si="16"/>
        <v>0</v>
      </c>
      <c r="BP223" s="3">
        <f t="shared" si="16"/>
        <v>0</v>
      </c>
      <c r="BQ223" s="3">
        <f t="shared" si="15"/>
        <v>0</v>
      </c>
      <c r="BR223" s="3">
        <f t="shared" si="15"/>
        <v>0</v>
      </c>
      <c r="BS223" s="3">
        <f t="shared" si="15"/>
        <v>0</v>
      </c>
      <c r="BT223" s="3">
        <f t="shared" si="15"/>
        <v>0</v>
      </c>
      <c r="BU223" s="3">
        <f t="shared" si="15"/>
        <v>0</v>
      </c>
      <c r="BV223" t="e">
        <f>VLOOKUP($H223,'1. Set Program Names'!$B$2:$D$15,3,0)*V223</f>
        <v>#N/A</v>
      </c>
      <c r="BW223" t="e">
        <f>VLOOKUP($H223,'1. Set Program Names'!$B$2:$D$15,3,0)*W223</f>
        <v>#N/A</v>
      </c>
      <c r="BX223" t="e">
        <f>VLOOKUP($H223,'1. Set Program Names'!$B$2:$D$15,3,0)*X223</f>
        <v>#N/A</v>
      </c>
      <c r="BY223" t="e">
        <f>VLOOKUP($H223,'1. Set Program Names'!$B$2:$D$15,3,0)*Y223</f>
        <v>#N/A</v>
      </c>
      <c r="BZ223" t="e">
        <f>VLOOKUP($H223,'1. Set Program Names'!$B$2:$D$15,3,0)*Z223</f>
        <v>#N/A</v>
      </c>
      <c r="CA223" t="e">
        <f>VLOOKUP($H223,'1. Set Program Names'!$B$2:$D$15,3,0)*AA223</f>
        <v>#N/A</v>
      </c>
      <c r="CB223" t="e">
        <f>VLOOKUP($H223,'1. Set Program Names'!$B$2:$D$15,3,0)*AB223</f>
        <v>#N/A</v>
      </c>
      <c r="CC223" t="e">
        <f>VLOOKUP($H223,'1. Set Program Names'!$B$2:$D$15,3,0)*AC223</f>
        <v>#N/A</v>
      </c>
      <c r="CD223" t="e">
        <f>VLOOKUP($H223,'1. Set Program Names'!$B$2:$D$15,3,0)*AD223</f>
        <v>#N/A</v>
      </c>
      <c r="CE223" t="e">
        <f>VLOOKUP($H223,'1. Set Program Names'!$B$2:$D$15,3,0)*AE223</f>
        <v>#N/A</v>
      </c>
    </row>
    <row r="224" spans="1:83" x14ac:dyDescent="0.25">
      <c r="A224" s="20" t="s">
        <v>115</v>
      </c>
      <c r="B224" s="20" t="s">
        <v>88</v>
      </c>
      <c r="C224" s="20" t="s">
        <v>89</v>
      </c>
      <c r="D224" s="20" t="s">
        <v>90</v>
      </c>
      <c r="E224" s="20" t="s">
        <v>91</v>
      </c>
      <c r="F224" s="20" t="s">
        <v>90</v>
      </c>
      <c r="G224" s="20" t="s">
        <v>92</v>
      </c>
      <c r="H224" s="20" t="s">
        <v>273</v>
      </c>
      <c r="I224" s="20" t="s">
        <v>301</v>
      </c>
      <c r="J224" s="20" t="s">
        <v>302</v>
      </c>
      <c r="K224" s="20" t="s">
        <v>104</v>
      </c>
      <c r="L224" s="20">
        <v>275.64999999999901</v>
      </c>
      <c r="M224" s="20">
        <v>4.0357303140515798E-2</v>
      </c>
      <c r="N224" s="20">
        <v>4.1157633527981498E-2</v>
      </c>
      <c r="O224" s="20">
        <v>86.42</v>
      </c>
      <c r="P224" s="20">
        <v>19.6355180000002</v>
      </c>
      <c r="Q224" s="20">
        <v>0.27564999999999901</v>
      </c>
      <c r="R224" s="20">
        <v>112.309715968343</v>
      </c>
      <c r="S224" s="20">
        <v>337.427777357906</v>
      </c>
      <c r="T224" s="20">
        <v>14</v>
      </c>
      <c r="U224" s="20">
        <v>1</v>
      </c>
      <c r="V224" s="20">
        <v>5.3725367897417096</v>
      </c>
      <c r="W224" s="20">
        <v>12.7899437630658</v>
      </c>
      <c r="X224" s="20">
        <v>22.5041133117385</v>
      </c>
      <c r="Y224" s="20">
        <v>34.677639663022703</v>
      </c>
      <c r="Z224" s="20">
        <v>49.324275571630402</v>
      </c>
      <c r="AA224" s="20">
        <v>66.230506749928196</v>
      </c>
      <c r="AB224" s="20">
        <v>85.185923362881397</v>
      </c>
      <c r="AC224" s="20">
        <v>105.971803037618</v>
      </c>
      <c r="AD224" s="20">
        <v>128.41867222416801</v>
      </c>
      <c r="AE224" s="20">
        <v>152.425432345025</v>
      </c>
      <c r="AF224" t="str">
        <f t="shared" si="14"/>
        <v>Residential</v>
      </c>
      <c r="AG224" t="str">
        <f>tbl_Data_old[[#This Row],[All_Meas_Name_Append]]</f>
        <v>Energy Star Clothes Washer</v>
      </c>
      <c r="AH224">
        <f>AVERAGEIFS('3. Incentive Adjustment'!G:G,'3. Incentive Adjustment'!A:A,tbl_Data_old[[#This Row],[Trimmed Sector]],'3. Incentive Adjustment'!B:B,tbl_Data_old[[#This Row],[Trimmed Measure Name]])</f>
        <v>0.8286551255656105</v>
      </c>
      <c r="AI224">
        <f>$AH224*tbl_Data_old[[#This Row],[2025 ]]</f>
        <v>4.4519801481092784</v>
      </c>
      <c r="AJ224">
        <f>$AH224*tbl_Data_old[[#This Row],[2026 ]]</f>
        <v>10.598452454960388</v>
      </c>
      <c r="AK224">
        <f>$AH224*tbl_Data_old[[#This Row],[2027 ]]</f>
        <v>18.648148842081394</v>
      </c>
      <c r="AL224">
        <f>$AH224*tbl_Data_old[[#This Row],[2028 ]]</f>
        <v>28.735803849281073</v>
      </c>
      <c r="AM224">
        <f>$AH224*tbl_Data_old[[#This Row],[2029 ]]</f>
        <v>40.872813767242164</v>
      </c>
      <c r="AN224">
        <f>$AH224*tbl_Data_old[[#This Row],[2030 ]]</f>
        <v>54.882248887135766</v>
      </c>
      <c r="AO224">
        <f>$AH224*tbl_Data_old[[#This Row],[2031 ]]</f>
        <v>70.589752020690952</v>
      </c>
      <c r="AP224">
        <f>$AH224*tbl_Data_old[[#This Row],[2032 ]]</f>
        <v>87.814077752551484</v>
      </c>
      <c r="AQ224">
        <f>$AH224*tbl_Data_old[[#This Row],[2033 ]]</f>
        <v>106.41479095688692</v>
      </c>
      <c r="AR224">
        <f>$AH224*tbl_Data_old[[#This Row],[2034 ]]</f>
        <v>126.30811577925915</v>
      </c>
      <c r="AS224">
        <f>SUM(tbl_Data_old[[#This Row],[Adjusted 2025]:[Adjusted 2034]])</f>
        <v>549.31618445819856</v>
      </c>
      <c r="AT224" s="3">
        <f>AVERAGEIFS('3. Incentive Adjustment'!F:F,'3. Incentive Adjustment'!A:A,tbl_Data_old[[#This Row],[Trimmed Sector]],'3. Incentive Adjustment'!B:B,tbl_Data_old[[#This Row],[Trimmed Measure Name]])</f>
        <v>0</v>
      </c>
      <c r="AU224" s="3">
        <f>IFERROR(VLOOKUP(tbl_Data_old[[#This Row],[All_Meas_Name_Append]],'IRA Tax Credits'!$A$3:$D$46,4,0),0)</f>
        <v>0</v>
      </c>
      <c r="AV224" s="4">
        <f>tbl_Data_old[[#This Row],[Adj. per unit Incentive ($)]]/tbl_Data_old[[#This Row],[kWh Savings]]*tbl_Data_old[[#This Row],[Sum of Annuals]]</f>
        <v>0</v>
      </c>
      <c r="AW224" s="4" t="str">
        <f>IFERROR(VLOOKUP(tbl_Data_old[[#This Row],[All_Programs]],'1. Set Program Names'!$B$2:$D$15,3,0)*tbl_Data_old[[#This Row],[Sum of Annuals]],"")</f>
        <v/>
      </c>
      <c r="AX224" s="4">
        <f>tbl_Data_old[[#This Row],[per unit IRA tax ($)]]/tbl_Data_old[[#This Row],[kWh Savings]]*tbl_Data_old[[#This Row],[Sum of Annuals]]</f>
        <v>0</v>
      </c>
      <c r="AY224" s="4">
        <f>tbl_Data_old[[#This Row],[Avoided Costs ($/unit)]]/tbl_Data_old[[#This Row],[kWh Savings]]*tbl_Data_old[[#This Row],[Sum of Annuals]]</f>
        <v>223.81115419305064</v>
      </c>
      <c r="AZ224" s="4">
        <f>tbl_Data_old[[#This Row],[Lost Revenue ($/unit)]]/tbl_Data_old[[#This Row],[kWh Savings]]*tbl_Data_old[[#This Row],[Sum of Annuals]]</f>
        <v>672.4271329165831</v>
      </c>
      <c r="BA224" s="4">
        <f>tbl_Data_old[[#This Row],[Incremental Cost ($/unit)]]/tbl_Data_old[[#This Row],[kWh Savings]]*tbl_Data_old[[#This Row],[Sum of Annuals]]</f>
        <v>172.21804701932774</v>
      </c>
      <c r="BB224">
        <f>ROUNDUP(tbl_Data_old[[#This Row],[Adjusted 2025]]/$L224,0)</f>
        <v>1</v>
      </c>
      <c r="BC224">
        <f>ROUNDUP(tbl_Data_old[[#This Row],[Adjusted 2026]]/$L224,0)</f>
        <v>1</v>
      </c>
      <c r="BD224">
        <f>ROUNDUP(tbl_Data_old[[#This Row],[Adjusted 2027]]/$L224,0)</f>
        <v>1</v>
      </c>
      <c r="BE224">
        <f>ROUNDUP(tbl_Data_old[[#This Row],[Adjusted 2028]]/$L224,0)</f>
        <v>1</v>
      </c>
      <c r="BF224">
        <f>ROUNDUP(tbl_Data_old[[#This Row],[Adjusted 2029]]/$L224,0)</f>
        <v>1</v>
      </c>
      <c r="BG224">
        <f>ROUNDUP(tbl_Data_old[[#This Row],[Adjusted 2030]]/$L224,0)</f>
        <v>1</v>
      </c>
      <c r="BH224">
        <f>ROUNDUP(tbl_Data_old[[#This Row],[Adjusted 2031]]/$L224,0)</f>
        <v>1</v>
      </c>
      <c r="BI224">
        <f>ROUNDUP(tbl_Data_old[[#This Row],[Adjusted 2032]]/$L224,0)</f>
        <v>1</v>
      </c>
      <c r="BJ224">
        <f>ROUNDUP(tbl_Data_old[[#This Row],[Adjusted 2033]]/$L224,0)</f>
        <v>1</v>
      </c>
      <c r="BK224">
        <f>ROUNDUP(tbl_Data_old[[#This Row],[Adjusted 2034]]/$L224,0)</f>
        <v>1</v>
      </c>
      <c r="BL224" s="3">
        <f t="shared" si="16"/>
        <v>0</v>
      </c>
      <c r="BM224" s="3">
        <f t="shared" si="16"/>
        <v>0</v>
      </c>
      <c r="BN224" s="3">
        <f t="shared" si="16"/>
        <v>0</v>
      </c>
      <c r="BO224" s="3">
        <f t="shared" si="16"/>
        <v>0</v>
      </c>
      <c r="BP224" s="3">
        <f t="shared" si="16"/>
        <v>0</v>
      </c>
      <c r="BQ224" s="3">
        <f t="shared" si="15"/>
        <v>0</v>
      </c>
      <c r="BR224" s="3">
        <f t="shared" si="15"/>
        <v>0</v>
      </c>
      <c r="BS224" s="3">
        <f t="shared" si="15"/>
        <v>0</v>
      </c>
      <c r="BT224" s="3">
        <f t="shared" si="15"/>
        <v>0</v>
      </c>
      <c r="BU224" s="3">
        <f t="shared" si="15"/>
        <v>0</v>
      </c>
      <c r="BV224" t="e">
        <f>VLOOKUP($H224,'1. Set Program Names'!$B$2:$D$15,3,0)*V224</f>
        <v>#N/A</v>
      </c>
      <c r="BW224" t="e">
        <f>VLOOKUP($H224,'1. Set Program Names'!$B$2:$D$15,3,0)*W224</f>
        <v>#N/A</v>
      </c>
      <c r="BX224" t="e">
        <f>VLOOKUP($H224,'1. Set Program Names'!$B$2:$D$15,3,0)*X224</f>
        <v>#N/A</v>
      </c>
      <c r="BY224" t="e">
        <f>VLOOKUP($H224,'1. Set Program Names'!$B$2:$D$15,3,0)*Y224</f>
        <v>#N/A</v>
      </c>
      <c r="BZ224" t="e">
        <f>VLOOKUP($H224,'1. Set Program Names'!$B$2:$D$15,3,0)*Z224</f>
        <v>#N/A</v>
      </c>
      <c r="CA224" t="e">
        <f>VLOOKUP($H224,'1. Set Program Names'!$B$2:$D$15,3,0)*AA224</f>
        <v>#N/A</v>
      </c>
      <c r="CB224" t="e">
        <f>VLOOKUP($H224,'1. Set Program Names'!$B$2:$D$15,3,0)*AB224</f>
        <v>#N/A</v>
      </c>
      <c r="CC224" t="e">
        <f>VLOOKUP($H224,'1. Set Program Names'!$B$2:$D$15,3,0)*AC224</f>
        <v>#N/A</v>
      </c>
      <c r="CD224" t="e">
        <f>VLOOKUP($H224,'1. Set Program Names'!$B$2:$D$15,3,0)*AD224</f>
        <v>#N/A</v>
      </c>
      <c r="CE224" t="e">
        <f>VLOOKUP($H224,'1. Set Program Names'!$B$2:$D$15,3,0)*AE224</f>
        <v>#N/A</v>
      </c>
    </row>
    <row r="225" spans="1:83" x14ac:dyDescent="0.25">
      <c r="A225" s="20" t="s">
        <v>115</v>
      </c>
      <c r="B225" s="20" t="s">
        <v>88</v>
      </c>
      <c r="C225" s="20" t="s">
        <v>89</v>
      </c>
      <c r="D225" s="20" t="s">
        <v>90</v>
      </c>
      <c r="E225" s="20" t="s">
        <v>91</v>
      </c>
      <c r="F225" s="20" t="s">
        <v>90</v>
      </c>
      <c r="G225" s="20" t="s">
        <v>92</v>
      </c>
      <c r="H225" s="20" t="s">
        <v>273</v>
      </c>
      <c r="I225" s="20" t="s">
        <v>105</v>
      </c>
      <c r="J225" s="20" t="s">
        <v>97</v>
      </c>
      <c r="K225" s="20" t="s">
        <v>98</v>
      </c>
      <c r="L225" s="20">
        <v>1409.8599999999899</v>
      </c>
      <c r="M225" s="20">
        <v>0.25259796946801399</v>
      </c>
      <c r="N225" s="20">
        <v>0.18561076930699899</v>
      </c>
      <c r="O225" s="20">
        <v>15905.9999999999</v>
      </c>
      <c r="P225" s="20">
        <v>15564.4191191999</v>
      </c>
      <c r="Q225" s="20">
        <v>1.4098599999999899</v>
      </c>
      <c r="R225" s="20">
        <v>1051.8249065196901</v>
      </c>
      <c r="S225" s="20">
        <v>2376.3089492588301</v>
      </c>
      <c r="T225" s="20">
        <v>25</v>
      </c>
      <c r="U225" s="20">
        <v>1</v>
      </c>
      <c r="V225" s="20">
        <v>0.23963219726893201</v>
      </c>
      <c r="W225" s="20">
        <v>0.51826533683647302</v>
      </c>
      <c r="X225" s="20">
        <v>0.83662741417056996</v>
      </c>
      <c r="Y225" s="20">
        <v>1.1961895390305699</v>
      </c>
      <c r="Z225" s="20">
        <v>1.59867213976149</v>
      </c>
      <c r="AA225" s="20">
        <v>2.0448159753316801</v>
      </c>
      <c r="AB225" s="20">
        <v>2.5389012725098699</v>
      </c>
      <c r="AC225" s="20">
        <v>3.08683023940418</v>
      </c>
      <c r="AD225" s="20">
        <v>3.6954842975984099</v>
      </c>
      <c r="AE225" s="20">
        <v>4.37264458635011</v>
      </c>
      <c r="AF225" t="str">
        <f t="shared" si="14"/>
        <v>Residential</v>
      </c>
      <c r="AG225" t="str">
        <f>tbl_Data_old[[#This Row],[All_Meas_Name_Append]]</f>
        <v>Energy Star Ground Source Heat Pump</v>
      </c>
      <c r="AH225">
        <f>AVERAGEIFS('3. Incentive Adjustment'!G:G,'3. Incentive Adjustment'!A:A,tbl_Data_old[[#This Row],[Trimmed Sector]],'3. Incentive Adjustment'!B:B,tbl_Data_old[[#This Row],[Trimmed Measure Name]])</f>
        <v>2.2369945105234762E-13</v>
      </c>
      <c r="AI225">
        <f>$AH225*tbl_Data_old[[#This Row],[2025 ]]</f>
        <v>5.3605590983527963E-14</v>
      </c>
      <c r="AJ225">
        <f>$AH225*tbl_Data_old[[#This Row],[2026 ]]</f>
        <v>1.1593567134977904E-13</v>
      </c>
      <c r="AK225">
        <f>$AH225*tbl_Data_old[[#This Row],[2027 ]]</f>
        <v>1.8715309328530159E-13</v>
      </c>
      <c r="AL225">
        <f>$AH225*tbl_Data_old[[#This Row],[2028 ]]</f>
        <v>2.6758694323569922E-13</v>
      </c>
      <c r="AM225">
        <f>$AH225*tbl_Data_old[[#This Row],[2029 ]]</f>
        <v>3.5762208007732728E-13</v>
      </c>
      <c r="AN225">
        <f>$AH225*tbl_Data_old[[#This Row],[2030 ]]</f>
        <v>4.5742421118476767E-13</v>
      </c>
      <c r="AO225">
        <f>$AH225*tbl_Data_old[[#This Row],[2031 ]]</f>
        <v>5.6795082093656469E-13</v>
      </c>
      <c r="AP225">
        <f>$AH225*tbl_Data_old[[#This Row],[2032 ]]</f>
        <v>6.9052223004650183E-13</v>
      </c>
      <c r="AQ225">
        <f>$AH225*tbl_Data_old[[#This Row],[2033 ]]</f>
        <v>8.2667780874533472E-13</v>
      </c>
      <c r="AR225">
        <f>$AH225*tbl_Data_old[[#This Row],[2034 ]]</f>
        <v>9.7815819361353934E-13</v>
      </c>
      <c r="AS225">
        <f>SUM(tbl_Data_old[[#This Row],[Adjusted 2025]:[Adjusted 2034]])</f>
        <v>4.5026366434583431E-12</v>
      </c>
      <c r="AT225" s="3">
        <f>AVERAGEIFS('3. Incentive Adjustment'!F:F,'3. Incentive Adjustment'!A:A,tbl_Data_old[[#This Row],[Trimmed Sector]],'3. Incentive Adjustment'!B:B,tbl_Data_old[[#This Row],[Trimmed Measure Name]])</f>
        <v>0</v>
      </c>
      <c r="AU225" s="3">
        <f>IFERROR(VLOOKUP(tbl_Data_old[[#This Row],[All_Meas_Name_Append]],'IRA Tax Credits'!$A$3:$D$46,4,0),0)</f>
        <v>41666.666666666672</v>
      </c>
      <c r="AV225" s="4">
        <f>tbl_Data_old[[#This Row],[Adj. per unit Incentive ($)]]/tbl_Data_old[[#This Row],[kWh Savings]]*tbl_Data_old[[#This Row],[Sum of Annuals]]</f>
        <v>0</v>
      </c>
      <c r="AW225" s="4" t="str">
        <f>IFERROR(VLOOKUP(tbl_Data_old[[#This Row],[All_Programs]],'1. Set Program Names'!$B$2:$D$15,3,0)*tbl_Data_old[[#This Row],[Sum of Annuals]],"")</f>
        <v/>
      </c>
      <c r="AX225" s="4">
        <f>tbl_Data_old[[#This Row],[per unit IRA tax ($)]]/tbl_Data_old[[#This Row],[kWh Savings]]*tbl_Data_old[[#This Row],[Sum of Annuals]]</f>
        <v>1.3306985100939029E-10</v>
      </c>
      <c r="AY225" s="4">
        <f>tbl_Data_old[[#This Row],[Avoided Costs ($/unit)]]/tbl_Data_old[[#This Row],[kWh Savings]]*tbl_Data_old[[#This Row],[Sum of Annuals]]</f>
        <v>3.3591884063649842E-12</v>
      </c>
      <c r="AZ225" s="4">
        <f>tbl_Data_old[[#This Row],[Lost Revenue ($/unit)]]/tbl_Data_old[[#This Row],[kWh Savings]]*tbl_Data_old[[#This Row],[Sum of Annuals]]</f>
        <v>7.5891618679236781E-12</v>
      </c>
      <c r="BA225" s="4">
        <f>tbl_Data_old[[#This Row],[Incremental Cost ($/unit)]]/tbl_Data_old[[#This Row],[kWh Savings]]*tbl_Data_old[[#This Row],[Sum of Annuals]]</f>
        <v>5.079861720372836E-11</v>
      </c>
      <c r="BB225">
        <f>ROUNDUP(tbl_Data_old[[#This Row],[Adjusted 2025]]/$L225,0)</f>
        <v>1</v>
      </c>
      <c r="BC225">
        <f>ROUNDUP(tbl_Data_old[[#This Row],[Adjusted 2026]]/$L225,0)</f>
        <v>1</v>
      </c>
      <c r="BD225">
        <f>ROUNDUP(tbl_Data_old[[#This Row],[Adjusted 2027]]/$L225,0)</f>
        <v>1</v>
      </c>
      <c r="BE225">
        <f>ROUNDUP(tbl_Data_old[[#This Row],[Adjusted 2028]]/$L225,0)</f>
        <v>1</v>
      </c>
      <c r="BF225">
        <f>ROUNDUP(tbl_Data_old[[#This Row],[Adjusted 2029]]/$L225,0)</f>
        <v>1</v>
      </c>
      <c r="BG225">
        <f>ROUNDUP(tbl_Data_old[[#This Row],[Adjusted 2030]]/$L225,0)</f>
        <v>1</v>
      </c>
      <c r="BH225">
        <f>ROUNDUP(tbl_Data_old[[#This Row],[Adjusted 2031]]/$L225,0)</f>
        <v>1</v>
      </c>
      <c r="BI225">
        <f>ROUNDUP(tbl_Data_old[[#This Row],[Adjusted 2032]]/$L225,0)</f>
        <v>1</v>
      </c>
      <c r="BJ225">
        <f>ROUNDUP(tbl_Data_old[[#This Row],[Adjusted 2033]]/$L225,0)</f>
        <v>1</v>
      </c>
      <c r="BK225">
        <f>ROUNDUP(tbl_Data_old[[#This Row],[Adjusted 2034]]/$L225,0)</f>
        <v>1</v>
      </c>
      <c r="BL225" s="3">
        <f t="shared" si="16"/>
        <v>0</v>
      </c>
      <c r="BM225" s="3">
        <f t="shared" si="16"/>
        <v>0</v>
      </c>
      <c r="BN225" s="3">
        <f t="shared" si="16"/>
        <v>0</v>
      </c>
      <c r="BO225" s="3">
        <f t="shared" si="16"/>
        <v>0</v>
      </c>
      <c r="BP225" s="3">
        <f t="shared" si="16"/>
        <v>0</v>
      </c>
      <c r="BQ225" s="3">
        <f t="shared" si="15"/>
        <v>0</v>
      </c>
      <c r="BR225" s="3">
        <f t="shared" si="15"/>
        <v>0</v>
      </c>
      <c r="BS225" s="3">
        <f t="shared" si="15"/>
        <v>0</v>
      </c>
      <c r="BT225" s="3">
        <f t="shared" si="15"/>
        <v>0</v>
      </c>
      <c r="BU225" s="3">
        <f t="shared" si="15"/>
        <v>0</v>
      </c>
      <c r="BV225" t="e">
        <f>VLOOKUP($H225,'1. Set Program Names'!$B$2:$D$15,3,0)*V225</f>
        <v>#N/A</v>
      </c>
      <c r="BW225" t="e">
        <f>VLOOKUP($H225,'1. Set Program Names'!$B$2:$D$15,3,0)*W225</f>
        <v>#N/A</v>
      </c>
      <c r="BX225" t="e">
        <f>VLOOKUP($H225,'1. Set Program Names'!$B$2:$D$15,3,0)*X225</f>
        <v>#N/A</v>
      </c>
      <c r="BY225" t="e">
        <f>VLOOKUP($H225,'1. Set Program Names'!$B$2:$D$15,3,0)*Y225</f>
        <v>#N/A</v>
      </c>
      <c r="BZ225" t="e">
        <f>VLOOKUP($H225,'1. Set Program Names'!$B$2:$D$15,3,0)*Z225</f>
        <v>#N/A</v>
      </c>
      <c r="CA225" t="e">
        <f>VLOOKUP($H225,'1. Set Program Names'!$B$2:$D$15,3,0)*AA225</f>
        <v>#N/A</v>
      </c>
      <c r="CB225" t="e">
        <f>VLOOKUP($H225,'1. Set Program Names'!$B$2:$D$15,3,0)*AB225</f>
        <v>#N/A</v>
      </c>
      <c r="CC225" t="e">
        <f>VLOOKUP($H225,'1. Set Program Names'!$B$2:$D$15,3,0)*AC225</f>
        <v>#N/A</v>
      </c>
      <c r="CD225" t="e">
        <f>VLOOKUP($H225,'1. Set Program Names'!$B$2:$D$15,3,0)*AD225</f>
        <v>#N/A</v>
      </c>
      <c r="CE225" t="e">
        <f>VLOOKUP($H225,'1. Set Program Names'!$B$2:$D$15,3,0)*AE225</f>
        <v>#N/A</v>
      </c>
    </row>
    <row r="226" spans="1:83" x14ac:dyDescent="0.25">
      <c r="A226" s="20" t="s">
        <v>115</v>
      </c>
      <c r="B226" s="20" t="s">
        <v>88</v>
      </c>
      <c r="C226" s="20" t="s">
        <v>89</v>
      </c>
      <c r="D226" s="20" t="s">
        <v>90</v>
      </c>
      <c r="E226" s="20" t="s">
        <v>91</v>
      </c>
      <c r="F226" s="20" t="s">
        <v>90</v>
      </c>
      <c r="G226" s="20" t="s">
        <v>92</v>
      </c>
      <c r="H226" s="20" t="s">
        <v>273</v>
      </c>
      <c r="I226" s="20" t="s">
        <v>106</v>
      </c>
      <c r="J226" s="20" t="s">
        <v>97</v>
      </c>
      <c r="K226" s="20" t="s">
        <v>98</v>
      </c>
      <c r="L226" s="20">
        <v>127.25</v>
      </c>
      <c r="M226" s="20">
        <v>7.3045840411791796E-2</v>
      </c>
      <c r="N226" s="20">
        <v>3.5010079032079199E-4</v>
      </c>
      <c r="O226" s="20">
        <v>41.15</v>
      </c>
      <c r="P226" s="20">
        <v>10.3198699999999</v>
      </c>
      <c r="Q226" s="20">
        <v>0.12725</v>
      </c>
      <c r="R226" s="20">
        <v>86.902802703254196</v>
      </c>
      <c r="S226" s="20">
        <v>140.464426641062</v>
      </c>
      <c r="T226" s="20">
        <v>12</v>
      </c>
      <c r="U226" s="20">
        <v>1</v>
      </c>
      <c r="V226" s="20">
        <v>8.4965151953199491</v>
      </c>
      <c r="W226" s="20">
        <v>17.497653618697999</v>
      </c>
      <c r="X226" s="20">
        <v>26.843274243285698</v>
      </c>
      <c r="Y226" s="20">
        <v>36.460705640639198</v>
      </c>
      <c r="Z226" s="20">
        <v>46.3200847414465</v>
      </c>
      <c r="AA226" s="20">
        <v>56.370390860637499</v>
      </c>
      <c r="AB226" s="20">
        <v>66.648633841615407</v>
      </c>
      <c r="AC226" s="20">
        <v>77.201665344180796</v>
      </c>
      <c r="AD226" s="20">
        <v>88.083683540690103</v>
      </c>
      <c r="AE226" s="20">
        <v>99.346945860251594</v>
      </c>
      <c r="AF226" t="str">
        <f t="shared" si="14"/>
        <v>Residential</v>
      </c>
      <c r="AG226" t="str">
        <f>tbl_Data_old[[#This Row],[All_Meas_Name_Append]]</f>
        <v>Energy Star Room AC Residential</v>
      </c>
      <c r="AH226">
        <f>AVERAGEIFS('3. Incentive Adjustment'!G:G,'3. Incentive Adjustment'!A:A,tbl_Data_old[[#This Row],[Trimmed Sector]],'3. Incentive Adjustment'!B:B,tbl_Data_old[[#This Row],[Trimmed Measure Name]])</f>
        <v>0.8073629241290271</v>
      </c>
      <c r="AI226">
        <f>$AH226*tbl_Data_old[[#This Row],[2025 ]]</f>
        <v>6.8597713530002258</v>
      </c>
      <c r="AJ226">
        <f>$AH226*tbl_Data_old[[#This Row],[2026 ]]</f>
        <v>14.126956790988869</v>
      </c>
      <c r="AK226">
        <f>$AH226*tbl_Data_old[[#This Row],[2027 ]]</f>
        <v>21.67226438625654</v>
      </c>
      <c r="AL226">
        <f>$AH226*tbl_Data_old[[#This Row],[2028 ]]</f>
        <v>29.437021921834177</v>
      </c>
      <c r="AM226">
        <f>$AH226*tbl_Data_old[[#This Row],[2029 ]]</f>
        <v>37.397119062758577</v>
      </c>
      <c r="AN226">
        <f>$AH226*tbl_Data_old[[#This Row],[2030 ]]</f>
        <v>45.511363599540474</v>
      </c>
      <c r="AO226">
        <f>$AH226*tbl_Data_old[[#This Row],[2031 ]]</f>
        <v>53.809635907571447</v>
      </c>
      <c r="AP226">
        <f>$AH226*tbl_Data_old[[#This Row],[2032 ]]</f>
        <v>62.32976227990838</v>
      </c>
      <c r="AQ226">
        <f>$AH226*tbl_Data_old[[#This Row],[2033 ]]</f>
        <v>71.115500311467414</v>
      </c>
      <c r="AR226">
        <f>$AH226*tbl_Data_old[[#This Row],[2034 ]]</f>
        <v>80.209040713020869</v>
      </c>
      <c r="AS226">
        <f>SUM(tbl_Data_old[[#This Row],[Adjusted 2025]:[Adjusted 2034]])</f>
        <v>422.46843632634705</v>
      </c>
      <c r="AT226" s="3">
        <f>AVERAGEIFS('3. Incentive Adjustment'!F:F,'3. Incentive Adjustment'!A:A,tbl_Data_old[[#This Row],[Trimmed Sector]],'3. Incentive Adjustment'!B:B,tbl_Data_old[[#This Row],[Trimmed Measure Name]])</f>
        <v>0</v>
      </c>
      <c r="AU226" s="3">
        <f>IFERROR(VLOOKUP(tbl_Data_old[[#This Row],[All_Meas_Name_Append]],'IRA Tax Credits'!$A$3:$D$46,4,0),0)</f>
        <v>0</v>
      </c>
      <c r="AV226" s="4">
        <f>tbl_Data_old[[#This Row],[Adj. per unit Incentive ($)]]/tbl_Data_old[[#This Row],[kWh Savings]]*tbl_Data_old[[#This Row],[Sum of Annuals]]</f>
        <v>0</v>
      </c>
      <c r="AW226" s="4" t="str">
        <f>IFERROR(VLOOKUP(tbl_Data_old[[#This Row],[All_Programs]],'1. Set Program Names'!$B$2:$D$15,3,0)*tbl_Data_old[[#This Row],[Sum of Annuals]],"")</f>
        <v/>
      </c>
      <c r="AX226" s="4">
        <f>tbl_Data_old[[#This Row],[per unit IRA tax ($)]]/tbl_Data_old[[#This Row],[kWh Savings]]*tbl_Data_old[[#This Row],[Sum of Annuals]]</f>
        <v>0</v>
      </c>
      <c r="AY226" s="4">
        <f>tbl_Data_old[[#This Row],[Avoided Costs ($/unit)]]/tbl_Data_old[[#This Row],[kWh Savings]]*tbl_Data_old[[#This Row],[Sum of Annuals]]</f>
        <v>288.51623709564512</v>
      </c>
      <c r="AZ226" s="4">
        <f>tbl_Data_old[[#This Row],[Lost Revenue ($/unit)]]/tbl_Data_old[[#This Row],[kWh Savings]]*tbl_Data_old[[#This Row],[Sum of Annuals]]</f>
        <v>466.34017039313437</v>
      </c>
      <c r="BA226" s="4">
        <f>tbl_Data_old[[#This Row],[Incremental Cost ($/unit)]]/tbl_Data_old[[#This Row],[kWh Savings]]*tbl_Data_old[[#This Row],[Sum of Annuals]]</f>
        <v>136.61749434050438</v>
      </c>
      <c r="BB226">
        <f>ROUNDUP(tbl_Data_old[[#This Row],[Adjusted 2025]]/$L226,0)</f>
        <v>1</v>
      </c>
      <c r="BC226">
        <f>ROUNDUP(tbl_Data_old[[#This Row],[Adjusted 2026]]/$L226,0)</f>
        <v>1</v>
      </c>
      <c r="BD226">
        <f>ROUNDUP(tbl_Data_old[[#This Row],[Adjusted 2027]]/$L226,0)</f>
        <v>1</v>
      </c>
      <c r="BE226">
        <f>ROUNDUP(tbl_Data_old[[#This Row],[Adjusted 2028]]/$L226,0)</f>
        <v>1</v>
      </c>
      <c r="BF226">
        <f>ROUNDUP(tbl_Data_old[[#This Row],[Adjusted 2029]]/$L226,0)</f>
        <v>1</v>
      </c>
      <c r="BG226">
        <f>ROUNDUP(tbl_Data_old[[#This Row],[Adjusted 2030]]/$L226,0)</f>
        <v>1</v>
      </c>
      <c r="BH226">
        <f>ROUNDUP(tbl_Data_old[[#This Row],[Adjusted 2031]]/$L226,0)</f>
        <v>1</v>
      </c>
      <c r="BI226">
        <f>ROUNDUP(tbl_Data_old[[#This Row],[Adjusted 2032]]/$L226,0)</f>
        <v>1</v>
      </c>
      <c r="BJ226">
        <f>ROUNDUP(tbl_Data_old[[#This Row],[Adjusted 2033]]/$L226,0)</f>
        <v>1</v>
      </c>
      <c r="BK226">
        <f>ROUNDUP(tbl_Data_old[[#This Row],[Adjusted 2034]]/$L226,0)</f>
        <v>1</v>
      </c>
      <c r="BL226" s="3">
        <f t="shared" si="16"/>
        <v>0</v>
      </c>
      <c r="BM226" s="3">
        <f t="shared" si="16"/>
        <v>0</v>
      </c>
      <c r="BN226" s="3">
        <f t="shared" si="16"/>
        <v>0</v>
      </c>
      <c r="BO226" s="3">
        <f t="shared" si="16"/>
        <v>0</v>
      </c>
      <c r="BP226" s="3">
        <f t="shared" si="16"/>
        <v>0</v>
      </c>
      <c r="BQ226" s="3">
        <f t="shared" si="15"/>
        <v>0</v>
      </c>
      <c r="BR226" s="3">
        <f t="shared" si="15"/>
        <v>0</v>
      </c>
      <c r="BS226" s="3">
        <f t="shared" si="15"/>
        <v>0</v>
      </c>
      <c r="BT226" s="3">
        <f t="shared" si="15"/>
        <v>0</v>
      </c>
      <c r="BU226" s="3">
        <f t="shared" si="15"/>
        <v>0</v>
      </c>
      <c r="BV226" t="e">
        <f>VLOOKUP($H226,'1. Set Program Names'!$B$2:$D$15,3,0)*V226</f>
        <v>#N/A</v>
      </c>
      <c r="BW226" t="e">
        <f>VLOOKUP($H226,'1. Set Program Names'!$B$2:$D$15,3,0)*W226</f>
        <v>#N/A</v>
      </c>
      <c r="BX226" t="e">
        <f>VLOOKUP($H226,'1. Set Program Names'!$B$2:$D$15,3,0)*X226</f>
        <v>#N/A</v>
      </c>
      <c r="BY226" t="e">
        <f>VLOOKUP($H226,'1. Set Program Names'!$B$2:$D$15,3,0)*Y226</f>
        <v>#N/A</v>
      </c>
      <c r="BZ226" t="e">
        <f>VLOOKUP($H226,'1. Set Program Names'!$B$2:$D$15,3,0)*Z226</f>
        <v>#N/A</v>
      </c>
      <c r="CA226" t="e">
        <f>VLOOKUP($H226,'1. Set Program Names'!$B$2:$D$15,3,0)*AA226</f>
        <v>#N/A</v>
      </c>
      <c r="CB226" t="e">
        <f>VLOOKUP($H226,'1. Set Program Names'!$B$2:$D$15,3,0)*AB226</f>
        <v>#N/A</v>
      </c>
      <c r="CC226" t="e">
        <f>VLOOKUP($H226,'1. Set Program Names'!$B$2:$D$15,3,0)*AC226</f>
        <v>#N/A</v>
      </c>
      <c r="CD226" t="e">
        <f>VLOOKUP($H226,'1. Set Program Names'!$B$2:$D$15,3,0)*AD226</f>
        <v>#N/A</v>
      </c>
      <c r="CE226" t="e">
        <f>VLOOKUP($H226,'1. Set Program Names'!$B$2:$D$15,3,0)*AE226</f>
        <v>#N/A</v>
      </c>
    </row>
    <row r="227" spans="1:83" x14ac:dyDescent="0.25">
      <c r="A227" s="20" t="s">
        <v>115</v>
      </c>
      <c r="B227" s="20" t="s">
        <v>88</v>
      </c>
      <c r="C227" s="20" t="s">
        <v>89</v>
      </c>
      <c r="D227" s="20" t="s">
        <v>90</v>
      </c>
      <c r="E227" s="20" t="s">
        <v>91</v>
      </c>
      <c r="F227" s="20" t="s">
        <v>90</v>
      </c>
      <c r="G227" s="20" t="s">
        <v>92</v>
      </c>
      <c r="H227" s="20" t="s">
        <v>273</v>
      </c>
      <c r="I227" s="20" t="s">
        <v>111</v>
      </c>
      <c r="J227" s="20" t="s">
        <v>97</v>
      </c>
      <c r="K227" s="20" t="s">
        <v>102</v>
      </c>
      <c r="L227" s="20">
        <v>586.59333333333302</v>
      </c>
      <c r="M227" s="20">
        <v>0.33672458163683799</v>
      </c>
      <c r="N227" s="20">
        <v>1.6138843976181299E-3</v>
      </c>
      <c r="O227" s="20">
        <v>250</v>
      </c>
      <c r="P227" s="20">
        <v>142.46266525790699</v>
      </c>
      <c r="Q227" s="20">
        <v>0.58659333333333297</v>
      </c>
      <c r="R227" s="20">
        <v>435.979615776</v>
      </c>
      <c r="S227" s="20">
        <v>718.05871460051901</v>
      </c>
      <c r="T227" s="20">
        <v>14</v>
      </c>
      <c r="U227" s="20">
        <v>1</v>
      </c>
      <c r="V227" s="20">
        <v>49.245731772974999</v>
      </c>
      <c r="W227" s="20">
        <v>116.157664205191</v>
      </c>
      <c r="X227" s="20">
        <v>202.631899590438</v>
      </c>
      <c r="Y227" s="20">
        <v>309.930858984194</v>
      </c>
      <c r="Z227" s="20">
        <v>438.191545136402</v>
      </c>
      <c r="AA227" s="20">
        <v>585.59030968807201</v>
      </c>
      <c r="AB227" s="20">
        <v>750.35154943114196</v>
      </c>
      <c r="AC227" s="20">
        <v>930.47475932061104</v>
      </c>
      <c r="AD227" s="20">
        <v>1124.33805611149</v>
      </c>
      <c r="AE227" s="20">
        <v>1330.84965617124</v>
      </c>
      <c r="AF227" t="str">
        <f t="shared" si="14"/>
        <v>Residential</v>
      </c>
      <c r="AG227" t="str">
        <f>tbl_Data_old[[#This Row],[All_Meas_Name_Append]]</f>
        <v>Properly Sized CAC</v>
      </c>
      <c r="AH227">
        <f>AVERAGEIFS('3. Incentive Adjustment'!G:G,'3. Incentive Adjustment'!A:A,tbl_Data_old[[#This Row],[Trimmed Sector]],'3. Incentive Adjustment'!B:B,tbl_Data_old[[#This Row],[Trimmed Measure Name]])</f>
        <v>0.52686902587198514</v>
      </c>
      <c r="AI227">
        <f>$AH227*tbl_Data_old[[#This Row],[2025 ]]</f>
        <v>25.946050727580406</v>
      </c>
      <c r="AJ227">
        <f>$AH227*tbl_Data_old[[#This Row],[2026 ]]</f>
        <v>61.19987538735414</v>
      </c>
      <c r="AK227">
        <f>$AH227*tbl_Data_old[[#This Row],[2027 ]]</f>
        <v>106.76047154780397</v>
      </c>
      <c r="AL227">
        <f>$AH227*tbl_Data_old[[#This Row],[2028 ]]</f>
        <v>163.29296976066988</v>
      </c>
      <c r="AM227">
        <f>$AH227*tbl_Data_old[[#This Row],[2029 ]]</f>
        <v>230.86955253135613</v>
      </c>
      <c r="AN227">
        <f>$AH227*tbl_Data_old[[#This Row],[2030 ]]</f>
        <v>308.52939602542858</v>
      </c>
      <c r="AO227">
        <f>$AH227*tbl_Data_old[[#This Row],[2031 ]]</f>
        <v>395.33698991032048</v>
      </c>
      <c r="AP227">
        <f>$AH227*tbl_Data_old[[#This Row],[2032 ]]</f>
        <v>490.23833004172019</v>
      </c>
      <c r="AQ227">
        <f>$AH227*tbl_Data_old[[#This Row],[2033 ]]</f>
        <v>592.37889637426213</v>
      </c>
      <c r="AR227">
        <f>$AH227*tbl_Data_old[[#This Row],[2034 ]]</f>
        <v>701.18346192900754</v>
      </c>
      <c r="AS227">
        <f>SUM(tbl_Data_old[[#This Row],[Adjusted 2025]:[Adjusted 2034]])</f>
        <v>3075.7359942355033</v>
      </c>
      <c r="AT227" s="3">
        <f>AVERAGEIFS('3. Incentive Adjustment'!F:F,'3. Incentive Adjustment'!A:A,tbl_Data_old[[#This Row],[Trimmed Sector]],'3. Incentive Adjustment'!B:B,tbl_Data_old[[#This Row],[Trimmed Measure Name]])</f>
        <v>0</v>
      </c>
      <c r="AU227" s="3">
        <f>IFERROR(VLOOKUP(tbl_Data_old[[#This Row],[All_Meas_Name_Append]],'IRA Tax Credits'!$A$3:$D$46,4,0),0)</f>
        <v>0</v>
      </c>
      <c r="AV227" s="4">
        <f>tbl_Data_old[[#This Row],[Adj. per unit Incentive ($)]]/tbl_Data_old[[#This Row],[kWh Savings]]*tbl_Data_old[[#This Row],[Sum of Annuals]]</f>
        <v>0</v>
      </c>
      <c r="AW227" s="4" t="str">
        <f>IFERROR(VLOOKUP(tbl_Data_old[[#This Row],[All_Programs]],'1. Set Program Names'!$B$2:$D$15,3,0)*tbl_Data_old[[#This Row],[Sum of Annuals]],"")</f>
        <v/>
      </c>
      <c r="AX227" s="4">
        <f>tbl_Data_old[[#This Row],[per unit IRA tax ($)]]/tbl_Data_old[[#This Row],[kWh Savings]]*tbl_Data_old[[#This Row],[Sum of Annuals]]</f>
        <v>0</v>
      </c>
      <c r="AY227" s="4">
        <f>tbl_Data_old[[#This Row],[Avoided Costs ($/unit)]]/tbl_Data_old[[#This Row],[kWh Savings]]*tbl_Data_old[[#This Row],[Sum of Annuals]]</f>
        <v>2286.0099506674851</v>
      </c>
      <c r="AZ227" s="4">
        <f>tbl_Data_old[[#This Row],[Lost Revenue ($/unit)]]/tbl_Data_old[[#This Row],[kWh Savings]]*tbl_Data_old[[#This Row],[Sum of Annuals]]</f>
        <v>3765.0598957903194</v>
      </c>
      <c r="BA227" s="4">
        <f>tbl_Data_old[[#This Row],[Incremental Cost ($/unit)]]/tbl_Data_old[[#This Row],[kWh Savings]]*tbl_Data_old[[#This Row],[Sum of Annuals]]</f>
        <v>1310.8468079399861</v>
      </c>
      <c r="BB227">
        <f>ROUNDUP(tbl_Data_old[[#This Row],[Adjusted 2025]]/$L227,0)</f>
        <v>1</v>
      </c>
      <c r="BC227">
        <f>ROUNDUP(tbl_Data_old[[#This Row],[Adjusted 2026]]/$L227,0)</f>
        <v>1</v>
      </c>
      <c r="BD227">
        <f>ROUNDUP(tbl_Data_old[[#This Row],[Adjusted 2027]]/$L227,0)</f>
        <v>1</v>
      </c>
      <c r="BE227">
        <f>ROUNDUP(tbl_Data_old[[#This Row],[Adjusted 2028]]/$L227,0)</f>
        <v>1</v>
      </c>
      <c r="BF227">
        <f>ROUNDUP(tbl_Data_old[[#This Row],[Adjusted 2029]]/$L227,0)</f>
        <v>1</v>
      </c>
      <c r="BG227">
        <f>ROUNDUP(tbl_Data_old[[#This Row],[Adjusted 2030]]/$L227,0)</f>
        <v>1</v>
      </c>
      <c r="BH227">
        <f>ROUNDUP(tbl_Data_old[[#This Row],[Adjusted 2031]]/$L227,0)</f>
        <v>1</v>
      </c>
      <c r="BI227">
        <f>ROUNDUP(tbl_Data_old[[#This Row],[Adjusted 2032]]/$L227,0)</f>
        <v>1</v>
      </c>
      <c r="BJ227">
        <f>ROUNDUP(tbl_Data_old[[#This Row],[Adjusted 2033]]/$L227,0)</f>
        <v>2</v>
      </c>
      <c r="BK227">
        <f>ROUNDUP(tbl_Data_old[[#This Row],[Adjusted 2034]]/$L227,0)</f>
        <v>2</v>
      </c>
      <c r="BL227" s="3">
        <f t="shared" si="16"/>
        <v>0</v>
      </c>
      <c r="BM227" s="3">
        <f t="shared" si="16"/>
        <v>0</v>
      </c>
      <c r="BN227" s="3">
        <f t="shared" si="16"/>
        <v>0</v>
      </c>
      <c r="BO227" s="3">
        <f t="shared" si="16"/>
        <v>0</v>
      </c>
      <c r="BP227" s="3">
        <f t="shared" si="16"/>
        <v>0</v>
      </c>
      <c r="BQ227" s="3">
        <f t="shared" si="15"/>
        <v>0</v>
      </c>
      <c r="BR227" s="3">
        <f t="shared" si="15"/>
        <v>0</v>
      </c>
      <c r="BS227" s="3">
        <f t="shared" si="15"/>
        <v>0</v>
      </c>
      <c r="BT227" s="3">
        <f t="shared" si="15"/>
        <v>0</v>
      </c>
      <c r="BU227" s="3">
        <f t="shared" si="15"/>
        <v>0</v>
      </c>
      <c r="BV227" t="e">
        <f>VLOOKUP($H227,'1. Set Program Names'!$B$2:$D$15,3,0)*V227</f>
        <v>#N/A</v>
      </c>
      <c r="BW227" t="e">
        <f>VLOOKUP($H227,'1. Set Program Names'!$B$2:$D$15,3,0)*W227</f>
        <v>#N/A</v>
      </c>
      <c r="BX227" t="e">
        <f>VLOOKUP($H227,'1. Set Program Names'!$B$2:$D$15,3,0)*X227</f>
        <v>#N/A</v>
      </c>
      <c r="BY227" t="e">
        <f>VLOOKUP($H227,'1. Set Program Names'!$B$2:$D$15,3,0)*Y227</f>
        <v>#N/A</v>
      </c>
      <c r="BZ227" t="e">
        <f>VLOOKUP($H227,'1. Set Program Names'!$B$2:$D$15,3,0)*Z227</f>
        <v>#N/A</v>
      </c>
      <c r="CA227" t="e">
        <f>VLOOKUP($H227,'1. Set Program Names'!$B$2:$D$15,3,0)*AA227</f>
        <v>#N/A</v>
      </c>
      <c r="CB227" t="e">
        <f>VLOOKUP($H227,'1. Set Program Names'!$B$2:$D$15,3,0)*AB227</f>
        <v>#N/A</v>
      </c>
      <c r="CC227" t="e">
        <f>VLOOKUP($H227,'1. Set Program Names'!$B$2:$D$15,3,0)*AC227</f>
        <v>#N/A</v>
      </c>
      <c r="CD227" t="e">
        <f>VLOOKUP($H227,'1. Set Program Names'!$B$2:$D$15,3,0)*AD227</f>
        <v>#N/A</v>
      </c>
      <c r="CE227" t="e">
        <f>VLOOKUP($H227,'1. Set Program Names'!$B$2:$D$15,3,0)*AE227</f>
        <v>#N/A</v>
      </c>
    </row>
    <row r="228" spans="1:83" x14ac:dyDescent="0.25">
      <c r="A228" s="20" t="s">
        <v>116</v>
      </c>
      <c r="B228" s="20" t="s">
        <v>88</v>
      </c>
      <c r="C228" s="20" t="s">
        <v>89</v>
      </c>
      <c r="D228" s="20" t="s">
        <v>90</v>
      </c>
      <c r="E228" s="20" t="s">
        <v>91</v>
      </c>
      <c r="F228" s="20" t="s">
        <v>90</v>
      </c>
      <c r="G228" s="20" t="s">
        <v>92</v>
      </c>
      <c r="H228" s="20" t="s">
        <v>273</v>
      </c>
      <c r="I228" s="20" t="s">
        <v>301</v>
      </c>
      <c r="J228" s="20" t="s">
        <v>302</v>
      </c>
      <c r="K228" s="20" t="s">
        <v>104</v>
      </c>
      <c r="L228" s="20">
        <v>275.64999999999901</v>
      </c>
      <c r="M228" s="20">
        <v>4.0357303140515798E-2</v>
      </c>
      <c r="N228" s="20">
        <v>4.1157633527981498E-2</v>
      </c>
      <c r="O228" s="20">
        <v>86.42</v>
      </c>
      <c r="P228" s="20">
        <v>19.6355180000002</v>
      </c>
      <c r="Q228" s="20">
        <v>0.27564999999999901</v>
      </c>
      <c r="R228" s="20">
        <v>112.309715968343</v>
      </c>
      <c r="S228" s="20">
        <v>337.427777357906</v>
      </c>
      <c r="T228" s="20">
        <v>14</v>
      </c>
      <c r="U228" s="20">
        <v>1</v>
      </c>
      <c r="V228" s="20">
        <v>5.4233314747787604</v>
      </c>
      <c r="W228" s="20">
        <v>7.4875348971982003</v>
      </c>
      <c r="X228" s="20">
        <v>9.8060122296876493</v>
      </c>
      <c r="Y228" s="20">
        <v>12.2886210376499</v>
      </c>
      <c r="Z228" s="20">
        <v>14.7851126258357</v>
      </c>
      <c r="AA228" s="20">
        <v>17.066071254126499</v>
      </c>
      <c r="AB228" s="20">
        <v>19.134630726189201</v>
      </c>
      <c r="AC228" s="20">
        <v>20.982399913242201</v>
      </c>
      <c r="AD228" s="20">
        <v>22.6590932615109</v>
      </c>
      <c r="AE228" s="20">
        <v>24.233732195097101</v>
      </c>
      <c r="AF228" t="str">
        <f t="shared" si="14"/>
        <v>Residential</v>
      </c>
      <c r="AG228" t="str">
        <f>tbl_Data_old[[#This Row],[All_Meas_Name_Append]]</f>
        <v>Energy Star Clothes Washer</v>
      </c>
      <c r="AH228">
        <f>AVERAGEIFS('3. Incentive Adjustment'!G:G,'3. Incentive Adjustment'!A:A,tbl_Data_old[[#This Row],[Trimmed Sector]],'3. Incentive Adjustment'!B:B,tbl_Data_old[[#This Row],[Trimmed Measure Name]])</f>
        <v>0.8286551255656105</v>
      </c>
      <c r="AI228">
        <f>$AH228*tbl_Data_old[[#This Row],[2025 ]]</f>
        <v>4.4940714242167212</v>
      </c>
      <c r="AJ228">
        <f>$AH228*tbl_Data_old[[#This Row],[2026 ]]</f>
        <v>6.2045841704146651</v>
      </c>
      <c r="AK228">
        <f>$AH228*tbl_Data_old[[#This Row],[2027 ]]</f>
        <v>8.1258022954897307</v>
      </c>
      <c r="AL228">
        <f>$AH228*tbl_Data_old[[#This Row],[2028 ]]</f>
        <v>10.18302880898198</v>
      </c>
      <c r="AM228">
        <f>$AH228*tbl_Data_old[[#This Row],[2029 ]]</f>
        <v>12.251759359463575</v>
      </c>
      <c r="AN228">
        <f>$AH228*tbl_Data_old[[#This Row],[2030 ]]</f>
        <v>14.141887417999849</v>
      </c>
      <c r="AO228">
        <f>$AH228*tbl_Data_old[[#This Row],[2031 ]]</f>
        <v>15.8560098270619</v>
      </c>
      <c r="AP228">
        <f>$AH228*tbl_Data_old[[#This Row],[2032 ]]</f>
        <v>17.38717323477557</v>
      </c>
      <c r="AQ228">
        <f>$AH228*tbl_Data_old[[#This Row],[2033 ]]</f>
        <v>18.776573771820193</v>
      </c>
      <c r="AR228">
        <f>$AH228*tbl_Data_old[[#This Row],[2034 ]]</f>
        <v>20.081406395051566</v>
      </c>
      <c r="AS228">
        <f>SUM(tbl_Data_old[[#This Row],[Adjusted 2025]:[Adjusted 2034]])</f>
        <v>127.50229670527577</v>
      </c>
      <c r="AT228" s="3">
        <f>AVERAGEIFS('3. Incentive Adjustment'!F:F,'3. Incentive Adjustment'!A:A,tbl_Data_old[[#This Row],[Trimmed Sector]],'3. Incentive Adjustment'!B:B,tbl_Data_old[[#This Row],[Trimmed Measure Name]])</f>
        <v>0</v>
      </c>
      <c r="AU228" s="3">
        <f>IFERROR(VLOOKUP(tbl_Data_old[[#This Row],[All_Meas_Name_Append]],'IRA Tax Credits'!$A$3:$D$46,4,0),0)</f>
        <v>0</v>
      </c>
      <c r="AV228" s="4">
        <f>tbl_Data_old[[#This Row],[Adj. per unit Incentive ($)]]/tbl_Data_old[[#This Row],[kWh Savings]]*tbl_Data_old[[#This Row],[Sum of Annuals]]</f>
        <v>0</v>
      </c>
      <c r="AW228" s="4" t="str">
        <f>IFERROR(VLOOKUP(tbl_Data_old[[#This Row],[All_Programs]],'1. Set Program Names'!$B$2:$D$15,3,0)*tbl_Data_old[[#This Row],[Sum of Annuals]],"")</f>
        <v/>
      </c>
      <c r="AX228" s="4">
        <f>tbl_Data_old[[#This Row],[per unit IRA tax ($)]]/tbl_Data_old[[#This Row],[kWh Savings]]*tbl_Data_old[[#This Row],[Sum of Annuals]]</f>
        <v>0</v>
      </c>
      <c r="AY228" s="4">
        <f>tbl_Data_old[[#This Row],[Avoided Costs ($/unit)]]/tbl_Data_old[[#This Row],[kWh Savings]]*tbl_Data_old[[#This Row],[Sum of Annuals]]</f>
        <v>51.949017697373364</v>
      </c>
      <c r="AZ228" s="4">
        <f>tbl_Data_old[[#This Row],[Lost Revenue ($/unit)]]/tbl_Data_old[[#This Row],[kWh Savings]]*tbl_Data_old[[#This Row],[Sum of Annuals]]</f>
        <v>156.0776948495905</v>
      </c>
      <c r="BA228" s="4">
        <f>tbl_Data_old[[#This Row],[Incremental Cost ($/unit)]]/tbl_Data_old[[#This Row],[kWh Savings]]*tbl_Data_old[[#This Row],[Sum of Annuals]]</f>
        <v>39.973693021113625</v>
      </c>
      <c r="BB228">
        <f>ROUNDUP(tbl_Data_old[[#This Row],[Adjusted 2025]]/$L228,0)</f>
        <v>1</v>
      </c>
      <c r="BC228">
        <f>ROUNDUP(tbl_Data_old[[#This Row],[Adjusted 2026]]/$L228,0)</f>
        <v>1</v>
      </c>
      <c r="BD228">
        <f>ROUNDUP(tbl_Data_old[[#This Row],[Adjusted 2027]]/$L228,0)</f>
        <v>1</v>
      </c>
      <c r="BE228">
        <f>ROUNDUP(tbl_Data_old[[#This Row],[Adjusted 2028]]/$L228,0)</f>
        <v>1</v>
      </c>
      <c r="BF228">
        <f>ROUNDUP(tbl_Data_old[[#This Row],[Adjusted 2029]]/$L228,0)</f>
        <v>1</v>
      </c>
      <c r="BG228">
        <f>ROUNDUP(tbl_Data_old[[#This Row],[Adjusted 2030]]/$L228,0)</f>
        <v>1</v>
      </c>
      <c r="BH228">
        <f>ROUNDUP(tbl_Data_old[[#This Row],[Adjusted 2031]]/$L228,0)</f>
        <v>1</v>
      </c>
      <c r="BI228">
        <f>ROUNDUP(tbl_Data_old[[#This Row],[Adjusted 2032]]/$L228,0)</f>
        <v>1</v>
      </c>
      <c r="BJ228">
        <f>ROUNDUP(tbl_Data_old[[#This Row],[Adjusted 2033]]/$L228,0)</f>
        <v>1</v>
      </c>
      <c r="BK228">
        <f>ROUNDUP(tbl_Data_old[[#This Row],[Adjusted 2034]]/$L228,0)</f>
        <v>1</v>
      </c>
      <c r="BL228" s="3">
        <f t="shared" si="16"/>
        <v>0</v>
      </c>
      <c r="BM228" s="3">
        <f t="shared" si="16"/>
        <v>0</v>
      </c>
      <c r="BN228" s="3">
        <f t="shared" si="16"/>
        <v>0</v>
      </c>
      <c r="BO228" s="3">
        <f t="shared" si="16"/>
        <v>0</v>
      </c>
      <c r="BP228" s="3">
        <f t="shared" si="16"/>
        <v>0</v>
      </c>
      <c r="BQ228" s="3">
        <f t="shared" si="15"/>
        <v>0</v>
      </c>
      <c r="BR228" s="3">
        <f t="shared" si="15"/>
        <v>0</v>
      </c>
      <c r="BS228" s="3">
        <f t="shared" si="15"/>
        <v>0</v>
      </c>
      <c r="BT228" s="3">
        <f t="shared" si="15"/>
        <v>0</v>
      </c>
      <c r="BU228" s="3">
        <f t="shared" si="15"/>
        <v>0</v>
      </c>
      <c r="BV228" t="e">
        <f>VLOOKUP($H228,'1. Set Program Names'!$B$2:$D$15,3,0)*V228</f>
        <v>#N/A</v>
      </c>
      <c r="BW228" t="e">
        <f>VLOOKUP($H228,'1. Set Program Names'!$B$2:$D$15,3,0)*W228</f>
        <v>#N/A</v>
      </c>
      <c r="BX228" t="e">
        <f>VLOOKUP($H228,'1. Set Program Names'!$B$2:$D$15,3,0)*X228</f>
        <v>#N/A</v>
      </c>
      <c r="BY228" t="e">
        <f>VLOOKUP($H228,'1. Set Program Names'!$B$2:$D$15,3,0)*Y228</f>
        <v>#N/A</v>
      </c>
      <c r="BZ228" t="e">
        <f>VLOOKUP($H228,'1. Set Program Names'!$B$2:$D$15,3,0)*Z228</f>
        <v>#N/A</v>
      </c>
      <c r="CA228" t="e">
        <f>VLOOKUP($H228,'1. Set Program Names'!$B$2:$D$15,3,0)*AA228</f>
        <v>#N/A</v>
      </c>
      <c r="CB228" t="e">
        <f>VLOOKUP($H228,'1. Set Program Names'!$B$2:$D$15,3,0)*AB228</f>
        <v>#N/A</v>
      </c>
      <c r="CC228" t="e">
        <f>VLOOKUP($H228,'1. Set Program Names'!$B$2:$D$15,3,0)*AC228</f>
        <v>#N/A</v>
      </c>
      <c r="CD228" t="e">
        <f>VLOOKUP($H228,'1. Set Program Names'!$B$2:$D$15,3,0)*AD228</f>
        <v>#N/A</v>
      </c>
      <c r="CE228" t="e">
        <f>VLOOKUP($H228,'1. Set Program Names'!$B$2:$D$15,3,0)*AE228</f>
        <v>#N/A</v>
      </c>
    </row>
    <row r="229" spans="1:83" x14ac:dyDescent="0.25">
      <c r="A229" s="20" t="s">
        <v>116</v>
      </c>
      <c r="B229" s="20" t="s">
        <v>88</v>
      </c>
      <c r="C229" s="20" t="s">
        <v>89</v>
      </c>
      <c r="D229" s="20" t="s">
        <v>90</v>
      </c>
      <c r="E229" s="20" t="s">
        <v>91</v>
      </c>
      <c r="F229" s="20" t="s">
        <v>90</v>
      </c>
      <c r="G229" s="20" t="s">
        <v>92</v>
      </c>
      <c r="H229" s="20" t="s">
        <v>273</v>
      </c>
      <c r="I229" s="20" t="s">
        <v>105</v>
      </c>
      <c r="J229" s="20" t="s">
        <v>97</v>
      </c>
      <c r="K229" s="20" t="s">
        <v>98</v>
      </c>
      <c r="L229" s="20">
        <v>1409.8599999999899</v>
      </c>
      <c r="M229" s="20">
        <v>0.25259796946801399</v>
      </c>
      <c r="N229" s="20">
        <v>0.18561076930699899</v>
      </c>
      <c r="O229" s="20">
        <v>15905.9999999999</v>
      </c>
      <c r="P229" s="20">
        <v>15564.4191191999</v>
      </c>
      <c r="Q229" s="20">
        <v>1.4098599999999899</v>
      </c>
      <c r="R229" s="20">
        <v>1051.8249065196901</v>
      </c>
      <c r="S229" s="20">
        <v>2376.3089492588301</v>
      </c>
      <c r="T229" s="20">
        <v>25</v>
      </c>
      <c r="U229" s="20">
        <v>1</v>
      </c>
      <c r="V229" s="20">
        <v>6.2559398669155303E-2</v>
      </c>
      <c r="W229" s="20">
        <v>7.2468921159528105E-2</v>
      </c>
      <c r="X229" s="20">
        <v>8.2492051448679604E-2</v>
      </c>
      <c r="Y229" s="20">
        <v>9.2818933494551795E-2</v>
      </c>
      <c r="Z229" s="20">
        <v>0.103509860532232</v>
      </c>
      <c r="AA229" s="20">
        <v>0.11430930978345499</v>
      </c>
      <c r="AB229" s="20">
        <v>0.12611909495399001</v>
      </c>
      <c r="AC229" s="20">
        <v>0.13933990226547199</v>
      </c>
      <c r="AD229" s="20">
        <v>0.15420349117313201</v>
      </c>
      <c r="AE229" s="20">
        <v>0.17091797020375199</v>
      </c>
      <c r="AF229" t="str">
        <f t="shared" si="14"/>
        <v>Residential</v>
      </c>
      <c r="AG229" t="str">
        <f>tbl_Data_old[[#This Row],[All_Meas_Name_Append]]</f>
        <v>Energy Star Ground Source Heat Pump</v>
      </c>
      <c r="AH229">
        <f>AVERAGEIFS('3. Incentive Adjustment'!G:G,'3. Incentive Adjustment'!A:A,tbl_Data_old[[#This Row],[Trimmed Sector]],'3. Incentive Adjustment'!B:B,tbl_Data_old[[#This Row],[Trimmed Measure Name]])</f>
        <v>2.2369945105234762E-13</v>
      </c>
      <c r="AI229">
        <f>$AH229*tbl_Data_old[[#This Row],[2025 ]]</f>
        <v>1.3994503140455008E-14</v>
      </c>
      <c r="AJ229">
        <f>$AH229*tbl_Data_old[[#This Row],[2026 ]]</f>
        <v>1.6211257881742296E-14</v>
      </c>
      <c r="AK229">
        <f>$AH229*tbl_Data_old[[#This Row],[2027 ]]</f>
        <v>1.8453426625251644E-14</v>
      </c>
      <c r="AL229">
        <f>$AH229*tbl_Data_old[[#This Row],[2028 ]]</f>
        <v>2.0763544469995597E-14</v>
      </c>
      <c r="AM229">
        <f>$AH229*tbl_Data_old[[#This Row],[2029 ]]</f>
        <v>2.3155098979565361E-14</v>
      </c>
      <c r="AN229">
        <f>$AH229*tbl_Data_old[[#This Row],[2030 ]]</f>
        <v>2.5570929848731632E-14</v>
      </c>
      <c r="AO229">
        <f>$AH229*tbl_Data_old[[#This Row],[2031 ]]</f>
        <v>2.821277230842647E-14</v>
      </c>
      <c r="AP229">
        <f>$AH229*tbl_Data_old[[#This Row],[2032 ]]</f>
        <v>3.1170259646473852E-14</v>
      </c>
      <c r="AQ229">
        <f>$AH229*tbl_Data_old[[#This Row],[2033 ]]</f>
        <v>3.4495236325785163E-14</v>
      </c>
      <c r="AR229">
        <f>$AH229*tbl_Data_old[[#This Row],[2034 ]]</f>
        <v>3.8234256109560829E-14</v>
      </c>
      <c r="AS229">
        <f>SUM(tbl_Data_old[[#This Row],[Adjusted 2025]:[Adjusted 2034]])</f>
        <v>2.5026128533598785E-13</v>
      </c>
      <c r="AT229" s="3">
        <f>AVERAGEIFS('3. Incentive Adjustment'!F:F,'3. Incentive Adjustment'!A:A,tbl_Data_old[[#This Row],[Trimmed Sector]],'3. Incentive Adjustment'!B:B,tbl_Data_old[[#This Row],[Trimmed Measure Name]])</f>
        <v>0</v>
      </c>
      <c r="AU229" s="3">
        <f>IFERROR(VLOOKUP(tbl_Data_old[[#This Row],[All_Meas_Name_Append]],'IRA Tax Credits'!$A$3:$D$46,4,0),0)</f>
        <v>41666.666666666672</v>
      </c>
      <c r="AV229" s="4">
        <f>tbl_Data_old[[#This Row],[Adj. per unit Incentive ($)]]/tbl_Data_old[[#This Row],[kWh Savings]]*tbl_Data_old[[#This Row],[Sum of Annuals]]</f>
        <v>0</v>
      </c>
      <c r="AW229" s="4" t="str">
        <f>IFERROR(VLOOKUP(tbl_Data_old[[#This Row],[All_Programs]],'1. Set Program Names'!$B$2:$D$15,3,0)*tbl_Data_old[[#This Row],[Sum of Annuals]],"")</f>
        <v/>
      </c>
      <c r="AX229" s="4">
        <f>tbl_Data_old[[#This Row],[per unit IRA tax ($)]]/tbl_Data_old[[#This Row],[kWh Savings]]*tbl_Data_old[[#This Row],[Sum of Annuals]]</f>
        <v>7.3961624244011718E-12</v>
      </c>
      <c r="AY229" s="4">
        <f>tbl_Data_old[[#This Row],[Avoided Costs ($/unit)]]/tbl_Data_old[[#This Row],[kWh Savings]]*tbl_Data_old[[#This Row],[Sum of Annuals]]</f>
        <v>1.8670722841560493E-13</v>
      </c>
      <c r="AZ229" s="4">
        <f>tbl_Data_old[[#This Row],[Lost Revenue ($/unit)]]/tbl_Data_old[[#This Row],[kWh Savings]]*tbl_Data_old[[#This Row],[Sum of Annuals]]</f>
        <v>4.218136070226333E-13</v>
      </c>
      <c r="BA229" s="4">
        <f>tbl_Data_old[[#This Row],[Incremental Cost ($/unit)]]/tbl_Data_old[[#This Row],[kWh Savings]]*tbl_Data_old[[#This Row],[Sum of Annuals]]</f>
        <v>2.8234406285405829E-12</v>
      </c>
      <c r="BB229">
        <f>ROUNDUP(tbl_Data_old[[#This Row],[Adjusted 2025]]/$L229,0)</f>
        <v>1</v>
      </c>
      <c r="BC229">
        <f>ROUNDUP(tbl_Data_old[[#This Row],[Adjusted 2026]]/$L229,0)</f>
        <v>1</v>
      </c>
      <c r="BD229">
        <f>ROUNDUP(tbl_Data_old[[#This Row],[Adjusted 2027]]/$L229,0)</f>
        <v>1</v>
      </c>
      <c r="BE229">
        <f>ROUNDUP(tbl_Data_old[[#This Row],[Adjusted 2028]]/$L229,0)</f>
        <v>1</v>
      </c>
      <c r="BF229">
        <f>ROUNDUP(tbl_Data_old[[#This Row],[Adjusted 2029]]/$L229,0)</f>
        <v>1</v>
      </c>
      <c r="BG229">
        <f>ROUNDUP(tbl_Data_old[[#This Row],[Adjusted 2030]]/$L229,0)</f>
        <v>1</v>
      </c>
      <c r="BH229">
        <f>ROUNDUP(tbl_Data_old[[#This Row],[Adjusted 2031]]/$L229,0)</f>
        <v>1</v>
      </c>
      <c r="BI229">
        <f>ROUNDUP(tbl_Data_old[[#This Row],[Adjusted 2032]]/$L229,0)</f>
        <v>1</v>
      </c>
      <c r="BJ229">
        <f>ROUNDUP(tbl_Data_old[[#This Row],[Adjusted 2033]]/$L229,0)</f>
        <v>1</v>
      </c>
      <c r="BK229">
        <f>ROUNDUP(tbl_Data_old[[#This Row],[Adjusted 2034]]/$L229,0)</f>
        <v>1</v>
      </c>
      <c r="BL229" s="3">
        <f t="shared" si="16"/>
        <v>0</v>
      </c>
      <c r="BM229" s="3">
        <f t="shared" si="16"/>
        <v>0</v>
      </c>
      <c r="BN229" s="3">
        <f t="shared" si="16"/>
        <v>0</v>
      </c>
      <c r="BO229" s="3">
        <f t="shared" si="16"/>
        <v>0</v>
      </c>
      <c r="BP229" s="3">
        <f t="shared" si="16"/>
        <v>0</v>
      </c>
      <c r="BQ229" s="3">
        <f t="shared" si="15"/>
        <v>0</v>
      </c>
      <c r="BR229" s="3">
        <f t="shared" si="15"/>
        <v>0</v>
      </c>
      <c r="BS229" s="3">
        <f t="shared" si="15"/>
        <v>0</v>
      </c>
      <c r="BT229" s="3">
        <f t="shared" si="15"/>
        <v>0</v>
      </c>
      <c r="BU229" s="3">
        <f t="shared" si="15"/>
        <v>0</v>
      </c>
      <c r="BV229" t="e">
        <f>VLOOKUP($H229,'1. Set Program Names'!$B$2:$D$15,3,0)*V229</f>
        <v>#N/A</v>
      </c>
      <c r="BW229" t="e">
        <f>VLOOKUP($H229,'1. Set Program Names'!$B$2:$D$15,3,0)*W229</f>
        <v>#N/A</v>
      </c>
      <c r="BX229" t="e">
        <f>VLOOKUP($H229,'1. Set Program Names'!$B$2:$D$15,3,0)*X229</f>
        <v>#N/A</v>
      </c>
      <c r="BY229" t="e">
        <f>VLOOKUP($H229,'1. Set Program Names'!$B$2:$D$15,3,0)*Y229</f>
        <v>#N/A</v>
      </c>
      <c r="BZ229" t="e">
        <f>VLOOKUP($H229,'1. Set Program Names'!$B$2:$D$15,3,0)*Z229</f>
        <v>#N/A</v>
      </c>
      <c r="CA229" t="e">
        <f>VLOOKUP($H229,'1. Set Program Names'!$B$2:$D$15,3,0)*AA229</f>
        <v>#N/A</v>
      </c>
      <c r="CB229" t="e">
        <f>VLOOKUP($H229,'1. Set Program Names'!$B$2:$D$15,3,0)*AB229</f>
        <v>#N/A</v>
      </c>
      <c r="CC229" t="e">
        <f>VLOOKUP($H229,'1. Set Program Names'!$B$2:$D$15,3,0)*AC229</f>
        <v>#N/A</v>
      </c>
      <c r="CD229" t="e">
        <f>VLOOKUP($H229,'1. Set Program Names'!$B$2:$D$15,3,0)*AD229</f>
        <v>#N/A</v>
      </c>
      <c r="CE229" t="e">
        <f>VLOOKUP($H229,'1. Set Program Names'!$B$2:$D$15,3,0)*AE229</f>
        <v>#N/A</v>
      </c>
    </row>
    <row r="230" spans="1:83" x14ac:dyDescent="0.25">
      <c r="A230" s="20" t="s">
        <v>116</v>
      </c>
      <c r="B230" s="20" t="s">
        <v>88</v>
      </c>
      <c r="C230" s="20" t="s">
        <v>89</v>
      </c>
      <c r="D230" s="20" t="s">
        <v>90</v>
      </c>
      <c r="E230" s="20" t="s">
        <v>91</v>
      </c>
      <c r="F230" s="20" t="s">
        <v>90</v>
      </c>
      <c r="G230" s="20" t="s">
        <v>92</v>
      </c>
      <c r="H230" s="20" t="s">
        <v>273</v>
      </c>
      <c r="I230" s="20" t="s">
        <v>106</v>
      </c>
      <c r="J230" s="20" t="s">
        <v>97</v>
      </c>
      <c r="K230" s="20" t="s">
        <v>98</v>
      </c>
      <c r="L230" s="20">
        <v>127.25</v>
      </c>
      <c r="M230" s="20">
        <v>7.3045840411791796E-2</v>
      </c>
      <c r="N230" s="20">
        <v>3.5010079032079199E-4</v>
      </c>
      <c r="O230" s="20">
        <v>41.15</v>
      </c>
      <c r="P230" s="20">
        <v>10.3198699999999</v>
      </c>
      <c r="Q230" s="20">
        <v>0.12725</v>
      </c>
      <c r="R230" s="20">
        <v>86.902802703254196</v>
      </c>
      <c r="S230" s="20">
        <v>140.464426641062</v>
      </c>
      <c r="T230" s="20">
        <v>12</v>
      </c>
      <c r="U230" s="20">
        <v>1</v>
      </c>
      <c r="V230" s="20">
        <v>4.0722875773415497E-2</v>
      </c>
      <c r="W230" s="20">
        <v>4.3141480172535503E-2</v>
      </c>
      <c r="X230" s="20">
        <v>4.4792545999351001E-2</v>
      </c>
      <c r="Y230" s="20">
        <v>4.6095305551798499E-2</v>
      </c>
      <c r="Z230" s="20">
        <v>4.72549346520727E-2</v>
      </c>
      <c r="AA230" s="20">
        <v>4.8170027142663302E-2</v>
      </c>
      <c r="AB230" s="20">
        <v>4.92625037984857E-2</v>
      </c>
      <c r="AC230" s="20">
        <v>5.05795353780603E-2</v>
      </c>
      <c r="AD230" s="20">
        <v>5.2156332919240503E-2</v>
      </c>
      <c r="AE230" s="20">
        <v>5.3983594650138397E-2</v>
      </c>
      <c r="AF230" t="str">
        <f t="shared" si="14"/>
        <v>Residential</v>
      </c>
      <c r="AG230" t="str">
        <f>tbl_Data_old[[#This Row],[All_Meas_Name_Append]]</f>
        <v>Energy Star Room AC Residential</v>
      </c>
      <c r="AH230">
        <f>AVERAGEIFS('3. Incentive Adjustment'!G:G,'3. Incentive Adjustment'!A:A,tbl_Data_old[[#This Row],[Trimmed Sector]],'3. Incentive Adjustment'!B:B,tbl_Data_old[[#This Row],[Trimmed Measure Name]])</f>
        <v>0.8073629241290271</v>
      </c>
      <c r="AI230">
        <f>$AH230*tbl_Data_old[[#This Row],[2025 ]]</f>
        <v>3.2878140063367853E-2</v>
      </c>
      <c r="AJ230">
        <f>$AH230*tbl_Data_old[[#This Row],[2026 ]]</f>
        <v>3.4830831583352706E-2</v>
      </c>
      <c r="AK230">
        <f>$AH230*tbl_Data_old[[#This Row],[2027 ]]</f>
        <v>3.6163840917219976E-2</v>
      </c>
      <c r="AL230">
        <f>$AH230*tbl_Data_old[[#This Row],[2028 ]]</f>
        <v>3.7215640678921011E-2</v>
      </c>
      <c r="AM230">
        <f>$AH230*tbl_Data_old[[#This Row],[2029 ]]</f>
        <v>3.8151882220223504E-2</v>
      </c>
      <c r="AN230">
        <f>$AH230*tbl_Data_old[[#This Row],[2030 ]]</f>
        <v>3.8890693969275247E-2</v>
      </c>
      <c r="AO230">
        <f>$AH230*tbl_Data_old[[#This Row],[2031 ]]</f>
        <v>3.9772719116662719E-2</v>
      </c>
      <c r="AP230">
        <f>$AH230*tbl_Data_old[[#This Row],[2032 ]]</f>
        <v>4.0836041583918341E-2</v>
      </c>
      <c r="AQ230">
        <f>$AH230*tbl_Data_old[[#This Row],[2033 ]]</f>
        <v>4.2109089457525048E-2</v>
      </c>
      <c r="AR230">
        <f>$AH230*tbl_Data_old[[#This Row],[2034 ]]</f>
        <v>4.3584352831731843E-2</v>
      </c>
      <c r="AS230">
        <f>SUM(tbl_Data_old[[#This Row],[Adjusted 2025]:[Adjusted 2034]])</f>
        <v>0.38443323242219829</v>
      </c>
      <c r="AT230" s="3">
        <f>AVERAGEIFS('3. Incentive Adjustment'!F:F,'3. Incentive Adjustment'!A:A,tbl_Data_old[[#This Row],[Trimmed Sector]],'3. Incentive Adjustment'!B:B,tbl_Data_old[[#This Row],[Trimmed Measure Name]])</f>
        <v>0</v>
      </c>
      <c r="AU230" s="3">
        <f>IFERROR(VLOOKUP(tbl_Data_old[[#This Row],[All_Meas_Name_Append]],'IRA Tax Credits'!$A$3:$D$46,4,0),0)</f>
        <v>0</v>
      </c>
      <c r="AV230" s="4">
        <f>tbl_Data_old[[#This Row],[Adj. per unit Incentive ($)]]/tbl_Data_old[[#This Row],[kWh Savings]]*tbl_Data_old[[#This Row],[Sum of Annuals]]</f>
        <v>0</v>
      </c>
      <c r="AW230" s="4" t="str">
        <f>IFERROR(VLOOKUP(tbl_Data_old[[#This Row],[All_Programs]],'1. Set Program Names'!$B$2:$D$15,3,0)*tbl_Data_old[[#This Row],[Sum of Annuals]],"")</f>
        <v/>
      </c>
      <c r="AX230" s="4">
        <f>tbl_Data_old[[#This Row],[per unit IRA tax ($)]]/tbl_Data_old[[#This Row],[kWh Savings]]*tbl_Data_old[[#This Row],[Sum of Annuals]]</f>
        <v>0</v>
      </c>
      <c r="AY230" s="4">
        <f>tbl_Data_old[[#This Row],[Avoided Costs ($/unit)]]/tbl_Data_old[[#This Row],[kWh Savings]]*tbl_Data_old[[#This Row],[Sum of Annuals]]</f>
        <v>0.26254086718868808</v>
      </c>
      <c r="AZ230" s="4">
        <f>tbl_Data_old[[#This Row],[Lost Revenue ($/unit)]]/tbl_Data_old[[#This Row],[kWh Savings]]*tbl_Data_old[[#This Row],[Sum of Annuals]]</f>
        <v>0.42435515578745941</v>
      </c>
      <c r="BA230" s="4">
        <f>tbl_Data_old[[#This Row],[Incremental Cost ($/unit)]]/tbl_Data_old[[#This Row],[kWh Savings]]*tbl_Data_old[[#This Row],[Sum of Annuals]]</f>
        <v>0.12431770148662837</v>
      </c>
      <c r="BB230">
        <f>ROUNDUP(tbl_Data_old[[#This Row],[Adjusted 2025]]/$L230,0)</f>
        <v>1</v>
      </c>
      <c r="BC230">
        <f>ROUNDUP(tbl_Data_old[[#This Row],[Adjusted 2026]]/$L230,0)</f>
        <v>1</v>
      </c>
      <c r="BD230">
        <f>ROUNDUP(tbl_Data_old[[#This Row],[Adjusted 2027]]/$L230,0)</f>
        <v>1</v>
      </c>
      <c r="BE230">
        <f>ROUNDUP(tbl_Data_old[[#This Row],[Adjusted 2028]]/$L230,0)</f>
        <v>1</v>
      </c>
      <c r="BF230">
        <f>ROUNDUP(tbl_Data_old[[#This Row],[Adjusted 2029]]/$L230,0)</f>
        <v>1</v>
      </c>
      <c r="BG230">
        <f>ROUNDUP(tbl_Data_old[[#This Row],[Adjusted 2030]]/$L230,0)</f>
        <v>1</v>
      </c>
      <c r="BH230">
        <f>ROUNDUP(tbl_Data_old[[#This Row],[Adjusted 2031]]/$L230,0)</f>
        <v>1</v>
      </c>
      <c r="BI230">
        <f>ROUNDUP(tbl_Data_old[[#This Row],[Adjusted 2032]]/$L230,0)</f>
        <v>1</v>
      </c>
      <c r="BJ230">
        <f>ROUNDUP(tbl_Data_old[[#This Row],[Adjusted 2033]]/$L230,0)</f>
        <v>1</v>
      </c>
      <c r="BK230">
        <f>ROUNDUP(tbl_Data_old[[#This Row],[Adjusted 2034]]/$L230,0)</f>
        <v>1</v>
      </c>
      <c r="BL230" s="3">
        <f t="shared" si="16"/>
        <v>0</v>
      </c>
      <c r="BM230" s="3">
        <f t="shared" si="16"/>
        <v>0</v>
      </c>
      <c r="BN230" s="3">
        <f t="shared" si="16"/>
        <v>0</v>
      </c>
      <c r="BO230" s="3">
        <f t="shared" si="16"/>
        <v>0</v>
      </c>
      <c r="BP230" s="3">
        <f t="shared" si="16"/>
        <v>0</v>
      </c>
      <c r="BQ230" s="3">
        <f t="shared" si="15"/>
        <v>0</v>
      </c>
      <c r="BR230" s="3">
        <f t="shared" si="15"/>
        <v>0</v>
      </c>
      <c r="BS230" s="3">
        <f t="shared" si="15"/>
        <v>0</v>
      </c>
      <c r="BT230" s="3">
        <f t="shared" si="15"/>
        <v>0</v>
      </c>
      <c r="BU230" s="3">
        <f t="shared" si="15"/>
        <v>0</v>
      </c>
      <c r="BV230" t="e">
        <f>VLOOKUP($H230,'1. Set Program Names'!$B$2:$D$15,3,0)*V230</f>
        <v>#N/A</v>
      </c>
      <c r="BW230" t="e">
        <f>VLOOKUP($H230,'1. Set Program Names'!$B$2:$D$15,3,0)*W230</f>
        <v>#N/A</v>
      </c>
      <c r="BX230" t="e">
        <f>VLOOKUP($H230,'1. Set Program Names'!$B$2:$D$15,3,0)*X230</f>
        <v>#N/A</v>
      </c>
      <c r="BY230" t="e">
        <f>VLOOKUP($H230,'1. Set Program Names'!$B$2:$D$15,3,0)*Y230</f>
        <v>#N/A</v>
      </c>
      <c r="BZ230" t="e">
        <f>VLOOKUP($H230,'1. Set Program Names'!$B$2:$D$15,3,0)*Z230</f>
        <v>#N/A</v>
      </c>
      <c r="CA230" t="e">
        <f>VLOOKUP($H230,'1. Set Program Names'!$B$2:$D$15,3,0)*AA230</f>
        <v>#N/A</v>
      </c>
      <c r="CB230" t="e">
        <f>VLOOKUP($H230,'1. Set Program Names'!$B$2:$D$15,3,0)*AB230</f>
        <v>#N/A</v>
      </c>
      <c r="CC230" t="e">
        <f>VLOOKUP($H230,'1. Set Program Names'!$B$2:$D$15,3,0)*AC230</f>
        <v>#N/A</v>
      </c>
      <c r="CD230" t="e">
        <f>VLOOKUP($H230,'1. Set Program Names'!$B$2:$D$15,3,0)*AD230</f>
        <v>#N/A</v>
      </c>
      <c r="CE230" t="e">
        <f>VLOOKUP($H230,'1. Set Program Names'!$B$2:$D$15,3,0)*AE230</f>
        <v>#N/A</v>
      </c>
    </row>
    <row r="231" spans="1:83" x14ac:dyDescent="0.25">
      <c r="A231" s="20" t="s">
        <v>116</v>
      </c>
      <c r="B231" s="20" t="s">
        <v>88</v>
      </c>
      <c r="C231" s="20" t="s">
        <v>89</v>
      </c>
      <c r="D231" s="20" t="s">
        <v>90</v>
      </c>
      <c r="E231" s="20" t="s">
        <v>91</v>
      </c>
      <c r="F231" s="20" t="s">
        <v>90</v>
      </c>
      <c r="G231" s="20" t="s">
        <v>92</v>
      </c>
      <c r="H231" s="20" t="s">
        <v>273</v>
      </c>
      <c r="I231" s="20" t="s">
        <v>111</v>
      </c>
      <c r="J231" s="20" t="s">
        <v>97</v>
      </c>
      <c r="K231" s="20" t="s">
        <v>102</v>
      </c>
      <c r="L231" s="20">
        <v>586.59333333333302</v>
      </c>
      <c r="M231" s="20">
        <v>0.33672458163683799</v>
      </c>
      <c r="N231" s="20">
        <v>1.6138843976181299E-3</v>
      </c>
      <c r="O231" s="20">
        <v>250</v>
      </c>
      <c r="P231" s="20">
        <v>142.46266525790699</v>
      </c>
      <c r="Q231" s="20">
        <v>0.58659333333333297</v>
      </c>
      <c r="R231" s="20">
        <v>435.979615776</v>
      </c>
      <c r="S231" s="20">
        <v>718.05871460051901</v>
      </c>
      <c r="T231" s="20">
        <v>14</v>
      </c>
      <c r="U231" s="20">
        <v>1</v>
      </c>
      <c r="V231" s="20">
        <v>0.23602945104675699</v>
      </c>
      <c r="W231" s="20">
        <v>0.32070163467690899</v>
      </c>
      <c r="X231" s="20">
        <v>0.41446163094420202</v>
      </c>
      <c r="Y231" s="20">
        <v>0.51427227440439505</v>
      </c>
      <c r="Z231" s="20">
        <v>0.61473955718532702</v>
      </c>
      <c r="AA231" s="20">
        <v>0.706466291180048</v>
      </c>
      <c r="AB231" s="20">
        <v>0.78968275158581702</v>
      </c>
      <c r="AC231" s="20">
        <v>0.86331100829173002</v>
      </c>
      <c r="AD231" s="20">
        <v>0.929165754518819</v>
      </c>
      <c r="AE231" s="20">
        <v>0.98978770021321605</v>
      </c>
      <c r="AF231" t="str">
        <f t="shared" si="14"/>
        <v>Residential</v>
      </c>
      <c r="AG231" t="str">
        <f>tbl_Data_old[[#This Row],[All_Meas_Name_Append]]</f>
        <v>Properly Sized CAC</v>
      </c>
      <c r="AH231">
        <f>AVERAGEIFS('3. Incentive Adjustment'!G:G,'3. Incentive Adjustment'!A:A,tbl_Data_old[[#This Row],[Trimmed Sector]],'3. Incentive Adjustment'!B:B,tbl_Data_old[[#This Row],[Trimmed Measure Name]])</f>
        <v>0.52686902587198514</v>
      </c>
      <c r="AI231">
        <f>$AH231*tbl_Data_old[[#This Row],[2025 ]]</f>
        <v>0.12435660695010425</v>
      </c>
      <c r="AJ231">
        <f>$AH231*tbl_Data_old[[#This Row],[2026 ]]</f>
        <v>0.16896775785777629</v>
      </c>
      <c r="AK231">
        <f>$AH231*tbl_Data_old[[#This Row],[2027 ]]</f>
        <v>0.21836699575688592</v>
      </c>
      <c r="AL231">
        <f>$AH231*tbl_Data_old[[#This Row],[2028 ]]</f>
        <v>0.27095413224841386</v>
      </c>
      <c r="AM231">
        <f>$AH231*tbl_Data_old[[#This Row],[2029 ]]</f>
        <v>0.32388723165920874</v>
      </c>
      <c r="AN231">
        <f>$AH231*tbl_Data_old[[#This Row],[2030 ]]</f>
        <v>0.37221520664542612</v>
      </c>
      <c r="AO231">
        <f>$AH231*tbl_Data_old[[#This Row],[2031 ]]</f>
        <v>0.41605938207592824</v>
      </c>
      <c r="AP231">
        <f>$AH231*tbl_Data_old[[#This Row],[2032 ]]</f>
        <v>0.4548518299632251</v>
      </c>
      <c r="AQ231">
        <f>$AH231*tbl_Data_old[[#This Row],[2033 ]]</f>
        <v>0.48954865595693825</v>
      </c>
      <c r="AR231">
        <f>$AH231*tbl_Data_old[[#This Row],[2034 ]]</f>
        <v>0.52148848143140958</v>
      </c>
      <c r="AS231">
        <f>SUM(tbl_Data_old[[#This Row],[Adjusted 2025]:[Adjusted 2034]])</f>
        <v>3.3606962805453162</v>
      </c>
      <c r="AT231" s="3">
        <f>AVERAGEIFS('3. Incentive Adjustment'!F:F,'3. Incentive Adjustment'!A:A,tbl_Data_old[[#This Row],[Trimmed Sector]],'3. Incentive Adjustment'!B:B,tbl_Data_old[[#This Row],[Trimmed Measure Name]])</f>
        <v>0</v>
      </c>
      <c r="AU231" s="3">
        <f>IFERROR(VLOOKUP(tbl_Data_old[[#This Row],[All_Meas_Name_Append]],'IRA Tax Credits'!$A$3:$D$46,4,0),0)</f>
        <v>0</v>
      </c>
      <c r="AV231" s="4">
        <f>tbl_Data_old[[#This Row],[Adj. per unit Incentive ($)]]/tbl_Data_old[[#This Row],[kWh Savings]]*tbl_Data_old[[#This Row],[Sum of Annuals]]</f>
        <v>0</v>
      </c>
      <c r="AW231" s="4" t="str">
        <f>IFERROR(VLOOKUP(tbl_Data_old[[#This Row],[All_Programs]],'1. Set Program Names'!$B$2:$D$15,3,0)*tbl_Data_old[[#This Row],[Sum of Annuals]],"")</f>
        <v/>
      </c>
      <c r="AX231" s="4">
        <f>tbl_Data_old[[#This Row],[per unit IRA tax ($)]]/tbl_Data_old[[#This Row],[kWh Savings]]*tbl_Data_old[[#This Row],[Sum of Annuals]]</f>
        <v>0</v>
      </c>
      <c r="AY231" s="4">
        <f>tbl_Data_old[[#This Row],[Avoided Costs ($/unit)]]/tbl_Data_old[[#This Row],[kWh Savings]]*tbl_Data_old[[#This Row],[Sum of Annuals]]</f>
        <v>2.4978038274079375</v>
      </c>
      <c r="AZ231" s="4">
        <f>tbl_Data_old[[#This Row],[Lost Revenue ($/unit)]]/tbl_Data_old[[#This Row],[kWh Savings]]*tbl_Data_old[[#This Row],[Sum of Annuals]]</f>
        <v>4.1138845504059303</v>
      </c>
      <c r="BA231" s="4">
        <f>tbl_Data_old[[#This Row],[Incremental Cost ($/unit)]]/tbl_Data_old[[#This Row],[kWh Savings]]*tbl_Data_old[[#This Row],[Sum of Annuals]]</f>
        <v>1.4322939290189618</v>
      </c>
      <c r="BB231">
        <f>ROUNDUP(tbl_Data_old[[#This Row],[Adjusted 2025]]/$L231,0)</f>
        <v>1</v>
      </c>
      <c r="BC231">
        <f>ROUNDUP(tbl_Data_old[[#This Row],[Adjusted 2026]]/$L231,0)</f>
        <v>1</v>
      </c>
      <c r="BD231">
        <f>ROUNDUP(tbl_Data_old[[#This Row],[Adjusted 2027]]/$L231,0)</f>
        <v>1</v>
      </c>
      <c r="BE231">
        <f>ROUNDUP(tbl_Data_old[[#This Row],[Adjusted 2028]]/$L231,0)</f>
        <v>1</v>
      </c>
      <c r="BF231">
        <f>ROUNDUP(tbl_Data_old[[#This Row],[Adjusted 2029]]/$L231,0)</f>
        <v>1</v>
      </c>
      <c r="BG231">
        <f>ROUNDUP(tbl_Data_old[[#This Row],[Adjusted 2030]]/$L231,0)</f>
        <v>1</v>
      </c>
      <c r="BH231">
        <f>ROUNDUP(tbl_Data_old[[#This Row],[Adjusted 2031]]/$L231,0)</f>
        <v>1</v>
      </c>
      <c r="BI231">
        <f>ROUNDUP(tbl_Data_old[[#This Row],[Adjusted 2032]]/$L231,0)</f>
        <v>1</v>
      </c>
      <c r="BJ231">
        <f>ROUNDUP(tbl_Data_old[[#This Row],[Adjusted 2033]]/$L231,0)</f>
        <v>1</v>
      </c>
      <c r="BK231">
        <f>ROUNDUP(tbl_Data_old[[#This Row],[Adjusted 2034]]/$L231,0)</f>
        <v>1</v>
      </c>
      <c r="BL231" s="3">
        <f t="shared" si="16"/>
        <v>0</v>
      </c>
      <c r="BM231" s="3">
        <f t="shared" si="16"/>
        <v>0</v>
      </c>
      <c r="BN231" s="3">
        <f t="shared" si="16"/>
        <v>0</v>
      </c>
      <c r="BO231" s="3">
        <f t="shared" si="16"/>
        <v>0</v>
      </c>
      <c r="BP231" s="3">
        <f t="shared" si="16"/>
        <v>0</v>
      </c>
      <c r="BQ231" s="3">
        <f t="shared" si="15"/>
        <v>0</v>
      </c>
      <c r="BR231" s="3">
        <f t="shared" si="15"/>
        <v>0</v>
      </c>
      <c r="BS231" s="3">
        <f t="shared" si="15"/>
        <v>0</v>
      </c>
      <c r="BT231" s="3">
        <f t="shared" si="15"/>
        <v>0</v>
      </c>
      <c r="BU231" s="3">
        <f t="shared" si="15"/>
        <v>0</v>
      </c>
      <c r="BV231" t="e">
        <f>VLOOKUP($H231,'1. Set Program Names'!$B$2:$D$15,3,0)*V231</f>
        <v>#N/A</v>
      </c>
      <c r="BW231" t="e">
        <f>VLOOKUP($H231,'1. Set Program Names'!$B$2:$D$15,3,0)*W231</f>
        <v>#N/A</v>
      </c>
      <c r="BX231" t="e">
        <f>VLOOKUP($H231,'1. Set Program Names'!$B$2:$D$15,3,0)*X231</f>
        <v>#N/A</v>
      </c>
      <c r="BY231" t="e">
        <f>VLOOKUP($H231,'1. Set Program Names'!$B$2:$D$15,3,0)*Y231</f>
        <v>#N/A</v>
      </c>
      <c r="BZ231" t="e">
        <f>VLOOKUP($H231,'1. Set Program Names'!$B$2:$D$15,3,0)*Z231</f>
        <v>#N/A</v>
      </c>
      <c r="CA231" t="e">
        <f>VLOOKUP($H231,'1. Set Program Names'!$B$2:$D$15,3,0)*AA231</f>
        <v>#N/A</v>
      </c>
      <c r="CB231" t="e">
        <f>VLOOKUP($H231,'1. Set Program Names'!$B$2:$D$15,3,0)*AB231</f>
        <v>#N/A</v>
      </c>
      <c r="CC231" t="e">
        <f>VLOOKUP($H231,'1. Set Program Names'!$B$2:$D$15,3,0)*AC231</f>
        <v>#N/A</v>
      </c>
      <c r="CD231" t="e">
        <f>VLOOKUP($H231,'1. Set Program Names'!$B$2:$D$15,3,0)*AD231</f>
        <v>#N/A</v>
      </c>
      <c r="CE231" t="e">
        <f>VLOOKUP($H231,'1. Set Program Names'!$B$2:$D$15,3,0)*AE231</f>
        <v>#N/A</v>
      </c>
    </row>
    <row r="232" spans="1:83" x14ac:dyDescent="0.25">
      <c r="A232" s="20" t="s">
        <v>117</v>
      </c>
      <c r="B232" s="20" t="s">
        <v>88</v>
      </c>
      <c r="C232" s="20" t="s">
        <v>89</v>
      </c>
      <c r="D232" s="20" t="s">
        <v>90</v>
      </c>
      <c r="E232" s="20" t="s">
        <v>91</v>
      </c>
      <c r="F232" s="20" t="s">
        <v>90</v>
      </c>
      <c r="G232" s="20" t="s">
        <v>92</v>
      </c>
      <c r="H232" s="20" t="s">
        <v>273</v>
      </c>
      <c r="I232" s="20" t="s">
        <v>301</v>
      </c>
      <c r="J232" s="20" t="s">
        <v>302</v>
      </c>
      <c r="K232" s="20" t="s">
        <v>104</v>
      </c>
      <c r="L232" s="20">
        <v>275.64999999999901</v>
      </c>
      <c r="M232" s="20">
        <v>4.0357303140515798E-2</v>
      </c>
      <c r="N232" s="20">
        <v>4.1157633527981498E-2</v>
      </c>
      <c r="O232" s="20">
        <v>86.42</v>
      </c>
      <c r="P232" s="20">
        <v>19.6355180000002</v>
      </c>
      <c r="Q232" s="20">
        <v>0.27564999999999901</v>
      </c>
      <c r="R232" s="20">
        <v>112.309715968343</v>
      </c>
      <c r="S232" s="20">
        <v>337.427777357906</v>
      </c>
      <c r="T232" s="20">
        <v>14</v>
      </c>
      <c r="U232" s="20">
        <v>1</v>
      </c>
      <c r="V232" s="20">
        <v>5.4233314747787604</v>
      </c>
      <c r="W232" s="20">
        <v>12.910866371976899</v>
      </c>
      <c r="X232" s="20">
        <v>22.7168786016646</v>
      </c>
      <c r="Y232" s="20">
        <v>35.0054996393145</v>
      </c>
      <c r="Z232" s="20">
        <v>49.790612265150301</v>
      </c>
      <c r="AA232" s="20">
        <v>66.8566835192768</v>
      </c>
      <c r="AB232" s="20">
        <v>85.991314245466</v>
      </c>
      <c r="AC232" s="20">
        <v>106.97371415870801</v>
      </c>
      <c r="AD232" s="20">
        <v>129.632807420219</v>
      </c>
      <c r="AE232" s="20">
        <v>153.86653961531599</v>
      </c>
      <c r="AF232" t="str">
        <f t="shared" si="14"/>
        <v>Residential</v>
      </c>
      <c r="AG232" t="str">
        <f>tbl_Data_old[[#This Row],[All_Meas_Name_Append]]</f>
        <v>Energy Star Clothes Washer</v>
      </c>
      <c r="AH232">
        <f>AVERAGEIFS('3. Incentive Adjustment'!G:G,'3. Incentive Adjustment'!A:A,tbl_Data_old[[#This Row],[Trimmed Sector]],'3. Incentive Adjustment'!B:B,tbl_Data_old[[#This Row],[Trimmed Measure Name]])</f>
        <v>0.8286551255656105</v>
      </c>
      <c r="AI232">
        <f>$AH232*tbl_Data_old[[#This Row],[2025 ]]</f>
        <v>4.4940714242167212</v>
      </c>
      <c r="AJ232">
        <f>$AH232*tbl_Data_old[[#This Row],[2026 ]]</f>
        <v>10.698655594631335</v>
      </c>
      <c r="AK232">
        <f>$AH232*tbl_Data_old[[#This Row],[2027 ]]</f>
        <v>18.82445789012111</v>
      </c>
      <c r="AL232">
        <f>$AH232*tbl_Data_old[[#This Row],[2028 ]]</f>
        <v>29.00748669910309</v>
      </c>
      <c r="AM232">
        <f>$AH232*tbl_Data_old[[#This Row],[2029 ]]</f>
        <v>41.259246058566745</v>
      </c>
      <c r="AN232">
        <f>$AH232*tbl_Data_old[[#This Row],[2030 ]]</f>
        <v>55.401133476566599</v>
      </c>
      <c r="AO232">
        <f>$AH232*tbl_Data_old[[#This Row],[2031 ]]</f>
        <v>71.257143303628496</v>
      </c>
      <c r="AP232">
        <f>$AH232*tbl_Data_old[[#This Row],[2032 ]]</f>
        <v>88.644316538403913</v>
      </c>
      <c r="AQ232">
        <f>$AH232*tbl_Data_old[[#This Row],[2033 ]]</f>
        <v>107.42089031022418</v>
      </c>
      <c r="AR232">
        <f>$AH232*tbl_Data_old[[#This Row],[2034 ]]</f>
        <v>127.50229670527565</v>
      </c>
      <c r="AS232">
        <f>SUM(tbl_Data_old[[#This Row],[Adjusted 2025]:[Adjusted 2034]])</f>
        <v>554.5096980007379</v>
      </c>
      <c r="AT232" s="3">
        <f>AVERAGEIFS('3. Incentive Adjustment'!F:F,'3. Incentive Adjustment'!A:A,tbl_Data_old[[#This Row],[Trimmed Sector]],'3. Incentive Adjustment'!B:B,tbl_Data_old[[#This Row],[Trimmed Measure Name]])</f>
        <v>0</v>
      </c>
      <c r="AU232" s="3">
        <f>IFERROR(VLOOKUP(tbl_Data_old[[#This Row],[All_Meas_Name_Append]],'IRA Tax Credits'!$A$3:$D$46,4,0),0)</f>
        <v>0</v>
      </c>
      <c r="AV232" s="4">
        <f>tbl_Data_old[[#This Row],[Adj. per unit Incentive ($)]]/tbl_Data_old[[#This Row],[kWh Savings]]*tbl_Data_old[[#This Row],[Sum of Annuals]]</f>
        <v>0</v>
      </c>
      <c r="AW232" s="4" t="str">
        <f>IFERROR(VLOOKUP(tbl_Data_old[[#This Row],[All_Programs]],'1. Set Program Names'!$B$2:$D$15,3,0)*tbl_Data_old[[#This Row],[Sum of Annuals]],"")</f>
        <v/>
      </c>
      <c r="AX232" s="4">
        <f>tbl_Data_old[[#This Row],[per unit IRA tax ($)]]/tbl_Data_old[[#This Row],[kWh Savings]]*tbl_Data_old[[#This Row],[Sum of Annuals]]</f>
        <v>0</v>
      </c>
      <c r="AY232" s="4">
        <f>tbl_Data_old[[#This Row],[Avoided Costs ($/unit)]]/tbl_Data_old[[#This Row],[kWh Savings]]*tbl_Data_old[[#This Row],[Sum of Annuals]]</f>
        <v>225.92717824833937</v>
      </c>
      <c r="AZ232" s="4">
        <f>tbl_Data_old[[#This Row],[Lost Revenue ($/unit)]]/tbl_Data_old[[#This Row],[kWh Savings]]*tbl_Data_old[[#This Row],[Sum of Annuals]]</f>
        <v>678.78459974530517</v>
      </c>
      <c r="BA232" s="4">
        <f>tbl_Data_old[[#This Row],[Incremental Cost ($/unit)]]/tbl_Data_old[[#This Row],[kWh Savings]]*tbl_Data_old[[#This Row],[Sum of Annuals]]</f>
        <v>173.84628369752926</v>
      </c>
      <c r="BB232">
        <f>ROUNDUP(tbl_Data_old[[#This Row],[Adjusted 2025]]/$L232,0)</f>
        <v>1</v>
      </c>
      <c r="BC232">
        <f>ROUNDUP(tbl_Data_old[[#This Row],[Adjusted 2026]]/$L232,0)</f>
        <v>1</v>
      </c>
      <c r="BD232">
        <f>ROUNDUP(tbl_Data_old[[#This Row],[Adjusted 2027]]/$L232,0)</f>
        <v>1</v>
      </c>
      <c r="BE232">
        <f>ROUNDUP(tbl_Data_old[[#This Row],[Adjusted 2028]]/$L232,0)</f>
        <v>1</v>
      </c>
      <c r="BF232">
        <f>ROUNDUP(tbl_Data_old[[#This Row],[Adjusted 2029]]/$L232,0)</f>
        <v>1</v>
      </c>
      <c r="BG232">
        <f>ROUNDUP(tbl_Data_old[[#This Row],[Adjusted 2030]]/$L232,0)</f>
        <v>1</v>
      </c>
      <c r="BH232">
        <f>ROUNDUP(tbl_Data_old[[#This Row],[Adjusted 2031]]/$L232,0)</f>
        <v>1</v>
      </c>
      <c r="BI232">
        <f>ROUNDUP(tbl_Data_old[[#This Row],[Adjusted 2032]]/$L232,0)</f>
        <v>1</v>
      </c>
      <c r="BJ232">
        <f>ROUNDUP(tbl_Data_old[[#This Row],[Adjusted 2033]]/$L232,0)</f>
        <v>1</v>
      </c>
      <c r="BK232">
        <f>ROUNDUP(tbl_Data_old[[#This Row],[Adjusted 2034]]/$L232,0)</f>
        <v>1</v>
      </c>
      <c r="BL232" s="3">
        <f t="shared" si="16"/>
        <v>0</v>
      </c>
      <c r="BM232" s="3">
        <f t="shared" si="16"/>
        <v>0</v>
      </c>
      <c r="BN232" s="3">
        <f t="shared" si="16"/>
        <v>0</v>
      </c>
      <c r="BO232" s="3">
        <f t="shared" si="16"/>
        <v>0</v>
      </c>
      <c r="BP232" s="3">
        <f t="shared" si="16"/>
        <v>0</v>
      </c>
      <c r="BQ232" s="3">
        <f t="shared" si="15"/>
        <v>0</v>
      </c>
      <c r="BR232" s="3">
        <f t="shared" si="15"/>
        <v>0</v>
      </c>
      <c r="BS232" s="3">
        <f t="shared" si="15"/>
        <v>0</v>
      </c>
      <c r="BT232" s="3">
        <f t="shared" si="15"/>
        <v>0</v>
      </c>
      <c r="BU232" s="3">
        <f t="shared" si="15"/>
        <v>0</v>
      </c>
      <c r="BV232" t="e">
        <f>VLOOKUP($H232,'1. Set Program Names'!$B$2:$D$15,3,0)*V232</f>
        <v>#N/A</v>
      </c>
      <c r="BW232" t="e">
        <f>VLOOKUP($H232,'1. Set Program Names'!$B$2:$D$15,3,0)*W232</f>
        <v>#N/A</v>
      </c>
      <c r="BX232" t="e">
        <f>VLOOKUP($H232,'1. Set Program Names'!$B$2:$D$15,3,0)*X232</f>
        <v>#N/A</v>
      </c>
      <c r="BY232" t="e">
        <f>VLOOKUP($H232,'1. Set Program Names'!$B$2:$D$15,3,0)*Y232</f>
        <v>#N/A</v>
      </c>
      <c r="BZ232" t="e">
        <f>VLOOKUP($H232,'1. Set Program Names'!$B$2:$D$15,3,0)*Z232</f>
        <v>#N/A</v>
      </c>
      <c r="CA232" t="e">
        <f>VLOOKUP($H232,'1. Set Program Names'!$B$2:$D$15,3,0)*AA232</f>
        <v>#N/A</v>
      </c>
      <c r="CB232" t="e">
        <f>VLOOKUP($H232,'1. Set Program Names'!$B$2:$D$15,3,0)*AB232</f>
        <v>#N/A</v>
      </c>
      <c r="CC232" t="e">
        <f>VLOOKUP($H232,'1. Set Program Names'!$B$2:$D$15,3,0)*AC232</f>
        <v>#N/A</v>
      </c>
      <c r="CD232" t="e">
        <f>VLOOKUP($H232,'1. Set Program Names'!$B$2:$D$15,3,0)*AD232</f>
        <v>#N/A</v>
      </c>
      <c r="CE232" t="e">
        <f>VLOOKUP($H232,'1. Set Program Names'!$B$2:$D$15,3,0)*AE232</f>
        <v>#N/A</v>
      </c>
    </row>
    <row r="233" spans="1:83" x14ac:dyDescent="0.25">
      <c r="A233" s="20" t="s">
        <v>117</v>
      </c>
      <c r="B233" s="20" t="s">
        <v>88</v>
      </c>
      <c r="C233" s="20" t="s">
        <v>89</v>
      </c>
      <c r="D233" s="20" t="s">
        <v>90</v>
      </c>
      <c r="E233" s="20" t="s">
        <v>91</v>
      </c>
      <c r="F233" s="20" t="s">
        <v>90</v>
      </c>
      <c r="G233" s="20" t="s">
        <v>92</v>
      </c>
      <c r="H233" s="20" t="s">
        <v>273</v>
      </c>
      <c r="I233" s="20" t="s">
        <v>105</v>
      </c>
      <c r="J233" s="20" t="s">
        <v>97</v>
      </c>
      <c r="K233" s="20" t="s">
        <v>98</v>
      </c>
      <c r="L233" s="20">
        <v>1409.8599999999899</v>
      </c>
      <c r="M233" s="20">
        <v>0.25259796946801399</v>
      </c>
      <c r="N233" s="20">
        <v>0.18561076930699899</v>
      </c>
      <c r="O233" s="20">
        <v>15905.9999999999</v>
      </c>
      <c r="P233" s="20">
        <v>15564.4191191999</v>
      </c>
      <c r="Q233" s="20">
        <v>1.4098599999999899</v>
      </c>
      <c r="R233" s="20">
        <v>1051.8249065196901</v>
      </c>
      <c r="S233" s="20">
        <v>2376.3089492588301</v>
      </c>
      <c r="T233" s="20">
        <v>25</v>
      </c>
      <c r="U233" s="20">
        <v>1</v>
      </c>
      <c r="V233" s="20">
        <v>6.2559398669155303E-2</v>
      </c>
      <c r="W233" s="20">
        <v>0.13502831982868299</v>
      </c>
      <c r="X233" s="20">
        <v>0.21752037127736301</v>
      </c>
      <c r="Y233" s="20">
        <v>0.31033930477191402</v>
      </c>
      <c r="Z233" s="20">
        <v>0.413849165304147</v>
      </c>
      <c r="AA233" s="20">
        <v>0.52815847508760305</v>
      </c>
      <c r="AB233" s="20">
        <v>0.65427757004159304</v>
      </c>
      <c r="AC233" s="20">
        <v>0.79361747230706603</v>
      </c>
      <c r="AD233" s="20">
        <v>0.94782096348019895</v>
      </c>
      <c r="AE233" s="20">
        <v>1.1187389336839499</v>
      </c>
      <c r="AF233" t="str">
        <f t="shared" si="14"/>
        <v>Residential</v>
      </c>
      <c r="AG233" t="str">
        <f>tbl_Data_old[[#This Row],[All_Meas_Name_Append]]</f>
        <v>Energy Star Ground Source Heat Pump</v>
      </c>
      <c r="AH233">
        <f>AVERAGEIFS('3. Incentive Adjustment'!G:G,'3. Incentive Adjustment'!A:A,tbl_Data_old[[#This Row],[Trimmed Sector]],'3. Incentive Adjustment'!B:B,tbl_Data_old[[#This Row],[Trimmed Measure Name]])</f>
        <v>2.2369945105234762E-13</v>
      </c>
      <c r="AI233">
        <f>$AH233*tbl_Data_old[[#This Row],[2025 ]]</f>
        <v>1.3994503140455008E-14</v>
      </c>
      <c r="AJ233">
        <f>$AH233*tbl_Data_old[[#This Row],[2026 ]]</f>
        <v>3.0205761022197212E-14</v>
      </c>
      <c r="AK233">
        <f>$AH233*tbl_Data_old[[#This Row],[2027 ]]</f>
        <v>4.8659187647448947E-14</v>
      </c>
      <c r="AL233">
        <f>$AH233*tbl_Data_old[[#This Row],[2028 ]]</f>
        <v>6.9422732117444371E-14</v>
      </c>
      <c r="AM233">
        <f>$AH233*tbl_Data_old[[#This Row],[2029 ]]</f>
        <v>9.257783109700995E-14</v>
      </c>
      <c r="AN233">
        <f>$AH233*tbl_Data_old[[#This Row],[2030 ]]</f>
        <v>1.1814876094574181E-13</v>
      </c>
      <c r="AO233">
        <f>$AH233*tbl_Data_old[[#This Row],[2031 ]]</f>
        <v>1.463615332541683E-13</v>
      </c>
      <c r="AP233">
        <f>$AH233*tbl_Data_old[[#This Row],[2032 ]]</f>
        <v>1.7753179290064235E-13</v>
      </c>
      <c r="AQ233">
        <f>$AH233*tbl_Data_old[[#This Row],[2033 ]]</f>
        <v>2.1202702922642772E-13</v>
      </c>
      <c r="AR233">
        <f>$AH233*tbl_Data_old[[#This Row],[2034 ]]</f>
        <v>2.5026128533598836E-13</v>
      </c>
      <c r="AS233">
        <f>SUM(tbl_Data_old[[#This Row],[Adjusted 2025]:[Adjusted 2034]])</f>
        <v>1.159190416687524E-12</v>
      </c>
      <c r="AT233" s="3">
        <f>AVERAGEIFS('3. Incentive Adjustment'!F:F,'3. Incentive Adjustment'!A:A,tbl_Data_old[[#This Row],[Trimmed Sector]],'3. Incentive Adjustment'!B:B,tbl_Data_old[[#This Row],[Trimmed Measure Name]])</f>
        <v>0</v>
      </c>
      <c r="AU233" s="3">
        <f>IFERROR(VLOOKUP(tbl_Data_old[[#This Row],[All_Meas_Name_Append]],'IRA Tax Credits'!$A$3:$D$46,4,0),0)</f>
        <v>41666.666666666672</v>
      </c>
      <c r="AV233" s="4">
        <f>tbl_Data_old[[#This Row],[Adj. per unit Incentive ($)]]/tbl_Data_old[[#This Row],[kWh Savings]]*tbl_Data_old[[#This Row],[Sum of Annuals]]</f>
        <v>0</v>
      </c>
      <c r="AW233" s="4" t="str">
        <f>IFERROR(VLOOKUP(tbl_Data_old[[#This Row],[All_Programs]],'1. Set Program Names'!$B$2:$D$15,3,0)*tbl_Data_old[[#This Row],[Sum of Annuals]],"")</f>
        <v/>
      </c>
      <c r="AX233" s="4">
        <f>tbl_Data_old[[#This Row],[per unit IRA tax ($)]]/tbl_Data_old[[#This Row],[kWh Savings]]*tbl_Data_old[[#This Row],[Sum of Annuals]]</f>
        <v>3.4258437501109223E-11</v>
      </c>
      <c r="AY233" s="4">
        <f>tbl_Data_old[[#This Row],[Avoided Costs ($/unit)]]/tbl_Data_old[[#This Row],[kWh Savings]]*tbl_Data_old[[#This Row],[Sum of Annuals]]</f>
        <v>8.6481306773075635E-13</v>
      </c>
      <c r="AZ233" s="4">
        <f>tbl_Data_old[[#This Row],[Lost Revenue ($/unit)]]/tbl_Data_old[[#This Row],[kWh Savings]]*tbl_Data_old[[#This Row],[Sum of Annuals]]</f>
        <v>1.9538071589162437E-12</v>
      </c>
      <c r="BA233" s="4">
        <f>tbl_Data_old[[#This Row],[Incremental Cost ($/unit)]]/tbl_Data_old[[#This Row],[kWh Savings]]*tbl_Data_old[[#This Row],[Sum of Annuals]]</f>
        <v>1.3077952965423355E-11</v>
      </c>
      <c r="BB233">
        <f>ROUNDUP(tbl_Data_old[[#This Row],[Adjusted 2025]]/$L233,0)</f>
        <v>1</v>
      </c>
      <c r="BC233">
        <f>ROUNDUP(tbl_Data_old[[#This Row],[Adjusted 2026]]/$L233,0)</f>
        <v>1</v>
      </c>
      <c r="BD233">
        <f>ROUNDUP(tbl_Data_old[[#This Row],[Adjusted 2027]]/$L233,0)</f>
        <v>1</v>
      </c>
      <c r="BE233">
        <f>ROUNDUP(tbl_Data_old[[#This Row],[Adjusted 2028]]/$L233,0)</f>
        <v>1</v>
      </c>
      <c r="BF233">
        <f>ROUNDUP(tbl_Data_old[[#This Row],[Adjusted 2029]]/$L233,0)</f>
        <v>1</v>
      </c>
      <c r="BG233">
        <f>ROUNDUP(tbl_Data_old[[#This Row],[Adjusted 2030]]/$L233,0)</f>
        <v>1</v>
      </c>
      <c r="BH233">
        <f>ROUNDUP(tbl_Data_old[[#This Row],[Adjusted 2031]]/$L233,0)</f>
        <v>1</v>
      </c>
      <c r="BI233">
        <f>ROUNDUP(tbl_Data_old[[#This Row],[Adjusted 2032]]/$L233,0)</f>
        <v>1</v>
      </c>
      <c r="BJ233">
        <f>ROUNDUP(tbl_Data_old[[#This Row],[Adjusted 2033]]/$L233,0)</f>
        <v>1</v>
      </c>
      <c r="BK233">
        <f>ROUNDUP(tbl_Data_old[[#This Row],[Adjusted 2034]]/$L233,0)</f>
        <v>1</v>
      </c>
      <c r="BL233" s="3">
        <f t="shared" si="16"/>
        <v>0</v>
      </c>
      <c r="BM233" s="3">
        <f t="shared" si="16"/>
        <v>0</v>
      </c>
      <c r="BN233" s="3">
        <f t="shared" si="16"/>
        <v>0</v>
      </c>
      <c r="BO233" s="3">
        <f t="shared" si="16"/>
        <v>0</v>
      </c>
      <c r="BP233" s="3">
        <f t="shared" si="16"/>
        <v>0</v>
      </c>
      <c r="BQ233" s="3">
        <f t="shared" si="15"/>
        <v>0</v>
      </c>
      <c r="BR233" s="3">
        <f t="shared" si="15"/>
        <v>0</v>
      </c>
      <c r="BS233" s="3">
        <f t="shared" si="15"/>
        <v>0</v>
      </c>
      <c r="BT233" s="3">
        <f t="shared" si="15"/>
        <v>0</v>
      </c>
      <c r="BU233" s="3">
        <f t="shared" si="15"/>
        <v>0</v>
      </c>
      <c r="BV233" t="e">
        <f>VLOOKUP($H233,'1. Set Program Names'!$B$2:$D$15,3,0)*V233</f>
        <v>#N/A</v>
      </c>
      <c r="BW233" t="e">
        <f>VLOOKUP($H233,'1. Set Program Names'!$B$2:$D$15,3,0)*W233</f>
        <v>#N/A</v>
      </c>
      <c r="BX233" t="e">
        <f>VLOOKUP($H233,'1. Set Program Names'!$B$2:$D$15,3,0)*X233</f>
        <v>#N/A</v>
      </c>
      <c r="BY233" t="e">
        <f>VLOOKUP($H233,'1. Set Program Names'!$B$2:$D$15,3,0)*Y233</f>
        <v>#N/A</v>
      </c>
      <c r="BZ233" t="e">
        <f>VLOOKUP($H233,'1. Set Program Names'!$B$2:$D$15,3,0)*Z233</f>
        <v>#N/A</v>
      </c>
      <c r="CA233" t="e">
        <f>VLOOKUP($H233,'1. Set Program Names'!$B$2:$D$15,3,0)*AA233</f>
        <v>#N/A</v>
      </c>
      <c r="CB233" t="e">
        <f>VLOOKUP($H233,'1. Set Program Names'!$B$2:$D$15,3,0)*AB233</f>
        <v>#N/A</v>
      </c>
      <c r="CC233" t="e">
        <f>VLOOKUP($H233,'1. Set Program Names'!$B$2:$D$15,3,0)*AC233</f>
        <v>#N/A</v>
      </c>
      <c r="CD233" t="e">
        <f>VLOOKUP($H233,'1. Set Program Names'!$B$2:$D$15,3,0)*AD233</f>
        <v>#N/A</v>
      </c>
      <c r="CE233" t="e">
        <f>VLOOKUP($H233,'1. Set Program Names'!$B$2:$D$15,3,0)*AE233</f>
        <v>#N/A</v>
      </c>
    </row>
    <row r="234" spans="1:83" x14ac:dyDescent="0.25">
      <c r="A234" s="20" t="s">
        <v>117</v>
      </c>
      <c r="B234" s="20" t="s">
        <v>88</v>
      </c>
      <c r="C234" s="20" t="s">
        <v>89</v>
      </c>
      <c r="D234" s="20" t="s">
        <v>90</v>
      </c>
      <c r="E234" s="20" t="s">
        <v>91</v>
      </c>
      <c r="F234" s="20" t="s">
        <v>90</v>
      </c>
      <c r="G234" s="20" t="s">
        <v>92</v>
      </c>
      <c r="H234" s="20" t="s">
        <v>273</v>
      </c>
      <c r="I234" s="20" t="s">
        <v>106</v>
      </c>
      <c r="J234" s="20" t="s">
        <v>97</v>
      </c>
      <c r="K234" s="20" t="s">
        <v>98</v>
      </c>
      <c r="L234" s="20">
        <v>127.25</v>
      </c>
      <c r="M234" s="20">
        <v>7.3045840411791796E-2</v>
      </c>
      <c r="N234" s="20">
        <v>3.5010079032079199E-4</v>
      </c>
      <c r="O234" s="20">
        <v>41.15</v>
      </c>
      <c r="P234" s="20">
        <v>10.3198699999999</v>
      </c>
      <c r="Q234" s="20">
        <v>0.12725</v>
      </c>
      <c r="R234" s="20">
        <v>86.902802703254196</v>
      </c>
      <c r="S234" s="20">
        <v>140.464426641062</v>
      </c>
      <c r="T234" s="20">
        <v>12</v>
      </c>
      <c r="U234" s="20">
        <v>1</v>
      </c>
      <c r="V234" s="20">
        <v>4.0722875773415497E-2</v>
      </c>
      <c r="W234" s="20">
        <v>8.3864355945951097E-2</v>
      </c>
      <c r="X234" s="20">
        <v>0.12865690194530199</v>
      </c>
      <c r="Y234" s="20">
        <v>0.17475220749709999</v>
      </c>
      <c r="Z234" s="20">
        <v>0.222007142149173</v>
      </c>
      <c r="AA234" s="20">
        <v>0.27017716929183599</v>
      </c>
      <c r="AB234" s="20">
        <v>0.31943967309032201</v>
      </c>
      <c r="AC234" s="20">
        <v>0.37001920846838199</v>
      </c>
      <c r="AD234" s="20">
        <v>0.42217554138762298</v>
      </c>
      <c r="AE234" s="20">
        <v>0.476159136037762</v>
      </c>
      <c r="AF234" t="str">
        <f t="shared" si="14"/>
        <v>Residential</v>
      </c>
      <c r="AG234" t="str">
        <f>tbl_Data_old[[#This Row],[All_Meas_Name_Append]]</f>
        <v>Energy Star Room AC Residential</v>
      </c>
      <c r="AH234">
        <f>AVERAGEIFS('3. Incentive Adjustment'!G:G,'3. Incentive Adjustment'!A:A,tbl_Data_old[[#This Row],[Trimmed Sector]],'3. Incentive Adjustment'!B:B,tbl_Data_old[[#This Row],[Trimmed Measure Name]])</f>
        <v>0.8073629241290271</v>
      </c>
      <c r="AI234">
        <f>$AH234*tbl_Data_old[[#This Row],[2025 ]]</f>
        <v>3.2878140063367853E-2</v>
      </c>
      <c r="AJ234">
        <f>$AH234*tbl_Data_old[[#This Row],[2026 ]]</f>
        <v>6.7708971646720642E-2</v>
      </c>
      <c r="AK234">
        <f>$AH234*tbl_Data_old[[#This Row],[2027 ]]</f>
        <v>0.10387281256394053</v>
      </c>
      <c r="AL234">
        <f>$AH234*tbl_Data_old[[#This Row],[2028 ]]</f>
        <v>0.14108845324286115</v>
      </c>
      <c r="AM234">
        <f>$AH234*tbl_Data_old[[#This Row],[2029 ]]</f>
        <v>0.1792403354630849</v>
      </c>
      <c r="AN234">
        <f>$AH234*tbl_Data_old[[#This Row],[2030 ]]</f>
        <v>0.2181310294323599</v>
      </c>
      <c r="AO234">
        <f>$AH234*tbl_Data_old[[#This Row],[2031 ]]</f>
        <v>0.25790374854902287</v>
      </c>
      <c r="AP234">
        <f>$AH234*tbl_Data_old[[#This Row],[2032 ]]</f>
        <v>0.29873979013294094</v>
      </c>
      <c r="AQ234">
        <f>$AH234*tbl_Data_old[[#This Row],[2033 ]]</f>
        <v>0.34084887959046639</v>
      </c>
      <c r="AR234">
        <f>$AH234*tbl_Data_old[[#This Row],[2034 ]]</f>
        <v>0.38443323242219873</v>
      </c>
      <c r="AS234">
        <f>SUM(tbl_Data_old[[#This Row],[Adjusted 2025]:[Adjusted 2034]])</f>
        <v>2.0248453931069639</v>
      </c>
      <c r="AT234" s="3">
        <f>AVERAGEIFS('3. Incentive Adjustment'!F:F,'3. Incentive Adjustment'!A:A,tbl_Data_old[[#This Row],[Trimmed Sector]],'3. Incentive Adjustment'!B:B,tbl_Data_old[[#This Row],[Trimmed Measure Name]])</f>
        <v>0</v>
      </c>
      <c r="AU234" s="3">
        <f>IFERROR(VLOOKUP(tbl_Data_old[[#This Row],[All_Meas_Name_Append]],'IRA Tax Credits'!$A$3:$D$46,4,0),0)</f>
        <v>0</v>
      </c>
      <c r="AV234" s="4">
        <f>tbl_Data_old[[#This Row],[Adj. per unit Incentive ($)]]/tbl_Data_old[[#This Row],[kWh Savings]]*tbl_Data_old[[#This Row],[Sum of Annuals]]</f>
        <v>0</v>
      </c>
      <c r="AW234" s="4" t="str">
        <f>IFERROR(VLOOKUP(tbl_Data_old[[#This Row],[All_Programs]],'1. Set Program Names'!$B$2:$D$15,3,0)*tbl_Data_old[[#This Row],[Sum of Annuals]],"")</f>
        <v/>
      </c>
      <c r="AX234" s="4">
        <f>tbl_Data_old[[#This Row],[per unit IRA tax ($)]]/tbl_Data_old[[#This Row],[kWh Savings]]*tbl_Data_old[[#This Row],[Sum of Annuals]]</f>
        <v>0</v>
      </c>
      <c r="AY234" s="4">
        <f>tbl_Data_old[[#This Row],[Avoided Costs ($/unit)]]/tbl_Data_old[[#This Row],[kWh Savings]]*tbl_Data_old[[#This Row],[Sum of Annuals]]</f>
        <v>1.3828270310551485</v>
      </c>
      <c r="AZ234" s="4">
        <f>tbl_Data_old[[#This Row],[Lost Revenue ($/unit)]]/tbl_Data_old[[#This Row],[kWh Savings]]*tbl_Data_old[[#This Row],[Sum of Annuals]]</f>
        <v>2.2351178560280194</v>
      </c>
      <c r="BA234" s="4">
        <f>tbl_Data_old[[#This Row],[Incremental Cost ($/unit)]]/tbl_Data_old[[#This Row],[kWh Savings]]*tbl_Data_old[[#This Row],[Sum of Annuals]]</f>
        <v>0.65479283242712427</v>
      </c>
      <c r="BB234">
        <f>ROUNDUP(tbl_Data_old[[#This Row],[Adjusted 2025]]/$L234,0)</f>
        <v>1</v>
      </c>
      <c r="BC234">
        <f>ROUNDUP(tbl_Data_old[[#This Row],[Adjusted 2026]]/$L234,0)</f>
        <v>1</v>
      </c>
      <c r="BD234">
        <f>ROUNDUP(tbl_Data_old[[#This Row],[Adjusted 2027]]/$L234,0)</f>
        <v>1</v>
      </c>
      <c r="BE234">
        <f>ROUNDUP(tbl_Data_old[[#This Row],[Adjusted 2028]]/$L234,0)</f>
        <v>1</v>
      </c>
      <c r="BF234">
        <f>ROUNDUP(tbl_Data_old[[#This Row],[Adjusted 2029]]/$L234,0)</f>
        <v>1</v>
      </c>
      <c r="BG234">
        <f>ROUNDUP(tbl_Data_old[[#This Row],[Adjusted 2030]]/$L234,0)</f>
        <v>1</v>
      </c>
      <c r="BH234">
        <f>ROUNDUP(tbl_Data_old[[#This Row],[Adjusted 2031]]/$L234,0)</f>
        <v>1</v>
      </c>
      <c r="BI234">
        <f>ROUNDUP(tbl_Data_old[[#This Row],[Adjusted 2032]]/$L234,0)</f>
        <v>1</v>
      </c>
      <c r="BJ234">
        <f>ROUNDUP(tbl_Data_old[[#This Row],[Adjusted 2033]]/$L234,0)</f>
        <v>1</v>
      </c>
      <c r="BK234">
        <f>ROUNDUP(tbl_Data_old[[#This Row],[Adjusted 2034]]/$L234,0)</f>
        <v>1</v>
      </c>
      <c r="BL234" s="3">
        <f t="shared" si="16"/>
        <v>0</v>
      </c>
      <c r="BM234" s="3">
        <f t="shared" si="16"/>
        <v>0</v>
      </c>
      <c r="BN234" s="3">
        <f t="shared" si="16"/>
        <v>0</v>
      </c>
      <c r="BO234" s="3">
        <f t="shared" si="16"/>
        <v>0</v>
      </c>
      <c r="BP234" s="3">
        <f t="shared" si="16"/>
        <v>0</v>
      </c>
      <c r="BQ234" s="3">
        <f t="shared" si="15"/>
        <v>0</v>
      </c>
      <c r="BR234" s="3">
        <f t="shared" si="15"/>
        <v>0</v>
      </c>
      <c r="BS234" s="3">
        <f t="shared" si="15"/>
        <v>0</v>
      </c>
      <c r="BT234" s="3">
        <f t="shared" si="15"/>
        <v>0</v>
      </c>
      <c r="BU234" s="3">
        <f t="shared" si="15"/>
        <v>0</v>
      </c>
      <c r="BV234" t="e">
        <f>VLOOKUP($H234,'1. Set Program Names'!$B$2:$D$15,3,0)*V234</f>
        <v>#N/A</v>
      </c>
      <c r="BW234" t="e">
        <f>VLOOKUP($H234,'1. Set Program Names'!$B$2:$D$15,3,0)*W234</f>
        <v>#N/A</v>
      </c>
      <c r="BX234" t="e">
        <f>VLOOKUP($H234,'1. Set Program Names'!$B$2:$D$15,3,0)*X234</f>
        <v>#N/A</v>
      </c>
      <c r="BY234" t="e">
        <f>VLOOKUP($H234,'1. Set Program Names'!$B$2:$D$15,3,0)*Y234</f>
        <v>#N/A</v>
      </c>
      <c r="BZ234" t="e">
        <f>VLOOKUP($H234,'1. Set Program Names'!$B$2:$D$15,3,0)*Z234</f>
        <v>#N/A</v>
      </c>
      <c r="CA234" t="e">
        <f>VLOOKUP($H234,'1. Set Program Names'!$B$2:$D$15,3,0)*AA234</f>
        <v>#N/A</v>
      </c>
      <c r="CB234" t="e">
        <f>VLOOKUP($H234,'1. Set Program Names'!$B$2:$D$15,3,0)*AB234</f>
        <v>#N/A</v>
      </c>
      <c r="CC234" t="e">
        <f>VLOOKUP($H234,'1. Set Program Names'!$B$2:$D$15,3,0)*AC234</f>
        <v>#N/A</v>
      </c>
      <c r="CD234" t="e">
        <f>VLOOKUP($H234,'1. Set Program Names'!$B$2:$D$15,3,0)*AD234</f>
        <v>#N/A</v>
      </c>
      <c r="CE234" t="e">
        <f>VLOOKUP($H234,'1. Set Program Names'!$B$2:$D$15,3,0)*AE234</f>
        <v>#N/A</v>
      </c>
    </row>
    <row r="235" spans="1:83" x14ac:dyDescent="0.25">
      <c r="A235" s="20" t="s">
        <v>117</v>
      </c>
      <c r="B235" s="20" t="s">
        <v>88</v>
      </c>
      <c r="C235" s="20" t="s">
        <v>89</v>
      </c>
      <c r="D235" s="20" t="s">
        <v>90</v>
      </c>
      <c r="E235" s="20" t="s">
        <v>91</v>
      </c>
      <c r="F235" s="20" t="s">
        <v>90</v>
      </c>
      <c r="G235" s="20" t="s">
        <v>92</v>
      </c>
      <c r="H235" s="20" t="s">
        <v>273</v>
      </c>
      <c r="I235" s="20" t="s">
        <v>111</v>
      </c>
      <c r="J235" s="20" t="s">
        <v>97</v>
      </c>
      <c r="K235" s="20" t="s">
        <v>102</v>
      </c>
      <c r="L235" s="20">
        <v>586.59333333333302</v>
      </c>
      <c r="M235" s="20">
        <v>0.33672458163683799</v>
      </c>
      <c r="N235" s="20">
        <v>1.6138843976181299E-3</v>
      </c>
      <c r="O235" s="20">
        <v>250</v>
      </c>
      <c r="P235" s="20">
        <v>142.46266525790699</v>
      </c>
      <c r="Q235" s="20">
        <v>0.58659333333333297</v>
      </c>
      <c r="R235" s="20">
        <v>435.979615776</v>
      </c>
      <c r="S235" s="20">
        <v>718.05871460051901</v>
      </c>
      <c r="T235" s="20">
        <v>14</v>
      </c>
      <c r="U235" s="20">
        <v>1</v>
      </c>
      <c r="V235" s="20">
        <v>0.23602945104675699</v>
      </c>
      <c r="W235" s="20">
        <v>0.55673108572366703</v>
      </c>
      <c r="X235" s="20">
        <v>0.97119271666786899</v>
      </c>
      <c r="Y235" s="20">
        <v>1.4854649910722599</v>
      </c>
      <c r="Z235" s="20">
        <v>2.1002045482575902</v>
      </c>
      <c r="AA235" s="20">
        <v>2.8066708394376398</v>
      </c>
      <c r="AB235" s="20">
        <v>3.5963535910234499</v>
      </c>
      <c r="AC235" s="20">
        <v>4.4596645993151798</v>
      </c>
      <c r="AD235" s="20">
        <v>5.3888303538339999</v>
      </c>
      <c r="AE235" s="20">
        <v>6.3786180540472204</v>
      </c>
      <c r="AF235" t="str">
        <f t="shared" si="14"/>
        <v>Residential</v>
      </c>
      <c r="AG235" t="str">
        <f>tbl_Data_old[[#This Row],[All_Meas_Name_Append]]</f>
        <v>Properly Sized CAC</v>
      </c>
      <c r="AH235">
        <f>AVERAGEIFS('3. Incentive Adjustment'!G:G,'3. Incentive Adjustment'!A:A,tbl_Data_old[[#This Row],[Trimmed Sector]],'3. Incentive Adjustment'!B:B,tbl_Data_old[[#This Row],[Trimmed Measure Name]])</f>
        <v>0.52686902587198514</v>
      </c>
      <c r="AI235">
        <f>$AH235*tbl_Data_old[[#This Row],[2025 ]]</f>
        <v>0.12435660695010425</v>
      </c>
      <c r="AJ235">
        <f>$AH235*tbl_Data_old[[#This Row],[2026 ]]</f>
        <v>0.2933243648078811</v>
      </c>
      <c r="AK235">
        <f>$AH235*tbl_Data_old[[#This Row],[2027 ]]</f>
        <v>0.51169136056476705</v>
      </c>
      <c r="AL235">
        <f>$AH235*tbl_Data_old[[#This Row],[2028 ]]</f>
        <v>0.78264549281317874</v>
      </c>
      <c r="AM235">
        <f>$AH235*tbl_Data_old[[#This Row],[2029 ]]</f>
        <v>1.106532724472389</v>
      </c>
      <c r="AN235">
        <f>$AH235*tbl_Data_old[[#This Row],[2030 ]]</f>
        <v>1.4787479311178162</v>
      </c>
      <c r="AO235">
        <f>$AH235*tbl_Data_old[[#This Row],[2031 ]]</f>
        <v>1.8948073131937406</v>
      </c>
      <c r="AP235">
        <f>$AH235*tbl_Data_old[[#This Row],[2032 ]]</f>
        <v>2.3496591431569658</v>
      </c>
      <c r="AQ235">
        <f>$AH235*tbl_Data_old[[#This Row],[2033 ]]</f>
        <v>2.8392077991139044</v>
      </c>
      <c r="AR235">
        <f>$AH235*tbl_Data_old[[#This Row],[2034 ]]</f>
        <v>3.3606962805453167</v>
      </c>
      <c r="AS235">
        <f>SUM(tbl_Data_old[[#This Row],[Adjusted 2025]:[Adjusted 2034]])</f>
        <v>14.741669016736061</v>
      </c>
      <c r="AT235" s="3">
        <f>AVERAGEIFS('3. Incentive Adjustment'!F:F,'3. Incentive Adjustment'!A:A,tbl_Data_old[[#This Row],[Trimmed Sector]],'3. Incentive Adjustment'!B:B,tbl_Data_old[[#This Row],[Trimmed Measure Name]])</f>
        <v>0</v>
      </c>
      <c r="AU235" s="3">
        <f>IFERROR(VLOOKUP(tbl_Data_old[[#This Row],[All_Meas_Name_Append]],'IRA Tax Credits'!$A$3:$D$46,4,0),0)</f>
        <v>0</v>
      </c>
      <c r="AV235" s="4">
        <f>tbl_Data_old[[#This Row],[Adj. per unit Incentive ($)]]/tbl_Data_old[[#This Row],[kWh Savings]]*tbl_Data_old[[#This Row],[Sum of Annuals]]</f>
        <v>0</v>
      </c>
      <c r="AW235" s="4" t="str">
        <f>IFERROR(VLOOKUP(tbl_Data_old[[#This Row],[All_Programs]],'1. Set Program Names'!$B$2:$D$15,3,0)*tbl_Data_old[[#This Row],[Sum of Annuals]],"")</f>
        <v/>
      </c>
      <c r="AX235" s="4">
        <f>tbl_Data_old[[#This Row],[per unit IRA tax ($)]]/tbl_Data_old[[#This Row],[kWh Savings]]*tbl_Data_old[[#This Row],[Sum of Annuals]]</f>
        <v>0</v>
      </c>
      <c r="AY235" s="4">
        <f>tbl_Data_old[[#This Row],[Avoided Costs ($/unit)]]/tbl_Data_old[[#This Row],[kWh Savings]]*tbl_Data_old[[#This Row],[Sum of Annuals]]</f>
        <v>10.956597745991354</v>
      </c>
      <c r="AZ235" s="4">
        <f>tbl_Data_old[[#This Row],[Lost Revenue ($/unit)]]/tbl_Data_old[[#This Row],[kWh Savings]]*tbl_Data_old[[#This Row],[Sum of Annuals]]</f>
        <v>18.045523710731679</v>
      </c>
      <c r="BA235" s="4">
        <f>tbl_Data_old[[#This Row],[Incremental Cost ($/unit)]]/tbl_Data_old[[#This Row],[kWh Savings]]*tbl_Data_old[[#This Row],[Sum of Annuals]]</f>
        <v>6.2827465720442621</v>
      </c>
      <c r="BB235">
        <f>ROUNDUP(tbl_Data_old[[#This Row],[Adjusted 2025]]/$L235,0)</f>
        <v>1</v>
      </c>
      <c r="BC235">
        <f>ROUNDUP(tbl_Data_old[[#This Row],[Adjusted 2026]]/$L235,0)</f>
        <v>1</v>
      </c>
      <c r="BD235">
        <f>ROUNDUP(tbl_Data_old[[#This Row],[Adjusted 2027]]/$L235,0)</f>
        <v>1</v>
      </c>
      <c r="BE235">
        <f>ROUNDUP(tbl_Data_old[[#This Row],[Adjusted 2028]]/$L235,0)</f>
        <v>1</v>
      </c>
      <c r="BF235">
        <f>ROUNDUP(tbl_Data_old[[#This Row],[Adjusted 2029]]/$L235,0)</f>
        <v>1</v>
      </c>
      <c r="BG235">
        <f>ROUNDUP(tbl_Data_old[[#This Row],[Adjusted 2030]]/$L235,0)</f>
        <v>1</v>
      </c>
      <c r="BH235">
        <f>ROUNDUP(tbl_Data_old[[#This Row],[Adjusted 2031]]/$L235,0)</f>
        <v>1</v>
      </c>
      <c r="BI235">
        <f>ROUNDUP(tbl_Data_old[[#This Row],[Adjusted 2032]]/$L235,0)</f>
        <v>1</v>
      </c>
      <c r="BJ235">
        <f>ROUNDUP(tbl_Data_old[[#This Row],[Adjusted 2033]]/$L235,0)</f>
        <v>1</v>
      </c>
      <c r="BK235">
        <f>ROUNDUP(tbl_Data_old[[#This Row],[Adjusted 2034]]/$L235,0)</f>
        <v>1</v>
      </c>
      <c r="BL235" s="3">
        <f t="shared" si="16"/>
        <v>0</v>
      </c>
      <c r="BM235" s="3">
        <f t="shared" si="16"/>
        <v>0</v>
      </c>
      <c r="BN235" s="3">
        <f t="shared" si="16"/>
        <v>0</v>
      </c>
      <c r="BO235" s="3">
        <f t="shared" si="16"/>
        <v>0</v>
      </c>
      <c r="BP235" s="3">
        <f t="shared" si="16"/>
        <v>0</v>
      </c>
      <c r="BQ235" s="3">
        <f t="shared" si="15"/>
        <v>0</v>
      </c>
      <c r="BR235" s="3">
        <f t="shared" si="15"/>
        <v>0</v>
      </c>
      <c r="BS235" s="3">
        <f t="shared" si="15"/>
        <v>0</v>
      </c>
      <c r="BT235" s="3">
        <f t="shared" si="15"/>
        <v>0</v>
      </c>
      <c r="BU235" s="3">
        <f t="shared" si="15"/>
        <v>0</v>
      </c>
      <c r="BV235" t="e">
        <f>VLOOKUP($H235,'1. Set Program Names'!$B$2:$D$15,3,0)*V235</f>
        <v>#N/A</v>
      </c>
      <c r="BW235" t="e">
        <f>VLOOKUP($H235,'1. Set Program Names'!$B$2:$D$15,3,0)*W235</f>
        <v>#N/A</v>
      </c>
      <c r="BX235" t="e">
        <f>VLOOKUP($H235,'1. Set Program Names'!$B$2:$D$15,3,0)*X235</f>
        <v>#N/A</v>
      </c>
      <c r="BY235" t="e">
        <f>VLOOKUP($H235,'1. Set Program Names'!$B$2:$D$15,3,0)*Y235</f>
        <v>#N/A</v>
      </c>
      <c r="BZ235" t="e">
        <f>VLOOKUP($H235,'1. Set Program Names'!$B$2:$D$15,3,0)*Z235</f>
        <v>#N/A</v>
      </c>
      <c r="CA235" t="e">
        <f>VLOOKUP($H235,'1. Set Program Names'!$B$2:$D$15,3,0)*AA235</f>
        <v>#N/A</v>
      </c>
      <c r="CB235" t="e">
        <f>VLOOKUP($H235,'1. Set Program Names'!$B$2:$D$15,3,0)*AB235</f>
        <v>#N/A</v>
      </c>
      <c r="CC235" t="e">
        <f>VLOOKUP($H235,'1. Set Program Names'!$B$2:$D$15,3,0)*AC235</f>
        <v>#N/A</v>
      </c>
      <c r="CD235" t="e">
        <f>VLOOKUP($H235,'1. Set Program Names'!$B$2:$D$15,3,0)*AD235</f>
        <v>#N/A</v>
      </c>
      <c r="CE235" t="e">
        <f>VLOOKUP($H235,'1. Set Program Names'!$B$2:$D$15,3,0)*AE235</f>
        <v>#N/A</v>
      </c>
    </row>
    <row r="236" spans="1:83" x14ac:dyDescent="0.25">
      <c r="A236" s="20" t="s">
        <v>87</v>
      </c>
      <c r="B236" s="20" t="s">
        <v>88</v>
      </c>
      <c r="C236" s="20" t="s">
        <v>122</v>
      </c>
      <c r="D236" s="20" t="s">
        <v>90</v>
      </c>
      <c r="E236" s="20" t="s">
        <v>91</v>
      </c>
      <c r="F236" s="20" t="s">
        <v>90</v>
      </c>
      <c r="G236" s="20" t="s">
        <v>92</v>
      </c>
      <c r="H236" s="20" t="s">
        <v>14</v>
      </c>
      <c r="I236" s="20" t="s">
        <v>237</v>
      </c>
      <c r="J236" s="20" t="s">
        <v>129</v>
      </c>
      <c r="K236" s="20" t="s">
        <v>102</v>
      </c>
      <c r="L236" s="20">
        <v>2568.1199999999699</v>
      </c>
      <c r="M236" s="20">
        <v>0.53641456399840104</v>
      </c>
      <c r="N236" s="20">
        <v>2.1892485513222901E-2</v>
      </c>
      <c r="O236" s="53">
        <f>9025.1/929.29*tbl_Data_old[[#This Row],[kWh Savings]]</f>
        <v>24941.126894725789</v>
      </c>
      <c r="P236" s="20">
        <v>35498.089296558101</v>
      </c>
      <c r="Q236" s="20">
        <v>91.4242886047615</v>
      </c>
      <c r="R236" s="20">
        <v>1534.4473108970501</v>
      </c>
      <c r="S236" s="20">
        <v>3958.9826982459099</v>
      </c>
      <c r="T236" s="20">
        <v>30</v>
      </c>
      <c r="U236" s="20">
        <v>0.94999999999999896</v>
      </c>
      <c r="V236" s="20">
        <v>1318.2150330612701</v>
      </c>
      <c r="W236" s="20">
        <v>1472.41671192178</v>
      </c>
      <c r="X236" s="20">
        <v>1639.1756650986599</v>
      </c>
      <c r="Y236" s="20">
        <v>1821.75031915062</v>
      </c>
      <c r="Z236" s="20">
        <v>2014.2358541771</v>
      </c>
      <c r="AA236" s="20">
        <v>2216.2784186735298</v>
      </c>
      <c r="AB236" s="20">
        <v>2422.2482230543101</v>
      </c>
      <c r="AC236" s="20">
        <v>2635.4646545863402</v>
      </c>
      <c r="AD236" s="20">
        <v>2862.50950265561</v>
      </c>
      <c r="AE236" s="20">
        <v>3090.96396674998</v>
      </c>
      <c r="AF236" t="str">
        <f t="shared" si="14"/>
        <v>NonResidential</v>
      </c>
      <c r="AG236" t="str">
        <f>tbl_Data_old[[#This Row],[All_Meas_Name_Append]]</f>
        <v>Ceiling Insulation(R19 to R38)</v>
      </c>
      <c r="AH236">
        <f>AVERAGEIFS('3. Incentive Adjustment'!G:G,'3. Incentive Adjustment'!A:A,tbl_Data_old[[#This Row],[Trimmed Sector]],'3. Incentive Adjustment'!B:B,tbl_Data_old[[#This Row],[Trimmed Measure Name]])</f>
        <v>3.9688771318830651E-15</v>
      </c>
      <c r="AI236">
        <f>$AH236*tbl_Data_old[[#This Row],[2025 ]]</f>
        <v>5.2318334996213536E-12</v>
      </c>
      <c r="AJ236">
        <f>$AH236*tbl_Data_old[[#This Row],[2026 ]]</f>
        <v>5.8438410165488072E-12</v>
      </c>
      <c r="AK236">
        <f>$AH236*tbl_Data_old[[#This Row],[2027 ]]</f>
        <v>6.5056868123492848E-12</v>
      </c>
      <c r="AL236">
        <f>$AH236*tbl_Data_old[[#This Row],[2028 ]]</f>
        <v>7.2303031816775716E-12</v>
      </c>
      <c r="AM236">
        <f>$AH236*tbl_Data_old[[#This Row],[2029 ]]</f>
        <v>7.9942546198624451E-12</v>
      </c>
      <c r="AN236">
        <f>$AH236*tbl_Data_old[[#This Row],[2030 ]]</f>
        <v>8.7961367337593336E-12</v>
      </c>
      <c r="AO236">
        <f>$AH236*tbl_Data_old[[#This Row],[2031 ]]</f>
        <v>9.6136055802246417E-12</v>
      </c>
      <c r="AP236">
        <f>$AH236*tbl_Data_old[[#This Row],[2032 ]]</f>
        <v>1.0459835399473826E-11</v>
      </c>
      <c r="AQ236">
        <f>$AH236*tbl_Data_old[[#This Row],[2033 ]]</f>
        <v>1.1360948504887817E-11</v>
      </c>
      <c r="AR236">
        <f>$AH236*tbl_Data_old[[#This Row],[2034 ]]</f>
        <v>1.2267656203108562E-11</v>
      </c>
      <c r="AS236">
        <f>SUM(tbl_Data_old[[#This Row],[Adjusted 2025]:[Adjusted 2034]])</f>
        <v>8.530410155151364E-11</v>
      </c>
      <c r="AT236" s="3">
        <f>AVERAGEIFS('3. Incentive Adjustment'!F:F,'3. Incentive Adjustment'!A:A,tbl_Data_old[[#This Row],[Trimmed Sector]],'3. Incentive Adjustment'!B:B,tbl_Data_old[[#This Row],[Trimmed Measure Name]])</f>
        <v>3222.5963039661074</v>
      </c>
      <c r="AU236" s="3">
        <f>IFERROR(VLOOKUP(tbl_Data_old[[#This Row],[All_Meas_Name_Append]],'IRA Tax Credits'!$A$3:$D$46,4,0),0)</f>
        <v>0</v>
      </c>
      <c r="AV236" s="4">
        <f>tbl_Data_old[[#This Row],[Adj. per unit Incentive ($)]]/tbl_Data_old[[#This Row],[kWh Savings]]*tbl_Data_old[[#This Row],[Sum of Annuals]]</f>
        <v>1.0704355029089784E-10</v>
      </c>
      <c r="AW236" s="4">
        <f>IFERROR(VLOOKUP(tbl_Data_old[[#This Row],[All_Programs]],'1. Set Program Names'!$B$2:$D$15,3,0)*tbl_Data_old[[#This Row],[Sum of Annuals]],"")</f>
        <v>3.0367999935421829E-12</v>
      </c>
      <c r="AX236" s="4">
        <f>tbl_Data_old[[#This Row],[per unit IRA tax ($)]]/tbl_Data_old[[#This Row],[kWh Savings]]*tbl_Data_old[[#This Row],[Sum of Annuals]]</f>
        <v>0</v>
      </c>
      <c r="AY236" s="4">
        <f>tbl_Data_old[[#This Row],[Avoided Costs ($/unit)]]/tbl_Data_old[[#This Row],[kWh Savings]]*tbl_Data_old[[#This Row],[Sum of Annuals]]</f>
        <v>5.0969054886146489E-11</v>
      </c>
      <c r="AZ236" s="4">
        <f>tbl_Data_old[[#This Row],[Lost Revenue ($/unit)]]/tbl_Data_old[[#This Row],[kWh Savings]]*tbl_Data_old[[#This Row],[Sum of Annuals]]</f>
        <v>1.3150377012439393E-10</v>
      </c>
      <c r="BA236" s="4">
        <f>tbl_Data_old[[#This Row],[Incremental Cost ($/unit)]]/tbl_Data_old[[#This Row],[kWh Savings]]*tbl_Data_old[[#This Row],[Sum of Annuals]]</f>
        <v>8.2845833583979789E-10</v>
      </c>
      <c r="BB236">
        <f>ROUNDUP(tbl_Data_old[[#This Row],[Adjusted 2025]]/$L236,0)</f>
        <v>1</v>
      </c>
      <c r="BC236">
        <f>ROUNDUP(tbl_Data_old[[#This Row],[Adjusted 2026]]/$L236,0)</f>
        <v>1</v>
      </c>
      <c r="BD236">
        <f>ROUNDUP(tbl_Data_old[[#This Row],[Adjusted 2027]]/$L236,0)</f>
        <v>1</v>
      </c>
      <c r="BE236">
        <f>ROUNDUP(tbl_Data_old[[#This Row],[Adjusted 2028]]/$L236,0)</f>
        <v>1</v>
      </c>
      <c r="BF236">
        <f>ROUNDUP(tbl_Data_old[[#This Row],[Adjusted 2029]]/$L236,0)</f>
        <v>1</v>
      </c>
      <c r="BG236">
        <f>ROUNDUP(tbl_Data_old[[#This Row],[Adjusted 2030]]/$L236,0)</f>
        <v>1</v>
      </c>
      <c r="BH236">
        <f>ROUNDUP(tbl_Data_old[[#This Row],[Adjusted 2031]]/$L236,0)</f>
        <v>1</v>
      </c>
      <c r="BI236">
        <f>ROUNDUP(tbl_Data_old[[#This Row],[Adjusted 2032]]/$L236,0)</f>
        <v>1</v>
      </c>
      <c r="BJ236">
        <f>ROUNDUP(tbl_Data_old[[#This Row],[Adjusted 2033]]/$L236,0)</f>
        <v>1</v>
      </c>
      <c r="BK236">
        <f>ROUNDUP(tbl_Data_old[[#This Row],[Adjusted 2034]]/$L236,0)</f>
        <v>1</v>
      </c>
      <c r="BL236" s="3">
        <f t="shared" si="16"/>
        <v>1654.1574744855611</v>
      </c>
      <c r="BM236" s="3">
        <f t="shared" si="16"/>
        <v>1847.65690611697</v>
      </c>
      <c r="BN236" s="3">
        <f t="shared" si="16"/>
        <v>2056.9137890356328</v>
      </c>
      <c r="BO236" s="3">
        <f t="shared" si="16"/>
        <v>2286.0169482905526</v>
      </c>
      <c r="BP236" s="3">
        <f t="shared" si="16"/>
        <v>2527.5567415024275</v>
      </c>
      <c r="BQ236" s="3">
        <f t="shared" si="15"/>
        <v>2781.0891393615761</v>
      </c>
      <c r="BR236" s="3">
        <f t="shared" si="15"/>
        <v>3039.5496203072221</v>
      </c>
      <c r="BS236" s="3">
        <f t="shared" si="15"/>
        <v>3307.10350571755</v>
      </c>
      <c r="BT236" s="3">
        <f t="shared" si="15"/>
        <v>3592.0099307376363</v>
      </c>
      <c r="BU236" s="3">
        <f t="shared" si="15"/>
        <v>3878.6852074439748</v>
      </c>
      <c r="BV236">
        <f>VLOOKUP($H236,'1. Set Program Names'!$B$2:$D$15,3,0)*V236</f>
        <v>46.928053060499543</v>
      </c>
      <c r="BW236">
        <f>VLOOKUP($H236,'1. Set Program Names'!$B$2:$D$15,3,0)*W236</f>
        <v>52.417585789298109</v>
      </c>
      <c r="BX236">
        <f>VLOOKUP($H236,'1. Set Program Names'!$B$2:$D$15,3,0)*X236</f>
        <v>58.354153653210673</v>
      </c>
      <c r="BY236">
        <f>VLOOKUP($H236,'1. Set Program Names'!$B$2:$D$15,3,0)*Y236</f>
        <v>64.853755643756699</v>
      </c>
      <c r="BZ236">
        <f>VLOOKUP($H236,'1. Set Program Names'!$B$2:$D$15,3,0)*Z236</f>
        <v>71.706181973719097</v>
      </c>
      <c r="CA236">
        <f>VLOOKUP($H236,'1. Set Program Names'!$B$2:$D$15,3,0)*AA236</f>
        <v>78.898835637476225</v>
      </c>
      <c r="CB236">
        <f>VLOOKUP($H236,'1. Set Program Names'!$B$2:$D$15,3,0)*AB236</f>
        <v>86.231297843126626</v>
      </c>
      <c r="CC236">
        <f>VLOOKUP($H236,'1. Set Program Names'!$B$2:$D$15,3,0)*AC236</f>
        <v>93.821737764805491</v>
      </c>
      <c r="CD236">
        <f>VLOOKUP($H236,'1. Set Program Names'!$B$2:$D$15,3,0)*AD236</f>
        <v>101.9044650969042</v>
      </c>
      <c r="CE236">
        <f>VLOOKUP($H236,'1. Set Program Names'!$B$2:$D$15,3,0)*AE236</f>
        <v>110.03737432949849</v>
      </c>
    </row>
    <row r="237" spans="1:83" x14ac:dyDescent="0.25">
      <c r="A237" s="20" t="s">
        <v>87</v>
      </c>
      <c r="B237" s="20" t="s">
        <v>88</v>
      </c>
      <c r="C237" s="20" t="s">
        <v>122</v>
      </c>
      <c r="D237" s="20" t="s">
        <v>90</v>
      </c>
      <c r="E237" s="20" t="s">
        <v>91</v>
      </c>
      <c r="F237" s="20" t="s">
        <v>90</v>
      </c>
      <c r="G237" s="20" t="s">
        <v>92</v>
      </c>
      <c r="H237" s="20" t="s">
        <v>14</v>
      </c>
      <c r="I237" s="20" t="s">
        <v>238</v>
      </c>
      <c r="J237" s="20" t="s">
        <v>129</v>
      </c>
      <c r="K237" s="20" t="s">
        <v>102</v>
      </c>
      <c r="L237" s="20">
        <v>4477.6116666666303</v>
      </c>
      <c r="M237" s="20">
        <v>0.90610878358590996</v>
      </c>
      <c r="N237" s="20">
        <v>4.9616670393602701E-2</v>
      </c>
      <c r="O237" s="53">
        <f>9351.31/1137.9*tbl_Data_old[[#This Row],[kWh Savings]]</f>
        <v>36797.200768623181</v>
      </c>
      <c r="P237" s="20">
        <v>44221.719775682497</v>
      </c>
      <c r="Q237" s="20">
        <v>159.401609454924</v>
      </c>
      <c r="R237" s="20">
        <v>2670.7044942461998</v>
      </c>
      <c r="S237" s="20">
        <v>6902.6319322295803</v>
      </c>
      <c r="T237" s="20">
        <v>30</v>
      </c>
      <c r="U237" s="20">
        <v>0.94999999999999896</v>
      </c>
      <c r="V237" s="20">
        <v>1039.0475523300199</v>
      </c>
      <c r="W237" s="20">
        <v>1158.34135635395</v>
      </c>
      <c r="X237" s="20">
        <v>1286.51045389756</v>
      </c>
      <c r="Y237" s="20">
        <v>1426.1452326992201</v>
      </c>
      <c r="Z237" s="20">
        <v>1572.66259554664</v>
      </c>
      <c r="AA237" s="20">
        <v>1725.6304762853999</v>
      </c>
      <c r="AB237" s="20">
        <v>1880.7965786545501</v>
      </c>
      <c r="AC237" s="20">
        <v>2040.7333482064901</v>
      </c>
      <c r="AD237" s="20">
        <v>2210.24525423053</v>
      </c>
      <c r="AE237" s="20">
        <v>2379.9538980623402</v>
      </c>
      <c r="AF237" t="str">
        <f t="shared" si="14"/>
        <v>NonResidential</v>
      </c>
      <c r="AG237" t="str">
        <f>tbl_Data_old[[#This Row],[All_Meas_Name_Append]]</f>
        <v>Ceiling Insulation(R19 to R49)</v>
      </c>
      <c r="AH237">
        <f>AVERAGEIFS('3. Incentive Adjustment'!G:G,'3. Incentive Adjustment'!A:A,tbl_Data_old[[#This Row],[Trimmed Sector]],'3. Incentive Adjustment'!B:B,tbl_Data_old[[#This Row],[Trimmed Measure Name]])</f>
        <v>7.9373870200739678E-11</v>
      </c>
      <c r="AI237">
        <f>$AH237*tbl_Data_old[[#This Row],[2025 ]]</f>
        <v>8.2473225551039265E-8</v>
      </c>
      <c r="AJ237">
        <f>$AH237*tbl_Data_old[[#This Row],[2026 ]]</f>
        <v>9.1942036467387171E-8</v>
      </c>
      <c r="AK237">
        <f>$AH237*tbl_Data_old[[#This Row],[2027 ]]</f>
        <v>1.0211531377955961E-7</v>
      </c>
      <c r="AL237">
        <f>$AH237*tbl_Data_old[[#This Row],[2028 ]]</f>
        <v>1.1319866658767158E-7</v>
      </c>
      <c r="AM237">
        <f>$AH237*tbl_Data_old[[#This Row],[2029 ]]</f>
        <v>1.2482831672847736E-7</v>
      </c>
      <c r="AN237">
        <f>$AH237*tbl_Data_old[[#This Row],[2030 ]]</f>
        <v>1.3696996943911793E-7</v>
      </c>
      <c r="AO237">
        <f>$AH237*tbl_Data_old[[#This Row],[2031 ]]</f>
        <v>1.4928610350812155E-7</v>
      </c>
      <c r="AP237">
        <f>$AH237*tbl_Data_old[[#This Row],[2032 ]]</f>
        <v>1.6198090389486283E-7</v>
      </c>
      <c r="AQ237">
        <f>$AH237*tbl_Data_old[[#This Row],[2033 ]]</f>
        <v>1.7543571992109496E-7</v>
      </c>
      <c r="AR237">
        <f>$AH237*tbl_Data_old[[#This Row],[2034 ]]</f>
        <v>1.8890615178854461E-7</v>
      </c>
      <c r="AS237">
        <f>SUM(tbl_Data_old[[#This Row],[Adjusted 2025]:[Adjusted 2034]])</f>
        <v>1.3271364076658767E-6</v>
      </c>
      <c r="AT237" s="3">
        <f>AVERAGEIFS('3. Incentive Adjustment'!F:F,'3. Incentive Adjustment'!A:A,tbl_Data_old[[#This Row],[Trimmed Sector]],'3. Incentive Adjustment'!B:B,tbl_Data_old[[#This Row],[Trimmed Measure Name]])</f>
        <v>4754.4974087894998</v>
      </c>
      <c r="AU237" s="3">
        <f>IFERROR(VLOOKUP(tbl_Data_old[[#This Row],[All_Meas_Name_Append]],'IRA Tax Credits'!$A$3:$D$46,4,0),0)</f>
        <v>500</v>
      </c>
      <c r="AV237" s="4">
        <f>tbl_Data_old[[#This Row],[Adj. per unit Incentive ($)]]/tbl_Data_old[[#This Row],[kWh Savings]]*tbl_Data_old[[#This Row],[Sum of Annuals]]</f>
        <v>1.4092036293212122E-6</v>
      </c>
      <c r="AW237" s="4">
        <f>IFERROR(VLOOKUP(tbl_Data_old[[#This Row],[All_Programs]],'1. Set Program Names'!$B$2:$D$15,3,0)*tbl_Data_old[[#This Row],[Sum of Annuals]],"")</f>
        <v>4.7245651274992154E-8</v>
      </c>
      <c r="AX237" s="4">
        <f>tbl_Data_old[[#This Row],[per unit IRA tax ($)]]/tbl_Data_old[[#This Row],[kWh Savings]]*tbl_Data_old[[#This Row],[Sum of Annuals]]</f>
        <v>1.4819690791250181E-7</v>
      </c>
      <c r="AY237" s="4">
        <f>tbl_Data_old[[#This Row],[Avoided Costs ($/unit)]]/tbl_Data_old[[#This Row],[kWh Savings]]*tbl_Data_old[[#This Row],[Sum of Annuals]]</f>
        <v>7.9158029599061759E-7</v>
      </c>
      <c r="AZ237" s="4">
        <f>tbl_Data_old[[#This Row],[Lost Revenue ($/unit)]]/tbl_Data_old[[#This Row],[kWh Savings]]*tbl_Data_old[[#This Row],[Sum of Annuals]]</f>
        <v>2.0458974176290431E-6</v>
      </c>
      <c r="BA237" s="4">
        <f>tbl_Data_old[[#This Row],[Incremental Cost ($/unit)]]/tbl_Data_old[[#This Row],[kWh Savings]]*tbl_Data_old[[#This Row],[Sum of Annuals]]</f>
        <v>1.0906462747490981E-5</v>
      </c>
      <c r="BB237">
        <f>ROUNDUP(tbl_Data_old[[#This Row],[Adjusted 2025]]/$L237,0)</f>
        <v>1</v>
      </c>
      <c r="BC237">
        <f>ROUNDUP(tbl_Data_old[[#This Row],[Adjusted 2026]]/$L237,0)</f>
        <v>1</v>
      </c>
      <c r="BD237">
        <f>ROUNDUP(tbl_Data_old[[#This Row],[Adjusted 2027]]/$L237,0)</f>
        <v>1</v>
      </c>
      <c r="BE237">
        <f>ROUNDUP(tbl_Data_old[[#This Row],[Adjusted 2028]]/$L237,0)</f>
        <v>1</v>
      </c>
      <c r="BF237">
        <f>ROUNDUP(tbl_Data_old[[#This Row],[Adjusted 2029]]/$L237,0)</f>
        <v>1</v>
      </c>
      <c r="BG237">
        <f>ROUNDUP(tbl_Data_old[[#This Row],[Adjusted 2030]]/$L237,0)</f>
        <v>1</v>
      </c>
      <c r="BH237">
        <f>ROUNDUP(tbl_Data_old[[#This Row],[Adjusted 2031]]/$L237,0)</f>
        <v>1</v>
      </c>
      <c r="BI237">
        <f>ROUNDUP(tbl_Data_old[[#This Row],[Adjusted 2032]]/$L237,0)</f>
        <v>1</v>
      </c>
      <c r="BJ237">
        <f>ROUNDUP(tbl_Data_old[[#This Row],[Adjusted 2033]]/$L237,0)</f>
        <v>1</v>
      </c>
      <c r="BK237">
        <f>ROUNDUP(tbl_Data_old[[#This Row],[Adjusted 2034]]/$L237,0)</f>
        <v>1</v>
      </c>
      <c r="BL237" s="3">
        <f t="shared" si="16"/>
        <v>1103.2999873434444</v>
      </c>
      <c r="BM237" s="3">
        <f t="shared" si="16"/>
        <v>1229.970660090431</v>
      </c>
      <c r="BN237" s="3">
        <f t="shared" si="16"/>
        <v>1366.0654551559523</v>
      </c>
      <c r="BO237" s="3">
        <f t="shared" si="16"/>
        <v>1514.3349442078302</v>
      </c>
      <c r="BP237" s="3">
        <f t="shared" si="16"/>
        <v>1669.9126212955189</v>
      </c>
      <c r="BQ237" s="3">
        <f t="shared" si="15"/>
        <v>1832.3397022357212</v>
      </c>
      <c r="BR237" s="3">
        <f t="shared" si="15"/>
        <v>1997.1009380387584</v>
      </c>
      <c r="BS237" s="3">
        <f t="shared" si="15"/>
        <v>2166.9278486808234</v>
      </c>
      <c r="BT237" s="3">
        <f t="shared" si="15"/>
        <v>2346.9220013560275</v>
      </c>
      <c r="BU237" s="3">
        <f t="shared" si="15"/>
        <v>2527.1250576760508</v>
      </c>
      <c r="BV237">
        <f>VLOOKUP($H237,'1. Set Program Names'!$B$2:$D$15,3,0)*V237</f>
        <v>36.98977590544515</v>
      </c>
      <c r="BW237">
        <f>VLOOKUP($H237,'1. Set Program Names'!$B$2:$D$15,3,0)*W237</f>
        <v>41.236598938575909</v>
      </c>
      <c r="BX237">
        <f>VLOOKUP($H237,'1. Set Program Names'!$B$2:$D$15,3,0)*X237</f>
        <v>45.799379713632739</v>
      </c>
      <c r="BY237">
        <f>VLOOKUP($H237,'1. Set Program Names'!$B$2:$D$15,3,0)*Y237</f>
        <v>50.770335243913699</v>
      </c>
      <c r="BZ237">
        <f>VLOOKUP($H237,'1. Set Program Names'!$B$2:$D$15,3,0)*Z237</f>
        <v>55.986308666717633</v>
      </c>
      <c r="CA237">
        <f>VLOOKUP($H237,'1. Set Program Names'!$B$2:$D$15,3,0)*AA237</f>
        <v>61.43191855874732</v>
      </c>
      <c r="CB237">
        <f>VLOOKUP($H237,'1. Set Program Names'!$B$2:$D$15,3,0)*AB237</f>
        <v>66.955784470259744</v>
      </c>
      <c r="CC237">
        <f>VLOOKUP($H237,'1. Set Program Names'!$B$2:$D$15,3,0)*AC237</f>
        <v>72.649484678205624</v>
      </c>
      <c r="CD237">
        <f>VLOOKUP($H237,'1. Set Program Names'!$B$2:$D$15,3,0)*AD237</f>
        <v>78.684056823699294</v>
      </c>
      <c r="CE237">
        <f>VLOOKUP($H237,'1. Set Program Names'!$B$2:$D$15,3,0)*AE237</f>
        <v>84.725632775135466</v>
      </c>
    </row>
    <row r="238" spans="1:83" x14ac:dyDescent="0.25">
      <c r="A238" s="20" t="s">
        <v>87</v>
      </c>
      <c r="B238" s="20" t="s">
        <v>88</v>
      </c>
      <c r="C238" s="20" t="s">
        <v>122</v>
      </c>
      <c r="D238" s="20" t="s">
        <v>90</v>
      </c>
      <c r="E238" s="20" t="s">
        <v>91</v>
      </c>
      <c r="F238" s="20" t="s">
        <v>90</v>
      </c>
      <c r="G238" s="20" t="s">
        <v>92</v>
      </c>
      <c r="H238" s="20" t="s">
        <v>14</v>
      </c>
      <c r="I238" s="20" t="s">
        <v>240</v>
      </c>
      <c r="J238" s="20" t="s">
        <v>129</v>
      </c>
      <c r="K238" s="20" t="s">
        <v>102</v>
      </c>
      <c r="L238" s="20">
        <v>18717.787499999999</v>
      </c>
      <c r="M238" s="20">
        <v>3.6380387810097399</v>
      </c>
      <c r="N238" s="20">
        <v>0.14255501576814</v>
      </c>
      <c r="O238" s="53">
        <f>11091.09/6133.31*tbl_Data_old[[#This Row],[kWh Savings]]</f>
        <v>33848.063405139306</v>
      </c>
      <c r="P238" s="20">
        <v>45532.278837645601</v>
      </c>
      <c r="Q238" s="20">
        <v>666.34752521012103</v>
      </c>
      <c r="R238" s="20">
        <v>11042.715256281999</v>
      </c>
      <c r="S238" s="20">
        <v>28855.114582630202</v>
      </c>
      <c r="T238" s="20">
        <v>30</v>
      </c>
      <c r="U238" s="20">
        <v>0.95</v>
      </c>
      <c r="V238" s="20">
        <v>1522.2240041791899</v>
      </c>
      <c r="W238" s="20">
        <v>1493.5468648886399</v>
      </c>
      <c r="X238" s="20">
        <v>1452.1305570147799</v>
      </c>
      <c r="Y238" s="20">
        <v>1411.7595042671301</v>
      </c>
      <c r="Z238" s="20">
        <v>1372.8325867127901</v>
      </c>
      <c r="AA238" s="20">
        <v>1331.53137556515</v>
      </c>
      <c r="AB238" s="20">
        <v>1290.6241571517201</v>
      </c>
      <c r="AC238" s="20">
        <v>1252.27208337969</v>
      </c>
      <c r="AD238" s="20">
        <v>1214.34071947795</v>
      </c>
      <c r="AE238" s="20">
        <v>1177.55277160373</v>
      </c>
      <c r="AF238" t="str">
        <f t="shared" si="14"/>
        <v>NonResidential</v>
      </c>
      <c r="AG238" t="str">
        <f>tbl_Data_old[[#This Row],[All_Meas_Name_Append]]</f>
        <v>Ceiling Insulation(R2 to R38)</v>
      </c>
      <c r="AH238">
        <f>AVERAGEIFS('3. Incentive Adjustment'!G:G,'3. Incentive Adjustment'!A:A,tbl_Data_old[[#This Row],[Trimmed Sector]],'3. Incentive Adjustment'!B:B,tbl_Data_old[[#This Row],[Trimmed Measure Name]])</f>
        <v>3.0218441517909909E-3</v>
      </c>
      <c r="AI238">
        <f>$AH238*tbl_Data_old[[#This Row],[2025 ]]</f>
        <v>4.5999237047447501</v>
      </c>
      <c r="AJ238">
        <f>$AH238*tbl_Data_old[[#This Row],[2026 ]]</f>
        <v>4.5132658590895058</v>
      </c>
      <c r="AK238">
        <f>$AH238*tbl_Data_old[[#This Row],[2027 ]]</f>
        <v>4.3881122313521068</v>
      </c>
      <c r="AL238">
        <f>$AH238*tbl_Data_old[[#This Row],[2028 ]]</f>
        <v>4.2661172017049758</v>
      </c>
      <c r="AM238">
        <f>$AH238*tbl_Data_old[[#This Row],[2029 ]]</f>
        <v>4.1484861235461432</v>
      </c>
      <c r="AN238">
        <f>$AH238*tbl_Data_old[[#This Row],[2030 ]]</f>
        <v>4.0236803001777623</v>
      </c>
      <c r="AO238">
        <f>$AH238*tbl_Data_old[[#This Row],[2031 ]]</f>
        <v>3.9000650614491019</v>
      </c>
      <c r="AP238">
        <f>$AH238*tbl_Data_old[[#This Row],[2032 ]]</f>
        <v>3.7841710716120365</v>
      </c>
      <c r="AQ238">
        <f>$AH238*tbl_Data_old[[#This Row],[2033 ]]</f>
        <v>3.6695484014361073</v>
      </c>
      <c r="AR238">
        <f>$AH238*tbl_Data_old[[#This Row],[2034 ]]</f>
        <v>3.5583809562960038</v>
      </c>
      <c r="AS238">
        <f>SUM(tbl_Data_old[[#This Row],[Adjusted 2025]:[Adjusted 2034]])</f>
        <v>40.851750911408494</v>
      </c>
      <c r="AT238" s="3">
        <f>AVERAGEIFS('3. Incentive Adjustment'!F:F,'3. Incentive Adjustment'!A:A,tbl_Data_old[[#This Row],[Trimmed Sector]],'3. Incentive Adjustment'!B:B,tbl_Data_old[[#This Row],[Trimmed Measure Name]])</f>
        <v>4373.4448922946976</v>
      </c>
      <c r="AU238" s="3">
        <f>IFERROR(VLOOKUP(tbl_Data_old[[#This Row],[All_Meas_Name_Append]],'IRA Tax Credits'!$A$3:$D$46,4,0),0)</f>
        <v>0</v>
      </c>
      <c r="AV238" s="4">
        <f>tbl_Data_old[[#This Row],[Adj. per unit Incentive ($)]]/tbl_Data_old[[#This Row],[kWh Savings]]*tbl_Data_old[[#This Row],[Sum of Annuals]]</f>
        <v>9.545085462947732</v>
      </c>
      <c r="AW238" s="4">
        <f>IFERROR(VLOOKUP(tbl_Data_old[[#This Row],[All_Programs]],'1. Set Program Names'!$B$2:$D$15,3,0)*tbl_Data_old[[#This Row],[Sum of Annuals]],"")</f>
        <v>1.4543098707749169</v>
      </c>
      <c r="AX238" s="4">
        <f>tbl_Data_old[[#This Row],[per unit IRA tax ($)]]/tbl_Data_old[[#This Row],[kWh Savings]]*tbl_Data_old[[#This Row],[Sum of Annuals]]</f>
        <v>0</v>
      </c>
      <c r="AY238" s="4">
        <f>tbl_Data_old[[#This Row],[Avoided Costs ($/unit)]]/tbl_Data_old[[#This Row],[kWh Savings]]*tbl_Data_old[[#This Row],[Sum of Annuals]]</f>
        <v>24.100832058021957</v>
      </c>
      <c r="AZ238" s="4">
        <f>tbl_Data_old[[#This Row],[Lost Revenue ($/unit)]]/tbl_Data_old[[#This Row],[kWh Savings]]*tbl_Data_old[[#This Row],[Sum of Annuals]]</f>
        <v>62.976564588617109</v>
      </c>
      <c r="BA238" s="4">
        <f>tbl_Data_old[[#This Row],[Incremental Cost ($/unit)]]/tbl_Data_old[[#This Row],[kWh Savings]]*tbl_Data_old[[#This Row],[Sum of Annuals]]</f>
        <v>73.873723326558348</v>
      </c>
      <c r="BB238">
        <f>ROUNDUP(tbl_Data_old[[#This Row],[Adjusted 2025]]/$L238,0)</f>
        <v>1</v>
      </c>
      <c r="BC238">
        <f>ROUNDUP(tbl_Data_old[[#This Row],[Adjusted 2026]]/$L238,0)</f>
        <v>1</v>
      </c>
      <c r="BD238">
        <f>ROUNDUP(tbl_Data_old[[#This Row],[Adjusted 2027]]/$L238,0)</f>
        <v>1</v>
      </c>
      <c r="BE238">
        <f>ROUNDUP(tbl_Data_old[[#This Row],[Adjusted 2028]]/$L238,0)</f>
        <v>1</v>
      </c>
      <c r="BF238">
        <f>ROUNDUP(tbl_Data_old[[#This Row],[Adjusted 2029]]/$L238,0)</f>
        <v>1</v>
      </c>
      <c r="BG238">
        <f>ROUNDUP(tbl_Data_old[[#This Row],[Adjusted 2030]]/$L238,0)</f>
        <v>1</v>
      </c>
      <c r="BH238">
        <f>ROUNDUP(tbl_Data_old[[#This Row],[Adjusted 2031]]/$L238,0)</f>
        <v>1</v>
      </c>
      <c r="BI238">
        <f>ROUNDUP(tbl_Data_old[[#This Row],[Adjusted 2032]]/$L238,0)</f>
        <v>1</v>
      </c>
      <c r="BJ238">
        <f>ROUNDUP(tbl_Data_old[[#This Row],[Adjusted 2033]]/$L238,0)</f>
        <v>1</v>
      </c>
      <c r="BK238">
        <f>ROUNDUP(tbl_Data_old[[#This Row],[Adjusted 2034]]/$L238,0)</f>
        <v>1</v>
      </c>
      <c r="BL238" s="3">
        <f t="shared" si="16"/>
        <v>355.67039085179601</v>
      </c>
      <c r="BM238" s="3">
        <f t="shared" si="16"/>
        <v>348.96992540651411</v>
      </c>
      <c r="BN238" s="3">
        <f t="shared" si="16"/>
        <v>339.29293018853559</v>
      </c>
      <c r="BO238" s="3">
        <f t="shared" si="16"/>
        <v>329.86016072068213</v>
      </c>
      <c r="BP238" s="3">
        <f t="shared" si="16"/>
        <v>320.76481605183147</v>
      </c>
      <c r="BQ238" s="3">
        <f t="shared" si="15"/>
        <v>311.11471339203626</v>
      </c>
      <c r="BR238" s="3">
        <f t="shared" si="15"/>
        <v>301.55666784695251</v>
      </c>
      <c r="BS238" s="3">
        <f t="shared" si="15"/>
        <v>292.59563646719175</v>
      </c>
      <c r="BT238" s="3">
        <f t="shared" si="15"/>
        <v>283.73290470929373</v>
      </c>
      <c r="BU238" s="3">
        <f t="shared" si="15"/>
        <v>275.13733417359282</v>
      </c>
      <c r="BV238">
        <f>VLOOKUP($H238,'1. Set Program Names'!$B$2:$D$15,3,0)*V238</f>
        <v>54.190710200136849</v>
      </c>
      <c r="BW238">
        <f>VLOOKUP($H238,'1. Set Program Names'!$B$2:$D$15,3,0)*W238</f>
        <v>53.169812789245526</v>
      </c>
      <c r="BX238">
        <f>VLOOKUP($H238,'1. Set Program Names'!$B$2:$D$15,3,0)*X238</f>
        <v>51.695404862823295</v>
      </c>
      <c r="BY238">
        <f>VLOOKUP($H238,'1. Set Program Names'!$B$2:$D$15,3,0)*Y238</f>
        <v>50.258207700043037</v>
      </c>
      <c r="BZ238">
        <f>VLOOKUP($H238,'1. Set Program Names'!$B$2:$D$15,3,0)*Z238</f>
        <v>48.872421309616662</v>
      </c>
      <c r="CA238">
        <f>VLOOKUP($H238,'1. Set Program Names'!$B$2:$D$15,3,0)*AA238</f>
        <v>47.402110791538043</v>
      </c>
      <c r="CB238">
        <f>VLOOKUP($H238,'1. Set Program Names'!$B$2:$D$15,3,0)*AB238</f>
        <v>45.945826294611308</v>
      </c>
      <c r="CC238">
        <f>VLOOKUP($H238,'1. Set Program Names'!$B$2:$D$15,3,0)*AC238</f>
        <v>44.580504167481259</v>
      </c>
      <c r="CD238">
        <f>VLOOKUP($H238,'1. Set Program Names'!$B$2:$D$15,3,0)*AD238</f>
        <v>43.230159183397596</v>
      </c>
      <c r="CE238">
        <f>VLOOKUP($H238,'1. Set Program Names'!$B$2:$D$15,3,0)*AE238</f>
        <v>41.920519461098927</v>
      </c>
    </row>
    <row r="239" spans="1:83" x14ac:dyDescent="0.25">
      <c r="A239" s="20" t="s">
        <v>87</v>
      </c>
      <c r="B239" s="20" t="s">
        <v>88</v>
      </c>
      <c r="C239" s="20" t="s">
        <v>122</v>
      </c>
      <c r="D239" s="20" t="s">
        <v>90</v>
      </c>
      <c r="E239" s="20" t="s">
        <v>91</v>
      </c>
      <c r="F239" s="20" t="s">
        <v>90</v>
      </c>
      <c r="G239" s="20" t="s">
        <v>92</v>
      </c>
      <c r="H239" s="20" t="s">
        <v>14</v>
      </c>
      <c r="I239" s="20" t="s">
        <v>241</v>
      </c>
      <c r="J239" s="20" t="s">
        <v>129</v>
      </c>
      <c r="K239" s="20" t="s">
        <v>102</v>
      </c>
      <c r="L239" s="20">
        <v>19185.113333333298</v>
      </c>
      <c r="M239" s="20">
        <v>4.6125790568704801</v>
      </c>
      <c r="N239" s="20">
        <v>0.25911922024205197</v>
      </c>
      <c r="O239" s="53">
        <f>11417.3/6341.92*tbl_Data_old[[#This Row],[kWh Savings]]</f>
        <v>34538.782334161617</v>
      </c>
      <c r="P239" s="20">
        <v>25197.386166847798</v>
      </c>
      <c r="Q239" s="20">
        <v>682.98418232081895</v>
      </c>
      <c r="R239" s="20">
        <v>12014.6297388403</v>
      </c>
      <c r="S239" s="20">
        <v>29575.538429105502</v>
      </c>
      <c r="T239" s="20">
        <v>30</v>
      </c>
      <c r="U239" s="20">
        <v>0.95</v>
      </c>
      <c r="V239" s="20">
        <v>1621.89748046613</v>
      </c>
      <c r="W239" s="20">
        <v>1589.16586849039</v>
      </c>
      <c r="X239" s="20">
        <v>1542.7360501143901</v>
      </c>
      <c r="Y239" s="20">
        <v>1497.3222881566501</v>
      </c>
      <c r="Z239" s="20">
        <v>1453.36932208401</v>
      </c>
      <c r="AA239" s="20">
        <v>1406.8607634361899</v>
      </c>
      <c r="AB239" s="20">
        <v>1360.7537750920401</v>
      </c>
      <c r="AC239" s="20">
        <v>1317.3429336489301</v>
      </c>
      <c r="AD239" s="20">
        <v>1274.3908230811001</v>
      </c>
      <c r="AE239" s="20">
        <v>1232.66666956105</v>
      </c>
      <c r="AF239" t="str">
        <f t="shared" si="14"/>
        <v>NonResidential</v>
      </c>
      <c r="AG239" t="str">
        <f>tbl_Data_old[[#This Row],[All_Meas_Name_Append]]</f>
        <v>Ceiling Insulation(R2 to R49)</v>
      </c>
      <c r="AH239">
        <f>AVERAGEIFS('3. Incentive Adjustment'!G:G,'3. Incentive Adjustment'!A:A,tbl_Data_old[[#This Row],[Trimmed Sector]],'3. Incentive Adjustment'!B:B,tbl_Data_old[[#This Row],[Trimmed Measure Name]])</f>
        <v>5.674595082038876E-2</v>
      </c>
      <c r="AI239">
        <f>$AH239*tbl_Data_old[[#This Row],[2025 ]]</f>
        <v>92.036114662243449</v>
      </c>
      <c r="AJ239">
        <f>$AH239*tbl_Data_old[[#This Row],[2026 ]]</f>
        <v>90.178728218796067</v>
      </c>
      <c r="AK239">
        <f>$AH239*tbl_Data_old[[#This Row],[2027 ]]</f>
        <v>87.544024028631995</v>
      </c>
      <c r="AL239">
        <f>$AH239*tbl_Data_old[[#This Row],[2028 ]]</f>
        <v>84.966976926009238</v>
      </c>
      <c r="AM239">
        <f>$AH239*tbl_Data_old[[#This Row],[2029 ]]</f>
        <v>82.472824074840986</v>
      </c>
      <c r="AN239">
        <f>$AH239*tbl_Data_old[[#This Row],[2030 ]]</f>
        <v>79.833651693084619</v>
      </c>
      <c r="AO239">
        <f>$AH239*tbl_Data_old[[#This Row],[2031 ]]</f>
        <v>77.217266800031254</v>
      </c>
      <c r="AP239">
        <f>$AH239*tbl_Data_old[[#This Row],[2032 ]]</f>
        <v>74.753877326428835</v>
      </c>
      <c r="AQ239">
        <f>$AH239*tbl_Data_old[[#This Row],[2033 ]]</f>
        <v>72.316518972514857</v>
      </c>
      <c r="AR239">
        <f>$AH239*tbl_Data_old[[#This Row],[2034 ]]</f>
        <v>69.948842208843743</v>
      </c>
      <c r="AS239">
        <f>SUM(tbl_Data_old[[#This Row],[Adjusted 2025]:[Adjusted 2034]])</f>
        <v>811.26882491142499</v>
      </c>
      <c r="AT239" s="3">
        <f>AVERAGEIFS('3. Incentive Adjustment'!F:F,'3. Incentive Adjustment'!A:A,tbl_Data_old[[#This Row],[Trimmed Sector]],'3. Incentive Adjustment'!B:B,tbl_Data_old[[#This Row],[Trimmed Measure Name]])</f>
        <v>4335.1908026959672</v>
      </c>
      <c r="AU239" s="3">
        <f>IFERROR(VLOOKUP(tbl_Data_old[[#This Row],[All_Meas_Name_Append]],'IRA Tax Credits'!$A$3:$D$46,4,0),0)</f>
        <v>500</v>
      </c>
      <c r="AV239" s="4">
        <f>tbl_Data_old[[#This Row],[Adj. per unit Incentive ($)]]/tbl_Data_old[[#This Row],[kWh Savings]]*tbl_Data_old[[#This Row],[Sum of Annuals]]</f>
        <v>183.31948772798393</v>
      </c>
      <c r="AW239" s="4">
        <f>IFERROR(VLOOKUP(tbl_Data_old[[#This Row],[All_Programs]],'1. Set Program Names'!$B$2:$D$15,3,0)*tbl_Data_old[[#This Row],[Sum of Annuals]],"")</f>
        <v>28.880922692377556</v>
      </c>
      <c r="AX239" s="4">
        <f>tbl_Data_old[[#This Row],[per unit IRA tax ($)]]/tbl_Data_old[[#This Row],[kWh Savings]]*tbl_Data_old[[#This Row],[Sum of Annuals]]</f>
        <v>21.143185625645504</v>
      </c>
      <c r="AY239" s="4">
        <f>tbl_Data_old[[#This Row],[Avoided Costs ($/unit)]]/tbl_Data_old[[#This Row],[kWh Savings]]*tbl_Data_old[[#This Row],[Sum of Annuals]]</f>
        <v>508.05509358340242</v>
      </c>
      <c r="AZ239" s="4">
        <f>tbl_Data_old[[#This Row],[Lost Revenue ($/unit)]]/tbl_Data_old[[#This Row],[kWh Savings]]*tbl_Data_old[[#This Row],[Sum of Annuals]]</f>
        <v>1250.6421979699794</v>
      </c>
      <c r="BA239" s="4">
        <f>tbl_Data_old[[#This Row],[Incremental Cost ($/unit)]]/tbl_Data_old[[#This Row],[kWh Savings]]*tbl_Data_old[[#This Row],[Sum of Annuals]]</f>
        <v>1460.5197723498895</v>
      </c>
      <c r="BB239">
        <f>ROUNDUP(tbl_Data_old[[#This Row],[Adjusted 2025]]/$L239,0)</f>
        <v>1</v>
      </c>
      <c r="BC239">
        <f>ROUNDUP(tbl_Data_old[[#This Row],[Adjusted 2026]]/$L239,0)</f>
        <v>1</v>
      </c>
      <c r="BD239">
        <f>ROUNDUP(tbl_Data_old[[#This Row],[Adjusted 2027]]/$L239,0)</f>
        <v>1</v>
      </c>
      <c r="BE239">
        <f>ROUNDUP(tbl_Data_old[[#This Row],[Adjusted 2028]]/$L239,0)</f>
        <v>1</v>
      </c>
      <c r="BF239">
        <f>ROUNDUP(tbl_Data_old[[#This Row],[Adjusted 2029]]/$L239,0)</f>
        <v>1</v>
      </c>
      <c r="BG239">
        <f>ROUNDUP(tbl_Data_old[[#This Row],[Adjusted 2030]]/$L239,0)</f>
        <v>1</v>
      </c>
      <c r="BH239">
        <f>ROUNDUP(tbl_Data_old[[#This Row],[Adjusted 2031]]/$L239,0)</f>
        <v>1</v>
      </c>
      <c r="BI239">
        <f>ROUNDUP(tbl_Data_old[[#This Row],[Adjusted 2032]]/$L239,0)</f>
        <v>1</v>
      </c>
      <c r="BJ239">
        <f>ROUNDUP(tbl_Data_old[[#This Row],[Adjusted 2033]]/$L239,0)</f>
        <v>1</v>
      </c>
      <c r="BK239">
        <f>ROUNDUP(tbl_Data_old[[#This Row],[Adjusted 2034]]/$L239,0)</f>
        <v>1</v>
      </c>
      <c r="BL239" s="3">
        <f t="shared" si="16"/>
        <v>366.49431869740715</v>
      </c>
      <c r="BM239" s="3">
        <f t="shared" si="16"/>
        <v>359.09807449862518</v>
      </c>
      <c r="BN239" s="3">
        <f t="shared" si="16"/>
        <v>348.60649604937203</v>
      </c>
      <c r="BO239" s="3">
        <f t="shared" si="16"/>
        <v>338.34451220104347</v>
      </c>
      <c r="BP239" s="3">
        <f t="shared" si="16"/>
        <v>328.41261912547566</v>
      </c>
      <c r="BQ239" s="3">
        <f t="shared" si="15"/>
        <v>317.90324802124746</v>
      </c>
      <c r="BR239" s="3">
        <f t="shared" si="15"/>
        <v>307.48461830889227</v>
      </c>
      <c r="BS239" s="3">
        <f t="shared" si="15"/>
        <v>297.67522717881826</v>
      </c>
      <c r="BT239" s="3">
        <f t="shared" si="15"/>
        <v>287.96949380863731</v>
      </c>
      <c r="BU239" s="3">
        <f t="shared" si="15"/>
        <v>278.5412374596836</v>
      </c>
      <c r="BV239">
        <f>VLOOKUP($H239,'1. Set Program Names'!$B$2:$D$15,3,0)*V239</f>
        <v>57.73905555093711</v>
      </c>
      <c r="BW239">
        <f>VLOOKUP($H239,'1. Set Program Names'!$B$2:$D$15,3,0)*W239</f>
        <v>56.573820149254495</v>
      </c>
      <c r="BX239">
        <f>VLOOKUP($H239,'1. Set Program Names'!$B$2:$D$15,3,0)*X239</f>
        <v>54.920932778308384</v>
      </c>
      <c r="BY239">
        <f>VLOOKUP($H239,'1. Set Program Names'!$B$2:$D$15,3,0)*Y239</f>
        <v>53.304216705908182</v>
      </c>
      <c r="BZ239">
        <f>VLOOKUP($H239,'1. Set Program Names'!$B$2:$D$15,3,0)*Z239</f>
        <v>51.739504521407312</v>
      </c>
      <c r="CA239">
        <f>VLOOKUP($H239,'1. Set Program Names'!$B$2:$D$15,3,0)*AA239</f>
        <v>50.083814020803828</v>
      </c>
      <c r="CB239">
        <f>VLOOKUP($H239,'1. Set Program Names'!$B$2:$D$15,3,0)*AB239</f>
        <v>48.442419300513507</v>
      </c>
      <c r="CC239">
        <f>VLOOKUP($H239,'1. Set Program Names'!$B$2:$D$15,3,0)*AC239</f>
        <v>46.897006587450846</v>
      </c>
      <c r="CD239">
        <f>VLOOKUP($H239,'1. Set Program Names'!$B$2:$D$15,3,0)*AD239</f>
        <v>45.367924553614046</v>
      </c>
      <c r="CE239">
        <f>VLOOKUP($H239,'1. Set Program Names'!$B$2:$D$15,3,0)*AE239</f>
        <v>43.882557416094585</v>
      </c>
    </row>
    <row r="240" spans="1:83" x14ac:dyDescent="0.25">
      <c r="A240" s="20" t="s">
        <v>87</v>
      </c>
      <c r="B240" s="20" t="s">
        <v>88</v>
      </c>
      <c r="C240" s="20" t="s">
        <v>122</v>
      </c>
      <c r="D240" s="20" t="s">
        <v>90</v>
      </c>
      <c r="E240" s="20" t="s">
        <v>91</v>
      </c>
      <c r="F240" s="20" t="s">
        <v>90</v>
      </c>
      <c r="G240" s="20" t="s">
        <v>92</v>
      </c>
      <c r="H240" s="20" t="s">
        <v>14</v>
      </c>
      <c r="I240" s="20" t="s">
        <v>128</v>
      </c>
      <c r="J240" s="20" t="s">
        <v>129</v>
      </c>
      <c r="K240" s="20" t="s">
        <v>130</v>
      </c>
      <c r="L240" s="53">
        <v>2045.1799999999989</v>
      </c>
      <c r="M240" s="53">
        <v>0.47104509500000002</v>
      </c>
      <c r="N240" s="53">
        <v>0.17900382200000001</v>
      </c>
      <c r="O240" s="53">
        <f>19591.5999999999/60160.456*2045.18</f>
        <v>666.02468053100858</v>
      </c>
      <c r="P240" s="53">
        <f>11310.7385995848/60160.456*2045.18</f>
        <v>384.51331501042552</v>
      </c>
      <c r="Q240" s="53">
        <f>2141.69388188172/60160.456*2045.18</f>
        <v>72.807784125619918</v>
      </c>
      <c r="R240" s="53">
        <f>32581.871747558/60160.456*2045.18</f>
        <v>1107.6344311730397</v>
      </c>
      <c r="S240" s="53">
        <f>77209.8271220691/60160.456*2045.18</f>
        <v>2624.780540784353</v>
      </c>
      <c r="T240" s="20">
        <v>20</v>
      </c>
      <c r="U240" s="20">
        <v>0.94999999999999896</v>
      </c>
      <c r="V240" s="20">
        <v>71532.417948300601</v>
      </c>
      <c r="W240" s="20">
        <v>70550.517950873895</v>
      </c>
      <c r="X240" s="20">
        <v>69203.456075722293</v>
      </c>
      <c r="Y240" s="20">
        <v>67886.544567698598</v>
      </c>
      <c r="Z240" s="20">
        <v>66499.858645398403</v>
      </c>
      <c r="AA240" s="20">
        <v>65000.321808992201</v>
      </c>
      <c r="AB240" s="20">
        <v>63390.813420818398</v>
      </c>
      <c r="AC240" s="20">
        <v>61809.719593989998</v>
      </c>
      <c r="AD240" s="20">
        <v>60341.612212040498</v>
      </c>
      <c r="AE240" s="20">
        <v>58836.546857914298</v>
      </c>
      <c r="AF240" t="str">
        <f t="shared" si="14"/>
        <v>NonResidential</v>
      </c>
      <c r="AG240" t="str">
        <f>tbl_Data_old[[#This Row],[All_Meas_Name_Append]]</f>
        <v>Commercial Duct Sealing</v>
      </c>
      <c r="AH240">
        <f>AVERAGEIFS('3. Incentive Adjustment'!G:G,'3. Incentive Adjustment'!A:A,tbl_Data_old[[#This Row],[Trimmed Sector]],'3. Incentive Adjustment'!B:B,tbl_Data_old[[#This Row],[Trimmed Measure Name]])</f>
        <v>0.69277112909915817</v>
      </c>
      <c r="AI240">
        <f>$AH240*tbl_Data_old[[#This Row],[2025 ]]</f>
        <v>49555.593949237096</v>
      </c>
      <c r="AJ240">
        <f>$AH240*tbl_Data_old[[#This Row],[2026 ]]</f>
        <v>48875.361979357338</v>
      </c>
      <c r="AK240">
        <f>$AH240*tbl_Data_old[[#This Row],[2027 ]]</f>
        <v>47942.156403142129</v>
      </c>
      <c r="AL240">
        <f>$AH240*tbl_Data_old[[#This Row],[2028 ]]</f>
        <v>47029.838130804877</v>
      </c>
      <c r="AM240">
        <f>$AH240*tbl_Data_old[[#This Row],[2029 ]]</f>
        <v>46069.182158707066</v>
      </c>
      <c r="AN240">
        <f>$AH240*tbl_Data_old[[#This Row],[2030 ]]</f>
        <v>45030.34633142416</v>
      </c>
      <c r="AO240">
        <f>$AH240*tbl_Data_old[[#This Row],[2031 ]]</f>
        <v>43915.325388054429</v>
      </c>
      <c r="AP240">
        <f>$AH240*tbl_Data_old[[#This Row],[2032 ]]</f>
        <v>42819.989232430809</v>
      </c>
      <c r="AQ240">
        <f>$AH240*tbl_Data_old[[#This Row],[2033 ]]</f>
        <v>41802.926823798844</v>
      </c>
      <c r="AR240">
        <f>$AH240*tbl_Data_old[[#This Row],[2034 ]]</f>
        <v>40760.260999052814</v>
      </c>
      <c r="AS240">
        <f>SUM(tbl_Data_old[[#This Row],[Adjusted 2025]:[Adjusted 2034]])</f>
        <v>453800.98139600956</v>
      </c>
      <c r="AT240" s="3">
        <f>AVERAGEIFS('3. Incentive Adjustment'!F:F,'3. Incentive Adjustment'!A:A,tbl_Data_old[[#This Row],[Trimmed Sector]],'3. Incentive Adjustment'!B:B,tbl_Data_old[[#This Row],[Trimmed Measure Name]])</f>
        <v>100</v>
      </c>
      <c r="AU240" s="3">
        <f>IFERROR(VLOOKUP(tbl_Data_old[[#This Row],[All_Meas_Name_Append]],'IRA Tax Credits'!$A$3:$D$46,4,0),0)</f>
        <v>0</v>
      </c>
      <c r="AV240" s="4">
        <f>tbl_Data_old[[#This Row],[Adj. per unit Incentive ($)]]/tbl_Data_old[[#This Row],[kWh Savings]]*tbl_Data_old[[#This Row],[Sum of Annuals]]</f>
        <v>22188.803987717944</v>
      </c>
      <c r="AW240" s="4">
        <f>IFERROR(VLOOKUP(tbl_Data_old[[#This Row],[All_Programs]],'1. Set Program Names'!$B$2:$D$15,3,0)*tbl_Data_old[[#This Row],[Sum of Annuals]],"")</f>
        <v>16155.176507434711</v>
      </c>
      <c r="AX240" s="4">
        <f>tbl_Data_old[[#This Row],[per unit IRA tax ($)]]/tbl_Data_old[[#This Row],[kWh Savings]]*tbl_Data_old[[#This Row],[Sum of Annuals]]</f>
        <v>0</v>
      </c>
      <c r="AY240" s="4">
        <f>tbl_Data_old[[#This Row],[Avoided Costs ($/unit)]]/tbl_Data_old[[#This Row],[kWh Savings]]*tbl_Data_old[[#This Row],[Sum of Annuals]]</f>
        <v>245770.83283346039</v>
      </c>
      <c r="AZ240" s="4">
        <f>tbl_Data_old[[#This Row],[Lost Revenue ($/unit)]]/tbl_Data_old[[#This Row],[kWh Savings]]*tbl_Data_old[[#This Row],[Sum of Annuals]]</f>
        <v>582407.4093024031</v>
      </c>
      <c r="BA240" s="4">
        <f>tbl_Data_old[[#This Row],[Incremental Cost ($/unit)]]/tbl_Data_old[[#This Row],[kWh Savings]]*tbl_Data_old[[#This Row],[Sum of Annuals]]</f>
        <v>147782.91087285013</v>
      </c>
      <c r="BB240">
        <f>ROUNDUP(tbl_Data_old[[#This Row],[Adjusted 2025]]/$L240,0)</f>
        <v>25</v>
      </c>
      <c r="BC240">
        <f>ROUNDUP(tbl_Data_old[[#This Row],[Adjusted 2026]]/$L240,0)</f>
        <v>24</v>
      </c>
      <c r="BD240">
        <f>ROUNDUP(tbl_Data_old[[#This Row],[Adjusted 2027]]/$L240,0)</f>
        <v>24</v>
      </c>
      <c r="BE240">
        <f>ROUNDUP(tbl_Data_old[[#This Row],[Adjusted 2028]]/$L240,0)</f>
        <v>23</v>
      </c>
      <c r="BF240">
        <f>ROUNDUP(tbl_Data_old[[#This Row],[Adjusted 2029]]/$L240,0)</f>
        <v>23</v>
      </c>
      <c r="BG240">
        <f>ROUNDUP(tbl_Data_old[[#This Row],[Adjusted 2030]]/$L240,0)</f>
        <v>23</v>
      </c>
      <c r="BH240">
        <f>ROUNDUP(tbl_Data_old[[#This Row],[Adjusted 2031]]/$L240,0)</f>
        <v>22</v>
      </c>
      <c r="BI240">
        <f>ROUNDUP(tbl_Data_old[[#This Row],[Adjusted 2032]]/$L240,0)</f>
        <v>21</v>
      </c>
      <c r="BJ240">
        <f>ROUNDUP(tbl_Data_old[[#This Row],[Adjusted 2033]]/$L240,0)</f>
        <v>21</v>
      </c>
      <c r="BK240">
        <f>ROUNDUP(tbl_Data_old[[#This Row],[Adjusted 2034]]/$L240,0)</f>
        <v>20</v>
      </c>
      <c r="BL240" s="3">
        <f t="shared" si="16"/>
        <v>3497.6098899999333</v>
      </c>
      <c r="BM240" s="3">
        <f t="shared" si="16"/>
        <v>3449.5994460572633</v>
      </c>
      <c r="BN240" s="3">
        <f t="shared" si="16"/>
        <v>3383.734247143153</v>
      </c>
      <c r="BO240" s="3">
        <f t="shared" si="16"/>
        <v>3319.3432640500414</v>
      </c>
      <c r="BP240" s="3">
        <f t="shared" si="16"/>
        <v>3251.540629450632</v>
      </c>
      <c r="BQ240" s="3">
        <f t="shared" si="15"/>
        <v>3178.2200984261649</v>
      </c>
      <c r="BR240" s="3">
        <f t="shared" si="15"/>
        <v>3099.5224586989134</v>
      </c>
      <c r="BS240" s="3">
        <f t="shared" si="15"/>
        <v>3022.2141617847833</v>
      </c>
      <c r="BT240" s="3">
        <f t="shared" si="15"/>
        <v>2950.4303881340779</v>
      </c>
      <c r="BU240" s="3">
        <f t="shared" si="15"/>
        <v>2876.8395377382103</v>
      </c>
      <c r="BV240">
        <f>VLOOKUP($H240,'1. Set Program Names'!$B$2:$D$15,3,0)*V240</f>
        <v>2546.532258267498</v>
      </c>
      <c r="BW240">
        <f>VLOOKUP($H240,'1. Set Program Names'!$B$2:$D$15,3,0)*W240</f>
        <v>2511.5769178839664</v>
      </c>
      <c r="BX240">
        <f>VLOOKUP($H240,'1. Set Program Names'!$B$2:$D$15,3,0)*X240</f>
        <v>2463.6219260446705</v>
      </c>
      <c r="BY240">
        <f>VLOOKUP($H240,'1. Set Program Names'!$B$2:$D$15,3,0)*Y240</f>
        <v>2416.7402780778734</v>
      </c>
      <c r="BZ240">
        <f>VLOOKUP($H240,'1. Set Program Names'!$B$2:$D$15,3,0)*Z240</f>
        <v>2367.3746822472522</v>
      </c>
      <c r="CA240">
        <f>VLOOKUP($H240,'1. Set Program Names'!$B$2:$D$15,3,0)*AA240</f>
        <v>2313.9916282991999</v>
      </c>
      <c r="CB240">
        <f>VLOOKUP($H240,'1. Set Program Names'!$B$2:$D$15,3,0)*AB240</f>
        <v>2256.6936206546238</v>
      </c>
      <c r="CC240">
        <f>VLOOKUP($H240,'1. Set Program Names'!$B$2:$D$15,3,0)*AC240</f>
        <v>2200.4071627261906</v>
      </c>
      <c r="CD240">
        <f>VLOOKUP($H240,'1. Set Program Names'!$B$2:$D$15,3,0)*AD240</f>
        <v>2148.1429877693608</v>
      </c>
      <c r="CE240">
        <f>VLOOKUP($H240,'1. Set Program Names'!$B$2:$D$15,3,0)*AE240</f>
        <v>2094.5631202769296</v>
      </c>
    </row>
    <row r="241" spans="1:83" x14ac:dyDescent="0.25">
      <c r="A241" s="20" t="s">
        <v>87</v>
      </c>
      <c r="B241" s="20" t="s">
        <v>88</v>
      </c>
      <c r="C241" s="20" t="s">
        <v>122</v>
      </c>
      <c r="D241" s="20" t="s">
        <v>90</v>
      </c>
      <c r="E241" s="20" t="s">
        <v>91</v>
      </c>
      <c r="F241" s="20" t="s">
        <v>90</v>
      </c>
      <c r="G241" s="20" t="s">
        <v>92</v>
      </c>
      <c r="H241" s="20" t="s">
        <v>14</v>
      </c>
      <c r="I241" s="20" t="s">
        <v>303</v>
      </c>
      <c r="J241" s="20" t="s">
        <v>129</v>
      </c>
      <c r="K241" s="20" t="s">
        <v>298</v>
      </c>
      <c r="L241" s="20">
        <v>2407.8671428571402</v>
      </c>
      <c r="M241" s="20">
        <v>0.43509988390469401</v>
      </c>
      <c r="N241" s="20">
        <v>0.148929049658067</v>
      </c>
      <c r="O241" s="20">
        <v>1278.9912095238201</v>
      </c>
      <c r="P241" s="20">
        <v>9094.9443435978392</v>
      </c>
      <c r="Q241" s="20">
        <v>85.719335775001198</v>
      </c>
      <c r="R241" s="20">
        <v>1364.7105452988201</v>
      </c>
      <c r="S241" s="20">
        <v>3090.2526043504499</v>
      </c>
      <c r="T241" s="20">
        <v>20</v>
      </c>
      <c r="U241" s="20">
        <v>0.94999999999999896</v>
      </c>
      <c r="V241" s="20">
        <v>28072.250171408199</v>
      </c>
      <c r="W241" s="20">
        <v>26666.248252245299</v>
      </c>
      <c r="X241" s="20">
        <v>25027.839032100601</v>
      </c>
      <c r="Y241" s="20">
        <v>23396.175106937699</v>
      </c>
      <c r="Z241" s="20">
        <v>21779.351524101701</v>
      </c>
      <c r="AA241" s="20">
        <v>20168.662998845401</v>
      </c>
      <c r="AB241" s="20">
        <v>18600.882186385199</v>
      </c>
      <c r="AC241" s="20">
        <v>17125.229149766801</v>
      </c>
      <c r="AD241" s="20">
        <v>15757.4195998343</v>
      </c>
      <c r="AE241" s="20">
        <v>14473.2402706666</v>
      </c>
      <c r="AF241" t="str">
        <f t="shared" si="14"/>
        <v>NonResidential</v>
      </c>
      <c r="AG241" t="str">
        <f>tbl_Data_old[[#This Row],[All_Meas_Name_Append]]</f>
        <v>Energy Star windows</v>
      </c>
      <c r="AH241">
        <f>AVERAGEIFS('3. Incentive Adjustment'!G:G,'3. Incentive Adjustment'!A:A,tbl_Data_old[[#This Row],[Trimmed Sector]],'3. Incentive Adjustment'!B:B,tbl_Data_old[[#This Row],[Trimmed Measure Name]])</f>
        <v>1.8374525511831319E-4</v>
      </c>
      <c r="AI241">
        <f>$AH241*tbl_Data_old[[#This Row],[2025 ]]</f>
        <v>5.1581427694905111</v>
      </c>
      <c r="AJ241">
        <f>$AH241*tbl_Data_old[[#This Row],[2026 ]]</f>
        <v>4.899796588157086</v>
      </c>
      <c r="AK241">
        <f>$AH241*tbl_Data_old[[#This Row],[2027 ]]</f>
        <v>4.5987466680134013</v>
      </c>
      <c r="AL241">
        <f>$AH241*tbl_Data_old[[#This Row],[2028 ]]</f>
        <v>4.2989361638169958</v>
      </c>
      <c r="AM241">
        <f>$AH241*tbl_Data_old[[#This Row],[2029 ]]</f>
        <v>4.0018525021074902</v>
      </c>
      <c r="AN241">
        <f>$AH241*tbl_Data_old[[#This Row],[2030 ]]</f>
        <v>3.7058961281181317</v>
      </c>
      <c r="AO241">
        <f>$AH241*tbl_Data_old[[#This Row],[2031 ]]</f>
        <v>3.4178238427630356</v>
      </c>
      <c r="AP241">
        <f>$AH241*tbl_Data_old[[#This Row],[2032 ]]</f>
        <v>3.1466795990834746</v>
      </c>
      <c r="AQ241">
        <f>$AH241*tbl_Data_old[[#This Row],[2033 ]]</f>
        <v>2.8953510843778623</v>
      </c>
      <c r="AR241">
        <f>$AH241*tbl_Data_old[[#This Row],[2034 ]]</f>
        <v>2.6593892259222787</v>
      </c>
      <c r="AS241">
        <f>SUM(tbl_Data_old[[#This Row],[Adjusted 2025]:[Adjusted 2034]])</f>
        <v>38.782614571850267</v>
      </c>
      <c r="AT241" s="3">
        <f>AVERAGEIFS('3. Incentive Adjustment'!F:F,'3. Incentive Adjustment'!A:A,tbl_Data_old[[#This Row],[Trimmed Sector]],'3. Incentive Adjustment'!B:B,tbl_Data_old[[#This Row],[Trimmed Measure Name]])</f>
        <v>1244.9532966663394</v>
      </c>
      <c r="AU241" s="3">
        <f>IFERROR(VLOOKUP(tbl_Data_old[[#This Row],[All_Meas_Name_Append]],'IRA Tax Credits'!$A$3:$D$46,4,0),0)</f>
        <v>250</v>
      </c>
      <c r="AV241" s="4">
        <f>tbl_Data_old[[#This Row],[Adj. per unit Incentive ($)]]/tbl_Data_old[[#This Row],[kWh Savings]]*tbl_Data_old[[#This Row],[Sum of Annuals]]</f>
        <v>20.051996642669263</v>
      </c>
      <c r="AW241" s="4">
        <f>IFERROR(VLOOKUP(tbl_Data_old[[#This Row],[All_Programs]],'1. Set Program Names'!$B$2:$D$15,3,0)*tbl_Data_old[[#This Row],[Sum of Annuals]],"")</f>
        <v>1.3806492482688137</v>
      </c>
      <c r="AX241" s="4">
        <f>tbl_Data_old[[#This Row],[per unit IRA tax ($)]]/tbl_Data_old[[#This Row],[kWh Savings]]*tbl_Data_old[[#This Row],[Sum of Annuals]]</f>
        <v>4.0266564007588244</v>
      </c>
      <c r="AY241" s="4">
        <f>tbl_Data_old[[#This Row],[Avoided Costs ($/unit)]]/tbl_Data_old[[#This Row],[kWh Savings]]*tbl_Data_old[[#This Row],[Sum of Annuals]]</f>
        <v>21.980881809642238</v>
      </c>
      <c r="AZ241" s="4">
        <f>tbl_Data_old[[#This Row],[Lost Revenue ($/unit)]]/tbl_Data_old[[#This Row],[kWh Savings]]*tbl_Data_old[[#This Row],[Sum of Annuals]]</f>
        <v>49.773541717077471</v>
      </c>
      <c r="BA241" s="4">
        <f>tbl_Data_old[[#This Row],[Incremental Cost ($/unit)]]/tbl_Data_old[[#This Row],[kWh Savings]]*tbl_Data_old[[#This Row],[Sum of Annuals]]</f>
        <v>20.600232561373446</v>
      </c>
      <c r="BB241">
        <f>ROUNDUP(tbl_Data_old[[#This Row],[Adjusted 2025]]/$L241,0)</f>
        <v>1</v>
      </c>
      <c r="BC241">
        <f>ROUNDUP(tbl_Data_old[[#This Row],[Adjusted 2026]]/$L241,0)</f>
        <v>1</v>
      </c>
      <c r="BD241">
        <f>ROUNDUP(tbl_Data_old[[#This Row],[Adjusted 2027]]/$L241,0)</f>
        <v>1</v>
      </c>
      <c r="BE241">
        <f>ROUNDUP(tbl_Data_old[[#This Row],[Adjusted 2028]]/$L241,0)</f>
        <v>1</v>
      </c>
      <c r="BF241">
        <f>ROUNDUP(tbl_Data_old[[#This Row],[Adjusted 2029]]/$L241,0)</f>
        <v>1</v>
      </c>
      <c r="BG241">
        <f>ROUNDUP(tbl_Data_old[[#This Row],[Adjusted 2030]]/$L241,0)</f>
        <v>1</v>
      </c>
      <c r="BH241">
        <f>ROUNDUP(tbl_Data_old[[#This Row],[Adjusted 2031]]/$L241,0)</f>
        <v>1</v>
      </c>
      <c r="BI241">
        <f>ROUNDUP(tbl_Data_old[[#This Row],[Adjusted 2032]]/$L241,0)</f>
        <v>1</v>
      </c>
      <c r="BJ241">
        <f>ROUNDUP(tbl_Data_old[[#This Row],[Adjusted 2033]]/$L241,0)</f>
        <v>1</v>
      </c>
      <c r="BK241">
        <f>ROUNDUP(tbl_Data_old[[#This Row],[Adjusted 2034]]/$L241,0)</f>
        <v>1</v>
      </c>
      <c r="BL241" s="3">
        <f t="shared" si="16"/>
        <v>14514.355785538608</v>
      </c>
      <c r="BM241" s="3">
        <f t="shared" si="16"/>
        <v>13787.402585660626</v>
      </c>
      <c r="BN241" s="3">
        <f t="shared" si="16"/>
        <v>12940.286512019064</v>
      </c>
      <c r="BO241" s="3">
        <f t="shared" si="16"/>
        <v>12096.657996754417</v>
      </c>
      <c r="BP241" s="3">
        <f t="shared" si="16"/>
        <v>11260.702468414462</v>
      </c>
      <c r="BQ241" s="3">
        <f t="shared" si="16"/>
        <v>10427.918983923248</v>
      </c>
      <c r="BR241" s="3">
        <f t="shared" si="16"/>
        <v>9617.320319161965</v>
      </c>
      <c r="BS241" s="3">
        <f t="shared" si="16"/>
        <v>8854.3550043506712</v>
      </c>
      <c r="BT241" s="3">
        <f t="shared" si="16"/>
        <v>8147.1486231964436</v>
      </c>
      <c r="BU241" s="3">
        <f t="shared" si="16"/>
        <v>7483.1820525736757</v>
      </c>
      <c r="BV241">
        <f>VLOOKUP($H241,'1. Set Program Names'!$B$2:$D$15,3,0)*V241</f>
        <v>999.36354276899704</v>
      </c>
      <c r="BW241">
        <f>VLOOKUP($H241,'1. Set Program Names'!$B$2:$D$15,3,0)*W241</f>
        <v>949.31030334233515</v>
      </c>
      <c r="BX241">
        <f>VLOOKUP($H241,'1. Set Program Names'!$B$2:$D$15,3,0)*X241</f>
        <v>890.98343489568435</v>
      </c>
      <c r="BY241">
        <f>VLOOKUP($H241,'1. Set Program Names'!$B$2:$D$15,3,0)*Y241</f>
        <v>832.896696892759</v>
      </c>
      <c r="BZ241">
        <f>VLOOKUP($H241,'1. Set Program Names'!$B$2:$D$15,3,0)*Z241</f>
        <v>775.3382705496814</v>
      </c>
      <c r="CA241">
        <f>VLOOKUP($H241,'1. Set Program Names'!$B$2:$D$15,3,0)*AA241</f>
        <v>717.9982503849651</v>
      </c>
      <c r="CB241">
        <f>VLOOKUP($H241,'1. Set Program Names'!$B$2:$D$15,3,0)*AB241</f>
        <v>662.18573170695527</v>
      </c>
      <c r="CC241">
        <f>VLOOKUP($H241,'1. Set Program Names'!$B$2:$D$15,3,0)*AC241</f>
        <v>609.65293374568614</v>
      </c>
      <c r="CD241">
        <f>VLOOKUP($H241,'1. Set Program Names'!$B$2:$D$15,3,0)*AD241</f>
        <v>560.95933101318951</v>
      </c>
      <c r="CE241">
        <f>VLOOKUP($H241,'1. Set Program Names'!$B$2:$D$15,3,0)*AE241</f>
        <v>515.24293862883906</v>
      </c>
    </row>
    <row r="242" spans="1:83" x14ac:dyDescent="0.25">
      <c r="A242" s="20" t="s">
        <v>87</v>
      </c>
      <c r="B242" s="20" t="s">
        <v>88</v>
      </c>
      <c r="C242" s="20" t="s">
        <v>122</v>
      </c>
      <c r="D242" s="20" t="s">
        <v>90</v>
      </c>
      <c r="E242" s="20" t="s">
        <v>91</v>
      </c>
      <c r="F242" s="20" t="s">
        <v>90</v>
      </c>
      <c r="G242" s="20" t="s">
        <v>92</v>
      </c>
      <c r="H242" s="20" t="s">
        <v>14</v>
      </c>
      <c r="I242" s="20" t="s">
        <v>143</v>
      </c>
      <c r="J242" s="20" t="s">
        <v>144</v>
      </c>
      <c r="K242" s="20" t="s">
        <v>108</v>
      </c>
      <c r="L242" s="20">
        <v>6670.6049999999896</v>
      </c>
      <c r="M242" s="20">
        <v>1.04667148638823</v>
      </c>
      <c r="N242" s="20">
        <v>1.5598507965563999</v>
      </c>
      <c r="O242" s="20">
        <v>2431.625</v>
      </c>
      <c r="P242" s="20">
        <v>977.24379425036398</v>
      </c>
      <c r="Q242" s="20">
        <v>237.47150315731801</v>
      </c>
      <c r="R242" s="20">
        <v>3400.8076679878</v>
      </c>
      <c r="S242" s="20">
        <v>7245.0779694633802</v>
      </c>
      <c r="T242" s="20">
        <v>15</v>
      </c>
      <c r="U242" s="20">
        <v>0.95</v>
      </c>
      <c r="V242" s="20">
        <v>32164.032906833199</v>
      </c>
      <c r="W242" s="20">
        <v>35369.893567558502</v>
      </c>
      <c r="X242" s="20">
        <v>37989.296855553403</v>
      </c>
      <c r="Y242" s="20">
        <v>40268.318598324797</v>
      </c>
      <c r="Z242" s="20">
        <v>42218.429291911103</v>
      </c>
      <c r="AA242" s="20">
        <v>43824.002793888998</v>
      </c>
      <c r="AB242" s="20">
        <v>45144.834967372197</v>
      </c>
      <c r="AC242" s="20">
        <v>46307.185275902099</v>
      </c>
      <c r="AD242" s="20">
        <v>47348.510058314103</v>
      </c>
      <c r="AE242" s="20">
        <v>48242.5655914741</v>
      </c>
      <c r="AF242" t="str">
        <f t="shared" si="14"/>
        <v>NonResidential</v>
      </c>
      <c r="AG242" t="str">
        <f>tbl_Data_old[[#This Row],[All_Meas_Name_Append]]</f>
        <v>Heat Pump Water Heater</v>
      </c>
      <c r="AH242">
        <f>AVERAGEIFS('3. Incentive Adjustment'!G:G,'3. Incentive Adjustment'!A:A,tbl_Data_old[[#This Row],[Trimmed Sector]],'3. Incentive Adjustment'!B:B,tbl_Data_old[[#This Row],[Trimmed Measure Name]])</f>
        <v>0.82797588322898052</v>
      </c>
      <c r="AI242">
        <f>$AH242*tbl_Data_old[[#This Row],[2025 ]]</f>
        <v>26631.043554241212</v>
      </c>
      <c r="AJ242">
        <f>$AH242*tbl_Data_old[[#This Row],[2026 ]]</f>
        <v>29285.418866314289</v>
      </c>
      <c r="AK242">
        <f>$AH242*tbl_Data_old[[#This Row],[2027 ]]</f>
        <v>31454.221617224761</v>
      </c>
      <c r="AL242">
        <f>$AH242*tbl_Data_old[[#This Row],[2028 ]]</f>
        <v>33341.196657593959</v>
      </c>
      <c r="AM242">
        <f>$AH242*tbl_Data_old[[#This Row],[2029 ]]</f>
        <v>34955.841281510358</v>
      </c>
      <c r="AN242">
        <f>$AH242*tbl_Data_old[[#This Row],[2030 ]]</f>
        <v>36285.217419899556</v>
      </c>
      <c r="AO242">
        <f>$AH242*tbl_Data_old[[#This Row],[2031 ]]</f>
        <v>37378.83460533656</v>
      </c>
      <c r="AP242">
        <f>$AH242*tbl_Data_old[[#This Row],[2032 ]]</f>
        <v>38341.232628663085</v>
      </c>
      <c r="AQ242">
        <f>$AH242*tbl_Data_old[[#This Row],[2033 ]]</f>
        <v>39203.424435108886</v>
      </c>
      <c r="AR242">
        <f>$AH242*tbl_Data_old[[#This Row],[2034 ]]</f>
        <v>39943.68085483279</v>
      </c>
      <c r="AS242">
        <f>SUM(tbl_Data_old[[#This Row],[Adjusted 2025]:[Adjusted 2034]])</f>
        <v>346820.1119207255</v>
      </c>
      <c r="AT242" s="3">
        <f>AVERAGEIFS('3. Incentive Adjustment'!F:F,'3. Incentive Adjustment'!A:A,tbl_Data_old[[#This Row],[Trimmed Sector]],'3. Incentive Adjustment'!B:B,tbl_Data_old[[#This Row],[Trimmed Measure Name]])</f>
        <v>500</v>
      </c>
      <c r="AU242" s="3">
        <f>IFERROR(VLOOKUP(tbl_Data_old[[#This Row],[All_Meas_Name_Append]],'IRA Tax Credits'!$A$3:$D$46,4,0),0)</f>
        <v>0</v>
      </c>
      <c r="AV242" s="4">
        <f>tbl_Data_old[[#This Row],[Adj. per unit Incentive ($)]]/tbl_Data_old[[#This Row],[kWh Savings]]*tbl_Data_old[[#This Row],[Sum of Annuals]]</f>
        <v>25996.151167752105</v>
      </c>
      <c r="AW242" s="4">
        <f>IFERROR(VLOOKUP(tbl_Data_old[[#This Row],[All_Programs]],'1. Set Program Names'!$B$2:$D$15,3,0)*tbl_Data_old[[#This Row],[Sum of Annuals]],"")</f>
        <v>12346.690188221904</v>
      </c>
      <c r="AX242" s="4">
        <f>tbl_Data_old[[#This Row],[per unit IRA tax ($)]]/tbl_Data_old[[#This Row],[kWh Savings]]*tbl_Data_old[[#This Row],[Sum of Annuals]]</f>
        <v>0</v>
      </c>
      <c r="AY242" s="4">
        <f>tbl_Data_old[[#This Row],[Avoided Costs ($/unit)]]/tbl_Data_old[[#This Row],[kWh Savings]]*tbl_Data_old[[#This Row],[Sum of Annuals]]</f>
        <v>176815.82045892271</v>
      </c>
      <c r="AZ242" s="4">
        <f>tbl_Data_old[[#This Row],[Lost Revenue ($/unit)]]/tbl_Data_old[[#This Row],[kWh Savings]]*tbl_Data_old[[#This Row],[Sum of Annuals]]</f>
        <v>376688.28423264099</v>
      </c>
      <c r="BA242" s="4">
        <f>tbl_Data_old[[#This Row],[Incremental Cost ($/unit)]]/tbl_Data_old[[#This Row],[kWh Savings]]*tbl_Data_old[[#This Row],[Sum of Annuals]]</f>
        <v>126425.78216657043</v>
      </c>
      <c r="BB242">
        <f>ROUNDUP(tbl_Data_old[[#This Row],[Adjusted 2025]]/$L242,0)</f>
        <v>4</v>
      </c>
      <c r="BC242">
        <f>ROUNDUP(tbl_Data_old[[#This Row],[Adjusted 2026]]/$L242,0)</f>
        <v>5</v>
      </c>
      <c r="BD242">
        <f>ROUNDUP(tbl_Data_old[[#This Row],[Adjusted 2027]]/$L242,0)</f>
        <v>5</v>
      </c>
      <c r="BE242">
        <f>ROUNDUP(tbl_Data_old[[#This Row],[Adjusted 2028]]/$L242,0)</f>
        <v>5</v>
      </c>
      <c r="BF242">
        <f>ROUNDUP(tbl_Data_old[[#This Row],[Adjusted 2029]]/$L242,0)</f>
        <v>6</v>
      </c>
      <c r="BG242">
        <f>ROUNDUP(tbl_Data_old[[#This Row],[Adjusted 2030]]/$L242,0)</f>
        <v>6</v>
      </c>
      <c r="BH242">
        <f>ROUNDUP(tbl_Data_old[[#This Row],[Adjusted 2031]]/$L242,0)</f>
        <v>6</v>
      </c>
      <c r="BI242">
        <f>ROUNDUP(tbl_Data_old[[#This Row],[Adjusted 2032]]/$L242,0)</f>
        <v>6</v>
      </c>
      <c r="BJ242">
        <f>ROUNDUP(tbl_Data_old[[#This Row],[Adjusted 2033]]/$L242,0)</f>
        <v>6</v>
      </c>
      <c r="BK242">
        <f>ROUNDUP(tbl_Data_old[[#This Row],[Adjusted 2034]]/$L242,0)</f>
        <v>6</v>
      </c>
      <c r="BL242" s="3">
        <f t="shared" ref="BL242:BU267" si="17">$AT242/$L242*V242</f>
        <v>2410.878241691215</v>
      </c>
      <c r="BM242" s="3">
        <f t="shared" si="17"/>
        <v>2651.1758354421045</v>
      </c>
      <c r="BN242" s="3">
        <f t="shared" si="17"/>
        <v>2847.5150946243607</v>
      </c>
      <c r="BO242" s="3">
        <f t="shared" si="17"/>
        <v>3018.3408100408328</v>
      </c>
      <c r="BP242" s="3">
        <f t="shared" si="17"/>
        <v>3164.5127609797892</v>
      </c>
      <c r="BQ242" s="3">
        <f t="shared" si="17"/>
        <v>3284.859678686496</v>
      </c>
      <c r="BR242" s="3">
        <f t="shared" si="17"/>
        <v>3383.863605128191</v>
      </c>
      <c r="BS242" s="3">
        <f t="shared" si="17"/>
        <v>3470.9884092898751</v>
      </c>
      <c r="BT242" s="3">
        <f t="shared" si="17"/>
        <v>3549.0416580140918</v>
      </c>
      <c r="BU242" s="3">
        <f t="shared" si="17"/>
        <v>3616.0562341402451</v>
      </c>
      <c r="BV242">
        <f>VLOOKUP($H242,'1. Set Program Names'!$B$2:$D$15,3,0)*V242</f>
        <v>1145.0297599673677</v>
      </c>
      <c r="BW242">
        <f>VLOOKUP($H242,'1. Set Program Names'!$B$2:$D$15,3,0)*W242</f>
        <v>1259.1574215535882</v>
      </c>
      <c r="BX242">
        <f>VLOOKUP($H242,'1. Set Program Names'!$B$2:$D$15,3,0)*X242</f>
        <v>1352.4073795671973</v>
      </c>
      <c r="BY242">
        <f>VLOOKUP($H242,'1. Set Program Names'!$B$2:$D$15,3,0)*Y242</f>
        <v>1433.5398584029451</v>
      </c>
      <c r="BZ242">
        <f>VLOOKUP($H242,'1. Set Program Names'!$B$2:$D$15,3,0)*Z242</f>
        <v>1502.9632042207681</v>
      </c>
      <c r="CA242">
        <f>VLOOKUP($H242,'1. Set Program Names'!$B$2:$D$15,3,0)*AA242</f>
        <v>1560.1211311170916</v>
      </c>
      <c r="CB242">
        <f>VLOOKUP($H242,'1. Set Program Names'!$B$2:$D$15,3,0)*AB242</f>
        <v>1607.1423535782633</v>
      </c>
      <c r="CC242">
        <f>VLOOKUP($H242,'1. Set Program Names'!$B$2:$D$15,3,0)*AC242</f>
        <v>1648.5216699913874</v>
      </c>
      <c r="CD242">
        <f>VLOOKUP($H242,'1. Set Program Names'!$B$2:$D$15,3,0)*AD242</f>
        <v>1685.5925145930908</v>
      </c>
      <c r="CE242">
        <f>VLOOKUP($H242,'1. Set Program Names'!$B$2:$D$15,3,0)*AE242</f>
        <v>1717.420618845347</v>
      </c>
    </row>
    <row r="243" spans="1:83" x14ac:dyDescent="0.25">
      <c r="A243" s="20" t="s">
        <v>87</v>
      </c>
      <c r="B243" s="20" t="s">
        <v>88</v>
      </c>
      <c r="C243" s="20" t="s">
        <v>122</v>
      </c>
      <c r="D243" s="20" t="s">
        <v>90</v>
      </c>
      <c r="E243" s="20" t="s">
        <v>91</v>
      </c>
      <c r="F243" s="20" t="s">
        <v>90</v>
      </c>
      <c r="G243" s="20" t="s">
        <v>92</v>
      </c>
      <c r="H243" s="20" t="s">
        <v>14</v>
      </c>
      <c r="I243" s="20" t="s">
        <v>157</v>
      </c>
      <c r="J243" s="20" t="s">
        <v>158</v>
      </c>
      <c r="K243" s="20" t="s">
        <v>159</v>
      </c>
      <c r="L243" s="20">
        <v>562.52</v>
      </c>
      <c r="M243" s="20">
        <v>0</v>
      </c>
      <c r="N243" s="20">
        <v>2.7796637938074201E-2</v>
      </c>
      <c r="O243" s="20">
        <v>169</v>
      </c>
      <c r="P243" s="20">
        <v>53.285725702774101</v>
      </c>
      <c r="Q243" s="20">
        <v>20.025540405413601</v>
      </c>
      <c r="R243" s="20">
        <v>275.373630058213</v>
      </c>
      <c r="S243" s="20">
        <v>610.96426176974103</v>
      </c>
      <c r="T243" s="20">
        <v>15</v>
      </c>
      <c r="U243" s="20">
        <v>0.2</v>
      </c>
      <c r="V243" s="20">
        <v>75.2721609243507</v>
      </c>
      <c r="W243" s="20">
        <v>81.9871631703068</v>
      </c>
      <c r="X243" s="20">
        <v>87.2897917480187</v>
      </c>
      <c r="Y243" s="20">
        <v>91.729848761291606</v>
      </c>
      <c r="Z243" s="20">
        <v>95.327327719592006</v>
      </c>
      <c r="AA243" s="20">
        <v>98.091295535866806</v>
      </c>
      <c r="AB243" s="20">
        <v>100.14674838805701</v>
      </c>
      <c r="AC243" s="20">
        <v>101.793254223509</v>
      </c>
      <c r="AD243" s="20">
        <v>103.15823554538299</v>
      </c>
      <c r="AE243" s="20">
        <v>104.15664350968601</v>
      </c>
      <c r="AF243" t="str">
        <f t="shared" si="14"/>
        <v>NonResidential</v>
      </c>
      <c r="AG243" t="str">
        <f>tbl_Data_old[[#This Row],[All_Meas_Name_Append]]</f>
        <v>LED Exterior Wall Packs</v>
      </c>
      <c r="AH243">
        <f>AVERAGEIFS('3. Incentive Adjustment'!G:G,'3. Incentive Adjustment'!A:A,tbl_Data_old[[#This Row],[Trimmed Sector]],'3. Incentive Adjustment'!B:B,tbl_Data_old[[#This Row],[Trimmed Measure Name]])</f>
        <v>0.80637708305213962</v>
      </c>
      <c r="AI243">
        <f>$AH243*tbl_Data_old[[#This Row],[2025 ]]</f>
        <v>60.69774556120916</v>
      </c>
      <c r="AJ243">
        <f>$AH243*tbl_Data_old[[#This Row],[2026 ]]</f>
        <v>66.112569484991809</v>
      </c>
      <c r="AK243">
        <f>$AH243*tbl_Data_old[[#This Row],[2027 ]]</f>
        <v>70.388487649996051</v>
      </c>
      <c r="AL243">
        <f>$AH243*tbl_Data_old[[#This Row],[2028 ]]</f>
        <v>73.968847872944252</v>
      </c>
      <c r="AM243">
        <f>$AH243*tbl_Data_old[[#This Row],[2029 ]]</f>
        <v>76.869772461679972</v>
      </c>
      <c r="AN243">
        <f>$AH243*tbl_Data_old[[#This Row],[2030 ]]</f>
        <v>79.098572767017643</v>
      </c>
      <c r="AO243">
        <f>$AH243*tbl_Data_old[[#This Row],[2031 ]]</f>
        <v>80.756042842317967</v>
      </c>
      <c r="AP243">
        <f>$AH243*tbl_Data_old[[#This Row],[2032 ]]</f>
        <v>82.083747415138077</v>
      </c>
      <c r="AQ243">
        <f>$AH243*tbl_Data_old[[#This Row],[2033 ]]</f>
        <v>83.18443707189148</v>
      </c>
      <c r="AR243">
        <f>$AH243*tbl_Data_old[[#This Row],[2034 ]]</f>
        <v>83.989530373842172</v>
      </c>
      <c r="AS243">
        <f>SUM(tbl_Data_old[[#This Row],[Adjusted 2025]:[Adjusted 2034]])</f>
        <v>757.14975350102861</v>
      </c>
      <c r="AT243" s="3">
        <f>AVERAGEIFS('3. Incentive Adjustment'!F:F,'3. Incentive Adjustment'!A:A,tbl_Data_old[[#This Row],[Trimmed Sector]],'3. Incentive Adjustment'!B:B,tbl_Data_old[[#This Row],[Trimmed Measure Name]])</f>
        <v>8.6864493556481861</v>
      </c>
      <c r="AU243" s="3">
        <f>IFERROR(VLOOKUP(tbl_Data_old[[#This Row],[All_Meas_Name_Append]],'IRA Tax Credits'!$A$3:$D$46,4,0),0)</f>
        <v>0</v>
      </c>
      <c r="AV243" s="4">
        <f>tbl_Data_old[[#This Row],[Adj. per unit Incentive ($)]]/tbl_Data_old[[#This Row],[kWh Savings]]*tbl_Data_old[[#This Row],[Sum of Annuals]]</f>
        <v>11.691927377565586</v>
      </c>
      <c r="AW243" s="4">
        <f>IFERROR(VLOOKUP(tbl_Data_old[[#This Row],[All_Programs]],'1. Set Program Names'!$B$2:$D$15,3,0)*tbl_Data_old[[#This Row],[Sum of Annuals]],"")</f>
        <v>26.954300258984322</v>
      </c>
      <c r="AX243" s="4">
        <f>tbl_Data_old[[#This Row],[per unit IRA tax ($)]]/tbl_Data_old[[#This Row],[kWh Savings]]*tbl_Data_old[[#This Row],[Sum of Annuals]]</f>
        <v>0</v>
      </c>
      <c r="AY243" s="4">
        <f>tbl_Data_old[[#This Row],[Avoided Costs ($/unit)]]/tbl_Data_old[[#This Row],[kWh Savings]]*tbl_Data_old[[#This Row],[Sum of Annuals]]</f>
        <v>370.65184547973303</v>
      </c>
      <c r="AZ243" s="4">
        <f>tbl_Data_old[[#This Row],[Lost Revenue ($/unit)]]/tbl_Data_old[[#This Row],[kWh Savings]]*tbl_Data_old[[#This Row],[Sum of Annuals]]</f>
        <v>822.35554326405702</v>
      </c>
      <c r="BA243" s="4">
        <f>tbl_Data_old[[#This Row],[Incremental Cost ($/unit)]]/tbl_Data_old[[#This Row],[kWh Savings]]*tbl_Data_old[[#This Row],[Sum of Annuals]]</f>
        <v>227.47334911056288</v>
      </c>
      <c r="BB243">
        <f>ROUNDUP(tbl_Data_old[[#This Row],[Adjusted 2025]]/$L243,0)</f>
        <v>1</v>
      </c>
      <c r="BC243">
        <f>ROUNDUP(tbl_Data_old[[#This Row],[Adjusted 2026]]/$L243,0)</f>
        <v>1</v>
      </c>
      <c r="BD243">
        <f>ROUNDUP(tbl_Data_old[[#This Row],[Adjusted 2027]]/$L243,0)</f>
        <v>1</v>
      </c>
      <c r="BE243">
        <f>ROUNDUP(tbl_Data_old[[#This Row],[Adjusted 2028]]/$L243,0)</f>
        <v>1</v>
      </c>
      <c r="BF243">
        <f>ROUNDUP(tbl_Data_old[[#This Row],[Adjusted 2029]]/$L243,0)</f>
        <v>1</v>
      </c>
      <c r="BG243">
        <f>ROUNDUP(tbl_Data_old[[#This Row],[Adjusted 2030]]/$L243,0)</f>
        <v>1</v>
      </c>
      <c r="BH243">
        <f>ROUNDUP(tbl_Data_old[[#This Row],[Adjusted 2031]]/$L243,0)</f>
        <v>1</v>
      </c>
      <c r="BI243">
        <f>ROUNDUP(tbl_Data_old[[#This Row],[Adjusted 2032]]/$L243,0)</f>
        <v>1</v>
      </c>
      <c r="BJ243">
        <f>ROUNDUP(tbl_Data_old[[#This Row],[Adjusted 2033]]/$L243,0)</f>
        <v>1</v>
      </c>
      <c r="BK243">
        <f>ROUNDUP(tbl_Data_old[[#This Row],[Adjusted 2034]]/$L243,0)</f>
        <v>1</v>
      </c>
      <c r="BL243" s="3">
        <f t="shared" si="17"/>
        <v>1.1623547851802116</v>
      </c>
      <c r="BM243" s="3">
        <f t="shared" si="17"/>
        <v>1.2660480350781025</v>
      </c>
      <c r="BN243" s="3">
        <f t="shared" si="17"/>
        <v>1.3479313718343195</v>
      </c>
      <c r="BO243" s="3">
        <f t="shared" si="17"/>
        <v>1.4164948547006808</v>
      </c>
      <c r="BP243" s="3">
        <f t="shared" si="17"/>
        <v>1.4720472240018372</v>
      </c>
      <c r="BQ243" s="3">
        <f t="shared" si="17"/>
        <v>1.5147284912576016</v>
      </c>
      <c r="BR243" s="3">
        <f t="shared" si="17"/>
        <v>1.5464688508954327</v>
      </c>
      <c r="BS243" s="3">
        <f t="shared" si="17"/>
        <v>1.5718942394210547</v>
      </c>
      <c r="BT243" s="3">
        <f t="shared" si="17"/>
        <v>1.5929723186428855</v>
      </c>
      <c r="BU243" s="3">
        <f t="shared" si="17"/>
        <v>1.6083897619661343</v>
      </c>
      <c r="BV243">
        <f>VLOOKUP($H243,'1. Set Program Names'!$B$2:$D$15,3,0)*V243</f>
        <v>2.6796659674205117</v>
      </c>
      <c r="BW243">
        <f>VLOOKUP($H243,'1. Set Program Names'!$B$2:$D$15,3,0)*W243</f>
        <v>2.918717998990656</v>
      </c>
      <c r="BX243">
        <f>VLOOKUP($H243,'1. Set Program Names'!$B$2:$D$15,3,0)*X243</f>
        <v>3.1074899588105218</v>
      </c>
      <c r="BY243">
        <f>VLOOKUP($H243,'1. Set Program Names'!$B$2:$D$15,3,0)*Y243</f>
        <v>3.2655546340605341</v>
      </c>
      <c r="BZ243">
        <f>VLOOKUP($H243,'1. Set Program Names'!$B$2:$D$15,3,0)*Z243</f>
        <v>3.3936237875787563</v>
      </c>
      <c r="CA243">
        <f>VLOOKUP($H243,'1. Set Program Names'!$B$2:$D$15,3,0)*AA243</f>
        <v>3.4920201987002701</v>
      </c>
      <c r="CB243">
        <f>VLOOKUP($H243,'1. Set Program Names'!$B$2:$D$15,3,0)*AB243</f>
        <v>3.5651936932301669</v>
      </c>
      <c r="CC243">
        <f>VLOOKUP($H243,'1. Set Program Names'!$B$2:$D$15,3,0)*AC243</f>
        <v>3.6238087987119156</v>
      </c>
      <c r="CD243">
        <f>VLOOKUP($H243,'1. Set Program Names'!$B$2:$D$15,3,0)*AD243</f>
        <v>3.6724017173882699</v>
      </c>
      <c r="CE243">
        <f>VLOOKUP($H243,'1. Set Program Names'!$B$2:$D$15,3,0)*AE243</f>
        <v>3.7079447363569051</v>
      </c>
    </row>
    <row r="244" spans="1:83" x14ac:dyDescent="0.25">
      <c r="A244" s="20" t="s">
        <v>87</v>
      </c>
      <c r="B244" s="20" t="s">
        <v>88</v>
      </c>
      <c r="C244" s="20" t="s">
        <v>122</v>
      </c>
      <c r="D244" s="20" t="s">
        <v>90</v>
      </c>
      <c r="E244" s="20" t="s">
        <v>91</v>
      </c>
      <c r="F244" s="20" t="s">
        <v>90</v>
      </c>
      <c r="G244" s="20" t="s">
        <v>92</v>
      </c>
      <c r="H244" s="20" t="s">
        <v>14</v>
      </c>
      <c r="I244" s="20" t="s">
        <v>160</v>
      </c>
      <c r="J244" s="20" t="s">
        <v>161</v>
      </c>
      <c r="K244" s="20" t="s">
        <v>159</v>
      </c>
      <c r="L244" s="20">
        <v>698.53499999999997</v>
      </c>
      <c r="M244" s="20">
        <v>9.14911955902553E-2</v>
      </c>
      <c r="N244" s="20">
        <v>9.6647765821509996E-2</v>
      </c>
      <c r="O244" s="20">
        <v>179</v>
      </c>
      <c r="P244" s="20">
        <v>35.4245718525491</v>
      </c>
      <c r="Q244" s="20">
        <v>24.867632914555301</v>
      </c>
      <c r="R244" s="20">
        <v>291.28765455670799</v>
      </c>
      <c r="S244" s="20">
        <v>758.69288308917999</v>
      </c>
      <c r="T244" s="20">
        <v>15</v>
      </c>
      <c r="U244" s="20">
        <v>0.2</v>
      </c>
      <c r="V244" s="20">
        <v>3339.9554904589199</v>
      </c>
      <c r="W244" s="20">
        <v>3635.38610565621</v>
      </c>
      <c r="X244" s="20">
        <v>3869.7872397124002</v>
      </c>
      <c r="Y244" s="20">
        <v>4066.1775086744901</v>
      </c>
      <c r="Z244" s="20">
        <v>4224.7325047269496</v>
      </c>
      <c r="AA244" s="20">
        <v>4346.6160724830697</v>
      </c>
      <c r="AB244" s="20">
        <v>4436.6195631238998</v>
      </c>
      <c r="AC244" s="20">
        <v>4508.1797113395496</v>
      </c>
      <c r="AD244" s="20">
        <v>4567.9359781391604</v>
      </c>
      <c r="AE244" s="20">
        <v>4611.10001517827</v>
      </c>
      <c r="AF244" t="str">
        <f t="shared" si="14"/>
        <v>NonResidential</v>
      </c>
      <c r="AG244" t="str">
        <f>tbl_Data_old[[#This Row],[All_Meas_Name_Append]]</f>
        <v>LED High Bay_HID Baseline</v>
      </c>
      <c r="AH244">
        <f>AVERAGEIFS('3. Incentive Adjustment'!G:G,'3. Incentive Adjustment'!A:A,tbl_Data_old[[#This Row],[Trimmed Sector]],'3. Incentive Adjustment'!B:B,tbl_Data_old[[#This Row],[Trimmed Measure Name]])</f>
        <v>1.0603846876879557</v>
      </c>
      <c r="AI244">
        <f>$AH244*tbl_Data_old[[#This Row],[2025 ]]</f>
        <v>3541.6376596419545</v>
      </c>
      <c r="AJ244">
        <f>$AH244*tbl_Data_old[[#This Row],[2026 ]]</f>
        <v>3854.9077602713937</v>
      </c>
      <c r="AK244">
        <f>$AH244*tbl_Data_old[[#This Row],[2027 ]]</f>
        <v>4103.4631336012699</v>
      </c>
      <c r="AL244">
        <f>$AH244*tbl_Data_old[[#This Row],[2028 ]]</f>
        <v>4311.7123676195888</v>
      </c>
      <c r="AM244">
        <f>$AH244*tbl_Data_old[[#This Row],[2029 ]]</f>
        <v>4479.841657590041</v>
      </c>
      <c r="AN244">
        <f>$AH244*tbl_Data_old[[#This Row],[2030 ]]</f>
        <v>4609.0851265194087</v>
      </c>
      <c r="AO244">
        <f>$AH244*tbl_Data_old[[#This Row],[2031 ]]</f>
        <v>4704.5234498334112</v>
      </c>
      <c r="AP244">
        <f>$AH244*tbl_Data_old[[#This Row],[2032 ]]</f>
        <v>4780.4047352499665</v>
      </c>
      <c r="AQ244">
        <f>$AH244*tbl_Data_old[[#This Row],[2033 ]]</f>
        <v>4843.7693655576695</v>
      </c>
      <c r="AR244">
        <f>$AH244*tbl_Data_old[[#This Row],[2034 ]]</f>
        <v>4889.5398494927376</v>
      </c>
      <c r="AS244">
        <f>SUM(tbl_Data_old[[#This Row],[Adjusted 2025]:[Adjusted 2034]])</f>
        <v>44118.885105377442</v>
      </c>
      <c r="AT244" s="3">
        <f>AVERAGEIFS('3. Incentive Adjustment'!F:F,'3. Incentive Adjustment'!A:A,tbl_Data_old[[#This Row],[Trimmed Sector]],'3. Incentive Adjustment'!B:B,tbl_Data_old[[#This Row],[Trimmed Measure Name]])</f>
        <v>28.590998621954778</v>
      </c>
      <c r="AU244" s="3">
        <f>IFERROR(VLOOKUP(tbl_Data_old[[#This Row],[All_Meas_Name_Append]],'IRA Tax Credits'!$A$3:$D$46,4,0),0)</f>
        <v>0</v>
      </c>
      <c r="AV244" s="4">
        <f>tbl_Data_old[[#This Row],[Adj. per unit Incentive ($)]]/tbl_Data_old[[#This Row],[kWh Savings]]*tbl_Data_old[[#This Row],[Sum of Annuals]]</f>
        <v>1805.7835087003909</v>
      </c>
      <c r="AW244" s="4">
        <f>IFERROR(VLOOKUP(tbl_Data_old[[#This Row],[All_Programs]],'1. Set Program Names'!$B$2:$D$15,3,0)*tbl_Data_old[[#This Row],[Sum of Annuals]],"")</f>
        <v>1570.6188514533528</v>
      </c>
      <c r="AX244" s="4">
        <f>tbl_Data_old[[#This Row],[per unit IRA tax ($)]]/tbl_Data_old[[#This Row],[kWh Savings]]*tbl_Data_old[[#This Row],[Sum of Annuals]]</f>
        <v>0</v>
      </c>
      <c r="AY244" s="4">
        <f>tbl_Data_old[[#This Row],[Avoided Costs ($/unit)]]/tbl_Data_old[[#This Row],[kWh Savings]]*tbl_Data_old[[#This Row],[Sum of Annuals]]</f>
        <v>18397.484111751415</v>
      </c>
      <c r="AZ244" s="4">
        <f>tbl_Data_old[[#This Row],[Lost Revenue ($/unit)]]/tbl_Data_old[[#This Row],[kWh Savings]]*tbl_Data_old[[#This Row],[Sum of Annuals]]</f>
        <v>47918.406578452181</v>
      </c>
      <c r="BA244" s="4">
        <f>tbl_Data_old[[#This Row],[Incremental Cost ($/unit)]]/tbl_Data_old[[#This Row],[kWh Savings]]*tbl_Data_old[[#This Row],[Sum of Annuals]]</f>
        <v>11305.489966662462</v>
      </c>
      <c r="BB244">
        <f>ROUNDUP(tbl_Data_old[[#This Row],[Adjusted 2025]]/$L244,0)</f>
        <v>6</v>
      </c>
      <c r="BC244">
        <f>ROUNDUP(tbl_Data_old[[#This Row],[Adjusted 2026]]/$L244,0)</f>
        <v>6</v>
      </c>
      <c r="BD244">
        <f>ROUNDUP(tbl_Data_old[[#This Row],[Adjusted 2027]]/$L244,0)</f>
        <v>6</v>
      </c>
      <c r="BE244">
        <f>ROUNDUP(tbl_Data_old[[#This Row],[Adjusted 2028]]/$L244,0)</f>
        <v>7</v>
      </c>
      <c r="BF244">
        <f>ROUNDUP(tbl_Data_old[[#This Row],[Adjusted 2029]]/$L244,0)</f>
        <v>7</v>
      </c>
      <c r="BG244">
        <f>ROUNDUP(tbl_Data_old[[#This Row],[Adjusted 2030]]/$L244,0)</f>
        <v>7</v>
      </c>
      <c r="BH244">
        <f>ROUNDUP(tbl_Data_old[[#This Row],[Adjusted 2031]]/$L244,0)</f>
        <v>7</v>
      </c>
      <c r="BI244">
        <f>ROUNDUP(tbl_Data_old[[#This Row],[Adjusted 2032]]/$L244,0)</f>
        <v>7</v>
      </c>
      <c r="BJ244">
        <f>ROUNDUP(tbl_Data_old[[#This Row],[Adjusted 2033]]/$L244,0)</f>
        <v>7</v>
      </c>
      <c r="BK244">
        <f>ROUNDUP(tbl_Data_old[[#This Row],[Adjusted 2034]]/$L244,0)</f>
        <v>7</v>
      </c>
      <c r="BL244" s="3">
        <f t="shared" si="17"/>
        <v>136.70419209502927</v>
      </c>
      <c r="BM244" s="3">
        <f t="shared" si="17"/>
        <v>148.79615071126034</v>
      </c>
      <c r="BN244" s="3">
        <f t="shared" si="17"/>
        <v>158.39017606544471</v>
      </c>
      <c r="BO244" s="3">
        <f t="shared" si="17"/>
        <v>166.42841882960175</v>
      </c>
      <c r="BP244" s="3">
        <f t="shared" si="17"/>
        <v>172.91806598205642</v>
      </c>
      <c r="BQ244" s="3">
        <f t="shared" si="17"/>
        <v>177.90675361797182</v>
      </c>
      <c r="BR244" s="3">
        <f t="shared" si="17"/>
        <v>181.59059147417528</v>
      </c>
      <c r="BS244" s="3">
        <f t="shared" si="17"/>
        <v>184.51954435272901</v>
      </c>
      <c r="BT244" s="3">
        <f t="shared" si="17"/>
        <v>186.96536502273241</v>
      </c>
      <c r="BU244" s="3">
        <f t="shared" si="17"/>
        <v>188.73206665329235</v>
      </c>
      <c r="BV244">
        <f>VLOOKUP($H244,'1. Set Program Names'!$B$2:$D$15,3,0)*V244</f>
        <v>118.90139661961955</v>
      </c>
      <c r="BW244">
        <f>VLOOKUP($H244,'1. Set Program Names'!$B$2:$D$15,3,0)*W244</f>
        <v>129.41863640065765</v>
      </c>
      <c r="BX244">
        <f>VLOOKUP($H244,'1. Set Program Names'!$B$2:$D$15,3,0)*X244</f>
        <v>137.7632452698837</v>
      </c>
      <c r="BY244">
        <f>VLOOKUP($H244,'1. Set Program Names'!$B$2:$D$15,3,0)*Y244</f>
        <v>144.75467893682955</v>
      </c>
      <c r="BZ244">
        <f>VLOOKUP($H244,'1. Set Program Names'!$B$2:$D$15,3,0)*Z244</f>
        <v>150.39918842969868</v>
      </c>
      <c r="CA244">
        <f>VLOOKUP($H244,'1. Set Program Names'!$B$2:$D$15,3,0)*AA244</f>
        <v>154.73820626169783</v>
      </c>
      <c r="CB244">
        <f>VLOOKUP($H244,'1. Set Program Names'!$B$2:$D$15,3,0)*AB244</f>
        <v>157.94230307328891</v>
      </c>
      <c r="CC244">
        <f>VLOOKUP($H244,'1. Set Program Names'!$B$2:$D$15,3,0)*AC244</f>
        <v>160.48982252061504</v>
      </c>
      <c r="CD244">
        <f>VLOOKUP($H244,'1. Set Program Names'!$B$2:$D$15,3,0)*AD244</f>
        <v>162.61712739025927</v>
      </c>
      <c r="CE244">
        <f>VLOOKUP($H244,'1. Set Program Names'!$B$2:$D$15,3,0)*AE244</f>
        <v>164.15375394182627</v>
      </c>
    </row>
    <row r="245" spans="1:83" x14ac:dyDescent="0.25">
      <c r="A245" s="20" t="s">
        <v>87</v>
      </c>
      <c r="B245" s="20" t="s">
        <v>88</v>
      </c>
      <c r="C245" s="20" t="s">
        <v>122</v>
      </c>
      <c r="D245" s="20" t="s">
        <v>90</v>
      </c>
      <c r="E245" s="20" t="s">
        <v>91</v>
      </c>
      <c r="F245" s="20" t="s">
        <v>90</v>
      </c>
      <c r="G245" s="20" t="s">
        <v>92</v>
      </c>
      <c r="H245" s="20" t="s">
        <v>14</v>
      </c>
      <c r="I245" s="20" t="s">
        <v>162</v>
      </c>
      <c r="J245" s="20" t="s">
        <v>161</v>
      </c>
      <c r="K245" s="20" t="s">
        <v>159</v>
      </c>
      <c r="L245" s="20">
        <v>638.46285714285602</v>
      </c>
      <c r="M245" s="20">
        <v>7.6348348575361394E-2</v>
      </c>
      <c r="N245" s="20">
        <v>7.27444471789533E-2</v>
      </c>
      <c r="O245" s="20">
        <v>179</v>
      </c>
      <c r="P245" s="20">
        <v>51.129983050636802</v>
      </c>
      <c r="Q245" s="20">
        <v>22.729082953619599</v>
      </c>
      <c r="R245" s="20">
        <v>256.15438258671003</v>
      </c>
      <c r="S245" s="20">
        <v>693.44732308484095</v>
      </c>
      <c r="T245" s="20">
        <v>15</v>
      </c>
      <c r="U245" s="20">
        <v>0.2</v>
      </c>
      <c r="V245" s="20">
        <v>9757.2757727623994</v>
      </c>
      <c r="W245" s="20">
        <v>10620.340562826599</v>
      </c>
      <c r="X245" s="20">
        <v>11305.1151093641</v>
      </c>
      <c r="Y245" s="20">
        <v>11878.8455135039</v>
      </c>
      <c r="Z245" s="20">
        <v>12342.044746563301</v>
      </c>
      <c r="AA245" s="20">
        <v>12698.1128397346</v>
      </c>
      <c r="AB245" s="20">
        <v>12961.047145656499</v>
      </c>
      <c r="AC245" s="20">
        <v>13170.1014586479</v>
      </c>
      <c r="AD245" s="20">
        <v>13344.672160557</v>
      </c>
      <c r="AE245" s="20">
        <v>13470.770671168801</v>
      </c>
      <c r="AF245" t="str">
        <f t="shared" si="14"/>
        <v>NonResidential</v>
      </c>
      <c r="AG245" t="str">
        <f>tbl_Data_old[[#This Row],[All_Meas_Name_Append]]</f>
        <v>LED High Bay_LF Baseline</v>
      </c>
      <c r="AH245">
        <f>AVERAGEIFS('3. Incentive Adjustment'!G:G,'3. Incentive Adjustment'!A:A,tbl_Data_old[[#This Row],[Trimmed Sector]],'3. Incentive Adjustment'!B:B,tbl_Data_old[[#This Row],[Trimmed Measure Name]])</f>
        <v>0.93017466414143679</v>
      </c>
      <c r="AI245">
        <f>$AH245*tbl_Data_old[[#This Row],[2025 ]]</f>
        <v>9075.970714864643</v>
      </c>
      <c r="AJ245">
        <f>$AH245*tbl_Data_old[[#This Row],[2026 ]]</f>
        <v>9878.7717160949105</v>
      </c>
      <c r="AK245">
        <f>$AH245*tbl_Data_old[[#This Row],[2027 ]]</f>
        <v>10515.731649933034</v>
      </c>
      <c r="AL245">
        <f>$AH245*tbl_Data_old[[#This Row],[2028 ]]</f>
        <v>11049.401135911503</v>
      </c>
      <c r="AM245">
        <f>$AH245*tbl_Data_old[[#This Row],[2029 ]]</f>
        <v>11480.257326953102</v>
      </c>
      <c r="AN245">
        <f>$AH245*tbl_Data_old[[#This Row],[2030 ]]</f>
        <v>11811.462845930198</v>
      </c>
      <c r="AO245">
        <f>$AH245*tbl_Data_old[[#This Row],[2031 ]]</f>
        <v>12056.037675632362</v>
      </c>
      <c r="AP245">
        <f>$AH245*tbl_Data_old[[#This Row],[2032 ]]</f>
        <v>12250.494701006457</v>
      </c>
      <c r="AQ245">
        <f>$AH245*tbl_Data_old[[#This Row],[2033 ]]</f>
        <v>12412.875945023688</v>
      </c>
      <c r="AR245">
        <f>$AH245*tbl_Data_old[[#This Row],[2034 ]]</f>
        <v>12530.169584780757</v>
      </c>
      <c r="AS245">
        <f>SUM(tbl_Data_old[[#This Row],[Adjusted 2025]:[Adjusted 2034]])</f>
        <v>113061.17329613066</v>
      </c>
      <c r="AT245" s="3">
        <f>AVERAGEIFS('3. Incentive Adjustment'!F:F,'3. Incentive Adjustment'!A:A,tbl_Data_old[[#This Row],[Trimmed Sector]],'3. Incentive Adjustment'!B:B,tbl_Data_old[[#This Row],[Trimmed Measure Name]])</f>
        <v>23.858858929800434</v>
      </c>
      <c r="AU245" s="3">
        <f>IFERROR(VLOOKUP(tbl_Data_old[[#This Row],[All_Meas_Name_Append]],'IRA Tax Credits'!$A$3:$D$46,4,0),0)</f>
        <v>0</v>
      </c>
      <c r="AV245" s="4">
        <f>tbl_Data_old[[#This Row],[Adj. per unit Incentive ($)]]/tbl_Data_old[[#This Row],[kWh Savings]]*tbl_Data_old[[#This Row],[Sum of Annuals]]</f>
        <v>4225.0078511717293</v>
      </c>
      <c r="AW245" s="4">
        <f>IFERROR(VLOOKUP(tbl_Data_old[[#This Row],[All_Programs]],'1. Set Program Names'!$B$2:$D$15,3,0)*tbl_Data_old[[#This Row],[Sum of Annuals]],"")</f>
        <v>4024.9432804613939</v>
      </c>
      <c r="AX245" s="4">
        <f>tbl_Data_old[[#This Row],[per unit IRA tax ($)]]/tbl_Data_old[[#This Row],[kWh Savings]]*tbl_Data_old[[#This Row],[Sum of Annuals]]</f>
        <v>0</v>
      </c>
      <c r="AY245" s="4">
        <f>tbl_Data_old[[#This Row],[Avoided Costs ($/unit)]]/tbl_Data_old[[#This Row],[kWh Savings]]*tbl_Data_old[[#This Row],[Sum of Annuals]]</f>
        <v>45360.688904913579</v>
      </c>
      <c r="AZ245" s="4">
        <f>tbl_Data_old[[#This Row],[Lost Revenue ($/unit)]]/tbl_Data_old[[#This Row],[kWh Savings]]*tbl_Data_old[[#This Row],[Sum of Annuals]]</f>
        <v>122798.00945333717</v>
      </c>
      <c r="BA245" s="4">
        <f>tbl_Data_old[[#This Row],[Incremental Cost ($/unit)]]/tbl_Data_old[[#This Row],[kWh Savings]]*tbl_Data_old[[#This Row],[Sum of Annuals]]</f>
        <v>31697.928538197088</v>
      </c>
      <c r="BB245">
        <f>ROUNDUP(tbl_Data_old[[#This Row],[Adjusted 2025]]/$L245,0)</f>
        <v>15</v>
      </c>
      <c r="BC245">
        <f>ROUNDUP(tbl_Data_old[[#This Row],[Adjusted 2026]]/$L245,0)</f>
        <v>16</v>
      </c>
      <c r="BD245">
        <f>ROUNDUP(tbl_Data_old[[#This Row],[Adjusted 2027]]/$L245,0)</f>
        <v>17</v>
      </c>
      <c r="BE245">
        <f>ROUNDUP(tbl_Data_old[[#This Row],[Adjusted 2028]]/$L245,0)</f>
        <v>18</v>
      </c>
      <c r="BF245">
        <f>ROUNDUP(tbl_Data_old[[#This Row],[Adjusted 2029]]/$L245,0)</f>
        <v>18</v>
      </c>
      <c r="BG245">
        <f>ROUNDUP(tbl_Data_old[[#This Row],[Adjusted 2030]]/$L245,0)</f>
        <v>19</v>
      </c>
      <c r="BH245">
        <f>ROUNDUP(tbl_Data_old[[#This Row],[Adjusted 2031]]/$L245,0)</f>
        <v>19</v>
      </c>
      <c r="BI245">
        <f>ROUNDUP(tbl_Data_old[[#This Row],[Adjusted 2032]]/$L245,0)</f>
        <v>20</v>
      </c>
      <c r="BJ245">
        <f>ROUNDUP(tbl_Data_old[[#This Row],[Adjusted 2033]]/$L245,0)</f>
        <v>20</v>
      </c>
      <c r="BK245">
        <f>ROUNDUP(tbl_Data_old[[#This Row],[Adjusted 2034]]/$L245,0)</f>
        <v>20</v>
      </c>
      <c r="BL245" s="3">
        <f t="shared" si="17"/>
        <v>364.62178433256798</v>
      </c>
      <c r="BM245" s="3">
        <f t="shared" si="17"/>
        <v>396.87384229184903</v>
      </c>
      <c r="BN245" s="3">
        <f t="shared" si="17"/>
        <v>422.46333292826466</v>
      </c>
      <c r="BO245" s="3">
        <f t="shared" si="17"/>
        <v>443.90319058477053</v>
      </c>
      <c r="BP245" s="3">
        <f t="shared" si="17"/>
        <v>461.21258459934393</v>
      </c>
      <c r="BQ245" s="3">
        <f t="shared" si="17"/>
        <v>474.51857148540051</v>
      </c>
      <c r="BR245" s="3">
        <f t="shared" si="17"/>
        <v>484.34422139222346</v>
      </c>
      <c r="BS245" s="3">
        <f t="shared" si="17"/>
        <v>492.15641799305428</v>
      </c>
      <c r="BT245" s="3">
        <f t="shared" si="17"/>
        <v>498.67998894714901</v>
      </c>
      <c r="BU245" s="3">
        <f t="shared" si="17"/>
        <v>503.39219192385519</v>
      </c>
      <c r="BV245">
        <f>VLOOKUP($H245,'1. Set Program Names'!$B$2:$D$15,3,0)*V245</f>
        <v>347.3560410904812</v>
      </c>
      <c r="BW245">
        <f>VLOOKUP($H245,'1. Set Program Names'!$B$2:$D$15,3,0)*W245</f>
        <v>378.08088434213539</v>
      </c>
      <c r="BX245">
        <f>VLOOKUP($H245,'1. Set Program Names'!$B$2:$D$15,3,0)*X245</f>
        <v>402.4586493109997</v>
      </c>
      <c r="BY245">
        <f>VLOOKUP($H245,'1. Set Program Names'!$B$2:$D$15,3,0)*Y245</f>
        <v>422.88327668409914</v>
      </c>
      <c r="BZ245">
        <f>VLOOKUP($H245,'1. Set Program Names'!$B$2:$D$15,3,0)*Z245</f>
        <v>439.37302808384965</v>
      </c>
      <c r="CA245">
        <f>VLOOKUP($H245,'1. Set Program Names'!$B$2:$D$15,3,0)*AA245</f>
        <v>452.0489435835305</v>
      </c>
      <c r="CB245">
        <f>VLOOKUP($H245,'1. Set Program Names'!$B$2:$D$15,3,0)*AB245</f>
        <v>461.40932466724018</v>
      </c>
      <c r="CC245">
        <f>VLOOKUP($H245,'1. Set Program Names'!$B$2:$D$15,3,0)*AC245</f>
        <v>468.85159443851109</v>
      </c>
      <c r="CD245">
        <f>VLOOKUP($H245,'1. Set Program Names'!$B$2:$D$15,3,0)*AD245</f>
        <v>475.06625817434644</v>
      </c>
      <c r="CE245">
        <f>VLOOKUP($H245,'1. Set Program Names'!$B$2:$D$15,3,0)*AE245</f>
        <v>479.55532668625551</v>
      </c>
    </row>
    <row r="246" spans="1:83" x14ac:dyDescent="0.25">
      <c r="A246" s="20" t="s">
        <v>87</v>
      </c>
      <c r="B246" s="20" t="s">
        <v>88</v>
      </c>
      <c r="C246" s="20" t="s">
        <v>122</v>
      </c>
      <c r="D246" s="20" t="s">
        <v>90</v>
      </c>
      <c r="E246" s="20" t="s">
        <v>91</v>
      </c>
      <c r="F246" s="20" t="s">
        <v>90</v>
      </c>
      <c r="G246" s="20" t="s">
        <v>92</v>
      </c>
      <c r="H246" s="20" t="s">
        <v>14</v>
      </c>
      <c r="I246" s="20" t="s">
        <v>163</v>
      </c>
      <c r="J246" s="20" t="s">
        <v>161</v>
      </c>
      <c r="K246" s="20" t="s">
        <v>159</v>
      </c>
      <c r="L246" s="20">
        <v>336.08</v>
      </c>
      <c r="M246" s="20">
        <v>5.3794325187228403E-2</v>
      </c>
      <c r="N246" s="20">
        <v>5.3413522005729602E-2</v>
      </c>
      <c r="O246" s="20">
        <v>109.08</v>
      </c>
      <c r="P246" s="20">
        <v>41.915763754167898</v>
      </c>
      <c r="Q246" s="20">
        <v>11.9643454800743</v>
      </c>
      <c r="R246" s="20">
        <v>148.30416484676499</v>
      </c>
      <c r="S246" s="20">
        <v>365.02323312162099</v>
      </c>
      <c r="T246" s="20">
        <v>15</v>
      </c>
      <c r="U246" s="20">
        <v>0.2</v>
      </c>
      <c r="V246" s="20">
        <v>12713.906027493</v>
      </c>
      <c r="W246" s="20">
        <v>13366.0787904433</v>
      </c>
      <c r="X246" s="20">
        <v>13717.3040916428</v>
      </c>
      <c r="Y246" s="20">
        <v>13932.4283953258</v>
      </c>
      <c r="Z246" s="20">
        <v>14053.388976079301</v>
      </c>
      <c r="AA246" s="20">
        <v>14068.9208497612</v>
      </c>
      <c r="AB246" s="20">
        <v>14027.7058411812</v>
      </c>
      <c r="AC246" s="20">
        <v>13969.8043591101</v>
      </c>
      <c r="AD246" s="20">
        <v>13884.467556056499</v>
      </c>
      <c r="AE246" s="20">
        <v>13788.961021164099</v>
      </c>
      <c r="AF246" t="str">
        <f t="shared" si="14"/>
        <v>NonResidential</v>
      </c>
      <c r="AG246" t="str">
        <f>tbl_Data_old[[#This Row],[All_Meas_Name_Append]]</f>
        <v>LED Linear - Fixture Replacement</v>
      </c>
      <c r="AH246">
        <f>AVERAGEIFS('3. Incentive Adjustment'!G:G,'3. Incentive Adjustment'!A:A,tbl_Data_old[[#This Row],[Trimmed Sector]],'3. Incentive Adjustment'!B:B,tbl_Data_old[[#This Row],[Trimmed Measure Name]])</f>
        <v>0.56055357916158088</v>
      </c>
      <c r="AI246">
        <f>$AH246*tbl_Data_old[[#This Row],[2025 ]]</f>
        <v>7126.8255288351975</v>
      </c>
      <c r="AJ246">
        <f>$AH246*tbl_Data_old[[#This Row],[2026 ]]</f>
        <v>7492.4033053386856</v>
      </c>
      <c r="AK246">
        <f>$AH246*tbl_Data_old[[#This Row],[2027 ]]</f>
        <v>7689.2839050181692</v>
      </c>
      <c r="AL246">
        <f>$AH246*tbl_Data_old[[#This Row],[2028 ]]</f>
        <v>7809.8726034123183</v>
      </c>
      <c r="AM246">
        <f>$AH246*tbl_Data_old[[#This Row],[2029 ]]</f>
        <v>7877.6774898911563</v>
      </c>
      <c r="AN246">
        <f>$AH246*tbl_Data_old[[#This Row],[2030 ]]</f>
        <v>7886.3839372746306</v>
      </c>
      <c r="AO246">
        <f>$AH246*tbl_Data_old[[#This Row],[2031 ]]</f>
        <v>7863.2807166999364</v>
      </c>
      <c r="AP246">
        <f>$AH246*tbl_Data_old[[#This Row],[2032 ]]</f>
        <v>7830.8238336862205</v>
      </c>
      <c r="AQ246">
        <f>$AH246*tbl_Data_old[[#This Row],[2033 ]]</f>
        <v>7782.9879833003179</v>
      </c>
      <c r="AR246">
        <f>$AH246*tbl_Data_old[[#This Row],[2034 ]]</f>
        <v>7729.451453333063</v>
      </c>
      <c r="AS246">
        <f>SUM(tbl_Data_old[[#This Row],[Adjusted 2025]:[Adjusted 2034]])</f>
        <v>77088.990756789688</v>
      </c>
      <c r="AT246" s="3">
        <f>AVERAGEIFS('3. Incentive Adjustment'!F:F,'3. Incentive Adjustment'!A:A,tbl_Data_old[[#This Row],[Trimmed Sector]],'3. Incentive Adjustment'!B:B,tbl_Data_old[[#This Row],[Trimmed Measure Name]])</f>
        <v>16.810726621008875</v>
      </c>
      <c r="AU246" s="3">
        <f>IFERROR(VLOOKUP(tbl_Data_old[[#This Row],[All_Meas_Name_Append]],'IRA Tax Credits'!$A$3:$D$46,4,0),0)</f>
        <v>0</v>
      </c>
      <c r="AV246" s="4">
        <f>tbl_Data_old[[#This Row],[Adj. per unit Incentive ($)]]/tbl_Data_old[[#This Row],[kWh Savings]]*tbl_Data_old[[#This Row],[Sum of Annuals]]</f>
        <v>3855.9924693581042</v>
      </c>
      <c r="AW246" s="4">
        <f>IFERROR(VLOOKUP(tbl_Data_old[[#This Row],[All_Programs]],'1. Set Program Names'!$B$2:$D$15,3,0)*tbl_Data_old[[#This Row],[Sum of Annuals]],"")</f>
        <v>2744.34455523831</v>
      </c>
      <c r="AX246" s="4">
        <f>tbl_Data_old[[#This Row],[per unit IRA tax ($)]]/tbl_Data_old[[#This Row],[kWh Savings]]*tbl_Data_old[[#This Row],[Sum of Annuals]]</f>
        <v>0</v>
      </c>
      <c r="AY246" s="4">
        <f>tbl_Data_old[[#This Row],[Avoided Costs ($/unit)]]/tbl_Data_old[[#This Row],[kWh Savings]]*tbl_Data_old[[#This Row],[Sum of Annuals]]</f>
        <v>34017.550562561533</v>
      </c>
      <c r="AZ246" s="4">
        <f>tbl_Data_old[[#This Row],[Lost Revenue ($/unit)]]/tbl_Data_old[[#This Row],[kWh Savings]]*tbl_Data_old[[#This Row],[Sum of Annuals]]</f>
        <v>83727.900036081075</v>
      </c>
      <c r="BA246" s="4">
        <f>tbl_Data_old[[#This Row],[Incremental Cost ($/unit)]]/tbl_Data_old[[#This Row],[kWh Savings]]*tbl_Data_old[[#This Row],[Sum of Annuals]]</f>
        <v>25020.432967598845</v>
      </c>
      <c r="BB246">
        <f>ROUNDUP(tbl_Data_old[[#This Row],[Adjusted 2025]]/$L246,0)</f>
        <v>22</v>
      </c>
      <c r="BC246">
        <f>ROUNDUP(tbl_Data_old[[#This Row],[Adjusted 2026]]/$L246,0)</f>
        <v>23</v>
      </c>
      <c r="BD246">
        <f>ROUNDUP(tbl_Data_old[[#This Row],[Adjusted 2027]]/$L246,0)</f>
        <v>23</v>
      </c>
      <c r="BE246">
        <f>ROUNDUP(tbl_Data_old[[#This Row],[Adjusted 2028]]/$L246,0)</f>
        <v>24</v>
      </c>
      <c r="BF246">
        <f>ROUNDUP(tbl_Data_old[[#This Row],[Adjusted 2029]]/$L246,0)</f>
        <v>24</v>
      </c>
      <c r="BG246">
        <f>ROUNDUP(tbl_Data_old[[#This Row],[Adjusted 2030]]/$L246,0)</f>
        <v>24</v>
      </c>
      <c r="BH246">
        <f>ROUNDUP(tbl_Data_old[[#This Row],[Adjusted 2031]]/$L246,0)</f>
        <v>24</v>
      </c>
      <c r="BI246">
        <f>ROUNDUP(tbl_Data_old[[#This Row],[Adjusted 2032]]/$L246,0)</f>
        <v>24</v>
      </c>
      <c r="BJ246">
        <f>ROUNDUP(tbl_Data_old[[#This Row],[Adjusted 2033]]/$L246,0)</f>
        <v>24</v>
      </c>
      <c r="BK246">
        <f>ROUNDUP(tbl_Data_old[[#This Row],[Adjusted 2034]]/$L246,0)</f>
        <v>23</v>
      </c>
      <c r="BL246" s="3">
        <f t="shared" si="17"/>
        <v>635.94976943996005</v>
      </c>
      <c r="BM246" s="3">
        <f t="shared" si="17"/>
        <v>668.57146078614414</v>
      </c>
      <c r="BN246" s="3">
        <f t="shared" si="17"/>
        <v>686.13975559942162</v>
      </c>
      <c r="BO246" s="3">
        <f t="shared" si="17"/>
        <v>696.90027648358546</v>
      </c>
      <c r="BP246" s="3">
        <f t="shared" si="17"/>
        <v>702.95072654001717</v>
      </c>
      <c r="BQ246" s="3">
        <f t="shared" si="17"/>
        <v>703.72763109363075</v>
      </c>
      <c r="BR246" s="3">
        <f t="shared" si="17"/>
        <v>701.66605574871016</v>
      </c>
      <c r="BS246" s="3">
        <f t="shared" si="17"/>
        <v>698.7698227504701</v>
      </c>
      <c r="BT246" s="3">
        <f t="shared" si="17"/>
        <v>694.5012745868039</v>
      </c>
      <c r="BU246" s="3">
        <f t="shared" si="17"/>
        <v>689.72403628462587</v>
      </c>
      <c r="BV246">
        <f>VLOOKUP($H246,'1. Set Program Names'!$B$2:$D$15,3,0)*V246</f>
        <v>452.61117625007768</v>
      </c>
      <c r="BW246">
        <f>VLOOKUP($H246,'1. Set Program Names'!$B$2:$D$15,3,0)*W246</f>
        <v>475.82832766828773</v>
      </c>
      <c r="BX246">
        <f>VLOOKUP($H246,'1. Set Program Names'!$B$2:$D$15,3,0)*X246</f>
        <v>488.33184125104776</v>
      </c>
      <c r="BY246">
        <f>VLOOKUP($H246,'1. Set Program Names'!$B$2:$D$15,3,0)*Y246</f>
        <v>495.99020083931197</v>
      </c>
      <c r="BZ246">
        <f>VLOOKUP($H246,'1. Set Program Names'!$B$2:$D$15,3,0)*Z246</f>
        <v>500.29636061557159</v>
      </c>
      <c r="CA246">
        <f>VLOOKUP($H246,'1. Set Program Names'!$B$2:$D$15,3,0)*AA246</f>
        <v>500.84929058070821</v>
      </c>
      <c r="CB246">
        <f>VLOOKUP($H246,'1. Set Program Names'!$B$2:$D$15,3,0)*AB246</f>
        <v>499.38204884774177</v>
      </c>
      <c r="CC246">
        <f>VLOOKUP($H246,'1. Set Program Names'!$B$2:$D$15,3,0)*AC246</f>
        <v>497.32077374863746</v>
      </c>
      <c r="CD246">
        <f>VLOOKUP($H246,'1. Set Program Names'!$B$2:$D$15,3,0)*AD246</f>
        <v>494.28280959159645</v>
      </c>
      <c r="CE246">
        <f>VLOOKUP($H246,'1. Set Program Names'!$B$2:$D$15,3,0)*AE246</f>
        <v>490.88280608333224</v>
      </c>
    </row>
    <row r="247" spans="1:83" x14ac:dyDescent="0.25">
      <c r="A247" s="20" t="s">
        <v>87</v>
      </c>
      <c r="B247" s="20" t="s">
        <v>88</v>
      </c>
      <c r="C247" s="20" t="s">
        <v>122</v>
      </c>
      <c r="D247" s="20" t="s">
        <v>90</v>
      </c>
      <c r="E247" s="20" t="s">
        <v>91</v>
      </c>
      <c r="F247" s="20" t="s">
        <v>90</v>
      </c>
      <c r="G247" s="20" t="s">
        <v>92</v>
      </c>
      <c r="H247" s="20" t="s">
        <v>14</v>
      </c>
      <c r="I247" s="20" t="s">
        <v>164</v>
      </c>
      <c r="J247" s="20" t="s">
        <v>158</v>
      </c>
      <c r="K247" s="20" t="s">
        <v>159</v>
      </c>
      <c r="L247" s="20">
        <v>612.05999999999904</v>
      </c>
      <c r="M247" s="20">
        <v>0</v>
      </c>
      <c r="N247" s="20">
        <v>3.0244631686656E-2</v>
      </c>
      <c r="O247" s="20">
        <v>255</v>
      </c>
      <c r="P247" s="20">
        <v>129.095003330796</v>
      </c>
      <c r="Q247" s="20">
        <v>21.789149293425101</v>
      </c>
      <c r="R247" s="20">
        <v>299.625229349054</v>
      </c>
      <c r="S247" s="20">
        <v>664.77065003695395</v>
      </c>
      <c r="T247" s="20">
        <v>15</v>
      </c>
      <c r="U247" s="20">
        <v>0.2</v>
      </c>
      <c r="V247" s="20">
        <v>52923.007337535302</v>
      </c>
      <c r="W247" s="20">
        <v>57500.698000275901</v>
      </c>
      <c r="X247" s="20">
        <v>61178.578253589803</v>
      </c>
      <c r="Y247" s="20">
        <v>64264.938242337303</v>
      </c>
      <c r="Z247" s="20">
        <v>66733.391491469098</v>
      </c>
      <c r="AA247" s="20">
        <v>68633.597080058593</v>
      </c>
      <c r="AB247" s="20">
        <v>70010.528482255599</v>
      </c>
      <c r="AC247" s="20">
        <v>71083.015378608994</v>
      </c>
      <c r="AD247" s="20">
        <v>71996.661728879903</v>
      </c>
      <c r="AE247" s="20">
        <v>72634.003173303005</v>
      </c>
      <c r="AF247" t="str">
        <f t="shared" si="14"/>
        <v>NonResidential</v>
      </c>
      <c r="AG247" t="str">
        <f>tbl_Data_old[[#This Row],[All_Meas_Name_Append]]</f>
        <v>LED Parking Lighting</v>
      </c>
      <c r="AH247">
        <f>AVERAGEIFS('3. Incentive Adjustment'!G:G,'3. Incentive Adjustment'!A:A,tbl_Data_old[[#This Row],[Trimmed Sector]],'3. Incentive Adjustment'!B:B,tbl_Data_old[[#This Row],[Trimmed Measure Name]])</f>
        <v>0.59704067730377497</v>
      </c>
      <c r="AI247">
        <f>$AH247*tbl_Data_old[[#This Row],[2025 ]]</f>
        <v>31597.188145754728</v>
      </c>
      <c r="AJ247">
        <f>$AH247*tbl_Data_old[[#This Row],[2026 ]]</f>
        <v>34330.25567952454</v>
      </c>
      <c r="AK247">
        <f>$AH247*tbl_Data_old[[#This Row],[2027 ]]</f>
        <v>36526.099797005256</v>
      </c>
      <c r="AL247">
        <f>$AH247*tbl_Data_old[[#This Row],[2028 ]]</f>
        <v>38368.782255090329</v>
      </c>
      <c r="AM247">
        <f>$AH247*tbl_Data_old[[#This Row],[2029 ]]</f>
        <v>39842.549254844685</v>
      </c>
      <c r="AN247">
        <f>$AH247*tbl_Data_old[[#This Row],[2030 ]]</f>
        <v>40977.049286472575</v>
      </c>
      <c r="AO247">
        <f>$AH247*tbl_Data_old[[#This Row],[2031 ]]</f>
        <v>41799.133343441114</v>
      </c>
      <c r="AP247">
        <f>$AH247*tbl_Data_old[[#This Row],[2032 ]]</f>
        <v>42439.451646439367</v>
      </c>
      <c r="AQ247">
        <f>$AH247*tbl_Data_old[[#This Row],[2033 ]]</f>
        <v>42984.935682221228</v>
      </c>
      <c r="AR247">
        <f>$AH247*tbl_Data_old[[#This Row],[2034 ]]</f>
        <v>43365.454449873367</v>
      </c>
      <c r="AS247">
        <f>SUM(tbl_Data_old[[#This Row],[Adjusted 2025]:[Adjusted 2034]])</f>
        <v>392230.89954066725</v>
      </c>
      <c r="AT247" s="3">
        <f>AVERAGEIFS('3. Incentive Adjustment'!F:F,'3. Incentive Adjustment'!A:A,tbl_Data_old[[#This Row],[Trimmed Sector]],'3. Incentive Adjustment'!B:B,tbl_Data_old[[#This Row],[Trimmed Measure Name]])</f>
        <v>9.4514474020799994</v>
      </c>
      <c r="AU247" s="3">
        <f>IFERROR(VLOOKUP(tbl_Data_old[[#This Row],[All_Meas_Name_Append]],'IRA Tax Credits'!$A$3:$D$46,4,0),0)</f>
        <v>0</v>
      </c>
      <c r="AV247" s="4">
        <f>tbl_Data_old[[#This Row],[Adj. per unit Incentive ($)]]/tbl_Data_old[[#This Row],[kWh Savings]]*tbl_Data_old[[#This Row],[Sum of Annuals]]</f>
        <v>6056.8403693741566</v>
      </c>
      <c r="AW247" s="4">
        <f>IFERROR(VLOOKUP(tbl_Data_old[[#This Row],[All_Programs]],'1. Set Program Names'!$B$2:$D$15,3,0)*tbl_Data_old[[#This Row],[Sum of Annuals]],"")</f>
        <v>13963.300375103798</v>
      </c>
      <c r="AX247" s="4">
        <f>tbl_Data_old[[#This Row],[per unit IRA tax ($)]]/tbl_Data_old[[#This Row],[kWh Savings]]*tbl_Data_old[[#This Row],[Sum of Annuals]]</f>
        <v>0</v>
      </c>
      <c r="AY247" s="4">
        <f>tbl_Data_old[[#This Row],[Avoided Costs ($/unit)]]/tbl_Data_old[[#This Row],[kWh Savings]]*tbl_Data_old[[#This Row],[Sum of Annuals]]</f>
        <v>192011.03361215955</v>
      </c>
      <c r="AZ247" s="4">
        <f>tbl_Data_old[[#This Row],[Lost Revenue ($/unit)]]/tbl_Data_old[[#This Row],[kWh Savings]]*tbl_Data_old[[#This Row],[Sum of Annuals]]</f>
        <v>426009.85206062964</v>
      </c>
      <c r="BA247" s="4">
        <f>tbl_Data_old[[#This Row],[Incremental Cost ($/unit)]]/tbl_Data_old[[#This Row],[kWh Savings]]*tbl_Data_old[[#This Row],[Sum of Annuals]]</f>
        <v>163413.52054189183</v>
      </c>
      <c r="BB247">
        <f>ROUNDUP(tbl_Data_old[[#This Row],[Adjusted 2025]]/$L247,0)</f>
        <v>52</v>
      </c>
      <c r="BC247">
        <f>ROUNDUP(tbl_Data_old[[#This Row],[Adjusted 2026]]/$L247,0)</f>
        <v>57</v>
      </c>
      <c r="BD247">
        <f>ROUNDUP(tbl_Data_old[[#This Row],[Adjusted 2027]]/$L247,0)</f>
        <v>60</v>
      </c>
      <c r="BE247">
        <f>ROUNDUP(tbl_Data_old[[#This Row],[Adjusted 2028]]/$L247,0)</f>
        <v>63</v>
      </c>
      <c r="BF247">
        <f>ROUNDUP(tbl_Data_old[[#This Row],[Adjusted 2029]]/$L247,0)</f>
        <v>66</v>
      </c>
      <c r="BG247">
        <f>ROUNDUP(tbl_Data_old[[#This Row],[Adjusted 2030]]/$L247,0)</f>
        <v>67</v>
      </c>
      <c r="BH247">
        <f>ROUNDUP(tbl_Data_old[[#This Row],[Adjusted 2031]]/$L247,0)</f>
        <v>69</v>
      </c>
      <c r="BI247">
        <f>ROUNDUP(tbl_Data_old[[#This Row],[Adjusted 2032]]/$L247,0)</f>
        <v>70</v>
      </c>
      <c r="BJ247">
        <f>ROUNDUP(tbl_Data_old[[#This Row],[Adjusted 2033]]/$L247,0)</f>
        <v>71</v>
      </c>
      <c r="BK247">
        <f>ROUNDUP(tbl_Data_old[[#This Row],[Adjusted 2034]]/$L247,0)</f>
        <v>71</v>
      </c>
      <c r="BL247" s="3">
        <f t="shared" si="17"/>
        <v>817.2385390494552</v>
      </c>
      <c r="BM247" s="3">
        <f t="shared" si="17"/>
        <v>887.92736452716258</v>
      </c>
      <c r="BN247" s="3">
        <f t="shared" si="17"/>
        <v>944.72129284357777</v>
      </c>
      <c r="BO247" s="3">
        <f t="shared" si="17"/>
        <v>992.38094891901358</v>
      </c>
      <c r="BP247" s="3">
        <f t="shared" si="17"/>
        <v>1030.4988720779565</v>
      </c>
      <c r="BQ247" s="3">
        <f t="shared" si="17"/>
        <v>1059.8418991891747</v>
      </c>
      <c r="BR247" s="3">
        <f t="shared" si="17"/>
        <v>1081.1045118809652</v>
      </c>
      <c r="BS247" s="3">
        <f t="shared" si="17"/>
        <v>1097.6658841162102</v>
      </c>
      <c r="BT247" s="3">
        <f t="shared" si="17"/>
        <v>1111.7744362576473</v>
      </c>
      <c r="BU247" s="3">
        <f t="shared" si="17"/>
        <v>1121.6162804218316</v>
      </c>
      <c r="BV247">
        <f>VLOOKUP($H247,'1. Set Program Names'!$B$2:$D$15,3,0)*V247</f>
        <v>1884.0429172541744</v>
      </c>
      <c r="BW247">
        <f>VLOOKUP($H247,'1. Set Program Names'!$B$2:$D$15,3,0)*W247</f>
        <v>2047.0073084406156</v>
      </c>
      <c r="BX247">
        <f>VLOOKUP($H247,'1. Set Program Names'!$B$2:$D$15,3,0)*X247</f>
        <v>2177.9387235352087</v>
      </c>
      <c r="BY247">
        <f>VLOOKUP($H247,'1. Set Program Names'!$B$2:$D$15,3,0)*Y247</f>
        <v>2287.8121976522452</v>
      </c>
      <c r="BZ247">
        <f>VLOOKUP($H247,'1. Set Program Names'!$B$2:$D$15,3,0)*Z247</f>
        <v>2375.6883803290625</v>
      </c>
      <c r="CA247">
        <f>VLOOKUP($H247,'1. Set Program Names'!$B$2:$D$15,3,0)*AA247</f>
        <v>2443.335119632362</v>
      </c>
      <c r="CB247">
        <f>VLOOKUP($H247,'1. Set Program Names'!$B$2:$D$15,3,0)*AB247</f>
        <v>2492.3534575228887</v>
      </c>
      <c r="CC247">
        <f>VLOOKUP($H247,'1. Set Program Names'!$B$2:$D$15,3,0)*AC247</f>
        <v>2530.5336638750209</v>
      </c>
      <c r="CD247">
        <f>VLOOKUP($H247,'1. Set Program Names'!$B$2:$D$15,3,0)*AD247</f>
        <v>2563.0591952403215</v>
      </c>
      <c r="CE247">
        <f>VLOOKUP($H247,'1. Set Program Names'!$B$2:$D$15,3,0)*AE247</f>
        <v>2585.7483562432008</v>
      </c>
    </row>
    <row r="248" spans="1:83" x14ac:dyDescent="0.25">
      <c r="A248" s="20" t="s">
        <v>87</v>
      </c>
      <c r="B248" s="20" t="s">
        <v>88</v>
      </c>
      <c r="C248" s="20" t="s">
        <v>122</v>
      </c>
      <c r="D248" s="20" t="s">
        <v>90</v>
      </c>
      <c r="E248" s="20" t="s">
        <v>91</v>
      </c>
      <c r="F248" s="20" t="s">
        <v>90</v>
      </c>
      <c r="G248" s="20" t="s">
        <v>92</v>
      </c>
      <c r="H248" s="20" t="s">
        <v>14</v>
      </c>
      <c r="I248" s="20" t="s">
        <v>165</v>
      </c>
      <c r="J248" s="20" t="s">
        <v>161</v>
      </c>
      <c r="K248" s="20" t="s">
        <v>166</v>
      </c>
      <c r="L248" s="20">
        <v>510.6</v>
      </c>
      <c r="M248" s="20">
        <v>6.2552429943266097E-2</v>
      </c>
      <c r="N248" s="20">
        <v>6.4361142955417797E-2</v>
      </c>
      <c r="O248" s="20">
        <v>129</v>
      </c>
      <c r="P248" s="20">
        <v>26.468747947944401</v>
      </c>
      <c r="Q248" s="20">
        <v>18.177204243412199</v>
      </c>
      <c r="R248" s="20">
        <v>174.74401692254699</v>
      </c>
      <c r="S248" s="20">
        <v>419.99719394182398</v>
      </c>
      <c r="T248" s="20">
        <v>10</v>
      </c>
      <c r="U248" s="20">
        <v>0.2</v>
      </c>
      <c r="V248" s="20">
        <v>6642.5065405618298</v>
      </c>
      <c r="W248" s="20">
        <v>9109.8247544498809</v>
      </c>
      <c r="X248" s="20">
        <v>12118.040079669499</v>
      </c>
      <c r="Y248" s="20">
        <v>15630.0990675057</v>
      </c>
      <c r="Z248" s="20">
        <v>19360.054820805701</v>
      </c>
      <c r="AA248" s="20">
        <v>22729.558753147699</v>
      </c>
      <c r="AB248" s="20">
        <v>24985.1691949013</v>
      </c>
      <c r="AC248" s="20">
        <v>25417.555791201401</v>
      </c>
      <c r="AD248" s="20">
        <v>23662.963341707498</v>
      </c>
      <c r="AE248" s="20">
        <v>20071.949075058201</v>
      </c>
      <c r="AF248" t="str">
        <f t="shared" si="14"/>
        <v>NonResidential</v>
      </c>
      <c r="AG248" t="str">
        <f>tbl_Data_old[[#This Row],[All_Meas_Name_Append]]</f>
        <v>Occupancy Sensors_ Ceiling Mounted</v>
      </c>
      <c r="AH248">
        <f>AVERAGEIFS('3. Incentive Adjustment'!G:G,'3. Incentive Adjustment'!A:A,tbl_Data_old[[#This Row],[Trimmed Sector]],'3. Incentive Adjustment'!B:B,tbl_Data_old[[#This Row],[Trimmed Measure Name]])</f>
        <v>0.99348124042467356</v>
      </c>
      <c r="AI248">
        <f>$AH248*tbl_Data_old[[#This Row],[2025 ]]</f>
        <v>6599.2056374463737</v>
      </c>
      <c r="AJ248">
        <f>$AH248*tbl_Data_old[[#This Row],[2026 ]]</f>
        <v>9050.4399971022649</v>
      </c>
      <c r="AK248">
        <f>$AH248*tbl_Data_old[[#This Row],[2027 ]]</f>
        <v>12039.045489865965</v>
      </c>
      <c r="AL248">
        <f>$AH248*tbl_Data_old[[#This Row],[2028 ]]</f>
        <v>15528.210209546096</v>
      </c>
      <c r="AM248">
        <f>$AH248*tbl_Data_old[[#This Row],[2029 ]]</f>
        <v>19233.851278063728</v>
      </c>
      <c r="AN248">
        <f>$AH248*tbl_Data_old[[#This Row],[2030 ]]</f>
        <v>22581.390224382674</v>
      </c>
      <c r="AO248">
        <f>$AH248*tbl_Data_old[[#This Row],[2031 ]]</f>
        <v>24822.296883970885</v>
      </c>
      <c r="AP248">
        <f>$AH248*tbl_Data_old[[#This Row],[2032 ]]</f>
        <v>25251.864856006112</v>
      </c>
      <c r="AQ248">
        <f>$AH248*tbl_Data_old[[#This Row],[2033 ]]</f>
        <v>23508.710172843144</v>
      </c>
      <c r="AR248">
        <f>$AH248*tbl_Data_old[[#This Row],[2034 ]]</f>
        <v>19941.1048648297</v>
      </c>
      <c r="AS248">
        <f>SUM(tbl_Data_old[[#This Row],[Adjusted 2025]:[Adjusted 2034]])</f>
        <v>178556.11961405695</v>
      </c>
      <c r="AT248" s="3">
        <f>AVERAGEIFS('3. Incentive Adjustment'!F:F,'3. Incentive Adjustment'!A:A,tbl_Data_old[[#This Row],[Trimmed Sector]],'3. Incentive Adjustment'!B:B,tbl_Data_old[[#This Row],[Trimmed Measure Name]])</f>
        <v>19.547634357270656</v>
      </c>
      <c r="AU248" s="3">
        <f>IFERROR(VLOOKUP(tbl_Data_old[[#This Row],[All_Meas_Name_Append]],'IRA Tax Credits'!$A$3:$D$46,4,0),0)</f>
        <v>0</v>
      </c>
      <c r="AV248" s="4">
        <f>tbl_Data_old[[#This Row],[Adj. per unit Incentive ($)]]/tbl_Data_old[[#This Row],[kWh Savings]]*tbl_Data_old[[#This Row],[Sum of Annuals]]</f>
        <v>6835.7809214035815</v>
      </c>
      <c r="AW248" s="4">
        <f>IFERROR(VLOOKUP(tbl_Data_old[[#This Row],[All_Programs]],'1. Set Program Names'!$B$2:$D$15,3,0)*tbl_Data_old[[#This Row],[Sum of Annuals]],"")</f>
        <v>6356.5433903953226</v>
      </c>
      <c r="AX248" s="4">
        <f>tbl_Data_old[[#This Row],[per unit IRA tax ($)]]/tbl_Data_old[[#This Row],[kWh Savings]]*tbl_Data_old[[#This Row],[Sum of Annuals]]</f>
        <v>0</v>
      </c>
      <c r="AY248" s="4">
        <f>tbl_Data_old[[#This Row],[Avoided Costs ($/unit)]]/tbl_Data_old[[#This Row],[kWh Savings]]*tbl_Data_old[[#This Row],[Sum of Annuals]]</f>
        <v>61107.74302284194</v>
      </c>
      <c r="AZ248" s="4">
        <f>tbl_Data_old[[#This Row],[Lost Revenue ($/unit)]]/tbl_Data_old[[#This Row],[kWh Savings]]*tbl_Data_old[[#This Row],[Sum of Annuals]]</f>
        <v>146872.44261465842</v>
      </c>
      <c r="BA248" s="4">
        <f>tbl_Data_old[[#This Row],[Incremental Cost ($/unit)]]/tbl_Data_old[[#This Row],[kWh Savings]]*tbl_Data_old[[#This Row],[Sum of Annuals]]</f>
        <v>45111.123051730014</v>
      </c>
      <c r="BB248">
        <f>ROUNDUP(tbl_Data_old[[#This Row],[Adjusted 2025]]/$L248,0)</f>
        <v>13</v>
      </c>
      <c r="BC248">
        <f>ROUNDUP(tbl_Data_old[[#This Row],[Adjusted 2026]]/$L248,0)</f>
        <v>18</v>
      </c>
      <c r="BD248">
        <f>ROUNDUP(tbl_Data_old[[#This Row],[Adjusted 2027]]/$L248,0)</f>
        <v>24</v>
      </c>
      <c r="BE248">
        <f>ROUNDUP(tbl_Data_old[[#This Row],[Adjusted 2028]]/$L248,0)</f>
        <v>31</v>
      </c>
      <c r="BF248">
        <f>ROUNDUP(tbl_Data_old[[#This Row],[Adjusted 2029]]/$L248,0)</f>
        <v>38</v>
      </c>
      <c r="BG248">
        <f>ROUNDUP(tbl_Data_old[[#This Row],[Adjusted 2030]]/$L248,0)</f>
        <v>45</v>
      </c>
      <c r="BH248">
        <f>ROUNDUP(tbl_Data_old[[#This Row],[Adjusted 2031]]/$L248,0)</f>
        <v>49</v>
      </c>
      <c r="BI248">
        <f>ROUNDUP(tbl_Data_old[[#This Row],[Adjusted 2032]]/$L248,0)</f>
        <v>50</v>
      </c>
      <c r="BJ248">
        <f>ROUNDUP(tbl_Data_old[[#This Row],[Adjusted 2033]]/$L248,0)</f>
        <v>47</v>
      </c>
      <c r="BK248">
        <f>ROUNDUP(tbl_Data_old[[#This Row],[Adjusted 2034]]/$L248,0)</f>
        <v>40</v>
      </c>
      <c r="BL248" s="3">
        <f t="shared" si="17"/>
        <v>254.29943022068446</v>
      </c>
      <c r="BM248" s="3">
        <f t="shared" si="17"/>
        <v>348.75739004856877</v>
      </c>
      <c r="BN248" s="3">
        <f t="shared" si="17"/>
        <v>463.9228683982185</v>
      </c>
      <c r="BO248" s="3">
        <f t="shared" si="17"/>
        <v>598.37732381417641</v>
      </c>
      <c r="BP248" s="3">
        <f t="shared" si="17"/>
        <v>741.17366387353104</v>
      </c>
      <c r="BQ248" s="3">
        <f t="shared" si="17"/>
        <v>870.17059069453967</v>
      </c>
      <c r="BR248" s="3">
        <f t="shared" si="17"/>
        <v>956.52360316583054</v>
      </c>
      <c r="BS248" s="3">
        <f t="shared" si="17"/>
        <v>973.07694254197463</v>
      </c>
      <c r="BT248" s="3">
        <f t="shared" si="17"/>
        <v>905.90473014727297</v>
      </c>
      <c r="BU248" s="3">
        <f t="shared" si="17"/>
        <v>768.42757805913561</v>
      </c>
      <c r="BV248">
        <f>VLOOKUP($H248,'1. Set Program Names'!$B$2:$D$15,3,0)*V248</f>
        <v>236.47120657264739</v>
      </c>
      <c r="BW248">
        <f>VLOOKUP($H248,'1. Set Program Names'!$B$2:$D$15,3,0)*W248</f>
        <v>324.30698234102596</v>
      </c>
      <c r="BX248">
        <f>VLOOKUP($H248,'1. Set Program Names'!$B$2:$D$15,3,0)*X248</f>
        <v>431.3985302742019</v>
      </c>
      <c r="BY248">
        <f>VLOOKUP($H248,'1. Set Program Names'!$B$2:$D$15,3,0)*Y248</f>
        <v>556.4267589009354</v>
      </c>
      <c r="BZ248">
        <f>VLOOKUP($H248,'1. Set Program Names'!$B$2:$D$15,3,0)*Z248</f>
        <v>689.21204590960076</v>
      </c>
      <c r="CA248">
        <f>VLOOKUP($H248,'1. Set Program Names'!$B$2:$D$15,3,0)*AA248</f>
        <v>809.16535804661805</v>
      </c>
      <c r="CB248">
        <f>VLOOKUP($H248,'1. Set Program Names'!$B$2:$D$15,3,0)*AB248</f>
        <v>889.46440170766073</v>
      </c>
      <c r="CC248">
        <f>VLOOKUP($H248,'1. Set Program Names'!$B$2:$D$15,3,0)*AC248</f>
        <v>904.85723263805789</v>
      </c>
      <c r="CD248">
        <f>VLOOKUP($H248,'1. Set Program Names'!$B$2:$D$15,3,0)*AD248</f>
        <v>842.39427666782763</v>
      </c>
      <c r="CE248">
        <f>VLOOKUP($H248,'1. Set Program Names'!$B$2:$D$15,3,0)*AE248</f>
        <v>714.55526420035528</v>
      </c>
    </row>
    <row r="249" spans="1:83" x14ac:dyDescent="0.25">
      <c r="A249" s="20" t="s">
        <v>87</v>
      </c>
      <c r="B249" s="20" t="s">
        <v>88</v>
      </c>
      <c r="C249" s="20" t="s">
        <v>122</v>
      </c>
      <c r="D249" s="20" t="s">
        <v>90</v>
      </c>
      <c r="E249" s="20" t="s">
        <v>91</v>
      </c>
      <c r="F249" s="20" t="s">
        <v>90</v>
      </c>
      <c r="G249" s="20" t="s">
        <v>92</v>
      </c>
      <c r="H249" s="20" t="s">
        <v>14</v>
      </c>
      <c r="I249" s="20" t="s">
        <v>154</v>
      </c>
      <c r="J249" s="20" t="s">
        <v>129</v>
      </c>
      <c r="K249" s="20" t="s">
        <v>102</v>
      </c>
      <c r="L249" s="20">
        <v>111105.09249999899</v>
      </c>
      <c r="M249" s="20">
        <v>30.6532165911823</v>
      </c>
      <c r="N249" s="20">
        <v>0</v>
      </c>
      <c r="O249" s="20">
        <v>40257.675000000003</v>
      </c>
      <c r="P249" s="20">
        <v>17605.607636663401</v>
      </c>
      <c r="Q249" s="20">
        <v>3955.3074008141398</v>
      </c>
      <c r="R249" s="20">
        <v>56706.982631731698</v>
      </c>
      <c r="S249" s="20">
        <v>120673.47084214</v>
      </c>
      <c r="T249" s="20">
        <v>15</v>
      </c>
      <c r="U249" s="20">
        <v>0.95</v>
      </c>
      <c r="V249" s="20">
        <v>141.96160722326101</v>
      </c>
      <c r="W249" s="20">
        <v>142.471085217292</v>
      </c>
      <c r="X249" s="20">
        <v>143.507532596072</v>
      </c>
      <c r="Y249" s="20">
        <v>144.833882018699</v>
      </c>
      <c r="Z249" s="20">
        <v>145.723560766345</v>
      </c>
      <c r="AA249" s="20">
        <v>146.59174304214699</v>
      </c>
      <c r="AB249" s="20">
        <v>146.87555864327501</v>
      </c>
      <c r="AC249" s="20">
        <v>146.976174891071</v>
      </c>
      <c r="AD249" s="20">
        <v>147.82973309277401</v>
      </c>
      <c r="AE249" s="20">
        <v>148.318829758259</v>
      </c>
      <c r="AF249" t="str">
        <f t="shared" si="14"/>
        <v>NonResidential</v>
      </c>
      <c r="AG249" t="str">
        <f>tbl_Data_old[[#This Row],[All_Meas_Name_Append]]</f>
        <v>Reflective Roof Treatment</v>
      </c>
      <c r="AH249">
        <f>AVERAGEIFS('3. Incentive Adjustment'!G:G,'3. Incentive Adjustment'!A:A,tbl_Data_old[[#This Row],[Trimmed Sector]],'3. Incentive Adjustment'!B:B,tbl_Data_old[[#This Row],[Trimmed Measure Name]])</f>
        <v>0.87696681614875649</v>
      </c>
      <c r="AI249">
        <f>$AH249*tbl_Data_old[[#This Row],[2025 ]]</f>
        <v>124.49561870194353</v>
      </c>
      <c r="AJ249">
        <f>$AH249*tbl_Data_old[[#This Row],[2026 ]]</f>
        <v>124.94241399626674</v>
      </c>
      <c r="AK249">
        <f>$AH249*tbl_Data_old[[#This Row],[2027 ]]</f>
        <v>125.85134395414114</v>
      </c>
      <c r="AL249">
        <f>$AH249*tbl_Data_old[[#This Row],[2028 ]]</f>
        <v>127.0145083844031</v>
      </c>
      <c r="AM249">
        <f>$AH249*tbl_Data_old[[#This Row],[2029 ]]</f>
        <v>127.79472712312142</v>
      </c>
      <c r="AN249">
        <f>$AH249*tbl_Data_old[[#This Row],[2030 ]]</f>
        <v>128.55609416936827</v>
      </c>
      <c r="AO249">
        <f>$AH249*tbl_Data_old[[#This Row],[2031 ]]</f>
        <v>128.80499103346287</v>
      </c>
      <c r="AP249">
        <f>$AH249*tbl_Data_old[[#This Row],[2032 ]]</f>
        <v>128.89322814394535</v>
      </c>
      <c r="AQ249">
        <f>$AH249*tbl_Data_old[[#This Row],[2033 ]]</f>
        <v>129.64177036249049</v>
      </c>
      <c r="AR249">
        <f>$AH249*tbl_Data_old[[#This Row],[2034 ]]</f>
        <v>130.07069190800982</v>
      </c>
      <c r="AS249">
        <f>SUM(tbl_Data_old[[#This Row],[Adjusted 2025]:[Adjusted 2034]])</f>
        <v>1276.0653877771526</v>
      </c>
      <c r="AT249" s="3">
        <f>AVERAGEIFS('3. Incentive Adjustment'!F:F,'3. Incentive Adjustment'!A:A,tbl_Data_old[[#This Row],[Trimmed Sector]],'3. Incentive Adjustment'!B:B,tbl_Data_old[[#This Row],[Trimmed Measure Name]])</f>
        <v>12077.302499999998</v>
      </c>
      <c r="AU249" s="3">
        <f>IFERROR(VLOOKUP(tbl_Data_old[[#This Row],[All_Meas_Name_Append]],'IRA Tax Credits'!$A$3:$D$46,4,0),0)</f>
        <v>0</v>
      </c>
      <c r="AV249" s="4">
        <f>tbl_Data_old[[#This Row],[Adj. per unit Incentive ($)]]/tbl_Data_old[[#This Row],[kWh Savings]]*tbl_Data_old[[#This Row],[Sum of Annuals]]</f>
        <v>138.71036287526255</v>
      </c>
      <c r="AW249" s="4">
        <f>IFERROR(VLOOKUP(tbl_Data_old[[#This Row],[All_Programs]],'1. Set Program Names'!$B$2:$D$15,3,0)*tbl_Data_old[[#This Row],[Sum of Annuals]],"")</f>
        <v>45.427538545973931</v>
      </c>
      <c r="AX249" s="4">
        <f>tbl_Data_old[[#This Row],[per unit IRA tax ($)]]/tbl_Data_old[[#This Row],[kWh Savings]]*tbl_Data_old[[#This Row],[Sum of Annuals]]</f>
        <v>0</v>
      </c>
      <c r="AY249" s="4">
        <f>tbl_Data_old[[#This Row],[Avoided Costs ($/unit)]]/tbl_Data_old[[#This Row],[kWh Savings]]*tbl_Data_old[[#This Row],[Sum of Annuals]]</f>
        <v>651.29163887455138</v>
      </c>
      <c r="AZ249" s="4">
        <f>tbl_Data_old[[#This Row],[Lost Revenue ($/unit)]]/tbl_Data_old[[#This Row],[kWh Savings]]*tbl_Data_old[[#This Row],[Sum of Annuals]]</f>
        <v>1385.9602282819906</v>
      </c>
      <c r="BA249" s="4">
        <f>tbl_Data_old[[#This Row],[Incremental Cost ($/unit)]]/tbl_Data_old[[#This Row],[kWh Savings]]*tbl_Data_old[[#This Row],[Sum of Annuals]]</f>
        <v>462.36787625087533</v>
      </c>
      <c r="BB249">
        <f>ROUNDUP(tbl_Data_old[[#This Row],[Adjusted 2025]]/$L249,0)</f>
        <v>1</v>
      </c>
      <c r="BC249">
        <f>ROUNDUP(tbl_Data_old[[#This Row],[Adjusted 2026]]/$L249,0)</f>
        <v>1</v>
      </c>
      <c r="BD249">
        <f>ROUNDUP(tbl_Data_old[[#This Row],[Adjusted 2027]]/$L249,0)</f>
        <v>1</v>
      </c>
      <c r="BE249">
        <f>ROUNDUP(tbl_Data_old[[#This Row],[Adjusted 2028]]/$L249,0)</f>
        <v>1</v>
      </c>
      <c r="BF249">
        <f>ROUNDUP(tbl_Data_old[[#This Row],[Adjusted 2029]]/$L249,0)</f>
        <v>1</v>
      </c>
      <c r="BG249">
        <f>ROUNDUP(tbl_Data_old[[#This Row],[Adjusted 2030]]/$L249,0)</f>
        <v>1</v>
      </c>
      <c r="BH249">
        <f>ROUNDUP(tbl_Data_old[[#This Row],[Adjusted 2031]]/$L249,0)</f>
        <v>1</v>
      </c>
      <c r="BI249">
        <f>ROUNDUP(tbl_Data_old[[#This Row],[Adjusted 2032]]/$L249,0)</f>
        <v>1</v>
      </c>
      <c r="BJ249">
        <f>ROUNDUP(tbl_Data_old[[#This Row],[Adjusted 2033]]/$L249,0)</f>
        <v>1</v>
      </c>
      <c r="BK249">
        <f>ROUNDUP(tbl_Data_old[[#This Row],[Adjusted 2034]]/$L249,0)</f>
        <v>1</v>
      </c>
      <c r="BL249" s="3">
        <f t="shared" si="17"/>
        <v>15.431455347751262</v>
      </c>
      <c r="BM249" s="3">
        <f t="shared" si="17"/>
        <v>15.486836426264881</v>
      </c>
      <c r="BN249" s="3">
        <f t="shared" si="17"/>
        <v>15.599499925634708</v>
      </c>
      <c r="BO249" s="3">
        <f t="shared" si="17"/>
        <v>15.743676244085339</v>
      </c>
      <c r="BP249" s="3">
        <f t="shared" si="17"/>
        <v>15.84038575686615</v>
      </c>
      <c r="BQ249" s="3">
        <f t="shared" si="17"/>
        <v>15.934758568535418</v>
      </c>
      <c r="BR249" s="3">
        <f t="shared" si="17"/>
        <v>15.96560978148988</v>
      </c>
      <c r="BS249" s="3">
        <f t="shared" si="17"/>
        <v>15.976546929677276</v>
      </c>
      <c r="BT249" s="3">
        <f t="shared" si="17"/>
        <v>16.069330080938531</v>
      </c>
      <c r="BU249" s="3">
        <f t="shared" si="17"/>
        <v>16.122495676213148</v>
      </c>
      <c r="BV249">
        <f>VLOOKUP($H249,'1. Set Program Names'!$B$2:$D$15,3,0)*V249</f>
        <v>5.0537899122997958</v>
      </c>
      <c r="BW249">
        <f>VLOOKUP($H249,'1. Set Program Names'!$B$2:$D$15,3,0)*W249</f>
        <v>5.0719271734729743</v>
      </c>
      <c r="BX249">
        <f>VLOOKUP($H249,'1. Set Program Names'!$B$2:$D$15,3,0)*X249</f>
        <v>5.1088243839932117</v>
      </c>
      <c r="BY249">
        <f>VLOOKUP($H249,'1. Set Program Names'!$B$2:$D$15,3,0)*Y249</f>
        <v>5.1560420188408864</v>
      </c>
      <c r="BZ249">
        <f>VLOOKUP($H249,'1. Set Program Names'!$B$2:$D$15,3,0)*Z249</f>
        <v>5.1877143108639663</v>
      </c>
      <c r="CA249">
        <f>VLOOKUP($H249,'1. Set Program Names'!$B$2:$D$15,3,0)*AA249</f>
        <v>5.2186213350468167</v>
      </c>
      <c r="CB249">
        <f>VLOOKUP($H249,'1. Set Program Names'!$B$2:$D$15,3,0)*AB249</f>
        <v>5.2287250838701045</v>
      </c>
      <c r="CC249">
        <f>VLOOKUP($H249,'1. Set Program Names'!$B$2:$D$15,3,0)*AC249</f>
        <v>5.2323069915990379</v>
      </c>
      <c r="CD249">
        <f>VLOOKUP($H249,'1. Set Program Names'!$B$2:$D$15,3,0)*AD249</f>
        <v>5.2626934032049828</v>
      </c>
      <c r="CE249">
        <f>VLOOKUP($H249,'1. Set Program Names'!$B$2:$D$15,3,0)*AE249</f>
        <v>5.280105095299171</v>
      </c>
    </row>
    <row r="250" spans="1:83" x14ac:dyDescent="0.25">
      <c r="A250" s="20" t="s">
        <v>87</v>
      </c>
      <c r="B250" s="20" t="s">
        <v>88</v>
      </c>
      <c r="C250" s="20" t="s">
        <v>122</v>
      </c>
      <c r="D250" s="20" t="s">
        <v>90</v>
      </c>
      <c r="E250" s="20" t="s">
        <v>91</v>
      </c>
      <c r="F250" s="20" t="s">
        <v>90</v>
      </c>
      <c r="G250" s="20" t="s">
        <v>92</v>
      </c>
      <c r="H250" s="20" t="s">
        <v>14</v>
      </c>
      <c r="I250" s="20" t="s">
        <v>167</v>
      </c>
      <c r="J250" s="20" t="s">
        <v>124</v>
      </c>
      <c r="K250" s="20" t="s">
        <v>98</v>
      </c>
      <c r="L250" s="20">
        <v>151.66</v>
      </c>
      <c r="M250" s="20">
        <v>2.2013191527321101E-2</v>
      </c>
      <c r="N250" s="20">
        <v>1.95296013954902E-2</v>
      </c>
      <c r="O250" s="20">
        <v>56.6</v>
      </c>
      <c r="P250" s="20">
        <v>25.402483751835899</v>
      </c>
      <c r="Q250" s="20">
        <v>5.3990497366938701</v>
      </c>
      <c r="R250" s="20">
        <v>70.564478576335205</v>
      </c>
      <c r="S250" s="20">
        <v>171.417444155428</v>
      </c>
      <c r="T250" s="20">
        <v>16</v>
      </c>
      <c r="U250" s="20">
        <v>0.2</v>
      </c>
      <c r="V250" s="20">
        <v>965.51517445058698</v>
      </c>
      <c r="W250" s="20">
        <v>1313.1344419919301</v>
      </c>
      <c r="X250" s="20">
        <v>1696.4288303532401</v>
      </c>
      <c r="Y250" s="20">
        <v>2094.4850280931701</v>
      </c>
      <c r="Z250" s="20">
        <v>2472.6293643621898</v>
      </c>
      <c r="AA250" s="20">
        <v>2803.7331503054402</v>
      </c>
      <c r="AB250" s="20">
        <v>3068.72692957961</v>
      </c>
      <c r="AC250" s="20">
        <v>3273.11750510817</v>
      </c>
      <c r="AD250" s="20">
        <v>3433.6100718593402</v>
      </c>
      <c r="AE250" s="20">
        <v>3553.3295669899799</v>
      </c>
      <c r="AF250" t="str">
        <f t="shared" si="14"/>
        <v>NonResidential</v>
      </c>
      <c r="AG250" t="str">
        <f>tbl_Data_old[[#This Row],[All_Meas_Name_Append]]</f>
        <v>Refrigerated Display Case LED Lighting</v>
      </c>
      <c r="AH250">
        <f>AVERAGEIFS('3. Incentive Adjustment'!G:G,'3. Incentive Adjustment'!A:A,tbl_Data_old[[#This Row],[Trimmed Sector]],'3. Incentive Adjustment'!B:B,tbl_Data_old[[#This Row],[Trimmed Measure Name]])</f>
        <v>0.72450810749703154</v>
      </c>
      <c r="AI250">
        <f>$AH250*tbl_Data_old[[#This Row],[2025 ]]</f>
        <v>699.52357180086108</v>
      </c>
      <c r="AJ250">
        <f>$AH250*tbl_Data_old[[#This Row],[2026 ]]</f>
        <v>951.37654945674376</v>
      </c>
      <c r="AK250">
        <f>$AH250*tbl_Data_old[[#This Row],[2027 ]]</f>
        <v>1229.0764413826287</v>
      </c>
      <c r="AL250">
        <f>$AH250*tbl_Data_old[[#This Row],[2028 ]]</f>
        <v>1517.4713838846496</v>
      </c>
      <c r="AM250">
        <f>$AH250*tbl_Data_old[[#This Row],[2029 ]]</f>
        <v>1791.4400213156382</v>
      </c>
      <c r="AN250">
        <f>$AH250*tbl_Data_old[[#This Row],[2030 ]]</f>
        <v>2031.3273986544848</v>
      </c>
      <c r="AO250">
        <f>$AH250*tbl_Data_old[[#This Row],[2031 ]]</f>
        <v>2223.3175401748995</v>
      </c>
      <c r="AP250">
        <f>$AH250*tbl_Data_old[[#This Row],[2032 ]]</f>
        <v>2371.4001692413258</v>
      </c>
      <c r="AQ250">
        <f>$AH250*tbl_Data_old[[#This Row],[2033 ]]</f>
        <v>2487.6783350455571</v>
      </c>
      <c r="AR250">
        <f>$AH250*tbl_Data_old[[#This Row],[2034 ]]</f>
        <v>2574.4160798931571</v>
      </c>
      <c r="AS250">
        <f>SUM(tbl_Data_old[[#This Row],[Adjusted 2025]:[Adjusted 2034]])</f>
        <v>17877.027490849945</v>
      </c>
      <c r="AT250" s="3">
        <f>AVERAGEIFS('3. Incentive Adjustment'!F:F,'3. Incentive Adjustment'!A:A,tbl_Data_old[[#This Row],[Trimmed Sector]],'3. Incentive Adjustment'!B:B,tbl_Data_old[[#This Row],[Trimmed Measure Name]])</f>
        <v>6.879122352287844</v>
      </c>
      <c r="AU250" s="3">
        <f>IFERROR(VLOOKUP(tbl_Data_old[[#This Row],[All_Meas_Name_Append]],'IRA Tax Credits'!$A$3:$D$46,4,0),0)</f>
        <v>0</v>
      </c>
      <c r="AV250" s="4">
        <f>tbl_Data_old[[#This Row],[Adj. per unit Incentive ($)]]/tbl_Data_old[[#This Row],[kWh Savings]]*tbl_Data_old[[#This Row],[Sum of Annuals]]</f>
        <v>810.88130953956306</v>
      </c>
      <c r="AW250" s="4">
        <f>IFERROR(VLOOKUP(tbl_Data_old[[#This Row],[All_Programs]],'1. Set Program Names'!$B$2:$D$15,3,0)*tbl_Data_old[[#This Row],[Sum of Annuals]],"")</f>
        <v>636.41672535502175</v>
      </c>
      <c r="AX250" s="4">
        <f>tbl_Data_old[[#This Row],[per unit IRA tax ($)]]/tbl_Data_old[[#This Row],[kWh Savings]]*tbl_Data_old[[#This Row],[Sum of Annuals]]</f>
        <v>0</v>
      </c>
      <c r="AY250" s="4">
        <f>tbl_Data_old[[#This Row],[Avoided Costs ($/unit)]]/tbl_Data_old[[#This Row],[kWh Savings]]*tbl_Data_old[[#This Row],[Sum of Annuals]]</f>
        <v>8317.8367624069397</v>
      </c>
      <c r="AZ250" s="4">
        <f>tbl_Data_old[[#This Row],[Lost Revenue ($/unit)]]/tbl_Data_old[[#This Row],[kWh Savings]]*tbl_Data_old[[#This Row],[Sum of Annuals]]</f>
        <v>20205.949898310835</v>
      </c>
      <c r="BA250" s="4">
        <f>tbl_Data_old[[#This Row],[Incremental Cost ($/unit)]]/tbl_Data_old[[#This Row],[kWh Savings]]*tbl_Data_old[[#This Row],[Sum of Annuals]]</f>
        <v>6671.7641829230315</v>
      </c>
      <c r="BB250">
        <f>ROUNDUP(tbl_Data_old[[#This Row],[Adjusted 2025]]/$L250,0)</f>
        <v>5</v>
      </c>
      <c r="BC250">
        <f>ROUNDUP(tbl_Data_old[[#This Row],[Adjusted 2026]]/$L250,0)</f>
        <v>7</v>
      </c>
      <c r="BD250">
        <f>ROUNDUP(tbl_Data_old[[#This Row],[Adjusted 2027]]/$L250,0)</f>
        <v>9</v>
      </c>
      <c r="BE250">
        <f>ROUNDUP(tbl_Data_old[[#This Row],[Adjusted 2028]]/$L250,0)</f>
        <v>11</v>
      </c>
      <c r="BF250">
        <f>ROUNDUP(tbl_Data_old[[#This Row],[Adjusted 2029]]/$L250,0)</f>
        <v>12</v>
      </c>
      <c r="BG250">
        <f>ROUNDUP(tbl_Data_old[[#This Row],[Adjusted 2030]]/$L250,0)</f>
        <v>14</v>
      </c>
      <c r="BH250">
        <f>ROUNDUP(tbl_Data_old[[#This Row],[Adjusted 2031]]/$L250,0)</f>
        <v>15</v>
      </c>
      <c r="BI250">
        <f>ROUNDUP(tbl_Data_old[[#This Row],[Adjusted 2032]]/$L250,0)</f>
        <v>16</v>
      </c>
      <c r="BJ250">
        <f>ROUNDUP(tbl_Data_old[[#This Row],[Adjusted 2033]]/$L250,0)</f>
        <v>17</v>
      </c>
      <c r="BK250">
        <f>ROUNDUP(tbl_Data_old[[#This Row],[Adjusted 2034]]/$L250,0)</f>
        <v>17</v>
      </c>
      <c r="BL250" s="3">
        <f t="shared" si="17"/>
        <v>43.794652631123107</v>
      </c>
      <c r="BM250" s="3">
        <f t="shared" si="17"/>
        <v>59.562260922232042</v>
      </c>
      <c r="BN250" s="3">
        <f t="shared" si="17"/>
        <v>76.948051470054708</v>
      </c>
      <c r="BO250" s="3">
        <f t="shared" si="17"/>
        <v>95.003420633574834</v>
      </c>
      <c r="BP250" s="3">
        <f t="shared" si="17"/>
        <v>112.155610769532</v>
      </c>
      <c r="BQ250" s="3">
        <f t="shared" si="17"/>
        <v>127.17409589948943</v>
      </c>
      <c r="BR250" s="3">
        <f t="shared" si="17"/>
        <v>139.19390751904749</v>
      </c>
      <c r="BS250" s="3">
        <f t="shared" si="17"/>
        <v>148.46482784553763</v>
      </c>
      <c r="BT250" s="3">
        <f t="shared" si="17"/>
        <v>155.7445852193608</v>
      </c>
      <c r="BU250" s="3">
        <f t="shared" si="17"/>
        <v>161.17492317899286</v>
      </c>
      <c r="BV250">
        <f>VLOOKUP($H250,'1. Set Program Names'!$B$2:$D$15,3,0)*V250</f>
        <v>34.372045683709509</v>
      </c>
      <c r="BW250">
        <f>VLOOKUP($H250,'1. Set Program Names'!$B$2:$D$15,3,0)*W250</f>
        <v>46.747185568246017</v>
      </c>
      <c r="BX250">
        <f>VLOOKUP($H250,'1. Set Program Names'!$B$2:$D$15,3,0)*X250</f>
        <v>60.392348871413439</v>
      </c>
      <c r="BY250">
        <f>VLOOKUP($H250,'1. Set Program Names'!$B$2:$D$15,3,0)*Y250</f>
        <v>74.563028085425941</v>
      </c>
      <c r="BZ250">
        <f>VLOOKUP($H250,'1. Set Program Names'!$B$2:$D$15,3,0)*Z250</f>
        <v>88.024851105111622</v>
      </c>
      <c r="CA250">
        <f>VLOOKUP($H250,'1. Set Program Names'!$B$2:$D$15,3,0)*AA250</f>
        <v>99.812044882740878</v>
      </c>
      <c r="CB250">
        <f>VLOOKUP($H250,'1. Set Program Names'!$B$2:$D$15,3,0)*AB250</f>
        <v>109.24574258955693</v>
      </c>
      <c r="CC250">
        <f>VLOOKUP($H250,'1. Set Program Names'!$B$2:$D$15,3,0)*AC250</f>
        <v>116.52198472980605</v>
      </c>
      <c r="CD250">
        <f>VLOOKUP($H250,'1. Set Program Names'!$B$2:$D$15,3,0)*AD250</f>
        <v>122.23547114850069</v>
      </c>
      <c r="CE250">
        <f>VLOOKUP($H250,'1. Set Program Names'!$B$2:$D$15,3,0)*AE250</f>
        <v>126.49744865517486</v>
      </c>
    </row>
    <row r="251" spans="1:83" x14ac:dyDescent="0.25">
      <c r="A251" s="20" t="s">
        <v>87</v>
      </c>
      <c r="B251" s="20" t="s">
        <v>88</v>
      </c>
      <c r="C251" s="20" t="s">
        <v>122</v>
      </c>
      <c r="D251" s="20" t="s">
        <v>90</v>
      </c>
      <c r="E251" s="20" t="s">
        <v>91</v>
      </c>
      <c r="F251" s="20" t="s">
        <v>90</v>
      </c>
      <c r="G251" s="20" t="s">
        <v>92</v>
      </c>
      <c r="H251" s="20" t="s">
        <v>14</v>
      </c>
      <c r="I251" s="20" t="s">
        <v>155</v>
      </c>
      <c r="J251" s="20" t="s">
        <v>129</v>
      </c>
      <c r="K251" s="20" t="s">
        <v>102</v>
      </c>
      <c r="L251" s="53">
        <v>1193.02</v>
      </c>
      <c r="M251" s="53">
        <v>0.274776433335365</v>
      </c>
      <c r="N251" s="53">
        <v>0.10441874276921487</v>
      </c>
      <c r="O251" s="53">
        <f>8423.99999999998/36663.4359999998*1193.02</f>
        <v>274.11507421181233</v>
      </c>
      <c r="P251" s="53">
        <f>3224.30667036527/36663.4359999998*1193.02</f>
        <v>104.91821726363004</v>
      </c>
      <c r="Q251" s="53">
        <f>1305.20713755829/36663.4359999998*1193.02</f>
        <v>42.471148073786637</v>
      </c>
      <c r="R251" s="53">
        <f>14915.0733686122/36663.4359999998*1193.02</f>
        <v>485.33314854128304</v>
      </c>
      <c r="S251" s="53">
        <f>32320.5298576745/36663.4359999998*1193.02</f>
        <v>1051.702806327346</v>
      </c>
      <c r="T251" s="20">
        <v>11</v>
      </c>
      <c r="U251" s="20">
        <v>0.94999999999999896</v>
      </c>
      <c r="V251" s="20">
        <v>132844.43620706501</v>
      </c>
      <c r="W251" s="20">
        <v>110654.346065176</v>
      </c>
      <c r="X251" s="20">
        <v>91408.339820438501</v>
      </c>
      <c r="Y251" s="20">
        <v>75594.151603455306</v>
      </c>
      <c r="Z251" s="20">
        <v>62627.906967107701</v>
      </c>
      <c r="AA251" s="20">
        <v>51970.430836575601</v>
      </c>
      <c r="AB251" s="20">
        <v>43269.409996157898</v>
      </c>
      <c r="AC251" s="20">
        <v>36250.158633050698</v>
      </c>
      <c r="AD251" s="20">
        <v>30645.857402472699</v>
      </c>
      <c r="AE251" s="20">
        <v>26106.989544135002</v>
      </c>
      <c r="AF251" t="str">
        <f t="shared" si="14"/>
        <v>NonResidential</v>
      </c>
      <c r="AG251" t="str">
        <f>tbl_Data_old[[#This Row],[All_Meas_Name_Append]]</f>
        <v>Smart thermostat</v>
      </c>
      <c r="AH251">
        <f>AVERAGEIFS('3. Incentive Adjustment'!G:G,'3. Incentive Adjustment'!A:A,tbl_Data_old[[#This Row],[Trimmed Sector]],'3. Incentive Adjustment'!B:B,tbl_Data_old[[#This Row],[Trimmed Measure Name]])</f>
        <v>0.87546479230069263</v>
      </c>
      <c r="AI251">
        <f>$AH251*tbl_Data_old[[#This Row],[2025 ]]</f>
        <v>116300.62675232078</v>
      </c>
      <c r="AJ251">
        <f>$AH251*tbl_Data_old[[#This Row],[2026 ]]</f>
        <v>96873.98409511827</v>
      </c>
      <c r="AK251">
        <f>$AH251*tbl_Data_old[[#This Row],[2027 ]]</f>
        <v>80024.783235451323</v>
      </c>
      <c r="AL251">
        <f>$AH251*tbl_Data_old[[#This Row],[2028 ]]</f>
        <v>66180.018232666072</v>
      </c>
      <c r="AM251">
        <f>$AH251*tbl_Data_old[[#This Row],[2029 ]]</f>
        <v>54828.527565186043</v>
      </c>
      <c r="AN251">
        <f>$AH251*tbl_Data_old[[#This Row],[2030 ]]</f>
        <v>45498.282438120172</v>
      </c>
      <c r="AO251">
        <f>$AH251*tbl_Data_old[[#This Row],[2031 ]]</f>
        <v>37880.845035259888</v>
      </c>
      <c r="AP251">
        <f>$AH251*tbl_Data_old[[#This Row],[2032 ]]</f>
        <v>31735.737598550888</v>
      </c>
      <c r="AQ251">
        <f>$AH251*tbl_Data_old[[#This Row],[2033 ]]</f>
        <v>26829.369185732405</v>
      </c>
      <c r="AR251">
        <f>$AH251*tbl_Data_old[[#This Row],[2034 ]]</f>
        <v>22855.750178852504</v>
      </c>
      <c r="AS251">
        <f>SUM(tbl_Data_old[[#This Row],[Adjusted 2025]:[Adjusted 2034]])</f>
        <v>579007.92431725829</v>
      </c>
      <c r="AT251" s="3">
        <f>AVERAGEIFS('3. Incentive Adjustment'!F:F,'3. Incentive Adjustment'!A:A,tbl_Data_old[[#This Row],[Trimmed Sector]],'3. Incentive Adjustment'!B:B,tbl_Data_old[[#This Row],[Trimmed Measure Name]])</f>
        <v>50</v>
      </c>
      <c r="AU251" s="3">
        <f>IFERROR(VLOOKUP(tbl_Data_old[[#This Row],[All_Meas_Name_Append]],'IRA Tax Credits'!$A$3:$D$46,4,0),0)</f>
        <v>0</v>
      </c>
      <c r="AV251" s="4">
        <f>tbl_Data_old[[#This Row],[Adj. per unit Incentive ($)]]/tbl_Data_old[[#This Row],[kWh Savings]]*tbl_Data_old[[#This Row],[Sum of Annuals]]</f>
        <v>24266.480206419772</v>
      </c>
      <c r="AW251" s="4">
        <f>IFERROR(VLOOKUP(tbl_Data_old[[#This Row],[All_Programs]],'1. Set Program Names'!$B$2:$D$15,3,0)*tbl_Data_old[[#This Row],[Sum of Annuals]],"")</f>
        <v>20612.505481529486</v>
      </c>
      <c r="AX251" s="4">
        <f>tbl_Data_old[[#This Row],[per unit IRA tax ($)]]/tbl_Data_old[[#This Row],[kWh Savings]]*tbl_Data_old[[#This Row],[Sum of Annuals]]</f>
        <v>0</v>
      </c>
      <c r="AY251" s="4">
        <f>tbl_Data_old[[#This Row],[Avoided Costs ($/unit)]]/tbl_Data_old[[#This Row],[kWh Savings]]*tbl_Data_old[[#This Row],[Sum of Annuals]]</f>
        <v>235546.54485192863</v>
      </c>
      <c r="AZ251" s="4">
        <f>tbl_Data_old[[#This Row],[Lost Revenue ($/unit)]]/tbl_Data_old[[#This Row],[kWh Savings]]*tbl_Data_old[[#This Row],[Sum of Annuals]]</f>
        <v>510422.50665557332</v>
      </c>
      <c r="BA251" s="4">
        <f>tbl_Data_old[[#This Row],[Incremental Cost ($/unit)]]/tbl_Data_old[[#This Row],[kWh Savings]]*tbl_Data_old[[#This Row],[Sum of Annuals]]</f>
        <v>133036.1604528446</v>
      </c>
      <c r="BB251">
        <f>ROUNDUP(tbl_Data_old[[#This Row],[Adjusted 2025]]/$L251,0)</f>
        <v>98</v>
      </c>
      <c r="BC251">
        <f>ROUNDUP(tbl_Data_old[[#This Row],[Adjusted 2026]]/$L251,0)</f>
        <v>82</v>
      </c>
      <c r="BD251">
        <f>ROUNDUP(tbl_Data_old[[#This Row],[Adjusted 2027]]/$L251,0)</f>
        <v>68</v>
      </c>
      <c r="BE251">
        <f>ROUNDUP(tbl_Data_old[[#This Row],[Adjusted 2028]]/$L251,0)</f>
        <v>56</v>
      </c>
      <c r="BF251">
        <f>ROUNDUP(tbl_Data_old[[#This Row],[Adjusted 2029]]/$L251,0)</f>
        <v>46</v>
      </c>
      <c r="BG251">
        <f>ROUNDUP(tbl_Data_old[[#This Row],[Adjusted 2030]]/$L251,0)</f>
        <v>39</v>
      </c>
      <c r="BH251">
        <f>ROUNDUP(tbl_Data_old[[#This Row],[Adjusted 2031]]/$L251,0)</f>
        <v>32</v>
      </c>
      <c r="BI251">
        <f>ROUNDUP(tbl_Data_old[[#This Row],[Adjusted 2032]]/$L251,0)</f>
        <v>27</v>
      </c>
      <c r="BJ251">
        <f>ROUNDUP(tbl_Data_old[[#This Row],[Adjusted 2033]]/$L251,0)</f>
        <v>23</v>
      </c>
      <c r="BK251">
        <f>ROUNDUP(tbl_Data_old[[#This Row],[Adjusted 2034]]/$L251,0)</f>
        <v>20</v>
      </c>
      <c r="BL251" s="3">
        <f t="shared" si="17"/>
        <v>5567.5695381077021</v>
      </c>
      <c r="BM251" s="3">
        <f t="shared" si="17"/>
        <v>4637.5729688176225</v>
      </c>
      <c r="BN251" s="3">
        <f t="shared" si="17"/>
        <v>3830.9642680105321</v>
      </c>
      <c r="BO251" s="3">
        <f t="shared" si="17"/>
        <v>3168.1845905121168</v>
      </c>
      <c r="BP251" s="3">
        <f t="shared" si="17"/>
        <v>2624.7634979760483</v>
      </c>
      <c r="BQ251" s="3">
        <f t="shared" si="17"/>
        <v>2178.103922674205</v>
      </c>
      <c r="BR251" s="3">
        <f t="shared" si="17"/>
        <v>1813.4402606895901</v>
      </c>
      <c r="BS251" s="3">
        <f t="shared" si="17"/>
        <v>1519.2603071637818</v>
      </c>
      <c r="BT251" s="3">
        <f t="shared" si="17"/>
        <v>1284.3815444197373</v>
      </c>
      <c r="BU251" s="3">
        <f t="shared" si="17"/>
        <v>1094.1555692333322</v>
      </c>
      <c r="BV251">
        <f>VLOOKUP($H251,'1. Set Program Names'!$B$2:$D$15,3,0)*V251</f>
        <v>4729.2214052815571</v>
      </c>
      <c r="BW251">
        <f>VLOOKUP($H251,'1. Set Program Names'!$B$2:$D$15,3,0)*W251</f>
        <v>3939.2609652329002</v>
      </c>
      <c r="BX251">
        <f>VLOOKUP($H251,'1. Set Program Names'!$B$2:$D$15,3,0)*X251</f>
        <v>3254.1090138412433</v>
      </c>
      <c r="BY251">
        <f>VLOOKUP($H251,'1. Set Program Names'!$B$2:$D$15,3,0)*Y251</f>
        <v>2691.1287373746036</v>
      </c>
      <c r="BZ251">
        <f>VLOOKUP($H251,'1. Set Program Names'!$B$2:$D$15,3,0)*Z251</f>
        <v>2229.534383624235</v>
      </c>
      <c r="CA251">
        <f>VLOOKUP($H251,'1. Set Program Names'!$B$2:$D$15,3,0)*AA251</f>
        <v>1850.1314843998473</v>
      </c>
      <c r="CB251">
        <f>VLOOKUP($H251,'1. Set Program Names'!$B$2:$D$15,3,0)*AB251</f>
        <v>1540.377796694288</v>
      </c>
      <c r="CC251">
        <f>VLOOKUP($H251,'1. Set Program Names'!$B$2:$D$15,3,0)*AC251</f>
        <v>1290.4945893636004</v>
      </c>
      <c r="CD251">
        <f>VLOOKUP($H251,'1. Set Program Names'!$B$2:$D$15,3,0)*AD251</f>
        <v>1090.9831751257966</v>
      </c>
      <c r="CE251">
        <f>VLOOKUP($H251,'1. Set Program Names'!$B$2:$D$15,3,0)*AE251</f>
        <v>929.40086393335014</v>
      </c>
    </row>
    <row r="252" spans="1:83" x14ac:dyDescent="0.25">
      <c r="A252" s="20" t="s">
        <v>87</v>
      </c>
      <c r="B252" s="20" t="s">
        <v>88</v>
      </c>
      <c r="C252" s="20" t="s">
        <v>122</v>
      </c>
      <c r="D252" s="20" t="s">
        <v>90</v>
      </c>
      <c r="E252" s="20" t="s">
        <v>91</v>
      </c>
      <c r="F252" s="20" t="s">
        <v>90</v>
      </c>
      <c r="G252" s="20" t="s">
        <v>92</v>
      </c>
      <c r="H252" s="20" t="s">
        <v>14</v>
      </c>
      <c r="I252" s="20" t="s">
        <v>304</v>
      </c>
      <c r="J252" s="20" t="s">
        <v>144</v>
      </c>
      <c r="K252" s="20" t="s">
        <v>98</v>
      </c>
      <c r="L252" s="20">
        <v>71859.953750000001</v>
      </c>
      <c r="M252" s="20">
        <v>2.01028298751406</v>
      </c>
      <c r="N252" s="20">
        <v>2.93501737514182</v>
      </c>
      <c r="O252" s="20">
        <v>21366.564901045898</v>
      </c>
      <c r="P252" s="20">
        <v>219059.38064062799</v>
      </c>
      <c r="Q252" s="20">
        <v>2558.1924328944401</v>
      </c>
      <c r="R252" s="20">
        <v>23924.757333940401</v>
      </c>
      <c r="S252" s="20">
        <v>92224.942677252999</v>
      </c>
      <c r="T252" s="20">
        <v>20</v>
      </c>
      <c r="U252" s="20">
        <v>1</v>
      </c>
      <c r="V252" s="20">
        <v>291051.60612615698</v>
      </c>
      <c r="W252" s="20">
        <v>319756.05420522502</v>
      </c>
      <c r="X252" s="20">
        <v>343138.39100819</v>
      </c>
      <c r="Y252" s="20">
        <v>363438.86192564602</v>
      </c>
      <c r="Z252" s="20">
        <v>380773.13305104</v>
      </c>
      <c r="AA252" s="20">
        <v>395008.83723738499</v>
      </c>
      <c r="AB252" s="20">
        <v>406693.00517413201</v>
      </c>
      <c r="AC252" s="20">
        <v>416966.47843428602</v>
      </c>
      <c r="AD252" s="20">
        <v>426165.46855836501</v>
      </c>
      <c r="AE252" s="20">
        <v>434055.36094297603</v>
      </c>
      <c r="AF252" t="str">
        <f t="shared" si="14"/>
        <v>NonResidential</v>
      </c>
      <c r="AG252" t="str">
        <f>tbl_Data_old[[#This Row],[All_Meas_Name_Append]]</f>
        <v>Solar Thermal Water Heating System Commercial</v>
      </c>
      <c r="AH252">
        <f>AVERAGEIFS('3. Incentive Adjustment'!G:G,'3. Incentive Adjustment'!A:A,tbl_Data_old[[#This Row],[Trimmed Sector]],'3. Incentive Adjustment'!B:B,tbl_Data_old[[#This Row],[Trimmed Measure Name]])</f>
        <v>3.2123848810070607E-4</v>
      </c>
      <c r="AI252">
        <f>$AH252*tbl_Data_old[[#This Row],[2025 ]]</f>
        <v>93.496977911248877</v>
      </c>
      <c r="AJ252">
        <f>$AH252*tbl_Data_old[[#This Row],[2026 ]]</f>
        <v>102.7179514139339</v>
      </c>
      <c r="AK252">
        <f>$AH252*tbl_Data_old[[#This Row],[2027 ]]</f>
        <v>110.22925793677987</v>
      </c>
      <c r="AL252">
        <f>$AH252*tbl_Data_old[[#This Row],[2028 ]]</f>
        <v>116.75055052203579</v>
      </c>
      <c r="AM252">
        <f>$AH252*tbl_Data_old[[#This Row],[2029 ]]</f>
        <v>122.31898557068509</v>
      </c>
      <c r="AN252">
        <f>$AH252*tbl_Data_old[[#This Row],[2030 ]]</f>
        <v>126.89204166055544</v>
      </c>
      <c r="AO252">
        <f>$AH252*tbl_Data_old[[#This Row],[2031 ]]</f>
        <v>130.64544610327079</v>
      </c>
      <c r="AP252">
        <f>$AH252*tbl_Data_old[[#This Row],[2032 ]]</f>
        <v>133.9456811209057</v>
      </c>
      <c r="AQ252">
        <f>$AH252*tbl_Data_old[[#This Row],[2033 ]]</f>
        <v>136.90075080041817</v>
      </c>
      <c r="AR252">
        <f>$AH252*tbl_Data_old[[#This Row],[2034 ]]</f>
        <v>139.43528790132788</v>
      </c>
      <c r="AS252">
        <f>SUM(tbl_Data_old[[#This Row],[Adjusted 2025]:[Adjusted 2034]])</f>
        <v>1213.3329309411615</v>
      </c>
      <c r="AT252" s="3">
        <f>AVERAGEIFS('3. Incentive Adjustment'!F:F,'3. Incentive Adjustment'!A:A,tbl_Data_old[[#This Row],[Trimmed Sector]],'3. Incentive Adjustment'!B:B,tbl_Data_old[[#This Row],[Trimmed Measure Name]])</f>
        <v>0</v>
      </c>
      <c r="AU252" s="3">
        <f>IFERROR(VLOOKUP(tbl_Data_old[[#This Row],[All_Meas_Name_Append]],'IRA Tax Credits'!$A$3:$D$46,4,0),0)</f>
        <v>0</v>
      </c>
      <c r="AV252" s="4">
        <f>tbl_Data_old[[#This Row],[Adj. per unit Incentive ($)]]/tbl_Data_old[[#This Row],[kWh Savings]]*tbl_Data_old[[#This Row],[Sum of Annuals]]</f>
        <v>0</v>
      </c>
      <c r="AW252" s="4">
        <f>IFERROR(VLOOKUP(tbl_Data_old[[#This Row],[All_Programs]],'1. Set Program Names'!$B$2:$D$15,3,0)*tbl_Data_old[[#This Row],[Sum of Annuals]],"")</f>
        <v>43.194282218909983</v>
      </c>
      <c r="AX252" s="4">
        <f>tbl_Data_old[[#This Row],[per unit IRA tax ($)]]/tbl_Data_old[[#This Row],[kWh Savings]]*tbl_Data_old[[#This Row],[Sum of Annuals]]</f>
        <v>0</v>
      </c>
      <c r="AY252" s="4">
        <f>tbl_Data_old[[#This Row],[Avoided Costs ($/unit)]]/tbl_Data_old[[#This Row],[kWh Savings]]*tbl_Data_old[[#This Row],[Sum of Annuals]]</f>
        <v>403.96207377250028</v>
      </c>
      <c r="AZ252" s="4">
        <f>tbl_Data_old[[#This Row],[Lost Revenue ($/unit)]]/tbl_Data_old[[#This Row],[kWh Savings]]*tbl_Data_old[[#This Row],[Sum of Annuals]]</f>
        <v>1557.1894242204685</v>
      </c>
      <c r="BA252" s="4">
        <f>tbl_Data_old[[#This Row],[Incremental Cost ($/unit)]]/tbl_Data_old[[#This Row],[kWh Savings]]*tbl_Data_old[[#This Row],[Sum of Annuals]]</f>
        <v>360.76779155358929</v>
      </c>
      <c r="BB252">
        <f>ROUNDUP(tbl_Data_old[[#This Row],[Adjusted 2025]]/$L252,0)</f>
        <v>1</v>
      </c>
      <c r="BC252">
        <f>ROUNDUP(tbl_Data_old[[#This Row],[Adjusted 2026]]/$L252,0)</f>
        <v>1</v>
      </c>
      <c r="BD252">
        <f>ROUNDUP(tbl_Data_old[[#This Row],[Adjusted 2027]]/$L252,0)</f>
        <v>1</v>
      </c>
      <c r="BE252">
        <f>ROUNDUP(tbl_Data_old[[#This Row],[Adjusted 2028]]/$L252,0)</f>
        <v>1</v>
      </c>
      <c r="BF252">
        <f>ROUNDUP(tbl_Data_old[[#This Row],[Adjusted 2029]]/$L252,0)</f>
        <v>1</v>
      </c>
      <c r="BG252">
        <f>ROUNDUP(tbl_Data_old[[#This Row],[Adjusted 2030]]/$L252,0)</f>
        <v>1</v>
      </c>
      <c r="BH252">
        <f>ROUNDUP(tbl_Data_old[[#This Row],[Adjusted 2031]]/$L252,0)</f>
        <v>1</v>
      </c>
      <c r="BI252">
        <f>ROUNDUP(tbl_Data_old[[#This Row],[Adjusted 2032]]/$L252,0)</f>
        <v>1</v>
      </c>
      <c r="BJ252">
        <f>ROUNDUP(tbl_Data_old[[#This Row],[Adjusted 2033]]/$L252,0)</f>
        <v>1</v>
      </c>
      <c r="BK252">
        <f>ROUNDUP(tbl_Data_old[[#This Row],[Adjusted 2034]]/$L252,0)</f>
        <v>1</v>
      </c>
      <c r="BL252" s="3">
        <f t="shared" si="17"/>
        <v>0</v>
      </c>
      <c r="BM252" s="3">
        <f t="shared" si="17"/>
        <v>0</v>
      </c>
      <c r="BN252" s="3">
        <f t="shared" si="17"/>
        <v>0</v>
      </c>
      <c r="BO252" s="3">
        <f t="shared" si="17"/>
        <v>0</v>
      </c>
      <c r="BP252" s="3">
        <f t="shared" si="17"/>
        <v>0</v>
      </c>
      <c r="BQ252" s="3">
        <f t="shared" si="17"/>
        <v>0</v>
      </c>
      <c r="BR252" s="3">
        <f t="shared" si="17"/>
        <v>0</v>
      </c>
      <c r="BS252" s="3">
        <f t="shared" si="17"/>
        <v>0</v>
      </c>
      <c r="BT252" s="3">
        <f t="shared" si="17"/>
        <v>0</v>
      </c>
      <c r="BU252" s="3">
        <f t="shared" si="17"/>
        <v>0</v>
      </c>
      <c r="BV252">
        <f>VLOOKUP($H252,'1. Set Program Names'!$B$2:$D$15,3,0)*V252</f>
        <v>10361.348393905828</v>
      </c>
      <c r="BW252">
        <f>VLOOKUP($H252,'1. Set Program Names'!$B$2:$D$15,3,0)*W252</f>
        <v>11383.217989337949</v>
      </c>
      <c r="BX252">
        <f>VLOOKUP($H252,'1. Set Program Names'!$B$2:$D$15,3,0)*X252</f>
        <v>12215.6220468306</v>
      </c>
      <c r="BY252">
        <f>VLOOKUP($H252,'1. Set Program Names'!$B$2:$D$15,3,0)*Y252</f>
        <v>12938.312618910599</v>
      </c>
      <c r="BZ252">
        <f>VLOOKUP($H252,'1. Set Program Names'!$B$2:$D$15,3,0)*Z252</f>
        <v>13555.407383221154</v>
      </c>
      <c r="CA252">
        <f>VLOOKUP($H252,'1. Set Program Names'!$B$2:$D$15,3,0)*AA252</f>
        <v>14062.194109707621</v>
      </c>
      <c r="CB252">
        <f>VLOOKUP($H252,'1. Set Program Names'!$B$2:$D$15,3,0)*AB252</f>
        <v>14478.146924044831</v>
      </c>
      <c r="CC252">
        <f>VLOOKUP($H252,'1. Set Program Names'!$B$2:$D$15,3,0)*AC252</f>
        <v>14843.879438222373</v>
      </c>
      <c r="CD252">
        <f>VLOOKUP($H252,'1. Set Program Names'!$B$2:$D$15,3,0)*AD252</f>
        <v>15171.360680522639</v>
      </c>
      <c r="CE252">
        <f>VLOOKUP($H252,'1. Set Program Names'!$B$2:$D$15,3,0)*AE252</f>
        <v>15452.23844263313</v>
      </c>
    </row>
    <row r="253" spans="1:83" x14ac:dyDescent="0.25">
      <c r="A253" s="20" t="s">
        <v>87</v>
      </c>
      <c r="B253" s="20" t="s">
        <v>88</v>
      </c>
      <c r="C253" s="20" t="s">
        <v>122</v>
      </c>
      <c r="D253" s="20" t="s">
        <v>90</v>
      </c>
      <c r="E253" s="20" t="s">
        <v>91</v>
      </c>
      <c r="F253" s="20" t="s">
        <v>90</v>
      </c>
      <c r="G253" s="20" t="s">
        <v>92</v>
      </c>
      <c r="H253" s="20" t="s">
        <v>14</v>
      </c>
      <c r="I253" s="20" t="s">
        <v>305</v>
      </c>
      <c r="J253" s="20" t="s">
        <v>129</v>
      </c>
      <c r="K253" s="20" t="s">
        <v>306</v>
      </c>
      <c r="L253" s="20">
        <v>1181.58666666666</v>
      </c>
      <c r="M253" s="20">
        <v>0.32580149205424902</v>
      </c>
      <c r="N253" s="20">
        <v>0</v>
      </c>
      <c r="O253" s="20">
        <v>442.61899981344197</v>
      </c>
      <c r="P253" s="20">
        <v>13015.025349926</v>
      </c>
      <c r="Q253" s="20">
        <v>42.064124894815102</v>
      </c>
      <c r="R253" s="20">
        <v>484.68312470825703</v>
      </c>
      <c r="S253" s="20">
        <v>971.92143438909795</v>
      </c>
      <c r="T253" s="20">
        <v>10</v>
      </c>
      <c r="U253" s="20">
        <v>0.94999999999999896</v>
      </c>
      <c r="V253" s="20">
        <v>5940.8244584307204</v>
      </c>
      <c r="W253" s="20">
        <v>4991.9144760804602</v>
      </c>
      <c r="X253" s="20">
        <v>4175.8106875520798</v>
      </c>
      <c r="Y253" s="20">
        <v>3508.64732795194</v>
      </c>
      <c r="Z253" s="20">
        <v>2961.7774226833599</v>
      </c>
      <c r="AA253" s="20">
        <v>2513.6882224917499</v>
      </c>
      <c r="AB253" s="20">
        <v>2146.6807252436502</v>
      </c>
      <c r="AC253" s="20">
        <v>1850.0397619221201</v>
      </c>
      <c r="AD253" s="20">
        <v>1615.92029458344</v>
      </c>
      <c r="AE253" s="20">
        <v>1425.5862924390999</v>
      </c>
      <c r="AF253" t="str">
        <f t="shared" si="14"/>
        <v>NonResidential</v>
      </c>
      <c r="AG253" t="str">
        <f>tbl_Data_old[[#This Row],[All_Meas_Name_Append]]</f>
        <v>Window shade film</v>
      </c>
      <c r="AH253">
        <f>AVERAGEIFS('3. Incentive Adjustment'!G:G,'3. Incentive Adjustment'!A:A,tbl_Data_old[[#This Row],[Trimmed Sector]],'3. Incentive Adjustment'!B:B,tbl_Data_old[[#This Row],[Trimmed Measure Name]])</f>
        <v>3.2127764592544555E-13</v>
      </c>
      <c r="AI253">
        <f>$AH253*tbl_Data_old[[#This Row],[2025 ]]</f>
        <v>1.908654096860932E-9</v>
      </c>
      <c r="AJ253">
        <f>$AH253*tbl_Data_old[[#This Row],[2026 ]]</f>
        <v>1.6037905315362841E-9</v>
      </c>
      <c r="AK253">
        <f>$AH253*tbl_Data_old[[#This Row],[2027 ]]</f>
        <v>1.3415946275270485E-9</v>
      </c>
      <c r="AL253">
        <f>$AH253*tbl_Data_old[[#This Row],[2028 ]]</f>
        <v>1.127249953907004E-9</v>
      </c>
      <c r="AM253">
        <f>$AH253*tbl_Data_old[[#This Row],[2029 ]]</f>
        <v>9.5155287811484328E-10</v>
      </c>
      <c r="AN253">
        <f>$AH253*tbl_Data_old[[#This Row],[2030 ]]</f>
        <v>8.0759183471266703E-10</v>
      </c>
      <c r="AO253">
        <f>$AH253*tbl_Data_old[[#This Row],[2031 ]]</f>
        <v>6.8968052995980815E-10</v>
      </c>
      <c r="AP253">
        <f>$AH253*tbl_Data_old[[#This Row],[2032 ]]</f>
        <v>5.9437641957881043E-10</v>
      </c>
      <c r="AQ253">
        <f>$AH253*tbl_Data_old[[#This Row],[2033 ]]</f>
        <v>5.1915906824692013E-10</v>
      </c>
      <c r="AR253">
        <f>$AH253*tbl_Data_old[[#This Row],[2034 ]]</f>
        <v>4.5800900809841779E-10</v>
      </c>
      <c r="AS253">
        <f>SUM(tbl_Data_old[[#This Row],[Adjusted 2025]:[Adjusted 2034]])</f>
        <v>1.0001658948542737E-8</v>
      </c>
      <c r="AT253" s="3">
        <f>AVERAGEIFS('3. Incentive Adjustment'!F:F,'3. Incentive Adjustment'!A:A,tbl_Data_old[[#This Row],[Trimmed Sector]],'3. Incentive Adjustment'!B:B,tbl_Data_old[[#This Row],[Trimmed Measure Name]])</f>
        <v>132.78569994403261</v>
      </c>
      <c r="AU253" s="3">
        <f>IFERROR(VLOOKUP(tbl_Data_old[[#This Row],[All_Meas_Name_Append]],'IRA Tax Credits'!$A$3:$D$46,4,0),0)</f>
        <v>0</v>
      </c>
      <c r="AV253" s="4">
        <f>tbl_Data_old[[#This Row],[Adj. per unit Incentive ($)]]/tbl_Data_old[[#This Row],[kWh Savings]]*tbl_Data_old[[#This Row],[Sum of Annuals]]</f>
        <v>1.1239778863029531E-9</v>
      </c>
      <c r="AW253" s="4">
        <f>IFERROR(VLOOKUP(tbl_Data_old[[#This Row],[All_Programs]],'1. Set Program Names'!$B$2:$D$15,3,0)*tbl_Data_old[[#This Row],[Sum of Annuals]],"")</f>
        <v>3.5605600760010298E-10</v>
      </c>
      <c r="AX253" s="4">
        <f>tbl_Data_old[[#This Row],[per unit IRA tax ($)]]/tbl_Data_old[[#This Row],[kWh Savings]]*tbl_Data_old[[#This Row],[Sum of Annuals]]</f>
        <v>0</v>
      </c>
      <c r="AY253" s="4">
        <f>tbl_Data_old[[#This Row],[Avoided Costs ($/unit)]]/tbl_Data_old[[#This Row],[kWh Savings]]*tbl_Data_old[[#This Row],[Sum of Annuals]]</f>
        <v>4.1026489619432805E-9</v>
      </c>
      <c r="AZ253" s="4">
        <f>tbl_Data_old[[#This Row],[Lost Revenue ($/unit)]]/tbl_Data_old[[#This Row],[kWh Savings]]*tbl_Data_old[[#This Row],[Sum of Annuals]]</f>
        <v>8.2269265435783541E-9</v>
      </c>
      <c r="BA253" s="4">
        <f>tbl_Data_old[[#This Row],[Incremental Cost ($/unit)]]/tbl_Data_old[[#This Row],[kWh Savings]]*tbl_Data_old[[#This Row],[Sum of Annuals]]</f>
        <v>3.7465929543431768E-9</v>
      </c>
      <c r="BB253">
        <f>ROUNDUP(tbl_Data_old[[#This Row],[Adjusted 2025]]/$L253,0)</f>
        <v>1</v>
      </c>
      <c r="BC253">
        <f>ROUNDUP(tbl_Data_old[[#This Row],[Adjusted 2026]]/$L253,0)</f>
        <v>1</v>
      </c>
      <c r="BD253">
        <f>ROUNDUP(tbl_Data_old[[#This Row],[Adjusted 2027]]/$L253,0)</f>
        <v>1</v>
      </c>
      <c r="BE253">
        <f>ROUNDUP(tbl_Data_old[[#This Row],[Adjusted 2028]]/$L253,0)</f>
        <v>1</v>
      </c>
      <c r="BF253">
        <f>ROUNDUP(tbl_Data_old[[#This Row],[Adjusted 2029]]/$L253,0)</f>
        <v>1</v>
      </c>
      <c r="BG253">
        <f>ROUNDUP(tbl_Data_old[[#This Row],[Adjusted 2030]]/$L253,0)</f>
        <v>1</v>
      </c>
      <c r="BH253">
        <f>ROUNDUP(tbl_Data_old[[#This Row],[Adjusted 2031]]/$L253,0)</f>
        <v>1</v>
      </c>
      <c r="BI253">
        <f>ROUNDUP(tbl_Data_old[[#This Row],[Adjusted 2032]]/$L253,0)</f>
        <v>1</v>
      </c>
      <c r="BJ253">
        <f>ROUNDUP(tbl_Data_old[[#This Row],[Adjusted 2033]]/$L253,0)</f>
        <v>1</v>
      </c>
      <c r="BK253">
        <f>ROUNDUP(tbl_Data_old[[#This Row],[Adjusted 2034]]/$L253,0)</f>
        <v>1</v>
      </c>
      <c r="BL253" s="3">
        <f t="shared" si="17"/>
        <v>667.62477625341864</v>
      </c>
      <c r="BM253" s="3">
        <f t="shared" si="17"/>
        <v>560.98708327257407</v>
      </c>
      <c r="BN253" s="3">
        <f t="shared" si="17"/>
        <v>469.27403687164559</v>
      </c>
      <c r="BO253" s="3">
        <f t="shared" si="17"/>
        <v>394.29878860531664</v>
      </c>
      <c r="BP253" s="3">
        <f t="shared" si="17"/>
        <v>332.84201594701341</v>
      </c>
      <c r="BQ253" s="3">
        <f t="shared" si="17"/>
        <v>282.48613451797024</v>
      </c>
      <c r="BR253" s="3">
        <f t="shared" si="17"/>
        <v>241.24214558207882</v>
      </c>
      <c r="BS253" s="3">
        <f t="shared" si="17"/>
        <v>207.90588760123808</v>
      </c>
      <c r="BT253" s="3">
        <f t="shared" si="17"/>
        <v>181.59574191485234</v>
      </c>
      <c r="BU253" s="3">
        <f t="shared" si="17"/>
        <v>160.20616939269118</v>
      </c>
      <c r="BV253">
        <f>VLOOKUP($H253,'1. Set Program Names'!$B$2:$D$15,3,0)*V253</f>
        <v>211.49153849423001</v>
      </c>
      <c r="BW253">
        <f>VLOOKUP($H253,'1. Set Program Names'!$B$2:$D$15,3,0)*W253</f>
        <v>177.71063258394148</v>
      </c>
      <c r="BX253">
        <f>VLOOKUP($H253,'1. Set Program Names'!$B$2:$D$15,3,0)*X253</f>
        <v>148.65758666168756</v>
      </c>
      <c r="BY253">
        <f>VLOOKUP($H253,'1. Set Program Names'!$B$2:$D$15,3,0)*Y253</f>
        <v>124.9067745755677</v>
      </c>
      <c r="BZ253">
        <f>VLOOKUP($H253,'1. Set Program Names'!$B$2:$D$15,3,0)*Z253</f>
        <v>105.4383727685907</v>
      </c>
      <c r="CA253">
        <f>VLOOKUP($H253,'1. Set Program Names'!$B$2:$D$15,3,0)*AA253</f>
        <v>89.486533929675474</v>
      </c>
      <c r="CB253">
        <f>VLOOKUP($H253,'1. Set Program Names'!$B$2:$D$15,3,0)*AB253</f>
        <v>76.421178981884154</v>
      </c>
      <c r="CC253">
        <f>VLOOKUP($H253,'1. Set Program Names'!$B$2:$D$15,3,0)*AC253</f>
        <v>65.860851176835197</v>
      </c>
      <c r="CD253">
        <f>VLOOKUP($H253,'1. Set Program Names'!$B$2:$D$15,3,0)*AD253</f>
        <v>57.52626955683116</v>
      </c>
      <c r="CE253">
        <f>VLOOKUP($H253,'1. Set Program Names'!$B$2:$D$15,3,0)*AE253</f>
        <v>50.750437141156027</v>
      </c>
    </row>
    <row r="254" spans="1:83" x14ac:dyDescent="0.25">
      <c r="A254" s="20" t="s">
        <v>113</v>
      </c>
      <c r="B254" s="20" t="s">
        <v>88</v>
      </c>
      <c r="C254" s="20" t="s">
        <v>122</v>
      </c>
      <c r="D254" s="20" t="s">
        <v>90</v>
      </c>
      <c r="E254" s="20" t="s">
        <v>91</v>
      </c>
      <c r="F254" s="20" t="s">
        <v>90</v>
      </c>
      <c r="G254" s="20" t="s">
        <v>92</v>
      </c>
      <c r="H254" s="20" t="s">
        <v>14</v>
      </c>
      <c r="I254" s="20" t="s">
        <v>237</v>
      </c>
      <c r="J254" s="20" t="s">
        <v>129</v>
      </c>
      <c r="K254" s="20" t="s">
        <v>102</v>
      </c>
      <c r="L254" s="20">
        <v>2568.1199999999699</v>
      </c>
      <c r="M254" s="20">
        <v>0.53641456399840104</v>
      </c>
      <c r="N254" s="20">
        <v>2.1892485513222901E-2</v>
      </c>
      <c r="O254" s="53">
        <f>9025.1/929.29*tbl_Data_old[[#This Row],[kWh Savings]]</f>
        <v>24941.126894725789</v>
      </c>
      <c r="P254" s="20">
        <v>35498.089296558101</v>
      </c>
      <c r="Q254" s="20">
        <v>91.4242886047615</v>
      </c>
      <c r="R254" s="20">
        <v>1534.4473108970501</v>
      </c>
      <c r="S254" s="20">
        <v>3958.9826982459099</v>
      </c>
      <c r="T254" s="20">
        <v>30</v>
      </c>
      <c r="U254" s="20">
        <v>0.94999999999999896</v>
      </c>
      <c r="V254" s="20">
        <v>1318.2150330612701</v>
      </c>
      <c r="W254" s="20">
        <v>2790.6317449830499</v>
      </c>
      <c r="X254" s="20">
        <v>4429.8074100817103</v>
      </c>
      <c r="Y254" s="20">
        <v>6251.5577292323396</v>
      </c>
      <c r="Z254" s="20">
        <v>8265.7935834094496</v>
      </c>
      <c r="AA254" s="20">
        <v>10482.072002082899</v>
      </c>
      <c r="AB254" s="20">
        <v>12904.3202251373</v>
      </c>
      <c r="AC254" s="20">
        <v>15539.7848797236</v>
      </c>
      <c r="AD254" s="20">
        <v>18402.294382379201</v>
      </c>
      <c r="AE254" s="20">
        <v>21493.258349129199</v>
      </c>
      <c r="AF254" t="str">
        <f t="shared" si="14"/>
        <v>NonResidential</v>
      </c>
      <c r="AG254" t="str">
        <f>tbl_Data_old[[#This Row],[All_Meas_Name_Append]]</f>
        <v>Ceiling Insulation(R19 to R38)</v>
      </c>
      <c r="AH254">
        <f>AVERAGEIFS('3. Incentive Adjustment'!G:G,'3. Incentive Adjustment'!A:A,tbl_Data_old[[#This Row],[Trimmed Sector]],'3. Incentive Adjustment'!B:B,tbl_Data_old[[#This Row],[Trimmed Measure Name]])</f>
        <v>3.9688771318830651E-15</v>
      </c>
      <c r="AI254">
        <f>$AH254*tbl_Data_old[[#This Row],[2025 ]]</f>
        <v>5.2318334996213536E-12</v>
      </c>
      <c r="AJ254">
        <f>$AH254*tbl_Data_old[[#This Row],[2026 ]]</f>
        <v>1.1075674516170161E-11</v>
      </c>
      <c r="AK254">
        <f>$AH254*tbl_Data_old[[#This Row],[2027 ]]</f>
        <v>1.7581361328519446E-11</v>
      </c>
      <c r="AL254">
        <f>$AH254*tbl_Data_old[[#This Row],[2028 ]]</f>
        <v>2.4811664510197054E-11</v>
      </c>
      <c r="AM254">
        <f>$AH254*tbl_Data_old[[#This Row],[2029 ]]</f>
        <v>3.2805919130059537E-11</v>
      </c>
      <c r="AN254">
        <f>$AH254*tbl_Data_old[[#This Row],[2030 ]]</f>
        <v>4.1602055863818556E-11</v>
      </c>
      <c r="AO254">
        <f>$AH254*tbl_Data_old[[#This Row],[2031 ]]</f>
        <v>5.1215661444043556E-11</v>
      </c>
      <c r="AP254">
        <f>$AH254*tbl_Data_old[[#This Row],[2032 ]]</f>
        <v>6.1675496843517221E-11</v>
      </c>
      <c r="AQ254">
        <f>$AH254*tbl_Data_old[[#This Row],[2033 ]]</f>
        <v>7.3036445348405007E-11</v>
      </c>
      <c r="AR254">
        <f>$AH254*tbl_Data_old[[#This Row],[2034 ]]</f>
        <v>8.530410155151364E-11</v>
      </c>
      <c r="AS254">
        <f>SUM(tbl_Data_old[[#This Row],[Adjusted 2025]:[Adjusted 2034]])</f>
        <v>4.0434021403586552E-10</v>
      </c>
      <c r="AT254" s="3">
        <f>AVERAGEIFS('3. Incentive Adjustment'!F:F,'3. Incentive Adjustment'!A:A,tbl_Data_old[[#This Row],[Trimmed Sector]],'3. Incentive Adjustment'!B:B,tbl_Data_old[[#This Row],[Trimmed Measure Name]])</f>
        <v>3222.5963039661074</v>
      </c>
      <c r="AU254" s="3">
        <f>IFERROR(VLOOKUP(tbl_Data_old[[#This Row],[All_Meas_Name_Append]],'IRA Tax Credits'!$A$3:$D$46,4,0),0)</f>
        <v>0</v>
      </c>
      <c r="AV254" s="4">
        <f>tbl_Data_old[[#This Row],[Adj. per unit Incentive ($)]]/tbl_Data_old[[#This Row],[kWh Savings]]*tbl_Data_old[[#This Row],[Sum of Annuals]]</f>
        <v>5.0738488828281402E-10</v>
      </c>
      <c r="AW254" s="4">
        <f>IFERROR(VLOOKUP(tbl_Data_old[[#This Row],[All_Programs]],'1. Set Program Names'!$B$2:$D$15,3,0)*tbl_Data_old[[#This Row],[Sum of Annuals]],"")</f>
        <v>1.439438827723253E-11</v>
      </c>
      <c r="AX254" s="4">
        <f>tbl_Data_old[[#This Row],[per unit IRA tax ($)]]/tbl_Data_old[[#This Row],[kWh Savings]]*tbl_Data_old[[#This Row],[Sum of Annuals]]</f>
        <v>0</v>
      </c>
      <c r="AY254" s="4">
        <f>tbl_Data_old[[#This Row],[Avoided Costs ($/unit)]]/tbl_Data_old[[#This Row],[kWh Savings]]*tbl_Data_old[[#This Row],[Sum of Annuals]]</f>
        <v>2.4159258683974225E-10</v>
      </c>
      <c r="AZ254" s="4">
        <f>tbl_Data_old[[#This Row],[Lost Revenue ($/unit)]]/tbl_Data_old[[#This Row],[kWh Savings]]*tbl_Data_old[[#This Row],[Sum of Annuals]]</f>
        <v>6.2332597837058172E-10</v>
      </c>
      <c r="BA254" s="4">
        <f>tbl_Data_old[[#This Row],[Incremental Cost ($/unit)]]/tbl_Data_old[[#This Row],[kWh Savings]]*tbl_Data_old[[#This Row],[Sum of Annuals]]</f>
        <v>3.9268805923824534E-9</v>
      </c>
      <c r="BB254">
        <f>ROUNDUP(tbl_Data_old[[#This Row],[Adjusted 2025]]/$L254,0)</f>
        <v>1</v>
      </c>
      <c r="BC254">
        <f>ROUNDUP(tbl_Data_old[[#This Row],[Adjusted 2026]]/$L254,0)</f>
        <v>1</v>
      </c>
      <c r="BD254">
        <f>ROUNDUP(tbl_Data_old[[#This Row],[Adjusted 2027]]/$L254,0)</f>
        <v>1</v>
      </c>
      <c r="BE254">
        <f>ROUNDUP(tbl_Data_old[[#This Row],[Adjusted 2028]]/$L254,0)</f>
        <v>1</v>
      </c>
      <c r="BF254">
        <f>ROUNDUP(tbl_Data_old[[#This Row],[Adjusted 2029]]/$L254,0)</f>
        <v>1</v>
      </c>
      <c r="BG254">
        <f>ROUNDUP(tbl_Data_old[[#This Row],[Adjusted 2030]]/$L254,0)</f>
        <v>1</v>
      </c>
      <c r="BH254">
        <f>ROUNDUP(tbl_Data_old[[#This Row],[Adjusted 2031]]/$L254,0)</f>
        <v>1</v>
      </c>
      <c r="BI254">
        <f>ROUNDUP(tbl_Data_old[[#This Row],[Adjusted 2032]]/$L254,0)</f>
        <v>1</v>
      </c>
      <c r="BJ254">
        <f>ROUNDUP(tbl_Data_old[[#This Row],[Adjusted 2033]]/$L254,0)</f>
        <v>1</v>
      </c>
      <c r="BK254">
        <f>ROUNDUP(tbl_Data_old[[#This Row],[Adjusted 2034]]/$L254,0)</f>
        <v>1</v>
      </c>
      <c r="BL254" s="3">
        <f t="shared" si="17"/>
        <v>1654.1574744855611</v>
      </c>
      <c r="BM254" s="3">
        <f t="shared" si="17"/>
        <v>3501.8143806025309</v>
      </c>
      <c r="BN254" s="3">
        <f t="shared" si="17"/>
        <v>5558.7281696381642</v>
      </c>
      <c r="BO254" s="3">
        <f t="shared" si="17"/>
        <v>7844.7451179287282</v>
      </c>
      <c r="BP254" s="3">
        <f t="shared" si="17"/>
        <v>10372.301859431169</v>
      </c>
      <c r="BQ254" s="3">
        <f t="shared" si="17"/>
        <v>13153.390998792644</v>
      </c>
      <c r="BR254" s="3">
        <f t="shared" si="17"/>
        <v>16192.94061909998</v>
      </c>
      <c r="BS254" s="3">
        <f t="shared" si="17"/>
        <v>19500.044124817479</v>
      </c>
      <c r="BT254" s="3">
        <f t="shared" si="17"/>
        <v>23092.054055555105</v>
      </c>
      <c r="BU254" s="3">
        <f t="shared" si="17"/>
        <v>26970.739262999101</v>
      </c>
      <c r="BV254">
        <f>VLOOKUP($H254,'1. Set Program Names'!$B$2:$D$15,3,0)*V254</f>
        <v>46.928053060499543</v>
      </c>
      <c r="BW254">
        <f>VLOOKUP($H254,'1. Set Program Names'!$B$2:$D$15,3,0)*W254</f>
        <v>99.345638849797638</v>
      </c>
      <c r="BX254">
        <f>VLOOKUP($H254,'1. Set Program Names'!$B$2:$D$15,3,0)*X254</f>
        <v>157.69979250300833</v>
      </c>
      <c r="BY254">
        <f>VLOOKUP($H254,'1. Set Program Names'!$B$2:$D$15,3,0)*Y254</f>
        <v>222.55354814676537</v>
      </c>
      <c r="BZ254">
        <f>VLOOKUP($H254,'1. Set Program Names'!$B$2:$D$15,3,0)*Z254</f>
        <v>294.25973012048485</v>
      </c>
      <c r="CA254">
        <f>VLOOKUP($H254,'1. Set Program Names'!$B$2:$D$15,3,0)*AA254</f>
        <v>373.15856575795817</v>
      </c>
      <c r="CB254">
        <f>VLOOKUP($H254,'1. Set Program Names'!$B$2:$D$15,3,0)*AB254</f>
        <v>459.38986360108805</v>
      </c>
      <c r="CC254">
        <f>VLOOKUP($H254,'1. Set Program Names'!$B$2:$D$15,3,0)*AC254</f>
        <v>553.21160136589208</v>
      </c>
      <c r="CD254">
        <f>VLOOKUP($H254,'1. Set Program Names'!$B$2:$D$15,3,0)*AD254</f>
        <v>655.11606646279597</v>
      </c>
      <c r="CE254">
        <f>VLOOKUP($H254,'1. Set Program Names'!$B$2:$D$15,3,0)*AE254</f>
        <v>765.1534407922951</v>
      </c>
    </row>
    <row r="255" spans="1:83" x14ac:dyDescent="0.25">
      <c r="A255" s="20" t="s">
        <v>113</v>
      </c>
      <c r="B255" s="20" t="s">
        <v>88</v>
      </c>
      <c r="C255" s="20" t="s">
        <v>122</v>
      </c>
      <c r="D255" s="20" t="s">
        <v>90</v>
      </c>
      <c r="E255" s="20" t="s">
        <v>91</v>
      </c>
      <c r="F255" s="20" t="s">
        <v>90</v>
      </c>
      <c r="G255" s="20" t="s">
        <v>92</v>
      </c>
      <c r="H255" s="20" t="s">
        <v>14</v>
      </c>
      <c r="I255" s="20" t="s">
        <v>238</v>
      </c>
      <c r="J255" s="20" t="s">
        <v>129</v>
      </c>
      <c r="K255" s="20" t="s">
        <v>102</v>
      </c>
      <c r="L255" s="20">
        <v>4477.6116666666303</v>
      </c>
      <c r="M255" s="20">
        <v>0.90610878358590996</v>
      </c>
      <c r="N255" s="20">
        <v>4.9616670393602701E-2</v>
      </c>
      <c r="O255" s="53">
        <f>9351.31/1137.9*tbl_Data_old[[#This Row],[kWh Savings]]</f>
        <v>36797.200768623181</v>
      </c>
      <c r="P255" s="20">
        <v>44221.719775682497</v>
      </c>
      <c r="Q255" s="20">
        <v>159.401609454924</v>
      </c>
      <c r="R255" s="20">
        <v>2670.7044942461998</v>
      </c>
      <c r="S255" s="20">
        <v>6902.6319322295803</v>
      </c>
      <c r="T255" s="20">
        <v>30</v>
      </c>
      <c r="U255" s="20">
        <v>0.94999999999999896</v>
      </c>
      <c r="V255" s="20">
        <v>1039.0475523300199</v>
      </c>
      <c r="W255" s="20">
        <v>2197.3889086839799</v>
      </c>
      <c r="X255" s="20">
        <v>3483.8993625815501</v>
      </c>
      <c r="Y255" s="20">
        <v>4910.0445952807804</v>
      </c>
      <c r="Z255" s="20">
        <v>6482.7071908274202</v>
      </c>
      <c r="AA255" s="20">
        <v>8208.3376671128208</v>
      </c>
      <c r="AB255" s="20">
        <v>10089.1342457673</v>
      </c>
      <c r="AC255" s="20">
        <v>12129.8675939738</v>
      </c>
      <c r="AD255" s="20">
        <v>14340.112848204401</v>
      </c>
      <c r="AE255" s="20">
        <v>16720.066746266701</v>
      </c>
      <c r="AF255" t="str">
        <f t="shared" si="14"/>
        <v>NonResidential</v>
      </c>
      <c r="AG255" t="str">
        <f>tbl_Data_old[[#This Row],[All_Meas_Name_Append]]</f>
        <v>Ceiling Insulation(R19 to R49)</v>
      </c>
      <c r="AH255">
        <f>AVERAGEIFS('3. Incentive Adjustment'!G:G,'3. Incentive Adjustment'!A:A,tbl_Data_old[[#This Row],[Trimmed Sector]],'3. Incentive Adjustment'!B:B,tbl_Data_old[[#This Row],[Trimmed Measure Name]])</f>
        <v>7.9373870200739678E-11</v>
      </c>
      <c r="AI255">
        <f>$AH255*tbl_Data_old[[#This Row],[2025 ]]</f>
        <v>8.2473225551039265E-8</v>
      </c>
      <c r="AJ255">
        <f>$AH255*tbl_Data_old[[#This Row],[2026 ]]</f>
        <v>1.7441526201842724E-7</v>
      </c>
      <c r="AK255">
        <f>$AH255*tbl_Data_old[[#This Row],[2027 ]]</f>
        <v>2.7653057579798765E-7</v>
      </c>
      <c r="AL255">
        <f>$AH255*tbl_Data_old[[#This Row],[2028 ]]</f>
        <v>3.8972924238566007E-7</v>
      </c>
      <c r="AM255">
        <f>$AH255*tbl_Data_old[[#This Row],[2029 ]]</f>
        <v>5.1455755911413738E-7</v>
      </c>
      <c r="AN255">
        <f>$AH255*tbl_Data_old[[#This Row],[2030 ]]</f>
        <v>6.5152752855325539E-7</v>
      </c>
      <c r="AO255">
        <f>$AH255*tbl_Data_old[[#This Row],[2031 ]]</f>
        <v>8.0081363206137127E-7</v>
      </c>
      <c r="AP255">
        <f>$AH255*tbl_Data_old[[#This Row],[2032 ]]</f>
        <v>9.6279453595623486E-7</v>
      </c>
      <c r="AQ255">
        <f>$AH255*tbl_Data_old[[#This Row],[2033 ]]</f>
        <v>1.1382302558773355E-6</v>
      </c>
      <c r="AR255">
        <f>$AH255*tbl_Data_old[[#This Row],[2034 ]]</f>
        <v>1.327136407665877E-6</v>
      </c>
      <c r="AS255">
        <f>SUM(tbl_Data_old[[#This Row],[Adjusted 2025]:[Adjusted 2034]])</f>
        <v>6.318208224981325E-6</v>
      </c>
      <c r="AT255" s="3">
        <f>AVERAGEIFS('3. Incentive Adjustment'!F:F,'3. Incentive Adjustment'!A:A,tbl_Data_old[[#This Row],[Trimmed Sector]],'3. Incentive Adjustment'!B:B,tbl_Data_old[[#This Row],[Trimmed Measure Name]])</f>
        <v>4754.4974087894998</v>
      </c>
      <c r="AU255" s="3">
        <f>IFERROR(VLOOKUP(tbl_Data_old[[#This Row],[All_Meas_Name_Append]],'IRA Tax Credits'!$A$3:$D$46,4,0),0)</f>
        <v>500</v>
      </c>
      <c r="AV255" s="4">
        <f>tbl_Data_old[[#This Row],[Adj. per unit Incentive ($)]]/tbl_Data_old[[#This Row],[kWh Savings]]*tbl_Data_old[[#This Row],[Sum of Annuals]]</f>
        <v>6.7089124448859373E-6</v>
      </c>
      <c r="AW255" s="4">
        <f>IFERROR(VLOOKUP(tbl_Data_old[[#This Row],[All_Programs]],'1. Set Program Names'!$B$2:$D$15,3,0)*tbl_Data_old[[#This Row],[Sum of Annuals]],"")</f>
        <v>2.2492628546394905E-7</v>
      </c>
      <c r="AX255" s="4">
        <f>tbl_Data_old[[#This Row],[per unit IRA tax ($)]]/tbl_Data_old[[#This Row],[kWh Savings]]*tbl_Data_old[[#This Row],[Sum of Annuals]]</f>
        <v>7.0553329490551065E-7</v>
      </c>
      <c r="AY255" s="4">
        <f>tbl_Data_old[[#This Row],[Avoided Costs ($/unit)]]/tbl_Data_old[[#This Row],[kWh Savings]]*tbl_Data_old[[#This Row],[Sum of Annuals]]</f>
        <v>3.7685418830889529E-6</v>
      </c>
      <c r="AZ255" s="4">
        <f>tbl_Data_old[[#This Row],[Lost Revenue ($/unit)]]/tbl_Data_old[[#This Row],[kWh Savings]]*tbl_Data_old[[#This Row],[Sum of Annuals]]</f>
        <v>9.7400733013318537E-6</v>
      </c>
      <c r="BA255" s="4">
        <f>tbl_Data_old[[#This Row],[Incremental Cost ($/unit)]]/tbl_Data_old[[#This Row],[kWh Savings]]*tbl_Data_old[[#This Row],[Sum of Annuals]]</f>
        <v>5.19233006031726E-5</v>
      </c>
      <c r="BB255">
        <f>ROUNDUP(tbl_Data_old[[#This Row],[Adjusted 2025]]/$L255,0)</f>
        <v>1</v>
      </c>
      <c r="BC255">
        <f>ROUNDUP(tbl_Data_old[[#This Row],[Adjusted 2026]]/$L255,0)</f>
        <v>1</v>
      </c>
      <c r="BD255">
        <f>ROUNDUP(tbl_Data_old[[#This Row],[Adjusted 2027]]/$L255,0)</f>
        <v>1</v>
      </c>
      <c r="BE255">
        <f>ROUNDUP(tbl_Data_old[[#This Row],[Adjusted 2028]]/$L255,0)</f>
        <v>1</v>
      </c>
      <c r="BF255">
        <f>ROUNDUP(tbl_Data_old[[#This Row],[Adjusted 2029]]/$L255,0)</f>
        <v>1</v>
      </c>
      <c r="BG255">
        <f>ROUNDUP(tbl_Data_old[[#This Row],[Adjusted 2030]]/$L255,0)</f>
        <v>1</v>
      </c>
      <c r="BH255">
        <f>ROUNDUP(tbl_Data_old[[#This Row],[Adjusted 2031]]/$L255,0)</f>
        <v>1</v>
      </c>
      <c r="BI255">
        <f>ROUNDUP(tbl_Data_old[[#This Row],[Adjusted 2032]]/$L255,0)</f>
        <v>1</v>
      </c>
      <c r="BJ255">
        <f>ROUNDUP(tbl_Data_old[[#This Row],[Adjusted 2033]]/$L255,0)</f>
        <v>1</v>
      </c>
      <c r="BK255">
        <f>ROUNDUP(tbl_Data_old[[#This Row],[Adjusted 2034]]/$L255,0)</f>
        <v>1</v>
      </c>
      <c r="BL255" s="3">
        <f t="shared" si="17"/>
        <v>1103.2999873434444</v>
      </c>
      <c r="BM255" s="3">
        <f t="shared" si="17"/>
        <v>2333.2706474338861</v>
      </c>
      <c r="BN255" s="3">
        <f t="shared" si="17"/>
        <v>3699.3361025898494</v>
      </c>
      <c r="BO255" s="3">
        <f t="shared" si="17"/>
        <v>5213.67104679769</v>
      </c>
      <c r="BP255" s="3">
        <f t="shared" si="17"/>
        <v>6883.5836680932089</v>
      </c>
      <c r="BQ255" s="3">
        <f t="shared" si="17"/>
        <v>8715.9233703289301</v>
      </c>
      <c r="BR255" s="3">
        <f t="shared" si="17"/>
        <v>10713.024308367614</v>
      </c>
      <c r="BS255" s="3">
        <f t="shared" si="17"/>
        <v>12879.952157048448</v>
      </c>
      <c r="BT255" s="3">
        <f t="shared" si="17"/>
        <v>15226.874158404551</v>
      </c>
      <c r="BU255" s="3">
        <f t="shared" si="17"/>
        <v>17753.99921608056</v>
      </c>
      <c r="BV255">
        <f>VLOOKUP($H255,'1. Set Program Names'!$B$2:$D$15,3,0)*V255</f>
        <v>36.98977590544515</v>
      </c>
      <c r="BW255">
        <f>VLOOKUP($H255,'1. Set Program Names'!$B$2:$D$15,3,0)*W255</f>
        <v>78.226374844021421</v>
      </c>
      <c r="BX255">
        <f>VLOOKUP($H255,'1. Set Program Names'!$B$2:$D$15,3,0)*X255</f>
        <v>124.02575455765452</v>
      </c>
      <c r="BY255">
        <f>VLOOKUP($H255,'1. Set Program Names'!$B$2:$D$15,3,0)*Y255</f>
        <v>174.7960898015686</v>
      </c>
      <c r="BZ255">
        <f>VLOOKUP($H255,'1. Set Program Names'!$B$2:$D$15,3,0)*Z255</f>
        <v>230.7823984682862</v>
      </c>
      <c r="CA255">
        <f>VLOOKUP($H255,'1. Set Program Names'!$B$2:$D$15,3,0)*AA255</f>
        <v>292.21431702703353</v>
      </c>
      <c r="CB255">
        <f>VLOOKUP($H255,'1. Set Program Names'!$B$2:$D$15,3,0)*AB255</f>
        <v>359.17010149729077</v>
      </c>
      <c r="CC255">
        <f>VLOOKUP($H255,'1. Set Program Names'!$B$2:$D$15,3,0)*AC255</f>
        <v>431.8195861754968</v>
      </c>
      <c r="CD255">
        <f>VLOOKUP($H255,'1. Set Program Names'!$B$2:$D$15,3,0)*AD255</f>
        <v>510.50364299919858</v>
      </c>
      <c r="CE255">
        <f>VLOOKUP($H255,'1. Set Program Names'!$B$2:$D$15,3,0)*AE255</f>
        <v>595.22927577433256</v>
      </c>
    </row>
    <row r="256" spans="1:83" x14ac:dyDescent="0.25">
      <c r="A256" s="20" t="s">
        <v>113</v>
      </c>
      <c r="B256" s="20" t="s">
        <v>88</v>
      </c>
      <c r="C256" s="20" t="s">
        <v>122</v>
      </c>
      <c r="D256" s="20" t="s">
        <v>90</v>
      </c>
      <c r="E256" s="20" t="s">
        <v>91</v>
      </c>
      <c r="F256" s="20" t="s">
        <v>90</v>
      </c>
      <c r="G256" s="20" t="s">
        <v>92</v>
      </c>
      <c r="H256" s="20" t="s">
        <v>14</v>
      </c>
      <c r="I256" s="20" t="s">
        <v>240</v>
      </c>
      <c r="J256" s="20" t="s">
        <v>129</v>
      </c>
      <c r="K256" s="20" t="s">
        <v>102</v>
      </c>
      <c r="L256" s="20">
        <v>18717.787499999999</v>
      </c>
      <c r="M256" s="20">
        <v>3.6380387810097399</v>
      </c>
      <c r="N256" s="20">
        <v>0.14255501576814</v>
      </c>
      <c r="O256" s="53">
        <f>11091.09/6133.31*tbl_Data_old[[#This Row],[kWh Savings]]</f>
        <v>33848.063405139306</v>
      </c>
      <c r="P256" s="20">
        <v>45532.278837645601</v>
      </c>
      <c r="Q256" s="20">
        <v>666.34752521012103</v>
      </c>
      <c r="R256" s="20">
        <v>11042.715256281999</v>
      </c>
      <c r="S256" s="20">
        <v>28855.114582630202</v>
      </c>
      <c r="T256" s="20">
        <v>30</v>
      </c>
      <c r="U256" s="20">
        <v>0.95</v>
      </c>
      <c r="V256" s="20">
        <v>1522.2240041791899</v>
      </c>
      <c r="W256" s="20">
        <v>3015.7708690678401</v>
      </c>
      <c r="X256" s="20">
        <v>4467.9014260826198</v>
      </c>
      <c r="Y256" s="20">
        <v>5879.6609303497598</v>
      </c>
      <c r="Z256" s="20">
        <v>7252.4935170625604</v>
      </c>
      <c r="AA256" s="20">
        <v>8584.02489262772</v>
      </c>
      <c r="AB256" s="20">
        <v>9874.6490497794402</v>
      </c>
      <c r="AC256" s="20">
        <v>11126.9211331591</v>
      </c>
      <c r="AD256" s="20">
        <v>12341.261852637001</v>
      </c>
      <c r="AE256" s="20">
        <v>13518.8146242408</v>
      </c>
      <c r="AF256" t="str">
        <f t="shared" si="14"/>
        <v>NonResidential</v>
      </c>
      <c r="AG256" t="str">
        <f>tbl_Data_old[[#This Row],[All_Meas_Name_Append]]</f>
        <v>Ceiling Insulation(R2 to R38)</v>
      </c>
      <c r="AH256">
        <f>AVERAGEIFS('3. Incentive Adjustment'!G:G,'3. Incentive Adjustment'!A:A,tbl_Data_old[[#This Row],[Trimmed Sector]],'3. Incentive Adjustment'!B:B,tbl_Data_old[[#This Row],[Trimmed Measure Name]])</f>
        <v>3.0218441517909909E-3</v>
      </c>
      <c r="AI256">
        <f>$AH256*tbl_Data_old[[#This Row],[2025 ]]</f>
        <v>4.5999237047447501</v>
      </c>
      <c r="AJ256">
        <f>$AH256*tbl_Data_old[[#This Row],[2026 ]]</f>
        <v>9.1131895638342861</v>
      </c>
      <c r="AK256">
        <f>$AH256*tbl_Data_old[[#This Row],[2027 ]]</f>
        <v>13.501301795186393</v>
      </c>
      <c r="AL256">
        <f>$AH256*tbl_Data_old[[#This Row],[2028 ]]</f>
        <v>17.767418996891397</v>
      </c>
      <c r="AM256">
        <f>$AH256*tbl_Data_old[[#This Row],[2029 ]]</f>
        <v>21.915905120437571</v>
      </c>
      <c r="AN256">
        <f>$AH256*tbl_Data_old[[#This Row],[2030 ]]</f>
        <v>25.939585420615366</v>
      </c>
      <c r="AO256">
        <f>$AH256*tbl_Data_old[[#This Row],[2031 ]]</f>
        <v>29.839650482064467</v>
      </c>
      <c r="AP256">
        <f>$AH256*tbl_Data_old[[#This Row],[2032 ]]</f>
        <v>33.623821553676407</v>
      </c>
      <c r="AQ256">
        <f>$AH256*tbl_Data_old[[#This Row],[2033 ]]</f>
        <v>37.293369955112368</v>
      </c>
      <c r="AR256">
        <f>$AH256*tbl_Data_old[[#This Row],[2034 ]]</f>
        <v>40.851750911408587</v>
      </c>
      <c r="AS256">
        <f>SUM(tbl_Data_old[[#This Row],[Adjusted 2025]:[Adjusted 2034]])</f>
        <v>234.4459175039716</v>
      </c>
      <c r="AT256" s="3">
        <f>AVERAGEIFS('3. Incentive Adjustment'!F:F,'3. Incentive Adjustment'!A:A,tbl_Data_old[[#This Row],[Trimmed Sector]],'3. Incentive Adjustment'!B:B,tbl_Data_old[[#This Row],[Trimmed Measure Name]])</f>
        <v>4373.4448922946976</v>
      </c>
      <c r="AU256" s="3">
        <f>IFERROR(VLOOKUP(tbl_Data_old[[#This Row],[All_Meas_Name_Append]],'IRA Tax Credits'!$A$3:$D$46,4,0),0)</f>
        <v>0</v>
      </c>
      <c r="AV256" s="4">
        <f>tbl_Data_old[[#This Row],[Adj. per unit Incentive ($)]]/tbl_Data_old[[#This Row],[kWh Savings]]*tbl_Data_old[[#This Row],[Sum of Annuals]]</f>
        <v>54.778712517549884</v>
      </c>
      <c r="AW256" s="4">
        <f>IFERROR(VLOOKUP(tbl_Data_old[[#This Row],[All_Programs]],'1. Set Program Names'!$B$2:$D$15,3,0)*tbl_Data_old[[#This Row],[Sum of Annuals]],"")</f>
        <v>8.3462031463060278</v>
      </c>
      <c r="AX256" s="4">
        <f>tbl_Data_old[[#This Row],[per unit IRA tax ($)]]/tbl_Data_old[[#This Row],[kWh Savings]]*tbl_Data_old[[#This Row],[Sum of Annuals]]</f>
        <v>0</v>
      </c>
      <c r="AY256" s="4">
        <f>tbl_Data_old[[#This Row],[Avoided Costs ($/unit)]]/tbl_Data_old[[#This Row],[kWh Savings]]*tbl_Data_old[[#This Row],[Sum of Annuals]]</f>
        <v>138.31332949976797</v>
      </c>
      <c r="AZ256" s="4">
        <f>tbl_Data_old[[#This Row],[Lost Revenue ($/unit)]]/tbl_Data_old[[#This Row],[kWh Savings]]*tbl_Data_old[[#This Row],[Sum of Annuals]]</f>
        <v>361.41898784816146</v>
      </c>
      <c r="BA256" s="4">
        <f>tbl_Data_old[[#This Row],[Incremental Cost ($/unit)]]/tbl_Data_old[[#This Row],[kWh Savings]]*tbl_Data_old[[#This Row],[Sum of Annuals]]</f>
        <v>423.95717339725599</v>
      </c>
      <c r="BB256">
        <f>ROUNDUP(tbl_Data_old[[#This Row],[Adjusted 2025]]/$L256,0)</f>
        <v>1</v>
      </c>
      <c r="BC256">
        <f>ROUNDUP(tbl_Data_old[[#This Row],[Adjusted 2026]]/$L256,0)</f>
        <v>1</v>
      </c>
      <c r="BD256">
        <f>ROUNDUP(tbl_Data_old[[#This Row],[Adjusted 2027]]/$L256,0)</f>
        <v>1</v>
      </c>
      <c r="BE256">
        <f>ROUNDUP(tbl_Data_old[[#This Row],[Adjusted 2028]]/$L256,0)</f>
        <v>1</v>
      </c>
      <c r="BF256">
        <f>ROUNDUP(tbl_Data_old[[#This Row],[Adjusted 2029]]/$L256,0)</f>
        <v>1</v>
      </c>
      <c r="BG256">
        <f>ROUNDUP(tbl_Data_old[[#This Row],[Adjusted 2030]]/$L256,0)</f>
        <v>1</v>
      </c>
      <c r="BH256">
        <f>ROUNDUP(tbl_Data_old[[#This Row],[Adjusted 2031]]/$L256,0)</f>
        <v>1</v>
      </c>
      <c r="BI256">
        <f>ROUNDUP(tbl_Data_old[[#This Row],[Adjusted 2032]]/$L256,0)</f>
        <v>1</v>
      </c>
      <c r="BJ256">
        <f>ROUNDUP(tbl_Data_old[[#This Row],[Adjusted 2033]]/$L256,0)</f>
        <v>1</v>
      </c>
      <c r="BK256">
        <f>ROUNDUP(tbl_Data_old[[#This Row],[Adjusted 2034]]/$L256,0)</f>
        <v>1</v>
      </c>
      <c r="BL256" s="3">
        <f t="shared" si="17"/>
        <v>355.67039085179601</v>
      </c>
      <c r="BM256" s="3">
        <f t="shared" si="17"/>
        <v>704.64031625831251</v>
      </c>
      <c r="BN256" s="3">
        <f t="shared" si="17"/>
        <v>1043.933246446848</v>
      </c>
      <c r="BO256" s="3">
        <f t="shared" si="17"/>
        <v>1373.7934071675325</v>
      </c>
      <c r="BP256" s="3">
        <f t="shared" si="17"/>
        <v>1694.5582232193665</v>
      </c>
      <c r="BQ256" s="3">
        <f t="shared" si="17"/>
        <v>2005.6729366114048</v>
      </c>
      <c r="BR256" s="3">
        <f t="shared" si="17"/>
        <v>2307.2296044583577</v>
      </c>
      <c r="BS256" s="3">
        <f t="shared" si="17"/>
        <v>2599.8252409255419</v>
      </c>
      <c r="BT256" s="3">
        <f t="shared" si="17"/>
        <v>2883.5581456348245</v>
      </c>
      <c r="BU256" s="3">
        <f t="shared" si="17"/>
        <v>3158.6954798084334</v>
      </c>
      <c r="BV256">
        <f>VLOOKUP($H256,'1. Set Program Names'!$B$2:$D$15,3,0)*V256</f>
        <v>54.190710200136849</v>
      </c>
      <c r="BW256">
        <f>VLOOKUP($H256,'1. Set Program Names'!$B$2:$D$15,3,0)*W256</f>
        <v>107.36052298938274</v>
      </c>
      <c r="BX256">
        <f>VLOOKUP($H256,'1. Set Program Names'!$B$2:$D$15,3,0)*X256</f>
        <v>159.05592785220603</v>
      </c>
      <c r="BY256">
        <f>VLOOKUP($H256,'1. Set Program Names'!$B$2:$D$15,3,0)*Y256</f>
        <v>209.31413555224941</v>
      </c>
      <c r="BZ256">
        <f>VLOOKUP($H256,'1. Set Program Names'!$B$2:$D$15,3,0)*Z256</f>
        <v>258.18655686186645</v>
      </c>
      <c r="CA256">
        <f>VLOOKUP($H256,'1. Set Program Names'!$B$2:$D$15,3,0)*AA256</f>
        <v>305.58866765340485</v>
      </c>
      <c r="CB256">
        <f>VLOOKUP($H256,'1. Set Program Names'!$B$2:$D$15,3,0)*AB256</f>
        <v>351.53449394801618</v>
      </c>
      <c r="CC256">
        <f>VLOOKUP($H256,'1. Set Program Names'!$B$2:$D$15,3,0)*AC256</f>
        <v>396.11499811549635</v>
      </c>
      <c r="CD256">
        <f>VLOOKUP($H256,'1. Set Program Names'!$B$2:$D$15,3,0)*AD256</f>
        <v>439.34515729889216</v>
      </c>
      <c r="CE256">
        <f>VLOOKUP($H256,'1. Set Program Names'!$B$2:$D$15,3,0)*AE256</f>
        <v>481.2656767599936</v>
      </c>
    </row>
    <row r="257" spans="1:83" x14ac:dyDescent="0.25">
      <c r="A257" s="20" t="s">
        <v>113</v>
      </c>
      <c r="B257" s="20" t="s">
        <v>88</v>
      </c>
      <c r="C257" s="20" t="s">
        <v>122</v>
      </c>
      <c r="D257" s="20" t="s">
        <v>90</v>
      </c>
      <c r="E257" s="20" t="s">
        <v>91</v>
      </c>
      <c r="F257" s="20" t="s">
        <v>90</v>
      </c>
      <c r="G257" s="20" t="s">
        <v>92</v>
      </c>
      <c r="H257" s="20" t="s">
        <v>14</v>
      </c>
      <c r="I257" s="20" t="s">
        <v>241</v>
      </c>
      <c r="J257" s="20" t="s">
        <v>129</v>
      </c>
      <c r="K257" s="20" t="s">
        <v>102</v>
      </c>
      <c r="L257" s="20">
        <v>19185.113333333298</v>
      </c>
      <c r="M257" s="20">
        <v>4.6125790568704801</v>
      </c>
      <c r="N257" s="20">
        <v>0.25911922024205197</v>
      </c>
      <c r="O257" s="53">
        <f>11417.3/6341.92*tbl_Data_old[[#This Row],[kWh Savings]]</f>
        <v>34538.782334161617</v>
      </c>
      <c r="P257" s="20">
        <v>25197.386166847798</v>
      </c>
      <c r="Q257" s="20">
        <v>682.98418232081895</v>
      </c>
      <c r="R257" s="20">
        <v>12014.6297388403</v>
      </c>
      <c r="S257" s="20">
        <v>29575.538429105502</v>
      </c>
      <c r="T257" s="20">
        <v>30</v>
      </c>
      <c r="U257" s="20">
        <v>0.95</v>
      </c>
      <c r="V257" s="20">
        <v>1621.89748046613</v>
      </c>
      <c r="W257" s="20">
        <v>3211.0633489565298</v>
      </c>
      <c r="X257" s="20">
        <v>4753.7993990709201</v>
      </c>
      <c r="Y257" s="20">
        <v>6251.12168722758</v>
      </c>
      <c r="Z257" s="20">
        <v>7704.4910093115896</v>
      </c>
      <c r="AA257" s="20">
        <v>9111.3517727477793</v>
      </c>
      <c r="AB257" s="20">
        <v>10472.105547839799</v>
      </c>
      <c r="AC257" s="20">
        <v>11789.4484814887</v>
      </c>
      <c r="AD257" s="20">
        <v>13063.839304569799</v>
      </c>
      <c r="AE257" s="20">
        <v>14296.5059741309</v>
      </c>
      <c r="AF257" t="str">
        <f t="shared" si="14"/>
        <v>NonResidential</v>
      </c>
      <c r="AG257" t="str">
        <f>tbl_Data_old[[#This Row],[All_Meas_Name_Append]]</f>
        <v>Ceiling Insulation(R2 to R49)</v>
      </c>
      <c r="AH257">
        <f>AVERAGEIFS('3. Incentive Adjustment'!G:G,'3. Incentive Adjustment'!A:A,tbl_Data_old[[#This Row],[Trimmed Sector]],'3. Incentive Adjustment'!B:B,tbl_Data_old[[#This Row],[Trimmed Measure Name]])</f>
        <v>5.674595082038876E-2</v>
      </c>
      <c r="AI257">
        <f>$AH257*tbl_Data_old[[#This Row],[2025 ]]</f>
        <v>92.036114662243449</v>
      </c>
      <c r="AJ257">
        <f>$AH257*tbl_Data_old[[#This Row],[2026 ]]</f>
        <v>182.21484288104008</v>
      </c>
      <c r="AK257">
        <f>$AH257*tbl_Data_old[[#This Row],[2027 ]]</f>
        <v>269.75886690967207</v>
      </c>
      <c r="AL257">
        <f>$AH257*tbl_Data_old[[#This Row],[2028 ]]</f>
        <v>354.72584383568187</v>
      </c>
      <c r="AM257">
        <f>$AH257*tbl_Data_old[[#This Row],[2029 ]]</f>
        <v>437.19866791052283</v>
      </c>
      <c r="AN257">
        <f>$AH257*tbl_Data_old[[#This Row],[2030 ]]</f>
        <v>517.03231960360745</v>
      </c>
      <c r="AO257">
        <f>$AH257*tbl_Data_old[[#This Row],[2031 ]]</f>
        <v>594.24958640363752</v>
      </c>
      <c r="AP257">
        <f>$AH257*tbl_Data_old[[#This Row],[2032 ]]</f>
        <v>669.00346373006471</v>
      </c>
      <c r="AQ257">
        <f>$AH257*tbl_Data_old[[#This Row],[2033 ]]</f>
        <v>741.31998270257952</v>
      </c>
      <c r="AR257">
        <f>$AH257*tbl_Data_old[[#This Row],[2034 ]]</f>
        <v>811.26882491142612</v>
      </c>
      <c r="AS257">
        <f>SUM(tbl_Data_old[[#This Row],[Adjusted 2025]:[Adjusted 2034]])</f>
        <v>4668.8085135504753</v>
      </c>
      <c r="AT257" s="3">
        <f>AVERAGEIFS('3. Incentive Adjustment'!F:F,'3. Incentive Adjustment'!A:A,tbl_Data_old[[#This Row],[Trimmed Sector]],'3. Incentive Adjustment'!B:B,tbl_Data_old[[#This Row],[Trimmed Measure Name]])</f>
        <v>4335.1908026959672</v>
      </c>
      <c r="AU257" s="3">
        <f>IFERROR(VLOOKUP(tbl_Data_old[[#This Row],[All_Meas_Name_Append]],'IRA Tax Credits'!$A$3:$D$46,4,0),0)</f>
        <v>500</v>
      </c>
      <c r="AV257" s="4">
        <f>tbl_Data_old[[#This Row],[Adj. per unit Incentive ($)]]/tbl_Data_old[[#This Row],[kWh Savings]]*tbl_Data_old[[#This Row],[Sum of Annuals]]</f>
        <v>1054.9938056569219</v>
      </c>
      <c r="AW257" s="4">
        <f>IFERROR(VLOOKUP(tbl_Data_old[[#This Row],[All_Programs]],'1. Set Program Names'!$B$2:$D$15,3,0)*tbl_Data_old[[#This Row],[Sum of Annuals]],"")</f>
        <v>166.20815888011884</v>
      </c>
      <c r="AX257" s="4">
        <f>tbl_Data_old[[#This Row],[per unit IRA tax ($)]]/tbl_Data_old[[#This Row],[kWh Savings]]*tbl_Data_old[[#This Row],[Sum of Annuals]]</f>
        <v>121.67789766033395</v>
      </c>
      <c r="AY257" s="4">
        <f>tbl_Data_old[[#This Row],[Avoided Costs ($/unit)]]/tbl_Data_old[[#This Row],[kWh Savings]]*tbl_Data_old[[#This Row],[Sum of Annuals]]</f>
        <v>2923.8297755788299</v>
      </c>
      <c r="AZ257" s="4">
        <f>tbl_Data_old[[#This Row],[Lost Revenue ($/unit)]]/tbl_Data_old[[#This Row],[kWh Savings]]*tbl_Data_old[[#This Row],[Sum of Annuals]]</f>
        <v>7197.3786764519473</v>
      </c>
      <c r="BA257" s="4">
        <f>tbl_Data_old[[#This Row],[Incremental Cost ($/unit)]]/tbl_Data_old[[#This Row],[kWh Savings]]*tbl_Data_old[[#This Row],[Sum of Annuals]]</f>
        <v>8405.2128443373349</v>
      </c>
      <c r="BB257">
        <f>ROUNDUP(tbl_Data_old[[#This Row],[Adjusted 2025]]/$L257,0)</f>
        <v>1</v>
      </c>
      <c r="BC257">
        <f>ROUNDUP(tbl_Data_old[[#This Row],[Adjusted 2026]]/$L257,0)</f>
        <v>1</v>
      </c>
      <c r="BD257">
        <f>ROUNDUP(tbl_Data_old[[#This Row],[Adjusted 2027]]/$L257,0)</f>
        <v>1</v>
      </c>
      <c r="BE257">
        <f>ROUNDUP(tbl_Data_old[[#This Row],[Adjusted 2028]]/$L257,0)</f>
        <v>1</v>
      </c>
      <c r="BF257">
        <f>ROUNDUP(tbl_Data_old[[#This Row],[Adjusted 2029]]/$L257,0)</f>
        <v>1</v>
      </c>
      <c r="BG257">
        <f>ROUNDUP(tbl_Data_old[[#This Row],[Adjusted 2030]]/$L257,0)</f>
        <v>1</v>
      </c>
      <c r="BH257">
        <f>ROUNDUP(tbl_Data_old[[#This Row],[Adjusted 2031]]/$L257,0)</f>
        <v>1</v>
      </c>
      <c r="BI257">
        <f>ROUNDUP(tbl_Data_old[[#This Row],[Adjusted 2032]]/$L257,0)</f>
        <v>1</v>
      </c>
      <c r="BJ257">
        <f>ROUNDUP(tbl_Data_old[[#This Row],[Adjusted 2033]]/$L257,0)</f>
        <v>1</v>
      </c>
      <c r="BK257">
        <f>ROUNDUP(tbl_Data_old[[#This Row],[Adjusted 2034]]/$L257,0)</f>
        <v>1</v>
      </c>
      <c r="BL257" s="3">
        <f t="shared" si="17"/>
        <v>366.49431869740715</v>
      </c>
      <c r="BM257" s="3">
        <f t="shared" si="17"/>
        <v>725.59239319603455</v>
      </c>
      <c r="BN257" s="3">
        <f t="shared" si="17"/>
        <v>1074.1988892454065</v>
      </c>
      <c r="BO257" s="3">
        <f t="shared" si="17"/>
        <v>1412.5434014464522</v>
      </c>
      <c r="BP257" s="3">
        <f t="shared" si="17"/>
        <v>1740.9560205719279</v>
      </c>
      <c r="BQ257" s="3">
        <f t="shared" si="17"/>
        <v>2058.8592685931753</v>
      </c>
      <c r="BR257" s="3">
        <f t="shared" si="17"/>
        <v>2366.3438869020629</v>
      </c>
      <c r="BS257" s="3">
        <f t="shared" si="17"/>
        <v>2664.0191140808747</v>
      </c>
      <c r="BT257" s="3">
        <f t="shared" si="17"/>
        <v>2951.988607889512</v>
      </c>
      <c r="BU257" s="3">
        <f t="shared" si="17"/>
        <v>3230.5298453492069</v>
      </c>
      <c r="BV257">
        <f>VLOOKUP($H257,'1. Set Program Names'!$B$2:$D$15,3,0)*V257</f>
        <v>57.73905555093711</v>
      </c>
      <c r="BW257">
        <f>VLOOKUP($H257,'1. Set Program Names'!$B$2:$D$15,3,0)*W257</f>
        <v>114.31287570019195</v>
      </c>
      <c r="BX257">
        <f>VLOOKUP($H257,'1. Set Program Names'!$B$2:$D$15,3,0)*X257</f>
        <v>169.23380847850035</v>
      </c>
      <c r="BY257">
        <f>VLOOKUP($H257,'1. Set Program Names'!$B$2:$D$15,3,0)*Y257</f>
        <v>222.53802518440887</v>
      </c>
      <c r="BZ257">
        <f>VLOOKUP($H257,'1. Set Program Names'!$B$2:$D$15,3,0)*Z257</f>
        <v>274.27752970581616</v>
      </c>
      <c r="CA257">
        <f>VLOOKUP($H257,'1. Set Program Names'!$B$2:$D$15,3,0)*AA257</f>
        <v>324.36134372661996</v>
      </c>
      <c r="CB257">
        <f>VLOOKUP($H257,'1. Set Program Names'!$B$2:$D$15,3,0)*AB257</f>
        <v>372.80376302713279</v>
      </c>
      <c r="CC257">
        <f>VLOOKUP($H257,'1. Set Program Names'!$B$2:$D$15,3,0)*AC257</f>
        <v>419.70076961458261</v>
      </c>
      <c r="CD257">
        <f>VLOOKUP($H257,'1. Set Program Names'!$B$2:$D$15,3,0)*AD257</f>
        <v>465.0686941681966</v>
      </c>
      <c r="CE257">
        <f>VLOOKUP($H257,'1. Set Program Names'!$B$2:$D$15,3,0)*AE257</f>
        <v>508.951251584293</v>
      </c>
    </row>
    <row r="258" spans="1:83" x14ac:dyDescent="0.25">
      <c r="A258" s="20" t="s">
        <v>113</v>
      </c>
      <c r="B258" s="20" t="s">
        <v>88</v>
      </c>
      <c r="C258" s="20" t="s">
        <v>122</v>
      </c>
      <c r="D258" s="20" t="s">
        <v>90</v>
      </c>
      <c r="E258" s="20" t="s">
        <v>91</v>
      </c>
      <c r="F258" s="20" t="s">
        <v>90</v>
      </c>
      <c r="G258" s="20" t="s">
        <v>92</v>
      </c>
      <c r="H258" s="20" t="s">
        <v>14</v>
      </c>
      <c r="I258" s="20" t="s">
        <v>128</v>
      </c>
      <c r="J258" s="20" t="s">
        <v>129</v>
      </c>
      <c r="K258" s="20" t="s">
        <v>130</v>
      </c>
      <c r="L258" s="53">
        <v>2045.1799999999989</v>
      </c>
      <c r="M258" s="53">
        <v>0.47104509500000002</v>
      </c>
      <c r="N258" s="53">
        <v>0.17900382200000001</v>
      </c>
      <c r="O258" s="53">
        <f>19591.5999999999/60160.456*2045.18</f>
        <v>666.02468053100858</v>
      </c>
      <c r="P258" s="53">
        <f>11310.7385995848/60160.456*2045.18</f>
        <v>384.51331501042552</v>
      </c>
      <c r="Q258" s="53">
        <f>2141.69388188172/60160.456*2045.18</f>
        <v>72.807784125619918</v>
      </c>
      <c r="R258" s="53">
        <f>32581.871747558/60160.456*2045.18</f>
        <v>1107.6344311730397</v>
      </c>
      <c r="S258" s="53">
        <f>77209.8271220691/60160.456*2045.18</f>
        <v>2624.780540784353</v>
      </c>
      <c r="T258" s="20">
        <v>20</v>
      </c>
      <c r="U258" s="20">
        <v>0.94999999999999896</v>
      </c>
      <c r="V258" s="20">
        <v>71532.417948300601</v>
      </c>
      <c r="W258" s="20">
        <v>142082.93589917399</v>
      </c>
      <c r="X258" s="20">
        <v>211286.39197489701</v>
      </c>
      <c r="Y258" s="20">
        <v>279172.93654259498</v>
      </c>
      <c r="Z258" s="20">
        <v>345672.79518799402</v>
      </c>
      <c r="AA258" s="20">
        <v>410673.11699698598</v>
      </c>
      <c r="AB258" s="20">
        <v>474063.93041780399</v>
      </c>
      <c r="AC258" s="20">
        <v>535873.65001179499</v>
      </c>
      <c r="AD258" s="20">
        <v>596215.26222383499</v>
      </c>
      <c r="AE258" s="20">
        <v>655051.80908174894</v>
      </c>
      <c r="AF258" t="str">
        <f t="shared" ref="AF258:AF321" si="18">IF(C258="Residential","Residential","NonResidential")</f>
        <v>NonResidential</v>
      </c>
      <c r="AG258" t="str">
        <f>tbl_Data_old[[#This Row],[All_Meas_Name_Append]]</f>
        <v>Commercial Duct Sealing</v>
      </c>
      <c r="AH258">
        <f>AVERAGEIFS('3. Incentive Adjustment'!G:G,'3. Incentive Adjustment'!A:A,tbl_Data_old[[#This Row],[Trimmed Sector]],'3. Incentive Adjustment'!B:B,tbl_Data_old[[#This Row],[Trimmed Measure Name]])</f>
        <v>0.69277112909915817</v>
      </c>
      <c r="AI258">
        <f>$AH258*tbl_Data_old[[#This Row],[2025 ]]</f>
        <v>49555.593949237096</v>
      </c>
      <c r="AJ258">
        <f>$AH258*tbl_Data_old[[#This Row],[2026 ]]</f>
        <v>98430.955928594078</v>
      </c>
      <c r="AK258">
        <f>$AH258*tbl_Data_old[[#This Row],[2027 ]]</f>
        <v>146373.11233173672</v>
      </c>
      <c r="AL258">
        <f>$AH258*tbl_Data_old[[#This Row],[2028 ]]</f>
        <v>193402.95046254116</v>
      </c>
      <c r="AM258">
        <f>$AH258*tbl_Data_old[[#This Row],[2029 ]]</f>
        <v>239472.13262124866</v>
      </c>
      <c r="AN258">
        <f>$AH258*tbl_Data_old[[#This Row],[2030 ]]</f>
        <v>284502.47895267268</v>
      </c>
      <c r="AO258">
        <f>$AH258*tbl_Data_old[[#This Row],[2031 ]]</f>
        <v>328417.80434072681</v>
      </c>
      <c r="AP258">
        <f>$AH258*tbl_Data_old[[#This Row],[2032 ]]</f>
        <v>371237.79357315833</v>
      </c>
      <c r="AQ258">
        <f>$AH258*tbl_Data_old[[#This Row],[2033 ]]</f>
        <v>413040.72039695684</v>
      </c>
      <c r="AR258">
        <f>$AH258*tbl_Data_old[[#This Row],[2034 ]]</f>
        <v>453800.98139600939</v>
      </c>
      <c r="AS258">
        <f>SUM(tbl_Data_old[[#This Row],[Adjusted 2025]:[Adjusted 2034]])</f>
        <v>2578234.5239528813</v>
      </c>
      <c r="AT258" s="3">
        <f>AVERAGEIFS('3. Incentive Adjustment'!F:F,'3. Incentive Adjustment'!A:A,tbl_Data_old[[#This Row],[Trimmed Sector]],'3. Incentive Adjustment'!B:B,tbl_Data_old[[#This Row],[Trimmed Measure Name]])</f>
        <v>100</v>
      </c>
      <c r="AU258" s="3">
        <f>IFERROR(VLOOKUP(tbl_Data_old[[#This Row],[All_Meas_Name_Append]],'IRA Tax Credits'!$A$3:$D$46,4,0),0)</f>
        <v>0</v>
      </c>
      <c r="AV258" s="4">
        <f>tbl_Data_old[[#This Row],[Adj. per unit Incentive ($)]]/tbl_Data_old[[#This Row],[kWh Savings]]*tbl_Data_old[[#This Row],[Sum of Annuals]]</f>
        <v>126063.94175343406</v>
      </c>
      <c r="AW258" s="4">
        <f>IFERROR(VLOOKUP(tbl_Data_old[[#This Row],[All_Programs]],'1. Set Program Names'!$B$2:$D$15,3,0)*tbl_Data_old[[#This Row],[Sum of Annuals]],"")</f>
        <v>91784.362572088008</v>
      </c>
      <c r="AX258" s="4">
        <f>tbl_Data_old[[#This Row],[per unit IRA tax ($)]]/tbl_Data_old[[#This Row],[kWh Savings]]*tbl_Data_old[[#This Row],[Sum of Annuals]]</f>
        <v>0</v>
      </c>
      <c r="AY258" s="4">
        <f>tbl_Data_old[[#This Row],[Avoided Costs ($/unit)]]/tbl_Data_old[[#This Row],[kWh Savings]]*tbl_Data_old[[#This Row],[Sum of Annuals]]</f>
        <v>1396327.6241549614</v>
      </c>
      <c r="AZ258" s="4">
        <f>tbl_Data_old[[#This Row],[Lost Revenue ($/unit)]]/tbl_Data_old[[#This Row],[kWh Savings]]*tbl_Data_old[[#This Row],[Sum of Annuals]]</f>
        <v>3308901.8120898581</v>
      </c>
      <c r="BA258" s="4">
        <f>tbl_Data_old[[#This Row],[Incremental Cost ($/unit)]]/tbl_Data_old[[#This Row],[kWh Savings]]*tbl_Data_old[[#This Row],[Sum of Annuals]]</f>
        <v>839616.96532810596</v>
      </c>
      <c r="BB258">
        <f>ROUNDUP(tbl_Data_old[[#This Row],[Adjusted 2025]]/$L258,0)</f>
        <v>25</v>
      </c>
      <c r="BC258">
        <f>ROUNDUP(tbl_Data_old[[#This Row],[Adjusted 2026]]/$L258,0)</f>
        <v>49</v>
      </c>
      <c r="BD258">
        <f>ROUNDUP(tbl_Data_old[[#This Row],[Adjusted 2027]]/$L258,0)</f>
        <v>72</v>
      </c>
      <c r="BE258">
        <f>ROUNDUP(tbl_Data_old[[#This Row],[Adjusted 2028]]/$L258,0)</f>
        <v>95</v>
      </c>
      <c r="BF258">
        <f>ROUNDUP(tbl_Data_old[[#This Row],[Adjusted 2029]]/$L258,0)</f>
        <v>118</v>
      </c>
      <c r="BG258">
        <f>ROUNDUP(tbl_Data_old[[#This Row],[Adjusted 2030]]/$L258,0)</f>
        <v>140</v>
      </c>
      <c r="BH258">
        <f>ROUNDUP(tbl_Data_old[[#This Row],[Adjusted 2031]]/$L258,0)</f>
        <v>161</v>
      </c>
      <c r="BI258">
        <f>ROUNDUP(tbl_Data_old[[#This Row],[Adjusted 2032]]/$L258,0)</f>
        <v>182</v>
      </c>
      <c r="BJ258">
        <f>ROUNDUP(tbl_Data_old[[#This Row],[Adjusted 2033]]/$L258,0)</f>
        <v>202</v>
      </c>
      <c r="BK258">
        <f>ROUNDUP(tbl_Data_old[[#This Row],[Adjusted 2034]]/$L258,0)</f>
        <v>222</v>
      </c>
      <c r="BL258" s="3">
        <f t="shared" si="17"/>
        <v>3497.6098899999333</v>
      </c>
      <c r="BM258" s="3">
        <f t="shared" si="17"/>
        <v>6947.2093360571716</v>
      </c>
      <c r="BN258" s="3">
        <f t="shared" si="17"/>
        <v>10330.94358320036</v>
      </c>
      <c r="BO258" s="3">
        <f t="shared" si="17"/>
        <v>13650.286847250371</v>
      </c>
      <c r="BP258" s="3">
        <f t="shared" si="17"/>
        <v>16901.827476701033</v>
      </c>
      <c r="BQ258" s="3">
        <f t="shared" si="17"/>
        <v>20080.047575127188</v>
      </c>
      <c r="BR258" s="3">
        <f t="shared" si="17"/>
        <v>23179.570033826083</v>
      </c>
      <c r="BS258" s="3">
        <f t="shared" si="17"/>
        <v>26201.784195610915</v>
      </c>
      <c r="BT258" s="3">
        <f t="shared" si="17"/>
        <v>29152.214583744968</v>
      </c>
      <c r="BU258" s="3">
        <f t="shared" si="17"/>
        <v>32029.054121483161</v>
      </c>
      <c r="BV258">
        <f>VLOOKUP($H258,'1. Set Program Names'!$B$2:$D$15,3,0)*V258</f>
        <v>2546.532258267498</v>
      </c>
      <c r="BW258">
        <f>VLOOKUP($H258,'1. Set Program Names'!$B$2:$D$15,3,0)*W258</f>
        <v>5058.1091761514463</v>
      </c>
      <c r="BX258">
        <f>VLOOKUP($H258,'1. Set Program Names'!$B$2:$D$15,3,0)*X258</f>
        <v>7521.7311021961423</v>
      </c>
      <c r="BY258">
        <f>VLOOKUP($H258,'1. Set Program Names'!$B$2:$D$15,3,0)*Y258</f>
        <v>9938.4713802739934</v>
      </c>
      <c r="BZ258">
        <f>VLOOKUP($H258,'1. Set Program Names'!$B$2:$D$15,3,0)*Z258</f>
        <v>12305.846062521268</v>
      </c>
      <c r="CA258">
        <f>VLOOKUP($H258,'1. Set Program Names'!$B$2:$D$15,3,0)*AA258</f>
        <v>14619.837690820459</v>
      </c>
      <c r="CB258">
        <f>VLOOKUP($H258,'1. Set Program Names'!$B$2:$D$15,3,0)*AB258</f>
        <v>16876.531311475072</v>
      </c>
      <c r="CC258">
        <f>VLOOKUP($H258,'1. Set Program Names'!$B$2:$D$15,3,0)*AC258</f>
        <v>19076.938474201295</v>
      </c>
      <c r="CD258">
        <f>VLOOKUP($H258,'1. Set Program Names'!$B$2:$D$15,3,0)*AD258</f>
        <v>21225.08146197064</v>
      </c>
      <c r="CE258">
        <f>VLOOKUP($H258,'1. Set Program Names'!$B$2:$D$15,3,0)*AE258</f>
        <v>23319.644582247558</v>
      </c>
    </row>
    <row r="259" spans="1:83" x14ac:dyDescent="0.25">
      <c r="A259" s="20" t="s">
        <v>113</v>
      </c>
      <c r="B259" s="20" t="s">
        <v>88</v>
      </c>
      <c r="C259" s="20" t="s">
        <v>122</v>
      </c>
      <c r="D259" s="20" t="s">
        <v>90</v>
      </c>
      <c r="E259" s="20" t="s">
        <v>91</v>
      </c>
      <c r="F259" s="20" t="s">
        <v>90</v>
      </c>
      <c r="G259" s="20" t="s">
        <v>92</v>
      </c>
      <c r="H259" s="20" t="s">
        <v>14</v>
      </c>
      <c r="I259" s="20" t="s">
        <v>303</v>
      </c>
      <c r="J259" s="20" t="s">
        <v>129</v>
      </c>
      <c r="K259" s="20" t="s">
        <v>298</v>
      </c>
      <c r="L259" s="20">
        <v>2407.8671428571402</v>
      </c>
      <c r="M259" s="20">
        <v>0.43509988390469401</v>
      </c>
      <c r="N259" s="20">
        <v>0.148929049658067</v>
      </c>
      <c r="O259" s="20">
        <v>1278.9912095238201</v>
      </c>
      <c r="P259" s="20">
        <v>9094.9443435978392</v>
      </c>
      <c r="Q259" s="20">
        <v>85.719335775001198</v>
      </c>
      <c r="R259" s="20">
        <v>1364.7105452988201</v>
      </c>
      <c r="S259" s="20">
        <v>3090.2526043504499</v>
      </c>
      <c r="T259" s="20">
        <v>20</v>
      </c>
      <c r="U259" s="20">
        <v>0.94999999999999896</v>
      </c>
      <c r="V259" s="20">
        <v>28072.250171408199</v>
      </c>
      <c r="W259" s="20">
        <v>54738.498423653502</v>
      </c>
      <c r="X259" s="20">
        <v>79766.337455754197</v>
      </c>
      <c r="Y259" s="20">
        <v>103162.512562691</v>
      </c>
      <c r="Z259" s="20">
        <v>124941.86408679299</v>
      </c>
      <c r="AA259" s="20">
        <v>145110.52708563901</v>
      </c>
      <c r="AB259" s="20">
        <v>163711.409272024</v>
      </c>
      <c r="AC259" s="20">
        <v>180836.63842179099</v>
      </c>
      <c r="AD259" s="20">
        <v>196594.05802162501</v>
      </c>
      <c r="AE259" s="20">
        <v>211067.29829229199</v>
      </c>
      <c r="AF259" t="str">
        <f t="shared" si="18"/>
        <v>NonResidential</v>
      </c>
      <c r="AG259" t="str">
        <f>tbl_Data_old[[#This Row],[All_Meas_Name_Append]]</f>
        <v>Energy Star windows</v>
      </c>
      <c r="AH259">
        <f>AVERAGEIFS('3. Incentive Adjustment'!G:G,'3. Incentive Adjustment'!A:A,tbl_Data_old[[#This Row],[Trimmed Sector]],'3. Incentive Adjustment'!B:B,tbl_Data_old[[#This Row],[Trimmed Measure Name]])</f>
        <v>1.8374525511831319E-4</v>
      </c>
      <c r="AI259">
        <f>$AH259*tbl_Data_old[[#This Row],[2025 ]]</f>
        <v>5.1581427694905111</v>
      </c>
      <c r="AJ259">
        <f>$AH259*tbl_Data_old[[#This Row],[2026 ]]</f>
        <v>10.057939357647598</v>
      </c>
      <c r="AK259">
        <f>$AH259*tbl_Data_old[[#This Row],[2027 ]]</f>
        <v>14.656686025661017</v>
      </c>
      <c r="AL259">
        <f>$AH259*tbl_Data_old[[#This Row],[2028 ]]</f>
        <v>18.955622189477847</v>
      </c>
      <c r="AM259">
        <f>$AH259*tbl_Data_old[[#This Row],[2029 ]]</f>
        <v>22.957474691585393</v>
      </c>
      <c r="AN259">
        <f>$AH259*tbl_Data_old[[#This Row],[2030 ]]</f>
        <v>26.663370819703637</v>
      </c>
      <c r="AO259">
        <f>$AH259*tbl_Data_old[[#This Row],[2031 ]]</f>
        <v>30.081194662466633</v>
      </c>
      <c r="AP259">
        <f>$AH259*tbl_Data_old[[#This Row],[2032 ]]</f>
        <v>33.227874261550141</v>
      </c>
      <c r="AQ259">
        <f>$AH259*tbl_Data_old[[#This Row],[2033 ]]</f>
        <v>36.123225345927956</v>
      </c>
      <c r="AR259">
        <f>$AH259*tbl_Data_old[[#This Row],[2034 ]]</f>
        <v>38.782614571850303</v>
      </c>
      <c r="AS259">
        <f>SUM(tbl_Data_old[[#This Row],[Adjusted 2025]:[Adjusted 2034]])</f>
        <v>236.66414469536102</v>
      </c>
      <c r="AT259" s="3">
        <f>AVERAGEIFS('3. Incentive Adjustment'!F:F,'3. Incentive Adjustment'!A:A,tbl_Data_old[[#This Row],[Trimmed Sector]],'3. Incentive Adjustment'!B:B,tbl_Data_old[[#This Row],[Trimmed Measure Name]])</f>
        <v>1244.9532966663394</v>
      </c>
      <c r="AU259" s="3">
        <f>IFERROR(VLOOKUP(tbl_Data_old[[#This Row],[All_Meas_Name_Append]],'IRA Tax Credits'!$A$3:$D$46,4,0),0)</f>
        <v>250</v>
      </c>
      <c r="AV259" s="4">
        <f>tbl_Data_old[[#This Row],[Adj. per unit Incentive ($)]]/tbl_Data_old[[#This Row],[kWh Savings]]*tbl_Data_old[[#This Row],[Sum of Annuals]]</f>
        <v>122.36381397339004</v>
      </c>
      <c r="AW259" s="4">
        <f>IFERROR(VLOOKUP(tbl_Data_old[[#This Row],[All_Programs]],'1. Set Program Names'!$B$2:$D$15,3,0)*tbl_Data_old[[#This Row],[Sum of Annuals]],"")</f>
        <v>8.4251713576577245</v>
      </c>
      <c r="AX259" s="4">
        <f>tbl_Data_old[[#This Row],[per unit IRA tax ($)]]/tbl_Data_old[[#This Row],[kWh Savings]]*tbl_Data_old[[#This Row],[Sum of Annuals]]</f>
        <v>24.571968743937713</v>
      </c>
      <c r="AY259" s="4">
        <f>tbl_Data_old[[#This Row],[Avoided Costs ($/unit)]]/tbl_Data_old[[#This Row],[kWh Savings]]*tbl_Data_old[[#This Row],[Sum of Annuals]]</f>
        <v>134.1344994544192</v>
      </c>
      <c r="AZ259" s="4">
        <f>tbl_Data_old[[#This Row],[Lost Revenue ($/unit)]]/tbl_Data_old[[#This Row],[kWh Savings]]*tbl_Data_old[[#This Row],[Sum of Annuals]]</f>
        <v>303.73436161988553</v>
      </c>
      <c r="BA259" s="4">
        <f>tbl_Data_old[[#This Row],[Incremental Cost ($/unit)]]/tbl_Data_old[[#This Row],[kWh Savings]]*tbl_Data_old[[#This Row],[Sum of Annuals]]</f>
        <v>125.7093280967616</v>
      </c>
      <c r="BB259">
        <f>ROUNDUP(tbl_Data_old[[#This Row],[Adjusted 2025]]/$L259,0)</f>
        <v>1</v>
      </c>
      <c r="BC259">
        <f>ROUNDUP(tbl_Data_old[[#This Row],[Adjusted 2026]]/$L259,0)</f>
        <v>1</v>
      </c>
      <c r="BD259">
        <f>ROUNDUP(tbl_Data_old[[#This Row],[Adjusted 2027]]/$L259,0)</f>
        <v>1</v>
      </c>
      <c r="BE259">
        <f>ROUNDUP(tbl_Data_old[[#This Row],[Adjusted 2028]]/$L259,0)</f>
        <v>1</v>
      </c>
      <c r="BF259">
        <f>ROUNDUP(tbl_Data_old[[#This Row],[Adjusted 2029]]/$L259,0)</f>
        <v>1</v>
      </c>
      <c r="BG259">
        <f>ROUNDUP(tbl_Data_old[[#This Row],[Adjusted 2030]]/$L259,0)</f>
        <v>1</v>
      </c>
      <c r="BH259">
        <f>ROUNDUP(tbl_Data_old[[#This Row],[Adjusted 2031]]/$L259,0)</f>
        <v>1</v>
      </c>
      <c r="BI259">
        <f>ROUNDUP(tbl_Data_old[[#This Row],[Adjusted 2032]]/$L259,0)</f>
        <v>1</v>
      </c>
      <c r="BJ259">
        <f>ROUNDUP(tbl_Data_old[[#This Row],[Adjusted 2033]]/$L259,0)</f>
        <v>1</v>
      </c>
      <c r="BK259">
        <f>ROUNDUP(tbl_Data_old[[#This Row],[Adjusted 2034]]/$L259,0)</f>
        <v>1</v>
      </c>
      <c r="BL259" s="3">
        <f t="shared" si="17"/>
        <v>14514.355785538608</v>
      </c>
      <c r="BM259" s="3">
        <f t="shared" si="17"/>
        <v>28301.758371199234</v>
      </c>
      <c r="BN259" s="3">
        <f t="shared" si="17"/>
        <v>41242.044883218347</v>
      </c>
      <c r="BO259" s="3">
        <f t="shared" si="17"/>
        <v>53338.702879972305</v>
      </c>
      <c r="BP259" s="3">
        <f t="shared" si="17"/>
        <v>64599.405348386914</v>
      </c>
      <c r="BQ259" s="3">
        <f t="shared" si="17"/>
        <v>75027.324332310483</v>
      </c>
      <c r="BR259" s="3">
        <f t="shared" si="17"/>
        <v>84644.644651472336</v>
      </c>
      <c r="BS259" s="3">
        <f t="shared" si="17"/>
        <v>93498.999655823107</v>
      </c>
      <c r="BT259" s="3">
        <f t="shared" si="17"/>
        <v>101646.1482790194</v>
      </c>
      <c r="BU259" s="3">
        <f t="shared" si="17"/>
        <v>109129.33033159327</v>
      </c>
      <c r="BV259">
        <f>VLOOKUP($H259,'1. Set Program Names'!$B$2:$D$15,3,0)*V259</f>
        <v>999.36354276899704</v>
      </c>
      <c r="BW259">
        <f>VLOOKUP($H259,'1. Set Program Names'!$B$2:$D$15,3,0)*W259</f>
        <v>1948.6738461113323</v>
      </c>
      <c r="BX259">
        <f>VLOOKUP($H259,'1. Set Program Names'!$B$2:$D$15,3,0)*X259</f>
        <v>2839.6572810070202</v>
      </c>
      <c r="BY259">
        <f>VLOOKUP($H259,'1. Set Program Names'!$B$2:$D$15,3,0)*Y259</f>
        <v>3672.5539778997472</v>
      </c>
      <c r="BZ259">
        <f>VLOOKUP($H259,'1. Set Program Names'!$B$2:$D$15,3,0)*Z259</f>
        <v>4447.8922484494387</v>
      </c>
      <c r="CA259">
        <f>VLOOKUP($H259,'1. Set Program Names'!$B$2:$D$15,3,0)*AA259</f>
        <v>5165.8904988344257</v>
      </c>
      <c r="CB259">
        <f>VLOOKUP($H259,'1. Set Program Names'!$B$2:$D$15,3,0)*AB259</f>
        <v>5828.0762305413737</v>
      </c>
      <c r="CC259">
        <f>VLOOKUP($H259,'1. Set Program Names'!$B$2:$D$15,3,0)*AC259</f>
        <v>6437.7291642870669</v>
      </c>
      <c r="CD259">
        <f>VLOOKUP($H259,'1. Set Program Names'!$B$2:$D$15,3,0)*AD259</f>
        <v>6998.6884953002464</v>
      </c>
      <c r="CE259">
        <f>VLOOKUP($H259,'1. Set Program Names'!$B$2:$D$15,3,0)*AE259</f>
        <v>7513.9314339290986</v>
      </c>
    </row>
    <row r="260" spans="1:83" x14ac:dyDescent="0.25">
      <c r="A260" s="20" t="s">
        <v>113</v>
      </c>
      <c r="B260" s="20" t="s">
        <v>88</v>
      </c>
      <c r="C260" s="20" t="s">
        <v>122</v>
      </c>
      <c r="D260" s="20" t="s">
        <v>90</v>
      </c>
      <c r="E260" s="20" t="s">
        <v>91</v>
      </c>
      <c r="F260" s="20" t="s">
        <v>90</v>
      </c>
      <c r="G260" s="20" t="s">
        <v>92</v>
      </c>
      <c r="H260" s="20" t="s">
        <v>14</v>
      </c>
      <c r="I260" s="20" t="s">
        <v>143</v>
      </c>
      <c r="J260" s="20" t="s">
        <v>144</v>
      </c>
      <c r="K260" s="20" t="s">
        <v>108</v>
      </c>
      <c r="L260" s="20">
        <v>6670.6049999999896</v>
      </c>
      <c r="M260" s="20">
        <v>1.04667148638823</v>
      </c>
      <c r="N260" s="20">
        <v>1.5598507965563999</v>
      </c>
      <c r="O260" s="20">
        <v>2431.625</v>
      </c>
      <c r="P260" s="20">
        <v>977.24379425036398</v>
      </c>
      <c r="Q260" s="20">
        <v>237.47150315731801</v>
      </c>
      <c r="R260" s="20">
        <v>3400.8076679878</v>
      </c>
      <c r="S260" s="20">
        <v>7245.0779694633802</v>
      </c>
      <c r="T260" s="20">
        <v>15</v>
      </c>
      <c r="U260" s="20">
        <v>0.95</v>
      </c>
      <c r="V260" s="20">
        <v>32164.032906833199</v>
      </c>
      <c r="W260" s="20">
        <v>67533.926474391701</v>
      </c>
      <c r="X260" s="20">
        <v>105523.223329945</v>
      </c>
      <c r="Y260" s="20">
        <v>145791.54192826999</v>
      </c>
      <c r="Z260" s="20">
        <v>188009.971220181</v>
      </c>
      <c r="AA260" s="20">
        <v>231833.97401407</v>
      </c>
      <c r="AB260" s="20">
        <v>276978.80898144201</v>
      </c>
      <c r="AC260" s="20">
        <v>323285.99425734399</v>
      </c>
      <c r="AD260" s="20">
        <v>370634.50431565801</v>
      </c>
      <c r="AE260" s="20">
        <v>418877.06990713201</v>
      </c>
      <c r="AF260" t="str">
        <f t="shared" si="18"/>
        <v>NonResidential</v>
      </c>
      <c r="AG260" t="str">
        <f>tbl_Data_old[[#This Row],[All_Meas_Name_Append]]</f>
        <v>Heat Pump Water Heater</v>
      </c>
      <c r="AH260">
        <f>AVERAGEIFS('3. Incentive Adjustment'!G:G,'3. Incentive Adjustment'!A:A,tbl_Data_old[[#This Row],[Trimmed Sector]],'3. Incentive Adjustment'!B:B,tbl_Data_old[[#This Row],[Trimmed Measure Name]])</f>
        <v>0.82797588322898052</v>
      </c>
      <c r="AI260">
        <f>$AH260*tbl_Data_old[[#This Row],[2025 ]]</f>
        <v>26631.043554241212</v>
      </c>
      <c r="AJ260">
        <f>$AH260*tbl_Data_old[[#This Row],[2026 ]]</f>
        <v>55916.462420555501</v>
      </c>
      <c r="AK260">
        <f>$AH260*tbl_Data_old[[#This Row],[2027 ]]</f>
        <v>87370.684037780171</v>
      </c>
      <c r="AL260">
        <f>$AH260*tbl_Data_old[[#This Row],[2028 ]]</f>
        <v>120711.88069537429</v>
      </c>
      <c r="AM260">
        <f>$AH260*tbl_Data_old[[#This Row],[2029 ]]</f>
        <v>155667.72197688458</v>
      </c>
      <c r="AN260">
        <f>$AH260*tbl_Data_old[[#This Row],[2030 ]]</f>
        <v>191952.93939678412</v>
      </c>
      <c r="AO260">
        <f>$AH260*tbl_Data_old[[#This Row],[2031 ]]</f>
        <v>229331.77400212054</v>
      </c>
      <c r="AP260">
        <f>$AH260*tbl_Data_old[[#This Row],[2032 ]]</f>
        <v>267673.00663078349</v>
      </c>
      <c r="AQ260">
        <f>$AH260*tbl_Data_old[[#This Row],[2033 ]]</f>
        <v>306876.43106589234</v>
      </c>
      <c r="AR260">
        <f>$AH260*tbl_Data_old[[#This Row],[2034 ]]</f>
        <v>346820.11192072503</v>
      </c>
      <c r="AS260">
        <f>SUM(tbl_Data_old[[#This Row],[Adjusted 2025]:[Adjusted 2034]])</f>
        <v>1788952.0557011412</v>
      </c>
      <c r="AT260" s="3">
        <f>AVERAGEIFS('3. Incentive Adjustment'!F:F,'3. Incentive Adjustment'!A:A,tbl_Data_old[[#This Row],[Trimmed Sector]],'3. Incentive Adjustment'!B:B,tbl_Data_old[[#This Row],[Trimmed Measure Name]])</f>
        <v>500</v>
      </c>
      <c r="AU260" s="3">
        <f>IFERROR(VLOOKUP(tbl_Data_old[[#This Row],[All_Meas_Name_Append]],'IRA Tax Credits'!$A$3:$D$46,4,0),0)</f>
        <v>0</v>
      </c>
      <c r="AV260" s="4">
        <f>tbl_Data_old[[#This Row],[Adj. per unit Incentive ($)]]/tbl_Data_old[[#This Row],[kWh Savings]]*tbl_Data_old[[#This Row],[Sum of Annuals]]</f>
        <v>134092.18921680597</v>
      </c>
      <c r="AW260" s="4">
        <f>IFERROR(VLOOKUP(tbl_Data_old[[#This Row],[All_Programs]],'1. Set Program Names'!$B$2:$D$15,3,0)*tbl_Data_old[[#This Row],[Sum of Annuals]],"")</f>
        <v>63686.14746994077</v>
      </c>
      <c r="AX260" s="4">
        <f>tbl_Data_old[[#This Row],[per unit IRA tax ($)]]/tbl_Data_old[[#This Row],[kWh Savings]]*tbl_Data_old[[#This Row],[Sum of Annuals]]</f>
        <v>0</v>
      </c>
      <c r="AY260" s="4">
        <f>tbl_Data_old[[#This Row],[Avoided Costs ($/unit)]]/tbl_Data_old[[#This Row],[kWh Savings]]*tbl_Data_old[[#This Row],[Sum of Annuals]]</f>
        <v>912043.49061156949</v>
      </c>
      <c r="AZ260" s="4">
        <f>tbl_Data_old[[#This Row],[Lost Revenue ($/unit)]]/tbl_Data_old[[#This Row],[kWh Savings]]*tbl_Data_old[[#This Row],[Sum of Annuals]]</f>
        <v>1943016.731943592</v>
      </c>
      <c r="BA260" s="4">
        <f>tbl_Data_old[[#This Row],[Incremental Cost ($/unit)]]/tbl_Data_old[[#This Row],[kWh Savings]]*tbl_Data_old[[#This Row],[Sum of Annuals]]</f>
        <v>652123.83920863166</v>
      </c>
      <c r="BB260">
        <f>ROUNDUP(tbl_Data_old[[#This Row],[Adjusted 2025]]/$L260,0)</f>
        <v>4</v>
      </c>
      <c r="BC260">
        <f>ROUNDUP(tbl_Data_old[[#This Row],[Adjusted 2026]]/$L260,0)</f>
        <v>9</v>
      </c>
      <c r="BD260">
        <f>ROUNDUP(tbl_Data_old[[#This Row],[Adjusted 2027]]/$L260,0)</f>
        <v>14</v>
      </c>
      <c r="BE260">
        <f>ROUNDUP(tbl_Data_old[[#This Row],[Adjusted 2028]]/$L260,0)</f>
        <v>19</v>
      </c>
      <c r="BF260">
        <f>ROUNDUP(tbl_Data_old[[#This Row],[Adjusted 2029]]/$L260,0)</f>
        <v>24</v>
      </c>
      <c r="BG260">
        <f>ROUNDUP(tbl_Data_old[[#This Row],[Adjusted 2030]]/$L260,0)</f>
        <v>29</v>
      </c>
      <c r="BH260">
        <f>ROUNDUP(tbl_Data_old[[#This Row],[Adjusted 2031]]/$L260,0)</f>
        <v>35</v>
      </c>
      <c r="BI260">
        <f>ROUNDUP(tbl_Data_old[[#This Row],[Adjusted 2032]]/$L260,0)</f>
        <v>41</v>
      </c>
      <c r="BJ260">
        <f>ROUNDUP(tbl_Data_old[[#This Row],[Adjusted 2033]]/$L260,0)</f>
        <v>47</v>
      </c>
      <c r="BK260">
        <f>ROUNDUP(tbl_Data_old[[#This Row],[Adjusted 2034]]/$L260,0)</f>
        <v>52</v>
      </c>
      <c r="BL260" s="3">
        <f t="shared" si="17"/>
        <v>2410.878241691215</v>
      </c>
      <c r="BM260" s="3">
        <f t="shared" si="17"/>
        <v>5062.054077133319</v>
      </c>
      <c r="BN260" s="3">
        <f t="shared" si="17"/>
        <v>7909.5691717576719</v>
      </c>
      <c r="BO260" s="3">
        <f t="shared" si="17"/>
        <v>10927.909981798519</v>
      </c>
      <c r="BP260" s="3">
        <f t="shared" si="17"/>
        <v>14092.422742778303</v>
      </c>
      <c r="BQ260" s="3">
        <f t="shared" si="17"/>
        <v>17377.282421464799</v>
      </c>
      <c r="BR260" s="3">
        <f t="shared" si="17"/>
        <v>20761.146026592975</v>
      </c>
      <c r="BS260" s="3">
        <f t="shared" si="17"/>
        <v>24232.134435882839</v>
      </c>
      <c r="BT260" s="3">
        <f t="shared" si="17"/>
        <v>27781.176093896927</v>
      </c>
      <c r="BU260" s="3">
        <f t="shared" si="17"/>
        <v>31397.232328037164</v>
      </c>
      <c r="BV260">
        <f>VLOOKUP($H260,'1. Set Program Names'!$B$2:$D$15,3,0)*V260</f>
        <v>1145.0297599673677</v>
      </c>
      <c r="BW260">
        <f>VLOOKUP($H260,'1. Set Program Names'!$B$2:$D$15,3,0)*W260</f>
        <v>2404.1871815209561</v>
      </c>
      <c r="BX260">
        <f>VLOOKUP($H260,'1. Set Program Names'!$B$2:$D$15,3,0)*X260</f>
        <v>3756.5945610881495</v>
      </c>
      <c r="BY260">
        <f>VLOOKUP($H260,'1. Set Program Names'!$B$2:$D$15,3,0)*Y260</f>
        <v>5190.1344194911017</v>
      </c>
      <c r="BZ260">
        <f>VLOOKUP($H260,'1. Set Program Names'!$B$2:$D$15,3,0)*Z260</f>
        <v>6693.0976237118666</v>
      </c>
      <c r="CA260">
        <f>VLOOKUP($H260,'1. Set Program Names'!$B$2:$D$15,3,0)*AA260</f>
        <v>8253.2187548289585</v>
      </c>
      <c r="CB260">
        <f>VLOOKUP($H260,'1. Set Program Names'!$B$2:$D$15,3,0)*AB260</f>
        <v>9860.3611084072145</v>
      </c>
      <c r="CC260">
        <f>VLOOKUP($H260,'1. Set Program Names'!$B$2:$D$15,3,0)*AC260</f>
        <v>11508.882778398598</v>
      </c>
      <c r="CD260">
        <f>VLOOKUP($H260,'1. Set Program Names'!$B$2:$D$15,3,0)*AD260</f>
        <v>13194.475292991685</v>
      </c>
      <c r="CE260">
        <f>VLOOKUP($H260,'1. Set Program Names'!$B$2:$D$15,3,0)*AE260</f>
        <v>14911.895911837029</v>
      </c>
    </row>
    <row r="261" spans="1:83" x14ac:dyDescent="0.25">
      <c r="A261" s="20" t="s">
        <v>113</v>
      </c>
      <c r="B261" s="20" t="s">
        <v>88</v>
      </c>
      <c r="C261" s="20" t="s">
        <v>122</v>
      </c>
      <c r="D261" s="20" t="s">
        <v>90</v>
      </c>
      <c r="E261" s="20" t="s">
        <v>91</v>
      </c>
      <c r="F261" s="20" t="s">
        <v>90</v>
      </c>
      <c r="G261" s="20" t="s">
        <v>92</v>
      </c>
      <c r="H261" s="20" t="s">
        <v>14</v>
      </c>
      <c r="I261" s="20" t="s">
        <v>157</v>
      </c>
      <c r="J261" s="20" t="s">
        <v>158</v>
      </c>
      <c r="K261" s="20" t="s">
        <v>159</v>
      </c>
      <c r="L261" s="20">
        <v>562.52</v>
      </c>
      <c r="M261" s="20">
        <v>0</v>
      </c>
      <c r="N261" s="20">
        <v>2.7796637938074201E-2</v>
      </c>
      <c r="O261" s="20">
        <v>169</v>
      </c>
      <c r="P261" s="20">
        <v>53.285725702774101</v>
      </c>
      <c r="Q261" s="20">
        <v>20.025540405413601</v>
      </c>
      <c r="R261" s="20">
        <v>275.373630058213</v>
      </c>
      <c r="S261" s="20">
        <v>610.96426176974103</v>
      </c>
      <c r="T261" s="20">
        <v>15</v>
      </c>
      <c r="U261" s="20">
        <v>0.2</v>
      </c>
      <c r="V261" s="20">
        <v>75.2721609243507</v>
      </c>
      <c r="W261" s="20">
        <v>157.25932409465699</v>
      </c>
      <c r="X261" s="20">
        <v>244.549115842676</v>
      </c>
      <c r="Y261" s="20">
        <v>336.27896460396698</v>
      </c>
      <c r="Z261" s="20">
        <v>431.60629232356001</v>
      </c>
      <c r="AA261" s="20">
        <v>529.69758785942599</v>
      </c>
      <c r="AB261" s="20">
        <v>629.84433624748397</v>
      </c>
      <c r="AC261" s="20">
        <v>731.63759047099404</v>
      </c>
      <c r="AD261" s="20">
        <v>834.79582601637799</v>
      </c>
      <c r="AE261" s="20">
        <v>938.95246952606499</v>
      </c>
      <c r="AF261" t="str">
        <f t="shared" si="18"/>
        <v>NonResidential</v>
      </c>
      <c r="AG261" t="str">
        <f>tbl_Data_old[[#This Row],[All_Meas_Name_Append]]</f>
        <v>LED Exterior Wall Packs</v>
      </c>
      <c r="AH261">
        <f>AVERAGEIFS('3. Incentive Adjustment'!G:G,'3. Incentive Adjustment'!A:A,tbl_Data_old[[#This Row],[Trimmed Sector]],'3. Incentive Adjustment'!B:B,tbl_Data_old[[#This Row],[Trimmed Measure Name]])</f>
        <v>0.80637708305213962</v>
      </c>
      <c r="AI261">
        <f>$AH261*tbl_Data_old[[#This Row],[2025 ]]</f>
        <v>60.69774556120916</v>
      </c>
      <c r="AJ261">
        <f>$AH261*tbl_Data_old[[#This Row],[2026 ]]</f>
        <v>126.81031504620056</v>
      </c>
      <c r="AK261">
        <f>$AH261*tbl_Data_old[[#This Row],[2027 ]]</f>
        <v>197.19880269619685</v>
      </c>
      <c r="AL261">
        <f>$AH261*tbl_Data_old[[#This Row],[2028 ]]</f>
        <v>271.16765056914062</v>
      </c>
      <c r="AM261">
        <f>$AH261*tbl_Data_old[[#This Row],[2029 ]]</f>
        <v>348.0374230308214</v>
      </c>
      <c r="AN261">
        <f>$AH261*tbl_Data_old[[#This Row],[2030 ]]</f>
        <v>427.1359957978384</v>
      </c>
      <c r="AO261">
        <f>$AH261*tbl_Data_old[[#This Row],[2031 ]]</f>
        <v>507.89203864015712</v>
      </c>
      <c r="AP261">
        <f>$AH261*tbl_Data_old[[#This Row],[2032 ]]</f>
        <v>589.97578605529611</v>
      </c>
      <c r="AQ261">
        <f>$AH261*tbl_Data_old[[#This Row],[2033 ]]</f>
        <v>673.16022312718837</v>
      </c>
      <c r="AR261">
        <f>$AH261*tbl_Data_old[[#This Row],[2034 ]]</f>
        <v>757.14975350103134</v>
      </c>
      <c r="AS261">
        <f>SUM(tbl_Data_old[[#This Row],[Adjusted 2025]:[Adjusted 2034]])</f>
        <v>3959.2257340250799</v>
      </c>
      <c r="AT261" s="3">
        <f>AVERAGEIFS('3. Incentive Adjustment'!F:F,'3. Incentive Adjustment'!A:A,tbl_Data_old[[#This Row],[Trimmed Sector]],'3. Incentive Adjustment'!B:B,tbl_Data_old[[#This Row],[Trimmed Measure Name]])</f>
        <v>8.6864493556481861</v>
      </c>
      <c r="AU261" s="3">
        <f>IFERROR(VLOOKUP(tbl_Data_old[[#This Row],[All_Meas_Name_Append]],'IRA Tax Credits'!$A$3:$D$46,4,0),0)</f>
        <v>0</v>
      </c>
      <c r="AV261" s="4">
        <f>tbl_Data_old[[#This Row],[Adj. per unit Incentive ($)]]/tbl_Data_old[[#This Row],[kWh Savings]]*tbl_Data_old[[#This Row],[Sum of Annuals]]</f>
        <v>61.138472989738801</v>
      </c>
      <c r="AW261" s="4">
        <f>IFERROR(VLOOKUP(tbl_Data_old[[#This Row],[All_Programs]],'1. Set Program Names'!$B$2:$D$15,3,0)*tbl_Data_old[[#This Row],[Sum of Annuals]],"")</f>
        <v>140.9472283845426</v>
      </c>
      <c r="AX261" s="4">
        <f>tbl_Data_old[[#This Row],[per unit IRA tax ($)]]/tbl_Data_old[[#This Row],[kWh Savings]]*tbl_Data_old[[#This Row],[Sum of Annuals]]</f>
        <v>0</v>
      </c>
      <c r="AY261" s="4">
        <f>tbl_Data_old[[#This Row],[Avoided Costs ($/unit)]]/tbl_Data_old[[#This Row],[kWh Savings]]*tbl_Data_old[[#This Row],[Sum of Annuals]]</f>
        <v>1938.1823981340738</v>
      </c>
      <c r="AZ261" s="4">
        <f>tbl_Data_old[[#This Row],[Lost Revenue ($/unit)]]/tbl_Data_old[[#This Row],[kWh Savings]]*tbl_Data_old[[#This Row],[Sum of Annuals]]</f>
        <v>4300.194531338253</v>
      </c>
      <c r="BA261" s="4">
        <f>tbl_Data_old[[#This Row],[Incremental Cost ($/unit)]]/tbl_Data_old[[#This Row],[kWh Savings]]*tbl_Data_old[[#This Row],[Sum of Annuals]]</f>
        <v>1189.4850832863515</v>
      </c>
      <c r="BB261">
        <f>ROUNDUP(tbl_Data_old[[#This Row],[Adjusted 2025]]/$L261,0)</f>
        <v>1</v>
      </c>
      <c r="BC261">
        <f>ROUNDUP(tbl_Data_old[[#This Row],[Adjusted 2026]]/$L261,0)</f>
        <v>1</v>
      </c>
      <c r="BD261">
        <f>ROUNDUP(tbl_Data_old[[#This Row],[Adjusted 2027]]/$L261,0)</f>
        <v>1</v>
      </c>
      <c r="BE261">
        <f>ROUNDUP(tbl_Data_old[[#This Row],[Adjusted 2028]]/$L261,0)</f>
        <v>1</v>
      </c>
      <c r="BF261">
        <f>ROUNDUP(tbl_Data_old[[#This Row],[Adjusted 2029]]/$L261,0)</f>
        <v>1</v>
      </c>
      <c r="BG261">
        <f>ROUNDUP(tbl_Data_old[[#This Row],[Adjusted 2030]]/$L261,0)</f>
        <v>1</v>
      </c>
      <c r="BH261">
        <f>ROUNDUP(tbl_Data_old[[#This Row],[Adjusted 2031]]/$L261,0)</f>
        <v>1</v>
      </c>
      <c r="BI261">
        <f>ROUNDUP(tbl_Data_old[[#This Row],[Adjusted 2032]]/$L261,0)</f>
        <v>2</v>
      </c>
      <c r="BJ261">
        <f>ROUNDUP(tbl_Data_old[[#This Row],[Adjusted 2033]]/$L261,0)</f>
        <v>2</v>
      </c>
      <c r="BK261">
        <f>ROUNDUP(tbl_Data_old[[#This Row],[Adjusted 2034]]/$L261,0)</f>
        <v>2</v>
      </c>
      <c r="BL261" s="3">
        <f t="shared" si="17"/>
        <v>1.1623547851802116</v>
      </c>
      <c r="BM261" s="3">
        <f t="shared" si="17"/>
        <v>2.4284028202583063</v>
      </c>
      <c r="BN261" s="3">
        <f t="shared" si="17"/>
        <v>3.7763341920926305</v>
      </c>
      <c r="BO261" s="3">
        <f t="shared" si="17"/>
        <v>5.1928290467933014</v>
      </c>
      <c r="BP261" s="3">
        <f t="shared" si="17"/>
        <v>6.6648762707951548</v>
      </c>
      <c r="BQ261" s="3">
        <f t="shared" si="17"/>
        <v>8.1796047620527439</v>
      </c>
      <c r="BR261" s="3">
        <f t="shared" si="17"/>
        <v>9.7260736129481913</v>
      </c>
      <c r="BS261" s="3">
        <f t="shared" si="17"/>
        <v>11.297967852369263</v>
      </c>
      <c r="BT261" s="3">
        <f t="shared" si="17"/>
        <v>12.890940171012163</v>
      </c>
      <c r="BU261" s="3">
        <f t="shared" si="17"/>
        <v>14.499329932978313</v>
      </c>
      <c r="BV261">
        <f>VLOOKUP($H261,'1. Set Program Names'!$B$2:$D$15,3,0)*V261</f>
        <v>2.6796659674205117</v>
      </c>
      <c r="BW261">
        <f>VLOOKUP($H261,'1. Set Program Names'!$B$2:$D$15,3,0)*W261</f>
        <v>5.5983839664111494</v>
      </c>
      <c r="BX261">
        <f>VLOOKUP($H261,'1. Set Program Names'!$B$2:$D$15,3,0)*X261</f>
        <v>8.7058739252216828</v>
      </c>
      <c r="BY261">
        <f>VLOOKUP($H261,'1. Set Program Names'!$B$2:$D$15,3,0)*Y261</f>
        <v>11.971428559282193</v>
      </c>
      <c r="BZ261">
        <f>VLOOKUP($H261,'1. Set Program Names'!$B$2:$D$15,3,0)*Z261</f>
        <v>15.365052346860987</v>
      </c>
      <c r="CA261">
        <f>VLOOKUP($H261,'1. Set Program Names'!$B$2:$D$15,3,0)*AA261</f>
        <v>18.857072545561227</v>
      </c>
      <c r="CB261">
        <f>VLOOKUP($H261,'1. Set Program Names'!$B$2:$D$15,3,0)*AB261</f>
        <v>22.42226623879143</v>
      </c>
      <c r="CC261">
        <f>VLOOKUP($H261,'1. Set Program Names'!$B$2:$D$15,3,0)*AC261</f>
        <v>26.046075037503382</v>
      </c>
      <c r="CD261">
        <f>VLOOKUP($H261,'1. Set Program Names'!$B$2:$D$15,3,0)*AD261</f>
        <v>29.718476754891686</v>
      </c>
      <c r="CE261">
        <f>VLOOKUP($H261,'1. Set Program Names'!$B$2:$D$15,3,0)*AE261</f>
        <v>33.426421491248625</v>
      </c>
    </row>
    <row r="262" spans="1:83" x14ac:dyDescent="0.25">
      <c r="A262" s="20" t="s">
        <v>113</v>
      </c>
      <c r="B262" s="20" t="s">
        <v>88</v>
      </c>
      <c r="C262" s="20" t="s">
        <v>122</v>
      </c>
      <c r="D262" s="20" t="s">
        <v>90</v>
      </c>
      <c r="E262" s="20" t="s">
        <v>91</v>
      </c>
      <c r="F262" s="20" t="s">
        <v>90</v>
      </c>
      <c r="G262" s="20" t="s">
        <v>92</v>
      </c>
      <c r="H262" s="20" t="s">
        <v>14</v>
      </c>
      <c r="I262" s="20" t="s">
        <v>160</v>
      </c>
      <c r="J262" s="20" t="s">
        <v>161</v>
      </c>
      <c r="K262" s="20" t="s">
        <v>159</v>
      </c>
      <c r="L262" s="20">
        <v>698.53499999999997</v>
      </c>
      <c r="M262" s="20">
        <v>9.14911955902553E-2</v>
      </c>
      <c r="N262" s="20">
        <v>9.6647765821509996E-2</v>
      </c>
      <c r="O262" s="20">
        <v>179</v>
      </c>
      <c r="P262" s="20">
        <v>35.4245718525491</v>
      </c>
      <c r="Q262" s="20">
        <v>24.867632914555301</v>
      </c>
      <c r="R262" s="20">
        <v>291.28765455670799</v>
      </c>
      <c r="S262" s="20">
        <v>758.69288308917999</v>
      </c>
      <c r="T262" s="20">
        <v>15</v>
      </c>
      <c r="U262" s="20">
        <v>0.2</v>
      </c>
      <c r="V262" s="20">
        <v>3339.9554904589199</v>
      </c>
      <c r="W262" s="20">
        <v>6975.3415961151304</v>
      </c>
      <c r="X262" s="20">
        <v>10845.1288358275</v>
      </c>
      <c r="Y262" s="20">
        <v>14911.306344502</v>
      </c>
      <c r="Z262" s="20">
        <v>19136.038849228898</v>
      </c>
      <c r="AA262" s="20">
        <v>23482.654921712001</v>
      </c>
      <c r="AB262" s="20">
        <v>27919.2744848359</v>
      </c>
      <c r="AC262" s="20">
        <v>32427.454196175499</v>
      </c>
      <c r="AD262" s="20">
        <v>36995.390174314598</v>
      </c>
      <c r="AE262" s="20">
        <v>41606.490189492899</v>
      </c>
      <c r="AF262" t="str">
        <f t="shared" si="18"/>
        <v>NonResidential</v>
      </c>
      <c r="AG262" t="str">
        <f>tbl_Data_old[[#This Row],[All_Meas_Name_Append]]</f>
        <v>LED High Bay_HID Baseline</v>
      </c>
      <c r="AH262">
        <f>AVERAGEIFS('3. Incentive Adjustment'!G:G,'3. Incentive Adjustment'!A:A,tbl_Data_old[[#This Row],[Trimmed Sector]],'3. Incentive Adjustment'!B:B,tbl_Data_old[[#This Row],[Trimmed Measure Name]])</f>
        <v>1.0603846876879557</v>
      </c>
      <c r="AI262">
        <f>$AH262*tbl_Data_old[[#This Row],[2025 ]]</f>
        <v>3541.6376596419545</v>
      </c>
      <c r="AJ262">
        <f>$AH262*tbl_Data_old[[#This Row],[2026 ]]</f>
        <v>7396.5454199133492</v>
      </c>
      <c r="AK262">
        <f>$AH262*tbl_Data_old[[#This Row],[2027 ]]</f>
        <v>11500.008553514586</v>
      </c>
      <c r="AL262">
        <f>$AH262*tbl_Data_old[[#This Row],[2028 ]]</f>
        <v>15811.720921134185</v>
      </c>
      <c r="AM262">
        <f>$AH262*tbl_Data_old[[#This Row],[2029 ]]</f>
        <v>20291.562578724173</v>
      </c>
      <c r="AN262">
        <f>$AH262*tbl_Data_old[[#This Row],[2030 ]]</f>
        <v>24900.647705243617</v>
      </c>
      <c r="AO262">
        <f>$AH262*tbl_Data_old[[#This Row],[2031 ]]</f>
        <v>29605.171155077027</v>
      </c>
      <c r="AP262">
        <f>$AH262*tbl_Data_old[[#This Row],[2032 ]]</f>
        <v>34385.575890327047</v>
      </c>
      <c r="AQ262">
        <f>$AH262*tbl_Data_old[[#This Row],[2033 ]]</f>
        <v>39229.345255884647</v>
      </c>
      <c r="AR262">
        <f>$AH262*tbl_Data_old[[#This Row],[2034 ]]</f>
        <v>44118.88510537742</v>
      </c>
      <c r="AS262">
        <f>SUM(tbl_Data_old[[#This Row],[Adjusted 2025]:[Adjusted 2034]])</f>
        <v>230781.10024483799</v>
      </c>
      <c r="AT262" s="3">
        <f>AVERAGEIFS('3. Incentive Adjustment'!F:F,'3. Incentive Adjustment'!A:A,tbl_Data_old[[#This Row],[Trimmed Sector]],'3. Incentive Adjustment'!B:B,tbl_Data_old[[#This Row],[Trimmed Measure Name]])</f>
        <v>28.590998621954778</v>
      </c>
      <c r="AU262" s="3">
        <f>IFERROR(VLOOKUP(tbl_Data_old[[#This Row],[All_Meas_Name_Append]],'IRA Tax Credits'!$A$3:$D$46,4,0),0)</f>
        <v>0</v>
      </c>
      <c r="AV262" s="4">
        <f>tbl_Data_old[[#This Row],[Adj. per unit Incentive ($)]]/tbl_Data_old[[#This Row],[kWh Savings]]*tbl_Data_old[[#This Row],[Sum of Annuals]]</f>
        <v>9445.8575720234076</v>
      </c>
      <c r="AW262" s="4">
        <f>IFERROR(VLOOKUP(tbl_Data_old[[#This Row],[All_Programs]],'1. Set Program Names'!$B$2:$D$15,3,0)*tbl_Data_old[[#This Row],[Sum of Annuals]],"")</f>
        <v>8215.7367698194375</v>
      </c>
      <c r="AX262" s="4">
        <f>tbl_Data_old[[#This Row],[per unit IRA tax ($)]]/tbl_Data_old[[#This Row],[kWh Savings]]*tbl_Data_old[[#This Row],[Sum of Annuals]]</f>
        <v>0</v>
      </c>
      <c r="AY262" s="4">
        <f>tbl_Data_old[[#This Row],[Avoided Costs ($/unit)]]/tbl_Data_old[[#This Row],[kWh Savings]]*tbl_Data_old[[#This Row],[Sum of Annuals]]</f>
        <v>96235.2429102842</v>
      </c>
      <c r="AZ262" s="4">
        <f>tbl_Data_old[[#This Row],[Lost Revenue ($/unit)]]/tbl_Data_old[[#This Row],[kWh Savings]]*tbl_Data_old[[#This Row],[Sum of Annuals]]</f>
        <v>250655.98474986825</v>
      </c>
      <c r="BA262" s="4">
        <f>tbl_Data_old[[#This Row],[Incremental Cost ($/unit)]]/tbl_Data_old[[#This Row],[kWh Savings]]*tbl_Data_old[[#This Row],[Sum of Annuals]]</f>
        <v>59137.791154095365</v>
      </c>
      <c r="BB262">
        <f>ROUNDUP(tbl_Data_old[[#This Row],[Adjusted 2025]]/$L262,0)</f>
        <v>6</v>
      </c>
      <c r="BC262">
        <f>ROUNDUP(tbl_Data_old[[#This Row],[Adjusted 2026]]/$L262,0)</f>
        <v>11</v>
      </c>
      <c r="BD262">
        <f>ROUNDUP(tbl_Data_old[[#This Row],[Adjusted 2027]]/$L262,0)</f>
        <v>17</v>
      </c>
      <c r="BE262">
        <f>ROUNDUP(tbl_Data_old[[#This Row],[Adjusted 2028]]/$L262,0)</f>
        <v>23</v>
      </c>
      <c r="BF262">
        <f>ROUNDUP(tbl_Data_old[[#This Row],[Adjusted 2029]]/$L262,0)</f>
        <v>30</v>
      </c>
      <c r="BG262">
        <f>ROUNDUP(tbl_Data_old[[#This Row],[Adjusted 2030]]/$L262,0)</f>
        <v>36</v>
      </c>
      <c r="BH262">
        <f>ROUNDUP(tbl_Data_old[[#This Row],[Adjusted 2031]]/$L262,0)</f>
        <v>43</v>
      </c>
      <c r="BI262">
        <f>ROUNDUP(tbl_Data_old[[#This Row],[Adjusted 2032]]/$L262,0)</f>
        <v>50</v>
      </c>
      <c r="BJ262">
        <f>ROUNDUP(tbl_Data_old[[#This Row],[Adjusted 2033]]/$L262,0)</f>
        <v>57</v>
      </c>
      <c r="BK262">
        <f>ROUNDUP(tbl_Data_old[[#This Row],[Adjusted 2034]]/$L262,0)</f>
        <v>64</v>
      </c>
      <c r="BL262" s="3">
        <f t="shared" si="17"/>
        <v>136.70419209502927</v>
      </c>
      <c r="BM262" s="3">
        <f t="shared" si="17"/>
        <v>285.50034280628967</v>
      </c>
      <c r="BN262" s="3">
        <f t="shared" si="17"/>
        <v>443.89051887173309</v>
      </c>
      <c r="BO262" s="3">
        <f t="shared" si="17"/>
        <v>610.31893770133524</v>
      </c>
      <c r="BP262" s="3">
        <f t="shared" si="17"/>
        <v>783.23700368338962</v>
      </c>
      <c r="BQ262" s="3">
        <f t="shared" si="17"/>
        <v>961.14375730136271</v>
      </c>
      <c r="BR262" s="3">
        <f t="shared" si="17"/>
        <v>1142.7343487755379</v>
      </c>
      <c r="BS262" s="3">
        <f t="shared" si="17"/>
        <v>1327.2538931282691</v>
      </c>
      <c r="BT262" s="3">
        <f t="shared" si="17"/>
        <v>1514.2192581509989</v>
      </c>
      <c r="BU262" s="3">
        <f t="shared" si="17"/>
        <v>1702.9513248042924</v>
      </c>
      <c r="BV262">
        <f>VLOOKUP($H262,'1. Set Program Names'!$B$2:$D$15,3,0)*V262</f>
        <v>118.90139661961955</v>
      </c>
      <c r="BW262">
        <f>VLOOKUP($H262,'1. Set Program Names'!$B$2:$D$15,3,0)*W262</f>
        <v>248.32003302027721</v>
      </c>
      <c r="BX262">
        <f>VLOOKUP($H262,'1. Set Program Names'!$B$2:$D$15,3,0)*X262</f>
        <v>386.0832782901598</v>
      </c>
      <c r="BY262">
        <f>VLOOKUP($H262,'1. Set Program Names'!$B$2:$D$15,3,0)*Y262</f>
        <v>530.83795722698972</v>
      </c>
      <c r="BZ262">
        <f>VLOOKUP($H262,'1. Set Program Names'!$B$2:$D$15,3,0)*Z262</f>
        <v>681.23714565668661</v>
      </c>
      <c r="CA262">
        <f>VLOOKUP($H262,'1. Set Program Names'!$B$2:$D$15,3,0)*AA262</f>
        <v>835.97535191838563</v>
      </c>
      <c r="CB262">
        <f>VLOOKUP($H262,'1. Set Program Names'!$B$2:$D$15,3,0)*AB262</f>
        <v>993.91765499167445</v>
      </c>
      <c r="CC262">
        <f>VLOOKUP($H262,'1. Set Program Names'!$B$2:$D$15,3,0)*AC262</f>
        <v>1154.4074775122913</v>
      </c>
      <c r="CD262">
        <f>VLOOKUP($H262,'1. Set Program Names'!$B$2:$D$15,3,0)*AD262</f>
        <v>1317.0246049025484</v>
      </c>
      <c r="CE262">
        <f>VLOOKUP($H262,'1. Set Program Names'!$B$2:$D$15,3,0)*AE262</f>
        <v>1481.1783588443757</v>
      </c>
    </row>
    <row r="263" spans="1:83" x14ac:dyDescent="0.25">
      <c r="A263" s="20" t="s">
        <v>113</v>
      </c>
      <c r="B263" s="20" t="s">
        <v>88</v>
      </c>
      <c r="C263" s="20" t="s">
        <v>122</v>
      </c>
      <c r="D263" s="20" t="s">
        <v>90</v>
      </c>
      <c r="E263" s="20" t="s">
        <v>91</v>
      </c>
      <c r="F263" s="20" t="s">
        <v>90</v>
      </c>
      <c r="G263" s="20" t="s">
        <v>92</v>
      </c>
      <c r="H263" s="20" t="s">
        <v>14</v>
      </c>
      <c r="I263" s="20" t="s">
        <v>162</v>
      </c>
      <c r="J263" s="20" t="s">
        <v>161</v>
      </c>
      <c r="K263" s="20" t="s">
        <v>159</v>
      </c>
      <c r="L263" s="20">
        <v>638.46285714285602</v>
      </c>
      <c r="M263" s="20">
        <v>7.6348348575361394E-2</v>
      </c>
      <c r="N263" s="20">
        <v>7.27444471789533E-2</v>
      </c>
      <c r="O263" s="20">
        <v>179</v>
      </c>
      <c r="P263" s="20">
        <v>51.129983050636802</v>
      </c>
      <c r="Q263" s="20">
        <v>22.729082953619599</v>
      </c>
      <c r="R263" s="20">
        <v>256.15438258671003</v>
      </c>
      <c r="S263" s="20">
        <v>693.44732308484095</v>
      </c>
      <c r="T263" s="20">
        <v>15</v>
      </c>
      <c r="U263" s="20">
        <v>0.2</v>
      </c>
      <c r="V263" s="20">
        <v>9757.2757727623994</v>
      </c>
      <c r="W263" s="20">
        <v>20377.616335588998</v>
      </c>
      <c r="X263" s="20">
        <v>31682.731444953199</v>
      </c>
      <c r="Y263" s="20">
        <v>43561.576958457197</v>
      </c>
      <c r="Z263" s="20">
        <v>55903.621705020603</v>
      </c>
      <c r="AA263" s="20">
        <v>68601.734544755294</v>
      </c>
      <c r="AB263" s="20">
        <v>81562.781690411794</v>
      </c>
      <c r="AC263" s="20">
        <v>94732.883149059795</v>
      </c>
      <c r="AD263" s="20">
        <v>108077.555309616</v>
      </c>
      <c r="AE263" s="20">
        <v>121548.325980785</v>
      </c>
      <c r="AF263" t="str">
        <f t="shared" si="18"/>
        <v>NonResidential</v>
      </c>
      <c r="AG263" t="str">
        <f>tbl_Data_old[[#This Row],[All_Meas_Name_Append]]</f>
        <v>LED High Bay_LF Baseline</v>
      </c>
      <c r="AH263">
        <f>AVERAGEIFS('3. Incentive Adjustment'!G:G,'3. Incentive Adjustment'!A:A,tbl_Data_old[[#This Row],[Trimmed Sector]],'3. Incentive Adjustment'!B:B,tbl_Data_old[[#This Row],[Trimmed Measure Name]])</f>
        <v>0.93017466414143679</v>
      </c>
      <c r="AI263">
        <f>$AH263*tbl_Data_old[[#This Row],[2025 ]]</f>
        <v>9075.970714864643</v>
      </c>
      <c r="AJ263">
        <f>$AH263*tbl_Data_old[[#This Row],[2026 ]]</f>
        <v>18954.742430959552</v>
      </c>
      <c r="AK263">
        <f>$AH263*tbl_Data_old[[#This Row],[2027 ]]</f>
        <v>29470.47408089268</v>
      </c>
      <c r="AL263">
        <f>$AH263*tbl_Data_old[[#This Row],[2028 ]]</f>
        <v>40519.875216804277</v>
      </c>
      <c r="AM263">
        <f>$AH263*tbl_Data_old[[#This Row],[2029 ]]</f>
        <v>52000.132543757478</v>
      </c>
      <c r="AN263">
        <f>$AH263*tbl_Data_old[[#This Row],[2030 ]]</f>
        <v>63811.595389687755</v>
      </c>
      <c r="AO263">
        <f>$AH263*tbl_Data_old[[#This Row],[2031 ]]</f>
        <v>75867.633065320115</v>
      </c>
      <c r="AP263">
        <f>$AH263*tbl_Data_old[[#This Row],[2032 ]]</f>
        <v>88118.127766326666</v>
      </c>
      <c r="AQ263">
        <f>$AH263*tbl_Data_old[[#This Row],[2033 ]]</f>
        <v>100531.00371134962</v>
      </c>
      <c r="AR263">
        <f>$AH263*tbl_Data_old[[#This Row],[2034 ]]</f>
        <v>113061.17329613055</v>
      </c>
      <c r="AS263">
        <f>SUM(tbl_Data_old[[#This Row],[Adjusted 2025]:[Adjusted 2034]])</f>
        <v>591410.72821609327</v>
      </c>
      <c r="AT263" s="3">
        <f>AVERAGEIFS('3. Incentive Adjustment'!F:F,'3. Incentive Adjustment'!A:A,tbl_Data_old[[#This Row],[Trimmed Sector]],'3. Incentive Adjustment'!B:B,tbl_Data_old[[#This Row],[Trimmed Measure Name]])</f>
        <v>23.858858929800434</v>
      </c>
      <c r="AU263" s="3">
        <f>IFERROR(VLOOKUP(tbl_Data_old[[#This Row],[All_Meas_Name_Append]],'IRA Tax Credits'!$A$3:$D$46,4,0),0)</f>
        <v>0</v>
      </c>
      <c r="AV263" s="4">
        <f>tbl_Data_old[[#This Row],[Adj. per unit Incentive ($)]]/tbl_Data_old[[#This Row],[kWh Savings]]*tbl_Data_old[[#This Row],[Sum of Annuals]]</f>
        <v>22100.557575459894</v>
      </c>
      <c r="AW263" s="4">
        <f>IFERROR(VLOOKUP(tbl_Data_old[[#This Row],[All_Programs]],'1. Set Program Names'!$B$2:$D$15,3,0)*tbl_Data_old[[#This Row],[Sum of Annuals]],"")</f>
        <v>21054.041516899859</v>
      </c>
      <c r="AX263" s="4">
        <f>tbl_Data_old[[#This Row],[per unit IRA tax ($)]]/tbl_Data_old[[#This Row],[kWh Savings]]*tbl_Data_old[[#This Row],[Sum of Annuals]]</f>
        <v>0</v>
      </c>
      <c r="AY263" s="4">
        <f>tbl_Data_old[[#This Row],[Avoided Costs ($/unit)]]/tbl_Data_old[[#This Row],[kWh Savings]]*tbl_Data_old[[#This Row],[Sum of Annuals]]</f>
        <v>237276.8411607905</v>
      </c>
      <c r="AZ263" s="4">
        <f>tbl_Data_old[[#This Row],[Lost Revenue ($/unit)]]/tbl_Data_old[[#This Row],[kWh Savings]]*tbl_Data_old[[#This Row],[Sum of Annuals]]</f>
        <v>642343.06152181327</v>
      </c>
      <c r="BA263" s="4">
        <f>tbl_Data_old[[#This Row],[Incremental Cost ($/unit)]]/tbl_Data_old[[#This Row],[kWh Savings]]*tbl_Data_old[[#This Row],[Sum of Annuals]]</f>
        <v>165808.42435285778</v>
      </c>
      <c r="BB263">
        <f>ROUNDUP(tbl_Data_old[[#This Row],[Adjusted 2025]]/$L263,0)</f>
        <v>15</v>
      </c>
      <c r="BC263">
        <f>ROUNDUP(tbl_Data_old[[#This Row],[Adjusted 2026]]/$L263,0)</f>
        <v>30</v>
      </c>
      <c r="BD263">
        <f>ROUNDUP(tbl_Data_old[[#This Row],[Adjusted 2027]]/$L263,0)</f>
        <v>47</v>
      </c>
      <c r="BE263">
        <f>ROUNDUP(tbl_Data_old[[#This Row],[Adjusted 2028]]/$L263,0)</f>
        <v>64</v>
      </c>
      <c r="BF263">
        <f>ROUNDUP(tbl_Data_old[[#This Row],[Adjusted 2029]]/$L263,0)</f>
        <v>82</v>
      </c>
      <c r="BG263">
        <f>ROUNDUP(tbl_Data_old[[#This Row],[Adjusted 2030]]/$L263,0)</f>
        <v>100</v>
      </c>
      <c r="BH263">
        <f>ROUNDUP(tbl_Data_old[[#This Row],[Adjusted 2031]]/$L263,0)</f>
        <v>119</v>
      </c>
      <c r="BI263">
        <f>ROUNDUP(tbl_Data_old[[#This Row],[Adjusted 2032]]/$L263,0)</f>
        <v>139</v>
      </c>
      <c r="BJ263">
        <f>ROUNDUP(tbl_Data_old[[#This Row],[Adjusted 2033]]/$L263,0)</f>
        <v>158</v>
      </c>
      <c r="BK263">
        <f>ROUNDUP(tbl_Data_old[[#This Row],[Adjusted 2034]]/$L263,0)</f>
        <v>178</v>
      </c>
      <c r="BL263" s="3">
        <f t="shared" si="17"/>
        <v>364.62178433256798</v>
      </c>
      <c r="BM263" s="3">
        <f t="shared" si="17"/>
        <v>761.49562662441701</v>
      </c>
      <c r="BN263" s="3">
        <f t="shared" si="17"/>
        <v>1183.9589595526854</v>
      </c>
      <c r="BO263" s="3">
        <f t="shared" si="17"/>
        <v>1627.8621501374596</v>
      </c>
      <c r="BP263" s="3">
        <f t="shared" si="17"/>
        <v>2089.0747347368074</v>
      </c>
      <c r="BQ263" s="3">
        <f t="shared" si="17"/>
        <v>2563.5933062222116</v>
      </c>
      <c r="BR263" s="3">
        <f t="shared" si="17"/>
        <v>3047.9375276144347</v>
      </c>
      <c r="BS263" s="3">
        <f t="shared" si="17"/>
        <v>3540.093945607493</v>
      </c>
      <c r="BT263" s="3">
        <f t="shared" si="17"/>
        <v>4038.7739345546124</v>
      </c>
      <c r="BU263" s="3">
        <f t="shared" si="17"/>
        <v>4542.1661264784743</v>
      </c>
      <c r="BV263">
        <f>VLOOKUP($H263,'1. Set Program Names'!$B$2:$D$15,3,0)*V263</f>
        <v>347.3560410904812</v>
      </c>
      <c r="BW263">
        <f>VLOOKUP($H263,'1. Set Program Names'!$B$2:$D$15,3,0)*W263</f>
        <v>725.43692543261659</v>
      </c>
      <c r="BX263">
        <f>VLOOKUP($H263,'1. Set Program Names'!$B$2:$D$15,3,0)*X263</f>
        <v>1127.8955747436198</v>
      </c>
      <c r="BY263">
        <f>VLOOKUP($H263,'1. Set Program Names'!$B$2:$D$15,3,0)*Y263</f>
        <v>1550.7788514277224</v>
      </c>
      <c r="BZ263">
        <f>VLOOKUP($H263,'1. Set Program Names'!$B$2:$D$15,3,0)*Z263</f>
        <v>1990.151879511576</v>
      </c>
      <c r="CA263">
        <f>VLOOKUP($H263,'1. Set Program Names'!$B$2:$D$15,3,0)*AA263</f>
        <v>2442.2008230951096</v>
      </c>
      <c r="CB263">
        <f>VLOOKUP($H263,'1. Set Program Names'!$B$2:$D$15,3,0)*AB263</f>
        <v>2903.6101477623497</v>
      </c>
      <c r="CC263">
        <f>VLOOKUP($H263,'1. Set Program Names'!$B$2:$D$15,3,0)*AC263</f>
        <v>3372.4617422008646</v>
      </c>
      <c r="CD263">
        <f>VLOOKUP($H263,'1. Set Program Names'!$B$2:$D$15,3,0)*AD263</f>
        <v>3847.5280003751827</v>
      </c>
      <c r="CE263">
        <f>VLOOKUP($H263,'1. Set Program Names'!$B$2:$D$15,3,0)*AE263</f>
        <v>4327.0833270614448</v>
      </c>
    </row>
    <row r="264" spans="1:83" x14ac:dyDescent="0.25">
      <c r="A264" s="20" t="s">
        <v>113</v>
      </c>
      <c r="B264" s="20" t="s">
        <v>88</v>
      </c>
      <c r="C264" s="20" t="s">
        <v>122</v>
      </c>
      <c r="D264" s="20" t="s">
        <v>90</v>
      </c>
      <c r="E264" s="20" t="s">
        <v>91</v>
      </c>
      <c r="F264" s="20" t="s">
        <v>90</v>
      </c>
      <c r="G264" s="20" t="s">
        <v>92</v>
      </c>
      <c r="H264" s="20" t="s">
        <v>14</v>
      </c>
      <c r="I264" s="20" t="s">
        <v>163</v>
      </c>
      <c r="J264" s="20" t="s">
        <v>161</v>
      </c>
      <c r="K264" s="20" t="s">
        <v>159</v>
      </c>
      <c r="L264" s="20">
        <v>336.08</v>
      </c>
      <c r="M264" s="20">
        <v>5.3794325187228403E-2</v>
      </c>
      <c r="N264" s="20">
        <v>5.3413522005729602E-2</v>
      </c>
      <c r="O264" s="20">
        <v>109.08</v>
      </c>
      <c r="P264" s="20">
        <v>41.915763754167898</v>
      </c>
      <c r="Q264" s="20">
        <v>11.9643454800743</v>
      </c>
      <c r="R264" s="20">
        <v>148.30416484676499</v>
      </c>
      <c r="S264" s="20">
        <v>365.02323312162099</v>
      </c>
      <c r="T264" s="20">
        <v>15</v>
      </c>
      <c r="U264" s="20">
        <v>0.2</v>
      </c>
      <c r="V264" s="20">
        <v>12713.906027493</v>
      </c>
      <c r="W264" s="20">
        <v>26079.9848179363</v>
      </c>
      <c r="X264" s="20">
        <v>39797.288909579198</v>
      </c>
      <c r="Y264" s="20">
        <v>53729.717304905003</v>
      </c>
      <c r="Z264" s="20">
        <v>67783.106280984401</v>
      </c>
      <c r="AA264" s="20">
        <v>81852.027130745599</v>
      </c>
      <c r="AB264" s="20">
        <v>95879.732971926802</v>
      </c>
      <c r="AC264" s="20">
        <v>109849.537331036</v>
      </c>
      <c r="AD264" s="20">
        <v>123734.004887093</v>
      </c>
      <c r="AE264" s="20">
        <v>137522.965908257</v>
      </c>
      <c r="AF264" t="str">
        <f t="shared" si="18"/>
        <v>NonResidential</v>
      </c>
      <c r="AG264" t="str">
        <f>tbl_Data_old[[#This Row],[All_Meas_Name_Append]]</f>
        <v>LED Linear - Fixture Replacement</v>
      </c>
      <c r="AH264">
        <f>AVERAGEIFS('3. Incentive Adjustment'!G:G,'3. Incentive Adjustment'!A:A,tbl_Data_old[[#This Row],[Trimmed Sector]],'3. Incentive Adjustment'!B:B,tbl_Data_old[[#This Row],[Trimmed Measure Name]])</f>
        <v>0.56055357916158088</v>
      </c>
      <c r="AI264">
        <f>$AH264*tbl_Data_old[[#This Row],[2025 ]]</f>
        <v>7126.8255288351975</v>
      </c>
      <c r="AJ264">
        <f>$AH264*tbl_Data_old[[#This Row],[2026 ]]</f>
        <v>14619.228834173884</v>
      </c>
      <c r="AK264">
        <f>$AH264*tbl_Data_old[[#This Row],[2027 ]]</f>
        <v>22308.512739192109</v>
      </c>
      <c r="AL264">
        <f>$AH264*tbl_Data_old[[#This Row],[2028 ]]</f>
        <v>30118.38534260443</v>
      </c>
      <c r="AM264">
        <f>$AH264*tbl_Data_old[[#This Row],[2029 ]]</f>
        <v>37996.062832495641</v>
      </c>
      <c r="AN264">
        <f>$AH264*tbl_Data_old[[#This Row],[2030 ]]</f>
        <v>45882.446769770271</v>
      </c>
      <c r="AO264">
        <f>$AH264*tbl_Data_old[[#This Row],[2031 ]]</f>
        <v>53745.727486470205</v>
      </c>
      <c r="AP264">
        <f>$AH264*tbl_Data_old[[#This Row],[2032 ]]</f>
        <v>61576.551320155922</v>
      </c>
      <c r="AQ264">
        <f>$AH264*tbl_Data_old[[#This Row],[2033 ]]</f>
        <v>69359.53930345652</v>
      </c>
      <c r="AR264">
        <f>$AH264*tbl_Data_old[[#This Row],[2034 ]]</f>
        <v>77088.990756789528</v>
      </c>
      <c r="AS264">
        <f>SUM(tbl_Data_old[[#This Row],[Adjusted 2025]:[Adjusted 2034]])</f>
        <v>419822.27091394371</v>
      </c>
      <c r="AT264" s="3">
        <f>AVERAGEIFS('3. Incentive Adjustment'!F:F,'3. Incentive Adjustment'!A:A,tbl_Data_old[[#This Row],[Trimmed Sector]],'3. Incentive Adjustment'!B:B,tbl_Data_old[[#This Row],[Trimmed Measure Name]])</f>
        <v>16.810726621008875</v>
      </c>
      <c r="AU264" s="3">
        <f>IFERROR(VLOOKUP(tbl_Data_old[[#This Row],[All_Meas_Name_Append]],'IRA Tax Credits'!$A$3:$D$46,4,0),0)</f>
        <v>0</v>
      </c>
      <c r="AV264" s="4">
        <f>tbl_Data_old[[#This Row],[Adj. per unit Incentive ($)]]/tbl_Data_old[[#This Row],[kWh Savings]]*tbl_Data_old[[#This Row],[Sum of Annuals]]</f>
        <v>20999.51626322731</v>
      </c>
      <c r="AW264" s="4">
        <f>IFERROR(VLOOKUP(tbl_Data_old[[#This Row],[All_Programs]],'1. Set Program Names'!$B$2:$D$15,3,0)*tbl_Data_old[[#This Row],[Sum of Annuals]],"")</f>
        <v>14945.544779349553</v>
      </c>
      <c r="AX264" s="4">
        <f>tbl_Data_old[[#This Row],[per unit IRA tax ($)]]/tbl_Data_old[[#This Row],[kWh Savings]]*tbl_Data_old[[#This Row],[Sum of Annuals]]</f>
        <v>0</v>
      </c>
      <c r="AY264" s="4">
        <f>tbl_Data_old[[#This Row],[Avoided Costs ($/unit)]]/tbl_Data_old[[#This Row],[kWh Savings]]*tbl_Data_old[[#This Row],[Sum of Annuals]]</f>
        <v>185257.65077352041</v>
      </c>
      <c r="AZ264" s="4">
        <f>tbl_Data_old[[#This Row],[Lost Revenue ($/unit)]]/tbl_Data_old[[#This Row],[kWh Savings]]*tbl_Data_old[[#This Row],[Sum of Annuals]]</f>
        <v>455977.39426764107</v>
      </c>
      <c r="BA264" s="4">
        <f>tbl_Data_old[[#This Row],[Incremental Cost ($/unit)]]/tbl_Data_old[[#This Row],[kWh Savings]]*tbl_Data_old[[#This Row],[Sum of Annuals]]</f>
        <v>136259.85869820573</v>
      </c>
      <c r="BB264">
        <f>ROUNDUP(tbl_Data_old[[#This Row],[Adjusted 2025]]/$L264,0)</f>
        <v>22</v>
      </c>
      <c r="BC264">
        <f>ROUNDUP(tbl_Data_old[[#This Row],[Adjusted 2026]]/$L264,0)</f>
        <v>44</v>
      </c>
      <c r="BD264">
        <f>ROUNDUP(tbl_Data_old[[#This Row],[Adjusted 2027]]/$L264,0)</f>
        <v>67</v>
      </c>
      <c r="BE264">
        <f>ROUNDUP(tbl_Data_old[[#This Row],[Adjusted 2028]]/$L264,0)</f>
        <v>90</v>
      </c>
      <c r="BF264">
        <f>ROUNDUP(tbl_Data_old[[#This Row],[Adjusted 2029]]/$L264,0)</f>
        <v>114</v>
      </c>
      <c r="BG264">
        <f>ROUNDUP(tbl_Data_old[[#This Row],[Adjusted 2030]]/$L264,0)</f>
        <v>137</v>
      </c>
      <c r="BH264">
        <f>ROUNDUP(tbl_Data_old[[#This Row],[Adjusted 2031]]/$L264,0)</f>
        <v>160</v>
      </c>
      <c r="BI264">
        <f>ROUNDUP(tbl_Data_old[[#This Row],[Adjusted 2032]]/$L264,0)</f>
        <v>184</v>
      </c>
      <c r="BJ264">
        <f>ROUNDUP(tbl_Data_old[[#This Row],[Adjusted 2033]]/$L264,0)</f>
        <v>207</v>
      </c>
      <c r="BK264">
        <f>ROUNDUP(tbl_Data_old[[#This Row],[Adjusted 2034]]/$L264,0)</f>
        <v>230</v>
      </c>
      <c r="BL264" s="3">
        <f t="shared" si="17"/>
        <v>635.94976943996005</v>
      </c>
      <c r="BM264" s="3">
        <f t="shared" si="17"/>
        <v>1304.5212302261043</v>
      </c>
      <c r="BN264" s="3">
        <f t="shared" si="17"/>
        <v>1990.6609858255308</v>
      </c>
      <c r="BO264" s="3">
        <f t="shared" si="17"/>
        <v>2687.5612623091165</v>
      </c>
      <c r="BP264" s="3">
        <f t="shared" si="17"/>
        <v>3390.5119888491386</v>
      </c>
      <c r="BQ264" s="3">
        <f t="shared" si="17"/>
        <v>4094.2396199427694</v>
      </c>
      <c r="BR264" s="3">
        <f t="shared" si="17"/>
        <v>4795.9056756914797</v>
      </c>
      <c r="BS264" s="3">
        <f t="shared" si="17"/>
        <v>5494.6754984419049</v>
      </c>
      <c r="BT264" s="3">
        <f t="shared" si="17"/>
        <v>6189.1767730287338</v>
      </c>
      <c r="BU264" s="3">
        <f t="shared" si="17"/>
        <v>6878.9008093133543</v>
      </c>
      <c r="BV264">
        <f>VLOOKUP($H264,'1. Set Program Names'!$B$2:$D$15,3,0)*V264</f>
        <v>452.61117625007768</v>
      </c>
      <c r="BW264">
        <f>VLOOKUP($H264,'1. Set Program Names'!$B$2:$D$15,3,0)*W264</f>
        <v>928.4395039183654</v>
      </c>
      <c r="BX264">
        <f>VLOOKUP($H264,'1. Set Program Names'!$B$2:$D$15,3,0)*X264</f>
        <v>1416.7713451694167</v>
      </c>
      <c r="BY264">
        <f>VLOOKUP($H264,'1. Set Program Names'!$B$2:$D$15,3,0)*Y264</f>
        <v>1912.7615460087288</v>
      </c>
      <c r="BZ264">
        <f>VLOOKUP($H264,'1. Set Program Names'!$B$2:$D$15,3,0)*Z264</f>
        <v>2413.057906624304</v>
      </c>
      <c r="CA264">
        <f>VLOOKUP($H264,'1. Set Program Names'!$B$2:$D$15,3,0)*AA264</f>
        <v>2913.9071972050119</v>
      </c>
      <c r="CB264">
        <f>VLOOKUP($H264,'1. Set Program Names'!$B$2:$D$15,3,0)*AB264</f>
        <v>3413.2892460527537</v>
      </c>
      <c r="CC264">
        <f>VLOOKUP($H264,'1. Set Program Names'!$B$2:$D$15,3,0)*AC264</f>
        <v>3910.6100198013592</v>
      </c>
      <c r="CD264">
        <f>VLOOKUP($H264,'1. Set Program Names'!$B$2:$D$15,3,0)*AD264</f>
        <v>4404.8928293929739</v>
      </c>
      <c r="CE264">
        <f>VLOOKUP($H264,'1. Set Program Names'!$B$2:$D$15,3,0)*AE264</f>
        <v>4895.7756354763023</v>
      </c>
    </row>
    <row r="265" spans="1:83" x14ac:dyDescent="0.25">
      <c r="A265" s="20" t="s">
        <v>113</v>
      </c>
      <c r="B265" s="20" t="s">
        <v>88</v>
      </c>
      <c r="C265" s="20" t="s">
        <v>122</v>
      </c>
      <c r="D265" s="20" t="s">
        <v>90</v>
      </c>
      <c r="E265" s="20" t="s">
        <v>91</v>
      </c>
      <c r="F265" s="20" t="s">
        <v>90</v>
      </c>
      <c r="G265" s="20" t="s">
        <v>92</v>
      </c>
      <c r="H265" s="20" t="s">
        <v>14</v>
      </c>
      <c r="I265" s="20" t="s">
        <v>164</v>
      </c>
      <c r="J265" s="20" t="s">
        <v>158</v>
      </c>
      <c r="K265" s="20" t="s">
        <v>159</v>
      </c>
      <c r="L265" s="20">
        <v>612.05999999999904</v>
      </c>
      <c r="M265" s="20">
        <v>0</v>
      </c>
      <c r="N265" s="20">
        <v>3.0244631686656E-2</v>
      </c>
      <c r="O265" s="20">
        <v>255</v>
      </c>
      <c r="P265" s="20">
        <v>129.095003330796</v>
      </c>
      <c r="Q265" s="20">
        <v>21.789149293425101</v>
      </c>
      <c r="R265" s="20">
        <v>299.625229349054</v>
      </c>
      <c r="S265" s="20">
        <v>664.77065003695395</v>
      </c>
      <c r="T265" s="20">
        <v>15</v>
      </c>
      <c r="U265" s="20">
        <v>0.2</v>
      </c>
      <c r="V265" s="20">
        <v>52923.007337535302</v>
      </c>
      <c r="W265" s="20">
        <v>110423.705337811</v>
      </c>
      <c r="X265" s="20">
        <v>171602.28359140101</v>
      </c>
      <c r="Y265" s="20">
        <v>235867.221833738</v>
      </c>
      <c r="Z265" s="20">
        <v>302600.61332520703</v>
      </c>
      <c r="AA265" s="20">
        <v>371234.21040526603</v>
      </c>
      <c r="AB265" s="20">
        <v>441244.73888752097</v>
      </c>
      <c r="AC265" s="20">
        <v>512327.75426612998</v>
      </c>
      <c r="AD265" s="20">
        <v>584324.41599500994</v>
      </c>
      <c r="AE265" s="20">
        <v>656958.41916831303</v>
      </c>
      <c r="AF265" t="str">
        <f t="shared" si="18"/>
        <v>NonResidential</v>
      </c>
      <c r="AG265" t="str">
        <f>tbl_Data_old[[#This Row],[All_Meas_Name_Append]]</f>
        <v>LED Parking Lighting</v>
      </c>
      <c r="AH265">
        <f>AVERAGEIFS('3. Incentive Adjustment'!G:G,'3. Incentive Adjustment'!A:A,tbl_Data_old[[#This Row],[Trimmed Sector]],'3. Incentive Adjustment'!B:B,tbl_Data_old[[#This Row],[Trimmed Measure Name]])</f>
        <v>0.59704067730377497</v>
      </c>
      <c r="AI265">
        <f>$AH265*tbl_Data_old[[#This Row],[2025 ]]</f>
        <v>31597.188145754728</v>
      </c>
      <c r="AJ265">
        <f>$AH265*tbl_Data_old[[#This Row],[2026 ]]</f>
        <v>65927.443825279144</v>
      </c>
      <c r="AK265">
        <f>$AH265*tbl_Data_old[[#This Row],[2027 ]]</f>
        <v>102453.54362228453</v>
      </c>
      <c r="AL265">
        <f>$AH265*tbl_Data_old[[#This Row],[2028 ]]</f>
        <v>140822.32587737468</v>
      </c>
      <c r="AM265">
        <f>$AH265*tbl_Data_old[[#This Row],[2029 ]]</f>
        <v>180664.87513221931</v>
      </c>
      <c r="AN265">
        <f>$AH265*tbl_Data_old[[#This Row],[2030 ]]</f>
        <v>221641.92441869213</v>
      </c>
      <c r="AO265">
        <f>$AH265*tbl_Data_old[[#This Row],[2031 ]]</f>
        <v>263441.05776213284</v>
      </c>
      <c r="AP265">
        <f>$AH265*tbl_Data_old[[#This Row],[2032 ]]</f>
        <v>305880.50940857222</v>
      </c>
      <c r="AQ265">
        <f>$AH265*tbl_Data_old[[#This Row],[2033 ]]</f>
        <v>348865.44509079348</v>
      </c>
      <c r="AR265">
        <f>$AH265*tbl_Data_old[[#This Row],[2034 ]]</f>
        <v>392230.8995406669</v>
      </c>
      <c r="AS265">
        <f>SUM(tbl_Data_old[[#This Row],[Adjusted 2025]:[Adjusted 2034]])</f>
        <v>2053525.21282377</v>
      </c>
      <c r="AT265" s="3">
        <f>AVERAGEIFS('3. Incentive Adjustment'!F:F,'3. Incentive Adjustment'!A:A,tbl_Data_old[[#This Row],[Trimmed Sector]],'3. Incentive Adjustment'!B:B,tbl_Data_old[[#This Row],[Trimmed Measure Name]])</f>
        <v>9.4514474020799994</v>
      </c>
      <c r="AU265" s="3">
        <f>IFERROR(VLOOKUP(tbl_Data_old[[#This Row],[All_Meas_Name_Append]],'IRA Tax Credits'!$A$3:$D$46,4,0),0)</f>
        <v>0</v>
      </c>
      <c r="AV265" s="4">
        <f>tbl_Data_old[[#This Row],[Adj. per unit Incentive ($)]]/tbl_Data_old[[#This Row],[kWh Savings]]*tbl_Data_old[[#This Row],[Sum of Annuals]]</f>
        <v>31710.592977565972</v>
      </c>
      <c r="AW265" s="4">
        <f>IFERROR(VLOOKUP(tbl_Data_old[[#This Row],[All_Programs]],'1. Set Program Names'!$B$2:$D$15,3,0)*tbl_Data_old[[#This Row],[Sum of Annuals]],"")</f>
        <v>73104.871156471141</v>
      </c>
      <c r="AX265" s="4">
        <f>tbl_Data_old[[#This Row],[per unit IRA tax ($)]]/tbl_Data_old[[#This Row],[kWh Savings]]*tbl_Data_old[[#This Row],[Sum of Annuals]]</f>
        <v>0</v>
      </c>
      <c r="AY265" s="4">
        <f>tbl_Data_old[[#This Row],[Avoided Costs ($/unit)]]/tbl_Data_old[[#This Row],[kWh Savings]]*tbl_Data_old[[#This Row],[Sum of Annuals]]</f>
        <v>1005273.9320759206</v>
      </c>
      <c r="AZ265" s="4">
        <f>tbl_Data_old[[#This Row],[Lost Revenue ($/unit)]]/tbl_Data_old[[#This Row],[kWh Savings]]*tbl_Data_old[[#This Row],[Sum of Annuals]]</f>
        <v>2230374.9478746103</v>
      </c>
      <c r="BA265" s="4">
        <f>tbl_Data_old[[#This Row],[Incremental Cost ($/unit)]]/tbl_Data_old[[#This Row],[kWh Savings]]*tbl_Data_old[[#This Row],[Sum of Annuals]]</f>
        <v>855551.6277326768</v>
      </c>
      <c r="BB265">
        <f>ROUNDUP(tbl_Data_old[[#This Row],[Adjusted 2025]]/$L265,0)</f>
        <v>52</v>
      </c>
      <c r="BC265">
        <f>ROUNDUP(tbl_Data_old[[#This Row],[Adjusted 2026]]/$L265,0)</f>
        <v>108</v>
      </c>
      <c r="BD265">
        <f>ROUNDUP(tbl_Data_old[[#This Row],[Adjusted 2027]]/$L265,0)</f>
        <v>168</v>
      </c>
      <c r="BE265">
        <f>ROUNDUP(tbl_Data_old[[#This Row],[Adjusted 2028]]/$L265,0)</f>
        <v>231</v>
      </c>
      <c r="BF265">
        <f>ROUNDUP(tbl_Data_old[[#This Row],[Adjusted 2029]]/$L265,0)</f>
        <v>296</v>
      </c>
      <c r="BG265">
        <f>ROUNDUP(tbl_Data_old[[#This Row],[Adjusted 2030]]/$L265,0)</f>
        <v>363</v>
      </c>
      <c r="BH265">
        <f>ROUNDUP(tbl_Data_old[[#This Row],[Adjusted 2031]]/$L265,0)</f>
        <v>431</v>
      </c>
      <c r="BI265">
        <f>ROUNDUP(tbl_Data_old[[#This Row],[Adjusted 2032]]/$L265,0)</f>
        <v>500</v>
      </c>
      <c r="BJ265">
        <f>ROUNDUP(tbl_Data_old[[#This Row],[Adjusted 2033]]/$L265,0)</f>
        <v>570</v>
      </c>
      <c r="BK265">
        <f>ROUNDUP(tbl_Data_old[[#This Row],[Adjusted 2034]]/$L265,0)</f>
        <v>641</v>
      </c>
      <c r="BL265" s="3">
        <f t="shared" si="17"/>
        <v>817.2385390494552</v>
      </c>
      <c r="BM265" s="3">
        <f t="shared" si="17"/>
        <v>1705.1659035766147</v>
      </c>
      <c r="BN265" s="3">
        <f t="shared" si="17"/>
        <v>2649.8871964201958</v>
      </c>
      <c r="BO265" s="3">
        <f t="shared" si="17"/>
        <v>3642.2681453392042</v>
      </c>
      <c r="BP265" s="3">
        <f t="shared" si="17"/>
        <v>4672.7670174171599</v>
      </c>
      <c r="BQ265" s="3">
        <f t="shared" si="17"/>
        <v>5732.6089166063412</v>
      </c>
      <c r="BR265" s="3">
        <f t="shared" si="17"/>
        <v>6813.7134284872955</v>
      </c>
      <c r="BS265" s="3">
        <f t="shared" si="17"/>
        <v>7911.3793126035062</v>
      </c>
      <c r="BT265" s="3">
        <f t="shared" si="17"/>
        <v>9023.1537488611539</v>
      </c>
      <c r="BU265" s="3">
        <f t="shared" si="17"/>
        <v>10144.770029282987</v>
      </c>
      <c r="BV265">
        <f>VLOOKUP($H265,'1. Set Program Names'!$B$2:$D$15,3,0)*V265</f>
        <v>1884.0429172541744</v>
      </c>
      <c r="BW265">
        <f>VLOOKUP($H265,'1. Set Program Names'!$B$2:$D$15,3,0)*W265</f>
        <v>3931.0502256947825</v>
      </c>
      <c r="BX265">
        <f>VLOOKUP($H265,'1. Set Program Names'!$B$2:$D$15,3,0)*X265</f>
        <v>6108.988949229999</v>
      </c>
      <c r="BY265">
        <f>VLOOKUP($H265,'1. Set Program Names'!$B$2:$D$15,3,0)*Y265</f>
        <v>8396.8011468822333</v>
      </c>
      <c r="BZ265">
        <f>VLOOKUP($H265,'1. Set Program Names'!$B$2:$D$15,3,0)*Z265</f>
        <v>10772.489527211294</v>
      </c>
      <c r="CA265">
        <f>VLOOKUP($H265,'1. Set Program Names'!$B$2:$D$15,3,0)*AA265</f>
        <v>13215.82464684367</v>
      </c>
      <c r="CB265">
        <f>VLOOKUP($H265,'1. Set Program Names'!$B$2:$D$15,3,0)*AB265</f>
        <v>15708.178104366534</v>
      </c>
      <c r="CC265">
        <f>VLOOKUP($H265,'1. Set Program Names'!$B$2:$D$15,3,0)*AC265</f>
        <v>18238.711768241556</v>
      </c>
      <c r="CD265">
        <f>VLOOKUP($H265,'1. Set Program Names'!$B$2:$D$15,3,0)*AD265</f>
        <v>20801.770963481878</v>
      </c>
      <c r="CE265">
        <f>VLOOKUP($H265,'1. Set Program Names'!$B$2:$D$15,3,0)*AE265</f>
        <v>23387.519319725085</v>
      </c>
    </row>
    <row r="266" spans="1:83" x14ac:dyDescent="0.25">
      <c r="A266" s="20" t="s">
        <v>113</v>
      </c>
      <c r="B266" s="20" t="s">
        <v>88</v>
      </c>
      <c r="C266" s="20" t="s">
        <v>122</v>
      </c>
      <c r="D266" s="20" t="s">
        <v>90</v>
      </c>
      <c r="E266" s="20" t="s">
        <v>91</v>
      </c>
      <c r="F266" s="20" t="s">
        <v>90</v>
      </c>
      <c r="G266" s="20" t="s">
        <v>92</v>
      </c>
      <c r="H266" s="20" t="s">
        <v>14</v>
      </c>
      <c r="I266" s="20" t="s">
        <v>165</v>
      </c>
      <c r="J266" s="20" t="s">
        <v>161</v>
      </c>
      <c r="K266" s="20" t="s">
        <v>166</v>
      </c>
      <c r="L266" s="20">
        <v>510.6</v>
      </c>
      <c r="M266" s="20">
        <v>6.2552429943266097E-2</v>
      </c>
      <c r="N266" s="20">
        <v>6.4361142955417797E-2</v>
      </c>
      <c r="O266" s="20">
        <v>129</v>
      </c>
      <c r="P266" s="20">
        <v>26.468747947944401</v>
      </c>
      <c r="Q266" s="20">
        <v>18.177204243412199</v>
      </c>
      <c r="R266" s="20">
        <v>174.74401692254699</v>
      </c>
      <c r="S266" s="20">
        <v>419.99719394182398</v>
      </c>
      <c r="T266" s="20">
        <v>10</v>
      </c>
      <c r="U266" s="20">
        <v>0.2</v>
      </c>
      <c r="V266" s="20">
        <v>6642.5065405618298</v>
      </c>
      <c r="W266" s="20">
        <v>15752.3312950117</v>
      </c>
      <c r="X266" s="20">
        <v>27870.371374681199</v>
      </c>
      <c r="Y266" s="20">
        <v>43500.470442186997</v>
      </c>
      <c r="Z266" s="20">
        <v>62860.525262992698</v>
      </c>
      <c r="AA266" s="20">
        <v>85590.084016140507</v>
      </c>
      <c r="AB266" s="20">
        <v>110575.253211041</v>
      </c>
      <c r="AC266" s="20">
        <v>135992.80900224301</v>
      </c>
      <c r="AD266" s="20">
        <v>159655.77234395</v>
      </c>
      <c r="AE266" s="20">
        <v>179727.721419009</v>
      </c>
      <c r="AF266" t="str">
        <f t="shared" si="18"/>
        <v>NonResidential</v>
      </c>
      <c r="AG266" t="str">
        <f>tbl_Data_old[[#This Row],[All_Meas_Name_Append]]</f>
        <v>Occupancy Sensors_ Ceiling Mounted</v>
      </c>
      <c r="AH266">
        <f>AVERAGEIFS('3. Incentive Adjustment'!G:G,'3. Incentive Adjustment'!A:A,tbl_Data_old[[#This Row],[Trimmed Sector]],'3. Incentive Adjustment'!B:B,tbl_Data_old[[#This Row],[Trimmed Measure Name]])</f>
        <v>0.99348124042467356</v>
      </c>
      <c r="AI266">
        <f>$AH266*tbl_Data_old[[#This Row],[2025 ]]</f>
        <v>6599.2056374463737</v>
      </c>
      <c r="AJ266">
        <f>$AH266*tbl_Data_old[[#This Row],[2026 ]]</f>
        <v>15649.645634548628</v>
      </c>
      <c r="AK266">
        <f>$AH266*tbl_Data_old[[#This Row],[2027 ]]</f>
        <v>27688.691124414592</v>
      </c>
      <c r="AL266">
        <f>$AH266*tbl_Data_old[[#This Row],[2028 ]]</f>
        <v>43216.901333960785</v>
      </c>
      <c r="AM266">
        <f>$AH266*tbl_Data_old[[#This Row],[2029 ]]</f>
        <v>62450.752612024517</v>
      </c>
      <c r="AN266">
        <f>$AH266*tbl_Data_old[[#This Row],[2030 ]]</f>
        <v>85032.142836407293</v>
      </c>
      <c r="AO266">
        <f>$AH266*tbl_Data_old[[#This Row],[2031 ]]</f>
        <v>109854.43972037737</v>
      </c>
      <c r="AP266">
        <f>$AH266*tbl_Data_old[[#This Row],[2032 ]]</f>
        <v>135106.30457638411</v>
      </c>
      <c r="AQ266">
        <f>$AH266*tbl_Data_old[[#This Row],[2033 ]]</f>
        <v>158615.01474922674</v>
      </c>
      <c r="AR266">
        <f>$AH266*tbl_Data_old[[#This Row],[2034 ]]</f>
        <v>178556.11961405724</v>
      </c>
      <c r="AS266">
        <f>SUM(tbl_Data_old[[#This Row],[Adjusted 2025]:[Adjusted 2034]])</f>
        <v>822769.21783884766</v>
      </c>
      <c r="AT266" s="3">
        <f>AVERAGEIFS('3. Incentive Adjustment'!F:F,'3. Incentive Adjustment'!A:A,tbl_Data_old[[#This Row],[Trimmed Sector]],'3. Incentive Adjustment'!B:B,tbl_Data_old[[#This Row],[Trimmed Measure Name]])</f>
        <v>19.547634357270656</v>
      </c>
      <c r="AU266" s="3">
        <f>IFERROR(VLOOKUP(tbl_Data_old[[#This Row],[All_Meas_Name_Append]],'IRA Tax Credits'!$A$3:$D$46,4,0),0)</f>
        <v>0</v>
      </c>
      <c r="AV266" s="4">
        <f>tbl_Data_old[[#This Row],[Adj. per unit Incentive ($)]]/tbl_Data_old[[#This Row],[kWh Savings]]*tbl_Data_old[[#This Row],[Sum of Annuals]]</f>
        <v>31498.613064495425</v>
      </c>
      <c r="AW266" s="4">
        <f>IFERROR(VLOOKUP(tbl_Data_old[[#This Row],[All_Programs]],'1. Set Program Names'!$B$2:$D$15,3,0)*tbl_Data_old[[#This Row],[Sum of Annuals]],"")</f>
        <v>29290.333172442686</v>
      </c>
      <c r="AX266" s="4">
        <f>tbl_Data_old[[#This Row],[per unit IRA tax ($)]]/tbl_Data_old[[#This Row],[kWh Savings]]*tbl_Data_old[[#This Row],[Sum of Annuals]]</f>
        <v>0</v>
      </c>
      <c r="AY266" s="4">
        <f>tbl_Data_old[[#This Row],[Avoided Costs ($/unit)]]/tbl_Data_old[[#This Row],[kWh Savings]]*tbl_Data_old[[#This Row],[Sum of Annuals]]</f>
        <v>281578.53138539434</v>
      </c>
      <c r="AZ266" s="4">
        <f>tbl_Data_old[[#This Row],[Lost Revenue ($/unit)]]/tbl_Data_old[[#This Row],[kWh Savings]]*tbl_Data_old[[#This Row],[Sum of Annuals]]</f>
        <v>676773.91843718232</v>
      </c>
      <c r="BA266" s="4">
        <f>tbl_Data_old[[#This Row],[Incremental Cost ($/unit)]]/tbl_Data_old[[#This Row],[kWh Savings]]*tbl_Data_old[[#This Row],[Sum of Annuals]]</f>
        <v>207867.66373131872</v>
      </c>
      <c r="BB266">
        <f>ROUNDUP(tbl_Data_old[[#This Row],[Adjusted 2025]]/$L266,0)</f>
        <v>13</v>
      </c>
      <c r="BC266">
        <f>ROUNDUP(tbl_Data_old[[#This Row],[Adjusted 2026]]/$L266,0)</f>
        <v>31</v>
      </c>
      <c r="BD266">
        <f>ROUNDUP(tbl_Data_old[[#This Row],[Adjusted 2027]]/$L266,0)</f>
        <v>55</v>
      </c>
      <c r="BE266">
        <f>ROUNDUP(tbl_Data_old[[#This Row],[Adjusted 2028]]/$L266,0)</f>
        <v>85</v>
      </c>
      <c r="BF266">
        <f>ROUNDUP(tbl_Data_old[[#This Row],[Adjusted 2029]]/$L266,0)</f>
        <v>123</v>
      </c>
      <c r="BG266">
        <f>ROUNDUP(tbl_Data_old[[#This Row],[Adjusted 2030]]/$L266,0)</f>
        <v>167</v>
      </c>
      <c r="BH266">
        <f>ROUNDUP(tbl_Data_old[[#This Row],[Adjusted 2031]]/$L266,0)</f>
        <v>216</v>
      </c>
      <c r="BI266">
        <f>ROUNDUP(tbl_Data_old[[#This Row],[Adjusted 2032]]/$L266,0)</f>
        <v>265</v>
      </c>
      <c r="BJ266">
        <f>ROUNDUP(tbl_Data_old[[#This Row],[Adjusted 2033]]/$L266,0)</f>
        <v>311</v>
      </c>
      <c r="BK266">
        <f>ROUNDUP(tbl_Data_old[[#This Row],[Adjusted 2034]]/$L266,0)</f>
        <v>350</v>
      </c>
      <c r="BL266" s="3">
        <f t="shared" si="17"/>
        <v>254.29943022068446</v>
      </c>
      <c r="BM266" s="3">
        <f t="shared" si="17"/>
        <v>603.05682026925285</v>
      </c>
      <c r="BN266" s="3">
        <f t="shared" si="17"/>
        <v>1066.9796886674712</v>
      </c>
      <c r="BO266" s="3">
        <f t="shared" si="17"/>
        <v>1665.3570124816515</v>
      </c>
      <c r="BP266" s="3">
        <f t="shared" si="17"/>
        <v>2406.5306763551825</v>
      </c>
      <c r="BQ266" s="3">
        <f t="shared" si="17"/>
        <v>3276.7012670497265</v>
      </c>
      <c r="BR266" s="3">
        <f t="shared" si="17"/>
        <v>4233.2248702155257</v>
      </c>
      <c r="BS266" s="3">
        <f t="shared" si="17"/>
        <v>5206.3018127575242</v>
      </c>
      <c r="BT266" s="3">
        <f t="shared" si="17"/>
        <v>6112.2065429047771</v>
      </c>
      <c r="BU266" s="3">
        <f t="shared" si="17"/>
        <v>6880.634120963944</v>
      </c>
      <c r="BV266">
        <f>VLOOKUP($H266,'1. Set Program Names'!$B$2:$D$15,3,0)*V266</f>
        <v>236.47120657264739</v>
      </c>
      <c r="BW266">
        <f>VLOOKUP($H266,'1. Set Program Names'!$B$2:$D$15,3,0)*W266</f>
        <v>560.77818891367292</v>
      </c>
      <c r="BX266">
        <f>VLOOKUP($H266,'1. Set Program Names'!$B$2:$D$15,3,0)*X266</f>
        <v>992.17671918787482</v>
      </c>
      <c r="BY266">
        <f>VLOOKUP($H266,'1. Set Program Names'!$B$2:$D$15,3,0)*Y266</f>
        <v>1548.6034780888137</v>
      </c>
      <c r="BZ266">
        <f>VLOOKUP($H266,'1. Set Program Names'!$B$2:$D$15,3,0)*Z266</f>
        <v>2237.8155239984144</v>
      </c>
      <c r="CA266">
        <f>VLOOKUP($H266,'1. Set Program Names'!$B$2:$D$15,3,0)*AA266</f>
        <v>3046.9808820450362</v>
      </c>
      <c r="CB266">
        <f>VLOOKUP($H266,'1. Set Program Names'!$B$2:$D$15,3,0)*AB266</f>
        <v>3936.4452837526683</v>
      </c>
      <c r="CC266">
        <f>VLOOKUP($H266,'1. Set Program Names'!$B$2:$D$15,3,0)*AC266</f>
        <v>4841.3025163907478</v>
      </c>
      <c r="CD266">
        <f>VLOOKUP($H266,'1. Set Program Names'!$B$2:$D$15,3,0)*AD266</f>
        <v>5683.696793058557</v>
      </c>
      <c r="CE266">
        <f>VLOOKUP($H266,'1. Set Program Names'!$B$2:$D$15,3,0)*AE266</f>
        <v>6398.252057258941</v>
      </c>
    </row>
    <row r="267" spans="1:83" x14ac:dyDescent="0.25">
      <c r="A267" s="20" t="s">
        <v>113</v>
      </c>
      <c r="B267" s="20" t="s">
        <v>88</v>
      </c>
      <c r="C267" s="20" t="s">
        <v>122</v>
      </c>
      <c r="D267" s="20" t="s">
        <v>90</v>
      </c>
      <c r="E267" s="20" t="s">
        <v>91</v>
      </c>
      <c r="F267" s="20" t="s">
        <v>90</v>
      </c>
      <c r="G267" s="20" t="s">
        <v>92</v>
      </c>
      <c r="H267" s="20" t="s">
        <v>14</v>
      </c>
      <c r="I267" s="20" t="s">
        <v>154</v>
      </c>
      <c r="J267" s="20" t="s">
        <v>129</v>
      </c>
      <c r="K267" s="20" t="s">
        <v>102</v>
      </c>
      <c r="L267" s="20">
        <v>111105.09249999899</v>
      </c>
      <c r="M267" s="20">
        <v>30.6532165911823</v>
      </c>
      <c r="N267" s="20">
        <v>0</v>
      </c>
      <c r="O267" s="20">
        <v>40257.675000000003</v>
      </c>
      <c r="P267" s="20">
        <v>17605.607636663401</v>
      </c>
      <c r="Q267" s="20">
        <v>3955.3074008141398</v>
      </c>
      <c r="R267" s="20">
        <v>56706.982631731698</v>
      </c>
      <c r="S267" s="20">
        <v>120673.47084214</v>
      </c>
      <c r="T267" s="20">
        <v>15</v>
      </c>
      <c r="U267" s="20">
        <v>0.95</v>
      </c>
      <c r="V267" s="20">
        <v>141.96160722326101</v>
      </c>
      <c r="W267" s="20">
        <v>284.43269244055301</v>
      </c>
      <c r="X267" s="20">
        <v>427.94022503662501</v>
      </c>
      <c r="Y267" s="20">
        <v>572.77410705532498</v>
      </c>
      <c r="Z267" s="20">
        <v>718.49766782167001</v>
      </c>
      <c r="AA267" s="20">
        <v>865.08941086381799</v>
      </c>
      <c r="AB267" s="20">
        <v>1011.96496950709</v>
      </c>
      <c r="AC267" s="20">
        <v>1158.9411443981601</v>
      </c>
      <c r="AD267" s="20">
        <v>1306.7708774909399</v>
      </c>
      <c r="AE267" s="20">
        <v>1455.08970724919</v>
      </c>
      <c r="AF267" t="str">
        <f t="shared" si="18"/>
        <v>NonResidential</v>
      </c>
      <c r="AG267" t="str">
        <f>tbl_Data_old[[#This Row],[All_Meas_Name_Append]]</f>
        <v>Reflective Roof Treatment</v>
      </c>
      <c r="AH267">
        <f>AVERAGEIFS('3. Incentive Adjustment'!G:G,'3. Incentive Adjustment'!A:A,tbl_Data_old[[#This Row],[Trimmed Sector]],'3. Incentive Adjustment'!B:B,tbl_Data_old[[#This Row],[Trimmed Measure Name]])</f>
        <v>0.87696681614875649</v>
      </c>
      <c r="AI267">
        <f>$AH267*tbl_Data_old[[#This Row],[2025 ]]</f>
        <v>124.49561870194353</v>
      </c>
      <c r="AJ267">
        <f>$AH267*tbl_Data_old[[#This Row],[2026 ]]</f>
        <v>249.43803269821026</v>
      </c>
      <c r="AK267">
        <f>$AH267*tbl_Data_old[[#This Row],[2027 ]]</f>
        <v>375.28937665235139</v>
      </c>
      <c r="AL267">
        <f>$AH267*tbl_Data_old[[#This Row],[2028 ]]</f>
        <v>502.30388503675533</v>
      </c>
      <c r="AM267">
        <f>$AH267*tbl_Data_old[[#This Row],[2029 ]]</f>
        <v>630.09861215987678</v>
      </c>
      <c r="AN267">
        <f>$AH267*tbl_Data_old[[#This Row],[2030 ]]</f>
        <v>758.65470632924598</v>
      </c>
      <c r="AO267">
        <f>$AH267*tbl_Data_old[[#This Row],[2031 ]]</f>
        <v>887.45969736270615</v>
      </c>
      <c r="AP267">
        <f>$AH267*tbl_Data_old[[#This Row],[2032 ]]</f>
        <v>1016.3529255066506</v>
      </c>
      <c r="AQ267">
        <f>$AH267*tbl_Data_old[[#This Row],[2033 ]]</f>
        <v>1145.9946958691464</v>
      </c>
      <c r="AR267">
        <f>$AH267*tbl_Data_old[[#This Row],[2034 ]]</f>
        <v>1276.0653877771483</v>
      </c>
      <c r="AS267">
        <f>SUM(tbl_Data_old[[#This Row],[Adjusted 2025]:[Adjusted 2034]])</f>
        <v>6966.1529380940347</v>
      </c>
      <c r="AT267" s="3">
        <f>AVERAGEIFS('3. Incentive Adjustment'!F:F,'3. Incentive Adjustment'!A:A,tbl_Data_old[[#This Row],[Trimmed Sector]],'3. Incentive Adjustment'!B:B,tbl_Data_old[[#This Row],[Trimmed Measure Name]])</f>
        <v>12077.302499999998</v>
      </c>
      <c r="AU267" s="3">
        <f>IFERROR(VLOOKUP(tbl_Data_old[[#This Row],[All_Meas_Name_Append]],'IRA Tax Credits'!$A$3:$D$46,4,0),0)</f>
        <v>0</v>
      </c>
      <c r="AV267" s="4">
        <f>tbl_Data_old[[#This Row],[Adj. per unit Incentive ($)]]/tbl_Data_old[[#This Row],[kWh Savings]]*tbl_Data_old[[#This Row],[Sum of Annuals]]</f>
        <v>757.23204401837995</v>
      </c>
      <c r="AW267" s="4">
        <f>IFERROR(VLOOKUP(tbl_Data_old[[#This Row],[All_Programs]],'1. Set Program Names'!$B$2:$D$15,3,0)*tbl_Data_old[[#This Row],[Sum of Annuals]],"")</f>
        <v>247.99291959769138</v>
      </c>
      <c r="AX267" s="4">
        <f>tbl_Data_old[[#This Row],[per unit IRA tax ($)]]/tbl_Data_old[[#This Row],[kWh Savings]]*tbl_Data_old[[#This Row],[Sum of Annuals]]</f>
        <v>0</v>
      </c>
      <c r="AY267" s="4">
        <f>tbl_Data_old[[#This Row],[Avoided Costs ($/unit)]]/tbl_Data_old[[#This Row],[kWh Savings]]*tbl_Data_old[[#This Row],[Sum of Annuals]]</f>
        <v>3555.4582133171684</v>
      </c>
      <c r="AZ267" s="4">
        <f>tbl_Data_old[[#This Row],[Lost Revenue ($/unit)]]/tbl_Data_old[[#This Row],[kWh Savings]]*tbl_Data_old[[#This Row],[Sum of Annuals]]</f>
        <v>7566.0785166709247</v>
      </c>
      <c r="BA267" s="4">
        <f>tbl_Data_old[[#This Row],[Incremental Cost ($/unit)]]/tbl_Data_old[[#This Row],[kWh Savings]]*tbl_Data_old[[#This Row],[Sum of Annuals]]</f>
        <v>2524.1068133946005</v>
      </c>
      <c r="BB267">
        <f>ROUNDUP(tbl_Data_old[[#This Row],[Adjusted 2025]]/$L267,0)</f>
        <v>1</v>
      </c>
      <c r="BC267">
        <f>ROUNDUP(tbl_Data_old[[#This Row],[Adjusted 2026]]/$L267,0)</f>
        <v>1</v>
      </c>
      <c r="BD267">
        <f>ROUNDUP(tbl_Data_old[[#This Row],[Adjusted 2027]]/$L267,0)</f>
        <v>1</v>
      </c>
      <c r="BE267">
        <f>ROUNDUP(tbl_Data_old[[#This Row],[Adjusted 2028]]/$L267,0)</f>
        <v>1</v>
      </c>
      <c r="BF267">
        <f>ROUNDUP(tbl_Data_old[[#This Row],[Adjusted 2029]]/$L267,0)</f>
        <v>1</v>
      </c>
      <c r="BG267">
        <f>ROUNDUP(tbl_Data_old[[#This Row],[Adjusted 2030]]/$L267,0)</f>
        <v>1</v>
      </c>
      <c r="BH267">
        <f>ROUNDUP(tbl_Data_old[[#This Row],[Adjusted 2031]]/$L267,0)</f>
        <v>1</v>
      </c>
      <c r="BI267">
        <f>ROUNDUP(tbl_Data_old[[#This Row],[Adjusted 2032]]/$L267,0)</f>
        <v>1</v>
      </c>
      <c r="BJ267">
        <f>ROUNDUP(tbl_Data_old[[#This Row],[Adjusted 2033]]/$L267,0)</f>
        <v>1</v>
      </c>
      <c r="BK267">
        <f>ROUNDUP(tbl_Data_old[[#This Row],[Adjusted 2034]]/$L267,0)</f>
        <v>1</v>
      </c>
      <c r="BL267" s="3">
        <f t="shared" si="17"/>
        <v>15.431455347751262</v>
      </c>
      <c r="BM267" s="3">
        <f t="shared" si="17"/>
        <v>30.918291774016144</v>
      </c>
      <c r="BN267" s="3">
        <f t="shared" si="17"/>
        <v>46.51779169965085</v>
      </c>
      <c r="BO267" s="3">
        <f t="shared" si="17"/>
        <v>62.261467943736292</v>
      </c>
      <c r="BP267" s="3">
        <f t="shared" si="17"/>
        <v>78.101853700602447</v>
      </c>
      <c r="BQ267" s="3">
        <f t="shared" ref="BQ267:BU298" si="19">$AT267/$L267*AA267</f>
        <v>94.036612269137976</v>
      </c>
      <c r="BR267" s="3">
        <f t="shared" si="19"/>
        <v>110.00222205062752</v>
      </c>
      <c r="BS267" s="3">
        <f t="shared" si="19"/>
        <v>125.97876898030471</v>
      </c>
      <c r="BT267" s="3">
        <f t="shared" si="19"/>
        <v>142.04809906124387</v>
      </c>
      <c r="BU267" s="3">
        <f t="shared" si="19"/>
        <v>158.17059473745604</v>
      </c>
      <c r="BV267">
        <f>VLOOKUP($H267,'1. Set Program Names'!$B$2:$D$15,3,0)*V267</f>
        <v>5.0537899122997958</v>
      </c>
      <c r="BW267">
        <f>VLOOKUP($H267,'1. Set Program Names'!$B$2:$D$15,3,0)*W267</f>
        <v>10.12571708577277</v>
      </c>
      <c r="BX267">
        <f>VLOOKUP($H267,'1. Set Program Names'!$B$2:$D$15,3,0)*X267</f>
        <v>15.234541469765981</v>
      </c>
      <c r="BY267">
        <f>VLOOKUP($H267,'1. Set Program Names'!$B$2:$D$15,3,0)*Y267</f>
        <v>20.390583488606904</v>
      </c>
      <c r="BZ267">
        <f>VLOOKUP($H267,'1. Set Program Names'!$B$2:$D$15,3,0)*Z267</f>
        <v>25.578297799470871</v>
      </c>
      <c r="CA267">
        <f>VLOOKUP($H267,'1. Set Program Names'!$B$2:$D$15,3,0)*AA267</f>
        <v>30.796919134517722</v>
      </c>
      <c r="CB267">
        <f>VLOOKUP($H267,'1. Set Program Names'!$B$2:$D$15,3,0)*AB267</f>
        <v>36.025644218387718</v>
      </c>
      <c r="CC267">
        <f>VLOOKUP($H267,'1. Set Program Names'!$B$2:$D$15,3,0)*AC267</f>
        <v>41.257951209986729</v>
      </c>
      <c r="CD267">
        <f>VLOOKUP($H267,'1. Set Program Names'!$B$2:$D$15,3,0)*AD267</f>
        <v>46.520644613191919</v>
      </c>
      <c r="CE267">
        <f>VLOOKUP($H267,'1. Set Program Names'!$B$2:$D$15,3,0)*AE267</f>
        <v>51.80074970849077</v>
      </c>
    </row>
    <row r="268" spans="1:83" x14ac:dyDescent="0.25">
      <c r="A268" s="20" t="s">
        <v>113</v>
      </c>
      <c r="B268" s="20" t="s">
        <v>88</v>
      </c>
      <c r="C268" s="20" t="s">
        <v>122</v>
      </c>
      <c r="D268" s="20" t="s">
        <v>90</v>
      </c>
      <c r="E268" s="20" t="s">
        <v>91</v>
      </c>
      <c r="F268" s="20" t="s">
        <v>90</v>
      </c>
      <c r="G268" s="20" t="s">
        <v>92</v>
      </c>
      <c r="H268" s="20" t="s">
        <v>14</v>
      </c>
      <c r="I268" s="20" t="s">
        <v>167</v>
      </c>
      <c r="J268" s="20" t="s">
        <v>124</v>
      </c>
      <c r="K268" s="20" t="s">
        <v>98</v>
      </c>
      <c r="L268" s="20">
        <v>151.66</v>
      </c>
      <c r="M268" s="20">
        <v>2.2013191527321101E-2</v>
      </c>
      <c r="N268" s="20">
        <v>1.95296013954902E-2</v>
      </c>
      <c r="O268" s="20">
        <v>56.6</v>
      </c>
      <c r="P268" s="20">
        <v>25.402483751835899</v>
      </c>
      <c r="Q268" s="20">
        <v>5.3990497366938701</v>
      </c>
      <c r="R268" s="20">
        <v>70.564478576335205</v>
      </c>
      <c r="S268" s="20">
        <v>171.417444155428</v>
      </c>
      <c r="T268" s="20">
        <v>16</v>
      </c>
      <c r="U268" s="20">
        <v>0.2</v>
      </c>
      <c r="V268" s="20">
        <v>965.51517445058698</v>
      </c>
      <c r="W268" s="20">
        <v>2278.6496164425098</v>
      </c>
      <c r="X268" s="20">
        <v>3975.0784467957601</v>
      </c>
      <c r="Y268" s="20">
        <v>6069.5634748889397</v>
      </c>
      <c r="Z268" s="20">
        <v>8542.1928392511309</v>
      </c>
      <c r="AA268" s="20">
        <v>11345.925989556499</v>
      </c>
      <c r="AB268" s="20">
        <v>14414.652919136101</v>
      </c>
      <c r="AC268" s="20">
        <v>17687.7704242443</v>
      </c>
      <c r="AD268" s="20">
        <v>21121.380496103699</v>
      </c>
      <c r="AE268" s="20">
        <v>24674.7100630936</v>
      </c>
      <c r="AF268" t="str">
        <f t="shared" si="18"/>
        <v>NonResidential</v>
      </c>
      <c r="AG268" t="str">
        <f>tbl_Data_old[[#This Row],[All_Meas_Name_Append]]</f>
        <v>Refrigerated Display Case LED Lighting</v>
      </c>
      <c r="AH268">
        <f>AVERAGEIFS('3. Incentive Adjustment'!G:G,'3. Incentive Adjustment'!A:A,tbl_Data_old[[#This Row],[Trimmed Sector]],'3. Incentive Adjustment'!B:B,tbl_Data_old[[#This Row],[Trimmed Measure Name]])</f>
        <v>0.72450810749703154</v>
      </c>
      <c r="AI268">
        <f>$AH268*tbl_Data_old[[#This Row],[2025 ]]</f>
        <v>699.52357180086108</v>
      </c>
      <c r="AJ268">
        <f>$AH268*tbl_Data_old[[#This Row],[2026 ]]</f>
        <v>1650.9001212575995</v>
      </c>
      <c r="AK268">
        <f>$AH268*tbl_Data_old[[#This Row],[2027 ]]</f>
        <v>2879.9765626402359</v>
      </c>
      <c r="AL268">
        <f>$AH268*tbl_Data_old[[#This Row],[2028 ]]</f>
        <v>4397.4479465248924</v>
      </c>
      <c r="AM268">
        <f>$AH268*tbl_Data_old[[#This Row],[2029 ]]</f>
        <v>6188.887967840531</v>
      </c>
      <c r="AN268">
        <f>$AH268*tbl_Data_old[[#This Row],[2030 ]]</f>
        <v>8220.2153664949637</v>
      </c>
      <c r="AO268">
        <f>$AH268*tbl_Data_old[[#This Row],[2031 ]]</f>
        <v>10443.532906669858</v>
      </c>
      <c r="AP268">
        <f>$AH268*tbl_Data_old[[#This Row],[2032 ]]</f>
        <v>12814.933075911204</v>
      </c>
      <c r="AQ268">
        <f>$AH268*tbl_Data_old[[#This Row],[2033 ]]</f>
        <v>15302.611410956804</v>
      </c>
      <c r="AR268">
        <f>$AH268*tbl_Data_old[[#This Row],[2034 ]]</f>
        <v>17877.027490849905</v>
      </c>
      <c r="AS268">
        <f>SUM(tbl_Data_old[[#This Row],[Adjusted 2025]:[Adjusted 2034]])</f>
        <v>80475.056420946843</v>
      </c>
      <c r="AT268" s="3">
        <f>AVERAGEIFS('3. Incentive Adjustment'!F:F,'3. Incentive Adjustment'!A:A,tbl_Data_old[[#This Row],[Trimmed Sector]],'3. Incentive Adjustment'!B:B,tbl_Data_old[[#This Row],[Trimmed Measure Name]])</f>
        <v>6.879122352287844</v>
      </c>
      <c r="AU268" s="3">
        <f>IFERROR(VLOOKUP(tbl_Data_old[[#This Row],[All_Meas_Name_Append]],'IRA Tax Credits'!$A$3:$D$46,4,0),0)</f>
        <v>0</v>
      </c>
      <c r="AV268" s="4">
        <f>tbl_Data_old[[#This Row],[Adj. per unit Incentive ($)]]/tbl_Data_old[[#This Row],[kWh Savings]]*tbl_Data_old[[#This Row],[Sum of Annuals]]</f>
        <v>3650.2555678950339</v>
      </c>
      <c r="AW268" s="4">
        <f>IFERROR(VLOOKUP(tbl_Data_old[[#This Row],[All_Programs]],'1. Set Program Names'!$B$2:$D$15,3,0)*tbl_Data_old[[#This Row],[Sum of Annuals]],"")</f>
        <v>2864.8874599758537</v>
      </c>
      <c r="AX268" s="4">
        <f>tbl_Data_old[[#This Row],[per unit IRA tax ($)]]/tbl_Data_old[[#This Row],[kWh Savings]]*tbl_Data_old[[#This Row],[Sum of Annuals]]</f>
        <v>0</v>
      </c>
      <c r="AY268" s="4">
        <f>tbl_Data_old[[#This Row],[Avoided Costs ($/unit)]]/tbl_Data_old[[#This Row],[kWh Savings]]*tbl_Data_old[[#This Row],[Sum of Annuals]]</f>
        <v>37443.494624457802</v>
      </c>
      <c r="AZ268" s="4">
        <f>tbl_Data_old[[#This Row],[Lost Revenue ($/unit)]]/tbl_Data_old[[#This Row],[kWh Savings]]*tbl_Data_old[[#This Row],[Sum of Annuals]]</f>
        <v>90958.911314404409</v>
      </c>
      <c r="BA268" s="4">
        <f>tbl_Data_old[[#This Row],[Incremental Cost ($/unit)]]/tbl_Data_old[[#This Row],[kWh Savings]]*tbl_Data_old[[#This Row],[Sum of Annuals]]</f>
        <v>30033.55000280622</v>
      </c>
      <c r="BB268">
        <f>ROUNDUP(tbl_Data_old[[#This Row],[Adjusted 2025]]/$L268,0)</f>
        <v>5</v>
      </c>
      <c r="BC268">
        <f>ROUNDUP(tbl_Data_old[[#This Row],[Adjusted 2026]]/$L268,0)</f>
        <v>11</v>
      </c>
      <c r="BD268">
        <f>ROUNDUP(tbl_Data_old[[#This Row],[Adjusted 2027]]/$L268,0)</f>
        <v>19</v>
      </c>
      <c r="BE268">
        <f>ROUNDUP(tbl_Data_old[[#This Row],[Adjusted 2028]]/$L268,0)</f>
        <v>29</v>
      </c>
      <c r="BF268">
        <f>ROUNDUP(tbl_Data_old[[#This Row],[Adjusted 2029]]/$L268,0)</f>
        <v>41</v>
      </c>
      <c r="BG268">
        <f>ROUNDUP(tbl_Data_old[[#This Row],[Adjusted 2030]]/$L268,0)</f>
        <v>55</v>
      </c>
      <c r="BH268">
        <f>ROUNDUP(tbl_Data_old[[#This Row],[Adjusted 2031]]/$L268,0)</f>
        <v>69</v>
      </c>
      <c r="BI268">
        <f>ROUNDUP(tbl_Data_old[[#This Row],[Adjusted 2032]]/$L268,0)</f>
        <v>85</v>
      </c>
      <c r="BJ268">
        <f>ROUNDUP(tbl_Data_old[[#This Row],[Adjusted 2033]]/$L268,0)</f>
        <v>101</v>
      </c>
      <c r="BK268">
        <f>ROUNDUP(tbl_Data_old[[#This Row],[Adjusted 2034]]/$L268,0)</f>
        <v>118</v>
      </c>
      <c r="BL268" s="3">
        <f t="shared" ref="BL268:BU299" si="20">$AT268/$L268*V268</f>
        <v>43.794652631123107</v>
      </c>
      <c r="BM268" s="3">
        <f t="shared" si="20"/>
        <v>103.35691355335481</v>
      </c>
      <c r="BN268" s="3">
        <f t="shared" si="20"/>
        <v>180.30496502341001</v>
      </c>
      <c r="BO268" s="3">
        <f t="shared" si="20"/>
        <v>275.30838565698525</v>
      </c>
      <c r="BP268" s="3">
        <f t="shared" si="20"/>
        <v>387.46399642651733</v>
      </c>
      <c r="BQ268" s="3">
        <f t="shared" si="19"/>
        <v>514.63809232600352</v>
      </c>
      <c r="BR268" s="3">
        <f t="shared" si="19"/>
        <v>653.83199984505063</v>
      </c>
      <c r="BS268" s="3">
        <f t="shared" si="19"/>
        <v>802.29682769058957</v>
      </c>
      <c r="BT268" s="3">
        <f t="shared" si="19"/>
        <v>958.04141290995301</v>
      </c>
      <c r="BU268" s="3">
        <f t="shared" si="19"/>
        <v>1119.2163360889424</v>
      </c>
      <c r="BV268">
        <f>VLOOKUP($H268,'1. Set Program Names'!$B$2:$D$15,3,0)*V268</f>
        <v>34.372045683709509</v>
      </c>
      <c r="BW268">
        <f>VLOOKUP($H268,'1. Set Program Names'!$B$2:$D$15,3,0)*W268</f>
        <v>81.11923125195527</v>
      </c>
      <c r="BX268">
        <f>VLOOKUP($H268,'1. Set Program Names'!$B$2:$D$15,3,0)*X268</f>
        <v>141.51158012336907</v>
      </c>
      <c r="BY268">
        <f>VLOOKUP($H268,'1. Set Program Names'!$B$2:$D$15,3,0)*Y268</f>
        <v>216.07460820879535</v>
      </c>
      <c r="BZ268">
        <f>VLOOKUP($H268,'1. Set Program Names'!$B$2:$D$15,3,0)*Z268</f>
        <v>304.099459313907</v>
      </c>
      <c r="CA268">
        <f>VLOOKUP($H268,'1. Set Program Names'!$B$2:$D$15,3,0)*AA268</f>
        <v>403.91150419664535</v>
      </c>
      <c r="CB268">
        <f>VLOOKUP($H268,'1. Set Program Names'!$B$2:$D$15,3,0)*AB268</f>
        <v>513.15724678620199</v>
      </c>
      <c r="CC268">
        <f>VLOOKUP($H268,'1. Set Program Names'!$B$2:$D$15,3,0)*AC268</f>
        <v>629.67923151600905</v>
      </c>
      <c r="CD268">
        <f>VLOOKUP($H268,'1. Set Program Names'!$B$2:$D$15,3,0)*AD268</f>
        <v>751.91470266451188</v>
      </c>
      <c r="CE268">
        <f>VLOOKUP($H268,'1. Set Program Names'!$B$2:$D$15,3,0)*AE268</f>
        <v>878.41215131968386</v>
      </c>
    </row>
    <row r="269" spans="1:83" x14ac:dyDescent="0.25">
      <c r="A269" s="20" t="s">
        <v>113</v>
      </c>
      <c r="B269" s="20" t="s">
        <v>88</v>
      </c>
      <c r="C269" s="20" t="s">
        <v>122</v>
      </c>
      <c r="D269" s="20" t="s">
        <v>90</v>
      </c>
      <c r="E269" s="20" t="s">
        <v>91</v>
      </c>
      <c r="F269" s="20" t="s">
        <v>90</v>
      </c>
      <c r="G269" s="20" t="s">
        <v>92</v>
      </c>
      <c r="H269" s="20" t="s">
        <v>14</v>
      </c>
      <c r="I269" s="20" t="s">
        <v>155</v>
      </c>
      <c r="J269" s="20" t="s">
        <v>129</v>
      </c>
      <c r="K269" s="20" t="s">
        <v>102</v>
      </c>
      <c r="L269" s="53">
        <v>1193.02</v>
      </c>
      <c r="M269" s="53">
        <v>0.274776433335365</v>
      </c>
      <c r="N269" s="53">
        <v>0.10441874276921487</v>
      </c>
      <c r="O269" s="53">
        <f>8423.99999999998/36663.4359999998*1193.02</f>
        <v>274.11507421181233</v>
      </c>
      <c r="P269" s="53">
        <f>3224.30667036527/36663.4359999998*1193.02</f>
        <v>104.91821726363004</v>
      </c>
      <c r="Q269" s="53">
        <f>1305.20713755829/36663.4359999998*1193.02</f>
        <v>42.471148073786637</v>
      </c>
      <c r="R269" s="53">
        <f>14915.0733686122/36663.4359999998*1193.02</f>
        <v>485.33314854128304</v>
      </c>
      <c r="S269" s="53">
        <f>32320.5298576745/36663.4359999998*1193.02</f>
        <v>1051.702806327346</v>
      </c>
      <c r="T269" s="20">
        <v>11</v>
      </c>
      <c r="U269" s="20">
        <v>0.94999999999999896</v>
      </c>
      <c r="V269" s="20">
        <v>132844.43620706501</v>
      </c>
      <c r="W269" s="20">
        <v>243498.78227224201</v>
      </c>
      <c r="X269" s="20">
        <v>334907.12209268002</v>
      </c>
      <c r="Y269" s="20">
        <v>410501.27369613602</v>
      </c>
      <c r="Z269" s="20">
        <v>473129.18066324299</v>
      </c>
      <c r="AA269" s="20">
        <v>525099.61149981897</v>
      </c>
      <c r="AB269" s="20">
        <v>568369.02149597695</v>
      </c>
      <c r="AC269" s="20">
        <v>604619.18012902804</v>
      </c>
      <c r="AD269" s="20">
        <v>635265.03753149998</v>
      </c>
      <c r="AE269" s="20">
        <v>661372.02707563597</v>
      </c>
      <c r="AF269" t="str">
        <f t="shared" si="18"/>
        <v>NonResidential</v>
      </c>
      <c r="AG269" t="str">
        <f>tbl_Data_old[[#This Row],[All_Meas_Name_Append]]</f>
        <v>Smart thermostat</v>
      </c>
      <c r="AH269">
        <f>AVERAGEIFS('3. Incentive Adjustment'!G:G,'3. Incentive Adjustment'!A:A,tbl_Data_old[[#This Row],[Trimmed Sector]],'3. Incentive Adjustment'!B:B,tbl_Data_old[[#This Row],[Trimmed Measure Name]])</f>
        <v>0.87546479230069263</v>
      </c>
      <c r="AI269">
        <f>$AH269*tbl_Data_old[[#This Row],[2025 ]]</f>
        <v>116300.62675232078</v>
      </c>
      <c r="AJ269">
        <f>$AH269*tbl_Data_old[[#This Row],[2026 ]]</f>
        <v>213174.61084743994</v>
      </c>
      <c r="AK269">
        <f>$AH269*tbl_Data_old[[#This Row],[2027 ]]</f>
        <v>293199.39408289082</v>
      </c>
      <c r="AL269">
        <f>$AH269*tbl_Data_old[[#This Row],[2028 ]]</f>
        <v>359379.41231555748</v>
      </c>
      <c r="AM269">
        <f>$AH269*tbl_Data_old[[#This Row],[2029 ]]</f>
        <v>414207.93988074292</v>
      </c>
      <c r="AN269">
        <f>$AH269*tbl_Data_old[[#This Row],[2030 ]]</f>
        <v>459706.22231886338</v>
      </c>
      <c r="AO269">
        <f>$AH269*tbl_Data_old[[#This Row],[2031 ]]</f>
        <v>497587.06735412334</v>
      </c>
      <c r="AP269">
        <f>$AH269*tbl_Data_old[[#This Row],[2032 ]]</f>
        <v>529322.80495267455</v>
      </c>
      <c r="AQ269">
        <f>$AH269*tbl_Data_old[[#This Row],[2033 ]]</f>
        <v>556152.17413840629</v>
      </c>
      <c r="AR269">
        <f>$AH269*tbl_Data_old[[#This Row],[2034 ]]</f>
        <v>579007.92431725969</v>
      </c>
      <c r="AS269">
        <f>SUM(tbl_Data_old[[#This Row],[Adjusted 2025]:[Adjusted 2034]])</f>
        <v>4018038.1769602797</v>
      </c>
      <c r="AT269" s="3">
        <f>AVERAGEIFS('3. Incentive Adjustment'!F:F,'3. Incentive Adjustment'!A:A,tbl_Data_old[[#This Row],[Trimmed Sector]],'3. Incentive Adjustment'!B:B,tbl_Data_old[[#This Row],[Trimmed Measure Name]])</f>
        <v>50</v>
      </c>
      <c r="AU269" s="3">
        <f>IFERROR(VLOOKUP(tbl_Data_old[[#This Row],[All_Meas_Name_Append]],'IRA Tax Credits'!$A$3:$D$46,4,0),0)</f>
        <v>0</v>
      </c>
      <c r="AV269" s="4">
        <f>tbl_Data_old[[#This Row],[Adj. per unit Incentive ($)]]/tbl_Data_old[[#This Row],[kWh Savings]]*tbl_Data_old[[#This Row],[Sum of Annuals]]</f>
        <v>168397.77107509848</v>
      </c>
      <c r="AW269" s="4">
        <f>IFERROR(VLOOKUP(tbl_Data_old[[#This Row],[All_Programs]],'1. Set Program Names'!$B$2:$D$15,3,0)*tbl_Data_old[[#This Row],[Sum of Annuals]],"")</f>
        <v>143040.93341252371</v>
      </c>
      <c r="AX269" s="4">
        <f>tbl_Data_old[[#This Row],[per unit IRA tax ($)]]/tbl_Data_old[[#This Row],[kWh Savings]]*tbl_Data_old[[#This Row],[Sum of Annuals]]</f>
        <v>0</v>
      </c>
      <c r="AY269" s="4">
        <f>tbl_Data_old[[#This Row],[Avoided Costs ($/unit)]]/tbl_Data_old[[#This Row],[kWh Savings]]*tbl_Data_old[[#This Row],[Sum of Annuals]]</f>
        <v>1634580.408864235</v>
      </c>
      <c r="AZ269" s="4">
        <f>tbl_Data_old[[#This Row],[Lost Revenue ($/unit)]]/tbl_Data_old[[#This Row],[kWh Savings]]*tbl_Data_old[[#This Row],[Sum of Annuals]]</f>
        <v>3542088.1683790209</v>
      </c>
      <c r="BA269" s="4">
        <f>tbl_Data_old[[#This Row],[Incremental Cost ($/unit)]]/tbl_Data_old[[#This Row],[kWh Savings]]*tbl_Data_old[[#This Row],[Sum of Annuals]]</f>
        <v>923207.35030708811</v>
      </c>
      <c r="BB269">
        <f>ROUNDUP(tbl_Data_old[[#This Row],[Adjusted 2025]]/$L269,0)</f>
        <v>98</v>
      </c>
      <c r="BC269">
        <f>ROUNDUP(tbl_Data_old[[#This Row],[Adjusted 2026]]/$L269,0)</f>
        <v>179</v>
      </c>
      <c r="BD269">
        <f>ROUNDUP(tbl_Data_old[[#This Row],[Adjusted 2027]]/$L269,0)</f>
        <v>246</v>
      </c>
      <c r="BE269">
        <f>ROUNDUP(tbl_Data_old[[#This Row],[Adjusted 2028]]/$L269,0)</f>
        <v>302</v>
      </c>
      <c r="BF269">
        <f>ROUNDUP(tbl_Data_old[[#This Row],[Adjusted 2029]]/$L269,0)</f>
        <v>348</v>
      </c>
      <c r="BG269">
        <f>ROUNDUP(tbl_Data_old[[#This Row],[Adjusted 2030]]/$L269,0)</f>
        <v>386</v>
      </c>
      <c r="BH269">
        <f>ROUNDUP(tbl_Data_old[[#This Row],[Adjusted 2031]]/$L269,0)</f>
        <v>418</v>
      </c>
      <c r="BI269">
        <f>ROUNDUP(tbl_Data_old[[#This Row],[Adjusted 2032]]/$L269,0)</f>
        <v>444</v>
      </c>
      <c r="BJ269">
        <f>ROUNDUP(tbl_Data_old[[#This Row],[Adjusted 2033]]/$L269,0)</f>
        <v>467</v>
      </c>
      <c r="BK269">
        <f>ROUNDUP(tbl_Data_old[[#This Row],[Adjusted 2034]]/$L269,0)</f>
        <v>486</v>
      </c>
      <c r="BL269" s="3">
        <f t="shared" si="20"/>
        <v>5567.5695381077021</v>
      </c>
      <c r="BM269" s="3">
        <f t="shared" si="20"/>
        <v>10205.142506925366</v>
      </c>
      <c r="BN269" s="3">
        <f t="shared" si="20"/>
        <v>14036.106774935877</v>
      </c>
      <c r="BO269" s="3">
        <f t="shared" si="20"/>
        <v>17204.291365448025</v>
      </c>
      <c r="BP269" s="3">
        <f t="shared" si="20"/>
        <v>19829.05486342404</v>
      </c>
      <c r="BQ269" s="3">
        <f t="shared" si="19"/>
        <v>22007.158786098262</v>
      </c>
      <c r="BR269" s="3">
        <f t="shared" si="19"/>
        <v>23820.599046787855</v>
      </c>
      <c r="BS269" s="3">
        <f t="shared" si="19"/>
        <v>25339.859353951655</v>
      </c>
      <c r="BT269" s="3">
        <f t="shared" si="19"/>
        <v>26624.240898371361</v>
      </c>
      <c r="BU269" s="3">
        <f t="shared" si="19"/>
        <v>27718.396467604733</v>
      </c>
      <c r="BV269">
        <f>VLOOKUP($H269,'1. Set Program Names'!$B$2:$D$15,3,0)*V269</f>
        <v>4729.2214052815571</v>
      </c>
      <c r="BW269">
        <f>VLOOKUP($H269,'1. Set Program Names'!$B$2:$D$15,3,0)*W269</f>
        <v>8668.4823705144918</v>
      </c>
      <c r="BX269">
        <f>VLOOKUP($H269,'1. Set Program Names'!$B$2:$D$15,3,0)*X269</f>
        <v>11922.591384355717</v>
      </c>
      <c r="BY269">
        <f>VLOOKUP($H269,'1. Set Program Names'!$B$2:$D$15,3,0)*Y269</f>
        <v>14613.720121730346</v>
      </c>
      <c r="BZ269">
        <f>VLOOKUP($H269,'1. Set Program Names'!$B$2:$D$15,3,0)*Z269</f>
        <v>16843.254505354555</v>
      </c>
      <c r="CA269">
        <f>VLOOKUP($H269,'1. Set Program Names'!$B$2:$D$15,3,0)*AA269</f>
        <v>18693.385989754417</v>
      </c>
      <c r="CB269">
        <f>VLOOKUP($H269,'1. Set Program Names'!$B$2:$D$15,3,0)*AB269</f>
        <v>20233.763786448708</v>
      </c>
      <c r="CC269">
        <f>VLOOKUP($H269,'1. Set Program Names'!$B$2:$D$15,3,0)*AC269</f>
        <v>21524.258375812322</v>
      </c>
      <c r="CD269">
        <f>VLOOKUP($H269,'1. Set Program Names'!$B$2:$D$15,3,0)*AD269</f>
        <v>22615.241550938092</v>
      </c>
      <c r="CE269">
        <f>VLOOKUP($H269,'1. Set Program Names'!$B$2:$D$15,3,0)*AE269</f>
        <v>23544.642414871476</v>
      </c>
    </row>
    <row r="270" spans="1:83" x14ac:dyDescent="0.25">
      <c r="A270" s="20" t="s">
        <v>113</v>
      </c>
      <c r="B270" s="20" t="s">
        <v>88</v>
      </c>
      <c r="C270" s="20" t="s">
        <v>122</v>
      </c>
      <c r="D270" s="20" t="s">
        <v>90</v>
      </c>
      <c r="E270" s="20" t="s">
        <v>91</v>
      </c>
      <c r="F270" s="20" t="s">
        <v>90</v>
      </c>
      <c r="G270" s="20" t="s">
        <v>92</v>
      </c>
      <c r="H270" s="20" t="s">
        <v>14</v>
      </c>
      <c r="I270" s="20" t="s">
        <v>304</v>
      </c>
      <c r="J270" s="20" t="s">
        <v>144</v>
      </c>
      <c r="K270" s="20" t="s">
        <v>98</v>
      </c>
      <c r="L270" s="20">
        <v>71859.953750000001</v>
      </c>
      <c r="M270" s="20">
        <v>2.01028298751406</v>
      </c>
      <c r="N270" s="20">
        <v>2.93501737514182</v>
      </c>
      <c r="O270" s="20">
        <v>21366.564901045898</v>
      </c>
      <c r="P270" s="20">
        <v>219059.38064062799</v>
      </c>
      <c r="Q270" s="20">
        <v>2558.1924328944401</v>
      </c>
      <c r="R270" s="20">
        <v>23924.757333940401</v>
      </c>
      <c r="S270" s="20">
        <v>92224.942677252999</v>
      </c>
      <c r="T270" s="20">
        <v>20</v>
      </c>
      <c r="U270" s="20">
        <v>1</v>
      </c>
      <c r="V270" s="20">
        <v>291051.60612615698</v>
      </c>
      <c r="W270" s="20">
        <v>610807.66033138195</v>
      </c>
      <c r="X270" s="20">
        <v>953946.05133957195</v>
      </c>
      <c r="Y270" s="20">
        <v>1317384.9132652101</v>
      </c>
      <c r="Z270" s="20">
        <v>1698158.04631625</v>
      </c>
      <c r="AA270" s="20">
        <v>2093166.88355364</v>
      </c>
      <c r="AB270" s="20">
        <v>2499859.8887277702</v>
      </c>
      <c r="AC270" s="20">
        <v>2916826.36716206</v>
      </c>
      <c r="AD270" s="20">
        <v>3342991.8357204301</v>
      </c>
      <c r="AE270" s="20">
        <v>3777047.1966634002</v>
      </c>
      <c r="AF270" t="str">
        <f t="shared" si="18"/>
        <v>NonResidential</v>
      </c>
      <c r="AG270" t="str">
        <f>tbl_Data_old[[#This Row],[All_Meas_Name_Append]]</f>
        <v>Solar Thermal Water Heating System Commercial</v>
      </c>
      <c r="AH270">
        <f>AVERAGEIFS('3. Incentive Adjustment'!G:G,'3. Incentive Adjustment'!A:A,tbl_Data_old[[#This Row],[Trimmed Sector]],'3. Incentive Adjustment'!B:B,tbl_Data_old[[#This Row],[Trimmed Measure Name]])</f>
        <v>3.2123848810070607E-4</v>
      </c>
      <c r="AI270">
        <f>$AH270*tbl_Data_old[[#This Row],[2025 ]]</f>
        <v>93.496977911248877</v>
      </c>
      <c r="AJ270">
        <f>$AH270*tbl_Data_old[[#This Row],[2026 ]]</f>
        <v>196.21492932518277</v>
      </c>
      <c r="AK270">
        <f>$AH270*tbl_Data_old[[#This Row],[2027 ]]</f>
        <v>306.44418726196261</v>
      </c>
      <c r="AL270">
        <f>$AH270*tbl_Data_old[[#This Row],[2028 ]]</f>
        <v>423.19473778399589</v>
      </c>
      <c r="AM270">
        <f>$AH270*tbl_Data_old[[#This Row],[2029 ]]</f>
        <v>545.51372335468091</v>
      </c>
      <c r="AN270">
        <f>$AH270*tbl_Data_old[[#This Row],[2030 ]]</f>
        <v>672.40576501523799</v>
      </c>
      <c r="AO270">
        <f>$AH270*tbl_Data_old[[#This Row],[2031 ]]</f>
        <v>803.05121111850815</v>
      </c>
      <c r="AP270">
        <f>$AH270*tbl_Data_old[[#This Row],[2032 ]]</f>
        <v>936.99689223941516</v>
      </c>
      <c r="AQ270">
        <f>$AH270*tbl_Data_old[[#This Row],[2033 ]]</f>
        <v>1073.897643039835</v>
      </c>
      <c r="AR270">
        <f>$AH270*tbl_Data_old[[#This Row],[2034 ]]</f>
        <v>1213.3329309411608</v>
      </c>
      <c r="AS270">
        <f>SUM(tbl_Data_old[[#This Row],[Adjusted 2025]:[Adjusted 2034]])</f>
        <v>6264.5489979912281</v>
      </c>
      <c r="AT270" s="3">
        <f>AVERAGEIFS('3. Incentive Adjustment'!F:F,'3. Incentive Adjustment'!A:A,tbl_Data_old[[#This Row],[Trimmed Sector]],'3. Incentive Adjustment'!B:B,tbl_Data_old[[#This Row],[Trimmed Measure Name]])</f>
        <v>0</v>
      </c>
      <c r="AU270" s="3">
        <f>IFERROR(VLOOKUP(tbl_Data_old[[#This Row],[All_Meas_Name_Append]],'IRA Tax Credits'!$A$3:$D$46,4,0),0)</f>
        <v>0</v>
      </c>
      <c r="AV270" s="4">
        <f>tbl_Data_old[[#This Row],[Adj. per unit Incentive ($)]]/tbl_Data_old[[#This Row],[kWh Savings]]*tbl_Data_old[[#This Row],[Sum of Annuals]]</f>
        <v>0</v>
      </c>
      <c r="AW270" s="4">
        <f>IFERROR(VLOOKUP(tbl_Data_old[[#This Row],[All_Programs]],'1. Set Program Names'!$B$2:$D$15,3,0)*tbl_Data_old[[#This Row],[Sum of Annuals]],"")</f>
        <v>223.01603335164467</v>
      </c>
      <c r="AX270" s="4">
        <f>tbl_Data_old[[#This Row],[per unit IRA tax ($)]]/tbl_Data_old[[#This Row],[kWh Savings]]*tbl_Data_old[[#This Row],[Sum of Annuals]]</f>
        <v>0</v>
      </c>
      <c r="AY270" s="4">
        <f>tbl_Data_old[[#This Row],[Avoided Costs ($/unit)]]/tbl_Data_old[[#This Row],[kWh Savings]]*tbl_Data_old[[#This Row],[Sum of Annuals]]</f>
        <v>2085.6931679213558</v>
      </c>
      <c r="AZ270" s="4">
        <f>tbl_Data_old[[#This Row],[Lost Revenue ($/unit)]]/tbl_Data_old[[#This Row],[kWh Savings]]*tbl_Data_old[[#This Row],[Sum of Annuals]]</f>
        <v>8039.9115514123705</v>
      </c>
      <c r="BA270" s="4">
        <f>tbl_Data_old[[#This Row],[Incremental Cost ($/unit)]]/tbl_Data_old[[#This Row],[kWh Savings]]*tbl_Data_old[[#This Row],[Sum of Annuals]]</f>
        <v>1862.6771345697064</v>
      </c>
      <c r="BB270">
        <f>ROUNDUP(tbl_Data_old[[#This Row],[Adjusted 2025]]/$L270,0)</f>
        <v>1</v>
      </c>
      <c r="BC270">
        <f>ROUNDUP(tbl_Data_old[[#This Row],[Adjusted 2026]]/$L270,0)</f>
        <v>1</v>
      </c>
      <c r="BD270">
        <f>ROUNDUP(tbl_Data_old[[#This Row],[Adjusted 2027]]/$L270,0)</f>
        <v>1</v>
      </c>
      <c r="BE270">
        <f>ROUNDUP(tbl_Data_old[[#This Row],[Adjusted 2028]]/$L270,0)</f>
        <v>1</v>
      </c>
      <c r="BF270">
        <f>ROUNDUP(tbl_Data_old[[#This Row],[Adjusted 2029]]/$L270,0)</f>
        <v>1</v>
      </c>
      <c r="BG270">
        <f>ROUNDUP(tbl_Data_old[[#This Row],[Adjusted 2030]]/$L270,0)</f>
        <v>1</v>
      </c>
      <c r="BH270">
        <f>ROUNDUP(tbl_Data_old[[#This Row],[Adjusted 2031]]/$L270,0)</f>
        <v>1</v>
      </c>
      <c r="BI270">
        <f>ROUNDUP(tbl_Data_old[[#This Row],[Adjusted 2032]]/$L270,0)</f>
        <v>1</v>
      </c>
      <c r="BJ270">
        <f>ROUNDUP(tbl_Data_old[[#This Row],[Adjusted 2033]]/$L270,0)</f>
        <v>1</v>
      </c>
      <c r="BK270">
        <f>ROUNDUP(tbl_Data_old[[#This Row],[Adjusted 2034]]/$L270,0)</f>
        <v>1</v>
      </c>
      <c r="BL270" s="3">
        <f t="shared" si="20"/>
        <v>0</v>
      </c>
      <c r="BM270" s="3">
        <f t="shared" si="20"/>
        <v>0</v>
      </c>
      <c r="BN270" s="3">
        <f t="shared" si="20"/>
        <v>0</v>
      </c>
      <c r="BO270" s="3">
        <f t="shared" si="20"/>
        <v>0</v>
      </c>
      <c r="BP270" s="3">
        <f t="shared" si="20"/>
        <v>0</v>
      </c>
      <c r="BQ270" s="3">
        <f t="shared" si="19"/>
        <v>0</v>
      </c>
      <c r="BR270" s="3">
        <f t="shared" si="19"/>
        <v>0</v>
      </c>
      <c r="BS270" s="3">
        <f t="shared" si="19"/>
        <v>0</v>
      </c>
      <c r="BT270" s="3">
        <f t="shared" si="19"/>
        <v>0</v>
      </c>
      <c r="BU270" s="3">
        <f t="shared" si="19"/>
        <v>0</v>
      </c>
      <c r="BV270">
        <f>VLOOKUP($H270,'1. Set Program Names'!$B$2:$D$15,3,0)*V270</f>
        <v>10361.348393905828</v>
      </c>
      <c r="BW270">
        <f>VLOOKUP($H270,'1. Set Program Names'!$B$2:$D$15,3,0)*W270</f>
        <v>21744.566383243775</v>
      </c>
      <c r="BX270">
        <f>VLOOKUP($H270,'1. Set Program Names'!$B$2:$D$15,3,0)*X270</f>
        <v>33960.188430074377</v>
      </c>
      <c r="BY270">
        <f>VLOOKUP($H270,'1. Set Program Names'!$B$2:$D$15,3,0)*Y270</f>
        <v>46898.501048984697</v>
      </c>
      <c r="BZ270">
        <f>VLOOKUP($H270,'1. Set Program Names'!$B$2:$D$15,3,0)*Z270</f>
        <v>60453.908432205841</v>
      </c>
      <c r="CA270">
        <f>VLOOKUP($H270,'1. Set Program Names'!$B$2:$D$15,3,0)*AA270</f>
        <v>74516.102541913642</v>
      </c>
      <c r="CB270">
        <f>VLOOKUP($H270,'1. Set Program Names'!$B$2:$D$15,3,0)*AB270</f>
        <v>88994.249465958404</v>
      </c>
      <c r="CC270">
        <f>VLOOKUP($H270,'1. Set Program Names'!$B$2:$D$15,3,0)*AC270</f>
        <v>103838.12890418092</v>
      </c>
      <c r="CD270">
        <f>VLOOKUP($H270,'1. Set Program Names'!$B$2:$D$15,3,0)*AD270</f>
        <v>119009.48958470374</v>
      </c>
      <c r="CE270">
        <f>VLOOKUP($H270,'1. Set Program Names'!$B$2:$D$15,3,0)*AE270</f>
        <v>134461.72802733665</v>
      </c>
    </row>
    <row r="271" spans="1:83" x14ac:dyDescent="0.25">
      <c r="A271" s="20" t="s">
        <v>113</v>
      </c>
      <c r="B271" s="20" t="s">
        <v>88</v>
      </c>
      <c r="C271" s="20" t="s">
        <v>122</v>
      </c>
      <c r="D271" s="20" t="s">
        <v>90</v>
      </c>
      <c r="E271" s="20" t="s">
        <v>91</v>
      </c>
      <c r="F271" s="20" t="s">
        <v>90</v>
      </c>
      <c r="G271" s="20" t="s">
        <v>92</v>
      </c>
      <c r="H271" s="20" t="s">
        <v>14</v>
      </c>
      <c r="I271" s="20" t="s">
        <v>305</v>
      </c>
      <c r="J271" s="20" t="s">
        <v>129</v>
      </c>
      <c r="K271" s="20" t="s">
        <v>306</v>
      </c>
      <c r="L271" s="20">
        <v>1181.58666666666</v>
      </c>
      <c r="M271" s="20">
        <v>0.32580149205424902</v>
      </c>
      <c r="N271" s="20">
        <v>0</v>
      </c>
      <c r="O271" s="20">
        <v>442.61899981344197</v>
      </c>
      <c r="P271" s="20">
        <v>13015.025349926</v>
      </c>
      <c r="Q271" s="20">
        <v>42.064124894815102</v>
      </c>
      <c r="R271" s="20">
        <v>484.68312470825703</v>
      </c>
      <c r="S271" s="20">
        <v>971.92143438909795</v>
      </c>
      <c r="T271" s="20">
        <v>10</v>
      </c>
      <c r="U271" s="20">
        <v>0.94999999999999896</v>
      </c>
      <c r="V271" s="20">
        <v>5940.8244584307204</v>
      </c>
      <c r="W271" s="20">
        <v>10932.738934511101</v>
      </c>
      <c r="X271" s="20">
        <v>15108.549622063199</v>
      </c>
      <c r="Y271" s="20">
        <v>18617.196950015201</v>
      </c>
      <c r="Z271" s="20">
        <v>21578.9743726985</v>
      </c>
      <c r="AA271" s="20">
        <v>24092.662595190301</v>
      </c>
      <c r="AB271" s="20">
        <v>26239.343320434</v>
      </c>
      <c r="AC271" s="20">
        <v>28089.3830823561</v>
      </c>
      <c r="AD271" s="20">
        <v>29705.303376939501</v>
      </c>
      <c r="AE271" s="20">
        <v>31130.889669378601</v>
      </c>
      <c r="AF271" t="str">
        <f t="shared" si="18"/>
        <v>NonResidential</v>
      </c>
      <c r="AG271" t="str">
        <f>tbl_Data_old[[#This Row],[All_Meas_Name_Append]]</f>
        <v>Window shade film</v>
      </c>
      <c r="AH271">
        <f>AVERAGEIFS('3. Incentive Adjustment'!G:G,'3. Incentive Adjustment'!A:A,tbl_Data_old[[#This Row],[Trimmed Sector]],'3. Incentive Adjustment'!B:B,tbl_Data_old[[#This Row],[Trimmed Measure Name]])</f>
        <v>3.2127764592544555E-13</v>
      </c>
      <c r="AI271">
        <f>$AH271*tbl_Data_old[[#This Row],[2025 ]]</f>
        <v>1.908654096860932E-9</v>
      </c>
      <c r="AJ271">
        <f>$AH271*tbl_Data_old[[#This Row],[2026 ]]</f>
        <v>3.5124446283971904E-9</v>
      </c>
      <c r="AK271">
        <f>$AH271*tbl_Data_old[[#This Row],[2027 ]]</f>
        <v>4.8540392559242445E-9</v>
      </c>
      <c r="AL271">
        <f>$AH271*tbl_Data_old[[#This Row],[2028 ]]</f>
        <v>5.9812892098312685E-9</v>
      </c>
      <c r="AM271">
        <f>$AH271*tbl_Data_old[[#This Row],[2029 ]]</f>
        <v>6.9328420879460926E-9</v>
      </c>
      <c r="AN271">
        <f>$AH271*tbl_Data_old[[#This Row],[2030 ]]</f>
        <v>7.740433922658776E-9</v>
      </c>
      <c r="AO271">
        <f>$AH271*tbl_Data_old[[#This Row],[2031 ]]</f>
        <v>8.4301144526186E-9</v>
      </c>
      <c r="AP271">
        <f>$AH271*tbl_Data_old[[#This Row],[2032 ]]</f>
        <v>9.0244908721974037E-9</v>
      </c>
      <c r="AQ271">
        <f>$AH271*tbl_Data_old[[#This Row],[2033 ]]</f>
        <v>9.5436499404443113E-9</v>
      </c>
      <c r="AR271">
        <f>$AH271*tbl_Data_old[[#This Row],[2034 ]]</f>
        <v>1.0001658948542728E-8</v>
      </c>
      <c r="AS271">
        <f>SUM(tbl_Data_old[[#This Row],[Adjusted 2025]:[Adjusted 2034]])</f>
        <v>6.7929617415421552E-8</v>
      </c>
      <c r="AT271" s="3">
        <f>AVERAGEIFS('3. Incentive Adjustment'!F:F,'3. Incentive Adjustment'!A:A,tbl_Data_old[[#This Row],[Trimmed Sector]],'3. Incentive Adjustment'!B:B,tbl_Data_old[[#This Row],[Trimmed Measure Name]])</f>
        <v>132.78569994403261</v>
      </c>
      <c r="AU271" s="3">
        <f>IFERROR(VLOOKUP(tbl_Data_old[[#This Row],[All_Meas_Name_Append]],'IRA Tax Credits'!$A$3:$D$46,4,0),0)</f>
        <v>0</v>
      </c>
      <c r="AV271" s="4">
        <f>tbl_Data_old[[#This Row],[Adj. per unit Incentive ($)]]/tbl_Data_old[[#This Row],[kWh Savings]]*tbl_Data_old[[#This Row],[Sum of Annuals]]</f>
        <v>7.6338723598526977E-9</v>
      </c>
      <c r="AW271" s="4">
        <f>IFERROR(VLOOKUP(tbl_Data_old[[#This Row],[All_Programs]],'1. Set Program Names'!$B$2:$D$15,3,0)*tbl_Data_old[[#This Row],[Sum of Annuals]],"")</f>
        <v>2.4182736583176022E-9</v>
      </c>
      <c r="AX271" s="4">
        <f>tbl_Data_old[[#This Row],[per unit IRA tax ($)]]/tbl_Data_old[[#This Row],[kWh Savings]]*tbl_Data_old[[#This Row],[Sum of Annuals]]</f>
        <v>0</v>
      </c>
      <c r="AY271" s="4">
        <f>tbl_Data_old[[#This Row],[Avoided Costs ($/unit)]]/tbl_Data_old[[#This Row],[kWh Savings]]*tbl_Data_old[[#This Row],[Sum of Annuals]]</f>
        <v>2.7864514857826598E-8</v>
      </c>
      <c r="AZ271" s="4">
        <f>tbl_Data_old[[#This Row],[Lost Revenue ($/unit)]]/tbl_Data_old[[#This Row],[kWh Savings]]*tbl_Data_old[[#This Row],[Sum of Annuals]]</f>
        <v>5.5875927732116877E-8</v>
      </c>
      <c r="BA271" s="4">
        <f>tbl_Data_old[[#This Row],[Incremental Cost ($/unit)]]/tbl_Data_old[[#This Row],[kWh Savings]]*tbl_Data_old[[#This Row],[Sum of Annuals]]</f>
        <v>2.5446241199508988E-8</v>
      </c>
      <c r="BB271">
        <f>ROUNDUP(tbl_Data_old[[#This Row],[Adjusted 2025]]/$L271,0)</f>
        <v>1</v>
      </c>
      <c r="BC271">
        <f>ROUNDUP(tbl_Data_old[[#This Row],[Adjusted 2026]]/$L271,0)</f>
        <v>1</v>
      </c>
      <c r="BD271">
        <f>ROUNDUP(tbl_Data_old[[#This Row],[Adjusted 2027]]/$L271,0)</f>
        <v>1</v>
      </c>
      <c r="BE271">
        <f>ROUNDUP(tbl_Data_old[[#This Row],[Adjusted 2028]]/$L271,0)</f>
        <v>1</v>
      </c>
      <c r="BF271">
        <f>ROUNDUP(tbl_Data_old[[#This Row],[Adjusted 2029]]/$L271,0)</f>
        <v>1</v>
      </c>
      <c r="BG271">
        <f>ROUNDUP(tbl_Data_old[[#This Row],[Adjusted 2030]]/$L271,0)</f>
        <v>1</v>
      </c>
      <c r="BH271">
        <f>ROUNDUP(tbl_Data_old[[#This Row],[Adjusted 2031]]/$L271,0)</f>
        <v>1</v>
      </c>
      <c r="BI271">
        <f>ROUNDUP(tbl_Data_old[[#This Row],[Adjusted 2032]]/$L271,0)</f>
        <v>1</v>
      </c>
      <c r="BJ271">
        <f>ROUNDUP(tbl_Data_old[[#This Row],[Adjusted 2033]]/$L271,0)</f>
        <v>1</v>
      </c>
      <c r="BK271">
        <f>ROUNDUP(tbl_Data_old[[#This Row],[Adjusted 2034]]/$L271,0)</f>
        <v>1</v>
      </c>
      <c r="BL271" s="3">
        <f t="shared" si="20"/>
        <v>667.62477625341864</v>
      </c>
      <c r="BM271" s="3">
        <f t="shared" si="20"/>
        <v>1228.6118595259836</v>
      </c>
      <c r="BN271" s="3">
        <f t="shared" si="20"/>
        <v>1697.8858963976315</v>
      </c>
      <c r="BO271" s="3">
        <f t="shared" si="20"/>
        <v>2092.1846850029551</v>
      </c>
      <c r="BP271" s="3">
        <f t="shared" si="20"/>
        <v>2425.0267009499617</v>
      </c>
      <c r="BQ271" s="3">
        <f t="shared" si="19"/>
        <v>2707.5128354679373</v>
      </c>
      <c r="BR271" s="3">
        <f t="shared" si="19"/>
        <v>2948.7549810500218</v>
      </c>
      <c r="BS271" s="3">
        <f t="shared" si="19"/>
        <v>3156.6608686512577</v>
      </c>
      <c r="BT271" s="3">
        <f t="shared" si="19"/>
        <v>3338.2566105661058</v>
      </c>
      <c r="BU271" s="3">
        <f t="shared" si="19"/>
        <v>3498.462779958797</v>
      </c>
      <c r="BV271">
        <f>VLOOKUP($H271,'1. Set Program Names'!$B$2:$D$15,3,0)*V271</f>
        <v>211.49153849423001</v>
      </c>
      <c r="BW271">
        <f>VLOOKUP($H271,'1. Set Program Names'!$B$2:$D$15,3,0)*W271</f>
        <v>389.20217107816865</v>
      </c>
      <c r="BX271">
        <f>VLOOKUP($H271,'1. Set Program Names'!$B$2:$D$15,3,0)*X271</f>
        <v>537.85975773985683</v>
      </c>
      <c r="BY271">
        <f>VLOOKUP($H271,'1. Set Program Names'!$B$2:$D$15,3,0)*Y271</f>
        <v>662.76653231542673</v>
      </c>
      <c r="BZ271">
        <f>VLOOKUP($H271,'1. Set Program Names'!$B$2:$D$15,3,0)*Z271</f>
        <v>768.20490508401531</v>
      </c>
      <c r="CA271">
        <f>VLOOKUP($H271,'1. Set Program Names'!$B$2:$D$15,3,0)*AA271</f>
        <v>857.69143901369262</v>
      </c>
      <c r="CB271">
        <f>VLOOKUP($H271,'1. Set Program Names'!$B$2:$D$15,3,0)*AB271</f>
        <v>934.11261799557849</v>
      </c>
      <c r="CC271">
        <f>VLOOKUP($H271,'1. Set Program Names'!$B$2:$D$15,3,0)*AC271</f>
        <v>999.97346917241293</v>
      </c>
      <c r="CD271">
        <f>VLOOKUP($H271,'1. Set Program Names'!$B$2:$D$15,3,0)*AD271</f>
        <v>1057.4997387292426</v>
      </c>
      <c r="CE271">
        <f>VLOOKUP($H271,'1. Set Program Names'!$B$2:$D$15,3,0)*AE271</f>
        <v>1108.2501758703988</v>
      </c>
    </row>
    <row r="272" spans="1:83" x14ac:dyDescent="0.25">
      <c r="A272" s="20" t="s">
        <v>114</v>
      </c>
      <c r="B272" s="20" t="s">
        <v>88</v>
      </c>
      <c r="C272" s="20" t="s">
        <v>122</v>
      </c>
      <c r="D272" s="20" t="s">
        <v>90</v>
      </c>
      <c r="E272" s="20" t="s">
        <v>91</v>
      </c>
      <c r="F272" s="20" t="s">
        <v>90</v>
      </c>
      <c r="G272" s="20" t="s">
        <v>92</v>
      </c>
      <c r="H272" s="20" t="s">
        <v>14</v>
      </c>
      <c r="I272" s="20" t="s">
        <v>237</v>
      </c>
      <c r="J272" s="20" t="s">
        <v>129</v>
      </c>
      <c r="K272" s="20" t="s">
        <v>102</v>
      </c>
      <c r="L272" s="20">
        <v>2568.1199999999699</v>
      </c>
      <c r="M272" s="20">
        <v>0.53641456399840104</v>
      </c>
      <c r="N272" s="20">
        <v>2.1892485513222901E-2</v>
      </c>
      <c r="O272" s="53">
        <f>9025.1/929.29*tbl_Data_old[[#This Row],[kWh Savings]]</f>
        <v>24941.126894725789</v>
      </c>
      <c r="P272" s="20">
        <v>35498.089296558101</v>
      </c>
      <c r="Q272" s="20">
        <v>91.4242886047615</v>
      </c>
      <c r="R272" s="20">
        <v>1534.4473108970501</v>
      </c>
      <c r="S272" s="20">
        <v>3958.9826982459099</v>
      </c>
      <c r="T272" s="20">
        <v>30</v>
      </c>
      <c r="U272" s="20">
        <v>0.94999999999999896</v>
      </c>
      <c r="V272" s="20">
        <v>0.34438989371934797</v>
      </c>
      <c r="W272" s="20">
        <v>0.38475793038942901</v>
      </c>
      <c r="X272" s="20">
        <v>0.42853810263806102</v>
      </c>
      <c r="Y272" s="20">
        <v>0.47660915333236997</v>
      </c>
      <c r="Z272" s="20">
        <v>0.527447319642813</v>
      </c>
      <c r="AA272" s="20">
        <v>0.58098805076095095</v>
      </c>
      <c r="AB272" s="20">
        <v>0.63576861093023496</v>
      </c>
      <c r="AC272" s="20">
        <v>0.692677572575357</v>
      </c>
      <c r="AD272" s="20">
        <v>0.75348582972926703</v>
      </c>
      <c r="AE272" s="20">
        <v>0.81493420529837002</v>
      </c>
      <c r="AF272" t="str">
        <f t="shared" si="18"/>
        <v>NonResidential</v>
      </c>
      <c r="AG272" t="str">
        <f>tbl_Data_old[[#This Row],[All_Meas_Name_Append]]</f>
        <v>Ceiling Insulation(R19 to R38)</v>
      </c>
      <c r="AH272">
        <f>AVERAGEIFS('3. Incentive Adjustment'!G:G,'3. Incentive Adjustment'!A:A,tbl_Data_old[[#This Row],[Trimmed Sector]],'3. Incentive Adjustment'!B:B,tbl_Data_old[[#This Row],[Trimmed Measure Name]])</f>
        <v>3.9688771318830651E-15</v>
      </c>
      <c r="AI272">
        <f>$AH272*tbl_Data_old[[#This Row],[2025 ]]</f>
        <v>1.3668411736343594E-15</v>
      </c>
      <c r="AJ272">
        <f>$AH272*tbl_Data_old[[#This Row],[2026 ]]</f>
        <v>1.5270569512332609E-15</v>
      </c>
      <c r="AK272">
        <f>$AH272*tbl_Data_old[[#This Row],[2027 ]]</f>
        <v>1.7008150757007582E-15</v>
      </c>
      <c r="AL272">
        <f>$AH272*tbl_Data_old[[#This Row],[2028 ]]</f>
        <v>1.8916031695069923E-15</v>
      </c>
      <c r="AM272">
        <f>$AH272*tbl_Data_old[[#This Row],[2029 ]]</f>
        <v>2.0933736052033779E-15</v>
      </c>
      <c r="AN272">
        <f>$AH272*tbl_Data_old[[#This Row],[2030 ]]</f>
        <v>2.3058701885624557E-15</v>
      </c>
      <c r="AO272">
        <f>$AH272*tbl_Data_old[[#This Row],[2031 ]]</f>
        <v>2.5232875010900714E-15</v>
      </c>
      <c r="AP272">
        <f>$AH272*tbl_Data_old[[#This Row],[2032 ]]</f>
        <v>2.7491521775626065E-15</v>
      </c>
      <c r="AQ272">
        <f>$AH272*tbl_Data_old[[#This Row],[2033 ]]</f>
        <v>2.9904926788104247E-15</v>
      </c>
      <c r="AR272">
        <f>$AH272*tbl_Data_old[[#This Row],[2034 ]]</f>
        <v>3.2343737313979998E-15</v>
      </c>
      <c r="AS272">
        <f>SUM(tbl_Data_old[[#This Row],[Adjusted 2025]:[Adjusted 2034]])</f>
        <v>2.2382866252702308E-14</v>
      </c>
      <c r="AT272" s="3">
        <f>AVERAGEIFS('3. Incentive Adjustment'!F:F,'3. Incentive Adjustment'!A:A,tbl_Data_old[[#This Row],[Trimmed Sector]],'3. Incentive Adjustment'!B:B,tbl_Data_old[[#This Row],[Trimmed Measure Name]])</f>
        <v>3222.5963039661074</v>
      </c>
      <c r="AU272" s="3">
        <f>IFERROR(VLOOKUP(tbl_Data_old[[#This Row],[All_Meas_Name_Append]],'IRA Tax Credits'!$A$3:$D$46,4,0),0)</f>
        <v>0</v>
      </c>
      <c r="AV272" s="4">
        <f>tbl_Data_old[[#This Row],[Adj. per unit Incentive ($)]]/tbl_Data_old[[#This Row],[kWh Savings]]*tbl_Data_old[[#This Row],[Sum of Annuals]]</f>
        <v>2.8087060596127525E-14</v>
      </c>
      <c r="AW272" s="4">
        <f>IFERROR(VLOOKUP(tbl_Data_old[[#This Row],[All_Programs]],'1. Set Program Names'!$B$2:$D$15,3,0)*tbl_Data_old[[#This Row],[Sum of Annuals]],"")</f>
        <v>7.9682321078799061E-16</v>
      </c>
      <c r="AX272" s="4">
        <f>tbl_Data_old[[#This Row],[per unit IRA tax ($)]]/tbl_Data_old[[#This Row],[kWh Savings]]*tbl_Data_old[[#This Row],[Sum of Annuals]]</f>
        <v>0</v>
      </c>
      <c r="AY272" s="4">
        <f>tbl_Data_old[[#This Row],[Avoided Costs ($/unit)]]/tbl_Data_old[[#This Row],[kWh Savings]]*tbl_Data_old[[#This Row],[Sum of Annuals]]</f>
        <v>1.3373724332051381E-14</v>
      </c>
      <c r="AZ272" s="4">
        <f>tbl_Data_old[[#This Row],[Lost Revenue ($/unit)]]/tbl_Data_old[[#This Row],[kWh Savings]]*tbl_Data_old[[#This Row],[Sum of Annuals]]</f>
        <v>3.4505155612510997E-14</v>
      </c>
      <c r="BA272" s="4">
        <f>tbl_Data_old[[#This Row],[Incremental Cost ($/unit)]]/tbl_Data_old[[#This Row],[kWh Savings]]*tbl_Data_old[[#This Row],[Sum of Annuals]]</f>
        <v>2.1737843538321042E-13</v>
      </c>
      <c r="BB272">
        <f>ROUNDUP(tbl_Data_old[[#This Row],[Adjusted 2025]]/$L272,0)</f>
        <v>1</v>
      </c>
      <c r="BC272">
        <f>ROUNDUP(tbl_Data_old[[#This Row],[Adjusted 2026]]/$L272,0)</f>
        <v>1</v>
      </c>
      <c r="BD272">
        <f>ROUNDUP(tbl_Data_old[[#This Row],[Adjusted 2027]]/$L272,0)</f>
        <v>1</v>
      </c>
      <c r="BE272">
        <f>ROUNDUP(tbl_Data_old[[#This Row],[Adjusted 2028]]/$L272,0)</f>
        <v>1</v>
      </c>
      <c r="BF272">
        <f>ROUNDUP(tbl_Data_old[[#This Row],[Adjusted 2029]]/$L272,0)</f>
        <v>1</v>
      </c>
      <c r="BG272">
        <f>ROUNDUP(tbl_Data_old[[#This Row],[Adjusted 2030]]/$L272,0)</f>
        <v>1</v>
      </c>
      <c r="BH272">
        <f>ROUNDUP(tbl_Data_old[[#This Row],[Adjusted 2031]]/$L272,0)</f>
        <v>1</v>
      </c>
      <c r="BI272">
        <f>ROUNDUP(tbl_Data_old[[#This Row],[Adjusted 2032]]/$L272,0)</f>
        <v>1</v>
      </c>
      <c r="BJ272">
        <f>ROUNDUP(tbl_Data_old[[#This Row],[Adjusted 2033]]/$L272,0)</f>
        <v>1</v>
      </c>
      <c r="BK272">
        <f>ROUNDUP(tbl_Data_old[[#This Row],[Adjusted 2034]]/$L272,0)</f>
        <v>1</v>
      </c>
      <c r="BL272" s="3">
        <f t="shared" si="20"/>
        <v>0.43215644075170334</v>
      </c>
      <c r="BM272" s="3">
        <f t="shared" si="20"/>
        <v>0.48281212887039443</v>
      </c>
      <c r="BN272" s="3">
        <f t="shared" si="20"/>
        <v>0.53774952325829017</v>
      </c>
      <c r="BO272" s="3">
        <f t="shared" si="20"/>
        <v>0.59807131129593993</v>
      </c>
      <c r="BP272" s="3">
        <f t="shared" si="20"/>
        <v>0.66186540458303322</v>
      </c>
      <c r="BQ272" s="3">
        <f t="shared" si="19"/>
        <v>0.7290508017657803</v>
      </c>
      <c r="BR272" s="3">
        <f t="shared" si="19"/>
        <v>0.7977919940506929</v>
      </c>
      <c r="BS272" s="3">
        <f t="shared" si="19"/>
        <v>0.86920400340388571</v>
      </c>
      <c r="BT272" s="3">
        <f t="shared" si="19"/>
        <v>0.94550902994268193</v>
      </c>
      <c r="BU272" s="3">
        <f t="shared" si="19"/>
        <v>1.0226173068120319</v>
      </c>
      <c r="BV272">
        <f>VLOOKUP($H272,'1. Set Program Names'!$B$2:$D$15,3,0)*V272</f>
        <v>1.2260175161581682E-2</v>
      </c>
      <c r="BW272">
        <f>VLOOKUP($H272,'1. Set Program Names'!$B$2:$D$15,3,0)*W272</f>
        <v>1.3697264952920531E-2</v>
      </c>
      <c r="BX272">
        <f>VLOOKUP($H272,'1. Set Program Names'!$B$2:$D$15,3,0)*X272</f>
        <v>1.5255825729996815E-2</v>
      </c>
      <c r="BY272">
        <f>VLOOKUP($H272,'1. Set Program Names'!$B$2:$D$15,3,0)*Y272</f>
        <v>1.6967140470823049E-2</v>
      </c>
      <c r="BZ272">
        <f>VLOOKUP($H272,'1. Set Program Names'!$B$2:$D$15,3,0)*Z272</f>
        <v>1.8776963683485564E-2</v>
      </c>
      <c r="CA272">
        <f>VLOOKUP($H272,'1. Set Program Names'!$B$2:$D$15,3,0)*AA272</f>
        <v>2.0682997378894903E-2</v>
      </c>
      <c r="CB272">
        <f>VLOOKUP($H272,'1. Set Program Names'!$B$2:$D$15,3,0)*AB272</f>
        <v>2.2633168610319908E-2</v>
      </c>
      <c r="CC272">
        <f>VLOOKUP($H272,'1. Set Program Names'!$B$2:$D$15,3,0)*AC272</f>
        <v>2.4659110285023968E-2</v>
      </c>
      <c r="CD272">
        <f>VLOOKUP($H272,'1. Set Program Names'!$B$2:$D$15,3,0)*AD272</f>
        <v>2.682386569037562E-2</v>
      </c>
      <c r="CE272">
        <f>VLOOKUP($H272,'1. Set Program Names'!$B$2:$D$15,3,0)*AE272</f>
        <v>2.9011409116042455E-2</v>
      </c>
    </row>
    <row r="273" spans="1:83" x14ac:dyDescent="0.25">
      <c r="A273" s="20" t="s">
        <v>114</v>
      </c>
      <c r="B273" s="20" t="s">
        <v>88</v>
      </c>
      <c r="C273" s="20" t="s">
        <v>122</v>
      </c>
      <c r="D273" s="20" t="s">
        <v>90</v>
      </c>
      <c r="E273" s="20" t="s">
        <v>91</v>
      </c>
      <c r="F273" s="20" t="s">
        <v>90</v>
      </c>
      <c r="G273" s="20" t="s">
        <v>92</v>
      </c>
      <c r="H273" s="20" t="s">
        <v>14</v>
      </c>
      <c r="I273" s="20" t="s">
        <v>238</v>
      </c>
      <c r="J273" s="20" t="s">
        <v>129</v>
      </c>
      <c r="K273" s="20" t="s">
        <v>102</v>
      </c>
      <c r="L273" s="20">
        <v>4477.6116666666303</v>
      </c>
      <c r="M273" s="20">
        <v>0.90610878358590996</v>
      </c>
      <c r="N273" s="20">
        <v>4.9616670393602701E-2</v>
      </c>
      <c r="O273" s="53">
        <f>9351.31/1137.9*tbl_Data_old[[#This Row],[kWh Savings]]</f>
        <v>36797.200768623181</v>
      </c>
      <c r="P273" s="20">
        <v>44221.719775682497</v>
      </c>
      <c r="Q273" s="20">
        <v>159.401609454924</v>
      </c>
      <c r="R273" s="20">
        <v>2670.7044942461998</v>
      </c>
      <c r="S273" s="20">
        <v>6902.6319322295803</v>
      </c>
      <c r="T273" s="20">
        <v>30</v>
      </c>
      <c r="U273" s="20">
        <v>0.94999999999999896</v>
      </c>
      <c r="V273" s="20">
        <v>0.217739693361376</v>
      </c>
      <c r="W273" s="20">
        <v>0.242941725659369</v>
      </c>
      <c r="X273" s="20">
        <v>0.27012434324578899</v>
      </c>
      <c r="Y273" s="20">
        <v>0.299888045253209</v>
      </c>
      <c r="Z273" s="20">
        <v>0.33131192097878098</v>
      </c>
      <c r="AA273" s="20">
        <v>0.36432506511378898</v>
      </c>
      <c r="AB273" s="20">
        <v>0.398066772298592</v>
      </c>
      <c r="AC273" s="20">
        <v>0.43310330186467899</v>
      </c>
      <c r="AD273" s="20">
        <v>0.47047795473068199</v>
      </c>
      <c r="AE273" s="20">
        <v>0.508237370965133</v>
      </c>
      <c r="AF273" t="str">
        <f t="shared" si="18"/>
        <v>NonResidential</v>
      </c>
      <c r="AG273" t="str">
        <f>tbl_Data_old[[#This Row],[All_Meas_Name_Append]]</f>
        <v>Ceiling Insulation(R19 to R49)</v>
      </c>
      <c r="AH273">
        <f>AVERAGEIFS('3. Incentive Adjustment'!G:G,'3. Incentive Adjustment'!A:A,tbl_Data_old[[#This Row],[Trimmed Sector]],'3. Incentive Adjustment'!B:B,tbl_Data_old[[#This Row],[Trimmed Measure Name]])</f>
        <v>7.9373870200739678E-11</v>
      </c>
      <c r="AI273">
        <f>$AH273*tbl_Data_old[[#This Row],[2025 ]]</f>
        <v>1.7282842158414716E-11</v>
      </c>
      <c r="AJ273">
        <f>$AH273*tbl_Data_old[[#This Row],[2026 ]]</f>
        <v>1.9283224998830464E-11</v>
      </c>
      <c r="AK273">
        <f>$AH273*tbl_Data_old[[#This Row],[2027 ]]</f>
        <v>2.1440814558851307E-11</v>
      </c>
      <c r="AL273">
        <f>$AH273*tbl_Data_old[[#This Row],[2028 ]]</f>
        <v>2.3803274778681757E-11</v>
      </c>
      <c r="AM273">
        <f>$AH273*tbl_Data_old[[#This Row],[2029 ]]</f>
        <v>2.6297509411727482E-11</v>
      </c>
      <c r="AN273">
        <f>$AH273*tbl_Data_old[[#This Row],[2030 ]]</f>
        <v>2.8917890429217918E-11</v>
      </c>
      <c r="AO273">
        <f>$AH273*tbl_Data_old[[#This Row],[2031 ]]</f>
        <v>3.1596100315655841E-11</v>
      </c>
      <c r="AP273">
        <f>$AH273*tbl_Data_old[[#This Row],[2032 ]]</f>
        <v>3.4377085265718808E-11</v>
      </c>
      <c r="AQ273">
        <f>$AH273*tbl_Data_old[[#This Row],[2033 ]]</f>
        <v>3.7343656111102629E-11</v>
      </c>
      <c r="AR273">
        <f>$AH273*tbl_Data_old[[#This Row],[2034 ]]</f>
        <v>4.0340767114151645E-11</v>
      </c>
      <c r="AS273">
        <f>SUM(tbl_Data_old[[#This Row],[Adjusted 2025]:[Adjusted 2034]])</f>
        <v>2.8068316514235255E-10</v>
      </c>
      <c r="AT273" s="3">
        <f>AVERAGEIFS('3. Incentive Adjustment'!F:F,'3. Incentive Adjustment'!A:A,tbl_Data_old[[#This Row],[Trimmed Sector]],'3. Incentive Adjustment'!B:B,tbl_Data_old[[#This Row],[Trimmed Measure Name]])</f>
        <v>4754.4974087894998</v>
      </c>
      <c r="AU273" s="3">
        <f>IFERROR(VLOOKUP(tbl_Data_old[[#This Row],[All_Meas_Name_Append]],'IRA Tax Credits'!$A$3:$D$46,4,0),0)</f>
        <v>500</v>
      </c>
      <c r="AV273" s="4">
        <f>tbl_Data_old[[#This Row],[Adj. per unit Incentive ($)]]/tbl_Data_old[[#This Row],[kWh Savings]]*tbl_Data_old[[#This Row],[Sum of Annuals]]</f>
        <v>2.9804000005065828E-10</v>
      </c>
      <c r="AW273" s="4">
        <f>IFERROR(VLOOKUP(tbl_Data_old[[#This Row],[All_Programs]],'1. Set Program Names'!$B$2:$D$15,3,0)*tbl_Data_old[[#This Row],[Sum of Annuals]],"")</f>
        <v>9.9922350577358741E-12</v>
      </c>
      <c r="AX273" s="4">
        <f>tbl_Data_old[[#This Row],[per unit IRA tax ($)]]/tbl_Data_old[[#This Row],[kWh Savings]]*tbl_Data_old[[#This Row],[Sum of Annuals]]</f>
        <v>3.1342955356299116E-11</v>
      </c>
      <c r="AY273" s="4">
        <f>tbl_Data_old[[#This Row],[Avoided Costs ($/unit)]]/tbl_Data_old[[#This Row],[kWh Savings]]*tbl_Data_old[[#This Row],[Sum of Annuals]]</f>
        <v>1.6741554346605209E-10</v>
      </c>
      <c r="AZ273" s="4">
        <f>tbl_Data_old[[#This Row],[Lost Revenue ($/unit)]]/tbl_Data_old[[#This Row],[kWh Savings]]*tbl_Data_old[[#This Row],[Sum of Annuals]]</f>
        <v>4.3269776898567288E-10</v>
      </c>
      <c r="BA273" s="4">
        <f>tbl_Data_old[[#This Row],[Incremental Cost ($/unit)]]/tbl_Data_old[[#This Row],[kWh Savings]]*tbl_Data_old[[#This Row],[Sum of Annuals]]</f>
        <v>2.3066660418554637E-9</v>
      </c>
      <c r="BB273">
        <f>ROUNDUP(tbl_Data_old[[#This Row],[Adjusted 2025]]/$L273,0)</f>
        <v>1</v>
      </c>
      <c r="BC273">
        <f>ROUNDUP(tbl_Data_old[[#This Row],[Adjusted 2026]]/$L273,0)</f>
        <v>1</v>
      </c>
      <c r="BD273">
        <f>ROUNDUP(tbl_Data_old[[#This Row],[Adjusted 2027]]/$L273,0)</f>
        <v>1</v>
      </c>
      <c r="BE273">
        <f>ROUNDUP(tbl_Data_old[[#This Row],[Adjusted 2028]]/$L273,0)</f>
        <v>1</v>
      </c>
      <c r="BF273">
        <f>ROUNDUP(tbl_Data_old[[#This Row],[Adjusted 2029]]/$L273,0)</f>
        <v>1</v>
      </c>
      <c r="BG273">
        <f>ROUNDUP(tbl_Data_old[[#This Row],[Adjusted 2030]]/$L273,0)</f>
        <v>1</v>
      </c>
      <c r="BH273">
        <f>ROUNDUP(tbl_Data_old[[#This Row],[Adjusted 2031]]/$L273,0)</f>
        <v>1</v>
      </c>
      <c r="BI273">
        <f>ROUNDUP(tbl_Data_old[[#This Row],[Adjusted 2032]]/$L273,0)</f>
        <v>1</v>
      </c>
      <c r="BJ273">
        <f>ROUNDUP(tbl_Data_old[[#This Row],[Adjusted 2033]]/$L273,0)</f>
        <v>1</v>
      </c>
      <c r="BK273">
        <f>ROUNDUP(tbl_Data_old[[#This Row],[Adjusted 2034]]/$L273,0)</f>
        <v>1</v>
      </c>
      <c r="BL273" s="3">
        <f t="shared" si="20"/>
        <v>0.23120424122174305</v>
      </c>
      <c r="BM273" s="3">
        <f t="shared" si="20"/>
        <v>0.25796471224451034</v>
      </c>
      <c r="BN273" s="3">
        <f t="shared" si="20"/>
        <v>0.28682824363131382</v>
      </c>
      <c r="BO273" s="3">
        <f t="shared" si="20"/>
        <v>0.31843246807170833</v>
      </c>
      <c r="BP273" s="3">
        <f t="shared" si="20"/>
        <v>0.35179952775300938</v>
      </c>
      <c r="BQ273" s="3">
        <f t="shared" si="19"/>
        <v>0.38685413273681757</v>
      </c>
      <c r="BR273" s="3">
        <f t="shared" si="19"/>
        <v>0.4226823535208028</v>
      </c>
      <c r="BS273" s="3">
        <f t="shared" si="19"/>
        <v>0.45988546567879596</v>
      </c>
      <c r="BT273" s="3">
        <f t="shared" si="19"/>
        <v>0.49957128558334024</v>
      </c>
      <c r="BU273" s="3">
        <f t="shared" si="19"/>
        <v>0.5396656617840685</v>
      </c>
      <c r="BV273">
        <f>VLOOKUP($H273,'1. Set Program Names'!$B$2:$D$15,3,0)*V273</f>
        <v>7.7514666629997534E-3</v>
      </c>
      <c r="BW273">
        <f>VLOOKUP($H273,'1. Set Program Names'!$B$2:$D$15,3,0)*W273</f>
        <v>8.6486513250242144E-3</v>
      </c>
      <c r="BX273">
        <f>VLOOKUP($H273,'1. Set Program Names'!$B$2:$D$15,3,0)*X273</f>
        <v>9.6163442191466667E-3</v>
      </c>
      <c r="BY273">
        <f>VLOOKUP($H273,'1. Set Program Names'!$B$2:$D$15,3,0)*Y273</f>
        <v>1.0675922931306736E-2</v>
      </c>
      <c r="BZ273">
        <f>VLOOKUP($H273,'1. Set Program Names'!$B$2:$D$15,3,0)*Z273</f>
        <v>1.1794603321403337E-2</v>
      </c>
      <c r="CA273">
        <f>VLOOKUP($H273,'1. Set Program Names'!$B$2:$D$15,3,0)*AA273</f>
        <v>1.2969861182075578E-2</v>
      </c>
      <c r="CB273">
        <f>VLOOKUP($H273,'1. Set Program Names'!$B$2:$D$15,3,0)*AB273</f>
        <v>1.4171055665075132E-2</v>
      </c>
      <c r="CC273">
        <f>VLOOKUP($H273,'1. Set Program Names'!$B$2:$D$15,3,0)*AC273</f>
        <v>1.5418345429867756E-2</v>
      </c>
      <c r="CD273">
        <f>VLOOKUP($H273,'1. Set Program Names'!$B$2:$D$15,3,0)*AD273</f>
        <v>1.674887167090177E-2</v>
      </c>
      <c r="CE273">
        <f>VLOOKUP($H273,'1. Set Program Names'!$B$2:$D$15,3,0)*AE273</f>
        <v>1.809309537048193E-2</v>
      </c>
    </row>
    <row r="274" spans="1:83" x14ac:dyDescent="0.25">
      <c r="A274" s="20" t="s">
        <v>114</v>
      </c>
      <c r="B274" s="20" t="s">
        <v>88</v>
      </c>
      <c r="C274" s="20" t="s">
        <v>122</v>
      </c>
      <c r="D274" s="20" t="s">
        <v>90</v>
      </c>
      <c r="E274" s="20" t="s">
        <v>91</v>
      </c>
      <c r="F274" s="20" t="s">
        <v>90</v>
      </c>
      <c r="G274" s="20" t="s">
        <v>92</v>
      </c>
      <c r="H274" s="20" t="s">
        <v>14</v>
      </c>
      <c r="I274" s="20" t="s">
        <v>240</v>
      </c>
      <c r="J274" s="20" t="s">
        <v>129</v>
      </c>
      <c r="K274" s="20" t="s">
        <v>102</v>
      </c>
      <c r="L274" s="20">
        <v>18717.787499999999</v>
      </c>
      <c r="M274" s="20">
        <v>3.6380387810097399</v>
      </c>
      <c r="N274" s="20">
        <v>0.14255501576814</v>
      </c>
      <c r="O274" s="53">
        <f>11091.09/6133.31*tbl_Data_old[[#This Row],[kWh Savings]]</f>
        <v>33848.063405139306</v>
      </c>
      <c r="P274" s="20">
        <v>45532.278837645601</v>
      </c>
      <c r="Q274" s="20">
        <v>666.34752521012103</v>
      </c>
      <c r="R274" s="20">
        <v>11042.715256281999</v>
      </c>
      <c r="S274" s="20">
        <v>28855.114582630202</v>
      </c>
      <c r="T274" s="20">
        <v>30</v>
      </c>
      <c r="U274" s="20">
        <v>0.95</v>
      </c>
      <c r="V274" s="20">
        <v>0.39265796618577398</v>
      </c>
      <c r="W274" s="20">
        <v>0.38516517236894698</v>
      </c>
      <c r="X274" s="20">
        <v>0.374486739271639</v>
      </c>
      <c r="Y274" s="20">
        <v>0.36416267148372999</v>
      </c>
      <c r="Z274" s="20">
        <v>0.354282619148236</v>
      </c>
      <c r="AA274" s="20">
        <v>0.34384911502737397</v>
      </c>
      <c r="AB274" s="20">
        <v>0.33356592047912298</v>
      </c>
      <c r="AC274" s="20">
        <v>0.323982740200768</v>
      </c>
      <c r="AD274" s="20">
        <v>0.31454046908973698</v>
      </c>
      <c r="AE274" s="20">
        <v>0.30542024400963902</v>
      </c>
      <c r="AF274" t="str">
        <f t="shared" si="18"/>
        <v>NonResidential</v>
      </c>
      <c r="AG274" t="str">
        <f>tbl_Data_old[[#This Row],[All_Meas_Name_Append]]</f>
        <v>Ceiling Insulation(R2 to R38)</v>
      </c>
      <c r="AH274">
        <f>AVERAGEIFS('3. Incentive Adjustment'!G:G,'3. Incentive Adjustment'!A:A,tbl_Data_old[[#This Row],[Trimmed Sector]],'3. Incentive Adjustment'!B:B,tbl_Data_old[[#This Row],[Trimmed Measure Name]])</f>
        <v>3.0218441517909909E-3</v>
      </c>
      <c r="AI274">
        <f>$AH274*tbl_Data_old[[#This Row],[2025 ]]</f>
        <v>1.1865511787726257E-3</v>
      </c>
      <c r="AJ274">
        <f>$AH274*tbl_Data_old[[#This Row],[2026 ]]</f>
        <v>1.1639091235966714E-3</v>
      </c>
      <c r="AK274">
        <f>$AH274*tbl_Data_old[[#This Row],[2027 ]]</f>
        <v>1.1316405629912798E-3</v>
      </c>
      <c r="AL274">
        <f>$AH274*tbl_Data_old[[#This Row],[2028 ]]</f>
        <v>1.1004428391236934E-3</v>
      </c>
      <c r="AM274">
        <f>$AH274*tbl_Data_old[[#This Row],[2029 ]]</f>
        <v>1.070586860754292E-3</v>
      </c>
      <c r="AN274">
        <f>$AH274*tbl_Data_old[[#This Row],[2030 ]]</f>
        <v>1.0390584373439777E-3</v>
      </c>
      <c r="AO274">
        <f>$AH274*tbl_Data_old[[#This Row],[2031 ]]</f>
        <v>1.0079842260366165E-3</v>
      </c>
      <c r="AP274">
        <f>$AH274*tbl_Data_old[[#This Row],[2032 ]]</f>
        <v>9.7902534875691084E-4</v>
      </c>
      <c r="AQ274">
        <f>$AH274*tbl_Data_old[[#This Row],[2033 ]]</f>
        <v>9.5049227702041664E-4</v>
      </c>
      <c r="AR274">
        <f>$AH274*tbl_Data_old[[#This Row],[2034 ]]</f>
        <v>9.2293237819910507E-4</v>
      </c>
      <c r="AS274">
        <f>SUM(tbl_Data_old[[#This Row],[Adjusted 2025]:[Adjusted 2034]])</f>
        <v>1.0552623232595587E-2</v>
      </c>
      <c r="AT274" s="3">
        <f>AVERAGEIFS('3. Incentive Adjustment'!F:F,'3. Incentive Adjustment'!A:A,tbl_Data_old[[#This Row],[Trimmed Sector]],'3. Incentive Adjustment'!B:B,tbl_Data_old[[#This Row],[Trimmed Measure Name]])</f>
        <v>4373.4448922946976</v>
      </c>
      <c r="AU274" s="3">
        <f>IFERROR(VLOOKUP(tbl_Data_old[[#This Row],[All_Meas_Name_Append]],'IRA Tax Credits'!$A$3:$D$46,4,0),0)</f>
        <v>0</v>
      </c>
      <c r="AV274" s="4">
        <f>tbl_Data_old[[#This Row],[Adj. per unit Incentive ($)]]/tbl_Data_old[[#This Row],[kWh Savings]]*tbl_Data_old[[#This Row],[Sum of Annuals]]</f>
        <v>2.4656394980926851E-3</v>
      </c>
      <c r="AW274" s="4">
        <f>IFERROR(VLOOKUP(tbl_Data_old[[#This Row],[All_Programs]],'1. Set Program Names'!$B$2:$D$15,3,0)*tbl_Data_old[[#This Row],[Sum of Annuals]],"")</f>
        <v>3.7567016804282535E-4</v>
      </c>
      <c r="AX274" s="4">
        <f>tbl_Data_old[[#This Row],[per unit IRA tax ($)]]/tbl_Data_old[[#This Row],[kWh Savings]]*tbl_Data_old[[#This Row],[Sum of Annuals]]</f>
        <v>0</v>
      </c>
      <c r="AY274" s="4">
        <f>tbl_Data_old[[#This Row],[Avoided Costs ($/unit)]]/tbl_Data_old[[#This Row],[kWh Savings]]*tbl_Data_old[[#This Row],[Sum of Annuals]]</f>
        <v>6.2256083185247817E-3</v>
      </c>
      <c r="AZ274" s="4">
        <f>tbl_Data_old[[#This Row],[Lost Revenue ($/unit)]]/tbl_Data_old[[#This Row],[kWh Savings]]*tbl_Data_old[[#This Row],[Sum of Annuals]]</f>
        <v>1.6267796208492655E-2</v>
      </c>
      <c r="BA274" s="4">
        <f>tbl_Data_old[[#This Row],[Incremental Cost ($/unit)]]/tbl_Data_old[[#This Row],[kWh Savings]]*tbl_Data_old[[#This Row],[Sum of Annuals]]</f>
        <v>1.9082696620390718E-2</v>
      </c>
      <c r="BB274">
        <f>ROUNDUP(tbl_Data_old[[#This Row],[Adjusted 2025]]/$L274,0)</f>
        <v>1</v>
      </c>
      <c r="BC274">
        <f>ROUNDUP(tbl_Data_old[[#This Row],[Adjusted 2026]]/$L274,0)</f>
        <v>1</v>
      </c>
      <c r="BD274">
        <f>ROUNDUP(tbl_Data_old[[#This Row],[Adjusted 2027]]/$L274,0)</f>
        <v>1</v>
      </c>
      <c r="BE274">
        <f>ROUNDUP(tbl_Data_old[[#This Row],[Adjusted 2028]]/$L274,0)</f>
        <v>1</v>
      </c>
      <c r="BF274">
        <f>ROUNDUP(tbl_Data_old[[#This Row],[Adjusted 2029]]/$L274,0)</f>
        <v>1</v>
      </c>
      <c r="BG274">
        <f>ROUNDUP(tbl_Data_old[[#This Row],[Adjusted 2030]]/$L274,0)</f>
        <v>1</v>
      </c>
      <c r="BH274">
        <f>ROUNDUP(tbl_Data_old[[#This Row],[Adjusted 2031]]/$L274,0)</f>
        <v>1</v>
      </c>
      <c r="BI274">
        <f>ROUNDUP(tbl_Data_old[[#This Row],[Adjusted 2032]]/$L274,0)</f>
        <v>1</v>
      </c>
      <c r="BJ274">
        <f>ROUNDUP(tbl_Data_old[[#This Row],[Adjusted 2033]]/$L274,0)</f>
        <v>1</v>
      </c>
      <c r="BK274">
        <f>ROUNDUP(tbl_Data_old[[#This Row],[Adjusted 2034]]/$L274,0)</f>
        <v>1</v>
      </c>
      <c r="BL274" s="3">
        <f t="shared" si="20"/>
        <v>9.1745243749241062E-2</v>
      </c>
      <c r="BM274" s="3">
        <f t="shared" si="20"/>
        <v>8.99945389265039E-2</v>
      </c>
      <c r="BN274" s="3">
        <f t="shared" si="20"/>
        <v>8.7499503726049144E-2</v>
      </c>
      <c r="BO274" s="3">
        <f t="shared" si="20"/>
        <v>8.508726662084988E-2</v>
      </c>
      <c r="BP274" s="3">
        <f t="shared" si="20"/>
        <v>8.2778774528914842E-2</v>
      </c>
      <c r="BQ274" s="3">
        <f t="shared" si="19"/>
        <v>8.0340967426653434E-2</v>
      </c>
      <c r="BR274" s="3">
        <f t="shared" si="19"/>
        <v>7.7938280427801626E-2</v>
      </c>
      <c r="BS274" s="3">
        <f t="shared" si="19"/>
        <v>7.5699153028780192E-2</v>
      </c>
      <c r="BT274" s="3">
        <f t="shared" si="19"/>
        <v>7.3492949311476513E-2</v>
      </c>
      <c r="BU274" s="3">
        <f t="shared" si="19"/>
        <v>7.1361992231579519E-2</v>
      </c>
      <c r="BV274">
        <f>VLOOKUP($H274,'1. Set Program Names'!$B$2:$D$15,3,0)*V274</f>
        <v>1.3978503817394542E-2</v>
      </c>
      <c r="BW274">
        <f>VLOOKUP($H274,'1. Set Program Names'!$B$2:$D$15,3,0)*W274</f>
        <v>1.3711762643163754E-2</v>
      </c>
      <c r="BX274">
        <f>VLOOKUP($H274,'1. Set Program Names'!$B$2:$D$15,3,0)*X274</f>
        <v>1.3331613682314988E-2</v>
      </c>
      <c r="BY274">
        <f>VLOOKUP($H274,'1. Set Program Names'!$B$2:$D$15,3,0)*Y274</f>
        <v>1.2964080018383036E-2</v>
      </c>
      <c r="BZ274">
        <f>VLOOKUP($H274,'1. Set Program Names'!$B$2:$D$15,3,0)*Z274</f>
        <v>1.2612353169111834E-2</v>
      </c>
      <c r="CA274">
        <f>VLOOKUP($H274,'1. Set Program Names'!$B$2:$D$15,3,0)*AA274</f>
        <v>1.2240923605109892E-2</v>
      </c>
      <c r="CB274">
        <f>VLOOKUP($H274,'1. Set Program Names'!$B$2:$D$15,3,0)*AB274</f>
        <v>1.1874845016041538E-2</v>
      </c>
      <c r="CC274">
        <f>VLOOKUP($H274,'1. Set Program Names'!$B$2:$D$15,3,0)*AC274</f>
        <v>1.1533686721444792E-2</v>
      </c>
      <c r="CD274">
        <f>VLOOKUP($H274,'1. Set Program Names'!$B$2:$D$15,3,0)*AD274</f>
        <v>1.1197544750220974E-2</v>
      </c>
      <c r="CE274">
        <f>VLOOKUP($H274,'1. Set Program Names'!$B$2:$D$15,3,0)*AE274</f>
        <v>1.0872867519459458E-2</v>
      </c>
    </row>
    <row r="275" spans="1:83" x14ac:dyDescent="0.25">
      <c r="A275" s="20" t="s">
        <v>114</v>
      </c>
      <c r="B275" s="20" t="s">
        <v>88</v>
      </c>
      <c r="C275" s="20" t="s">
        <v>122</v>
      </c>
      <c r="D275" s="20" t="s">
        <v>90</v>
      </c>
      <c r="E275" s="20" t="s">
        <v>91</v>
      </c>
      <c r="F275" s="20" t="s">
        <v>90</v>
      </c>
      <c r="G275" s="20" t="s">
        <v>92</v>
      </c>
      <c r="H275" s="20" t="s">
        <v>14</v>
      </c>
      <c r="I275" s="20" t="s">
        <v>241</v>
      </c>
      <c r="J275" s="20" t="s">
        <v>129</v>
      </c>
      <c r="K275" s="20" t="s">
        <v>102</v>
      </c>
      <c r="L275" s="20">
        <v>19185.113333333298</v>
      </c>
      <c r="M275" s="20">
        <v>4.6125790568704801</v>
      </c>
      <c r="N275" s="20">
        <v>0.25911922024205197</v>
      </c>
      <c r="O275" s="53">
        <f>11417.3/6341.92*tbl_Data_old[[#This Row],[kWh Savings]]</f>
        <v>34538.782334161617</v>
      </c>
      <c r="P275" s="20">
        <v>25197.386166847798</v>
      </c>
      <c r="Q275" s="20">
        <v>682.98418232081895</v>
      </c>
      <c r="R275" s="20">
        <v>12014.6297388403</v>
      </c>
      <c r="S275" s="20">
        <v>29575.538429105502</v>
      </c>
      <c r="T275" s="20">
        <v>30</v>
      </c>
      <c r="U275" s="20">
        <v>0.95</v>
      </c>
      <c r="V275" s="20">
        <v>0.44000049116144502</v>
      </c>
      <c r="W275" s="20">
        <v>0.43131691904084002</v>
      </c>
      <c r="X275" s="20">
        <v>0.41907270657454798</v>
      </c>
      <c r="Y275" s="20">
        <v>0.40723896163115197</v>
      </c>
      <c r="Z275" s="20">
        <v>0.39591883664146998</v>
      </c>
      <c r="AA275" s="20">
        <v>0.38400005950508098</v>
      </c>
      <c r="AB275" s="20">
        <v>0.37227104737787298</v>
      </c>
      <c r="AC275" s="20">
        <v>0.361345573926032</v>
      </c>
      <c r="AD275" s="20">
        <v>0.35059941167754699</v>
      </c>
      <c r="AE275" s="20">
        <v>0.34023407275654799</v>
      </c>
      <c r="AF275" t="str">
        <f t="shared" si="18"/>
        <v>NonResidential</v>
      </c>
      <c r="AG275" t="str">
        <f>tbl_Data_old[[#This Row],[All_Meas_Name_Append]]</f>
        <v>Ceiling Insulation(R2 to R49)</v>
      </c>
      <c r="AH275">
        <f>AVERAGEIFS('3. Incentive Adjustment'!G:G,'3. Incentive Adjustment'!A:A,tbl_Data_old[[#This Row],[Trimmed Sector]],'3. Incentive Adjustment'!B:B,tbl_Data_old[[#This Row],[Trimmed Measure Name]])</f>
        <v>5.674595082038876E-2</v>
      </c>
      <c r="AI275">
        <f>$AH275*tbl_Data_old[[#This Row],[2025 ]]</f>
        <v>2.496824623239426E-2</v>
      </c>
      <c r="AJ275">
        <f>$AH275*tbl_Data_old[[#This Row],[2026 ]]</f>
        <v>2.4475488675893109E-2</v>
      </c>
      <c r="AK275">
        <f>$AH275*tbl_Data_old[[#This Row],[2027 ]]</f>
        <v>2.378067919744651E-2</v>
      </c>
      <c r="AL275">
        <f>$AH275*tbl_Data_old[[#This Row],[2028 ]]</f>
        <v>2.3109162088867534E-2</v>
      </c>
      <c r="AM275">
        <f>$AH275*tbl_Data_old[[#This Row],[2029 ]]</f>
        <v>2.2466790832922388E-2</v>
      </c>
      <c r="AN275">
        <f>$AH275*tbl_Data_old[[#This Row],[2030 ]]</f>
        <v>2.1790448491701683E-2</v>
      </c>
      <c r="AO275">
        <f>$AH275*tbl_Data_old[[#This Row],[2031 ]]</f>
        <v>2.1124874546359394E-2</v>
      </c>
      <c r="AP275">
        <f>$AH275*tbl_Data_old[[#This Row],[2032 ]]</f>
        <v>2.0504898167171763E-2</v>
      </c>
      <c r="AQ275">
        <f>$AH275*tbl_Data_old[[#This Row],[2033 ]]</f>
        <v>1.9895096972711315E-2</v>
      </c>
      <c r="AR275">
        <f>$AH275*tbl_Data_old[[#This Row],[2034 ]]</f>
        <v>1.9306905960063642E-2</v>
      </c>
      <c r="AS275">
        <f>SUM(tbl_Data_old[[#This Row],[Adjusted 2025]:[Adjusted 2034]])</f>
        <v>0.22142259116553162</v>
      </c>
      <c r="AT275" s="3">
        <f>AVERAGEIFS('3. Incentive Adjustment'!F:F,'3. Incentive Adjustment'!A:A,tbl_Data_old[[#This Row],[Trimmed Sector]],'3. Incentive Adjustment'!B:B,tbl_Data_old[[#This Row],[Trimmed Measure Name]])</f>
        <v>4335.1908026959672</v>
      </c>
      <c r="AU275" s="3">
        <f>IFERROR(VLOOKUP(tbl_Data_old[[#This Row],[All_Meas_Name_Append]],'IRA Tax Credits'!$A$3:$D$46,4,0),0)</f>
        <v>500</v>
      </c>
      <c r="AV275" s="4">
        <f>tbl_Data_old[[#This Row],[Adj. per unit Incentive ($)]]/tbl_Data_old[[#This Row],[kWh Savings]]*tbl_Data_old[[#This Row],[Sum of Annuals]]</f>
        <v>5.0034063601913766E-2</v>
      </c>
      <c r="AW275" s="4">
        <f>IFERROR(VLOOKUP(tbl_Data_old[[#This Row],[All_Programs]],'1. Set Program Names'!$B$2:$D$15,3,0)*tbl_Data_old[[#This Row],[Sum of Annuals]],"")</f>
        <v>7.882576701373727E-3</v>
      </c>
      <c r="AX275" s="4">
        <f>tbl_Data_old[[#This Row],[per unit IRA tax ($)]]/tbl_Data_old[[#This Row],[kWh Savings]]*tbl_Data_old[[#This Row],[Sum of Annuals]]</f>
        <v>5.7706875982019741E-3</v>
      </c>
      <c r="AY275" s="4">
        <f>tbl_Data_old[[#This Row],[Avoided Costs ($/unit)]]/tbl_Data_old[[#This Row],[kWh Savings]]*tbl_Data_old[[#This Row],[Sum of Annuals]]</f>
        <v>0.1386653496618287</v>
      </c>
      <c r="AZ275" s="4">
        <f>tbl_Data_old[[#This Row],[Lost Revenue ($/unit)]]/tbl_Data_old[[#This Row],[kWh Savings]]*tbl_Data_old[[#This Row],[Sum of Annuals]]</f>
        <v>0.34134238564597003</v>
      </c>
      <c r="BA275" s="4">
        <f>tbl_Data_old[[#This Row],[Incremental Cost ($/unit)]]/tbl_Data_old[[#This Row],[kWh Savings]]*tbl_Data_old[[#This Row],[Sum of Annuals]]</f>
        <v>0.39862504574548774</v>
      </c>
      <c r="BB275">
        <f>ROUNDUP(tbl_Data_old[[#This Row],[Adjusted 2025]]/$L275,0)</f>
        <v>1</v>
      </c>
      <c r="BC275">
        <f>ROUNDUP(tbl_Data_old[[#This Row],[Adjusted 2026]]/$L275,0)</f>
        <v>1</v>
      </c>
      <c r="BD275">
        <f>ROUNDUP(tbl_Data_old[[#This Row],[Adjusted 2027]]/$L275,0)</f>
        <v>1</v>
      </c>
      <c r="BE275">
        <f>ROUNDUP(tbl_Data_old[[#This Row],[Adjusted 2028]]/$L275,0)</f>
        <v>1</v>
      </c>
      <c r="BF275">
        <f>ROUNDUP(tbl_Data_old[[#This Row],[Adjusted 2029]]/$L275,0)</f>
        <v>1</v>
      </c>
      <c r="BG275">
        <f>ROUNDUP(tbl_Data_old[[#This Row],[Adjusted 2030]]/$L275,0)</f>
        <v>1</v>
      </c>
      <c r="BH275">
        <f>ROUNDUP(tbl_Data_old[[#This Row],[Adjusted 2031]]/$L275,0)</f>
        <v>1</v>
      </c>
      <c r="BI275">
        <f>ROUNDUP(tbl_Data_old[[#This Row],[Adjusted 2032]]/$L275,0)</f>
        <v>1</v>
      </c>
      <c r="BJ275">
        <f>ROUNDUP(tbl_Data_old[[#This Row],[Adjusted 2033]]/$L275,0)</f>
        <v>1</v>
      </c>
      <c r="BK275">
        <f>ROUNDUP(tbl_Data_old[[#This Row],[Adjusted 2034]]/$L275,0)</f>
        <v>1</v>
      </c>
      <c r="BL275" s="3">
        <f t="shared" si="20"/>
        <v>9.9425322609412517E-2</v>
      </c>
      <c r="BM275" s="3">
        <f t="shared" si="20"/>
        <v>9.7463127164552285E-2</v>
      </c>
      <c r="BN275" s="3">
        <f t="shared" si="20"/>
        <v>9.4696346674499166E-2</v>
      </c>
      <c r="BO275" s="3">
        <f t="shared" si="20"/>
        <v>9.202231804882896E-2</v>
      </c>
      <c r="BP275" s="3">
        <f t="shared" si="20"/>
        <v>8.9464350269958845E-2</v>
      </c>
      <c r="BQ275" s="3">
        <f t="shared" si="19"/>
        <v>8.6771107226599697E-2</v>
      </c>
      <c r="BR275" s="3">
        <f t="shared" si="19"/>
        <v>8.4120744697323613E-2</v>
      </c>
      <c r="BS275" s="3">
        <f t="shared" si="19"/>
        <v>8.1651954901788393E-2</v>
      </c>
      <c r="BT275" s="3">
        <f t="shared" si="19"/>
        <v>7.9223683411571627E-2</v>
      </c>
      <c r="BU275" s="3">
        <f t="shared" si="19"/>
        <v>7.6881465193914936E-2</v>
      </c>
      <c r="BV275">
        <f>VLOOKUP($H275,'1. Set Program Names'!$B$2:$D$15,3,0)*V275</f>
        <v>1.5663883264871267E-2</v>
      </c>
      <c r="BW275">
        <f>VLOOKUP($H275,'1. Set Program Names'!$B$2:$D$15,3,0)*W275</f>
        <v>1.5354750746268374E-2</v>
      </c>
      <c r="BX275">
        <f>VLOOKUP($H275,'1. Set Program Names'!$B$2:$D$15,3,0)*X275</f>
        <v>1.4918860517518817E-2</v>
      </c>
      <c r="BY275">
        <f>VLOOKUP($H275,'1. Set Program Names'!$B$2:$D$15,3,0)*Y275</f>
        <v>1.4497582807372801E-2</v>
      </c>
      <c r="BZ275">
        <f>VLOOKUP($H275,'1. Set Program Names'!$B$2:$D$15,3,0)*Z275</f>
        <v>1.4094589810901191E-2</v>
      </c>
      <c r="CA275">
        <f>VLOOKUP($H275,'1. Set Program Names'!$B$2:$D$15,3,0)*AA275</f>
        <v>1.3670284980623372E-2</v>
      </c>
      <c r="CB275">
        <f>VLOOKUP($H275,'1. Set Program Names'!$B$2:$D$15,3,0)*AB275</f>
        <v>1.3252735726785302E-2</v>
      </c>
      <c r="CC275">
        <f>VLOOKUP($H275,'1. Set Program Names'!$B$2:$D$15,3,0)*AC275</f>
        <v>1.2863792204673883E-2</v>
      </c>
      <c r="CD275">
        <f>VLOOKUP($H275,'1. Set Program Names'!$B$2:$D$15,3,0)*AD275</f>
        <v>1.2481232106703734E-2</v>
      </c>
      <c r="CE275">
        <f>VLOOKUP($H275,'1. Set Program Names'!$B$2:$D$15,3,0)*AE275</f>
        <v>1.211222920302338E-2</v>
      </c>
    </row>
    <row r="276" spans="1:83" x14ac:dyDescent="0.25">
      <c r="A276" s="20" t="s">
        <v>114</v>
      </c>
      <c r="B276" s="20" t="s">
        <v>88</v>
      </c>
      <c r="C276" s="20" t="s">
        <v>122</v>
      </c>
      <c r="D276" s="20" t="s">
        <v>90</v>
      </c>
      <c r="E276" s="20" t="s">
        <v>91</v>
      </c>
      <c r="F276" s="20" t="s">
        <v>90</v>
      </c>
      <c r="G276" s="20" t="s">
        <v>92</v>
      </c>
      <c r="H276" s="20" t="s">
        <v>14</v>
      </c>
      <c r="I276" s="20" t="s">
        <v>128</v>
      </c>
      <c r="J276" s="20" t="s">
        <v>129</v>
      </c>
      <c r="K276" s="20" t="s">
        <v>130</v>
      </c>
      <c r="L276" s="53">
        <v>2045.1799999999989</v>
      </c>
      <c r="M276" s="53">
        <v>0.47104509500000002</v>
      </c>
      <c r="N276" s="53">
        <v>0.17900382200000001</v>
      </c>
      <c r="O276" s="53">
        <f>19591.5999999999/60160.456*2045.18</f>
        <v>666.02468053100858</v>
      </c>
      <c r="P276" s="53">
        <f>11310.7385995848/60160.456*2045.18</f>
        <v>384.51331501042552</v>
      </c>
      <c r="Q276" s="53">
        <f>2141.69388188172/60160.456*2045.18</f>
        <v>72.807784125619918</v>
      </c>
      <c r="R276" s="53">
        <f>32581.871747558/60160.456*2045.18</f>
        <v>1107.6344311730397</v>
      </c>
      <c r="S276" s="53">
        <f>77209.8271220691/60160.456*2045.18</f>
        <v>2624.780540784353</v>
      </c>
      <c r="T276" s="20">
        <v>20</v>
      </c>
      <c r="U276" s="20">
        <v>0.94999999999999896</v>
      </c>
      <c r="V276" s="20">
        <v>11.0554797966275</v>
      </c>
      <c r="W276" s="20">
        <v>10.929305875050201</v>
      </c>
      <c r="X276" s="20">
        <v>10.7553281562497</v>
      </c>
      <c r="Y276" s="20">
        <v>10.5938430308669</v>
      </c>
      <c r="Z276" s="20">
        <v>10.4280068314311</v>
      </c>
      <c r="AA276" s="20">
        <v>10.2505192722102</v>
      </c>
      <c r="AB276" s="20">
        <v>10.0601593520937</v>
      </c>
      <c r="AC276" s="20">
        <v>9.8779503189025206</v>
      </c>
      <c r="AD276" s="20">
        <v>9.7180259146566605</v>
      </c>
      <c r="AE276" s="20">
        <v>9.5547712030013496</v>
      </c>
      <c r="AF276" t="str">
        <f t="shared" si="18"/>
        <v>NonResidential</v>
      </c>
      <c r="AG276" t="str">
        <f>tbl_Data_old[[#This Row],[All_Meas_Name_Append]]</f>
        <v>Commercial Duct Sealing</v>
      </c>
      <c r="AH276">
        <f>AVERAGEIFS('3. Incentive Adjustment'!G:G,'3. Incentive Adjustment'!A:A,tbl_Data_old[[#This Row],[Trimmed Sector]],'3. Incentive Adjustment'!B:B,tbl_Data_old[[#This Row],[Trimmed Measure Name]])</f>
        <v>0.69277112909915817</v>
      </c>
      <c r="AI276">
        <f>$AH276*tbl_Data_old[[#This Row],[2025 ]]</f>
        <v>7.6589172214425645</v>
      </c>
      <c r="AJ276">
        <f>$AH276*tbl_Data_old[[#This Row],[2026 ]]</f>
        <v>7.5715075713285902</v>
      </c>
      <c r="AK276">
        <f>$AH276*tbl_Data_old[[#This Row],[2027 ]]</f>
        <v>7.4509808306370715</v>
      </c>
      <c r="AL276">
        <f>$AH276*tbl_Data_old[[#This Row],[2028 ]]</f>
        <v>7.3391085979929098</v>
      </c>
      <c r="AM276">
        <f>$AH276*tbl_Data_old[[#This Row],[2029 ]]</f>
        <v>7.2242220668642574</v>
      </c>
      <c r="AN276">
        <f>$AH276*tbl_Data_old[[#This Row],[2030 ]]</f>
        <v>7.1012638100617416</v>
      </c>
      <c r="AO276">
        <f>$AH276*tbl_Data_old[[#This Row],[2031 ]]</f>
        <v>6.9693879532674083</v>
      </c>
      <c r="AP276">
        <f>$AH276*tbl_Data_old[[#This Row],[2032 ]]</f>
        <v>6.8431587956114885</v>
      </c>
      <c r="AQ276">
        <f>$AH276*tbl_Data_old[[#This Row],[2033 ]]</f>
        <v>6.732367785511574</v>
      </c>
      <c r="AR276">
        <f>$AH276*tbl_Data_old[[#This Row],[2034 ]]</f>
        <v>6.6192696345873667</v>
      </c>
      <c r="AS276">
        <f>SUM(tbl_Data_old[[#This Row],[Adjusted 2025]:[Adjusted 2034]])</f>
        <v>71.510184267304979</v>
      </c>
      <c r="AT276" s="3">
        <f>AVERAGEIFS('3. Incentive Adjustment'!F:F,'3. Incentive Adjustment'!A:A,tbl_Data_old[[#This Row],[Trimmed Sector]],'3. Incentive Adjustment'!B:B,tbl_Data_old[[#This Row],[Trimmed Measure Name]])</f>
        <v>100</v>
      </c>
      <c r="AU276" s="3">
        <f>IFERROR(VLOOKUP(tbl_Data_old[[#This Row],[All_Meas_Name_Append]],'IRA Tax Credits'!$A$3:$D$46,4,0),0)</f>
        <v>0</v>
      </c>
      <c r="AV276" s="4">
        <f>tbl_Data_old[[#This Row],[Adj. per unit Incentive ($)]]/tbl_Data_old[[#This Row],[kWh Savings]]*tbl_Data_old[[#This Row],[Sum of Annuals]]</f>
        <v>3.4965227641236964</v>
      </c>
      <c r="AW276" s="4">
        <f>IFERROR(VLOOKUP(tbl_Data_old[[#This Row],[All_Programs]],'1. Set Program Names'!$B$2:$D$15,3,0)*tbl_Data_old[[#This Row],[Sum of Annuals]],"")</f>
        <v>2.5457407460063535</v>
      </c>
      <c r="AX276" s="4">
        <f>tbl_Data_old[[#This Row],[per unit IRA tax ($)]]/tbl_Data_old[[#This Row],[kWh Savings]]*tbl_Data_old[[#This Row],[Sum of Annuals]]</f>
        <v>0</v>
      </c>
      <c r="AY276" s="4">
        <f>tbl_Data_old[[#This Row],[Avoided Costs ($/unit)]]/tbl_Data_old[[#This Row],[kWh Savings]]*tbl_Data_old[[#This Row],[Sum of Annuals]]</f>
        <v>38.728690029237356</v>
      </c>
      <c r="AZ276" s="4">
        <f>tbl_Data_old[[#This Row],[Lost Revenue ($/unit)]]/tbl_Data_old[[#This Row],[kWh Savings]]*tbl_Data_old[[#This Row],[Sum of Annuals]]</f>
        <v>91.776049116813965</v>
      </c>
      <c r="BA276" s="4">
        <f>tbl_Data_old[[#This Row],[Incremental Cost ($/unit)]]/tbl_Data_old[[#This Row],[kWh Savings]]*tbl_Data_old[[#This Row],[Sum of Annuals]]</f>
        <v>23.287704569448842</v>
      </c>
      <c r="BB276">
        <f>ROUNDUP(tbl_Data_old[[#This Row],[Adjusted 2025]]/$L276,0)</f>
        <v>1</v>
      </c>
      <c r="BC276">
        <f>ROUNDUP(tbl_Data_old[[#This Row],[Adjusted 2026]]/$L276,0)</f>
        <v>1</v>
      </c>
      <c r="BD276">
        <f>ROUNDUP(tbl_Data_old[[#This Row],[Adjusted 2027]]/$L276,0)</f>
        <v>1</v>
      </c>
      <c r="BE276">
        <f>ROUNDUP(tbl_Data_old[[#This Row],[Adjusted 2028]]/$L276,0)</f>
        <v>1</v>
      </c>
      <c r="BF276">
        <f>ROUNDUP(tbl_Data_old[[#This Row],[Adjusted 2029]]/$L276,0)</f>
        <v>1</v>
      </c>
      <c r="BG276">
        <f>ROUNDUP(tbl_Data_old[[#This Row],[Adjusted 2030]]/$L276,0)</f>
        <v>1</v>
      </c>
      <c r="BH276">
        <f>ROUNDUP(tbl_Data_old[[#This Row],[Adjusted 2031]]/$L276,0)</f>
        <v>1</v>
      </c>
      <c r="BI276">
        <f>ROUNDUP(tbl_Data_old[[#This Row],[Adjusted 2032]]/$L276,0)</f>
        <v>1</v>
      </c>
      <c r="BJ276">
        <f>ROUNDUP(tbl_Data_old[[#This Row],[Adjusted 2033]]/$L276,0)</f>
        <v>1</v>
      </c>
      <c r="BK276">
        <f>ROUNDUP(tbl_Data_old[[#This Row],[Adjusted 2034]]/$L276,0)</f>
        <v>1</v>
      </c>
      <c r="BL276" s="3">
        <f t="shared" si="20"/>
        <v>0.54056267891469245</v>
      </c>
      <c r="BM276" s="3">
        <f t="shared" si="20"/>
        <v>0.53439334802072225</v>
      </c>
      <c r="BN276" s="3">
        <f t="shared" si="20"/>
        <v>0.52588662886639348</v>
      </c>
      <c r="BO276" s="3">
        <f t="shared" si="20"/>
        <v>0.51799074071069073</v>
      </c>
      <c r="BP276" s="3">
        <f t="shared" si="20"/>
        <v>0.50988210482359042</v>
      </c>
      <c r="BQ276" s="3">
        <f t="shared" si="19"/>
        <v>0.50120377043635311</v>
      </c>
      <c r="BR276" s="3">
        <f t="shared" si="19"/>
        <v>0.49189603614809974</v>
      </c>
      <c r="BS276" s="3">
        <f t="shared" si="19"/>
        <v>0.48298684315818297</v>
      </c>
      <c r="BT276" s="3">
        <f t="shared" si="19"/>
        <v>0.47516726716751906</v>
      </c>
      <c r="BU276" s="3">
        <f t="shared" si="19"/>
        <v>0.46718485429162004</v>
      </c>
      <c r="BV276">
        <f>VLOOKUP($H276,'1. Set Program Names'!$B$2:$D$15,3,0)*V276</f>
        <v>0.39357170832787935</v>
      </c>
      <c r="BW276">
        <f>VLOOKUP($H276,'1. Set Program Names'!$B$2:$D$15,3,0)*W276</f>
        <v>0.38907995520860233</v>
      </c>
      <c r="BX276">
        <f>VLOOKUP($H276,'1. Set Program Names'!$B$2:$D$15,3,0)*X276</f>
        <v>0.38288640149054587</v>
      </c>
      <c r="BY276">
        <f>VLOOKUP($H276,'1. Set Program Names'!$B$2:$D$15,3,0)*Y276</f>
        <v>0.3771375802873414</v>
      </c>
      <c r="BZ276">
        <f>VLOOKUP($H276,'1. Set Program Names'!$B$2:$D$15,3,0)*Z276</f>
        <v>0.37123386217512877</v>
      </c>
      <c r="CA276">
        <f>VLOOKUP($H276,'1. Set Program Names'!$B$2:$D$15,3,0)*AA276</f>
        <v>0.36491535920876955</v>
      </c>
      <c r="CB276">
        <f>VLOOKUP($H276,'1. Set Program Names'!$B$2:$D$15,3,0)*AB276</f>
        <v>0.35813860412119175</v>
      </c>
      <c r="CC276">
        <f>VLOOKUP($H276,'1. Set Program Names'!$B$2:$D$15,3,0)*AC276</f>
        <v>0.35165201812175823</v>
      </c>
      <c r="CD276">
        <f>VLOOKUP($H276,'1. Set Program Names'!$B$2:$D$15,3,0)*AD276</f>
        <v>0.34595875811493682</v>
      </c>
      <c r="CE276">
        <f>VLOOKUP($H276,'1. Set Program Names'!$B$2:$D$15,3,0)*AE276</f>
        <v>0.34014694018023656</v>
      </c>
    </row>
    <row r="277" spans="1:83" x14ac:dyDescent="0.25">
      <c r="A277" s="20" t="s">
        <v>114</v>
      </c>
      <c r="B277" s="20" t="s">
        <v>88</v>
      </c>
      <c r="C277" s="20" t="s">
        <v>122</v>
      </c>
      <c r="D277" s="20" t="s">
        <v>90</v>
      </c>
      <c r="E277" s="20" t="s">
        <v>91</v>
      </c>
      <c r="F277" s="20" t="s">
        <v>90</v>
      </c>
      <c r="G277" s="20" t="s">
        <v>92</v>
      </c>
      <c r="H277" s="20" t="s">
        <v>14</v>
      </c>
      <c r="I277" s="20" t="s">
        <v>303</v>
      </c>
      <c r="J277" s="20" t="s">
        <v>129</v>
      </c>
      <c r="K277" s="20" t="s">
        <v>298</v>
      </c>
      <c r="L277" s="20">
        <v>2407.8671428571402</v>
      </c>
      <c r="M277" s="20">
        <v>0.43509988390469401</v>
      </c>
      <c r="N277" s="20">
        <v>0.148929049658067</v>
      </c>
      <c r="O277" s="20">
        <v>1278.9912095238201</v>
      </c>
      <c r="P277" s="20">
        <v>9094.9443435978392</v>
      </c>
      <c r="Q277" s="20">
        <v>85.719335775001198</v>
      </c>
      <c r="R277" s="20">
        <v>1364.7105452988201</v>
      </c>
      <c r="S277" s="20">
        <v>3090.2526043504499</v>
      </c>
      <c r="T277" s="20">
        <v>20</v>
      </c>
      <c r="U277" s="20">
        <v>0.94999999999999896</v>
      </c>
      <c r="V277" s="20">
        <v>2.3283118771279598</v>
      </c>
      <c r="W277" s="20">
        <v>2.2150648525178598</v>
      </c>
      <c r="X277" s="20">
        <v>2.08468342233411</v>
      </c>
      <c r="Y277" s="20">
        <v>1.9565258693927801</v>
      </c>
      <c r="Z277" s="20">
        <v>1.83072772441687</v>
      </c>
      <c r="AA277" s="20">
        <v>1.7060434905236901</v>
      </c>
      <c r="AB277" s="20">
        <v>1.5851027618248099</v>
      </c>
      <c r="AC277" s="20">
        <v>1.4717308346609299</v>
      </c>
      <c r="AD277" s="20">
        <v>1.36712744023774</v>
      </c>
      <c r="AE277" s="20">
        <v>1.26898193312255</v>
      </c>
      <c r="AF277" t="str">
        <f t="shared" si="18"/>
        <v>NonResidential</v>
      </c>
      <c r="AG277" t="str">
        <f>tbl_Data_old[[#This Row],[All_Meas_Name_Append]]</f>
        <v>Energy Star windows</v>
      </c>
      <c r="AH277">
        <f>AVERAGEIFS('3. Incentive Adjustment'!G:G,'3. Incentive Adjustment'!A:A,tbl_Data_old[[#This Row],[Trimmed Sector]],'3. Incentive Adjustment'!B:B,tbl_Data_old[[#This Row],[Trimmed Measure Name]])</f>
        <v>1.8374525511831319E-4</v>
      </c>
      <c r="AI277">
        <f>$AH277*tbl_Data_old[[#This Row],[2025 ]]</f>
        <v>4.2781625985787564E-4</v>
      </c>
      <c r="AJ277">
        <f>$AH277*tbl_Data_old[[#This Row],[2026 ]]</f>
        <v>4.0700765642950291E-4</v>
      </c>
      <c r="AK277">
        <f>$AH277*tbl_Data_old[[#This Row],[2027 ]]</f>
        <v>3.8305068727769928E-4</v>
      </c>
      <c r="AL277">
        <f>$AH277*tbl_Data_old[[#This Row],[2028 ]]</f>
        <v>3.5950234501715589E-4</v>
      </c>
      <c r="AM277">
        <f>$AH277*tbl_Data_old[[#This Row],[2029 ]]</f>
        <v>3.3638753277514676E-4</v>
      </c>
      <c r="AN277">
        <f>$AH277*tbl_Data_old[[#This Row],[2030 ]]</f>
        <v>3.1347739640921296E-4</v>
      </c>
      <c r="AO277">
        <f>$AH277*tbl_Data_old[[#This Row],[2031 ]]</f>
        <v>2.9125511136024251E-4</v>
      </c>
      <c r="AP277">
        <f>$AH277*tbl_Data_old[[#This Row],[2032 ]]</f>
        <v>2.7042355768026058E-4</v>
      </c>
      <c r="AQ277">
        <f>$AH277*tbl_Data_old[[#This Row],[2033 ]]</f>
        <v>2.5120318028573E-4</v>
      </c>
      <c r="AR277">
        <f>$AH277*tbl_Data_old[[#This Row],[2034 ]]</f>
        <v>2.331694090421332E-4</v>
      </c>
      <c r="AS277">
        <f>SUM(tbl_Data_old[[#This Row],[Adjusted 2025]:[Adjusted 2034]])</f>
        <v>3.2732931361349601E-3</v>
      </c>
      <c r="AT277" s="3">
        <f>AVERAGEIFS('3. Incentive Adjustment'!F:F,'3. Incentive Adjustment'!A:A,tbl_Data_old[[#This Row],[Trimmed Sector]],'3. Incentive Adjustment'!B:B,tbl_Data_old[[#This Row],[Trimmed Measure Name]])</f>
        <v>1244.9532966663394</v>
      </c>
      <c r="AU277" s="3">
        <f>IFERROR(VLOOKUP(tbl_Data_old[[#This Row],[All_Meas_Name_Append]],'IRA Tax Credits'!$A$3:$D$46,4,0),0)</f>
        <v>250</v>
      </c>
      <c r="AV277" s="4">
        <f>tbl_Data_old[[#This Row],[Adj. per unit Incentive ($)]]/tbl_Data_old[[#This Row],[kWh Savings]]*tbl_Data_old[[#This Row],[Sum of Annuals]]</f>
        <v>1.6924094391483197E-3</v>
      </c>
      <c r="AW277" s="4">
        <f>IFERROR(VLOOKUP(tbl_Data_old[[#This Row],[All_Programs]],'1. Set Program Names'!$B$2:$D$15,3,0)*tbl_Data_old[[#This Row],[Sum of Annuals]],"")</f>
        <v>1.165282371407842E-4</v>
      </c>
      <c r="AX277" s="4">
        <f>tbl_Data_old[[#This Row],[per unit IRA tax ($)]]/tbl_Data_old[[#This Row],[kWh Savings]]*tbl_Data_old[[#This Row],[Sum of Annuals]]</f>
        <v>3.3985400168828645E-4</v>
      </c>
      <c r="AY277" s="4">
        <f>tbl_Data_old[[#This Row],[Avoided Costs ($/unit)]]/tbl_Data_old[[#This Row],[kWh Savings]]*tbl_Data_old[[#This Row],[Sum of Annuals]]</f>
        <v>1.8552093598640301E-3</v>
      </c>
      <c r="AZ277" s="4">
        <f>tbl_Data_old[[#This Row],[Lost Revenue ($/unit)]]/tbl_Data_old[[#This Row],[kWh Savings]]*tbl_Data_old[[#This Row],[Sum of Annuals]]</f>
        <v>4.2009388552645983E-3</v>
      </c>
      <c r="BA277" s="4">
        <f>tbl_Data_old[[#This Row],[Incremental Cost ($/unit)]]/tbl_Data_old[[#This Row],[kWh Savings]]*tbl_Data_old[[#This Row],[Sum of Annuals]]</f>
        <v>1.7386811227232475E-3</v>
      </c>
      <c r="BB277">
        <f>ROUNDUP(tbl_Data_old[[#This Row],[Adjusted 2025]]/$L277,0)</f>
        <v>1</v>
      </c>
      <c r="BC277">
        <f>ROUNDUP(tbl_Data_old[[#This Row],[Adjusted 2026]]/$L277,0)</f>
        <v>1</v>
      </c>
      <c r="BD277">
        <f>ROUNDUP(tbl_Data_old[[#This Row],[Adjusted 2027]]/$L277,0)</f>
        <v>1</v>
      </c>
      <c r="BE277">
        <f>ROUNDUP(tbl_Data_old[[#This Row],[Adjusted 2028]]/$L277,0)</f>
        <v>1</v>
      </c>
      <c r="BF277">
        <f>ROUNDUP(tbl_Data_old[[#This Row],[Adjusted 2029]]/$L277,0)</f>
        <v>1</v>
      </c>
      <c r="BG277">
        <f>ROUNDUP(tbl_Data_old[[#This Row],[Adjusted 2030]]/$L277,0)</f>
        <v>1</v>
      </c>
      <c r="BH277">
        <f>ROUNDUP(tbl_Data_old[[#This Row],[Adjusted 2031]]/$L277,0)</f>
        <v>1</v>
      </c>
      <c r="BI277">
        <f>ROUNDUP(tbl_Data_old[[#This Row],[Adjusted 2032]]/$L277,0)</f>
        <v>1</v>
      </c>
      <c r="BJ277">
        <f>ROUNDUP(tbl_Data_old[[#This Row],[Adjusted 2033]]/$L277,0)</f>
        <v>1</v>
      </c>
      <c r="BK277">
        <f>ROUNDUP(tbl_Data_old[[#This Row],[Adjusted 2034]]/$L277,0)</f>
        <v>1</v>
      </c>
      <c r="BL277" s="3">
        <f t="shared" si="20"/>
        <v>1.2038203834030323</v>
      </c>
      <c r="BM277" s="3">
        <f t="shared" si="20"/>
        <v>1.1452676276813423</v>
      </c>
      <c r="BN277" s="3">
        <f t="shared" si="20"/>
        <v>1.0778557724164681</v>
      </c>
      <c r="BO277" s="3">
        <f t="shared" si="20"/>
        <v>1.011593741099541</v>
      </c>
      <c r="BP277" s="3">
        <f t="shared" si="20"/>
        <v>0.94655160795409066</v>
      </c>
      <c r="BQ277" s="3">
        <f t="shared" si="19"/>
        <v>0.88208540661565538</v>
      </c>
      <c r="BR277" s="3">
        <f t="shared" si="19"/>
        <v>0.81955473114149224</v>
      </c>
      <c r="BS277" s="3">
        <f t="shared" si="19"/>
        <v>0.76093739633928603</v>
      </c>
      <c r="BT277" s="3">
        <f t="shared" si="19"/>
        <v>0.70685370608421871</v>
      </c>
      <c r="BU277" s="3">
        <f t="shared" si="19"/>
        <v>0.65610897417552183</v>
      </c>
      <c r="BV277">
        <f>VLOOKUP($H277,'1. Set Program Names'!$B$2:$D$15,3,0)*V277</f>
        <v>8.2887192583073574E-2</v>
      </c>
      <c r="BW277">
        <f>VLOOKUP($H277,'1. Set Program Names'!$B$2:$D$15,3,0)*W277</f>
        <v>7.8855633052528101E-2</v>
      </c>
      <c r="BX277">
        <f>VLOOKUP($H277,'1. Set Program Names'!$B$2:$D$15,3,0)*X277</f>
        <v>7.4214093910345946E-2</v>
      </c>
      <c r="BY277">
        <f>VLOOKUP($H277,'1. Set Program Names'!$B$2:$D$15,3,0)*Y277</f>
        <v>6.9651724119608655E-2</v>
      </c>
      <c r="BZ277">
        <f>VLOOKUP($H277,'1. Set Program Names'!$B$2:$D$15,3,0)*Z277</f>
        <v>6.5173348532711881E-2</v>
      </c>
      <c r="CA277">
        <f>VLOOKUP($H277,'1. Set Program Names'!$B$2:$D$15,3,0)*AA277</f>
        <v>6.073462784056595E-2</v>
      </c>
      <c r="CB277">
        <f>VLOOKUP($H277,'1. Set Program Names'!$B$2:$D$15,3,0)*AB277</f>
        <v>5.642917479139508E-2</v>
      </c>
      <c r="CC277">
        <f>VLOOKUP($H277,'1. Set Program Names'!$B$2:$D$15,3,0)*AC277</f>
        <v>5.239316876803609E-2</v>
      </c>
      <c r="CD277">
        <f>VLOOKUP($H277,'1. Set Program Names'!$B$2:$D$15,3,0)*AD277</f>
        <v>4.8669319835438117E-2</v>
      </c>
      <c r="CE277">
        <f>VLOOKUP($H277,'1. Set Program Names'!$B$2:$D$15,3,0)*AE277</f>
        <v>4.5175369721050976E-2</v>
      </c>
    </row>
    <row r="278" spans="1:83" x14ac:dyDescent="0.25">
      <c r="A278" s="20" t="s">
        <v>114</v>
      </c>
      <c r="B278" s="20" t="s">
        <v>88</v>
      </c>
      <c r="C278" s="20" t="s">
        <v>122</v>
      </c>
      <c r="D278" s="20" t="s">
        <v>90</v>
      </c>
      <c r="E278" s="20" t="s">
        <v>91</v>
      </c>
      <c r="F278" s="20" t="s">
        <v>90</v>
      </c>
      <c r="G278" s="20" t="s">
        <v>92</v>
      </c>
      <c r="H278" s="20" t="s">
        <v>14</v>
      </c>
      <c r="I278" s="20" t="s">
        <v>143</v>
      </c>
      <c r="J278" s="20" t="s">
        <v>144</v>
      </c>
      <c r="K278" s="20" t="s">
        <v>108</v>
      </c>
      <c r="L278" s="20">
        <v>6670.6049999999896</v>
      </c>
      <c r="M278" s="20">
        <v>1.04667148638823</v>
      </c>
      <c r="N278" s="20">
        <v>1.5598507965563999</v>
      </c>
      <c r="O278" s="20">
        <v>2431.625</v>
      </c>
      <c r="P278" s="20">
        <v>977.24379425036398</v>
      </c>
      <c r="Q278" s="20">
        <v>237.47150315731801</v>
      </c>
      <c r="R278" s="20">
        <v>3400.8076679878</v>
      </c>
      <c r="S278" s="20">
        <v>7245.0779694633802</v>
      </c>
      <c r="T278" s="20">
        <v>15</v>
      </c>
      <c r="U278" s="20">
        <v>0.95</v>
      </c>
      <c r="V278" s="20">
        <v>5.0467950254640002</v>
      </c>
      <c r="W278" s="20">
        <v>5.5498203047175201</v>
      </c>
      <c r="X278" s="20">
        <v>5.9608257132068196</v>
      </c>
      <c r="Y278" s="20">
        <v>6.3184225241434202</v>
      </c>
      <c r="Z278" s="20">
        <v>6.6244105504585002</v>
      </c>
      <c r="AA278" s="20">
        <v>6.8763379249351502</v>
      </c>
      <c r="AB278" s="20">
        <v>7.0835870986291498</v>
      </c>
      <c r="AC278" s="20">
        <v>7.2659691951755399</v>
      </c>
      <c r="AD278" s="20">
        <v>7.4293614148947498</v>
      </c>
      <c r="AE278" s="20">
        <v>7.5696459069020303</v>
      </c>
      <c r="AF278" t="str">
        <f t="shared" si="18"/>
        <v>NonResidential</v>
      </c>
      <c r="AG278" t="str">
        <f>tbl_Data_old[[#This Row],[All_Meas_Name_Append]]</f>
        <v>Heat Pump Water Heater</v>
      </c>
      <c r="AH278">
        <f>AVERAGEIFS('3. Incentive Adjustment'!G:G,'3. Incentive Adjustment'!A:A,tbl_Data_old[[#This Row],[Trimmed Sector]],'3. Incentive Adjustment'!B:B,tbl_Data_old[[#This Row],[Trimmed Measure Name]])</f>
        <v>0.82797588322898052</v>
      </c>
      <c r="AI278">
        <f>$AH278*tbl_Data_old[[#This Row],[2025 ]]</f>
        <v>4.1786245686841808</v>
      </c>
      <c r="AJ278">
        <f>$AH278*tbl_Data_old[[#This Row],[2026 ]]</f>
        <v>4.5951173685606186</v>
      </c>
      <c r="AK278">
        <f>$AH278*tbl_Data_old[[#This Row],[2027 ]]</f>
        <v>4.9354199346664345</v>
      </c>
      <c r="AL278">
        <f>$AH278*tbl_Data_old[[#This Row],[2028 ]]</f>
        <v>5.2315014700415325</v>
      </c>
      <c r="AM278">
        <f>$AH278*tbl_Data_old[[#This Row],[2029 ]]</f>
        <v>5.4848521763872542</v>
      </c>
      <c r="AN278">
        <f>$AH278*tbl_Data_old[[#This Row],[2030 ]]</f>
        <v>5.6934419667791163</v>
      </c>
      <c r="AO278">
        <f>$AH278*tbl_Data_old[[#This Row],[2031 ]]</f>
        <v>5.8650392844168815</v>
      </c>
      <c r="AP278">
        <f>$AH278*tbl_Data_old[[#This Row],[2032 ]]</f>
        <v>6.0160472618900327</v>
      </c>
      <c r="AQ278">
        <f>$AH278*tbl_Data_old[[#This Row],[2033 ]]</f>
        <v>6.1513320793247885</v>
      </c>
      <c r="AR278">
        <f>$AH278*tbl_Data_old[[#This Row],[2034 ]]</f>
        <v>6.2674842554978456</v>
      </c>
      <c r="AS278">
        <f>SUM(tbl_Data_old[[#This Row],[Adjusted 2025]:[Adjusted 2034]])</f>
        <v>54.418860366248687</v>
      </c>
      <c r="AT278" s="3">
        <f>AVERAGEIFS('3. Incentive Adjustment'!F:F,'3. Incentive Adjustment'!A:A,tbl_Data_old[[#This Row],[Trimmed Sector]],'3. Incentive Adjustment'!B:B,tbl_Data_old[[#This Row],[Trimmed Measure Name]])</f>
        <v>500</v>
      </c>
      <c r="AU278" s="3">
        <f>IFERROR(VLOOKUP(tbl_Data_old[[#This Row],[All_Meas_Name_Append]],'IRA Tax Credits'!$A$3:$D$46,4,0),0)</f>
        <v>0</v>
      </c>
      <c r="AV278" s="4">
        <f>tbl_Data_old[[#This Row],[Adj. per unit Incentive ($)]]/tbl_Data_old[[#This Row],[kWh Savings]]*tbl_Data_old[[#This Row],[Sum of Annuals]]</f>
        <v>4.0790048553503597</v>
      </c>
      <c r="AW278" s="4">
        <f>IFERROR(VLOOKUP(tbl_Data_old[[#This Row],[All_Programs]],'1. Set Program Names'!$B$2:$D$15,3,0)*tbl_Data_old[[#This Row],[Sum of Annuals]],"")</f>
        <v>1.9372948287720944</v>
      </c>
      <c r="AX278" s="4">
        <f>tbl_Data_old[[#This Row],[per unit IRA tax ($)]]/tbl_Data_old[[#This Row],[kWh Savings]]*tbl_Data_old[[#This Row],[Sum of Annuals]]</f>
        <v>0</v>
      </c>
      <c r="AY278" s="4">
        <f>tbl_Data_old[[#This Row],[Avoided Costs ($/unit)]]/tbl_Data_old[[#This Row],[kWh Savings]]*tbl_Data_old[[#This Row],[Sum of Annuals]]</f>
        <v>27.743821979669942</v>
      </c>
      <c r="AZ278" s="4">
        <f>tbl_Data_old[[#This Row],[Lost Revenue ($/unit)]]/tbl_Data_old[[#This Row],[kWh Savings]]*tbl_Data_old[[#This Row],[Sum of Annuals]]</f>
        <v>59.105416429666107</v>
      </c>
      <c r="BA278" s="4">
        <f>tbl_Data_old[[#This Row],[Incremental Cost ($/unit)]]/tbl_Data_old[[#This Row],[kWh Savings]]*tbl_Data_old[[#This Row],[Sum of Annuals]]</f>
        <v>19.837220362782638</v>
      </c>
      <c r="BB278">
        <f>ROUNDUP(tbl_Data_old[[#This Row],[Adjusted 2025]]/$L278,0)</f>
        <v>1</v>
      </c>
      <c r="BC278">
        <f>ROUNDUP(tbl_Data_old[[#This Row],[Adjusted 2026]]/$L278,0)</f>
        <v>1</v>
      </c>
      <c r="BD278">
        <f>ROUNDUP(tbl_Data_old[[#This Row],[Adjusted 2027]]/$L278,0)</f>
        <v>1</v>
      </c>
      <c r="BE278">
        <f>ROUNDUP(tbl_Data_old[[#This Row],[Adjusted 2028]]/$L278,0)</f>
        <v>1</v>
      </c>
      <c r="BF278">
        <f>ROUNDUP(tbl_Data_old[[#This Row],[Adjusted 2029]]/$L278,0)</f>
        <v>1</v>
      </c>
      <c r="BG278">
        <f>ROUNDUP(tbl_Data_old[[#This Row],[Adjusted 2030]]/$L278,0)</f>
        <v>1</v>
      </c>
      <c r="BH278">
        <f>ROUNDUP(tbl_Data_old[[#This Row],[Adjusted 2031]]/$L278,0)</f>
        <v>1</v>
      </c>
      <c r="BI278">
        <f>ROUNDUP(tbl_Data_old[[#This Row],[Adjusted 2032]]/$L278,0)</f>
        <v>1</v>
      </c>
      <c r="BJ278">
        <f>ROUNDUP(tbl_Data_old[[#This Row],[Adjusted 2033]]/$L278,0)</f>
        <v>1</v>
      </c>
      <c r="BK278">
        <f>ROUNDUP(tbl_Data_old[[#This Row],[Adjusted 2034]]/$L278,0)</f>
        <v>1</v>
      </c>
      <c r="BL278" s="3">
        <f t="shared" si="20"/>
        <v>0.37828615436411001</v>
      </c>
      <c r="BM278" s="3">
        <f t="shared" si="20"/>
        <v>0.41599077630271386</v>
      </c>
      <c r="BN278" s="3">
        <f t="shared" si="20"/>
        <v>0.44679798258230169</v>
      </c>
      <c r="BO278" s="3">
        <f t="shared" si="20"/>
        <v>0.47360190898302557</v>
      </c>
      <c r="BP278" s="3">
        <f t="shared" si="20"/>
        <v>0.49653746177884245</v>
      </c>
      <c r="BQ278" s="3">
        <f t="shared" si="19"/>
        <v>0.51542085949738903</v>
      </c>
      <c r="BR278" s="3">
        <f t="shared" si="19"/>
        <v>0.5309553705120571</v>
      </c>
      <c r="BS278" s="3">
        <f t="shared" si="19"/>
        <v>0.54462595185710683</v>
      </c>
      <c r="BT278" s="3">
        <f t="shared" si="19"/>
        <v>0.55687313331360211</v>
      </c>
      <c r="BU278" s="3">
        <f t="shared" si="19"/>
        <v>0.56738825840400109</v>
      </c>
      <c r="BV278">
        <f>VLOOKUP($H278,'1. Set Program Names'!$B$2:$D$15,3,0)*V278</f>
        <v>0.17966436340089265</v>
      </c>
      <c r="BW278">
        <f>VLOOKUP($H278,'1. Set Program Names'!$B$2:$D$15,3,0)*W278</f>
        <v>0.19757190989636991</v>
      </c>
      <c r="BX278">
        <f>VLOOKUP($H278,'1. Set Program Names'!$B$2:$D$15,3,0)*X278</f>
        <v>0.21220357706295248</v>
      </c>
      <c r="BY278">
        <f>VLOOKUP($H278,'1. Set Program Names'!$B$2:$D$15,3,0)*Y278</f>
        <v>0.2249339144487485</v>
      </c>
      <c r="BZ278">
        <f>VLOOKUP($H278,'1. Set Program Names'!$B$2:$D$15,3,0)*Z278</f>
        <v>0.23582699484508182</v>
      </c>
      <c r="CA278">
        <f>VLOOKUP($H278,'1. Set Program Names'!$B$2:$D$15,3,0)*AA278</f>
        <v>0.24479553252696323</v>
      </c>
      <c r="CB278">
        <f>VLOOKUP($H278,'1. Set Program Names'!$B$2:$D$15,3,0)*AB278</f>
        <v>0.25217353988989749</v>
      </c>
      <c r="CC278">
        <f>VLOOKUP($H278,'1. Set Program Names'!$B$2:$D$15,3,0)*AC278</f>
        <v>0.25866628689198418</v>
      </c>
      <c r="CD278">
        <f>VLOOKUP($H278,'1. Set Program Names'!$B$2:$D$15,3,0)*AD278</f>
        <v>0.26448300007181291</v>
      </c>
      <c r="CE278">
        <f>VLOOKUP($H278,'1. Set Program Names'!$B$2:$D$15,3,0)*AE278</f>
        <v>0.26947708519402142</v>
      </c>
    </row>
    <row r="279" spans="1:83" x14ac:dyDescent="0.25">
      <c r="A279" s="20" t="s">
        <v>114</v>
      </c>
      <c r="B279" s="20" t="s">
        <v>88</v>
      </c>
      <c r="C279" s="20" t="s">
        <v>122</v>
      </c>
      <c r="D279" s="20" t="s">
        <v>90</v>
      </c>
      <c r="E279" s="20" t="s">
        <v>91</v>
      </c>
      <c r="F279" s="20" t="s">
        <v>90</v>
      </c>
      <c r="G279" s="20" t="s">
        <v>92</v>
      </c>
      <c r="H279" s="20" t="s">
        <v>14</v>
      </c>
      <c r="I279" s="20" t="s">
        <v>157</v>
      </c>
      <c r="J279" s="20" t="s">
        <v>158</v>
      </c>
      <c r="K279" s="20" t="s">
        <v>159</v>
      </c>
      <c r="L279" s="20">
        <v>562.52</v>
      </c>
      <c r="M279" s="20">
        <v>0</v>
      </c>
      <c r="N279" s="20">
        <v>2.7796637938074201E-2</v>
      </c>
      <c r="O279" s="20">
        <v>169</v>
      </c>
      <c r="P279" s="20">
        <v>53.285725702774101</v>
      </c>
      <c r="Q279" s="20">
        <v>20.025540405413601</v>
      </c>
      <c r="R279" s="20">
        <v>275.373630058213</v>
      </c>
      <c r="S279" s="20">
        <v>610.96426176974103</v>
      </c>
      <c r="T279" s="20">
        <v>15</v>
      </c>
      <c r="U279" s="20">
        <v>0.2</v>
      </c>
      <c r="V279" s="20">
        <v>0</v>
      </c>
      <c r="W279" s="20">
        <v>0</v>
      </c>
      <c r="X279" s="20">
        <v>0</v>
      </c>
      <c r="Y279" s="20">
        <v>0</v>
      </c>
      <c r="Z279" s="20">
        <v>0</v>
      </c>
      <c r="AA279" s="20">
        <v>0</v>
      </c>
      <c r="AB279" s="20">
        <v>0</v>
      </c>
      <c r="AC279" s="20">
        <v>0</v>
      </c>
      <c r="AD279" s="20">
        <v>0</v>
      </c>
      <c r="AE279" s="20">
        <v>0</v>
      </c>
      <c r="AF279" t="str">
        <f t="shared" si="18"/>
        <v>NonResidential</v>
      </c>
      <c r="AG279" t="str">
        <f>tbl_Data_old[[#This Row],[All_Meas_Name_Append]]</f>
        <v>LED Exterior Wall Packs</v>
      </c>
      <c r="AH279">
        <f>AVERAGEIFS('3. Incentive Adjustment'!G:G,'3. Incentive Adjustment'!A:A,tbl_Data_old[[#This Row],[Trimmed Sector]],'3. Incentive Adjustment'!B:B,tbl_Data_old[[#This Row],[Trimmed Measure Name]])</f>
        <v>0.80637708305213962</v>
      </c>
      <c r="AI279">
        <f>$AH279*tbl_Data_old[[#This Row],[2025 ]]</f>
        <v>0</v>
      </c>
      <c r="AJ279">
        <f>$AH279*tbl_Data_old[[#This Row],[2026 ]]</f>
        <v>0</v>
      </c>
      <c r="AK279">
        <f>$AH279*tbl_Data_old[[#This Row],[2027 ]]</f>
        <v>0</v>
      </c>
      <c r="AL279">
        <f>$AH279*tbl_Data_old[[#This Row],[2028 ]]</f>
        <v>0</v>
      </c>
      <c r="AM279">
        <f>$AH279*tbl_Data_old[[#This Row],[2029 ]]</f>
        <v>0</v>
      </c>
      <c r="AN279">
        <f>$AH279*tbl_Data_old[[#This Row],[2030 ]]</f>
        <v>0</v>
      </c>
      <c r="AO279">
        <f>$AH279*tbl_Data_old[[#This Row],[2031 ]]</f>
        <v>0</v>
      </c>
      <c r="AP279">
        <f>$AH279*tbl_Data_old[[#This Row],[2032 ]]</f>
        <v>0</v>
      </c>
      <c r="AQ279">
        <f>$AH279*tbl_Data_old[[#This Row],[2033 ]]</f>
        <v>0</v>
      </c>
      <c r="AR279">
        <f>$AH279*tbl_Data_old[[#This Row],[2034 ]]</f>
        <v>0</v>
      </c>
      <c r="AS279">
        <f>SUM(tbl_Data_old[[#This Row],[Adjusted 2025]:[Adjusted 2034]])</f>
        <v>0</v>
      </c>
      <c r="AT279" s="3">
        <f>AVERAGEIFS('3. Incentive Adjustment'!F:F,'3. Incentive Adjustment'!A:A,tbl_Data_old[[#This Row],[Trimmed Sector]],'3. Incentive Adjustment'!B:B,tbl_Data_old[[#This Row],[Trimmed Measure Name]])</f>
        <v>8.6864493556481861</v>
      </c>
      <c r="AU279" s="3">
        <f>IFERROR(VLOOKUP(tbl_Data_old[[#This Row],[All_Meas_Name_Append]],'IRA Tax Credits'!$A$3:$D$46,4,0),0)</f>
        <v>0</v>
      </c>
      <c r="AV279" s="4">
        <f>tbl_Data_old[[#This Row],[Adj. per unit Incentive ($)]]/tbl_Data_old[[#This Row],[kWh Savings]]*tbl_Data_old[[#This Row],[Sum of Annuals]]</f>
        <v>0</v>
      </c>
      <c r="AW279" s="4">
        <f>IFERROR(VLOOKUP(tbl_Data_old[[#This Row],[All_Programs]],'1. Set Program Names'!$B$2:$D$15,3,0)*tbl_Data_old[[#This Row],[Sum of Annuals]],"")</f>
        <v>0</v>
      </c>
      <c r="AX279" s="4">
        <f>tbl_Data_old[[#This Row],[per unit IRA tax ($)]]/tbl_Data_old[[#This Row],[kWh Savings]]*tbl_Data_old[[#This Row],[Sum of Annuals]]</f>
        <v>0</v>
      </c>
      <c r="AY279" s="4">
        <f>tbl_Data_old[[#This Row],[Avoided Costs ($/unit)]]/tbl_Data_old[[#This Row],[kWh Savings]]*tbl_Data_old[[#This Row],[Sum of Annuals]]</f>
        <v>0</v>
      </c>
      <c r="AZ279" s="4">
        <f>tbl_Data_old[[#This Row],[Lost Revenue ($/unit)]]/tbl_Data_old[[#This Row],[kWh Savings]]*tbl_Data_old[[#This Row],[Sum of Annuals]]</f>
        <v>0</v>
      </c>
      <c r="BA279" s="4">
        <f>tbl_Data_old[[#This Row],[Incremental Cost ($/unit)]]/tbl_Data_old[[#This Row],[kWh Savings]]*tbl_Data_old[[#This Row],[Sum of Annuals]]</f>
        <v>0</v>
      </c>
      <c r="BB279">
        <f>ROUNDUP(tbl_Data_old[[#This Row],[Adjusted 2025]]/$L279,0)</f>
        <v>0</v>
      </c>
      <c r="BC279">
        <f>ROUNDUP(tbl_Data_old[[#This Row],[Adjusted 2026]]/$L279,0)</f>
        <v>0</v>
      </c>
      <c r="BD279">
        <f>ROUNDUP(tbl_Data_old[[#This Row],[Adjusted 2027]]/$L279,0)</f>
        <v>0</v>
      </c>
      <c r="BE279">
        <f>ROUNDUP(tbl_Data_old[[#This Row],[Adjusted 2028]]/$L279,0)</f>
        <v>0</v>
      </c>
      <c r="BF279">
        <f>ROUNDUP(tbl_Data_old[[#This Row],[Adjusted 2029]]/$L279,0)</f>
        <v>0</v>
      </c>
      <c r="BG279">
        <f>ROUNDUP(tbl_Data_old[[#This Row],[Adjusted 2030]]/$L279,0)</f>
        <v>0</v>
      </c>
      <c r="BH279">
        <f>ROUNDUP(tbl_Data_old[[#This Row],[Adjusted 2031]]/$L279,0)</f>
        <v>0</v>
      </c>
      <c r="BI279">
        <f>ROUNDUP(tbl_Data_old[[#This Row],[Adjusted 2032]]/$L279,0)</f>
        <v>0</v>
      </c>
      <c r="BJ279">
        <f>ROUNDUP(tbl_Data_old[[#This Row],[Adjusted 2033]]/$L279,0)</f>
        <v>0</v>
      </c>
      <c r="BK279">
        <f>ROUNDUP(tbl_Data_old[[#This Row],[Adjusted 2034]]/$L279,0)</f>
        <v>0</v>
      </c>
      <c r="BL279" s="3">
        <f t="shared" si="20"/>
        <v>0</v>
      </c>
      <c r="BM279" s="3">
        <f t="shared" si="20"/>
        <v>0</v>
      </c>
      <c r="BN279" s="3">
        <f t="shared" si="20"/>
        <v>0</v>
      </c>
      <c r="BO279" s="3">
        <f t="shared" si="20"/>
        <v>0</v>
      </c>
      <c r="BP279" s="3">
        <f t="shared" si="20"/>
        <v>0</v>
      </c>
      <c r="BQ279" s="3">
        <f t="shared" si="19"/>
        <v>0</v>
      </c>
      <c r="BR279" s="3">
        <f t="shared" si="19"/>
        <v>0</v>
      </c>
      <c r="BS279" s="3">
        <f t="shared" si="19"/>
        <v>0</v>
      </c>
      <c r="BT279" s="3">
        <f t="shared" si="19"/>
        <v>0</v>
      </c>
      <c r="BU279" s="3">
        <f t="shared" si="19"/>
        <v>0</v>
      </c>
      <c r="BV279">
        <f>VLOOKUP($H279,'1. Set Program Names'!$B$2:$D$15,3,0)*V279</f>
        <v>0</v>
      </c>
      <c r="BW279">
        <f>VLOOKUP($H279,'1. Set Program Names'!$B$2:$D$15,3,0)*W279</f>
        <v>0</v>
      </c>
      <c r="BX279">
        <f>VLOOKUP($H279,'1. Set Program Names'!$B$2:$D$15,3,0)*X279</f>
        <v>0</v>
      </c>
      <c r="BY279">
        <f>VLOOKUP($H279,'1. Set Program Names'!$B$2:$D$15,3,0)*Y279</f>
        <v>0</v>
      </c>
      <c r="BZ279">
        <f>VLOOKUP($H279,'1. Set Program Names'!$B$2:$D$15,3,0)*Z279</f>
        <v>0</v>
      </c>
      <c r="CA279">
        <f>VLOOKUP($H279,'1. Set Program Names'!$B$2:$D$15,3,0)*AA279</f>
        <v>0</v>
      </c>
      <c r="CB279">
        <f>VLOOKUP($H279,'1. Set Program Names'!$B$2:$D$15,3,0)*AB279</f>
        <v>0</v>
      </c>
      <c r="CC279">
        <f>VLOOKUP($H279,'1. Set Program Names'!$B$2:$D$15,3,0)*AC279</f>
        <v>0</v>
      </c>
      <c r="CD279">
        <f>VLOOKUP($H279,'1. Set Program Names'!$B$2:$D$15,3,0)*AD279</f>
        <v>0</v>
      </c>
      <c r="CE279">
        <f>VLOOKUP($H279,'1. Set Program Names'!$B$2:$D$15,3,0)*AE279</f>
        <v>0</v>
      </c>
    </row>
    <row r="280" spans="1:83" x14ac:dyDescent="0.25">
      <c r="A280" s="20" t="s">
        <v>114</v>
      </c>
      <c r="B280" s="20" t="s">
        <v>88</v>
      </c>
      <c r="C280" s="20" t="s">
        <v>122</v>
      </c>
      <c r="D280" s="20" t="s">
        <v>90</v>
      </c>
      <c r="E280" s="20" t="s">
        <v>91</v>
      </c>
      <c r="F280" s="20" t="s">
        <v>90</v>
      </c>
      <c r="G280" s="20" t="s">
        <v>92</v>
      </c>
      <c r="H280" s="20" t="s">
        <v>14</v>
      </c>
      <c r="I280" s="20" t="s">
        <v>160</v>
      </c>
      <c r="J280" s="20" t="s">
        <v>161</v>
      </c>
      <c r="K280" s="20" t="s">
        <v>159</v>
      </c>
      <c r="L280" s="20">
        <v>698.53499999999997</v>
      </c>
      <c r="M280" s="20">
        <v>9.14911955902553E-2</v>
      </c>
      <c r="N280" s="20">
        <v>9.6647765821509996E-2</v>
      </c>
      <c r="O280" s="20">
        <v>179</v>
      </c>
      <c r="P280" s="20">
        <v>35.4245718525491</v>
      </c>
      <c r="Q280" s="20">
        <v>24.867632914555301</v>
      </c>
      <c r="R280" s="20">
        <v>291.28765455670799</v>
      </c>
      <c r="S280" s="20">
        <v>758.69288308917999</v>
      </c>
      <c r="T280" s="20">
        <v>15</v>
      </c>
      <c r="U280" s="20">
        <v>0.2</v>
      </c>
      <c r="V280" s="20">
        <v>0.42868801571502102</v>
      </c>
      <c r="W280" s="20">
        <v>0.466606953429067</v>
      </c>
      <c r="X280" s="20">
        <v>0.49669267083666402</v>
      </c>
      <c r="Y280" s="20">
        <v>0.52189963989586197</v>
      </c>
      <c r="Z280" s="20">
        <v>0.54225039811213205</v>
      </c>
      <c r="AA280" s="20">
        <v>0.55789432658929305</v>
      </c>
      <c r="AB280" s="20">
        <v>0.56944640203474794</v>
      </c>
      <c r="AC280" s="20">
        <v>0.57863124836891899</v>
      </c>
      <c r="AD280" s="20">
        <v>0.58630104981209397</v>
      </c>
      <c r="AE280" s="20">
        <v>0.59184121507519505</v>
      </c>
      <c r="AF280" t="str">
        <f t="shared" si="18"/>
        <v>NonResidential</v>
      </c>
      <c r="AG280" t="str">
        <f>tbl_Data_old[[#This Row],[All_Meas_Name_Append]]</f>
        <v>LED High Bay_HID Baseline</v>
      </c>
      <c r="AH280">
        <f>AVERAGEIFS('3. Incentive Adjustment'!G:G,'3. Incentive Adjustment'!A:A,tbl_Data_old[[#This Row],[Trimmed Sector]],'3. Incentive Adjustment'!B:B,tbl_Data_old[[#This Row],[Trimmed Measure Name]])</f>
        <v>1.0603846876879557</v>
      </c>
      <c r="AI280">
        <f>$AH280*tbl_Data_old[[#This Row],[2025 ]]</f>
        <v>0.45457420765954198</v>
      </c>
      <c r="AJ280">
        <f>$AH280*tbl_Data_old[[#This Row],[2026 ]]</f>
        <v>0.49478286858490966</v>
      </c>
      <c r="AK280">
        <f>$AH280*tbl_Data_old[[#This Row],[2027 ]]</f>
        <v>0.5266853026420325</v>
      </c>
      <c r="AL280">
        <f>$AH280*tbl_Data_old[[#This Row],[2028 ]]</f>
        <v>0.55341438665543008</v>
      </c>
      <c r="AM280">
        <f>$AH280*tbl_Data_old[[#This Row],[2029 ]]</f>
        <v>0.57499401905080283</v>
      </c>
      <c r="AN280">
        <f>$AH280*tbl_Data_old[[#This Row],[2030 ]]</f>
        <v>0.59158260126326989</v>
      </c>
      <c r="AO280">
        <f>$AH280*tbl_Data_old[[#This Row],[2031 ]]</f>
        <v>0.60383224517664624</v>
      </c>
      <c r="AP280">
        <f>$AH280*tbl_Data_old[[#This Row],[2032 ]]</f>
        <v>0.61357171558816803</v>
      </c>
      <c r="AQ280">
        <f>$AH280*tbl_Data_old[[#This Row],[2033 ]]</f>
        <v>0.62170465559611776</v>
      </c>
      <c r="AR280">
        <f>$AH280*tbl_Data_old[[#This Row],[2034 ]]</f>
        <v>0.62757936200837094</v>
      </c>
      <c r="AS280">
        <f>SUM(tbl_Data_old[[#This Row],[Adjusted 2025]:[Adjusted 2034]])</f>
        <v>5.6627213642252903</v>
      </c>
      <c r="AT280" s="3">
        <f>AVERAGEIFS('3. Incentive Adjustment'!F:F,'3. Incentive Adjustment'!A:A,tbl_Data_old[[#This Row],[Trimmed Sector]],'3. Incentive Adjustment'!B:B,tbl_Data_old[[#This Row],[Trimmed Measure Name]])</f>
        <v>28.590998621954778</v>
      </c>
      <c r="AU280" s="3">
        <f>IFERROR(VLOOKUP(tbl_Data_old[[#This Row],[All_Meas_Name_Append]],'IRA Tax Credits'!$A$3:$D$46,4,0),0)</f>
        <v>0</v>
      </c>
      <c r="AV280" s="4">
        <f>tbl_Data_old[[#This Row],[Adj. per unit Incentive ($)]]/tbl_Data_old[[#This Row],[kWh Savings]]*tbl_Data_old[[#This Row],[Sum of Annuals]]</f>
        <v>0.23177486986490176</v>
      </c>
      <c r="AW280" s="4">
        <f>IFERROR(VLOOKUP(tbl_Data_old[[#This Row],[All_Programs]],'1. Set Program Names'!$B$2:$D$15,3,0)*tbl_Data_old[[#This Row],[Sum of Annuals]],"")</f>
        <v>0.20159115317480777</v>
      </c>
      <c r="AX280" s="4">
        <f>tbl_Data_old[[#This Row],[per unit IRA tax ($)]]/tbl_Data_old[[#This Row],[kWh Savings]]*tbl_Data_old[[#This Row],[Sum of Annuals]]</f>
        <v>0</v>
      </c>
      <c r="AY280" s="4">
        <f>tbl_Data_old[[#This Row],[Avoided Costs ($/unit)]]/tbl_Data_old[[#This Row],[kWh Savings]]*tbl_Data_old[[#This Row],[Sum of Annuals]]</f>
        <v>2.3613431318306839</v>
      </c>
      <c r="AZ280" s="4">
        <f>tbl_Data_old[[#This Row],[Lost Revenue ($/unit)]]/tbl_Data_old[[#This Row],[kWh Savings]]*tbl_Data_old[[#This Row],[Sum of Annuals]]</f>
        <v>6.1503953244358271</v>
      </c>
      <c r="BA280" s="4">
        <f>tbl_Data_old[[#This Row],[Incremental Cost ($/unit)]]/tbl_Data_old[[#This Row],[kWh Savings]]*tbl_Data_old[[#This Row],[Sum of Annuals]]</f>
        <v>1.4510756428759148</v>
      </c>
      <c r="BB280">
        <f>ROUNDUP(tbl_Data_old[[#This Row],[Adjusted 2025]]/$L280,0)</f>
        <v>1</v>
      </c>
      <c r="BC280">
        <f>ROUNDUP(tbl_Data_old[[#This Row],[Adjusted 2026]]/$L280,0)</f>
        <v>1</v>
      </c>
      <c r="BD280">
        <f>ROUNDUP(tbl_Data_old[[#This Row],[Adjusted 2027]]/$L280,0)</f>
        <v>1</v>
      </c>
      <c r="BE280">
        <f>ROUNDUP(tbl_Data_old[[#This Row],[Adjusted 2028]]/$L280,0)</f>
        <v>1</v>
      </c>
      <c r="BF280">
        <f>ROUNDUP(tbl_Data_old[[#This Row],[Adjusted 2029]]/$L280,0)</f>
        <v>1</v>
      </c>
      <c r="BG280">
        <f>ROUNDUP(tbl_Data_old[[#This Row],[Adjusted 2030]]/$L280,0)</f>
        <v>1</v>
      </c>
      <c r="BH280">
        <f>ROUNDUP(tbl_Data_old[[#This Row],[Adjusted 2031]]/$L280,0)</f>
        <v>1</v>
      </c>
      <c r="BI280">
        <f>ROUNDUP(tbl_Data_old[[#This Row],[Adjusted 2032]]/$L280,0)</f>
        <v>1</v>
      </c>
      <c r="BJ280">
        <f>ROUNDUP(tbl_Data_old[[#This Row],[Adjusted 2033]]/$L280,0)</f>
        <v>1</v>
      </c>
      <c r="BK280">
        <f>ROUNDUP(tbl_Data_old[[#This Row],[Adjusted 2034]]/$L280,0)</f>
        <v>1</v>
      </c>
      <c r="BL280" s="3">
        <f t="shared" si="20"/>
        <v>1.7546176593236838E-2</v>
      </c>
      <c r="BM280" s="3">
        <f t="shared" si="20"/>
        <v>1.909819660072147E-2</v>
      </c>
      <c r="BN280" s="3">
        <f t="shared" si="20"/>
        <v>2.0329603337593819E-2</v>
      </c>
      <c r="BO280" s="3">
        <f t="shared" si="20"/>
        <v>2.136132317644969E-2</v>
      </c>
      <c r="BP280" s="3">
        <f t="shared" si="20"/>
        <v>2.2194278576132043E-2</v>
      </c>
      <c r="BQ280" s="3">
        <f t="shared" si="19"/>
        <v>2.2834583696895457E-2</v>
      </c>
      <c r="BR280" s="3">
        <f t="shared" si="19"/>
        <v>2.3307409501102428E-2</v>
      </c>
      <c r="BS280" s="3">
        <f t="shared" si="19"/>
        <v>2.3683344749705793E-2</v>
      </c>
      <c r="BT280" s="3">
        <f t="shared" si="19"/>
        <v>2.3997269295351297E-2</v>
      </c>
      <c r="BU280" s="3">
        <f t="shared" si="19"/>
        <v>2.4224027950827006E-2</v>
      </c>
      <c r="BV280">
        <f>VLOOKUP($H280,'1. Set Program Names'!$B$2:$D$15,3,0)*V280</f>
        <v>1.5261162589806178E-2</v>
      </c>
      <c r="BW280">
        <f>VLOOKUP($H280,'1. Set Program Names'!$B$2:$D$15,3,0)*W280</f>
        <v>1.6611065205398498E-2</v>
      </c>
      <c r="BX280">
        <f>VLOOKUP($H280,'1. Set Program Names'!$B$2:$D$15,3,0)*X280</f>
        <v>1.7682107567575295E-2</v>
      </c>
      <c r="BY280">
        <f>VLOOKUP($H280,'1. Set Program Names'!$B$2:$D$15,3,0)*Y280</f>
        <v>1.8579467976792712E-2</v>
      </c>
      <c r="BZ280">
        <f>VLOOKUP($H280,'1. Set Program Names'!$B$2:$D$15,3,0)*Z280</f>
        <v>1.9303948761370544E-2</v>
      </c>
      <c r="CA280">
        <f>VLOOKUP($H280,'1. Set Program Names'!$B$2:$D$15,3,0)*AA280</f>
        <v>1.98608678430366E-2</v>
      </c>
      <c r="CB280">
        <f>VLOOKUP($H280,'1. Set Program Names'!$B$2:$D$15,3,0)*AB280</f>
        <v>2.027211820497812E-2</v>
      </c>
      <c r="CC280">
        <f>VLOOKUP($H280,'1. Set Program Names'!$B$2:$D$15,3,0)*AC280</f>
        <v>2.059909593267217E-2</v>
      </c>
      <c r="CD280">
        <f>VLOOKUP($H280,'1. Set Program Names'!$B$2:$D$15,3,0)*AD280</f>
        <v>2.0872138524405445E-2</v>
      </c>
      <c r="CE280">
        <f>VLOOKUP($H280,'1. Set Program Names'!$B$2:$D$15,3,0)*AE280</f>
        <v>2.1069366717765502E-2</v>
      </c>
    </row>
    <row r="281" spans="1:83" x14ac:dyDescent="0.25">
      <c r="A281" s="20" t="s">
        <v>114</v>
      </c>
      <c r="B281" s="20" t="s">
        <v>88</v>
      </c>
      <c r="C281" s="20" t="s">
        <v>122</v>
      </c>
      <c r="D281" s="20" t="s">
        <v>90</v>
      </c>
      <c r="E281" s="20" t="s">
        <v>91</v>
      </c>
      <c r="F281" s="20" t="s">
        <v>90</v>
      </c>
      <c r="G281" s="20" t="s">
        <v>92</v>
      </c>
      <c r="H281" s="20" t="s">
        <v>14</v>
      </c>
      <c r="I281" s="20" t="s">
        <v>162</v>
      </c>
      <c r="J281" s="20" t="s">
        <v>161</v>
      </c>
      <c r="K281" s="20" t="s">
        <v>159</v>
      </c>
      <c r="L281" s="20">
        <v>638.46285714285602</v>
      </c>
      <c r="M281" s="20">
        <v>7.6348348575361394E-2</v>
      </c>
      <c r="N281" s="20">
        <v>7.27444471789533E-2</v>
      </c>
      <c r="O281" s="20">
        <v>179</v>
      </c>
      <c r="P281" s="20">
        <v>51.129983050636802</v>
      </c>
      <c r="Q281" s="20">
        <v>22.729082953619599</v>
      </c>
      <c r="R281" s="20">
        <v>256.15438258671003</v>
      </c>
      <c r="S281" s="20">
        <v>693.44732308484095</v>
      </c>
      <c r="T281" s="20">
        <v>15</v>
      </c>
      <c r="U281" s="20">
        <v>0.2</v>
      </c>
      <c r="V281" s="20">
        <v>1.2620762340324601</v>
      </c>
      <c r="W281" s="20">
        <v>1.3737112421369699</v>
      </c>
      <c r="X281" s="20">
        <v>1.46228490767463</v>
      </c>
      <c r="Y281" s="20">
        <v>1.5364953250769999</v>
      </c>
      <c r="Z281" s="20">
        <v>1.5964088457441299</v>
      </c>
      <c r="AA281" s="20">
        <v>1.6424652541673901</v>
      </c>
      <c r="AB281" s="20">
        <v>1.6764750686221801</v>
      </c>
      <c r="AC281" s="20">
        <v>1.70351565722427</v>
      </c>
      <c r="AD281" s="20">
        <v>1.7260958875230701</v>
      </c>
      <c r="AE281" s="20">
        <v>1.74240637593155</v>
      </c>
      <c r="AF281" t="str">
        <f t="shared" si="18"/>
        <v>NonResidential</v>
      </c>
      <c r="AG281" t="str">
        <f>tbl_Data_old[[#This Row],[All_Meas_Name_Append]]</f>
        <v>LED High Bay_LF Baseline</v>
      </c>
      <c r="AH281">
        <f>AVERAGEIFS('3. Incentive Adjustment'!G:G,'3. Incentive Adjustment'!A:A,tbl_Data_old[[#This Row],[Trimmed Sector]],'3. Incentive Adjustment'!B:B,tbl_Data_old[[#This Row],[Trimmed Measure Name]])</f>
        <v>0.93017466414143679</v>
      </c>
      <c r="AI281">
        <f>$AH281*tbl_Data_old[[#This Row],[2025 ]]</f>
        <v>1.1739513371120329</v>
      </c>
      <c r="AJ281">
        <f>$AH281*tbl_Data_old[[#This Row],[2026 ]]</f>
        <v>1.2777913932820719</v>
      </c>
      <c r="AK281">
        <f>$AH281*tbl_Data_old[[#This Row],[2027 ]]</f>
        <v>1.360180372875341</v>
      </c>
      <c r="AL281">
        <f>$AH281*tbl_Data_old[[#This Row],[2028 ]]</f>
        <v>1.4292090229583863</v>
      </c>
      <c r="AM281">
        <f>$AH281*tbl_Data_old[[#This Row],[2029 ]]</f>
        <v>1.4849390619224647</v>
      </c>
      <c r="AN281">
        <f>$AH281*tbl_Data_old[[#This Row],[2030 ]]</f>
        <v>1.5277795661591318</v>
      </c>
      <c r="AO281">
        <f>$AH281*tbl_Data_old[[#This Row],[2031 ]]</f>
        <v>1.5594146338971286</v>
      </c>
      <c r="AP281">
        <f>$AH281*tbl_Data_old[[#This Row],[2032 ]]</f>
        <v>1.5845671043182643</v>
      </c>
      <c r="AQ281">
        <f>$AH281*tbl_Data_old[[#This Row],[2033 ]]</f>
        <v>1.6055706624526869</v>
      </c>
      <c r="AR281">
        <f>$AH281*tbl_Data_old[[#This Row],[2034 ]]</f>
        <v>1.6207422655300276</v>
      </c>
      <c r="AS281">
        <f>SUM(tbl_Data_old[[#This Row],[Adjusted 2025]:[Adjusted 2034]])</f>
        <v>14.624145420507537</v>
      </c>
      <c r="AT281" s="3">
        <f>AVERAGEIFS('3. Incentive Adjustment'!F:F,'3. Incentive Adjustment'!A:A,tbl_Data_old[[#This Row],[Trimmed Sector]],'3. Incentive Adjustment'!B:B,tbl_Data_old[[#This Row],[Trimmed Measure Name]])</f>
        <v>23.858858929800434</v>
      </c>
      <c r="AU281" s="3">
        <f>IFERROR(VLOOKUP(tbl_Data_old[[#This Row],[All_Meas_Name_Append]],'IRA Tax Credits'!$A$3:$D$46,4,0),0)</f>
        <v>0</v>
      </c>
      <c r="AV281" s="4">
        <f>tbl_Data_old[[#This Row],[Adj. per unit Incentive ($)]]/tbl_Data_old[[#This Row],[kWh Savings]]*tbl_Data_old[[#This Row],[Sum of Annuals]]</f>
        <v>0.54649290660099681</v>
      </c>
      <c r="AW281" s="4">
        <f>IFERROR(VLOOKUP(tbl_Data_old[[#This Row],[All_Programs]],'1. Set Program Names'!$B$2:$D$15,3,0)*tbl_Data_old[[#This Row],[Sum of Annuals]],"")</f>
        <v>0.52061511593013443</v>
      </c>
      <c r="AX281" s="4">
        <f>tbl_Data_old[[#This Row],[per unit IRA tax ($)]]/tbl_Data_old[[#This Row],[kWh Savings]]*tbl_Data_old[[#This Row],[Sum of Annuals]]</f>
        <v>0</v>
      </c>
      <c r="AY281" s="4">
        <f>tbl_Data_old[[#This Row],[Avoided Costs ($/unit)]]/tbl_Data_old[[#This Row],[kWh Savings]]*tbl_Data_old[[#This Row],[Sum of Annuals]]</f>
        <v>5.8672777893643309</v>
      </c>
      <c r="AZ281" s="4">
        <f>tbl_Data_old[[#This Row],[Lost Revenue ($/unit)]]/tbl_Data_old[[#This Row],[kWh Savings]]*tbl_Data_old[[#This Row],[Sum of Annuals]]</f>
        <v>15.88357784763871</v>
      </c>
      <c r="BA281" s="4">
        <f>tbl_Data_old[[#This Row],[Incremental Cost ($/unit)]]/tbl_Data_old[[#This Row],[kWh Savings]]*tbl_Data_old[[#This Row],[Sum of Annuals]]</f>
        <v>4.1000380851992677</v>
      </c>
      <c r="BB281">
        <f>ROUNDUP(tbl_Data_old[[#This Row],[Adjusted 2025]]/$L281,0)</f>
        <v>1</v>
      </c>
      <c r="BC281">
        <f>ROUNDUP(tbl_Data_old[[#This Row],[Adjusted 2026]]/$L281,0)</f>
        <v>1</v>
      </c>
      <c r="BD281">
        <f>ROUNDUP(tbl_Data_old[[#This Row],[Adjusted 2027]]/$L281,0)</f>
        <v>1</v>
      </c>
      <c r="BE281">
        <f>ROUNDUP(tbl_Data_old[[#This Row],[Adjusted 2028]]/$L281,0)</f>
        <v>1</v>
      </c>
      <c r="BF281">
        <f>ROUNDUP(tbl_Data_old[[#This Row],[Adjusted 2029]]/$L281,0)</f>
        <v>1</v>
      </c>
      <c r="BG281">
        <f>ROUNDUP(tbl_Data_old[[#This Row],[Adjusted 2030]]/$L281,0)</f>
        <v>1</v>
      </c>
      <c r="BH281">
        <f>ROUNDUP(tbl_Data_old[[#This Row],[Adjusted 2031]]/$L281,0)</f>
        <v>1</v>
      </c>
      <c r="BI281">
        <f>ROUNDUP(tbl_Data_old[[#This Row],[Adjusted 2032]]/$L281,0)</f>
        <v>1</v>
      </c>
      <c r="BJ281">
        <f>ROUNDUP(tbl_Data_old[[#This Row],[Adjusted 2033]]/$L281,0)</f>
        <v>1</v>
      </c>
      <c r="BK281">
        <f>ROUNDUP(tbl_Data_old[[#This Row],[Adjusted 2034]]/$L281,0)</f>
        <v>1</v>
      </c>
      <c r="BL281" s="3">
        <f t="shared" si="20"/>
        <v>4.7162804366075707E-2</v>
      </c>
      <c r="BM281" s="3">
        <f t="shared" si="20"/>
        <v>5.133451753653611E-2</v>
      </c>
      <c r="BN281" s="3">
        <f t="shared" si="20"/>
        <v>5.4644446324586995E-2</v>
      </c>
      <c r="BO281" s="3">
        <f t="shared" si="20"/>
        <v>5.7417631734068976E-2</v>
      </c>
      <c r="BP281" s="3">
        <f t="shared" si="20"/>
        <v>5.9656553265043634E-2</v>
      </c>
      <c r="BQ281" s="3">
        <f t="shared" si="19"/>
        <v>6.1377645320893598E-2</v>
      </c>
      <c r="BR281" s="3">
        <f t="shared" si="19"/>
        <v>6.2648565557251151E-2</v>
      </c>
      <c r="BS281" s="3">
        <f t="shared" si="19"/>
        <v>6.3659051259932653E-2</v>
      </c>
      <c r="BT281" s="3">
        <f t="shared" si="19"/>
        <v>6.4502856852183307E-2</v>
      </c>
      <c r="BU281" s="3">
        <f t="shared" si="19"/>
        <v>6.5112367080790073E-2</v>
      </c>
      <c r="BV281">
        <f>VLOOKUP($H281,'1. Set Program Names'!$B$2:$D$15,3,0)*V281</f>
        <v>4.4929528940001011E-2</v>
      </c>
      <c r="BW281">
        <f>VLOOKUP($H281,'1. Set Program Names'!$B$2:$D$15,3,0)*W281</f>
        <v>4.8903701174686974E-2</v>
      </c>
      <c r="BX281">
        <f>VLOOKUP($H281,'1. Set Program Names'!$B$2:$D$15,3,0)*X281</f>
        <v>5.2056896648767913E-2</v>
      </c>
      <c r="BY281">
        <f>VLOOKUP($H281,'1. Set Program Names'!$B$2:$D$15,3,0)*Y281</f>
        <v>5.4698764870686728E-2</v>
      </c>
      <c r="BZ281">
        <f>VLOOKUP($H281,'1. Set Program Names'!$B$2:$D$15,3,0)*Z281</f>
        <v>5.6831667930044974E-2</v>
      </c>
      <c r="CA281">
        <f>VLOOKUP($H281,'1. Set Program Names'!$B$2:$D$15,3,0)*AA281</f>
        <v>5.8471262020580832E-2</v>
      </c>
      <c r="CB281">
        <f>VLOOKUP($H281,'1. Set Program Names'!$B$2:$D$15,3,0)*AB281</f>
        <v>5.9682001040606822E-2</v>
      </c>
      <c r="CC281">
        <f>VLOOKUP($H281,'1. Set Program Names'!$B$2:$D$15,3,0)*AC281</f>
        <v>6.0644637746212531E-2</v>
      </c>
      <c r="CD281">
        <f>VLOOKUP($H281,'1. Set Program Names'!$B$2:$D$15,3,0)*AD281</f>
        <v>6.1448487056836448E-2</v>
      </c>
      <c r="CE281">
        <f>VLOOKUP($H281,'1. Set Program Names'!$B$2:$D$15,3,0)*AE281</f>
        <v>6.2029135468725884E-2</v>
      </c>
    </row>
    <row r="282" spans="1:83" x14ac:dyDescent="0.25">
      <c r="A282" s="20" t="s">
        <v>114</v>
      </c>
      <c r="B282" s="20" t="s">
        <v>88</v>
      </c>
      <c r="C282" s="20" t="s">
        <v>122</v>
      </c>
      <c r="D282" s="20" t="s">
        <v>90</v>
      </c>
      <c r="E282" s="20" t="s">
        <v>91</v>
      </c>
      <c r="F282" s="20" t="s">
        <v>90</v>
      </c>
      <c r="G282" s="20" t="s">
        <v>92</v>
      </c>
      <c r="H282" s="20" t="s">
        <v>14</v>
      </c>
      <c r="I282" s="20" t="s">
        <v>163</v>
      </c>
      <c r="J282" s="20" t="s">
        <v>161</v>
      </c>
      <c r="K282" s="20" t="s">
        <v>159</v>
      </c>
      <c r="L282" s="20">
        <v>336.08</v>
      </c>
      <c r="M282" s="20">
        <v>5.3794325187228403E-2</v>
      </c>
      <c r="N282" s="20">
        <v>5.3413522005729602E-2</v>
      </c>
      <c r="O282" s="20">
        <v>109.08</v>
      </c>
      <c r="P282" s="20">
        <v>41.915763754167898</v>
      </c>
      <c r="Q282" s="20">
        <v>11.9643454800743</v>
      </c>
      <c r="R282" s="20">
        <v>148.30416484676499</v>
      </c>
      <c r="S282" s="20">
        <v>365.02323312162099</v>
      </c>
      <c r="T282" s="20">
        <v>15</v>
      </c>
      <c r="U282" s="20">
        <v>0.2</v>
      </c>
      <c r="V282" s="20">
        <v>1.9956313227640601</v>
      </c>
      <c r="W282" s="20">
        <v>2.0979992646682</v>
      </c>
      <c r="X282" s="20">
        <v>2.1531291524387499</v>
      </c>
      <c r="Y282" s="20">
        <v>2.1868960213922599</v>
      </c>
      <c r="Z282" s="20">
        <v>2.2058825329528702</v>
      </c>
      <c r="AA282" s="20">
        <v>2.2083204850309901</v>
      </c>
      <c r="AB282" s="20">
        <v>2.2018511936965699</v>
      </c>
      <c r="AC282" s="20">
        <v>2.1927627191549401</v>
      </c>
      <c r="AD282" s="20">
        <v>2.1793678744242899</v>
      </c>
      <c r="AE282" s="20">
        <v>2.16437674328429</v>
      </c>
      <c r="AF282" t="str">
        <f t="shared" si="18"/>
        <v>NonResidential</v>
      </c>
      <c r="AG282" t="str">
        <f>tbl_Data_old[[#This Row],[All_Meas_Name_Append]]</f>
        <v>LED Linear - Fixture Replacement</v>
      </c>
      <c r="AH282">
        <f>AVERAGEIFS('3. Incentive Adjustment'!G:G,'3. Incentive Adjustment'!A:A,tbl_Data_old[[#This Row],[Trimmed Sector]],'3. Incentive Adjustment'!B:B,tbl_Data_old[[#This Row],[Trimmed Measure Name]])</f>
        <v>0.56055357916158088</v>
      </c>
      <c r="AI282">
        <f>$AH282*tbl_Data_old[[#This Row],[2025 ]]</f>
        <v>1.118658280662354</v>
      </c>
      <c r="AJ282">
        <f>$AH282*tbl_Data_old[[#This Row],[2026 ]]</f>
        <v>1.1760409968881242</v>
      </c>
      <c r="AK282">
        <f>$AH282*tbl_Data_old[[#This Row],[2027 ]]</f>
        <v>1.2069442527966823</v>
      </c>
      <c r="AL282">
        <f>$AH282*tbl_Data_old[[#This Row],[2028 ]]</f>
        <v>1.2258723920456525</v>
      </c>
      <c r="AM282">
        <f>$AH282*tbl_Data_old[[#This Row],[2029 ]]</f>
        <v>1.2365153490567453</v>
      </c>
      <c r="AN282">
        <f>$AH282*tbl_Data_old[[#This Row],[2030 ]]</f>
        <v>1.2378819518199597</v>
      </c>
      <c r="AO282">
        <f>$AH282*tbl_Data_old[[#This Row],[2031 ]]</f>
        <v>1.2342555674078115</v>
      </c>
      <c r="AP282">
        <f>$AH282*tbl_Data_old[[#This Row],[2032 ]]</f>
        <v>1.2291609904743821</v>
      </c>
      <c r="AQ282">
        <f>$AH282*tbl_Data_old[[#This Row],[2033 ]]</f>
        <v>1.2216524623183025</v>
      </c>
      <c r="AR282">
        <f>$AH282*tbl_Data_old[[#This Row],[2034 ]]</f>
        <v>1.2132491301020949</v>
      </c>
      <c r="AS282">
        <f>SUM(tbl_Data_old[[#This Row],[Adjusted 2025]:[Adjusted 2034]])</f>
        <v>12.100231373572107</v>
      </c>
      <c r="AT282" s="3">
        <f>AVERAGEIFS('3. Incentive Adjustment'!F:F,'3. Incentive Adjustment'!A:A,tbl_Data_old[[#This Row],[Trimmed Sector]],'3. Incentive Adjustment'!B:B,tbl_Data_old[[#This Row],[Trimmed Measure Name]])</f>
        <v>16.810726621008875</v>
      </c>
      <c r="AU282" s="3">
        <f>IFERROR(VLOOKUP(tbl_Data_old[[#This Row],[All_Meas_Name_Append]],'IRA Tax Credits'!$A$3:$D$46,4,0),0)</f>
        <v>0</v>
      </c>
      <c r="AV282" s="4">
        <f>tbl_Data_old[[#This Row],[Adj. per unit Incentive ($)]]/tbl_Data_old[[#This Row],[kWh Savings]]*tbl_Data_old[[#This Row],[Sum of Annuals]]</f>
        <v>0.60525375408258586</v>
      </c>
      <c r="AW282" s="4">
        <f>IFERROR(VLOOKUP(tbl_Data_old[[#This Row],[All_Programs]],'1. Set Program Names'!$B$2:$D$15,3,0)*tbl_Data_old[[#This Row],[Sum of Annuals]],"")</f>
        <v>0.43076454576961282</v>
      </c>
      <c r="AX282" s="4">
        <f>tbl_Data_old[[#This Row],[per unit IRA tax ($)]]/tbl_Data_old[[#This Row],[kWh Savings]]*tbl_Data_old[[#This Row],[Sum of Annuals]]</f>
        <v>0</v>
      </c>
      <c r="AY282" s="4">
        <f>tbl_Data_old[[#This Row],[Avoided Costs ($/unit)]]/tbl_Data_old[[#This Row],[kWh Savings]]*tbl_Data_old[[#This Row],[Sum of Annuals]]</f>
        <v>5.3395462637176729</v>
      </c>
      <c r="AZ282" s="4">
        <f>tbl_Data_old[[#This Row],[Lost Revenue ($/unit)]]/tbl_Data_old[[#This Row],[kWh Savings]]*tbl_Data_old[[#This Row],[Sum of Annuals]]</f>
        <v>13.142304146337073</v>
      </c>
      <c r="BA282" s="4">
        <f>tbl_Data_old[[#This Row],[Incremental Cost ($/unit)]]/tbl_Data_old[[#This Row],[kWh Savings]]*tbl_Data_old[[#This Row],[Sum of Annuals]]</f>
        <v>3.9273186093467198</v>
      </c>
      <c r="BB282">
        <f>ROUNDUP(tbl_Data_old[[#This Row],[Adjusted 2025]]/$L282,0)</f>
        <v>1</v>
      </c>
      <c r="BC282">
        <f>ROUNDUP(tbl_Data_old[[#This Row],[Adjusted 2026]]/$L282,0)</f>
        <v>1</v>
      </c>
      <c r="BD282">
        <f>ROUNDUP(tbl_Data_old[[#This Row],[Adjusted 2027]]/$L282,0)</f>
        <v>1</v>
      </c>
      <c r="BE282">
        <f>ROUNDUP(tbl_Data_old[[#This Row],[Adjusted 2028]]/$L282,0)</f>
        <v>1</v>
      </c>
      <c r="BF282">
        <f>ROUNDUP(tbl_Data_old[[#This Row],[Adjusted 2029]]/$L282,0)</f>
        <v>1</v>
      </c>
      <c r="BG282">
        <f>ROUNDUP(tbl_Data_old[[#This Row],[Adjusted 2030]]/$L282,0)</f>
        <v>1</v>
      </c>
      <c r="BH282">
        <f>ROUNDUP(tbl_Data_old[[#This Row],[Adjusted 2031]]/$L282,0)</f>
        <v>1</v>
      </c>
      <c r="BI282">
        <f>ROUNDUP(tbl_Data_old[[#This Row],[Adjusted 2032]]/$L282,0)</f>
        <v>1</v>
      </c>
      <c r="BJ282">
        <f>ROUNDUP(tbl_Data_old[[#This Row],[Adjusted 2033]]/$L282,0)</f>
        <v>1</v>
      </c>
      <c r="BK282">
        <f>ROUNDUP(tbl_Data_old[[#This Row],[Adjusted 2034]]/$L282,0)</f>
        <v>1</v>
      </c>
      <c r="BL282" s="3">
        <f t="shared" si="20"/>
        <v>9.9821508579233942E-2</v>
      </c>
      <c r="BM282" s="3">
        <f t="shared" si="20"/>
        <v>0.10494195456264806</v>
      </c>
      <c r="BN282" s="3">
        <f t="shared" si="20"/>
        <v>0.10769955237256716</v>
      </c>
      <c r="BO282" s="3">
        <f t="shared" si="20"/>
        <v>0.10938857166209612</v>
      </c>
      <c r="BP282" s="3">
        <f t="shared" si="20"/>
        <v>0.11033827725401484</v>
      </c>
      <c r="BQ282" s="3">
        <f t="shared" si="19"/>
        <v>0.1104602236533852</v>
      </c>
      <c r="BR282" s="3">
        <f t="shared" si="19"/>
        <v>0.1101366296041868</v>
      </c>
      <c r="BS282" s="3">
        <f t="shared" si="19"/>
        <v>0.10968202397183338</v>
      </c>
      <c r="BT282" s="3">
        <f t="shared" si="19"/>
        <v>0.10901201363828833</v>
      </c>
      <c r="BU282" s="3">
        <f t="shared" si="19"/>
        <v>0.10826215703469921</v>
      </c>
      <c r="BV282">
        <f>VLOOKUP($H282,'1. Set Program Names'!$B$2:$D$15,3,0)*V282</f>
        <v>7.1043866330656416E-2</v>
      </c>
      <c r="BW282">
        <f>VLOOKUP($H282,'1. Set Program Names'!$B$2:$D$15,3,0)*W282</f>
        <v>7.4688133835492498E-2</v>
      </c>
      <c r="BX282">
        <f>VLOOKUP($H282,'1. Set Program Names'!$B$2:$D$15,3,0)*X282</f>
        <v>7.6650741022961516E-2</v>
      </c>
      <c r="BY282">
        <f>VLOOKUP($H282,'1. Set Program Names'!$B$2:$D$15,3,0)*Y282</f>
        <v>7.7852831257251537E-2</v>
      </c>
      <c r="BZ282">
        <f>VLOOKUP($H282,'1. Set Program Names'!$B$2:$D$15,3,0)*Z282</f>
        <v>7.8528745277046133E-2</v>
      </c>
      <c r="CA282">
        <f>VLOOKUP($H282,'1. Set Program Names'!$B$2:$D$15,3,0)*AA282</f>
        <v>7.8615535627339195E-2</v>
      </c>
      <c r="CB282">
        <f>VLOOKUP($H282,'1. Set Program Names'!$B$2:$D$15,3,0)*AB282</f>
        <v>7.8385230829266545E-2</v>
      </c>
      <c r="CC282">
        <f>VLOOKUP($H282,'1. Set Program Names'!$B$2:$D$15,3,0)*AC282</f>
        <v>7.8061683907989121E-2</v>
      </c>
      <c r="CD282">
        <f>VLOOKUP($H282,'1. Set Program Names'!$B$2:$D$15,3,0)*AD282</f>
        <v>7.7584831521624403E-2</v>
      </c>
      <c r="CE282">
        <f>VLOOKUP($H282,'1. Set Program Names'!$B$2:$D$15,3,0)*AE282</f>
        <v>7.7051151826027939E-2</v>
      </c>
    </row>
    <row r="283" spans="1:83" x14ac:dyDescent="0.25">
      <c r="A283" s="20" t="s">
        <v>114</v>
      </c>
      <c r="B283" s="20" t="s">
        <v>88</v>
      </c>
      <c r="C283" s="20" t="s">
        <v>122</v>
      </c>
      <c r="D283" s="20" t="s">
        <v>90</v>
      </c>
      <c r="E283" s="20" t="s">
        <v>91</v>
      </c>
      <c r="F283" s="20" t="s">
        <v>90</v>
      </c>
      <c r="G283" s="20" t="s">
        <v>92</v>
      </c>
      <c r="H283" s="20" t="s">
        <v>14</v>
      </c>
      <c r="I283" s="20" t="s">
        <v>164</v>
      </c>
      <c r="J283" s="20" t="s">
        <v>158</v>
      </c>
      <c r="K283" s="20" t="s">
        <v>159</v>
      </c>
      <c r="L283" s="20">
        <v>612.05999999999904</v>
      </c>
      <c r="M283" s="20">
        <v>0</v>
      </c>
      <c r="N283" s="20">
        <v>3.0244631686656E-2</v>
      </c>
      <c r="O283" s="20">
        <v>255</v>
      </c>
      <c r="P283" s="20">
        <v>129.095003330796</v>
      </c>
      <c r="Q283" s="20">
        <v>21.789149293425101</v>
      </c>
      <c r="R283" s="20">
        <v>299.625229349054</v>
      </c>
      <c r="S283" s="20">
        <v>664.77065003695395</v>
      </c>
      <c r="T283" s="20">
        <v>15</v>
      </c>
      <c r="U283" s="20">
        <v>0.2</v>
      </c>
      <c r="V283" s="20">
        <v>0</v>
      </c>
      <c r="W283" s="20">
        <v>0</v>
      </c>
      <c r="X283" s="20">
        <v>0</v>
      </c>
      <c r="Y283" s="20">
        <v>0</v>
      </c>
      <c r="Z283" s="20">
        <v>0</v>
      </c>
      <c r="AA283" s="20">
        <v>0</v>
      </c>
      <c r="AB283" s="20">
        <v>0</v>
      </c>
      <c r="AC283" s="20">
        <v>0</v>
      </c>
      <c r="AD283" s="20">
        <v>0</v>
      </c>
      <c r="AE283" s="20">
        <v>0</v>
      </c>
      <c r="AF283" t="str">
        <f t="shared" si="18"/>
        <v>NonResidential</v>
      </c>
      <c r="AG283" t="str">
        <f>tbl_Data_old[[#This Row],[All_Meas_Name_Append]]</f>
        <v>LED Parking Lighting</v>
      </c>
      <c r="AH283">
        <f>AVERAGEIFS('3. Incentive Adjustment'!G:G,'3. Incentive Adjustment'!A:A,tbl_Data_old[[#This Row],[Trimmed Sector]],'3. Incentive Adjustment'!B:B,tbl_Data_old[[#This Row],[Trimmed Measure Name]])</f>
        <v>0.59704067730377497</v>
      </c>
      <c r="AI283">
        <f>$AH283*tbl_Data_old[[#This Row],[2025 ]]</f>
        <v>0</v>
      </c>
      <c r="AJ283">
        <f>$AH283*tbl_Data_old[[#This Row],[2026 ]]</f>
        <v>0</v>
      </c>
      <c r="AK283">
        <f>$AH283*tbl_Data_old[[#This Row],[2027 ]]</f>
        <v>0</v>
      </c>
      <c r="AL283">
        <f>$AH283*tbl_Data_old[[#This Row],[2028 ]]</f>
        <v>0</v>
      </c>
      <c r="AM283">
        <f>$AH283*tbl_Data_old[[#This Row],[2029 ]]</f>
        <v>0</v>
      </c>
      <c r="AN283">
        <f>$AH283*tbl_Data_old[[#This Row],[2030 ]]</f>
        <v>0</v>
      </c>
      <c r="AO283">
        <f>$AH283*tbl_Data_old[[#This Row],[2031 ]]</f>
        <v>0</v>
      </c>
      <c r="AP283">
        <f>$AH283*tbl_Data_old[[#This Row],[2032 ]]</f>
        <v>0</v>
      </c>
      <c r="AQ283">
        <f>$AH283*tbl_Data_old[[#This Row],[2033 ]]</f>
        <v>0</v>
      </c>
      <c r="AR283">
        <f>$AH283*tbl_Data_old[[#This Row],[2034 ]]</f>
        <v>0</v>
      </c>
      <c r="AS283">
        <f>SUM(tbl_Data_old[[#This Row],[Adjusted 2025]:[Adjusted 2034]])</f>
        <v>0</v>
      </c>
      <c r="AT283" s="3">
        <f>AVERAGEIFS('3. Incentive Adjustment'!F:F,'3. Incentive Adjustment'!A:A,tbl_Data_old[[#This Row],[Trimmed Sector]],'3. Incentive Adjustment'!B:B,tbl_Data_old[[#This Row],[Trimmed Measure Name]])</f>
        <v>9.4514474020799994</v>
      </c>
      <c r="AU283" s="3">
        <f>IFERROR(VLOOKUP(tbl_Data_old[[#This Row],[All_Meas_Name_Append]],'IRA Tax Credits'!$A$3:$D$46,4,0),0)</f>
        <v>0</v>
      </c>
      <c r="AV283" s="4">
        <f>tbl_Data_old[[#This Row],[Adj. per unit Incentive ($)]]/tbl_Data_old[[#This Row],[kWh Savings]]*tbl_Data_old[[#This Row],[Sum of Annuals]]</f>
        <v>0</v>
      </c>
      <c r="AW283" s="4">
        <f>IFERROR(VLOOKUP(tbl_Data_old[[#This Row],[All_Programs]],'1. Set Program Names'!$B$2:$D$15,3,0)*tbl_Data_old[[#This Row],[Sum of Annuals]],"")</f>
        <v>0</v>
      </c>
      <c r="AX283" s="4">
        <f>tbl_Data_old[[#This Row],[per unit IRA tax ($)]]/tbl_Data_old[[#This Row],[kWh Savings]]*tbl_Data_old[[#This Row],[Sum of Annuals]]</f>
        <v>0</v>
      </c>
      <c r="AY283" s="4">
        <f>tbl_Data_old[[#This Row],[Avoided Costs ($/unit)]]/tbl_Data_old[[#This Row],[kWh Savings]]*tbl_Data_old[[#This Row],[Sum of Annuals]]</f>
        <v>0</v>
      </c>
      <c r="AZ283" s="4">
        <f>tbl_Data_old[[#This Row],[Lost Revenue ($/unit)]]/tbl_Data_old[[#This Row],[kWh Savings]]*tbl_Data_old[[#This Row],[Sum of Annuals]]</f>
        <v>0</v>
      </c>
      <c r="BA283" s="4">
        <f>tbl_Data_old[[#This Row],[Incremental Cost ($/unit)]]/tbl_Data_old[[#This Row],[kWh Savings]]*tbl_Data_old[[#This Row],[Sum of Annuals]]</f>
        <v>0</v>
      </c>
      <c r="BB283">
        <f>ROUNDUP(tbl_Data_old[[#This Row],[Adjusted 2025]]/$L283,0)</f>
        <v>0</v>
      </c>
      <c r="BC283">
        <f>ROUNDUP(tbl_Data_old[[#This Row],[Adjusted 2026]]/$L283,0)</f>
        <v>0</v>
      </c>
      <c r="BD283">
        <f>ROUNDUP(tbl_Data_old[[#This Row],[Adjusted 2027]]/$L283,0)</f>
        <v>0</v>
      </c>
      <c r="BE283">
        <f>ROUNDUP(tbl_Data_old[[#This Row],[Adjusted 2028]]/$L283,0)</f>
        <v>0</v>
      </c>
      <c r="BF283">
        <f>ROUNDUP(tbl_Data_old[[#This Row],[Adjusted 2029]]/$L283,0)</f>
        <v>0</v>
      </c>
      <c r="BG283">
        <f>ROUNDUP(tbl_Data_old[[#This Row],[Adjusted 2030]]/$L283,0)</f>
        <v>0</v>
      </c>
      <c r="BH283">
        <f>ROUNDUP(tbl_Data_old[[#This Row],[Adjusted 2031]]/$L283,0)</f>
        <v>0</v>
      </c>
      <c r="BI283">
        <f>ROUNDUP(tbl_Data_old[[#This Row],[Adjusted 2032]]/$L283,0)</f>
        <v>0</v>
      </c>
      <c r="BJ283">
        <f>ROUNDUP(tbl_Data_old[[#This Row],[Adjusted 2033]]/$L283,0)</f>
        <v>0</v>
      </c>
      <c r="BK283">
        <f>ROUNDUP(tbl_Data_old[[#This Row],[Adjusted 2034]]/$L283,0)</f>
        <v>0</v>
      </c>
      <c r="BL283" s="3">
        <f t="shared" si="20"/>
        <v>0</v>
      </c>
      <c r="BM283" s="3">
        <f t="shared" si="20"/>
        <v>0</v>
      </c>
      <c r="BN283" s="3">
        <f t="shared" si="20"/>
        <v>0</v>
      </c>
      <c r="BO283" s="3">
        <f t="shared" si="20"/>
        <v>0</v>
      </c>
      <c r="BP283" s="3">
        <f t="shared" si="20"/>
        <v>0</v>
      </c>
      <c r="BQ283" s="3">
        <f t="shared" si="19"/>
        <v>0</v>
      </c>
      <c r="BR283" s="3">
        <f t="shared" si="19"/>
        <v>0</v>
      </c>
      <c r="BS283" s="3">
        <f t="shared" si="19"/>
        <v>0</v>
      </c>
      <c r="BT283" s="3">
        <f t="shared" si="19"/>
        <v>0</v>
      </c>
      <c r="BU283" s="3">
        <f t="shared" si="19"/>
        <v>0</v>
      </c>
      <c r="BV283">
        <f>VLOOKUP($H283,'1. Set Program Names'!$B$2:$D$15,3,0)*V283</f>
        <v>0</v>
      </c>
      <c r="BW283">
        <f>VLOOKUP($H283,'1. Set Program Names'!$B$2:$D$15,3,0)*W283</f>
        <v>0</v>
      </c>
      <c r="BX283">
        <f>VLOOKUP($H283,'1. Set Program Names'!$B$2:$D$15,3,0)*X283</f>
        <v>0</v>
      </c>
      <c r="BY283">
        <f>VLOOKUP($H283,'1. Set Program Names'!$B$2:$D$15,3,0)*Y283</f>
        <v>0</v>
      </c>
      <c r="BZ283">
        <f>VLOOKUP($H283,'1. Set Program Names'!$B$2:$D$15,3,0)*Z283</f>
        <v>0</v>
      </c>
      <c r="CA283">
        <f>VLOOKUP($H283,'1. Set Program Names'!$B$2:$D$15,3,0)*AA283</f>
        <v>0</v>
      </c>
      <c r="CB283">
        <f>VLOOKUP($H283,'1. Set Program Names'!$B$2:$D$15,3,0)*AB283</f>
        <v>0</v>
      </c>
      <c r="CC283">
        <f>VLOOKUP($H283,'1. Set Program Names'!$B$2:$D$15,3,0)*AC283</f>
        <v>0</v>
      </c>
      <c r="CD283">
        <f>VLOOKUP($H283,'1. Set Program Names'!$B$2:$D$15,3,0)*AD283</f>
        <v>0</v>
      </c>
      <c r="CE283">
        <f>VLOOKUP($H283,'1. Set Program Names'!$B$2:$D$15,3,0)*AE283</f>
        <v>0</v>
      </c>
    </row>
    <row r="284" spans="1:83" x14ac:dyDescent="0.25">
      <c r="A284" s="20" t="s">
        <v>114</v>
      </c>
      <c r="B284" s="20" t="s">
        <v>88</v>
      </c>
      <c r="C284" s="20" t="s">
        <v>122</v>
      </c>
      <c r="D284" s="20" t="s">
        <v>90</v>
      </c>
      <c r="E284" s="20" t="s">
        <v>91</v>
      </c>
      <c r="F284" s="20" t="s">
        <v>90</v>
      </c>
      <c r="G284" s="20" t="s">
        <v>92</v>
      </c>
      <c r="H284" s="20" t="s">
        <v>14</v>
      </c>
      <c r="I284" s="20" t="s">
        <v>165</v>
      </c>
      <c r="J284" s="20" t="s">
        <v>161</v>
      </c>
      <c r="K284" s="20" t="s">
        <v>166</v>
      </c>
      <c r="L284" s="20">
        <v>510.6</v>
      </c>
      <c r="M284" s="20">
        <v>6.2552429943266097E-2</v>
      </c>
      <c r="N284" s="20">
        <v>6.4361142955417797E-2</v>
      </c>
      <c r="O284" s="20">
        <v>129</v>
      </c>
      <c r="P284" s="20">
        <v>26.468747947944401</v>
      </c>
      <c r="Q284" s="20">
        <v>18.177204243412199</v>
      </c>
      <c r="R284" s="20">
        <v>174.74401692254699</v>
      </c>
      <c r="S284" s="20">
        <v>419.99719394182398</v>
      </c>
      <c r="T284" s="20">
        <v>10</v>
      </c>
      <c r="U284" s="20">
        <v>0.2</v>
      </c>
      <c r="V284" s="20">
        <v>1.0097684520058099</v>
      </c>
      <c r="W284" s="20">
        <v>1.38484073507094</v>
      </c>
      <c r="X284" s="20">
        <v>1.84213812931489</v>
      </c>
      <c r="Y284" s="20">
        <v>2.37602791110809</v>
      </c>
      <c r="Z284" s="20">
        <v>2.9430415262337699</v>
      </c>
      <c r="AA284" s="20">
        <v>3.4552606334355498</v>
      </c>
      <c r="AB284" s="20">
        <v>3.7981499102754701</v>
      </c>
      <c r="AC284" s="20">
        <v>3.8638796677620402</v>
      </c>
      <c r="AD284" s="20">
        <v>3.5971532308654099</v>
      </c>
      <c r="AE284" s="20">
        <v>3.0512609694091499</v>
      </c>
      <c r="AF284" t="str">
        <f t="shared" si="18"/>
        <v>NonResidential</v>
      </c>
      <c r="AG284" t="str">
        <f>tbl_Data_old[[#This Row],[All_Meas_Name_Append]]</f>
        <v>Occupancy Sensors_ Ceiling Mounted</v>
      </c>
      <c r="AH284">
        <f>AVERAGEIFS('3. Incentive Adjustment'!G:G,'3. Incentive Adjustment'!A:A,tbl_Data_old[[#This Row],[Trimmed Sector]],'3. Incentive Adjustment'!B:B,tbl_Data_old[[#This Row],[Trimmed Measure Name]])</f>
        <v>0.99348124042467356</v>
      </c>
      <c r="AI284">
        <f>$AH284*tbl_Data_old[[#This Row],[2025 ]]</f>
        <v>1.0031860142404345</v>
      </c>
      <c r="AJ284">
        <f>$AH284*tbl_Data_old[[#This Row],[2026 ]]</f>
        <v>1.3758132912688941</v>
      </c>
      <c r="AK284">
        <f>$AH284*tbl_Data_old[[#This Row],[2027 ]]</f>
        <v>1.8301296737453445</v>
      </c>
      <c r="AL284">
        <f>$AH284*tbl_Data_old[[#This Row],[2028 ]]</f>
        <v>2.3605391564113112</v>
      </c>
      <c r="AM284">
        <f>$AH284*tbl_Data_old[[#This Row],[2029 ]]</f>
        <v>2.9238565461040502</v>
      </c>
      <c r="AN284">
        <f>$AH284*tbl_Data_old[[#This Row],[2030 ]]</f>
        <v>3.4327366200960934</v>
      </c>
      <c r="AO284">
        <f>$AH284*tbl_Data_old[[#This Row],[2031 ]]</f>
        <v>3.7733906841793368</v>
      </c>
      <c r="AP284">
        <f>$AH284*tbl_Data_old[[#This Row],[2032 ]]</f>
        <v>3.8386919651799074</v>
      </c>
      <c r="AQ284">
        <f>$AH284*tbl_Data_old[[#This Row],[2033 ]]</f>
        <v>3.5737042537977897</v>
      </c>
      <c r="AR284">
        <f>$AH284*tbl_Data_old[[#This Row],[2034 ]]</f>
        <v>3.0313705327479941</v>
      </c>
      <c r="AS284">
        <f>SUM(tbl_Data_old[[#This Row],[Adjusted 2025]:[Adjusted 2034]])</f>
        <v>27.143418737771157</v>
      </c>
      <c r="AT284" s="3">
        <f>AVERAGEIFS('3. Incentive Adjustment'!F:F,'3. Incentive Adjustment'!A:A,tbl_Data_old[[#This Row],[Trimmed Sector]],'3. Incentive Adjustment'!B:B,tbl_Data_old[[#This Row],[Trimmed Measure Name]])</f>
        <v>19.547634357270656</v>
      </c>
      <c r="AU284" s="3">
        <f>IFERROR(VLOOKUP(tbl_Data_old[[#This Row],[All_Meas_Name_Append]],'IRA Tax Credits'!$A$3:$D$46,4,0),0)</f>
        <v>0</v>
      </c>
      <c r="AV284" s="4">
        <f>tbl_Data_old[[#This Row],[Adj. per unit Incentive ($)]]/tbl_Data_old[[#This Row],[kWh Savings]]*tbl_Data_old[[#This Row],[Sum of Annuals]]</f>
        <v>1.0391492845519772</v>
      </c>
      <c r="AW284" s="4">
        <f>IFERROR(VLOOKUP(tbl_Data_old[[#This Row],[All_Programs]],'1. Set Program Names'!$B$2:$D$15,3,0)*tbl_Data_old[[#This Row],[Sum of Annuals]],"")</f>
        <v>0.96629742706801403</v>
      </c>
      <c r="AX284" s="4">
        <f>tbl_Data_old[[#This Row],[per unit IRA tax ($)]]/tbl_Data_old[[#This Row],[kWh Savings]]*tbl_Data_old[[#This Row],[Sum of Annuals]]</f>
        <v>0</v>
      </c>
      <c r="AY284" s="4">
        <f>tbl_Data_old[[#This Row],[Avoided Costs ($/unit)]]/tbl_Data_old[[#This Row],[kWh Savings]]*tbl_Data_old[[#This Row],[Sum of Annuals]]</f>
        <v>9.2893654979413665</v>
      </c>
      <c r="AZ284" s="4">
        <f>tbl_Data_old[[#This Row],[Lost Revenue ($/unit)]]/tbl_Data_old[[#This Row],[kWh Savings]]*tbl_Data_old[[#This Row],[Sum of Annuals]]</f>
        <v>22.326987277422269</v>
      </c>
      <c r="BA284" s="4">
        <f>tbl_Data_old[[#This Row],[Incremental Cost ($/unit)]]/tbl_Data_old[[#This Row],[kWh Savings]]*tbl_Data_old[[#This Row],[Sum of Annuals]]</f>
        <v>6.8576204801654503</v>
      </c>
      <c r="BB284">
        <f>ROUNDUP(tbl_Data_old[[#This Row],[Adjusted 2025]]/$L284,0)</f>
        <v>1</v>
      </c>
      <c r="BC284">
        <f>ROUNDUP(tbl_Data_old[[#This Row],[Adjusted 2026]]/$L284,0)</f>
        <v>1</v>
      </c>
      <c r="BD284">
        <f>ROUNDUP(tbl_Data_old[[#This Row],[Adjusted 2027]]/$L284,0)</f>
        <v>1</v>
      </c>
      <c r="BE284">
        <f>ROUNDUP(tbl_Data_old[[#This Row],[Adjusted 2028]]/$L284,0)</f>
        <v>1</v>
      </c>
      <c r="BF284">
        <f>ROUNDUP(tbl_Data_old[[#This Row],[Adjusted 2029]]/$L284,0)</f>
        <v>1</v>
      </c>
      <c r="BG284">
        <f>ROUNDUP(tbl_Data_old[[#This Row],[Adjusted 2030]]/$L284,0)</f>
        <v>1</v>
      </c>
      <c r="BH284">
        <f>ROUNDUP(tbl_Data_old[[#This Row],[Adjusted 2031]]/$L284,0)</f>
        <v>1</v>
      </c>
      <c r="BI284">
        <f>ROUNDUP(tbl_Data_old[[#This Row],[Adjusted 2032]]/$L284,0)</f>
        <v>1</v>
      </c>
      <c r="BJ284">
        <f>ROUNDUP(tbl_Data_old[[#This Row],[Adjusted 2033]]/$L284,0)</f>
        <v>1</v>
      </c>
      <c r="BK284">
        <f>ROUNDUP(tbl_Data_old[[#This Row],[Adjusted 2034]]/$L284,0)</f>
        <v>1</v>
      </c>
      <c r="BL284" s="3">
        <f t="shared" si="20"/>
        <v>3.8657627272457452E-2</v>
      </c>
      <c r="BM284" s="3">
        <f t="shared" si="20"/>
        <v>5.3016765241325217E-2</v>
      </c>
      <c r="BN284" s="3">
        <f t="shared" si="20"/>
        <v>7.0523781017301293E-2</v>
      </c>
      <c r="BO284" s="3">
        <f t="shared" si="20"/>
        <v>9.0963033350980271E-2</v>
      </c>
      <c r="BP284" s="3">
        <f t="shared" si="20"/>
        <v>0.11267038709965044</v>
      </c>
      <c r="BQ284" s="3">
        <f t="shared" si="19"/>
        <v>0.13228000679880439</v>
      </c>
      <c r="BR284" s="3">
        <f t="shared" si="19"/>
        <v>0.14540706165328093</v>
      </c>
      <c r="BS284" s="3">
        <f t="shared" si="19"/>
        <v>0.14792343702684055</v>
      </c>
      <c r="BT284" s="3">
        <f t="shared" si="19"/>
        <v>0.13771217407761815</v>
      </c>
      <c r="BU284" s="3">
        <f t="shared" si="19"/>
        <v>0.11681342295068796</v>
      </c>
      <c r="BV284">
        <f>VLOOKUP($H284,'1. Set Program Names'!$B$2:$D$15,3,0)*V284</f>
        <v>3.5947448865381454E-2</v>
      </c>
      <c r="BW284">
        <f>VLOOKUP($H284,'1. Set Program Names'!$B$2:$D$15,3,0)*W284</f>
        <v>4.929990772812682E-2</v>
      </c>
      <c r="BX284">
        <f>VLOOKUP($H284,'1. Set Program Names'!$B$2:$D$15,3,0)*X284</f>
        <v>6.5579555466380779E-2</v>
      </c>
      <c r="BY284">
        <f>VLOOKUP($H284,'1. Set Program Names'!$B$2:$D$15,3,0)*Y284</f>
        <v>8.4585868837171535E-2</v>
      </c>
      <c r="BZ284">
        <f>VLOOKUP($H284,'1. Set Program Names'!$B$2:$D$15,3,0)*Z284</f>
        <v>0.10477138057029924</v>
      </c>
      <c r="CA284">
        <f>VLOOKUP($H284,'1. Set Program Names'!$B$2:$D$15,3,0)*AA284</f>
        <v>0.1230062245361923</v>
      </c>
      <c r="CB284">
        <f>VLOOKUP($H284,'1. Set Program Names'!$B$2:$D$15,3,0)*AB284</f>
        <v>0.13521297819462383</v>
      </c>
      <c r="CC284">
        <f>VLOOKUP($H284,'1. Set Program Names'!$B$2:$D$15,3,0)*AC284</f>
        <v>0.13755293751053321</v>
      </c>
      <c r="CD284">
        <f>VLOOKUP($H284,'1. Set Program Names'!$B$2:$D$15,3,0)*AD284</f>
        <v>0.12805755772089819</v>
      </c>
      <c r="CE284">
        <f>VLOOKUP($H284,'1. Set Program Names'!$B$2:$D$15,3,0)*AE284</f>
        <v>0.10862395973541326</v>
      </c>
    </row>
    <row r="285" spans="1:83" x14ac:dyDescent="0.25">
      <c r="A285" s="20" t="s">
        <v>114</v>
      </c>
      <c r="B285" s="20" t="s">
        <v>88</v>
      </c>
      <c r="C285" s="20" t="s">
        <v>122</v>
      </c>
      <c r="D285" s="20" t="s">
        <v>90</v>
      </c>
      <c r="E285" s="20" t="s">
        <v>91</v>
      </c>
      <c r="F285" s="20" t="s">
        <v>90</v>
      </c>
      <c r="G285" s="20" t="s">
        <v>92</v>
      </c>
      <c r="H285" s="20" t="s">
        <v>14</v>
      </c>
      <c r="I285" s="20" t="s">
        <v>154</v>
      </c>
      <c r="J285" s="20" t="s">
        <v>129</v>
      </c>
      <c r="K285" s="20" t="s">
        <v>102</v>
      </c>
      <c r="L285" s="20">
        <v>111105.09249999899</v>
      </c>
      <c r="M285" s="20">
        <v>30.6532165911823</v>
      </c>
      <c r="N285" s="20">
        <v>0</v>
      </c>
      <c r="O285" s="20">
        <v>40257.675000000003</v>
      </c>
      <c r="P285" s="20">
        <v>17605.607636663401</v>
      </c>
      <c r="Q285" s="20">
        <v>3955.3074008141398</v>
      </c>
      <c r="R285" s="20">
        <v>56706.982631731698</v>
      </c>
      <c r="S285" s="20">
        <v>120673.47084214</v>
      </c>
      <c r="T285" s="20">
        <v>15</v>
      </c>
      <c r="U285" s="20">
        <v>0.95</v>
      </c>
      <c r="V285" s="20">
        <v>5.4735852901833401E-2</v>
      </c>
      <c r="W285" s="20">
        <v>5.4932337107766398E-2</v>
      </c>
      <c r="X285" s="20">
        <v>5.5332005003852498E-2</v>
      </c>
      <c r="Y285" s="20">
        <v>5.5843448292502401E-2</v>
      </c>
      <c r="Z285" s="20">
        <v>5.61865217096627E-2</v>
      </c>
      <c r="AA285" s="20">
        <v>5.6521305205753498E-2</v>
      </c>
      <c r="AB285" s="20">
        <v>5.6630771519913602E-2</v>
      </c>
      <c r="AC285" s="20">
        <v>5.6669598794279602E-2</v>
      </c>
      <c r="AD285" s="20">
        <v>5.69987374246438E-2</v>
      </c>
      <c r="AE285" s="20">
        <v>5.7187348048894901E-2</v>
      </c>
      <c r="AF285" t="str">
        <f t="shared" si="18"/>
        <v>NonResidential</v>
      </c>
      <c r="AG285" t="str">
        <f>tbl_Data_old[[#This Row],[All_Meas_Name_Append]]</f>
        <v>Reflective Roof Treatment</v>
      </c>
      <c r="AH285">
        <f>AVERAGEIFS('3. Incentive Adjustment'!G:G,'3. Incentive Adjustment'!A:A,tbl_Data_old[[#This Row],[Trimmed Sector]],'3. Incentive Adjustment'!B:B,tbl_Data_old[[#This Row],[Trimmed Measure Name]])</f>
        <v>0.87696681614875649</v>
      </c>
      <c r="AI285">
        <f>$AH285*tbl_Data_old[[#This Row],[2025 ]]</f>
        <v>4.8001526648507514E-2</v>
      </c>
      <c r="AJ285">
        <f>$AH285*tbl_Data_old[[#This Row],[2026 ]]</f>
        <v>4.8173836777008087E-2</v>
      </c>
      <c r="AK285">
        <f>$AH285*tbl_Data_old[[#This Row],[2027 ]]</f>
        <v>4.8524332259355589E-2</v>
      </c>
      <c r="AL285">
        <f>$AH285*tbl_Data_old[[#This Row],[2028 ]]</f>
        <v>4.8972851051843541E-2</v>
      </c>
      <c r="AM285">
        <f>$AH285*tbl_Data_old[[#This Row],[2029 ]]</f>
        <v>4.9273715054195887E-2</v>
      </c>
      <c r="AN285">
        <f>$AH285*tbl_Data_old[[#This Row],[2030 ]]</f>
        <v>4.9567309070861779E-2</v>
      </c>
      <c r="AO285">
        <f>$AH285*tbl_Data_old[[#This Row],[2031 ]]</f>
        <v>4.9663307395866309E-2</v>
      </c>
      <c r="AP285">
        <f>$AH285*tbl_Data_old[[#This Row],[2032 ]]</f>
        <v>4.9697357627046794E-2</v>
      </c>
      <c r="AQ285">
        <f>$AH285*tbl_Data_old[[#This Row],[2033 ]]</f>
        <v>4.9986001283788849E-2</v>
      </c>
      <c r="AR285">
        <f>$AH285*tbl_Data_old[[#This Row],[2034 ]]</f>
        <v>5.0151406542430166E-2</v>
      </c>
      <c r="AS285">
        <f>SUM(tbl_Data_old[[#This Row],[Adjusted 2025]:[Adjusted 2034]])</f>
        <v>0.49201164371090456</v>
      </c>
      <c r="AT285" s="3">
        <f>AVERAGEIFS('3. Incentive Adjustment'!F:F,'3. Incentive Adjustment'!A:A,tbl_Data_old[[#This Row],[Trimmed Sector]],'3. Incentive Adjustment'!B:B,tbl_Data_old[[#This Row],[Trimmed Measure Name]])</f>
        <v>12077.302499999998</v>
      </c>
      <c r="AU285" s="3">
        <f>IFERROR(VLOOKUP(tbl_Data_old[[#This Row],[All_Meas_Name_Append]],'IRA Tax Credits'!$A$3:$D$46,4,0),0)</f>
        <v>0</v>
      </c>
      <c r="AV285" s="4">
        <f>tbl_Data_old[[#This Row],[Adj. per unit Incentive ($)]]/tbl_Data_old[[#This Row],[kWh Savings]]*tbl_Data_old[[#This Row],[Sum of Annuals]]</f>
        <v>5.3482458102619104E-2</v>
      </c>
      <c r="AW285" s="4">
        <f>IFERROR(VLOOKUP(tbl_Data_old[[#This Row],[All_Programs]],'1. Set Program Names'!$B$2:$D$15,3,0)*tbl_Data_old[[#This Row],[Sum of Annuals]],"")</f>
        <v>1.7515464429827779E-2</v>
      </c>
      <c r="AX285" s="4">
        <f>tbl_Data_old[[#This Row],[per unit IRA tax ($)]]/tbl_Data_old[[#This Row],[kWh Savings]]*tbl_Data_old[[#This Row],[Sum of Annuals]]</f>
        <v>0</v>
      </c>
      <c r="AY285" s="4">
        <f>tbl_Data_old[[#This Row],[Avoided Costs ($/unit)]]/tbl_Data_old[[#This Row],[kWh Savings]]*tbl_Data_old[[#This Row],[Sum of Annuals]]</f>
        <v>0.25111806404845288</v>
      </c>
      <c r="AZ285" s="4">
        <f>tbl_Data_old[[#This Row],[Lost Revenue ($/unit)]]/tbl_Data_old[[#This Row],[kWh Savings]]*tbl_Data_old[[#This Row],[Sum of Annuals]]</f>
        <v>0.5343837209022777</v>
      </c>
      <c r="BA285" s="4">
        <f>tbl_Data_old[[#This Row],[Incremental Cost ($/unit)]]/tbl_Data_old[[#This Row],[kWh Savings]]*tbl_Data_old[[#This Row],[Sum of Annuals]]</f>
        <v>0.17827486034206372</v>
      </c>
      <c r="BB285">
        <f>ROUNDUP(tbl_Data_old[[#This Row],[Adjusted 2025]]/$L285,0)</f>
        <v>1</v>
      </c>
      <c r="BC285">
        <f>ROUNDUP(tbl_Data_old[[#This Row],[Adjusted 2026]]/$L285,0)</f>
        <v>1</v>
      </c>
      <c r="BD285">
        <f>ROUNDUP(tbl_Data_old[[#This Row],[Adjusted 2027]]/$L285,0)</f>
        <v>1</v>
      </c>
      <c r="BE285">
        <f>ROUNDUP(tbl_Data_old[[#This Row],[Adjusted 2028]]/$L285,0)</f>
        <v>1</v>
      </c>
      <c r="BF285">
        <f>ROUNDUP(tbl_Data_old[[#This Row],[Adjusted 2029]]/$L285,0)</f>
        <v>1</v>
      </c>
      <c r="BG285">
        <f>ROUNDUP(tbl_Data_old[[#This Row],[Adjusted 2030]]/$L285,0)</f>
        <v>1</v>
      </c>
      <c r="BH285">
        <f>ROUNDUP(tbl_Data_old[[#This Row],[Adjusted 2031]]/$L285,0)</f>
        <v>1</v>
      </c>
      <c r="BI285">
        <f>ROUNDUP(tbl_Data_old[[#This Row],[Adjusted 2032]]/$L285,0)</f>
        <v>1</v>
      </c>
      <c r="BJ285">
        <f>ROUNDUP(tbl_Data_old[[#This Row],[Adjusted 2033]]/$L285,0)</f>
        <v>1</v>
      </c>
      <c r="BK285">
        <f>ROUNDUP(tbl_Data_old[[#This Row],[Adjusted 2034]]/$L285,0)</f>
        <v>1</v>
      </c>
      <c r="BL285" s="3">
        <f t="shared" si="20"/>
        <v>5.9498753676925356E-3</v>
      </c>
      <c r="BM285" s="3">
        <f t="shared" si="20"/>
        <v>5.9712335173338323E-3</v>
      </c>
      <c r="BN285" s="3">
        <f t="shared" si="20"/>
        <v>6.0146780613413043E-3</v>
      </c>
      <c r="BO285" s="3">
        <f t="shared" si="20"/>
        <v>6.0702727705452923E-3</v>
      </c>
      <c r="BP285" s="3">
        <f t="shared" si="20"/>
        <v>6.1075654035427735E-3</v>
      </c>
      <c r="BQ285" s="3">
        <f t="shared" si="19"/>
        <v>6.1439569087682984E-3</v>
      </c>
      <c r="BR285" s="3">
        <f t="shared" si="19"/>
        <v>6.1558560734233441E-3</v>
      </c>
      <c r="BS285" s="3">
        <f t="shared" si="19"/>
        <v>6.1600766606819228E-3</v>
      </c>
      <c r="BT285" s="3">
        <f t="shared" si="19"/>
        <v>6.1958545599113766E-3</v>
      </c>
      <c r="BU285" s="3">
        <f t="shared" si="19"/>
        <v>6.2163568385427042E-3</v>
      </c>
      <c r="BV285">
        <f>VLOOKUP($H285,'1. Set Program Names'!$B$2:$D$15,3,0)*V285</f>
        <v>1.9485796663415429E-3</v>
      </c>
      <c r="BW285">
        <f>VLOOKUP($H285,'1. Set Program Names'!$B$2:$D$15,3,0)*W285</f>
        <v>1.9555744441359982E-3</v>
      </c>
      <c r="BX285">
        <f>VLOOKUP($H285,'1. Set Program Names'!$B$2:$D$15,3,0)*X285</f>
        <v>1.9698024993194917E-3</v>
      </c>
      <c r="BY285">
        <f>VLOOKUP($H285,'1. Set Program Names'!$B$2:$D$15,3,0)*Y285</f>
        <v>1.9880097243815983E-3</v>
      </c>
      <c r="BZ285">
        <f>VLOOKUP($H285,'1. Set Program Names'!$B$2:$D$15,3,0)*Z285</f>
        <v>2.0002230333792644E-3</v>
      </c>
      <c r="CA285">
        <f>VLOOKUP($H285,'1. Set Program Names'!$B$2:$D$15,3,0)*AA285</f>
        <v>2.0121412237156648E-3</v>
      </c>
      <c r="CB285">
        <f>VLOOKUP($H285,'1. Set Program Names'!$B$2:$D$15,3,0)*AB285</f>
        <v>2.0160381911074813E-3</v>
      </c>
      <c r="CC285">
        <f>VLOOKUP($H285,'1. Set Program Names'!$B$2:$D$15,3,0)*AC285</f>
        <v>2.0174204302307987E-3</v>
      </c>
      <c r="CD285">
        <f>VLOOKUP($H285,'1. Set Program Names'!$B$2:$D$15,3,0)*AD285</f>
        <v>2.0291376650692769E-3</v>
      </c>
      <c r="CE285">
        <f>VLOOKUP($H285,'1. Set Program Names'!$B$2:$D$15,3,0)*AE285</f>
        <v>2.0358521457576628E-3</v>
      </c>
    </row>
    <row r="286" spans="1:83" x14ac:dyDescent="0.25">
      <c r="A286" s="20" t="s">
        <v>114</v>
      </c>
      <c r="B286" s="20" t="s">
        <v>88</v>
      </c>
      <c r="C286" s="20" t="s">
        <v>122</v>
      </c>
      <c r="D286" s="20" t="s">
        <v>90</v>
      </c>
      <c r="E286" s="20" t="s">
        <v>91</v>
      </c>
      <c r="F286" s="20" t="s">
        <v>90</v>
      </c>
      <c r="G286" s="20" t="s">
        <v>92</v>
      </c>
      <c r="H286" s="20" t="s">
        <v>14</v>
      </c>
      <c r="I286" s="20" t="s">
        <v>167</v>
      </c>
      <c r="J286" s="20" t="s">
        <v>124</v>
      </c>
      <c r="K286" s="20" t="s">
        <v>98</v>
      </c>
      <c r="L286" s="20">
        <v>151.66</v>
      </c>
      <c r="M286" s="20">
        <v>2.2013191527321101E-2</v>
      </c>
      <c r="N286" s="20">
        <v>1.95296013954902E-2</v>
      </c>
      <c r="O286" s="20">
        <v>56.6</v>
      </c>
      <c r="P286" s="20">
        <v>25.402483751835899</v>
      </c>
      <c r="Q286" s="20">
        <v>5.3990497366938701</v>
      </c>
      <c r="R286" s="20">
        <v>70.564478576335205</v>
      </c>
      <c r="S286" s="20">
        <v>171.417444155428</v>
      </c>
      <c r="T286" s="20">
        <v>16</v>
      </c>
      <c r="U286" s="20">
        <v>0.2</v>
      </c>
      <c r="V286" s="20">
        <v>0.14364596109632999</v>
      </c>
      <c r="W286" s="20">
        <v>0.19536353644152599</v>
      </c>
      <c r="X286" s="20">
        <v>0.25238873113131599</v>
      </c>
      <c r="Y286" s="20">
        <v>0.31161013604319698</v>
      </c>
      <c r="Z286" s="20">
        <v>0.36786912404657601</v>
      </c>
      <c r="AA286" s="20">
        <v>0.41712958396789901</v>
      </c>
      <c r="AB286" s="20">
        <v>0.4565544289788</v>
      </c>
      <c r="AC286" s="20">
        <v>0.48696294190304101</v>
      </c>
      <c r="AD286" s="20">
        <v>0.51084046305428199</v>
      </c>
      <c r="AE286" s="20">
        <v>0.52865190962195896</v>
      </c>
      <c r="AF286" t="str">
        <f t="shared" si="18"/>
        <v>NonResidential</v>
      </c>
      <c r="AG286" t="str">
        <f>tbl_Data_old[[#This Row],[All_Meas_Name_Append]]</f>
        <v>Refrigerated Display Case LED Lighting</v>
      </c>
      <c r="AH286">
        <f>AVERAGEIFS('3. Incentive Adjustment'!G:G,'3. Incentive Adjustment'!A:A,tbl_Data_old[[#This Row],[Trimmed Sector]],'3. Incentive Adjustment'!B:B,tbl_Data_old[[#This Row],[Trimmed Measure Name]])</f>
        <v>0.72450810749703154</v>
      </c>
      <c r="AI286">
        <f>$AH286*tbl_Data_old[[#This Row],[2025 ]]</f>
        <v>0.10407266342349426</v>
      </c>
      <c r="AJ286">
        <f>$AH286*tbl_Data_old[[#This Row],[2026 ]]</f>
        <v>0.14154246606117735</v>
      </c>
      <c r="AK286">
        <f>$AH286*tbl_Data_old[[#This Row],[2027 ]]</f>
        <v>0.18285768194552687</v>
      </c>
      <c r="AL286">
        <f>$AH286*tbl_Data_old[[#This Row],[2028 ]]</f>
        <v>0.22576406994154918</v>
      </c>
      <c r="AM286">
        <f>$AH286*tbl_Data_old[[#This Row],[2029 ]]</f>
        <v>0.26652416286957553</v>
      </c>
      <c r="AN286">
        <f>$AH286*tbl_Data_old[[#This Row],[2030 ]]</f>
        <v>0.30221376546160661</v>
      </c>
      <c r="AO286">
        <f>$AH286*tbl_Data_old[[#This Row],[2031 ]]</f>
        <v>0.33077738530881828</v>
      </c>
      <c r="AP286">
        <f>$AH286*tbl_Data_old[[#This Row],[2032 ]]</f>
        <v>0.35280859945935916</v>
      </c>
      <c r="AQ286">
        <f>$AH286*tbl_Data_old[[#This Row],[2033 ]]</f>
        <v>0.3701080571203651</v>
      </c>
      <c r="AR286">
        <f>$AH286*tbl_Data_old[[#This Row],[2034 ]]</f>
        <v>0.38301259456489722</v>
      </c>
      <c r="AS286">
        <f>SUM(tbl_Data_old[[#This Row],[Adjusted 2025]:[Adjusted 2034]])</f>
        <v>2.6596814461563696</v>
      </c>
      <c r="AT286" s="3">
        <f>AVERAGEIFS('3. Incentive Adjustment'!F:F,'3. Incentive Adjustment'!A:A,tbl_Data_old[[#This Row],[Trimmed Sector]],'3. Incentive Adjustment'!B:B,tbl_Data_old[[#This Row],[Trimmed Measure Name]])</f>
        <v>6.879122352287844</v>
      </c>
      <c r="AU286" s="3">
        <f>IFERROR(VLOOKUP(tbl_Data_old[[#This Row],[All_Meas_Name_Append]],'IRA Tax Credits'!$A$3:$D$46,4,0),0)</f>
        <v>0</v>
      </c>
      <c r="AV286" s="4">
        <f>tbl_Data_old[[#This Row],[Adj. per unit Incentive ($)]]/tbl_Data_old[[#This Row],[kWh Savings]]*tbl_Data_old[[#This Row],[Sum of Annuals]]</f>
        <v>0.12064007705538402</v>
      </c>
      <c r="AW286" s="4">
        <f>IFERROR(VLOOKUP(tbl_Data_old[[#This Row],[All_Programs]],'1. Set Program Names'!$B$2:$D$15,3,0)*tbl_Data_old[[#This Row],[Sum of Annuals]],"")</f>
        <v>9.4683848157458381E-2</v>
      </c>
      <c r="AX286" s="4">
        <f>tbl_Data_old[[#This Row],[per unit IRA tax ($)]]/tbl_Data_old[[#This Row],[kWh Savings]]*tbl_Data_old[[#This Row],[Sum of Annuals]]</f>
        <v>0</v>
      </c>
      <c r="AY286" s="4">
        <f>tbl_Data_old[[#This Row],[Avoided Costs ($/unit)]]/tbl_Data_old[[#This Row],[kWh Savings]]*tbl_Data_old[[#This Row],[Sum of Annuals]]</f>
        <v>1.23749857857825</v>
      </c>
      <c r="AZ286" s="4">
        <f>tbl_Data_old[[#This Row],[Lost Revenue ($/unit)]]/tbl_Data_old[[#This Row],[kWh Savings]]*tbl_Data_old[[#This Row],[Sum of Annuals]]</f>
        <v>3.0061703532093991</v>
      </c>
      <c r="BA286" s="4">
        <f>tbl_Data_old[[#This Row],[Incremental Cost ($/unit)]]/tbl_Data_old[[#This Row],[kWh Savings]]*tbl_Data_old[[#This Row],[Sum of Annuals]]</f>
        <v>0.99260167382599584</v>
      </c>
      <c r="BB286">
        <f>ROUNDUP(tbl_Data_old[[#This Row],[Adjusted 2025]]/$L286,0)</f>
        <v>1</v>
      </c>
      <c r="BC286">
        <f>ROUNDUP(tbl_Data_old[[#This Row],[Adjusted 2026]]/$L286,0)</f>
        <v>1</v>
      </c>
      <c r="BD286">
        <f>ROUNDUP(tbl_Data_old[[#This Row],[Adjusted 2027]]/$L286,0)</f>
        <v>1</v>
      </c>
      <c r="BE286">
        <f>ROUNDUP(tbl_Data_old[[#This Row],[Adjusted 2028]]/$L286,0)</f>
        <v>1</v>
      </c>
      <c r="BF286">
        <f>ROUNDUP(tbl_Data_old[[#This Row],[Adjusted 2029]]/$L286,0)</f>
        <v>1</v>
      </c>
      <c r="BG286">
        <f>ROUNDUP(tbl_Data_old[[#This Row],[Adjusted 2030]]/$L286,0)</f>
        <v>1</v>
      </c>
      <c r="BH286">
        <f>ROUNDUP(tbl_Data_old[[#This Row],[Adjusted 2031]]/$L286,0)</f>
        <v>1</v>
      </c>
      <c r="BI286">
        <f>ROUNDUP(tbl_Data_old[[#This Row],[Adjusted 2032]]/$L286,0)</f>
        <v>1</v>
      </c>
      <c r="BJ286">
        <f>ROUNDUP(tbl_Data_old[[#This Row],[Adjusted 2033]]/$L286,0)</f>
        <v>1</v>
      </c>
      <c r="BK286">
        <f>ROUNDUP(tbl_Data_old[[#This Row],[Adjusted 2034]]/$L286,0)</f>
        <v>1</v>
      </c>
      <c r="BL286" s="3">
        <f t="shared" si="20"/>
        <v>6.5156148080814571E-3</v>
      </c>
      <c r="BM286" s="3">
        <f t="shared" si="20"/>
        <v>8.8614642645186755E-3</v>
      </c>
      <c r="BN286" s="3">
        <f t="shared" si="20"/>
        <v>1.1448061201312164E-2</v>
      </c>
      <c r="BO286" s="3">
        <f t="shared" si="20"/>
        <v>1.4134275695992434E-2</v>
      </c>
      <c r="BP286" s="3">
        <f t="shared" si="20"/>
        <v>1.6686118382865295E-2</v>
      </c>
      <c r="BQ286" s="3">
        <f t="shared" si="19"/>
        <v>1.8920515922946746E-2</v>
      </c>
      <c r="BR286" s="3">
        <f t="shared" si="19"/>
        <v>2.0708781336041648E-2</v>
      </c>
      <c r="BS286" s="3">
        <f t="shared" si="19"/>
        <v>2.2088076344329792E-2</v>
      </c>
      <c r="BT286" s="3">
        <f t="shared" si="19"/>
        <v>2.3171133112552974E-2</v>
      </c>
      <c r="BU286" s="3">
        <f t="shared" si="19"/>
        <v>2.3979039747198148E-2</v>
      </c>
      <c r="BV286">
        <f>VLOOKUP($H286,'1. Set Program Names'!$B$2:$D$15,3,0)*V286</f>
        <v>5.1137523963753085E-3</v>
      </c>
      <c r="BW286">
        <f>VLOOKUP($H286,'1. Set Program Names'!$B$2:$D$15,3,0)*W286</f>
        <v>6.9548823024146479E-3</v>
      </c>
      <c r="BX286">
        <f>VLOOKUP($H286,'1. Set Program Names'!$B$2:$D$15,3,0)*X286</f>
        <v>8.9849618380524413E-3</v>
      </c>
      <c r="BY286">
        <f>VLOOKUP($H286,'1. Set Program Names'!$B$2:$D$15,3,0)*Y286</f>
        <v>1.1093225787651101E-2</v>
      </c>
      <c r="BZ286">
        <f>VLOOKUP($H286,'1. Set Program Names'!$B$2:$D$15,3,0)*Z286</f>
        <v>1.3096028598981098E-2</v>
      </c>
      <c r="CA286">
        <f>VLOOKUP($H286,'1. Set Program Names'!$B$2:$D$15,3,0)*AA286</f>
        <v>1.4849685945464272E-2</v>
      </c>
      <c r="CB286">
        <f>VLOOKUP($H286,'1. Set Program Names'!$B$2:$D$15,3,0)*AB286</f>
        <v>1.6253198401453339E-2</v>
      </c>
      <c r="CC286">
        <f>VLOOKUP($H286,'1. Set Program Names'!$B$2:$D$15,3,0)*AC286</f>
        <v>1.7335732185555119E-2</v>
      </c>
      <c r="CD286">
        <f>VLOOKUP($H286,'1. Set Program Names'!$B$2:$D$15,3,0)*AD286</f>
        <v>1.8185764654792293E-2</v>
      </c>
      <c r="CE286">
        <f>VLOOKUP($H286,'1. Set Program Names'!$B$2:$D$15,3,0)*AE286</f>
        <v>1.8819846719287568E-2</v>
      </c>
    </row>
    <row r="287" spans="1:83" x14ac:dyDescent="0.25">
      <c r="A287" s="20" t="s">
        <v>114</v>
      </c>
      <c r="B287" s="20" t="s">
        <v>88</v>
      </c>
      <c r="C287" s="20" t="s">
        <v>122</v>
      </c>
      <c r="D287" s="20" t="s">
        <v>90</v>
      </c>
      <c r="E287" s="20" t="s">
        <v>91</v>
      </c>
      <c r="F287" s="20" t="s">
        <v>90</v>
      </c>
      <c r="G287" s="20" t="s">
        <v>92</v>
      </c>
      <c r="H287" s="20" t="s">
        <v>14</v>
      </c>
      <c r="I287" s="20" t="s">
        <v>155</v>
      </c>
      <c r="J287" s="20" t="s">
        <v>129</v>
      </c>
      <c r="K287" s="20" t="s">
        <v>102</v>
      </c>
      <c r="L287" s="53">
        <v>1193.02</v>
      </c>
      <c r="M287" s="53">
        <v>0.274776433335365</v>
      </c>
      <c r="N287" s="53">
        <v>0.10441874276921487</v>
      </c>
      <c r="O287" s="53">
        <f>8423.99999999998/36663.4359999998*1193.02</f>
        <v>274.11507421181233</v>
      </c>
      <c r="P287" s="53">
        <f>3224.30667036527/36663.4359999998*1193.02</f>
        <v>104.91821726363004</v>
      </c>
      <c r="Q287" s="53">
        <f>1305.20713755829/36663.4359999998*1193.02</f>
        <v>42.471148073786637</v>
      </c>
      <c r="R287" s="53">
        <f>14915.0733686122/36663.4359999998*1193.02</f>
        <v>485.33314854128304</v>
      </c>
      <c r="S287" s="53">
        <f>32320.5298576745/36663.4359999998*1193.02</f>
        <v>1051.702806327346</v>
      </c>
      <c r="T287" s="20">
        <v>11</v>
      </c>
      <c r="U287" s="20">
        <v>0.94999999999999896</v>
      </c>
      <c r="V287" s="20">
        <v>23.665797009840102</v>
      </c>
      <c r="W287" s="20">
        <v>19.7363119657083</v>
      </c>
      <c r="X287" s="20">
        <v>16.3372843130301</v>
      </c>
      <c r="Y287" s="20">
        <v>13.5507955216698</v>
      </c>
      <c r="Z287" s="20">
        <v>11.2697144584025</v>
      </c>
      <c r="AA287" s="20">
        <v>9.3963969246319792</v>
      </c>
      <c r="AB287" s="20">
        <v>7.8673632990731601</v>
      </c>
      <c r="AC287" s="20">
        <v>6.6340034888879096</v>
      </c>
      <c r="AD287" s="20">
        <v>5.6499788766789303</v>
      </c>
      <c r="AE287" s="20">
        <v>4.8527539942852602</v>
      </c>
      <c r="AF287" t="str">
        <f t="shared" si="18"/>
        <v>NonResidential</v>
      </c>
      <c r="AG287" t="str">
        <f>tbl_Data_old[[#This Row],[All_Meas_Name_Append]]</f>
        <v>Smart thermostat</v>
      </c>
      <c r="AH287">
        <f>AVERAGEIFS('3. Incentive Adjustment'!G:G,'3. Incentive Adjustment'!A:A,tbl_Data_old[[#This Row],[Trimmed Sector]],'3. Incentive Adjustment'!B:B,tbl_Data_old[[#This Row],[Trimmed Measure Name]])</f>
        <v>0.87546479230069263</v>
      </c>
      <c r="AI287">
        <f>$AH287*tbl_Data_old[[#This Row],[2025 ]]</f>
        <v>20.718572063850019</v>
      </c>
      <c r="AJ287">
        <f>$AH287*tbl_Data_old[[#This Row],[2026 ]]</f>
        <v>17.278446255840493</v>
      </c>
      <c r="AK287">
        <f>$AH287*tbl_Data_old[[#This Row],[2027 ]]</f>
        <v>14.302717217864261</v>
      </c>
      <c r="AL287">
        <f>$AH287*tbl_Data_old[[#This Row],[2028 ]]</f>
        <v>11.863244386887807</v>
      </c>
      <c r="AM287">
        <f>$AH287*tbl_Data_old[[#This Row],[2029 ]]</f>
        <v>9.8662382276134579</v>
      </c>
      <c r="AN287">
        <f>$AH287*tbl_Data_old[[#This Row],[2030 ]]</f>
        <v>8.2262146819978028</v>
      </c>
      <c r="AO287">
        <f>$AH287*tbl_Data_old[[#This Row],[2031 ]]</f>
        <v>6.887599576577176</v>
      </c>
      <c r="AP287">
        <f>$AH287*tbl_Data_old[[#This Row],[2032 ]]</f>
        <v>5.8078364865213237</v>
      </c>
      <c r="AQ287">
        <f>$AH287*tbl_Data_old[[#This Row],[2033 ]]</f>
        <v>4.9463575837750202</v>
      </c>
      <c r="AR287">
        <f>$AH287*tbl_Data_old[[#This Row],[2034 ]]</f>
        <v>4.2484152676933018</v>
      </c>
      <c r="AS287">
        <f>SUM(tbl_Data_old[[#This Row],[Adjusted 2025]:[Adjusted 2034]])</f>
        <v>104.14564174862068</v>
      </c>
      <c r="AT287" s="3">
        <f>AVERAGEIFS('3. Incentive Adjustment'!F:F,'3. Incentive Adjustment'!A:A,tbl_Data_old[[#This Row],[Trimmed Sector]],'3. Incentive Adjustment'!B:B,tbl_Data_old[[#This Row],[Trimmed Measure Name]])</f>
        <v>50</v>
      </c>
      <c r="AU287" s="3">
        <f>IFERROR(VLOOKUP(tbl_Data_old[[#This Row],[All_Meas_Name_Append]],'IRA Tax Credits'!$A$3:$D$46,4,0),0)</f>
        <v>0</v>
      </c>
      <c r="AV287" s="4">
        <f>tbl_Data_old[[#This Row],[Adj. per unit Incentive ($)]]/tbl_Data_old[[#This Row],[kWh Savings]]*tbl_Data_old[[#This Row],[Sum of Annuals]]</f>
        <v>4.3647902695939997</v>
      </c>
      <c r="AW287" s="4">
        <f>IFERROR(VLOOKUP(tbl_Data_old[[#This Row],[All_Programs]],'1. Set Program Names'!$B$2:$D$15,3,0)*tbl_Data_old[[#This Row],[Sum of Annuals]],"")</f>
        <v>3.7075530770190248</v>
      </c>
      <c r="AX287" s="4">
        <f>tbl_Data_old[[#This Row],[per unit IRA tax ($)]]/tbl_Data_old[[#This Row],[kWh Savings]]*tbl_Data_old[[#This Row],[Sum of Annuals]]</f>
        <v>0</v>
      </c>
      <c r="AY287" s="4">
        <f>tbl_Data_old[[#This Row],[Avoided Costs ($/unit)]]/tbl_Data_old[[#This Row],[kWh Savings]]*tbl_Data_old[[#This Row],[Sum of Annuals]]</f>
        <v>42.367548085288234</v>
      </c>
      <c r="AZ287" s="4">
        <f>tbl_Data_old[[#This Row],[Lost Revenue ($/unit)]]/tbl_Data_old[[#This Row],[kWh Savings]]*tbl_Data_old[[#This Row],[Sum of Annuals]]</f>
        <v>91.809243511246052</v>
      </c>
      <c r="BA287" s="4">
        <f>tbl_Data_old[[#This Row],[Incremental Cost ($/unit)]]/tbl_Data_old[[#This Row],[kWh Savings]]*tbl_Data_old[[#This Row],[Sum of Annuals]]</f>
        <v>23.929096173375115</v>
      </c>
      <c r="BB287">
        <f>ROUNDUP(tbl_Data_old[[#This Row],[Adjusted 2025]]/$L287,0)</f>
        <v>1</v>
      </c>
      <c r="BC287">
        <f>ROUNDUP(tbl_Data_old[[#This Row],[Adjusted 2026]]/$L287,0)</f>
        <v>1</v>
      </c>
      <c r="BD287">
        <f>ROUNDUP(tbl_Data_old[[#This Row],[Adjusted 2027]]/$L287,0)</f>
        <v>1</v>
      </c>
      <c r="BE287">
        <f>ROUNDUP(tbl_Data_old[[#This Row],[Adjusted 2028]]/$L287,0)</f>
        <v>1</v>
      </c>
      <c r="BF287">
        <f>ROUNDUP(tbl_Data_old[[#This Row],[Adjusted 2029]]/$L287,0)</f>
        <v>1</v>
      </c>
      <c r="BG287">
        <f>ROUNDUP(tbl_Data_old[[#This Row],[Adjusted 2030]]/$L287,0)</f>
        <v>1</v>
      </c>
      <c r="BH287">
        <f>ROUNDUP(tbl_Data_old[[#This Row],[Adjusted 2031]]/$L287,0)</f>
        <v>1</v>
      </c>
      <c r="BI287">
        <f>ROUNDUP(tbl_Data_old[[#This Row],[Adjusted 2032]]/$L287,0)</f>
        <v>1</v>
      </c>
      <c r="BJ287">
        <f>ROUNDUP(tbl_Data_old[[#This Row],[Adjusted 2033]]/$L287,0)</f>
        <v>1</v>
      </c>
      <c r="BK287">
        <f>ROUNDUP(tbl_Data_old[[#This Row],[Adjusted 2034]]/$L287,0)</f>
        <v>1</v>
      </c>
      <c r="BL287" s="3">
        <f t="shared" si="20"/>
        <v>0.99184410193626682</v>
      </c>
      <c r="BM287" s="3">
        <f t="shared" si="20"/>
        <v>0.82715763213141025</v>
      </c>
      <c r="BN287" s="3">
        <f t="shared" si="20"/>
        <v>0.68470286805879621</v>
      </c>
      <c r="BO287" s="3">
        <f t="shared" si="20"/>
        <v>0.56791988070903254</v>
      </c>
      <c r="BP287" s="3">
        <f t="shared" si="20"/>
        <v>0.47231875653394328</v>
      </c>
      <c r="BQ287" s="3">
        <f t="shared" si="19"/>
        <v>0.39380718364453149</v>
      </c>
      <c r="BR287" s="3">
        <f t="shared" si="19"/>
        <v>0.32972470281609528</v>
      </c>
      <c r="BS287" s="3">
        <f t="shared" si="19"/>
        <v>0.27803404338937776</v>
      </c>
      <c r="BT287" s="3">
        <f t="shared" si="19"/>
        <v>0.23679313325337925</v>
      </c>
      <c r="BU287" s="3">
        <f t="shared" si="19"/>
        <v>0.2033810830616947</v>
      </c>
      <c r="BV287">
        <f>VLOOKUP($H287,'1. Set Program Names'!$B$2:$D$15,3,0)*V287</f>
        <v>0.84249515438894862</v>
      </c>
      <c r="BW287">
        <f>VLOOKUP($H287,'1. Set Program Names'!$B$2:$D$15,3,0)*W287</f>
        <v>0.70260668549232241</v>
      </c>
      <c r="BX287">
        <f>VLOOKUP($H287,'1. Set Program Names'!$B$2:$D$15,3,0)*X287</f>
        <v>0.58160233791743488</v>
      </c>
      <c r="BY287">
        <f>VLOOKUP($H287,'1. Set Program Names'!$B$2:$D$15,3,0)*Y287</f>
        <v>0.48240418695281484</v>
      </c>
      <c r="BZ287">
        <f>VLOOKUP($H287,'1. Set Program Names'!$B$2:$D$15,3,0)*Z287</f>
        <v>0.40119839693560067</v>
      </c>
      <c r="CA287">
        <f>VLOOKUP($H287,'1. Set Program Names'!$B$2:$D$15,3,0)*AA287</f>
        <v>0.33450886418175818</v>
      </c>
      <c r="CB287">
        <f>VLOOKUP($H287,'1. Set Program Names'!$B$2:$D$15,3,0)*AB287</f>
        <v>0.28007573353775561</v>
      </c>
      <c r="CC287">
        <f>VLOOKUP($H287,'1. Set Program Names'!$B$2:$D$15,3,0)*AC287</f>
        <v>0.2361685005268794</v>
      </c>
      <c r="CD287">
        <f>VLOOKUP($H287,'1. Set Program Names'!$B$2:$D$15,3,0)*AD287</f>
        <v>0.2011375245052047</v>
      </c>
      <c r="CE287">
        <f>VLOOKUP($H287,'1. Set Program Names'!$B$2:$D$15,3,0)*AE287</f>
        <v>0.17275656188240798</v>
      </c>
    </row>
    <row r="288" spans="1:83" x14ac:dyDescent="0.25">
      <c r="A288" s="20" t="s">
        <v>114</v>
      </c>
      <c r="B288" s="20" t="s">
        <v>88</v>
      </c>
      <c r="C288" s="20" t="s">
        <v>122</v>
      </c>
      <c r="D288" s="20" t="s">
        <v>90</v>
      </c>
      <c r="E288" s="20" t="s">
        <v>91</v>
      </c>
      <c r="F288" s="20" t="s">
        <v>90</v>
      </c>
      <c r="G288" s="20" t="s">
        <v>92</v>
      </c>
      <c r="H288" s="20" t="s">
        <v>14</v>
      </c>
      <c r="I288" s="20" t="s">
        <v>304</v>
      </c>
      <c r="J288" s="20" t="s">
        <v>144</v>
      </c>
      <c r="K288" s="20" t="s">
        <v>98</v>
      </c>
      <c r="L288" s="20">
        <v>71859.953750000001</v>
      </c>
      <c r="M288" s="20">
        <v>2.01028298751406</v>
      </c>
      <c r="N288" s="20">
        <v>2.93501737514182</v>
      </c>
      <c r="O288" s="20">
        <v>21366.564901045898</v>
      </c>
      <c r="P288" s="20">
        <v>219059.38064062799</v>
      </c>
      <c r="Q288" s="20">
        <v>2558.1924328944401</v>
      </c>
      <c r="R288" s="20">
        <v>23924.757333940401</v>
      </c>
      <c r="S288" s="20">
        <v>92224.942677252999</v>
      </c>
      <c r="T288" s="20">
        <v>20</v>
      </c>
      <c r="U288" s="20">
        <v>1</v>
      </c>
      <c r="V288" s="20">
        <v>39.845477930417701</v>
      </c>
      <c r="W288" s="20">
        <v>43.768451667068</v>
      </c>
      <c r="X288" s="20">
        <v>46.962286561813102</v>
      </c>
      <c r="Y288" s="20">
        <v>49.734033869971299</v>
      </c>
      <c r="Z288" s="20">
        <v>52.099899394174997</v>
      </c>
      <c r="AA288" s="20">
        <v>54.041992981223601</v>
      </c>
      <c r="AB288" s="20">
        <v>55.635466188026399</v>
      </c>
      <c r="AC288" s="20">
        <v>57.036490781551599</v>
      </c>
      <c r="AD288" s="20">
        <v>58.2909255584199</v>
      </c>
      <c r="AE288" s="20">
        <v>59.366798690176601</v>
      </c>
      <c r="AF288" t="str">
        <f t="shared" si="18"/>
        <v>NonResidential</v>
      </c>
      <c r="AG288" t="str">
        <f>tbl_Data_old[[#This Row],[All_Meas_Name_Append]]</f>
        <v>Solar Thermal Water Heating System Commercial</v>
      </c>
      <c r="AH288">
        <f>AVERAGEIFS('3. Incentive Adjustment'!G:G,'3. Incentive Adjustment'!A:A,tbl_Data_old[[#This Row],[Trimmed Sector]],'3. Incentive Adjustment'!B:B,tbl_Data_old[[#This Row],[Trimmed Measure Name]])</f>
        <v>3.2123848810070607E-4</v>
      </c>
      <c r="AI288">
        <f>$AH288*tbl_Data_old[[#This Row],[2025 ]]</f>
        <v>1.2799901088017433E-2</v>
      </c>
      <c r="AJ288">
        <f>$AH288*tbl_Data_old[[#This Row],[2026 ]]</f>
        <v>1.4060111240037752E-2</v>
      </c>
      <c r="AK288">
        <f>$AH288*tbl_Data_old[[#This Row],[2027 ]]</f>
        <v>1.5086093932868947E-2</v>
      </c>
      <c r="AL288">
        <f>$AH288*tbl_Data_old[[#This Row],[2028 ]]</f>
        <v>1.5976485847538888E-2</v>
      </c>
      <c r="AM288">
        <f>$AH288*tbl_Data_old[[#This Row],[2029 ]]</f>
        <v>1.6736492911583668E-2</v>
      </c>
      <c r="AN288">
        <f>$AH288*tbl_Data_old[[#This Row],[2030 ]]</f>
        <v>1.7360368119237239E-2</v>
      </c>
      <c r="AO288">
        <f>$AH288*tbl_Data_old[[#This Row],[2031 ]]</f>
        <v>1.7872253043019554E-2</v>
      </c>
      <c r="AP288">
        <f>$AH288*tbl_Data_old[[#This Row],[2032 ]]</f>
        <v>1.8322316065235496E-2</v>
      </c>
      <c r="AQ288">
        <f>$AH288*tbl_Data_old[[#This Row],[2033 ]]</f>
        <v>1.8725288796377613E-2</v>
      </c>
      <c r="AR288">
        <f>$AH288*tbl_Data_old[[#This Row],[2034 ]]</f>
        <v>1.9070900654611308E-2</v>
      </c>
      <c r="AS288">
        <f>SUM(tbl_Data_old[[#This Row],[Adjusted 2025]:[Adjusted 2034]])</f>
        <v>0.16601021169852789</v>
      </c>
      <c r="AT288" s="3">
        <f>AVERAGEIFS('3. Incentive Adjustment'!F:F,'3. Incentive Adjustment'!A:A,tbl_Data_old[[#This Row],[Trimmed Sector]],'3. Incentive Adjustment'!B:B,tbl_Data_old[[#This Row],[Trimmed Measure Name]])</f>
        <v>0</v>
      </c>
      <c r="AU288" s="3">
        <f>IFERROR(VLOOKUP(tbl_Data_old[[#This Row],[All_Meas_Name_Append]],'IRA Tax Credits'!$A$3:$D$46,4,0),0)</f>
        <v>0</v>
      </c>
      <c r="AV288" s="4">
        <f>tbl_Data_old[[#This Row],[Adj. per unit Incentive ($)]]/tbl_Data_old[[#This Row],[kWh Savings]]*tbl_Data_old[[#This Row],[Sum of Annuals]]</f>
        <v>0</v>
      </c>
      <c r="AW288" s="4">
        <f>IFERROR(VLOOKUP(tbl_Data_old[[#This Row],[All_Programs]],'1. Set Program Names'!$B$2:$D$15,3,0)*tbl_Data_old[[#This Row],[Sum of Annuals]],"")</f>
        <v>5.9099128956839764E-3</v>
      </c>
      <c r="AX288" s="4">
        <f>tbl_Data_old[[#This Row],[per unit IRA tax ($)]]/tbl_Data_old[[#This Row],[kWh Savings]]*tbl_Data_old[[#This Row],[Sum of Annuals]]</f>
        <v>0</v>
      </c>
      <c r="AY288" s="4">
        <f>tbl_Data_old[[#This Row],[Avoided Costs ($/unit)]]/tbl_Data_old[[#This Row],[kWh Savings]]*tbl_Data_old[[#This Row],[Sum of Annuals]]</f>
        <v>5.5270756834342571E-2</v>
      </c>
      <c r="AZ288" s="4">
        <f>tbl_Data_old[[#This Row],[Lost Revenue ($/unit)]]/tbl_Data_old[[#This Row],[kWh Savings]]*tbl_Data_old[[#This Row],[Sum of Annuals]]</f>
        <v>0.2130572239303086</v>
      </c>
      <c r="BA288" s="4">
        <f>tbl_Data_old[[#This Row],[Incremental Cost ($/unit)]]/tbl_Data_old[[#This Row],[kWh Savings]]*tbl_Data_old[[#This Row],[Sum of Annuals]]</f>
        <v>4.9360843938658465E-2</v>
      </c>
      <c r="BB288">
        <f>ROUNDUP(tbl_Data_old[[#This Row],[Adjusted 2025]]/$L288,0)</f>
        <v>1</v>
      </c>
      <c r="BC288">
        <f>ROUNDUP(tbl_Data_old[[#This Row],[Adjusted 2026]]/$L288,0)</f>
        <v>1</v>
      </c>
      <c r="BD288">
        <f>ROUNDUP(tbl_Data_old[[#This Row],[Adjusted 2027]]/$L288,0)</f>
        <v>1</v>
      </c>
      <c r="BE288">
        <f>ROUNDUP(tbl_Data_old[[#This Row],[Adjusted 2028]]/$L288,0)</f>
        <v>1</v>
      </c>
      <c r="BF288">
        <f>ROUNDUP(tbl_Data_old[[#This Row],[Adjusted 2029]]/$L288,0)</f>
        <v>1</v>
      </c>
      <c r="BG288">
        <f>ROUNDUP(tbl_Data_old[[#This Row],[Adjusted 2030]]/$L288,0)</f>
        <v>1</v>
      </c>
      <c r="BH288">
        <f>ROUNDUP(tbl_Data_old[[#This Row],[Adjusted 2031]]/$L288,0)</f>
        <v>1</v>
      </c>
      <c r="BI288">
        <f>ROUNDUP(tbl_Data_old[[#This Row],[Adjusted 2032]]/$L288,0)</f>
        <v>1</v>
      </c>
      <c r="BJ288">
        <f>ROUNDUP(tbl_Data_old[[#This Row],[Adjusted 2033]]/$L288,0)</f>
        <v>1</v>
      </c>
      <c r="BK288">
        <f>ROUNDUP(tbl_Data_old[[#This Row],[Adjusted 2034]]/$L288,0)</f>
        <v>1</v>
      </c>
      <c r="BL288" s="3">
        <f t="shared" si="20"/>
        <v>0</v>
      </c>
      <c r="BM288" s="3">
        <f t="shared" si="20"/>
        <v>0</v>
      </c>
      <c r="BN288" s="3">
        <f t="shared" si="20"/>
        <v>0</v>
      </c>
      <c r="BO288" s="3">
        <f t="shared" si="20"/>
        <v>0</v>
      </c>
      <c r="BP288" s="3">
        <f t="shared" si="20"/>
        <v>0</v>
      </c>
      <c r="BQ288" s="3">
        <f t="shared" si="19"/>
        <v>0</v>
      </c>
      <c r="BR288" s="3">
        <f t="shared" si="19"/>
        <v>0</v>
      </c>
      <c r="BS288" s="3">
        <f t="shared" si="19"/>
        <v>0</v>
      </c>
      <c r="BT288" s="3">
        <f t="shared" si="19"/>
        <v>0</v>
      </c>
      <c r="BU288" s="3">
        <f t="shared" si="19"/>
        <v>0</v>
      </c>
      <c r="BV288">
        <f>VLOOKUP($H288,'1. Set Program Names'!$B$2:$D$15,3,0)*V288</f>
        <v>1.4184868596113898</v>
      </c>
      <c r="BW288">
        <f>VLOOKUP($H288,'1. Set Program Names'!$B$2:$D$15,3,0)*W288</f>
        <v>1.5581435279479241</v>
      </c>
      <c r="BX288">
        <f>VLOOKUP($H288,'1. Set Program Names'!$B$2:$D$15,3,0)*X288</f>
        <v>1.6718430759336635</v>
      </c>
      <c r="BY288">
        <f>VLOOKUP($H288,'1. Set Program Names'!$B$2:$D$15,3,0)*Y288</f>
        <v>1.7705164345931221</v>
      </c>
      <c r="BZ288">
        <f>VLOOKUP($H288,'1. Set Program Names'!$B$2:$D$15,3,0)*Z288</f>
        <v>1.8547405255564948</v>
      </c>
      <c r="CA288">
        <f>VLOOKUP($H288,'1. Set Program Names'!$B$2:$D$15,3,0)*AA288</f>
        <v>1.9238784648271636</v>
      </c>
      <c r="CB288">
        <f>VLOOKUP($H288,'1. Set Program Names'!$B$2:$D$15,3,0)*AB288</f>
        <v>1.9806056249064028</v>
      </c>
      <c r="CC288">
        <f>VLOOKUP($H288,'1. Set Program Names'!$B$2:$D$15,3,0)*AC288</f>
        <v>2.0304816730586768</v>
      </c>
      <c r="CD288">
        <f>VLOOKUP($H288,'1. Set Program Names'!$B$2:$D$15,3,0)*AD288</f>
        <v>2.0751391684546312</v>
      </c>
      <c r="CE288">
        <f>VLOOKUP($H288,'1. Set Program Names'!$B$2:$D$15,3,0)*AE288</f>
        <v>2.113439923754163</v>
      </c>
    </row>
    <row r="289" spans="1:83" x14ac:dyDescent="0.25">
      <c r="A289" s="20" t="s">
        <v>114</v>
      </c>
      <c r="B289" s="20" t="s">
        <v>88</v>
      </c>
      <c r="C289" s="20" t="s">
        <v>122</v>
      </c>
      <c r="D289" s="20" t="s">
        <v>90</v>
      </c>
      <c r="E289" s="20" t="s">
        <v>91</v>
      </c>
      <c r="F289" s="20" t="s">
        <v>90</v>
      </c>
      <c r="G289" s="20" t="s">
        <v>92</v>
      </c>
      <c r="H289" s="20" t="s">
        <v>14</v>
      </c>
      <c r="I289" s="20" t="s">
        <v>305</v>
      </c>
      <c r="J289" s="20" t="s">
        <v>129</v>
      </c>
      <c r="K289" s="20" t="s">
        <v>306</v>
      </c>
      <c r="L289" s="20">
        <v>1181.58666666666</v>
      </c>
      <c r="M289" s="20">
        <v>0.32580149205424902</v>
      </c>
      <c r="N289" s="20">
        <v>0</v>
      </c>
      <c r="O289" s="20">
        <v>442.61899981344197</v>
      </c>
      <c r="P289" s="20">
        <v>13015.025349926</v>
      </c>
      <c r="Q289" s="20">
        <v>42.064124894815102</v>
      </c>
      <c r="R289" s="20">
        <v>484.68312470825703</v>
      </c>
      <c r="S289" s="20">
        <v>971.92143438909795</v>
      </c>
      <c r="T289" s="20">
        <v>10</v>
      </c>
      <c r="U289" s="20">
        <v>0.94999999999999896</v>
      </c>
      <c r="V289" s="20">
        <v>1.6435648158984699</v>
      </c>
      <c r="W289" s="20">
        <v>1.3800556291497099</v>
      </c>
      <c r="X289" s="20">
        <v>1.1536375025340899</v>
      </c>
      <c r="Y289" s="20">
        <v>0.96867183988527705</v>
      </c>
      <c r="Z289" s="20">
        <v>0.817159911207893</v>
      </c>
      <c r="AA289" s="20">
        <v>0.69308088972515902</v>
      </c>
      <c r="AB289" s="20">
        <v>0.591510283225397</v>
      </c>
      <c r="AC289" s="20">
        <v>0.50944970627002695</v>
      </c>
      <c r="AD289" s="20">
        <v>0.44469077520720102</v>
      </c>
      <c r="AE289" s="20">
        <v>0.39206211644768202</v>
      </c>
      <c r="AF289" t="str">
        <f t="shared" si="18"/>
        <v>NonResidential</v>
      </c>
      <c r="AG289" t="str">
        <f>tbl_Data_old[[#This Row],[All_Meas_Name_Append]]</f>
        <v>Window shade film</v>
      </c>
      <c r="AH289">
        <f>AVERAGEIFS('3. Incentive Adjustment'!G:G,'3. Incentive Adjustment'!A:A,tbl_Data_old[[#This Row],[Trimmed Sector]],'3. Incentive Adjustment'!B:B,tbl_Data_old[[#This Row],[Trimmed Measure Name]])</f>
        <v>3.2127764592544555E-13</v>
      </c>
      <c r="AI289">
        <f>$AH289*tbl_Data_old[[#This Row],[2025 ]]</f>
        <v>5.280406349777487E-13</v>
      </c>
      <c r="AJ289">
        <f>$AH289*tbl_Data_old[[#This Row],[2026 ]]</f>
        <v>4.4338102377937849E-13</v>
      </c>
      <c r="AK289">
        <f>$AH289*tbl_Data_old[[#This Row],[2027 ]]</f>
        <v>3.7063794106546262E-13</v>
      </c>
      <c r="AL289">
        <f>$AH289*tbl_Data_old[[#This Row],[2028 ]]</f>
        <v>3.1121260839261194E-13</v>
      </c>
      <c r="AM289">
        <f>$AH289*tbl_Data_old[[#This Row],[2029 ]]</f>
        <v>2.6253521261751798E-13</v>
      </c>
      <c r="AN289">
        <f>$AH289*tbl_Data_old[[#This Row],[2030 ]]</f>
        <v>2.2267139668681242E-13</v>
      </c>
      <c r="AO289">
        <f>$AH289*tbl_Data_old[[#This Row],[2031 ]]</f>
        <v>1.9003903133534911E-13</v>
      </c>
      <c r="AP289">
        <f>$AH289*tbl_Data_old[[#This Row],[2032 ]]</f>
        <v>1.6367480234784397E-13</v>
      </c>
      <c r="AQ289">
        <f>$AH289*tbl_Data_old[[#This Row],[2033 ]]</f>
        <v>1.4286920542333102E-13</v>
      </c>
      <c r="AR289">
        <f>$AH289*tbl_Data_old[[#This Row],[2034 ]]</f>
        <v>1.2596079382885919E-13</v>
      </c>
      <c r="AS289">
        <f>SUM(tbl_Data_old[[#This Row],[Adjusted 2025]:[Adjusted 2034]])</f>
        <v>2.7610226504549152E-12</v>
      </c>
      <c r="AT289" s="3">
        <f>AVERAGEIFS('3. Incentive Adjustment'!F:F,'3. Incentive Adjustment'!A:A,tbl_Data_old[[#This Row],[Trimmed Sector]],'3. Incentive Adjustment'!B:B,tbl_Data_old[[#This Row],[Trimmed Measure Name]])</f>
        <v>132.78569994403261</v>
      </c>
      <c r="AU289" s="3">
        <f>IFERROR(VLOOKUP(tbl_Data_old[[#This Row],[All_Meas_Name_Append]],'IRA Tax Credits'!$A$3:$D$46,4,0),0)</f>
        <v>0</v>
      </c>
      <c r="AV289" s="4">
        <f>tbl_Data_old[[#This Row],[Adj. per unit Incentive ($)]]/tbl_Data_old[[#This Row],[kWh Savings]]*tbl_Data_old[[#This Row],[Sum of Annuals]]</f>
        <v>3.1028136618726183E-13</v>
      </c>
      <c r="AW289" s="4">
        <f>IFERROR(VLOOKUP(tbl_Data_old[[#This Row],[All_Programs]],'1. Set Program Names'!$B$2:$D$15,3,0)*tbl_Data_old[[#This Row],[Sum of Annuals]],"")</f>
        <v>9.8291564116737706E-14</v>
      </c>
      <c r="AX289" s="4">
        <f>tbl_Data_old[[#This Row],[per unit IRA tax ($)]]/tbl_Data_old[[#This Row],[kWh Savings]]*tbl_Data_old[[#This Row],[Sum of Annuals]]</f>
        <v>0</v>
      </c>
      <c r="AY289" s="4">
        <f>tbl_Data_old[[#This Row],[Avoided Costs ($/unit)]]/tbl_Data_old[[#This Row],[kWh Savings]]*tbl_Data_old[[#This Row],[Sum of Annuals]]</f>
        <v>1.1325627847409441E-12</v>
      </c>
      <c r="AZ289" s="4">
        <f>tbl_Data_old[[#This Row],[Lost Revenue ($/unit)]]/tbl_Data_old[[#This Row],[kWh Savings]]*tbl_Data_old[[#This Row],[Sum of Annuals]]</f>
        <v>2.271096289856813E-12</v>
      </c>
      <c r="BA289" s="4">
        <f>tbl_Data_old[[#This Row],[Incremental Cost ($/unit)]]/tbl_Data_old[[#This Row],[kWh Savings]]*tbl_Data_old[[#This Row],[Sum of Annuals]]</f>
        <v>1.034271220624206E-12</v>
      </c>
      <c r="BB289">
        <f>ROUNDUP(tbl_Data_old[[#This Row],[Adjusted 2025]]/$L289,0)</f>
        <v>1</v>
      </c>
      <c r="BC289">
        <f>ROUNDUP(tbl_Data_old[[#This Row],[Adjusted 2026]]/$L289,0)</f>
        <v>1</v>
      </c>
      <c r="BD289">
        <f>ROUNDUP(tbl_Data_old[[#This Row],[Adjusted 2027]]/$L289,0)</f>
        <v>1</v>
      </c>
      <c r="BE289">
        <f>ROUNDUP(tbl_Data_old[[#This Row],[Adjusted 2028]]/$L289,0)</f>
        <v>1</v>
      </c>
      <c r="BF289">
        <f>ROUNDUP(tbl_Data_old[[#This Row],[Adjusted 2029]]/$L289,0)</f>
        <v>1</v>
      </c>
      <c r="BG289">
        <f>ROUNDUP(tbl_Data_old[[#This Row],[Adjusted 2030]]/$L289,0)</f>
        <v>1</v>
      </c>
      <c r="BH289">
        <f>ROUNDUP(tbl_Data_old[[#This Row],[Adjusted 2031]]/$L289,0)</f>
        <v>1</v>
      </c>
      <c r="BI289">
        <f>ROUNDUP(tbl_Data_old[[#This Row],[Adjusted 2032]]/$L289,0)</f>
        <v>1</v>
      </c>
      <c r="BJ289">
        <f>ROUNDUP(tbl_Data_old[[#This Row],[Adjusted 2033]]/$L289,0)</f>
        <v>1</v>
      </c>
      <c r="BK289">
        <f>ROUNDUP(tbl_Data_old[[#This Row],[Adjusted 2034]]/$L289,0)</f>
        <v>1</v>
      </c>
      <c r="BL289" s="3">
        <f t="shared" si="20"/>
        <v>0.18470240959822215</v>
      </c>
      <c r="BM289" s="3">
        <f t="shared" si="20"/>
        <v>0.15508947235780213</v>
      </c>
      <c r="BN289" s="3">
        <f t="shared" si="20"/>
        <v>0.12964479676114238</v>
      </c>
      <c r="BO289" s="3">
        <f t="shared" si="20"/>
        <v>0.10885851364428717</v>
      </c>
      <c r="BP289" s="3">
        <f t="shared" si="20"/>
        <v>9.1831732565204036E-2</v>
      </c>
      <c r="BQ289" s="3">
        <f t="shared" si="19"/>
        <v>7.7887838155464947E-2</v>
      </c>
      <c r="BR289" s="3">
        <f t="shared" si="19"/>
        <v>6.647342018825908E-2</v>
      </c>
      <c r="BS289" s="3">
        <f t="shared" si="19"/>
        <v>5.7251522670094222E-2</v>
      </c>
      <c r="BT289" s="3">
        <f t="shared" si="19"/>
        <v>4.9973969333221138E-2</v>
      </c>
      <c r="BU289" s="3">
        <f t="shared" si="19"/>
        <v>4.405960563257702E-2</v>
      </c>
      <c r="BV289">
        <f>VLOOKUP($H289,'1. Set Program Names'!$B$2:$D$15,3,0)*V289</f>
        <v>5.8510406082790151E-2</v>
      </c>
      <c r="BW289">
        <f>VLOOKUP($H289,'1. Set Program Names'!$B$2:$D$15,3,0)*W289</f>
        <v>4.9129559417009389E-2</v>
      </c>
      <c r="BX289">
        <f>VLOOKUP($H289,'1. Set Program Names'!$B$2:$D$15,3,0)*X289</f>
        <v>4.1069143177481601E-2</v>
      </c>
      <c r="BY289">
        <f>VLOOKUP($H289,'1. Set Program Names'!$B$2:$D$15,3,0)*Y289</f>
        <v>3.4484422010255693E-2</v>
      </c>
      <c r="BZ289">
        <f>VLOOKUP($H289,'1. Set Program Names'!$B$2:$D$15,3,0)*Z289</f>
        <v>2.9090643567478352E-2</v>
      </c>
      <c r="CA289">
        <f>VLOOKUP($H289,'1. Set Program Names'!$B$2:$D$15,3,0)*AA289</f>
        <v>2.4673468252526559E-2</v>
      </c>
      <c r="CB289">
        <f>VLOOKUP($H289,'1. Set Program Names'!$B$2:$D$15,3,0)*AB289</f>
        <v>2.1057585644862195E-2</v>
      </c>
      <c r="CC289">
        <f>VLOOKUP($H289,'1. Set Program Names'!$B$2:$D$15,3,0)*AC289</f>
        <v>1.8136254137517883E-2</v>
      </c>
      <c r="CD289">
        <f>VLOOKUP($H289,'1. Set Program Names'!$B$2:$D$15,3,0)*AD289</f>
        <v>1.5830855946146874E-2</v>
      </c>
      <c r="CE289">
        <f>VLOOKUP($H289,'1. Set Program Names'!$B$2:$D$15,3,0)*AE289</f>
        <v>1.3957291748480165E-2</v>
      </c>
    </row>
    <row r="290" spans="1:83" x14ac:dyDescent="0.25">
      <c r="A290" s="20" t="s">
        <v>115</v>
      </c>
      <c r="B290" s="20" t="s">
        <v>88</v>
      </c>
      <c r="C290" s="20" t="s">
        <v>122</v>
      </c>
      <c r="D290" s="20" t="s">
        <v>90</v>
      </c>
      <c r="E290" s="20" t="s">
        <v>91</v>
      </c>
      <c r="F290" s="20" t="s">
        <v>90</v>
      </c>
      <c r="G290" s="20" t="s">
        <v>92</v>
      </c>
      <c r="H290" s="20" t="s">
        <v>14</v>
      </c>
      <c r="I290" s="20" t="s">
        <v>237</v>
      </c>
      <c r="J290" s="20" t="s">
        <v>129</v>
      </c>
      <c r="K290" s="20" t="s">
        <v>102</v>
      </c>
      <c r="L290" s="20">
        <v>2568.1199999999699</v>
      </c>
      <c r="M290" s="20">
        <v>0.53641456399840104</v>
      </c>
      <c r="N290" s="20">
        <v>2.1892485513222901E-2</v>
      </c>
      <c r="O290" s="53">
        <f>9025.1/929.29*tbl_Data_old[[#This Row],[kWh Savings]]</f>
        <v>24941.126894725789</v>
      </c>
      <c r="P290" s="20">
        <v>35498.089296558101</v>
      </c>
      <c r="Q290" s="20">
        <v>91.4242886047615</v>
      </c>
      <c r="R290" s="20">
        <v>1534.4473108970501</v>
      </c>
      <c r="S290" s="20">
        <v>3958.9826982459099</v>
      </c>
      <c r="T290" s="20">
        <v>30</v>
      </c>
      <c r="U290" s="20">
        <v>0.94999999999999896</v>
      </c>
      <c r="V290" s="20">
        <v>0.34438989371934797</v>
      </c>
      <c r="W290" s="20">
        <v>0.72914782410877699</v>
      </c>
      <c r="X290" s="20">
        <v>1.15768592674683</v>
      </c>
      <c r="Y290" s="20">
        <v>1.6342950800792</v>
      </c>
      <c r="Z290" s="20">
        <v>2.1617423997220202</v>
      </c>
      <c r="AA290" s="20">
        <v>2.7427304504829699</v>
      </c>
      <c r="AB290" s="20">
        <v>3.3784990614132</v>
      </c>
      <c r="AC290" s="20">
        <v>4.0711766339885598</v>
      </c>
      <c r="AD290" s="20">
        <v>4.8246624637178304</v>
      </c>
      <c r="AE290" s="20">
        <v>5.6395966690161998</v>
      </c>
      <c r="AF290" t="str">
        <f t="shared" si="18"/>
        <v>NonResidential</v>
      </c>
      <c r="AG290" t="str">
        <f>tbl_Data_old[[#This Row],[All_Meas_Name_Append]]</f>
        <v>Ceiling Insulation(R19 to R38)</v>
      </c>
      <c r="AH290">
        <f>AVERAGEIFS('3. Incentive Adjustment'!G:G,'3. Incentive Adjustment'!A:A,tbl_Data_old[[#This Row],[Trimmed Sector]],'3. Incentive Adjustment'!B:B,tbl_Data_old[[#This Row],[Trimmed Measure Name]])</f>
        <v>3.9688771318830651E-15</v>
      </c>
      <c r="AI290">
        <f>$AH290*tbl_Data_old[[#This Row],[2025 ]]</f>
        <v>1.3668411736343594E-15</v>
      </c>
      <c r="AJ290">
        <f>$AH290*tbl_Data_old[[#This Row],[2026 ]]</f>
        <v>2.8938981248676204E-15</v>
      </c>
      <c r="AK290">
        <f>$AH290*tbl_Data_old[[#This Row],[2027 ]]</f>
        <v>4.594713200568347E-15</v>
      </c>
      <c r="AL290">
        <f>$AH290*tbl_Data_old[[#This Row],[2028 ]]</f>
        <v>6.4863163700753393E-15</v>
      </c>
      <c r="AM290">
        <f>$AH290*tbl_Data_old[[#This Row],[2029 ]]</f>
        <v>8.5796899752787452E-15</v>
      </c>
      <c r="AN290">
        <f>$AH290*tbl_Data_old[[#This Row],[2030 ]]</f>
        <v>1.0885560163841197E-14</v>
      </c>
      <c r="AO290">
        <f>$AH290*tbl_Data_old[[#This Row],[2031 ]]</f>
        <v>1.3408847664931249E-14</v>
      </c>
      <c r="AP290">
        <f>$AH290*tbl_Data_old[[#This Row],[2032 ]]</f>
        <v>1.6157999842493865E-14</v>
      </c>
      <c r="AQ290">
        <f>$AH290*tbl_Data_old[[#This Row],[2033 ]]</f>
        <v>1.9148492521304305E-14</v>
      </c>
      <c r="AR290">
        <f>$AH290*tbl_Data_old[[#This Row],[2034 ]]</f>
        <v>2.2382866252702301E-14</v>
      </c>
      <c r="AS290">
        <f>SUM(tbl_Data_old[[#This Row],[Adjusted 2025]:[Adjusted 2034]])</f>
        <v>1.0590522528969734E-13</v>
      </c>
      <c r="AT290" s="3">
        <f>AVERAGEIFS('3. Incentive Adjustment'!F:F,'3. Incentive Adjustment'!A:A,tbl_Data_old[[#This Row],[Trimmed Sector]],'3. Incentive Adjustment'!B:B,tbl_Data_old[[#This Row],[Trimmed Measure Name]])</f>
        <v>3222.5963039661074</v>
      </c>
      <c r="AU290" s="3">
        <f>IFERROR(VLOOKUP(tbl_Data_old[[#This Row],[All_Meas_Name_Append]],'IRA Tax Credits'!$A$3:$D$46,4,0),0)</f>
        <v>0</v>
      </c>
      <c r="AV290" s="4">
        <f>tbl_Data_old[[#This Row],[Adj. per unit Incentive ($)]]/tbl_Data_old[[#This Row],[kWh Savings]]*tbl_Data_old[[#This Row],[Sum of Annuals]]</f>
        <v>1.3289479759095392E-13</v>
      </c>
      <c r="AW290" s="4">
        <f>IFERROR(VLOOKUP(tbl_Data_old[[#This Row],[All_Programs]],'1. Set Program Names'!$B$2:$D$15,3,0)*tbl_Data_old[[#This Row],[Sum of Annuals]],"")</f>
        <v>3.7701937143270874E-15</v>
      </c>
      <c r="AX290" s="4">
        <f>tbl_Data_old[[#This Row],[per unit IRA tax ($)]]/tbl_Data_old[[#This Row],[kWh Savings]]*tbl_Data_old[[#This Row],[Sum of Annuals]]</f>
        <v>0</v>
      </c>
      <c r="AY290" s="4">
        <f>tbl_Data_old[[#This Row],[Avoided Costs ($/unit)]]/tbl_Data_old[[#This Row],[kWh Savings]]*tbl_Data_old[[#This Row],[Sum of Annuals]]</f>
        <v>6.3278191110899896E-14</v>
      </c>
      <c r="AZ290" s="4">
        <f>tbl_Data_old[[#This Row],[Lost Revenue ($/unit)]]/tbl_Data_old[[#This Row],[kWh Savings]]*tbl_Data_old[[#This Row],[Sum of Annuals]]</f>
        <v>1.6326221304913783E-13</v>
      </c>
      <c r="BA290" s="4">
        <f>tbl_Data_old[[#This Row],[Incremental Cost ($/unit)]]/tbl_Data_old[[#This Row],[kWh Savings]]*tbl_Data_old[[#This Row],[Sum of Annuals]]</f>
        <v>1.0285328032821267E-12</v>
      </c>
      <c r="BB290">
        <f>ROUNDUP(tbl_Data_old[[#This Row],[Adjusted 2025]]/$L290,0)</f>
        <v>1</v>
      </c>
      <c r="BC290">
        <f>ROUNDUP(tbl_Data_old[[#This Row],[Adjusted 2026]]/$L290,0)</f>
        <v>1</v>
      </c>
      <c r="BD290">
        <f>ROUNDUP(tbl_Data_old[[#This Row],[Adjusted 2027]]/$L290,0)</f>
        <v>1</v>
      </c>
      <c r="BE290">
        <f>ROUNDUP(tbl_Data_old[[#This Row],[Adjusted 2028]]/$L290,0)</f>
        <v>1</v>
      </c>
      <c r="BF290">
        <f>ROUNDUP(tbl_Data_old[[#This Row],[Adjusted 2029]]/$L290,0)</f>
        <v>1</v>
      </c>
      <c r="BG290">
        <f>ROUNDUP(tbl_Data_old[[#This Row],[Adjusted 2030]]/$L290,0)</f>
        <v>1</v>
      </c>
      <c r="BH290">
        <f>ROUNDUP(tbl_Data_old[[#This Row],[Adjusted 2031]]/$L290,0)</f>
        <v>1</v>
      </c>
      <c r="BI290">
        <f>ROUNDUP(tbl_Data_old[[#This Row],[Adjusted 2032]]/$L290,0)</f>
        <v>1</v>
      </c>
      <c r="BJ290">
        <f>ROUNDUP(tbl_Data_old[[#This Row],[Adjusted 2033]]/$L290,0)</f>
        <v>1</v>
      </c>
      <c r="BK290">
        <f>ROUNDUP(tbl_Data_old[[#This Row],[Adjusted 2034]]/$L290,0)</f>
        <v>1</v>
      </c>
      <c r="BL290" s="3">
        <f t="shared" si="20"/>
        <v>0.43215644075170334</v>
      </c>
      <c r="BM290" s="3">
        <f t="shared" si="20"/>
        <v>0.91496856962209783</v>
      </c>
      <c r="BN290" s="3">
        <f t="shared" si="20"/>
        <v>1.452718092880378</v>
      </c>
      <c r="BO290" s="3">
        <f t="shared" si="20"/>
        <v>2.0507894041763177</v>
      </c>
      <c r="BP290" s="3">
        <f t="shared" si="20"/>
        <v>2.71265480875936</v>
      </c>
      <c r="BQ290" s="3">
        <f t="shared" si="19"/>
        <v>3.4417056105251391</v>
      </c>
      <c r="BR290" s="3">
        <f t="shared" si="19"/>
        <v>4.2394976045758259</v>
      </c>
      <c r="BS290" s="3">
        <f t="shared" si="19"/>
        <v>5.1087016079797145</v>
      </c>
      <c r="BT290" s="3">
        <f t="shared" si="19"/>
        <v>6.0542106379224014</v>
      </c>
      <c r="BU290" s="3">
        <f t="shared" si="19"/>
        <v>7.0768279447344327</v>
      </c>
      <c r="BV290">
        <f>VLOOKUP($H290,'1. Set Program Names'!$B$2:$D$15,3,0)*V290</f>
        <v>1.2260175161581682E-2</v>
      </c>
      <c r="BW290">
        <f>VLOOKUP($H290,'1. Set Program Names'!$B$2:$D$15,3,0)*W290</f>
        <v>2.5957440114502215E-2</v>
      </c>
      <c r="BX290">
        <f>VLOOKUP($H290,'1. Set Program Names'!$B$2:$D$15,3,0)*X290</f>
        <v>4.1213265844498748E-2</v>
      </c>
      <c r="BY290">
        <f>VLOOKUP($H290,'1. Set Program Names'!$B$2:$D$15,3,0)*Y290</f>
        <v>5.8180406315321793E-2</v>
      </c>
      <c r="BZ290">
        <f>VLOOKUP($H290,'1. Set Program Names'!$B$2:$D$15,3,0)*Z290</f>
        <v>7.6957369998807618E-2</v>
      </c>
      <c r="CA290">
        <f>VLOOKUP($H290,'1. Set Program Names'!$B$2:$D$15,3,0)*AA290</f>
        <v>9.7640367377702472E-2</v>
      </c>
      <c r="CB290">
        <f>VLOOKUP($H290,'1. Set Program Names'!$B$2:$D$15,3,0)*AB290</f>
        <v>0.12027353598802221</v>
      </c>
      <c r="CC290">
        <f>VLOOKUP($H290,'1. Set Program Names'!$B$2:$D$15,3,0)*AC290</f>
        <v>0.14493264627304628</v>
      </c>
      <c r="CD290">
        <f>VLOOKUP($H290,'1. Set Program Names'!$B$2:$D$15,3,0)*AD290</f>
        <v>0.17175651196342204</v>
      </c>
      <c r="CE290">
        <f>VLOOKUP($H290,'1. Set Program Names'!$B$2:$D$15,3,0)*AE290</f>
        <v>0.20076792107946445</v>
      </c>
    </row>
    <row r="291" spans="1:83" x14ac:dyDescent="0.25">
      <c r="A291" s="20" t="s">
        <v>115</v>
      </c>
      <c r="B291" s="20" t="s">
        <v>88</v>
      </c>
      <c r="C291" s="20" t="s">
        <v>122</v>
      </c>
      <c r="D291" s="20" t="s">
        <v>90</v>
      </c>
      <c r="E291" s="20" t="s">
        <v>91</v>
      </c>
      <c r="F291" s="20" t="s">
        <v>90</v>
      </c>
      <c r="G291" s="20" t="s">
        <v>92</v>
      </c>
      <c r="H291" s="20" t="s">
        <v>14</v>
      </c>
      <c r="I291" s="20" t="s">
        <v>238</v>
      </c>
      <c r="J291" s="20" t="s">
        <v>129</v>
      </c>
      <c r="K291" s="20" t="s">
        <v>102</v>
      </c>
      <c r="L291" s="20">
        <v>4477.6116666666303</v>
      </c>
      <c r="M291" s="20">
        <v>0.90610878358590996</v>
      </c>
      <c r="N291" s="20">
        <v>4.9616670393602701E-2</v>
      </c>
      <c r="O291" s="53">
        <f>9351.31/1137.9*tbl_Data_old[[#This Row],[kWh Savings]]</f>
        <v>36797.200768623181</v>
      </c>
      <c r="P291" s="20">
        <v>44221.719775682497</v>
      </c>
      <c r="Q291" s="20">
        <v>159.401609454924</v>
      </c>
      <c r="R291" s="20">
        <v>2670.7044942461998</v>
      </c>
      <c r="S291" s="20">
        <v>6902.6319322295803</v>
      </c>
      <c r="T291" s="20">
        <v>30</v>
      </c>
      <c r="U291" s="20">
        <v>0.94999999999999896</v>
      </c>
      <c r="V291" s="20">
        <v>0.217739693361376</v>
      </c>
      <c r="W291" s="20">
        <v>0.460681419020745</v>
      </c>
      <c r="X291" s="20">
        <v>0.73080576226653504</v>
      </c>
      <c r="Y291" s="20">
        <v>1.03069380751974</v>
      </c>
      <c r="Z291" s="20">
        <v>1.3620057284985201</v>
      </c>
      <c r="AA291" s="20">
        <v>1.72633079361231</v>
      </c>
      <c r="AB291" s="20">
        <v>2.1243975659109</v>
      </c>
      <c r="AC291" s="20">
        <v>2.5575008677755799</v>
      </c>
      <c r="AD291" s="20">
        <v>3.0279788225062698</v>
      </c>
      <c r="AE291" s="20">
        <v>3.5362161934713998</v>
      </c>
      <c r="AF291" t="str">
        <f t="shared" si="18"/>
        <v>NonResidential</v>
      </c>
      <c r="AG291" t="str">
        <f>tbl_Data_old[[#This Row],[All_Meas_Name_Append]]</f>
        <v>Ceiling Insulation(R19 to R49)</v>
      </c>
      <c r="AH291">
        <f>AVERAGEIFS('3. Incentive Adjustment'!G:G,'3. Incentive Adjustment'!A:A,tbl_Data_old[[#This Row],[Trimmed Sector]],'3. Incentive Adjustment'!B:B,tbl_Data_old[[#This Row],[Trimmed Measure Name]])</f>
        <v>7.9373870200739678E-11</v>
      </c>
      <c r="AI291">
        <f>$AH291*tbl_Data_old[[#This Row],[2025 ]]</f>
        <v>1.7282842158414716E-11</v>
      </c>
      <c r="AJ291">
        <f>$AH291*tbl_Data_old[[#This Row],[2026 ]]</f>
        <v>3.656606715724518E-11</v>
      </c>
      <c r="AK291">
        <f>$AH291*tbl_Data_old[[#This Row],[2027 ]]</f>
        <v>5.8006881716096574E-11</v>
      </c>
      <c r="AL291">
        <f>$AH291*tbl_Data_old[[#This Row],[2028 ]]</f>
        <v>8.1810156494778018E-11</v>
      </c>
      <c r="AM291">
        <f>$AH291*tbl_Data_old[[#This Row],[2029 ]]</f>
        <v>1.0810766590650542E-10</v>
      </c>
      <c r="AN291">
        <f>$AH291*tbl_Data_old[[#This Row],[2030 ]]</f>
        <v>1.3702555633572341E-10</v>
      </c>
      <c r="AO291">
        <f>$AH291*tbl_Data_old[[#This Row],[2031 ]]</f>
        <v>1.686216566513791E-10</v>
      </c>
      <c r="AP291">
        <f>$AH291*tbl_Data_old[[#This Row],[2032 ]]</f>
        <v>2.0299874191709798E-10</v>
      </c>
      <c r="AQ291">
        <f>$AH291*tbl_Data_old[[#This Row],[2033 ]]</f>
        <v>2.4034239802820125E-10</v>
      </c>
      <c r="AR291">
        <f>$AH291*tbl_Data_old[[#This Row],[2034 ]]</f>
        <v>2.8068316514235266E-10</v>
      </c>
      <c r="AS291">
        <f>SUM(tbl_Data_old[[#This Row],[Adjusted 2025]:[Adjusted 2034]])</f>
        <v>1.3314451315077943E-9</v>
      </c>
      <c r="AT291" s="3">
        <f>AVERAGEIFS('3. Incentive Adjustment'!F:F,'3. Incentive Adjustment'!A:A,tbl_Data_old[[#This Row],[Trimmed Sector]],'3. Incentive Adjustment'!B:B,tbl_Data_old[[#This Row],[Trimmed Measure Name]])</f>
        <v>4754.4974087894998</v>
      </c>
      <c r="AU291" s="3">
        <f>IFERROR(VLOOKUP(tbl_Data_old[[#This Row],[All_Meas_Name_Append]],'IRA Tax Credits'!$A$3:$D$46,4,0),0)</f>
        <v>500</v>
      </c>
      <c r="AV291" s="4">
        <f>tbl_Data_old[[#This Row],[Adj. per unit Incentive ($)]]/tbl_Data_old[[#This Row],[kWh Savings]]*tbl_Data_old[[#This Row],[Sum of Annuals]]</f>
        <v>1.4137787952504266E-9</v>
      </c>
      <c r="AW291" s="4">
        <f>IFERROR(VLOOKUP(tbl_Data_old[[#This Row],[All_Programs]],'1. Set Program Names'!$B$2:$D$15,3,0)*tbl_Data_old[[#This Row],[Sum of Annuals]],"")</f>
        <v>4.7399040529404601E-11</v>
      </c>
      <c r="AX291" s="4">
        <f>tbl_Data_old[[#This Row],[per unit IRA tax ($)]]/tbl_Data_old[[#This Row],[kWh Savings]]*tbl_Data_old[[#This Row],[Sum of Annuals]]</f>
        <v>1.48678048770919E-10</v>
      </c>
      <c r="AY291" s="4">
        <f>tbl_Data_old[[#This Row],[Avoided Costs ($/unit)]]/tbl_Data_old[[#This Row],[kWh Savings]]*tbl_Data_old[[#This Row],[Sum of Annuals]]</f>
        <v>7.9415026609649804E-10</v>
      </c>
      <c r="AZ291" s="4">
        <f>tbl_Data_old[[#This Row],[Lost Revenue ($/unit)]]/tbl_Data_old[[#This Row],[kWh Savings]]*tbl_Data_old[[#This Row],[Sum of Annuals]]</f>
        <v>2.0525396941354648E-9</v>
      </c>
      <c r="BA291" s="4">
        <f>tbl_Data_old[[#This Row],[Incremental Cost ($/unit)]]/tbl_Data_old[[#This Row],[kWh Savings]]*tbl_Data_old[[#This Row],[Sum of Annuals]]</f>
        <v>1.0941872021021312E-8</v>
      </c>
      <c r="BB291">
        <f>ROUNDUP(tbl_Data_old[[#This Row],[Adjusted 2025]]/$L291,0)</f>
        <v>1</v>
      </c>
      <c r="BC291">
        <f>ROUNDUP(tbl_Data_old[[#This Row],[Adjusted 2026]]/$L291,0)</f>
        <v>1</v>
      </c>
      <c r="BD291">
        <f>ROUNDUP(tbl_Data_old[[#This Row],[Adjusted 2027]]/$L291,0)</f>
        <v>1</v>
      </c>
      <c r="BE291">
        <f>ROUNDUP(tbl_Data_old[[#This Row],[Adjusted 2028]]/$L291,0)</f>
        <v>1</v>
      </c>
      <c r="BF291">
        <f>ROUNDUP(tbl_Data_old[[#This Row],[Adjusted 2029]]/$L291,0)</f>
        <v>1</v>
      </c>
      <c r="BG291">
        <f>ROUNDUP(tbl_Data_old[[#This Row],[Adjusted 2030]]/$L291,0)</f>
        <v>1</v>
      </c>
      <c r="BH291">
        <f>ROUNDUP(tbl_Data_old[[#This Row],[Adjusted 2031]]/$L291,0)</f>
        <v>1</v>
      </c>
      <c r="BI291">
        <f>ROUNDUP(tbl_Data_old[[#This Row],[Adjusted 2032]]/$L291,0)</f>
        <v>1</v>
      </c>
      <c r="BJ291">
        <f>ROUNDUP(tbl_Data_old[[#This Row],[Adjusted 2033]]/$L291,0)</f>
        <v>1</v>
      </c>
      <c r="BK291">
        <f>ROUNDUP(tbl_Data_old[[#This Row],[Adjusted 2034]]/$L291,0)</f>
        <v>1</v>
      </c>
      <c r="BL291" s="3">
        <f t="shared" si="20"/>
        <v>0.23120424122174305</v>
      </c>
      <c r="BM291" s="3">
        <f t="shared" si="20"/>
        <v>0.48916895346625339</v>
      </c>
      <c r="BN291" s="3">
        <f t="shared" si="20"/>
        <v>0.77599719709756831</v>
      </c>
      <c r="BO291" s="3">
        <f t="shared" si="20"/>
        <v>1.0944296651692724</v>
      </c>
      <c r="BP291" s="3">
        <f t="shared" si="20"/>
        <v>1.4462291929222808</v>
      </c>
      <c r="BQ291" s="3">
        <f t="shared" si="19"/>
        <v>1.8330833256590995</v>
      </c>
      <c r="BR291" s="3">
        <f t="shared" si="19"/>
        <v>2.2557656791799001</v>
      </c>
      <c r="BS291" s="3">
        <f t="shared" si="19"/>
        <v>2.7156511448586969</v>
      </c>
      <c r="BT291" s="3">
        <f t="shared" si="19"/>
        <v>3.2152224304420458</v>
      </c>
      <c r="BU291" s="3">
        <f t="shared" si="19"/>
        <v>3.754888092226111</v>
      </c>
      <c r="BV291">
        <f>VLOOKUP($H291,'1. Set Program Names'!$B$2:$D$15,3,0)*V291</f>
        <v>7.7514666629997534E-3</v>
      </c>
      <c r="BW291">
        <f>VLOOKUP($H291,'1. Set Program Names'!$B$2:$D$15,3,0)*W291</f>
        <v>1.6400117988023967E-2</v>
      </c>
      <c r="BX291">
        <f>VLOOKUP($H291,'1. Set Program Names'!$B$2:$D$15,3,0)*X291</f>
        <v>2.6016462207170674E-2</v>
      </c>
      <c r="BY291">
        <f>VLOOKUP($H291,'1. Set Program Names'!$B$2:$D$15,3,0)*Y291</f>
        <v>3.6692385138477265E-2</v>
      </c>
      <c r="BZ291">
        <f>VLOOKUP($H291,'1. Set Program Names'!$B$2:$D$15,3,0)*Z291</f>
        <v>4.8486988459880566E-2</v>
      </c>
      <c r="CA291">
        <f>VLOOKUP($H291,'1. Set Program Names'!$B$2:$D$15,3,0)*AA291</f>
        <v>6.1456849641956177E-2</v>
      </c>
      <c r="CB291">
        <f>VLOOKUP($H291,'1. Set Program Names'!$B$2:$D$15,3,0)*AB291</f>
        <v>7.5627905307031243E-2</v>
      </c>
      <c r="CC291">
        <f>VLOOKUP($H291,'1. Set Program Names'!$B$2:$D$15,3,0)*AC291</f>
        <v>9.1046250736899037E-2</v>
      </c>
      <c r="CD291">
        <f>VLOOKUP($H291,'1. Set Program Names'!$B$2:$D$15,3,0)*AD291</f>
        <v>0.10779512240780108</v>
      </c>
      <c r="CE291">
        <f>VLOOKUP($H291,'1. Set Program Names'!$B$2:$D$15,3,0)*AE291</f>
        <v>0.12588821777828291</v>
      </c>
    </row>
    <row r="292" spans="1:83" x14ac:dyDescent="0.25">
      <c r="A292" s="20" t="s">
        <v>115</v>
      </c>
      <c r="B292" s="20" t="s">
        <v>88</v>
      </c>
      <c r="C292" s="20" t="s">
        <v>122</v>
      </c>
      <c r="D292" s="20" t="s">
        <v>90</v>
      </c>
      <c r="E292" s="20" t="s">
        <v>91</v>
      </c>
      <c r="F292" s="20" t="s">
        <v>90</v>
      </c>
      <c r="G292" s="20" t="s">
        <v>92</v>
      </c>
      <c r="H292" s="20" t="s">
        <v>14</v>
      </c>
      <c r="I292" s="20" t="s">
        <v>240</v>
      </c>
      <c r="J292" s="20" t="s">
        <v>129</v>
      </c>
      <c r="K292" s="20" t="s">
        <v>102</v>
      </c>
      <c r="L292" s="20">
        <v>18717.787499999999</v>
      </c>
      <c r="M292" s="20">
        <v>3.6380387810097399</v>
      </c>
      <c r="N292" s="20">
        <v>0.14255501576814</v>
      </c>
      <c r="O292" s="53">
        <f>11091.09/6133.31*tbl_Data_old[[#This Row],[kWh Savings]]</f>
        <v>33848.063405139306</v>
      </c>
      <c r="P292" s="20">
        <v>45532.278837645601</v>
      </c>
      <c r="Q292" s="20">
        <v>666.34752521012103</v>
      </c>
      <c r="R292" s="20">
        <v>11042.715256281999</v>
      </c>
      <c r="S292" s="20">
        <v>28855.114582630202</v>
      </c>
      <c r="T292" s="20">
        <v>30</v>
      </c>
      <c r="U292" s="20">
        <v>0.95</v>
      </c>
      <c r="V292" s="20">
        <v>0.39265796618577398</v>
      </c>
      <c r="W292" s="20">
        <v>0.77782313855472096</v>
      </c>
      <c r="X292" s="20">
        <v>1.1523098778263601</v>
      </c>
      <c r="Y292" s="20">
        <v>1.5164725493100899</v>
      </c>
      <c r="Z292" s="20">
        <v>1.8707551684583199</v>
      </c>
      <c r="AA292" s="20">
        <v>2.2146042834856998</v>
      </c>
      <c r="AB292" s="20">
        <v>2.54817020396482</v>
      </c>
      <c r="AC292" s="20">
        <v>2.87215294416559</v>
      </c>
      <c r="AD292" s="20">
        <v>3.18669341325533</v>
      </c>
      <c r="AE292" s="20">
        <v>3.4921136572649698</v>
      </c>
      <c r="AF292" t="str">
        <f t="shared" si="18"/>
        <v>NonResidential</v>
      </c>
      <c r="AG292" t="str">
        <f>tbl_Data_old[[#This Row],[All_Meas_Name_Append]]</f>
        <v>Ceiling Insulation(R2 to R38)</v>
      </c>
      <c r="AH292">
        <f>AVERAGEIFS('3. Incentive Adjustment'!G:G,'3. Incentive Adjustment'!A:A,tbl_Data_old[[#This Row],[Trimmed Sector]],'3. Incentive Adjustment'!B:B,tbl_Data_old[[#This Row],[Trimmed Measure Name]])</f>
        <v>3.0218441517909909E-3</v>
      </c>
      <c r="AI292">
        <f>$AH292*tbl_Data_old[[#This Row],[2025 ]]</f>
        <v>1.1865511787726257E-3</v>
      </c>
      <c r="AJ292">
        <f>$AH292*tbl_Data_old[[#This Row],[2026 ]]</f>
        <v>2.3504603023692971E-3</v>
      </c>
      <c r="AK292">
        <f>$AH292*tbl_Data_old[[#This Row],[2027 ]]</f>
        <v>3.4821008653605776E-3</v>
      </c>
      <c r="AL292">
        <f>$AH292*tbl_Data_old[[#This Row],[2028 ]]</f>
        <v>4.5825437044842701E-3</v>
      </c>
      <c r="AM292">
        <f>$AH292*tbl_Data_old[[#This Row],[2029 ]]</f>
        <v>5.6531305652385436E-3</v>
      </c>
      <c r="AN292">
        <f>$AH292*tbl_Data_old[[#This Row],[2030 ]]</f>
        <v>6.6921890025825395E-3</v>
      </c>
      <c r="AO292">
        <f>$AH292*tbl_Data_old[[#This Row],[2031 ]]</f>
        <v>7.7001732286191473E-3</v>
      </c>
      <c r="AP292">
        <f>$AH292*tbl_Data_old[[#This Row],[2032 ]]</f>
        <v>8.6791985773760644E-3</v>
      </c>
      <c r="AQ292">
        <f>$AH292*tbl_Data_old[[#This Row],[2033 ]]</f>
        <v>9.6296908543964908E-3</v>
      </c>
      <c r="AR292">
        <f>$AH292*tbl_Data_old[[#This Row],[2034 ]]</f>
        <v>1.0552623232595598E-2</v>
      </c>
      <c r="AS292">
        <f>SUM(tbl_Data_old[[#This Row],[Adjusted 2025]:[Adjusted 2034]])</f>
        <v>6.050866151179516E-2</v>
      </c>
      <c r="AT292" s="3">
        <f>AVERAGEIFS('3. Incentive Adjustment'!F:F,'3. Incentive Adjustment'!A:A,tbl_Data_old[[#This Row],[Trimmed Sector]],'3. Incentive Adjustment'!B:B,tbl_Data_old[[#This Row],[Trimmed Measure Name]])</f>
        <v>4373.4448922946976</v>
      </c>
      <c r="AU292" s="3">
        <f>IFERROR(VLOOKUP(tbl_Data_old[[#This Row],[All_Meas_Name_Append]],'IRA Tax Credits'!$A$3:$D$46,4,0),0)</f>
        <v>0</v>
      </c>
      <c r="AV292" s="4">
        <f>tbl_Data_old[[#This Row],[Adj. per unit Incentive ($)]]/tbl_Data_old[[#This Row],[kWh Savings]]*tbl_Data_old[[#This Row],[Sum of Annuals]]</f>
        <v>1.4137958165640535E-2</v>
      </c>
      <c r="AW292" s="4">
        <f>IFERROR(VLOOKUP(tbl_Data_old[[#This Row],[All_Programs]],'1. Set Program Names'!$B$2:$D$15,3,0)*tbl_Data_old[[#This Row],[Sum of Annuals]],"")</f>
        <v>2.1540898918828736E-3</v>
      </c>
      <c r="AX292" s="4">
        <f>tbl_Data_old[[#This Row],[per unit IRA tax ($)]]/tbl_Data_old[[#This Row],[kWh Savings]]*tbl_Data_old[[#This Row],[Sum of Annuals]]</f>
        <v>0</v>
      </c>
      <c r="AY292" s="4">
        <f>tbl_Data_old[[#This Row],[Avoided Costs ($/unit)]]/tbl_Data_old[[#This Row],[kWh Savings]]*tbl_Data_old[[#This Row],[Sum of Annuals]]</f>
        <v>3.5697590840450773E-2</v>
      </c>
      <c r="AZ292" s="4">
        <f>tbl_Data_old[[#This Row],[Lost Revenue ($/unit)]]/tbl_Data_old[[#This Row],[kWh Savings]]*tbl_Data_old[[#This Row],[Sum of Annuals]]</f>
        <v>9.3279419972282271E-2</v>
      </c>
      <c r="BA292" s="4">
        <f>tbl_Data_old[[#This Row],[Incremental Cost ($/unit)]]/tbl_Data_old[[#This Row],[kWh Savings]]*tbl_Data_old[[#This Row],[Sum of Annuals]]</f>
        <v>0.10942003756647815</v>
      </c>
      <c r="BB292">
        <f>ROUNDUP(tbl_Data_old[[#This Row],[Adjusted 2025]]/$L292,0)</f>
        <v>1</v>
      </c>
      <c r="BC292">
        <f>ROUNDUP(tbl_Data_old[[#This Row],[Adjusted 2026]]/$L292,0)</f>
        <v>1</v>
      </c>
      <c r="BD292">
        <f>ROUNDUP(tbl_Data_old[[#This Row],[Adjusted 2027]]/$L292,0)</f>
        <v>1</v>
      </c>
      <c r="BE292">
        <f>ROUNDUP(tbl_Data_old[[#This Row],[Adjusted 2028]]/$L292,0)</f>
        <v>1</v>
      </c>
      <c r="BF292">
        <f>ROUNDUP(tbl_Data_old[[#This Row],[Adjusted 2029]]/$L292,0)</f>
        <v>1</v>
      </c>
      <c r="BG292">
        <f>ROUNDUP(tbl_Data_old[[#This Row],[Adjusted 2030]]/$L292,0)</f>
        <v>1</v>
      </c>
      <c r="BH292">
        <f>ROUNDUP(tbl_Data_old[[#This Row],[Adjusted 2031]]/$L292,0)</f>
        <v>1</v>
      </c>
      <c r="BI292">
        <f>ROUNDUP(tbl_Data_old[[#This Row],[Adjusted 2032]]/$L292,0)</f>
        <v>1</v>
      </c>
      <c r="BJ292">
        <f>ROUNDUP(tbl_Data_old[[#This Row],[Adjusted 2033]]/$L292,0)</f>
        <v>1</v>
      </c>
      <c r="BK292">
        <f>ROUNDUP(tbl_Data_old[[#This Row],[Adjusted 2034]]/$L292,0)</f>
        <v>1</v>
      </c>
      <c r="BL292" s="3">
        <f t="shared" si="20"/>
        <v>9.1745243749241062E-2</v>
      </c>
      <c r="BM292" s="3">
        <f t="shared" si="20"/>
        <v>0.18173978267574498</v>
      </c>
      <c r="BN292" s="3">
        <f t="shared" si="20"/>
        <v>0.26923928640179412</v>
      </c>
      <c r="BO292" s="3">
        <f t="shared" si="20"/>
        <v>0.35432655302264399</v>
      </c>
      <c r="BP292" s="3">
        <f t="shared" si="20"/>
        <v>0.4371053275515574</v>
      </c>
      <c r="BQ292" s="3">
        <f t="shared" si="19"/>
        <v>0.51744629497821226</v>
      </c>
      <c r="BR292" s="3">
        <f t="shared" si="19"/>
        <v>0.59538457540601319</v>
      </c>
      <c r="BS292" s="3">
        <f t="shared" si="19"/>
        <v>0.6710837284347938</v>
      </c>
      <c r="BT292" s="3">
        <f t="shared" si="19"/>
        <v>0.74457667774627101</v>
      </c>
      <c r="BU292" s="3">
        <f t="shared" si="19"/>
        <v>0.81593866997785081</v>
      </c>
      <c r="BV292">
        <f>VLOOKUP($H292,'1. Set Program Names'!$B$2:$D$15,3,0)*V292</f>
        <v>1.3978503817394542E-2</v>
      </c>
      <c r="BW292">
        <f>VLOOKUP($H292,'1. Set Program Names'!$B$2:$D$15,3,0)*W292</f>
        <v>2.7690266460558298E-2</v>
      </c>
      <c r="BX292">
        <f>VLOOKUP($H292,'1. Set Program Names'!$B$2:$D$15,3,0)*X292</f>
        <v>4.1021880142873286E-2</v>
      </c>
      <c r="BY292">
        <f>VLOOKUP($H292,'1. Set Program Names'!$B$2:$D$15,3,0)*Y292</f>
        <v>5.398596016125632E-2</v>
      </c>
      <c r="BZ292">
        <f>VLOOKUP($H292,'1. Set Program Names'!$B$2:$D$15,3,0)*Z292</f>
        <v>6.6598313330367934E-2</v>
      </c>
      <c r="CA292">
        <f>VLOOKUP($H292,'1. Set Program Names'!$B$2:$D$15,3,0)*AA292</f>
        <v>7.8839236935478049E-2</v>
      </c>
      <c r="CB292">
        <f>VLOOKUP($H292,'1. Set Program Names'!$B$2:$D$15,3,0)*AB292</f>
        <v>9.0714081951519476E-2</v>
      </c>
      <c r="CC292">
        <f>VLOOKUP($H292,'1. Set Program Names'!$B$2:$D$15,3,0)*AC292</f>
        <v>0.10224776867296434</v>
      </c>
      <c r="CD292">
        <f>VLOOKUP($H292,'1. Set Program Names'!$B$2:$D$15,3,0)*AD292</f>
        <v>0.11344531342318542</v>
      </c>
      <c r="CE292">
        <f>VLOOKUP($H292,'1. Set Program Names'!$B$2:$D$15,3,0)*AE292</f>
        <v>0.12431818094264491</v>
      </c>
    </row>
    <row r="293" spans="1:83" x14ac:dyDescent="0.25">
      <c r="A293" s="20" t="s">
        <v>115</v>
      </c>
      <c r="B293" s="20" t="s">
        <v>88</v>
      </c>
      <c r="C293" s="20" t="s">
        <v>122</v>
      </c>
      <c r="D293" s="20" t="s">
        <v>90</v>
      </c>
      <c r="E293" s="20" t="s">
        <v>91</v>
      </c>
      <c r="F293" s="20" t="s">
        <v>90</v>
      </c>
      <c r="G293" s="20" t="s">
        <v>92</v>
      </c>
      <c r="H293" s="20" t="s">
        <v>14</v>
      </c>
      <c r="I293" s="20" t="s">
        <v>241</v>
      </c>
      <c r="J293" s="20" t="s">
        <v>129</v>
      </c>
      <c r="K293" s="20" t="s">
        <v>102</v>
      </c>
      <c r="L293" s="20">
        <v>19185.113333333298</v>
      </c>
      <c r="M293" s="20">
        <v>4.6125790568704801</v>
      </c>
      <c r="N293" s="20">
        <v>0.25911922024205197</v>
      </c>
      <c r="O293" s="53">
        <f>11417.3/6341.92*tbl_Data_old[[#This Row],[kWh Savings]]</f>
        <v>34538.782334161617</v>
      </c>
      <c r="P293" s="20">
        <v>25197.386166847798</v>
      </c>
      <c r="Q293" s="20">
        <v>682.98418232081895</v>
      </c>
      <c r="R293" s="20">
        <v>12014.6297388403</v>
      </c>
      <c r="S293" s="20">
        <v>29575.538429105502</v>
      </c>
      <c r="T293" s="20">
        <v>30</v>
      </c>
      <c r="U293" s="20">
        <v>0.95</v>
      </c>
      <c r="V293" s="20">
        <v>0.44000049116144502</v>
      </c>
      <c r="W293" s="20">
        <v>0.87131741020228604</v>
      </c>
      <c r="X293" s="20">
        <v>1.2903901167768299</v>
      </c>
      <c r="Y293" s="20">
        <v>1.6976290784079799</v>
      </c>
      <c r="Z293" s="20">
        <v>2.09354791504945</v>
      </c>
      <c r="AA293" s="20">
        <v>2.4775479745545299</v>
      </c>
      <c r="AB293" s="20">
        <v>2.8498190219324102</v>
      </c>
      <c r="AC293" s="20">
        <v>3.2111645958584401</v>
      </c>
      <c r="AD293" s="20">
        <v>3.5617640075359902</v>
      </c>
      <c r="AE293" s="20">
        <v>3.90199808029254</v>
      </c>
      <c r="AF293" t="str">
        <f t="shared" si="18"/>
        <v>NonResidential</v>
      </c>
      <c r="AG293" t="str">
        <f>tbl_Data_old[[#This Row],[All_Meas_Name_Append]]</f>
        <v>Ceiling Insulation(R2 to R49)</v>
      </c>
      <c r="AH293">
        <f>AVERAGEIFS('3. Incentive Adjustment'!G:G,'3. Incentive Adjustment'!A:A,tbl_Data_old[[#This Row],[Trimmed Sector]],'3. Incentive Adjustment'!B:B,tbl_Data_old[[#This Row],[Trimmed Measure Name]])</f>
        <v>5.674595082038876E-2</v>
      </c>
      <c r="AI293">
        <f>$AH293*tbl_Data_old[[#This Row],[2025 ]]</f>
        <v>2.496824623239426E-2</v>
      </c>
      <c r="AJ293">
        <f>$AH293*tbl_Data_old[[#This Row],[2026 ]]</f>
        <v>4.9443734908287421E-2</v>
      </c>
      <c r="AK293">
        <f>$AH293*tbl_Data_old[[#This Row],[2027 ]]</f>
        <v>7.3224414105733701E-2</v>
      </c>
      <c r="AL293">
        <f>$AH293*tbl_Data_old[[#This Row],[2028 ]]</f>
        <v>9.6333576194601131E-2</v>
      </c>
      <c r="AM293">
        <f>$AH293*tbl_Data_old[[#This Row],[2029 ]]</f>
        <v>0.11880036702752352</v>
      </c>
      <c r="AN293">
        <f>$AH293*tbl_Data_old[[#This Row],[2030 ]]</f>
        <v>0.14059081551922514</v>
      </c>
      <c r="AO293">
        <f>$AH293*tbl_Data_old[[#This Row],[2031 ]]</f>
        <v>0.16171569006558495</v>
      </c>
      <c r="AP293">
        <f>$AH293*tbl_Data_old[[#This Row],[2032 ]]</f>
        <v>0.18222058823275658</v>
      </c>
      <c r="AQ293">
        <f>$AH293*tbl_Data_old[[#This Row],[2033 ]]</f>
        <v>0.20211568520546808</v>
      </c>
      <c r="AR293">
        <f>$AH293*tbl_Data_old[[#This Row],[2034 ]]</f>
        <v>0.22142259116553184</v>
      </c>
      <c r="AS293">
        <f>SUM(tbl_Data_old[[#This Row],[Adjusted 2025]:[Adjusted 2034]])</f>
        <v>1.2708357086571065</v>
      </c>
      <c r="AT293" s="3">
        <f>AVERAGEIFS('3. Incentive Adjustment'!F:F,'3. Incentive Adjustment'!A:A,tbl_Data_old[[#This Row],[Trimmed Sector]],'3. Incentive Adjustment'!B:B,tbl_Data_old[[#This Row],[Trimmed Measure Name]])</f>
        <v>4335.1908026959672</v>
      </c>
      <c r="AU293" s="3">
        <f>IFERROR(VLOOKUP(tbl_Data_old[[#This Row],[All_Meas_Name_Append]],'IRA Tax Credits'!$A$3:$D$46,4,0),0)</f>
        <v>500</v>
      </c>
      <c r="AV293" s="4">
        <f>tbl_Data_old[[#This Row],[Adj. per unit Incentive ($)]]/tbl_Data_old[[#This Row],[kWh Savings]]*tbl_Data_old[[#This Row],[Sum of Annuals]]</f>
        <v>0.2871661574360212</v>
      </c>
      <c r="AW293" s="4">
        <f>IFERROR(VLOOKUP(tbl_Data_old[[#This Row],[All_Programs]],'1. Set Program Names'!$B$2:$D$15,3,0)*tbl_Data_old[[#This Row],[Sum of Annuals]],"")</f>
        <v>4.524136356459401E-2</v>
      </c>
      <c r="AX293" s="4">
        <f>tbl_Data_old[[#This Row],[per unit IRA tax ($)]]/tbl_Data_old[[#This Row],[kWh Savings]]*tbl_Data_old[[#This Row],[Sum of Annuals]]</f>
        <v>3.3120359691831601E-2</v>
      </c>
      <c r="AY293" s="4">
        <f>tbl_Data_old[[#This Row],[Avoided Costs ($/unit)]]/tbl_Data_old[[#This Row],[kWh Savings]]*tbl_Data_old[[#This Row],[Sum of Annuals]]</f>
        <v>0.7958577170291351</v>
      </c>
      <c r="AZ293" s="4">
        <f>tbl_Data_old[[#This Row],[Lost Revenue ($/unit)]]/tbl_Data_old[[#This Row],[kWh Savings]]*tbl_Data_old[[#This Row],[Sum of Annuals]]</f>
        <v>1.959104941703125</v>
      </c>
      <c r="BA293" s="4">
        <f>tbl_Data_old[[#This Row],[Incremental Cost ($/unit)]]/tbl_Data_old[[#This Row],[kWh Savings]]*tbl_Data_old[[#This Row],[Sum of Annuals]]</f>
        <v>2.2878737884506237</v>
      </c>
      <c r="BB293">
        <f>ROUNDUP(tbl_Data_old[[#This Row],[Adjusted 2025]]/$L293,0)</f>
        <v>1</v>
      </c>
      <c r="BC293">
        <f>ROUNDUP(tbl_Data_old[[#This Row],[Adjusted 2026]]/$L293,0)</f>
        <v>1</v>
      </c>
      <c r="BD293">
        <f>ROUNDUP(tbl_Data_old[[#This Row],[Adjusted 2027]]/$L293,0)</f>
        <v>1</v>
      </c>
      <c r="BE293">
        <f>ROUNDUP(tbl_Data_old[[#This Row],[Adjusted 2028]]/$L293,0)</f>
        <v>1</v>
      </c>
      <c r="BF293">
        <f>ROUNDUP(tbl_Data_old[[#This Row],[Adjusted 2029]]/$L293,0)</f>
        <v>1</v>
      </c>
      <c r="BG293">
        <f>ROUNDUP(tbl_Data_old[[#This Row],[Adjusted 2030]]/$L293,0)</f>
        <v>1</v>
      </c>
      <c r="BH293">
        <f>ROUNDUP(tbl_Data_old[[#This Row],[Adjusted 2031]]/$L293,0)</f>
        <v>1</v>
      </c>
      <c r="BI293">
        <f>ROUNDUP(tbl_Data_old[[#This Row],[Adjusted 2032]]/$L293,0)</f>
        <v>1</v>
      </c>
      <c r="BJ293">
        <f>ROUNDUP(tbl_Data_old[[#This Row],[Adjusted 2033]]/$L293,0)</f>
        <v>1</v>
      </c>
      <c r="BK293">
        <f>ROUNDUP(tbl_Data_old[[#This Row],[Adjusted 2034]]/$L293,0)</f>
        <v>1</v>
      </c>
      <c r="BL293" s="3">
        <f t="shared" si="20"/>
        <v>9.9425322609412517E-2</v>
      </c>
      <c r="BM293" s="3">
        <f t="shared" si="20"/>
        <v>0.19688844977396502</v>
      </c>
      <c r="BN293" s="3">
        <f t="shared" si="20"/>
        <v>0.29158479644846325</v>
      </c>
      <c r="BO293" s="3">
        <f t="shared" si="20"/>
        <v>0.38360711449729179</v>
      </c>
      <c r="BP293" s="3">
        <f t="shared" si="20"/>
        <v>0.47307146476725065</v>
      </c>
      <c r="BQ293" s="3">
        <f t="shared" si="19"/>
        <v>0.55984257199385012</v>
      </c>
      <c r="BR293" s="3">
        <f t="shared" si="19"/>
        <v>0.64396331669117535</v>
      </c>
      <c r="BS293" s="3">
        <f t="shared" si="19"/>
        <v>0.72561527159296324</v>
      </c>
      <c r="BT293" s="3">
        <f t="shared" si="19"/>
        <v>0.80483895500453562</v>
      </c>
      <c r="BU293" s="3">
        <f t="shared" si="19"/>
        <v>0.88172042019845098</v>
      </c>
      <c r="BV293">
        <f>VLOOKUP($H293,'1. Set Program Names'!$B$2:$D$15,3,0)*V293</f>
        <v>1.5663883264871267E-2</v>
      </c>
      <c r="BW293">
        <f>VLOOKUP($H293,'1. Set Program Names'!$B$2:$D$15,3,0)*W293</f>
        <v>3.1018634011139676E-2</v>
      </c>
      <c r="BX293">
        <f>VLOOKUP($H293,'1. Set Program Names'!$B$2:$D$15,3,0)*X293</f>
        <v>4.5937494528658349E-2</v>
      </c>
      <c r="BY293">
        <f>VLOOKUP($H293,'1. Set Program Names'!$B$2:$D$15,3,0)*Y293</f>
        <v>6.0435077336031082E-2</v>
      </c>
      <c r="BZ293">
        <f>VLOOKUP($H293,'1. Set Program Names'!$B$2:$D$15,3,0)*Z293</f>
        <v>7.452966714693228E-2</v>
      </c>
      <c r="CA293">
        <f>VLOOKUP($H293,'1. Set Program Names'!$B$2:$D$15,3,0)*AA293</f>
        <v>8.8199952127555603E-2</v>
      </c>
      <c r="CB293">
        <f>VLOOKUP($H293,'1. Set Program Names'!$B$2:$D$15,3,0)*AB293</f>
        <v>0.10145268785434117</v>
      </c>
      <c r="CC293">
        <f>VLOOKUP($H293,'1. Set Program Names'!$B$2:$D$15,3,0)*AC293</f>
        <v>0.11431648005901497</v>
      </c>
      <c r="CD293">
        <f>VLOOKUP($H293,'1. Set Program Names'!$B$2:$D$15,3,0)*AD293</f>
        <v>0.12679771216571883</v>
      </c>
      <c r="CE293">
        <f>VLOOKUP($H293,'1. Set Program Names'!$B$2:$D$15,3,0)*AE293</f>
        <v>0.13890994136874227</v>
      </c>
    </row>
    <row r="294" spans="1:83" x14ac:dyDescent="0.25">
      <c r="A294" s="20" t="s">
        <v>115</v>
      </c>
      <c r="B294" s="20" t="s">
        <v>88</v>
      </c>
      <c r="C294" s="20" t="s">
        <v>122</v>
      </c>
      <c r="D294" s="20" t="s">
        <v>90</v>
      </c>
      <c r="E294" s="20" t="s">
        <v>91</v>
      </c>
      <c r="F294" s="20" t="s">
        <v>90</v>
      </c>
      <c r="G294" s="20" t="s">
        <v>92</v>
      </c>
      <c r="H294" s="20" t="s">
        <v>14</v>
      </c>
      <c r="I294" s="20" t="s">
        <v>128</v>
      </c>
      <c r="J294" s="20" t="s">
        <v>129</v>
      </c>
      <c r="K294" s="20" t="s">
        <v>130</v>
      </c>
      <c r="L294" s="53">
        <v>2045.1799999999989</v>
      </c>
      <c r="M294" s="53">
        <v>0.47104509500000002</v>
      </c>
      <c r="N294" s="53">
        <v>0.17900382200000001</v>
      </c>
      <c r="O294" s="53">
        <f>19591.5999999999/60160.456*2045.18</f>
        <v>666.02468053100858</v>
      </c>
      <c r="P294" s="53">
        <f>11310.7385995848/60160.456*2045.18</f>
        <v>384.51331501042552</v>
      </c>
      <c r="Q294" s="53">
        <f>2141.69388188172/60160.456*2045.18</f>
        <v>72.807784125619918</v>
      </c>
      <c r="R294" s="53">
        <f>32581.871747558/60160.456*2045.18</f>
        <v>1107.6344311730397</v>
      </c>
      <c r="S294" s="53">
        <f>77209.8271220691/60160.456*2045.18</f>
        <v>2624.780540784353</v>
      </c>
      <c r="T294" s="20">
        <v>20</v>
      </c>
      <c r="U294" s="20">
        <v>0.94999999999999896</v>
      </c>
      <c r="V294" s="20">
        <v>11.0554797966275</v>
      </c>
      <c r="W294" s="20">
        <v>21.984785671677798</v>
      </c>
      <c r="X294" s="20">
        <v>32.740113827927502</v>
      </c>
      <c r="Y294" s="20">
        <v>43.333956858794501</v>
      </c>
      <c r="Z294" s="20">
        <v>53.761963690225599</v>
      </c>
      <c r="AA294" s="20">
        <v>64.012482962435897</v>
      </c>
      <c r="AB294" s="20">
        <v>74.072642314529602</v>
      </c>
      <c r="AC294" s="20">
        <v>83.950592633432194</v>
      </c>
      <c r="AD294" s="20">
        <v>93.668618548088801</v>
      </c>
      <c r="AE294" s="20">
        <v>103.22338975109</v>
      </c>
      <c r="AF294" t="str">
        <f t="shared" si="18"/>
        <v>NonResidential</v>
      </c>
      <c r="AG294" t="str">
        <f>tbl_Data_old[[#This Row],[All_Meas_Name_Append]]</f>
        <v>Commercial Duct Sealing</v>
      </c>
      <c r="AH294">
        <f>AVERAGEIFS('3. Incentive Adjustment'!G:G,'3. Incentive Adjustment'!A:A,tbl_Data_old[[#This Row],[Trimmed Sector]],'3. Incentive Adjustment'!B:B,tbl_Data_old[[#This Row],[Trimmed Measure Name]])</f>
        <v>0.69277112909915817</v>
      </c>
      <c r="AI294">
        <f>$AH294*tbl_Data_old[[#This Row],[2025 ]]</f>
        <v>7.6589172214425645</v>
      </c>
      <c r="AJ294">
        <f>$AH294*tbl_Data_old[[#This Row],[2026 ]]</f>
        <v>15.230424792771222</v>
      </c>
      <c r="AK294">
        <f>$AH294*tbl_Data_old[[#This Row],[2027 ]]</f>
        <v>22.681405623408295</v>
      </c>
      <c r="AL294">
        <f>$AH294*tbl_Data_old[[#This Row],[2028 ]]</f>
        <v>30.020514221401275</v>
      </c>
      <c r="AM294">
        <f>$AH294*tbl_Data_old[[#This Row],[2029 ]]</f>
        <v>37.244736288265536</v>
      </c>
      <c r="AN294">
        <f>$AH294*tbl_Data_old[[#This Row],[2030 ]]</f>
        <v>44.346000098327345</v>
      </c>
      <c r="AO294">
        <f>$AH294*tbl_Data_old[[#This Row],[2031 ]]</f>
        <v>51.315388051594752</v>
      </c>
      <c r="AP294">
        <f>$AH294*tbl_Data_old[[#This Row],[2032 ]]</f>
        <v>58.158546847206289</v>
      </c>
      <c r="AQ294">
        <f>$AH294*tbl_Data_old[[#This Row],[2033 ]]</f>
        <v>64.890914632717823</v>
      </c>
      <c r="AR294">
        <f>$AH294*tbl_Data_old[[#This Row],[2034 ]]</f>
        <v>71.510184267305092</v>
      </c>
      <c r="AS294">
        <f>SUM(tbl_Data_old[[#This Row],[Adjusted 2025]:[Adjusted 2034]])</f>
        <v>403.05703204444018</v>
      </c>
      <c r="AT294" s="3">
        <f>AVERAGEIFS('3. Incentive Adjustment'!F:F,'3. Incentive Adjustment'!A:A,tbl_Data_old[[#This Row],[Trimmed Sector]],'3. Incentive Adjustment'!B:B,tbl_Data_old[[#This Row],[Trimmed Measure Name]])</f>
        <v>100</v>
      </c>
      <c r="AU294" s="3">
        <f>IFERROR(VLOOKUP(tbl_Data_old[[#This Row],[All_Meas_Name_Append]],'IRA Tax Credits'!$A$3:$D$46,4,0),0)</f>
        <v>0</v>
      </c>
      <c r="AV294" s="4">
        <f>tbl_Data_old[[#This Row],[Adj. per unit Incentive ($)]]/tbl_Data_old[[#This Row],[kWh Savings]]*tbl_Data_old[[#This Row],[Sum of Annuals]]</f>
        <v>19.707655660843564</v>
      </c>
      <c r="AW294" s="4">
        <f>IFERROR(VLOOKUP(tbl_Data_old[[#This Row],[All_Programs]],'1. Set Program Names'!$B$2:$D$15,3,0)*tbl_Data_old[[#This Row],[Sum of Annuals]],"")</f>
        <v>14.348707389767574</v>
      </c>
      <c r="AX294" s="4">
        <f>tbl_Data_old[[#This Row],[per unit IRA tax ($)]]/tbl_Data_old[[#This Row],[kWh Savings]]*tbl_Data_old[[#This Row],[Sum of Annuals]]</f>
        <v>0</v>
      </c>
      <c r="AY294" s="4">
        <f>tbl_Data_old[[#This Row],[Avoided Costs ($/unit)]]/tbl_Data_old[[#This Row],[kWh Savings]]*tbl_Data_old[[#This Row],[Sum of Annuals]]</f>
        <v>218.28877967652596</v>
      </c>
      <c r="AZ294" s="4">
        <f>tbl_Data_old[[#This Row],[Lost Revenue ($/unit)]]/tbl_Data_old[[#This Row],[kWh Savings]]*tbl_Data_old[[#This Row],[Sum of Annuals]]</f>
        <v>517.28271083060781</v>
      </c>
      <c r="BA294" s="4">
        <f>tbl_Data_old[[#This Row],[Incremental Cost ($/unit)]]/tbl_Data_old[[#This Row],[kWh Savings]]*tbl_Data_old[[#This Row],[Sum of Annuals]]</f>
        <v>131.25785065528459</v>
      </c>
      <c r="BB294">
        <f>ROUNDUP(tbl_Data_old[[#This Row],[Adjusted 2025]]/$L294,0)</f>
        <v>1</v>
      </c>
      <c r="BC294">
        <f>ROUNDUP(tbl_Data_old[[#This Row],[Adjusted 2026]]/$L294,0)</f>
        <v>1</v>
      </c>
      <c r="BD294">
        <f>ROUNDUP(tbl_Data_old[[#This Row],[Adjusted 2027]]/$L294,0)</f>
        <v>1</v>
      </c>
      <c r="BE294">
        <f>ROUNDUP(tbl_Data_old[[#This Row],[Adjusted 2028]]/$L294,0)</f>
        <v>1</v>
      </c>
      <c r="BF294">
        <f>ROUNDUP(tbl_Data_old[[#This Row],[Adjusted 2029]]/$L294,0)</f>
        <v>1</v>
      </c>
      <c r="BG294">
        <f>ROUNDUP(tbl_Data_old[[#This Row],[Adjusted 2030]]/$L294,0)</f>
        <v>1</v>
      </c>
      <c r="BH294">
        <f>ROUNDUP(tbl_Data_old[[#This Row],[Adjusted 2031]]/$L294,0)</f>
        <v>1</v>
      </c>
      <c r="BI294">
        <f>ROUNDUP(tbl_Data_old[[#This Row],[Adjusted 2032]]/$L294,0)</f>
        <v>1</v>
      </c>
      <c r="BJ294">
        <f>ROUNDUP(tbl_Data_old[[#This Row],[Adjusted 2033]]/$L294,0)</f>
        <v>1</v>
      </c>
      <c r="BK294">
        <f>ROUNDUP(tbl_Data_old[[#This Row],[Adjusted 2034]]/$L294,0)</f>
        <v>1</v>
      </c>
      <c r="BL294" s="3">
        <f t="shared" si="20"/>
        <v>0.54056267891469245</v>
      </c>
      <c r="BM294" s="3">
        <f t="shared" si="20"/>
        <v>1.0749560269354195</v>
      </c>
      <c r="BN294" s="3">
        <f t="shared" si="20"/>
        <v>1.600842655801813</v>
      </c>
      <c r="BO294" s="3">
        <f t="shared" si="20"/>
        <v>2.1188333965125086</v>
      </c>
      <c r="BP294" s="3">
        <f t="shared" si="20"/>
        <v>2.628715501336099</v>
      </c>
      <c r="BQ294" s="3">
        <f t="shared" si="19"/>
        <v>3.1299192717724567</v>
      </c>
      <c r="BR294" s="3">
        <f t="shared" si="19"/>
        <v>3.6218153079205568</v>
      </c>
      <c r="BS294" s="3">
        <f t="shared" si="19"/>
        <v>4.1048021510787436</v>
      </c>
      <c r="BT294" s="3">
        <f t="shared" si="19"/>
        <v>4.57996941824626</v>
      </c>
      <c r="BU294" s="3">
        <f t="shared" si="19"/>
        <v>5.0471542725378722</v>
      </c>
      <c r="BV294">
        <f>VLOOKUP($H294,'1. Set Program Names'!$B$2:$D$15,3,0)*V294</f>
        <v>0.39357170832787935</v>
      </c>
      <c r="BW294">
        <f>VLOOKUP($H294,'1. Set Program Names'!$B$2:$D$15,3,0)*W294</f>
        <v>0.78265166353648519</v>
      </c>
      <c r="BX294">
        <f>VLOOKUP($H294,'1. Set Program Names'!$B$2:$D$15,3,0)*X294</f>
        <v>1.1655380650270311</v>
      </c>
      <c r="BY294">
        <f>VLOOKUP($H294,'1. Set Program Names'!$B$2:$D$15,3,0)*Y294</f>
        <v>1.5426756453143762</v>
      </c>
      <c r="BZ294">
        <f>VLOOKUP($H294,'1. Set Program Names'!$B$2:$D$15,3,0)*Z294</f>
        <v>1.9139095074895047</v>
      </c>
      <c r="CA294">
        <f>VLOOKUP($H294,'1. Set Program Names'!$B$2:$D$15,3,0)*AA294</f>
        <v>2.2788248666982778</v>
      </c>
      <c r="CB294">
        <f>VLOOKUP($H294,'1. Set Program Names'!$B$2:$D$15,3,0)*AB294</f>
        <v>2.6369634708194698</v>
      </c>
      <c r="CC294">
        <f>VLOOKUP($H294,'1. Set Program Names'!$B$2:$D$15,3,0)*AC294</f>
        <v>2.9886154889412304</v>
      </c>
      <c r="CD294">
        <f>VLOOKUP($H294,'1. Set Program Names'!$B$2:$D$15,3,0)*AD294</f>
        <v>3.3345742470561657</v>
      </c>
      <c r="CE294">
        <f>VLOOKUP($H294,'1. Set Program Names'!$B$2:$D$15,3,0)*AE294</f>
        <v>3.6747211872363965</v>
      </c>
    </row>
    <row r="295" spans="1:83" x14ac:dyDescent="0.25">
      <c r="A295" s="20" t="s">
        <v>115</v>
      </c>
      <c r="B295" s="20" t="s">
        <v>88</v>
      </c>
      <c r="C295" s="20" t="s">
        <v>122</v>
      </c>
      <c r="D295" s="20" t="s">
        <v>90</v>
      </c>
      <c r="E295" s="20" t="s">
        <v>91</v>
      </c>
      <c r="F295" s="20" t="s">
        <v>90</v>
      </c>
      <c r="G295" s="20" t="s">
        <v>92</v>
      </c>
      <c r="H295" s="20" t="s">
        <v>14</v>
      </c>
      <c r="I295" s="20" t="s">
        <v>303</v>
      </c>
      <c r="J295" s="20" t="s">
        <v>129</v>
      </c>
      <c r="K295" s="20" t="s">
        <v>298</v>
      </c>
      <c r="L295" s="20">
        <v>2407.8671428571402</v>
      </c>
      <c r="M295" s="20">
        <v>0.43509988390469401</v>
      </c>
      <c r="N295" s="20">
        <v>0.148929049658067</v>
      </c>
      <c r="O295" s="20">
        <v>1278.9912095238201</v>
      </c>
      <c r="P295" s="20">
        <v>9094.9443435978392</v>
      </c>
      <c r="Q295" s="20">
        <v>85.719335775001198</v>
      </c>
      <c r="R295" s="20">
        <v>1364.7105452988201</v>
      </c>
      <c r="S295" s="20">
        <v>3090.2526043504499</v>
      </c>
      <c r="T295" s="20">
        <v>20</v>
      </c>
      <c r="U295" s="20">
        <v>0.94999999999999896</v>
      </c>
      <c r="V295" s="20">
        <v>2.3283118771279598</v>
      </c>
      <c r="W295" s="20">
        <v>4.5433767296458303</v>
      </c>
      <c r="X295" s="20">
        <v>6.62806015197995</v>
      </c>
      <c r="Y295" s="20">
        <v>8.5845860213727292</v>
      </c>
      <c r="Z295" s="20">
        <v>10.4153137457896</v>
      </c>
      <c r="AA295" s="20">
        <v>12.121357236313299</v>
      </c>
      <c r="AB295" s="20">
        <v>13.706459998138101</v>
      </c>
      <c r="AC295" s="20">
        <v>15.178190832799</v>
      </c>
      <c r="AD295" s="20">
        <v>16.545318273036798</v>
      </c>
      <c r="AE295" s="20">
        <v>17.814300206159299</v>
      </c>
      <c r="AF295" t="str">
        <f t="shared" si="18"/>
        <v>NonResidential</v>
      </c>
      <c r="AG295" t="str">
        <f>tbl_Data_old[[#This Row],[All_Meas_Name_Append]]</f>
        <v>Energy Star windows</v>
      </c>
      <c r="AH295">
        <f>AVERAGEIFS('3. Incentive Adjustment'!G:G,'3. Incentive Adjustment'!A:A,tbl_Data_old[[#This Row],[Trimmed Sector]],'3. Incentive Adjustment'!B:B,tbl_Data_old[[#This Row],[Trimmed Measure Name]])</f>
        <v>1.8374525511831319E-4</v>
      </c>
      <c r="AI295">
        <f>$AH295*tbl_Data_old[[#This Row],[2025 ]]</f>
        <v>4.2781625985787564E-4</v>
      </c>
      <c r="AJ295">
        <f>$AH295*tbl_Data_old[[#This Row],[2026 ]]</f>
        <v>8.3482391628738055E-4</v>
      </c>
      <c r="AK295">
        <f>$AH295*tbl_Data_old[[#This Row],[2027 ]]</f>
        <v>1.2178746035650817E-3</v>
      </c>
      <c r="AL295">
        <f>$AH295*tbl_Data_old[[#This Row],[2028 ]]</f>
        <v>1.5773769485822374E-3</v>
      </c>
      <c r="AM295">
        <f>$AH295*tbl_Data_old[[#This Row],[2029 ]]</f>
        <v>1.9137644813573842E-3</v>
      </c>
      <c r="AN295">
        <f>$AH295*tbl_Data_old[[#This Row],[2030 ]]</f>
        <v>2.227241877766599E-3</v>
      </c>
      <c r="AO295">
        <f>$AH295*tbl_Data_old[[#This Row],[2031 ]]</f>
        <v>2.5184969891268397E-3</v>
      </c>
      <c r="AP295">
        <f>$AH295*tbl_Data_old[[#This Row],[2032 ]]</f>
        <v>2.7889205468070947E-3</v>
      </c>
      <c r="AQ295">
        <f>$AH295*tbl_Data_old[[#This Row],[2033 ]]</f>
        <v>3.0401237270928356E-3</v>
      </c>
      <c r="AR295">
        <f>$AH295*tbl_Data_old[[#This Row],[2034 ]]</f>
        <v>3.2732931361349597E-3</v>
      </c>
      <c r="AS295">
        <f>SUM(tbl_Data_old[[#This Row],[Adjusted 2025]:[Adjusted 2034]])</f>
        <v>1.9819732486578288E-2</v>
      </c>
      <c r="AT295" s="3">
        <f>AVERAGEIFS('3. Incentive Adjustment'!F:F,'3. Incentive Adjustment'!A:A,tbl_Data_old[[#This Row],[Trimmed Sector]],'3. Incentive Adjustment'!B:B,tbl_Data_old[[#This Row],[Trimmed Measure Name]])</f>
        <v>1244.9532966663394</v>
      </c>
      <c r="AU295" s="3">
        <f>IFERROR(VLOOKUP(tbl_Data_old[[#This Row],[All_Meas_Name_Append]],'IRA Tax Credits'!$A$3:$D$46,4,0),0)</f>
        <v>250</v>
      </c>
      <c r="AV295" s="4">
        <f>tbl_Data_old[[#This Row],[Adj. per unit Incentive ($)]]/tbl_Data_old[[#This Row],[kWh Savings]]*tbl_Data_old[[#This Row],[Sum of Annuals]]</f>
        <v>1.0247509448935797E-2</v>
      </c>
      <c r="AW295" s="4">
        <f>IFERROR(VLOOKUP(tbl_Data_old[[#This Row],[All_Programs]],'1. Set Program Names'!$B$2:$D$15,3,0)*tbl_Data_old[[#This Row],[Sum of Annuals]],"")</f>
        <v>7.055764305881814E-4</v>
      </c>
      <c r="AX295" s="4">
        <f>tbl_Data_old[[#This Row],[per unit IRA tax ($)]]/tbl_Data_old[[#This Row],[kWh Savings]]*tbl_Data_old[[#This Row],[Sum of Annuals]]</f>
        <v>2.0578100151178273E-3</v>
      </c>
      <c r="AY295" s="4">
        <f>tbl_Data_old[[#This Row],[Avoided Costs ($/unit)]]/tbl_Data_old[[#This Row],[kWh Savings]]*tbl_Data_old[[#This Row],[Sum of Annuals]]</f>
        <v>1.1233260111411294E-2</v>
      </c>
      <c r="AZ295" s="4">
        <f>tbl_Data_old[[#This Row],[Lost Revenue ($/unit)]]/tbl_Data_old[[#This Row],[kWh Savings]]*tbl_Data_old[[#This Row],[Sum of Annuals]]</f>
        <v>2.5436611033905224E-2</v>
      </c>
      <c r="BA295" s="4">
        <f>tbl_Data_old[[#This Row],[Incremental Cost ($/unit)]]/tbl_Data_old[[#This Row],[kWh Savings]]*tbl_Data_old[[#This Row],[Sum of Annuals]]</f>
        <v>1.0527683680823123E-2</v>
      </c>
      <c r="BB295">
        <f>ROUNDUP(tbl_Data_old[[#This Row],[Adjusted 2025]]/$L295,0)</f>
        <v>1</v>
      </c>
      <c r="BC295">
        <f>ROUNDUP(tbl_Data_old[[#This Row],[Adjusted 2026]]/$L295,0)</f>
        <v>1</v>
      </c>
      <c r="BD295">
        <f>ROUNDUP(tbl_Data_old[[#This Row],[Adjusted 2027]]/$L295,0)</f>
        <v>1</v>
      </c>
      <c r="BE295">
        <f>ROUNDUP(tbl_Data_old[[#This Row],[Adjusted 2028]]/$L295,0)</f>
        <v>1</v>
      </c>
      <c r="BF295">
        <f>ROUNDUP(tbl_Data_old[[#This Row],[Adjusted 2029]]/$L295,0)</f>
        <v>1</v>
      </c>
      <c r="BG295">
        <f>ROUNDUP(tbl_Data_old[[#This Row],[Adjusted 2030]]/$L295,0)</f>
        <v>1</v>
      </c>
      <c r="BH295">
        <f>ROUNDUP(tbl_Data_old[[#This Row],[Adjusted 2031]]/$L295,0)</f>
        <v>1</v>
      </c>
      <c r="BI295">
        <f>ROUNDUP(tbl_Data_old[[#This Row],[Adjusted 2032]]/$L295,0)</f>
        <v>1</v>
      </c>
      <c r="BJ295">
        <f>ROUNDUP(tbl_Data_old[[#This Row],[Adjusted 2033]]/$L295,0)</f>
        <v>1</v>
      </c>
      <c r="BK295">
        <f>ROUNDUP(tbl_Data_old[[#This Row],[Adjusted 2034]]/$L295,0)</f>
        <v>1</v>
      </c>
      <c r="BL295" s="3">
        <f t="shared" si="20"/>
        <v>1.2038203834030323</v>
      </c>
      <c r="BM295" s="3">
        <f t="shared" si="20"/>
        <v>2.3490880110843801</v>
      </c>
      <c r="BN295" s="3">
        <f t="shared" si="20"/>
        <v>3.4269437835008532</v>
      </c>
      <c r="BO295" s="3">
        <f t="shared" si="20"/>
        <v>4.4385375246003935</v>
      </c>
      <c r="BP295" s="3">
        <f t="shared" si="20"/>
        <v>5.3850891325544854</v>
      </c>
      <c r="BQ295" s="3">
        <f t="shared" si="19"/>
        <v>6.2671745391701448</v>
      </c>
      <c r="BR295" s="3">
        <f t="shared" si="19"/>
        <v>7.0867292703116327</v>
      </c>
      <c r="BS295" s="3">
        <f t="shared" si="19"/>
        <v>7.8476666666509036</v>
      </c>
      <c r="BT295" s="3">
        <f t="shared" si="19"/>
        <v>8.5545203727351513</v>
      </c>
      <c r="BU295" s="3">
        <f t="shared" si="19"/>
        <v>9.2106293469106486</v>
      </c>
      <c r="BV295">
        <f>VLOOKUP($H295,'1. Set Program Names'!$B$2:$D$15,3,0)*V295</f>
        <v>8.2887192583073574E-2</v>
      </c>
      <c r="BW295">
        <f>VLOOKUP($H295,'1. Set Program Names'!$B$2:$D$15,3,0)*W295</f>
        <v>0.16174282563560205</v>
      </c>
      <c r="BX295">
        <f>VLOOKUP($H295,'1. Set Program Names'!$B$2:$D$15,3,0)*X295</f>
        <v>0.23595691954594836</v>
      </c>
      <c r="BY295">
        <f>VLOOKUP($H295,'1. Set Program Names'!$B$2:$D$15,3,0)*Y295</f>
        <v>0.30560864366555696</v>
      </c>
      <c r="BZ295">
        <f>VLOOKUP($H295,'1. Set Program Names'!$B$2:$D$15,3,0)*Z295</f>
        <v>0.37078199219826891</v>
      </c>
      <c r="CA295">
        <f>VLOOKUP($H295,'1. Set Program Names'!$B$2:$D$15,3,0)*AA295</f>
        <v>0.43151662003883517</v>
      </c>
      <c r="CB295">
        <f>VLOOKUP($H295,'1. Set Program Names'!$B$2:$D$15,3,0)*AB295</f>
        <v>0.48794579483022993</v>
      </c>
      <c r="CC295">
        <f>VLOOKUP($H295,'1. Set Program Names'!$B$2:$D$15,3,0)*AC295</f>
        <v>0.54033896359826494</v>
      </c>
      <c r="CD295">
        <f>VLOOKUP($H295,'1. Set Program Names'!$B$2:$D$15,3,0)*AD295</f>
        <v>0.58900828343370515</v>
      </c>
      <c r="CE295">
        <f>VLOOKUP($H295,'1. Set Program Names'!$B$2:$D$15,3,0)*AE295</f>
        <v>0.63418365315475433</v>
      </c>
    </row>
    <row r="296" spans="1:83" x14ac:dyDescent="0.25">
      <c r="A296" s="20" t="s">
        <v>115</v>
      </c>
      <c r="B296" s="20" t="s">
        <v>88</v>
      </c>
      <c r="C296" s="20" t="s">
        <v>122</v>
      </c>
      <c r="D296" s="20" t="s">
        <v>90</v>
      </c>
      <c r="E296" s="20" t="s">
        <v>91</v>
      </c>
      <c r="F296" s="20" t="s">
        <v>90</v>
      </c>
      <c r="G296" s="20" t="s">
        <v>92</v>
      </c>
      <c r="H296" s="20" t="s">
        <v>14</v>
      </c>
      <c r="I296" s="20" t="s">
        <v>143</v>
      </c>
      <c r="J296" s="20" t="s">
        <v>144</v>
      </c>
      <c r="K296" s="20" t="s">
        <v>108</v>
      </c>
      <c r="L296" s="20">
        <v>6670.6049999999896</v>
      </c>
      <c r="M296" s="20">
        <v>1.04667148638823</v>
      </c>
      <c r="N296" s="20">
        <v>1.5598507965563999</v>
      </c>
      <c r="O296" s="20">
        <v>2431.625</v>
      </c>
      <c r="P296" s="20">
        <v>977.24379425036398</v>
      </c>
      <c r="Q296" s="20">
        <v>237.47150315731801</v>
      </c>
      <c r="R296" s="20">
        <v>3400.8076679878</v>
      </c>
      <c r="S296" s="20">
        <v>7245.0779694633802</v>
      </c>
      <c r="T296" s="20">
        <v>15</v>
      </c>
      <c r="U296" s="20">
        <v>0.95</v>
      </c>
      <c r="V296" s="20">
        <v>5.0467950254640002</v>
      </c>
      <c r="W296" s="20">
        <v>10.5966153301815</v>
      </c>
      <c r="X296" s="20">
        <v>16.557441043388302</v>
      </c>
      <c r="Y296" s="20">
        <v>22.875863567531699</v>
      </c>
      <c r="Z296" s="20">
        <v>29.500274117990202</v>
      </c>
      <c r="AA296" s="20">
        <v>36.376612042925402</v>
      </c>
      <c r="AB296" s="20">
        <v>43.460199141554597</v>
      </c>
      <c r="AC296" s="20">
        <v>50.726168336730098</v>
      </c>
      <c r="AD296" s="20">
        <v>58.155529751624897</v>
      </c>
      <c r="AE296" s="20">
        <v>65.725175658526894</v>
      </c>
      <c r="AF296" t="str">
        <f t="shared" si="18"/>
        <v>NonResidential</v>
      </c>
      <c r="AG296" t="str">
        <f>tbl_Data_old[[#This Row],[All_Meas_Name_Append]]</f>
        <v>Heat Pump Water Heater</v>
      </c>
      <c r="AH296">
        <f>AVERAGEIFS('3. Incentive Adjustment'!G:G,'3. Incentive Adjustment'!A:A,tbl_Data_old[[#This Row],[Trimmed Sector]],'3. Incentive Adjustment'!B:B,tbl_Data_old[[#This Row],[Trimmed Measure Name]])</f>
        <v>0.82797588322898052</v>
      </c>
      <c r="AI296">
        <f>$AH296*tbl_Data_old[[#This Row],[2025 ]]</f>
        <v>4.1786245686841808</v>
      </c>
      <c r="AJ296">
        <f>$AH296*tbl_Data_old[[#This Row],[2026 ]]</f>
        <v>8.7737419372447825</v>
      </c>
      <c r="AK296">
        <f>$AH296*tbl_Data_old[[#This Row],[2027 ]]</f>
        <v>13.709161871911203</v>
      </c>
      <c r="AL296">
        <f>$AH296*tbl_Data_old[[#This Row],[2028 ]]</f>
        <v>18.940663341952714</v>
      </c>
      <c r="AM296">
        <f>$AH296*tbl_Data_old[[#This Row],[2029 ]]</f>
        <v>24.425515518339971</v>
      </c>
      <c r="AN296">
        <f>$AH296*tbl_Data_old[[#This Row],[2030 ]]</f>
        <v>30.118957485119129</v>
      </c>
      <c r="AO296">
        <f>$AH296*tbl_Data_old[[#This Row],[2031 ]]</f>
        <v>35.983996769536049</v>
      </c>
      <c r="AP296">
        <f>$AH296*tbl_Data_old[[#This Row],[2032 ]]</f>
        <v>42.00004403142605</v>
      </c>
      <c r="AQ296">
        <f>$AH296*tbl_Data_old[[#This Row],[2033 ]]</f>
        <v>48.151376110750881</v>
      </c>
      <c r="AR296">
        <f>$AH296*tbl_Data_old[[#This Row],[2034 ]]</f>
        <v>54.418860366248694</v>
      </c>
      <c r="AS296">
        <f>SUM(tbl_Data_old[[#This Row],[Adjusted 2025]:[Adjusted 2034]])</f>
        <v>280.70094200121366</v>
      </c>
      <c r="AT296" s="3">
        <f>AVERAGEIFS('3. Incentive Adjustment'!F:F,'3. Incentive Adjustment'!A:A,tbl_Data_old[[#This Row],[Trimmed Sector]],'3. Incentive Adjustment'!B:B,tbl_Data_old[[#This Row],[Trimmed Measure Name]])</f>
        <v>500</v>
      </c>
      <c r="AU296" s="3">
        <f>IFERROR(VLOOKUP(tbl_Data_old[[#This Row],[All_Meas_Name_Append]],'IRA Tax Credits'!$A$3:$D$46,4,0),0)</f>
        <v>0</v>
      </c>
      <c r="AV296" s="4">
        <f>tbl_Data_old[[#This Row],[Adj. per unit Incentive ($)]]/tbl_Data_old[[#This Row],[kWh Savings]]*tbl_Data_old[[#This Row],[Sum of Annuals]]</f>
        <v>21.040141186685023</v>
      </c>
      <c r="AW296" s="4">
        <f>IFERROR(VLOOKUP(tbl_Data_old[[#This Row],[All_Programs]],'1. Set Program Names'!$B$2:$D$15,3,0)*tbl_Data_old[[#This Row],[Sum of Annuals]],"")</f>
        <v>9.9928679084885665</v>
      </c>
      <c r="AX296" s="4">
        <f>tbl_Data_old[[#This Row],[per unit IRA tax ($)]]/tbl_Data_old[[#This Row],[kWh Savings]]*tbl_Data_old[[#This Row],[Sum of Annuals]]</f>
        <v>0</v>
      </c>
      <c r="AY296" s="4">
        <f>tbl_Data_old[[#This Row],[Avoided Costs ($/unit)]]/tbl_Data_old[[#This Row],[kWh Savings]]*tbl_Data_old[[#This Row],[Sum of Annuals]]</f>
        <v>143.10694696644873</v>
      </c>
      <c r="AZ296" s="4">
        <f>tbl_Data_old[[#This Row],[Lost Revenue ($/unit)]]/tbl_Data_old[[#This Row],[kWh Savings]]*tbl_Data_old[[#This Row],[Sum of Annuals]]</f>
        <v>304.87492677210156</v>
      </c>
      <c r="BA296" s="4">
        <f>tbl_Data_old[[#This Row],[Incremental Cost ($/unit)]]/tbl_Data_old[[#This Row],[kWh Savings]]*tbl_Data_old[[#This Row],[Sum of Annuals]]</f>
        <v>102.32346662614594</v>
      </c>
      <c r="BB296">
        <f>ROUNDUP(tbl_Data_old[[#This Row],[Adjusted 2025]]/$L296,0)</f>
        <v>1</v>
      </c>
      <c r="BC296">
        <f>ROUNDUP(tbl_Data_old[[#This Row],[Adjusted 2026]]/$L296,0)</f>
        <v>1</v>
      </c>
      <c r="BD296">
        <f>ROUNDUP(tbl_Data_old[[#This Row],[Adjusted 2027]]/$L296,0)</f>
        <v>1</v>
      </c>
      <c r="BE296">
        <f>ROUNDUP(tbl_Data_old[[#This Row],[Adjusted 2028]]/$L296,0)</f>
        <v>1</v>
      </c>
      <c r="BF296">
        <f>ROUNDUP(tbl_Data_old[[#This Row],[Adjusted 2029]]/$L296,0)</f>
        <v>1</v>
      </c>
      <c r="BG296">
        <f>ROUNDUP(tbl_Data_old[[#This Row],[Adjusted 2030]]/$L296,0)</f>
        <v>1</v>
      </c>
      <c r="BH296">
        <f>ROUNDUP(tbl_Data_old[[#This Row],[Adjusted 2031]]/$L296,0)</f>
        <v>1</v>
      </c>
      <c r="BI296">
        <f>ROUNDUP(tbl_Data_old[[#This Row],[Adjusted 2032]]/$L296,0)</f>
        <v>1</v>
      </c>
      <c r="BJ296">
        <f>ROUNDUP(tbl_Data_old[[#This Row],[Adjusted 2033]]/$L296,0)</f>
        <v>1</v>
      </c>
      <c r="BK296">
        <f>ROUNDUP(tbl_Data_old[[#This Row],[Adjusted 2034]]/$L296,0)</f>
        <v>1</v>
      </c>
      <c r="BL296" s="3">
        <f t="shared" si="20"/>
        <v>0.37828615436411001</v>
      </c>
      <c r="BM296" s="3">
        <f t="shared" si="20"/>
        <v>0.79427693066682237</v>
      </c>
      <c r="BN296" s="3">
        <f t="shared" si="20"/>
        <v>1.2410749132491228</v>
      </c>
      <c r="BO296" s="3">
        <f t="shared" si="20"/>
        <v>1.7146768222321465</v>
      </c>
      <c r="BP296" s="3">
        <f t="shared" si="20"/>
        <v>2.2112142840109894</v>
      </c>
      <c r="BQ296" s="3">
        <f t="shared" si="19"/>
        <v>2.726635143508382</v>
      </c>
      <c r="BR296" s="3">
        <f t="shared" si="19"/>
        <v>3.2575905140204426</v>
      </c>
      <c r="BS296" s="3">
        <f t="shared" si="19"/>
        <v>3.8022164658775464</v>
      </c>
      <c r="BT296" s="3">
        <f t="shared" si="19"/>
        <v>4.3590895991911518</v>
      </c>
      <c r="BU296" s="3">
        <f t="shared" si="19"/>
        <v>4.9264778575951507</v>
      </c>
      <c r="BV296">
        <f>VLOOKUP($H296,'1. Set Program Names'!$B$2:$D$15,3,0)*V296</f>
        <v>0.17966436340089265</v>
      </c>
      <c r="BW296">
        <f>VLOOKUP($H296,'1. Set Program Names'!$B$2:$D$15,3,0)*W296</f>
        <v>0.37723627329726184</v>
      </c>
      <c r="BX296">
        <f>VLOOKUP($H296,'1. Set Program Names'!$B$2:$D$15,3,0)*X296</f>
        <v>0.58943985036021362</v>
      </c>
      <c r="BY296">
        <f>VLOOKUP($H296,'1. Set Program Names'!$B$2:$D$15,3,0)*Y296</f>
        <v>0.81437376480896129</v>
      </c>
      <c r="BZ296">
        <f>VLOOKUP($H296,'1. Set Program Names'!$B$2:$D$15,3,0)*Z296</f>
        <v>1.0502007596540432</v>
      </c>
      <c r="CA296">
        <f>VLOOKUP($H296,'1. Set Program Names'!$B$2:$D$15,3,0)*AA296</f>
        <v>1.2949962921810083</v>
      </c>
      <c r="CB296">
        <f>VLOOKUP($H296,'1. Set Program Names'!$B$2:$D$15,3,0)*AB296</f>
        <v>1.5471698320709073</v>
      </c>
      <c r="CC296">
        <f>VLOOKUP($H296,'1. Set Program Names'!$B$2:$D$15,3,0)*AC296</f>
        <v>1.8058361189628902</v>
      </c>
      <c r="CD296">
        <f>VLOOKUP($H296,'1. Set Program Names'!$B$2:$D$15,3,0)*AD296</f>
        <v>2.0703191190347048</v>
      </c>
      <c r="CE296">
        <f>VLOOKUP($H296,'1. Set Program Names'!$B$2:$D$15,3,0)*AE296</f>
        <v>2.3397962042287253</v>
      </c>
    </row>
    <row r="297" spans="1:83" x14ac:dyDescent="0.25">
      <c r="A297" s="20" t="s">
        <v>115</v>
      </c>
      <c r="B297" s="20" t="s">
        <v>88</v>
      </c>
      <c r="C297" s="20" t="s">
        <v>122</v>
      </c>
      <c r="D297" s="20" t="s">
        <v>90</v>
      </c>
      <c r="E297" s="20" t="s">
        <v>91</v>
      </c>
      <c r="F297" s="20" t="s">
        <v>90</v>
      </c>
      <c r="G297" s="20" t="s">
        <v>92</v>
      </c>
      <c r="H297" s="20" t="s">
        <v>14</v>
      </c>
      <c r="I297" s="20" t="s">
        <v>157</v>
      </c>
      <c r="J297" s="20" t="s">
        <v>158</v>
      </c>
      <c r="K297" s="20" t="s">
        <v>159</v>
      </c>
      <c r="L297" s="20">
        <v>562.52</v>
      </c>
      <c r="M297" s="20">
        <v>0</v>
      </c>
      <c r="N297" s="20">
        <v>2.7796637938074201E-2</v>
      </c>
      <c r="O297" s="20">
        <v>169</v>
      </c>
      <c r="P297" s="20">
        <v>53.285725702774101</v>
      </c>
      <c r="Q297" s="20">
        <v>20.025540405413601</v>
      </c>
      <c r="R297" s="20">
        <v>275.373630058213</v>
      </c>
      <c r="S297" s="20">
        <v>610.96426176974103</v>
      </c>
      <c r="T297" s="20">
        <v>15</v>
      </c>
      <c r="U297" s="20">
        <v>0.2</v>
      </c>
      <c r="V297" s="20">
        <v>0</v>
      </c>
      <c r="W297" s="20">
        <v>0</v>
      </c>
      <c r="X297" s="20">
        <v>0</v>
      </c>
      <c r="Y297" s="20">
        <v>0</v>
      </c>
      <c r="Z297" s="20">
        <v>0</v>
      </c>
      <c r="AA297" s="20">
        <v>0</v>
      </c>
      <c r="AB297" s="20">
        <v>0</v>
      </c>
      <c r="AC297" s="20">
        <v>0</v>
      </c>
      <c r="AD297" s="20">
        <v>0</v>
      </c>
      <c r="AE297" s="20">
        <v>0</v>
      </c>
      <c r="AF297" t="str">
        <f t="shared" si="18"/>
        <v>NonResidential</v>
      </c>
      <c r="AG297" t="str">
        <f>tbl_Data_old[[#This Row],[All_Meas_Name_Append]]</f>
        <v>LED Exterior Wall Packs</v>
      </c>
      <c r="AH297">
        <f>AVERAGEIFS('3. Incentive Adjustment'!G:G,'3. Incentive Adjustment'!A:A,tbl_Data_old[[#This Row],[Trimmed Sector]],'3. Incentive Adjustment'!B:B,tbl_Data_old[[#This Row],[Trimmed Measure Name]])</f>
        <v>0.80637708305213962</v>
      </c>
      <c r="AI297">
        <f>$AH297*tbl_Data_old[[#This Row],[2025 ]]</f>
        <v>0</v>
      </c>
      <c r="AJ297">
        <f>$AH297*tbl_Data_old[[#This Row],[2026 ]]</f>
        <v>0</v>
      </c>
      <c r="AK297">
        <f>$AH297*tbl_Data_old[[#This Row],[2027 ]]</f>
        <v>0</v>
      </c>
      <c r="AL297">
        <f>$AH297*tbl_Data_old[[#This Row],[2028 ]]</f>
        <v>0</v>
      </c>
      <c r="AM297">
        <f>$AH297*tbl_Data_old[[#This Row],[2029 ]]</f>
        <v>0</v>
      </c>
      <c r="AN297">
        <f>$AH297*tbl_Data_old[[#This Row],[2030 ]]</f>
        <v>0</v>
      </c>
      <c r="AO297">
        <f>$AH297*tbl_Data_old[[#This Row],[2031 ]]</f>
        <v>0</v>
      </c>
      <c r="AP297">
        <f>$AH297*tbl_Data_old[[#This Row],[2032 ]]</f>
        <v>0</v>
      </c>
      <c r="AQ297">
        <f>$AH297*tbl_Data_old[[#This Row],[2033 ]]</f>
        <v>0</v>
      </c>
      <c r="AR297">
        <f>$AH297*tbl_Data_old[[#This Row],[2034 ]]</f>
        <v>0</v>
      </c>
      <c r="AS297">
        <f>SUM(tbl_Data_old[[#This Row],[Adjusted 2025]:[Adjusted 2034]])</f>
        <v>0</v>
      </c>
      <c r="AT297" s="3">
        <f>AVERAGEIFS('3. Incentive Adjustment'!F:F,'3. Incentive Adjustment'!A:A,tbl_Data_old[[#This Row],[Trimmed Sector]],'3. Incentive Adjustment'!B:B,tbl_Data_old[[#This Row],[Trimmed Measure Name]])</f>
        <v>8.6864493556481861</v>
      </c>
      <c r="AU297" s="3">
        <f>IFERROR(VLOOKUP(tbl_Data_old[[#This Row],[All_Meas_Name_Append]],'IRA Tax Credits'!$A$3:$D$46,4,0),0)</f>
        <v>0</v>
      </c>
      <c r="AV297" s="4">
        <f>tbl_Data_old[[#This Row],[Adj. per unit Incentive ($)]]/tbl_Data_old[[#This Row],[kWh Savings]]*tbl_Data_old[[#This Row],[Sum of Annuals]]</f>
        <v>0</v>
      </c>
      <c r="AW297" s="4">
        <f>IFERROR(VLOOKUP(tbl_Data_old[[#This Row],[All_Programs]],'1. Set Program Names'!$B$2:$D$15,3,0)*tbl_Data_old[[#This Row],[Sum of Annuals]],"")</f>
        <v>0</v>
      </c>
      <c r="AX297" s="4">
        <f>tbl_Data_old[[#This Row],[per unit IRA tax ($)]]/tbl_Data_old[[#This Row],[kWh Savings]]*tbl_Data_old[[#This Row],[Sum of Annuals]]</f>
        <v>0</v>
      </c>
      <c r="AY297" s="4">
        <f>tbl_Data_old[[#This Row],[Avoided Costs ($/unit)]]/tbl_Data_old[[#This Row],[kWh Savings]]*tbl_Data_old[[#This Row],[Sum of Annuals]]</f>
        <v>0</v>
      </c>
      <c r="AZ297" s="4">
        <f>tbl_Data_old[[#This Row],[Lost Revenue ($/unit)]]/tbl_Data_old[[#This Row],[kWh Savings]]*tbl_Data_old[[#This Row],[Sum of Annuals]]</f>
        <v>0</v>
      </c>
      <c r="BA297" s="4">
        <f>tbl_Data_old[[#This Row],[Incremental Cost ($/unit)]]/tbl_Data_old[[#This Row],[kWh Savings]]*tbl_Data_old[[#This Row],[Sum of Annuals]]</f>
        <v>0</v>
      </c>
      <c r="BB297">
        <f>ROUNDUP(tbl_Data_old[[#This Row],[Adjusted 2025]]/$L297,0)</f>
        <v>0</v>
      </c>
      <c r="BC297">
        <f>ROUNDUP(tbl_Data_old[[#This Row],[Adjusted 2026]]/$L297,0)</f>
        <v>0</v>
      </c>
      <c r="BD297">
        <f>ROUNDUP(tbl_Data_old[[#This Row],[Adjusted 2027]]/$L297,0)</f>
        <v>0</v>
      </c>
      <c r="BE297">
        <f>ROUNDUP(tbl_Data_old[[#This Row],[Adjusted 2028]]/$L297,0)</f>
        <v>0</v>
      </c>
      <c r="BF297">
        <f>ROUNDUP(tbl_Data_old[[#This Row],[Adjusted 2029]]/$L297,0)</f>
        <v>0</v>
      </c>
      <c r="BG297">
        <f>ROUNDUP(tbl_Data_old[[#This Row],[Adjusted 2030]]/$L297,0)</f>
        <v>0</v>
      </c>
      <c r="BH297">
        <f>ROUNDUP(tbl_Data_old[[#This Row],[Adjusted 2031]]/$L297,0)</f>
        <v>0</v>
      </c>
      <c r="BI297">
        <f>ROUNDUP(tbl_Data_old[[#This Row],[Adjusted 2032]]/$L297,0)</f>
        <v>0</v>
      </c>
      <c r="BJ297">
        <f>ROUNDUP(tbl_Data_old[[#This Row],[Adjusted 2033]]/$L297,0)</f>
        <v>0</v>
      </c>
      <c r="BK297">
        <f>ROUNDUP(tbl_Data_old[[#This Row],[Adjusted 2034]]/$L297,0)</f>
        <v>0</v>
      </c>
      <c r="BL297" s="3">
        <f t="shared" si="20"/>
        <v>0</v>
      </c>
      <c r="BM297" s="3">
        <f t="shared" si="20"/>
        <v>0</v>
      </c>
      <c r="BN297" s="3">
        <f t="shared" si="20"/>
        <v>0</v>
      </c>
      <c r="BO297" s="3">
        <f t="shared" si="20"/>
        <v>0</v>
      </c>
      <c r="BP297" s="3">
        <f t="shared" si="20"/>
        <v>0</v>
      </c>
      <c r="BQ297" s="3">
        <f t="shared" si="19"/>
        <v>0</v>
      </c>
      <c r="BR297" s="3">
        <f t="shared" si="19"/>
        <v>0</v>
      </c>
      <c r="BS297" s="3">
        <f t="shared" si="19"/>
        <v>0</v>
      </c>
      <c r="BT297" s="3">
        <f t="shared" si="19"/>
        <v>0</v>
      </c>
      <c r="BU297" s="3">
        <f t="shared" si="19"/>
        <v>0</v>
      </c>
      <c r="BV297">
        <f>VLOOKUP($H297,'1. Set Program Names'!$B$2:$D$15,3,0)*V297</f>
        <v>0</v>
      </c>
      <c r="BW297">
        <f>VLOOKUP($H297,'1. Set Program Names'!$B$2:$D$15,3,0)*W297</f>
        <v>0</v>
      </c>
      <c r="BX297">
        <f>VLOOKUP($H297,'1. Set Program Names'!$B$2:$D$15,3,0)*X297</f>
        <v>0</v>
      </c>
      <c r="BY297">
        <f>VLOOKUP($H297,'1. Set Program Names'!$B$2:$D$15,3,0)*Y297</f>
        <v>0</v>
      </c>
      <c r="BZ297">
        <f>VLOOKUP($H297,'1. Set Program Names'!$B$2:$D$15,3,0)*Z297</f>
        <v>0</v>
      </c>
      <c r="CA297">
        <f>VLOOKUP($H297,'1. Set Program Names'!$B$2:$D$15,3,0)*AA297</f>
        <v>0</v>
      </c>
      <c r="CB297">
        <f>VLOOKUP($H297,'1. Set Program Names'!$B$2:$D$15,3,0)*AB297</f>
        <v>0</v>
      </c>
      <c r="CC297">
        <f>VLOOKUP($H297,'1. Set Program Names'!$B$2:$D$15,3,0)*AC297</f>
        <v>0</v>
      </c>
      <c r="CD297">
        <f>VLOOKUP($H297,'1. Set Program Names'!$B$2:$D$15,3,0)*AD297</f>
        <v>0</v>
      </c>
      <c r="CE297">
        <f>VLOOKUP($H297,'1. Set Program Names'!$B$2:$D$15,3,0)*AE297</f>
        <v>0</v>
      </c>
    </row>
    <row r="298" spans="1:83" x14ac:dyDescent="0.25">
      <c r="A298" s="20" t="s">
        <v>115</v>
      </c>
      <c r="B298" s="20" t="s">
        <v>88</v>
      </c>
      <c r="C298" s="20" t="s">
        <v>122</v>
      </c>
      <c r="D298" s="20" t="s">
        <v>90</v>
      </c>
      <c r="E298" s="20" t="s">
        <v>91</v>
      </c>
      <c r="F298" s="20" t="s">
        <v>90</v>
      </c>
      <c r="G298" s="20" t="s">
        <v>92</v>
      </c>
      <c r="H298" s="20" t="s">
        <v>14</v>
      </c>
      <c r="I298" s="20" t="s">
        <v>160</v>
      </c>
      <c r="J298" s="20" t="s">
        <v>161</v>
      </c>
      <c r="K298" s="20" t="s">
        <v>159</v>
      </c>
      <c r="L298" s="20">
        <v>698.53499999999997</v>
      </c>
      <c r="M298" s="20">
        <v>9.14911955902553E-2</v>
      </c>
      <c r="N298" s="20">
        <v>9.6647765821509996E-2</v>
      </c>
      <c r="O298" s="20">
        <v>179</v>
      </c>
      <c r="P298" s="20">
        <v>35.4245718525491</v>
      </c>
      <c r="Q298" s="20">
        <v>24.867632914555301</v>
      </c>
      <c r="R298" s="20">
        <v>291.28765455670799</v>
      </c>
      <c r="S298" s="20">
        <v>758.69288308917999</v>
      </c>
      <c r="T298" s="20">
        <v>15</v>
      </c>
      <c r="U298" s="20">
        <v>0.2</v>
      </c>
      <c r="V298" s="20">
        <v>0.42868801571502102</v>
      </c>
      <c r="W298" s="20">
        <v>0.89529496914408901</v>
      </c>
      <c r="X298" s="20">
        <v>1.39198763998075</v>
      </c>
      <c r="Y298" s="20">
        <v>1.91388727987661</v>
      </c>
      <c r="Z298" s="20">
        <v>2.4561376779887398</v>
      </c>
      <c r="AA298" s="20">
        <v>3.01403200457804</v>
      </c>
      <c r="AB298" s="20">
        <v>3.58347840661279</v>
      </c>
      <c r="AC298" s="20">
        <v>4.1621096549817098</v>
      </c>
      <c r="AD298" s="20">
        <v>4.7484107047938</v>
      </c>
      <c r="AE298" s="20">
        <v>5.3402519198689999</v>
      </c>
      <c r="AF298" t="str">
        <f t="shared" si="18"/>
        <v>NonResidential</v>
      </c>
      <c r="AG298" t="str">
        <f>tbl_Data_old[[#This Row],[All_Meas_Name_Append]]</f>
        <v>LED High Bay_HID Baseline</v>
      </c>
      <c r="AH298">
        <f>AVERAGEIFS('3. Incentive Adjustment'!G:G,'3. Incentive Adjustment'!A:A,tbl_Data_old[[#This Row],[Trimmed Sector]],'3. Incentive Adjustment'!B:B,tbl_Data_old[[#This Row],[Trimmed Measure Name]])</f>
        <v>1.0603846876879557</v>
      </c>
      <c r="AI298">
        <f>$AH298*tbl_Data_old[[#This Row],[2025 ]]</f>
        <v>0.45457420765954198</v>
      </c>
      <c r="AJ298">
        <f>$AH298*tbl_Data_old[[#This Row],[2026 ]]</f>
        <v>0.94935707624445276</v>
      </c>
      <c r="AK298">
        <f>$AH298*tbl_Data_old[[#This Row],[2027 ]]</f>
        <v>1.476042378886482</v>
      </c>
      <c r="AL298">
        <f>$AH298*tbl_Data_old[[#This Row],[2028 ]]</f>
        <v>2.02945676554191</v>
      </c>
      <c r="AM298">
        <f>$AH298*tbl_Data_old[[#This Row],[2029 ]]</f>
        <v>2.6044507845927107</v>
      </c>
      <c r="AN298">
        <f>$AH298*tbl_Data_old[[#This Row],[2030 ]]</f>
        <v>3.196033385855988</v>
      </c>
      <c r="AO298">
        <f>$AH298*tbl_Data_old[[#This Row],[2031 ]]</f>
        <v>3.7998656310326364</v>
      </c>
      <c r="AP298">
        <f>$AH298*tbl_Data_old[[#This Row],[2032 ]]</f>
        <v>4.413437346620805</v>
      </c>
      <c r="AQ298">
        <f>$AH298*tbl_Data_old[[#This Row],[2033 ]]</f>
        <v>5.0351420022169195</v>
      </c>
      <c r="AR298">
        <f>$AH298*tbl_Data_old[[#This Row],[2034 ]]</f>
        <v>5.6627213642252956</v>
      </c>
      <c r="AS298">
        <f>SUM(tbl_Data_old[[#This Row],[Adjusted 2025]:[Adjusted 2034]])</f>
        <v>29.621080942876741</v>
      </c>
      <c r="AT298" s="3">
        <f>AVERAGEIFS('3. Incentive Adjustment'!F:F,'3. Incentive Adjustment'!A:A,tbl_Data_old[[#This Row],[Trimmed Sector]],'3. Incentive Adjustment'!B:B,tbl_Data_old[[#This Row],[Trimmed Measure Name]])</f>
        <v>28.590998621954778</v>
      </c>
      <c r="AU298" s="3">
        <f>IFERROR(VLOOKUP(tbl_Data_old[[#This Row],[All_Meas_Name_Append]],'IRA Tax Credits'!$A$3:$D$46,4,0),0)</f>
        <v>0</v>
      </c>
      <c r="AV298" s="4">
        <f>tbl_Data_old[[#This Row],[Adj. per unit Incentive ($)]]/tbl_Data_old[[#This Row],[kWh Savings]]*tbl_Data_old[[#This Row],[Sum of Annuals]]</f>
        <v>1.2123891922646679</v>
      </c>
      <c r="AW298" s="4">
        <f>IFERROR(VLOOKUP(tbl_Data_old[[#This Row],[All_Programs]],'1. Set Program Names'!$B$2:$D$15,3,0)*tbl_Data_old[[#This Row],[Sum of Annuals]],"")</f>
        <v>1.0545014457683417</v>
      </c>
      <c r="AX298" s="4">
        <f>tbl_Data_old[[#This Row],[per unit IRA tax ($)]]/tbl_Data_old[[#This Row],[kWh Savings]]*tbl_Data_old[[#This Row],[Sum of Annuals]]</f>
        <v>0</v>
      </c>
      <c r="AY298" s="4">
        <f>tbl_Data_old[[#This Row],[Avoided Costs ($/unit)]]/tbl_Data_old[[#This Row],[kWh Savings]]*tbl_Data_old[[#This Row],[Sum of Annuals]]</f>
        <v>12.35192967179163</v>
      </c>
      <c r="AZ298" s="4">
        <f>tbl_Data_old[[#This Row],[Lost Revenue ($/unit)]]/tbl_Data_old[[#This Row],[kWh Savings]]*tbl_Data_old[[#This Row],[Sum of Annuals]]</f>
        <v>32.172050506802272</v>
      </c>
      <c r="BA298" s="4">
        <f>tbl_Data_old[[#This Row],[Incremental Cost ($/unit)]]/tbl_Data_old[[#This Row],[kWh Savings]]*tbl_Data_old[[#This Row],[Sum of Annuals]]</f>
        <v>7.5904192184714256</v>
      </c>
      <c r="BB298">
        <f>ROUNDUP(tbl_Data_old[[#This Row],[Adjusted 2025]]/$L298,0)</f>
        <v>1</v>
      </c>
      <c r="BC298">
        <f>ROUNDUP(tbl_Data_old[[#This Row],[Adjusted 2026]]/$L298,0)</f>
        <v>1</v>
      </c>
      <c r="BD298">
        <f>ROUNDUP(tbl_Data_old[[#This Row],[Adjusted 2027]]/$L298,0)</f>
        <v>1</v>
      </c>
      <c r="BE298">
        <f>ROUNDUP(tbl_Data_old[[#This Row],[Adjusted 2028]]/$L298,0)</f>
        <v>1</v>
      </c>
      <c r="BF298">
        <f>ROUNDUP(tbl_Data_old[[#This Row],[Adjusted 2029]]/$L298,0)</f>
        <v>1</v>
      </c>
      <c r="BG298">
        <f>ROUNDUP(tbl_Data_old[[#This Row],[Adjusted 2030]]/$L298,0)</f>
        <v>1</v>
      </c>
      <c r="BH298">
        <f>ROUNDUP(tbl_Data_old[[#This Row],[Adjusted 2031]]/$L298,0)</f>
        <v>1</v>
      </c>
      <c r="BI298">
        <f>ROUNDUP(tbl_Data_old[[#This Row],[Adjusted 2032]]/$L298,0)</f>
        <v>1</v>
      </c>
      <c r="BJ298">
        <f>ROUNDUP(tbl_Data_old[[#This Row],[Adjusted 2033]]/$L298,0)</f>
        <v>1</v>
      </c>
      <c r="BK298">
        <f>ROUNDUP(tbl_Data_old[[#This Row],[Adjusted 2034]]/$L298,0)</f>
        <v>1</v>
      </c>
      <c r="BL298" s="3">
        <f t="shared" si="20"/>
        <v>1.7546176593236838E-2</v>
      </c>
      <c r="BM298" s="3">
        <f t="shared" si="20"/>
        <v>3.664437319395835E-2</v>
      </c>
      <c r="BN298" s="3">
        <f t="shared" si="20"/>
        <v>5.6973976531552048E-2</v>
      </c>
      <c r="BO298" s="3">
        <f t="shared" si="20"/>
        <v>7.8335299708001654E-2</v>
      </c>
      <c r="BP298" s="3">
        <f t="shared" si="20"/>
        <v>0.10052957828413361</v>
      </c>
      <c r="BQ298" s="3">
        <f t="shared" si="19"/>
        <v>0.12336416198102935</v>
      </c>
      <c r="BR298" s="3">
        <f t="shared" si="19"/>
        <v>0.14667157148213186</v>
      </c>
      <c r="BS298" s="3">
        <f t="shared" si="19"/>
        <v>0.17035491623183768</v>
      </c>
      <c r="BT298" s="3">
        <f t="shared" si="19"/>
        <v>0.19435218552718883</v>
      </c>
      <c r="BU298" s="3">
        <f t="shared" si="19"/>
        <v>0.21857621347801603</v>
      </c>
      <c r="BV298">
        <f>VLOOKUP($H298,'1. Set Program Names'!$B$2:$D$15,3,0)*V298</f>
        <v>1.5261162589806178E-2</v>
      </c>
      <c r="BW298">
        <f>VLOOKUP($H298,'1. Set Program Names'!$B$2:$D$15,3,0)*W298</f>
        <v>3.1872227795204711E-2</v>
      </c>
      <c r="BX298">
        <f>VLOOKUP($H298,'1. Set Program Names'!$B$2:$D$15,3,0)*X298</f>
        <v>4.9554335362779901E-2</v>
      </c>
      <c r="BY298">
        <f>VLOOKUP($H298,'1. Set Program Names'!$B$2:$D$15,3,0)*Y298</f>
        <v>6.8133803339572543E-2</v>
      </c>
      <c r="BZ298">
        <f>VLOOKUP($H298,'1. Set Program Names'!$B$2:$D$15,3,0)*Z298</f>
        <v>8.7437752100943011E-2</v>
      </c>
      <c r="CA298">
        <f>VLOOKUP($H298,'1. Set Program Names'!$B$2:$D$15,3,0)*AA298</f>
        <v>0.10729861994397986</v>
      </c>
      <c r="CB298">
        <f>VLOOKUP($H298,'1. Set Program Names'!$B$2:$D$15,3,0)*AB298</f>
        <v>0.12757073814895806</v>
      </c>
      <c r="CC298">
        <f>VLOOKUP($H298,'1. Set Program Names'!$B$2:$D$15,3,0)*AC298</f>
        <v>0.14816983408163026</v>
      </c>
      <c r="CD298">
        <f>VLOOKUP($H298,'1. Set Program Names'!$B$2:$D$15,3,0)*AD298</f>
        <v>0.16904197260603557</v>
      </c>
      <c r="CE298">
        <f>VLOOKUP($H298,'1. Set Program Names'!$B$2:$D$15,3,0)*AE298</f>
        <v>0.19011133932380123</v>
      </c>
    </row>
    <row r="299" spans="1:83" x14ac:dyDescent="0.25">
      <c r="A299" s="20" t="s">
        <v>115</v>
      </c>
      <c r="B299" s="20" t="s">
        <v>88</v>
      </c>
      <c r="C299" s="20" t="s">
        <v>122</v>
      </c>
      <c r="D299" s="20" t="s">
        <v>90</v>
      </c>
      <c r="E299" s="20" t="s">
        <v>91</v>
      </c>
      <c r="F299" s="20" t="s">
        <v>90</v>
      </c>
      <c r="G299" s="20" t="s">
        <v>92</v>
      </c>
      <c r="H299" s="20" t="s">
        <v>14</v>
      </c>
      <c r="I299" s="20" t="s">
        <v>162</v>
      </c>
      <c r="J299" s="20" t="s">
        <v>161</v>
      </c>
      <c r="K299" s="20" t="s">
        <v>159</v>
      </c>
      <c r="L299" s="20">
        <v>638.46285714285602</v>
      </c>
      <c r="M299" s="20">
        <v>7.6348348575361394E-2</v>
      </c>
      <c r="N299" s="20">
        <v>7.27444471789533E-2</v>
      </c>
      <c r="O299" s="20">
        <v>179</v>
      </c>
      <c r="P299" s="20">
        <v>51.129983050636802</v>
      </c>
      <c r="Q299" s="20">
        <v>22.729082953619599</v>
      </c>
      <c r="R299" s="20">
        <v>256.15438258671003</v>
      </c>
      <c r="S299" s="20">
        <v>693.44732308484095</v>
      </c>
      <c r="T299" s="20">
        <v>15</v>
      </c>
      <c r="U299" s="20">
        <v>0.2</v>
      </c>
      <c r="V299" s="20">
        <v>1.2620762340324601</v>
      </c>
      <c r="W299" s="20">
        <v>2.6357874761694302</v>
      </c>
      <c r="X299" s="20">
        <v>4.0980723838440696</v>
      </c>
      <c r="Y299" s="20">
        <v>5.63456770892107</v>
      </c>
      <c r="Z299" s="20">
        <v>7.2309765546652001</v>
      </c>
      <c r="AA299" s="20">
        <v>8.8734418088326006</v>
      </c>
      <c r="AB299" s="20">
        <v>10.549916877454701</v>
      </c>
      <c r="AC299" s="20">
        <v>12.253432534679</v>
      </c>
      <c r="AD299" s="20">
        <v>13.979528422202099</v>
      </c>
      <c r="AE299" s="20">
        <v>15.721934798133701</v>
      </c>
      <c r="AF299" t="str">
        <f t="shared" si="18"/>
        <v>NonResidential</v>
      </c>
      <c r="AG299" t="str">
        <f>tbl_Data_old[[#This Row],[All_Meas_Name_Append]]</f>
        <v>LED High Bay_LF Baseline</v>
      </c>
      <c r="AH299">
        <f>AVERAGEIFS('3. Incentive Adjustment'!G:G,'3. Incentive Adjustment'!A:A,tbl_Data_old[[#This Row],[Trimmed Sector]],'3. Incentive Adjustment'!B:B,tbl_Data_old[[#This Row],[Trimmed Measure Name]])</f>
        <v>0.93017466414143679</v>
      </c>
      <c r="AI299">
        <f>$AH299*tbl_Data_old[[#This Row],[2025 ]]</f>
        <v>1.1739513371120329</v>
      </c>
      <c r="AJ299">
        <f>$AH299*tbl_Data_old[[#This Row],[2026 ]]</f>
        <v>2.4517427303941051</v>
      </c>
      <c r="AK299">
        <f>$AH299*tbl_Data_old[[#This Row],[2027 ]]</f>
        <v>3.8119231032694545</v>
      </c>
      <c r="AL299">
        <f>$AH299*tbl_Data_old[[#This Row],[2028 ]]</f>
        <v>5.241132126227841</v>
      </c>
      <c r="AM299">
        <f>$AH299*tbl_Data_old[[#This Row],[2029 ]]</f>
        <v>6.7260711881503061</v>
      </c>
      <c r="AN299">
        <f>$AH299*tbl_Data_old[[#This Row],[2030 ]]</f>
        <v>8.2538507543094468</v>
      </c>
      <c r="AO299">
        <f>$AH299*tbl_Data_old[[#This Row],[2031 ]]</f>
        <v>9.8132653882065011</v>
      </c>
      <c r="AP299">
        <f>$AH299*tbl_Data_old[[#This Row],[2032 ]]</f>
        <v>11.397832492524794</v>
      </c>
      <c r="AQ299">
        <f>$AH299*tbl_Data_old[[#This Row],[2033 ]]</f>
        <v>13.003403154977507</v>
      </c>
      <c r="AR299">
        <f>$AH299*tbl_Data_old[[#This Row],[2034 ]]</f>
        <v>14.624145420507583</v>
      </c>
      <c r="AS299">
        <f>SUM(tbl_Data_old[[#This Row],[Adjusted 2025]:[Adjusted 2034]])</f>
        <v>76.49731769567957</v>
      </c>
      <c r="AT299" s="3">
        <f>AVERAGEIFS('3. Incentive Adjustment'!F:F,'3. Incentive Adjustment'!A:A,tbl_Data_old[[#This Row],[Trimmed Sector]],'3. Incentive Adjustment'!B:B,tbl_Data_old[[#This Row],[Trimmed Measure Name]])</f>
        <v>23.858858929800434</v>
      </c>
      <c r="AU299" s="3">
        <f>IFERROR(VLOOKUP(tbl_Data_old[[#This Row],[All_Meas_Name_Append]],'IRA Tax Credits'!$A$3:$D$46,4,0),0)</f>
        <v>0</v>
      </c>
      <c r="AV299" s="4">
        <f>tbl_Data_old[[#This Row],[Adj. per unit Incentive ($)]]/tbl_Data_old[[#This Row],[kWh Savings]]*tbl_Data_old[[#This Row],[Sum of Annuals]]</f>
        <v>2.8586450895153179</v>
      </c>
      <c r="AW299" s="4">
        <f>IFERROR(VLOOKUP(tbl_Data_old[[#This Row],[All_Programs]],'1. Set Program Names'!$B$2:$D$15,3,0)*tbl_Data_old[[#This Row],[Sum of Annuals]],"")</f>
        <v>2.7232811747504067</v>
      </c>
      <c r="AX299" s="4">
        <f>tbl_Data_old[[#This Row],[per unit IRA tax ($)]]/tbl_Data_old[[#This Row],[kWh Savings]]*tbl_Data_old[[#This Row],[Sum of Annuals]]</f>
        <v>0</v>
      </c>
      <c r="AY299" s="4">
        <f>tbl_Data_old[[#This Row],[Avoided Costs ($/unit)]]/tbl_Data_old[[#This Row],[kWh Savings]]*tbl_Data_old[[#This Row],[Sum of Annuals]]</f>
        <v>30.691093404501366</v>
      </c>
      <c r="AZ299" s="4">
        <f>tbl_Data_old[[#This Row],[Lost Revenue ($/unit)]]/tbl_Data_old[[#This Row],[kWh Savings]]*tbl_Data_old[[#This Row],[Sum of Annuals]]</f>
        <v>83.08527204953819</v>
      </c>
      <c r="BA299" s="4">
        <f>tbl_Data_old[[#This Row],[Incremental Cost ($/unit)]]/tbl_Data_old[[#This Row],[kWh Savings]]*tbl_Data_old[[#This Row],[Sum of Annuals]]</f>
        <v>21.446854291263541</v>
      </c>
      <c r="BB299">
        <f>ROUNDUP(tbl_Data_old[[#This Row],[Adjusted 2025]]/$L299,0)</f>
        <v>1</v>
      </c>
      <c r="BC299">
        <f>ROUNDUP(tbl_Data_old[[#This Row],[Adjusted 2026]]/$L299,0)</f>
        <v>1</v>
      </c>
      <c r="BD299">
        <f>ROUNDUP(tbl_Data_old[[#This Row],[Adjusted 2027]]/$L299,0)</f>
        <v>1</v>
      </c>
      <c r="BE299">
        <f>ROUNDUP(tbl_Data_old[[#This Row],[Adjusted 2028]]/$L299,0)</f>
        <v>1</v>
      </c>
      <c r="BF299">
        <f>ROUNDUP(tbl_Data_old[[#This Row],[Adjusted 2029]]/$L299,0)</f>
        <v>1</v>
      </c>
      <c r="BG299">
        <f>ROUNDUP(tbl_Data_old[[#This Row],[Adjusted 2030]]/$L299,0)</f>
        <v>1</v>
      </c>
      <c r="BH299">
        <f>ROUNDUP(tbl_Data_old[[#This Row],[Adjusted 2031]]/$L299,0)</f>
        <v>1</v>
      </c>
      <c r="BI299">
        <f>ROUNDUP(tbl_Data_old[[#This Row],[Adjusted 2032]]/$L299,0)</f>
        <v>1</v>
      </c>
      <c r="BJ299">
        <f>ROUNDUP(tbl_Data_old[[#This Row],[Adjusted 2033]]/$L299,0)</f>
        <v>1</v>
      </c>
      <c r="BK299">
        <f>ROUNDUP(tbl_Data_old[[#This Row],[Adjusted 2034]]/$L299,0)</f>
        <v>1</v>
      </c>
      <c r="BL299" s="3">
        <f t="shared" si="20"/>
        <v>4.7162804366075707E-2</v>
      </c>
      <c r="BM299" s="3">
        <f t="shared" si="20"/>
        <v>9.8497321902611817E-2</v>
      </c>
      <c r="BN299" s="3">
        <f t="shared" si="20"/>
        <v>0.15314176822719916</v>
      </c>
      <c r="BO299" s="3">
        <f t="shared" si="20"/>
        <v>0.21055939996126816</v>
      </c>
      <c r="BP299" s="3">
        <f t="shared" si="20"/>
        <v>0.27021595322631181</v>
      </c>
      <c r="BQ299" s="3">
        <f t="shared" si="20"/>
        <v>0.33159359854720577</v>
      </c>
      <c r="BR299" s="3">
        <f t="shared" si="20"/>
        <v>0.39424216410445395</v>
      </c>
      <c r="BS299" s="3">
        <f t="shared" si="20"/>
        <v>0.45790121536438771</v>
      </c>
      <c r="BT299" s="3">
        <f t="shared" si="20"/>
        <v>0.52240407221657215</v>
      </c>
      <c r="BU299" s="3">
        <f t="shared" si="20"/>
        <v>0.58751643929736408</v>
      </c>
      <c r="BV299">
        <f>VLOOKUP($H299,'1. Set Program Names'!$B$2:$D$15,3,0)*V299</f>
        <v>4.4929528940001011E-2</v>
      </c>
      <c r="BW299">
        <f>VLOOKUP($H299,'1. Set Program Names'!$B$2:$D$15,3,0)*W299</f>
        <v>9.3833230114687999E-2</v>
      </c>
      <c r="BX299">
        <f>VLOOKUP($H299,'1. Set Program Names'!$B$2:$D$15,3,0)*X299</f>
        <v>0.14589012676345625</v>
      </c>
      <c r="BY299">
        <f>VLOOKUP($H299,'1. Set Program Names'!$B$2:$D$15,3,0)*Y299</f>
        <v>0.20058889163414298</v>
      </c>
      <c r="BZ299">
        <f>VLOOKUP($H299,'1. Set Program Names'!$B$2:$D$15,3,0)*Z299</f>
        <v>0.25742055956418797</v>
      </c>
      <c r="CA299">
        <f>VLOOKUP($H299,'1. Set Program Names'!$B$2:$D$15,3,0)*AA299</f>
        <v>0.31589182158476919</v>
      </c>
      <c r="CB299">
        <f>VLOOKUP($H299,'1. Set Program Names'!$B$2:$D$15,3,0)*AB299</f>
        <v>0.37557382262537314</v>
      </c>
      <c r="CC299">
        <f>VLOOKUP($H299,'1. Set Program Names'!$B$2:$D$15,3,0)*AC299</f>
        <v>0.43621846037158674</v>
      </c>
      <c r="CD299">
        <f>VLOOKUP($H299,'1. Set Program Names'!$B$2:$D$15,3,0)*AD299</f>
        <v>0.49766694742842421</v>
      </c>
      <c r="CE299">
        <f>VLOOKUP($H299,'1. Set Program Names'!$B$2:$D$15,3,0)*AE299</f>
        <v>0.55969608289715189</v>
      </c>
    </row>
    <row r="300" spans="1:83" x14ac:dyDescent="0.25">
      <c r="A300" s="20" t="s">
        <v>115</v>
      </c>
      <c r="B300" s="20" t="s">
        <v>88</v>
      </c>
      <c r="C300" s="20" t="s">
        <v>122</v>
      </c>
      <c r="D300" s="20" t="s">
        <v>90</v>
      </c>
      <c r="E300" s="20" t="s">
        <v>91</v>
      </c>
      <c r="F300" s="20" t="s">
        <v>90</v>
      </c>
      <c r="G300" s="20" t="s">
        <v>92</v>
      </c>
      <c r="H300" s="20" t="s">
        <v>14</v>
      </c>
      <c r="I300" s="20" t="s">
        <v>163</v>
      </c>
      <c r="J300" s="20" t="s">
        <v>161</v>
      </c>
      <c r="K300" s="20" t="s">
        <v>159</v>
      </c>
      <c r="L300" s="20">
        <v>336.08</v>
      </c>
      <c r="M300" s="20">
        <v>5.3794325187228403E-2</v>
      </c>
      <c r="N300" s="20">
        <v>5.3413522005729602E-2</v>
      </c>
      <c r="O300" s="20">
        <v>109.08</v>
      </c>
      <c r="P300" s="20">
        <v>41.915763754167898</v>
      </c>
      <c r="Q300" s="20">
        <v>11.9643454800743</v>
      </c>
      <c r="R300" s="20">
        <v>148.30416484676499</v>
      </c>
      <c r="S300" s="20">
        <v>365.02323312162099</v>
      </c>
      <c r="T300" s="20">
        <v>15</v>
      </c>
      <c r="U300" s="20">
        <v>0.2</v>
      </c>
      <c r="V300" s="20">
        <v>1.9956313227640601</v>
      </c>
      <c r="W300" s="20">
        <v>4.0936305874322603</v>
      </c>
      <c r="X300" s="20">
        <v>6.2467597398710204</v>
      </c>
      <c r="Y300" s="20">
        <v>8.4336557612632799</v>
      </c>
      <c r="Z300" s="20">
        <v>10.6395382942161</v>
      </c>
      <c r="AA300" s="20">
        <v>12.847858779247099</v>
      </c>
      <c r="AB300" s="20">
        <v>15.049709972943701</v>
      </c>
      <c r="AC300" s="20">
        <v>17.242472692098598</v>
      </c>
      <c r="AD300" s="20">
        <v>19.421840566522899</v>
      </c>
      <c r="AE300" s="20">
        <v>21.5862173098072</v>
      </c>
      <c r="AF300" t="str">
        <f t="shared" si="18"/>
        <v>NonResidential</v>
      </c>
      <c r="AG300" t="str">
        <f>tbl_Data_old[[#This Row],[All_Meas_Name_Append]]</f>
        <v>LED Linear - Fixture Replacement</v>
      </c>
      <c r="AH300">
        <f>AVERAGEIFS('3. Incentive Adjustment'!G:G,'3. Incentive Adjustment'!A:A,tbl_Data_old[[#This Row],[Trimmed Sector]],'3. Incentive Adjustment'!B:B,tbl_Data_old[[#This Row],[Trimmed Measure Name]])</f>
        <v>0.56055357916158088</v>
      </c>
      <c r="AI300">
        <f>$AH300*tbl_Data_old[[#This Row],[2025 ]]</f>
        <v>1.118658280662354</v>
      </c>
      <c r="AJ300">
        <f>$AH300*tbl_Data_old[[#This Row],[2026 ]]</f>
        <v>2.2946992775504782</v>
      </c>
      <c r="AK300">
        <f>$AH300*tbl_Data_old[[#This Row],[2027 ]]</f>
        <v>3.5016435303471662</v>
      </c>
      <c r="AL300">
        <f>$AH300*tbl_Data_old[[#This Row],[2028 ]]</f>
        <v>4.7275159223928185</v>
      </c>
      <c r="AM300">
        <f>$AH300*tbl_Data_old[[#This Row],[2029 ]]</f>
        <v>5.964031271449536</v>
      </c>
      <c r="AN300">
        <f>$AH300*tbl_Data_old[[#This Row],[2030 ]]</f>
        <v>7.2019132232695009</v>
      </c>
      <c r="AO300">
        <f>$AH300*tbl_Data_old[[#This Row],[2031 ]]</f>
        <v>8.4361687906773302</v>
      </c>
      <c r="AP300">
        <f>$AH300*tbl_Data_old[[#This Row],[2032 ]]</f>
        <v>9.6653297811516889</v>
      </c>
      <c r="AQ300">
        <f>$AH300*tbl_Data_old[[#This Row],[2033 ]]</f>
        <v>10.886982243469998</v>
      </c>
      <c r="AR300">
        <f>$AH300*tbl_Data_old[[#This Row],[2034 ]]</f>
        <v>12.100231373572099</v>
      </c>
      <c r="AS300">
        <f>SUM(tbl_Data_old[[#This Row],[Adjusted 2025]:[Adjusted 2034]])</f>
        <v>65.897173694542971</v>
      </c>
      <c r="AT300" s="3">
        <f>AVERAGEIFS('3. Incentive Adjustment'!F:F,'3. Incentive Adjustment'!A:A,tbl_Data_old[[#This Row],[Trimmed Sector]],'3. Incentive Adjustment'!B:B,tbl_Data_old[[#This Row],[Trimmed Measure Name]])</f>
        <v>16.810726621008875</v>
      </c>
      <c r="AU300" s="3">
        <f>IFERROR(VLOOKUP(tbl_Data_old[[#This Row],[All_Meas_Name_Append]],'IRA Tax Credits'!$A$3:$D$46,4,0),0)</f>
        <v>0</v>
      </c>
      <c r="AV300" s="4">
        <f>tbl_Data_old[[#This Row],[Adj. per unit Incentive ($)]]/tbl_Data_old[[#This Row],[kWh Savings]]*tbl_Data_old[[#This Row],[Sum of Annuals]]</f>
        <v>3.2961776126996529</v>
      </c>
      <c r="AW300" s="4">
        <f>IFERROR(VLOOKUP(tbl_Data_old[[#This Row],[All_Programs]],'1. Set Program Names'!$B$2:$D$15,3,0)*tbl_Data_old[[#This Row],[Sum of Annuals]],"")</f>
        <v>2.3459192818435506</v>
      </c>
      <c r="AX300" s="4">
        <f>tbl_Data_old[[#This Row],[per unit IRA tax ($)]]/tbl_Data_old[[#This Row],[kWh Savings]]*tbl_Data_old[[#This Row],[Sum of Annuals]]</f>
        <v>0</v>
      </c>
      <c r="AY300" s="4">
        <f>tbl_Data_old[[#This Row],[Avoided Costs ($/unit)]]/tbl_Data_old[[#This Row],[kWh Savings]]*tbl_Data_old[[#This Row],[Sum of Annuals]]</f>
        <v>29.078866075135107</v>
      </c>
      <c r="AZ300" s="4">
        <f>tbl_Data_old[[#This Row],[Lost Revenue ($/unit)]]/tbl_Data_old[[#This Row],[kWh Savings]]*tbl_Data_old[[#This Row],[Sum of Annuals]]</f>
        <v>71.572242905138992</v>
      </c>
      <c r="BA300" s="4">
        <f>tbl_Data_old[[#This Row],[Incremental Cost ($/unit)]]/tbl_Data_old[[#This Row],[kWh Savings]]*tbl_Data_old[[#This Row],[Sum of Annuals]]</f>
        <v>21.387954375746094</v>
      </c>
      <c r="BB300">
        <f>ROUNDUP(tbl_Data_old[[#This Row],[Adjusted 2025]]/$L300,0)</f>
        <v>1</v>
      </c>
      <c r="BC300">
        <f>ROUNDUP(tbl_Data_old[[#This Row],[Adjusted 2026]]/$L300,0)</f>
        <v>1</v>
      </c>
      <c r="BD300">
        <f>ROUNDUP(tbl_Data_old[[#This Row],[Adjusted 2027]]/$L300,0)</f>
        <v>1</v>
      </c>
      <c r="BE300">
        <f>ROUNDUP(tbl_Data_old[[#This Row],[Adjusted 2028]]/$L300,0)</f>
        <v>1</v>
      </c>
      <c r="BF300">
        <f>ROUNDUP(tbl_Data_old[[#This Row],[Adjusted 2029]]/$L300,0)</f>
        <v>1</v>
      </c>
      <c r="BG300">
        <f>ROUNDUP(tbl_Data_old[[#This Row],[Adjusted 2030]]/$L300,0)</f>
        <v>1</v>
      </c>
      <c r="BH300">
        <f>ROUNDUP(tbl_Data_old[[#This Row],[Adjusted 2031]]/$L300,0)</f>
        <v>1</v>
      </c>
      <c r="BI300">
        <f>ROUNDUP(tbl_Data_old[[#This Row],[Adjusted 2032]]/$L300,0)</f>
        <v>1</v>
      </c>
      <c r="BJ300">
        <f>ROUNDUP(tbl_Data_old[[#This Row],[Adjusted 2033]]/$L300,0)</f>
        <v>1</v>
      </c>
      <c r="BK300">
        <f>ROUNDUP(tbl_Data_old[[#This Row],[Adjusted 2034]]/$L300,0)</f>
        <v>1</v>
      </c>
      <c r="BL300" s="3">
        <f t="shared" ref="BL300:BU325" si="21">$AT300/$L300*V300</f>
        <v>9.9821508579233942E-2</v>
      </c>
      <c r="BM300" s="3">
        <f t="shared" si="21"/>
        <v>0.20476346314188201</v>
      </c>
      <c r="BN300" s="3">
        <f t="shared" si="21"/>
        <v>0.31246301551444966</v>
      </c>
      <c r="BO300" s="3">
        <f t="shared" si="21"/>
        <v>0.42185158717654581</v>
      </c>
      <c r="BP300" s="3">
        <f t="shared" si="21"/>
        <v>0.53218986443055816</v>
      </c>
      <c r="BQ300" s="3">
        <f t="shared" si="21"/>
        <v>0.64265008808394375</v>
      </c>
      <c r="BR300" s="3">
        <f t="shared" si="21"/>
        <v>0.75278671768813221</v>
      </c>
      <c r="BS300" s="3">
        <f t="shared" si="21"/>
        <v>0.86246874165996346</v>
      </c>
      <c r="BT300" s="3">
        <f t="shared" si="21"/>
        <v>0.97148075529825229</v>
      </c>
      <c r="BU300" s="3">
        <f t="shared" si="21"/>
        <v>1.0797429123329521</v>
      </c>
      <c r="BV300">
        <f>VLOOKUP($H300,'1. Set Program Names'!$B$2:$D$15,3,0)*V300</f>
        <v>7.1043866330656416E-2</v>
      </c>
      <c r="BW300">
        <f>VLOOKUP($H300,'1. Set Program Names'!$B$2:$D$15,3,0)*W300</f>
        <v>0.14573200016614893</v>
      </c>
      <c r="BX300">
        <f>VLOOKUP($H300,'1. Set Program Names'!$B$2:$D$15,3,0)*X300</f>
        <v>0.22238274118911081</v>
      </c>
      <c r="BY300">
        <f>VLOOKUP($H300,'1. Set Program Names'!$B$2:$D$15,3,0)*Y300</f>
        <v>0.30023557244636234</v>
      </c>
      <c r="BZ300">
        <f>VLOOKUP($H300,'1. Set Program Names'!$B$2:$D$15,3,0)*Z300</f>
        <v>0.37876431772340668</v>
      </c>
      <c r="CA300">
        <f>VLOOKUP($H300,'1. Set Program Names'!$B$2:$D$15,3,0)*AA300</f>
        <v>0.45737985335074621</v>
      </c>
      <c r="CB300">
        <f>VLOOKUP($H300,'1. Set Program Names'!$B$2:$D$15,3,0)*AB300</f>
        <v>0.5357650841800139</v>
      </c>
      <c r="CC300">
        <f>VLOOKUP($H300,'1. Set Program Names'!$B$2:$D$15,3,0)*AC300</f>
        <v>0.61382676808800152</v>
      </c>
      <c r="CD300">
        <f>VLOOKUP($H300,'1. Set Program Names'!$B$2:$D$15,3,0)*AD300</f>
        <v>0.69141159960962628</v>
      </c>
      <c r="CE300">
        <f>VLOOKUP($H300,'1. Set Program Names'!$B$2:$D$15,3,0)*AE300</f>
        <v>0.76846275143565457</v>
      </c>
    </row>
    <row r="301" spans="1:83" x14ac:dyDescent="0.25">
      <c r="A301" s="20" t="s">
        <v>115</v>
      </c>
      <c r="B301" s="20" t="s">
        <v>88</v>
      </c>
      <c r="C301" s="20" t="s">
        <v>122</v>
      </c>
      <c r="D301" s="20" t="s">
        <v>90</v>
      </c>
      <c r="E301" s="20" t="s">
        <v>91</v>
      </c>
      <c r="F301" s="20" t="s">
        <v>90</v>
      </c>
      <c r="G301" s="20" t="s">
        <v>92</v>
      </c>
      <c r="H301" s="20" t="s">
        <v>14</v>
      </c>
      <c r="I301" s="20" t="s">
        <v>164</v>
      </c>
      <c r="J301" s="20" t="s">
        <v>158</v>
      </c>
      <c r="K301" s="20" t="s">
        <v>159</v>
      </c>
      <c r="L301" s="20">
        <v>612.05999999999904</v>
      </c>
      <c r="M301" s="20">
        <v>0</v>
      </c>
      <c r="N301" s="20">
        <v>3.0244631686656E-2</v>
      </c>
      <c r="O301" s="20">
        <v>255</v>
      </c>
      <c r="P301" s="20">
        <v>129.095003330796</v>
      </c>
      <c r="Q301" s="20">
        <v>21.789149293425101</v>
      </c>
      <c r="R301" s="20">
        <v>299.625229349054</v>
      </c>
      <c r="S301" s="20">
        <v>664.77065003695395</v>
      </c>
      <c r="T301" s="20">
        <v>15</v>
      </c>
      <c r="U301" s="20">
        <v>0.2</v>
      </c>
      <c r="V301" s="20">
        <v>0</v>
      </c>
      <c r="W301" s="20">
        <v>0</v>
      </c>
      <c r="X301" s="20">
        <v>0</v>
      </c>
      <c r="Y301" s="20">
        <v>0</v>
      </c>
      <c r="Z301" s="20">
        <v>0</v>
      </c>
      <c r="AA301" s="20">
        <v>0</v>
      </c>
      <c r="AB301" s="20">
        <v>0</v>
      </c>
      <c r="AC301" s="20">
        <v>0</v>
      </c>
      <c r="AD301" s="20">
        <v>0</v>
      </c>
      <c r="AE301" s="20">
        <v>0</v>
      </c>
      <c r="AF301" t="str">
        <f t="shared" si="18"/>
        <v>NonResidential</v>
      </c>
      <c r="AG301" t="str">
        <f>tbl_Data_old[[#This Row],[All_Meas_Name_Append]]</f>
        <v>LED Parking Lighting</v>
      </c>
      <c r="AH301">
        <f>AVERAGEIFS('3. Incentive Adjustment'!G:G,'3. Incentive Adjustment'!A:A,tbl_Data_old[[#This Row],[Trimmed Sector]],'3. Incentive Adjustment'!B:B,tbl_Data_old[[#This Row],[Trimmed Measure Name]])</f>
        <v>0.59704067730377497</v>
      </c>
      <c r="AI301">
        <f>$AH301*tbl_Data_old[[#This Row],[2025 ]]</f>
        <v>0</v>
      </c>
      <c r="AJ301">
        <f>$AH301*tbl_Data_old[[#This Row],[2026 ]]</f>
        <v>0</v>
      </c>
      <c r="AK301">
        <f>$AH301*tbl_Data_old[[#This Row],[2027 ]]</f>
        <v>0</v>
      </c>
      <c r="AL301">
        <f>$AH301*tbl_Data_old[[#This Row],[2028 ]]</f>
        <v>0</v>
      </c>
      <c r="AM301">
        <f>$AH301*tbl_Data_old[[#This Row],[2029 ]]</f>
        <v>0</v>
      </c>
      <c r="AN301">
        <f>$AH301*tbl_Data_old[[#This Row],[2030 ]]</f>
        <v>0</v>
      </c>
      <c r="AO301">
        <f>$AH301*tbl_Data_old[[#This Row],[2031 ]]</f>
        <v>0</v>
      </c>
      <c r="AP301">
        <f>$AH301*tbl_Data_old[[#This Row],[2032 ]]</f>
        <v>0</v>
      </c>
      <c r="AQ301">
        <f>$AH301*tbl_Data_old[[#This Row],[2033 ]]</f>
        <v>0</v>
      </c>
      <c r="AR301">
        <f>$AH301*tbl_Data_old[[#This Row],[2034 ]]</f>
        <v>0</v>
      </c>
      <c r="AS301">
        <f>SUM(tbl_Data_old[[#This Row],[Adjusted 2025]:[Adjusted 2034]])</f>
        <v>0</v>
      </c>
      <c r="AT301" s="3">
        <f>AVERAGEIFS('3. Incentive Adjustment'!F:F,'3. Incentive Adjustment'!A:A,tbl_Data_old[[#This Row],[Trimmed Sector]],'3. Incentive Adjustment'!B:B,tbl_Data_old[[#This Row],[Trimmed Measure Name]])</f>
        <v>9.4514474020799994</v>
      </c>
      <c r="AU301" s="3">
        <f>IFERROR(VLOOKUP(tbl_Data_old[[#This Row],[All_Meas_Name_Append]],'IRA Tax Credits'!$A$3:$D$46,4,0),0)</f>
        <v>0</v>
      </c>
      <c r="AV301" s="4">
        <f>tbl_Data_old[[#This Row],[Adj. per unit Incentive ($)]]/tbl_Data_old[[#This Row],[kWh Savings]]*tbl_Data_old[[#This Row],[Sum of Annuals]]</f>
        <v>0</v>
      </c>
      <c r="AW301" s="4">
        <f>IFERROR(VLOOKUP(tbl_Data_old[[#This Row],[All_Programs]],'1. Set Program Names'!$B$2:$D$15,3,0)*tbl_Data_old[[#This Row],[Sum of Annuals]],"")</f>
        <v>0</v>
      </c>
      <c r="AX301" s="4">
        <f>tbl_Data_old[[#This Row],[per unit IRA tax ($)]]/tbl_Data_old[[#This Row],[kWh Savings]]*tbl_Data_old[[#This Row],[Sum of Annuals]]</f>
        <v>0</v>
      </c>
      <c r="AY301" s="4">
        <f>tbl_Data_old[[#This Row],[Avoided Costs ($/unit)]]/tbl_Data_old[[#This Row],[kWh Savings]]*tbl_Data_old[[#This Row],[Sum of Annuals]]</f>
        <v>0</v>
      </c>
      <c r="AZ301" s="4">
        <f>tbl_Data_old[[#This Row],[Lost Revenue ($/unit)]]/tbl_Data_old[[#This Row],[kWh Savings]]*tbl_Data_old[[#This Row],[Sum of Annuals]]</f>
        <v>0</v>
      </c>
      <c r="BA301" s="4">
        <f>tbl_Data_old[[#This Row],[Incremental Cost ($/unit)]]/tbl_Data_old[[#This Row],[kWh Savings]]*tbl_Data_old[[#This Row],[Sum of Annuals]]</f>
        <v>0</v>
      </c>
      <c r="BB301">
        <f>ROUNDUP(tbl_Data_old[[#This Row],[Adjusted 2025]]/$L301,0)</f>
        <v>0</v>
      </c>
      <c r="BC301">
        <f>ROUNDUP(tbl_Data_old[[#This Row],[Adjusted 2026]]/$L301,0)</f>
        <v>0</v>
      </c>
      <c r="BD301">
        <f>ROUNDUP(tbl_Data_old[[#This Row],[Adjusted 2027]]/$L301,0)</f>
        <v>0</v>
      </c>
      <c r="BE301">
        <f>ROUNDUP(tbl_Data_old[[#This Row],[Adjusted 2028]]/$L301,0)</f>
        <v>0</v>
      </c>
      <c r="BF301">
        <f>ROUNDUP(tbl_Data_old[[#This Row],[Adjusted 2029]]/$L301,0)</f>
        <v>0</v>
      </c>
      <c r="BG301">
        <f>ROUNDUP(tbl_Data_old[[#This Row],[Adjusted 2030]]/$L301,0)</f>
        <v>0</v>
      </c>
      <c r="BH301">
        <f>ROUNDUP(tbl_Data_old[[#This Row],[Adjusted 2031]]/$L301,0)</f>
        <v>0</v>
      </c>
      <c r="BI301">
        <f>ROUNDUP(tbl_Data_old[[#This Row],[Adjusted 2032]]/$L301,0)</f>
        <v>0</v>
      </c>
      <c r="BJ301">
        <f>ROUNDUP(tbl_Data_old[[#This Row],[Adjusted 2033]]/$L301,0)</f>
        <v>0</v>
      </c>
      <c r="BK301">
        <f>ROUNDUP(tbl_Data_old[[#This Row],[Adjusted 2034]]/$L301,0)</f>
        <v>0</v>
      </c>
      <c r="BL301" s="3">
        <f t="shared" si="21"/>
        <v>0</v>
      </c>
      <c r="BM301" s="3">
        <f t="shared" si="21"/>
        <v>0</v>
      </c>
      <c r="BN301" s="3">
        <f t="shared" si="21"/>
        <v>0</v>
      </c>
      <c r="BO301" s="3">
        <f t="shared" si="21"/>
        <v>0</v>
      </c>
      <c r="BP301" s="3">
        <f t="shared" si="21"/>
        <v>0</v>
      </c>
      <c r="BQ301" s="3">
        <f t="shared" si="21"/>
        <v>0</v>
      </c>
      <c r="BR301" s="3">
        <f t="shared" si="21"/>
        <v>0</v>
      </c>
      <c r="BS301" s="3">
        <f t="shared" si="21"/>
        <v>0</v>
      </c>
      <c r="BT301" s="3">
        <f t="shared" si="21"/>
        <v>0</v>
      </c>
      <c r="BU301" s="3">
        <f t="shared" si="21"/>
        <v>0</v>
      </c>
      <c r="BV301">
        <f>VLOOKUP($H301,'1. Set Program Names'!$B$2:$D$15,3,0)*V301</f>
        <v>0</v>
      </c>
      <c r="BW301">
        <f>VLOOKUP($H301,'1. Set Program Names'!$B$2:$D$15,3,0)*W301</f>
        <v>0</v>
      </c>
      <c r="BX301">
        <f>VLOOKUP($H301,'1. Set Program Names'!$B$2:$D$15,3,0)*X301</f>
        <v>0</v>
      </c>
      <c r="BY301">
        <f>VLOOKUP($H301,'1. Set Program Names'!$B$2:$D$15,3,0)*Y301</f>
        <v>0</v>
      </c>
      <c r="BZ301">
        <f>VLOOKUP($H301,'1. Set Program Names'!$B$2:$D$15,3,0)*Z301</f>
        <v>0</v>
      </c>
      <c r="CA301">
        <f>VLOOKUP($H301,'1. Set Program Names'!$B$2:$D$15,3,0)*AA301</f>
        <v>0</v>
      </c>
      <c r="CB301">
        <f>VLOOKUP($H301,'1. Set Program Names'!$B$2:$D$15,3,0)*AB301</f>
        <v>0</v>
      </c>
      <c r="CC301">
        <f>VLOOKUP($H301,'1. Set Program Names'!$B$2:$D$15,3,0)*AC301</f>
        <v>0</v>
      </c>
      <c r="CD301">
        <f>VLOOKUP($H301,'1. Set Program Names'!$B$2:$D$15,3,0)*AD301</f>
        <v>0</v>
      </c>
      <c r="CE301">
        <f>VLOOKUP($H301,'1. Set Program Names'!$B$2:$D$15,3,0)*AE301</f>
        <v>0</v>
      </c>
    </row>
    <row r="302" spans="1:83" x14ac:dyDescent="0.25">
      <c r="A302" s="20" t="s">
        <v>115</v>
      </c>
      <c r="B302" s="20" t="s">
        <v>88</v>
      </c>
      <c r="C302" s="20" t="s">
        <v>122</v>
      </c>
      <c r="D302" s="20" t="s">
        <v>90</v>
      </c>
      <c r="E302" s="20" t="s">
        <v>91</v>
      </c>
      <c r="F302" s="20" t="s">
        <v>90</v>
      </c>
      <c r="G302" s="20" t="s">
        <v>92</v>
      </c>
      <c r="H302" s="20" t="s">
        <v>14</v>
      </c>
      <c r="I302" s="20" t="s">
        <v>165</v>
      </c>
      <c r="J302" s="20" t="s">
        <v>161</v>
      </c>
      <c r="K302" s="20" t="s">
        <v>166</v>
      </c>
      <c r="L302" s="20">
        <v>510.6</v>
      </c>
      <c r="M302" s="20">
        <v>6.2552429943266097E-2</v>
      </c>
      <c r="N302" s="20">
        <v>6.4361142955417797E-2</v>
      </c>
      <c r="O302" s="20">
        <v>129</v>
      </c>
      <c r="P302" s="20">
        <v>26.468747947944401</v>
      </c>
      <c r="Q302" s="20">
        <v>18.177204243412199</v>
      </c>
      <c r="R302" s="20">
        <v>174.74401692254699</v>
      </c>
      <c r="S302" s="20">
        <v>419.99719394182398</v>
      </c>
      <c r="T302" s="20">
        <v>10</v>
      </c>
      <c r="U302" s="20">
        <v>0.2</v>
      </c>
      <c r="V302" s="20">
        <v>1.0097684520058099</v>
      </c>
      <c r="W302" s="20">
        <v>2.3946091870767501</v>
      </c>
      <c r="X302" s="20">
        <v>4.2367473163916403</v>
      </c>
      <c r="Y302" s="20">
        <v>6.61277522749974</v>
      </c>
      <c r="Z302" s="20">
        <v>9.5558167537335201</v>
      </c>
      <c r="AA302" s="20">
        <v>13.011077387168999</v>
      </c>
      <c r="AB302" s="20">
        <v>16.809227297444501</v>
      </c>
      <c r="AC302" s="20">
        <v>20.6731069652065</v>
      </c>
      <c r="AD302" s="20">
        <v>24.270260196072002</v>
      </c>
      <c r="AE302" s="20">
        <v>27.321521165481101</v>
      </c>
      <c r="AF302" t="str">
        <f t="shared" si="18"/>
        <v>NonResidential</v>
      </c>
      <c r="AG302" t="str">
        <f>tbl_Data_old[[#This Row],[All_Meas_Name_Append]]</f>
        <v>Occupancy Sensors_ Ceiling Mounted</v>
      </c>
      <c r="AH302">
        <f>AVERAGEIFS('3. Incentive Adjustment'!G:G,'3. Incentive Adjustment'!A:A,tbl_Data_old[[#This Row],[Trimmed Sector]],'3. Incentive Adjustment'!B:B,tbl_Data_old[[#This Row],[Trimmed Measure Name]])</f>
        <v>0.99348124042467356</v>
      </c>
      <c r="AI302">
        <f>$AH302*tbl_Data_old[[#This Row],[2025 ]]</f>
        <v>1.0031860142404345</v>
      </c>
      <c r="AJ302">
        <f>$AH302*tbl_Data_old[[#This Row],[2026 ]]</f>
        <v>2.3789993055093288</v>
      </c>
      <c r="AK302">
        <f>$AH302*tbl_Data_old[[#This Row],[2027 ]]</f>
        <v>4.2091289792546736</v>
      </c>
      <c r="AL302">
        <f>$AH302*tbl_Data_old[[#This Row],[2028 ]]</f>
        <v>6.5696681356659949</v>
      </c>
      <c r="AM302">
        <f>$AH302*tbl_Data_old[[#This Row],[2029 ]]</f>
        <v>9.4935246817700545</v>
      </c>
      <c r="AN302">
        <f>$AH302*tbl_Data_old[[#This Row],[2030 ]]</f>
        <v>12.926261301866077</v>
      </c>
      <c r="AO302">
        <f>$AH302*tbl_Data_old[[#This Row],[2031 ]]</f>
        <v>16.699651986045446</v>
      </c>
      <c r="AP302">
        <f>$AH302*tbl_Data_old[[#This Row],[2032 ]]</f>
        <v>20.538343951225311</v>
      </c>
      <c r="AQ302">
        <f>$AH302*tbl_Data_old[[#This Row],[2033 ]]</f>
        <v>24.112048205023193</v>
      </c>
      <c r="AR302">
        <f>$AH302*tbl_Data_old[[#This Row],[2034 ]]</f>
        <v>27.143418737771139</v>
      </c>
      <c r="AS302">
        <f>SUM(tbl_Data_old[[#This Row],[Adjusted 2025]:[Adjusted 2034]])</f>
        <v>125.07423129837166</v>
      </c>
      <c r="AT302" s="3">
        <f>AVERAGEIFS('3. Incentive Adjustment'!F:F,'3. Incentive Adjustment'!A:A,tbl_Data_old[[#This Row],[Trimmed Sector]],'3. Incentive Adjustment'!B:B,tbl_Data_old[[#This Row],[Trimmed Measure Name]])</f>
        <v>19.547634357270656</v>
      </c>
      <c r="AU302" s="3">
        <f>IFERROR(VLOOKUP(tbl_Data_old[[#This Row],[All_Meas_Name_Append]],'IRA Tax Credits'!$A$3:$D$46,4,0),0)</f>
        <v>0</v>
      </c>
      <c r="AV302" s="4">
        <f>tbl_Data_old[[#This Row],[Adj. per unit Incentive ($)]]/tbl_Data_old[[#This Row],[kWh Savings]]*tbl_Data_old[[#This Row],[Sum of Annuals]]</f>
        <v>4.7882987484082777</v>
      </c>
      <c r="AW302" s="4">
        <f>IFERROR(VLOOKUP(tbl_Data_old[[#This Row],[All_Programs]],'1. Set Program Names'!$B$2:$D$15,3,0)*tbl_Data_old[[#This Row],[Sum of Annuals]],"")</f>
        <v>4.452604480803525</v>
      </c>
      <c r="AX302" s="4">
        <f>tbl_Data_old[[#This Row],[per unit IRA tax ($)]]/tbl_Data_old[[#This Row],[kWh Savings]]*tbl_Data_old[[#This Row],[Sum of Annuals]]</f>
        <v>0</v>
      </c>
      <c r="AY302" s="4">
        <f>tbl_Data_old[[#This Row],[Avoided Costs ($/unit)]]/tbl_Data_old[[#This Row],[kWh Savings]]*tbl_Data_old[[#This Row],[Sum of Annuals]]</f>
        <v>42.804491951776761</v>
      </c>
      <c r="AZ302" s="4">
        <f>tbl_Data_old[[#This Row],[Lost Revenue ($/unit)]]/tbl_Data_old[[#This Row],[kWh Savings]]*tbl_Data_old[[#This Row],[Sum of Annuals]]</f>
        <v>102.88058397913582</v>
      </c>
      <c r="BA302" s="4">
        <f>tbl_Data_old[[#This Row],[Incremental Cost ($/unit)]]/tbl_Data_old[[#This Row],[kWh Savings]]*tbl_Data_old[[#This Row],[Sum of Annuals]]</f>
        <v>31.599247625323038</v>
      </c>
      <c r="BB302">
        <f>ROUNDUP(tbl_Data_old[[#This Row],[Adjusted 2025]]/$L302,0)</f>
        <v>1</v>
      </c>
      <c r="BC302">
        <f>ROUNDUP(tbl_Data_old[[#This Row],[Adjusted 2026]]/$L302,0)</f>
        <v>1</v>
      </c>
      <c r="BD302">
        <f>ROUNDUP(tbl_Data_old[[#This Row],[Adjusted 2027]]/$L302,0)</f>
        <v>1</v>
      </c>
      <c r="BE302">
        <f>ROUNDUP(tbl_Data_old[[#This Row],[Adjusted 2028]]/$L302,0)</f>
        <v>1</v>
      </c>
      <c r="BF302">
        <f>ROUNDUP(tbl_Data_old[[#This Row],[Adjusted 2029]]/$L302,0)</f>
        <v>1</v>
      </c>
      <c r="BG302">
        <f>ROUNDUP(tbl_Data_old[[#This Row],[Adjusted 2030]]/$L302,0)</f>
        <v>1</v>
      </c>
      <c r="BH302">
        <f>ROUNDUP(tbl_Data_old[[#This Row],[Adjusted 2031]]/$L302,0)</f>
        <v>1</v>
      </c>
      <c r="BI302">
        <f>ROUNDUP(tbl_Data_old[[#This Row],[Adjusted 2032]]/$L302,0)</f>
        <v>1</v>
      </c>
      <c r="BJ302">
        <f>ROUNDUP(tbl_Data_old[[#This Row],[Adjusted 2033]]/$L302,0)</f>
        <v>1</v>
      </c>
      <c r="BK302">
        <f>ROUNDUP(tbl_Data_old[[#This Row],[Adjusted 2034]]/$L302,0)</f>
        <v>1</v>
      </c>
      <c r="BL302" s="3">
        <f t="shared" si="21"/>
        <v>3.8657627272457452E-2</v>
      </c>
      <c r="BM302" s="3">
        <f t="shared" si="21"/>
        <v>9.1674392513782677E-2</v>
      </c>
      <c r="BN302" s="3">
        <f t="shared" si="21"/>
        <v>0.16219817353108398</v>
      </c>
      <c r="BO302" s="3">
        <f t="shared" si="21"/>
        <v>0.25316120688206462</v>
      </c>
      <c r="BP302" s="3">
        <f t="shared" si="21"/>
        <v>0.36583159398171544</v>
      </c>
      <c r="BQ302" s="3">
        <f t="shared" si="21"/>
        <v>0.49811160078051714</v>
      </c>
      <c r="BR302" s="3">
        <f t="shared" si="21"/>
        <v>0.64351866243379929</v>
      </c>
      <c r="BS302" s="3">
        <f t="shared" si="21"/>
        <v>0.79144209946063826</v>
      </c>
      <c r="BT302" s="3">
        <f t="shared" si="21"/>
        <v>0.92915427353825997</v>
      </c>
      <c r="BU302" s="3">
        <f t="shared" si="21"/>
        <v>1.0459676964889459</v>
      </c>
      <c r="BV302">
        <f>VLOOKUP($H302,'1. Set Program Names'!$B$2:$D$15,3,0)*V302</f>
        <v>3.5947448865381454E-2</v>
      </c>
      <c r="BW302">
        <f>VLOOKUP($H302,'1. Set Program Names'!$B$2:$D$15,3,0)*W302</f>
        <v>8.5247356593508281E-2</v>
      </c>
      <c r="BX302">
        <f>VLOOKUP($H302,'1. Set Program Names'!$B$2:$D$15,3,0)*X302</f>
        <v>0.15082691205988907</v>
      </c>
      <c r="BY302">
        <f>VLOOKUP($H302,'1. Set Program Names'!$B$2:$D$15,3,0)*Y302</f>
        <v>0.23541278089706094</v>
      </c>
      <c r="BZ302">
        <f>VLOOKUP($H302,'1. Set Program Names'!$B$2:$D$15,3,0)*Z302</f>
        <v>0.34018416146736052</v>
      </c>
      <c r="CA302">
        <f>VLOOKUP($H302,'1. Set Program Names'!$B$2:$D$15,3,0)*AA302</f>
        <v>0.46319038600355034</v>
      </c>
      <c r="CB302">
        <f>VLOOKUP($H302,'1. Set Program Names'!$B$2:$D$15,3,0)*AB302</f>
        <v>0.5984033641981753</v>
      </c>
      <c r="CC302">
        <f>VLOOKUP($H302,'1. Set Program Names'!$B$2:$D$15,3,0)*AC302</f>
        <v>0.73595630170870707</v>
      </c>
      <c r="CD302">
        <f>VLOOKUP($H302,'1. Set Program Names'!$B$2:$D$15,3,0)*AD302</f>
        <v>0.86401385942960851</v>
      </c>
      <c r="CE302">
        <f>VLOOKUP($H302,'1. Set Program Names'!$B$2:$D$15,3,0)*AE302</f>
        <v>0.97263781916502001</v>
      </c>
    </row>
    <row r="303" spans="1:83" x14ac:dyDescent="0.25">
      <c r="A303" s="20" t="s">
        <v>115</v>
      </c>
      <c r="B303" s="20" t="s">
        <v>88</v>
      </c>
      <c r="C303" s="20" t="s">
        <v>122</v>
      </c>
      <c r="D303" s="20" t="s">
        <v>90</v>
      </c>
      <c r="E303" s="20" t="s">
        <v>91</v>
      </c>
      <c r="F303" s="20" t="s">
        <v>90</v>
      </c>
      <c r="G303" s="20" t="s">
        <v>92</v>
      </c>
      <c r="H303" s="20" t="s">
        <v>14</v>
      </c>
      <c r="I303" s="20" t="s">
        <v>154</v>
      </c>
      <c r="J303" s="20" t="s">
        <v>129</v>
      </c>
      <c r="K303" s="20" t="s">
        <v>102</v>
      </c>
      <c r="L303" s="20">
        <v>111105.09249999899</v>
      </c>
      <c r="M303" s="20">
        <v>30.6532165911823</v>
      </c>
      <c r="N303" s="20">
        <v>0</v>
      </c>
      <c r="O303" s="20">
        <v>40257.675000000003</v>
      </c>
      <c r="P303" s="20">
        <v>17605.607636663401</v>
      </c>
      <c r="Q303" s="20">
        <v>3955.3074008141398</v>
      </c>
      <c r="R303" s="20">
        <v>56706.982631731698</v>
      </c>
      <c r="S303" s="20">
        <v>120673.47084214</v>
      </c>
      <c r="T303" s="20">
        <v>15</v>
      </c>
      <c r="U303" s="20">
        <v>0.95</v>
      </c>
      <c r="V303" s="20">
        <v>5.4735852901833401E-2</v>
      </c>
      <c r="W303" s="20">
        <v>0.109668190009599</v>
      </c>
      <c r="X303" s="20">
        <v>0.16500019501345201</v>
      </c>
      <c r="Y303" s="20">
        <v>0.22084364330595399</v>
      </c>
      <c r="Z303" s="20">
        <v>0.277030165015617</v>
      </c>
      <c r="AA303" s="20">
        <v>0.33355147022137099</v>
      </c>
      <c r="AB303" s="20">
        <v>0.39018224174128402</v>
      </c>
      <c r="AC303" s="20">
        <v>0.44685184053556398</v>
      </c>
      <c r="AD303" s="20">
        <v>0.50385057796020805</v>
      </c>
      <c r="AE303" s="20">
        <v>0.56103792600910296</v>
      </c>
      <c r="AF303" t="str">
        <f t="shared" si="18"/>
        <v>NonResidential</v>
      </c>
      <c r="AG303" t="str">
        <f>tbl_Data_old[[#This Row],[All_Meas_Name_Append]]</f>
        <v>Reflective Roof Treatment</v>
      </c>
      <c r="AH303">
        <f>AVERAGEIFS('3. Incentive Adjustment'!G:G,'3. Incentive Adjustment'!A:A,tbl_Data_old[[#This Row],[Trimmed Sector]],'3. Incentive Adjustment'!B:B,tbl_Data_old[[#This Row],[Trimmed Measure Name]])</f>
        <v>0.87696681614875649</v>
      </c>
      <c r="AI303">
        <f>$AH303*tbl_Data_old[[#This Row],[2025 ]]</f>
        <v>4.8001526648507514E-2</v>
      </c>
      <c r="AJ303">
        <f>$AH303*tbl_Data_old[[#This Row],[2026 ]]</f>
        <v>9.6175363425514901E-2</v>
      </c>
      <c r="AK303">
        <f>$AH303*tbl_Data_old[[#This Row],[2027 ]]</f>
        <v>0.14469969568487093</v>
      </c>
      <c r="AL303">
        <f>$AH303*tbl_Data_old[[#This Row],[2028 ]]</f>
        <v>0.19367254673671411</v>
      </c>
      <c r="AM303">
        <f>$AH303*tbl_Data_old[[#This Row],[2029 ]]</f>
        <v>0.24294626179091028</v>
      </c>
      <c r="AN303">
        <f>$AH303*tbl_Data_old[[#This Row],[2030 ]]</f>
        <v>0.29251357086177249</v>
      </c>
      <c r="AO303">
        <f>$AH303*tbl_Data_old[[#This Row],[2031 ]]</f>
        <v>0.34217687825763826</v>
      </c>
      <c r="AP303">
        <f>$AH303*tbl_Data_old[[#This Row],[2032 ]]</f>
        <v>0.3918742358846854</v>
      </c>
      <c r="AQ303">
        <f>$AH303*tbl_Data_old[[#This Row],[2033 ]]</f>
        <v>0.44186023716847445</v>
      </c>
      <c r="AR303">
        <f>$AH303*tbl_Data_old[[#This Row],[2034 ]]</f>
        <v>0.49201164371090467</v>
      </c>
      <c r="AS303">
        <f>SUM(tbl_Data_old[[#This Row],[Adjusted 2025]:[Adjusted 2034]])</f>
        <v>2.6859319601699929</v>
      </c>
      <c r="AT303" s="3">
        <f>AVERAGEIFS('3. Incentive Adjustment'!F:F,'3. Incentive Adjustment'!A:A,tbl_Data_old[[#This Row],[Trimmed Sector]],'3. Incentive Adjustment'!B:B,tbl_Data_old[[#This Row],[Trimmed Measure Name]])</f>
        <v>12077.302499999998</v>
      </c>
      <c r="AU303" s="3">
        <f>IFERROR(VLOOKUP(tbl_Data_old[[#This Row],[All_Meas_Name_Append]],'IRA Tax Credits'!$A$3:$D$46,4,0),0)</f>
        <v>0</v>
      </c>
      <c r="AV303" s="4">
        <f>tbl_Data_old[[#This Row],[Adj. per unit Incentive ($)]]/tbl_Data_old[[#This Row],[kWh Savings]]*tbl_Data_old[[#This Row],[Sum of Annuals]]</f>
        <v>0.29196513001770147</v>
      </c>
      <c r="AW303" s="4">
        <f>IFERROR(VLOOKUP(tbl_Data_old[[#This Row],[All_Programs]],'1. Set Program Names'!$B$2:$D$15,3,0)*tbl_Data_old[[#This Row],[Sum of Annuals]],"")</f>
        <v>9.561835844872392E-2</v>
      </c>
      <c r="AX303" s="4">
        <f>tbl_Data_old[[#This Row],[per unit IRA tax ($)]]/tbl_Data_old[[#This Row],[kWh Savings]]*tbl_Data_old[[#This Row],[Sum of Annuals]]</f>
        <v>0</v>
      </c>
      <c r="AY303" s="4">
        <f>tbl_Data_old[[#This Row],[Avoided Costs ($/unit)]]/tbl_Data_old[[#This Row],[kWh Savings]]*tbl_Data_old[[#This Row],[Sum of Annuals]]</f>
        <v>1.3708741299628029</v>
      </c>
      <c r="AZ303" s="4">
        <f>tbl_Data_old[[#This Row],[Lost Revenue ($/unit)]]/tbl_Data_old[[#This Row],[kWh Savings]]*tbl_Data_old[[#This Row],[Sum of Annuals]]</f>
        <v>2.9172446085632706</v>
      </c>
      <c r="BA303" s="4">
        <f>tbl_Data_old[[#This Row],[Incremental Cost ($/unit)]]/tbl_Data_old[[#This Row],[kWh Savings]]*tbl_Data_old[[#This Row],[Sum of Annuals]]</f>
        <v>0.97321710005900508</v>
      </c>
      <c r="BB303">
        <f>ROUNDUP(tbl_Data_old[[#This Row],[Adjusted 2025]]/$L303,0)</f>
        <v>1</v>
      </c>
      <c r="BC303">
        <f>ROUNDUP(tbl_Data_old[[#This Row],[Adjusted 2026]]/$L303,0)</f>
        <v>1</v>
      </c>
      <c r="BD303">
        <f>ROUNDUP(tbl_Data_old[[#This Row],[Adjusted 2027]]/$L303,0)</f>
        <v>1</v>
      </c>
      <c r="BE303">
        <f>ROUNDUP(tbl_Data_old[[#This Row],[Adjusted 2028]]/$L303,0)</f>
        <v>1</v>
      </c>
      <c r="BF303">
        <f>ROUNDUP(tbl_Data_old[[#This Row],[Adjusted 2029]]/$L303,0)</f>
        <v>1</v>
      </c>
      <c r="BG303">
        <f>ROUNDUP(tbl_Data_old[[#This Row],[Adjusted 2030]]/$L303,0)</f>
        <v>1</v>
      </c>
      <c r="BH303">
        <f>ROUNDUP(tbl_Data_old[[#This Row],[Adjusted 2031]]/$L303,0)</f>
        <v>1</v>
      </c>
      <c r="BI303">
        <f>ROUNDUP(tbl_Data_old[[#This Row],[Adjusted 2032]]/$L303,0)</f>
        <v>1</v>
      </c>
      <c r="BJ303">
        <f>ROUNDUP(tbl_Data_old[[#This Row],[Adjusted 2033]]/$L303,0)</f>
        <v>1</v>
      </c>
      <c r="BK303">
        <f>ROUNDUP(tbl_Data_old[[#This Row],[Adjusted 2034]]/$L303,0)</f>
        <v>1</v>
      </c>
      <c r="BL303" s="3">
        <f t="shared" si="21"/>
        <v>5.9498753676925356E-3</v>
      </c>
      <c r="BM303" s="3">
        <f t="shared" si="21"/>
        <v>1.1921108885026281E-2</v>
      </c>
      <c r="BN303" s="3">
        <f t="shared" si="21"/>
        <v>1.7935786946367639E-2</v>
      </c>
      <c r="BO303" s="3">
        <f t="shared" si="21"/>
        <v>2.4006059716912886E-2</v>
      </c>
      <c r="BP303" s="3">
        <f t="shared" si="21"/>
        <v>3.0113625120455696E-2</v>
      </c>
      <c r="BQ303" s="3">
        <f t="shared" si="21"/>
        <v>3.625758202922405E-2</v>
      </c>
      <c r="BR303" s="3">
        <f t="shared" si="21"/>
        <v>4.2413438102647326E-2</v>
      </c>
      <c r="BS303" s="3">
        <f t="shared" si="21"/>
        <v>4.8573514763329294E-2</v>
      </c>
      <c r="BT303" s="3">
        <f t="shared" si="21"/>
        <v>5.4769369323240696E-2</v>
      </c>
      <c r="BU303" s="3">
        <f t="shared" si="21"/>
        <v>6.0985726161783403E-2</v>
      </c>
      <c r="BV303">
        <f>VLOOKUP($H303,'1. Set Program Names'!$B$2:$D$15,3,0)*V303</f>
        <v>1.9485796663415429E-3</v>
      </c>
      <c r="BW303">
        <f>VLOOKUP($H303,'1. Set Program Names'!$B$2:$D$15,3,0)*W303</f>
        <v>3.9041541104775125E-3</v>
      </c>
      <c r="BX303">
        <f>VLOOKUP($H303,'1. Set Program Names'!$B$2:$D$15,3,0)*X303</f>
        <v>5.8739566097970224E-3</v>
      </c>
      <c r="BY303">
        <f>VLOOKUP($H303,'1. Set Program Names'!$B$2:$D$15,3,0)*Y303</f>
        <v>7.8619663341786064E-3</v>
      </c>
      <c r="BZ303">
        <f>VLOOKUP($H303,'1. Set Program Names'!$B$2:$D$15,3,0)*Z303</f>
        <v>9.8621893675578821E-3</v>
      </c>
      <c r="CA303">
        <f>VLOOKUP($H303,'1. Set Program Names'!$B$2:$D$15,3,0)*AA303</f>
        <v>1.1874330591273564E-2</v>
      </c>
      <c r="CB303">
        <f>VLOOKUP($H303,'1. Set Program Names'!$B$2:$D$15,3,0)*AB303</f>
        <v>1.3890368782381025E-2</v>
      </c>
      <c r="CC303">
        <f>VLOOKUP($H303,'1. Set Program Names'!$B$2:$D$15,3,0)*AC303</f>
        <v>1.5907789212611836E-2</v>
      </c>
      <c r="CD303">
        <f>VLOOKUP($H303,'1. Set Program Names'!$B$2:$D$15,3,0)*AD303</f>
        <v>1.7936926877681121E-2</v>
      </c>
      <c r="CE303">
        <f>VLOOKUP($H303,'1. Set Program Names'!$B$2:$D$15,3,0)*AE303</f>
        <v>1.9972779023438785E-2</v>
      </c>
    </row>
    <row r="304" spans="1:83" x14ac:dyDescent="0.25">
      <c r="A304" s="20" t="s">
        <v>115</v>
      </c>
      <c r="B304" s="20" t="s">
        <v>88</v>
      </c>
      <c r="C304" s="20" t="s">
        <v>122</v>
      </c>
      <c r="D304" s="20" t="s">
        <v>90</v>
      </c>
      <c r="E304" s="20" t="s">
        <v>91</v>
      </c>
      <c r="F304" s="20" t="s">
        <v>90</v>
      </c>
      <c r="G304" s="20" t="s">
        <v>92</v>
      </c>
      <c r="H304" s="20" t="s">
        <v>14</v>
      </c>
      <c r="I304" s="20" t="s">
        <v>167</v>
      </c>
      <c r="J304" s="20" t="s">
        <v>124</v>
      </c>
      <c r="K304" s="20" t="s">
        <v>98</v>
      </c>
      <c r="L304" s="20">
        <v>151.66</v>
      </c>
      <c r="M304" s="20">
        <v>2.2013191527321101E-2</v>
      </c>
      <c r="N304" s="20">
        <v>1.95296013954902E-2</v>
      </c>
      <c r="O304" s="20">
        <v>56.6</v>
      </c>
      <c r="P304" s="20">
        <v>25.402483751835899</v>
      </c>
      <c r="Q304" s="20">
        <v>5.3990497366938701</v>
      </c>
      <c r="R304" s="20">
        <v>70.564478576335205</v>
      </c>
      <c r="S304" s="20">
        <v>171.417444155428</v>
      </c>
      <c r="T304" s="20">
        <v>16</v>
      </c>
      <c r="U304" s="20">
        <v>0.2</v>
      </c>
      <c r="V304" s="20">
        <v>0.14364596109632999</v>
      </c>
      <c r="W304" s="20">
        <v>0.33900949753785597</v>
      </c>
      <c r="X304" s="20">
        <v>0.59139822866917202</v>
      </c>
      <c r="Y304" s="20">
        <v>0.903008364712369</v>
      </c>
      <c r="Z304" s="20">
        <v>1.27087748875894</v>
      </c>
      <c r="AA304" s="20">
        <v>1.6880070727268399</v>
      </c>
      <c r="AB304" s="20">
        <v>2.1445615017056401</v>
      </c>
      <c r="AC304" s="20">
        <v>2.6315244436086802</v>
      </c>
      <c r="AD304" s="20">
        <v>3.1423649066629702</v>
      </c>
      <c r="AE304" s="20">
        <v>3.6710168162849302</v>
      </c>
      <c r="AF304" t="str">
        <f t="shared" si="18"/>
        <v>NonResidential</v>
      </c>
      <c r="AG304" t="str">
        <f>tbl_Data_old[[#This Row],[All_Meas_Name_Append]]</f>
        <v>Refrigerated Display Case LED Lighting</v>
      </c>
      <c r="AH304">
        <f>AVERAGEIFS('3. Incentive Adjustment'!G:G,'3. Incentive Adjustment'!A:A,tbl_Data_old[[#This Row],[Trimmed Sector]],'3. Incentive Adjustment'!B:B,tbl_Data_old[[#This Row],[Trimmed Measure Name]])</f>
        <v>0.72450810749703154</v>
      </c>
      <c r="AI304">
        <f>$AH304*tbl_Data_old[[#This Row],[2025 ]]</f>
        <v>0.10407266342349426</v>
      </c>
      <c r="AJ304">
        <f>$AH304*tbl_Data_old[[#This Row],[2026 ]]</f>
        <v>0.2456151294846716</v>
      </c>
      <c r="AK304">
        <f>$AH304*tbl_Data_old[[#This Row],[2027 ]]</f>
        <v>0.4284728114301985</v>
      </c>
      <c r="AL304">
        <f>$AH304*tbl_Data_old[[#This Row],[2028 ]]</f>
        <v>0.65423688137174774</v>
      </c>
      <c r="AM304">
        <f>$AH304*tbl_Data_old[[#This Row],[2029 ]]</f>
        <v>0.92076104424131966</v>
      </c>
      <c r="AN304">
        <f>$AH304*tbl_Data_old[[#This Row],[2030 ]]</f>
        <v>1.2229748097029269</v>
      </c>
      <c r="AO304">
        <f>$AH304*tbl_Data_old[[#This Row],[2031 ]]</f>
        <v>1.5537521950117452</v>
      </c>
      <c r="AP304">
        <f>$AH304*tbl_Data_old[[#This Row],[2032 ]]</f>
        <v>1.9065607944711038</v>
      </c>
      <c r="AQ304">
        <f>$AH304*tbl_Data_old[[#This Row],[2033 ]]</f>
        <v>2.2766688515914746</v>
      </c>
      <c r="AR304">
        <f>$AH304*tbl_Data_old[[#This Row],[2034 ]]</f>
        <v>2.6596814461563727</v>
      </c>
      <c r="AS304">
        <f>SUM(tbl_Data_old[[#This Row],[Adjusted 2025]:[Adjusted 2034]])</f>
        <v>11.972796626885055</v>
      </c>
      <c r="AT304" s="3">
        <f>AVERAGEIFS('3. Incentive Adjustment'!F:F,'3. Incentive Adjustment'!A:A,tbl_Data_old[[#This Row],[Trimmed Sector]],'3. Incentive Adjustment'!B:B,tbl_Data_old[[#This Row],[Trimmed Measure Name]])</f>
        <v>6.879122352287844</v>
      </c>
      <c r="AU304" s="3">
        <f>IFERROR(VLOOKUP(tbl_Data_old[[#This Row],[All_Meas_Name_Append]],'IRA Tax Credits'!$A$3:$D$46,4,0),0)</f>
        <v>0</v>
      </c>
      <c r="AV304" s="4">
        <f>tbl_Data_old[[#This Row],[Adj. per unit Incentive ($)]]/tbl_Data_old[[#This Row],[kWh Savings]]*tbl_Data_old[[#This Row],[Sum of Annuals]]</f>
        <v>0.54307222006726552</v>
      </c>
      <c r="AW304" s="4">
        <f>IFERROR(VLOOKUP(tbl_Data_old[[#This Row],[All_Programs]],'1. Set Program Names'!$B$2:$D$15,3,0)*tbl_Data_old[[#This Row],[Sum of Annuals]],"")</f>
        <v>0.42622790766103846</v>
      </c>
      <c r="AX304" s="4">
        <f>tbl_Data_old[[#This Row],[per unit IRA tax ($)]]/tbl_Data_old[[#This Row],[kWh Savings]]*tbl_Data_old[[#This Row],[Sum of Annuals]]</f>
        <v>0</v>
      </c>
      <c r="AY304" s="4">
        <f>tbl_Data_old[[#This Row],[Avoided Costs ($/unit)]]/tbl_Data_old[[#This Row],[kWh Savings]]*tbl_Data_old[[#This Row],[Sum of Annuals]]</f>
        <v>5.5707117966283057</v>
      </c>
      <c r="AZ304" s="4">
        <f>tbl_Data_old[[#This Row],[Lost Revenue ($/unit)]]/tbl_Data_old[[#This Row],[kWh Savings]]*tbl_Data_old[[#This Row],[Sum of Annuals]]</f>
        <v>13.532547785661121</v>
      </c>
      <c r="BA304" s="4">
        <f>tbl_Data_old[[#This Row],[Incremental Cost ($/unit)]]/tbl_Data_old[[#This Row],[kWh Savings]]*tbl_Data_old[[#This Row],[Sum of Annuals]]</f>
        <v>4.4682862263068319</v>
      </c>
      <c r="BB304">
        <f>ROUNDUP(tbl_Data_old[[#This Row],[Adjusted 2025]]/$L304,0)</f>
        <v>1</v>
      </c>
      <c r="BC304">
        <f>ROUNDUP(tbl_Data_old[[#This Row],[Adjusted 2026]]/$L304,0)</f>
        <v>1</v>
      </c>
      <c r="BD304">
        <f>ROUNDUP(tbl_Data_old[[#This Row],[Adjusted 2027]]/$L304,0)</f>
        <v>1</v>
      </c>
      <c r="BE304">
        <f>ROUNDUP(tbl_Data_old[[#This Row],[Adjusted 2028]]/$L304,0)</f>
        <v>1</v>
      </c>
      <c r="BF304">
        <f>ROUNDUP(tbl_Data_old[[#This Row],[Adjusted 2029]]/$L304,0)</f>
        <v>1</v>
      </c>
      <c r="BG304">
        <f>ROUNDUP(tbl_Data_old[[#This Row],[Adjusted 2030]]/$L304,0)</f>
        <v>1</v>
      </c>
      <c r="BH304">
        <f>ROUNDUP(tbl_Data_old[[#This Row],[Adjusted 2031]]/$L304,0)</f>
        <v>1</v>
      </c>
      <c r="BI304">
        <f>ROUNDUP(tbl_Data_old[[#This Row],[Adjusted 2032]]/$L304,0)</f>
        <v>1</v>
      </c>
      <c r="BJ304">
        <f>ROUNDUP(tbl_Data_old[[#This Row],[Adjusted 2033]]/$L304,0)</f>
        <v>1</v>
      </c>
      <c r="BK304">
        <f>ROUNDUP(tbl_Data_old[[#This Row],[Adjusted 2034]]/$L304,0)</f>
        <v>1</v>
      </c>
      <c r="BL304" s="3">
        <f t="shared" si="21"/>
        <v>6.5156148080814571E-3</v>
      </c>
      <c r="BM304" s="3">
        <f t="shared" si="21"/>
        <v>1.5377079072600131E-2</v>
      </c>
      <c r="BN304" s="3">
        <f t="shared" si="21"/>
        <v>2.6825140273912296E-2</v>
      </c>
      <c r="BO304" s="3">
        <f t="shared" si="21"/>
        <v>4.0959415969904732E-2</v>
      </c>
      <c r="BP304" s="3">
        <f t="shared" si="21"/>
        <v>5.7645534352769798E-2</v>
      </c>
      <c r="BQ304" s="3">
        <f t="shared" si="21"/>
        <v>7.6566050275716585E-2</v>
      </c>
      <c r="BR304" s="3">
        <f t="shared" si="21"/>
        <v>9.7274831611758233E-2</v>
      </c>
      <c r="BS304" s="3">
        <f t="shared" si="21"/>
        <v>0.11936290795608799</v>
      </c>
      <c r="BT304" s="3">
        <f t="shared" si="21"/>
        <v>0.14253404106864132</v>
      </c>
      <c r="BU304" s="3">
        <f t="shared" si="21"/>
        <v>0.16651308081583951</v>
      </c>
      <c r="BV304">
        <f>VLOOKUP($H304,'1. Set Program Names'!$B$2:$D$15,3,0)*V304</f>
        <v>5.1137523963753085E-3</v>
      </c>
      <c r="BW304">
        <f>VLOOKUP($H304,'1. Set Program Names'!$B$2:$D$15,3,0)*W304</f>
        <v>1.2068634698789956E-2</v>
      </c>
      <c r="BX304">
        <f>VLOOKUP($H304,'1. Set Program Names'!$B$2:$D$15,3,0)*X304</f>
        <v>2.1053596536842401E-2</v>
      </c>
      <c r="BY304">
        <f>VLOOKUP($H304,'1. Set Program Names'!$B$2:$D$15,3,0)*Y304</f>
        <v>3.21468223244935E-2</v>
      </c>
      <c r="BZ304">
        <f>VLOOKUP($H304,'1. Set Program Names'!$B$2:$D$15,3,0)*Z304</f>
        <v>4.5242850923474423E-2</v>
      </c>
      <c r="CA304">
        <f>VLOOKUP($H304,'1. Set Program Names'!$B$2:$D$15,3,0)*AA304</f>
        <v>6.0092536868938728E-2</v>
      </c>
      <c r="CB304">
        <f>VLOOKUP($H304,'1. Set Program Names'!$B$2:$D$15,3,0)*AB304</f>
        <v>7.6345735270392068E-2</v>
      </c>
      <c r="CC304">
        <f>VLOOKUP($H304,'1. Set Program Names'!$B$2:$D$15,3,0)*AC304</f>
        <v>9.3681467455947159E-2</v>
      </c>
      <c r="CD304">
        <f>VLOOKUP($H304,'1. Set Program Names'!$B$2:$D$15,3,0)*AD304</f>
        <v>0.11186723211073973</v>
      </c>
      <c r="CE304">
        <f>VLOOKUP($H304,'1. Set Program Names'!$B$2:$D$15,3,0)*AE304</f>
        <v>0.13068707883002734</v>
      </c>
    </row>
    <row r="305" spans="1:83" x14ac:dyDescent="0.25">
      <c r="A305" s="20" t="s">
        <v>115</v>
      </c>
      <c r="B305" s="20" t="s">
        <v>88</v>
      </c>
      <c r="C305" s="20" t="s">
        <v>122</v>
      </c>
      <c r="D305" s="20" t="s">
        <v>90</v>
      </c>
      <c r="E305" s="20" t="s">
        <v>91</v>
      </c>
      <c r="F305" s="20" t="s">
        <v>90</v>
      </c>
      <c r="G305" s="20" t="s">
        <v>92</v>
      </c>
      <c r="H305" s="20" t="s">
        <v>14</v>
      </c>
      <c r="I305" s="20" t="s">
        <v>155</v>
      </c>
      <c r="J305" s="20" t="s">
        <v>129</v>
      </c>
      <c r="K305" s="20" t="s">
        <v>102</v>
      </c>
      <c r="L305" s="53">
        <v>1193.02</v>
      </c>
      <c r="M305" s="53">
        <v>0.274776433335365</v>
      </c>
      <c r="N305" s="53">
        <v>0.10441874276921487</v>
      </c>
      <c r="O305" s="53">
        <f>8423.99999999998/36663.4359999998*1193.02</f>
        <v>274.11507421181233</v>
      </c>
      <c r="P305" s="53">
        <f>3224.30667036527/36663.4359999998*1193.02</f>
        <v>104.91821726363004</v>
      </c>
      <c r="Q305" s="53">
        <f>1305.20713755829/36663.4359999998*1193.02</f>
        <v>42.471148073786637</v>
      </c>
      <c r="R305" s="53">
        <f>14915.0733686122/36663.4359999998*1193.02</f>
        <v>485.33314854128304</v>
      </c>
      <c r="S305" s="53">
        <f>32320.5298576745/36663.4359999998*1193.02</f>
        <v>1051.702806327346</v>
      </c>
      <c r="T305" s="20">
        <v>11</v>
      </c>
      <c r="U305" s="20">
        <v>0.94999999999999896</v>
      </c>
      <c r="V305" s="20">
        <v>23.665797009840102</v>
      </c>
      <c r="W305" s="20">
        <v>43.402108975548501</v>
      </c>
      <c r="X305" s="20">
        <v>59.739393288578597</v>
      </c>
      <c r="Y305" s="20">
        <v>73.290188810248495</v>
      </c>
      <c r="Z305" s="20">
        <v>84.559903268650999</v>
      </c>
      <c r="AA305" s="20">
        <v>93.956300193282999</v>
      </c>
      <c r="AB305" s="20">
        <v>101.823663492356</v>
      </c>
      <c r="AC305" s="20">
        <v>108.457666981244</v>
      </c>
      <c r="AD305" s="20">
        <v>114.107645857923</v>
      </c>
      <c r="AE305" s="20">
        <v>118.960399852208</v>
      </c>
      <c r="AF305" t="str">
        <f t="shared" si="18"/>
        <v>NonResidential</v>
      </c>
      <c r="AG305" t="str">
        <f>tbl_Data_old[[#This Row],[All_Meas_Name_Append]]</f>
        <v>Smart thermostat</v>
      </c>
      <c r="AH305">
        <f>AVERAGEIFS('3. Incentive Adjustment'!G:G,'3. Incentive Adjustment'!A:A,tbl_Data_old[[#This Row],[Trimmed Sector]],'3. Incentive Adjustment'!B:B,tbl_Data_old[[#This Row],[Trimmed Measure Name]])</f>
        <v>0.87546479230069263</v>
      </c>
      <c r="AI305">
        <f>$AH305*tbl_Data_old[[#This Row],[2025 ]]</f>
        <v>20.718572063850019</v>
      </c>
      <c r="AJ305">
        <f>$AH305*tbl_Data_old[[#This Row],[2026 ]]</f>
        <v>37.997018319690596</v>
      </c>
      <c r="AK305">
        <f>$AH305*tbl_Data_old[[#This Row],[2027 ]]</f>
        <v>52.299735537554852</v>
      </c>
      <c r="AL305">
        <f>$AH305*tbl_Data_old[[#This Row],[2028 ]]</f>
        <v>64.162979924442752</v>
      </c>
      <c r="AM305">
        <f>$AH305*tbl_Data_old[[#This Row],[2029 ]]</f>
        <v>74.029218152056202</v>
      </c>
      <c r="AN305">
        <f>$AH305*tbl_Data_old[[#This Row],[2030 ]]</f>
        <v>82.255432834054034</v>
      </c>
      <c r="AO305">
        <f>$AH305*tbl_Data_old[[#This Row],[2031 ]]</f>
        <v>89.143032410631065</v>
      </c>
      <c r="AP305">
        <f>$AH305*tbl_Data_old[[#This Row],[2032 ]]</f>
        <v>94.950868897152475</v>
      </c>
      <c r="AQ305">
        <f>$AH305*tbl_Data_old[[#This Row],[2033 ]]</f>
        <v>99.897226480927557</v>
      </c>
      <c r="AR305">
        <f>$AH305*tbl_Data_old[[#This Row],[2034 ]]</f>
        <v>104.14564174862062</v>
      </c>
      <c r="AS305">
        <f>SUM(tbl_Data_old[[#This Row],[Adjusted 2025]:[Adjusted 2034]])</f>
        <v>719.59972636898021</v>
      </c>
      <c r="AT305" s="3">
        <f>AVERAGEIFS('3. Incentive Adjustment'!F:F,'3. Incentive Adjustment'!A:A,tbl_Data_old[[#This Row],[Trimmed Sector]],'3. Incentive Adjustment'!B:B,tbl_Data_old[[#This Row],[Trimmed Measure Name]])</f>
        <v>50</v>
      </c>
      <c r="AU305" s="3">
        <f>IFERROR(VLOOKUP(tbl_Data_old[[#This Row],[All_Meas_Name_Append]],'IRA Tax Credits'!$A$3:$D$46,4,0),0)</f>
        <v>0</v>
      </c>
      <c r="AV305" s="4">
        <f>tbl_Data_old[[#This Row],[Adj. per unit Incentive ($)]]/tbl_Data_old[[#This Row],[kWh Savings]]*tbl_Data_old[[#This Row],[Sum of Annuals]]</f>
        <v>30.158745300538978</v>
      </c>
      <c r="AW305" s="4">
        <f>IFERROR(VLOOKUP(tbl_Data_old[[#This Row],[All_Programs]],'1. Set Program Names'!$B$2:$D$15,3,0)*tbl_Data_old[[#This Row],[Sum of Annuals]],"")</f>
        <v>25.617530747576346</v>
      </c>
      <c r="AX305" s="4">
        <f>tbl_Data_old[[#This Row],[per unit IRA tax ($)]]/tbl_Data_old[[#This Row],[kWh Savings]]*tbl_Data_old[[#This Row],[Sum of Annuals]]</f>
        <v>0</v>
      </c>
      <c r="AY305" s="4">
        <f>tbl_Data_old[[#This Row],[Avoided Costs ($/unit)]]/tbl_Data_old[[#This Row],[kWh Savings]]*tbl_Data_old[[#This Row],[Sum of Annuals]]</f>
        <v>292.74077625530413</v>
      </c>
      <c r="AZ305" s="4">
        <f>tbl_Data_old[[#This Row],[Lost Revenue ($/unit)]]/tbl_Data_old[[#This Row],[kWh Savings]]*tbl_Data_old[[#This Row],[Sum of Annuals]]</f>
        <v>634.36074135777005</v>
      </c>
      <c r="BA305" s="4">
        <f>tbl_Data_old[[#This Row],[Incremental Cost ($/unit)]]/tbl_Data_old[[#This Row],[kWh Savings]]*tbl_Data_old[[#This Row],[Sum of Annuals]]</f>
        <v>165.33933412384778</v>
      </c>
      <c r="BB305">
        <f>ROUNDUP(tbl_Data_old[[#This Row],[Adjusted 2025]]/$L305,0)</f>
        <v>1</v>
      </c>
      <c r="BC305">
        <f>ROUNDUP(tbl_Data_old[[#This Row],[Adjusted 2026]]/$L305,0)</f>
        <v>1</v>
      </c>
      <c r="BD305">
        <f>ROUNDUP(tbl_Data_old[[#This Row],[Adjusted 2027]]/$L305,0)</f>
        <v>1</v>
      </c>
      <c r="BE305">
        <f>ROUNDUP(tbl_Data_old[[#This Row],[Adjusted 2028]]/$L305,0)</f>
        <v>1</v>
      </c>
      <c r="BF305">
        <f>ROUNDUP(tbl_Data_old[[#This Row],[Adjusted 2029]]/$L305,0)</f>
        <v>1</v>
      </c>
      <c r="BG305">
        <f>ROUNDUP(tbl_Data_old[[#This Row],[Adjusted 2030]]/$L305,0)</f>
        <v>1</v>
      </c>
      <c r="BH305">
        <f>ROUNDUP(tbl_Data_old[[#This Row],[Adjusted 2031]]/$L305,0)</f>
        <v>1</v>
      </c>
      <c r="BI305">
        <f>ROUNDUP(tbl_Data_old[[#This Row],[Adjusted 2032]]/$L305,0)</f>
        <v>1</v>
      </c>
      <c r="BJ305">
        <f>ROUNDUP(tbl_Data_old[[#This Row],[Adjusted 2033]]/$L305,0)</f>
        <v>1</v>
      </c>
      <c r="BK305">
        <f>ROUNDUP(tbl_Data_old[[#This Row],[Adjusted 2034]]/$L305,0)</f>
        <v>1</v>
      </c>
      <c r="BL305" s="3">
        <f t="shared" si="21"/>
        <v>0.99184410193626682</v>
      </c>
      <c r="BM305" s="3">
        <f t="shared" si="21"/>
        <v>1.8190017340676812</v>
      </c>
      <c r="BN305" s="3">
        <f t="shared" si="21"/>
        <v>2.5037046021264771</v>
      </c>
      <c r="BO305" s="3">
        <f t="shared" si="21"/>
        <v>3.0716244828355137</v>
      </c>
      <c r="BP305" s="3">
        <f t="shared" si="21"/>
        <v>3.5439432393694572</v>
      </c>
      <c r="BQ305" s="3">
        <f t="shared" si="21"/>
        <v>3.9377504230139899</v>
      </c>
      <c r="BR305" s="3">
        <f t="shared" si="21"/>
        <v>4.2674751258300789</v>
      </c>
      <c r="BS305" s="3">
        <f t="shared" si="21"/>
        <v>4.5455091692194598</v>
      </c>
      <c r="BT305" s="3">
        <f t="shared" si="21"/>
        <v>4.7823023024728419</v>
      </c>
      <c r="BU305" s="3">
        <f t="shared" si="21"/>
        <v>4.9856833855345259</v>
      </c>
      <c r="BV305">
        <f>VLOOKUP($H305,'1. Set Program Names'!$B$2:$D$15,3,0)*V305</f>
        <v>0.84249515438894862</v>
      </c>
      <c r="BW305">
        <f>VLOOKUP($H305,'1. Set Program Names'!$B$2:$D$15,3,0)*W305</f>
        <v>1.5451018398812746</v>
      </c>
      <c r="BX305">
        <f>VLOOKUP($H305,'1. Set Program Names'!$B$2:$D$15,3,0)*X305</f>
        <v>2.1267041777987092</v>
      </c>
      <c r="BY305">
        <f>VLOOKUP($H305,'1. Set Program Names'!$B$2:$D$15,3,0)*Y305</f>
        <v>2.6091083647515276</v>
      </c>
      <c r="BZ305">
        <f>VLOOKUP($H305,'1. Set Program Names'!$B$2:$D$15,3,0)*Z305</f>
        <v>3.0103067616871284</v>
      </c>
      <c r="CA305">
        <f>VLOOKUP($H305,'1. Set Program Names'!$B$2:$D$15,3,0)*AA305</f>
        <v>3.3448156258688875</v>
      </c>
      <c r="CB305">
        <f>VLOOKUP($H305,'1. Set Program Names'!$B$2:$D$15,3,0)*AB305</f>
        <v>3.6248913594066376</v>
      </c>
      <c r="CC305">
        <f>VLOOKUP($H305,'1. Set Program Names'!$B$2:$D$15,3,0)*AC305</f>
        <v>3.86105985993352</v>
      </c>
      <c r="CD305">
        <f>VLOOKUP($H305,'1. Set Program Names'!$B$2:$D$15,3,0)*AD305</f>
        <v>4.0621973844387274</v>
      </c>
      <c r="CE305">
        <f>VLOOKUP($H305,'1. Set Program Names'!$B$2:$D$15,3,0)*AE305</f>
        <v>4.2349539463211254</v>
      </c>
    </row>
    <row r="306" spans="1:83" x14ac:dyDescent="0.25">
      <c r="A306" s="20" t="s">
        <v>115</v>
      </c>
      <c r="B306" s="20" t="s">
        <v>88</v>
      </c>
      <c r="C306" s="20" t="s">
        <v>122</v>
      </c>
      <c r="D306" s="20" t="s">
        <v>90</v>
      </c>
      <c r="E306" s="20" t="s">
        <v>91</v>
      </c>
      <c r="F306" s="20" t="s">
        <v>90</v>
      </c>
      <c r="G306" s="20" t="s">
        <v>92</v>
      </c>
      <c r="H306" s="20" t="s">
        <v>14</v>
      </c>
      <c r="I306" s="20" t="s">
        <v>304</v>
      </c>
      <c r="J306" s="20" t="s">
        <v>144</v>
      </c>
      <c r="K306" s="20" t="s">
        <v>98</v>
      </c>
      <c r="L306" s="20">
        <v>71859.953750000001</v>
      </c>
      <c r="M306" s="20">
        <v>2.01028298751406</v>
      </c>
      <c r="N306" s="20">
        <v>2.93501737514182</v>
      </c>
      <c r="O306" s="20">
        <v>21366.564901045898</v>
      </c>
      <c r="P306" s="20">
        <v>219059.38064062799</v>
      </c>
      <c r="Q306" s="20">
        <v>2558.1924328944401</v>
      </c>
      <c r="R306" s="20">
        <v>23924.757333940401</v>
      </c>
      <c r="S306" s="20">
        <v>92224.942677252999</v>
      </c>
      <c r="T306" s="20">
        <v>20</v>
      </c>
      <c r="U306" s="20">
        <v>1</v>
      </c>
      <c r="V306" s="20">
        <v>39.845477930417701</v>
      </c>
      <c r="W306" s="20">
        <v>83.613929597485694</v>
      </c>
      <c r="X306" s="20">
        <v>130.57621615929801</v>
      </c>
      <c r="Y306" s="20">
        <v>180.31025002927001</v>
      </c>
      <c r="Z306" s="20">
        <v>232.41014942344501</v>
      </c>
      <c r="AA306" s="20">
        <v>286.452142404668</v>
      </c>
      <c r="AB306" s="20">
        <v>342.08760859269501</v>
      </c>
      <c r="AC306" s="20">
        <v>399.12409937424701</v>
      </c>
      <c r="AD306" s="20">
        <v>457.415024932667</v>
      </c>
      <c r="AE306" s="20">
        <v>516.78182362284304</v>
      </c>
      <c r="AF306" t="str">
        <f t="shared" si="18"/>
        <v>NonResidential</v>
      </c>
      <c r="AG306" t="str">
        <f>tbl_Data_old[[#This Row],[All_Meas_Name_Append]]</f>
        <v>Solar Thermal Water Heating System Commercial</v>
      </c>
      <c r="AH306">
        <f>AVERAGEIFS('3. Incentive Adjustment'!G:G,'3. Incentive Adjustment'!A:A,tbl_Data_old[[#This Row],[Trimmed Sector]],'3. Incentive Adjustment'!B:B,tbl_Data_old[[#This Row],[Trimmed Measure Name]])</f>
        <v>3.2123848810070607E-4</v>
      </c>
      <c r="AI306">
        <f>$AH306*tbl_Data_old[[#This Row],[2025 ]]</f>
        <v>1.2799901088017433E-2</v>
      </c>
      <c r="AJ306">
        <f>$AH306*tbl_Data_old[[#This Row],[2026 ]]</f>
        <v>2.6860012328055183E-2</v>
      </c>
      <c r="AK306">
        <f>$AH306*tbl_Data_old[[#This Row],[2027 ]]</f>
        <v>4.1946106260923877E-2</v>
      </c>
      <c r="AL306">
        <f>$AH306*tbl_Data_old[[#This Row],[2028 ]]</f>
        <v>5.7922592108462991E-2</v>
      </c>
      <c r="AM306">
        <f>$AH306*tbl_Data_old[[#This Row],[2029 ]]</f>
        <v>7.4659085020046659E-2</v>
      </c>
      <c r="AN306">
        <f>$AH306*tbl_Data_old[[#This Row],[2030 ]]</f>
        <v>9.2019453139283697E-2</v>
      </c>
      <c r="AO306">
        <f>$AH306*tbl_Data_old[[#This Row],[2031 ]]</f>
        <v>0.10989170618230346</v>
      </c>
      <c r="AP306">
        <f>$AH306*tbl_Data_old[[#This Row],[2032 ]]</f>
        <v>0.12821402224753908</v>
      </c>
      <c r="AQ306">
        <f>$AH306*tbl_Data_old[[#This Row],[2033 ]]</f>
        <v>0.14693931104391672</v>
      </c>
      <c r="AR306">
        <f>$AH306*tbl_Data_old[[#This Row],[2034 ]]</f>
        <v>0.16601021169852784</v>
      </c>
      <c r="AS306">
        <f>SUM(tbl_Data_old[[#This Row],[Adjusted 2025]:[Adjusted 2034]])</f>
        <v>0.85726240111707686</v>
      </c>
      <c r="AT306" s="3">
        <f>AVERAGEIFS('3. Incentive Adjustment'!F:F,'3. Incentive Adjustment'!A:A,tbl_Data_old[[#This Row],[Trimmed Sector]],'3. Incentive Adjustment'!B:B,tbl_Data_old[[#This Row],[Trimmed Measure Name]])</f>
        <v>0</v>
      </c>
      <c r="AU306" s="3">
        <f>IFERROR(VLOOKUP(tbl_Data_old[[#This Row],[All_Meas_Name_Append]],'IRA Tax Credits'!$A$3:$D$46,4,0),0)</f>
        <v>0</v>
      </c>
      <c r="AV306" s="4">
        <f>tbl_Data_old[[#This Row],[Adj. per unit Incentive ($)]]/tbl_Data_old[[#This Row],[kWh Savings]]*tbl_Data_old[[#This Row],[Sum of Annuals]]</f>
        <v>0</v>
      </c>
      <c r="AW306" s="4">
        <f>IFERROR(VLOOKUP(tbl_Data_old[[#This Row],[All_Programs]],'1. Set Program Names'!$B$2:$D$15,3,0)*tbl_Data_old[[#This Row],[Sum of Annuals]],"")</f>
        <v>3.0518279975133289E-2</v>
      </c>
      <c r="AX306" s="4">
        <f>tbl_Data_old[[#This Row],[per unit IRA tax ($)]]/tbl_Data_old[[#This Row],[kWh Savings]]*tbl_Data_old[[#This Row],[Sum of Annuals]]</f>
        <v>0</v>
      </c>
      <c r="AY306" s="4">
        <f>tbl_Data_old[[#This Row],[Avoided Costs ($/unit)]]/tbl_Data_old[[#This Row],[kWh Savings]]*tbl_Data_old[[#This Row],[Sum of Annuals]]</f>
        <v>0.28541341662409769</v>
      </c>
      <c r="AZ306" s="4">
        <f>tbl_Data_old[[#This Row],[Lost Revenue ($/unit)]]/tbl_Data_old[[#This Row],[kWh Savings]]*tbl_Data_old[[#This Row],[Sum of Annuals]]</f>
        <v>1.1002091105908438</v>
      </c>
      <c r="BA306" s="4">
        <f>tbl_Data_old[[#This Row],[Incremental Cost ($/unit)]]/tbl_Data_old[[#This Row],[kWh Savings]]*tbl_Data_old[[#This Row],[Sum of Annuals]]</f>
        <v>0.25489513664896374</v>
      </c>
      <c r="BB306">
        <f>ROUNDUP(tbl_Data_old[[#This Row],[Adjusted 2025]]/$L306,0)</f>
        <v>1</v>
      </c>
      <c r="BC306">
        <f>ROUNDUP(tbl_Data_old[[#This Row],[Adjusted 2026]]/$L306,0)</f>
        <v>1</v>
      </c>
      <c r="BD306">
        <f>ROUNDUP(tbl_Data_old[[#This Row],[Adjusted 2027]]/$L306,0)</f>
        <v>1</v>
      </c>
      <c r="BE306">
        <f>ROUNDUP(tbl_Data_old[[#This Row],[Adjusted 2028]]/$L306,0)</f>
        <v>1</v>
      </c>
      <c r="BF306">
        <f>ROUNDUP(tbl_Data_old[[#This Row],[Adjusted 2029]]/$L306,0)</f>
        <v>1</v>
      </c>
      <c r="BG306">
        <f>ROUNDUP(tbl_Data_old[[#This Row],[Adjusted 2030]]/$L306,0)</f>
        <v>1</v>
      </c>
      <c r="BH306">
        <f>ROUNDUP(tbl_Data_old[[#This Row],[Adjusted 2031]]/$L306,0)</f>
        <v>1</v>
      </c>
      <c r="BI306">
        <f>ROUNDUP(tbl_Data_old[[#This Row],[Adjusted 2032]]/$L306,0)</f>
        <v>1</v>
      </c>
      <c r="BJ306">
        <f>ROUNDUP(tbl_Data_old[[#This Row],[Adjusted 2033]]/$L306,0)</f>
        <v>1</v>
      </c>
      <c r="BK306">
        <f>ROUNDUP(tbl_Data_old[[#This Row],[Adjusted 2034]]/$L306,0)</f>
        <v>1</v>
      </c>
      <c r="BL306" s="3">
        <f t="shared" si="21"/>
        <v>0</v>
      </c>
      <c r="BM306" s="3">
        <f t="shared" si="21"/>
        <v>0</v>
      </c>
      <c r="BN306" s="3">
        <f t="shared" si="21"/>
        <v>0</v>
      </c>
      <c r="BO306" s="3">
        <f t="shared" si="21"/>
        <v>0</v>
      </c>
      <c r="BP306" s="3">
        <f t="shared" si="21"/>
        <v>0</v>
      </c>
      <c r="BQ306" s="3">
        <f t="shared" si="21"/>
        <v>0</v>
      </c>
      <c r="BR306" s="3">
        <f t="shared" si="21"/>
        <v>0</v>
      </c>
      <c r="BS306" s="3">
        <f t="shared" si="21"/>
        <v>0</v>
      </c>
      <c r="BT306" s="3">
        <f t="shared" si="21"/>
        <v>0</v>
      </c>
      <c r="BU306" s="3">
        <f t="shared" si="21"/>
        <v>0</v>
      </c>
      <c r="BV306">
        <f>VLOOKUP($H306,'1. Set Program Names'!$B$2:$D$15,3,0)*V306</f>
        <v>1.4184868596113898</v>
      </c>
      <c r="BW306">
        <f>VLOOKUP($H306,'1. Set Program Names'!$B$2:$D$15,3,0)*W306</f>
        <v>2.9766303875593136</v>
      </c>
      <c r="BX306">
        <f>VLOOKUP($H306,'1. Set Program Names'!$B$2:$D$15,3,0)*X306</f>
        <v>4.6484734634929499</v>
      </c>
      <c r="BY306">
        <f>VLOOKUP($H306,'1. Set Program Names'!$B$2:$D$15,3,0)*Y306</f>
        <v>6.418989898086096</v>
      </c>
      <c r="BZ306">
        <f>VLOOKUP($H306,'1. Set Program Names'!$B$2:$D$15,3,0)*Z306</f>
        <v>8.2737304236425917</v>
      </c>
      <c r="CA306">
        <f>VLOOKUP($H306,'1. Set Program Names'!$B$2:$D$15,3,0)*AA306</f>
        <v>10.197608888469734</v>
      </c>
      <c r="CB306">
        <f>VLOOKUP($H306,'1. Set Program Names'!$B$2:$D$15,3,0)*AB306</f>
        <v>12.178214513376158</v>
      </c>
      <c r="CC306">
        <f>VLOOKUP($H306,'1. Set Program Names'!$B$2:$D$15,3,0)*AC306</f>
        <v>14.20869618643485</v>
      </c>
      <c r="CD306">
        <f>VLOOKUP($H306,'1. Set Program Names'!$B$2:$D$15,3,0)*AD306</f>
        <v>16.283835354889483</v>
      </c>
      <c r="CE306">
        <f>VLOOKUP($H306,'1. Set Program Names'!$B$2:$D$15,3,0)*AE306</f>
        <v>18.397275278643626</v>
      </c>
    </row>
    <row r="307" spans="1:83" x14ac:dyDescent="0.25">
      <c r="A307" s="20" t="s">
        <v>115</v>
      </c>
      <c r="B307" s="20" t="s">
        <v>88</v>
      </c>
      <c r="C307" s="20" t="s">
        <v>122</v>
      </c>
      <c r="D307" s="20" t="s">
        <v>90</v>
      </c>
      <c r="E307" s="20" t="s">
        <v>91</v>
      </c>
      <c r="F307" s="20" t="s">
        <v>90</v>
      </c>
      <c r="G307" s="20" t="s">
        <v>92</v>
      </c>
      <c r="H307" s="20" t="s">
        <v>14</v>
      </c>
      <c r="I307" s="20" t="s">
        <v>305</v>
      </c>
      <c r="J307" s="20" t="s">
        <v>129</v>
      </c>
      <c r="K307" s="20" t="s">
        <v>306</v>
      </c>
      <c r="L307" s="20">
        <v>1181.58666666666</v>
      </c>
      <c r="M307" s="20">
        <v>0.32580149205424902</v>
      </c>
      <c r="N307" s="20">
        <v>0</v>
      </c>
      <c r="O307" s="20">
        <v>442.61899981344197</v>
      </c>
      <c r="P307" s="20">
        <v>13015.025349926</v>
      </c>
      <c r="Q307" s="20">
        <v>42.064124894815102</v>
      </c>
      <c r="R307" s="20">
        <v>484.68312470825703</v>
      </c>
      <c r="S307" s="20">
        <v>971.92143438909795</v>
      </c>
      <c r="T307" s="20">
        <v>10</v>
      </c>
      <c r="U307" s="20">
        <v>0.94999999999999896</v>
      </c>
      <c r="V307" s="20">
        <v>1.6435648158984699</v>
      </c>
      <c r="W307" s="20">
        <v>3.0236204450481798</v>
      </c>
      <c r="X307" s="20">
        <v>4.1772579475822802</v>
      </c>
      <c r="Y307" s="20">
        <v>5.1459297874675496</v>
      </c>
      <c r="Z307" s="20">
        <v>5.96308969867545</v>
      </c>
      <c r="AA307" s="20">
        <v>6.6561705884006104</v>
      </c>
      <c r="AB307" s="20">
        <v>7.2476808716259997</v>
      </c>
      <c r="AC307" s="20">
        <v>7.7571305778960298</v>
      </c>
      <c r="AD307" s="20">
        <v>8.2018213531032291</v>
      </c>
      <c r="AE307" s="20">
        <v>8.5938834695509208</v>
      </c>
      <c r="AF307" t="str">
        <f t="shared" si="18"/>
        <v>NonResidential</v>
      </c>
      <c r="AG307" t="str">
        <f>tbl_Data_old[[#This Row],[All_Meas_Name_Append]]</f>
        <v>Window shade film</v>
      </c>
      <c r="AH307">
        <f>AVERAGEIFS('3. Incentive Adjustment'!G:G,'3. Incentive Adjustment'!A:A,tbl_Data_old[[#This Row],[Trimmed Sector]],'3. Incentive Adjustment'!B:B,tbl_Data_old[[#This Row],[Trimmed Measure Name]])</f>
        <v>3.2127764592544555E-13</v>
      </c>
      <c r="AI307">
        <f>$AH307*tbl_Data_old[[#This Row],[2025 ]]</f>
        <v>5.280406349777487E-13</v>
      </c>
      <c r="AJ307">
        <f>$AH307*tbl_Data_old[[#This Row],[2026 ]]</f>
        <v>9.7142165875712715E-13</v>
      </c>
      <c r="AK307">
        <f>$AH307*tbl_Data_old[[#This Row],[2027 ]]</f>
        <v>1.3420595998225932E-12</v>
      </c>
      <c r="AL307">
        <f>$AH307*tbl_Data_old[[#This Row],[2028 ]]</f>
        <v>1.6532722082152028E-12</v>
      </c>
      <c r="AM307">
        <f>$AH307*tbl_Data_old[[#This Row],[2029 ]]</f>
        <v>1.9158074208327229E-12</v>
      </c>
      <c r="AN307">
        <f>$AH307*tbl_Data_old[[#This Row],[2030 ]]</f>
        <v>2.138478817519536E-12</v>
      </c>
      <c r="AO307">
        <f>$AH307*tbl_Data_old[[#This Row],[2031 ]]</f>
        <v>2.3285178488548826E-12</v>
      </c>
      <c r="AP307">
        <f>$AH307*tbl_Data_old[[#This Row],[2032 ]]</f>
        <v>2.4921926512027275E-12</v>
      </c>
      <c r="AQ307">
        <f>$AH307*tbl_Data_old[[#This Row],[2033 ]]</f>
        <v>2.6350618566260581E-12</v>
      </c>
      <c r="AR307">
        <f>$AH307*tbl_Data_old[[#This Row],[2034 ]]</f>
        <v>2.7610226504549205E-12</v>
      </c>
      <c r="AS307">
        <f>SUM(tbl_Data_old[[#This Row],[Adjusted 2025]:[Adjusted 2034]])</f>
        <v>1.8765875347263517E-11</v>
      </c>
      <c r="AT307" s="3">
        <f>AVERAGEIFS('3. Incentive Adjustment'!F:F,'3. Incentive Adjustment'!A:A,tbl_Data_old[[#This Row],[Trimmed Sector]],'3. Incentive Adjustment'!B:B,tbl_Data_old[[#This Row],[Trimmed Measure Name]])</f>
        <v>132.78569994403261</v>
      </c>
      <c r="AU307" s="3">
        <f>IFERROR(VLOOKUP(tbl_Data_old[[#This Row],[All_Meas_Name_Append]],'IRA Tax Credits'!$A$3:$D$46,4,0),0)</f>
        <v>0</v>
      </c>
      <c r="AV307" s="4">
        <f>tbl_Data_old[[#This Row],[Adj. per unit Incentive ($)]]/tbl_Data_old[[#This Row],[kWh Savings]]*tbl_Data_old[[#This Row],[Sum of Annuals]]</f>
        <v>2.1088930362412686E-12</v>
      </c>
      <c r="AW307" s="4">
        <f>IFERROR(VLOOKUP(tbl_Data_old[[#This Row],[All_Programs]],'1. Set Program Names'!$B$2:$D$15,3,0)*tbl_Data_old[[#This Row],[Sum of Annuals]],"")</f>
        <v>6.6805943790368732E-13</v>
      </c>
      <c r="AX307" s="4">
        <f>tbl_Data_old[[#This Row],[per unit IRA tax ($)]]/tbl_Data_old[[#This Row],[kWh Savings]]*tbl_Data_old[[#This Row],[Sum of Annuals]]</f>
        <v>0</v>
      </c>
      <c r="AY307" s="4">
        <f>tbl_Data_old[[#This Row],[Avoided Costs ($/unit)]]/tbl_Data_old[[#This Row],[kWh Savings]]*tbl_Data_old[[#This Row],[Sum of Annuals]]</f>
        <v>7.6977028920412497E-12</v>
      </c>
      <c r="AZ307" s="4">
        <f>tbl_Data_old[[#This Row],[Lost Revenue ($/unit)]]/tbl_Data_old[[#This Row],[kWh Savings]]*tbl_Data_old[[#This Row],[Sum of Annuals]]</f>
        <v>1.5435987049966266E-11</v>
      </c>
      <c r="BA307" s="4">
        <f>tbl_Data_old[[#This Row],[Incremental Cost ($/unit)]]/tbl_Data_old[[#This Row],[kWh Savings]]*tbl_Data_old[[#This Row],[Sum of Annuals]]</f>
        <v>7.0296434541375605E-12</v>
      </c>
      <c r="BB307">
        <f>ROUNDUP(tbl_Data_old[[#This Row],[Adjusted 2025]]/$L307,0)</f>
        <v>1</v>
      </c>
      <c r="BC307">
        <f>ROUNDUP(tbl_Data_old[[#This Row],[Adjusted 2026]]/$L307,0)</f>
        <v>1</v>
      </c>
      <c r="BD307">
        <f>ROUNDUP(tbl_Data_old[[#This Row],[Adjusted 2027]]/$L307,0)</f>
        <v>1</v>
      </c>
      <c r="BE307">
        <f>ROUNDUP(tbl_Data_old[[#This Row],[Adjusted 2028]]/$L307,0)</f>
        <v>1</v>
      </c>
      <c r="BF307">
        <f>ROUNDUP(tbl_Data_old[[#This Row],[Adjusted 2029]]/$L307,0)</f>
        <v>1</v>
      </c>
      <c r="BG307">
        <f>ROUNDUP(tbl_Data_old[[#This Row],[Adjusted 2030]]/$L307,0)</f>
        <v>1</v>
      </c>
      <c r="BH307">
        <f>ROUNDUP(tbl_Data_old[[#This Row],[Adjusted 2031]]/$L307,0)</f>
        <v>1</v>
      </c>
      <c r="BI307">
        <f>ROUNDUP(tbl_Data_old[[#This Row],[Adjusted 2032]]/$L307,0)</f>
        <v>1</v>
      </c>
      <c r="BJ307">
        <f>ROUNDUP(tbl_Data_old[[#This Row],[Adjusted 2033]]/$L307,0)</f>
        <v>1</v>
      </c>
      <c r="BK307">
        <f>ROUNDUP(tbl_Data_old[[#This Row],[Adjusted 2034]]/$L307,0)</f>
        <v>1</v>
      </c>
      <c r="BL307" s="3">
        <f t="shared" si="21"/>
        <v>0.18470240959822215</v>
      </c>
      <c r="BM307" s="3">
        <f t="shared" si="21"/>
        <v>0.33979188195602428</v>
      </c>
      <c r="BN307" s="3">
        <f t="shared" si="21"/>
        <v>0.46943667871716788</v>
      </c>
      <c r="BO307" s="3">
        <f t="shared" si="21"/>
        <v>0.5782951923614541</v>
      </c>
      <c r="BP307" s="3">
        <f t="shared" si="21"/>
        <v>0.67012692492665904</v>
      </c>
      <c r="BQ307" s="3">
        <f t="shared" si="21"/>
        <v>0.74801476308212411</v>
      </c>
      <c r="BR307" s="3">
        <f t="shared" si="21"/>
        <v>0.8144881832703823</v>
      </c>
      <c r="BS307" s="3">
        <f t="shared" si="21"/>
        <v>0.87173970594047689</v>
      </c>
      <c r="BT307" s="3">
        <f t="shared" si="21"/>
        <v>0.92171367527369785</v>
      </c>
      <c r="BU307" s="3">
        <f t="shared" si="21"/>
        <v>0.96577328090627601</v>
      </c>
      <c r="BV307">
        <f>VLOOKUP($H307,'1. Set Program Names'!$B$2:$D$15,3,0)*V307</f>
        <v>5.8510406082790151E-2</v>
      </c>
      <c r="BW307">
        <f>VLOOKUP($H307,'1. Set Program Names'!$B$2:$D$15,3,0)*W307</f>
        <v>0.10763996549979954</v>
      </c>
      <c r="BX307">
        <f>VLOOKUP($H307,'1. Set Program Names'!$B$2:$D$15,3,0)*X307</f>
        <v>0.14870910867728152</v>
      </c>
      <c r="BY307">
        <f>VLOOKUP($H307,'1. Set Program Names'!$B$2:$D$15,3,0)*Y307</f>
        <v>0.18319353068753694</v>
      </c>
      <c r="BZ307">
        <f>VLOOKUP($H307,'1. Set Program Names'!$B$2:$D$15,3,0)*Z307</f>
        <v>0.21228417425501556</v>
      </c>
      <c r="CA307">
        <f>VLOOKUP($H307,'1. Set Program Names'!$B$2:$D$15,3,0)*AA307</f>
        <v>0.23695764250754217</v>
      </c>
      <c r="CB307">
        <f>VLOOKUP($H307,'1. Set Program Names'!$B$2:$D$15,3,0)*AB307</f>
        <v>0.25801522815240407</v>
      </c>
      <c r="CC307">
        <f>VLOOKUP($H307,'1. Set Program Names'!$B$2:$D$15,3,0)*AC307</f>
        <v>0.27615148228992209</v>
      </c>
      <c r="CD307">
        <f>VLOOKUP($H307,'1. Set Program Names'!$B$2:$D$15,3,0)*AD307</f>
        <v>0.29198233823606889</v>
      </c>
      <c r="CE307">
        <f>VLOOKUP($H307,'1. Set Program Names'!$B$2:$D$15,3,0)*AE307</f>
        <v>0.30593962998454938</v>
      </c>
    </row>
    <row r="308" spans="1:83" x14ac:dyDescent="0.25">
      <c r="A308" s="20" t="s">
        <v>116</v>
      </c>
      <c r="B308" s="20" t="s">
        <v>88</v>
      </c>
      <c r="C308" s="20" t="s">
        <v>122</v>
      </c>
      <c r="D308" s="20" t="s">
        <v>90</v>
      </c>
      <c r="E308" s="20" t="s">
        <v>91</v>
      </c>
      <c r="F308" s="20" t="s">
        <v>90</v>
      </c>
      <c r="G308" s="20" t="s">
        <v>92</v>
      </c>
      <c r="H308" s="20" t="s">
        <v>14</v>
      </c>
      <c r="I308" s="20" t="s">
        <v>237</v>
      </c>
      <c r="J308" s="20" t="s">
        <v>129</v>
      </c>
      <c r="K308" s="20" t="s">
        <v>102</v>
      </c>
      <c r="L308" s="20">
        <v>2568.1199999999699</v>
      </c>
      <c r="M308" s="20">
        <v>0.53641456399840104</v>
      </c>
      <c r="N308" s="20">
        <v>2.1892485513222901E-2</v>
      </c>
      <c r="O308" s="53">
        <f>9025.1/929.29*tbl_Data_old[[#This Row],[kWh Savings]]</f>
        <v>24941.126894725789</v>
      </c>
      <c r="P308" s="20">
        <v>35498.089296558101</v>
      </c>
      <c r="Q308" s="20">
        <v>91.4242886047615</v>
      </c>
      <c r="R308" s="20">
        <v>1534.4473108970501</v>
      </c>
      <c r="S308" s="20">
        <v>3958.9826982459099</v>
      </c>
      <c r="T308" s="20">
        <v>30</v>
      </c>
      <c r="U308" s="20">
        <v>0.94999999999999896</v>
      </c>
      <c r="V308" s="20">
        <v>4.8777137609607703E-2</v>
      </c>
      <c r="W308" s="20">
        <v>5.4244533437983501E-2</v>
      </c>
      <c r="X308" s="20">
        <v>6.0052582524487703E-2</v>
      </c>
      <c r="Y308" s="20">
        <v>6.6293368755847501E-2</v>
      </c>
      <c r="Z308" s="20">
        <v>7.2732390748644599E-2</v>
      </c>
      <c r="AA308" s="20">
        <v>7.9333780530112502E-2</v>
      </c>
      <c r="AB308" s="20">
        <v>8.58854341133541E-2</v>
      </c>
      <c r="AC308" s="20">
        <v>9.2491926593195106E-2</v>
      </c>
      <c r="AD308" s="20">
        <v>9.9348199169642201E-2</v>
      </c>
      <c r="AE308" s="20">
        <v>0.106015994040864</v>
      </c>
      <c r="AF308" t="str">
        <f t="shared" si="18"/>
        <v>NonResidential</v>
      </c>
      <c r="AG308" t="str">
        <f>tbl_Data_old[[#This Row],[All_Meas_Name_Append]]</f>
        <v>Ceiling Insulation(R19 to R38)</v>
      </c>
      <c r="AH308">
        <f>AVERAGEIFS('3. Incentive Adjustment'!G:G,'3. Incentive Adjustment'!A:A,tbl_Data_old[[#This Row],[Trimmed Sector]],'3. Incentive Adjustment'!B:B,tbl_Data_old[[#This Row],[Trimmed Measure Name]])</f>
        <v>3.9688771318830651E-15</v>
      </c>
      <c r="AI308">
        <f>$AH308*tbl_Data_old[[#This Row],[2025 ]]</f>
        <v>1.9359046601748541E-16</v>
      </c>
      <c r="AJ308">
        <f>$AH308*tbl_Data_old[[#This Row],[2026 ]]</f>
        <v>2.1528988829167898E-16</v>
      </c>
      <c r="AK308">
        <f>$AH308*tbl_Data_old[[#This Row],[2027 ]]</f>
        <v>2.3834132149195981E-16</v>
      </c>
      <c r="AL308">
        <f>$AH308*tbl_Data_old[[#This Row],[2028 ]]</f>
        <v>2.6311023525057443E-16</v>
      </c>
      <c r="AM308">
        <f>$AH308*tbl_Data_old[[#This Row],[2029 ]]</f>
        <v>2.8866592238947897E-16</v>
      </c>
      <c r="AN308">
        <f>$AH308*tbl_Data_old[[#This Row],[2030 ]]</f>
        <v>3.1486602733179346E-16</v>
      </c>
      <c r="AO308">
        <f>$AH308*tbl_Data_old[[#This Row],[2031 ]]</f>
        <v>3.408687354143408E-16</v>
      </c>
      <c r="AP308">
        <f>$AH308*tbl_Data_old[[#This Row],[2032 ]]</f>
        <v>3.6708909233953916E-16</v>
      </c>
      <c r="AQ308">
        <f>$AH308*tbl_Data_old[[#This Row],[2033 ]]</f>
        <v>3.9430079577815702E-16</v>
      </c>
      <c r="AR308">
        <f>$AH308*tbl_Data_old[[#This Row],[2034 ]]</f>
        <v>4.2076445436263642E-16</v>
      </c>
      <c r="AS308">
        <f>SUM(tbl_Data_old[[#This Row],[Adjusted 2025]:[Adjusted 2034]])</f>
        <v>3.0368869386676444E-15</v>
      </c>
      <c r="AT308" s="3">
        <f>AVERAGEIFS('3. Incentive Adjustment'!F:F,'3. Incentive Adjustment'!A:A,tbl_Data_old[[#This Row],[Trimmed Sector]],'3. Incentive Adjustment'!B:B,tbl_Data_old[[#This Row],[Trimmed Measure Name]])</f>
        <v>3222.5963039661074</v>
      </c>
      <c r="AU308" s="3">
        <f>IFERROR(VLOOKUP(tbl_Data_old[[#This Row],[All_Meas_Name_Append]],'IRA Tax Credits'!$A$3:$D$46,4,0),0)</f>
        <v>0</v>
      </c>
      <c r="AV308" s="4">
        <f>tbl_Data_old[[#This Row],[Adj. per unit Incentive ($)]]/tbl_Data_old[[#This Row],[kWh Savings]]*tbl_Data_old[[#This Row],[Sum of Annuals]]</f>
        <v>3.8108268399114577E-15</v>
      </c>
      <c r="AW308" s="4">
        <f>IFERROR(VLOOKUP(tbl_Data_old[[#This Row],[All_Programs]],'1. Set Program Names'!$B$2:$D$15,3,0)*tbl_Data_old[[#This Row],[Sum of Annuals]],"")</f>
        <v>1.0811224862575906E-16</v>
      </c>
      <c r="AX308" s="4">
        <f>tbl_Data_old[[#This Row],[per unit IRA tax ($)]]/tbl_Data_old[[#This Row],[kWh Savings]]*tbl_Data_old[[#This Row],[Sum of Annuals]]</f>
        <v>0</v>
      </c>
      <c r="AY308" s="4">
        <f>tbl_Data_old[[#This Row],[Avoided Costs ($/unit)]]/tbl_Data_old[[#This Row],[kWh Savings]]*tbl_Data_old[[#This Row],[Sum of Annuals]]</f>
        <v>1.8145347555943636E-15</v>
      </c>
      <c r="AZ308" s="4">
        <f>tbl_Data_old[[#This Row],[Lost Revenue ($/unit)]]/tbl_Data_old[[#This Row],[kWh Savings]]*tbl_Data_old[[#This Row],[Sum of Annuals]]</f>
        <v>4.68162813525627E-15</v>
      </c>
      <c r="BA308" s="4">
        <f>tbl_Data_old[[#This Row],[Incremental Cost ($/unit)]]/tbl_Data_old[[#This Row],[kWh Savings]]*tbl_Data_old[[#This Row],[Sum of Annuals]]</f>
        <v>2.9493708433502308E-14</v>
      </c>
      <c r="BB308">
        <f>ROUNDUP(tbl_Data_old[[#This Row],[Adjusted 2025]]/$L308,0)</f>
        <v>1</v>
      </c>
      <c r="BC308">
        <f>ROUNDUP(tbl_Data_old[[#This Row],[Adjusted 2026]]/$L308,0)</f>
        <v>1</v>
      </c>
      <c r="BD308">
        <f>ROUNDUP(tbl_Data_old[[#This Row],[Adjusted 2027]]/$L308,0)</f>
        <v>1</v>
      </c>
      <c r="BE308">
        <f>ROUNDUP(tbl_Data_old[[#This Row],[Adjusted 2028]]/$L308,0)</f>
        <v>1</v>
      </c>
      <c r="BF308">
        <f>ROUNDUP(tbl_Data_old[[#This Row],[Adjusted 2029]]/$L308,0)</f>
        <v>1</v>
      </c>
      <c r="BG308">
        <f>ROUNDUP(tbl_Data_old[[#This Row],[Adjusted 2030]]/$L308,0)</f>
        <v>1</v>
      </c>
      <c r="BH308">
        <f>ROUNDUP(tbl_Data_old[[#This Row],[Adjusted 2031]]/$L308,0)</f>
        <v>1</v>
      </c>
      <c r="BI308">
        <f>ROUNDUP(tbl_Data_old[[#This Row],[Adjusted 2032]]/$L308,0)</f>
        <v>1</v>
      </c>
      <c r="BJ308">
        <f>ROUNDUP(tbl_Data_old[[#This Row],[Adjusted 2033]]/$L308,0)</f>
        <v>1</v>
      </c>
      <c r="BK308">
        <f>ROUNDUP(tbl_Data_old[[#This Row],[Adjusted 2034]]/$L308,0)</f>
        <v>1</v>
      </c>
      <c r="BL308" s="3">
        <f t="shared" si="21"/>
        <v>6.1207818707369535E-2</v>
      </c>
      <c r="BM308" s="3">
        <f t="shared" si="21"/>
        <v>6.8068561035938197E-2</v>
      </c>
      <c r="BN308" s="3">
        <f t="shared" si="21"/>
        <v>7.5356770901295889E-2</v>
      </c>
      <c r="BO308" s="3">
        <f t="shared" si="21"/>
        <v>8.3187999443195368E-2</v>
      </c>
      <c r="BP308" s="3">
        <f t="shared" si="21"/>
        <v>9.1267983429591901E-2</v>
      </c>
      <c r="BQ308" s="3">
        <f t="shared" si="21"/>
        <v>9.9551714061648949E-2</v>
      </c>
      <c r="BR308" s="3">
        <f t="shared" si="21"/>
        <v>0.10777303340117395</v>
      </c>
      <c r="BS308" s="3">
        <f t="shared" si="21"/>
        <v>0.11606316713624698</v>
      </c>
      <c r="BT308" s="3">
        <f t="shared" si="21"/>
        <v>0.12466673654259981</v>
      </c>
      <c r="BU308" s="3">
        <f t="shared" si="21"/>
        <v>0.13303379536679952</v>
      </c>
      <c r="BV308">
        <f>VLOOKUP($H308,'1. Set Program Names'!$B$2:$D$15,3,0)*V308</f>
        <v>1.7364512196217426E-3</v>
      </c>
      <c r="BW308">
        <f>VLOOKUP($H308,'1. Set Program Names'!$B$2:$D$15,3,0)*W308</f>
        <v>1.9310888433036202E-3</v>
      </c>
      <c r="BX308">
        <f>VLOOKUP($H308,'1. Set Program Names'!$B$2:$D$15,3,0)*X308</f>
        <v>2.1378536190598883E-3</v>
      </c>
      <c r="BY308">
        <f>VLOOKUP($H308,'1. Set Program Names'!$B$2:$D$15,3,0)*Y308</f>
        <v>2.3600237051681957E-3</v>
      </c>
      <c r="BZ308">
        <f>VLOOKUP($H308,'1. Set Program Names'!$B$2:$D$15,3,0)*Z308</f>
        <v>2.5892509239126057E-3</v>
      </c>
      <c r="CA308">
        <f>VLOOKUP($H308,'1. Set Program Names'!$B$2:$D$15,3,0)*AA308</f>
        <v>2.8242583864040204E-3</v>
      </c>
      <c r="CB308">
        <f>VLOOKUP($H308,'1. Set Program Names'!$B$2:$D$15,3,0)*AB308</f>
        <v>3.0574952554104167E-3</v>
      </c>
      <c r="CC308">
        <f>VLOOKUP($H308,'1. Set Program Names'!$B$2:$D$15,3,0)*AC308</f>
        <v>3.2926843724073551E-3</v>
      </c>
      <c r="CD308">
        <f>VLOOKUP($H308,'1. Set Program Names'!$B$2:$D$15,3,0)*AD308</f>
        <v>3.5367655846490018E-3</v>
      </c>
      <c r="CE308">
        <f>VLOOKUP($H308,'1. Set Program Names'!$B$2:$D$15,3,0)*AE308</f>
        <v>3.7741370480790346E-3</v>
      </c>
    </row>
    <row r="309" spans="1:83" x14ac:dyDescent="0.25">
      <c r="A309" s="20" t="s">
        <v>116</v>
      </c>
      <c r="B309" s="20" t="s">
        <v>88</v>
      </c>
      <c r="C309" s="20" t="s">
        <v>122</v>
      </c>
      <c r="D309" s="20" t="s">
        <v>90</v>
      </c>
      <c r="E309" s="20" t="s">
        <v>91</v>
      </c>
      <c r="F309" s="20" t="s">
        <v>90</v>
      </c>
      <c r="G309" s="20" t="s">
        <v>92</v>
      </c>
      <c r="H309" s="20" t="s">
        <v>14</v>
      </c>
      <c r="I309" s="20" t="s">
        <v>238</v>
      </c>
      <c r="J309" s="20" t="s">
        <v>129</v>
      </c>
      <c r="K309" s="20" t="s">
        <v>102</v>
      </c>
      <c r="L309" s="20">
        <v>4477.6116666666303</v>
      </c>
      <c r="M309" s="20">
        <v>0.90610878358590996</v>
      </c>
      <c r="N309" s="20">
        <v>4.9616670393602701E-2</v>
      </c>
      <c r="O309" s="53">
        <f>9351.31/1137.9*tbl_Data_old[[#This Row],[kWh Savings]]</f>
        <v>36797.200768623181</v>
      </c>
      <c r="P309" s="20">
        <v>44221.719775682497</v>
      </c>
      <c r="Q309" s="20">
        <v>159.401609454924</v>
      </c>
      <c r="R309" s="20">
        <v>2670.7044942461998</v>
      </c>
      <c r="S309" s="20">
        <v>6902.6319322295803</v>
      </c>
      <c r="T309" s="20">
        <v>30</v>
      </c>
      <c r="U309" s="20">
        <v>0.94999999999999896</v>
      </c>
      <c r="V309" s="20">
        <v>8.98310706745101E-2</v>
      </c>
      <c r="W309" s="20">
        <v>9.9706409524747699E-2</v>
      </c>
      <c r="X309" s="20">
        <v>0.110150604565178</v>
      </c>
      <c r="Y309" s="20">
        <v>0.12134628470832499</v>
      </c>
      <c r="Z309" s="20">
        <v>0.13287283417722801</v>
      </c>
      <c r="AA309" s="20">
        <v>0.14465832022960201</v>
      </c>
      <c r="AB309" s="20">
        <v>0.15632875646543501</v>
      </c>
      <c r="AC309" s="20">
        <v>0.168076992436659</v>
      </c>
      <c r="AD309" s="20">
        <v>0.18024604603557301</v>
      </c>
      <c r="AE309" s="20">
        <v>0.19205649272896499</v>
      </c>
      <c r="AF309" t="str">
        <f t="shared" si="18"/>
        <v>NonResidential</v>
      </c>
      <c r="AG309" t="str">
        <f>tbl_Data_old[[#This Row],[All_Meas_Name_Append]]</f>
        <v>Ceiling Insulation(R19 to R49)</v>
      </c>
      <c r="AH309">
        <f>AVERAGEIFS('3. Incentive Adjustment'!G:G,'3. Incentive Adjustment'!A:A,tbl_Data_old[[#This Row],[Trimmed Sector]],'3. Incentive Adjustment'!B:B,tbl_Data_old[[#This Row],[Trimmed Measure Name]])</f>
        <v>7.9373870200739678E-11</v>
      </c>
      <c r="AI309">
        <f>$AH309*tbl_Data_old[[#This Row],[2025 ]]</f>
        <v>7.1302397437120371E-12</v>
      </c>
      <c r="AJ309">
        <f>$AH309*tbl_Data_old[[#This Row],[2026 ]]</f>
        <v>7.9140836077991178E-12</v>
      </c>
      <c r="AK309">
        <f>$AH309*tbl_Data_old[[#This Row],[2027 ]]</f>
        <v>8.7430797892894419E-12</v>
      </c>
      <c r="AL309">
        <f>$AH309*tbl_Data_old[[#This Row],[2028 ]]</f>
        <v>9.6317242517805904E-12</v>
      </c>
      <c r="AM309">
        <f>$AH309*tbl_Data_old[[#This Row],[2029 ]]</f>
        <v>1.0546631093187703E-11</v>
      </c>
      <c r="AN309">
        <f>$AH309*tbl_Data_old[[#This Row],[2030 ]]</f>
        <v>1.1482090733361464E-11</v>
      </c>
      <c r="AO309">
        <f>$AH309*tbl_Data_old[[#This Row],[2031 ]]</f>
        <v>1.2408418424330483E-11</v>
      </c>
      <c r="AP309">
        <f>$AH309*tbl_Data_old[[#This Row],[2032 ]]</f>
        <v>1.3340921381398076E-11</v>
      </c>
      <c r="AQ309">
        <f>$AH309*tbl_Data_old[[#This Row],[2033 ]]</f>
        <v>1.4306826262224121E-11</v>
      </c>
      <c r="AR309">
        <f>$AH309*tbl_Data_old[[#This Row],[2034 ]]</f>
        <v>1.5244267125078173E-11</v>
      </c>
      <c r="AS309">
        <f>SUM(tbl_Data_old[[#This Row],[Adjusted 2025]:[Adjusted 2034]])</f>
        <v>1.1074828241216121E-10</v>
      </c>
      <c r="AT309" s="3">
        <f>AVERAGEIFS('3. Incentive Adjustment'!F:F,'3. Incentive Adjustment'!A:A,tbl_Data_old[[#This Row],[Trimmed Sector]],'3. Incentive Adjustment'!B:B,tbl_Data_old[[#This Row],[Trimmed Measure Name]])</f>
        <v>4754.4974087894998</v>
      </c>
      <c r="AU309" s="3">
        <f>IFERROR(VLOOKUP(tbl_Data_old[[#This Row],[All_Meas_Name_Append]],'IRA Tax Credits'!$A$3:$D$46,4,0),0)</f>
        <v>500</v>
      </c>
      <c r="AV309" s="4">
        <f>tbl_Data_old[[#This Row],[Adj. per unit Incentive ($)]]/tbl_Data_old[[#This Row],[kWh Savings]]*tbl_Data_old[[#This Row],[Sum of Annuals]]</f>
        <v>1.1759671471208703E-10</v>
      </c>
      <c r="AW309" s="4">
        <f>IFERROR(VLOOKUP(tbl_Data_old[[#This Row],[All_Programs]],'1. Set Program Names'!$B$2:$D$15,3,0)*tbl_Data_old[[#This Row],[Sum of Annuals]],"")</f>
        <v>3.9426050705306481E-12</v>
      </c>
      <c r="AX309" s="4">
        <f>tbl_Data_old[[#This Row],[per unit IRA tax ($)]]/tbl_Data_old[[#This Row],[kWh Savings]]*tbl_Data_old[[#This Row],[Sum of Annuals]]</f>
        <v>1.2366892291779297E-11</v>
      </c>
      <c r="AY309" s="4">
        <f>tbl_Data_old[[#This Row],[Avoided Costs ($/unit)]]/tbl_Data_old[[#This Row],[kWh Savings]]*tbl_Data_old[[#This Row],[Sum of Annuals]]</f>
        <v>6.6056629647027307E-11</v>
      </c>
      <c r="AZ309" s="4">
        <f>tbl_Data_old[[#This Row],[Lost Revenue ($/unit)]]/tbl_Data_old[[#This Row],[kWh Savings]]*tbl_Data_old[[#This Row],[Sum of Annuals]]</f>
        <v>1.7072821127135926E-10</v>
      </c>
      <c r="BA309" s="4">
        <f>tbl_Data_old[[#This Row],[Incremental Cost ($/unit)]]/tbl_Data_old[[#This Row],[kWh Savings]]*tbl_Data_old[[#This Row],[Sum of Annuals]]</f>
        <v>9.101340370890825E-10</v>
      </c>
      <c r="BB309">
        <f>ROUNDUP(tbl_Data_old[[#This Row],[Adjusted 2025]]/$L309,0)</f>
        <v>1</v>
      </c>
      <c r="BC309">
        <f>ROUNDUP(tbl_Data_old[[#This Row],[Adjusted 2026]]/$L309,0)</f>
        <v>1</v>
      </c>
      <c r="BD309">
        <f>ROUNDUP(tbl_Data_old[[#This Row],[Adjusted 2027]]/$L309,0)</f>
        <v>1</v>
      </c>
      <c r="BE309">
        <f>ROUNDUP(tbl_Data_old[[#This Row],[Adjusted 2028]]/$L309,0)</f>
        <v>1</v>
      </c>
      <c r="BF309">
        <f>ROUNDUP(tbl_Data_old[[#This Row],[Adjusted 2029]]/$L309,0)</f>
        <v>1</v>
      </c>
      <c r="BG309">
        <f>ROUNDUP(tbl_Data_old[[#This Row],[Adjusted 2030]]/$L309,0)</f>
        <v>1</v>
      </c>
      <c r="BH309">
        <f>ROUNDUP(tbl_Data_old[[#This Row],[Adjusted 2031]]/$L309,0)</f>
        <v>1</v>
      </c>
      <c r="BI309">
        <f>ROUNDUP(tbl_Data_old[[#This Row],[Adjusted 2032]]/$L309,0)</f>
        <v>1</v>
      </c>
      <c r="BJ309">
        <f>ROUNDUP(tbl_Data_old[[#This Row],[Adjusted 2033]]/$L309,0)</f>
        <v>1</v>
      </c>
      <c r="BK309">
        <f>ROUNDUP(tbl_Data_old[[#This Row],[Adjusted 2034]]/$L309,0)</f>
        <v>1</v>
      </c>
      <c r="BL309" s="3">
        <f t="shared" si="21"/>
        <v>9.5386028210146606E-2</v>
      </c>
      <c r="BM309" s="3">
        <f t="shared" si="21"/>
        <v>0.10587203648190159</v>
      </c>
      <c r="BN309" s="3">
        <f t="shared" si="21"/>
        <v>0.11696207777027112</v>
      </c>
      <c r="BO309" s="3">
        <f t="shared" si="21"/>
        <v>0.12885007436151091</v>
      </c>
      <c r="BP309" s="3">
        <f t="shared" si="21"/>
        <v>0.14108940051615745</v>
      </c>
      <c r="BQ309" s="3">
        <f t="shared" si="21"/>
        <v>0.15360367532799071</v>
      </c>
      <c r="BR309" s="3">
        <f t="shared" si="21"/>
        <v>0.16599578589349195</v>
      </c>
      <c r="BS309" s="3">
        <f t="shared" si="21"/>
        <v>0.17847050716037993</v>
      </c>
      <c r="BT309" s="3">
        <f t="shared" si="21"/>
        <v>0.1913920684994698</v>
      </c>
      <c r="BU309" s="3">
        <f t="shared" si="21"/>
        <v>0.20393284746393542</v>
      </c>
      <c r="BV309">
        <f>VLOOKUP($H309,'1. Set Program Names'!$B$2:$D$15,3,0)*V309</f>
        <v>3.1979587133861456E-3</v>
      </c>
      <c r="BW309">
        <f>VLOOKUP($H309,'1. Set Program Names'!$B$2:$D$15,3,0)*W309</f>
        <v>3.5495177640200511E-3</v>
      </c>
      <c r="BX309">
        <f>VLOOKUP($H309,'1. Set Program Names'!$B$2:$D$15,3,0)*X309</f>
        <v>3.9213279214973997E-3</v>
      </c>
      <c r="BY309">
        <f>VLOOKUP($H309,'1. Set Program Names'!$B$2:$D$15,3,0)*Y309</f>
        <v>4.3198907193937909E-3</v>
      </c>
      <c r="BZ309">
        <f>VLOOKUP($H309,'1. Set Program Names'!$B$2:$D$15,3,0)*Z309</f>
        <v>4.7302323643566664E-3</v>
      </c>
      <c r="CA309">
        <f>VLOOKUP($H309,'1. Set Program Names'!$B$2:$D$15,3,0)*AA309</f>
        <v>5.1497920727034902E-3</v>
      </c>
      <c r="CB309">
        <f>VLOOKUP($H309,'1. Set Program Names'!$B$2:$D$15,3,0)*AB309</f>
        <v>5.5652560426769629E-3</v>
      </c>
      <c r="CC309">
        <f>VLOOKUP($H309,'1. Set Program Names'!$B$2:$D$15,3,0)*AC309</f>
        <v>5.9834896594978407E-3</v>
      </c>
      <c r="CD309">
        <f>VLOOKUP($H309,'1. Set Program Names'!$B$2:$D$15,3,0)*AD309</f>
        <v>6.4167042554956677E-3</v>
      </c>
      <c r="CE309">
        <f>VLOOKUP($H309,'1. Set Program Names'!$B$2:$D$15,3,0)*AE309</f>
        <v>6.8371525550485826E-3</v>
      </c>
    </row>
    <row r="310" spans="1:83" x14ac:dyDescent="0.25">
      <c r="A310" s="20" t="s">
        <v>116</v>
      </c>
      <c r="B310" s="20" t="s">
        <v>88</v>
      </c>
      <c r="C310" s="20" t="s">
        <v>122</v>
      </c>
      <c r="D310" s="20" t="s">
        <v>90</v>
      </c>
      <c r="E310" s="20" t="s">
        <v>91</v>
      </c>
      <c r="F310" s="20" t="s">
        <v>90</v>
      </c>
      <c r="G310" s="20" t="s">
        <v>92</v>
      </c>
      <c r="H310" s="20" t="s">
        <v>14</v>
      </c>
      <c r="I310" s="20" t="s">
        <v>240</v>
      </c>
      <c r="J310" s="20" t="s">
        <v>129</v>
      </c>
      <c r="K310" s="20" t="s">
        <v>102</v>
      </c>
      <c r="L310" s="20">
        <v>18717.787499999999</v>
      </c>
      <c r="M310" s="20">
        <v>3.6380387810097399</v>
      </c>
      <c r="N310" s="20">
        <v>0.14255501576814</v>
      </c>
      <c r="O310" s="53">
        <f>11091.09/6133.31*tbl_Data_old[[#This Row],[kWh Savings]]</f>
        <v>33848.063405139306</v>
      </c>
      <c r="P310" s="20">
        <v>45532.278837645601</v>
      </c>
      <c r="Q310" s="20">
        <v>666.34752521012103</v>
      </c>
      <c r="R310" s="20">
        <v>11042.715256281999</v>
      </c>
      <c r="S310" s="20">
        <v>28855.114582630202</v>
      </c>
      <c r="T310" s="20">
        <v>30</v>
      </c>
      <c r="U310" s="20">
        <v>0.95</v>
      </c>
      <c r="V310" s="20">
        <v>4.74004277801948E-2</v>
      </c>
      <c r="W310" s="20">
        <v>4.64631956894229E-2</v>
      </c>
      <c r="X310" s="20">
        <v>4.5072389709602201E-2</v>
      </c>
      <c r="Y310" s="20">
        <v>4.3664815630035797E-2</v>
      </c>
      <c r="Z310" s="20">
        <v>4.2259323752508501E-2</v>
      </c>
      <c r="AA310" s="20">
        <v>4.0744900408860203E-2</v>
      </c>
      <c r="AB310" s="20">
        <v>3.9212877890017699E-2</v>
      </c>
      <c r="AC310" s="20">
        <v>3.77339428985786E-2</v>
      </c>
      <c r="AD310" s="20">
        <v>3.6247600626199299E-2</v>
      </c>
      <c r="AE310" s="20">
        <v>3.4779044409619701E-2</v>
      </c>
      <c r="AF310" t="str">
        <f t="shared" si="18"/>
        <v>NonResidential</v>
      </c>
      <c r="AG310" t="str">
        <f>tbl_Data_old[[#This Row],[All_Meas_Name_Append]]</f>
        <v>Ceiling Insulation(R2 to R38)</v>
      </c>
      <c r="AH310">
        <f>AVERAGEIFS('3. Incentive Adjustment'!G:G,'3. Incentive Adjustment'!A:A,tbl_Data_old[[#This Row],[Trimmed Sector]],'3. Incentive Adjustment'!B:B,tbl_Data_old[[#This Row],[Trimmed Measure Name]])</f>
        <v>3.0218441517909909E-3</v>
      </c>
      <c r="AI310">
        <f>$AH310*tbl_Data_old[[#This Row],[2025 ]]</f>
        <v>1.4323670547997287E-4</v>
      </c>
      <c r="AJ310">
        <f>$AH310*tbl_Data_old[[#This Row],[2026 ]]</f>
        <v>1.4040453616760297E-4</v>
      </c>
      <c r="AK310">
        <f>$AH310*tbl_Data_old[[#This Row],[2027 ]]</f>
        <v>1.3620173725120585E-4</v>
      </c>
      <c r="AL310">
        <f>$AH310*tbl_Data_old[[#This Row],[2028 ]]</f>
        <v>1.3194826775065553E-4</v>
      </c>
      <c r="AM310">
        <f>$AH310*tbl_Data_old[[#This Row],[2029 ]]</f>
        <v>1.2770109034015992E-4</v>
      </c>
      <c r="AN310">
        <f>$AH310*tbl_Data_old[[#This Row],[2030 ]]</f>
        <v>1.2312473901582055E-4</v>
      </c>
      <c r="AO310">
        <f>$AH310*tbl_Data_old[[#This Row],[2031 ]]</f>
        <v>1.1849520572684423E-4</v>
      </c>
      <c r="AP310">
        <f>$AH310*tbl_Data_old[[#This Row],[2032 ]]</f>
        <v>1.1402609467208493E-4</v>
      </c>
      <c r="AQ310">
        <f>$AH310*tbl_Data_old[[#This Row],[2033 ]]</f>
        <v>1.0953459996873581E-4</v>
      </c>
      <c r="AR310">
        <f>$AH310*tbl_Data_old[[#This Row],[2034 ]]</f>
        <v>1.0509685195408845E-4</v>
      </c>
      <c r="AS310">
        <f>SUM(tbl_Data_old[[#This Row],[Adjusted 2025]:[Adjusted 2034]])</f>
        <v>1.2497698283271711E-3</v>
      </c>
      <c r="AT310" s="3">
        <f>AVERAGEIFS('3. Incentive Adjustment'!F:F,'3. Incentive Adjustment'!A:A,tbl_Data_old[[#This Row],[Trimmed Sector]],'3. Incentive Adjustment'!B:B,tbl_Data_old[[#This Row],[Trimmed Measure Name]])</f>
        <v>4373.4448922946976</v>
      </c>
      <c r="AU310" s="3">
        <f>IFERROR(VLOOKUP(tbl_Data_old[[#This Row],[All_Meas_Name_Append]],'IRA Tax Credits'!$A$3:$D$46,4,0),0)</f>
        <v>0</v>
      </c>
      <c r="AV310" s="4">
        <f>tbl_Data_old[[#This Row],[Adj. per unit Incentive ($)]]/tbl_Data_old[[#This Row],[kWh Savings]]*tbl_Data_old[[#This Row],[Sum of Annuals]]</f>
        <v>2.9201098004993849E-4</v>
      </c>
      <c r="AW310" s="4">
        <f>IFERROR(VLOOKUP(tbl_Data_old[[#This Row],[All_Programs]],'1. Set Program Names'!$B$2:$D$15,3,0)*tbl_Data_old[[#This Row],[Sum of Annuals]],"")</f>
        <v>4.4491424650914975E-5</v>
      </c>
      <c r="AX310" s="4">
        <f>tbl_Data_old[[#This Row],[per unit IRA tax ($)]]/tbl_Data_old[[#This Row],[kWh Savings]]*tbl_Data_old[[#This Row],[Sum of Annuals]]</f>
        <v>0</v>
      </c>
      <c r="AY310" s="4">
        <f>tbl_Data_old[[#This Row],[Avoided Costs ($/unit)]]/tbl_Data_old[[#This Row],[kWh Savings]]*tbl_Data_old[[#This Row],[Sum of Annuals]]</f>
        <v>7.3731216096503867E-4</v>
      </c>
      <c r="AZ310" s="4">
        <f>tbl_Data_old[[#This Row],[Lost Revenue ($/unit)]]/tbl_Data_old[[#This Row],[kWh Savings]]*tbl_Data_old[[#This Row],[Sum of Annuals]]</f>
        <v>1.9266300356436147E-3</v>
      </c>
      <c r="BA310" s="4">
        <f>tbl_Data_old[[#This Row],[Incremental Cost ($/unit)]]/tbl_Data_old[[#This Row],[kWh Savings]]*tbl_Data_old[[#This Row],[Sum of Annuals]]</f>
        <v>2.2600047356584295E-3</v>
      </c>
      <c r="BB310">
        <f>ROUNDUP(tbl_Data_old[[#This Row],[Adjusted 2025]]/$L310,0)</f>
        <v>1</v>
      </c>
      <c r="BC310">
        <f>ROUNDUP(tbl_Data_old[[#This Row],[Adjusted 2026]]/$L310,0)</f>
        <v>1</v>
      </c>
      <c r="BD310">
        <f>ROUNDUP(tbl_Data_old[[#This Row],[Adjusted 2027]]/$L310,0)</f>
        <v>1</v>
      </c>
      <c r="BE310">
        <f>ROUNDUP(tbl_Data_old[[#This Row],[Adjusted 2028]]/$L310,0)</f>
        <v>1</v>
      </c>
      <c r="BF310">
        <f>ROUNDUP(tbl_Data_old[[#This Row],[Adjusted 2029]]/$L310,0)</f>
        <v>1</v>
      </c>
      <c r="BG310">
        <f>ROUNDUP(tbl_Data_old[[#This Row],[Adjusted 2030]]/$L310,0)</f>
        <v>1</v>
      </c>
      <c r="BH310">
        <f>ROUNDUP(tbl_Data_old[[#This Row],[Adjusted 2031]]/$L310,0)</f>
        <v>1</v>
      </c>
      <c r="BI310">
        <f>ROUNDUP(tbl_Data_old[[#This Row],[Adjusted 2032]]/$L310,0)</f>
        <v>1</v>
      </c>
      <c r="BJ310">
        <f>ROUNDUP(tbl_Data_old[[#This Row],[Adjusted 2033]]/$L310,0)</f>
        <v>1</v>
      </c>
      <c r="BK310">
        <f>ROUNDUP(tbl_Data_old[[#This Row],[Adjusted 2034]]/$L310,0)</f>
        <v>1</v>
      </c>
      <c r="BL310" s="3">
        <f t="shared" si="21"/>
        <v>1.1075195653753237E-2</v>
      </c>
      <c r="BM310" s="3">
        <f t="shared" si="21"/>
        <v>1.0856209681170684E-2</v>
      </c>
      <c r="BN310" s="3">
        <f t="shared" si="21"/>
        <v>1.0531245349322182E-2</v>
      </c>
      <c r="BO310" s="3">
        <f t="shared" si="21"/>
        <v>1.0202363120650331E-2</v>
      </c>
      <c r="BP310" s="3">
        <f t="shared" si="21"/>
        <v>9.8739674022496685E-3</v>
      </c>
      <c r="BQ310" s="3">
        <f t="shared" si="21"/>
        <v>9.5201196498349936E-3</v>
      </c>
      <c r="BR310" s="3">
        <f t="shared" si="21"/>
        <v>9.1621598183157914E-3</v>
      </c>
      <c r="BS310" s="3">
        <f t="shared" si="21"/>
        <v>8.8166039835599359E-3</v>
      </c>
      <c r="BT310" s="3">
        <f t="shared" si="21"/>
        <v>8.4693174242195784E-3</v>
      </c>
      <c r="BU310" s="3">
        <f t="shared" si="21"/>
        <v>8.1261866089751139E-3</v>
      </c>
      <c r="BV310">
        <f>VLOOKUP($H310,'1. Set Program Names'!$B$2:$D$15,3,0)*V310</f>
        <v>1.68744076965474E-3</v>
      </c>
      <c r="BW310">
        <f>VLOOKUP($H310,'1. Set Program Names'!$B$2:$D$15,3,0)*W310</f>
        <v>1.6540755931223447E-3</v>
      </c>
      <c r="BX310">
        <f>VLOOKUP($H310,'1. Set Program Names'!$B$2:$D$15,3,0)*X310</f>
        <v>1.6045633245008017E-3</v>
      </c>
      <c r="BY310">
        <f>VLOOKUP($H310,'1. Set Program Names'!$B$2:$D$15,3,0)*Y310</f>
        <v>1.5544541166433567E-3</v>
      </c>
      <c r="BZ310">
        <f>VLOOKUP($H310,'1. Set Program Names'!$B$2:$D$15,3,0)*Z310</f>
        <v>1.504419034543336E-3</v>
      </c>
      <c r="CA310">
        <f>VLOOKUP($H310,'1. Set Program Names'!$B$2:$D$15,3,0)*AA310</f>
        <v>1.4505060254785371E-3</v>
      </c>
      <c r="CB310">
        <f>VLOOKUP($H310,'1. Set Program Names'!$B$2:$D$15,3,0)*AB310</f>
        <v>1.3959664911453859E-3</v>
      </c>
      <c r="CC310">
        <f>VLOOKUP($H310,'1. Set Program Names'!$B$2:$D$15,3,0)*AC310</f>
        <v>1.3433168565936476E-3</v>
      </c>
      <c r="CD310">
        <f>VLOOKUP($H310,'1. Set Program Names'!$B$2:$D$15,3,0)*AD310</f>
        <v>1.2904035251000009E-3</v>
      </c>
      <c r="CE310">
        <f>VLOOKUP($H310,'1. Set Program Names'!$B$2:$D$15,3,0)*AE310</f>
        <v>1.238123371767255E-3</v>
      </c>
    </row>
    <row r="311" spans="1:83" x14ac:dyDescent="0.25">
      <c r="A311" s="20" t="s">
        <v>116</v>
      </c>
      <c r="B311" s="20" t="s">
        <v>88</v>
      </c>
      <c r="C311" s="20" t="s">
        <v>122</v>
      </c>
      <c r="D311" s="20" t="s">
        <v>90</v>
      </c>
      <c r="E311" s="20" t="s">
        <v>91</v>
      </c>
      <c r="F311" s="20" t="s">
        <v>90</v>
      </c>
      <c r="G311" s="20" t="s">
        <v>92</v>
      </c>
      <c r="H311" s="20" t="s">
        <v>14</v>
      </c>
      <c r="I311" s="20" t="s">
        <v>241</v>
      </c>
      <c r="J311" s="20" t="s">
        <v>129</v>
      </c>
      <c r="K311" s="20" t="s">
        <v>102</v>
      </c>
      <c r="L311" s="20">
        <v>19185.113333333298</v>
      </c>
      <c r="M311" s="20">
        <v>4.6125790568704801</v>
      </c>
      <c r="N311" s="20">
        <v>0.25911922024205197</v>
      </c>
      <c r="O311" s="53">
        <f>11417.3/6341.92*tbl_Data_old[[#This Row],[kWh Savings]]</f>
        <v>34538.782334161617</v>
      </c>
      <c r="P311" s="20">
        <v>25197.386166847798</v>
      </c>
      <c r="Q311" s="20">
        <v>682.98418232081895</v>
      </c>
      <c r="R311" s="20">
        <v>12014.6297388403</v>
      </c>
      <c r="S311" s="20">
        <v>29575.538429105502</v>
      </c>
      <c r="T311" s="20">
        <v>30</v>
      </c>
      <c r="U311" s="20">
        <v>0.95</v>
      </c>
      <c r="V311" s="20">
        <v>0.18765984582977799</v>
      </c>
      <c r="W311" s="20">
        <v>0.183651011910094</v>
      </c>
      <c r="X311" s="20">
        <v>0.17788372740226899</v>
      </c>
      <c r="Y311" s="20">
        <v>0.17208396050223401</v>
      </c>
      <c r="Z311" s="20">
        <v>0.166322980150476</v>
      </c>
      <c r="AA311" s="20">
        <v>0.160161597890423</v>
      </c>
      <c r="AB311" s="20">
        <v>0.153957502544848</v>
      </c>
      <c r="AC311" s="20">
        <v>0.147985946823845</v>
      </c>
      <c r="AD311" s="20">
        <v>0.14200732310710901</v>
      </c>
      <c r="AE311" s="20">
        <v>0.13611862351398399</v>
      </c>
      <c r="AF311" t="str">
        <f t="shared" si="18"/>
        <v>NonResidential</v>
      </c>
      <c r="AG311" t="str">
        <f>tbl_Data_old[[#This Row],[All_Meas_Name_Append]]</f>
        <v>Ceiling Insulation(R2 to R49)</v>
      </c>
      <c r="AH311">
        <f>AVERAGEIFS('3. Incentive Adjustment'!G:G,'3. Incentive Adjustment'!A:A,tbl_Data_old[[#This Row],[Trimmed Sector]],'3. Incentive Adjustment'!B:B,tbl_Data_old[[#This Row],[Trimmed Measure Name]])</f>
        <v>5.674595082038876E-2</v>
      </c>
      <c r="AI311">
        <f>$AH311*tbl_Data_old[[#This Row],[2025 ]]</f>
        <v>1.0648936382418319E-2</v>
      </c>
      <c r="AJ311">
        <f>$AH311*tbl_Data_old[[#This Row],[2026 ]]</f>
        <v>1.0421451289964825E-2</v>
      </c>
      <c r="AK311">
        <f>$AH311*tbl_Data_old[[#This Row],[2027 ]]</f>
        <v>1.0094181246916597E-2</v>
      </c>
      <c r="AL311">
        <f>$AH311*tbl_Data_old[[#This Row],[2028 ]]</f>
        <v>9.7650679596374933E-3</v>
      </c>
      <c r="AM311">
        <f>$AH311*tbl_Data_old[[#This Row],[2029 ]]</f>
        <v>9.4381556519194075E-3</v>
      </c>
      <c r="AN311">
        <f>$AH311*tbl_Data_old[[#This Row],[2030 ]]</f>
        <v>9.0885221572048237E-3</v>
      </c>
      <c r="AO311">
        <f>$AH311*tbl_Data_old[[#This Row],[2031 ]]</f>
        <v>8.7364648678398219E-3</v>
      </c>
      <c r="AP311">
        <f>$AH311*tbl_Data_old[[#This Row],[2032 ]]</f>
        <v>8.3976032605745741E-3</v>
      </c>
      <c r="AQ311">
        <f>$AH311*tbl_Data_old[[#This Row],[2033 ]]</f>
        <v>8.0583405731710633E-3</v>
      </c>
      <c r="AR311">
        <f>$AH311*tbl_Data_old[[#This Row],[2034 ]]</f>
        <v>7.7241807156635481E-3</v>
      </c>
      <c r="AS311">
        <f>SUM(tbl_Data_old[[#This Row],[Adjusted 2025]:[Adjusted 2034]])</f>
        <v>9.2372904105310488E-2</v>
      </c>
      <c r="AT311" s="3">
        <f>AVERAGEIFS('3. Incentive Adjustment'!F:F,'3. Incentive Adjustment'!A:A,tbl_Data_old[[#This Row],[Trimmed Sector]],'3. Incentive Adjustment'!B:B,tbl_Data_old[[#This Row],[Trimmed Measure Name]])</f>
        <v>4335.1908026959672</v>
      </c>
      <c r="AU311" s="3">
        <f>IFERROR(VLOOKUP(tbl_Data_old[[#This Row],[All_Meas_Name_Append]],'IRA Tax Credits'!$A$3:$D$46,4,0),0)</f>
        <v>500</v>
      </c>
      <c r="AV311" s="4">
        <f>tbl_Data_old[[#This Row],[Adj. per unit Incentive ($)]]/tbl_Data_old[[#This Row],[kWh Savings]]*tbl_Data_old[[#This Row],[Sum of Annuals]]</f>
        <v>2.0873171679412855E-2</v>
      </c>
      <c r="AW311" s="4">
        <f>IFERROR(VLOOKUP(tbl_Data_old[[#This Row],[All_Programs]],'1. Set Program Names'!$B$2:$D$15,3,0)*tbl_Data_old[[#This Row],[Sum of Annuals]],"")</f>
        <v>3.2884472081460198E-3</v>
      </c>
      <c r="AX311" s="4">
        <f>tbl_Data_old[[#This Row],[per unit IRA tax ($)]]/tbl_Data_old[[#This Row],[kWh Savings]]*tbl_Data_old[[#This Row],[Sum of Annuals]]</f>
        <v>2.4074109571408315E-3</v>
      </c>
      <c r="AY311" s="4">
        <f>tbl_Data_old[[#This Row],[Avoided Costs ($/unit)]]/tbl_Data_old[[#This Row],[kWh Savings]]*tbl_Data_old[[#This Row],[Sum of Annuals]]</f>
        <v>5.7848302558548448E-2</v>
      </c>
      <c r="AZ311" s="4">
        <f>tbl_Data_old[[#This Row],[Lost Revenue ($/unit)]]/tbl_Data_old[[#This Row],[kWh Savings]]*tbl_Data_old[[#This Row],[Sum of Annuals]]</f>
        <v>0.14240095055513663</v>
      </c>
      <c r="BA311" s="4">
        <f>tbl_Data_old[[#This Row],[Incremental Cost ($/unit)]]/tbl_Data_old[[#This Row],[kWh Savings]]*tbl_Data_old[[#This Row],[Sum of Annuals]]</f>
        <v>0.16629808607512572</v>
      </c>
      <c r="BB311">
        <f>ROUNDUP(tbl_Data_old[[#This Row],[Adjusted 2025]]/$L311,0)</f>
        <v>1</v>
      </c>
      <c r="BC311">
        <f>ROUNDUP(tbl_Data_old[[#This Row],[Adjusted 2026]]/$L311,0)</f>
        <v>1</v>
      </c>
      <c r="BD311">
        <f>ROUNDUP(tbl_Data_old[[#This Row],[Adjusted 2027]]/$L311,0)</f>
        <v>1</v>
      </c>
      <c r="BE311">
        <f>ROUNDUP(tbl_Data_old[[#This Row],[Adjusted 2028]]/$L311,0)</f>
        <v>1</v>
      </c>
      <c r="BF311">
        <f>ROUNDUP(tbl_Data_old[[#This Row],[Adjusted 2029]]/$L311,0)</f>
        <v>1</v>
      </c>
      <c r="BG311">
        <f>ROUNDUP(tbl_Data_old[[#This Row],[Adjusted 2030]]/$L311,0)</f>
        <v>1</v>
      </c>
      <c r="BH311">
        <f>ROUNDUP(tbl_Data_old[[#This Row],[Adjusted 2031]]/$L311,0)</f>
        <v>1</v>
      </c>
      <c r="BI311">
        <f>ROUNDUP(tbl_Data_old[[#This Row],[Adjusted 2032]]/$L311,0)</f>
        <v>1</v>
      </c>
      <c r="BJ311">
        <f>ROUNDUP(tbl_Data_old[[#This Row],[Adjusted 2033]]/$L311,0)</f>
        <v>1</v>
      </c>
      <c r="BK311">
        <f>ROUNDUP(tbl_Data_old[[#This Row],[Adjusted 2034]]/$L311,0)</f>
        <v>1</v>
      </c>
      <c r="BL311" s="3">
        <f t="shared" si="21"/>
        <v>4.2404817920106017E-2</v>
      </c>
      <c r="BM311" s="3">
        <f t="shared" si="21"/>
        <v>4.1498956190951966E-2</v>
      </c>
      <c r="BN311" s="3">
        <f t="shared" si="21"/>
        <v>4.0195743730308667E-2</v>
      </c>
      <c r="BO311" s="3">
        <f t="shared" si="21"/>
        <v>3.888519134075738E-2</v>
      </c>
      <c r="BP311" s="3">
        <f t="shared" si="21"/>
        <v>3.7583403407502873E-2</v>
      </c>
      <c r="BQ311" s="3">
        <f t="shared" si="21"/>
        <v>3.6191138100460506E-2</v>
      </c>
      <c r="BR311" s="3">
        <f t="shared" si="21"/>
        <v>3.4789221071674696E-2</v>
      </c>
      <c r="BS311" s="3">
        <f t="shared" si="21"/>
        <v>3.3439850182397764E-2</v>
      </c>
      <c r="BT311" s="3">
        <f t="shared" si="21"/>
        <v>3.2088882163640135E-2</v>
      </c>
      <c r="BU311" s="3">
        <f t="shared" si="21"/>
        <v>3.0758233974473585E-2</v>
      </c>
      <c r="BV311">
        <f>VLOOKUP($H311,'1. Set Program Names'!$B$2:$D$15,3,0)*V311</f>
        <v>6.6806332666179379E-3</v>
      </c>
      <c r="BW311">
        <f>VLOOKUP($H311,'1. Set Program Names'!$B$2:$D$15,3,0)*W311</f>
        <v>6.5379200019567265E-3</v>
      </c>
      <c r="BX311">
        <f>VLOOKUP($H311,'1. Set Program Names'!$B$2:$D$15,3,0)*X311</f>
        <v>6.3326064327663576E-3</v>
      </c>
      <c r="BY311">
        <f>VLOOKUP($H311,'1. Set Program Names'!$B$2:$D$15,3,0)*Y311</f>
        <v>6.1261365003219444E-3</v>
      </c>
      <c r="BZ311">
        <f>VLOOKUP($H311,'1. Set Program Names'!$B$2:$D$15,3,0)*Z311</f>
        <v>5.9210473571645024E-3</v>
      </c>
      <c r="CA311">
        <f>VLOOKUP($H311,'1. Set Program Names'!$B$2:$D$15,3,0)*AA311</f>
        <v>5.7017040282128376E-3</v>
      </c>
      <c r="CB311">
        <f>VLOOKUP($H311,'1. Set Program Names'!$B$2:$D$15,3,0)*AB311</f>
        <v>5.480840126446054E-3</v>
      </c>
      <c r="CC311">
        <f>VLOOKUP($H311,'1. Set Program Names'!$B$2:$D$15,3,0)*AC311</f>
        <v>5.2682545643787052E-3</v>
      </c>
      <c r="CD311">
        <f>VLOOKUP($H311,'1. Set Program Names'!$B$2:$D$15,3,0)*AD311</f>
        <v>5.0554173838193274E-3</v>
      </c>
      <c r="CE311">
        <f>VLOOKUP($H311,'1. Set Program Names'!$B$2:$D$15,3,0)*AE311</f>
        <v>4.8457814746294889E-3</v>
      </c>
    </row>
    <row r="312" spans="1:83" x14ac:dyDescent="0.25">
      <c r="A312" s="20" t="s">
        <v>116</v>
      </c>
      <c r="B312" s="20" t="s">
        <v>88</v>
      </c>
      <c r="C312" s="20" t="s">
        <v>122</v>
      </c>
      <c r="D312" s="20" t="s">
        <v>90</v>
      </c>
      <c r="E312" s="20" t="s">
        <v>91</v>
      </c>
      <c r="F312" s="20" t="s">
        <v>90</v>
      </c>
      <c r="G312" s="20" t="s">
        <v>92</v>
      </c>
      <c r="H312" s="20" t="s">
        <v>14</v>
      </c>
      <c r="I312" s="20" t="s">
        <v>128</v>
      </c>
      <c r="J312" s="20" t="s">
        <v>129</v>
      </c>
      <c r="K312" s="20" t="s">
        <v>130</v>
      </c>
      <c r="L312" s="53">
        <v>2045.1799999999989</v>
      </c>
      <c r="M312" s="53">
        <v>0.47104509500000002</v>
      </c>
      <c r="N312" s="53">
        <v>0.17900382200000001</v>
      </c>
      <c r="O312" s="53">
        <f>19591.5999999999/60160.456*2045.18</f>
        <v>666.02468053100858</v>
      </c>
      <c r="P312" s="53">
        <f>11310.7385995848/60160.456*2045.18</f>
        <v>384.51331501042552</v>
      </c>
      <c r="Q312" s="53">
        <f>2141.69388188172/60160.456*2045.18</f>
        <v>72.807784125619918</v>
      </c>
      <c r="R312" s="53">
        <f>32581.871747558/60160.456*2045.18</f>
        <v>1107.6344311730397</v>
      </c>
      <c r="S312" s="53">
        <f>77209.8271220691/60160.456*2045.18</f>
        <v>2624.780540784353</v>
      </c>
      <c r="T312" s="20">
        <v>20</v>
      </c>
      <c r="U312" s="20">
        <v>0.94999999999999896</v>
      </c>
      <c r="V312" s="20">
        <v>16.228193277799701</v>
      </c>
      <c r="W312" s="20">
        <v>15.9769965768331</v>
      </c>
      <c r="X312" s="20">
        <v>15.6313566374724</v>
      </c>
      <c r="Y312" s="20">
        <v>15.2844347240207</v>
      </c>
      <c r="Z312" s="20">
        <v>14.9162393103579</v>
      </c>
      <c r="AA312" s="20">
        <v>14.516420781851799</v>
      </c>
      <c r="AB312" s="20">
        <v>14.0885994674447</v>
      </c>
      <c r="AC312" s="20">
        <v>13.664226129832601</v>
      </c>
      <c r="AD312" s="20">
        <v>13.259748428124199</v>
      </c>
      <c r="AE312" s="20">
        <v>12.845350349256099</v>
      </c>
      <c r="AF312" t="str">
        <f t="shared" si="18"/>
        <v>NonResidential</v>
      </c>
      <c r="AG312" t="str">
        <f>tbl_Data_old[[#This Row],[All_Meas_Name_Append]]</f>
        <v>Commercial Duct Sealing</v>
      </c>
      <c r="AH312">
        <f>AVERAGEIFS('3. Incentive Adjustment'!G:G,'3. Incentive Adjustment'!A:A,tbl_Data_old[[#This Row],[Trimmed Sector]],'3. Incentive Adjustment'!B:B,tbl_Data_old[[#This Row],[Trimmed Measure Name]])</f>
        <v>0.69277112909915817</v>
      </c>
      <c r="AI312">
        <f>$AH312*tbl_Data_old[[#This Row],[2025 ]]</f>
        <v>11.242423780300667</v>
      </c>
      <c r="AJ312">
        <f>$AH312*tbl_Data_old[[#This Row],[2026 ]]</f>
        <v>11.068401958146051</v>
      </c>
      <c r="AK312">
        <f>$AH312*tbl_Data_old[[#This Row],[2027 ]]</f>
        <v>10.828952587093376</v>
      </c>
      <c r="AL312">
        <f>$AH312*tbl_Data_old[[#This Row],[2028 ]]</f>
        <v>10.588615101402201</v>
      </c>
      <c r="AM312">
        <f>$AH312*tbl_Data_old[[#This Row],[2029 ]]</f>
        <v>10.333539948949891</v>
      </c>
      <c r="AN312">
        <f>$AH312*tbl_Data_old[[#This Row],[2030 ]]</f>
        <v>10.056557215521956</v>
      </c>
      <c r="AO312">
        <f>$AH312*tbl_Data_old[[#This Row],[2031 ]]</f>
        <v>9.760174960487463</v>
      </c>
      <c r="AP312">
        <f>$AH312*tbl_Data_old[[#This Row],[2032 ]]</f>
        <v>9.4661813642303514</v>
      </c>
      <c r="AQ312">
        <f>$AH312*tbl_Data_old[[#This Row],[2033 ]]</f>
        <v>9.1859708901223893</v>
      </c>
      <c r="AR312">
        <f>$AH312*tbl_Data_old[[#This Row],[2034 ]]</f>
        <v>8.8988878651284136</v>
      </c>
      <c r="AS312">
        <f>SUM(tbl_Data_old[[#This Row],[Adjusted 2025]:[Adjusted 2034]])</f>
        <v>101.42970567138276</v>
      </c>
      <c r="AT312" s="3">
        <f>AVERAGEIFS('3. Incentive Adjustment'!F:F,'3. Incentive Adjustment'!A:A,tbl_Data_old[[#This Row],[Trimmed Sector]],'3. Incentive Adjustment'!B:B,tbl_Data_old[[#This Row],[Trimmed Measure Name]])</f>
        <v>100</v>
      </c>
      <c r="AU312" s="3">
        <f>IFERROR(VLOOKUP(tbl_Data_old[[#This Row],[All_Meas_Name_Append]],'IRA Tax Credits'!$A$3:$D$46,4,0),0)</f>
        <v>0</v>
      </c>
      <c r="AV312" s="4">
        <f>tbl_Data_old[[#This Row],[Adj. per unit Incentive ($)]]/tbl_Data_old[[#This Row],[kWh Savings]]*tbl_Data_old[[#This Row],[Sum of Annuals]]</f>
        <v>4.9594512791726313</v>
      </c>
      <c r="AW312" s="4">
        <f>IFERROR(VLOOKUP(tbl_Data_old[[#This Row],[All_Programs]],'1. Set Program Names'!$B$2:$D$15,3,0)*tbl_Data_old[[#This Row],[Sum of Annuals]],"")</f>
        <v>3.6108665811553249</v>
      </c>
      <c r="AX312" s="4">
        <f>tbl_Data_old[[#This Row],[per unit IRA tax ($)]]/tbl_Data_old[[#This Row],[kWh Savings]]*tbl_Data_old[[#This Row],[Sum of Annuals]]</f>
        <v>0</v>
      </c>
      <c r="AY312" s="4">
        <f>tbl_Data_old[[#This Row],[Avoided Costs ($/unit)]]/tbl_Data_old[[#This Row],[kWh Savings]]*tbl_Data_old[[#This Row],[Sum of Annuals]]</f>
        <v>54.932589965367818</v>
      </c>
      <c r="AZ312" s="4">
        <f>tbl_Data_old[[#This Row],[Lost Revenue ($/unit)]]/tbl_Data_old[[#This Row],[kWh Savings]]*tbl_Data_old[[#This Row],[Sum of Annuals]]</f>
        <v>130.1747121054039</v>
      </c>
      <c r="BA312" s="4">
        <f>tbl_Data_old[[#This Row],[Incremental Cost ($/unit)]]/tbl_Data_old[[#This Row],[kWh Savings]]*tbl_Data_old[[#This Row],[Sum of Annuals]]</f>
        <v>33.031169538200537</v>
      </c>
      <c r="BB312">
        <f>ROUNDUP(tbl_Data_old[[#This Row],[Adjusted 2025]]/$L312,0)</f>
        <v>1</v>
      </c>
      <c r="BC312">
        <f>ROUNDUP(tbl_Data_old[[#This Row],[Adjusted 2026]]/$L312,0)</f>
        <v>1</v>
      </c>
      <c r="BD312">
        <f>ROUNDUP(tbl_Data_old[[#This Row],[Adjusted 2027]]/$L312,0)</f>
        <v>1</v>
      </c>
      <c r="BE312">
        <f>ROUNDUP(tbl_Data_old[[#This Row],[Adjusted 2028]]/$L312,0)</f>
        <v>1</v>
      </c>
      <c r="BF312">
        <f>ROUNDUP(tbl_Data_old[[#This Row],[Adjusted 2029]]/$L312,0)</f>
        <v>1</v>
      </c>
      <c r="BG312">
        <f>ROUNDUP(tbl_Data_old[[#This Row],[Adjusted 2030]]/$L312,0)</f>
        <v>1</v>
      </c>
      <c r="BH312">
        <f>ROUNDUP(tbl_Data_old[[#This Row],[Adjusted 2031]]/$L312,0)</f>
        <v>1</v>
      </c>
      <c r="BI312">
        <f>ROUNDUP(tbl_Data_old[[#This Row],[Adjusted 2032]]/$L312,0)</f>
        <v>1</v>
      </c>
      <c r="BJ312">
        <f>ROUNDUP(tbl_Data_old[[#This Row],[Adjusted 2033]]/$L312,0)</f>
        <v>1</v>
      </c>
      <c r="BK312">
        <f>ROUNDUP(tbl_Data_old[[#This Row],[Adjusted 2034]]/$L312,0)</f>
        <v>1</v>
      </c>
      <c r="BL312" s="3">
        <f t="shared" si="21"/>
        <v>0.79348484132446584</v>
      </c>
      <c r="BM312" s="3">
        <f t="shared" si="21"/>
        <v>0.78120246515383041</v>
      </c>
      <c r="BN312" s="3">
        <f t="shared" si="21"/>
        <v>0.76430224417764736</v>
      </c>
      <c r="BO312" s="3">
        <f t="shared" si="21"/>
        <v>0.7473393404991594</v>
      </c>
      <c r="BP312" s="3">
        <f t="shared" si="21"/>
        <v>0.72933625941765068</v>
      </c>
      <c r="BQ312" s="3">
        <f t="shared" si="21"/>
        <v>0.70978695185029228</v>
      </c>
      <c r="BR312" s="3">
        <f t="shared" si="21"/>
        <v>0.68886843541618381</v>
      </c>
      <c r="BS312" s="3">
        <f t="shared" si="21"/>
        <v>0.66811850936507344</v>
      </c>
      <c r="BT312" s="3">
        <f t="shared" si="21"/>
        <v>0.64834138941922992</v>
      </c>
      <c r="BU312" s="3">
        <f t="shared" si="21"/>
        <v>0.62807920815068141</v>
      </c>
      <c r="BV312">
        <f>VLOOKUP($H312,'1. Set Program Names'!$B$2:$D$15,3,0)*V312</f>
        <v>0.57771873034103793</v>
      </c>
      <c r="BW312">
        <f>VLOOKUP($H312,'1. Set Program Names'!$B$2:$D$15,3,0)*W312</f>
        <v>0.56877620441322518</v>
      </c>
      <c r="BX312">
        <f>VLOOKUP($H312,'1. Set Program Names'!$B$2:$D$15,3,0)*X312</f>
        <v>0.55647152800813304</v>
      </c>
      <c r="BY312">
        <f>VLOOKUP($H312,'1. Set Program Names'!$B$2:$D$15,3,0)*Y312</f>
        <v>0.5441212137164626</v>
      </c>
      <c r="BZ312">
        <f>VLOOKUP($H312,'1. Set Program Names'!$B$2:$D$15,3,0)*Z312</f>
        <v>0.53101356930667731</v>
      </c>
      <c r="CA312">
        <f>VLOOKUP($H312,'1. Set Program Names'!$B$2:$D$15,3,0)*AA312</f>
        <v>0.51678015165498148</v>
      </c>
      <c r="CB312">
        <f>VLOOKUP($H312,'1. Set Program Names'!$B$2:$D$15,3,0)*AB312</f>
        <v>0.50154984336735331</v>
      </c>
      <c r="CC312">
        <f>VLOOKUP($H312,'1. Set Program Names'!$B$2:$D$15,3,0)*AC312</f>
        <v>0.48644228200183504</v>
      </c>
      <c r="CD312">
        <f>VLOOKUP($H312,'1. Set Program Names'!$B$2:$D$15,3,0)*AD312</f>
        <v>0.47204299920540027</v>
      </c>
      <c r="CE312">
        <f>VLOOKUP($H312,'1. Set Program Names'!$B$2:$D$15,3,0)*AE312</f>
        <v>0.45729055400825364</v>
      </c>
    </row>
    <row r="313" spans="1:83" x14ac:dyDescent="0.25">
      <c r="A313" s="20" t="s">
        <v>116</v>
      </c>
      <c r="B313" s="20" t="s">
        <v>88</v>
      </c>
      <c r="C313" s="20" t="s">
        <v>122</v>
      </c>
      <c r="D313" s="20" t="s">
        <v>90</v>
      </c>
      <c r="E313" s="20" t="s">
        <v>91</v>
      </c>
      <c r="F313" s="20" t="s">
        <v>90</v>
      </c>
      <c r="G313" s="20" t="s">
        <v>92</v>
      </c>
      <c r="H313" s="20" t="s">
        <v>14</v>
      </c>
      <c r="I313" s="20" t="s">
        <v>303</v>
      </c>
      <c r="J313" s="20" t="s">
        <v>129</v>
      </c>
      <c r="K313" s="20" t="s">
        <v>298</v>
      </c>
      <c r="L313" s="20">
        <v>2407.8671428571402</v>
      </c>
      <c r="M313" s="20">
        <v>0.43509988390469401</v>
      </c>
      <c r="N313" s="20">
        <v>0.148929049658067</v>
      </c>
      <c r="O313" s="20">
        <v>1278.9912095238201</v>
      </c>
      <c r="P313" s="20">
        <v>9094.9443435978392</v>
      </c>
      <c r="Q313" s="20">
        <v>85.719335775001198</v>
      </c>
      <c r="R313" s="20">
        <v>1364.7105452988201</v>
      </c>
      <c r="S313" s="20">
        <v>3090.2526043504499</v>
      </c>
      <c r="T313" s="20">
        <v>20</v>
      </c>
      <c r="U313" s="20">
        <v>0.94999999999999896</v>
      </c>
      <c r="V313" s="20">
        <v>8.6280651749864194</v>
      </c>
      <c r="W313" s="20">
        <v>8.1924895352709708</v>
      </c>
      <c r="X313" s="20">
        <v>7.6832847124369197</v>
      </c>
      <c r="Y313" s="20">
        <v>7.1744183844989404</v>
      </c>
      <c r="Z313" s="20">
        <v>6.6689160230595999</v>
      </c>
      <c r="AA313" s="20">
        <v>6.1646464492078401</v>
      </c>
      <c r="AB313" s="20">
        <v>5.6733378713615403</v>
      </c>
      <c r="AC313" s="20">
        <v>5.2103881056897503</v>
      </c>
      <c r="AD313" s="20">
        <v>4.7807474076644301</v>
      </c>
      <c r="AE313" s="20">
        <v>4.3772815463808499</v>
      </c>
      <c r="AF313" t="str">
        <f t="shared" si="18"/>
        <v>NonResidential</v>
      </c>
      <c r="AG313" t="str">
        <f>tbl_Data_old[[#This Row],[All_Meas_Name_Append]]</f>
        <v>Energy Star windows</v>
      </c>
      <c r="AH313">
        <f>AVERAGEIFS('3. Incentive Adjustment'!G:G,'3. Incentive Adjustment'!A:A,tbl_Data_old[[#This Row],[Trimmed Sector]],'3. Incentive Adjustment'!B:B,tbl_Data_old[[#This Row],[Trimmed Measure Name]])</f>
        <v>1.8374525511831319E-4</v>
      </c>
      <c r="AI313">
        <f>$AH313*tbl_Data_old[[#This Row],[2025 ]]</f>
        <v>1.5853660367553131E-3</v>
      </c>
      <c r="AJ313">
        <f>$AH313*tbl_Data_old[[#This Row],[2026 ]]</f>
        <v>1.5053310797124755E-3</v>
      </c>
      <c r="AK313">
        <f>$AH313*tbl_Data_old[[#This Row],[2027 ]]</f>
        <v>1.4117671096333575E-3</v>
      </c>
      <c r="AL313">
        <f>$AH313*tbl_Data_old[[#This Row],[2028 ]]</f>
        <v>1.3182653363852741E-3</v>
      </c>
      <c r="AM313">
        <f>$AH313*tbl_Data_old[[#This Row],[2029 ]]</f>
        <v>1.2253816760196927E-3</v>
      </c>
      <c r="AN313">
        <f>$AH313*tbl_Data_old[[#This Row],[2030 ]]</f>
        <v>1.1327245345238981E-3</v>
      </c>
      <c r="AO313">
        <f>$AH313*tbl_Data_old[[#This Row],[2031 ]]</f>
        <v>1.0424489145457142E-3</v>
      </c>
      <c r="AP313">
        <f>$AH313*tbl_Data_old[[#This Row],[2032 ]]</f>
        <v>9.573840917453878E-4</v>
      </c>
      <c r="AQ313">
        <f>$AH313*tbl_Data_old[[#This Row],[2033 ]]</f>
        <v>8.784396520775151E-4</v>
      </c>
      <c r="AR313">
        <f>$AH313*tbl_Data_old[[#This Row],[2034 ]]</f>
        <v>8.0430471446443373E-4</v>
      </c>
      <c r="AS313">
        <f>SUM(tbl_Data_old[[#This Row],[Adjusted 2025]:[Adjusted 2034]])</f>
        <v>1.1861413145863062E-2</v>
      </c>
      <c r="AT313" s="3">
        <f>AVERAGEIFS('3. Incentive Adjustment'!F:F,'3. Incentive Adjustment'!A:A,tbl_Data_old[[#This Row],[Trimmed Sector]],'3. Incentive Adjustment'!B:B,tbl_Data_old[[#This Row],[Trimmed Measure Name]])</f>
        <v>1244.9532966663394</v>
      </c>
      <c r="AU313" s="3">
        <f>IFERROR(VLOOKUP(tbl_Data_old[[#This Row],[All_Meas_Name_Append]],'IRA Tax Credits'!$A$3:$D$46,4,0),0)</f>
        <v>250</v>
      </c>
      <c r="AV313" s="4">
        <f>tbl_Data_old[[#This Row],[Adj. per unit Incentive ($)]]/tbl_Data_old[[#This Row],[kWh Savings]]*tbl_Data_old[[#This Row],[Sum of Annuals]]</f>
        <v>6.1327741619255126E-3</v>
      </c>
      <c r="AW313" s="4">
        <f>IFERROR(VLOOKUP(tbl_Data_old[[#This Row],[All_Programs]],'1. Set Program Names'!$B$2:$D$15,3,0)*tbl_Data_old[[#This Row],[Sum of Annuals]],"")</f>
        <v>4.2226268971376274E-4</v>
      </c>
      <c r="AX313" s="4">
        <f>tbl_Data_old[[#This Row],[per unit IRA tax ($)]]/tbl_Data_old[[#This Row],[kWh Savings]]*tbl_Data_old[[#This Row],[Sum of Annuals]]</f>
        <v>1.2315269533297922E-3</v>
      </c>
      <c r="AY313" s="4">
        <f>tbl_Data_old[[#This Row],[Avoided Costs ($/unit)]]/tbl_Data_old[[#This Row],[kWh Savings]]*tbl_Data_old[[#This Row],[Sum of Annuals]]</f>
        <v>6.722711280115581E-3</v>
      </c>
      <c r="AZ313" s="4">
        <f>tbl_Data_old[[#This Row],[Lost Revenue ($/unit)]]/tbl_Data_old[[#This Row],[kWh Savings]]*tbl_Data_old[[#This Row],[Sum of Annuals]]</f>
        <v>1.5222917499420664E-2</v>
      </c>
      <c r="BA313" s="4">
        <f>tbl_Data_old[[#This Row],[Incremental Cost ($/unit)]]/tbl_Data_old[[#This Row],[kWh Savings]]*tbl_Data_old[[#This Row],[Sum of Annuals]]</f>
        <v>6.3004485904018248E-3</v>
      </c>
      <c r="BB313">
        <f>ROUNDUP(tbl_Data_old[[#This Row],[Adjusted 2025]]/$L313,0)</f>
        <v>1</v>
      </c>
      <c r="BC313">
        <f>ROUNDUP(tbl_Data_old[[#This Row],[Adjusted 2026]]/$L313,0)</f>
        <v>1</v>
      </c>
      <c r="BD313">
        <f>ROUNDUP(tbl_Data_old[[#This Row],[Adjusted 2027]]/$L313,0)</f>
        <v>1</v>
      </c>
      <c r="BE313">
        <f>ROUNDUP(tbl_Data_old[[#This Row],[Adjusted 2028]]/$L313,0)</f>
        <v>1</v>
      </c>
      <c r="BF313">
        <f>ROUNDUP(tbl_Data_old[[#This Row],[Adjusted 2029]]/$L313,0)</f>
        <v>1</v>
      </c>
      <c r="BG313">
        <f>ROUNDUP(tbl_Data_old[[#This Row],[Adjusted 2030]]/$L313,0)</f>
        <v>1</v>
      </c>
      <c r="BH313">
        <f>ROUNDUP(tbl_Data_old[[#This Row],[Adjusted 2031]]/$L313,0)</f>
        <v>1</v>
      </c>
      <c r="BI313">
        <f>ROUNDUP(tbl_Data_old[[#This Row],[Adjusted 2032]]/$L313,0)</f>
        <v>1</v>
      </c>
      <c r="BJ313">
        <f>ROUNDUP(tbl_Data_old[[#This Row],[Adjusted 2033]]/$L313,0)</f>
        <v>1</v>
      </c>
      <c r="BK313">
        <f>ROUNDUP(tbl_Data_old[[#This Row],[Adjusted 2034]]/$L313,0)</f>
        <v>1</v>
      </c>
      <c r="BL313" s="3">
        <f t="shared" si="21"/>
        <v>4.4610177996389062</v>
      </c>
      <c r="BM313" s="3">
        <f t="shared" si="21"/>
        <v>4.2358096397037004</v>
      </c>
      <c r="BN313" s="3">
        <f t="shared" si="21"/>
        <v>3.9725325628324946</v>
      </c>
      <c r="BO313" s="3">
        <f t="shared" si="21"/>
        <v>3.7094304999100518</v>
      </c>
      <c r="BP313" s="3">
        <f t="shared" si="21"/>
        <v>3.4480677277930747</v>
      </c>
      <c r="BQ313" s="3">
        <f t="shared" si="21"/>
        <v>3.1873423508811456</v>
      </c>
      <c r="BR313" s="3">
        <f t="shared" si="21"/>
        <v>2.9333182717351427</v>
      </c>
      <c r="BS313" s="3">
        <f t="shared" si="21"/>
        <v>2.6939567111632772</v>
      </c>
      <c r="BT313" s="3">
        <f t="shared" si="21"/>
        <v>2.471817128015859</v>
      </c>
      <c r="BU313" s="3">
        <f t="shared" si="21"/>
        <v>2.263210870155095</v>
      </c>
      <c r="BV313">
        <f>VLOOKUP($H313,'1. Set Program Names'!$B$2:$D$15,3,0)*V313</f>
        <v>0.30715648827105391</v>
      </c>
      <c r="BW313">
        <f>VLOOKUP($H313,'1. Set Program Names'!$B$2:$D$15,3,0)*W313</f>
        <v>0.29165012836787602</v>
      </c>
      <c r="BX313">
        <f>VLOOKUP($H313,'1. Set Program Names'!$B$2:$D$15,3,0)*X313</f>
        <v>0.27352259200597812</v>
      </c>
      <c r="BY313">
        <f>VLOOKUP($H313,'1. Set Program Names'!$B$2:$D$15,3,0)*Y313</f>
        <v>0.2554071059591238</v>
      </c>
      <c r="BZ313">
        <f>VLOOKUP($H313,'1. Set Program Names'!$B$2:$D$15,3,0)*Z313</f>
        <v>0.23741137609345583</v>
      </c>
      <c r="CA313">
        <f>VLOOKUP($H313,'1. Set Program Names'!$B$2:$D$15,3,0)*AA313</f>
        <v>0.21945953308984856</v>
      </c>
      <c r="CB313">
        <f>VLOOKUP($H313,'1. Set Program Names'!$B$2:$D$15,3,0)*AB313</f>
        <v>0.20196909759033316</v>
      </c>
      <c r="CC313">
        <f>VLOOKUP($H313,'1. Set Program Names'!$B$2:$D$15,3,0)*AC313</f>
        <v>0.18548822715348251</v>
      </c>
      <c r="CD313">
        <f>VLOOKUP($H313,'1. Set Program Names'!$B$2:$D$15,3,0)*AD313</f>
        <v>0.17019314936404178</v>
      </c>
      <c r="CE313">
        <f>VLOOKUP($H313,'1. Set Program Names'!$B$2:$D$15,3,0)*AE313</f>
        <v>0.15582988777807263</v>
      </c>
    </row>
    <row r="314" spans="1:83" x14ac:dyDescent="0.25">
      <c r="A314" s="20" t="s">
        <v>116</v>
      </c>
      <c r="B314" s="20" t="s">
        <v>88</v>
      </c>
      <c r="C314" s="20" t="s">
        <v>122</v>
      </c>
      <c r="D314" s="20" t="s">
        <v>90</v>
      </c>
      <c r="E314" s="20" t="s">
        <v>91</v>
      </c>
      <c r="F314" s="20" t="s">
        <v>90</v>
      </c>
      <c r="G314" s="20" t="s">
        <v>92</v>
      </c>
      <c r="H314" s="20" t="s">
        <v>14</v>
      </c>
      <c r="I314" s="20" t="s">
        <v>143</v>
      </c>
      <c r="J314" s="20" t="s">
        <v>144</v>
      </c>
      <c r="K314" s="20" t="s">
        <v>108</v>
      </c>
      <c r="L314" s="20">
        <v>6670.6049999999896</v>
      </c>
      <c r="M314" s="20">
        <v>1.04667148638823</v>
      </c>
      <c r="N314" s="20">
        <v>1.5598507965563999</v>
      </c>
      <c r="O314" s="20">
        <v>2431.625</v>
      </c>
      <c r="P314" s="20">
        <v>977.24379425036398</v>
      </c>
      <c r="Q314" s="20">
        <v>237.47150315731801</v>
      </c>
      <c r="R314" s="20">
        <v>3400.8076679878</v>
      </c>
      <c r="S314" s="20">
        <v>7245.0779694633802</v>
      </c>
      <c r="T314" s="20">
        <v>15</v>
      </c>
      <c r="U314" s="20">
        <v>0.95</v>
      </c>
      <c r="V314" s="20">
        <v>7.5212206914050803</v>
      </c>
      <c r="W314" s="20">
        <v>8.2708774774509095</v>
      </c>
      <c r="X314" s="20">
        <v>8.8833973771123702</v>
      </c>
      <c r="Y314" s="20">
        <v>9.4163226336417907</v>
      </c>
      <c r="Z314" s="20">
        <v>9.8723355018544403</v>
      </c>
      <c r="AA314" s="20">
        <v>10.2477819727502</v>
      </c>
      <c r="AB314" s="20">
        <v>10.5566446797948</v>
      </c>
      <c r="AC314" s="20">
        <v>10.8284480701377</v>
      </c>
      <c r="AD314" s="20">
        <v>11.0719509145302</v>
      </c>
      <c r="AE314" s="20">
        <v>11.2810163944328</v>
      </c>
      <c r="AF314" t="str">
        <f t="shared" si="18"/>
        <v>NonResidential</v>
      </c>
      <c r="AG314" t="str">
        <f>tbl_Data_old[[#This Row],[All_Meas_Name_Append]]</f>
        <v>Heat Pump Water Heater</v>
      </c>
      <c r="AH314">
        <f>AVERAGEIFS('3. Incentive Adjustment'!G:G,'3. Incentive Adjustment'!A:A,tbl_Data_old[[#This Row],[Trimmed Sector]],'3. Incentive Adjustment'!B:B,tbl_Data_old[[#This Row],[Trimmed Measure Name]])</f>
        <v>0.82797588322898052</v>
      </c>
      <c r="AI314">
        <f>$AH314*tbl_Data_old[[#This Row],[2025 ]]</f>
        <v>6.2273893449262046</v>
      </c>
      <c r="AJ314">
        <f>$AH314*tbl_Data_old[[#This Row],[2026 ]]</f>
        <v>6.848087084471099</v>
      </c>
      <c r="AK314">
        <f>$AH314*tbl_Data_old[[#This Row],[2027 ]]</f>
        <v>7.3552387893886237</v>
      </c>
      <c r="AL314">
        <f>$AH314*tbl_Data_old[[#This Row],[2028 ]]</f>
        <v>7.7964880493586017</v>
      </c>
      <c r="AM314">
        <f>$AH314*tbl_Data_old[[#This Row],[2029 ]]</f>
        <v>8.1740557066807504</v>
      </c>
      <c r="AN314">
        <f>$AH314*tbl_Data_old[[#This Row],[2030 ]]</f>
        <v>8.4849163300258716</v>
      </c>
      <c r="AO314">
        <f>$AH314*tbl_Data_old[[#This Row],[2031 ]]</f>
        <v>8.7406472026876187</v>
      </c>
      <c r="AP314">
        <f>$AH314*tbl_Data_old[[#This Row],[2032 ]]</f>
        <v>8.9656938548714109</v>
      </c>
      <c r="AQ314">
        <f>$AH314*tbl_Data_old[[#This Row],[2033 ]]</f>
        <v>9.1673083375260607</v>
      </c>
      <c r="AR314">
        <f>$AH314*tbl_Data_old[[#This Row],[2034 ]]</f>
        <v>9.3404095129011075</v>
      </c>
      <c r="AS314">
        <f>SUM(tbl_Data_old[[#This Row],[Adjusted 2025]:[Adjusted 2034]])</f>
        <v>81.10023421283735</v>
      </c>
      <c r="AT314" s="3">
        <f>AVERAGEIFS('3. Incentive Adjustment'!F:F,'3. Incentive Adjustment'!A:A,tbl_Data_old[[#This Row],[Trimmed Sector]],'3. Incentive Adjustment'!B:B,tbl_Data_old[[#This Row],[Trimmed Measure Name]])</f>
        <v>500</v>
      </c>
      <c r="AU314" s="3">
        <f>IFERROR(VLOOKUP(tbl_Data_old[[#This Row],[All_Meas_Name_Append]],'IRA Tax Credits'!$A$3:$D$46,4,0),0)</f>
        <v>0</v>
      </c>
      <c r="AV314" s="4">
        <f>tbl_Data_old[[#This Row],[Adj. per unit Incentive ($)]]/tbl_Data_old[[#This Row],[kWh Savings]]*tbl_Data_old[[#This Row],[Sum of Annuals]]</f>
        <v>6.0789264401682814</v>
      </c>
      <c r="AW314" s="4">
        <f>IFERROR(VLOOKUP(tbl_Data_old[[#This Row],[All_Programs]],'1. Set Program Names'!$B$2:$D$15,3,0)*tbl_Data_old[[#This Row],[Sum of Annuals]],"")</f>
        <v>2.8871435986590481</v>
      </c>
      <c r="AX314" s="4">
        <f>tbl_Data_old[[#This Row],[per unit IRA tax ($)]]/tbl_Data_old[[#This Row],[kWh Savings]]*tbl_Data_old[[#This Row],[Sum of Annuals]]</f>
        <v>0</v>
      </c>
      <c r="AY314" s="4">
        <f>tbl_Data_old[[#This Row],[Avoided Costs ($/unit)]]/tbl_Data_old[[#This Row],[kWh Savings]]*tbl_Data_old[[#This Row],[Sum of Annuals]]</f>
        <v>41.346519301716143</v>
      </c>
      <c r="AZ314" s="4">
        <f>tbl_Data_old[[#This Row],[Lost Revenue ($/unit)]]/tbl_Data_old[[#This Row],[kWh Savings]]*tbl_Data_old[[#This Row],[Sum of Annuals]]</f>
        <v>88.084592059303333</v>
      </c>
      <c r="BA314" s="4">
        <f>tbl_Data_old[[#This Row],[Incremental Cost ($/unit)]]/tbl_Data_old[[#This Row],[kWh Savings]]*tbl_Data_old[[#This Row],[Sum of Annuals]]</f>
        <v>29.563339010148397</v>
      </c>
      <c r="BB314">
        <f>ROUNDUP(tbl_Data_old[[#This Row],[Adjusted 2025]]/$L314,0)</f>
        <v>1</v>
      </c>
      <c r="BC314">
        <f>ROUNDUP(tbl_Data_old[[#This Row],[Adjusted 2026]]/$L314,0)</f>
        <v>1</v>
      </c>
      <c r="BD314">
        <f>ROUNDUP(tbl_Data_old[[#This Row],[Adjusted 2027]]/$L314,0)</f>
        <v>1</v>
      </c>
      <c r="BE314">
        <f>ROUNDUP(tbl_Data_old[[#This Row],[Adjusted 2028]]/$L314,0)</f>
        <v>1</v>
      </c>
      <c r="BF314">
        <f>ROUNDUP(tbl_Data_old[[#This Row],[Adjusted 2029]]/$L314,0)</f>
        <v>1</v>
      </c>
      <c r="BG314">
        <f>ROUNDUP(tbl_Data_old[[#This Row],[Adjusted 2030]]/$L314,0)</f>
        <v>1</v>
      </c>
      <c r="BH314">
        <f>ROUNDUP(tbl_Data_old[[#This Row],[Adjusted 2031]]/$L314,0)</f>
        <v>1</v>
      </c>
      <c r="BI314">
        <f>ROUNDUP(tbl_Data_old[[#This Row],[Adjusted 2032]]/$L314,0)</f>
        <v>1</v>
      </c>
      <c r="BJ314">
        <f>ROUNDUP(tbl_Data_old[[#This Row],[Adjusted 2033]]/$L314,0)</f>
        <v>1</v>
      </c>
      <c r="BK314">
        <f>ROUNDUP(tbl_Data_old[[#This Row],[Adjusted 2034]]/$L314,0)</f>
        <v>1</v>
      </c>
      <c r="BL314" s="3">
        <f t="shared" si="21"/>
        <v>0.56375851151470457</v>
      </c>
      <c r="BM314" s="3">
        <f t="shared" si="21"/>
        <v>0.61994957559703523</v>
      </c>
      <c r="BN314" s="3">
        <f t="shared" si="21"/>
        <v>0.66586144563442029</v>
      </c>
      <c r="BO314" s="3">
        <f t="shared" si="21"/>
        <v>0.705807241894986</v>
      </c>
      <c r="BP314" s="3">
        <f t="shared" si="21"/>
        <v>0.7399880147193888</v>
      </c>
      <c r="BQ314" s="3">
        <f t="shared" si="21"/>
        <v>0.76812987523247267</v>
      </c>
      <c r="BR314" s="3">
        <f t="shared" si="21"/>
        <v>0.79128090179187771</v>
      </c>
      <c r="BS314" s="3">
        <f t="shared" si="21"/>
        <v>0.8116541205885911</v>
      </c>
      <c r="BT314" s="3">
        <f t="shared" si="21"/>
        <v>0.8299060515897897</v>
      </c>
      <c r="BU314" s="3">
        <f t="shared" si="21"/>
        <v>0.8455767051438976</v>
      </c>
      <c r="BV314">
        <f>VLOOKUP($H314,'1. Set Program Names'!$B$2:$D$15,3,0)*V314</f>
        <v>0.26775316229425783</v>
      </c>
      <c r="BW314">
        <f>VLOOKUP($H314,'1. Set Program Names'!$B$2:$D$15,3,0)*W314</f>
        <v>0.29444071519753823</v>
      </c>
      <c r="BX314">
        <f>VLOOKUP($H314,'1. Set Program Names'!$B$2:$D$15,3,0)*X314</f>
        <v>0.31624623677862074</v>
      </c>
      <c r="BY314">
        <f>VLOOKUP($H314,'1. Set Program Names'!$B$2:$D$15,3,0)*Y314</f>
        <v>0.33521821334424573</v>
      </c>
      <c r="BZ314">
        <f>VLOOKUP($H314,'1. Set Program Names'!$B$2:$D$15,3,0)*Z314</f>
        <v>0.35145213234762518</v>
      </c>
      <c r="CA314">
        <f>VLOOKUP($H314,'1. Set Program Names'!$B$2:$D$15,3,0)*AA314</f>
        <v>0.36481791218299636</v>
      </c>
      <c r="CB314">
        <f>VLOOKUP($H314,'1. Set Program Names'!$B$2:$D$15,3,0)*AB314</f>
        <v>0.37581333033639019</v>
      </c>
      <c r="CC314">
        <f>VLOOKUP($H314,'1. Set Program Names'!$B$2:$D$15,3,0)*AC314</f>
        <v>0.38548944812000707</v>
      </c>
      <c r="CD314">
        <f>VLOOKUP($H314,'1. Set Program Names'!$B$2:$D$15,3,0)*AD314</f>
        <v>0.39415807510076362</v>
      </c>
      <c r="CE314">
        <f>VLOOKUP($H314,'1. Set Program Names'!$B$2:$D$15,3,0)*AE314</f>
        <v>0.40160074241066679</v>
      </c>
    </row>
    <row r="315" spans="1:83" x14ac:dyDescent="0.25">
      <c r="A315" s="20" t="s">
        <v>116</v>
      </c>
      <c r="B315" s="20" t="s">
        <v>88</v>
      </c>
      <c r="C315" s="20" t="s">
        <v>122</v>
      </c>
      <c r="D315" s="20" t="s">
        <v>90</v>
      </c>
      <c r="E315" s="20" t="s">
        <v>91</v>
      </c>
      <c r="F315" s="20" t="s">
        <v>90</v>
      </c>
      <c r="G315" s="20" t="s">
        <v>92</v>
      </c>
      <c r="H315" s="20" t="s">
        <v>14</v>
      </c>
      <c r="I315" s="20" t="s">
        <v>157</v>
      </c>
      <c r="J315" s="20" t="s">
        <v>158</v>
      </c>
      <c r="K315" s="20" t="s">
        <v>159</v>
      </c>
      <c r="L315" s="20">
        <v>562.52</v>
      </c>
      <c r="M315" s="20">
        <v>0</v>
      </c>
      <c r="N315" s="20">
        <v>2.7796637938074201E-2</v>
      </c>
      <c r="O315" s="20">
        <v>169</v>
      </c>
      <c r="P315" s="20">
        <v>53.285725702774101</v>
      </c>
      <c r="Q315" s="20">
        <v>20.025540405413601</v>
      </c>
      <c r="R315" s="20">
        <v>275.373630058213</v>
      </c>
      <c r="S315" s="20">
        <v>610.96426176974103</v>
      </c>
      <c r="T315" s="20">
        <v>15</v>
      </c>
      <c r="U315" s="20">
        <v>0.2</v>
      </c>
      <c r="V315" s="20">
        <v>3.7749084951401901E-3</v>
      </c>
      <c r="W315" s="20">
        <v>4.1116653965917399E-3</v>
      </c>
      <c r="X315" s="20">
        <v>4.3775924349865004E-3</v>
      </c>
      <c r="Y315" s="20">
        <v>4.6002615365257097E-3</v>
      </c>
      <c r="Z315" s="20">
        <v>4.78067500642848E-3</v>
      </c>
      <c r="AA315" s="20">
        <v>4.91928794949144E-3</v>
      </c>
      <c r="AB315" s="20">
        <v>5.0223685455095396E-3</v>
      </c>
      <c r="AC315" s="20">
        <v>5.1049402408000297E-3</v>
      </c>
      <c r="AD315" s="20">
        <v>5.1733938051851504E-3</v>
      </c>
      <c r="AE315" s="20">
        <v>5.2234634980719398E-3</v>
      </c>
      <c r="AF315" t="str">
        <f t="shared" si="18"/>
        <v>NonResidential</v>
      </c>
      <c r="AG315" t="str">
        <f>tbl_Data_old[[#This Row],[All_Meas_Name_Append]]</f>
        <v>LED Exterior Wall Packs</v>
      </c>
      <c r="AH315">
        <f>AVERAGEIFS('3. Incentive Adjustment'!G:G,'3. Incentive Adjustment'!A:A,tbl_Data_old[[#This Row],[Trimmed Sector]],'3. Incentive Adjustment'!B:B,tbl_Data_old[[#This Row],[Trimmed Measure Name]])</f>
        <v>0.80637708305213962</v>
      </c>
      <c r="AI315">
        <f>$AH315*tbl_Data_old[[#This Row],[2025 ]]</f>
        <v>3.0439997010998886E-3</v>
      </c>
      <c r="AJ315">
        <f>$AH315*tbl_Data_old[[#This Row],[2026 ]]</f>
        <v>3.315552748990066E-3</v>
      </c>
      <c r="AK315">
        <f>$AH315*tbl_Data_old[[#This Row],[2027 ]]</f>
        <v>3.5299902185155275E-3</v>
      </c>
      <c r="AL315">
        <f>$AH315*tbl_Data_old[[#This Row],[2028 ]]</f>
        <v>3.7095454791005555E-3</v>
      </c>
      <c r="AM315">
        <f>$AH315*tbl_Data_old[[#This Row],[2029 ]]</f>
        <v>3.8550267667040667E-3</v>
      </c>
      <c r="AN315">
        <f>$AH315*tbl_Data_old[[#This Row],[2030 ]]</f>
        <v>3.9668010674044482E-3</v>
      </c>
      <c r="AO315">
        <f>$AH315*tbl_Data_old[[#This Row],[2031 ]]</f>
        <v>4.0499228977407993E-3</v>
      </c>
      <c r="AP315">
        <f>$AH315*tbl_Data_old[[#This Row],[2032 ]]</f>
        <v>4.116506820531815E-3</v>
      </c>
      <c r="AQ315">
        <f>$AH315*tbl_Data_old[[#This Row],[2033 ]]</f>
        <v>4.1717062061052109E-3</v>
      </c>
      <c r="AR315">
        <f>$AH315*tbl_Data_old[[#This Row],[2034 ]]</f>
        <v>4.2120812590045768E-3</v>
      </c>
      <c r="AS315">
        <f>SUM(tbl_Data_old[[#This Row],[Adjusted 2025]:[Adjusted 2034]])</f>
        <v>3.7971133165196951E-2</v>
      </c>
      <c r="AT315" s="3">
        <f>AVERAGEIFS('3. Incentive Adjustment'!F:F,'3. Incentive Adjustment'!A:A,tbl_Data_old[[#This Row],[Trimmed Sector]],'3. Incentive Adjustment'!B:B,tbl_Data_old[[#This Row],[Trimmed Measure Name]])</f>
        <v>8.6864493556481861</v>
      </c>
      <c r="AU315" s="3">
        <f>IFERROR(VLOOKUP(tbl_Data_old[[#This Row],[All_Meas_Name_Append]],'IRA Tax Credits'!$A$3:$D$46,4,0),0)</f>
        <v>0</v>
      </c>
      <c r="AV315" s="4">
        <f>tbl_Data_old[[#This Row],[Adj. per unit Incentive ($)]]/tbl_Data_old[[#This Row],[kWh Savings]]*tbl_Data_old[[#This Row],[Sum of Annuals]]</f>
        <v>5.8635128567172102E-4</v>
      </c>
      <c r="AW315" s="4">
        <f>IFERROR(VLOOKUP(tbl_Data_old[[#This Row],[All_Programs]],'1. Set Program Names'!$B$2:$D$15,3,0)*tbl_Data_old[[#This Row],[Sum of Annuals]],"")</f>
        <v>1.3517607577312723E-3</v>
      </c>
      <c r="AX315" s="4">
        <f>tbl_Data_old[[#This Row],[per unit IRA tax ($)]]/tbl_Data_old[[#This Row],[kWh Savings]]*tbl_Data_old[[#This Row],[Sum of Annuals]]</f>
        <v>0</v>
      </c>
      <c r="AY315" s="4">
        <f>tbl_Data_old[[#This Row],[Avoided Costs ($/unit)]]/tbl_Data_old[[#This Row],[kWh Savings]]*tbl_Data_old[[#This Row],[Sum of Annuals]]</f>
        <v>1.8588225800192149E-2</v>
      </c>
      <c r="AZ315" s="4">
        <f>tbl_Data_old[[#This Row],[Lost Revenue ($/unit)]]/tbl_Data_old[[#This Row],[kWh Savings]]*tbl_Data_old[[#This Row],[Sum of Annuals]]</f>
        <v>4.1241209810913546E-2</v>
      </c>
      <c r="BA315" s="4">
        <f>tbl_Data_old[[#This Row],[Incremental Cost ($/unit)]]/tbl_Data_old[[#This Row],[kWh Savings]]*tbl_Data_old[[#This Row],[Sum of Annuals]]</f>
        <v>1.1407810397707253E-2</v>
      </c>
      <c r="BB315">
        <f>ROUNDUP(tbl_Data_old[[#This Row],[Adjusted 2025]]/$L315,0)</f>
        <v>1</v>
      </c>
      <c r="BC315">
        <f>ROUNDUP(tbl_Data_old[[#This Row],[Adjusted 2026]]/$L315,0)</f>
        <v>1</v>
      </c>
      <c r="BD315">
        <f>ROUNDUP(tbl_Data_old[[#This Row],[Adjusted 2027]]/$L315,0)</f>
        <v>1</v>
      </c>
      <c r="BE315">
        <f>ROUNDUP(tbl_Data_old[[#This Row],[Adjusted 2028]]/$L315,0)</f>
        <v>1</v>
      </c>
      <c r="BF315">
        <f>ROUNDUP(tbl_Data_old[[#This Row],[Adjusted 2029]]/$L315,0)</f>
        <v>1</v>
      </c>
      <c r="BG315">
        <f>ROUNDUP(tbl_Data_old[[#This Row],[Adjusted 2030]]/$L315,0)</f>
        <v>1</v>
      </c>
      <c r="BH315">
        <f>ROUNDUP(tbl_Data_old[[#This Row],[Adjusted 2031]]/$L315,0)</f>
        <v>1</v>
      </c>
      <c r="BI315">
        <f>ROUNDUP(tbl_Data_old[[#This Row],[Adjusted 2032]]/$L315,0)</f>
        <v>1</v>
      </c>
      <c r="BJ315">
        <f>ROUNDUP(tbl_Data_old[[#This Row],[Adjusted 2033]]/$L315,0)</f>
        <v>1</v>
      </c>
      <c r="BK315">
        <f>ROUNDUP(tbl_Data_old[[#This Row],[Adjusted 2034]]/$L315,0)</f>
        <v>1</v>
      </c>
      <c r="BL315" s="3">
        <f t="shared" si="21"/>
        <v>5.8292241102967659E-5</v>
      </c>
      <c r="BM315" s="3">
        <f t="shared" si="21"/>
        <v>6.3492450463743978E-5</v>
      </c>
      <c r="BN315" s="3">
        <f t="shared" si="21"/>
        <v>6.7598903125540172E-5</v>
      </c>
      <c r="BO315" s="3">
        <f t="shared" si="21"/>
        <v>7.1037365533255497E-5</v>
      </c>
      <c r="BP315" s="3">
        <f t="shared" si="21"/>
        <v>7.3823315311729459E-5</v>
      </c>
      <c r="BQ315" s="3">
        <f t="shared" si="21"/>
        <v>7.5963780201784476E-5</v>
      </c>
      <c r="BR315" s="3">
        <f t="shared" si="21"/>
        <v>7.7555553608705575E-5</v>
      </c>
      <c r="BS315" s="3">
        <f t="shared" si="21"/>
        <v>7.883062800490634E-5</v>
      </c>
      <c r="BT315" s="3">
        <f t="shared" si="21"/>
        <v>7.9887689834254541E-5</v>
      </c>
      <c r="BU315" s="3">
        <f t="shared" si="21"/>
        <v>8.066086741285433E-5</v>
      </c>
      <c r="BV315">
        <f>VLOOKUP($H315,'1. Set Program Names'!$B$2:$D$15,3,0)*V315</f>
        <v>1.3438559090551315E-4</v>
      </c>
      <c r="BW315">
        <f>VLOOKUP($H315,'1. Set Program Names'!$B$2:$D$15,3,0)*W315</f>
        <v>1.4637403387077647E-4</v>
      </c>
      <c r="BX315">
        <f>VLOOKUP($H315,'1. Set Program Names'!$B$2:$D$15,3,0)*X315</f>
        <v>1.5584095531759841E-4</v>
      </c>
      <c r="BY315">
        <f>VLOOKUP($H315,'1. Set Program Names'!$B$2:$D$15,3,0)*Y315</f>
        <v>1.6376790740803182E-4</v>
      </c>
      <c r="BZ315">
        <f>VLOOKUP($H315,'1. Set Program Names'!$B$2:$D$15,3,0)*Z315</f>
        <v>1.7019057190212767E-4</v>
      </c>
      <c r="CA315">
        <f>VLOOKUP($H315,'1. Set Program Names'!$B$2:$D$15,3,0)*AA315</f>
        <v>1.7512515039181802E-4</v>
      </c>
      <c r="CB315">
        <f>VLOOKUP($H315,'1. Set Program Names'!$B$2:$D$15,3,0)*AB315</f>
        <v>1.7879478816571864E-4</v>
      </c>
      <c r="CC315">
        <f>VLOOKUP($H315,'1. Set Program Names'!$B$2:$D$15,3,0)*AC315</f>
        <v>1.8173431532987852E-4</v>
      </c>
      <c r="CD315">
        <f>VLOOKUP($H315,'1. Set Program Names'!$B$2:$D$15,3,0)*AD315</f>
        <v>1.841712413404894E-4</v>
      </c>
      <c r="CE315">
        <f>VLOOKUP($H315,'1. Set Program Names'!$B$2:$D$15,3,0)*AE315</f>
        <v>1.8595370713368972E-4</v>
      </c>
    </row>
    <row r="316" spans="1:83" x14ac:dyDescent="0.25">
      <c r="A316" s="20" t="s">
        <v>116</v>
      </c>
      <c r="B316" s="20" t="s">
        <v>88</v>
      </c>
      <c r="C316" s="20" t="s">
        <v>122</v>
      </c>
      <c r="D316" s="20" t="s">
        <v>90</v>
      </c>
      <c r="E316" s="20" t="s">
        <v>91</v>
      </c>
      <c r="F316" s="20" t="s">
        <v>90</v>
      </c>
      <c r="G316" s="20" t="s">
        <v>92</v>
      </c>
      <c r="H316" s="20" t="s">
        <v>14</v>
      </c>
      <c r="I316" s="20" t="s">
        <v>160</v>
      </c>
      <c r="J316" s="20" t="s">
        <v>161</v>
      </c>
      <c r="K316" s="20" t="s">
        <v>159</v>
      </c>
      <c r="L316" s="20">
        <v>698.53499999999997</v>
      </c>
      <c r="M316" s="20">
        <v>9.14911955902553E-2</v>
      </c>
      <c r="N316" s="20">
        <v>9.6647765821509996E-2</v>
      </c>
      <c r="O316" s="20">
        <v>179</v>
      </c>
      <c r="P316" s="20">
        <v>35.4245718525491</v>
      </c>
      <c r="Q316" s="20">
        <v>24.867632914555301</v>
      </c>
      <c r="R316" s="20">
        <v>291.28765455670799</v>
      </c>
      <c r="S316" s="20">
        <v>758.69288308917999</v>
      </c>
      <c r="T316" s="20">
        <v>15</v>
      </c>
      <c r="U316" s="20">
        <v>0.2</v>
      </c>
      <c r="V316" s="20">
        <v>0.455410511873589</v>
      </c>
      <c r="W316" s="20">
        <v>0.49569314679925602</v>
      </c>
      <c r="X316" s="20">
        <v>0.52765427345175797</v>
      </c>
      <c r="Y316" s="20">
        <v>0.55443253237482104</v>
      </c>
      <c r="Z316" s="20">
        <v>0.57605186596134295</v>
      </c>
      <c r="AA316" s="20">
        <v>0.59267096706594202</v>
      </c>
      <c r="AB316" s="20">
        <v>0.60494314729715704</v>
      </c>
      <c r="AC316" s="20">
        <v>0.61470053592755503</v>
      </c>
      <c r="AD316" s="20">
        <v>0.62284843853542005</v>
      </c>
      <c r="AE316" s="20">
        <v>0.62873395295579604</v>
      </c>
      <c r="AF316" t="str">
        <f t="shared" si="18"/>
        <v>NonResidential</v>
      </c>
      <c r="AG316" t="str">
        <f>tbl_Data_old[[#This Row],[All_Meas_Name_Append]]</f>
        <v>LED High Bay_HID Baseline</v>
      </c>
      <c r="AH316">
        <f>AVERAGEIFS('3. Incentive Adjustment'!G:G,'3. Incentive Adjustment'!A:A,tbl_Data_old[[#This Row],[Trimmed Sector]],'3. Incentive Adjustment'!B:B,tbl_Data_old[[#This Row],[Trimmed Measure Name]])</f>
        <v>1.0603846876879557</v>
      </c>
      <c r="AI316">
        <f>$AH316*tbl_Data_old[[#This Row],[2025 ]]</f>
        <v>0.48291033340288769</v>
      </c>
      <c r="AJ316">
        <f>$AH316*tbl_Data_old[[#This Row],[2026 ]]</f>
        <v>0.52562542265778911</v>
      </c>
      <c r="AK316">
        <f>$AH316*tbl_Data_old[[#This Row],[2027 ]]</f>
        <v>0.55951651196135754</v>
      </c>
      <c r="AL316">
        <f>$AH316*tbl_Data_old[[#This Row],[2028 ]]</f>
        <v>0.58791176768631703</v>
      </c>
      <c r="AM316">
        <f>$AH316*tbl_Data_old[[#This Row],[2029 ]]</f>
        <v>0.61083657797948276</v>
      </c>
      <c r="AN316">
        <f>$AH316*tbl_Data_old[[#This Row],[2030 ]]</f>
        <v>0.62845921831393758</v>
      </c>
      <c r="AO316">
        <f>$AH316*tbl_Data_old[[#This Row],[2031 ]]</f>
        <v>0.6414724503156648</v>
      </c>
      <c r="AP316">
        <f>$AH316*tbl_Data_old[[#This Row],[2032 ]]</f>
        <v>0.65181903581115941</v>
      </c>
      <c r="AQ316">
        <f>$AH316*tbl_Data_old[[#This Row],[2033 ]]</f>
        <v>0.6604589469733122</v>
      </c>
      <c r="AR316">
        <f>$AH316*tbl_Data_old[[#This Row],[2034 ]]</f>
        <v>0.66669985634384565</v>
      </c>
      <c r="AS316">
        <f>SUM(tbl_Data_old[[#This Row],[Adjusted 2025]:[Adjusted 2034]])</f>
        <v>6.0157101214457542</v>
      </c>
      <c r="AT316" s="3">
        <f>AVERAGEIFS('3. Incentive Adjustment'!F:F,'3. Incentive Adjustment'!A:A,tbl_Data_old[[#This Row],[Trimmed Sector]],'3. Incentive Adjustment'!B:B,tbl_Data_old[[#This Row],[Trimmed Measure Name]])</f>
        <v>28.590998621954778</v>
      </c>
      <c r="AU316" s="3">
        <f>IFERROR(VLOOKUP(tbl_Data_old[[#This Row],[All_Meas_Name_Append]],'IRA Tax Credits'!$A$3:$D$46,4,0),0)</f>
        <v>0</v>
      </c>
      <c r="AV316" s="4">
        <f>tbl_Data_old[[#This Row],[Adj. per unit Incentive ($)]]/tbl_Data_old[[#This Row],[kWh Savings]]*tbl_Data_old[[#This Row],[Sum of Annuals]]</f>
        <v>0.24622268002653405</v>
      </c>
      <c r="AW316" s="4">
        <f>IFERROR(VLOOKUP(tbl_Data_old[[#This Row],[All_Programs]],'1. Set Program Names'!$B$2:$D$15,3,0)*tbl_Data_old[[#This Row],[Sum of Annuals]],"")</f>
        <v>0.21415744525397856</v>
      </c>
      <c r="AX316" s="4">
        <f>tbl_Data_old[[#This Row],[per unit IRA tax ($)]]/tbl_Data_old[[#This Row],[kWh Savings]]*tbl_Data_old[[#This Row],[Sum of Annuals]]</f>
        <v>0</v>
      </c>
      <c r="AY316" s="4">
        <f>tbl_Data_old[[#This Row],[Avoided Costs ($/unit)]]/tbl_Data_old[[#This Row],[kWh Savings]]*tbl_Data_old[[#This Row],[Sum of Annuals]]</f>
        <v>2.5085387156963974</v>
      </c>
      <c r="AZ316" s="4">
        <f>tbl_Data_old[[#This Row],[Lost Revenue ($/unit)]]/tbl_Data_old[[#This Row],[kWh Savings]]*tbl_Data_old[[#This Row],[Sum of Annuals]]</f>
        <v>6.5337834981331513</v>
      </c>
      <c r="BA316" s="4">
        <f>tbl_Data_old[[#This Row],[Incremental Cost ($/unit)]]/tbl_Data_old[[#This Row],[kWh Savings]]*tbl_Data_old[[#This Row],[Sum of Annuals]]</f>
        <v>1.5415292172028461</v>
      </c>
      <c r="BB316">
        <f>ROUNDUP(tbl_Data_old[[#This Row],[Adjusted 2025]]/$L316,0)</f>
        <v>1</v>
      </c>
      <c r="BC316">
        <f>ROUNDUP(tbl_Data_old[[#This Row],[Adjusted 2026]]/$L316,0)</f>
        <v>1</v>
      </c>
      <c r="BD316">
        <f>ROUNDUP(tbl_Data_old[[#This Row],[Adjusted 2027]]/$L316,0)</f>
        <v>1</v>
      </c>
      <c r="BE316">
        <f>ROUNDUP(tbl_Data_old[[#This Row],[Adjusted 2028]]/$L316,0)</f>
        <v>1</v>
      </c>
      <c r="BF316">
        <f>ROUNDUP(tbl_Data_old[[#This Row],[Adjusted 2029]]/$L316,0)</f>
        <v>1</v>
      </c>
      <c r="BG316">
        <f>ROUNDUP(tbl_Data_old[[#This Row],[Adjusted 2030]]/$L316,0)</f>
        <v>1</v>
      </c>
      <c r="BH316">
        <f>ROUNDUP(tbl_Data_old[[#This Row],[Adjusted 2031]]/$L316,0)</f>
        <v>1</v>
      </c>
      <c r="BI316">
        <f>ROUNDUP(tbl_Data_old[[#This Row],[Adjusted 2032]]/$L316,0)</f>
        <v>1</v>
      </c>
      <c r="BJ316">
        <f>ROUNDUP(tbl_Data_old[[#This Row],[Adjusted 2033]]/$L316,0)</f>
        <v>1</v>
      </c>
      <c r="BK316">
        <f>ROUNDUP(tbl_Data_old[[#This Row],[Adjusted 2034]]/$L316,0)</f>
        <v>1</v>
      </c>
      <c r="BL316" s="3">
        <f t="shared" si="21"/>
        <v>1.8639926871812439E-2</v>
      </c>
      <c r="BM316" s="3">
        <f t="shared" si="21"/>
        <v>2.0288692874444309E-2</v>
      </c>
      <c r="BN316" s="3">
        <f t="shared" si="21"/>
        <v>2.1596860007197582E-2</v>
      </c>
      <c r="BO316" s="3">
        <f t="shared" si="21"/>
        <v>2.2692892652616415E-2</v>
      </c>
      <c r="BP316" s="3">
        <f t="shared" si="21"/>
        <v>2.3577770771507849E-2</v>
      </c>
      <c r="BQ316" s="3">
        <f t="shared" si="21"/>
        <v>2.425798965356776E-2</v>
      </c>
      <c r="BR316" s="3">
        <f t="shared" si="21"/>
        <v>2.4760289306525806E-2</v>
      </c>
      <c r="BS316" s="3">
        <f t="shared" si="21"/>
        <v>2.5159658679407029E-2</v>
      </c>
      <c r="BT316" s="3">
        <f t="shared" si="21"/>
        <v>2.5493151879079617E-2</v>
      </c>
      <c r="BU316" s="3">
        <f t="shared" si="21"/>
        <v>2.5734045656316928E-2</v>
      </c>
      <c r="BV316">
        <f>VLOOKUP($H316,'1. Set Program Names'!$B$2:$D$15,3,0)*V316</f>
        <v>1.6212475301455389E-2</v>
      </c>
      <c r="BW316">
        <f>VLOOKUP($H316,'1. Set Program Names'!$B$2:$D$15,3,0)*W316</f>
        <v>1.7646524816744578E-2</v>
      </c>
      <c r="BX316">
        <f>VLOOKUP($H316,'1. Set Program Names'!$B$2:$D$15,3,0)*X316</f>
        <v>1.8784331175953534E-2</v>
      </c>
      <c r="BY316">
        <f>VLOOKUP($H316,'1. Set Program Names'!$B$2:$D$15,3,0)*Y316</f>
        <v>1.9737629025008554E-2</v>
      </c>
      <c r="BZ316">
        <f>VLOOKUP($H316,'1. Set Program Names'!$B$2:$D$15,3,0)*Z316</f>
        <v>2.0507270705793255E-2</v>
      </c>
      <c r="CA316">
        <f>VLOOKUP($H316,'1. Set Program Names'!$B$2:$D$15,3,0)*AA316</f>
        <v>2.1098905635523406E-2</v>
      </c>
      <c r="CB316">
        <f>VLOOKUP($H316,'1. Set Program Names'!$B$2:$D$15,3,0)*AB316</f>
        <v>2.1535791508172763E-2</v>
      </c>
      <c r="CC316">
        <f>VLOOKUP($H316,'1. Set Program Names'!$B$2:$D$15,3,0)*AC316</f>
        <v>2.1883151566960642E-2</v>
      </c>
      <c r="CD316">
        <f>VLOOKUP($H316,'1. Set Program Names'!$B$2:$D$15,3,0)*AD316</f>
        <v>2.2173214414313941E-2</v>
      </c>
      <c r="CE316">
        <f>VLOOKUP($H316,'1. Set Program Names'!$B$2:$D$15,3,0)*AE316</f>
        <v>2.2382736932325537E-2</v>
      </c>
    </row>
    <row r="317" spans="1:83" x14ac:dyDescent="0.25">
      <c r="A317" s="20" t="s">
        <v>116</v>
      </c>
      <c r="B317" s="20" t="s">
        <v>88</v>
      </c>
      <c r="C317" s="20" t="s">
        <v>122</v>
      </c>
      <c r="D317" s="20" t="s">
        <v>90</v>
      </c>
      <c r="E317" s="20" t="s">
        <v>91</v>
      </c>
      <c r="F317" s="20" t="s">
        <v>90</v>
      </c>
      <c r="G317" s="20" t="s">
        <v>92</v>
      </c>
      <c r="H317" s="20" t="s">
        <v>14</v>
      </c>
      <c r="I317" s="20" t="s">
        <v>162</v>
      </c>
      <c r="J317" s="20" t="s">
        <v>161</v>
      </c>
      <c r="K317" s="20" t="s">
        <v>159</v>
      </c>
      <c r="L317" s="20">
        <v>638.46285714285602</v>
      </c>
      <c r="M317" s="20">
        <v>7.6348348575361394E-2</v>
      </c>
      <c r="N317" s="20">
        <v>7.27444471789533E-2</v>
      </c>
      <c r="O317" s="20">
        <v>179</v>
      </c>
      <c r="P317" s="20">
        <v>51.129983050636802</v>
      </c>
      <c r="Q317" s="20">
        <v>22.729082953619599</v>
      </c>
      <c r="R317" s="20">
        <v>256.15438258671003</v>
      </c>
      <c r="S317" s="20">
        <v>693.44732308484095</v>
      </c>
      <c r="T317" s="20">
        <v>15</v>
      </c>
      <c r="U317" s="20">
        <v>0.2</v>
      </c>
      <c r="V317" s="20">
        <v>1.17177749657952</v>
      </c>
      <c r="W317" s="20">
        <v>1.27542526903569</v>
      </c>
      <c r="X317" s="20">
        <v>1.35766168651023</v>
      </c>
      <c r="Y317" s="20">
        <v>1.4265625141932301</v>
      </c>
      <c r="Z317" s="20">
        <v>1.48218935619015</v>
      </c>
      <c r="AA317" s="20">
        <v>1.52495053139367</v>
      </c>
      <c r="AB317" s="20">
        <v>1.55652701953784</v>
      </c>
      <c r="AC317" s="20">
        <v>1.5816329143829999</v>
      </c>
      <c r="AD317" s="20">
        <v>1.6025975796054599</v>
      </c>
      <c r="AE317" s="20">
        <v>1.6177410889751001</v>
      </c>
      <c r="AF317" t="str">
        <f t="shared" si="18"/>
        <v>NonResidential</v>
      </c>
      <c r="AG317" t="str">
        <f>tbl_Data_old[[#This Row],[All_Meas_Name_Append]]</f>
        <v>LED High Bay_LF Baseline</v>
      </c>
      <c r="AH317">
        <f>AVERAGEIFS('3. Incentive Adjustment'!G:G,'3. Incentive Adjustment'!A:A,tbl_Data_old[[#This Row],[Trimmed Sector]],'3. Incentive Adjustment'!B:B,tbl_Data_old[[#This Row],[Trimmed Measure Name]])</f>
        <v>0.93017466414143679</v>
      </c>
      <c r="AI317">
        <f>$AH317*tbl_Data_old[[#This Row],[2025 ]]</f>
        <v>1.0899577393293487</v>
      </c>
      <c r="AJ317">
        <f>$AH317*tbl_Data_old[[#This Row],[2026 ]]</f>
        <v>1.1863682712627746</v>
      </c>
      <c r="AK317">
        <f>$AH317*tbl_Data_old[[#This Row],[2027 ]]</f>
        <v>1.2628625032673499</v>
      </c>
      <c r="AL317">
        <f>$AH317*tbl_Data_old[[#This Row],[2028 ]]</f>
        <v>1.3269523075164515</v>
      </c>
      <c r="AM317">
        <f>$AH317*tbl_Data_old[[#This Row],[2029 ]]</f>
        <v>1.3786949865881852</v>
      </c>
      <c r="AN317">
        <f>$AH317*tbl_Data_old[[#This Row],[2030 ]]</f>
        <v>1.4184703483714125</v>
      </c>
      <c r="AO317">
        <f>$AH317*tbl_Data_old[[#This Row],[2031 ]]</f>
        <v>1.447841997625682</v>
      </c>
      <c r="AP317">
        <f>$AH317*tbl_Data_old[[#This Row],[2032 ]]</f>
        <v>1.4711948649312487</v>
      </c>
      <c r="AQ317">
        <f>$AH317*tbl_Data_old[[#This Row],[2033 ]]</f>
        <v>1.4906956653633883</v>
      </c>
      <c r="AR317">
        <f>$AH317*tbl_Data_old[[#This Row],[2034 ]]</f>
        <v>1.5047817741052159</v>
      </c>
      <c r="AS317">
        <f>SUM(tbl_Data_old[[#This Row],[Adjusted 2025]:[Adjusted 2034]])</f>
        <v>13.577820458361057</v>
      </c>
      <c r="AT317" s="3">
        <f>AVERAGEIFS('3. Incentive Adjustment'!F:F,'3. Incentive Adjustment'!A:A,tbl_Data_old[[#This Row],[Trimmed Sector]],'3. Incentive Adjustment'!B:B,tbl_Data_old[[#This Row],[Trimmed Measure Name]])</f>
        <v>23.858858929800434</v>
      </c>
      <c r="AU317" s="3">
        <f>IFERROR(VLOOKUP(tbl_Data_old[[#This Row],[All_Meas_Name_Append]],'IRA Tax Credits'!$A$3:$D$46,4,0),0)</f>
        <v>0</v>
      </c>
      <c r="AV317" s="4">
        <f>tbl_Data_old[[#This Row],[Adj. per unit Incentive ($)]]/tbl_Data_old[[#This Row],[kWh Savings]]*tbl_Data_old[[#This Row],[Sum of Annuals]]</f>
        <v>0.50739255896558855</v>
      </c>
      <c r="AW317" s="4">
        <f>IFERROR(VLOOKUP(tbl_Data_old[[#This Row],[All_Programs]],'1. Set Program Names'!$B$2:$D$15,3,0)*tbl_Data_old[[#This Row],[Sum of Annuals]],"")</f>
        <v>0.48336626645516945</v>
      </c>
      <c r="AX317" s="4">
        <f>tbl_Data_old[[#This Row],[per unit IRA tax ($)]]/tbl_Data_old[[#This Row],[kWh Savings]]*tbl_Data_old[[#This Row],[Sum of Annuals]]</f>
        <v>0</v>
      </c>
      <c r="AY317" s="4">
        <f>tbl_Data_old[[#This Row],[Avoided Costs ($/unit)]]/tbl_Data_old[[#This Row],[kWh Savings]]*tbl_Data_old[[#This Row],[Sum of Annuals]]</f>
        <v>5.4474871599405663</v>
      </c>
      <c r="AZ317" s="4">
        <f>tbl_Data_old[[#This Row],[Lost Revenue ($/unit)]]/tbl_Data_old[[#This Row],[kWh Savings]]*tbl_Data_old[[#This Row],[Sum of Annuals]]</f>
        <v>14.747143306521814</v>
      </c>
      <c r="BA317" s="4">
        <f>tbl_Data_old[[#This Row],[Incremental Cost ($/unit)]]/tbl_Data_old[[#This Row],[kWh Savings]]*tbl_Data_old[[#This Row],[Sum of Annuals]]</f>
        <v>3.8066895119363546</v>
      </c>
      <c r="BB317">
        <f>ROUNDUP(tbl_Data_old[[#This Row],[Adjusted 2025]]/$L317,0)</f>
        <v>1</v>
      </c>
      <c r="BC317">
        <f>ROUNDUP(tbl_Data_old[[#This Row],[Adjusted 2026]]/$L317,0)</f>
        <v>1</v>
      </c>
      <c r="BD317">
        <f>ROUNDUP(tbl_Data_old[[#This Row],[Adjusted 2027]]/$L317,0)</f>
        <v>1</v>
      </c>
      <c r="BE317">
        <f>ROUNDUP(tbl_Data_old[[#This Row],[Adjusted 2028]]/$L317,0)</f>
        <v>1</v>
      </c>
      <c r="BF317">
        <f>ROUNDUP(tbl_Data_old[[#This Row],[Adjusted 2029]]/$L317,0)</f>
        <v>1</v>
      </c>
      <c r="BG317">
        <f>ROUNDUP(tbl_Data_old[[#This Row],[Adjusted 2030]]/$L317,0)</f>
        <v>1</v>
      </c>
      <c r="BH317">
        <f>ROUNDUP(tbl_Data_old[[#This Row],[Adjusted 2031]]/$L317,0)</f>
        <v>1</v>
      </c>
      <c r="BI317">
        <f>ROUNDUP(tbl_Data_old[[#This Row],[Adjusted 2032]]/$L317,0)</f>
        <v>1</v>
      </c>
      <c r="BJ317">
        <f>ROUNDUP(tbl_Data_old[[#This Row],[Adjusted 2033]]/$L317,0)</f>
        <v>1</v>
      </c>
      <c r="BK317">
        <f>ROUNDUP(tbl_Data_old[[#This Row],[Adjusted 2034]]/$L317,0)</f>
        <v>1</v>
      </c>
      <c r="BL317" s="3">
        <f t="shared" si="21"/>
        <v>4.3788410986216601E-2</v>
      </c>
      <c r="BM317" s="3">
        <f t="shared" si="21"/>
        <v>4.7661647391050249E-2</v>
      </c>
      <c r="BN317" s="3">
        <f t="shared" si="21"/>
        <v>5.073475816243881E-2</v>
      </c>
      <c r="BO317" s="3">
        <f t="shared" si="21"/>
        <v>5.3309528345925561E-2</v>
      </c>
      <c r="BP317" s="3">
        <f t="shared" si="21"/>
        <v>5.5388260038876418E-2</v>
      </c>
      <c r="BQ317" s="3">
        <f t="shared" si="21"/>
        <v>5.6986211799796141E-2</v>
      </c>
      <c r="BR317" s="3">
        <f t="shared" si="21"/>
        <v>5.8166200530075089E-2</v>
      </c>
      <c r="BS317" s="3">
        <f t="shared" si="21"/>
        <v>5.9104388236244261E-2</v>
      </c>
      <c r="BT317" s="3">
        <f t="shared" si="21"/>
        <v>5.9887821421835588E-2</v>
      </c>
      <c r="BU317" s="3">
        <f t="shared" si="21"/>
        <v>6.0453722554078763E-2</v>
      </c>
      <c r="BV317">
        <f>VLOOKUP($H317,'1. Set Program Names'!$B$2:$D$15,3,0)*V317</f>
        <v>4.1714921431962732E-2</v>
      </c>
      <c r="BW317">
        <f>VLOOKUP($H317,'1. Set Program Names'!$B$2:$D$15,3,0)*W317</f>
        <v>4.5404750514043649E-2</v>
      </c>
      <c r="BX317">
        <f>VLOOKUP($H317,'1. Set Program Names'!$B$2:$D$15,3,0)*X317</f>
        <v>4.8332341890230925E-2</v>
      </c>
      <c r="BY317">
        <f>VLOOKUP($H317,'1. Set Program Names'!$B$2:$D$15,3,0)*Y317</f>
        <v>5.0785190337810329E-2</v>
      </c>
      <c r="BZ317">
        <f>VLOOKUP($H317,'1. Set Program Names'!$B$2:$D$15,3,0)*Z317</f>
        <v>5.2765488944144116E-2</v>
      </c>
      <c r="CA317">
        <f>VLOOKUP($H317,'1. Set Program Names'!$B$2:$D$15,3,0)*AA317</f>
        <v>5.4287773737255587E-2</v>
      </c>
      <c r="CB317">
        <f>VLOOKUP($H317,'1. Set Program Names'!$B$2:$D$15,3,0)*AB317</f>
        <v>5.5411887082900436E-2</v>
      </c>
      <c r="CC317">
        <f>VLOOKUP($H317,'1. Set Program Names'!$B$2:$D$15,3,0)*AC317</f>
        <v>5.6305649280930403E-2</v>
      </c>
      <c r="CD317">
        <f>VLOOKUP($H317,'1. Set Program Names'!$B$2:$D$15,3,0)*AD317</f>
        <v>5.7051984967658599E-2</v>
      </c>
      <c r="CE317">
        <f>VLOOKUP($H317,'1. Set Program Names'!$B$2:$D$15,3,0)*AE317</f>
        <v>5.7591089281747859E-2</v>
      </c>
    </row>
    <row r="318" spans="1:83" x14ac:dyDescent="0.25">
      <c r="A318" s="20" t="s">
        <v>116</v>
      </c>
      <c r="B318" s="20" t="s">
        <v>88</v>
      </c>
      <c r="C318" s="20" t="s">
        <v>122</v>
      </c>
      <c r="D318" s="20" t="s">
        <v>90</v>
      </c>
      <c r="E318" s="20" t="s">
        <v>91</v>
      </c>
      <c r="F318" s="20" t="s">
        <v>90</v>
      </c>
      <c r="G318" s="20" t="s">
        <v>92</v>
      </c>
      <c r="H318" s="20" t="s">
        <v>14</v>
      </c>
      <c r="I318" s="20" t="s">
        <v>163</v>
      </c>
      <c r="J318" s="20" t="s">
        <v>161</v>
      </c>
      <c r="K318" s="20" t="s">
        <v>159</v>
      </c>
      <c r="L318" s="20">
        <v>336.08</v>
      </c>
      <c r="M318" s="20">
        <v>5.3794325187228403E-2</v>
      </c>
      <c r="N318" s="20">
        <v>5.3413522005729602E-2</v>
      </c>
      <c r="O318" s="20">
        <v>109.08</v>
      </c>
      <c r="P318" s="20">
        <v>41.915763754167898</v>
      </c>
      <c r="Q318" s="20">
        <v>11.9643454800743</v>
      </c>
      <c r="R318" s="20">
        <v>148.30416484676499</v>
      </c>
      <c r="S318" s="20">
        <v>365.02323312162099</v>
      </c>
      <c r="T318" s="20">
        <v>15</v>
      </c>
      <c r="U318" s="20">
        <v>0.2</v>
      </c>
      <c r="V318" s="20">
        <v>1.9879525738244901</v>
      </c>
      <c r="W318" s="20">
        <v>2.0899266264784702</v>
      </c>
      <c r="X318" s="20">
        <v>2.1448443866067901</v>
      </c>
      <c r="Y318" s="20">
        <v>2.1784813281001401</v>
      </c>
      <c r="Z318" s="20">
        <v>2.1973947837541501</v>
      </c>
      <c r="AA318" s="20">
        <v>2.1998233551306798</v>
      </c>
      <c r="AB318" s="20">
        <v>2.1933789562016899</v>
      </c>
      <c r="AC318" s="20">
        <v>2.1843254521044799</v>
      </c>
      <c r="AD318" s="20">
        <v>2.1709821477804199</v>
      </c>
      <c r="AE318" s="20">
        <v>2.15604869920484</v>
      </c>
      <c r="AF318" t="str">
        <f t="shared" si="18"/>
        <v>NonResidential</v>
      </c>
      <c r="AG318" t="str">
        <f>tbl_Data_old[[#This Row],[All_Meas_Name_Append]]</f>
        <v>LED Linear - Fixture Replacement</v>
      </c>
      <c r="AH318">
        <f>AVERAGEIFS('3. Incentive Adjustment'!G:G,'3. Incentive Adjustment'!A:A,tbl_Data_old[[#This Row],[Trimmed Sector]],'3. Incentive Adjustment'!B:B,tbl_Data_old[[#This Row],[Trimmed Measure Name]])</f>
        <v>0.56055357916158088</v>
      </c>
      <c r="AI318">
        <f>$AH318*tbl_Data_old[[#This Row],[2025 ]]</f>
        <v>1.1143539304607948</v>
      </c>
      <c r="AJ318">
        <f>$AH318*tbl_Data_old[[#This Row],[2026 ]]</f>
        <v>1.1715158506575949</v>
      </c>
      <c r="AK318">
        <f>$AH318*tbl_Data_old[[#This Row],[2027 ]]</f>
        <v>1.2023001976570618</v>
      </c>
      <c r="AL318">
        <f>$AH318*tbl_Data_old[[#This Row],[2028 ]]</f>
        <v>1.2211555056032077</v>
      </c>
      <c r="AM318">
        <f>$AH318*tbl_Data_old[[#This Row],[2029 ]]</f>
        <v>1.2317575108643768</v>
      </c>
      <c r="AN318">
        <f>$AH318*tbl_Data_old[[#This Row],[2030 ]]</f>
        <v>1.23311885524174</v>
      </c>
      <c r="AO318">
        <f>$AH318*tbl_Data_old[[#This Row],[2031 ]]</f>
        <v>1.2295064243565497</v>
      </c>
      <c r="AP318">
        <f>$AH318*tbl_Data_old[[#This Row],[2032 ]]</f>
        <v>1.2244314502309046</v>
      </c>
      <c r="AQ318">
        <f>$AH318*tbl_Data_old[[#This Row],[2033 ]]</f>
        <v>1.2169518132342105</v>
      </c>
      <c r="AR318">
        <f>$AH318*tbl_Data_old[[#This Row],[2034 ]]</f>
        <v>1.2085808151859438</v>
      </c>
      <c r="AS318">
        <f>SUM(tbl_Data_old[[#This Row],[Adjusted 2025]:[Adjusted 2034]])</f>
        <v>12.053672353492383</v>
      </c>
      <c r="AT318" s="3">
        <f>AVERAGEIFS('3. Incentive Adjustment'!F:F,'3. Incentive Adjustment'!A:A,tbl_Data_old[[#This Row],[Trimmed Sector]],'3. Incentive Adjustment'!B:B,tbl_Data_old[[#This Row],[Trimmed Measure Name]])</f>
        <v>16.810726621008875</v>
      </c>
      <c r="AU318" s="3">
        <f>IFERROR(VLOOKUP(tbl_Data_old[[#This Row],[All_Meas_Name_Append]],'IRA Tax Credits'!$A$3:$D$46,4,0),0)</f>
        <v>0</v>
      </c>
      <c r="AV318" s="4">
        <f>tbl_Data_old[[#This Row],[Adj. per unit Incentive ($)]]/tbl_Data_old[[#This Row],[kWh Savings]]*tbl_Data_old[[#This Row],[Sum of Annuals]]</f>
        <v>0.60292487120260985</v>
      </c>
      <c r="AW318" s="4">
        <f>IFERROR(VLOOKUP(tbl_Data_old[[#This Row],[All_Programs]],'1. Set Program Names'!$B$2:$D$15,3,0)*tbl_Data_old[[#This Row],[Sum of Annuals]],"")</f>
        <v>0.42910705885742656</v>
      </c>
      <c r="AX318" s="4">
        <f>tbl_Data_old[[#This Row],[per unit IRA tax ($)]]/tbl_Data_old[[#This Row],[kWh Savings]]*tbl_Data_old[[#This Row],[Sum of Annuals]]</f>
        <v>0</v>
      </c>
      <c r="AY318" s="4">
        <f>tbl_Data_old[[#This Row],[Avoided Costs ($/unit)]]/tbl_Data_old[[#This Row],[kWh Savings]]*tbl_Data_old[[#This Row],[Sum of Annuals]]</f>
        <v>5.3190008680112717</v>
      </c>
      <c r="AZ318" s="4">
        <f>tbl_Data_old[[#This Row],[Lost Revenue ($/unit)]]/tbl_Data_old[[#This Row],[kWh Savings]]*tbl_Data_old[[#This Row],[Sum of Annuals]]</f>
        <v>13.091735460189502</v>
      </c>
      <c r="BA318" s="4">
        <f>tbl_Data_old[[#This Row],[Incremental Cost ($/unit)]]/tbl_Data_old[[#This Row],[kWh Savings]]*tbl_Data_old[[#This Row],[Sum of Annuals]]</f>
        <v>3.9122071540078229</v>
      </c>
      <c r="BB318">
        <f>ROUNDUP(tbl_Data_old[[#This Row],[Adjusted 2025]]/$L318,0)</f>
        <v>1</v>
      </c>
      <c r="BC318">
        <f>ROUNDUP(tbl_Data_old[[#This Row],[Adjusted 2026]]/$L318,0)</f>
        <v>1</v>
      </c>
      <c r="BD318">
        <f>ROUNDUP(tbl_Data_old[[#This Row],[Adjusted 2027]]/$L318,0)</f>
        <v>1</v>
      </c>
      <c r="BE318">
        <f>ROUNDUP(tbl_Data_old[[#This Row],[Adjusted 2028]]/$L318,0)</f>
        <v>1</v>
      </c>
      <c r="BF318">
        <f>ROUNDUP(tbl_Data_old[[#This Row],[Adjusted 2029]]/$L318,0)</f>
        <v>1</v>
      </c>
      <c r="BG318">
        <f>ROUNDUP(tbl_Data_old[[#This Row],[Adjusted 2030]]/$L318,0)</f>
        <v>1</v>
      </c>
      <c r="BH318">
        <f>ROUNDUP(tbl_Data_old[[#This Row],[Adjusted 2031]]/$L318,0)</f>
        <v>1</v>
      </c>
      <c r="BI318">
        <f>ROUNDUP(tbl_Data_old[[#This Row],[Adjusted 2032]]/$L318,0)</f>
        <v>1</v>
      </c>
      <c r="BJ318">
        <f>ROUNDUP(tbl_Data_old[[#This Row],[Adjusted 2033]]/$L318,0)</f>
        <v>1</v>
      </c>
      <c r="BK318">
        <f>ROUNDUP(tbl_Data_old[[#This Row],[Adjusted 2034]]/$L318,0)</f>
        <v>1</v>
      </c>
      <c r="BL318" s="3">
        <f t="shared" si="21"/>
        <v>9.9437417442556741E-2</v>
      </c>
      <c r="BM318" s="3">
        <f t="shared" si="21"/>
        <v>0.10453816107979319</v>
      </c>
      <c r="BN318" s="3">
        <f t="shared" si="21"/>
        <v>0.10728514826187878</v>
      </c>
      <c r="BO318" s="3">
        <f t="shared" si="21"/>
        <v>0.10896766857790942</v>
      </c>
      <c r="BP318" s="3">
        <f t="shared" si="21"/>
        <v>0.10991371991228854</v>
      </c>
      <c r="BQ318" s="3">
        <f t="shared" si="21"/>
        <v>0.11003519708882524</v>
      </c>
      <c r="BR318" s="3">
        <f t="shared" si="21"/>
        <v>0.10971284815811834</v>
      </c>
      <c r="BS318" s="3">
        <f t="shared" si="21"/>
        <v>0.10925999174791726</v>
      </c>
      <c r="BT318" s="3">
        <f t="shared" si="21"/>
        <v>0.10859255946627985</v>
      </c>
      <c r="BU318" s="3">
        <f t="shared" si="21"/>
        <v>0.10784558814542479</v>
      </c>
      <c r="BV318">
        <f>VLOOKUP($H318,'1. Set Program Names'!$B$2:$D$15,3,0)*V318</f>
        <v>7.0770505210780876E-2</v>
      </c>
      <c r="BW318">
        <f>VLOOKUP($H318,'1. Set Program Names'!$B$2:$D$15,3,0)*W318</f>
        <v>7.4400750378465691E-2</v>
      </c>
      <c r="BX318">
        <f>VLOOKUP($H318,'1. Set Program Names'!$B$2:$D$15,3,0)*X318</f>
        <v>7.6355805886580044E-2</v>
      </c>
      <c r="BY318">
        <f>VLOOKUP($H318,'1. Set Program Names'!$B$2:$D$15,3,0)*Y318</f>
        <v>7.7553270742922259E-2</v>
      </c>
      <c r="BZ318">
        <f>VLOOKUP($H318,'1. Set Program Names'!$B$2:$D$15,3,0)*Z318</f>
        <v>7.8226583994727303E-2</v>
      </c>
      <c r="CA318">
        <f>VLOOKUP($H318,'1. Set Program Names'!$B$2:$D$15,3,0)*AA318</f>
        <v>7.8313040394905303E-2</v>
      </c>
      <c r="CB318">
        <f>VLOOKUP($H318,'1. Set Program Names'!$B$2:$D$15,3,0)*AB318</f>
        <v>7.8083621758872637E-2</v>
      </c>
      <c r="CC318">
        <f>VLOOKUP($H318,'1. Set Program Names'!$B$2:$D$15,3,0)*AC318</f>
        <v>7.7761319774748955E-2</v>
      </c>
      <c r="CD318">
        <f>VLOOKUP($H318,'1. Set Program Names'!$B$2:$D$15,3,0)*AD318</f>
        <v>7.7286302211136651E-2</v>
      </c>
      <c r="CE318">
        <f>VLOOKUP($H318,'1. Set Program Names'!$B$2:$D$15,3,0)*AE318</f>
        <v>7.675467599723769E-2</v>
      </c>
    </row>
    <row r="319" spans="1:83" x14ac:dyDescent="0.25">
      <c r="A319" s="20" t="s">
        <v>116</v>
      </c>
      <c r="B319" s="20" t="s">
        <v>88</v>
      </c>
      <c r="C319" s="20" t="s">
        <v>122</v>
      </c>
      <c r="D319" s="20" t="s">
        <v>90</v>
      </c>
      <c r="E319" s="20" t="s">
        <v>91</v>
      </c>
      <c r="F319" s="20" t="s">
        <v>90</v>
      </c>
      <c r="G319" s="20" t="s">
        <v>92</v>
      </c>
      <c r="H319" s="20" t="s">
        <v>14</v>
      </c>
      <c r="I319" s="20" t="s">
        <v>164</v>
      </c>
      <c r="J319" s="20" t="s">
        <v>158</v>
      </c>
      <c r="K319" s="20" t="s">
        <v>159</v>
      </c>
      <c r="L319" s="20">
        <v>612.05999999999904</v>
      </c>
      <c r="M319" s="20">
        <v>0</v>
      </c>
      <c r="N319" s="20">
        <v>3.0244631686656E-2</v>
      </c>
      <c r="O319" s="20">
        <v>255</v>
      </c>
      <c r="P319" s="20">
        <v>129.095003330796</v>
      </c>
      <c r="Q319" s="20">
        <v>21.789149293425101</v>
      </c>
      <c r="R319" s="20">
        <v>299.625229349054</v>
      </c>
      <c r="S319" s="20">
        <v>664.77065003695395</v>
      </c>
      <c r="T319" s="20">
        <v>15</v>
      </c>
      <c r="U319" s="20">
        <v>0.2</v>
      </c>
      <c r="V319" s="20">
        <v>2.6542253011797898</v>
      </c>
      <c r="W319" s="20">
        <v>2.8838082933277698</v>
      </c>
      <c r="X319" s="20">
        <v>3.0682634729209299</v>
      </c>
      <c r="Y319" s="20">
        <v>3.22305238577382</v>
      </c>
      <c r="Z319" s="20">
        <v>3.3468516821146101</v>
      </c>
      <c r="AA319" s="20">
        <v>3.4421518928246799</v>
      </c>
      <c r="AB319" s="20">
        <v>3.5112085536147801</v>
      </c>
      <c r="AC319" s="20">
        <v>3.56499653730455</v>
      </c>
      <c r="AD319" s="20">
        <v>3.6108182579742198</v>
      </c>
      <c r="AE319" s="20">
        <v>3.6427825750526002</v>
      </c>
      <c r="AF319" t="str">
        <f t="shared" si="18"/>
        <v>NonResidential</v>
      </c>
      <c r="AG319" t="str">
        <f>tbl_Data_old[[#This Row],[All_Meas_Name_Append]]</f>
        <v>LED Parking Lighting</v>
      </c>
      <c r="AH319">
        <f>AVERAGEIFS('3. Incentive Adjustment'!G:G,'3. Incentive Adjustment'!A:A,tbl_Data_old[[#This Row],[Trimmed Sector]],'3. Incentive Adjustment'!B:B,tbl_Data_old[[#This Row],[Trimmed Measure Name]])</f>
        <v>0.59704067730377497</v>
      </c>
      <c r="AI319">
        <f>$AH319*tbl_Data_old[[#This Row],[2025 ]]</f>
        <v>1.5846804715331979</v>
      </c>
      <c r="AJ319">
        <f>$AH319*tbl_Data_old[[#This Row],[2026 ]]</f>
        <v>1.7217508566626549</v>
      </c>
      <c r="AK319">
        <f>$AH319*tbl_Data_old[[#This Row],[2027 ]]</f>
        <v>1.8318781020191448</v>
      </c>
      <c r="AL319">
        <f>$AH319*tbl_Data_old[[#This Row],[2028 ]]</f>
        <v>1.9242933793879493</v>
      </c>
      <c r="AM319">
        <f>$AH319*tbl_Data_old[[#This Row],[2029 ]]</f>
        <v>1.9982065951249854</v>
      </c>
      <c r="AN319">
        <f>$AH319*tbl_Data_old[[#This Row],[2030 ]]</f>
        <v>2.0551046974745177</v>
      </c>
      <c r="AO319">
        <f>$AH319*tbl_Data_old[[#This Row],[2031 ]]</f>
        <v>2.0963343330049762</v>
      </c>
      <c r="AP319">
        <f>$AH319*tbl_Data_old[[#This Row],[2032 ]]</f>
        <v>2.128447947217921</v>
      </c>
      <c r="AQ319">
        <f>$AH319*tbl_Data_old[[#This Row],[2033 ]]</f>
        <v>2.155805378361765</v>
      </c>
      <c r="AR319">
        <f>$AH319*tbl_Data_old[[#This Row],[2034 ]]</f>
        <v>2.1748893758797938</v>
      </c>
      <c r="AS319">
        <f>SUM(tbl_Data_old[[#This Row],[Adjusted 2025]:[Adjusted 2034]])</f>
        <v>19.671391136666905</v>
      </c>
      <c r="AT319" s="3">
        <f>AVERAGEIFS('3. Incentive Adjustment'!F:F,'3. Incentive Adjustment'!A:A,tbl_Data_old[[#This Row],[Trimmed Sector]],'3. Incentive Adjustment'!B:B,tbl_Data_old[[#This Row],[Trimmed Measure Name]])</f>
        <v>9.4514474020799994</v>
      </c>
      <c r="AU319" s="3">
        <f>IFERROR(VLOOKUP(tbl_Data_old[[#This Row],[All_Meas_Name_Append]],'IRA Tax Credits'!$A$3:$D$46,4,0),0)</f>
        <v>0</v>
      </c>
      <c r="AV319" s="4">
        <f>tbl_Data_old[[#This Row],[Adj. per unit Incentive ($)]]/tbl_Data_old[[#This Row],[kWh Savings]]*tbl_Data_old[[#This Row],[Sum of Annuals]]</f>
        <v>0.30376616451646937</v>
      </c>
      <c r="AW319" s="4">
        <f>IFERROR(VLOOKUP(tbl_Data_old[[#This Row],[All_Programs]],'1. Set Program Names'!$B$2:$D$15,3,0)*tbl_Data_old[[#This Row],[Sum of Annuals]],"")</f>
        <v>0.70029552378230064</v>
      </c>
      <c r="AX319" s="4">
        <f>tbl_Data_old[[#This Row],[per unit IRA tax ($)]]/tbl_Data_old[[#This Row],[kWh Savings]]*tbl_Data_old[[#This Row],[Sum of Annuals]]</f>
        <v>0</v>
      </c>
      <c r="AY319" s="4">
        <f>tbl_Data_old[[#This Row],[Avoided Costs ($/unit)]]/tbl_Data_old[[#This Row],[kWh Savings]]*tbl_Data_old[[#This Row],[Sum of Annuals]]</f>
        <v>9.6298485131176346</v>
      </c>
      <c r="AZ319" s="4">
        <f>tbl_Data_old[[#This Row],[Lost Revenue ($/unit)]]/tbl_Data_old[[#This Row],[kWh Savings]]*tbl_Data_old[[#This Row],[Sum of Annuals]]</f>
        <v>21.365492718121189</v>
      </c>
      <c r="BA319" s="4">
        <f>tbl_Data_old[[#This Row],[Incremental Cost ($/unit)]]/tbl_Data_old[[#This Row],[kWh Savings]]*tbl_Data_old[[#This Row],[Sum of Annuals]]</f>
        <v>8.195609482485489</v>
      </c>
      <c r="BB319">
        <f>ROUNDUP(tbl_Data_old[[#This Row],[Adjusted 2025]]/$L319,0)</f>
        <v>1</v>
      </c>
      <c r="BC319">
        <f>ROUNDUP(tbl_Data_old[[#This Row],[Adjusted 2026]]/$L319,0)</f>
        <v>1</v>
      </c>
      <c r="BD319">
        <f>ROUNDUP(tbl_Data_old[[#This Row],[Adjusted 2027]]/$L319,0)</f>
        <v>1</v>
      </c>
      <c r="BE319">
        <f>ROUNDUP(tbl_Data_old[[#This Row],[Adjusted 2028]]/$L319,0)</f>
        <v>1</v>
      </c>
      <c r="BF319">
        <f>ROUNDUP(tbl_Data_old[[#This Row],[Adjusted 2029]]/$L319,0)</f>
        <v>1</v>
      </c>
      <c r="BG319">
        <f>ROUNDUP(tbl_Data_old[[#This Row],[Adjusted 2030]]/$L319,0)</f>
        <v>1</v>
      </c>
      <c r="BH319">
        <f>ROUNDUP(tbl_Data_old[[#This Row],[Adjusted 2031]]/$L319,0)</f>
        <v>1</v>
      </c>
      <c r="BI319">
        <f>ROUNDUP(tbl_Data_old[[#This Row],[Adjusted 2032]]/$L319,0)</f>
        <v>1</v>
      </c>
      <c r="BJ319">
        <f>ROUNDUP(tbl_Data_old[[#This Row],[Adjusted 2033]]/$L319,0)</f>
        <v>1</v>
      </c>
      <c r="BK319">
        <f>ROUNDUP(tbl_Data_old[[#This Row],[Adjusted 2034]]/$L319,0)</f>
        <v>1</v>
      </c>
      <c r="BL319" s="3">
        <f t="shared" si="21"/>
        <v>4.0986620310706087E-2</v>
      </c>
      <c r="BM319" s="3">
        <f t="shared" si="21"/>
        <v>4.4531847207903714E-2</v>
      </c>
      <c r="BN319" s="3">
        <f t="shared" si="21"/>
        <v>4.7380209178896716E-2</v>
      </c>
      <c r="BO319" s="3">
        <f t="shared" si="21"/>
        <v>4.9770463840619811E-2</v>
      </c>
      <c r="BP319" s="3">
        <f t="shared" si="21"/>
        <v>5.168217598939525E-2</v>
      </c>
      <c r="BQ319" s="3">
        <f t="shared" si="21"/>
        <v>5.3153804471788101E-2</v>
      </c>
      <c r="BR319" s="3">
        <f t="shared" si="21"/>
        <v>5.4220179332456847E-2</v>
      </c>
      <c r="BS319" s="3">
        <f t="shared" si="21"/>
        <v>5.5050774860195627E-2</v>
      </c>
      <c r="BT319" s="3">
        <f t="shared" si="21"/>
        <v>5.5758355134649419E-2</v>
      </c>
      <c r="BU319" s="3">
        <f t="shared" si="21"/>
        <v>5.6251949000626154E-2</v>
      </c>
      <c r="BV319">
        <f>VLOOKUP($H319,'1. Set Program Names'!$B$2:$D$15,3,0)*V319</f>
        <v>9.4489611060668416E-2</v>
      </c>
      <c r="BW319">
        <f>VLOOKUP($H319,'1. Set Program Names'!$B$2:$D$15,3,0)*W319</f>
        <v>0.10266269554771802</v>
      </c>
      <c r="BX319">
        <f>VLOOKUP($H319,'1. Set Program Names'!$B$2:$D$15,3,0)*X319</f>
        <v>0.10922924367388361</v>
      </c>
      <c r="BY319">
        <f>VLOOKUP($H319,'1. Set Program Names'!$B$2:$D$15,3,0)*Y319</f>
        <v>0.11473968175367741</v>
      </c>
      <c r="BZ319">
        <f>VLOOKUP($H319,'1. Set Program Names'!$B$2:$D$15,3,0)*Z319</f>
        <v>0.11914689893890509</v>
      </c>
      <c r="CA319">
        <f>VLOOKUP($H319,'1. Set Program Names'!$B$2:$D$15,3,0)*AA319</f>
        <v>0.12253955736921679</v>
      </c>
      <c r="CB319">
        <f>VLOOKUP($H319,'1. Set Program Names'!$B$2:$D$15,3,0)*AB319</f>
        <v>0.12499795342787266</v>
      </c>
      <c r="CC319">
        <f>VLOOKUP($H319,'1. Set Program Names'!$B$2:$D$15,3,0)*AC319</f>
        <v>0.12691278923940863</v>
      </c>
      <c r="CD319">
        <f>VLOOKUP($H319,'1. Set Program Names'!$B$2:$D$15,3,0)*AD319</f>
        <v>0.12854402851750729</v>
      </c>
      <c r="CE319">
        <f>VLOOKUP($H319,'1. Set Program Names'!$B$2:$D$15,3,0)*AE319</f>
        <v>0.1296819484549043</v>
      </c>
    </row>
    <row r="320" spans="1:83" x14ac:dyDescent="0.25">
      <c r="A320" s="20" t="s">
        <v>116</v>
      </c>
      <c r="B320" s="20" t="s">
        <v>88</v>
      </c>
      <c r="C320" s="20" t="s">
        <v>122</v>
      </c>
      <c r="D320" s="20" t="s">
        <v>90</v>
      </c>
      <c r="E320" s="20" t="s">
        <v>91</v>
      </c>
      <c r="F320" s="20" t="s">
        <v>90</v>
      </c>
      <c r="G320" s="20" t="s">
        <v>92</v>
      </c>
      <c r="H320" s="20" t="s">
        <v>14</v>
      </c>
      <c r="I320" s="20" t="s">
        <v>165</v>
      </c>
      <c r="J320" s="20" t="s">
        <v>161</v>
      </c>
      <c r="K320" s="20" t="s">
        <v>166</v>
      </c>
      <c r="L320" s="20">
        <v>510.6</v>
      </c>
      <c r="M320" s="20">
        <v>6.2552429943266097E-2</v>
      </c>
      <c r="N320" s="20">
        <v>6.4361142955417797E-2</v>
      </c>
      <c r="O320" s="20">
        <v>129</v>
      </c>
      <c r="P320" s="20">
        <v>26.468747947944401</v>
      </c>
      <c r="Q320" s="20">
        <v>18.177204243412199</v>
      </c>
      <c r="R320" s="20">
        <v>174.74401692254699</v>
      </c>
      <c r="S320" s="20">
        <v>419.99719394182398</v>
      </c>
      <c r="T320" s="20">
        <v>10</v>
      </c>
      <c r="U320" s="20">
        <v>0.2</v>
      </c>
      <c r="V320" s="20">
        <v>1.01031225358409</v>
      </c>
      <c r="W320" s="20">
        <v>1.3855865284019699</v>
      </c>
      <c r="X320" s="20">
        <v>1.8431301959813899</v>
      </c>
      <c r="Y320" s="20">
        <v>2.37730749924091</v>
      </c>
      <c r="Z320" s="20">
        <v>2.9446264743708599</v>
      </c>
      <c r="AA320" s="20">
        <v>3.4571214324950601</v>
      </c>
      <c r="AB320" s="20">
        <v>3.8001953692236401</v>
      </c>
      <c r="AC320" s="20">
        <v>3.8659605248708302</v>
      </c>
      <c r="AD320" s="20">
        <v>3.5990904448874499</v>
      </c>
      <c r="AE320" s="20">
        <v>3.0529041981390601</v>
      </c>
      <c r="AF320" t="str">
        <f t="shared" si="18"/>
        <v>NonResidential</v>
      </c>
      <c r="AG320" t="str">
        <f>tbl_Data_old[[#This Row],[All_Meas_Name_Append]]</f>
        <v>Occupancy Sensors_ Ceiling Mounted</v>
      </c>
      <c r="AH320">
        <f>AVERAGEIFS('3. Incentive Adjustment'!G:G,'3. Incentive Adjustment'!A:A,tbl_Data_old[[#This Row],[Trimmed Sector]],'3. Incentive Adjustment'!B:B,tbl_Data_old[[#This Row],[Trimmed Measure Name]])</f>
        <v>0.99348124042467356</v>
      </c>
      <c r="AI320">
        <f>$AH320*tbl_Data_old[[#This Row],[2025 ]]</f>
        <v>1.0037262709069692</v>
      </c>
      <c r="AJ320">
        <f>$AH320*tbl_Data_old[[#This Row],[2026 ]]</f>
        <v>1.3765542229525063</v>
      </c>
      <c r="AK320">
        <f>$AH320*tbl_Data_old[[#This Row],[2027 ]]</f>
        <v>1.8311152733677629</v>
      </c>
      <c r="AL320">
        <f>$AH320*tbl_Data_old[[#This Row],[2028 ]]</f>
        <v>2.361810403216738</v>
      </c>
      <c r="AM320">
        <f>$AH320*tbl_Data_old[[#This Row],[2029 ]]</f>
        <v>2.9254311623452951</v>
      </c>
      <c r="AN320">
        <f>$AH320*tbl_Data_old[[#This Row],[2030 ]]</f>
        <v>3.4345852890539166</v>
      </c>
      <c r="AO320">
        <f>$AH320*tbl_Data_old[[#This Row],[2031 ]]</f>
        <v>3.7754228092724023</v>
      </c>
      <c r="AP320">
        <f>$AH320*tbl_Data_old[[#This Row],[2032 ]]</f>
        <v>3.8407592576814946</v>
      </c>
      <c r="AQ320">
        <f>$AH320*tbl_Data_old[[#This Row],[2033 ]]</f>
        <v>3.5756288395873739</v>
      </c>
      <c r="AR320">
        <f>$AH320*tbl_Data_old[[#This Row],[2034 ]]</f>
        <v>3.0330030496648868</v>
      </c>
      <c r="AS320">
        <f>SUM(tbl_Data_old[[#This Row],[Adjusted 2025]:[Adjusted 2034]])</f>
        <v>27.158036578049348</v>
      </c>
      <c r="AT320" s="3">
        <f>AVERAGEIFS('3. Incentive Adjustment'!F:F,'3. Incentive Adjustment'!A:A,tbl_Data_old[[#This Row],[Trimmed Sector]],'3. Incentive Adjustment'!B:B,tbl_Data_old[[#This Row],[Trimmed Measure Name]])</f>
        <v>19.547634357270656</v>
      </c>
      <c r="AU320" s="3">
        <f>IFERROR(VLOOKUP(tbl_Data_old[[#This Row],[All_Meas_Name_Append]],'IRA Tax Credits'!$A$3:$D$46,4,0),0)</f>
        <v>0</v>
      </c>
      <c r="AV320" s="4">
        <f>tbl_Data_old[[#This Row],[Adj. per unit Incentive ($)]]/tbl_Data_old[[#This Row],[kWh Savings]]*tbl_Data_old[[#This Row],[Sum of Annuals]]</f>
        <v>1.0397089089093041</v>
      </c>
      <c r="AW320" s="4">
        <f>IFERROR(VLOOKUP(tbl_Data_old[[#This Row],[All_Programs]],'1. Set Program Names'!$B$2:$D$15,3,0)*tbl_Data_old[[#This Row],[Sum of Annuals]],"")</f>
        <v>0.96681781772280107</v>
      </c>
      <c r="AX320" s="4">
        <f>tbl_Data_old[[#This Row],[per unit IRA tax ($)]]/tbl_Data_old[[#This Row],[kWh Savings]]*tbl_Data_old[[#This Row],[Sum of Annuals]]</f>
        <v>0</v>
      </c>
      <c r="AY320" s="4">
        <f>tbl_Data_old[[#This Row],[Avoided Costs ($/unit)]]/tbl_Data_old[[#This Row],[kWh Savings]]*tbl_Data_old[[#This Row],[Sum of Annuals]]</f>
        <v>9.2943682008966029</v>
      </c>
      <c r="AZ320" s="4">
        <f>tbl_Data_old[[#This Row],[Lost Revenue ($/unit)]]/tbl_Data_old[[#This Row],[kWh Savings]]*tbl_Data_old[[#This Row],[Sum of Annuals]]</f>
        <v>22.339011272522797</v>
      </c>
      <c r="BA320" s="4">
        <f>tbl_Data_old[[#This Row],[Incremental Cost ($/unit)]]/tbl_Data_old[[#This Row],[kWh Savings]]*tbl_Data_old[[#This Row],[Sum of Annuals]]</f>
        <v>6.861313589048895</v>
      </c>
      <c r="BB320">
        <f>ROUNDUP(tbl_Data_old[[#This Row],[Adjusted 2025]]/$L320,0)</f>
        <v>1</v>
      </c>
      <c r="BC320">
        <f>ROUNDUP(tbl_Data_old[[#This Row],[Adjusted 2026]]/$L320,0)</f>
        <v>1</v>
      </c>
      <c r="BD320">
        <f>ROUNDUP(tbl_Data_old[[#This Row],[Adjusted 2027]]/$L320,0)</f>
        <v>1</v>
      </c>
      <c r="BE320">
        <f>ROUNDUP(tbl_Data_old[[#This Row],[Adjusted 2028]]/$L320,0)</f>
        <v>1</v>
      </c>
      <c r="BF320">
        <f>ROUNDUP(tbl_Data_old[[#This Row],[Adjusted 2029]]/$L320,0)</f>
        <v>1</v>
      </c>
      <c r="BG320">
        <f>ROUNDUP(tbl_Data_old[[#This Row],[Adjusted 2030]]/$L320,0)</f>
        <v>1</v>
      </c>
      <c r="BH320">
        <f>ROUNDUP(tbl_Data_old[[#This Row],[Adjusted 2031]]/$L320,0)</f>
        <v>1</v>
      </c>
      <c r="BI320">
        <f>ROUNDUP(tbl_Data_old[[#This Row],[Adjusted 2032]]/$L320,0)</f>
        <v>1</v>
      </c>
      <c r="BJ320">
        <f>ROUNDUP(tbl_Data_old[[#This Row],[Adjusted 2033]]/$L320,0)</f>
        <v>1</v>
      </c>
      <c r="BK320">
        <f>ROUNDUP(tbl_Data_old[[#This Row],[Adjusted 2034]]/$L320,0)</f>
        <v>1</v>
      </c>
      <c r="BL320" s="3">
        <f t="shared" si="21"/>
        <v>3.8678445984590484E-2</v>
      </c>
      <c r="BM320" s="3">
        <f t="shared" si="21"/>
        <v>5.3045316936078578E-2</v>
      </c>
      <c r="BN320" s="3">
        <f t="shared" si="21"/>
        <v>7.0561760955520594E-2</v>
      </c>
      <c r="BO320" s="3">
        <f t="shared" si="21"/>
        <v>9.1012020661885615E-2</v>
      </c>
      <c r="BP320" s="3">
        <f t="shared" si="21"/>
        <v>0.11273106470767838</v>
      </c>
      <c r="BQ320" s="3">
        <f t="shared" si="21"/>
        <v>0.13235124498843945</v>
      </c>
      <c r="BR320" s="3">
        <f t="shared" si="21"/>
        <v>0.14548536929842709</v>
      </c>
      <c r="BS320" s="3">
        <f t="shared" si="21"/>
        <v>0.14800309984296345</v>
      </c>
      <c r="BT320" s="3">
        <f t="shared" si="21"/>
        <v>0.13778633771133264</v>
      </c>
      <c r="BU320" s="3">
        <f t="shared" si="21"/>
        <v>0.11687633175283767</v>
      </c>
      <c r="BV320">
        <f>VLOOKUP($H320,'1. Set Program Names'!$B$2:$D$15,3,0)*V320</f>
        <v>3.5966808035683626E-2</v>
      </c>
      <c r="BW320">
        <f>VLOOKUP($H320,'1. Set Program Names'!$B$2:$D$15,3,0)*W320</f>
        <v>4.9326457743210067E-2</v>
      </c>
      <c r="BX320">
        <f>VLOOKUP($H320,'1. Set Program Names'!$B$2:$D$15,3,0)*X320</f>
        <v>6.5614872737082011E-2</v>
      </c>
      <c r="BY320">
        <f>VLOOKUP($H320,'1. Set Program Names'!$B$2:$D$15,3,0)*Y320</f>
        <v>8.4631421784366445E-2</v>
      </c>
      <c r="BZ320">
        <f>VLOOKUP($H320,'1. Set Program Names'!$B$2:$D$15,3,0)*Z320</f>
        <v>0.10482780424049723</v>
      </c>
      <c r="CA320">
        <f>VLOOKUP($H320,'1. Set Program Names'!$B$2:$D$15,3,0)*AA320</f>
        <v>0.1230724684150812</v>
      </c>
      <c r="CB320">
        <f>VLOOKUP($H320,'1. Set Program Names'!$B$2:$D$15,3,0)*AB320</f>
        <v>0.13528579590921921</v>
      </c>
      <c r="CC320">
        <f>VLOOKUP($H320,'1. Set Program Names'!$B$2:$D$15,3,0)*AC320</f>
        <v>0.13762701538884861</v>
      </c>
      <c r="CD320">
        <f>VLOOKUP($H320,'1. Set Program Names'!$B$2:$D$15,3,0)*AD320</f>
        <v>0.12812652194914306</v>
      </c>
      <c r="CE320">
        <f>VLOOKUP($H320,'1. Set Program Names'!$B$2:$D$15,3,0)*AE320</f>
        <v>0.10868245817693739</v>
      </c>
    </row>
    <row r="321" spans="1:83" x14ac:dyDescent="0.25">
      <c r="A321" s="20" t="s">
        <v>116</v>
      </c>
      <c r="B321" s="20" t="s">
        <v>88</v>
      </c>
      <c r="C321" s="20" t="s">
        <v>122</v>
      </c>
      <c r="D321" s="20" t="s">
        <v>90</v>
      </c>
      <c r="E321" s="20" t="s">
        <v>91</v>
      </c>
      <c r="F321" s="20" t="s">
        <v>90</v>
      </c>
      <c r="G321" s="20" t="s">
        <v>92</v>
      </c>
      <c r="H321" s="20" t="s">
        <v>14</v>
      </c>
      <c r="I321" s="20" t="s">
        <v>154</v>
      </c>
      <c r="J321" s="20" t="s">
        <v>129</v>
      </c>
      <c r="K321" s="20" t="s">
        <v>102</v>
      </c>
      <c r="L321" s="20">
        <v>111105.09249999899</v>
      </c>
      <c r="M321" s="20">
        <v>30.6532165911823</v>
      </c>
      <c r="N321" s="20">
        <v>0</v>
      </c>
      <c r="O321" s="20">
        <v>40257.675000000003</v>
      </c>
      <c r="P321" s="20">
        <v>17605.607636663401</v>
      </c>
      <c r="Q321" s="20">
        <v>3955.3074008141398</v>
      </c>
      <c r="R321" s="20">
        <v>56706.982631731698</v>
      </c>
      <c r="S321" s="20">
        <v>120673.47084214</v>
      </c>
      <c r="T321" s="20">
        <v>15</v>
      </c>
      <c r="U321" s="20">
        <v>0.95</v>
      </c>
      <c r="V321" s="20">
        <v>0</v>
      </c>
      <c r="W321" s="20">
        <v>0</v>
      </c>
      <c r="X321" s="20">
        <v>0</v>
      </c>
      <c r="Y321" s="20">
        <v>0</v>
      </c>
      <c r="Z321" s="20">
        <v>0</v>
      </c>
      <c r="AA321" s="20">
        <v>0</v>
      </c>
      <c r="AB321" s="20">
        <v>0</v>
      </c>
      <c r="AC321" s="20">
        <v>0</v>
      </c>
      <c r="AD321" s="20">
        <v>0</v>
      </c>
      <c r="AE321" s="20">
        <v>0</v>
      </c>
      <c r="AF321" t="str">
        <f t="shared" si="18"/>
        <v>NonResidential</v>
      </c>
      <c r="AG321" t="str">
        <f>tbl_Data_old[[#This Row],[All_Meas_Name_Append]]</f>
        <v>Reflective Roof Treatment</v>
      </c>
      <c r="AH321">
        <f>AVERAGEIFS('3. Incentive Adjustment'!G:G,'3. Incentive Adjustment'!A:A,tbl_Data_old[[#This Row],[Trimmed Sector]],'3. Incentive Adjustment'!B:B,tbl_Data_old[[#This Row],[Trimmed Measure Name]])</f>
        <v>0.87696681614875649</v>
      </c>
      <c r="AI321">
        <f>$AH321*tbl_Data_old[[#This Row],[2025 ]]</f>
        <v>0</v>
      </c>
      <c r="AJ321">
        <f>$AH321*tbl_Data_old[[#This Row],[2026 ]]</f>
        <v>0</v>
      </c>
      <c r="AK321">
        <f>$AH321*tbl_Data_old[[#This Row],[2027 ]]</f>
        <v>0</v>
      </c>
      <c r="AL321">
        <f>$AH321*tbl_Data_old[[#This Row],[2028 ]]</f>
        <v>0</v>
      </c>
      <c r="AM321">
        <f>$AH321*tbl_Data_old[[#This Row],[2029 ]]</f>
        <v>0</v>
      </c>
      <c r="AN321">
        <f>$AH321*tbl_Data_old[[#This Row],[2030 ]]</f>
        <v>0</v>
      </c>
      <c r="AO321">
        <f>$AH321*tbl_Data_old[[#This Row],[2031 ]]</f>
        <v>0</v>
      </c>
      <c r="AP321">
        <f>$AH321*tbl_Data_old[[#This Row],[2032 ]]</f>
        <v>0</v>
      </c>
      <c r="AQ321">
        <f>$AH321*tbl_Data_old[[#This Row],[2033 ]]</f>
        <v>0</v>
      </c>
      <c r="AR321">
        <f>$AH321*tbl_Data_old[[#This Row],[2034 ]]</f>
        <v>0</v>
      </c>
      <c r="AS321">
        <f>SUM(tbl_Data_old[[#This Row],[Adjusted 2025]:[Adjusted 2034]])</f>
        <v>0</v>
      </c>
      <c r="AT321" s="3">
        <f>AVERAGEIFS('3. Incentive Adjustment'!F:F,'3. Incentive Adjustment'!A:A,tbl_Data_old[[#This Row],[Trimmed Sector]],'3. Incentive Adjustment'!B:B,tbl_Data_old[[#This Row],[Trimmed Measure Name]])</f>
        <v>12077.302499999998</v>
      </c>
      <c r="AU321" s="3">
        <f>IFERROR(VLOOKUP(tbl_Data_old[[#This Row],[All_Meas_Name_Append]],'IRA Tax Credits'!$A$3:$D$46,4,0),0)</f>
        <v>0</v>
      </c>
      <c r="AV321" s="4">
        <f>tbl_Data_old[[#This Row],[Adj. per unit Incentive ($)]]/tbl_Data_old[[#This Row],[kWh Savings]]*tbl_Data_old[[#This Row],[Sum of Annuals]]</f>
        <v>0</v>
      </c>
      <c r="AW321" s="4">
        <f>IFERROR(VLOOKUP(tbl_Data_old[[#This Row],[All_Programs]],'1. Set Program Names'!$B$2:$D$15,3,0)*tbl_Data_old[[#This Row],[Sum of Annuals]],"")</f>
        <v>0</v>
      </c>
      <c r="AX321" s="4">
        <f>tbl_Data_old[[#This Row],[per unit IRA tax ($)]]/tbl_Data_old[[#This Row],[kWh Savings]]*tbl_Data_old[[#This Row],[Sum of Annuals]]</f>
        <v>0</v>
      </c>
      <c r="AY321" s="4">
        <f>tbl_Data_old[[#This Row],[Avoided Costs ($/unit)]]/tbl_Data_old[[#This Row],[kWh Savings]]*tbl_Data_old[[#This Row],[Sum of Annuals]]</f>
        <v>0</v>
      </c>
      <c r="AZ321" s="4">
        <f>tbl_Data_old[[#This Row],[Lost Revenue ($/unit)]]/tbl_Data_old[[#This Row],[kWh Savings]]*tbl_Data_old[[#This Row],[Sum of Annuals]]</f>
        <v>0</v>
      </c>
      <c r="BA321" s="4">
        <f>tbl_Data_old[[#This Row],[Incremental Cost ($/unit)]]/tbl_Data_old[[#This Row],[kWh Savings]]*tbl_Data_old[[#This Row],[Sum of Annuals]]</f>
        <v>0</v>
      </c>
      <c r="BB321">
        <f>ROUNDUP(tbl_Data_old[[#This Row],[Adjusted 2025]]/$L321,0)</f>
        <v>0</v>
      </c>
      <c r="BC321">
        <f>ROUNDUP(tbl_Data_old[[#This Row],[Adjusted 2026]]/$L321,0)</f>
        <v>0</v>
      </c>
      <c r="BD321">
        <f>ROUNDUP(tbl_Data_old[[#This Row],[Adjusted 2027]]/$L321,0)</f>
        <v>0</v>
      </c>
      <c r="BE321">
        <f>ROUNDUP(tbl_Data_old[[#This Row],[Adjusted 2028]]/$L321,0)</f>
        <v>0</v>
      </c>
      <c r="BF321">
        <f>ROUNDUP(tbl_Data_old[[#This Row],[Adjusted 2029]]/$L321,0)</f>
        <v>0</v>
      </c>
      <c r="BG321">
        <f>ROUNDUP(tbl_Data_old[[#This Row],[Adjusted 2030]]/$L321,0)</f>
        <v>0</v>
      </c>
      <c r="BH321">
        <f>ROUNDUP(tbl_Data_old[[#This Row],[Adjusted 2031]]/$L321,0)</f>
        <v>0</v>
      </c>
      <c r="BI321">
        <f>ROUNDUP(tbl_Data_old[[#This Row],[Adjusted 2032]]/$L321,0)</f>
        <v>0</v>
      </c>
      <c r="BJ321">
        <f>ROUNDUP(tbl_Data_old[[#This Row],[Adjusted 2033]]/$L321,0)</f>
        <v>0</v>
      </c>
      <c r="BK321">
        <f>ROUNDUP(tbl_Data_old[[#This Row],[Adjusted 2034]]/$L321,0)</f>
        <v>0</v>
      </c>
      <c r="BL321" s="3">
        <f t="shared" si="21"/>
        <v>0</v>
      </c>
      <c r="BM321" s="3">
        <f t="shared" si="21"/>
        <v>0</v>
      </c>
      <c r="BN321" s="3">
        <f t="shared" si="21"/>
        <v>0</v>
      </c>
      <c r="BO321" s="3">
        <f t="shared" si="21"/>
        <v>0</v>
      </c>
      <c r="BP321" s="3">
        <f t="shared" si="21"/>
        <v>0</v>
      </c>
      <c r="BQ321" s="3">
        <f t="shared" si="21"/>
        <v>0</v>
      </c>
      <c r="BR321" s="3">
        <f t="shared" si="21"/>
        <v>0</v>
      </c>
      <c r="BS321" s="3">
        <f t="shared" si="21"/>
        <v>0</v>
      </c>
      <c r="BT321" s="3">
        <f t="shared" si="21"/>
        <v>0</v>
      </c>
      <c r="BU321" s="3">
        <f t="shared" si="21"/>
        <v>0</v>
      </c>
      <c r="BV321">
        <f>VLOOKUP($H321,'1. Set Program Names'!$B$2:$D$15,3,0)*V321</f>
        <v>0</v>
      </c>
      <c r="BW321">
        <f>VLOOKUP($H321,'1. Set Program Names'!$B$2:$D$15,3,0)*W321</f>
        <v>0</v>
      </c>
      <c r="BX321">
        <f>VLOOKUP($H321,'1. Set Program Names'!$B$2:$D$15,3,0)*X321</f>
        <v>0</v>
      </c>
      <c r="BY321">
        <f>VLOOKUP($H321,'1. Set Program Names'!$B$2:$D$15,3,0)*Y321</f>
        <v>0</v>
      </c>
      <c r="BZ321">
        <f>VLOOKUP($H321,'1. Set Program Names'!$B$2:$D$15,3,0)*Z321</f>
        <v>0</v>
      </c>
      <c r="CA321">
        <f>VLOOKUP($H321,'1. Set Program Names'!$B$2:$D$15,3,0)*AA321</f>
        <v>0</v>
      </c>
      <c r="CB321">
        <f>VLOOKUP($H321,'1. Set Program Names'!$B$2:$D$15,3,0)*AB321</f>
        <v>0</v>
      </c>
      <c r="CC321">
        <f>VLOOKUP($H321,'1. Set Program Names'!$B$2:$D$15,3,0)*AC321</f>
        <v>0</v>
      </c>
      <c r="CD321">
        <f>VLOOKUP($H321,'1. Set Program Names'!$B$2:$D$15,3,0)*AD321</f>
        <v>0</v>
      </c>
      <c r="CE321">
        <f>VLOOKUP($H321,'1. Set Program Names'!$B$2:$D$15,3,0)*AE321</f>
        <v>0</v>
      </c>
    </row>
    <row r="322" spans="1:83" x14ac:dyDescent="0.25">
      <c r="A322" s="20" t="s">
        <v>116</v>
      </c>
      <c r="B322" s="20" t="s">
        <v>88</v>
      </c>
      <c r="C322" s="20" t="s">
        <v>122</v>
      </c>
      <c r="D322" s="20" t="s">
        <v>90</v>
      </c>
      <c r="E322" s="20" t="s">
        <v>91</v>
      </c>
      <c r="F322" s="20" t="s">
        <v>90</v>
      </c>
      <c r="G322" s="20" t="s">
        <v>92</v>
      </c>
      <c r="H322" s="20" t="s">
        <v>14</v>
      </c>
      <c r="I322" s="20" t="s">
        <v>167</v>
      </c>
      <c r="J322" s="20" t="s">
        <v>124</v>
      </c>
      <c r="K322" s="20" t="s">
        <v>98</v>
      </c>
      <c r="L322" s="20">
        <v>151.66</v>
      </c>
      <c r="M322" s="20">
        <v>2.2013191527321101E-2</v>
      </c>
      <c r="N322" s="20">
        <v>1.95296013954902E-2</v>
      </c>
      <c r="O322" s="20">
        <v>56.6</v>
      </c>
      <c r="P322" s="20">
        <v>25.402483751835899</v>
      </c>
      <c r="Q322" s="20">
        <v>5.3990497366938701</v>
      </c>
      <c r="R322" s="20">
        <v>70.564478576335205</v>
      </c>
      <c r="S322" s="20">
        <v>171.417444155428</v>
      </c>
      <c r="T322" s="20">
        <v>16</v>
      </c>
      <c r="U322" s="20">
        <v>0.2</v>
      </c>
      <c r="V322" s="20">
        <v>0.128353484704023</v>
      </c>
      <c r="W322" s="20">
        <v>0.17456523312587499</v>
      </c>
      <c r="X322" s="20">
        <v>0.22551955442037699</v>
      </c>
      <c r="Y322" s="20">
        <v>0.278436278507108</v>
      </c>
      <c r="Z322" s="20">
        <v>0.32870596309164901</v>
      </c>
      <c r="AA322" s="20">
        <v>0.37272217935535901</v>
      </c>
      <c r="AB322" s="20">
        <v>0.40794987529922</v>
      </c>
      <c r="AC322" s="20">
        <v>0.43512111331179598</v>
      </c>
      <c r="AD322" s="20">
        <v>0.45645664563352001</v>
      </c>
      <c r="AE322" s="20">
        <v>0.47237189460489698</v>
      </c>
      <c r="AF322" t="str">
        <f t="shared" ref="AF322:AF385" si="22">IF(C322="Residential","Residential","NonResidential")</f>
        <v>NonResidential</v>
      </c>
      <c r="AG322" t="str">
        <f>tbl_Data_old[[#This Row],[All_Meas_Name_Append]]</f>
        <v>Refrigerated Display Case LED Lighting</v>
      </c>
      <c r="AH322">
        <f>AVERAGEIFS('3. Incentive Adjustment'!G:G,'3. Incentive Adjustment'!A:A,tbl_Data_old[[#This Row],[Trimmed Sector]],'3. Incentive Adjustment'!B:B,tbl_Data_old[[#This Row],[Trimmed Measure Name]])</f>
        <v>0.72450810749703154</v>
      </c>
      <c r="AI322">
        <f>$AH322*tbl_Data_old[[#This Row],[2025 ]]</f>
        <v>9.2993140293560886E-2</v>
      </c>
      <c r="AJ322">
        <f>$AH322*tbl_Data_old[[#This Row],[2026 ]]</f>
        <v>0.12647392668680582</v>
      </c>
      <c r="AK322">
        <f>$AH322*tbl_Data_old[[#This Row],[2027 ]]</f>
        <v>0.16339074557668115</v>
      </c>
      <c r="AL322">
        <f>$AH322*tbl_Data_old[[#This Row],[2028 ]]</f>
        <v>0.20172934119970121</v>
      </c>
      <c r="AM322">
        <f>$AH322*tbl_Data_old[[#This Row],[2029 ]]</f>
        <v>0.23815013524251971</v>
      </c>
      <c r="AN322">
        <f>$AH322*tbl_Data_old[[#This Row],[2030 ]]</f>
        <v>0.27004024078692029</v>
      </c>
      <c r="AO322">
        <f>$AH322*tbl_Data_old[[#This Row],[2031 ]]</f>
        <v>0.29556299210668791</v>
      </c>
      <c r="AP322">
        <f>$AH322*tbl_Data_old[[#This Row],[2032 ]]</f>
        <v>0.31524877433753073</v>
      </c>
      <c r="AQ322">
        <f>$AH322*tbl_Data_old[[#This Row],[2033 ]]</f>
        <v>0.33070654048238474</v>
      </c>
      <c r="AR322">
        <f>$AH322*tbl_Data_old[[#This Row],[2034 ]]</f>
        <v>0.34223726739498117</v>
      </c>
      <c r="AS322">
        <f>SUM(tbl_Data_old[[#This Row],[Adjusted 2025]:[Adjusted 2034]])</f>
        <v>2.3765331041077733</v>
      </c>
      <c r="AT322" s="3">
        <f>AVERAGEIFS('3. Incentive Adjustment'!F:F,'3. Incentive Adjustment'!A:A,tbl_Data_old[[#This Row],[Trimmed Sector]],'3. Incentive Adjustment'!B:B,tbl_Data_old[[#This Row],[Trimmed Measure Name]])</f>
        <v>6.879122352287844</v>
      </c>
      <c r="AU322" s="3">
        <f>IFERROR(VLOOKUP(tbl_Data_old[[#This Row],[All_Meas_Name_Append]],'IRA Tax Credits'!$A$3:$D$46,4,0),0)</f>
        <v>0</v>
      </c>
      <c r="AV322" s="4">
        <f>tbl_Data_old[[#This Row],[Adj. per unit Incentive ($)]]/tbl_Data_old[[#This Row],[kWh Savings]]*tbl_Data_old[[#This Row],[Sum of Annuals]]</f>
        <v>0.10779679544652379</v>
      </c>
      <c r="AW322" s="4">
        <f>IFERROR(VLOOKUP(tbl_Data_old[[#This Row],[All_Programs]],'1. Set Program Names'!$B$2:$D$15,3,0)*tbl_Data_old[[#This Row],[Sum of Annuals]],"")</f>
        <v>8.4603853553853067E-2</v>
      </c>
      <c r="AX322" s="4">
        <f>tbl_Data_old[[#This Row],[per unit IRA tax ($)]]/tbl_Data_old[[#This Row],[kWh Savings]]*tbl_Data_old[[#This Row],[Sum of Annuals]]</f>
        <v>0</v>
      </c>
      <c r="AY322" s="4">
        <f>tbl_Data_old[[#This Row],[Avoided Costs ($/unit)]]/tbl_Data_old[[#This Row],[kWh Savings]]*tbl_Data_old[[#This Row],[Sum of Annuals]]</f>
        <v>1.1057551055701198</v>
      </c>
      <c r="AZ322" s="4">
        <f>tbl_Data_old[[#This Row],[Lost Revenue ($/unit)]]/tbl_Data_old[[#This Row],[kWh Savings]]*tbl_Data_old[[#This Row],[Sum of Annuals]]</f>
        <v>2.6861349772973768</v>
      </c>
      <c r="BA322" s="4">
        <f>tbl_Data_old[[#This Row],[Incremental Cost ($/unit)]]/tbl_Data_old[[#This Row],[kWh Savings]]*tbl_Data_old[[#This Row],[Sum of Annuals]]</f>
        <v>0.88692980148028466</v>
      </c>
      <c r="BB322">
        <f>ROUNDUP(tbl_Data_old[[#This Row],[Adjusted 2025]]/$L322,0)</f>
        <v>1</v>
      </c>
      <c r="BC322">
        <f>ROUNDUP(tbl_Data_old[[#This Row],[Adjusted 2026]]/$L322,0)</f>
        <v>1</v>
      </c>
      <c r="BD322">
        <f>ROUNDUP(tbl_Data_old[[#This Row],[Adjusted 2027]]/$L322,0)</f>
        <v>1</v>
      </c>
      <c r="BE322">
        <f>ROUNDUP(tbl_Data_old[[#This Row],[Adjusted 2028]]/$L322,0)</f>
        <v>1</v>
      </c>
      <c r="BF322">
        <f>ROUNDUP(tbl_Data_old[[#This Row],[Adjusted 2029]]/$L322,0)</f>
        <v>1</v>
      </c>
      <c r="BG322">
        <f>ROUNDUP(tbl_Data_old[[#This Row],[Adjusted 2030]]/$L322,0)</f>
        <v>1</v>
      </c>
      <c r="BH322">
        <f>ROUNDUP(tbl_Data_old[[#This Row],[Adjusted 2031]]/$L322,0)</f>
        <v>1</v>
      </c>
      <c r="BI322">
        <f>ROUNDUP(tbl_Data_old[[#This Row],[Adjusted 2032]]/$L322,0)</f>
        <v>1</v>
      </c>
      <c r="BJ322">
        <f>ROUNDUP(tbl_Data_old[[#This Row],[Adjusted 2033]]/$L322,0)</f>
        <v>1</v>
      </c>
      <c r="BK322">
        <f>ROUNDUP(tbl_Data_old[[#This Row],[Adjusted 2034]]/$L322,0)</f>
        <v>1</v>
      </c>
      <c r="BL322" s="3">
        <f t="shared" si="21"/>
        <v>5.8219657498449198E-3</v>
      </c>
      <c r="BM322" s="3">
        <f t="shared" si="21"/>
        <v>7.9180772591886141E-3</v>
      </c>
      <c r="BN322" s="3">
        <f t="shared" si="21"/>
        <v>1.0229306393849467E-2</v>
      </c>
      <c r="BO322" s="3">
        <f t="shared" si="21"/>
        <v>1.2629547851550113E-2</v>
      </c>
      <c r="BP322" s="3">
        <f t="shared" si="21"/>
        <v>1.4909722656165541E-2</v>
      </c>
      <c r="BQ322" s="3">
        <f t="shared" si="21"/>
        <v>1.6906247363819658E-2</v>
      </c>
      <c r="BR322" s="3">
        <f t="shared" si="21"/>
        <v>1.850413494516618E-2</v>
      </c>
      <c r="BS322" s="3">
        <f t="shared" si="21"/>
        <v>1.9736590904230172E-2</v>
      </c>
      <c r="BT322" s="3">
        <f t="shared" si="21"/>
        <v>2.0704345996491357E-2</v>
      </c>
      <c r="BU322" s="3">
        <f t="shared" si="21"/>
        <v>2.1426243299281975E-2</v>
      </c>
      <c r="BV322">
        <f>VLOOKUP($H322,'1. Set Program Names'!$B$2:$D$15,3,0)*V322</f>
        <v>4.5693449017209344E-3</v>
      </c>
      <c r="BW322">
        <f>VLOOKUP($H322,'1. Set Program Names'!$B$2:$D$15,3,0)*W322</f>
        <v>6.2144690488207879E-3</v>
      </c>
      <c r="BX322">
        <f>VLOOKUP($H322,'1. Set Program Names'!$B$2:$D$15,3,0)*X322</f>
        <v>8.028427343483165E-3</v>
      </c>
      <c r="BY322">
        <f>VLOOKUP($H322,'1. Set Program Names'!$B$2:$D$15,3,0)*Y322</f>
        <v>9.9122465789253898E-3</v>
      </c>
      <c r="BZ322">
        <f>VLOOKUP($H322,'1. Set Program Names'!$B$2:$D$15,3,0)*Z322</f>
        <v>1.170183201555898E-2</v>
      </c>
      <c r="CA322">
        <f>VLOOKUP($H322,'1. Set Program Names'!$B$2:$D$15,3,0)*AA322</f>
        <v>1.3268795887567712E-2</v>
      </c>
      <c r="CB322">
        <f>VLOOKUP($H322,'1. Set Program Names'!$B$2:$D$15,3,0)*AB322</f>
        <v>1.4522891117094512E-2</v>
      </c>
      <c r="CC322">
        <f>VLOOKUP($H322,'1. Set Program Names'!$B$2:$D$15,3,0)*AC322</f>
        <v>1.5490178901859414E-2</v>
      </c>
      <c r="CD322">
        <f>VLOOKUP($H322,'1. Set Program Names'!$B$2:$D$15,3,0)*AD322</f>
        <v>1.6249717344189809E-2</v>
      </c>
      <c r="CE322">
        <f>VLOOKUP($H322,'1. Set Program Names'!$B$2:$D$15,3,0)*AE322</f>
        <v>1.6816295352684668E-2</v>
      </c>
    </row>
    <row r="323" spans="1:83" x14ac:dyDescent="0.25">
      <c r="A323" s="20" t="s">
        <v>116</v>
      </c>
      <c r="B323" s="20" t="s">
        <v>88</v>
      </c>
      <c r="C323" s="20" t="s">
        <v>122</v>
      </c>
      <c r="D323" s="20" t="s">
        <v>90</v>
      </c>
      <c r="E323" s="20" t="s">
        <v>91</v>
      </c>
      <c r="F323" s="20" t="s">
        <v>90</v>
      </c>
      <c r="G323" s="20" t="s">
        <v>92</v>
      </c>
      <c r="H323" s="20" t="s">
        <v>14</v>
      </c>
      <c r="I323" s="20" t="s">
        <v>155</v>
      </c>
      <c r="J323" s="20" t="s">
        <v>129</v>
      </c>
      <c r="K323" s="20" t="s">
        <v>102</v>
      </c>
      <c r="L323" s="53">
        <v>1193.02</v>
      </c>
      <c r="M323" s="53">
        <v>0.274776433335365</v>
      </c>
      <c r="N323" s="53">
        <v>0.10441874276921487</v>
      </c>
      <c r="O323" s="53">
        <f>8423.99999999998/36663.4359999998*1193.02</f>
        <v>274.11507421181233</v>
      </c>
      <c r="P323" s="53">
        <f>3224.30667036527/36663.4359999998*1193.02</f>
        <v>104.91821726363004</v>
      </c>
      <c r="Q323" s="53">
        <f>1305.20713755829/36663.4359999998*1193.02</f>
        <v>42.471148073786637</v>
      </c>
      <c r="R323" s="53">
        <f>14915.0733686122/36663.4359999998*1193.02</f>
        <v>485.33314854128304</v>
      </c>
      <c r="S323" s="53">
        <f>32320.5298576745/36663.4359999998*1193.02</f>
        <v>1051.702806327346</v>
      </c>
      <c r="T323" s="20">
        <v>11</v>
      </c>
      <c r="U323" s="20">
        <v>0.94999999999999896</v>
      </c>
      <c r="V323" s="20">
        <v>27.849267902488599</v>
      </c>
      <c r="W323" s="20">
        <v>23.171451537307998</v>
      </c>
      <c r="X323" s="20">
        <v>19.104209618231899</v>
      </c>
      <c r="Y323" s="20">
        <v>15.7550960953737</v>
      </c>
      <c r="Z323" s="20">
        <v>13.005148970816601</v>
      </c>
      <c r="AA323" s="20">
        <v>10.743093959209499</v>
      </c>
      <c r="AB323" s="20">
        <v>8.8958670898915706</v>
      </c>
      <c r="AC323" s="20">
        <v>7.4055292089844</v>
      </c>
      <c r="AD323" s="20">
        <v>6.2148303783327403</v>
      </c>
      <c r="AE323" s="20">
        <v>5.2507979374147498</v>
      </c>
      <c r="AF323" t="str">
        <f t="shared" si="22"/>
        <v>NonResidential</v>
      </c>
      <c r="AG323" t="str">
        <f>tbl_Data_old[[#This Row],[All_Meas_Name_Append]]</f>
        <v>Smart thermostat</v>
      </c>
      <c r="AH323">
        <f>AVERAGEIFS('3. Incentive Adjustment'!G:G,'3. Incentive Adjustment'!A:A,tbl_Data_old[[#This Row],[Trimmed Sector]],'3. Incentive Adjustment'!B:B,tbl_Data_old[[#This Row],[Trimmed Measure Name]])</f>
        <v>0.87546479230069263</v>
      </c>
      <c r="AI323">
        <f>$AH323*tbl_Data_old[[#This Row],[2025 ]]</f>
        <v>24.381053539978527</v>
      </c>
      <c r="AJ323">
        <f>$AH323*tbl_Data_old[[#This Row],[2026 ]]</f>
        <v>20.28579000741491</v>
      </c>
      <c r="AK323">
        <f>$AH323*tbl_Data_old[[#This Row],[2027 ]]</f>
        <v>16.725062905494283</v>
      </c>
      <c r="AL323">
        <f>$AH323*tbl_Data_old[[#This Row],[2028 ]]</f>
        <v>13.79303193081379</v>
      </c>
      <c r="AM323">
        <f>$AH323*tbl_Data_old[[#This Row],[2029 ]]</f>
        <v>11.385550042575522</v>
      </c>
      <c r="AN323">
        <f>$AH323*tbl_Data_old[[#This Row],[2030 ]]</f>
        <v>9.4052005216661705</v>
      </c>
      <c r="AO323">
        <f>$AH323*tbl_Data_old[[#This Row],[2031 ]]</f>
        <v>7.7880184341864904</v>
      </c>
      <c r="AP323">
        <f>$AH323*tbl_Data_old[[#This Row],[2032 ]]</f>
        <v>6.4832800908202399</v>
      </c>
      <c r="AQ323">
        <f>$AH323*tbl_Data_old[[#This Row],[2033 ]]</f>
        <v>5.4408651863511075</v>
      </c>
      <c r="AR323">
        <f>$AH323*tbl_Data_old[[#This Row],[2034 ]]</f>
        <v>4.5968887256917093</v>
      </c>
      <c r="AS323">
        <f>SUM(tbl_Data_old[[#This Row],[Adjusted 2025]:[Adjusted 2034]])</f>
        <v>120.28474138499276</v>
      </c>
      <c r="AT323" s="3">
        <f>AVERAGEIFS('3. Incentive Adjustment'!F:F,'3. Incentive Adjustment'!A:A,tbl_Data_old[[#This Row],[Trimmed Sector]],'3. Incentive Adjustment'!B:B,tbl_Data_old[[#This Row],[Trimmed Measure Name]])</f>
        <v>50</v>
      </c>
      <c r="AU323" s="3">
        <f>IFERROR(VLOOKUP(tbl_Data_old[[#This Row],[All_Meas_Name_Append]],'IRA Tax Credits'!$A$3:$D$46,4,0),0)</f>
        <v>0</v>
      </c>
      <c r="AV323" s="4">
        <f>tbl_Data_old[[#This Row],[Adj. per unit Incentive ($)]]/tbl_Data_old[[#This Row],[kWh Savings]]*tbl_Data_old[[#This Row],[Sum of Annuals]]</f>
        <v>5.0411871295113562</v>
      </c>
      <c r="AW323" s="4">
        <f>IFERROR(VLOOKUP(tbl_Data_old[[#This Row],[All_Programs]],'1. Set Program Names'!$B$2:$D$15,3,0)*tbl_Data_old[[#This Row],[Sum of Annuals]],"")</f>
        <v>4.282100100902916</v>
      </c>
      <c r="AX323" s="4">
        <f>tbl_Data_old[[#This Row],[per unit IRA tax ($)]]/tbl_Data_old[[#This Row],[kWh Savings]]*tbl_Data_old[[#This Row],[Sum of Annuals]]</f>
        <v>0</v>
      </c>
      <c r="AY323" s="4">
        <f>tbl_Data_old[[#This Row],[Avoided Costs ($/unit)]]/tbl_Data_old[[#This Row],[kWh Savings]]*tbl_Data_old[[#This Row],[Sum of Annuals]]</f>
        <v>48.933104439030785</v>
      </c>
      <c r="AZ323" s="4">
        <f>tbl_Data_old[[#This Row],[Lost Revenue ($/unit)]]/tbl_Data_old[[#This Row],[kWh Savings]]*tbl_Data_old[[#This Row],[Sum of Annuals]]</f>
        <v>106.03661302656782</v>
      </c>
      <c r="BA323" s="4">
        <f>tbl_Data_old[[#This Row],[Incremental Cost ($/unit)]]/tbl_Data_old[[#This Row],[kWh Savings]]*tbl_Data_old[[#This Row],[Sum of Annuals]]</f>
        <v>27.63730768243277</v>
      </c>
      <c r="BB323">
        <f>ROUNDUP(tbl_Data_old[[#This Row],[Adjusted 2025]]/$L323,0)</f>
        <v>1</v>
      </c>
      <c r="BC323">
        <f>ROUNDUP(tbl_Data_old[[#This Row],[Adjusted 2026]]/$L323,0)</f>
        <v>1</v>
      </c>
      <c r="BD323">
        <f>ROUNDUP(tbl_Data_old[[#This Row],[Adjusted 2027]]/$L323,0)</f>
        <v>1</v>
      </c>
      <c r="BE323">
        <f>ROUNDUP(tbl_Data_old[[#This Row],[Adjusted 2028]]/$L323,0)</f>
        <v>1</v>
      </c>
      <c r="BF323">
        <f>ROUNDUP(tbl_Data_old[[#This Row],[Adjusted 2029]]/$L323,0)</f>
        <v>1</v>
      </c>
      <c r="BG323">
        <f>ROUNDUP(tbl_Data_old[[#This Row],[Adjusted 2030]]/$L323,0)</f>
        <v>1</v>
      </c>
      <c r="BH323">
        <f>ROUNDUP(tbl_Data_old[[#This Row],[Adjusted 2031]]/$L323,0)</f>
        <v>1</v>
      </c>
      <c r="BI323">
        <f>ROUNDUP(tbl_Data_old[[#This Row],[Adjusted 2032]]/$L323,0)</f>
        <v>1</v>
      </c>
      <c r="BJ323">
        <f>ROUNDUP(tbl_Data_old[[#This Row],[Adjusted 2033]]/$L323,0)</f>
        <v>1</v>
      </c>
      <c r="BK323">
        <f>ROUNDUP(tbl_Data_old[[#This Row],[Adjusted 2034]]/$L323,0)</f>
        <v>1</v>
      </c>
      <c r="BL323" s="3">
        <f t="shared" si="21"/>
        <v>1.1671752318690634</v>
      </c>
      <c r="BM323" s="3">
        <f t="shared" si="21"/>
        <v>0.97112586282325519</v>
      </c>
      <c r="BN323" s="3">
        <f t="shared" si="21"/>
        <v>0.80066594098304722</v>
      </c>
      <c r="BO323" s="3">
        <f t="shared" si="21"/>
        <v>0.66030310034088702</v>
      </c>
      <c r="BP323" s="3">
        <f t="shared" si="21"/>
        <v>0.54505159053564067</v>
      </c>
      <c r="BQ323" s="3">
        <f t="shared" si="21"/>
        <v>0.45024785666667361</v>
      </c>
      <c r="BR323" s="3">
        <f t="shared" si="21"/>
        <v>0.37282975515463157</v>
      </c>
      <c r="BS323" s="3">
        <f t="shared" si="21"/>
        <v>0.31036903023354179</v>
      </c>
      <c r="BT323" s="3">
        <f t="shared" si="21"/>
        <v>0.260466311475614</v>
      </c>
      <c r="BU323" s="3">
        <f t="shared" si="21"/>
        <v>0.22006328215012111</v>
      </c>
      <c r="BV323">
        <f>VLOOKUP($H323,'1. Set Program Names'!$B$2:$D$15,3,0)*V323</f>
        <v>0.99142544201535221</v>
      </c>
      <c r="BW323">
        <f>VLOOKUP($H323,'1. Set Program Names'!$B$2:$D$15,3,0)*W323</f>
        <v>0.82489660636501172</v>
      </c>
      <c r="BX323">
        <f>VLOOKUP($H323,'1. Set Program Names'!$B$2:$D$15,3,0)*X323</f>
        <v>0.68010403474257919</v>
      </c>
      <c r="BY323">
        <f>VLOOKUP($H323,'1. Set Program Names'!$B$2:$D$15,3,0)*Y323</f>
        <v>0.56087661496316832</v>
      </c>
      <c r="BZ323">
        <f>VLOOKUP($H323,'1. Set Program Names'!$B$2:$D$15,3,0)*Z323</f>
        <v>0.46297933618984582</v>
      </c>
      <c r="CA323">
        <f>VLOOKUP($H323,'1. Set Program Names'!$B$2:$D$15,3,0)*AA323</f>
        <v>0.38245086780790999</v>
      </c>
      <c r="CB323">
        <f>VLOOKUP($H323,'1. Set Program Names'!$B$2:$D$15,3,0)*AB323</f>
        <v>0.31669015474972184</v>
      </c>
      <c r="CC323">
        <f>VLOOKUP($H323,'1. Set Program Names'!$B$2:$D$15,3,0)*AC323</f>
        <v>0.26363458081132823</v>
      </c>
      <c r="CD323">
        <f>VLOOKUP($H323,'1. Set Program Names'!$B$2:$D$15,3,0)*AD323</f>
        <v>0.22124606565827831</v>
      </c>
      <c r="CE323">
        <f>VLOOKUP($H323,'1. Set Program Names'!$B$2:$D$15,3,0)*AE323</f>
        <v>0.18692680483602703</v>
      </c>
    </row>
    <row r="324" spans="1:83" x14ac:dyDescent="0.25">
      <c r="A324" s="20" t="s">
        <v>116</v>
      </c>
      <c r="B324" s="20" t="s">
        <v>88</v>
      </c>
      <c r="C324" s="20" t="s">
        <v>122</v>
      </c>
      <c r="D324" s="20" t="s">
        <v>90</v>
      </c>
      <c r="E324" s="20" t="s">
        <v>91</v>
      </c>
      <c r="F324" s="20" t="s">
        <v>90</v>
      </c>
      <c r="G324" s="20" t="s">
        <v>92</v>
      </c>
      <c r="H324" s="20" t="s">
        <v>14</v>
      </c>
      <c r="I324" s="20" t="s">
        <v>304</v>
      </c>
      <c r="J324" s="20" t="s">
        <v>144</v>
      </c>
      <c r="K324" s="20" t="s">
        <v>98</v>
      </c>
      <c r="L324" s="20">
        <v>71859.953750000001</v>
      </c>
      <c r="M324" s="20">
        <v>2.01028298751406</v>
      </c>
      <c r="N324" s="20">
        <v>2.93501737514182</v>
      </c>
      <c r="O324" s="20">
        <v>21366.564901045898</v>
      </c>
      <c r="P324" s="20">
        <v>219059.38064062799</v>
      </c>
      <c r="Q324" s="20">
        <v>2558.1924328944401</v>
      </c>
      <c r="R324" s="20">
        <v>23924.757333940401</v>
      </c>
      <c r="S324" s="20">
        <v>92224.942677252999</v>
      </c>
      <c r="T324" s="20">
        <v>20</v>
      </c>
      <c r="U324" s="20">
        <v>1</v>
      </c>
      <c r="V324" s="20">
        <v>59.343300162357799</v>
      </c>
      <c r="W324" s="20">
        <v>65.185875132448203</v>
      </c>
      <c r="X324" s="20">
        <v>69.942513448571304</v>
      </c>
      <c r="Y324" s="20">
        <v>74.070520258874595</v>
      </c>
      <c r="Z324" s="20">
        <v>77.594034241074297</v>
      </c>
      <c r="AA324" s="20">
        <v>80.486412689350303</v>
      </c>
      <c r="AB324" s="20">
        <v>82.859583488765594</v>
      </c>
      <c r="AC324" s="20">
        <v>84.946138769889998</v>
      </c>
      <c r="AD324" s="20">
        <v>86.814376409845806</v>
      </c>
      <c r="AE324" s="20">
        <v>88.416680727071807</v>
      </c>
      <c r="AF324" t="str">
        <f t="shared" si="22"/>
        <v>NonResidential</v>
      </c>
      <c r="AG324" t="str">
        <f>tbl_Data_old[[#This Row],[All_Meas_Name_Append]]</f>
        <v>Solar Thermal Water Heating System Commercial</v>
      </c>
      <c r="AH324">
        <f>AVERAGEIFS('3. Incentive Adjustment'!G:G,'3. Incentive Adjustment'!A:A,tbl_Data_old[[#This Row],[Trimmed Sector]],'3. Incentive Adjustment'!B:B,tbl_Data_old[[#This Row],[Trimmed Measure Name]])</f>
        <v>3.2123848810070607E-4</v>
      </c>
      <c r="AI324">
        <f>$AH324*tbl_Data_old[[#This Row],[2025 ]]</f>
        <v>1.9063352023062204E-2</v>
      </c>
      <c r="AJ324">
        <f>$AH324*tbl_Data_old[[#This Row],[2026 ]]</f>
        <v>2.0940211973069073E-2</v>
      </c>
      <c r="AK324">
        <f>$AH324*tbl_Data_old[[#This Row],[2027 ]]</f>
        <v>2.2468227274182347E-2</v>
      </c>
      <c r="AL324">
        <f>$AH324*tbl_Data_old[[#This Row],[2028 ]]</f>
        <v>2.3794301940793593E-2</v>
      </c>
      <c r="AM324">
        <f>$AH324*tbl_Data_old[[#This Row],[2029 ]]</f>
        <v>2.4926190245237127E-2</v>
      </c>
      <c r="AN324">
        <f>$AH324*tbl_Data_old[[#This Row],[2030 ]]</f>
        <v>2.5855333524976376E-2</v>
      </c>
      <c r="AO324">
        <f>$AH324*tbl_Data_old[[#This Row],[2031 ]]</f>
        <v>2.6617687324585287E-2</v>
      </c>
      <c r="AP324">
        <f>$AH324*tbl_Data_old[[#This Row],[2032 ]]</f>
        <v>2.7287969188432234E-2</v>
      </c>
      <c r="AQ324">
        <f>$AH324*tbl_Data_old[[#This Row],[2033 ]]</f>
        <v>2.7888119023304469E-2</v>
      </c>
      <c r="AR324">
        <f>$AH324*tbl_Data_old[[#This Row],[2034 ]]</f>
        <v>2.8402840839647385E-2</v>
      </c>
      <c r="AS324">
        <f>SUM(tbl_Data_old[[#This Row],[Adjusted 2025]:[Adjusted 2034]])</f>
        <v>0.24724423335729009</v>
      </c>
      <c r="AT324" s="3">
        <f>AVERAGEIFS('3. Incentive Adjustment'!F:F,'3. Incentive Adjustment'!A:A,tbl_Data_old[[#This Row],[Trimmed Sector]],'3. Incentive Adjustment'!B:B,tbl_Data_old[[#This Row],[Trimmed Measure Name]])</f>
        <v>0</v>
      </c>
      <c r="AU324" s="3">
        <f>IFERROR(VLOOKUP(tbl_Data_old[[#This Row],[All_Meas_Name_Append]],'IRA Tax Credits'!$A$3:$D$46,4,0),0)</f>
        <v>0</v>
      </c>
      <c r="AV324" s="4">
        <f>tbl_Data_old[[#This Row],[Adj. per unit Incentive ($)]]/tbl_Data_old[[#This Row],[kWh Savings]]*tbl_Data_old[[#This Row],[Sum of Annuals]]</f>
        <v>0</v>
      </c>
      <c r="AW324" s="4">
        <f>IFERROR(VLOOKUP(tbl_Data_old[[#This Row],[All_Programs]],'1. Set Program Names'!$B$2:$D$15,3,0)*tbl_Data_old[[#This Row],[Sum of Annuals]],"")</f>
        <v>8.8018192866065968E-3</v>
      </c>
      <c r="AX324" s="4">
        <f>tbl_Data_old[[#This Row],[per unit IRA tax ($)]]/tbl_Data_old[[#This Row],[kWh Savings]]*tbl_Data_old[[#This Row],[Sum of Annuals]]</f>
        <v>0</v>
      </c>
      <c r="AY324" s="4">
        <f>tbl_Data_old[[#This Row],[Avoided Costs ($/unit)]]/tbl_Data_old[[#This Row],[kWh Savings]]*tbl_Data_old[[#This Row],[Sum of Annuals]]</f>
        <v>8.2316477768249297E-2</v>
      </c>
      <c r="AZ324" s="4">
        <f>tbl_Data_old[[#This Row],[Lost Revenue ($/unit)]]/tbl_Data_old[[#This Row],[kWh Savings]]*tbl_Data_old[[#This Row],[Sum of Annuals]]</f>
        <v>0.31731282945137496</v>
      </c>
      <c r="BA324" s="4">
        <f>tbl_Data_old[[#This Row],[Incremental Cost ($/unit)]]/tbl_Data_old[[#This Row],[kWh Savings]]*tbl_Data_old[[#This Row],[Sum of Annuals]]</f>
        <v>7.3514658481642514E-2</v>
      </c>
      <c r="BB324">
        <f>ROUNDUP(tbl_Data_old[[#This Row],[Adjusted 2025]]/$L324,0)</f>
        <v>1</v>
      </c>
      <c r="BC324">
        <f>ROUNDUP(tbl_Data_old[[#This Row],[Adjusted 2026]]/$L324,0)</f>
        <v>1</v>
      </c>
      <c r="BD324">
        <f>ROUNDUP(tbl_Data_old[[#This Row],[Adjusted 2027]]/$L324,0)</f>
        <v>1</v>
      </c>
      <c r="BE324">
        <f>ROUNDUP(tbl_Data_old[[#This Row],[Adjusted 2028]]/$L324,0)</f>
        <v>1</v>
      </c>
      <c r="BF324">
        <f>ROUNDUP(tbl_Data_old[[#This Row],[Adjusted 2029]]/$L324,0)</f>
        <v>1</v>
      </c>
      <c r="BG324">
        <f>ROUNDUP(tbl_Data_old[[#This Row],[Adjusted 2030]]/$L324,0)</f>
        <v>1</v>
      </c>
      <c r="BH324">
        <f>ROUNDUP(tbl_Data_old[[#This Row],[Adjusted 2031]]/$L324,0)</f>
        <v>1</v>
      </c>
      <c r="BI324">
        <f>ROUNDUP(tbl_Data_old[[#This Row],[Adjusted 2032]]/$L324,0)</f>
        <v>1</v>
      </c>
      <c r="BJ324">
        <f>ROUNDUP(tbl_Data_old[[#This Row],[Adjusted 2033]]/$L324,0)</f>
        <v>1</v>
      </c>
      <c r="BK324">
        <f>ROUNDUP(tbl_Data_old[[#This Row],[Adjusted 2034]]/$L324,0)</f>
        <v>1</v>
      </c>
      <c r="BL324" s="3">
        <f t="shared" si="21"/>
        <v>0</v>
      </c>
      <c r="BM324" s="3">
        <f t="shared" si="21"/>
        <v>0</v>
      </c>
      <c r="BN324" s="3">
        <f t="shared" si="21"/>
        <v>0</v>
      </c>
      <c r="BO324" s="3">
        <f t="shared" si="21"/>
        <v>0</v>
      </c>
      <c r="BP324" s="3">
        <f t="shared" si="21"/>
        <v>0</v>
      </c>
      <c r="BQ324" s="3">
        <f t="shared" si="21"/>
        <v>0</v>
      </c>
      <c r="BR324" s="3">
        <f t="shared" si="21"/>
        <v>0</v>
      </c>
      <c r="BS324" s="3">
        <f t="shared" si="21"/>
        <v>0</v>
      </c>
      <c r="BT324" s="3">
        <f t="shared" si="21"/>
        <v>0</v>
      </c>
      <c r="BU324" s="3">
        <f t="shared" si="21"/>
        <v>0</v>
      </c>
      <c r="BV324">
        <f>VLOOKUP($H324,'1. Set Program Names'!$B$2:$D$15,3,0)*V324</f>
        <v>2.1126033833319502</v>
      </c>
      <c r="BW324">
        <f>VLOOKUP($H324,'1. Set Program Names'!$B$2:$D$15,3,0)*W324</f>
        <v>2.320597270011898</v>
      </c>
      <c r="BX324">
        <f>VLOOKUP($H324,'1. Set Program Names'!$B$2:$D$15,3,0)*X324</f>
        <v>2.4899321430714552</v>
      </c>
      <c r="BY324">
        <f>VLOOKUP($H324,'1. Set Program Names'!$B$2:$D$15,3,0)*Y324</f>
        <v>2.6368879262854765</v>
      </c>
      <c r="BZ324">
        <f>VLOOKUP($H324,'1. Set Program Names'!$B$2:$D$15,3,0)*Z324</f>
        <v>2.7623239492172482</v>
      </c>
      <c r="CA324">
        <f>VLOOKUP($H324,'1. Set Program Names'!$B$2:$D$15,3,0)*AA324</f>
        <v>2.8652917396668305</v>
      </c>
      <c r="CB324">
        <f>VLOOKUP($H324,'1. Set Program Names'!$B$2:$D$15,3,0)*AB324</f>
        <v>2.9497758961992893</v>
      </c>
      <c r="CC324">
        <f>VLOOKUP($H324,'1. Set Program Names'!$B$2:$D$15,3,0)*AC324</f>
        <v>3.0240566277115661</v>
      </c>
      <c r="CD324">
        <f>VLOOKUP($H324,'1. Set Program Names'!$B$2:$D$15,3,0)*AD324</f>
        <v>3.0905653177952073</v>
      </c>
      <c r="CE324">
        <f>VLOOKUP($H324,'1. Set Program Names'!$B$2:$D$15,3,0)*AE324</f>
        <v>3.1476068627116156</v>
      </c>
    </row>
    <row r="325" spans="1:83" x14ac:dyDescent="0.25">
      <c r="A325" s="20" t="s">
        <v>116</v>
      </c>
      <c r="B325" s="20" t="s">
        <v>88</v>
      </c>
      <c r="C325" s="20" t="s">
        <v>122</v>
      </c>
      <c r="D325" s="20" t="s">
        <v>90</v>
      </c>
      <c r="E325" s="20" t="s">
        <v>91</v>
      </c>
      <c r="F325" s="20" t="s">
        <v>90</v>
      </c>
      <c r="G325" s="20" t="s">
        <v>92</v>
      </c>
      <c r="H325" s="20" t="s">
        <v>14</v>
      </c>
      <c r="I325" s="20" t="s">
        <v>305</v>
      </c>
      <c r="J325" s="20" t="s">
        <v>129</v>
      </c>
      <c r="K325" s="20" t="s">
        <v>306</v>
      </c>
      <c r="L325" s="20">
        <v>1181.58666666666</v>
      </c>
      <c r="M325" s="20">
        <v>0.32580149205424902</v>
      </c>
      <c r="N325" s="20">
        <v>0</v>
      </c>
      <c r="O325" s="20">
        <v>442.61899981344197</v>
      </c>
      <c r="P325" s="20">
        <v>13015.025349926</v>
      </c>
      <c r="Q325" s="20">
        <v>42.064124894815102</v>
      </c>
      <c r="R325" s="20">
        <v>484.68312470825703</v>
      </c>
      <c r="S325" s="20">
        <v>971.92143438909795</v>
      </c>
      <c r="T325" s="20">
        <v>10</v>
      </c>
      <c r="U325" s="20">
        <v>0.94999999999999896</v>
      </c>
      <c r="V325" s="20">
        <v>0</v>
      </c>
      <c r="W325" s="20">
        <v>0</v>
      </c>
      <c r="X325" s="20">
        <v>0</v>
      </c>
      <c r="Y325" s="20">
        <v>0</v>
      </c>
      <c r="Z325" s="20">
        <v>0</v>
      </c>
      <c r="AA325" s="20">
        <v>0</v>
      </c>
      <c r="AB325" s="20">
        <v>0</v>
      </c>
      <c r="AC325" s="20">
        <v>0</v>
      </c>
      <c r="AD325" s="20">
        <v>0</v>
      </c>
      <c r="AE325" s="20">
        <v>0</v>
      </c>
      <c r="AF325" t="str">
        <f t="shared" si="22"/>
        <v>NonResidential</v>
      </c>
      <c r="AG325" t="str">
        <f>tbl_Data_old[[#This Row],[All_Meas_Name_Append]]</f>
        <v>Window shade film</v>
      </c>
      <c r="AH325">
        <f>AVERAGEIFS('3. Incentive Adjustment'!G:G,'3. Incentive Adjustment'!A:A,tbl_Data_old[[#This Row],[Trimmed Sector]],'3. Incentive Adjustment'!B:B,tbl_Data_old[[#This Row],[Trimmed Measure Name]])</f>
        <v>3.2127764592544555E-13</v>
      </c>
      <c r="AI325">
        <f>$AH325*tbl_Data_old[[#This Row],[2025 ]]</f>
        <v>0</v>
      </c>
      <c r="AJ325">
        <f>$AH325*tbl_Data_old[[#This Row],[2026 ]]</f>
        <v>0</v>
      </c>
      <c r="AK325">
        <f>$AH325*tbl_Data_old[[#This Row],[2027 ]]</f>
        <v>0</v>
      </c>
      <c r="AL325">
        <f>$AH325*tbl_Data_old[[#This Row],[2028 ]]</f>
        <v>0</v>
      </c>
      <c r="AM325">
        <f>$AH325*tbl_Data_old[[#This Row],[2029 ]]</f>
        <v>0</v>
      </c>
      <c r="AN325">
        <f>$AH325*tbl_Data_old[[#This Row],[2030 ]]</f>
        <v>0</v>
      </c>
      <c r="AO325">
        <f>$AH325*tbl_Data_old[[#This Row],[2031 ]]</f>
        <v>0</v>
      </c>
      <c r="AP325">
        <f>$AH325*tbl_Data_old[[#This Row],[2032 ]]</f>
        <v>0</v>
      </c>
      <c r="AQ325">
        <f>$AH325*tbl_Data_old[[#This Row],[2033 ]]</f>
        <v>0</v>
      </c>
      <c r="AR325">
        <f>$AH325*tbl_Data_old[[#This Row],[2034 ]]</f>
        <v>0</v>
      </c>
      <c r="AS325">
        <f>SUM(tbl_Data_old[[#This Row],[Adjusted 2025]:[Adjusted 2034]])</f>
        <v>0</v>
      </c>
      <c r="AT325" s="3">
        <f>AVERAGEIFS('3. Incentive Adjustment'!F:F,'3. Incentive Adjustment'!A:A,tbl_Data_old[[#This Row],[Trimmed Sector]],'3. Incentive Adjustment'!B:B,tbl_Data_old[[#This Row],[Trimmed Measure Name]])</f>
        <v>132.78569994403261</v>
      </c>
      <c r="AU325" s="3">
        <f>IFERROR(VLOOKUP(tbl_Data_old[[#This Row],[All_Meas_Name_Append]],'IRA Tax Credits'!$A$3:$D$46,4,0),0)</f>
        <v>0</v>
      </c>
      <c r="AV325" s="4">
        <f>tbl_Data_old[[#This Row],[Adj. per unit Incentive ($)]]/tbl_Data_old[[#This Row],[kWh Savings]]*tbl_Data_old[[#This Row],[Sum of Annuals]]</f>
        <v>0</v>
      </c>
      <c r="AW325" s="4">
        <f>IFERROR(VLOOKUP(tbl_Data_old[[#This Row],[All_Programs]],'1. Set Program Names'!$B$2:$D$15,3,0)*tbl_Data_old[[#This Row],[Sum of Annuals]],"")</f>
        <v>0</v>
      </c>
      <c r="AX325" s="4">
        <f>tbl_Data_old[[#This Row],[per unit IRA tax ($)]]/tbl_Data_old[[#This Row],[kWh Savings]]*tbl_Data_old[[#This Row],[Sum of Annuals]]</f>
        <v>0</v>
      </c>
      <c r="AY325" s="4">
        <f>tbl_Data_old[[#This Row],[Avoided Costs ($/unit)]]/tbl_Data_old[[#This Row],[kWh Savings]]*tbl_Data_old[[#This Row],[Sum of Annuals]]</f>
        <v>0</v>
      </c>
      <c r="AZ325" s="4">
        <f>tbl_Data_old[[#This Row],[Lost Revenue ($/unit)]]/tbl_Data_old[[#This Row],[kWh Savings]]*tbl_Data_old[[#This Row],[Sum of Annuals]]</f>
        <v>0</v>
      </c>
      <c r="BA325" s="4">
        <f>tbl_Data_old[[#This Row],[Incremental Cost ($/unit)]]/tbl_Data_old[[#This Row],[kWh Savings]]*tbl_Data_old[[#This Row],[Sum of Annuals]]</f>
        <v>0</v>
      </c>
      <c r="BB325">
        <f>ROUNDUP(tbl_Data_old[[#This Row],[Adjusted 2025]]/$L325,0)</f>
        <v>0</v>
      </c>
      <c r="BC325">
        <f>ROUNDUP(tbl_Data_old[[#This Row],[Adjusted 2026]]/$L325,0)</f>
        <v>0</v>
      </c>
      <c r="BD325">
        <f>ROUNDUP(tbl_Data_old[[#This Row],[Adjusted 2027]]/$L325,0)</f>
        <v>0</v>
      </c>
      <c r="BE325">
        <f>ROUNDUP(tbl_Data_old[[#This Row],[Adjusted 2028]]/$L325,0)</f>
        <v>0</v>
      </c>
      <c r="BF325">
        <f>ROUNDUP(tbl_Data_old[[#This Row],[Adjusted 2029]]/$L325,0)</f>
        <v>0</v>
      </c>
      <c r="BG325">
        <f>ROUNDUP(tbl_Data_old[[#This Row],[Adjusted 2030]]/$L325,0)</f>
        <v>0</v>
      </c>
      <c r="BH325">
        <f>ROUNDUP(tbl_Data_old[[#This Row],[Adjusted 2031]]/$L325,0)</f>
        <v>0</v>
      </c>
      <c r="BI325">
        <f>ROUNDUP(tbl_Data_old[[#This Row],[Adjusted 2032]]/$L325,0)</f>
        <v>0</v>
      </c>
      <c r="BJ325">
        <f>ROUNDUP(tbl_Data_old[[#This Row],[Adjusted 2033]]/$L325,0)</f>
        <v>0</v>
      </c>
      <c r="BK325">
        <f>ROUNDUP(tbl_Data_old[[#This Row],[Adjusted 2034]]/$L325,0)</f>
        <v>0</v>
      </c>
      <c r="BL325" s="3">
        <f t="shared" si="21"/>
        <v>0</v>
      </c>
      <c r="BM325" s="3">
        <f t="shared" si="21"/>
        <v>0</v>
      </c>
      <c r="BN325" s="3">
        <f t="shared" si="21"/>
        <v>0</v>
      </c>
      <c r="BO325" s="3">
        <f t="shared" si="21"/>
        <v>0</v>
      </c>
      <c r="BP325" s="3">
        <f t="shared" si="21"/>
        <v>0</v>
      </c>
      <c r="BQ325" s="3">
        <f t="shared" ref="BQ325:BU356" si="23">$AT325/$L325*AA325</f>
        <v>0</v>
      </c>
      <c r="BR325" s="3">
        <f t="shared" si="23"/>
        <v>0</v>
      </c>
      <c r="BS325" s="3">
        <f t="shared" si="23"/>
        <v>0</v>
      </c>
      <c r="BT325" s="3">
        <f t="shared" si="23"/>
        <v>0</v>
      </c>
      <c r="BU325" s="3">
        <f t="shared" si="23"/>
        <v>0</v>
      </c>
      <c r="BV325">
        <f>VLOOKUP($H325,'1. Set Program Names'!$B$2:$D$15,3,0)*V325</f>
        <v>0</v>
      </c>
      <c r="BW325">
        <f>VLOOKUP($H325,'1. Set Program Names'!$B$2:$D$15,3,0)*W325</f>
        <v>0</v>
      </c>
      <c r="BX325">
        <f>VLOOKUP($H325,'1. Set Program Names'!$B$2:$D$15,3,0)*X325</f>
        <v>0</v>
      </c>
      <c r="BY325">
        <f>VLOOKUP($H325,'1. Set Program Names'!$B$2:$D$15,3,0)*Y325</f>
        <v>0</v>
      </c>
      <c r="BZ325">
        <f>VLOOKUP($H325,'1. Set Program Names'!$B$2:$D$15,3,0)*Z325</f>
        <v>0</v>
      </c>
      <c r="CA325">
        <f>VLOOKUP($H325,'1. Set Program Names'!$B$2:$D$15,3,0)*AA325</f>
        <v>0</v>
      </c>
      <c r="CB325">
        <f>VLOOKUP($H325,'1. Set Program Names'!$B$2:$D$15,3,0)*AB325</f>
        <v>0</v>
      </c>
      <c r="CC325">
        <f>VLOOKUP($H325,'1. Set Program Names'!$B$2:$D$15,3,0)*AC325</f>
        <v>0</v>
      </c>
      <c r="CD325">
        <f>VLOOKUP($H325,'1. Set Program Names'!$B$2:$D$15,3,0)*AD325</f>
        <v>0</v>
      </c>
      <c r="CE325">
        <f>VLOOKUP($H325,'1. Set Program Names'!$B$2:$D$15,3,0)*AE325</f>
        <v>0</v>
      </c>
    </row>
    <row r="326" spans="1:83" x14ac:dyDescent="0.25">
      <c r="A326" s="20" t="s">
        <v>117</v>
      </c>
      <c r="B326" s="20" t="s">
        <v>88</v>
      </c>
      <c r="C326" s="20" t="s">
        <v>122</v>
      </c>
      <c r="D326" s="20" t="s">
        <v>90</v>
      </c>
      <c r="E326" s="20" t="s">
        <v>91</v>
      </c>
      <c r="F326" s="20" t="s">
        <v>90</v>
      </c>
      <c r="G326" s="20" t="s">
        <v>92</v>
      </c>
      <c r="H326" s="20" t="s">
        <v>14</v>
      </c>
      <c r="I326" s="20" t="s">
        <v>237</v>
      </c>
      <c r="J326" s="20" t="s">
        <v>129</v>
      </c>
      <c r="K326" s="20" t="s">
        <v>102</v>
      </c>
      <c r="L326" s="20">
        <v>2568.1199999999699</v>
      </c>
      <c r="M326" s="20">
        <v>0.53641456399840104</v>
      </c>
      <c r="N326" s="20">
        <v>2.1892485513222901E-2</v>
      </c>
      <c r="O326" s="53">
        <f>9025.1/929.29*tbl_Data_old[[#This Row],[kWh Savings]]</f>
        <v>24941.126894725789</v>
      </c>
      <c r="P326" s="20">
        <v>35498.089296558101</v>
      </c>
      <c r="Q326" s="20">
        <v>91.4242886047615</v>
      </c>
      <c r="R326" s="20">
        <v>1534.4473108970501</v>
      </c>
      <c r="S326" s="20">
        <v>3958.9826982459099</v>
      </c>
      <c r="T326" s="20">
        <v>30</v>
      </c>
      <c r="U326" s="20">
        <v>0.94999999999999896</v>
      </c>
      <c r="V326" s="20">
        <v>4.8777137609607703E-2</v>
      </c>
      <c r="W326" s="20">
        <v>0.103021671047591</v>
      </c>
      <c r="X326" s="20">
        <v>0.163074253572079</v>
      </c>
      <c r="Y326" s="20">
        <v>0.22936762232792601</v>
      </c>
      <c r="Z326" s="20">
        <v>0.30210001307657097</v>
      </c>
      <c r="AA326" s="20">
        <v>0.381433793606683</v>
      </c>
      <c r="AB326" s="20">
        <v>0.46731922772003698</v>
      </c>
      <c r="AC326" s="20">
        <v>0.55981115431323303</v>
      </c>
      <c r="AD326" s="20">
        <v>0.65915935348287502</v>
      </c>
      <c r="AE326" s="20">
        <v>0.76517534752373995</v>
      </c>
      <c r="AF326" t="str">
        <f t="shared" si="22"/>
        <v>NonResidential</v>
      </c>
      <c r="AG326" t="str">
        <f>tbl_Data_old[[#This Row],[All_Meas_Name_Append]]</f>
        <v>Ceiling Insulation(R19 to R38)</v>
      </c>
      <c r="AH326">
        <f>AVERAGEIFS('3. Incentive Adjustment'!G:G,'3. Incentive Adjustment'!A:A,tbl_Data_old[[#This Row],[Trimmed Sector]],'3. Incentive Adjustment'!B:B,tbl_Data_old[[#This Row],[Trimmed Measure Name]])</f>
        <v>3.9688771318830651E-15</v>
      </c>
      <c r="AI326">
        <f>$AH326*tbl_Data_old[[#This Row],[2025 ]]</f>
        <v>1.9359046601748541E-16</v>
      </c>
      <c r="AJ326">
        <f>$AH326*tbl_Data_old[[#This Row],[2026 ]]</f>
        <v>4.0888035430916358E-16</v>
      </c>
      <c r="AK326">
        <f>$AH326*tbl_Data_old[[#This Row],[2027 ]]</f>
        <v>6.4722167580112452E-16</v>
      </c>
      <c r="AL326">
        <f>$AH326*tbl_Data_old[[#This Row],[2028 ]]</f>
        <v>9.1033191105169713E-16</v>
      </c>
      <c r="AM326">
        <f>$AH326*tbl_Data_old[[#This Row],[2029 ]]</f>
        <v>1.1989978334411775E-15</v>
      </c>
      <c r="AN326">
        <f>$AH326*tbl_Data_old[[#This Row],[2030 ]]</f>
        <v>1.5138638607729691E-15</v>
      </c>
      <c r="AO326">
        <f>$AH326*tbl_Data_old[[#This Row],[2031 ]]</f>
        <v>1.8547325961873094E-15</v>
      </c>
      <c r="AP326">
        <f>$AH326*tbl_Data_old[[#This Row],[2032 ]]</f>
        <v>2.2218216885268523E-15</v>
      </c>
      <c r="AQ326">
        <f>$AH326*tbl_Data_old[[#This Row],[2033 ]]</f>
        <v>2.6161224843050084E-15</v>
      </c>
      <c r="AR326">
        <f>$AH326*tbl_Data_old[[#This Row],[2034 ]]</f>
        <v>3.0368869386676487E-15</v>
      </c>
      <c r="AS326">
        <f>SUM(tbl_Data_old[[#This Row],[Adjusted 2025]:[Adjusted 2034]])</f>
        <v>1.4602449809080436E-14</v>
      </c>
      <c r="AT326" s="3">
        <f>AVERAGEIFS('3. Incentive Adjustment'!F:F,'3. Incentive Adjustment'!A:A,tbl_Data_old[[#This Row],[Trimmed Sector]],'3. Incentive Adjustment'!B:B,tbl_Data_old[[#This Row],[Trimmed Measure Name]])</f>
        <v>3222.5963039661074</v>
      </c>
      <c r="AU326" s="3">
        <f>IFERROR(VLOOKUP(tbl_Data_old[[#This Row],[All_Meas_Name_Append]],'IRA Tax Credits'!$A$3:$D$46,4,0),0)</f>
        <v>0</v>
      </c>
      <c r="AV326" s="4">
        <f>tbl_Data_old[[#This Row],[Adj. per unit Incentive ($)]]/tbl_Data_old[[#This Row],[kWh Savings]]*tbl_Data_old[[#This Row],[Sum of Annuals]]</f>
        <v>1.8323832524801707E-14</v>
      </c>
      <c r="AW326" s="4">
        <f>IFERROR(VLOOKUP(tbl_Data_old[[#This Row],[All_Programs]],'1. Set Program Names'!$B$2:$D$15,3,0)*tbl_Data_old[[#This Row],[Sum of Annuals]],"")</f>
        <v>5.1984275878149338E-16</v>
      </c>
      <c r="AX326" s="4">
        <f>tbl_Data_old[[#This Row],[per unit IRA tax ($)]]/tbl_Data_old[[#This Row],[kWh Savings]]*tbl_Data_old[[#This Row],[Sum of Annuals]]</f>
        <v>0</v>
      </c>
      <c r="AY326" s="4">
        <f>tbl_Data_old[[#This Row],[Avoided Costs ($/unit)]]/tbl_Data_old[[#This Row],[kWh Savings]]*tbl_Data_old[[#This Row],[Sum of Annuals]]</f>
        <v>8.7249388042820746E-15</v>
      </c>
      <c r="AZ326" s="4">
        <f>tbl_Data_old[[#This Row],[Lost Revenue ($/unit)]]/tbl_Data_old[[#This Row],[kWh Savings]]*tbl_Data_old[[#This Row],[Sum of Annuals]]</f>
        <v>2.2510959825146182E-14</v>
      </c>
      <c r="BA326" s="4">
        <f>tbl_Data_old[[#This Row],[Incremental Cost ($/unit)]]/tbl_Data_old[[#This Row],[kWh Savings]]*tbl_Data_old[[#This Row],[Sum of Annuals]]</f>
        <v>1.4181640798021268E-13</v>
      </c>
      <c r="BB326">
        <f>ROUNDUP(tbl_Data_old[[#This Row],[Adjusted 2025]]/$L326,0)</f>
        <v>1</v>
      </c>
      <c r="BC326">
        <f>ROUNDUP(tbl_Data_old[[#This Row],[Adjusted 2026]]/$L326,0)</f>
        <v>1</v>
      </c>
      <c r="BD326">
        <f>ROUNDUP(tbl_Data_old[[#This Row],[Adjusted 2027]]/$L326,0)</f>
        <v>1</v>
      </c>
      <c r="BE326">
        <f>ROUNDUP(tbl_Data_old[[#This Row],[Adjusted 2028]]/$L326,0)</f>
        <v>1</v>
      </c>
      <c r="BF326">
        <f>ROUNDUP(tbl_Data_old[[#This Row],[Adjusted 2029]]/$L326,0)</f>
        <v>1</v>
      </c>
      <c r="BG326">
        <f>ROUNDUP(tbl_Data_old[[#This Row],[Adjusted 2030]]/$L326,0)</f>
        <v>1</v>
      </c>
      <c r="BH326">
        <f>ROUNDUP(tbl_Data_old[[#This Row],[Adjusted 2031]]/$L326,0)</f>
        <v>1</v>
      </c>
      <c r="BI326">
        <f>ROUNDUP(tbl_Data_old[[#This Row],[Adjusted 2032]]/$L326,0)</f>
        <v>1</v>
      </c>
      <c r="BJ326">
        <f>ROUNDUP(tbl_Data_old[[#This Row],[Adjusted 2033]]/$L326,0)</f>
        <v>1</v>
      </c>
      <c r="BK326">
        <f>ROUNDUP(tbl_Data_old[[#This Row],[Adjusted 2034]]/$L326,0)</f>
        <v>1</v>
      </c>
      <c r="BL326" s="3">
        <f t="shared" ref="BL326:BU357" si="24">$AT326/$L326*V326</f>
        <v>6.1207818707369535E-2</v>
      </c>
      <c r="BM326" s="3">
        <f t="shared" si="24"/>
        <v>0.12927637974330747</v>
      </c>
      <c r="BN326" s="3">
        <f t="shared" si="24"/>
        <v>0.20463315064460375</v>
      </c>
      <c r="BO326" s="3">
        <f t="shared" si="24"/>
        <v>0.28782115008779852</v>
      </c>
      <c r="BP326" s="3">
        <f t="shared" si="24"/>
        <v>0.37908913351739087</v>
      </c>
      <c r="BQ326" s="3">
        <f t="shared" si="23"/>
        <v>0.47864084757903919</v>
      </c>
      <c r="BR326" s="3">
        <f t="shared" si="23"/>
        <v>0.58641388098021296</v>
      </c>
      <c r="BS326" s="3">
        <f t="shared" si="23"/>
        <v>0.70247704811646117</v>
      </c>
      <c r="BT326" s="3">
        <f t="shared" si="23"/>
        <v>0.82714378465906069</v>
      </c>
      <c r="BU326" s="3">
        <f t="shared" si="23"/>
        <v>0.9601775800258614</v>
      </c>
      <c r="BV326">
        <f>VLOOKUP($H326,'1. Set Program Names'!$B$2:$D$15,3,0)*V326</f>
        <v>1.7364512196217426E-3</v>
      </c>
      <c r="BW326">
        <f>VLOOKUP($H326,'1. Set Program Names'!$B$2:$D$15,3,0)*W326</f>
        <v>3.6675400629253554E-3</v>
      </c>
      <c r="BX326">
        <f>VLOOKUP($H326,'1. Set Program Names'!$B$2:$D$15,3,0)*X326</f>
        <v>5.8053936819852546E-3</v>
      </c>
      <c r="BY326">
        <f>VLOOKUP($H326,'1. Set Program Names'!$B$2:$D$15,3,0)*Y326</f>
        <v>8.165417387153432E-3</v>
      </c>
      <c r="BZ326">
        <f>VLOOKUP($H326,'1. Set Program Names'!$B$2:$D$15,3,0)*Z326</f>
        <v>1.0754668311066052E-2</v>
      </c>
      <c r="CA326">
        <f>VLOOKUP($H326,'1. Set Program Names'!$B$2:$D$15,3,0)*AA326</f>
        <v>1.3578926697470056E-2</v>
      </c>
      <c r="CB326">
        <f>VLOOKUP($H326,'1. Set Program Names'!$B$2:$D$15,3,0)*AB326</f>
        <v>1.6636421952880467E-2</v>
      </c>
      <c r="CC326">
        <f>VLOOKUP($H326,'1. Set Program Names'!$B$2:$D$15,3,0)*AC326</f>
        <v>1.9929106325287854E-2</v>
      </c>
      <c r="CD326">
        <f>VLOOKUP($H326,'1. Set Program Names'!$B$2:$D$15,3,0)*AD326</f>
        <v>2.3465871909936851E-2</v>
      </c>
      <c r="CE326">
        <f>VLOOKUP($H326,'1. Set Program Names'!$B$2:$D$15,3,0)*AE326</f>
        <v>2.7240008958015916E-2</v>
      </c>
    </row>
    <row r="327" spans="1:83" x14ac:dyDescent="0.25">
      <c r="A327" s="20" t="s">
        <v>117</v>
      </c>
      <c r="B327" s="20" t="s">
        <v>88</v>
      </c>
      <c r="C327" s="20" t="s">
        <v>122</v>
      </c>
      <c r="D327" s="20" t="s">
        <v>90</v>
      </c>
      <c r="E327" s="20" t="s">
        <v>91</v>
      </c>
      <c r="F327" s="20" t="s">
        <v>90</v>
      </c>
      <c r="G327" s="20" t="s">
        <v>92</v>
      </c>
      <c r="H327" s="20" t="s">
        <v>14</v>
      </c>
      <c r="I327" s="20" t="s">
        <v>238</v>
      </c>
      <c r="J327" s="20" t="s">
        <v>129</v>
      </c>
      <c r="K327" s="20" t="s">
        <v>102</v>
      </c>
      <c r="L327" s="20">
        <v>4477.6116666666303</v>
      </c>
      <c r="M327" s="20">
        <v>0.90610878358590996</v>
      </c>
      <c r="N327" s="20">
        <v>4.9616670393602701E-2</v>
      </c>
      <c r="O327" s="53">
        <f>9351.31/1137.9*tbl_Data_old[[#This Row],[kWh Savings]]</f>
        <v>36797.200768623181</v>
      </c>
      <c r="P327" s="20">
        <v>44221.719775682497</v>
      </c>
      <c r="Q327" s="20">
        <v>159.401609454924</v>
      </c>
      <c r="R327" s="20">
        <v>2670.7044942461998</v>
      </c>
      <c r="S327" s="20">
        <v>6902.6319322295803</v>
      </c>
      <c r="T327" s="20">
        <v>30</v>
      </c>
      <c r="U327" s="20">
        <v>0.94999999999999896</v>
      </c>
      <c r="V327" s="20">
        <v>8.98310706745101E-2</v>
      </c>
      <c r="W327" s="20">
        <v>0.18953748019925701</v>
      </c>
      <c r="X327" s="20">
        <v>0.29968808476443598</v>
      </c>
      <c r="Y327" s="20">
        <v>0.42103436947276202</v>
      </c>
      <c r="Z327" s="20">
        <v>0.55390720364999002</v>
      </c>
      <c r="AA327" s="20">
        <v>0.69856552387959203</v>
      </c>
      <c r="AB327" s="20">
        <v>0.85489428034502701</v>
      </c>
      <c r="AC327" s="20">
        <v>1.02297127278168</v>
      </c>
      <c r="AD327" s="20">
        <v>1.2032173188172599</v>
      </c>
      <c r="AE327" s="20">
        <v>1.39527381154622</v>
      </c>
      <c r="AF327" t="str">
        <f t="shared" si="22"/>
        <v>NonResidential</v>
      </c>
      <c r="AG327" t="str">
        <f>tbl_Data_old[[#This Row],[All_Meas_Name_Append]]</f>
        <v>Ceiling Insulation(R19 to R49)</v>
      </c>
      <c r="AH327">
        <f>AVERAGEIFS('3. Incentive Adjustment'!G:G,'3. Incentive Adjustment'!A:A,tbl_Data_old[[#This Row],[Trimmed Sector]],'3. Incentive Adjustment'!B:B,tbl_Data_old[[#This Row],[Trimmed Measure Name]])</f>
        <v>7.9373870200739678E-11</v>
      </c>
      <c r="AI327">
        <f>$AH327*tbl_Data_old[[#This Row],[2025 ]]</f>
        <v>7.1302397437120371E-12</v>
      </c>
      <c r="AJ327">
        <f>$AH327*tbl_Data_old[[#This Row],[2026 ]]</f>
        <v>1.5044323351511091E-11</v>
      </c>
      <c r="AK327">
        <f>$AH327*tbl_Data_old[[#This Row],[2027 ]]</f>
        <v>2.3787403140800612E-11</v>
      </c>
      <c r="AL327">
        <f>$AH327*tbl_Data_old[[#This Row],[2028 ]]</f>
        <v>3.3419127392581282E-11</v>
      </c>
      <c r="AM327">
        <f>$AH327*tbl_Data_old[[#This Row],[2029 ]]</f>
        <v>4.3965758485768986E-11</v>
      </c>
      <c r="AN327">
        <f>$AH327*tbl_Data_old[[#This Row],[2030 ]]</f>
        <v>5.5447849219130451E-11</v>
      </c>
      <c r="AO327">
        <f>$AH327*tbl_Data_old[[#This Row],[2031 ]]</f>
        <v>6.7856267643460938E-11</v>
      </c>
      <c r="AP327">
        <f>$AH327*tbl_Data_old[[#This Row],[2032 ]]</f>
        <v>8.1197189024858536E-11</v>
      </c>
      <c r="AQ327">
        <f>$AH327*tbl_Data_old[[#This Row],[2033 ]]</f>
        <v>9.5504015287083194E-11</v>
      </c>
      <c r="AR327">
        <f>$AH327*tbl_Data_old[[#This Row],[2034 ]]</f>
        <v>1.1074828241216099E-10</v>
      </c>
      <c r="AS327">
        <f>SUM(tbl_Data_old[[#This Row],[Adjusted 2025]:[Adjusted 2034]])</f>
        <v>5.3410045570106815E-10</v>
      </c>
      <c r="AT327" s="3">
        <f>AVERAGEIFS('3. Incentive Adjustment'!F:F,'3. Incentive Adjustment'!A:A,tbl_Data_old[[#This Row],[Trimmed Sector]],'3. Incentive Adjustment'!B:B,tbl_Data_old[[#This Row],[Trimmed Measure Name]])</f>
        <v>4754.4974087894998</v>
      </c>
      <c r="AU327" s="3">
        <f>IFERROR(VLOOKUP(tbl_Data_old[[#This Row],[All_Meas_Name_Append]],'IRA Tax Credits'!$A$3:$D$46,4,0),0)</f>
        <v>500</v>
      </c>
      <c r="AV327" s="4">
        <f>tbl_Data_old[[#This Row],[Adj. per unit Incentive ($)]]/tbl_Data_old[[#This Row],[kWh Savings]]*tbl_Data_old[[#This Row],[Sum of Annuals]]</f>
        <v>5.6712806328612845E-10</v>
      </c>
      <c r="AW327" s="4">
        <f>IFERROR(VLOOKUP(tbl_Data_old[[#This Row],[All_Programs]],'1. Set Program Names'!$B$2:$D$15,3,0)*tbl_Data_old[[#This Row],[Sum of Annuals]],"")</f>
        <v>1.90138132976456E-11</v>
      </c>
      <c r="AX327" s="4">
        <f>tbl_Data_old[[#This Row],[per unit IRA tax ($)]]/tbl_Data_old[[#This Row],[kWh Savings]]*tbl_Data_old[[#This Row],[Sum of Annuals]]</f>
        <v>5.9641221198027724E-11</v>
      </c>
      <c r="AY327" s="4">
        <f>tbl_Data_old[[#This Row],[Avoided Costs ($/unit)]]/tbl_Data_old[[#This Row],[kWh Savings]]*tbl_Data_old[[#This Row],[Sum of Annuals]]</f>
        <v>3.1856815499180871E-10</v>
      </c>
      <c r="AZ327" s="4">
        <f>tbl_Data_old[[#This Row],[Lost Revenue ($/unit)]]/tbl_Data_old[[#This Row],[kWh Savings]]*tbl_Data_old[[#This Row],[Sum of Annuals]]</f>
        <v>8.2336279583734778E-10</v>
      </c>
      <c r="BA327" s="4">
        <f>tbl_Data_old[[#This Row],[Incremental Cost ($/unit)]]/tbl_Data_old[[#This Row],[kWh Savings]]*tbl_Data_old[[#This Row],[Sum of Annuals]]</f>
        <v>4.3892599810193819E-9</v>
      </c>
      <c r="BB327">
        <f>ROUNDUP(tbl_Data_old[[#This Row],[Adjusted 2025]]/$L327,0)</f>
        <v>1</v>
      </c>
      <c r="BC327">
        <f>ROUNDUP(tbl_Data_old[[#This Row],[Adjusted 2026]]/$L327,0)</f>
        <v>1</v>
      </c>
      <c r="BD327">
        <f>ROUNDUP(tbl_Data_old[[#This Row],[Adjusted 2027]]/$L327,0)</f>
        <v>1</v>
      </c>
      <c r="BE327">
        <f>ROUNDUP(tbl_Data_old[[#This Row],[Adjusted 2028]]/$L327,0)</f>
        <v>1</v>
      </c>
      <c r="BF327">
        <f>ROUNDUP(tbl_Data_old[[#This Row],[Adjusted 2029]]/$L327,0)</f>
        <v>1</v>
      </c>
      <c r="BG327">
        <f>ROUNDUP(tbl_Data_old[[#This Row],[Adjusted 2030]]/$L327,0)</f>
        <v>1</v>
      </c>
      <c r="BH327">
        <f>ROUNDUP(tbl_Data_old[[#This Row],[Adjusted 2031]]/$L327,0)</f>
        <v>1</v>
      </c>
      <c r="BI327">
        <f>ROUNDUP(tbl_Data_old[[#This Row],[Adjusted 2032]]/$L327,0)</f>
        <v>1</v>
      </c>
      <c r="BJ327">
        <f>ROUNDUP(tbl_Data_old[[#This Row],[Adjusted 2033]]/$L327,0)</f>
        <v>1</v>
      </c>
      <c r="BK327">
        <f>ROUNDUP(tbl_Data_old[[#This Row],[Adjusted 2034]]/$L327,0)</f>
        <v>1</v>
      </c>
      <c r="BL327" s="3">
        <f t="shared" si="24"/>
        <v>9.5386028210146606E-2</v>
      </c>
      <c r="BM327" s="3">
        <f t="shared" si="24"/>
        <v>0.20125806469204735</v>
      </c>
      <c r="BN327" s="3">
        <f t="shared" si="24"/>
        <v>0.3182201424623195</v>
      </c>
      <c r="BO327" s="3">
        <f t="shared" si="24"/>
        <v>0.44707021682383152</v>
      </c>
      <c r="BP327" s="3">
        <f t="shared" si="24"/>
        <v>0.588159617339989</v>
      </c>
      <c r="BQ327" s="3">
        <f t="shared" si="23"/>
        <v>0.74176329266797969</v>
      </c>
      <c r="BR327" s="3">
        <f t="shared" si="23"/>
        <v>0.90775907856147164</v>
      </c>
      <c r="BS327" s="3">
        <f t="shared" si="23"/>
        <v>1.0862295857218451</v>
      </c>
      <c r="BT327" s="3">
        <f t="shared" si="23"/>
        <v>1.2776216542213223</v>
      </c>
      <c r="BU327" s="3">
        <f t="shared" si="23"/>
        <v>1.4815545016852525</v>
      </c>
      <c r="BV327">
        <f>VLOOKUP($H327,'1. Set Program Names'!$B$2:$D$15,3,0)*V327</f>
        <v>3.1979587133861456E-3</v>
      </c>
      <c r="BW327">
        <f>VLOOKUP($H327,'1. Set Program Names'!$B$2:$D$15,3,0)*W327</f>
        <v>6.7474764774061681E-3</v>
      </c>
      <c r="BX327">
        <f>VLOOKUP($H327,'1. Set Program Names'!$B$2:$D$15,3,0)*X327</f>
        <v>1.0668804398903603E-2</v>
      </c>
      <c r="BY327">
        <f>VLOOKUP($H327,'1. Set Program Names'!$B$2:$D$15,3,0)*Y327</f>
        <v>1.4988695118297431E-2</v>
      </c>
      <c r="BZ327">
        <f>VLOOKUP($H327,'1. Set Program Names'!$B$2:$D$15,3,0)*Z327</f>
        <v>1.9718927482654098E-2</v>
      </c>
      <c r="CA327">
        <f>VLOOKUP($H327,'1. Set Program Names'!$B$2:$D$15,3,0)*AA327</f>
        <v>2.4868719555357587E-2</v>
      </c>
      <c r="CB327">
        <f>VLOOKUP($H327,'1. Set Program Names'!$B$2:$D$15,3,0)*AB327</f>
        <v>3.0433975598034547E-2</v>
      </c>
      <c r="CC327">
        <f>VLOOKUP($H327,'1. Set Program Names'!$B$2:$D$15,3,0)*AC327</f>
        <v>3.6417465257532172E-2</v>
      </c>
      <c r="CD327">
        <f>VLOOKUP($H327,'1. Set Program Names'!$B$2:$D$15,3,0)*AD327</f>
        <v>4.2834169513028091E-2</v>
      </c>
      <c r="CE327">
        <f>VLOOKUP($H327,'1. Set Program Names'!$B$2:$D$15,3,0)*AE327</f>
        <v>4.9671322068076493E-2</v>
      </c>
    </row>
    <row r="328" spans="1:83" x14ac:dyDescent="0.25">
      <c r="A328" s="20" t="s">
        <v>117</v>
      </c>
      <c r="B328" s="20" t="s">
        <v>88</v>
      </c>
      <c r="C328" s="20" t="s">
        <v>122</v>
      </c>
      <c r="D328" s="20" t="s">
        <v>90</v>
      </c>
      <c r="E328" s="20" t="s">
        <v>91</v>
      </c>
      <c r="F328" s="20" t="s">
        <v>90</v>
      </c>
      <c r="G328" s="20" t="s">
        <v>92</v>
      </c>
      <c r="H328" s="20" t="s">
        <v>14</v>
      </c>
      <c r="I328" s="20" t="s">
        <v>240</v>
      </c>
      <c r="J328" s="20" t="s">
        <v>129</v>
      </c>
      <c r="K328" s="20" t="s">
        <v>102</v>
      </c>
      <c r="L328" s="20">
        <v>18717.787499999999</v>
      </c>
      <c r="M328" s="20">
        <v>3.6380387810097399</v>
      </c>
      <c r="N328" s="20">
        <v>0.14255501576814</v>
      </c>
      <c r="O328" s="53">
        <f>11091.09/6133.31*tbl_Data_old[[#This Row],[kWh Savings]]</f>
        <v>33848.063405139306</v>
      </c>
      <c r="P328" s="20">
        <v>45532.278837645601</v>
      </c>
      <c r="Q328" s="20">
        <v>666.34752521012103</v>
      </c>
      <c r="R328" s="20">
        <v>11042.715256281999</v>
      </c>
      <c r="S328" s="20">
        <v>28855.114582630202</v>
      </c>
      <c r="T328" s="20">
        <v>30</v>
      </c>
      <c r="U328" s="20">
        <v>0.95</v>
      </c>
      <c r="V328" s="20">
        <v>4.74004277801948E-2</v>
      </c>
      <c r="W328" s="20">
        <v>9.3863623469617699E-2</v>
      </c>
      <c r="X328" s="20">
        <v>0.13893601317922</v>
      </c>
      <c r="Y328" s="20">
        <v>0.18260082880925499</v>
      </c>
      <c r="Z328" s="20">
        <v>0.224860152561764</v>
      </c>
      <c r="AA328" s="20">
        <v>0.26560505297062398</v>
      </c>
      <c r="AB328" s="20">
        <v>0.30481793086064202</v>
      </c>
      <c r="AC328" s="20">
        <v>0.34255187375922103</v>
      </c>
      <c r="AD328" s="20">
        <v>0.37879947438542</v>
      </c>
      <c r="AE328" s="20">
        <v>0.41357851879503998</v>
      </c>
      <c r="AF328" t="str">
        <f t="shared" si="22"/>
        <v>NonResidential</v>
      </c>
      <c r="AG328" t="str">
        <f>tbl_Data_old[[#This Row],[All_Meas_Name_Append]]</f>
        <v>Ceiling Insulation(R2 to R38)</v>
      </c>
      <c r="AH328">
        <f>AVERAGEIFS('3. Incentive Adjustment'!G:G,'3. Incentive Adjustment'!A:A,tbl_Data_old[[#This Row],[Trimmed Sector]],'3. Incentive Adjustment'!B:B,tbl_Data_old[[#This Row],[Trimmed Measure Name]])</f>
        <v>3.0218441517909909E-3</v>
      </c>
      <c r="AI328">
        <f>$AH328*tbl_Data_old[[#This Row],[2025 ]]</f>
        <v>1.4323670547997287E-4</v>
      </c>
      <c r="AJ328">
        <f>$AH328*tbl_Data_old[[#This Row],[2026 ]]</f>
        <v>2.8364124164757587E-4</v>
      </c>
      <c r="AK328">
        <f>$AH328*tbl_Data_old[[#This Row],[2027 ]]</f>
        <v>4.1984297889878199E-4</v>
      </c>
      <c r="AL328">
        <f>$AH328*tbl_Data_old[[#This Row],[2028 ]]</f>
        <v>5.5179124664943508E-4</v>
      </c>
      <c r="AM328">
        <f>$AH328*tbl_Data_old[[#This Row],[2029 ]]</f>
        <v>6.7949233698959657E-4</v>
      </c>
      <c r="AN328">
        <f>$AH328*tbl_Data_old[[#This Row],[2030 ]]</f>
        <v>8.0261707600541641E-4</v>
      </c>
      <c r="AO328">
        <f>$AH328*tbl_Data_old[[#This Row],[2031 ]]</f>
        <v>9.2111228173226173E-4</v>
      </c>
      <c r="AP328">
        <f>$AH328*tbl_Data_old[[#This Row],[2032 ]]</f>
        <v>1.0351383764043479E-3</v>
      </c>
      <c r="AQ328">
        <f>$AH328*tbl_Data_old[[#This Row],[2033 ]]</f>
        <v>1.1446729763730827E-3</v>
      </c>
      <c r="AR328">
        <f>$AH328*tbl_Data_old[[#This Row],[2034 ]]</f>
        <v>1.249769828327172E-3</v>
      </c>
      <c r="AS328">
        <f>SUM(tbl_Data_old[[#This Row],[Adjusted 2025]:[Adjusted 2034]])</f>
        <v>7.2313150485076427E-3</v>
      </c>
      <c r="AT328" s="3">
        <f>AVERAGEIFS('3. Incentive Adjustment'!F:F,'3. Incentive Adjustment'!A:A,tbl_Data_old[[#This Row],[Trimmed Sector]],'3. Incentive Adjustment'!B:B,tbl_Data_old[[#This Row],[Trimmed Measure Name]])</f>
        <v>4373.4448922946976</v>
      </c>
      <c r="AU328" s="3">
        <f>IFERROR(VLOOKUP(tbl_Data_old[[#This Row],[All_Meas_Name_Append]],'IRA Tax Credits'!$A$3:$D$46,4,0),0)</f>
        <v>0</v>
      </c>
      <c r="AV328" s="4">
        <f>tbl_Data_old[[#This Row],[Adj. per unit Incentive ($)]]/tbl_Data_old[[#This Row],[kWh Savings]]*tbl_Data_old[[#This Row],[Sum of Annuals]]</f>
        <v>1.6896098357495263E-3</v>
      </c>
      <c r="AW328" s="4">
        <f>IFERROR(VLOOKUP(tbl_Data_old[[#This Row],[All_Programs]],'1. Set Program Names'!$B$2:$D$15,3,0)*tbl_Data_old[[#This Row],[Sum of Annuals]],"")</f>
        <v>2.5743260984172268E-4</v>
      </c>
      <c r="AX328" s="4">
        <f>tbl_Data_old[[#This Row],[per unit IRA tax ($)]]/tbl_Data_old[[#This Row],[kWh Savings]]*tbl_Data_old[[#This Row],[Sum of Annuals]]</f>
        <v>0</v>
      </c>
      <c r="AY328" s="4">
        <f>tbl_Data_old[[#This Row],[Avoided Costs ($/unit)]]/tbl_Data_old[[#This Row],[kWh Savings]]*tbl_Data_old[[#This Row],[Sum of Annuals]]</f>
        <v>4.2661747820962794E-3</v>
      </c>
      <c r="AZ328" s="4">
        <f>tbl_Data_old[[#This Row],[Lost Revenue ($/unit)]]/tbl_Data_old[[#This Row],[kWh Savings]]*tbl_Data_old[[#This Row],[Sum of Annuals]]</f>
        <v>1.1147707724953397E-2</v>
      </c>
      <c r="BA328" s="4">
        <f>tbl_Data_old[[#This Row],[Incremental Cost ($/unit)]]/tbl_Data_old[[#This Row],[kWh Savings]]*tbl_Data_old[[#This Row],[Sum of Annuals]]</f>
        <v>1.3076652903791366E-2</v>
      </c>
      <c r="BB328">
        <f>ROUNDUP(tbl_Data_old[[#This Row],[Adjusted 2025]]/$L328,0)</f>
        <v>1</v>
      </c>
      <c r="BC328">
        <f>ROUNDUP(tbl_Data_old[[#This Row],[Adjusted 2026]]/$L328,0)</f>
        <v>1</v>
      </c>
      <c r="BD328">
        <f>ROUNDUP(tbl_Data_old[[#This Row],[Adjusted 2027]]/$L328,0)</f>
        <v>1</v>
      </c>
      <c r="BE328">
        <f>ROUNDUP(tbl_Data_old[[#This Row],[Adjusted 2028]]/$L328,0)</f>
        <v>1</v>
      </c>
      <c r="BF328">
        <f>ROUNDUP(tbl_Data_old[[#This Row],[Adjusted 2029]]/$L328,0)</f>
        <v>1</v>
      </c>
      <c r="BG328">
        <f>ROUNDUP(tbl_Data_old[[#This Row],[Adjusted 2030]]/$L328,0)</f>
        <v>1</v>
      </c>
      <c r="BH328">
        <f>ROUNDUP(tbl_Data_old[[#This Row],[Adjusted 2031]]/$L328,0)</f>
        <v>1</v>
      </c>
      <c r="BI328">
        <f>ROUNDUP(tbl_Data_old[[#This Row],[Adjusted 2032]]/$L328,0)</f>
        <v>1</v>
      </c>
      <c r="BJ328">
        <f>ROUNDUP(tbl_Data_old[[#This Row],[Adjusted 2033]]/$L328,0)</f>
        <v>1</v>
      </c>
      <c r="BK328">
        <f>ROUNDUP(tbl_Data_old[[#This Row],[Adjusted 2034]]/$L328,0)</f>
        <v>1</v>
      </c>
      <c r="BL328" s="3">
        <f t="shared" si="24"/>
        <v>1.1075195653753237E-2</v>
      </c>
      <c r="BM328" s="3">
        <f t="shared" si="24"/>
        <v>2.1931405334923919E-2</v>
      </c>
      <c r="BN328" s="3">
        <f t="shared" si="24"/>
        <v>3.2462650684246128E-2</v>
      </c>
      <c r="BO328" s="3">
        <f t="shared" si="24"/>
        <v>4.2665013804896269E-2</v>
      </c>
      <c r="BP328" s="3">
        <f t="shared" si="24"/>
        <v>5.2538981207146056E-2</v>
      </c>
      <c r="BQ328" s="3">
        <f t="shared" si="23"/>
        <v>6.2059100856980999E-2</v>
      </c>
      <c r="BR328" s="3">
        <f t="shared" si="23"/>
        <v>7.1221260675296869E-2</v>
      </c>
      <c r="BS328" s="3">
        <f t="shared" si="23"/>
        <v>8.00378646588569E-2</v>
      </c>
      <c r="BT328" s="3">
        <f t="shared" si="23"/>
        <v>8.8507182083076397E-2</v>
      </c>
      <c r="BU328" s="3">
        <f t="shared" si="23"/>
        <v>9.663336869205158E-2</v>
      </c>
      <c r="BV328">
        <f>VLOOKUP($H328,'1. Set Program Names'!$B$2:$D$15,3,0)*V328</f>
        <v>1.68744076965474E-3</v>
      </c>
      <c r="BW328">
        <f>VLOOKUP($H328,'1. Set Program Names'!$B$2:$D$15,3,0)*W328</f>
        <v>3.3415163627770845E-3</v>
      </c>
      <c r="BX328">
        <f>VLOOKUP($H328,'1. Set Program Names'!$B$2:$D$15,3,0)*X328</f>
        <v>4.9460796872778899E-3</v>
      </c>
      <c r="BY328">
        <f>VLOOKUP($H328,'1. Set Program Names'!$B$2:$D$15,3,0)*Y328</f>
        <v>6.500533803921218E-3</v>
      </c>
      <c r="BZ328">
        <f>VLOOKUP($H328,'1. Set Program Names'!$B$2:$D$15,3,0)*Z328</f>
        <v>8.0049528384645713E-3</v>
      </c>
      <c r="CA328">
        <f>VLOOKUP($H328,'1. Set Program Names'!$B$2:$D$15,3,0)*AA328</f>
        <v>9.455458863943101E-3</v>
      </c>
      <c r="CB328">
        <f>VLOOKUP($H328,'1. Set Program Names'!$B$2:$D$15,3,0)*AB328</f>
        <v>1.0851425355088498E-2</v>
      </c>
      <c r="CC328">
        <f>VLOOKUP($H328,'1. Set Program Names'!$B$2:$D$15,3,0)*AC328</f>
        <v>1.2194742211682161E-2</v>
      </c>
      <c r="CD328">
        <f>VLOOKUP($H328,'1. Set Program Names'!$B$2:$D$15,3,0)*AD328</f>
        <v>1.348514573678215E-2</v>
      </c>
      <c r="CE328">
        <f>VLOOKUP($H328,'1. Set Program Names'!$B$2:$D$15,3,0)*AE328</f>
        <v>1.4723269108549415E-2</v>
      </c>
    </row>
    <row r="329" spans="1:83" x14ac:dyDescent="0.25">
      <c r="A329" s="20" t="s">
        <v>117</v>
      </c>
      <c r="B329" s="20" t="s">
        <v>88</v>
      </c>
      <c r="C329" s="20" t="s">
        <v>122</v>
      </c>
      <c r="D329" s="20" t="s">
        <v>90</v>
      </c>
      <c r="E329" s="20" t="s">
        <v>91</v>
      </c>
      <c r="F329" s="20" t="s">
        <v>90</v>
      </c>
      <c r="G329" s="20" t="s">
        <v>92</v>
      </c>
      <c r="H329" s="20" t="s">
        <v>14</v>
      </c>
      <c r="I329" s="20" t="s">
        <v>241</v>
      </c>
      <c r="J329" s="20" t="s">
        <v>129</v>
      </c>
      <c r="K329" s="20" t="s">
        <v>102</v>
      </c>
      <c r="L329" s="20">
        <v>19185.113333333298</v>
      </c>
      <c r="M329" s="20">
        <v>4.6125790568704801</v>
      </c>
      <c r="N329" s="20">
        <v>0.25911922024205197</v>
      </c>
      <c r="O329" s="53">
        <f>11417.3/6341.92*tbl_Data_old[[#This Row],[kWh Savings]]</f>
        <v>34538.782334161617</v>
      </c>
      <c r="P329" s="20">
        <v>25197.386166847798</v>
      </c>
      <c r="Q329" s="20">
        <v>682.98418232081895</v>
      </c>
      <c r="R329" s="20">
        <v>12014.6297388403</v>
      </c>
      <c r="S329" s="20">
        <v>29575.538429105502</v>
      </c>
      <c r="T329" s="20">
        <v>30</v>
      </c>
      <c r="U329" s="20">
        <v>0.95</v>
      </c>
      <c r="V329" s="20">
        <v>0.18765984582977799</v>
      </c>
      <c r="W329" s="20">
        <v>0.37131085773987299</v>
      </c>
      <c r="X329" s="20">
        <v>0.54919458514214303</v>
      </c>
      <c r="Y329" s="20">
        <v>0.72127854564437699</v>
      </c>
      <c r="Z329" s="20">
        <v>0.88760152579485396</v>
      </c>
      <c r="AA329" s="20">
        <v>1.04776312368527</v>
      </c>
      <c r="AB329" s="20">
        <v>1.2017206262301201</v>
      </c>
      <c r="AC329" s="20">
        <v>1.3497065730539699</v>
      </c>
      <c r="AD329" s="20">
        <v>1.4917138961610801</v>
      </c>
      <c r="AE329" s="20">
        <v>1.62783251967506</v>
      </c>
      <c r="AF329" t="str">
        <f t="shared" si="22"/>
        <v>NonResidential</v>
      </c>
      <c r="AG329" t="str">
        <f>tbl_Data_old[[#This Row],[All_Meas_Name_Append]]</f>
        <v>Ceiling Insulation(R2 to R49)</v>
      </c>
      <c r="AH329">
        <f>AVERAGEIFS('3. Incentive Adjustment'!G:G,'3. Incentive Adjustment'!A:A,tbl_Data_old[[#This Row],[Trimmed Sector]],'3. Incentive Adjustment'!B:B,tbl_Data_old[[#This Row],[Trimmed Measure Name]])</f>
        <v>5.674595082038876E-2</v>
      </c>
      <c r="AI329">
        <f>$AH329*tbl_Data_old[[#This Row],[2025 ]]</f>
        <v>1.0648936382418319E-2</v>
      </c>
      <c r="AJ329">
        <f>$AH329*tbl_Data_old[[#This Row],[2026 ]]</f>
        <v>2.1070387672383201E-2</v>
      </c>
      <c r="AK329">
        <f>$AH329*tbl_Data_old[[#This Row],[2027 ]]</f>
        <v>3.1164568919299855E-2</v>
      </c>
      <c r="AL329">
        <f>$AH329*tbl_Data_old[[#This Row],[2028 ]]</f>
        <v>4.0929636878937345E-2</v>
      </c>
      <c r="AM329">
        <f>$AH329*tbl_Data_old[[#This Row],[2029 ]]</f>
        <v>5.0367792530856811E-2</v>
      </c>
      <c r="AN329">
        <f>$AH329*tbl_Data_old[[#This Row],[2030 ]]</f>
        <v>5.9456314688061236E-2</v>
      </c>
      <c r="AO329">
        <f>$AH329*tbl_Data_old[[#This Row],[2031 ]]</f>
        <v>6.8192779555901181E-2</v>
      </c>
      <c r="AP329">
        <f>$AH329*tbl_Data_old[[#This Row],[2032 ]]</f>
        <v>7.6590382816476024E-2</v>
      </c>
      <c r="AQ329">
        <f>$AH329*tbl_Data_old[[#This Row],[2033 ]]</f>
        <v>8.4648723389647157E-2</v>
      </c>
      <c r="AR329">
        <f>$AH329*tbl_Data_old[[#This Row],[2034 ]]</f>
        <v>9.2372904105310474E-2</v>
      </c>
      <c r="AS329">
        <f>SUM(tbl_Data_old[[#This Row],[Adjusted 2025]:[Adjusted 2034]])</f>
        <v>0.53544242693929167</v>
      </c>
      <c r="AT329" s="3">
        <f>AVERAGEIFS('3. Incentive Adjustment'!F:F,'3. Incentive Adjustment'!A:A,tbl_Data_old[[#This Row],[Trimmed Sector]],'3. Incentive Adjustment'!B:B,tbl_Data_old[[#This Row],[Trimmed Measure Name]])</f>
        <v>4335.1908026959672</v>
      </c>
      <c r="AU329" s="3">
        <f>IFERROR(VLOOKUP(tbl_Data_old[[#This Row],[All_Meas_Name_Append]],'IRA Tax Credits'!$A$3:$D$46,4,0),0)</f>
        <v>500</v>
      </c>
      <c r="AV329" s="4">
        <f>tbl_Data_old[[#This Row],[Adj. per unit Incentive ($)]]/tbl_Data_old[[#This Row],[kWh Savings]]*tbl_Data_old[[#This Row],[Sum of Annuals]]</f>
        <v>0.12099199229682749</v>
      </c>
      <c r="AW329" s="4">
        <f>IFERROR(VLOOKUP(tbl_Data_old[[#This Row],[All_Programs]],'1. Set Program Names'!$B$2:$D$15,3,0)*tbl_Data_old[[#This Row],[Sum of Annuals]],"")</f>
        <v>1.9061587064363138E-2</v>
      </c>
      <c r="AX329" s="4">
        <f>tbl_Data_old[[#This Row],[per unit IRA tax ($)]]/tbl_Data_old[[#This Row],[kWh Savings]]*tbl_Data_old[[#This Row],[Sum of Annuals]]</f>
        <v>1.3954632887390447E-2</v>
      </c>
      <c r="AY329" s="4">
        <f>tbl_Data_old[[#This Row],[Avoided Costs ($/unit)]]/tbl_Data_old[[#This Row],[kWh Savings]]*tbl_Data_old[[#This Row],[Sum of Annuals]]</f>
        <v>0.33531949456688032</v>
      </c>
      <c r="AZ329" s="4">
        <f>tbl_Data_old[[#This Row],[Lost Revenue ($/unit)]]/tbl_Data_old[[#This Row],[kWh Savings]]*tbl_Data_old[[#This Row],[Sum of Annuals]]</f>
        <v>0.82543156245015137</v>
      </c>
      <c r="BA329" s="4">
        <f>tbl_Data_old[[#This Row],[Incremental Cost ($/unit)]]/tbl_Data_old[[#This Row],[kWh Savings]]*tbl_Data_old[[#This Row],[Sum of Annuals]]</f>
        <v>0.96395205570142384</v>
      </c>
      <c r="BB329">
        <f>ROUNDUP(tbl_Data_old[[#This Row],[Adjusted 2025]]/$L329,0)</f>
        <v>1</v>
      </c>
      <c r="BC329">
        <f>ROUNDUP(tbl_Data_old[[#This Row],[Adjusted 2026]]/$L329,0)</f>
        <v>1</v>
      </c>
      <c r="BD329">
        <f>ROUNDUP(tbl_Data_old[[#This Row],[Adjusted 2027]]/$L329,0)</f>
        <v>1</v>
      </c>
      <c r="BE329">
        <f>ROUNDUP(tbl_Data_old[[#This Row],[Adjusted 2028]]/$L329,0)</f>
        <v>1</v>
      </c>
      <c r="BF329">
        <f>ROUNDUP(tbl_Data_old[[#This Row],[Adjusted 2029]]/$L329,0)</f>
        <v>1</v>
      </c>
      <c r="BG329">
        <f>ROUNDUP(tbl_Data_old[[#This Row],[Adjusted 2030]]/$L329,0)</f>
        <v>1</v>
      </c>
      <c r="BH329">
        <f>ROUNDUP(tbl_Data_old[[#This Row],[Adjusted 2031]]/$L329,0)</f>
        <v>1</v>
      </c>
      <c r="BI329">
        <f>ROUNDUP(tbl_Data_old[[#This Row],[Adjusted 2032]]/$L329,0)</f>
        <v>1</v>
      </c>
      <c r="BJ329">
        <f>ROUNDUP(tbl_Data_old[[#This Row],[Adjusted 2033]]/$L329,0)</f>
        <v>1</v>
      </c>
      <c r="BK329">
        <f>ROUNDUP(tbl_Data_old[[#This Row],[Adjusted 2034]]/$L329,0)</f>
        <v>1</v>
      </c>
      <c r="BL329" s="3">
        <f t="shared" si="24"/>
        <v>4.2404817920106017E-2</v>
      </c>
      <c r="BM329" s="3">
        <f t="shared" si="24"/>
        <v>8.3903774111058205E-2</v>
      </c>
      <c r="BN329" s="3">
        <f t="shared" si="24"/>
        <v>0.12409951784136711</v>
      </c>
      <c r="BO329" s="3">
        <f t="shared" si="24"/>
        <v>0.16298470918212449</v>
      </c>
      <c r="BP329" s="3">
        <f t="shared" si="24"/>
        <v>0.20056811258962759</v>
      </c>
      <c r="BQ329" s="3">
        <f t="shared" si="23"/>
        <v>0.23675925069008652</v>
      </c>
      <c r="BR329" s="3">
        <f t="shared" si="23"/>
        <v>0.27154847176176167</v>
      </c>
      <c r="BS329" s="3">
        <f t="shared" si="23"/>
        <v>0.30498832194416053</v>
      </c>
      <c r="BT329" s="3">
        <f t="shared" si="23"/>
        <v>0.33707720410780095</v>
      </c>
      <c r="BU329" s="3">
        <f t="shared" si="23"/>
        <v>0.36783543808227359</v>
      </c>
      <c r="BV329">
        <f>VLOOKUP($H329,'1. Set Program Names'!$B$2:$D$15,3,0)*V329</f>
        <v>6.6806332666179379E-3</v>
      </c>
      <c r="BW329">
        <f>VLOOKUP($H329,'1. Set Program Names'!$B$2:$D$15,3,0)*W329</f>
        <v>1.32185532685747E-2</v>
      </c>
      <c r="BX329">
        <f>VLOOKUP($H329,'1. Set Program Names'!$B$2:$D$15,3,0)*X329</f>
        <v>1.9551159701341095E-2</v>
      </c>
      <c r="BY329">
        <f>VLOOKUP($H329,'1. Set Program Names'!$B$2:$D$15,3,0)*Y329</f>
        <v>2.5677296201663036E-2</v>
      </c>
      <c r="BZ329">
        <f>VLOOKUP($H329,'1. Set Program Names'!$B$2:$D$15,3,0)*Z329</f>
        <v>3.1598343558827575E-2</v>
      </c>
      <c r="CA329">
        <f>VLOOKUP($H329,'1. Set Program Names'!$B$2:$D$15,3,0)*AA329</f>
        <v>3.7300047587040162E-2</v>
      </c>
      <c r="CB329">
        <f>VLOOKUP($H329,'1. Set Program Names'!$B$2:$D$15,3,0)*AB329</f>
        <v>4.2780887713486294E-2</v>
      </c>
      <c r="CC329">
        <f>VLOOKUP($H329,'1. Set Program Names'!$B$2:$D$15,3,0)*AC329</f>
        <v>4.8049142277865171E-2</v>
      </c>
      <c r="CD329">
        <f>VLOOKUP($H329,'1. Set Program Names'!$B$2:$D$15,3,0)*AD329</f>
        <v>5.3104559661684536E-2</v>
      </c>
      <c r="CE329">
        <f>VLOOKUP($H329,'1. Set Program Names'!$B$2:$D$15,3,0)*AE329</f>
        <v>5.7950341136313879E-2</v>
      </c>
    </row>
    <row r="330" spans="1:83" x14ac:dyDescent="0.25">
      <c r="A330" s="20" t="s">
        <v>117</v>
      </c>
      <c r="B330" s="20" t="s">
        <v>88</v>
      </c>
      <c r="C330" s="20" t="s">
        <v>122</v>
      </c>
      <c r="D330" s="20" t="s">
        <v>90</v>
      </c>
      <c r="E330" s="20" t="s">
        <v>91</v>
      </c>
      <c r="F330" s="20" t="s">
        <v>90</v>
      </c>
      <c r="G330" s="20" t="s">
        <v>92</v>
      </c>
      <c r="H330" s="20" t="s">
        <v>14</v>
      </c>
      <c r="I330" s="20" t="s">
        <v>128</v>
      </c>
      <c r="J330" s="20" t="s">
        <v>129</v>
      </c>
      <c r="K330" s="20" t="s">
        <v>130</v>
      </c>
      <c r="L330" s="53">
        <v>2045.1799999999989</v>
      </c>
      <c r="M330" s="53">
        <v>0.47104509500000002</v>
      </c>
      <c r="N330" s="53">
        <v>0.17900382200000001</v>
      </c>
      <c r="O330" s="53">
        <f>19591.5999999999/60160.456*2045.18</f>
        <v>666.02468053100858</v>
      </c>
      <c r="P330" s="53">
        <f>11310.7385995848/60160.456*2045.18</f>
        <v>384.51331501042552</v>
      </c>
      <c r="Q330" s="53">
        <f>2141.69388188172/60160.456*2045.18</f>
        <v>72.807784125619918</v>
      </c>
      <c r="R330" s="53">
        <f>32581.871747558/60160.456*2045.18</f>
        <v>1107.6344311730397</v>
      </c>
      <c r="S330" s="53">
        <f>77209.8271220691/60160.456*2045.18</f>
        <v>2624.780540784353</v>
      </c>
      <c r="T330" s="20">
        <v>20</v>
      </c>
      <c r="U330" s="20">
        <v>0.94999999999999896</v>
      </c>
      <c r="V330" s="20">
        <v>16.228193277799701</v>
      </c>
      <c r="W330" s="20">
        <v>32.205189854632899</v>
      </c>
      <c r="X330" s="20">
        <v>47.836546492105299</v>
      </c>
      <c r="Y330" s="20">
        <v>63.120981216126097</v>
      </c>
      <c r="Z330" s="20">
        <v>78.037220526484006</v>
      </c>
      <c r="AA330" s="20">
        <v>92.553641308335798</v>
      </c>
      <c r="AB330" s="20">
        <v>106.64224077578</v>
      </c>
      <c r="AC330" s="20">
        <v>120.30646690561299</v>
      </c>
      <c r="AD330" s="20">
        <v>133.56621533373701</v>
      </c>
      <c r="AE330" s="20">
        <v>146.411565682993</v>
      </c>
      <c r="AF330" t="str">
        <f t="shared" si="22"/>
        <v>NonResidential</v>
      </c>
      <c r="AG330" t="str">
        <f>tbl_Data_old[[#This Row],[All_Meas_Name_Append]]</f>
        <v>Commercial Duct Sealing</v>
      </c>
      <c r="AH330">
        <f>AVERAGEIFS('3. Incentive Adjustment'!G:G,'3. Incentive Adjustment'!A:A,tbl_Data_old[[#This Row],[Trimmed Sector]],'3. Incentive Adjustment'!B:B,tbl_Data_old[[#This Row],[Trimmed Measure Name]])</f>
        <v>0.69277112909915817</v>
      </c>
      <c r="AI330">
        <f>$AH330*tbl_Data_old[[#This Row],[2025 ]]</f>
        <v>11.242423780300667</v>
      </c>
      <c r="AJ330">
        <f>$AH330*tbl_Data_old[[#This Row],[2026 ]]</f>
        <v>22.310825738446788</v>
      </c>
      <c r="AK330">
        <f>$AH330*tbl_Data_old[[#This Row],[2027 ]]</f>
        <v>33.139778325540163</v>
      </c>
      <c r="AL330">
        <f>$AH330*tbl_Data_old[[#This Row],[2028 ]]</f>
        <v>43.728393426942432</v>
      </c>
      <c r="AM330">
        <f>$AH330*tbl_Data_old[[#This Row],[2029 ]]</f>
        <v>54.06193337589233</v>
      </c>
      <c r="AN330">
        <f>$AH330*tbl_Data_old[[#This Row],[2030 ]]</f>
        <v>64.118490591414272</v>
      </c>
      <c r="AO330">
        <f>$AH330*tbl_Data_old[[#This Row],[2031 ]]</f>
        <v>73.878665551901392</v>
      </c>
      <c r="AP330">
        <f>$AH330*tbl_Data_old[[#This Row],[2032 ]]</f>
        <v>83.344846916132013</v>
      </c>
      <c r="AQ330">
        <f>$AH330*tbl_Data_old[[#This Row],[2033 ]]</f>
        <v>92.530817806254277</v>
      </c>
      <c r="AR330">
        <f>$AH330*tbl_Data_old[[#This Row],[2034 ]]</f>
        <v>101.42970567138262</v>
      </c>
      <c r="AS330">
        <f>SUM(tbl_Data_old[[#This Row],[Adjusted 2025]:[Adjusted 2034]])</f>
        <v>579.78588118420703</v>
      </c>
      <c r="AT330" s="3">
        <f>AVERAGEIFS('3. Incentive Adjustment'!F:F,'3. Incentive Adjustment'!A:A,tbl_Data_old[[#This Row],[Trimmed Sector]],'3. Incentive Adjustment'!B:B,tbl_Data_old[[#This Row],[Trimmed Measure Name]])</f>
        <v>100</v>
      </c>
      <c r="AU330" s="3">
        <f>IFERROR(VLOOKUP(tbl_Data_old[[#This Row],[All_Meas_Name_Append]],'IRA Tax Credits'!$A$3:$D$46,4,0),0)</f>
        <v>0</v>
      </c>
      <c r="AV330" s="4">
        <f>tbl_Data_old[[#This Row],[Adj. per unit Incentive ($)]]/tbl_Data_old[[#This Row],[kWh Savings]]*tbl_Data_old[[#This Row],[Sum of Annuals]]</f>
        <v>28.348892575920328</v>
      </c>
      <c r="AW330" s="4">
        <f>IFERROR(VLOOKUP(tbl_Data_old[[#This Row],[All_Programs]],'1. Set Program Names'!$B$2:$D$15,3,0)*tbl_Data_old[[#This Row],[Sum of Annuals]],"")</f>
        <v>20.640200508680078</v>
      </c>
      <c r="AX330" s="4">
        <f>tbl_Data_old[[#This Row],[per unit IRA tax ($)]]/tbl_Data_old[[#This Row],[kWh Savings]]*tbl_Data_old[[#This Row],[Sum of Annuals]]</f>
        <v>0</v>
      </c>
      <c r="AY330" s="4">
        <f>tbl_Data_old[[#This Row],[Avoided Costs ($/unit)]]/tbl_Data_old[[#This Row],[kWh Savings]]*tbl_Data_old[[#This Row],[Sum of Annuals]]</f>
        <v>314.0020950271512</v>
      </c>
      <c r="AZ330" s="4">
        <f>tbl_Data_old[[#This Row],[Lost Revenue ($/unit)]]/tbl_Data_old[[#This Row],[kWh Savings]]*tbl_Data_old[[#This Row],[Sum of Annuals]]</f>
        <v>744.09621586061689</v>
      </c>
      <c r="BA330" s="4">
        <f>tbl_Data_old[[#This Row],[Incremental Cost ($/unit)]]/tbl_Data_old[[#This Row],[kWh Savings]]*tbl_Data_old[[#This Row],[Sum of Annuals]]</f>
        <v>188.81062121285217</v>
      </c>
      <c r="BB330">
        <f>ROUNDUP(tbl_Data_old[[#This Row],[Adjusted 2025]]/$L330,0)</f>
        <v>1</v>
      </c>
      <c r="BC330">
        <f>ROUNDUP(tbl_Data_old[[#This Row],[Adjusted 2026]]/$L330,0)</f>
        <v>1</v>
      </c>
      <c r="BD330">
        <f>ROUNDUP(tbl_Data_old[[#This Row],[Adjusted 2027]]/$L330,0)</f>
        <v>1</v>
      </c>
      <c r="BE330">
        <f>ROUNDUP(tbl_Data_old[[#This Row],[Adjusted 2028]]/$L330,0)</f>
        <v>1</v>
      </c>
      <c r="BF330">
        <f>ROUNDUP(tbl_Data_old[[#This Row],[Adjusted 2029]]/$L330,0)</f>
        <v>1</v>
      </c>
      <c r="BG330">
        <f>ROUNDUP(tbl_Data_old[[#This Row],[Adjusted 2030]]/$L330,0)</f>
        <v>1</v>
      </c>
      <c r="BH330">
        <f>ROUNDUP(tbl_Data_old[[#This Row],[Adjusted 2031]]/$L330,0)</f>
        <v>1</v>
      </c>
      <c r="BI330">
        <f>ROUNDUP(tbl_Data_old[[#This Row],[Adjusted 2032]]/$L330,0)</f>
        <v>1</v>
      </c>
      <c r="BJ330">
        <f>ROUNDUP(tbl_Data_old[[#This Row],[Adjusted 2033]]/$L330,0)</f>
        <v>1</v>
      </c>
      <c r="BK330">
        <f>ROUNDUP(tbl_Data_old[[#This Row],[Adjusted 2034]]/$L330,0)</f>
        <v>1</v>
      </c>
      <c r="BL330" s="3">
        <f t="shared" si="24"/>
        <v>0.79348484132446584</v>
      </c>
      <c r="BM330" s="3">
        <f t="shared" si="24"/>
        <v>1.5746873064783009</v>
      </c>
      <c r="BN330" s="3">
        <f t="shared" si="24"/>
        <v>2.3389895506559486</v>
      </c>
      <c r="BO330" s="3">
        <f t="shared" si="24"/>
        <v>3.0863288911551128</v>
      </c>
      <c r="BP330" s="3">
        <f t="shared" si="24"/>
        <v>3.8156651505727637</v>
      </c>
      <c r="BQ330" s="3">
        <f t="shared" si="23"/>
        <v>4.5254521024230554</v>
      </c>
      <c r="BR330" s="3">
        <f t="shared" si="23"/>
        <v>5.2143205378392148</v>
      </c>
      <c r="BS330" s="3">
        <f t="shared" si="23"/>
        <v>5.8824390472043078</v>
      </c>
      <c r="BT330" s="3">
        <f t="shared" si="23"/>
        <v>6.5307804366235285</v>
      </c>
      <c r="BU330" s="3">
        <f t="shared" si="23"/>
        <v>7.1588596447742043</v>
      </c>
      <c r="BV330">
        <f>VLOOKUP($H330,'1. Set Program Names'!$B$2:$D$15,3,0)*V330</f>
        <v>0.57771873034103793</v>
      </c>
      <c r="BW330">
        <f>VLOOKUP($H330,'1. Set Program Names'!$B$2:$D$15,3,0)*W330</f>
        <v>1.1464949347542666</v>
      </c>
      <c r="BX330">
        <f>VLOOKUP($H330,'1. Set Program Names'!$B$2:$D$15,3,0)*X330</f>
        <v>1.7029664627623997</v>
      </c>
      <c r="BY330">
        <f>VLOOKUP($H330,'1. Set Program Names'!$B$2:$D$15,3,0)*Y330</f>
        <v>2.2470876764788659</v>
      </c>
      <c r="BZ330">
        <f>VLOOKUP($H330,'1. Set Program Names'!$B$2:$D$15,3,0)*Z330</f>
        <v>2.7781012457855434</v>
      </c>
      <c r="CA330">
        <f>VLOOKUP($H330,'1. Set Program Names'!$B$2:$D$15,3,0)*AA330</f>
        <v>3.2948813974405247</v>
      </c>
      <c r="CB330">
        <f>VLOOKUP($H330,'1. Set Program Names'!$B$2:$D$15,3,0)*AB330</f>
        <v>3.79643124080786</v>
      </c>
      <c r="CC330">
        <f>VLOOKUP($H330,'1. Set Program Names'!$B$2:$D$15,3,0)*AC330</f>
        <v>4.2828735228097088</v>
      </c>
      <c r="CD330">
        <f>VLOOKUP($H330,'1. Set Program Names'!$B$2:$D$15,3,0)*AD330</f>
        <v>4.7549165220151028</v>
      </c>
      <c r="CE330">
        <f>VLOOKUP($H330,'1. Set Program Names'!$B$2:$D$15,3,0)*AE330</f>
        <v>5.2122070760233523</v>
      </c>
    </row>
    <row r="331" spans="1:83" x14ac:dyDescent="0.25">
      <c r="A331" s="20" t="s">
        <v>117</v>
      </c>
      <c r="B331" s="20" t="s">
        <v>88</v>
      </c>
      <c r="C331" s="20" t="s">
        <v>122</v>
      </c>
      <c r="D331" s="20" t="s">
        <v>90</v>
      </c>
      <c r="E331" s="20" t="s">
        <v>91</v>
      </c>
      <c r="F331" s="20" t="s">
        <v>90</v>
      </c>
      <c r="G331" s="20" t="s">
        <v>92</v>
      </c>
      <c r="H331" s="20" t="s">
        <v>14</v>
      </c>
      <c r="I331" s="20" t="s">
        <v>303</v>
      </c>
      <c r="J331" s="20" t="s">
        <v>129</v>
      </c>
      <c r="K331" s="20" t="s">
        <v>298</v>
      </c>
      <c r="L331" s="20">
        <v>2407.8671428571402</v>
      </c>
      <c r="M331" s="20">
        <v>0.43509988390469401</v>
      </c>
      <c r="N331" s="20">
        <v>0.148929049658067</v>
      </c>
      <c r="O331" s="20">
        <v>1278.9912095238201</v>
      </c>
      <c r="P331" s="20">
        <v>9094.9443435978392</v>
      </c>
      <c r="Q331" s="20">
        <v>85.719335775001198</v>
      </c>
      <c r="R331" s="20">
        <v>1364.7105452988201</v>
      </c>
      <c r="S331" s="20">
        <v>3090.2526043504499</v>
      </c>
      <c r="T331" s="20">
        <v>20</v>
      </c>
      <c r="U331" s="20">
        <v>0.94999999999999896</v>
      </c>
      <c r="V331" s="20">
        <v>8.6280651749864194</v>
      </c>
      <c r="W331" s="20">
        <v>16.820554710257401</v>
      </c>
      <c r="X331" s="20">
        <v>24.503839422694298</v>
      </c>
      <c r="Y331" s="20">
        <v>31.678257807193202</v>
      </c>
      <c r="Z331" s="20">
        <v>38.3471738302528</v>
      </c>
      <c r="AA331" s="20">
        <v>44.5118202794607</v>
      </c>
      <c r="AB331" s="20">
        <v>50.185158150822197</v>
      </c>
      <c r="AC331" s="20">
        <v>55.395546256511999</v>
      </c>
      <c r="AD331" s="20">
        <v>60.176293664176399</v>
      </c>
      <c r="AE331" s="20">
        <v>64.553575210557298</v>
      </c>
      <c r="AF331" t="str">
        <f t="shared" si="22"/>
        <v>NonResidential</v>
      </c>
      <c r="AG331" t="str">
        <f>tbl_Data_old[[#This Row],[All_Meas_Name_Append]]</f>
        <v>Energy Star windows</v>
      </c>
      <c r="AH331">
        <f>AVERAGEIFS('3. Incentive Adjustment'!G:G,'3. Incentive Adjustment'!A:A,tbl_Data_old[[#This Row],[Trimmed Sector]],'3. Incentive Adjustment'!B:B,tbl_Data_old[[#This Row],[Trimmed Measure Name]])</f>
        <v>1.8374525511831319E-4</v>
      </c>
      <c r="AI331">
        <f>$AH331*tbl_Data_old[[#This Row],[2025 ]]</f>
        <v>1.5853660367553131E-3</v>
      </c>
      <c r="AJ331">
        <f>$AH331*tbl_Data_old[[#This Row],[2026 ]]</f>
        <v>3.0906971164677906E-3</v>
      </c>
      <c r="AK331">
        <f>$AH331*tbl_Data_old[[#This Row],[2027 ]]</f>
        <v>4.5024642261011442E-3</v>
      </c>
      <c r="AL331">
        <f>$AH331*tbl_Data_old[[#This Row],[2028 ]]</f>
        <v>5.8207295624864118E-3</v>
      </c>
      <c r="AM331">
        <f>$AH331*tbl_Data_old[[#This Row],[2029 ]]</f>
        <v>7.0461112385061036E-3</v>
      </c>
      <c r="AN331">
        <f>$AH331*tbl_Data_old[[#This Row],[2030 ]]</f>
        <v>8.1788357730300139E-3</v>
      </c>
      <c r="AO331">
        <f>$AH331*tbl_Data_old[[#This Row],[2031 ]]</f>
        <v>9.22128468757572E-3</v>
      </c>
      <c r="AP331">
        <f>$AH331*tbl_Data_old[[#This Row],[2032 ]]</f>
        <v>1.0178668779321116E-2</v>
      </c>
      <c r="AQ331">
        <f>$AH331*tbl_Data_old[[#This Row],[2033 ]]</f>
        <v>1.1057108431398626E-2</v>
      </c>
      <c r="AR331">
        <f>$AH331*tbl_Data_old[[#This Row],[2034 ]]</f>
        <v>1.1861413145863069E-2</v>
      </c>
      <c r="AS331">
        <f>SUM(tbl_Data_old[[#This Row],[Adjusted 2025]:[Adjusted 2034]])</f>
        <v>7.2542678997505314E-2</v>
      </c>
      <c r="AT331" s="3">
        <f>AVERAGEIFS('3. Incentive Adjustment'!F:F,'3. Incentive Adjustment'!A:A,tbl_Data_old[[#This Row],[Trimmed Sector]],'3. Incentive Adjustment'!B:B,tbl_Data_old[[#This Row],[Trimmed Measure Name]])</f>
        <v>1244.9532966663394</v>
      </c>
      <c r="AU331" s="3">
        <f>IFERROR(VLOOKUP(tbl_Data_old[[#This Row],[All_Meas_Name_Append]],'IRA Tax Credits'!$A$3:$D$46,4,0),0)</f>
        <v>250</v>
      </c>
      <c r="AV331" s="4">
        <f>tbl_Data_old[[#This Row],[Adj. per unit Incentive ($)]]/tbl_Data_old[[#This Row],[kWh Savings]]*tbl_Data_old[[#This Row],[Sum of Annuals]]</f>
        <v>3.7507155506839578E-2</v>
      </c>
      <c r="AW331" s="4">
        <f>IFERROR(VLOOKUP(tbl_Data_old[[#This Row],[All_Programs]],'1. Set Program Names'!$B$2:$D$15,3,0)*tbl_Data_old[[#This Row],[Sum of Annuals]],"")</f>
        <v>2.5824972434428952E-3</v>
      </c>
      <c r="AX331" s="4">
        <f>tbl_Data_old[[#This Row],[per unit IRA tax ($)]]/tbl_Data_old[[#This Row],[kWh Savings]]*tbl_Data_old[[#This Row],[Sum of Annuals]]</f>
        <v>7.5318398704742511E-3</v>
      </c>
      <c r="AY331" s="4">
        <f>tbl_Data_old[[#This Row],[Avoided Costs ($/unit)]]/tbl_Data_old[[#This Row],[kWh Savings]]*tbl_Data_old[[#This Row],[Sum of Annuals]]</f>
        <v>4.111512518695324E-2</v>
      </c>
      <c r="AZ331" s="4">
        <f>tbl_Data_old[[#This Row],[Lost Revenue ($/unit)]]/tbl_Data_old[[#This Row],[kWh Savings]]*tbl_Data_old[[#This Row],[Sum of Annuals]]</f>
        <v>9.3101151101134455E-2</v>
      </c>
      <c r="BA331" s="4">
        <f>tbl_Data_old[[#This Row],[Incremental Cost ($/unit)]]/tbl_Data_old[[#This Row],[kWh Savings]]*tbl_Data_old[[#This Row],[Sum of Annuals]]</f>
        <v>3.8532627943510381E-2</v>
      </c>
      <c r="BB331">
        <f>ROUNDUP(tbl_Data_old[[#This Row],[Adjusted 2025]]/$L331,0)</f>
        <v>1</v>
      </c>
      <c r="BC331">
        <f>ROUNDUP(tbl_Data_old[[#This Row],[Adjusted 2026]]/$L331,0)</f>
        <v>1</v>
      </c>
      <c r="BD331">
        <f>ROUNDUP(tbl_Data_old[[#This Row],[Adjusted 2027]]/$L331,0)</f>
        <v>1</v>
      </c>
      <c r="BE331">
        <f>ROUNDUP(tbl_Data_old[[#This Row],[Adjusted 2028]]/$L331,0)</f>
        <v>1</v>
      </c>
      <c r="BF331">
        <f>ROUNDUP(tbl_Data_old[[#This Row],[Adjusted 2029]]/$L331,0)</f>
        <v>1</v>
      </c>
      <c r="BG331">
        <f>ROUNDUP(tbl_Data_old[[#This Row],[Adjusted 2030]]/$L331,0)</f>
        <v>1</v>
      </c>
      <c r="BH331">
        <f>ROUNDUP(tbl_Data_old[[#This Row],[Adjusted 2031]]/$L331,0)</f>
        <v>1</v>
      </c>
      <c r="BI331">
        <f>ROUNDUP(tbl_Data_old[[#This Row],[Adjusted 2032]]/$L331,0)</f>
        <v>1</v>
      </c>
      <c r="BJ331">
        <f>ROUNDUP(tbl_Data_old[[#This Row],[Adjusted 2033]]/$L331,0)</f>
        <v>1</v>
      </c>
      <c r="BK331">
        <f>ROUNDUP(tbl_Data_old[[#This Row],[Adjusted 2034]]/$L331,0)</f>
        <v>1</v>
      </c>
      <c r="BL331" s="3">
        <f t="shared" si="24"/>
        <v>4.4610177996389062</v>
      </c>
      <c r="BM331" s="3">
        <f t="shared" si="24"/>
        <v>8.6968274393426128</v>
      </c>
      <c r="BN331" s="3">
        <f t="shared" si="24"/>
        <v>12.669360002175095</v>
      </c>
      <c r="BO331" s="3">
        <f t="shared" si="24"/>
        <v>16.378790502085128</v>
      </c>
      <c r="BP331" s="3">
        <f t="shared" si="24"/>
        <v>19.826858229878201</v>
      </c>
      <c r="BQ331" s="3">
        <f t="shared" si="23"/>
        <v>23.014200580759379</v>
      </c>
      <c r="BR331" s="3">
        <f t="shared" si="23"/>
        <v>25.9475188524945</v>
      </c>
      <c r="BS331" s="3">
        <f t="shared" si="23"/>
        <v>28.641475563657803</v>
      </c>
      <c r="BT331" s="3">
        <f t="shared" si="23"/>
        <v>31.113292691673646</v>
      </c>
      <c r="BU331" s="3">
        <f t="shared" si="23"/>
        <v>33.37650356182877</v>
      </c>
      <c r="BV331">
        <f>VLOOKUP($H331,'1. Set Program Names'!$B$2:$D$15,3,0)*V331</f>
        <v>0.30715648827105391</v>
      </c>
      <c r="BW331">
        <f>VLOOKUP($H331,'1. Set Program Names'!$B$2:$D$15,3,0)*W331</f>
        <v>0.59880661663893031</v>
      </c>
      <c r="BX331">
        <f>VLOOKUP($H331,'1. Set Program Names'!$B$2:$D$15,3,0)*X331</f>
        <v>0.87232920864490771</v>
      </c>
      <c r="BY331">
        <f>VLOOKUP($H331,'1. Set Program Names'!$B$2:$D$15,3,0)*Y331</f>
        <v>1.1277363146040302</v>
      </c>
      <c r="BZ331">
        <f>VLOOKUP($H331,'1. Set Program Names'!$B$2:$D$15,3,0)*Z331</f>
        <v>1.365147690697486</v>
      </c>
      <c r="CA331">
        <f>VLOOKUP($H331,'1. Set Program Names'!$B$2:$D$15,3,0)*AA331</f>
        <v>1.5846072237873365</v>
      </c>
      <c r="CB331">
        <f>VLOOKUP($H331,'1. Set Program Names'!$B$2:$D$15,3,0)*AB331</f>
        <v>1.7865763213776682</v>
      </c>
      <c r="CC331">
        <f>VLOOKUP($H331,'1. Set Program Names'!$B$2:$D$15,3,0)*AC331</f>
        <v>1.9720645485311525</v>
      </c>
      <c r="CD331">
        <f>VLOOKUP($H331,'1. Set Program Names'!$B$2:$D$15,3,0)*AD331</f>
        <v>2.142257697895193</v>
      </c>
      <c r="CE331">
        <f>VLOOKUP($H331,'1. Set Program Names'!$B$2:$D$15,3,0)*AE331</f>
        <v>2.2980875856732679</v>
      </c>
    </row>
    <row r="332" spans="1:83" x14ac:dyDescent="0.25">
      <c r="A332" s="20" t="s">
        <v>117</v>
      </c>
      <c r="B332" s="20" t="s">
        <v>88</v>
      </c>
      <c r="C332" s="20" t="s">
        <v>122</v>
      </c>
      <c r="D332" s="20" t="s">
        <v>90</v>
      </c>
      <c r="E332" s="20" t="s">
        <v>91</v>
      </c>
      <c r="F332" s="20" t="s">
        <v>90</v>
      </c>
      <c r="G332" s="20" t="s">
        <v>92</v>
      </c>
      <c r="H332" s="20" t="s">
        <v>14</v>
      </c>
      <c r="I332" s="20" t="s">
        <v>143</v>
      </c>
      <c r="J332" s="20" t="s">
        <v>144</v>
      </c>
      <c r="K332" s="20" t="s">
        <v>108</v>
      </c>
      <c r="L332" s="20">
        <v>6670.6049999999896</v>
      </c>
      <c r="M332" s="20">
        <v>1.04667148638823</v>
      </c>
      <c r="N332" s="20">
        <v>1.5598507965563999</v>
      </c>
      <c r="O332" s="20">
        <v>2431.625</v>
      </c>
      <c r="P332" s="20">
        <v>977.24379425036398</v>
      </c>
      <c r="Q332" s="20">
        <v>237.47150315731801</v>
      </c>
      <c r="R332" s="20">
        <v>3400.8076679878</v>
      </c>
      <c r="S332" s="20">
        <v>7245.0779694633802</v>
      </c>
      <c r="T332" s="20">
        <v>15</v>
      </c>
      <c r="U332" s="20">
        <v>0.95</v>
      </c>
      <c r="V332" s="20">
        <v>7.5212206914050803</v>
      </c>
      <c r="W332" s="20">
        <v>15.792098168856</v>
      </c>
      <c r="X332" s="20">
        <v>24.6754955459683</v>
      </c>
      <c r="Y332" s="20">
        <v>34.091818179610101</v>
      </c>
      <c r="Z332" s="20">
        <v>43.964153681464602</v>
      </c>
      <c r="AA332" s="20">
        <v>54.211935654214898</v>
      </c>
      <c r="AB332" s="20">
        <v>64.768580334009698</v>
      </c>
      <c r="AC332" s="20">
        <v>75.597028404147395</v>
      </c>
      <c r="AD332" s="20">
        <v>86.6689793186777</v>
      </c>
      <c r="AE332" s="20">
        <v>97.949995713110496</v>
      </c>
      <c r="AF332" t="str">
        <f t="shared" si="22"/>
        <v>NonResidential</v>
      </c>
      <c r="AG332" t="str">
        <f>tbl_Data_old[[#This Row],[All_Meas_Name_Append]]</f>
        <v>Heat Pump Water Heater</v>
      </c>
      <c r="AH332">
        <f>AVERAGEIFS('3. Incentive Adjustment'!G:G,'3. Incentive Adjustment'!A:A,tbl_Data_old[[#This Row],[Trimmed Sector]],'3. Incentive Adjustment'!B:B,tbl_Data_old[[#This Row],[Trimmed Measure Name]])</f>
        <v>0.82797588322898052</v>
      </c>
      <c r="AI332">
        <f>$AH332*tbl_Data_old[[#This Row],[2025 ]]</f>
        <v>6.2273893449262046</v>
      </c>
      <c r="AJ332">
        <f>$AH332*tbl_Data_old[[#This Row],[2026 ]]</f>
        <v>13.075476429397312</v>
      </c>
      <c r="AK332">
        <f>$AH332*tbl_Data_old[[#This Row],[2027 ]]</f>
        <v>20.430715218785878</v>
      </c>
      <c r="AL332">
        <f>$AH332*tbl_Data_old[[#This Row],[2028 ]]</f>
        <v>28.227203268144489</v>
      </c>
      <c r="AM332">
        <f>$AH332*tbl_Data_old[[#This Row],[2029 ]]</f>
        <v>36.401258974825289</v>
      </c>
      <c r="AN332">
        <f>$AH332*tbl_Data_old[[#This Row],[2030 ]]</f>
        <v>44.886175304851243</v>
      </c>
      <c r="AO332">
        <f>$AH332*tbl_Data_old[[#This Row],[2031 ]]</f>
        <v>53.626822507538861</v>
      </c>
      <c r="AP332">
        <f>$AH332*tbl_Data_old[[#This Row],[2032 ]]</f>
        <v>62.592516362410265</v>
      </c>
      <c r="AQ332">
        <f>$AH332*tbl_Data_old[[#This Row],[2033 ]]</f>
        <v>71.759824699936416</v>
      </c>
      <c r="AR332">
        <f>$AH332*tbl_Data_old[[#This Row],[2034 ]]</f>
        <v>81.10023421283752</v>
      </c>
      <c r="AS332">
        <f>SUM(tbl_Data_old[[#This Row],[Adjusted 2025]:[Adjusted 2034]])</f>
        <v>418.32761632365344</v>
      </c>
      <c r="AT332" s="3">
        <f>AVERAGEIFS('3. Incentive Adjustment'!F:F,'3. Incentive Adjustment'!A:A,tbl_Data_old[[#This Row],[Trimmed Sector]],'3. Incentive Adjustment'!B:B,tbl_Data_old[[#This Row],[Trimmed Measure Name]])</f>
        <v>500</v>
      </c>
      <c r="AU332" s="3">
        <f>IFERROR(VLOOKUP(tbl_Data_old[[#This Row],[All_Meas_Name_Append]],'IRA Tax Credits'!$A$3:$D$46,4,0),0)</f>
        <v>0</v>
      </c>
      <c r="AV332" s="4">
        <f>tbl_Data_old[[#This Row],[Adj. per unit Incentive ($)]]/tbl_Data_old[[#This Row],[kWh Savings]]*tbl_Data_old[[#This Row],[Sum of Annuals]]</f>
        <v>31.356047639131244</v>
      </c>
      <c r="AW332" s="4">
        <f>IFERROR(VLOOKUP(tbl_Data_old[[#This Row],[All_Programs]],'1. Set Program Names'!$B$2:$D$15,3,0)*tbl_Data_old[[#This Row],[Sum of Annuals]],"")</f>
        <v>14.892335531873918</v>
      </c>
      <c r="AX332" s="4">
        <f>tbl_Data_old[[#This Row],[per unit IRA tax ($)]]/tbl_Data_old[[#This Row],[kWh Savings]]*tbl_Data_old[[#This Row],[Sum of Annuals]]</f>
        <v>0</v>
      </c>
      <c r="AY332" s="4">
        <f>tbl_Data_old[[#This Row],[Avoided Costs ($/unit)]]/tbl_Data_old[[#This Row],[kWh Savings]]*tbl_Data_old[[#This Row],[Sum of Annuals]]</f>
        <v>213.27177449789656</v>
      </c>
      <c r="AZ332" s="4">
        <f>tbl_Data_old[[#This Row],[Lost Revenue ($/unit)]]/tbl_Data_old[[#This Row],[kWh Savings]]*tbl_Data_old[[#This Row],[Sum of Annuals]]</f>
        <v>454.35401991942797</v>
      </c>
      <c r="BA332" s="4">
        <f>tbl_Data_old[[#This Row],[Incremental Cost ($/unit)]]/tbl_Data_old[[#This Row],[kWh Savings]]*tbl_Data_old[[#This Row],[Sum of Annuals]]</f>
        <v>152.49229868100502</v>
      </c>
      <c r="BB332">
        <f>ROUNDUP(tbl_Data_old[[#This Row],[Adjusted 2025]]/$L332,0)</f>
        <v>1</v>
      </c>
      <c r="BC332">
        <f>ROUNDUP(tbl_Data_old[[#This Row],[Adjusted 2026]]/$L332,0)</f>
        <v>1</v>
      </c>
      <c r="BD332">
        <f>ROUNDUP(tbl_Data_old[[#This Row],[Adjusted 2027]]/$L332,0)</f>
        <v>1</v>
      </c>
      <c r="BE332">
        <f>ROUNDUP(tbl_Data_old[[#This Row],[Adjusted 2028]]/$L332,0)</f>
        <v>1</v>
      </c>
      <c r="BF332">
        <f>ROUNDUP(tbl_Data_old[[#This Row],[Adjusted 2029]]/$L332,0)</f>
        <v>1</v>
      </c>
      <c r="BG332">
        <f>ROUNDUP(tbl_Data_old[[#This Row],[Adjusted 2030]]/$L332,0)</f>
        <v>1</v>
      </c>
      <c r="BH332">
        <f>ROUNDUP(tbl_Data_old[[#This Row],[Adjusted 2031]]/$L332,0)</f>
        <v>1</v>
      </c>
      <c r="BI332">
        <f>ROUNDUP(tbl_Data_old[[#This Row],[Adjusted 2032]]/$L332,0)</f>
        <v>1</v>
      </c>
      <c r="BJ332">
        <f>ROUNDUP(tbl_Data_old[[#This Row],[Adjusted 2033]]/$L332,0)</f>
        <v>1</v>
      </c>
      <c r="BK332">
        <f>ROUNDUP(tbl_Data_old[[#This Row],[Adjusted 2034]]/$L332,0)</f>
        <v>1</v>
      </c>
      <c r="BL332" s="3">
        <f t="shared" si="24"/>
        <v>0.56375851151470457</v>
      </c>
      <c r="BM332" s="3">
        <f t="shared" si="24"/>
        <v>1.1837080871117407</v>
      </c>
      <c r="BN332" s="3">
        <f t="shared" si="24"/>
        <v>1.8495695327461557</v>
      </c>
      <c r="BO332" s="3">
        <f t="shared" si="24"/>
        <v>2.5553767746411427</v>
      </c>
      <c r="BP332" s="3">
        <f t="shared" si="24"/>
        <v>3.2953647893605358</v>
      </c>
      <c r="BQ332" s="3">
        <f t="shared" si="23"/>
        <v>4.0634946645930157</v>
      </c>
      <c r="BR332" s="3">
        <f t="shared" si="23"/>
        <v>4.8547755663848937</v>
      </c>
      <c r="BS332" s="3">
        <f t="shared" si="23"/>
        <v>5.6664296869734843</v>
      </c>
      <c r="BT332" s="3">
        <f t="shared" si="23"/>
        <v>6.4963357385632818</v>
      </c>
      <c r="BU332" s="3">
        <f t="shared" si="23"/>
        <v>7.3419124437071792</v>
      </c>
      <c r="BV332">
        <f>VLOOKUP($H332,'1. Set Program Names'!$B$2:$D$15,3,0)*V332</f>
        <v>0.26775316229425783</v>
      </c>
      <c r="BW332">
        <f>VLOOKUP($H332,'1. Set Program Names'!$B$2:$D$15,3,0)*W332</f>
        <v>0.56219387749179639</v>
      </c>
      <c r="BX332">
        <f>VLOOKUP($H332,'1. Set Program Names'!$B$2:$D$15,3,0)*X332</f>
        <v>0.87844011427041468</v>
      </c>
      <c r="BY332">
        <f>VLOOKUP($H332,'1. Set Program Names'!$B$2:$D$15,3,0)*Y332</f>
        <v>1.2136583276146606</v>
      </c>
      <c r="BZ332">
        <f>VLOOKUP($H332,'1. Set Program Names'!$B$2:$D$15,3,0)*Z332</f>
        <v>1.565110459962288</v>
      </c>
      <c r="CA332">
        <f>VLOOKUP($H332,'1. Set Program Names'!$B$2:$D$15,3,0)*AA332</f>
        <v>1.9299283721452878</v>
      </c>
      <c r="CB332">
        <f>VLOOKUP($H332,'1. Set Program Names'!$B$2:$D$15,3,0)*AB332</f>
        <v>2.305741702481678</v>
      </c>
      <c r="CC332">
        <f>VLOOKUP($H332,'1. Set Program Names'!$B$2:$D$15,3,0)*AC332</f>
        <v>2.6912311506016851</v>
      </c>
      <c r="CD332">
        <f>VLOOKUP($H332,'1. Set Program Names'!$B$2:$D$15,3,0)*AD332</f>
        <v>3.0853892257024524</v>
      </c>
      <c r="CE332">
        <f>VLOOKUP($H332,'1. Set Program Names'!$B$2:$D$15,3,0)*AE332</f>
        <v>3.4869899681131189</v>
      </c>
    </row>
    <row r="333" spans="1:83" x14ac:dyDescent="0.25">
      <c r="A333" s="20" t="s">
        <v>117</v>
      </c>
      <c r="B333" s="20" t="s">
        <v>88</v>
      </c>
      <c r="C333" s="20" t="s">
        <v>122</v>
      </c>
      <c r="D333" s="20" t="s">
        <v>90</v>
      </c>
      <c r="E333" s="20" t="s">
        <v>91</v>
      </c>
      <c r="F333" s="20" t="s">
        <v>90</v>
      </c>
      <c r="G333" s="20" t="s">
        <v>92</v>
      </c>
      <c r="H333" s="20" t="s">
        <v>14</v>
      </c>
      <c r="I333" s="20" t="s">
        <v>157</v>
      </c>
      <c r="J333" s="20" t="s">
        <v>158</v>
      </c>
      <c r="K333" s="20" t="s">
        <v>159</v>
      </c>
      <c r="L333" s="20">
        <v>562.52</v>
      </c>
      <c r="M333" s="20">
        <v>0</v>
      </c>
      <c r="N333" s="20">
        <v>2.7796637938074201E-2</v>
      </c>
      <c r="O333" s="20">
        <v>169</v>
      </c>
      <c r="P333" s="20">
        <v>53.285725702774101</v>
      </c>
      <c r="Q333" s="20">
        <v>20.025540405413601</v>
      </c>
      <c r="R333" s="20">
        <v>275.373630058213</v>
      </c>
      <c r="S333" s="20">
        <v>610.96426176974103</v>
      </c>
      <c r="T333" s="20">
        <v>15</v>
      </c>
      <c r="U333" s="20">
        <v>0.2</v>
      </c>
      <c r="V333" s="20">
        <v>3.7749084951401901E-3</v>
      </c>
      <c r="W333" s="20">
        <v>7.8865738917319392E-3</v>
      </c>
      <c r="X333" s="20">
        <v>1.2264166326718401E-2</v>
      </c>
      <c r="Y333" s="20">
        <v>1.6864427863244099E-2</v>
      </c>
      <c r="Z333" s="20">
        <v>2.1645102869672601E-2</v>
      </c>
      <c r="AA333" s="20">
        <v>2.6564390819164001E-2</v>
      </c>
      <c r="AB333" s="20">
        <v>3.1586759364673603E-2</v>
      </c>
      <c r="AC333" s="20">
        <v>3.6691699605473603E-2</v>
      </c>
      <c r="AD333" s="20">
        <v>4.1865093410658798E-2</v>
      </c>
      <c r="AE333" s="20">
        <v>4.7088556908730698E-2</v>
      </c>
      <c r="AF333" t="str">
        <f t="shared" si="22"/>
        <v>NonResidential</v>
      </c>
      <c r="AG333" t="str">
        <f>tbl_Data_old[[#This Row],[All_Meas_Name_Append]]</f>
        <v>LED Exterior Wall Packs</v>
      </c>
      <c r="AH333">
        <f>AVERAGEIFS('3. Incentive Adjustment'!G:G,'3. Incentive Adjustment'!A:A,tbl_Data_old[[#This Row],[Trimmed Sector]],'3. Incentive Adjustment'!B:B,tbl_Data_old[[#This Row],[Trimmed Measure Name]])</f>
        <v>0.80637708305213962</v>
      </c>
      <c r="AI333">
        <f>$AH333*tbl_Data_old[[#This Row],[2025 ]]</f>
        <v>3.0439997010998886E-3</v>
      </c>
      <c r="AJ333">
        <f>$AH333*tbl_Data_old[[#This Row],[2026 ]]</f>
        <v>6.3595524500899619E-3</v>
      </c>
      <c r="AK333">
        <f>$AH333*tbl_Data_old[[#This Row],[2027 ]]</f>
        <v>9.8895426686054586E-3</v>
      </c>
      <c r="AL333">
        <f>$AH333*tbl_Data_old[[#This Row],[2028 ]]</f>
        <v>1.3599088147706004E-2</v>
      </c>
      <c r="AM333">
        <f>$AH333*tbl_Data_old[[#This Row],[2029 ]]</f>
        <v>1.7454114914410089E-2</v>
      </c>
      <c r="AN333">
        <f>$AH333*tbl_Data_old[[#This Row],[2030 ]]</f>
        <v>2.1420915981814503E-2</v>
      </c>
      <c r="AO333">
        <f>$AH333*tbl_Data_old[[#This Row],[2031 ]]</f>
        <v>2.5470838879555355E-2</v>
      </c>
      <c r="AP333">
        <f>$AH333*tbl_Data_old[[#This Row],[2032 ]]</f>
        <v>2.9587345700087146E-2</v>
      </c>
      <c r="AQ333">
        <f>$AH333*tbl_Data_old[[#This Row],[2033 ]]</f>
        <v>3.375905190619239E-2</v>
      </c>
      <c r="AR333">
        <f>$AH333*tbl_Data_old[[#This Row],[2034 ]]</f>
        <v>3.7971133165196937E-2</v>
      </c>
      <c r="AS333">
        <f>SUM(tbl_Data_old[[#This Row],[Adjusted 2025]:[Adjusted 2034]])</f>
        <v>0.19855558351475772</v>
      </c>
      <c r="AT333" s="3">
        <f>AVERAGEIFS('3. Incentive Adjustment'!F:F,'3. Incentive Adjustment'!A:A,tbl_Data_old[[#This Row],[Trimmed Sector]],'3. Incentive Adjustment'!B:B,tbl_Data_old[[#This Row],[Trimmed Measure Name]])</f>
        <v>8.6864493556481861</v>
      </c>
      <c r="AU333" s="3">
        <f>IFERROR(VLOOKUP(tbl_Data_old[[#This Row],[All_Meas_Name_Append]],'IRA Tax Credits'!$A$3:$D$46,4,0),0)</f>
        <v>0</v>
      </c>
      <c r="AV333" s="4">
        <f>tbl_Data_old[[#This Row],[Adj. per unit Incentive ($)]]/tbl_Data_old[[#This Row],[kWh Savings]]*tbl_Data_old[[#This Row],[Sum of Annuals]]</f>
        <v>3.0661007972731932E-3</v>
      </c>
      <c r="AW333" s="4">
        <f>IFERROR(VLOOKUP(tbl_Data_old[[#This Row],[All_Programs]],'1. Set Program Names'!$B$2:$D$15,3,0)*tbl_Data_old[[#This Row],[Sum of Annuals]],"")</f>
        <v>7.0685182044998799E-3</v>
      </c>
      <c r="AX333" s="4">
        <f>tbl_Data_old[[#This Row],[per unit IRA tax ($)]]/tbl_Data_old[[#This Row],[kWh Savings]]*tbl_Data_old[[#This Row],[Sum of Annuals]]</f>
        <v>0</v>
      </c>
      <c r="AY333" s="4">
        <f>tbl_Data_old[[#This Row],[Avoided Costs ($/unit)]]/tbl_Data_old[[#This Row],[kWh Savings]]*tbl_Data_old[[#This Row],[Sum of Annuals]]</f>
        <v>9.7200049421861459E-2</v>
      </c>
      <c r="AZ333" s="4">
        <f>tbl_Data_old[[#This Row],[Lost Revenue ($/unit)]]/tbl_Data_old[[#This Row],[kWh Savings]]*tbl_Data_old[[#This Row],[Sum of Annuals]]</f>
        <v>0.21565520426358906</v>
      </c>
      <c r="BA333" s="4">
        <f>tbl_Data_old[[#This Row],[Incremental Cost ($/unit)]]/tbl_Data_old[[#This Row],[kWh Savings]]*tbl_Data_old[[#This Row],[Sum of Annuals]]</f>
        <v>5.9652800991954157E-2</v>
      </c>
      <c r="BB333">
        <f>ROUNDUP(tbl_Data_old[[#This Row],[Adjusted 2025]]/$L333,0)</f>
        <v>1</v>
      </c>
      <c r="BC333">
        <f>ROUNDUP(tbl_Data_old[[#This Row],[Adjusted 2026]]/$L333,0)</f>
        <v>1</v>
      </c>
      <c r="BD333">
        <f>ROUNDUP(tbl_Data_old[[#This Row],[Adjusted 2027]]/$L333,0)</f>
        <v>1</v>
      </c>
      <c r="BE333">
        <f>ROUNDUP(tbl_Data_old[[#This Row],[Adjusted 2028]]/$L333,0)</f>
        <v>1</v>
      </c>
      <c r="BF333">
        <f>ROUNDUP(tbl_Data_old[[#This Row],[Adjusted 2029]]/$L333,0)</f>
        <v>1</v>
      </c>
      <c r="BG333">
        <f>ROUNDUP(tbl_Data_old[[#This Row],[Adjusted 2030]]/$L333,0)</f>
        <v>1</v>
      </c>
      <c r="BH333">
        <f>ROUNDUP(tbl_Data_old[[#This Row],[Adjusted 2031]]/$L333,0)</f>
        <v>1</v>
      </c>
      <c r="BI333">
        <f>ROUNDUP(tbl_Data_old[[#This Row],[Adjusted 2032]]/$L333,0)</f>
        <v>1</v>
      </c>
      <c r="BJ333">
        <f>ROUNDUP(tbl_Data_old[[#This Row],[Adjusted 2033]]/$L333,0)</f>
        <v>1</v>
      </c>
      <c r="BK333">
        <f>ROUNDUP(tbl_Data_old[[#This Row],[Adjusted 2034]]/$L333,0)</f>
        <v>1</v>
      </c>
      <c r="BL333" s="3">
        <f t="shared" si="24"/>
        <v>5.8292241102967659E-5</v>
      </c>
      <c r="BM333" s="3">
        <f t="shared" si="24"/>
        <v>1.2178469156671177E-4</v>
      </c>
      <c r="BN333" s="3">
        <f t="shared" si="24"/>
        <v>1.8938359469225136E-4</v>
      </c>
      <c r="BO333" s="3">
        <f t="shared" si="24"/>
        <v>2.6042096022550667E-4</v>
      </c>
      <c r="BP333" s="3">
        <f t="shared" si="24"/>
        <v>3.3424427553723645E-4</v>
      </c>
      <c r="BQ333" s="3">
        <f t="shared" si="23"/>
        <v>4.1020805573902035E-4</v>
      </c>
      <c r="BR333" s="3">
        <f t="shared" si="23"/>
        <v>4.877636093477269E-4</v>
      </c>
      <c r="BS333" s="3">
        <f t="shared" si="23"/>
        <v>5.6659423735263279E-4</v>
      </c>
      <c r="BT333" s="3">
        <f t="shared" si="23"/>
        <v>6.46481927186888E-4</v>
      </c>
      <c r="BU333" s="3">
        <f t="shared" si="23"/>
        <v>7.2714279459974176E-4</v>
      </c>
      <c r="BV333">
        <f>VLOOKUP($H333,'1. Set Program Names'!$B$2:$D$15,3,0)*V333</f>
        <v>1.3438559090551315E-4</v>
      </c>
      <c r="BW333">
        <f>VLOOKUP($H333,'1. Set Program Names'!$B$2:$D$15,3,0)*W333</f>
        <v>2.8075962477628995E-4</v>
      </c>
      <c r="BX333">
        <f>VLOOKUP($H333,'1. Set Program Names'!$B$2:$D$15,3,0)*X333</f>
        <v>4.3660058009388692E-4</v>
      </c>
      <c r="BY333">
        <f>VLOOKUP($H333,'1. Set Program Names'!$B$2:$D$15,3,0)*Y333</f>
        <v>6.0036848750191839E-4</v>
      </c>
      <c r="BZ333">
        <f>VLOOKUP($H333,'1. Set Program Names'!$B$2:$D$15,3,0)*Z333</f>
        <v>7.7055905940404676E-4</v>
      </c>
      <c r="CA333">
        <f>VLOOKUP($H333,'1. Set Program Names'!$B$2:$D$15,3,0)*AA333</f>
        <v>9.4568420979586343E-4</v>
      </c>
      <c r="CB333">
        <f>VLOOKUP($H333,'1. Set Program Names'!$B$2:$D$15,3,0)*AB333</f>
        <v>1.1244789979615842E-3</v>
      </c>
      <c r="CC333">
        <f>VLOOKUP($H333,'1. Set Program Names'!$B$2:$D$15,3,0)*AC333</f>
        <v>1.3062133132914619E-3</v>
      </c>
      <c r="CD333">
        <f>VLOOKUP($H333,'1. Set Program Names'!$B$2:$D$15,3,0)*AD333</f>
        <v>1.4903845546319528E-3</v>
      </c>
      <c r="CE333">
        <f>VLOOKUP($H333,'1. Set Program Names'!$B$2:$D$15,3,0)*AE333</f>
        <v>1.6763382617656412E-3</v>
      </c>
    </row>
    <row r="334" spans="1:83" x14ac:dyDescent="0.25">
      <c r="A334" s="20" t="s">
        <v>117</v>
      </c>
      <c r="B334" s="20" t="s">
        <v>88</v>
      </c>
      <c r="C334" s="20" t="s">
        <v>122</v>
      </c>
      <c r="D334" s="20" t="s">
        <v>90</v>
      </c>
      <c r="E334" s="20" t="s">
        <v>91</v>
      </c>
      <c r="F334" s="20" t="s">
        <v>90</v>
      </c>
      <c r="G334" s="20" t="s">
        <v>92</v>
      </c>
      <c r="H334" s="20" t="s">
        <v>14</v>
      </c>
      <c r="I334" s="20" t="s">
        <v>160</v>
      </c>
      <c r="J334" s="20" t="s">
        <v>161</v>
      </c>
      <c r="K334" s="20" t="s">
        <v>159</v>
      </c>
      <c r="L334" s="20">
        <v>698.53499999999997</v>
      </c>
      <c r="M334" s="20">
        <v>9.14911955902553E-2</v>
      </c>
      <c r="N334" s="20">
        <v>9.6647765821509996E-2</v>
      </c>
      <c r="O334" s="20">
        <v>179</v>
      </c>
      <c r="P334" s="20">
        <v>35.4245718525491</v>
      </c>
      <c r="Q334" s="20">
        <v>24.867632914555301</v>
      </c>
      <c r="R334" s="20">
        <v>291.28765455670799</v>
      </c>
      <c r="S334" s="20">
        <v>758.69288308917999</v>
      </c>
      <c r="T334" s="20">
        <v>15</v>
      </c>
      <c r="U334" s="20">
        <v>0.2</v>
      </c>
      <c r="V334" s="20">
        <v>0.455410511873589</v>
      </c>
      <c r="W334" s="20">
        <v>0.95110365867284596</v>
      </c>
      <c r="X334" s="20">
        <v>1.4787579321246</v>
      </c>
      <c r="Y334" s="20">
        <v>2.0331904644994201</v>
      </c>
      <c r="Z334" s="20">
        <v>2.6092423304607602</v>
      </c>
      <c r="AA334" s="20">
        <v>3.2019132975267102</v>
      </c>
      <c r="AB334" s="20">
        <v>3.8068564448238602</v>
      </c>
      <c r="AC334" s="20">
        <v>4.4215569807514203</v>
      </c>
      <c r="AD334" s="20">
        <v>5.0444054192868402</v>
      </c>
      <c r="AE334" s="20">
        <v>5.6731393722426402</v>
      </c>
      <c r="AF334" t="str">
        <f t="shared" si="22"/>
        <v>NonResidential</v>
      </c>
      <c r="AG334" t="str">
        <f>tbl_Data_old[[#This Row],[All_Meas_Name_Append]]</f>
        <v>LED High Bay_HID Baseline</v>
      </c>
      <c r="AH334">
        <f>AVERAGEIFS('3. Incentive Adjustment'!G:G,'3. Incentive Adjustment'!A:A,tbl_Data_old[[#This Row],[Trimmed Sector]],'3. Incentive Adjustment'!B:B,tbl_Data_old[[#This Row],[Trimmed Measure Name]])</f>
        <v>1.0603846876879557</v>
      </c>
      <c r="AI334">
        <f>$AH334*tbl_Data_old[[#This Row],[2025 ]]</f>
        <v>0.48291033340288769</v>
      </c>
      <c r="AJ334">
        <f>$AH334*tbl_Data_old[[#This Row],[2026 ]]</f>
        <v>1.0085357560606778</v>
      </c>
      <c r="AK334">
        <f>$AH334*tbl_Data_old[[#This Row],[2027 ]]</f>
        <v>1.5680522680220312</v>
      </c>
      <c r="AL334">
        <f>$AH334*tbl_Data_old[[#This Row],[2028 ]]</f>
        <v>2.1559640357083469</v>
      </c>
      <c r="AM334">
        <f>$AH334*tbl_Data_old[[#This Row],[2029 ]]</f>
        <v>2.7668006136878267</v>
      </c>
      <c r="AN334">
        <f>$AH334*tbl_Data_old[[#This Row],[2030 ]]</f>
        <v>3.3952598320017731</v>
      </c>
      <c r="AO334">
        <f>$AH334*tbl_Data_old[[#This Row],[2031 ]]</f>
        <v>4.0367322823174305</v>
      </c>
      <c r="AP334">
        <f>$AH334*tbl_Data_old[[#This Row],[2032 ]]</f>
        <v>4.6885513181285949</v>
      </c>
      <c r="AQ334">
        <f>$AH334*tbl_Data_old[[#This Row],[2033 ]]</f>
        <v>5.3490102651019074</v>
      </c>
      <c r="AR334">
        <f>$AH334*tbl_Data_old[[#This Row],[2034 ]]</f>
        <v>6.0157101214457569</v>
      </c>
      <c r="AS334">
        <f>SUM(tbl_Data_old[[#This Row],[Adjusted 2025]:[Adjusted 2034]])</f>
        <v>31.467526825877233</v>
      </c>
      <c r="AT334" s="3">
        <f>AVERAGEIFS('3. Incentive Adjustment'!F:F,'3. Incentive Adjustment'!A:A,tbl_Data_old[[#This Row],[Trimmed Sector]],'3. Incentive Adjustment'!B:B,tbl_Data_old[[#This Row],[Trimmed Measure Name]])</f>
        <v>28.590998621954778</v>
      </c>
      <c r="AU334" s="3">
        <f>IFERROR(VLOOKUP(tbl_Data_old[[#This Row],[All_Meas_Name_Append]],'IRA Tax Credits'!$A$3:$D$46,4,0),0)</f>
        <v>0</v>
      </c>
      <c r="AV334" s="4">
        <f>tbl_Data_old[[#This Row],[Adj. per unit Incentive ($)]]/tbl_Data_old[[#This Row],[kWh Savings]]*tbl_Data_old[[#This Row],[Sum of Annuals]]</f>
        <v>1.2879641193569127</v>
      </c>
      <c r="AW334" s="4">
        <f>IFERROR(VLOOKUP(tbl_Data_old[[#This Row],[All_Programs]],'1. Set Program Names'!$B$2:$D$15,3,0)*tbl_Data_old[[#This Row],[Sum of Annuals]],"")</f>
        <v>1.1202343559518659</v>
      </c>
      <c r="AX334" s="4">
        <f>tbl_Data_old[[#This Row],[per unit IRA tax ($)]]/tbl_Data_old[[#This Row],[kWh Savings]]*tbl_Data_old[[#This Row],[Sum of Annuals]]</f>
        <v>0</v>
      </c>
      <c r="AY334" s="4">
        <f>tbl_Data_old[[#This Row],[Avoided Costs ($/unit)]]/tbl_Data_old[[#This Row],[kWh Savings]]*tbl_Data_old[[#This Row],[Sum of Annuals]]</f>
        <v>13.121893797461931</v>
      </c>
      <c r="AZ334" s="4">
        <f>tbl_Data_old[[#This Row],[Lost Revenue ($/unit)]]/tbl_Data_old[[#This Row],[kWh Savings]]*tbl_Data_old[[#This Row],[Sum of Annuals]]</f>
        <v>34.177512438476114</v>
      </c>
      <c r="BA334" s="4">
        <f>tbl_Data_old[[#This Row],[Incremental Cost ($/unit)]]/tbl_Data_old[[#This Row],[kWh Savings]]*tbl_Data_old[[#This Row],[Sum of Annuals]]</f>
        <v>8.0635720498357646</v>
      </c>
      <c r="BB334">
        <f>ROUNDUP(tbl_Data_old[[#This Row],[Adjusted 2025]]/$L334,0)</f>
        <v>1</v>
      </c>
      <c r="BC334">
        <f>ROUNDUP(tbl_Data_old[[#This Row],[Adjusted 2026]]/$L334,0)</f>
        <v>1</v>
      </c>
      <c r="BD334">
        <f>ROUNDUP(tbl_Data_old[[#This Row],[Adjusted 2027]]/$L334,0)</f>
        <v>1</v>
      </c>
      <c r="BE334">
        <f>ROUNDUP(tbl_Data_old[[#This Row],[Adjusted 2028]]/$L334,0)</f>
        <v>1</v>
      </c>
      <c r="BF334">
        <f>ROUNDUP(tbl_Data_old[[#This Row],[Adjusted 2029]]/$L334,0)</f>
        <v>1</v>
      </c>
      <c r="BG334">
        <f>ROUNDUP(tbl_Data_old[[#This Row],[Adjusted 2030]]/$L334,0)</f>
        <v>1</v>
      </c>
      <c r="BH334">
        <f>ROUNDUP(tbl_Data_old[[#This Row],[Adjusted 2031]]/$L334,0)</f>
        <v>1</v>
      </c>
      <c r="BI334">
        <f>ROUNDUP(tbl_Data_old[[#This Row],[Adjusted 2032]]/$L334,0)</f>
        <v>1</v>
      </c>
      <c r="BJ334">
        <f>ROUNDUP(tbl_Data_old[[#This Row],[Adjusted 2033]]/$L334,0)</f>
        <v>1</v>
      </c>
      <c r="BK334">
        <f>ROUNDUP(tbl_Data_old[[#This Row],[Adjusted 2034]]/$L334,0)</f>
        <v>1</v>
      </c>
      <c r="BL334" s="3">
        <f t="shared" si="24"/>
        <v>1.8639926871812439E-2</v>
      </c>
      <c r="BM334" s="3">
        <f t="shared" si="24"/>
        <v>3.892861974625679E-2</v>
      </c>
      <c r="BN334" s="3">
        <f t="shared" si="24"/>
        <v>6.0525479753454209E-2</v>
      </c>
      <c r="BO334" s="3">
        <f t="shared" si="24"/>
        <v>8.3218372406070579E-2</v>
      </c>
      <c r="BP334" s="3">
        <f t="shared" si="24"/>
        <v>0.10679614317757831</v>
      </c>
      <c r="BQ334" s="3">
        <f t="shared" si="23"/>
        <v>0.13105413283114639</v>
      </c>
      <c r="BR334" s="3">
        <f t="shared" si="23"/>
        <v>0.15581442213767191</v>
      </c>
      <c r="BS334" s="3">
        <f t="shared" si="23"/>
        <v>0.18097408081707916</v>
      </c>
      <c r="BT334" s="3">
        <f t="shared" si="23"/>
        <v>0.20646723269615877</v>
      </c>
      <c r="BU334" s="3">
        <f t="shared" si="23"/>
        <v>0.23220127835247587</v>
      </c>
      <c r="BV334">
        <f>VLOOKUP($H334,'1. Set Program Names'!$B$2:$D$15,3,0)*V334</f>
        <v>1.6212475301455389E-2</v>
      </c>
      <c r="BW334">
        <f>VLOOKUP($H334,'1. Set Program Names'!$B$2:$D$15,3,0)*W334</f>
        <v>3.3859000118199999E-2</v>
      </c>
      <c r="BX334">
        <f>VLOOKUP($H334,'1. Set Program Names'!$B$2:$D$15,3,0)*X334</f>
        <v>5.2643331294153398E-2</v>
      </c>
      <c r="BY334">
        <f>VLOOKUP($H334,'1. Set Program Names'!$B$2:$D$15,3,0)*Y334</f>
        <v>7.2380960319161913E-2</v>
      </c>
      <c r="BZ334">
        <f>VLOOKUP($H334,'1. Set Program Names'!$B$2:$D$15,3,0)*Z334</f>
        <v>9.2888231024955067E-2</v>
      </c>
      <c r="CA334">
        <f>VLOOKUP($H334,'1. Set Program Names'!$B$2:$D$15,3,0)*AA334</f>
        <v>0.11398713666047876</v>
      </c>
      <c r="CB334">
        <f>VLOOKUP($H334,'1. Set Program Names'!$B$2:$D$15,3,0)*AB334</f>
        <v>0.13552292816865127</v>
      </c>
      <c r="CC334">
        <f>VLOOKUP($H334,'1. Set Program Names'!$B$2:$D$15,3,0)*AC334</f>
        <v>0.1574060797356121</v>
      </c>
      <c r="CD334">
        <f>VLOOKUP($H334,'1. Set Program Names'!$B$2:$D$15,3,0)*AD334</f>
        <v>0.17957929414992602</v>
      </c>
      <c r="CE334">
        <f>VLOOKUP($H334,'1. Set Program Names'!$B$2:$D$15,3,0)*AE334</f>
        <v>0.20196203108225172</v>
      </c>
    </row>
    <row r="335" spans="1:83" x14ac:dyDescent="0.25">
      <c r="A335" s="20" t="s">
        <v>117</v>
      </c>
      <c r="B335" s="20" t="s">
        <v>88</v>
      </c>
      <c r="C335" s="20" t="s">
        <v>122</v>
      </c>
      <c r="D335" s="20" t="s">
        <v>90</v>
      </c>
      <c r="E335" s="20" t="s">
        <v>91</v>
      </c>
      <c r="F335" s="20" t="s">
        <v>90</v>
      </c>
      <c r="G335" s="20" t="s">
        <v>92</v>
      </c>
      <c r="H335" s="20" t="s">
        <v>14</v>
      </c>
      <c r="I335" s="20" t="s">
        <v>162</v>
      </c>
      <c r="J335" s="20" t="s">
        <v>161</v>
      </c>
      <c r="K335" s="20" t="s">
        <v>159</v>
      </c>
      <c r="L335" s="20">
        <v>638.46285714285602</v>
      </c>
      <c r="M335" s="20">
        <v>7.6348348575361394E-2</v>
      </c>
      <c r="N335" s="20">
        <v>7.27444471789533E-2</v>
      </c>
      <c r="O335" s="20">
        <v>179</v>
      </c>
      <c r="P335" s="20">
        <v>51.129983050636802</v>
      </c>
      <c r="Q335" s="20">
        <v>22.729082953619599</v>
      </c>
      <c r="R335" s="20">
        <v>256.15438258671003</v>
      </c>
      <c r="S335" s="20">
        <v>693.44732308484095</v>
      </c>
      <c r="T335" s="20">
        <v>15</v>
      </c>
      <c r="U335" s="20">
        <v>0.2</v>
      </c>
      <c r="V335" s="20">
        <v>1.17177749657952</v>
      </c>
      <c r="W335" s="20">
        <v>2.44720276561522</v>
      </c>
      <c r="X335" s="20">
        <v>3.80486445212546</v>
      </c>
      <c r="Y335" s="20">
        <v>5.2314269663186899</v>
      </c>
      <c r="Z335" s="20">
        <v>6.7136163225088499</v>
      </c>
      <c r="AA335" s="20">
        <v>8.2385668539025207</v>
      </c>
      <c r="AB335" s="20">
        <v>9.7950938734403703</v>
      </c>
      <c r="AC335" s="20">
        <v>11.3767267878233</v>
      </c>
      <c r="AD335" s="20">
        <v>12.9793243674288</v>
      </c>
      <c r="AE335" s="20">
        <v>14.5970654564039</v>
      </c>
      <c r="AF335" t="str">
        <f t="shared" si="22"/>
        <v>NonResidential</v>
      </c>
      <c r="AG335" t="str">
        <f>tbl_Data_old[[#This Row],[All_Meas_Name_Append]]</f>
        <v>LED High Bay_LF Baseline</v>
      </c>
      <c r="AH335">
        <f>AVERAGEIFS('3. Incentive Adjustment'!G:G,'3. Incentive Adjustment'!A:A,tbl_Data_old[[#This Row],[Trimmed Sector]],'3. Incentive Adjustment'!B:B,tbl_Data_old[[#This Row],[Trimmed Measure Name]])</f>
        <v>0.93017466414143679</v>
      </c>
      <c r="AI335">
        <f>$AH335*tbl_Data_old[[#This Row],[2025 ]]</f>
        <v>1.0899577393293487</v>
      </c>
      <c r="AJ335">
        <f>$AH335*tbl_Data_old[[#This Row],[2026 ]]</f>
        <v>2.2763260105921326</v>
      </c>
      <c r="AK335">
        <f>$AH335*tbl_Data_old[[#This Row],[2027 ]]</f>
        <v>3.5391885138594916</v>
      </c>
      <c r="AL335">
        <f>$AH335*tbl_Data_old[[#This Row],[2028 ]]</f>
        <v>4.8661408213759429</v>
      </c>
      <c r="AM335">
        <f>$AH335*tbl_Data_old[[#This Row],[2029 ]]</f>
        <v>6.2448358079641375</v>
      </c>
      <c r="AN335">
        <f>$AH335*tbl_Data_old[[#This Row],[2030 ]]</f>
        <v>7.6633061563355511</v>
      </c>
      <c r="AO335">
        <f>$AH335*tbl_Data_old[[#This Row],[2031 ]]</f>
        <v>9.111148153961242</v>
      </c>
      <c r="AP335">
        <f>$AH335*tbl_Data_old[[#This Row],[2032 ]]</f>
        <v>10.582343018892425</v>
      </c>
      <c r="AQ335">
        <f>$AH335*tbl_Data_old[[#This Row],[2033 ]]</f>
        <v>12.073038684255851</v>
      </c>
      <c r="AR335">
        <f>$AH335*tbl_Data_old[[#This Row],[2034 ]]</f>
        <v>13.577820458361067</v>
      </c>
      <c r="AS335">
        <f>SUM(tbl_Data_old[[#This Row],[Adjusted 2025]:[Adjusted 2034]])</f>
        <v>71.024105364927181</v>
      </c>
      <c r="AT335" s="3">
        <f>AVERAGEIFS('3. Incentive Adjustment'!F:F,'3. Incentive Adjustment'!A:A,tbl_Data_old[[#This Row],[Trimmed Sector]],'3. Incentive Adjustment'!B:B,tbl_Data_old[[#This Row],[Trimmed Measure Name]])</f>
        <v>23.858858929800434</v>
      </c>
      <c r="AU335" s="3">
        <f>IFERROR(VLOOKUP(tbl_Data_old[[#This Row],[All_Meas_Name_Append]],'IRA Tax Credits'!$A$3:$D$46,4,0),0)</f>
        <v>0</v>
      </c>
      <c r="AV335" s="4">
        <f>tbl_Data_old[[#This Row],[Adj. per unit Incentive ($)]]/tbl_Data_old[[#This Row],[kWh Savings]]*tbl_Data_old[[#This Row],[Sum of Annuals]]</f>
        <v>2.6541154141687575</v>
      </c>
      <c r="AW335" s="4">
        <f>IFERROR(VLOOKUP(tbl_Data_old[[#This Row],[All_Programs]],'1. Set Program Names'!$B$2:$D$15,3,0)*tbl_Data_old[[#This Row],[Sum of Annuals]],"")</f>
        <v>2.528436485358224</v>
      </c>
      <c r="AX335" s="4">
        <f>tbl_Data_old[[#This Row],[per unit IRA tax ($)]]/tbl_Data_old[[#This Row],[kWh Savings]]*tbl_Data_old[[#This Row],[Sum of Annuals]]</f>
        <v>0</v>
      </c>
      <c r="AY335" s="4">
        <f>tbl_Data_old[[#This Row],[Avoided Costs ($/unit)]]/tbl_Data_old[[#This Row],[kWh Savings]]*tbl_Data_old[[#This Row],[Sum of Annuals]]</f>
        <v>28.495214177284002</v>
      </c>
      <c r="AZ335" s="4">
        <f>tbl_Data_old[[#This Row],[Lost Revenue ($/unit)]]/tbl_Data_old[[#This Row],[kWh Savings]]*tbl_Data_old[[#This Row],[Sum of Annuals]]</f>
        <v>77.140706289801329</v>
      </c>
      <c r="BA335" s="4">
        <f>tbl_Data_old[[#This Row],[Incremental Cost ($/unit)]]/tbl_Data_old[[#This Row],[kWh Savings]]*tbl_Data_old[[#This Row],[Sum of Annuals]]</f>
        <v>19.912379738446337</v>
      </c>
      <c r="BB335">
        <f>ROUNDUP(tbl_Data_old[[#This Row],[Adjusted 2025]]/$L335,0)</f>
        <v>1</v>
      </c>
      <c r="BC335">
        <f>ROUNDUP(tbl_Data_old[[#This Row],[Adjusted 2026]]/$L335,0)</f>
        <v>1</v>
      </c>
      <c r="BD335">
        <f>ROUNDUP(tbl_Data_old[[#This Row],[Adjusted 2027]]/$L335,0)</f>
        <v>1</v>
      </c>
      <c r="BE335">
        <f>ROUNDUP(tbl_Data_old[[#This Row],[Adjusted 2028]]/$L335,0)</f>
        <v>1</v>
      </c>
      <c r="BF335">
        <f>ROUNDUP(tbl_Data_old[[#This Row],[Adjusted 2029]]/$L335,0)</f>
        <v>1</v>
      </c>
      <c r="BG335">
        <f>ROUNDUP(tbl_Data_old[[#This Row],[Adjusted 2030]]/$L335,0)</f>
        <v>1</v>
      </c>
      <c r="BH335">
        <f>ROUNDUP(tbl_Data_old[[#This Row],[Adjusted 2031]]/$L335,0)</f>
        <v>1</v>
      </c>
      <c r="BI335">
        <f>ROUNDUP(tbl_Data_old[[#This Row],[Adjusted 2032]]/$L335,0)</f>
        <v>1</v>
      </c>
      <c r="BJ335">
        <f>ROUNDUP(tbl_Data_old[[#This Row],[Adjusted 2033]]/$L335,0)</f>
        <v>1</v>
      </c>
      <c r="BK335">
        <f>ROUNDUP(tbl_Data_old[[#This Row],[Adjusted 2034]]/$L335,0)</f>
        <v>1</v>
      </c>
      <c r="BL335" s="3">
        <f t="shared" si="24"/>
        <v>4.3788410986216601E-2</v>
      </c>
      <c r="BM335" s="3">
        <f t="shared" si="24"/>
        <v>9.1450058377267218E-2</v>
      </c>
      <c r="BN335" s="3">
        <f t="shared" si="24"/>
        <v>0.14218481653970641</v>
      </c>
      <c r="BO335" s="3">
        <f t="shared" si="24"/>
        <v>0.19549434488563197</v>
      </c>
      <c r="BP335" s="3">
        <f t="shared" si="24"/>
        <v>0.25088260492450876</v>
      </c>
      <c r="BQ335" s="3">
        <f t="shared" si="23"/>
        <v>0.30786881672430494</v>
      </c>
      <c r="BR335" s="3">
        <f t="shared" si="23"/>
        <v>0.36603501725438037</v>
      </c>
      <c r="BS335" s="3">
        <f t="shared" si="23"/>
        <v>0.42513940549062201</v>
      </c>
      <c r="BT335" s="3">
        <f t="shared" si="23"/>
        <v>0.48502722691245909</v>
      </c>
      <c r="BU335" s="3">
        <f t="shared" si="23"/>
        <v>0.54548094946653791</v>
      </c>
      <c r="BV335">
        <f>VLOOKUP($H335,'1. Set Program Names'!$B$2:$D$15,3,0)*V335</f>
        <v>4.1714921431962732E-2</v>
      </c>
      <c r="BW335">
        <f>VLOOKUP($H335,'1. Set Program Names'!$B$2:$D$15,3,0)*W335</f>
        <v>8.7119671946006741E-2</v>
      </c>
      <c r="BX335">
        <f>VLOOKUP($H335,'1. Set Program Names'!$B$2:$D$15,3,0)*X335</f>
        <v>0.13545201383623801</v>
      </c>
      <c r="BY335">
        <f>VLOOKUP($H335,'1. Set Program Names'!$B$2:$D$15,3,0)*Y335</f>
        <v>0.18623720417404835</v>
      </c>
      <c r="BZ335">
        <f>VLOOKUP($H335,'1. Set Program Names'!$B$2:$D$15,3,0)*Z335</f>
        <v>0.2390026931181928</v>
      </c>
      <c r="CA335">
        <f>VLOOKUP($H335,'1. Set Program Names'!$B$2:$D$15,3,0)*AA335</f>
        <v>0.29329046685544841</v>
      </c>
      <c r="CB335">
        <f>VLOOKUP($H335,'1. Set Program Names'!$B$2:$D$15,3,0)*AB335</f>
        <v>0.3487023539383492</v>
      </c>
      <c r="CC335">
        <f>VLOOKUP($H335,'1. Set Program Names'!$B$2:$D$15,3,0)*AC335</f>
        <v>0.4050080032192771</v>
      </c>
      <c r="CD335">
        <f>VLOOKUP($H335,'1. Set Program Names'!$B$2:$D$15,3,0)*AD335</f>
        <v>0.46205998818693717</v>
      </c>
      <c r="CE335">
        <f>VLOOKUP($H335,'1. Set Program Names'!$B$2:$D$15,3,0)*AE335</f>
        <v>0.519651077468685</v>
      </c>
    </row>
    <row r="336" spans="1:83" x14ac:dyDescent="0.25">
      <c r="A336" s="20" t="s">
        <v>117</v>
      </c>
      <c r="B336" s="20" t="s">
        <v>88</v>
      </c>
      <c r="C336" s="20" t="s">
        <v>122</v>
      </c>
      <c r="D336" s="20" t="s">
        <v>90</v>
      </c>
      <c r="E336" s="20" t="s">
        <v>91</v>
      </c>
      <c r="F336" s="20" t="s">
        <v>90</v>
      </c>
      <c r="G336" s="20" t="s">
        <v>92</v>
      </c>
      <c r="H336" s="20" t="s">
        <v>14</v>
      </c>
      <c r="I336" s="20" t="s">
        <v>163</v>
      </c>
      <c r="J336" s="20" t="s">
        <v>161</v>
      </c>
      <c r="K336" s="20" t="s">
        <v>159</v>
      </c>
      <c r="L336" s="20">
        <v>336.08</v>
      </c>
      <c r="M336" s="20">
        <v>5.3794325187228403E-2</v>
      </c>
      <c r="N336" s="20">
        <v>5.3413522005729602E-2</v>
      </c>
      <c r="O336" s="20">
        <v>109.08</v>
      </c>
      <c r="P336" s="20">
        <v>41.915763754167898</v>
      </c>
      <c r="Q336" s="20">
        <v>11.9643454800743</v>
      </c>
      <c r="R336" s="20">
        <v>148.30416484676499</v>
      </c>
      <c r="S336" s="20">
        <v>365.02323312162099</v>
      </c>
      <c r="T336" s="20">
        <v>15</v>
      </c>
      <c r="U336" s="20">
        <v>0.2</v>
      </c>
      <c r="V336" s="20">
        <v>1.9879525738244901</v>
      </c>
      <c r="W336" s="20">
        <v>4.07787920030297</v>
      </c>
      <c r="X336" s="20">
        <v>6.2227235869097601</v>
      </c>
      <c r="Y336" s="20">
        <v>8.4012049150099006</v>
      </c>
      <c r="Z336" s="20">
        <v>10.598599698764</v>
      </c>
      <c r="AA336" s="20">
        <v>12.7984230538947</v>
      </c>
      <c r="AB336" s="20">
        <v>14.9918020100964</v>
      </c>
      <c r="AC336" s="20">
        <v>17.176127462200899</v>
      </c>
      <c r="AD336" s="20">
        <v>19.347109609981299</v>
      </c>
      <c r="AE336" s="20">
        <v>21.503158309186102</v>
      </c>
      <c r="AF336" t="str">
        <f t="shared" si="22"/>
        <v>NonResidential</v>
      </c>
      <c r="AG336" t="str">
        <f>tbl_Data_old[[#This Row],[All_Meas_Name_Append]]</f>
        <v>LED Linear - Fixture Replacement</v>
      </c>
      <c r="AH336">
        <f>AVERAGEIFS('3. Incentive Adjustment'!G:G,'3. Incentive Adjustment'!A:A,tbl_Data_old[[#This Row],[Trimmed Sector]],'3. Incentive Adjustment'!B:B,tbl_Data_old[[#This Row],[Trimmed Measure Name]])</f>
        <v>0.56055357916158088</v>
      </c>
      <c r="AI336">
        <f>$AH336*tbl_Data_old[[#This Row],[2025 ]]</f>
        <v>1.1143539304607948</v>
      </c>
      <c r="AJ336">
        <f>$AH336*tbl_Data_old[[#This Row],[2026 ]]</f>
        <v>2.2858697811183952</v>
      </c>
      <c r="AK336">
        <f>$AH336*tbl_Data_old[[#This Row],[2027 ]]</f>
        <v>3.4881699787754568</v>
      </c>
      <c r="AL336">
        <f>$AH336*tbl_Data_old[[#This Row],[2028 ]]</f>
        <v>4.7093254843786649</v>
      </c>
      <c r="AM336">
        <f>$AH336*tbl_Data_old[[#This Row],[2029 ]]</f>
        <v>5.9410829952430131</v>
      </c>
      <c r="AN336">
        <f>$AH336*tbl_Data_old[[#This Row],[2030 ]]</f>
        <v>7.1742018504847644</v>
      </c>
      <c r="AO336">
        <f>$AH336*tbl_Data_old[[#This Row],[2031 ]]</f>
        <v>8.4037082748413194</v>
      </c>
      <c r="AP336">
        <f>$AH336*tbl_Data_old[[#This Row],[2032 ]]</f>
        <v>9.6281397250722343</v>
      </c>
      <c r="AQ336">
        <f>$AH336*tbl_Data_old[[#This Row],[2033 ]]</f>
        <v>10.845091538306434</v>
      </c>
      <c r="AR336">
        <f>$AH336*tbl_Data_old[[#This Row],[2034 ]]</f>
        <v>12.053672353492358</v>
      </c>
      <c r="AS336">
        <f>SUM(tbl_Data_old[[#This Row],[Adjusted 2025]:[Adjusted 2034]])</f>
        <v>65.643615912173431</v>
      </c>
      <c r="AT336" s="3">
        <f>AVERAGEIFS('3. Incentive Adjustment'!F:F,'3. Incentive Adjustment'!A:A,tbl_Data_old[[#This Row],[Trimmed Sector]],'3. Incentive Adjustment'!B:B,tbl_Data_old[[#This Row],[Trimmed Measure Name]])</f>
        <v>16.810726621008875</v>
      </c>
      <c r="AU336" s="3">
        <f>IFERROR(VLOOKUP(tbl_Data_old[[#This Row],[All_Meas_Name_Append]],'IRA Tax Credits'!$A$3:$D$46,4,0),0)</f>
        <v>0</v>
      </c>
      <c r="AV336" s="4">
        <f>tbl_Data_old[[#This Row],[Adj. per unit Incentive ($)]]/tbl_Data_old[[#This Row],[kWh Savings]]*tbl_Data_old[[#This Row],[Sum of Annuals]]</f>
        <v>3.2834946486373955</v>
      </c>
      <c r="AW336" s="4">
        <f>IFERROR(VLOOKUP(tbl_Data_old[[#This Row],[All_Programs]],'1. Set Program Names'!$B$2:$D$15,3,0)*tbl_Data_old[[#This Row],[Sum of Annuals]],"")</f>
        <v>2.3368927021380324</v>
      </c>
      <c r="AX336" s="4">
        <f>tbl_Data_old[[#This Row],[per unit IRA tax ($)]]/tbl_Data_old[[#This Row],[kWh Savings]]*tbl_Data_old[[#This Row],[Sum of Annuals]]</f>
        <v>0</v>
      </c>
      <c r="AY336" s="4">
        <f>tbl_Data_old[[#This Row],[Avoided Costs ($/unit)]]/tbl_Data_old[[#This Row],[kWh Savings]]*tbl_Data_old[[#This Row],[Sum of Annuals]]</f>
        <v>28.966977015522179</v>
      </c>
      <c r="AZ336" s="4">
        <f>tbl_Data_old[[#This Row],[Lost Revenue ($/unit)]]/tbl_Data_old[[#This Row],[kWh Savings]]*tbl_Data_old[[#This Row],[Sum of Annuals]]</f>
        <v>71.29684870880574</v>
      </c>
      <c r="BA336" s="4">
        <f>tbl_Data_old[[#This Row],[Incremental Cost ($/unit)]]/tbl_Data_old[[#This Row],[kWh Savings]]*tbl_Data_old[[#This Row],[Sum of Annuals]]</f>
        <v>21.305658247143175</v>
      </c>
      <c r="BB336">
        <f>ROUNDUP(tbl_Data_old[[#This Row],[Adjusted 2025]]/$L336,0)</f>
        <v>1</v>
      </c>
      <c r="BC336">
        <f>ROUNDUP(tbl_Data_old[[#This Row],[Adjusted 2026]]/$L336,0)</f>
        <v>1</v>
      </c>
      <c r="BD336">
        <f>ROUNDUP(tbl_Data_old[[#This Row],[Adjusted 2027]]/$L336,0)</f>
        <v>1</v>
      </c>
      <c r="BE336">
        <f>ROUNDUP(tbl_Data_old[[#This Row],[Adjusted 2028]]/$L336,0)</f>
        <v>1</v>
      </c>
      <c r="BF336">
        <f>ROUNDUP(tbl_Data_old[[#This Row],[Adjusted 2029]]/$L336,0)</f>
        <v>1</v>
      </c>
      <c r="BG336">
        <f>ROUNDUP(tbl_Data_old[[#This Row],[Adjusted 2030]]/$L336,0)</f>
        <v>1</v>
      </c>
      <c r="BH336">
        <f>ROUNDUP(tbl_Data_old[[#This Row],[Adjusted 2031]]/$L336,0)</f>
        <v>1</v>
      </c>
      <c r="BI336">
        <f>ROUNDUP(tbl_Data_old[[#This Row],[Adjusted 2032]]/$L336,0)</f>
        <v>1</v>
      </c>
      <c r="BJ336">
        <f>ROUNDUP(tbl_Data_old[[#This Row],[Adjusted 2033]]/$L336,0)</f>
        <v>1</v>
      </c>
      <c r="BK336">
        <f>ROUNDUP(tbl_Data_old[[#This Row],[Adjusted 2034]]/$L336,0)</f>
        <v>1</v>
      </c>
      <c r="BL336" s="3">
        <f t="shared" si="24"/>
        <v>9.9437417442556741E-2</v>
      </c>
      <c r="BM336" s="3">
        <f t="shared" si="24"/>
        <v>0.20397557852235043</v>
      </c>
      <c r="BN336" s="3">
        <f t="shared" si="24"/>
        <v>0.31126072678422922</v>
      </c>
      <c r="BO336" s="3">
        <f t="shared" si="24"/>
        <v>0.42022839536213863</v>
      </c>
      <c r="BP336" s="3">
        <f t="shared" si="24"/>
        <v>0.53014211527442467</v>
      </c>
      <c r="BQ336" s="3">
        <f t="shared" si="23"/>
        <v>0.64017731236325093</v>
      </c>
      <c r="BR336" s="3">
        <f t="shared" si="23"/>
        <v>0.7498901605213697</v>
      </c>
      <c r="BS336" s="3">
        <f t="shared" si="23"/>
        <v>0.85915015226928793</v>
      </c>
      <c r="BT336" s="3">
        <f t="shared" si="23"/>
        <v>0.96774271173556681</v>
      </c>
      <c r="BU336" s="3">
        <f t="shared" si="23"/>
        <v>1.0755882998809898</v>
      </c>
      <c r="BV336">
        <f>VLOOKUP($H336,'1. Set Program Names'!$B$2:$D$15,3,0)*V336</f>
        <v>7.0770505210780876E-2</v>
      </c>
      <c r="BW336">
        <f>VLOOKUP($H336,'1. Set Program Names'!$B$2:$D$15,3,0)*W336</f>
        <v>0.14517125558924693</v>
      </c>
      <c r="BX336">
        <f>VLOOKUP($H336,'1. Set Program Names'!$B$2:$D$15,3,0)*X336</f>
        <v>0.22152706147582699</v>
      </c>
      <c r="BY336">
        <f>VLOOKUP($H336,'1. Set Program Names'!$B$2:$D$15,3,0)*Y336</f>
        <v>0.29908033221874925</v>
      </c>
      <c r="BZ336">
        <f>VLOOKUP($H336,'1. Set Program Names'!$B$2:$D$15,3,0)*Z336</f>
        <v>0.37730691621347473</v>
      </c>
      <c r="CA336">
        <f>VLOOKUP($H336,'1. Set Program Names'!$B$2:$D$15,3,0)*AA336</f>
        <v>0.45561995660838078</v>
      </c>
      <c r="CB336">
        <f>VLOOKUP($H336,'1. Set Program Names'!$B$2:$D$15,3,0)*AB336</f>
        <v>0.53370357836725379</v>
      </c>
      <c r="CC336">
        <f>VLOOKUP($H336,'1. Set Program Names'!$B$2:$D$15,3,0)*AC336</f>
        <v>0.61146489814200344</v>
      </c>
      <c r="CD336">
        <f>VLOOKUP($H336,'1. Set Program Names'!$B$2:$D$15,3,0)*AD336</f>
        <v>0.6887512003531393</v>
      </c>
      <c r="CE336">
        <f>VLOOKUP($H336,'1. Set Program Names'!$B$2:$D$15,3,0)*AE336</f>
        <v>0.7655058763503757</v>
      </c>
    </row>
    <row r="337" spans="1:83" x14ac:dyDescent="0.25">
      <c r="A337" s="20" t="s">
        <v>117</v>
      </c>
      <c r="B337" s="20" t="s">
        <v>88</v>
      </c>
      <c r="C337" s="20" t="s">
        <v>122</v>
      </c>
      <c r="D337" s="20" t="s">
        <v>90</v>
      </c>
      <c r="E337" s="20" t="s">
        <v>91</v>
      </c>
      <c r="F337" s="20" t="s">
        <v>90</v>
      </c>
      <c r="G337" s="20" t="s">
        <v>92</v>
      </c>
      <c r="H337" s="20" t="s">
        <v>14</v>
      </c>
      <c r="I337" s="20" t="s">
        <v>164</v>
      </c>
      <c r="J337" s="20" t="s">
        <v>158</v>
      </c>
      <c r="K337" s="20" t="s">
        <v>159</v>
      </c>
      <c r="L337" s="20">
        <v>612.05999999999904</v>
      </c>
      <c r="M337" s="20">
        <v>0</v>
      </c>
      <c r="N337" s="20">
        <v>3.0244631686656E-2</v>
      </c>
      <c r="O337" s="20">
        <v>255</v>
      </c>
      <c r="P337" s="20">
        <v>129.095003330796</v>
      </c>
      <c r="Q337" s="20">
        <v>21.789149293425101</v>
      </c>
      <c r="R337" s="20">
        <v>299.625229349054</v>
      </c>
      <c r="S337" s="20">
        <v>664.77065003695395</v>
      </c>
      <c r="T337" s="20">
        <v>15</v>
      </c>
      <c r="U337" s="20">
        <v>0.2</v>
      </c>
      <c r="V337" s="20">
        <v>2.6542253011797898</v>
      </c>
      <c r="W337" s="20">
        <v>5.5380335945075698</v>
      </c>
      <c r="X337" s="20">
        <v>8.6062970674285104</v>
      </c>
      <c r="Y337" s="20">
        <v>11.829349453202299</v>
      </c>
      <c r="Z337" s="20">
        <v>15.1762011353169</v>
      </c>
      <c r="AA337" s="20">
        <v>18.618353028141598</v>
      </c>
      <c r="AB337" s="20">
        <v>22.129561581756398</v>
      </c>
      <c r="AC337" s="20">
        <v>25.6945581190609</v>
      </c>
      <c r="AD337" s="20">
        <v>29.305376377035099</v>
      </c>
      <c r="AE337" s="20">
        <v>32.948158952087802</v>
      </c>
      <c r="AF337" t="str">
        <f t="shared" si="22"/>
        <v>NonResidential</v>
      </c>
      <c r="AG337" t="str">
        <f>tbl_Data_old[[#This Row],[All_Meas_Name_Append]]</f>
        <v>LED Parking Lighting</v>
      </c>
      <c r="AH337">
        <f>AVERAGEIFS('3. Incentive Adjustment'!G:G,'3. Incentive Adjustment'!A:A,tbl_Data_old[[#This Row],[Trimmed Sector]],'3. Incentive Adjustment'!B:B,tbl_Data_old[[#This Row],[Trimmed Measure Name]])</f>
        <v>0.59704067730377497</v>
      </c>
      <c r="AI337">
        <f>$AH337*tbl_Data_old[[#This Row],[2025 ]]</f>
        <v>1.5846804715331979</v>
      </c>
      <c r="AJ337">
        <f>$AH337*tbl_Data_old[[#This Row],[2026 ]]</f>
        <v>3.3064313281958588</v>
      </c>
      <c r="AK337">
        <f>$AH337*tbl_Data_old[[#This Row],[2027 ]]</f>
        <v>5.1383094302150099</v>
      </c>
      <c r="AL337">
        <f>$AH337*tbl_Data_old[[#This Row],[2028 ]]</f>
        <v>7.0626028096029412</v>
      </c>
      <c r="AM337">
        <f>$AH337*tbl_Data_old[[#This Row],[2029 ]]</f>
        <v>9.0608094047279213</v>
      </c>
      <c r="AN337">
        <f>$AH337*tbl_Data_old[[#This Row],[2030 ]]</f>
        <v>11.115914102202449</v>
      </c>
      <c r="AO337">
        <f>$AH337*tbl_Data_old[[#This Row],[2031 ]]</f>
        <v>13.212248435207437</v>
      </c>
      <c r="AP337">
        <f>$AH337*tbl_Data_old[[#This Row],[2032 ]]</f>
        <v>15.34069638242533</v>
      </c>
      <c r="AQ337">
        <f>$AH337*tbl_Data_old[[#This Row],[2033 ]]</f>
        <v>17.496501760787083</v>
      </c>
      <c r="AR337">
        <f>$AH337*tbl_Data_old[[#This Row],[2034 ]]</f>
        <v>19.671391136666937</v>
      </c>
      <c r="AS337">
        <f>SUM(tbl_Data_old[[#This Row],[Adjusted 2025]:[Adjusted 2034]])</f>
        <v>102.98958526156416</v>
      </c>
      <c r="AT337" s="3">
        <f>AVERAGEIFS('3. Incentive Adjustment'!F:F,'3. Incentive Adjustment'!A:A,tbl_Data_old[[#This Row],[Trimmed Sector]],'3. Incentive Adjustment'!B:B,tbl_Data_old[[#This Row],[Trimmed Measure Name]])</f>
        <v>9.4514474020799994</v>
      </c>
      <c r="AU337" s="3">
        <f>IFERROR(VLOOKUP(tbl_Data_old[[#This Row],[All_Meas_Name_Append]],'IRA Tax Credits'!$A$3:$D$46,4,0),0)</f>
        <v>0</v>
      </c>
      <c r="AV337" s="4">
        <f>tbl_Data_old[[#This Row],[Adj. per unit Incentive ($)]]/tbl_Data_old[[#This Row],[kWh Savings]]*tbl_Data_old[[#This Row],[Sum of Annuals]]</f>
        <v>1.5903680163083826</v>
      </c>
      <c r="AW337" s="4">
        <f>IFERROR(VLOOKUP(tbl_Data_old[[#This Row],[All_Programs]],'1. Set Program Names'!$B$2:$D$15,3,0)*tbl_Data_old[[#This Row],[Sum of Annuals]],"")</f>
        <v>3.6663978187304469</v>
      </c>
      <c r="AX337" s="4">
        <f>tbl_Data_old[[#This Row],[per unit IRA tax ($)]]/tbl_Data_old[[#This Row],[kWh Savings]]*tbl_Data_old[[#This Row],[Sum of Annuals]]</f>
        <v>0</v>
      </c>
      <c r="AY337" s="4">
        <f>tbl_Data_old[[#This Row],[Avoided Costs ($/unit)]]/tbl_Data_old[[#This Row],[kWh Savings]]*tbl_Data_old[[#This Row],[Sum of Annuals]]</f>
        <v>50.417080195667353</v>
      </c>
      <c r="AZ337" s="4">
        <f>tbl_Data_old[[#This Row],[Lost Revenue ($/unit)]]/tbl_Data_old[[#This Row],[kWh Savings]]*tbl_Data_old[[#This Row],[Sum of Annuals]]</f>
        <v>111.85905555234194</v>
      </c>
      <c r="BA337" s="4">
        <f>tbl_Data_old[[#This Row],[Incremental Cost ($/unit)]]/tbl_Data_old[[#This Row],[kWh Savings]]*tbl_Data_old[[#This Row],[Sum of Annuals]]</f>
        <v>42.908120513836721</v>
      </c>
      <c r="BB337">
        <f>ROUNDUP(tbl_Data_old[[#This Row],[Adjusted 2025]]/$L337,0)</f>
        <v>1</v>
      </c>
      <c r="BC337">
        <f>ROUNDUP(tbl_Data_old[[#This Row],[Adjusted 2026]]/$L337,0)</f>
        <v>1</v>
      </c>
      <c r="BD337">
        <f>ROUNDUP(tbl_Data_old[[#This Row],[Adjusted 2027]]/$L337,0)</f>
        <v>1</v>
      </c>
      <c r="BE337">
        <f>ROUNDUP(tbl_Data_old[[#This Row],[Adjusted 2028]]/$L337,0)</f>
        <v>1</v>
      </c>
      <c r="BF337">
        <f>ROUNDUP(tbl_Data_old[[#This Row],[Adjusted 2029]]/$L337,0)</f>
        <v>1</v>
      </c>
      <c r="BG337">
        <f>ROUNDUP(tbl_Data_old[[#This Row],[Adjusted 2030]]/$L337,0)</f>
        <v>1</v>
      </c>
      <c r="BH337">
        <f>ROUNDUP(tbl_Data_old[[#This Row],[Adjusted 2031]]/$L337,0)</f>
        <v>1</v>
      </c>
      <c r="BI337">
        <f>ROUNDUP(tbl_Data_old[[#This Row],[Adjusted 2032]]/$L337,0)</f>
        <v>1</v>
      </c>
      <c r="BJ337">
        <f>ROUNDUP(tbl_Data_old[[#This Row],[Adjusted 2033]]/$L337,0)</f>
        <v>1</v>
      </c>
      <c r="BK337">
        <f>ROUNDUP(tbl_Data_old[[#This Row],[Adjusted 2034]]/$L337,0)</f>
        <v>1</v>
      </c>
      <c r="BL337" s="3">
        <f t="shared" si="24"/>
        <v>4.0986620310706087E-2</v>
      </c>
      <c r="BM337" s="3">
        <f t="shared" si="24"/>
        <v>8.5518467518609961E-2</v>
      </c>
      <c r="BN337" s="3">
        <f t="shared" si="24"/>
        <v>0.13289867669750685</v>
      </c>
      <c r="BO337" s="3">
        <f t="shared" si="24"/>
        <v>0.18266914053812619</v>
      </c>
      <c r="BP337" s="3">
        <f t="shared" si="24"/>
        <v>0.23435131652752128</v>
      </c>
      <c r="BQ337" s="3">
        <f t="shared" si="23"/>
        <v>0.28750512099930969</v>
      </c>
      <c r="BR337" s="3">
        <f t="shared" si="23"/>
        <v>0.34172530033176685</v>
      </c>
      <c r="BS337" s="3">
        <f t="shared" si="23"/>
        <v>0.39677607519196173</v>
      </c>
      <c r="BT337" s="3">
        <f t="shared" si="23"/>
        <v>0.45253443032661078</v>
      </c>
      <c r="BU337" s="3">
        <f t="shared" si="23"/>
        <v>0.50878637932723858</v>
      </c>
      <c r="BV337">
        <f>VLOOKUP($H337,'1. Set Program Names'!$B$2:$D$15,3,0)*V337</f>
        <v>9.4489611060668416E-2</v>
      </c>
      <c r="BW337">
        <f>VLOOKUP($H337,'1. Set Program Names'!$B$2:$D$15,3,0)*W337</f>
        <v>0.19715230660838678</v>
      </c>
      <c r="BX337">
        <f>VLOOKUP($H337,'1. Set Program Names'!$B$2:$D$15,3,0)*X337</f>
        <v>0.30638155028227076</v>
      </c>
      <c r="BY337">
        <f>VLOOKUP($H337,'1. Set Program Names'!$B$2:$D$15,3,0)*Y337</f>
        <v>0.42112123203594709</v>
      </c>
      <c r="BZ337">
        <f>VLOOKUP($H337,'1. Set Program Names'!$B$2:$D$15,3,0)*Z337</f>
        <v>0.54026813097485182</v>
      </c>
      <c r="CA337">
        <f>VLOOKUP($H337,'1. Set Program Names'!$B$2:$D$15,3,0)*AA337</f>
        <v>0.66280768834406922</v>
      </c>
      <c r="CB337">
        <f>VLOOKUP($H337,'1. Set Program Names'!$B$2:$D$15,3,0)*AB337</f>
        <v>0.78780564177194268</v>
      </c>
      <c r="CC337">
        <f>VLOOKUP($H337,'1. Set Program Names'!$B$2:$D$15,3,0)*AC337</f>
        <v>0.91471843101134953</v>
      </c>
      <c r="CD337">
        <f>VLOOKUP($H337,'1. Set Program Names'!$B$2:$D$15,3,0)*AD337</f>
        <v>1.0432624595288562</v>
      </c>
      <c r="CE337">
        <f>VLOOKUP($H337,'1. Set Program Names'!$B$2:$D$15,3,0)*AE337</f>
        <v>1.1729444079837641</v>
      </c>
    </row>
    <row r="338" spans="1:83" x14ac:dyDescent="0.25">
      <c r="A338" s="20" t="s">
        <v>117</v>
      </c>
      <c r="B338" s="20" t="s">
        <v>88</v>
      </c>
      <c r="C338" s="20" t="s">
        <v>122</v>
      </c>
      <c r="D338" s="20" t="s">
        <v>90</v>
      </c>
      <c r="E338" s="20" t="s">
        <v>91</v>
      </c>
      <c r="F338" s="20" t="s">
        <v>90</v>
      </c>
      <c r="G338" s="20" t="s">
        <v>92</v>
      </c>
      <c r="H338" s="20" t="s">
        <v>14</v>
      </c>
      <c r="I338" s="20" t="s">
        <v>165</v>
      </c>
      <c r="J338" s="20" t="s">
        <v>161</v>
      </c>
      <c r="K338" s="20" t="s">
        <v>166</v>
      </c>
      <c r="L338" s="20">
        <v>510.6</v>
      </c>
      <c r="M338" s="20">
        <v>6.2552429943266097E-2</v>
      </c>
      <c r="N338" s="20">
        <v>6.4361142955417797E-2</v>
      </c>
      <c r="O338" s="20">
        <v>129</v>
      </c>
      <c r="P338" s="20">
        <v>26.468747947944401</v>
      </c>
      <c r="Q338" s="20">
        <v>18.177204243412199</v>
      </c>
      <c r="R338" s="20">
        <v>174.74401692254699</v>
      </c>
      <c r="S338" s="20">
        <v>419.99719394182398</v>
      </c>
      <c r="T338" s="20">
        <v>10</v>
      </c>
      <c r="U338" s="20">
        <v>0.2</v>
      </c>
      <c r="V338" s="20">
        <v>1.01031225358409</v>
      </c>
      <c r="W338" s="20">
        <v>2.3958987819860602</v>
      </c>
      <c r="X338" s="20">
        <v>4.2390289779674504</v>
      </c>
      <c r="Y338" s="20">
        <v>6.6163364772083701</v>
      </c>
      <c r="Z338" s="20">
        <v>9.5609629515792296</v>
      </c>
      <c r="AA338" s="20">
        <v>13.0180843840742</v>
      </c>
      <c r="AB338" s="20">
        <v>16.818279753297901</v>
      </c>
      <c r="AC338" s="20">
        <v>20.684240278168701</v>
      </c>
      <c r="AD338" s="20">
        <v>24.283330723056199</v>
      </c>
      <c r="AE338" s="20">
        <v>27.336234921195199</v>
      </c>
      <c r="AF338" t="str">
        <f t="shared" si="22"/>
        <v>NonResidential</v>
      </c>
      <c r="AG338" t="str">
        <f>tbl_Data_old[[#This Row],[All_Meas_Name_Append]]</f>
        <v>Occupancy Sensors_ Ceiling Mounted</v>
      </c>
      <c r="AH338">
        <f>AVERAGEIFS('3. Incentive Adjustment'!G:G,'3. Incentive Adjustment'!A:A,tbl_Data_old[[#This Row],[Trimmed Sector]],'3. Incentive Adjustment'!B:B,tbl_Data_old[[#This Row],[Trimmed Measure Name]])</f>
        <v>0.99348124042467356</v>
      </c>
      <c r="AI338">
        <f>$AH338*tbl_Data_old[[#This Row],[2025 ]]</f>
        <v>1.0037262709069692</v>
      </c>
      <c r="AJ338">
        <f>$AH338*tbl_Data_old[[#This Row],[2026 ]]</f>
        <v>2.3802804938594755</v>
      </c>
      <c r="AK338">
        <f>$AH338*tbl_Data_old[[#This Row],[2027 ]]</f>
        <v>4.2113957672272386</v>
      </c>
      <c r="AL338">
        <f>$AH338*tbl_Data_old[[#This Row],[2028 ]]</f>
        <v>6.5732061704439868</v>
      </c>
      <c r="AM338">
        <f>$AH338*tbl_Data_old[[#This Row],[2029 ]]</f>
        <v>9.498637332789281</v>
      </c>
      <c r="AN338">
        <f>$AH338*tbl_Data_old[[#This Row],[2030 ]]</f>
        <v>12.933222621843109</v>
      </c>
      <c r="AO338">
        <f>$AH338*tbl_Data_old[[#This Row],[2031 ]]</f>
        <v>16.708645431115571</v>
      </c>
      <c r="AP338">
        <f>$AH338*tbl_Data_old[[#This Row],[2032 ]]</f>
        <v>20.549404688797036</v>
      </c>
      <c r="AQ338">
        <f>$AH338*tbl_Data_old[[#This Row],[2033 ]]</f>
        <v>24.125033528384456</v>
      </c>
      <c r="AR338">
        <f>$AH338*tbl_Data_old[[#This Row],[2034 ]]</f>
        <v>27.158036578049284</v>
      </c>
      <c r="AS338">
        <f>SUM(tbl_Data_old[[#This Row],[Adjusted 2025]:[Adjusted 2034]])</f>
        <v>125.1415888834164</v>
      </c>
      <c r="AT338" s="3">
        <f>AVERAGEIFS('3. Incentive Adjustment'!F:F,'3. Incentive Adjustment'!A:A,tbl_Data_old[[#This Row],[Trimmed Sector]],'3. Incentive Adjustment'!B:B,tbl_Data_old[[#This Row],[Trimmed Measure Name]])</f>
        <v>19.547634357270656</v>
      </c>
      <c r="AU338" s="3">
        <f>IFERROR(VLOOKUP(tbl_Data_old[[#This Row],[All_Meas_Name_Append]],'IRA Tax Credits'!$A$3:$D$46,4,0),0)</f>
        <v>0</v>
      </c>
      <c r="AV338" s="4">
        <f>tbl_Data_old[[#This Row],[Adj. per unit Incentive ($)]]/tbl_Data_old[[#This Row],[kWh Savings]]*tbl_Data_old[[#This Row],[Sum of Annuals]]</f>
        <v>4.7908774429708387</v>
      </c>
      <c r="AW338" s="4">
        <f>IFERROR(VLOOKUP(tbl_Data_old[[#This Row],[All_Programs]],'1. Set Program Names'!$B$2:$D$15,3,0)*tbl_Data_old[[#This Row],[Sum of Annuals]],"")</f>
        <v>4.4550023902839424</v>
      </c>
      <c r="AX338" s="4">
        <f>tbl_Data_old[[#This Row],[per unit IRA tax ($)]]/tbl_Data_old[[#This Row],[kWh Savings]]*tbl_Data_old[[#This Row],[Sum of Annuals]]</f>
        <v>0</v>
      </c>
      <c r="AY338" s="4">
        <f>tbl_Data_old[[#This Row],[Avoided Costs ($/unit)]]/tbl_Data_old[[#This Row],[kWh Savings]]*tbl_Data_old[[#This Row],[Sum of Annuals]]</f>
        <v>42.827543920012012</v>
      </c>
      <c r="AZ338" s="4">
        <f>tbl_Data_old[[#This Row],[Lost Revenue ($/unit)]]/tbl_Data_old[[#This Row],[kWh Savings]]*tbl_Data_old[[#This Row],[Sum of Annuals]]</f>
        <v>102.93598937809682</v>
      </c>
      <c r="BA338" s="4">
        <f>tbl_Data_old[[#This Row],[Incremental Cost ($/unit)]]/tbl_Data_old[[#This Row],[kWh Savings]]*tbl_Data_old[[#This Row],[Sum of Annuals]]</f>
        <v>31.616265111556434</v>
      </c>
      <c r="BB338">
        <f>ROUNDUP(tbl_Data_old[[#This Row],[Adjusted 2025]]/$L338,0)</f>
        <v>1</v>
      </c>
      <c r="BC338">
        <f>ROUNDUP(tbl_Data_old[[#This Row],[Adjusted 2026]]/$L338,0)</f>
        <v>1</v>
      </c>
      <c r="BD338">
        <f>ROUNDUP(tbl_Data_old[[#This Row],[Adjusted 2027]]/$L338,0)</f>
        <v>1</v>
      </c>
      <c r="BE338">
        <f>ROUNDUP(tbl_Data_old[[#This Row],[Adjusted 2028]]/$L338,0)</f>
        <v>1</v>
      </c>
      <c r="BF338">
        <f>ROUNDUP(tbl_Data_old[[#This Row],[Adjusted 2029]]/$L338,0)</f>
        <v>1</v>
      </c>
      <c r="BG338">
        <f>ROUNDUP(tbl_Data_old[[#This Row],[Adjusted 2030]]/$L338,0)</f>
        <v>1</v>
      </c>
      <c r="BH338">
        <f>ROUNDUP(tbl_Data_old[[#This Row],[Adjusted 2031]]/$L338,0)</f>
        <v>1</v>
      </c>
      <c r="BI338">
        <f>ROUNDUP(tbl_Data_old[[#This Row],[Adjusted 2032]]/$L338,0)</f>
        <v>1</v>
      </c>
      <c r="BJ338">
        <f>ROUNDUP(tbl_Data_old[[#This Row],[Adjusted 2033]]/$L338,0)</f>
        <v>1</v>
      </c>
      <c r="BK338">
        <f>ROUNDUP(tbl_Data_old[[#This Row],[Adjusted 2034]]/$L338,0)</f>
        <v>1</v>
      </c>
      <c r="BL338" s="3">
        <f t="shared" si="24"/>
        <v>3.8678445984590484E-2</v>
      </c>
      <c r="BM338" s="3">
        <f t="shared" si="24"/>
        <v>9.1723762920669069E-2</v>
      </c>
      <c r="BN338" s="3">
        <f t="shared" si="24"/>
        <v>0.16228552387618969</v>
      </c>
      <c r="BO338" s="3">
        <f t="shared" si="24"/>
        <v>0.25329754453807568</v>
      </c>
      <c r="BP338" s="3">
        <f t="shared" si="24"/>
        <v>0.36602860924575403</v>
      </c>
      <c r="BQ338" s="3">
        <f t="shared" si="23"/>
        <v>0.49837985423419007</v>
      </c>
      <c r="BR338" s="3">
        <f t="shared" si="23"/>
        <v>0.64386522353261955</v>
      </c>
      <c r="BS338" s="3">
        <f t="shared" si="23"/>
        <v>0.79186832337558177</v>
      </c>
      <c r="BT338" s="3">
        <f t="shared" si="23"/>
        <v>0.9296546610869163</v>
      </c>
      <c r="BU338" s="3">
        <f t="shared" si="23"/>
        <v>1.0465309928397517</v>
      </c>
      <c r="BV338">
        <f>VLOOKUP($H338,'1. Set Program Names'!$B$2:$D$15,3,0)*V338</f>
        <v>3.5966808035683626E-2</v>
      </c>
      <c r="BW338">
        <f>VLOOKUP($H338,'1. Set Program Names'!$B$2:$D$15,3,0)*W338</f>
        <v>8.5293265778893707E-2</v>
      </c>
      <c r="BX338">
        <f>VLOOKUP($H338,'1. Set Program Names'!$B$2:$D$15,3,0)*X338</f>
        <v>0.15090813851597573</v>
      </c>
      <c r="BY338">
        <f>VLOOKUP($H338,'1. Set Program Names'!$B$2:$D$15,3,0)*Y338</f>
        <v>0.23553956030034251</v>
      </c>
      <c r="BZ338">
        <f>VLOOKUP($H338,'1. Set Program Names'!$B$2:$D$15,3,0)*Z338</f>
        <v>0.34036736454083971</v>
      </c>
      <c r="CA338">
        <f>VLOOKUP($H338,'1. Set Program Names'!$B$2:$D$15,3,0)*AA338</f>
        <v>0.46343983295591773</v>
      </c>
      <c r="CB338">
        <f>VLOOKUP($H338,'1. Set Program Names'!$B$2:$D$15,3,0)*AB338</f>
        <v>0.59872562886513914</v>
      </c>
      <c r="CC338">
        <f>VLOOKUP($H338,'1. Set Program Names'!$B$2:$D$15,3,0)*AC338</f>
        <v>0.73635264425398661</v>
      </c>
      <c r="CD338">
        <f>VLOOKUP($H338,'1. Set Program Names'!$B$2:$D$15,3,0)*AD338</f>
        <v>0.86447916620313137</v>
      </c>
      <c r="CE338">
        <f>VLOOKUP($H338,'1. Set Program Names'!$B$2:$D$15,3,0)*AE338</f>
        <v>0.9731616243800667</v>
      </c>
    </row>
    <row r="339" spans="1:83" x14ac:dyDescent="0.25">
      <c r="A339" s="20" t="s">
        <v>117</v>
      </c>
      <c r="B339" s="20" t="s">
        <v>88</v>
      </c>
      <c r="C339" s="20" t="s">
        <v>122</v>
      </c>
      <c r="D339" s="20" t="s">
        <v>90</v>
      </c>
      <c r="E339" s="20" t="s">
        <v>91</v>
      </c>
      <c r="F339" s="20" t="s">
        <v>90</v>
      </c>
      <c r="G339" s="20" t="s">
        <v>92</v>
      </c>
      <c r="H339" s="20" t="s">
        <v>14</v>
      </c>
      <c r="I339" s="20" t="s">
        <v>154</v>
      </c>
      <c r="J339" s="20" t="s">
        <v>129</v>
      </c>
      <c r="K339" s="20" t="s">
        <v>102</v>
      </c>
      <c r="L339" s="20">
        <v>111105.09249999899</v>
      </c>
      <c r="M339" s="20">
        <v>30.6532165911823</v>
      </c>
      <c r="N339" s="20">
        <v>0</v>
      </c>
      <c r="O339" s="20">
        <v>40257.675000000003</v>
      </c>
      <c r="P339" s="20">
        <v>17605.607636663401</v>
      </c>
      <c r="Q339" s="20">
        <v>3955.3074008141398</v>
      </c>
      <c r="R339" s="20">
        <v>56706.982631731698</v>
      </c>
      <c r="S339" s="20">
        <v>120673.47084214</v>
      </c>
      <c r="T339" s="20">
        <v>15</v>
      </c>
      <c r="U339" s="20">
        <v>0.95</v>
      </c>
      <c r="V339" s="20">
        <v>0</v>
      </c>
      <c r="W339" s="20">
        <v>0</v>
      </c>
      <c r="X339" s="20">
        <v>0</v>
      </c>
      <c r="Y339" s="20">
        <v>0</v>
      </c>
      <c r="Z339" s="20">
        <v>0</v>
      </c>
      <c r="AA339" s="20">
        <v>0</v>
      </c>
      <c r="AB339" s="20">
        <v>0</v>
      </c>
      <c r="AC339" s="20">
        <v>0</v>
      </c>
      <c r="AD339" s="20">
        <v>0</v>
      </c>
      <c r="AE339" s="20">
        <v>0</v>
      </c>
      <c r="AF339" t="str">
        <f t="shared" si="22"/>
        <v>NonResidential</v>
      </c>
      <c r="AG339" t="str">
        <f>tbl_Data_old[[#This Row],[All_Meas_Name_Append]]</f>
        <v>Reflective Roof Treatment</v>
      </c>
      <c r="AH339">
        <f>AVERAGEIFS('3. Incentive Adjustment'!G:G,'3. Incentive Adjustment'!A:A,tbl_Data_old[[#This Row],[Trimmed Sector]],'3. Incentive Adjustment'!B:B,tbl_Data_old[[#This Row],[Trimmed Measure Name]])</f>
        <v>0.87696681614875649</v>
      </c>
      <c r="AI339">
        <f>$AH339*tbl_Data_old[[#This Row],[2025 ]]</f>
        <v>0</v>
      </c>
      <c r="AJ339">
        <f>$AH339*tbl_Data_old[[#This Row],[2026 ]]</f>
        <v>0</v>
      </c>
      <c r="AK339">
        <f>$AH339*tbl_Data_old[[#This Row],[2027 ]]</f>
        <v>0</v>
      </c>
      <c r="AL339">
        <f>$AH339*tbl_Data_old[[#This Row],[2028 ]]</f>
        <v>0</v>
      </c>
      <c r="AM339">
        <f>$AH339*tbl_Data_old[[#This Row],[2029 ]]</f>
        <v>0</v>
      </c>
      <c r="AN339">
        <f>$AH339*tbl_Data_old[[#This Row],[2030 ]]</f>
        <v>0</v>
      </c>
      <c r="AO339">
        <f>$AH339*tbl_Data_old[[#This Row],[2031 ]]</f>
        <v>0</v>
      </c>
      <c r="AP339">
        <f>$AH339*tbl_Data_old[[#This Row],[2032 ]]</f>
        <v>0</v>
      </c>
      <c r="AQ339">
        <f>$AH339*tbl_Data_old[[#This Row],[2033 ]]</f>
        <v>0</v>
      </c>
      <c r="AR339">
        <f>$AH339*tbl_Data_old[[#This Row],[2034 ]]</f>
        <v>0</v>
      </c>
      <c r="AS339">
        <f>SUM(tbl_Data_old[[#This Row],[Adjusted 2025]:[Adjusted 2034]])</f>
        <v>0</v>
      </c>
      <c r="AT339" s="3">
        <f>AVERAGEIFS('3. Incentive Adjustment'!F:F,'3. Incentive Adjustment'!A:A,tbl_Data_old[[#This Row],[Trimmed Sector]],'3. Incentive Adjustment'!B:B,tbl_Data_old[[#This Row],[Trimmed Measure Name]])</f>
        <v>12077.302499999998</v>
      </c>
      <c r="AU339" s="3">
        <f>IFERROR(VLOOKUP(tbl_Data_old[[#This Row],[All_Meas_Name_Append]],'IRA Tax Credits'!$A$3:$D$46,4,0),0)</f>
        <v>0</v>
      </c>
      <c r="AV339" s="4">
        <f>tbl_Data_old[[#This Row],[Adj. per unit Incentive ($)]]/tbl_Data_old[[#This Row],[kWh Savings]]*tbl_Data_old[[#This Row],[Sum of Annuals]]</f>
        <v>0</v>
      </c>
      <c r="AW339" s="4">
        <f>IFERROR(VLOOKUP(tbl_Data_old[[#This Row],[All_Programs]],'1. Set Program Names'!$B$2:$D$15,3,0)*tbl_Data_old[[#This Row],[Sum of Annuals]],"")</f>
        <v>0</v>
      </c>
      <c r="AX339" s="4">
        <f>tbl_Data_old[[#This Row],[per unit IRA tax ($)]]/tbl_Data_old[[#This Row],[kWh Savings]]*tbl_Data_old[[#This Row],[Sum of Annuals]]</f>
        <v>0</v>
      </c>
      <c r="AY339" s="4">
        <f>tbl_Data_old[[#This Row],[Avoided Costs ($/unit)]]/tbl_Data_old[[#This Row],[kWh Savings]]*tbl_Data_old[[#This Row],[Sum of Annuals]]</f>
        <v>0</v>
      </c>
      <c r="AZ339" s="4">
        <f>tbl_Data_old[[#This Row],[Lost Revenue ($/unit)]]/tbl_Data_old[[#This Row],[kWh Savings]]*tbl_Data_old[[#This Row],[Sum of Annuals]]</f>
        <v>0</v>
      </c>
      <c r="BA339" s="4">
        <f>tbl_Data_old[[#This Row],[Incremental Cost ($/unit)]]/tbl_Data_old[[#This Row],[kWh Savings]]*tbl_Data_old[[#This Row],[Sum of Annuals]]</f>
        <v>0</v>
      </c>
      <c r="BB339">
        <f>ROUNDUP(tbl_Data_old[[#This Row],[Adjusted 2025]]/$L339,0)</f>
        <v>0</v>
      </c>
      <c r="BC339">
        <f>ROUNDUP(tbl_Data_old[[#This Row],[Adjusted 2026]]/$L339,0)</f>
        <v>0</v>
      </c>
      <c r="BD339">
        <f>ROUNDUP(tbl_Data_old[[#This Row],[Adjusted 2027]]/$L339,0)</f>
        <v>0</v>
      </c>
      <c r="BE339">
        <f>ROUNDUP(tbl_Data_old[[#This Row],[Adjusted 2028]]/$L339,0)</f>
        <v>0</v>
      </c>
      <c r="BF339">
        <f>ROUNDUP(tbl_Data_old[[#This Row],[Adjusted 2029]]/$L339,0)</f>
        <v>0</v>
      </c>
      <c r="BG339">
        <f>ROUNDUP(tbl_Data_old[[#This Row],[Adjusted 2030]]/$L339,0)</f>
        <v>0</v>
      </c>
      <c r="BH339">
        <f>ROUNDUP(tbl_Data_old[[#This Row],[Adjusted 2031]]/$L339,0)</f>
        <v>0</v>
      </c>
      <c r="BI339">
        <f>ROUNDUP(tbl_Data_old[[#This Row],[Adjusted 2032]]/$L339,0)</f>
        <v>0</v>
      </c>
      <c r="BJ339">
        <f>ROUNDUP(tbl_Data_old[[#This Row],[Adjusted 2033]]/$L339,0)</f>
        <v>0</v>
      </c>
      <c r="BK339">
        <f>ROUNDUP(tbl_Data_old[[#This Row],[Adjusted 2034]]/$L339,0)</f>
        <v>0</v>
      </c>
      <c r="BL339" s="3">
        <f t="shared" si="24"/>
        <v>0</v>
      </c>
      <c r="BM339" s="3">
        <f t="shared" si="24"/>
        <v>0</v>
      </c>
      <c r="BN339" s="3">
        <f t="shared" si="24"/>
        <v>0</v>
      </c>
      <c r="BO339" s="3">
        <f t="shared" si="24"/>
        <v>0</v>
      </c>
      <c r="BP339" s="3">
        <f t="shared" si="24"/>
        <v>0</v>
      </c>
      <c r="BQ339" s="3">
        <f t="shared" si="23"/>
        <v>0</v>
      </c>
      <c r="BR339" s="3">
        <f t="shared" si="23"/>
        <v>0</v>
      </c>
      <c r="BS339" s="3">
        <f t="shared" si="23"/>
        <v>0</v>
      </c>
      <c r="BT339" s="3">
        <f t="shared" si="23"/>
        <v>0</v>
      </c>
      <c r="BU339" s="3">
        <f t="shared" si="23"/>
        <v>0</v>
      </c>
      <c r="BV339">
        <f>VLOOKUP($H339,'1. Set Program Names'!$B$2:$D$15,3,0)*V339</f>
        <v>0</v>
      </c>
      <c r="BW339">
        <f>VLOOKUP($H339,'1. Set Program Names'!$B$2:$D$15,3,0)*W339</f>
        <v>0</v>
      </c>
      <c r="BX339">
        <f>VLOOKUP($H339,'1. Set Program Names'!$B$2:$D$15,3,0)*X339</f>
        <v>0</v>
      </c>
      <c r="BY339">
        <f>VLOOKUP($H339,'1. Set Program Names'!$B$2:$D$15,3,0)*Y339</f>
        <v>0</v>
      </c>
      <c r="BZ339">
        <f>VLOOKUP($H339,'1. Set Program Names'!$B$2:$D$15,3,0)*Z339</f>
        <v>0</v>
      </c>
      <c r="CA339">
        <f>VLOOKUP($H339,'1. Set Program Names'!$B$2:$D$15,3,0)*AA339</f>
        <v>0</v>
      </c>
      <c r="CB339">
        <f>VLOOKUP($H339,'1. Set Program Names'!$B$2:$D$15,3,0)*AB339</f>
        <v>0</v>
      </c>
      <c r="CC339">
        <f>VLOOKUP($H339,'1. Set Program Names'!$B$2:$D$15,3,0)*AC339</f>
        <v>0</v>
      </c>
      <c r="CD339">
        <f>VLOOKUP($H339,'1. Set Program Names'!$B$2:$D$15,3,0)*AD339</f>
        <v>0</v>
      </c>
      <c r="CE339">
        <f>VLOOKUP($H339,'1. Set Program Names'!$B$2:$D$15,3,0)*AE339</f>
        <v>0</v>
      </c>
    </row>
    <row r="340" spans="1:83" x14ac:dyDescent="0.25">
      <c r="A340" s="20" t="s">
        <v>117</v>
      </c>
      <c r="B340" s="20" t="s">
        <v>88</v>
      </c>
      <c r="C340" s="20" t="s">
        <v>122</v>
      </c>
      <c r="D340" s="20" t="s">
        <v>90</v>
      </c>
      <c r="E340" s="20" t="s">
        <v>91</v>
      </c>
      <c r="F340" s="20" t="s">
        <v>90</v>
      </c>
      <c r="G340" s="20" t="s">
        <v>92</v>
      </c>
      <c r="H340" s="20" t="s">
        <v>14</v>
      </c>
      <c r="I340" s="20" t="s">
        <v>167</v>
      </c>
      <c r="J340" s="20" t="s">
        <v>124</v>
      </c>
      <c r="K340" s="20" t="s">
        <v>98</v>
      </c>
      <c r="L340" s="20">
        <v>151.66</v>
      </c>
      <c r="M340" s="20">
        <v>2.2013191527321101E-2</v>
      </c>
      <c r="N340" s="20">
        <v>1.95296013954902E-2</v>
      </c>
      <c r="O340" s="20">
        <v>56.6</v>
      </c>
      <c r="P340" s="20">
        <v>25.402483751835899</v>
      </c>
      <c r="Q340" s="20">
        <v>5.3990497366938701</v>
      </c>
      <c r="R340" s="20">
        <v>70.564478576335205</v>
      </c>
      <c r="S340" s="20">
        <v>171.417444155428</v>
      </c>
      <c r="T340" s="20">
        <v>16</v>
      </c>
      <c r="U340" s="20">
        <v>0.2</v>
      </c>
      <c r="V340" s="20">
        <v>0.128353484704023</v>
      </c>
      <c r="W340" s="20">
        <v>0.30291871782989899</v>
      </c>
      <c r="X340" s="20">
        <v>0.52843827225027595</v>
      </c>
      <c r="Y340" s="20">
        <v>0.80687455075738501</v>
      </c>
      <c r="Z340" s="20">
        <v>1.13558051384903</v>
      </c>
      <c r="AA340" s="20">
        <v>1.5083026932043899</v>
      </c>
      <c r="AB340" s="20">
        <v>1.91625256850361</v>
      </c>
      <c r="AC340" s="20">
        <v>2.3513736818154101</v>
      </c>
      <c r="AD340" s="20">
        <v>2.8078303274489298</v>
      </c>
      <c r="AE340" s="20">
        <v>3.2802022220538198</v>
      </c>
      <c r="AF340" t="str">
        <f t="shared" si="22"/>
        <v>NonResidential</v>
      </c>
      <c r="AG340" t="str">
        <f>tbl_Data_old[[#This Row],[All_Meas_Name_Append]]</f>
        <v>Refrigerated Display Case LED Lighting</v>
      </c>
      <c r="AH340">
        <f>AVERAGEIFS('3. Incentive Adjustment'!G:G,'3. Incentive Adjustment'!A:A,tbl_Data_old[[#This Row],[Trimmed Sector]],'3. Incentive Adjustment'!B:B,tbl_Data_old[[#This Row],[Trimmed Measure Name]])</f>
        <v>0.72450810749703154</v>
      </c>
      <c r="AI340">
        <f>$AH340*tbl_Data_old[[#This Row],[2025 ]]</f>
        <v>9.2993140293560886E-2</v>
      </c>
      <c r="AJ340">
        <f>$AH340*tbl_Data_old[[#This Row],[2026 ]]</f>
        <v>0.21946706698036741</v>
      </c>
      <c r="AK340">
        <f>$AH340*tbl_Data_old[[#This Row],[2027 ]]</f>
        <v>0.38285781255704854</v>
      </c>
      <c r="AL340">
        <f>$AH340*tbl_Data_old[[#This Row],[2028 ]]</f>
        <v>0.58458715375675052</v>
      </c>
      <c r="AM340">
        <f>$AH340*tbl_Data_old[[#This Row],[2029 ]]</f>
        <v>0.82273728899926735</v>
      </c>
      <c r="AN340">
        <f>$AH340*tbl_Data_old[[#This Row],[2030 ]]</f>
        <v>1.0927775297861884</v>
      </c>
      <c r="AO340">
        <f>$AH340*tbl_Data_old[[#This Row],[2031 ]]</f>
        <v>1.3883405218928764</v>
      </c>
      <c r="AP340">
        <f>$AH340*tbl_Data_old[[#This Row],[2032 ]]</f>
        <v>1.70358929623041</v>
      </c>
      <c r="AQ340">
        <f>$AH340*tbl_Data_old[[#This Row],[2033 ]]</f>
        <v>2.0342958367127943</v>
      </c>
      <c r="AR340">
        <f>$AH340*tbl_Data_old[[#This Row],[2034 ]]</f>
        <v>2.3765331041077706</v>
      </c>
      <c r="AS340">
        <f>SUM(tbl_Data_old[[#This Row],[Adjusted 2025]:[Adjusted 2034]])</f>
        <v>10.698178751317034</v>
      </c>
      <c r="AT340" s="3">
        <f>AVERAGEIFS('3. Incentive Adjustment'!F:F,'3. Incentive Adjustment'!A:A,tbl_Data_old[[#This Row],[Trimmed Sector]],'3. Incentive Adjustment'!B:B,tbl_Data_old[[#This Row],[Trimmed Measure Name]])</f>
        <v>6.879122352287844</v>
      </c>
      <c r="AU340" s="3">
        <f>IFERROR(VLOOKUP(tbl_Data_old[[#This Row],[All_Meas_Name_Append]],'IRA Tax Credits'!$A$3:$D$46,4,0),0)</f>
        <v>0</v>
      </c>
      <c r="AV340" s="4">
        <f>tbl_Data_old[[#This Row],[Adj. per unit Incentive ($)]]/tbl_Data_old[[#This Row],[kWh Savings]]*tbl_Data_old[[#This Row],[Sum of Annuals]]</f>
        <v>0.48525702609096577</v>
      </c>
      <c r="AW340" s="4">
        <f>IFERROR(VLOOKUP(tbl_Data_old[[#This Row],[All_Programs]],'1. Set Program Names'!$B$2:$D$15,3,0)*tbl_Data_old[[#This Row],[Sum of Annuals]],"")</f>
        <v>0.38085190010815156</v>
      </c>
      <c r="AX340" s="4">
        <f>tbl_Data_old[[#This Row],[per unit IRA tax ($)]]/tbl_Data_old[[#This Row],[kWh Savings]]*tbl_Data_old[[#This Row],[Sum of Annuals]]</f>
        <v>0</v>
      </c>
      <c r="AY340" s="4">
        <f>tbl_Data_old[[#This Row],[Avoided Costs ($/unit)]]/tbl_Data_old[[#This Row],[kWh Savings]]*tbl_Data_old[[#This Row],[Sum of Annuals]]</f>
        <v>4.9776566352572553</v>
      </c>
      <c r="AZ340" s="4">
        <f>tbl_Data_old[[#This Row],[Lost Revenue ($/unit)]]/tbl_Data_old[[#This Row],[kWh Savings]]*tbl_Data_old[[#This Row],[Sum of Annuals]]</f>
        <v>12.091879590324899</v>
      </c>
      <c r="BA340" s="4">
        <f>tbl_Data_old[[#This Row],[Incremental Cost ($/unit)]]/tbl_Data_old[[#This Row],[kWh Savings]]*tbl_Data_old[[#This Row],[Sum of Annuals]]</f>
        <v>3.9925947337765009</v>
      </c>
      <c r="BB340">
        <f>ROUNDUP(tbl_Data_old[[#This Row],[Adjusted 2025]]/$L340,0)</f>
        <v>1</v>
      </c>
      <c r="BC340">
        <f>ROUNDUP(tbl_Data_old[[#This Row],[Adjusted 2026]]/$L340,0)</f>
        <v>1</v>
      </c>
      <c r="BD340">
        <f>ROUNDUP(tbl_Data_old[[#This Row],[Adjusted 2027]]/$L340,0)</f>
        <v>1</v>
      </c>
      <c r="BE340">
        <f>ROUNDUP(tbl_Data_old[[#This Row],[Adjusted 2028]]/$L340,0)</f>
        <v>1</v>
      </c>
      <c r="BF340">
        <f>ROUNDUP(tbl_Data_old[[#This Row],[Adjusted 2029]]/$L340,0)</f>
        <v>1</v>
      </c>
      <c r="BG340">
        <f>ROUNDUP(tbl_Data_old[[#This Row],[Adjusted 2030]]/$L340,0)</f>
        <v>1</v>
      </c>
      <c r="BH340">
        <f>ROUNDUP(tbl_Data_old[[#This Row],[Adjusted 2031]]/$L340,0)</f>
        <v>1</v>
      </c>
      <c r="BI340">
        <f>ROUNDUP(tbl_Data_old[[#This Row],[Adjusted 2032]]/$L340,0)</f>
        <v>1</v>
      </c>
      <c r="BJ340">
        <f>ROUNDUP(tbl_Data_old[[#This Row],[Adjusted 2033]]/$L340,0)</f>
        <v>1</v>
      </c>
      <c r="BK340">
        <f>ROUNDUP(tbl_Data_old[[#This Row],[Adjusted 2034]]/$L340,0)</f>
        <v>1</v>
      </c>
      <c r="BL340" s="3">
        <f t="shared" si="24"/>
        <v>5.8219657498449198E-3</v>
      </c>
      <c r="BM340" s="3">
        <f t="shared" si="24"/>
        <v>1.3740043009033578E-2</v>
      </c>
      <c r="BN340" s="3">
        <f t="shared" si="24"/>
        <v>2.3969349402883044E-2</v>
      </c>
      <c r="BO340" s="3">
        <f t="shared" si="24"/>
        <v>3.6598897254433209E-2</v>
      </c>
      <c r="BP340" s="3">
        <f t="shared" si="24"/>
        <v>5.1508619910598567E-2</v>
      </c>
      <c r="BQ340" s="3">
        <f t="shared" si="23"/>
        <v>6.8414867274418256E-2</v>
      </c>
      <c r="BR340" s="3">
        <f t="shared" si="23"/>
        <v>8.6919002219584443E-2</v>
      </c>
      <c r="BS340" s="3">
        <f t="shared" si="23"/>
        <v>0.1066555931238148</v>
      </c>
      <c r="BT340" s="3">
        <f t="shared" si="23"/>
        <v>0.12735993912030616</v>
      </c>
      <c r="BU340" s="3">
        <f t="shared" si="23"/>
        <v>0.1487861824195878</v>
      </c>
      <c r="BV340">
        <f>VLOOKUP($H340,'1. Set Program Names'!$B$2:$D$15,3,0)*V340</f>
        <v>4.5693449017209344E-3</v>
      </c>
      <c r="BW340">
        <f>VLOOKUP($H340,'1. Set Program Names'!$B$2:$D$15,3,0)*W340</f>
        <v>1.0783813950541758E-2</v>
      </c>
      <c r="BX340">
        <f>VLOOKUP($H340,'1. Set Program Names'!$B$2:$D$15,3,0)*X340</f>
        <v>1.8812241294024923E-2</v>
      </c>
      <c r="BY340">
        <f>VLOOKUP($H340,'1. Set Program Names'!$B$2:$D$15,3,0)*Y340</f>
        <v>2.8724487872950347E-2</v>
      </c>
      <c r="BZ340">
        <f>VLOOKUP($H340,'1. Set Program Names'!$B$2:$D$15,3,0)*Z340</f>
        <v>4.0426319888509185E-2</v>
      </c>
      <c r="CA340">
        <f>VLOOKUP($H340,'1. Set Program Names'!$B$2:$D$15,3,0)*AA340</f>
        <v>5.3695115776076927E-2</v>
      </c>
      <c r="CB340">
        <f>VLOOKUP($H340,'1. Set Program Names'!$B$2:$D$15,3,0)*AB340</f>
        <v>6.8218006893171451E-2</v>
      </c>
      <c r="CC340">
        <f>VLOOKUP($H340,'1. Set Program Names'!$B$2:$D$15,3,0)*AC340</f>
        <v>8.3708185795031004E-2</v>
      </c>
      <c r="CD340">
        <f>VLOOKUP($H340,'1. Set Program Names'!$B$2:$D$15,3,0)*AD340</f>
        <v>9.9957903139220802E-2</v>
      </c>
      <c r="CE340">
        <f>VLOOKUP($H340,'1. Set Program Names'!$B$2:$D$15,3,0)*AE340</f>
        <v>0.11677419849190522</v>
      </c>
    </row>
    <row r="341" spans="1:83" x14ac:dyDescent="0.25">
      <c r="A341" s="20" t="s">
        <v>117</v>
      </c>
      <c r="B341" s="20" t="s">
        <v>88</v>
      </c>
      <c r="C341" s="20" t="s">
        <v>122</v>
      </c>
      <c r="D341" s="20" t="s">
        <v>90</v>
      </c>
      <c r="E341" s="20" t="s">
        <v>91</v>
      </c>
      <c r="F341" s="20" t="s">
        <v>90</v>
      </c>
      <c r="G341" s="20" t="s">
        <v>92</v>
      </c>
      <c r="H341" s="20" t="s">
        <v>14</v>
      </c>
      <c r="I341" s="20" t="s">
        <v>155</v>
      </c>
      <c r="J341" s="20" t="s">
        <v>129</v>
      </c>
      <c r="K341" s="20" t="s">
        <v>102</v>
      </c>
      <c r="L341" s="53">
        <v>1193.02</v>
      </c>
      <c r="M341" s="53">
        <v>0.274776433335365</v>
      </c>
      <c r="N341" s="53">
        <v>0.10441874276921487</v>
      </c>
      <c r="O341" s="53">
        <f>8423.99999999998/36663.4359999998*1193.02</f>
        <v>274.11507421181233</v>
      </c>
      <c r="P341" s="53">
        <f>3224.30667036527/36663.4359999998*1193.02</f>
        <v>104.91821726363004</v>
      </c>
      <c r="Q341" s="53">
        <f>1305.20713755829/36663.4359999998*1193.02</f>
        <v>42.471148073786637</v>
      </c>
      <c r="R341" s="53">
        <f>14915.0733686122/36663.4359999998*1193.02</f>
        <v>485.33314854128304</v>
      </c>
      <c r="S341" s="53">
        <f>32320.5298576745/36663.4359999998*1193.02</f>
        <v>1051.702806327346</v>
      </c>
      <c r="T341" s="20">
        <v>11</v>
      </c>
      <c r="U341" s="20">
        <v>0.94999999999999896</v>
      </c>
      <c r="V341" s="20">
        <v>27.849267902488599</v>
      </c>
      <c r="W341" s="20">
        <v>51.0207194397967</v>
      </c>
      <c r="X341" s="20">
        <v>70.124929058028599</v>
      </c>
      <c r="Y341" s="20">
        <v>85.8800251534024</v>
      </c>
      <c r="Z341" s="20">
        <v>98.885174124219006</v>
      </c>
      <c r="AA341" s="20">
        <v>109.628268083428</v>
      </c>
      <c r="AB341" s="20">
        <v>118.52413517332</v>
      </c>
      <c r="AC341" s="20">
        <v>125.929664382304</v>
      </c>
      <c r="AD341" s="20">
        <v>132.144494760637</v>
      </c>
      <c r="AE341" s="20">
        <v>137.395292698052</v>
      </c>
      <c r="AF341" t="str">
        <f t="shared" si="22"/>
        <v>NonResidential</v>
      </c>
      <c r="AG341" t="str">
        <f>tbl_Data_old[[#This Row],[All_Meas_Name_Append]]</f>
        <v>Smart thermostat</v>
      </c>
      <c r="AH341">
        <f>AVERAGEIFS('3. Incentive Adjustment'!G:G,'3. Incentive Adjustment'!A:A,tbl_Data_old[[#This Row],[Trimmed Sector]],'3. Incentive Adjustment'!B:B,tbl_Data_old[[#This Row],[Trimmed Measure Name]])</f>
        <v>0.87546479230069263</v>
      </c>
      <c r="AI341">
        <f>$AH341*tbl_Data_old[[#This Row],[2025 ]]</f>
        <v>24.381053539978527</v>
      </c>
      <c r="AJ341">
        <f>$AH341*tbl_Data_old[[#This Row],[2026 ]]</f>
        <v>44.666843547393526</v>
      </c>
      <c r="AK341">
        <f>$AH341*tbl_Data_old[[#This Row],[2027 ]]</f>
        <v>61.39190645288781</v>
      </c>
      <c r="AL341">
        <f>$AH341*tbl_Data_old[[#This Row],[2028 ]]</f>
        <v>75.184938383701692</v>
      </c>
      <c r="AM341">
        <f>$AH341*tbl_Data_old[[#This Row],[2029 ]]</f>
        <v>86.570488426277223</v>
      </c>
      <c r="AN341">
        <f>$AH341*tbl_Data_old[[#This Row],[2030 ]]</f>
        <v>95.975688947942942</v>
      </c>
      <c r="AO341">
        <f>$AH341*tbl_Data_old[[#This Row],[2031 ]]</f>
        <v>103.76370738212981</v>
      </c>
      <c r="AP341">
        <f>$AH341*tbl_Data_old[[#This Row],[2032 ]]</f>
        <v>110.2469874729497</v>
      </c>
      <c r="AQ341">
        <f>$AH341*tbl_Data_old[[#This Row],[2033 ]]</f>
        <v>115.68785265930104</v>
      </c>
      <c r="AR341">
        <f>$AH341*tbl_Data_old[[#This Row],[2034 ]]</f>
        <v>120.28474138499297</v>
      </c>
      <c r="AS341">
        <f>SUM(tbl_Data_old[[#This Row],[Adjusted 2025]:[Adjusted 2034]])</f>
        <v>838.15420819755536</v>
      </c>
      <c r="AT341" s="3">
        <f>AVERAGEIFS('3. Incentive Adjustment'!F:F,'3. Incentive Adjustment'!A:A,tbl_Data_old[[#This Row],[Trimmed Sector]],'3. Incentive Adjustment'!B:B,tbl_Data_old[[#This Row],[Trimmed Measure Name]])</f>
        <v>50</v>
      </c>
      <c r="AU341" s="3">
        <f>IFERROR(VLOOKUP(tbl_Data_old[[#This Row],[All_Meas_Name_Append]],'IRA Tax Credits'!$A$3:$D$46,4,0),0)</f>
        <v>0</v>
      </c>
      <c r="AV341" s="4">
        <f>tbl_Data_old[[#This Row],[Adj. per unit Incentive ($)]]/tbl_Data_old[[#This Row],[kWh Savings]]*tbl_Data_old[[#This Row],[Sum of Annuals]]</f>
        <v>35.127416480761234</v>
      </c>
      <c r="AW341" s="4">
        <f>IFERROR(VLOOKUP(tbl_Data_old[[#This Row],[All_Programs]],'1. Set Program Names'!$B$2:$D$15,3,0)*tbl_Data_old[[#This Row],[Sum of Annuals]],"")</f>
        <v>29.838034136079891</v>
      </c>
      <c r="AX341" s="4">
        <f>tbl_Data_old[[#This Row],[per unit IRA tax ($)]]/tbl_Data_old[[#This Row],[kWh Savings]]*tbl_Data_old[[#This Row],[Sum of Annuals]]</f>
        <v>0</v>
      </c>
      <c r="AY341" s="4">
        <f>tbl_Data_old[[#This Row],[Avoided Costs ($/unit)]]/tbl_Data_old[[#This Row],[kWh Savings]]*tbl_Data_old[[#This Row],[Sum of Annuals]]</f>
        <v>340.96999281457613</v>
      </c>
      <c r="AZ341" s="4">
        <f>tbl_Data_old[[#This Row],[Lost Revenue ($/unit)]]/tbl_Data_old[[#This Row],[kWh Savings]]*tbl_Data_old[[#This Row],[Sum of Annuals]]</f>
        <v>738.87204983692106</v>
      </c>
      <c r="BA341" s="4">
        <f>tbl_Data_old[[#This Row],[Incremental Cost ($/unit)]]/tbl_Data_old[[#This Row],[kWh Savings]]*tbl_Data_old[[#This Row],[Sum of Annuals]]</f>
        <v>192.57908750986212</v>
      </c>
      <c r="BB341">
        <f>ROUNDUP(tbl_Data_old[[#This Row],[Adjusted 2025]]/$L341,0)</f>
        <v>1</v>
      </c>
      <c r="BC341">
        <f>ROUNDUP(tbl_Data_old[[#This Row],[Adjusted 2026]]/$L341,0)</f>
        <v>1</v>
      </c>
      <c r="BD341">
        <f>ROUNDUP(tbl_Data_old[[#This Row],[Adjusted 2027]]/$L341,0)</f>
        <v>1</v>
      </c>
      <c r="BE341">
        <f>ROUNDUP(tbl_Data_old[[#This Row],[Adjusted 2028]]/$L341,0)</f>
        <v>1</v>
      </c>
      <c r="BF341">
        <f>ROUNDUP(tbl_Data_old[[#This Row],[Adjusted 2029]]/$L341,0)</f>
        <v>1</v>
      </c>
      <c r="BG341">
        <f>ROUNDUP(tbl_Data_old[[#This Row],[Adjusted 2030]]/$L341,0)</f>
        <v>1</v>
      </c>
      <c r="BH341">
        <f>ROUNDUP(tbl_Data_old[[#This Row],[Adjusted 2031]]/$L341,0)</f>
        <v>1</v>
      </c>
      <c r="BI341">
        <f>ROUNDUP(tbl_Data_old[[#This Row],[Adjusted 2032]]/$L341,0)</f>
        <v>1</v>
      </c>
      <c r="BJ341">
        <f>ROUNDUP(tbl_Data_old[[#This Row],[Adjusted 2033]]/$L341,0)</f>
        <v>1</v>
      </c>
      <c r="BK341">
        <f>ROUNDUP(tbl_Data_old[[#This Row],[Adjusted 2034]]/$L341,0)</f>
        <v>1</v>
      </c>
      <c r="BL341" s="3">
        <f t="shared" si="24"/>
        <v>1.1671752318690634</v>
      </c>
      <c r="BM341" s="3">
        <f t="shared" si="24"/>
        <v>2.1383010946923227</v>
      </c>
      <c r="BN341" s="3">
        <f t="shared" si="24"/>
        <v>2.9389670356753701</v>
      </c>
      <c r="BO341" s="3">
        <f t="shared" si="24"/>
        <v>3.5992701360162611</v>
      </c>
      <c r="BP341" s="3">
        <f t="shared" si="24"/>
        <v>4.1443217265519019</v>
      </c>
      <c r="BQ341" s="3">
        <f t="shared" si="23"/>
        <v>4.5945695832185542</v>
      </c>
      <c r="BR341" s="3">
        <f t="shared" si="23"/>
        <v>4.9673993383732045</v>
      </c>
      <c r="BS341" s="3">
        <f t="shared" si="23"/>
        <v>5.2777683686067292</v>
      </c>
      <c r="BT341" s="3">
        <f t="shared" si="23"/>
        <v>5.5382346800823541</v>
      </c>
      <c r="BU341" s="3">
        <f t="shared" si="23"/>
        <v>5.7582979622324855</v>
      </c>
      <c r="BV341">
        <f>VLOOKUP($H341,'1. Set Program Names'!$B$2:$D$15,3,0)*V341</f>
        <v>0.99142544201535221</v>
      </c>
      <c r="BW341">
        <f>VLOOKUP($H341,'1. Set Program Names'!$B$2:$D$15,3,0)*W341</f>
        <v>1.8163220483803677</v>
      </c>
      <c r="BX341">
        <f>VLOOKUP($H341,'1. Set Program Names'!$B$2:$D$15,3,0)*X341</f>
        <v>2.4964260831229468</v>
      </c>
      <c r="BY341">
        <f>VLOOKUP($H341,'1. Set Program Names'!$B$2:$D$15,3,0)*Y341</f>
        <v>3.0573026980861187</v>
      </c>
      <c r="BZ341">
        <f>VLOOKUP($H341,'1. Set Program Names'!$B$2:$D$15,3,0)*Z341</f>
        <v>3.5202820342759646</v>
      </c>
      <c r="CA341">
        <f>VLOOKUP($H341,'1. Set Program Names'!$B$2:$D$15,3,0)*AA341</f>
        <v>3.9027329020838568</v>
      </c>
      <c r="CB341">
        <f>VLOOKUP($H341,'1. Set Program Names'!$B$2:$D$15,3,0)*AB341</f>
        <v>4.2194230568335938</v>
      </c>
      <c r="CC341">
        <f>VLOOKUP($H341,'1. Set Program Names'!$B$2:$D$15,3,0)*AC341</f>
        <v>4.4830576376449081</v>
      </c>
      <c r="CD341">
        <f>VLOOKUP($H341,'1. Set Program Names'!$B$2:$D$15,3,0)*AD341</f>
        <v>4.7043037033031956</v>
      </c>
      <c r="CE341">
        <f>VLOOKUP($H341,'1. Set Program Names'!$B$2:$D$15,3,0)*AE341</f>
        <v>4.8912305081392313</v>
      </c>
    </row>
    <row r="342" spans="1:83" x14ac:dyDescent="0.25">
      <c r="A342" s="20" t="s">
        <v>117</v>
      </c>
      <c r="B342" s="20" t="s">
        <v>88</v>
      </c>
      <c r="C342" s="20" t="s">
        <v>122</v>
      </c>
      <c r="D342" s="20" t="s">
        <v>90</v>
      </c>
      <c r="E342" s="20" t="s">
        <v>91</v>
      </c>
      <c r="F342" s="20" t="s">
        <v>90</v>
      </c>
      <c r="G342" s="20" t="s">
        <v>92</v>
      </c>
      <c r="H342" s="20" t="s">
        <v>14</v>
      </c>
      <c r="I342" s="20" t="s">
        <v>304</v>
      </c>
      <c r="J342" s="20" t="s">
        <v>144</v>
      </c>
      <c r="K342" s="20" t="s">
        <v>98</v>
      </c>
      <c r="L342" s="20">
        <v>71859.953750000001</v>
      </c>
      <c r="M342" s="20">
        <v>2.01028298751406</v>
      </c>
      <c r="N342" s="20">
        <v>2.93501737514182</v>
      </c>
      <c r="O342" s="20">
        <v>21366.564901045898</v>
      </c>
      <c r="P342" s="20">
        <v>219059.38064062799</v>
      </c>
      <c r="Q342" s="20">
        <v>2558.1924328944401</v>
      </c>
      <c r="R342" s="20">
        <v>23924.757333940401</v>
      </c>
      <c r="S342" s="20">
        <v>92224.942677252999</v>
      </c>
      <c r="T342" s="20">
        <v>20</v>
      </c>
      <c r="U342" s="20">
        <v>1</v>
      </c>
      <c r="V342" s="20">
        <v>59.343300162357799</v>
      </c>
      <c r="W342" s="20">
        <v>124.529175294806</v>
      </c>
      <c r="X342" s="20">
        <v>194.471688743377</v>
      </c>
      <c r="Y342" s="20">
        <v>268.54220900225198</v>
      </c>
      <c r="Z342" s="20">
        <v>346.13624324332602</v>
      </c>
      <c r="AA342" s="20">
        <v>426.62265593267603</v>
      </c>
      <c r="AB342" s="20">
        <v>509.48223942144199</v>
      </c>
      <c r="AC342" s="20">
        <v>594.42837819133194</v>
      </c>
      <c r="AD342" s="20">
        <v>681.24275460117804</v>
      </c>
      <c r="AE342" s="20">
        <v>769.65943532824997</v>
      </c>
      <c r="AF342" t="str">
        <f t="shared" si="22"/>
        <v>NonResidential</v>
      </c>
      <c r="AG342" t="str">
        <f>tbl_Data_old[[#This Row],[All_Meas_Name_Append]]</f>
        <v>Solar Thermal Water Heating System Commercial</v>
      </c>
      <c r="AH342">
        <f>AVERAGEIFS('3. Incentive Adjustment'!G:G,'3. Incentive Adjustment'!A:A,tbl_Data_old[[#This Row],[Trimmed Sector]],'3. Incentive Adjustment'!B:B,tbl_Data_old[[#This Row],[Trimmed Measure Name]])</f>
        <v>3.2123848810070607E-4</v>
      </c>
      <c r="AI342">
        <f>$AH342*tbl_Data_old[[#This Row],[2025 ]]</f>
        <v>1.9063352023062204E-2</v>
      </c>
      <c r="AJ342">
        <f>$AH342*tbl_Data_old[[#This Row],[2026 ]]</f>
        <v>4.0003563996131274E-2</v>
      </c>
      <c r="AK342">
        <f>$AH342*tbl_Data_old[[#This Row],[2027 ]]</f>
        <v>6.2471791270313527E-2</v>
      </c>
      <c r="AL342">
        <f>$AH342*tbl_Data_old[[#This Row],[2028 ]]</f>
        <v>8.6266093211107245E-2</v>
      </c>
      <c r="AM342">
        <f>$AH342*tbl_Data_old[[#This Row],[2029 ]]</f>
        <v>0.11119228345634428</v>
      </c>
      <c r="AN342">
        <f>$AH342*tbl_Data_old[[#This Row],[2030 ]]</f>
        <v>0.13704761698132056</v>
      </c>
      <c r="AO342">
        <f>$AH342*tbl_Data_old[[#This Row],[2031 ]]</f>
        <v>0.16366530430590598</v>
      </c>
      <c r="AP342">
        <f>$AH342*tbl_Data_old[[#This Row],[2032 ]]</f>
        <v>0.19095327349433819</v>
      </c>
      <c r="AQ342">
        <f>$AH342*tbl_Data_old[[#This Row],[2033 ]]</f>
        <v>0.21884139251764276</v>
      </c>
      <c r="AR342">
        <f>$AH342*tbl_Data_old[[#This Row],[2034 ]]</f>
        <v>0.24724423335729018</v>
      </c>
      <c r="AS342">
        <f>SUM(tbl_Data_old[[#This Row],[Adjusted 2025]:[Adjusted 2034]])</f>
        <v>1.2767489046134561</v>
      </c>
      <c r="AT342" s="3">
        <f>AVERAGEIFS('3. Incentive Adjustment'!F:F,'3. Incentive Adjustment'!A:A,tbl_Data_old[[#This Row],[Trimmed Sector]],'3. Incentive Adjustment'!B:B,tbl_Data_old[[#This Row],[Trimmed Measure Name]])</f>
        <v>0</v>
      </c>
      <c r="AU342" s="3">
        <f>IFERROR(VLOOKUP(tbl_Data_old[[#This Row],[All_Meas_Name_Append]],'IRA Tax Credits'!$A$3:$D$46,4,0),0)</f>
        <v>0</v>
      </c>
      <c r="AV342" s="4">
        <f>tbl_Data_old[[#This Row],[Adj. per unit Incentive ($)]]/tbl_Data_old[[#This Row],[kWh Savings]]*tbl_Data_old[[#This Row],[Sum of Annuals]]</f>
        <v>0</v>
      </c>
      <c r="AW342" s="4">
        <f>IFERROR(VLOOKUP(tbl_Data_old[[#This Row],[All_Programs]],'1. Set Program Names'!$B$2:$D$15,3,0)*tbl_Data_old[[#This Row],[Sum of Annuals]],"")</f>
        <v>4.5451871536842124E-2</v>
      </c>
      <c r="AX342" s="4">
        <f>tbl_Data_old[[#This Row],[per unit IRA tax ($)]]/tbl_Data_old[[#This Row],[kWh Savings]]*tbl_Data_old[[#This Row],[Sum of Annuals]]</f>
        <v>0</v>
      </c>
      <c r="AY342" s="4">
        <f>tbl_Data_old[[#This Row],[Avoided Costs ($/unit)]]/tbl_Data_old[[#This Row],[kWh Savings]]*tbl_Data_old[[#This Row],[Sum of Annuals]]</f>
        <v>0.4250755271221025</v>
      </c>
      <c r="AZ342" s="4">
        <f>tbl_Data_old[[#This Row],[Lost Revenue ($/unit)]]/tbl_Data_old[[#This Row],[kWh Savings]]*tbl_Data_old[[#This Row],[Sum of Annuals]]</f>
        <v>1.6385773771976795</v>
      </c>
      <c r="BA342" s="4">
        <f>tbl_Data_old[[#This Row],[Incremental Cost ($/unit)]]/tbl_Data_old[[#This Row],[kWh Savings]]*tbl_Data_old[[#This Row],[Sum of Annuals]]</f>
        <v>0.3796236555852594</v>
      </c>
      <c r="BB342">
        <f>ROUNDUP(tbl_Data_old[[#This Row],[Adjusted 2025]]/$L342,0)</f>
        <v>1</v>
      </c>
      <c r="BC342">
        <f>ROUNDUP(tbl_Data_old[[#This Row],[Adjusted 2026]]/$L342,0)</f>
        <v>1</v>
      </c>
      <c r="BD342">
        <f>ROUNDUP(tbl_Data_old[[#This Row],[Adjusted 2027]]/$L342,0)</f>
        <v>1</v>
      </c>
      <c r="BE342">
        <f>ROUNDUP(tbl_Data_old[[#This Row],[Adjusted 2028]]/$L342,0)</f>
        <v>1</v>
      </c>
      <c r="BF342">
        <f>ROUNDUP(tbl_Data_old[[#This Row],[Adjusted 2029]]/$L342,0)</f>
        <v>1</v>
      </c>
      <c r="BG342">
        <f>ROUNDUP(tbl_Data_old[[#This Row],[Adjusted 2030]]/$L342,0)</f>
        <v>1</v>
      </c>
      <c r="BH342">
        <f>ROUNDUP(tbl_Data_old[[#This Row],[Adjusted 2031]]/$L342,0)</f>
        <v>1</v>
      </c>
      <c r="BI342">
        <f>ROUNDUP(tbl_Data_old[[#This Row],[Adjusted 2032]]/$L342,0)</f>
        <v>1</v>
      </c>
      <c r="BJ342">
        <f>ROUNDUP(tbl_Data_old[[#This Row],[Adjusted 2033]]/$L342,0)</f>
        <v>1</v>
      </c>
      <c r="BK342">
        <f>ROUNDUP(tbl_Data_old[[#This Row],[Adjusted 2034]]/$L342,0)</f>
        <v>1</v>
      </c>
      <c r="BL342" s="3">
        <f t="shared" si="24"/>
        <v>0</v>
      </c>
      <c r="BM342" s="3">
        <f t="shared" si="24"/>
        <v>0</v>
      </c>
      <c r="BN342" s="3">
        <f t="shared" si="24"/>
        <v>0</v>
      </c>
      <c r="BO342" s="3">
        <f t="shared" si="24"/>
        <v>0</v>
      </c>
      <c r="BP342" s="3">
        <f t="shared" si="24"/>
        <v>0</v>
      </c>
      <c r="BQ342" s="3">
        <f t="shared" si="23"/>
        <v>0</v>
      </c>
      <c r="BR342" s="3">
        <f t="shared" si="23"/>
        <v>0</v>
      </c>
      <c r="BS342" s="3">
        <f t="shared" si="23"/>
        <v>0</v>
      </c>
      <c r="BT342" s="3">
        <f t="shared" si="23"/>
        <v>0</v>
      </c>
      <c r="BU342" s="3">
        <f t="shared" si="23"/>
        <v>0</v>
      </c>
      <c r="BV342">
        <f>VLOOKUP($H342,'1. Set Program Names'!$B$2:$D$15,3,0)*V342</f>
        <v>2.1126033833319502</v>
      </c>
      <c r="BW342">
        <f>VLOOKUP($H342,'1. Set Program Names'!$B$2:$D$15,3,0)*W342</f>
        <v>4.4332006533438477</v>
      </c>
      <c r="BX342">
        <f>VLOOKUP($H342,'1. Set Program Names'!$B$2:$D$15,3,0)*X342</f>
        <v>6.9231327964152927</v>
      </c>
      <c r="BY342">
        <f>VLOOKUP($H342,'1. Set Program Names'!$B$2:$D$15,3,0)*Y342</f>
        <v>9.5600207227007825</v>
      </c>
      <c r="BZ342">
        <f>VLOOKUP($H342,'1. Set Program Names'!$B$2:$D$15,3,0)*Z342</f>
        <v>12.322344671918021</v>
      </c>
      <c r="CA342">
        <f>VLOOKUP($H342,'1. Set Program Names'!$B$2:$D$15,3,0)*AA342</f>
        <v>15.18763641158484</v>
      </c>
      <c r="CB342">
        <f>VLOOKUP($H342,'1. Set Program Names'!$B$2:$D$15,3,0)*AB342</f>
        <v>18.137412307784142</v>
      </c>
      <c r="CC342">
        <f>VLOOKUP($H342,'1. Set Program Names'!$B$2:$D$15,3,0)*AC342</f>
        <v>21.161468935495709</v>
      </c>
      <c r="CD342">
        <f>VLOOKUP($H342,'1. Set Program Names'!$B$2:$D$15,3,0)*AD342</f>
        <v>24.252034253290926</v>
      </c>
      <c r="CE342">
        <f>VLOOKUP($H342,'1. Set Program Names'!$B$2:$D$15,3,0)*AE342</f>
        <v>27.399641116002545</v>
      </c>
    </row>
    <row r="343" spans="1:83" x14ac:dyDescent="0.25">
      <c r="A343" s="20" t="s">
        <v>117</v>
      </c>
      <c r="B343" s="20" t="s">
        <v>88</v>
      </c>
      <c r="C343" s="20" t="s">
        <v>122</v>
      </c>
      <c r="D343" s="20" t="s">
        <v>90</v>
      </c>
      <c r="E343" s="20" t="s">
        <v>91</v>
      </c>
      <c r="F343" s="20" t="s">
        <v>90</v>
      </c>
      <c r="G343" s="20" t="s">
        <v>92</v>
      </c>
      <c r="H343" s="20" t="s">
        <v>14</v>
      </c>
      <c r="I343" s="20" t="s">
        <v>305</v>
      </c>
      <c r="J343" s="20" t="s">
        <v>129</v>
      </c>
      <c r="K343" s="20" t="s">
        <v>306</v>
      </c>
      <c r="L343" s="20">
        <v>1181.58666666666</v>
      </c>
      <c r="M343" s="20">
        <v>0.32580149205424902</v>
      </c>
      <c r="N343" s="20">
        <v>0</v>
      </c>
      <c r="O343" s="20">
        <v>442.61899981344197</v>
      </c>
      <c r="P343" s="20">
        <v>13015.025349926</v>
      </c>
      <c r="Q343" s="20">
        <v>42.064124894815102</v>
      </c>
      <c r="R343" s="20">
        <v>484.68312470825703</v>
      </c>
      <c r="S343" s="20">
        <v>971.92143438909795</v>
      </c>
      <c r="T343" s="20">
        <v>10</v>
      </c>
      <c r="U343" s="20">
        <v>0.94999999999999896</v>
      </c>
      <c r="V343" s="20">
        <v>0</v>
      </c>
      <c r="W343" s="20">
        <v>0</v>
      </c>
      <c r="X343" s="20">
        <v>0</v>
      </c>
      <c r="Y343" s="20">
        <v>0</v>
      </c>
      <c r="Z343" s="20">
        <v>0</v>
      </c>
      <c r="AA343" s="20">
        <v>0</v>
      </c>
      <c r="AB343" s="20">
        <v>0</v>
      </c>
      <c r="AC343" s="20">
        <v>0</v>
      </c>
      <c r="AD343" s="20">
        <v>0</v>
      </c>
      <c r="AE343" s="20">
        <v>0</v>
      </c>
      <c r="AF343" t="str">
        <f t="shared" si="22"/>
        <v>NonResidential</v>
      </c>
      <c r="AG343" t="str">
        <f>tbl_Data_old[[#This Row],[All_Meas_Name_Append]]</f>
        <v>Window shade film</v>
      </c>
      <c r="AH343">
        <f>AVERAGEIFS('3. Incentive Adjustment'!G:G,'3. Incentive Adjustment'!A:A,tbl_Data_old[[#This Row],[Trimmed Sector]],'3. Incentive Adjustment'!B:B,tbl_Data_old[[#This Row],[Trimmed Measure Name]])</f>
        <v>3.2127764592544555E-13</v>
      </c>
      <c r="AI343">
        <f>$AH343*tbl_Data_old[[#This Row],[2025 ]]</f>
        <v>0</v>
      </c>
      <c r="AJ343">
        <f>$AH343*tbl_Data_old[[#This Row],[2026 ]]</f>
        <v>0</v>
      </c>
      <c r="AK343">
        <f>$AH343*tbl_Data_old[[#This Row],[2027 ]]</f>
        <v>0</v>
      </c>
      <c r="AL343">
        <f>$AH343*tbl_Data_old[[#This Row],[2028 ]]</f>
        <v>0</v>
      </c>
      <c r="AM343">
        <f>$AH343*tbl_Data_old[[#This Row],[2029 ]]</f>
        <v>0</v>
      </c>
      <c r="AN343">
        <f>$AH343*tbl_Data_old[[#This Row],[2030 ]]</f>
        <v>0</v>
      </c>
      <c r="AO343">
        <f>$AH343*tbl_Data_old[[#This Row],[2031 ]]</f>
        <v>0</v>
      </c>
      <c r="AP343">
        <f>$AH343*tbl_Data_old[[#This Row],[2032 ]]</f>
        <v>0</v>
      </c>
      <c r="AQ343">
        <f>$AH343*tbl_Data_old[[#This Row],[2033 ]]</f>
        <v>0</v>
      </c>
      <c r="AR343">
        <f>$AH343*tbl_Data_old[[#This Row],[2034 ]]</f>
        <v>0</v>
      </c>
      <c r="AS343">
        <f>SUM(tbl_Data_old[[#This Row],[Adjusted 2025]:[Adjusted 2034]])</f>
        <v>0</v>
      </c>
      <c r="AT343" s="3">
        <f>AVERAGEIFS('3. Incentive Adjustment'!F:F,'3. Incentive Adjustment'!A:A,tbl_Data_old[[#This Row],[Trimmed Sector]],'3. Incentive Adjustment'!B:B,tbl_Data_old[[#This Row],[Trimmed Measure Name]])</f>
        <v>132.78569994403261</v>
      </c>
      <c r="AU343" s="3">
        <f>IFERROR(VLOOKUP(tbl_Data_old[[#This Row],[All_Meas_Name_Append]],'IRA Tax Credits'!$A$3:$D$46,4,0),0)</f>
        <v>0</v>
      </c>
      <c r="AV343" s="4">
        <f>tbl_Data_old[[#This Row],[Adj. per unit Incentive ($)]]/tbl_Data_old[[#This Row],[kWh Savings]]*tbl_Data_old[[#This Row],[Sum of Annuals]]</f>
        <v>0</v>
      </c>
      <c r="AW343" s="4">
        <f>IFERROR(VLOOKUP(tbl_Data_old[[#This Row],[All_Programs]],'1. Set Program Names'!$B$2:$D$15,3,0)*tbl_Data_old[[#This Row],[Sum of Annuals]],"")</f>
        <v>0</v>
      </c>
      <c r="AX343" s="4">
        <f>tbl_Data_old[[#This Row],[per unit IRA tax ($)]]/tbl_Data_old[[#This Row],[kWh Savings]]*tbl_Data_old[[#This Row],[Sum of Annuals]]</f>
        <v>0</v>
      </c>
      <c r="AY343" s="4">
        <f>tbl_Data_old[[#This Row],[Avoided Costs ($/unit)]]/tbl_Data_old[[#This Row],[kWh Savings]]*tbl_Data_old[[#This Row],[Sum of Annuals]]</f>
        <v>0</v>
      </c>
      <c r="AZ343" s="4">
        <f>tbl_Data_old[[#This Row],[Lost Revenue ($/unit)]]/tbl_Data_old[[#This Row],[kWh Savings]]*tbl_Data_old[[#This Row],[Sum of Annuals]]</f>
        <v>0</v>
      </c>
      <c r="BA343" s="4">
        <f>tbl_Data_old[[#This Row],[Incremental Cost ($/unit)]]/tbl_Data_old[[#This Row],[kWh Savings]]*tbl_Data_old[[#This Row],[Sum of Annuals]]</f>
        <v>0</v>
      </c>
      <c r="BB343">
        <f>ROUNDUP(tbl_Data_old[[#This Row],[Adjusted 2025]]/$L343,0)</f>
        <v>0</v>
      </c>
      <c r="BC343">
        <f>ROUNDUP(tbl_Data_old[[#This Row],[Adjusted 2026]]/$L343,0)</f>
        <v>0</v>
      </c>
      <c r="BD343">
        <f>ROUNDUP(tbl_Data_old[[#This Row],[Adjusted 2027]]/$L343,0)</f>
        <v>0</v>
      </c>
      <c r="BE343">
        <f>ROUNDUP(tbl_Data_old[[#This Row],[Adjusted 2028]]/$L343,0)</f>
        <v>0</v>
      </c>
      <c r="BF343">
        <f>ROUNDUP(tbl_Data_old[[#This Row],[Adjusted 2029]]/$L343,0)</f>
        <v>0</v>
      </c>
      <c r="BG343">
        <f>ROUNDUP(tbl_Data_old[[#This Row],[Adjusted 2030]]/$L343,0)</f>
        <v>0</v>
      </c>
      <c r="BH343">
        <f>ROUNDUP(tbl_Data_old[[#This Row],[Adjusted 2031]]/$L343,0)</f>
        <v>0</v>
      </c>
      <c r="BI343">
        <f>ROUNDUP(tbl_Data_old[[#This Row],[Adjusted 2032]]/$L343,0)</f>
        <v>0</v>
      </c>
      <c r="BJ343">
        <f>ROUNDUP(tbl_Data_old[[#This Row],[Adjusted 2033]]/$L343,0)</f>
        <v>0</v>
      </c>
      <c r="BK343">
        <f>ROUNDUP(tbl_Data_old[[#This Row],[Adjusted 2034]]/$L343,0)</f>
        <v>0</v>
      </c>
      <c r="BL343" s="3">
        <f t="shared" si="24"/>
        <v>0</v>
      </c>
      <c r="BM343" s="3">
        <f t="shared" si="24"/>
        <v>0</v>
      </c>
      <c r="BN343" s="3">
        <f t="shared" si="24"/>
        <v>0</v>
      </c>
      <c r="BO343" s="3">
        <f t="shared" si="24"/>
        <v>0</v>
      </c>
      <c r="BP343" s="3">
        <f t="shared" si="24"/>
        <v>0</v>
      </c>
      <c r="BQ343" s="3">
        <f t="shared" si="23"/>
        <v>0</v>
      </c>
      <c r="BR343" s="3">
        <f t="shared" si="23"/>
        <v>0</v>
      </c>
      <c r="BS343" s="3">
        <f t="shared" si="23"/>
        <v>0</v>
      </c>
      <c r="BT343" s="3">
        <f t="shared" si="23"/>
        <v>0</v>
      </c>
      <c r="BU343" s="3">
        <f t="shared" si="23"/>
        <v>0</v>
      </c>
      <c r="BV343">
        <f>VLOOKUP($H343,'1. Set Program Names'!$B$2:$D$15,3,0)*V343</f>
        <v>0</v>
      </c>
      <c r="BW343">
        <f>VLOOKUP($H343,'1. Set Program Names'!$B$2:$D$15,3,0)*W343</f>
        <v>0</v>
      </c>
      <c r="BX343">
        <f>VLOOKUP($H343,'1. Set Program Names'!$B$2:$D$15,3,0)*X343</f>
        <v>0</v>
      </c>
      <c r="BY343">
        <f>VLOOKUP($H343,'1. Set Program Names'!$B$2:$D$15,3,0)*Y343</f>
        <v>0</v>
      </c>
      <c r="BZ343">
        <f>VLOOKUP($H343,'1. Set Program Names'!$B$2:$D$15,3,0)*Z343</f>
        <v>0</v>
      </c>
      <c r="CA343">
        <f>VLOOKUP($H343,'1. Set Program Names'!$B$2:$D$15,3,0)*AA343</f>
        <v>0</v>
      </c>
      <c r="CB343">
        <f>VLOOKUP($H343,'1. Set Program Names'!$B$2:$D$15,3,0)*AB343</f>
        <v>0</v>
      </c>
      <c r="CC343">
        <f>VLOOKUP($H343,'1. Set Program Names'!$B$2:$D$15,3,0)*AC343</f>
        <v>0</v>
      </c>
      <c r="CD343">
        <f>VLOOKUP($H343,'1. Set Program Names'!$B$2:$D$15,3,0)*AD343</f>
        <v>0</v>
      </c>
      <c r="CE343">
        <f>VLOOKUP($H343,'1. Set Program Names'!$B$2:$D$15,3,0)*AE343</f>
        <v>0</v>
      </c>
    </row>
    <row r="344" spans="1:83" x14ac:dyDescent="0.25">
      <c r="A344" s="20" t="s">
        <v>87</v>
      </c>
      <c r="B344" s="20" t="s">
        <v>88</v>
      </c>
      <c r="C344" s="20" t="s">
        <v>122</v>
      </c>
      <c r="D344" s="20" t="s">
        <v>90</v>
      </c>
      <c r="E344" s="20" t="s">
        <v>91</v>
      </c>
      <c r="F344" s="20" t="s">
        <v>90</v>
      </c>
      <c r="G344" s="20" t="s">
        <v>92</v>
      </c>
      <c r="H344" s="20" t="s">
        <v>16</v>
      </c>
      <c r="I344" s="20" t="s">
        <v>157</v>
      </c>
      <c r="J344" s="20" t="s">
        <v>158</v>
      </c>
      <c r="K344" s="20" t="s">
        <v>159</v>
      </c>
      <c r="L344" s="20">
        <v>562.52</v>
      </c>
      <c r="M344" s="20">
        <v>0</v>
      </c>
      <c r="N344" s="20">
        <v>2.7796637938074201E-2</v>
      </c>
      <c r="O344" s="20">
        <v>169</v>
      </c>
      <c r="P344" s="20">
        <v>53.285725702774101</v>
      </c>
      <c r="Q344" s="20">
        <v>20.491212633056499</v>
      </c>
      <c r="R344" s="20">
        <v>275.373630058213</v>
      </c>
      <c r="S344" s="20">
        <v>610.96426176974103</v>
      </c>
      <c r="T344" s="20">
        <v>15</v>
      </c>
      <c r="U344" s="20">
        <v>0.59999999999999898</v>
      </c>
      <c r="V344" s="20">
        <v>225.816482773052</v>
      </c>
      <c r="W344" s="20">
        <v>245.96148951091999</v>
      </c>
      <c r="X344" s="20">
        <v>261.86937524405602</v>
      </c>
      <c r="Y344" s="20">
        <v>275.18954628387399</v>
      </c>
      <c r="Z344" s="20">
        <v>285.98198315877602</v>
      </c>
      <c r="AA344" s="20">
        <v>294.27388660759999</v>
      </c>
      <c r="AB344" s="20">
        <v>300.44024516417301</v>
      </c>
      <c r="AC344" s="20">
        <v>305.37976267052898</v>
      </c>
      <c r="AD344" s="20">
        <v>309.47470663615098</v>
      </c>
      <c r="AE344" s="20">
        <v>312.46993052905901</v>
      </c>
      <c r="AF344" t="str">
        <f t="shared" si="22"/>
        <v>NonResidential</v>
      </c>
      <c r="AG344" t="str">
        <f>tbl_Data_old[[#This Row],[All_Meas_Name_Append]]</f>
        <v>LED Exterior Wall Packs</v>
      </c>
      <c r="AH344">
        <f>AVERAGEIFS('3. Incentive Adjustment'!G:G,'3. Incentive Adjustment'!A:A,tbl_Data_old[[#This Row],[Trimmed Sector]],'3. Incentive Adjustment'!B:B,tbl_Data_old[[#This Row],[Trimmed Measure Name]])</f>
        <v>0.80637708305213962</v>
      </c>
      <c r="AI344">
        <f>$AH344*tbl_Data_old[[#This Row],[2025 ]]</f>
        <v>182.0932366836274</v>
      </c>
      <c r="AJ344">
        <f>$AH344*tbl_Data_old[[#This Row],[2026 ]]</f>
        <v>198.33770845497509</v>
      </c>
      <c r="AK344">
        <f>$AH344*tbl_Data_old[[#This Row],[2027 ]]</f>
        <v>211.16546294998807</v>
      </c>
      <c r="AL344">
        <f>$AH344*tbl_Data_old[[#This Row],[2028 ]]</f>
        <v>221.90654361883207</v>
      </c>
      <c r="AM344">
        <f>$AH344*tbl_Data_old[[#This Row],[2029 ]]</f>
        <v>230.60931738503993</v>
      </c>
      <c r="AN344">
        <f>$AH344*tbl_Data_old[[#This Row],[2030 ]]</f>
        <v>237.29571830105257</v>
      </c>
      <c r="AO344">
        <f>$AH344*tbl_Data_old[[#This Row],[2031 ]]</f>
        <v>242.26812852695554</v>
      </c>
      <c r="AP344">
        <f>$AH344*tbl_Data_old[[#This Row],[2032 ]]</f>
        <v>246.25124224541582</v>
      </c>
      <c r="AQ344">
        <f>$AH344*tbl_Data_old[[#This Row],[2033 ]]</f>
        <v>249.55331121567608</v>
      </c>
      <c r="AR344">
        <f>$AH344*tbl_Data_old[[#This Row],[2034 ]]</f>
        <v>251.96859112152731</v>
      </c>
      <c r="AS344">
        <f>SUM(tbl_Data_old[[#This Row],[Adjusted 2025]:[Adjusted 2034]])</f>
        <v>2271.44926050309</v>
      </c>
      <c r="AT344" s="3">
        <f>AVERAGEIFS('3. Incentive Adjustment'!F:F,'3. Incentive Adjustment'!A:A,tbl_Data_old[[#This Row],[Trimmed Sector]],'3. Incentive Adjustment'!B:B,tbl_Data_old[[#This Row],[Trimmed Measure Name]])</f>
        <v>8.6864493556481861</v>
      </c>
      <c r="AU344" s="3">
        <f>IFERROR(VLOOKUP(tbl_Data_old[[#This Row],[All_Meas_Name_Append]],'IRA Tax Credits'!$A$3:$D$46,4,0),0)</f>
        <v>0</v>
      </c>
      <c r="AV344" s="4">
        <f>tbl_Data_old[[#This Row],[Adj. per unit Incentive ($)]]/tbl_Data_old[[#This Row],[kWh Savings]]*tbl_Data_old[[#This Row],[Sum of Annuals]]</f>
        <v>35.075782132696823</v>
      </c>
      <c r="AW344" s="4">
        <f>IFERROR(VLOOKUP(tbl_Data_old[[#This Row],[All_Programs]],'1. Set Program Names'!$B$2:$D$15,3,0)*tbl_Data_old[[#This Row],[Sum of Annuals]],"")</f>
        <v>82.743279851681365</v>
      </c>
      <c r="AX344" s="4">
        <f>tbl_Data_old[[#This Row],[per unit IRA tax ($)]]/tbl_Data_old[[#This Row],[kWh Savings]]*tbl_Data_old[[#This Row],[Sum of Annuals]]</f>
        <v>0</v>
      </c>
      <c r="AY344" s="4">
        <f>tbl_Data_old[[#This Row],[Avoided Costs ($/unit)]]/tbl_Data_old[[#This Row],[kWh Savings]]*tbl_Data_old[[#This Row],[Sum of Annuals]]</f>
        <v>1111.9555364392011</v>
      </c>
      <c r="AZ344" s="4">
        <f>tbl_Data_old[[#This Row],[Lost Revenue ($/unit)]]/tbl_Data_old[[#This Row],[kWh Savings]]*tbl_Data_old[[#This Row],[Sum of Annuals]]</f>
        <v>2467.0666297921757</v>
      </c>
      <c r="BA344" s="4">
        <f>tbl_Data_old[[#This Row],[Incremental Cost ($/unit)]]/tbl_Data_old[[#This Row],[kWh Savings]]*tbl_Data_old[[#This Row],[Sum of Annuals]]</f>
        <v>682.42004733168994</v>
      </c>
      <c r="BB344">
        <f>ROUNDUP(tbl_Data_old[[#This Row],[Adjusted 2025]]/$L344,0)</f>
        <v>1</v>
      </c>
      <c r="BC344">
        <f>ROUNDUP(tbl_Data_old[[#This Row],[Adjusted 2026]]/$L344,0)</f>
        <v>1</v>
      </c>
      <c r="BD344">
        <f>ROUNDUP(tbl_Data_old[[#This Row],[Adjusted 2027]]/$L344,0)</f>
        <v>1</v>
      </c>
      <c r="BE344">
        <f>ROUNDUP(tbl_Data_old[[#This Row],[Adjusted 2028]]/$L344,0)</f>
        <v>1</v>
      </c>
      <c r="BF344">
        <f>ROUNDUP(tbl_Data_old[[#This Row],[Adjusted 2029]]/$L344,0)</f>
        <v>1</v>
      </c>
      <c r="BG344">
        <f>ROUNDUP(tbl_Data_old[[#This Row],[Adjusted 2030]]/$L344,0)</f>
        <v>1</v>
      </c>
      <c r="BH344">
        <f>ROUNDUP(tbl_Data_old[[#This Row],[Adjusted 2031]]/$L344,0)</f>
        <v>1</v>
      </c>
      <c r="BI344">
        <f>ROUNDUP(tbl_Data_old[[#This Row],[Adjusted 2032]]/$L344,0)</f>
        <v>1</v>
      </c>
      <c r="BJ344">
        <f>ROUNDUP(tbl_Data_old[[#This Row],[Adjusted 2033]]/$L344,0)</f>
        <v>1</v>
      </c>
      <c r="BK344">
        <f>ROUNDUP(tbl_Data_old[[#This Row],[Adjusted 2034]]/$L344,0)</f>
        <v>1</v>
      </c>
      <c r="BL344" s="3">
        <f t="shared" si="24"/>
        <v>3.4870643555406335</v>
      </c>
      <c r="BM344" s="3">
        <f t="shared" si="24"/>
        <v>3.798144105234301</v>
      </c>
      <c r="BN344" s="3">
        <f t="shared" si="24"/>
        <v>4.0437941155029566</v>
      </c>
      <c r="BO344" s="3">
        <f t="shared" si="24"/>
        <v>4.2494845641020298</v>
      </c>
      <c r="BP344" s="3">
        <f t="shared" si="24"/>
        <v>4.4161416720055113</v>
      </c>
      <c r="BQ344" s="3">
        <f t="shared" si="23"/>
        <v>4.5441854737727976</v>
      </c>
      <c r="BR344" s="3">
        <f t="shared" si="23"/>
        <v>4.6394065526863288</v>
      </c>
      <c r="BS344" s="3">
        <f t="shared" si="23"/>
        <v>4.7156827182631949</v>
      </c>
      <c r="BT344" s="3">
        <f t="shared" si="23"/>
        <v>4.778916955928687</v>
      </c>
      <c r="BU344" s="3">
        <f t="shared" si="23"/>
        <v>4.8251692858984176</v>
      </c>
      <c r="BV344">
        <f>VLOOKUP($H344,'1. Set Program Names'!$B$2:$D$15,3,0)*V344</f>
        <v>8.2259360814754174</v>
      </c>
      <c r="BW344">
        <f>VLOOKUP($H344,'1. Set Program Names'!$B$2:$D$15,3,0)*W344</f>
        <v>8.9597688635276285</v>
      </c>
      <c r="BX344">
        <f>VLOOKUP($H344,'1. Set Program Names'!$B$2:$D$15,3,0)*X344</f>
        <v>9.5392538046853765</v>
      </c>
      <c r="BY344">
        <f>VLOOKUP($H344,'1. Set Program Names'!$B$2:$D$15,3,0)*Y344</f>
        <v>10.024474698316876</v>
      </c>
      <c r="BZ344">
        <f>VLOOKUP($H344,'1. Set Program Names'!$B$2:$D$15,3,0)*Z344</f>
        <v>10.417616486755433</v>
      </c>
      <c r="CA344">
        <f>VLOOKUP($H344,'1. Set Program Names'!$B$2:$D$15,3,0)*AA344</f>
        <v>10.719670025656498</v>
      </c>
      <c r="CB344">
        <f>VLOOKUP($H344,'1. Set Program Names'!$B$2:$D$15,3,0)*AB344</f>
        <v>10.944295220057418</v>
      </c>
      <c r="CC344">
        <f>VLOOKUP($H344,'1. Set Program Names'!$B$2:$D$15,3,0)*AC344</f>
        <v>11.12422962866057</v>
      </c>
      <c r="CD344">
        <f>VLOOKUP($H344,'1. Set Program Names'!$B$2:$D$15,3,0)*AD344</f>
        <v>11.273398311587421</v>
      </c>
      <c r="CE344">
        <f>VLOOKUP($H344,'1. Set Program Names'!$B$2:$D$15,3,0)*AE344</f>
        <v>11.382506911589536</v>
      </c>
    </row>
    <row r="345" spans="1:83" x14ac:dyDescent="0.25">
      <c r="A345" s="20" t="s">
        <v>87</v>
      </c>
      <c r="B345" s="20" t="s">
        <v>88</v>
      </c>
      <c r="C345" s="20" t="s">
        <v>122</v>
      </c>
      <c r="D345" s="20" t="s">
        <v>90</v>
      </c>
      <c r="E345" s="20" t="s">
        <v>91</v>
      </c>
      <c r="F345" s="20" t="s">
        <v>90</v>
      </c>
      <c r="G345" s="20" t="s">
        <v>92</v>
      </c>
      <c r="H345" s="20" t="s">
        <v>16</v>
      </c>
      <c r="I345" s="20" t="s">
        <v>160</v>
      </c>
      <c r="J345" s="20" t="s">
        <v>161</v>
      </c>
      <c r="K345" s="20" t="s">
        <v>159</v>
      </c>
      <c r="L345" s="20">
        <v>698.53499999999997</v>
      </c>
      <c r="M345" s="20">
        <v>9.14911955902553E-2</v>
      </c>
      <c r="N345" s="20">
        <v>9.6647765821509996E-2</v>
      </c>
      <c r="O345" s="20">
        <v>179</v>
      </c>
      <c r="P345" s="20">
        <v>35.4245718525491</v>
      </c>
      <c r="Q345" s="20">
        <v>25.445902753025901</v>
      </c>
      <c r="R345" s="20">
        <v>291.28765455670799</v>
      </c>
      <c r="S345" s="20">
        <v>758.69288308917999</v>
      </c>
      <c r="T345" s="20">
        <v>15</v>
      </c>
      <c r="U345" s="20">
        <v>0.59999999999999898</v>
      </c>
      <c r="V345" s="20">
        <v>10019.866471376699</v>
      </c>
      <c r="W345" s="20">
        <v>10906.1583169686</v>
      </c>
      <c r="X345" s="20">
        <v>11609.3617191372</v>
      </c>
      <c r="Y345" s="20">
        <v>12198.5325260234</v>
      </c>
      <c r="Z345" s="20">
        <v>12674.1975141808</v>
      </c>
      <c r="AA345" s="20">
        <v>13039.8482174492</v>
      </c>
      <c r="AB345" s="20">
        <v>13309.8586893717</v>
      </c>
      <c r="AC345" s="20">
        <v>13524.5391340186</v>
      </c>
      <c r="AD345" s="20">
        <v>13703.8079344174</v>
      </c>
      <c r="AE345" s="20">
        <v>13833.300045534799</v>
      </c>
      <c r="AF345" t="str">
        <f t="shared" si="22"/>
        <v>NonResidential</v>
      </c>
      <c r="AG345" t="str">
        <f>tbl_Data_old[[#This Row],[All_Meas_Name_Append]]</f>
        <v>LED High Bay_HID Baseline</v>
      </c>
      <c r="AH345">
        <f>AVERAGEIFS('3. Incentive Adjustment'!G:G,'3. Incentive Adjustment'!A:A,tbl_Data_old[[#This Row],[Trimmed Sector]],'3. Incentive Adjustment'!B:B,tbl_Data_old[[#This Row],[Trimmed Measure Name]])</f>
        <v>1.0603846876879557</v>
      </c>
      <c r="AI345">
        <f>$AH345*tbl_Data_old[[#This Row],[2025 ]]</f>
        <v>10624.9129789258</v>
      </c>
      <c r="AJ345">
        <f>$AH345*tbl_Data_old[[#This Row],[2026 ]]</f>
        <v>11564.723280814149</v>
      </c>
      <c r="AK345">
        <f>$AH345*tbl_Data_old[[#This Row],[2027 ]]</f>
        <v>12310.389400803808</v>
      </c>
      <c r="AL345">
        <f>$AH345*tbl_Data_old[[#This Row],[2028 ]]</f>
        <v>12935.137102858693</v>
      </c>
      <c r="AM345">
        <f>$AH345*tbl_Data_old[[#This Row],[2029 ]]</f>
        <v>13439.524972770072</v>
      </c>
      <c r="AN345">
        <f>$AH345*tbl_Data_old[[#This Row],[2030 ]]</f>
        <v>13827.255379558215</v>
      </c>
      <c r="AO345">
        <f>$AH345*tbl_Data_old[[#This Row],[2031 ]]</f>
        <v>14113.570349500233</v>
      </c>
      <c r="AP345">
        <f>$AH345*tbl_Data_old[[#This Row],[2032 ]]</f>
        <v>14341.214205749848</v>
      </c>
      <c r="AQ345">
        <f>$AH345*tbl_Data_old[[#This Row],[2033 ]]</f>
        <v>14531.308096672925</v>
      </c>
      <c r="AR345">
        <f>$AH345*tbl_Data_old[[#This Row],[2034 ]]</f>
        <v>14668.619548478202</v>
      </c>
      <c r="AS345">
        <f>SUM(tbl_Data_old[[#This Row],[Adjusted 2025]:[Adjusted 2034]])</f>
        <v>132356.65531613195</v>
      </c>
      <c r="AT345" s="3">
        <f>AVERAGEIFS('3. Incentive Adjustment'!F:F,'3. Incentive Adjustment'!A:A,tbl_Data_old[[#This Row],[Trimmed Sector]],'3. Incentive Adjustment'!B:B,tbl_Data_old[[#This Row],[Trimmed Measure Name]])</f>
        <v>28.590998621954778</v>
      </c>
      <c r="AU345" s="3">
        <f>IFERROR(VLOOKUP(tbl_Data_old[[#This Row],[All_Meas_Name_Append]],'IRA Tax Credits'!$A$3:$D$46,4,0),0)</f>
        <v>0</v>
      </c>
      <c r="AV345" s="4">
        <f>tbl_Data_old[[#This Row],[Adj. per unit Incentive ($)]]/tbl_Data_old[[#This Row],[kWh Savings]]*tbl_Data_old[[#This Row],[Sum of Annuals]]</f>
        <v>5417.3505261011578</v>
      </c>
      <c r="AW345" s="4">
        <f>IFERROR(VLOOKUP(tbl_Data_old[[#This Row],[All_Programs]],'1. Set Program Names'!$B$2:$D$15,3,0)*tbl_Data_old[[#This Row],[Sum of Annuals]],"")</f>
        <v>4821.425669279367</v>
      </c>
      <c r="AX345" s="4">
        <f>tbl_Data_old[[#This Row],[per unit IRA tax ($)]]/tbl_Data_old[[#This Row],[kWh Savings]]*tbl_Data_old[[#This Row],[Sum of Annuals]]</f>
        <v>0</v>
      </c>
      <c r="AY345" s="4">
        <f>tbl_Data_old[[#This Row],[Avoided Costs ($/unit)]]/tbl_Data_old[[#This Row],[kWh Savings]]*tbl_Data_old[[#This Row],[Sum of Annuals]]</f>
        <v>55192.452335254085</v>
      </c>
      <c r="AZ345" s="4">
        <f>tbl_Data_old[[#This Row],[Lost Revenue ($/unit)]]/tbl_Data_old[[#This Row],[kWh Savings]]*tbl_Data_old[[#This Row],[Sum of Annuals]]</f>
        <v>143755.21973535614</v>
      </c>
      <c r="BA345" s="4">
        <f>tbl_Data_old[[#This Row],[Incremental Cost ($/unit)]]/tbl_Data_old[[#This Row],[kWh Savings]]*tbl_Data_old[[#This Row],[Sum of Annuals]]</f>
        <v>33916.469899987293</v>
      </c>
      <c r="BB345">
        <f>ROUNDUP(tbl_Data_old[[#This Row],[Adjusted 2025]]/$L345,0)</f>
        <v>16</v>
      </c>
      <c r="BC345">
        <f>ROUNDUP(tbl_Data_old[[#This Row],[Adjusted 2026]]/$L345,0)</f>
        <v>17</v>
      </c>
      <c r="BD345">
        <f>ROUNDUP(tbl_Data_old[[#This Row],[Adjusted 2027]]/$L345,0)</f>
        <v>18</v>
      </c>
      <c r="BE345">
        <f>ROUNDUP(tbl_Data_old[[#This Row],[Adjusted 2028]]/$L345,0)</f>
        <v>19</v>
      </c>
      <c r="BF345">
        <f>ROUNDUP(tbl_Data_old[[#This Row],[Adjusted 2029]]/$L345,0)</f>
        <v>20</v>
      </c>
      <c r="BG345">
        <f>ROUNDUP(tbl_Data_old[[#This Row],[Adjusted 2030]]/$L345,0)</f>
        <v>20</v>
      </c>
      <c r="BH345">
        <f>ROUNDUP(tbl_Data_old[[#This Row],[Adjusted 2031]]/$L345,0)</f>
        <v>21</v>
      </c>
      <c r="BI345">
        <f>ROUNDUP(tbl_Data_old[[#This Row],[Adjusted 2032]]/$L345,0)</f>
        <v>21</v>
      </c>
      <c r="BJ345">
        <f>ROUNDUP(tbl_Data_old[[#This Row],[Adjusted 2033]]/$L345,0)</f>
        <v>21</v>
      </c>
      <c r="BK345">
        <f>ROUNDUP(tbl_Data_old[[#This Row],[Adjusted 2034]]/$L345,0)</f>
        <v>21</v>
      </c>
      <c r="BL345" s="3">
        <f t="shared" si="24"/>
        <v>410.11257628508537</v>
      </c>
      <c r="BM345" s="3">
        <f t="shared" si="24"/>
        <v>446.38845213377982</v>
      </c>
      <c r="BN345" s="3">
        <f t="shared" si="24"/>
        <v>475.17052819633409</v>
      </c>
      <c r="BO345" s="3">
        <f t="shared" si="24"/>
        <v>499.28525648880242</v>
      </c>
      <c r="BP345" s="3">
        <f t="shared" si="24"/>
        <v>518.75419794616721</v>
      </c>
      <c r="BQ345" s="3">
        <f t="shared" si="23"/>
        <v>533.72026085391508</v>
      </c>
      <c r="BR345" s="3">
        <f t="shared" si="23"/>
        <v>544.77177442252582</v>
      </c>
      <c r="BS345" s="3">
        <f t="shared" si="23"/>
        <v>553.55863305818502</v>
      </c>
      <c r="BT345" s="3">
        <f t="shared" si="23"/>
        <v>560.89609506819397</v>
      </c>
      <c r="BU345" s="3">
        <f t="shared" si="23"/>
        <v>566.19619995987659</v>
      </c>
      <c r="BV345">
        <f>VLOOKUP($H345,'1. Set Program Names'!$B$2:$D$15,3,0)*V345</f>
        <v>364.99895900557067</v>
      </c>
      <c r="BW345">
        <f>VLOOKUP($H345,'1. Set Program Names'!$B$2:$D$15,3,0)*W345</f>
        <v>397.2843793692337</v>
      </c>
      <c r="BX345">
        <f>VLOOKUP($H345,'1. Set Program Names'!$B$2:$D$15,3,0)*X345</f>
        <v>422.90034046950666</v>
      </c>
      <c r="BY345">
        <f>VLOOKUP($H345,'1. Set Program Names'!$B$2:$D$15,3,0)*Y345</f>
        <v>444.36237609685259</v>
      </c>
      <c r="BZ345">
        <f>VLOOKUP($H345,'1. Set Program Names'!$B$2:$D$15,3,0)*Z345</f>
        <v>461.68967541853635</v>
      </c>
      <c r="CA345">
        <f>VLOOKUP($H345,'1. Set Program Names'!$B$2:$D$15,3,0)*AA345</f>
        <v>475.00942637867905</v>
      </c>
      <c r="CB345">
        <f>VLOOKUP($H345,'1. Set Program Names'!$B$2:$D$15,3,0)*AB345</f>
        <v>484.84524020452682</v>
      </c>
      <c r="CC345">
        <f>VLOOKUP($H345,'1. Set Program Names'!$B$2:$D$15,3,0)*AC345</f>
        <v>492.66551795361789</v>
      </c>
      <c r="CD345">
        <f>VLOOKUP($H345,'1. Set Program Names'!$B$2:$D$15,3,0)*AD345</f>
        <v>499.19583706661797</v>
      </c>
      <c r="CE345">
        <f>VLOOKUP($H345,'1. Set Program Names'!$B$2:$D$15,3,0)*AE345</f>
        <v>503.91291447401682</v>
      </c>
    </row>
    <row r="346" spans="1:83" x14ac:dyDescent="0.25">
      <c r="A346" s="20" t="s">
        <v>87</v>
      </c>
      <c r="B346" s="20" t="s">
        <v>88</v>
      </c>
      <c r="C346" s="20" t="s">
        <v>122</v>
      </c>
      <c r="D346" s="20" t="s">
        <v>90</v>
      </c>
      <c r="E346" s="20" t="s">
        <v>91</v>
      </c>
      <c r="F346" s="20" t="s">
        <v>90</v>
      </c>
      <c r="G346" s="20" t="s">
        <v>92</v>
      </c>
      <c r="H346" s="20" t="s">
        <v>16</v>
      </c>
      <c r="I346" s="20" t="s">
        <v>162</v>
      </c>
      <c r="J346" s="20" t="s">
        <v>161</v>
      </c>
      <c r="K346" s="20" t="s">
        <v>159</v>
      </c>
      <c r="L346" s="20">
        <v>638.46285714285602</v>
      </c>
      <c r="M346" s="20">
        <v>7.6348348575361394E-2</v>
      </c>
      <c r="N346" s="20">
        <v>7.27444471789533E-2</v>
      </c>
      <c r="O346" s="20">
        <v>179</v>
      </c>
      <c r="P346" s="20">
        <v>51.129983050636802</v>
      </c>
      <c r="Q346" s="20">
        <v>23.2576231316629</v>
      </c>
      <c r="R346" s="20">
        <v>256.15438258671003</v>
      </c>
      <c r="S346" s="20">
        <v>693.44732308484095</v>
      </c>
      <c r="T346" s="20">
        <v>15</v>
      </c>
      <c r="U346" s="20">
        <v>0.59999999999999898</v>
      </c>
      <c r="V346" s="20">
        <v>29271.8273182872</v>
      </c>
      <c r="W346" s="20">
        <v>31861.021688479901</v>
      </c>
      <c r="X346" s="20">
        <v>33915.3453280924</v>
      </c>
      <c r="Y346" s="20">
        <v>35636.536540511901</v>
      </c>
      <c r="Z346" s="20">
        <v>37026.134239690102</v>
      </c>
      <c r="AA346" s="20">
        <v>38094.338519204</v>
      </c>
      <c r="AB346" s="20">
        <v>38883.141436969701</v>
      </c>
      <c r="AC346" s="20">
        <v>39510.304375943902</v>
      </c>
      <c r="AD346" s="20">
        <v>40034.016481671199</v>
      </c>
      <c r="AE346" s="20">
        <v>40412.312013506402</v>
      </c>
      <c r="AF346" t="str">
        <f t="shared" si="22"/>
        <v>NonResidential</v>
      </c>
      <c r="AG346" t="str">
        <f>tbl_Data_old[[#This Row],[All_Meas_Name_Append]]</f>
        <v>LED High Bay_LF Baseline</v>
      </c>
      <c r="AH346">
        <f>AVERAGEIFS('3. Incentive Adjustment'!G:G,'3. Incentive Adjustment'!A:A,tbl_Data_old[[#This Row],[Trimmed Sector]],'3. Incentive Adjustment'!B:B,tbl_Data_old[[#This Row],[Trimmed Measure Name]])</f>
        <v>0.93017466414143679</v>
      </c>
      <c r="AI346">
        <f>$AH346*tbl_Data_old[[#This Row],[2025 ]]</f>
        <v>27227.912144593931</v>
      </c>
      <c r="AJ346">
        <f>$AH346*tbl_Data_old[[#This Row],[2026 ]]</f>
        <v>29636.315148284826</v>
      </c>
      <c r="AK346">
        <f>$AH346*tbl_Data_old[[#This Row],[2027 ]]</f>
        <v>31547.194949799195</v>
      </c>
      <c r="AL346">
        <f>$AH346*tbl_Data_old[[#This Row],[2028 ]]</f>
        <v>33148.203407734698</v>
      </c>
      <c r="AM346">
        <f>$AH346*tbl_Data_old[[#This Row],[2029 ]]</f>
        <v>34440.771980859492</v>
      </c>
      <c r="AN346">
        <f>$AH346*tbl_Data_old[[#This Row],[2030 ]]</f>
        <v>35434.388537790779</v>
      </c>
      <c r="AO346">
        <f>$AH346*tbl_Data_old[[#This Row],[2031 ]]</f>
        <v>36168.113026897277</v>
      </c>
      <c r="AP346">
        <f>$AH346*tbl_Data_old[[#This Row],[2032 ]]</f>
        <v>36751.48410301956</v>
      </c>
      <c r="AQ346">
        <f>$AH346*tbl_Data_old[[#This Row],[2033 ]]</f>
        <v>37238.627835071253</v>
      </c>
      <c r="AR346">
        <f>$AH346*tbl_Data_old[[#This Row],[2034 ]]</f>
        <v>37590.508754342271</v>
      </c>
      <c r="AS346">
        <f>SUM(tbl_Data_old[[#This Row],[Adjusted 2025]:[Adjusted 2034]])</f>
        <v>339183.51988839323</v>
      </c>
      <c r="AT346" s="3">
        <f>AVERAGEIFS('3. Incentive Adjustment'!F:F,'3. Incentive Adjustment'!A:A,tbl_Data_old[[#This Row],[Trimmed Sector]],'3. Incentive Adjustment'!B:B,tbl_Data_old[[#This Row],[Trimmed Measure Name]])</f>
        <v>23.858858929800434</v>
      </c>
      <c r="AU346" s="3">
        <f>IFERROR(VLOOKUP(tbl_Data_old[[#This Row],[All_Meas_Name_Append]],'IRA Tax Credits'!$A$3:$D$46,4,0),0)</f>
        <v>0</v>
      </c>
      <c r="AV346" s="4">
        <f>tbl_Data_old[[#This Row],[Adj. per unit Incentive ($)]]/tbl_Data_old[[#This Row],[kWh Savings]]*tbl_Data_old[[#This Row],[Sum of Annuals]]</f>
        <v>12675.023553515237</v>
      </c>
      <c r="AW346" s="4">
        <f>IFERROR(VLOOKUP(tbl_Data_old[[#This Row],[All_Programs]],'1. Set Program Names'!$B$2:$D$15,3,0)*tbl_Data_old[[#This Row],[Sum of Annuals]],"")</f>
        <v>12355.616916130304</v>
      </c>
      <c r="AX346" s="4">
        <f>tbl_Data_old[[#This Row],[per unit IRA tax ($)]]/tbl_Data_old[[#This Row],[kWh Savings]]*tbl_Data_old[[#This Row],[Sum of Annuals]]</f>
        <v>0</v>
      </c>
      <c r="AY346" s="4">
        <f>tbl_Data_old[[#This Row],[Avoided Costs ($/unit)]]/tbl_Data_old[[#This Row],[kWh Savings]]*tbl_Data_old[[#This Row],[Sum of Annuals]]</f>
        <v>136082.06671474126</v>
      </c>
      <c r="AZ346" s="4">
        <f>tbl_Data_old[[#This Row],[Lost Revenue ($/unit)]]/tbl_Data_old[[#This Row],[kWh Savings]]*tbl_Data_old[[#This Row],[Sum of Annuals]]</f>
        <v>368394.02836001292</v>
      </c>
      <c r="BA346" s="4">
        <f>tbl_Data_old[[#This Row],[Incremental Cost ($/unit)]]/tbl_Data_old[[#This Row],[kWh Savings]]*tbl_Data_old[[#This Row],[Sum of Annuals]]</f>
        <v>95093.785614591616</v>
      </c>
      <c r="BB346">
        <f>ROUNDUP(tbl_Data_old[[#This Row],[Adjusted 2025]]/$L346,0)</f>
        <v>43</v>
      </c>
      <c r="BC346">
        <f>ROUNDUP(tbl_Data_old[[#This Row],[Adjusted 2026]]/$L346,0)</f>
        <v>47</v>
      </c>
      <c r="BD346">
        <f>ROUNDUP(tbl_Data_old[[#This Row],[Adjusted 2027]]/$L346,0)</f>
        <v>50</v>
      </c>
      <c r="BE346">
        <f>ROUNDUP(tbl_Data_old[[#This Row],[Adjusted 2028]]/$L346,0)</f>
        <v>52</v>
      </c>
      <c r="BF346">
        <f>ROUNDUP(tbl_Data_old[[#This Row],[Adjusted 2029]]/$L346,0)</f>
        <v>54</v>
      </c>
      <c r="BG346">
        <f>ROUNDUP(tbl_Data_old[[#This Row],[Adjusted 2030]]/$L346,0)</f>
        <v>56</v>
      </c>
      <c r="BH346">
        <f>ROUNDUP(tbl_Data_old[[#This Row],[Adjusted 2031]]/$L346,0)</f>
        <v>57</v>
      </c>
      <c r="BI346">
        <f>ROUNDUP(tbl_Data_old[[#This Row],[Adjusted 2032]]/$L346,0)</f>
        <v>58</v>
      </c>
      <c r="BJ346">
        <f>ROUNDUP(tbl_Data_old[[#This Row],[Adjusted 2033]]/$L346,0)</f>
        <v>59</v>
      </c>
      <c r="BK346">
        <f>ROUNDUP(tbl_Data_old[[#This Row],[Adjusted 2034]]/$L346,0)</f>
        <v>59</v>
      </c>
      <c r="BL346" s="3">
        <f t="shared" si="24"/>
        <v>1093.8653529977039</v>
      </c>
      <c r="BM346" s="3">
        <f t="shared" si="24"/>
        <v>1190.6215268755509</v>
      </c>
      <c r="BN346" s="3">
        <f t="shared" si="24"/>
        <v>1267.3899987847976</v>
      </c>
      <c r="BO346" s="3">
        <f t="shared" si="24"/>
        <v>1331.7095717543191</v>
      </c>
      <c r="BP346" s="3">
        <f t="shared" si="24"/>
        <v>1383.6377537980393</v>
      </c>
      <c r="BQ346" s="3">
        <f t="shared" si="23"/>
        <v>1423.5557144562092</v>
      </c>
      <c r="BR346" s="3">
        <f t="shared" si="23"/>
        <v>1453.0326641766778</v>
      </c>
      <c r="BS346" s="3">
        <f t="shared" si="23"/>
        <v>1476.4692539791704</v>
      </c>
      <c r="BT346" s="3">
        <f t="shared" si="23"/>
        <v>1496.0399668414545</v>
      </c>
      <c r="BU346" s="3">
        <f t="shared" si="23"/>
        <v>1510.1765757715655</v>
      </c>
      <c r="BV346">
        <f>VLOOKUP($H346,'1. Set Program Names'!$B$2:$D$15,3,0)*V346</f>
        <v>1066.3002875224622</v>
      </c>
      <c r="BW346">
        <f>VLOOKUP($H346,'1. Set Program Names'!$B$2:$D$15,3,0)*W346</f>
        <v>1160.6182360183939</v>
      </c>
      <c r="BX346">
        <f>VLOOKUP($H346,'1. Set Program Names'!$B$2:$D$15,3,0)*X346</f>
        <v>1235.4521663967171</v>
      </c>
      <c r="BY346">
        <f>VLOOKUP($H346,'1. Set Program Names'!$B$2:$D$15,3,0)*Y346</f>
        <v>1298.1509062030107</v>
      </c>
      <c r="BZ346">
        <f>VLOOKUP($H346,'1. Set Program Names'!$B$2:$D$15,3,0)*Z346</f>
        <v>1348.770514267198</v>
      </c>
      <c r="CA346">
        <f>VLOOKUP($H346,'1. Set Program Names'!$B$2:$D$15,3,0)*AA346</f>
        <v>1387.682554776087</v>
      </c>
      <c r="CB346">
        <f>VLOOKUP($H346,'1. Set Program Names'!$B$2:$D$15,3,0)*AB346</f>
        <v>1416.4166945640277</v>
      </c>
      <c r="CC346">
        <f>VLOOKUP($H346,'1. Set Program Names'!$B$2:$D$15,3,0)*AC346</f>
        <v>1439.2626896185909</v>
      </c>
      <c r="CD346">
        <f>VLOOKUP($H346,'1. Set Program Names'!$B$2:$D$15,3,0)*AD346</f>
        <v>1458.3402266252108</v>
      </c>
      <c r="CE346">
        <f>VLOOKUP($H346,'1. Set Program Names'!$B$2:$D$15,3,0)*AE346</f>
        <v>1472.1205974226409</v>
      </c>
    </row>
    <row r="347" spans="1:83" x14ac:dyDescent="0.25">
      <c r="A347" s="20" t="s">
        <v>87</v>
      </c>
      <c r="B347" s="20" t="s">
        <v>88</v>
      </c>
      <c r="C347" s="20" t="s">
        <v>122</v>
      </c>
      <c r="D347" s="20" t="s">
        <v>90</v>
      </c>
      <c r="E347" s="20" t="s">
        <v>91</v>
      </c>
      <c r="F347" s="20" t="s">
        <v>90</v>
      </c>
      <c r="G347" s="20" t="s">
        <v>92</v>
      </c>
      <c r="H347" s="20" t="s">
        <v>16</v>
      </c>
      <c r="I347" s="20" t="s">
        <v>163</v>
      </c>
      <c r="J347" s="20" t="s">
        <v>161</v>
      </c>
      <c r="K347" s="20" t="s">
        <v>159</v>
      </c>
      <c r="L347" s="20">
        <v>336.08</v>
      </c>
      <c r="M347" s="20">
        <v>5.3794325187228403E-2</v>
      </c>
      <c r="N347" s="20">
        <v>5.3413522005729602E-2</v>
      </c>
      <c r="O347" s="20">
        <v>109.08</v>
      </c>
      <c r="P347" s="20">
        <v>41.915763754167898</v>
      </c>
      <c r="Q347" s="20">
        <v>12.2425633608007</v>
      </c>
      <c r="R347" s="20">
        <v>148.30416484676499</v>
      </c>
      <c r="S347" s="20">
        <v>365.02323312162099</v>
      </c>
      <c r="T347" s="20">
        <v>15</v>
      </c>
      <c r="U347" s="20">
        <v>0.59999999999999898</v>
      </c>
      <c r="V347" s="20">
        <v>38141.718082479099</v>
      </c>
      <c r="W347" s="20">
        <v>40098.23637133</v>
      </c>
      <c r="X347" s="20">
        <v>41151.912274928502</v>
      </c>
      <c r="Y347" s="20">
        <v>41797.285185977402</v>
      </c>
      <c r="Z347" s="20">
        <v>42160.166928238003</v>
      </c>
      <c r="AA347" s="20">
        <v>42206.762549283703</v>
      </c>
      <c r="AB347" s="20">
        <v>42083.117523543602</v>
      </c>
      <c r="AC347" s="20">
        <v>41909.413077330399</v>
      </c>
      <c r="AD347" s="20">
        <v>41653.402668169503</v>
      </c>
      <c r="AE347" s="20">
        <v>41366.883063492402</v>
      </c>
      <c r="AF347" t="str">
        <f t="shared" si="22"/>
        <v>NonResidential</v>
      </c>
      <c r="AG347" t="str">
        <f>tbl_Data_old[[#This Row],[All_Meas_Name_Append]]</f>
        <v>LED Linear - Fixture Replacement</v>
      </c>
      <c r="AH347">
        <f>AVERAGEIFS('3. Incentive Adjustment'!G:G,'3. Incentive Adjustment'!A:A,tbl_Data_old[[#This Row],[Trimmed Sector]],'3. Incentive Adjustment'!B:B,tbl_Data_old[[#This Row],[Trimmed Measure Name]])</f>
        <v>0.56055357916158088</v>
      </c>
      <c r="AI347">
        <f>$AH347*tbl_Data_old[[#This Row],[2025 ]]</f>
        <v>21380.476586505651</v>
      </c>
      <c r="AJ347">
        <f>$AH347*tbl_Data_old[[#This Row],[2026 ]]</f>
        <v>22477.209916016112</v>
      </c>
      <c r="AK347">
        <f>$AH347*tbl_Data_old[[#This Row],[2027 ]]</f>
        <v>23067.851715054567</v>
      </c>
      <c r="AL347">
        <f>$AH347*tbl_Data_old[[#This Row],[2028 ]]</f>
        <v>23429.617810236956</v>
      </c>
      <c r="AM347">
        <f>$AH347*tbl_Data_old[[#This Row],[2029 ]]</f>
        <v>23633.032469673526</v>
      </c>
      <c r="AN347">
        <f>$AH347*tbl_Data_old[[#This Row],[2030 ]]</f>
        <v>23659.151811823951</v>
      </c>
      <c r="AO347">
        <f>$AH347*tbl_Data_old[[#This Row],[2031 ]]</f>
        <v>23589.842150099812</v>
      </c>
      <c r="AP347">
        <f>$AH347*tbl_Data_old[[#This Row],[2032 ]]</f>
        <v>23492.471501058717</v>
      </c>
      <c r="AQ347">
        <f>$AH347*tbl_Data_old[[#This Row],[2033 ]]</f>
        <v>23348.963949900957</v>
      </c>
      <c r="AR347">
        <f>$AH347*tbl_Data_old[[#This Row],[2034 ]]</f>
        <v>23188.354359999248</v>
      </c>
      <c r="AS347">
        <f>SUM(tbl_Data_old[[#This Row],[Adjusted 2025]:[Adjusted 2034]])</f>
        <v>231266.9722703695</v>
      </c>
      <c r="AT347" s="3">
        <f>AVERAGEIFS('3. Incentive Adjustment'!F:F,'3. Incentive Adjustment'!A:A,tbl_Data_old[[#This Row],[Trimmed Sector]],'3. Incentive Adjustment'!B:B,tbl_Data_old[[#This Row],[Trimmed Measure Name]])</f>
        <v>16.810726621008875</v>
      </c>
      <c r="AU347" s="3">
        <f>IFERROR(VLOOKUP(tbl_Data_old[[#This Row],[All_Meas_Name_Append]],'IRA Tax Credits'!$A$3:$D$46,4,0),0)</f>
        <v>0</v>
      </c>
      <c r="AV347" s="4">
        <f>tbl_Data_old[[#This Row],[Adj. per unit Incentive ($)]]/tbl_Data_old[[#This Row],[kWh Savings]]*tbl_Data_old[[#This Row],[Sum of Annuals]]</f>
        <v>11567.977408074334</v>
      </c>
      <c r="AW347" s="4">
        <f>IFERROR(VLOOKUP(tbl_Data_old[[#This Row],[All_Programs]],'1. Set Program Names'!$B$2:$D$15,3,0)*tbl_Data_old[[#This Row],[Sum of Annuals]],"")</f>
        <v>8424.4839362072926</v>
      </c>
      <c r="AX347" s="4">
        <f>tbl_Data_old[[#This Row],[per unit IRA tax ($)]]/tbl_Data_old[[#This Row],[kWh Savings]]*tbl_Data_old[[#This Row],[Sum of Annuals]]</f>
        <v>0</v>
      </c>
      <c r="AY347" s="4">
        <f>tbl_Data_old[[#This Row],[Avoided Costs ($/unit)]]/tbl_Data_old[[#This Row],[kWh Savings]]*tbl_Data_old[[#This Row],[Sum of Annuals]]</f>
        <v>102052.6516876848</v>
      </c>
      <c r="AZ347" s="4">
        <f>tbl_Data_old[[#This Row],[Lost Revenue ($/unit)]]/tbl_Data_old[[#This Row],[kWh Savings]]*tbl_Data_old[[#This Row],[Sum of Annuals]]</f>
        <v>251183.70010824371</v>
      </c>
      <c r="BA347" s="4">
        <f>tbl_Data_old[[#This Row],[Incremental Cost ($/unit)]]/tbl_Data_old[[#This Row],[kWh Savings]]*tbl_Data_old[[#This Row],[Sum of Annuals]]</f>
        <v>75061.298902796669</v>
      </c>
      <c r="BB347">
        <f>ROUNDUP(tbl_Data_old[[#This Row],[Adjusted 2025]]/$L347,0)</f>
        <v>64</v>
      </c>
      <c r="BC347">
        <f>ROUNDUP(tbl_Data_old[[#This Row],[Adjusted 2026]]/$L347,0)</f>
        <v>67</v>
      </c>
      <c r="BD347">
        <f>ROUNDUP(tbl_Data_old[[#This Row],[Adjusted 2027]]/$L347,0)</f>
        <v>69</v>
      </c>
      <c r="BE347">
        <f>ROUNDUP(tbl_Data_old[[#This Row],[Adjusted 2028]]/$L347,0)</f>
        <v>70</v>
      </c>
      <c r="BF347">
        <f>ROUNDUP(tbl_Data_old[[#This Row],[Adjusted 2029]]/$L347,0)</f>
        <v>71</v>
      </c>
      <c r="BG347">
        <f>ROUNDUP(tbl_Data_old[[#This Row],[Adjusted 2030]]/$L347,0)</f>
        <v>71</v>
      </c>
      <c r="BH347">
        <f>ROUNDUP(tbl_Data_old[[#This Row],[Adjusted 2031]]/$L347,0)</f>
        <v>71</v>
      </c>
      <c r="BI347">
        <f>ROUNDUP(tbl_Data_old[[#This Row],[Adjusted 2032]]/$L347,0)</f>
        <v>70</v>
      </c>
      <c r="BJ347">
        <f>ROUNDUP(tbl_Data_old[[#This Row],[Adjusted 2033]]/$L347,0)</f>
        <v>70</v>
      </c>
      <c r="BK347">
        <f>ROUNDUP(tbl_Data_old[[#This Row],[Adjusted 2034]]/$L347,0)</f>
        <v>69</v>
      </c>
      <c r="BL347" s="3">
        <f t="shared" si="24"/>
        <v>1907.8493083198853</v>
      </c>
      <c r="BM347" s="3">
        <f t="shared" si="24"/>
        <v>2005.7143823584374</v>
      </c>
      <c r="BN347" s="3">
        <f t="shared" si="24"/>
        <v>2058.4192667982697</v>
      </c>
      <c r="BO347" s="3">
        <f t="shared" si="24"/>
        <v>2090.7008294507568</v>
      </c>
      <c r="BP347" s="3">
        <f t="shared" si="24"/>
        <v>2108.8521796200566</v>
      </c>
      <c r="BQ347" s="3">
        <f t="shared" si="23"/>
        <v>2111.1828932808976</v>
      </c>
      <c r="BR347" s="3">
        <f t="shared" si="23"/>
        <v>2104.9981672461308</v>
      </c>
      <c r="BS347" s="3">
        <f t="shared" si="23"/>
        <v>2096.3094682514156</v>
      </c>
      <c r="BT347" s="3">
        <f t="shared" si="23"/>
        <v>2083.5038237604122</v>
      </c>
      <c r="BU347" s="3">
        <f t="shared" si="23"/>
        <v>2069.1721088538829</v>
      </c>
      <c r="BV347">
        <f>VLOOKUP($H347,'1. Set Program Names'!$B$2:$D$15,3,0)*V347</f>
        <v>1389.4084751087532</v>
      </c>
      <c r="BW347">
        <f>VLOOKUP($H347,'1. Set Program Names'!$B$2:$D$15,3,0)*W347</f>
        <v>1460.6795984062496</v>
      </c>
      <c r="BX347">
        <f>VLOOKUP($H347,'1. Set Program Names'!$B$2:$D$15,3,0)*X347</f>
        <v>1499.0624061054689</v>
      </c>
      <c r="BY347">
        <f>VLOOKUP($H347,'1. Set Program Names'!$B$2:$D$15,3,0)*Y347</f>
        <v>1522.5717454141472</v>
      </c>
      <c r="BZ347">
        <f>VLOOKUP($H347,'1. Set Program Names'!$B$2:$D$15,3,0)*Z347</f>
        <v>1535.7906299717024</v>
      </c>
      <c r="CA347">
        <f>VLOOKUP($H347,'1. Set Program Names'!$B$2:$D$15,3,0)*AA347</f>
        <v>1537.4879932274387</v>
      </c>
      <c r="CB347">
        <f>VLOOKUP($H347,'1. Set Program Names'!$B$2:$D$15,3,0)*AB347</f>
        <v>1532.983910682</v>
      </c>
      <c r="CC347">
        <f>VLOOKUP($H347,'1. Set Program Names'!$B$2:$D$15,3,0)*AC347</f>
        <v>1526.6562872327679</v>
      </c>
      <c r="CD347">
        <f>VLOOKUP($H347,'1. Set Program Names'!$B$2:$D$15,3,0)*AD347</f>
        <v>1517.3304610747794</v>
      </c>
      <c r="CE347">
        <f>VLOOKUP($H347,'1. Set Program Names'!$B$2:$D$15,3,0)*AE347</f>
        <v>1506.8932603655107</v>
      </c>
    </row>
    <row r="348" spans="1:83" x14ac:dyDescent="0.25">
      <c r="A348" s="20" t="s">
        <v>87</v>
      </c>
      <c r="B348" s="20" t="s">
        <v>88</v>
      </c>
      <c r="C348" s="20" t="s">
        <v>122</v>
      </c>
      <c r="D348" s="20" t="s">
        <v>90</v>
      </c>
      <c r="E348" s="20" t="s">
        <v>91</v>
      </c>
      <c r="F348" s="20" t="s">
        <v>90</v>
      </c>
      <c r="G348" s="20" t="s">
        <v>92</v>
      </c>
      <c r="H348" s="20" t="s">
        <v>16</v>
      </c>
      <c r="I348" s="20" t="s">
        <v>164</v>
      </c>
      <c r="J348" s="20" t="s">
        <v>158</v>
      </c>
      <c r="K348" s="20" t="s">
        <v>159</v>
      </c>
      <c r="L348" s="20">
        <v>612.05999999999904</v>
      </c>
      <c r="M348" s="20">
        <v>0</v>
      </c>
      <c r="N348" s="20">
        <v>3.0244631686656E-2</v>
      </c>
      <c r="O348" s="20">
        <v>255</v>
      </c>
      <c r="P348" s="20">
        <v>129.095003330796</v>
      </c>
      <c r="Q348" s="20">
        <v>22.295832333407802</v>
      </c>
      <c r="R348" s="20">
        <v>299.625229349054</v>
      </c>
      <c r="S348" s="20">
        <v>664.77065003695395</v>
      </c>
      <c r="T348" s="20">
        <v>15</v>
      </c>
      <c r="U348" s="20">
        <v>0.59999999999999898</v>
      </c>
      <c r="V348" s="20">
        <v>158769.022012606</v>
      </c>
      <c r="W348" s="20">
        <v>172502.094000827</v>
      </c>
      <c r="X348" s="20">
        <v>183535.734760769</v>
      </c>
      <c r="Y348" s="20">
        <v>192794.81472701201</v>
      </c>
      <c r="Z348" s="20">
        <v>200200.17447440699</v>
      </c>
      <c r="AA348" s="20">
        <v>205900.79124017499</v>
      </c>
      <c r="AB348" s="20">
        <v>210031.58544676701</v>
      </c>
      <c r="AC348" s="20">
        <v>213249.04613582601</v>
      </c>
      <c r="AD348" s="20">
        <v>215989.98518663901</v>
      </c>
      <c r="AE348" s="20">
        <v>217902.00951990901</v>
      </c>
      <c r="AF348" t="str">
        <f t="shared" si="22"/>
        <v>NonResidential</v>
      </c>
      <c r="AG348" t="str">
        <f>tbl_Data_old[[#This Row],[All_Meas_Name_Append]]</f>
        <v>LED Parking Lighting</v>
      </c>
      <c r="AH348">
        <f>AVERAGEIFS('3. Incentive Adjustment'!G:G,'3. Incentive Adjustment'!A:A,tbl_Data_old[[#This Row],[Trimmed Sector]],'3. Incentive Adjustment'!B:B,tbl_Data_old[[#This Row],[Trimmed Measure Name]])</f>
        <v>0.59704067730377497</v>
      </c>
      <c r="AI348">
        <f>$AH348*tbl_Data_old[[#This Row],[2025 ]]</f>
        <v>94791.564437264242</v>
      </c>
      <c r="AJ348">
        <f>$AH348*tbl_Data_old[[#This Row],[2026 ]]</f>
        <v>102990.76703857321</v>
      </c>
      <c r="AK348">
        <f>$AH348*tbl_Data_old[[#This Row],[2027 ]]</f>
        <v>109578.29939101552</v>
      </c>
      <c r="AL348">
        <f>$AH348*tbl_Data_old[[#This Row],[2028 ]]</f>
        <v>115106.34676527105</v>
      </c>
      <c r="AM348">
        <f>$AH348*tbl_Data_old[[#This Row],[2029 ]]</f>
        <v>119527.64776453387</v>
      </c>
      <c r="AN348">
        <f>$AH348*tbl_Data_old[[#This Row],[2030 ]]</f>
        <v>122931.14785941725</v>
      </c>
      <c r="AO348">
        <f>$AH348*tbl_Data_old[[#This Row],[2031 ]]</f>
        <v>125397.40003032346</v>
      </c>
      <c r="AP348">
        <f>$AH348*tbl_Data_old[[#This Row],[2032 ]]</f>
        <v>127318.35493931752</v>
      </c>
      <c r="AQ348">
        <f>$AH348*tbl_Data_old[[#This Row],[2033 ]]</f>
        <v>128954.80704666328</v>
      </c>
      <c r="AR348">
        <f>$AH348*tbl_Data_old[[#This Row],[2034 ]]</f>
        <v>130096.36334962009</v>
      </c>
      <c r="AS348">
        <f>SUM(tbl_Data_old[[#This Row],[Adjusted 2025]:[Adjusted 2034]])</f>
        <v>1176692.6986219995</v>
      </c>
      <c r="AT348" s="3">
        <f>AVERAGEIFS('3. Incentive Adjustment'!F:F,'3. Incentive Adjustment'!A:A,tbl_Data_old[[#This Row],[Trimmed Sector]],'3. Incentive Adjustment'!B:B,tbl_Data_old[[#This Row],[Trimmed Measure Name]])</f>
        <v>9.4514474020799994</v>
      </c>
      <c r="AU348" s="3">
        <f>IFERROR(VLOOKUP(tbl_Data_old[[#This Row],[All_Meas_Name_Append]],'IRA Tax Credits'!$A$3:$D$46,4,0),0)</f>
        <v>0</v>
      </c>
      <c r="AV348" s="4">
        <f>tbl_Data_old[[#This Row],[Adj. per unit Incentive ($)]]/tbl_Data_old[[#This Row],[kWh Savings]]*tbl_Data_old[[#This Row],[Sum of Annuals]]</f>
        <v>18170.521108122437</v>
      </c>
      <c r="AW348" s="4">
        <f>IFERROR(VLOOKUP(tbl_Data_old[[#This Row],[All_Programs]],'1. Set Program Names'!$B$2:$D$15,3,0)*tbl_Data_old[[#This Row],[Sum of Annuals]],"")</f>
        <v>42864.005353104738</v>
      </c>
      <c r="AX348" s="4">
        <f>tbl_Data_old[[#This Row],[per unit IRA tax ($)]]/tbl_Data_old[[#This Row],[kWh Savings]]*tbl_Data_old[[#This Row],[Sum of Annuals]]</f>
        <v>0</v>
      </c>
      <c r="AY348" s="4">
        <f>tbl_Data_old[[#This Row],[Avoided Costs ($/unit)]]/tbl_Data_old[[#This Row],[kWh Savings]]*tbl_Data_old[[#This Row],[Sum of Annuals]]</f>
        <v>576033.10083647748</v>
      </c>
      <c r="AZ348" s="4">
        <f>tbl_Data_old[[#This Row],[Lost Revenue ($/unit)]]/tbl_Data_old[[#This Row],[kWh Savings]]*tbl_Data_old[[#This Row],[Sum of Annuals]]</f>
        <v>1278029.5561818865</v>
      </c>
      <c r="BA348" s="4">
        <f>tbl_Data_old[[#This Row],[Incremental Cost ($/unit)]]/tbl_Data_old[[#This Row],[kWh Savings]]*tbl_Data_old[[#This Row],[Sum of Annuals]]</f>
        <v>490240.56162567454</v>
      </c>
      <c r="BB348">
        <f>ROUNDUP(tbl_Data_old[[#This Row],[Adjusted 2025]]/$L348,0)</f>
        <v>155</v>
      </c>
      <c r="BC348">
        <f>ROUNDUP(tbl_Data_old[[#This Row],[Adjusted 2026]]/$L348,0)</f>
        <v>169</v>
      </c>
      <c r="BD348">
        <f>ROUNDUP(tbl_Data_old[[#This Row],[Adjusted 2027]]/$L348,0)</f>
        <v>180</v>
      </c>
      <c r="BE348">
        <f>ROUNDUP(tbl_Data_old[[#This Row],[Adjusted 2028]]/$L348,0)</f>
        <v>189</v>
      </c>
      <c r="BF348">
        <f>ROUNDUP(tbl_Data_old[[#This Row],[Adjusted 2029]]/$L348,0)</f>
        <v>196</v>
      </c>
      <c r="BG348">
        <f>ROUNDUP(tbl_Data_old[[#This Row],[Adjusted 2030]]/$L348,0)</f>
        <v>201</v>
      </c>
      <c r="BH348">
        <f>ROUNDUP(tbl_Data_old[[#This Row],[Adjusted 2031]]/$L348,0)</f>
        <v>205</v>
      </c>
      <c r="BI348">
        <f>ROUNDUP(tbl_Data_old[[#This Row],[Adjusted 2032]]/$L348,0)</f>
        <v>209</v>
      </c>
      <c r="BJ348">
        <f>ROUNDUP(tbl_Data_old[[#This Row],[Adjusted 2033]]/$L348,0)</f>
        <v>211</v>
      </c>
      <c r="BK348">
        <f>ROUNDUP(tbl_Data_old[[#This Row],[Adjusted 2034]]/$L348,0)</f>
        <v>213</v>
      </c>
      <c r="BL348" s="3">
        <f t="shared" si="24"/>
        <v>2451.7156171483671</v>
      </c>
      <c r="BM348" s="3">
        <f t="shared" si="24"/>
        <v>2663.7820935814771</v>
      </c>
      <c r="BN348" s="3">
        <f t="shared" si="24"/>
        <v>2834.1638785307268</v>
      </c>
      <c r="BO348" s="3">
        <f t="shared" si="24"/>
        <v>2977.1428467570422</v>
      </c>
      <c r="BP348" s="3">
        <f t="shared" si="24"/>
        <v>3091.4966162338651</v>
      </c>
      <c r="BQ348" s="3">
        <f t="shared" si="23"/>
        <v>3179.525697567512</v>
      </c>
      <c r="BR348" s="3">
        <f t="shared" si="23"/>
        <v>3243.3135356428988</v>
      </c>
      <c r="BS348" s="3">
        <f t="shared" si="23"/>
        <v>3292.9976523486157</v>
      </c>
      <c r="BT348" s="3">
        <f t="shared" si="23"/>
        <v>3335.3233087729309</v>
      </c>
      <c r="BU348" s="3">
        <f t="shared" si="23"/>
        <v>3364.8488412654947</v>
      </c>
      <c r="BV348">
        <f>VLOOKUP($H348,'1. Set Program Names'!$B$2:$D$15,3,0)*V348</f>
        <v>5783.5628770581316</v>
      </c>
      <c r="BW348">
        <f>VLOOKUP($H348,'1. Set Program Names'!$B$2:$D$15,3,0)*W348</f>
        <v>6283.8247312423537</v>
      </c>
      <c r="BX348">
        <f>VLOOKUP($H348,'1. Set Program Names'!$B$2:$D$15,3,0)*X348</f>
        <v>6685.7529807778919</v>
      </c>
      <c r="BY348">
        <f>VLOOKUP($H348,'1. Set Program Names'!$B$2:$D$15,3,0)*Y348</f>
        <v>7023.0383686303394</v>
      </c>
      <c r="BZ348">
        <f>VLOOKUP($H348,'1. Set Program Names'!$B$2:$D$15,3,0)*Z348</f>
        <v>7292.7973126823699</v>
      </c>
      <c r="CA348">
        <f>VLOOKUP($H348,'1. Set Program Names'!$B$2:$D$15,3,0)*AA348</f>
        <v>7500.456685303644</v>
      </c>
      <c r="CB348">
        <f>VLOOKUP($H348,'1. Set Program Names'!$B$2:$D$15,3,0)*AB348</f>
        <v>7650.9313038606288</v>
      </c>
      <c r="CC348">
        <f>VLOOKUP($H348,'1. Set Program Names'!$B$2:$D$15,3,0)*AC348</f>
        <v>7768.1354408122188</v>
      </c>
      <c r="CD348">
        <f>VLOOKUP($H348,'1. Set Program Names'!$B$2:$D$15,3,0)*AD348</f>
        <v>7867.9810727976728</v>
      </c>
      <c r="CE348">
        <f>VLOOKUP($H348,'1. Set Program Names'!$B$2:$D$15,3,0)*AE348</f>
        <v>7937.631391315439</v>
      </c>
    </row>
    <row r="349" spans="1:83" x14ac:dyDescent="0.25">
      <c r="A349" s="20" t="s">
        <v>87</v>
      </c>
      <c r="B349" s="20" t="s">
        <v>88</v>
      </c>
      <c r="C349" s="20" t="s">
        <v>122</v>
      </c>
      <c r="D349" s="20" t="s">
        <v>90</v>
      </c>
      <c r="E349" s="20" t="s">
        <v>91</v>
      </c>
      <c r="F349" s="20" t="s">
        <v>90</v>
      </c>
      <c r="G349" s="20" t="s">
        <v>92</v>
      </c>
      <c r="H349" s="20" t="s">
        <v>16</v>
      </c>
      <c r="I349" s="20" t="s">
        <v>165</v>
      </c>
      <c r="J349" s="20" t="s">
        <v>161</v>
      </c>
      <c r="K349" s="20" t="s">
        <v>166</v>
      </c>
      <c r="L349" s="20">
        <v>510.6</v>
      </c>
      <c r="M349" s="20">
        <v>6.2552429943266097E-2</v>
      </c>
      <c r="N349" s="20">
        <v>6.4361142955417797E-2</v>
      </c>
      <c r="O349" s="20">
        <v>129</v>
      </c>
      <c r="P349" s="20">
        <v>26.468747947944401</v>
      </c>
      <c r="Q349" s="20">
        <v>18.5998954178316</v>
      </c>
      <c r="R349" s="20">
        <v>174.74401692254699</v>
      </c>
      <c r="S349" s="20">
        <v>419.99719394182398</v>
      </c>
      <c r="T349" s="20">
        <v>10</v>
      </c>
      <c r="U349" s="20">
        <v>0.59999999999999898</v>
      </c>
      <c r="V349" s="20">
        <v>19927.519621685398</v>
      </c>
      <c r="W349" s="20">
        <v>27329.474263349599</v>
      </c>
      <c r="X349" s="20">
        <v>36354.120239008596</v>
      </c>
      <c r="Y349" s="20">
        <v>46890.297202517097</v>
      </c>
      <c r="Z349" s="20">
        <v>58080.164462417197</v>
      </c>
      <c r="AA349" s="20">
        <v>68188.676259443193</v>
      </c>
      <c r="AB349" s="20">
        <v>74955.507584703999</v>
      </c>
      <c r="AC349" s="20">
        <v>76252.667373604199</v>
      </c>
      <c r="AD349" s="20">
        <v>70988.890025122499</v>
      </c>
      <c r="AE349" s="20">
        <v>60215.847225174599</v>
      </c>
      <c r="AF349" t="str">
        <f t="shared" si="22"/>
        <v>NonResidential</v>
      </c>
      <c r="AG349" t="str">
        <f>tbl_Data_old[[#This Row],[All_Meas_Name_Append]]</f>
        <v>Occupancy Sensors_ Ceiling Mounted</v>
      </c>
      <c r="AH349">
        <f>AVERAGEIFS('3. Incentive Adjustment'!G:G,'3. Incentive Adjustment'!A:A,tbl_Data_old[[#This Row],[Trimmed Sector]],'3. Incentive Adjustment'!B:B,tbl_Data_old[[#This Row],[Trimmed Measure Name]])</f>
        <v>0.99348124042467356</v>
      </c>
      <c r="AI349">
        <f>$AH349*tbl_Data_old[[#This Row],[2025 ]]</f>
        <v>19797.616912339032</v>
      </c>
      <c r="AJ349">
        <f>$AH349*tbl_Data_old[[#This Row],[2026 ]]</f>
        <v>27151.319991306751</v>
      </c>
      <c r="AK349">
        <f>$AH349*tbl_Data_old[[#This Row],[2027 ]]</f>
        <v>36117.136469597994</v>
      </c>
      <c r="AL349">
        <f>$AH349*tbl_Data_old[[#This Row],[2028 ]]</f>
        <v>46584.630628638282</v>
      </c>
      <c r="AM349">
        <f>$AH349*tbl_Data_old[[#This Row],[2029 ]]</f>
        <v>57701.553834191283</v>
      </c>
      <c r="AN349">
        <f>$AH349*tbl_Data_old[[#This Row],[2030 ]]</f>
        <v>67744.17067314811</v>
      </c>
      <c r="AO349">
        <f>$AH349*tbl_Data_old[[#This Row],[2031 ]]</f>
        <v>74466.890651912763</v>
      </c>
      <c r="AP349">
        <f>$AH349*tbl_Data_old[[#This Row],[2032 ]]</f>
        <v>75755.594568018336</v>
      </c>
      <c r="AQ349">
        <f>$AH349*tbl_Data_old[[#This Row],[2033 ]]</f>
        <v>70526.130518529433</v>
      </c>
      <c r="AR349">
        <f>$AH349*tbl_Data_old[[#This Row],[2034 ]]</f>
        <v>59823.3145944891</v>
      </c>
      <c r="AS349">
        <f>SUM(tbl_Data_old[[#This Row],[Adjusted 2025]:[Adjusted 2034]])</f>
        <v>535668.35884217115</v>
      </c>
      <c r="AT349" s="3">
        <f>AVERAGEIFS('3. Incentive Adjustment'!F:F,'3. Incentive Adjustment'!A:A,tbl_Data_old[[#This Row],[Trimmed Sector]],'3. Incentive Adjustment'!B:B,tbl_Data_old[[#This Row],[Trimmed Measure Name]])</f>
        <v>19.547634357270656</v>
      </c>
      <c r="AU349" s="3">
        <f>IFERROR(VLOOKUP(tbl_Data_old[[#This Row],[All_Meas_Name_Append]],'IRA Tax Credits'!$A$3:$D$46,4,0),0)</f>
        <v>0</v>
      </c>
      <c r="AV349" s="4">
        <f>tbl_Data_old[[#This Row],[Adj. per unit Incentive ($)]]/tbl_Data_old[[#This Row],[kWh Savings]]*tbl_Data_old[[#This Row],[Sum of Annuals]]</f>
        <v>20507.342764210756</v>
      </c>
      <c r="AW349" s="4">
        <f>IFERROR(VLOOKUP(tbl_Data_old[[#This Row],[All_Programs]],'1. Set Program Names'!$B$2:$D$15,3,0)*tbl_Data_old[[#This Row],[Sum of Annuals]],"")</f>
        <v>19513.073742863093</v>
      </c>
      <c r="AX349" s="4">
        <f>tbl_Data_old[[#This Row],[per unit IRA tax ($)]]/tbl_Data_old[[#This Row],[kWh Savings]]*tbl_Data_old[[#This Row],[Sum of Annuals]]</f>
        <v>0</v>
      </c>
      <c r="AY349" s="4">
        <f>tbl_Data_old[[#This Row],[Avoided Costs ($/unit)]]/tbl_Data_old[[#This Row],[kWh Savings]]*tbl_Data_old[[#This Row],[Sum of Annuals]]</f>
        <v>183323.22906852592</v>
      </c>
      <c r="AZ349" s="4">
        <f>tbl_Data_old[[#This Row],[Lost Revenue ($/unit)]]/tbl_Data_old[[#This Row],[kWh Savings]]*tbl_Data_old[[#This Row],[Sum of Annuals]]</f>
        <v>440617.32784397551</v>
      </c>
      <c r="BA349" s="4">
        <f>tbl_Data_old[[#This Row],[Incremental Cost ($/unit)]]/tbl_Data_old[[#This Row],[kWh Savings]]*tbl_Data_old[[#This Row],[Sum of Annuals]]</f>
        <v>135333.36915519013</v>
      </c>
      <c r="BB349">
        <f>ROUNDUP(tbl_Data_old[[#This Row],[Adjusted 2025]]/$L349,0)</f>
        <v>39</v>
      </c>
      <c r="BC349">
        <f>ROUNDUP(tbl_Data_old[[#This Row],[Adjusted 2026]]/$L349,0)</f>
        <v>54</v>
      </c>
      <c r="BD349">
        <f>ROUNDUP(tbl_Data_old[[#This Row],[Adjusted 2027]]/$L349,0)</f>
        <v>71</v>
      </c>
      <c r="BE349">
        <f>ROUNDUP(tbl_Data_old[[#This Row],[Adjusted 2028]]/$L349,0)</f>
        <v>92</v>
      </c>
      <c r="BF349">
        <f>ROUNDUP(tbl_Data_old[[#This Row],[Adjusted 2029]]/$L349,0)</f>
        <v>114</v>
      </c>
      <c r="BG349">
        <f>ROUNDUP(tbl_Data_old[[#This Row],[Adjusted 2030]]/$L349,0)</f>
        <v>133</v>
      </c>
      <c r="BH349">
        <f>ROUNDUP(tbl_Data_old[[#This Row],[Adjusted 2031]]/$L349,0)</f>
        <v>146</v>
      </c>
      <c r="BI349">
        <f>ROUNDUP(tbl_Data_old[[#This Row],[Adjusted 2032]]/$L349,0)</f>
        <v>149</v>
      </c>
      <c r="BJ349">
        <f>ROUNDUP(tbl_Data_old[[#This Row],[Adjusted 2033]]/$L349,0)</f>
        <v>139</v>
      </c>
      <c r="BK349">
        <f>ROUNDUP(tbl_Data_old[[#This Row],[Adjusted 2034]]/$L349,0)</f>
        <v>118</v>
      </c>
      <c r="BL349" s="3">
        <f t="shared" si="24"/>
        <v>762.89829066204982</v>
      </c>
      <c r="BM349" s="3">
        <f t="shared" si="24"/>
        <v>1046.2721701457046</v>
      </c>
      <c r="BN349" s="3">
        <f t="shared" si="24"/>
        <v>1391.7686051946591</v>
      </c>
      <c r="BO349" s="3">
        <f t="shared" si="24"/>
        <v>1795.1319714425292</v>
      </c>
      <c r="BP349" s="3">
        <f t="shared" si="24"/>
        <v>2223.5209916205968</v>
      </c>
      <c r="BQ349" s="3">
        <f t="shared" si="23"/>
        <v>2610.5117720836229</v>
      </c>
      <c r="BR349" s="3">
        <f t="shared" si="23"/>
        <v>2869.5708094974957</v>
      </c>
      <c r="BS349" s="3">
        <f t="shared" si="23"/>
        <v>2919.2308276259237</v>
      </c>
      <c r="BT349" s="3">
        <f t="shared" si="23"/>
        <v>2717.714190441819</v>
      </c>
      <c r="BU349" s="3">
        <f t="shared" si="23"/>
        <v>2305.2827341774068</v>
      </c>
      <c r="BV349">
        <f>VLOOKUP($H349,'1. Set Program Names'!$B$2:$D$15,3,0)*V349</f>
        <v>725.91026419924879</v>
      </c>
      <c r="BW349">
        <f>VLOOKUP($H349,'1. Set Program Names'!$B$2:$D$15,3,0)*W349</f>
        <v>995.54516866945562</v>
      </c>
      <c r="BX349">
        <f>VLOOKUP($H349,'1. Set Program Names'!$B$2:$D$15,3,0)*X349</f>
        <v>1324.2907059397505</v>
      </c>
      <c r="BY349">
        <f>VLOOKUP($H349,'1. Set Program Names'!$B$2:$D$15,3,0)*Y349</f>
        <v>1708.0975794709395</v>
      </c>
      <c r="BZ349">
        <f>VLOOKUP($H349,'1. Set Program Names'!$B$2:$D$15,3,0)*Z349</f>
        <v>2115.7167740920913</v>
      </c>
      <c r="CA349">
        <f>VLOOKUP($H349,'1. Set Program Names'!$B$2:$D$15,3,0)*AA349</f>
        <v>2483.9448631140285</v>
      </c>
      <c r="CB349">
        <f>VLOOKUP($H349,'1. Set Program Names'!$B$2:$D$15,3,0)*AB349</f>
        <v>2730.4437956638876</v>
      </c>
      <c r="CC349">
        <f>VLOOKUP($H349,'1. Set Program Names'!$B$2:$D$15,3,0)*AC349</f>
        <v>2777.696119231769</v>
      </c>
      <c r="CD349">
        <f>VLOOKUP($H349,'1. Set Program Names'!$B$2:$D$15,3,0)*AD349</f>
        <v>2585.9497263909725</v>
      </c>
      <c r="CE349">
        <f>VLOOKUP($H349,'1. Set Program Names'!$B$2:$D$15,3,0)*AE349</f>
        <v>2193.5144161464459</v>
      </c>
    </row>
    <row r="350" spans="1:83" x14ac:dyDescent="0.25">
      <c r="A350" s="20" t="s">
        <v>87</v>
      </c>
      <c r="B350" s="20" t="s">
        <v>88</v>
      </c>
      <c r="C350" s="20" t="s">
        <v>122</v>
      </c>
      <c r="D350" s="20" t="s">
        <v>90</v>
      </c>
      <c r="E350" s="20" t="s">
        <v>91</v>
      </c>
      <c r="F350" s="20" t="s">
        <v>90</v>
      </c>
      <c r="G350" s="20" t="s">
        <v>92</v>
      </c>
      <c r="H350" s="20" t="s">
        <v>16</v>
      </c>
      <c r="I350" s="20" t="s">
        <v>167</v>
      </c>
      <c r="J350" s="20" t="s">
        <v>124</v>
      </c>
      <c r="K350" s="20" t="s">
        <v>98</v>
      </c>
      <c r="L350" s="20">
        <v>151.66</v>
      </c>
      <c r="M350" s="20">
        <v>2.2013191527321101E-2</v>
      </c>
      <c r="N350" s="20">
        <v>1.95296013954902E-2</v>
      </c>
      <c r="O350" s="20">
        <v>56.6</v>
      </c>
      <c r="P350" s="20">
        <v>25.402483751835899</v>
      </c>
      <c r="Q350" s="20">
        <v>5.5245987839176403</v>
      </c>
      <c r="R350" s="20">
        <v>70.564478576335205</v>
      </c>
      <c r="S350" s="20">
        <v>171.417444155428</v>
      </c>
      <c r="T350" s="20">
        <v>16</v>
      </c>
      <c r="U350" s="20">
        <v>0.6</v>
      </c>
      <c r="V350" s="20">
        <v>2896.54552335176</v>
      </c>
      <c r="W350" s="20">
        <v>3939.4033259757898</v>
      </c>
      <c r="X350" s="20">
        <v>5089.28649105973</v>
      </c>
      <c r="Y350" s="20">
        <v>6283.4550842795297</v>
      </c>
      <c r="Z350" s="20">
        <v>7417.8880930865798</v>
      </c>
      <c r="AA350" s="20">
        <v>8411.1994509163305</v>
      </c>
      <c r="AB350" s="20">
        <v>9206.1807887388495</v>
      </c>
      <c r="AC350" s="20">
        <v>9819.35251532451</v>
      </c>
      <c r="AD350" s="20">
        <v>10300.830215578</v>
      </c>
      <c r="AE350" s="20">
        <v>10659.9887009699</v>
      </c>
      <c r="AF350" t="str">
        <f t="shared" si="22"/>
        <v>NonResidential</v>
      </c>
      <c r="AG350" t="str">
        <f>tbl_Data_old[[#This Row],[All_Meas_Name_Append]]</f>
        <v>Refrigerated Display Case LED Lighting</v>
      </c>
      <c r="AH350">
        <f>AVERAGEIFS('3. Incentive Adjustment'!G:G,'3. Incentive Adjustment'!A:A,tbl_Data_old[[#This Row],[Trimmed Sector]],'3. Incentive Adjustment'!B:B,tbl_Data_old[[#This Row],[Trimmed Measure Name]])</f>
        <v>0.72450810749703154</v>
      </c>
      <c r="AI350">
        <f>$AH350*tbl_Data_old[[#This Row],[2025 ]]</f>
        <v>2098.5707154025827</v>
      </c>
      <c r="AJ350">
        <f>$AH350*tbl_Data_old[[#This Row],[2026 ]]</f>
        <v>2854.1296483702313</v>
      </c>
      <c r="AK350">
        <f>$AH350*tbl_Data_old[[#This Row],[2027 ]]</f>
        <v>3687.2293241478933</v>
      </c>
      <c r="AL350">
        <f>$AH350*tbl_Data_old[[#This Row],[2028 ]]</f>
        <v>4552.414151653963</v>
      </c>
      <c r="AM350">
        <f>$AH350*tbl_Data_old[[#This Row],[2029 ]]</f>
        <v>5374.3200639469223</v>
      </c>
      <c r="AN350">
        <f>$AH350*tbl_Data_old[[#This Row],[2030 ]]</f>
        <v>6093.9821959634619</v>
      </c>
      <c r="AO350">
        <f>$AH350*tbl_Data_old[[#This Row],[2031 ]]</f>
        <v>6669.952620524713</v>
      </c>
      <c r="AP350">
        <f>$AH350*tbl_Data_old[[#This Row],[2032 ]]</f>
        <v>7114.2005077239774</v>
      </c>
      <c r="AQ350">
        <f>$AH350*tbl_Data_old[[#This Row],[2033 ]]</f>
        <v>7463.0350051366568</v>
      </c>
      <c r="AR350">
        <f>$AH350*tbl_Data_old[[#This Row],[2034 ]]</f>
        <v>7723.2482396794412</v>
      </c>
      <c r="AS350">
        <f>SUM(tbl_Data_old[[#This Row],[Adjusted 2025]:[Adjusted 2034]])</f>
        <v>53631.082472549846</v>
      </c>
      <c r="AT350" s="3">
        <f>AVERAGEIFS('3. Incentive Adjustment'!F:F,'3. Incentive Adjustment'!A:A,tbl_Data_old[[#This Row],[Trimmed Sector]],'3. Incentive Adjustment'!B:B,tbl_Data_old[[#This Row],[Trimmed Measure Name]])</f>
        <v>6.879122352287844</v>
      </c>
      <c r="AU350" s="3">
        <f>IFERROR(VLOOKUP(tbl_Data_old[[#This Row],[All_Meas_Name_Append]],'IRA Tax Credits'!$A$3:$D$46,4,0),0)</f>
        <v>0</v>
      </c>
      <c r="AV350" s="4">
        <f>tbl_Data_old[[#This Row],[Adj. per unit Incentive ($)]]/tbl_Data_old[[#This Row],[kWh Savings]]*tbl_Data_old[[#This Row],[Sum of Annuals]]</f>
        <v>2432.6439286186896</v>
      </c>
      <c r="AW350" s="4">
        <f>IFERROR(VLOOKUP(tbl_Data_old[[#This Row],[All_Programs]],'1. Set Program Names'!$B$2:$D$15,3,0)*tbl_Data_old[[#This Row],[Sum of Annuals]],"")</f>
        <v>1953.6477186340205</v>
      </c>
      <c r="AX350" s="4">
        <f>tbl_Data_old[[#This Row],[per unit IRA tax ($)]]/tbl_Data_old[[#This Row],[kWh Savings]]*tbl_Data_old[[#This Row],[Sum of Annuals]]</f>
        <v>0</v>
      </c>
      <c r="AY350" s="4">
        <f>tbl_Data_old[[#This Row],[Avoided Costs ($/unit)]]/tbl_Data_old[[#This Row],[kWh Savings]]*tbl_Data_old[[#This Row],[Sum of Annuals]]</f>
        <v>24953.510287220826</v>
      </c>
      <c r="AZ350" s="4">
        <f>tbl_Data_old[[#This Row],[Lost Revenue ($/unit)]]/tbl_Data_old[[#This Row],[kWh Savings]]*tbl_Data_old[[#This Row],[Sum of Annuals]]</f>
        <v>60617.84969493252</v>
      </c>
      <c r="BA350" s="4">
        <f>tbl_Data_old[[#This Row],[Incremental Cost ($/unit)]]/tbl_Data_old[[#This Row],[kWh Savings]]*tbl_Data_old[[#This Row],[Sum of Annuals]]</f>
        <v>20015.292548769099</v>
      </c>
      <c r="BB350">
        <f>ROUNDUP(tbl_Data_old[[#This Row],[Adjusted 2025]]/$L350,0)</f>
        <v>14</v>
      </c>
      <c r="BC350">
        <f>ROUNDUP(tbl_Data_old[[#This Row],[Adjusted 2026]]/$L350,0)</f>
        <v>19</v>
      </c>
      <c r="BD350">
        <f>ROUNDUP(tbl_Data_old[[#This Row],[Adjusted 2027]]/$L350,0)</f>
        <v>25</v>
      </c>
      <c r="BE350">
        <f>ROUNDUP(tbl_Data_old[[#This Row],[Adjusted 2028]]/$L350,0)</f>
        <v>31</v>
      </c>
      <c r="BF350">
        <f>ROUNDUP(tbl_Data_old[[#This Row],[Adjusted 2029]]/$L350,0)</f>
        <v>36</v>
      </c>
      <c r="BG350">
        <f>ROUNDUP(tbl_Data_old[[#This Row],[Adjusted 2030]]/$L350,0)</f>
        <v>41</v>
      </c>
      <c r="BH350">
        <f>ROUNDUP(tbl_Data_old[[#This Row],[Adjusted 2031]]/$L350,0)</f>
        <v>44</v>
      </c>
      <c r="BI350">
        <f>ROUNDUP(tbl_Data_old[[#This Row],[Adjusted 2032]]/$L350,0)</f>
        <v>47</v>
      </c>
      <c r="BJ350">
        <f>ROUNDUP(tbl_Data_old[[#This Row],[Adjusted 2033]]/$L350,0)</f>
        <v>50</v>
      </c>
      <c r="BK350">
        <f>ROUNDUP(tbl_Data_old[[#This Row],[Adjusted 2034]]/$L350,0)</f>
        <v>51</v>
      </c>
      <c r="BL350" s="3">
        <f t="shared" si="24"/>
        <v>131.38395789336928</v>
      </c>
      <c r="BM350" s="3">
        <f t="shared" si="24"/>
        <v>178.68678276669613</v>
      </c>
      <c r="BN350" s="3">
        <f t="shared" si="24"/>
        <v>230.84415441016458</v>
      </c>
      <c r="BO350" s="3">
        <f t="shared" si="24"/>
        <v>285.01026190072537</v>
      </c>
      <c r="BP350" s="3">
        <f t="shared" si="24"/>
        <v>336.46683230859651</v>
      </c>
      <c r="BQ350" s="3">
        <f t="shared" si="23"/>
        <v>381.52228769846874</v>
      </c>
      <c r="BR350" s="3">
        <f t="shared" si="23"/>
        <v>417.58172255714334</v>
      </c>
      <c r="BS350" s="3">
        <f t="shared" si="23"/>
        <v>445.39448353661282</v>
      </c>
      <c r="BT350" s="3">
        <f t="shared" si="23"/>
        <v>467.23375565808146</v>
      </c>
      <c r="BU350" s="3">
        <f t="shared" si="23"/>
        <v>483.52476953697675</v>
      </c>
      <c r="BV350">
        <f>VLOOKUP($H350,'1. Set Program Names'!$B$2:$D$15,3,0)*V350</f>
        <v>105.51399100534893</v>
      </c>
      <c r="BW350">
        <f>VLOOKUP($H350,'1. Set Program Names'!$B$2:$D$15,3,0)*W350</f>
        <v>143.50272203644306</v>
      </c>
      <c r="BX350">
        <f>VLOOKUP($H350,'1. Set Program Names'!$B$2:$D$15,3,0)*X350</f>
        <v>185.39012237582131</v>
      </c>
      <c r="BY350">
        <f>VLOOKUP($H350,'1. Set Program Names'!$B$2:$D$15,3,0)*Y350</f>
        <v>228.89073135574182</v>
      </c>
      <c r="BZ350">
        <f>VLOOKUP($H350,'1. Set Program Names'!$B$2:$D$15,3,0)*Z350</f>
        <v>270.2153207062064</v>
      </c>
      <c r="CA350">
        <f>VLOOKUP($H350,'1. Set Program Names'!$B$2:$D$15,3,0)*AA350</f>
        <v>306.39919726902997</v>
      </c>
      <c r="CB350">
        <f>VLOOKUP($H350,'1. Set Program Names'!$B$2:$D$15,3,0)*AB350</f>
        <v>335.35840162200049</v>
      </c>
      <c r="CC350">
        <f>VLOOKUP($H350,'1. Set Program Names'!$B$2:$D$15,3,0)*AC350</f>
        <v>357.69473140591066</v>
      </c>
      <c r="CD350">
        <f>VLOOKUP($H350,'1. Set Program Names'!$B$2:$D$15,3,0)*AD350</f>
        <v>375.23377345591655</v>
      </c>
      <c r="CE350">
        <f>VLOOKUP($H350,'1. Set Program Names'!$B$2:$D$15,3,0)*AE350</f>
        <v>388.31702897239938</v>
      </c>
    </row>
    <row r="351" spans="1:83" x14ac:dyDescent="0.25">
      <c r="A351" s="20" t="s">
        <v>113</v>
      </c>
      <c r="B351" s="20" t="s">
        <v>88</v>
      </c>
      <c r="C351" s="20" t="s">
        <v>122</v>
      </c>
      <c r="D351" s="20" t="s">
        <v>90</v>
      </c>
      <c r="E351" s="20" t="s">
        <v>91</v>
      </c>
      <c r="F351" s="20" t="s">
        <v>90</v>
      </c>
      <c r="G351" s="20" t="s">
        <v>92</v>
      </c>
      <c r="H351" s="20" t="s">
        <v>16</v>
      </c>
      <c r="I351" s="20" t="s">
        <v>157</v>
      </c>
      <c r="J351" s="20" t="s">
        <v>158</v>
      </c>
      <c r="K351" s="20" t="s">
        <v>159</v>
      </c>
      <c r="L351" s="20">
        <v>562.52</v>
      </c>
      <c r="M351" s="20">
        <v>0</v>
      </c>
      <c r="N351" s="20">
        <v>2.7796637938074201E-2</v>
      </c>
      <c r="O351" s="20">
        <v>169</v>
      </c>
      <c r="P351" s="20">
        <v>53.285725702774101</v>
      </c>
      <c r="Q351" s="20">
        <v>20.491212633056499</v>
      </c>
      <c r="R351" s="20">
        <v>275.373630058213</v>
      </c>
      <c r="S351" s="20">
        <v>610.96426176974103</v>
      </c>
      <c r="T351" s="20">
        <v>15</v>
      </c>
      <c r="U351" s="20">
        <v>0.59999999999999898</v>
      </c>
      <c r="V351" s="20">
        <v>225.816482773052</v>
      </c>
      <c r="W351" s="20">
        <v>471.77797228397202</v>
      </c>
      <c r="X351" s="20">
        <v>733.64734752802804</v>
      </c>
      <c r="Y351" s="20">
        <v>1008.8368938119</v>
      </c>
      <c r="Z351" s="20">
        <v>1294.8188769706701</v>
      </c>
      <c r="AA351" s="20">
        <v>1589.09276357828</v>
      </c>
      <c r="AB351" s="20">
        <v>1889.53300874245</v>
      </c>
      <c r="AC351" s="20">
        <v>2194.91277141298</v>
      </c>
      <c r="AD351" s="20">
        <v>2504.3874780491301</v>
      </c>
      <c r="AE351" s="20">
        <v>2816.8574085781902</v>
      </c>
      <c r="AF351" t="str">
        <f t="shared" si="22"/>
        <v>NonResidential</v>
      </c>
      <c r="AG351" t="str">
        <f>tbl_Data_old[[#This Row],[All_Meas_Name_Append]]</f>
        <v>LED Exterior Wall Packs</v>
      </c>
      <c r="AH351">
        <f>AVERAGEIFS('3. Incentive Adjustment'!G:G,'3. Incentive Adjustment'!A:A,tbl_Data_old[[#This Row],[Trimmed Sector]],'3. Incentive Adjustment'!B:B,tbl_Data_old[[#This Row],[Trimmed Measure Name]])</f>
        <v>0.80637708305213962</v>
      </c>
      <c r="AI351">
        <f>$AH351*tbl_Data_old[[#This Row],[2025 ]]</f>
        <v>182.0932366836274</v>
      </c>
      <c r="AJ351">
        <f>$AH351*tbl_Data_old[[#This Row],[2026 ]]</f>
        <v>380.43094513860251</v>
      </c>
      <c r="AK351">
        <f>$AH351*tbl_Data_old[[#This Row],[2027 ]]</f>
        <v>591.59640808859058</v>
      </c>
      <c r="AL351">
        <f>$AH351*tbl_Data_old[[#This Row],[2028 ]]</f>
        <v>813.50295170742106</v>
      </c>
      <c r="AM351">
        <f>$AH351*tbl_Data_old[[#This Row],[2029 ]]</f>
        <v>1044.1122690924562</v>
      </c>
      <c r="AN351">
        <f>$AH351*tbl_Data_old[[#This Row],[2030 ]]</f>
        <v>1281.4079873935168</v>
      </c>
      <c r="AO351">
        <f>$AH351*tbl_Data_old[[#This Row],[2031 ]]</f>
        <v>1523.6761159204698</v>
      </c>
      <c r="AP351">
        <f>$AH351*tbl_Data_old[[#This Row],[2032 ]]</f>
        <v>1769.9273581658865</v>
      </c>
      <c r="AQ351">
        <f>$AH351*tbl_Data_old[[#This Row],[2033 ]]</f>
        <v>2019.4806693815619</v>
      </c>
      <c r="AR351">
        <f>$AH351*tbl_Data_old[[#This Row],[2034 ]]</f>
        <v>2271.44926050309</v>
      </c>
      <c r="AS351">
        <f>SUM(tbl_Data_old[[#This Row],[Adjusted 2025]:[Adjusted 2034]])</f>
        <v>11877.677202075223</v>
      </c>
      <c r="AT351" s="3">
        <f>AVERAGEIFS('3. Incentive Adjustment'!F:F,'3. Incentive Adjustment'!A:A,tbl_Data_old[[#This Row],[Trimmed Sector]],'3. Incentive Adjustment'!B:B,tbl_Data_old[[#This Row],[Trimmed Measure Name]])</f>
        <v>8.6864493556481861</v>
      </c>
      <c r="AU351" s="3">
        <f>IFERROR(VLOOKUP(tbl_Data_old[[#This Row],[All_Meas_Name_Append]],'IRA Tax Credits'!$A$3:$D$46,4,0),0)</f>
        <v>0</v>
      </c>
      <c r="AV351" s="4">
        <f>tbl_Data_old[[#This Row],[Adj. per unit Incentive ($)]]/tbl_Data_old[[#This Row],[kWh Savings]]*tbl_Data_old[[#This Row],[Sum of Annuals]]</f>
        <v>183.41541896921615</v>
      </c>
      <c r="AW351" s="4">
        <f>IFERROR(VLOOKUP(tbl_Data_old[[#This Row],[All_Programs]],'1. Set Program Names'!$B$2:$D$15,3,0)*tbl_Data_old[[#This Row],[Sum of Annuals]],"")</f>
        <v>432.67441003792072</v>
      </c>
      <c r="AX351" s="4">
        <f>tbl_Data_old[[#This Row],[per unit IRA tax ($)]]/tbl_Data_old[[#This Row],[kWh Savings]]*tbl_Data_old[[#This Row],[Sum of Annuals]]</f>
        <v>0</v>
      </c>
      <c r="AY351" s="4">
        <f>tbl_Data_old[[#This Row],[Avoided Costs ($/unit)]]/tbl_Data_old[[#This Row],[kWh Savings]]*tbl_Data_old[[#This Row],[Sum of Annuals]]</f>
        <v>5814.5471944022138</v>
      </c>
      <c r="AZ351" s="4">
        <f>tbl_Data_old[[#This Row],[Lost Revenue ($/unit)]]/tbl_Data_old[[#This Row],[kWh Savings]]*tbl_Data_old[[#This Row],[Sum of Annuals]]</f>
        <v>12900.583594014743</v>
      </c>
      <c r="BA351" s="4">
        <f>tbl_Data_old[[#This Row],[Incremental Cost ($/unit)]]/tbl_Data_old[[#This Row],[kWh Savings]]*tbl_Data_old[[#This Row],[Sum of Annuals]]</f>
        <v>3568.4552498590497</v>
      </c>
      <c r="BB351">
        <f>ROUNDUP(tbl_Data_old[[#This Row],[Adjusted 2025]]/$L351,0)</f>
        <v>1</v>
      </c>
      <c r="BC351">
        <f>ROUNDUP(tbl_Data_old[[#This Row],[Adjusted 2026]]/$L351,0)</f>
        <v>1</v>
      </c>
      <c r="BD351">
        <f>ROUNDUP(tbl_Data_old[[#This Row],[Adjusted 2027]]/$L351,0)</f>
        <v>2</v>
      </c>
      <c r="BE351">
        <f>ROUNDUP(tbl_Data_old[[#This Row],[Adjusted 2028]]/$L351,0)</f>
        <v>2</v>
      </c>
      <c r="BF351">
        <f>ROUNDUP(tbl_Data_old[[#This Row],[Adjusted 2029]]/$L351,0)</f>
        <v>2</v>
      </c>
      <c r="BG351">
        <f>ROUNDUP(tbl_Data_old[[#This Row],[Adjusted 2030]]/$L351,0)</f>
        <v>3</v>
      </c>
      <c r="BH351">
        <f>ROUNDUP(tbl_Data_old[[#This Row],[Adjusted 2031]]/$L351,0)</f>
        <v>3</v>
      </c>
      <c r="BI351">
        <f>ROUNDUP(tbl_Data_old[[#This Row],[Adjusted 2032]]/$L351,0)</f>
        <v>4</v>
      </c>
      <c r="BJ351">
        <f>ROUNDUP(tbl_Data_old[[#This Row],[Adjusted 2033]]/$L351,0)</f>
        <v>4</v>
      </c>
      <c r="BK351">
        <f>ROUNDUP(tbl_Data_old[[#This Row],[Adjusted 2034]]/$L351,0)</f>
        <v>5</v>
      </c>
      <c r="BL351" s="3">
        <f t="shared" si="24"/>
        <v>3.4870643555406335</v>
      </c>
      <c r="BM351" s="3">
        <f t="shared" si="24"/>
        <v>7.2852084607749354</v>
      </c>
      <c r="BN351" s="3">
        <f t="shared" si="24"/>
        <v>11.329002576277892</v>
      </c>
      <c r="BO351" s="3">
        <f t="shared" si="24"/>
        <v>15.578487140379892</v>
      </c>
      <c r="BP351" s="3">
        <f t="shared" si="24"/>
        <v>19.994628812385312</v>
      </c>
      <c r="BQ351" s="3">
        <f t="shared" si="23"/>
        <v>24.538814286158264</v>
      </c>
      <c r="BR351" s="3">
        <f t="shared" si="23"/>
        <v>29.178220838844542</v>
      </c>
      <c r="BS351" s="3">
        <f t="shared" si="23"/>
        <v>33.893903557107755</v>
      </c>
      <c r="BT351" s="3">
        <f t="shared" si="23"/>
        <v>38.672820513036427</v>
      </c>
      <c r="BU351" s="3">
        <f t="shared" si="23"/>
        <v>43.49798979893486</v>
      </c>
      <c r="BV351">
        <f>VLOOKUP($H351,'1. Set Program Names'!$B$2:$D$15,3,0)*V351</f>
        <v>8.2259360814754174</v>
      </c>
      <c r="BW351">
        <f>VLOOKUP($H351,'1. Set Program Names'!$B$2:$D$15,3,0)*W351</f>
        <v>17.185704945003046</v>
      </c>
      <c r="BX351">
        <f>VLOOKUP($H351,'1. Set Program Names'!$B$2:$D$15,3,0)*X351</f>
        <v>26.724958749688422</v>
      </c>
      <c r="BY351">
        <f>VLOOKUP($H351,'1. Set Program Names'!$B$2:$D$15,3,0)*Y351</f>
        <v>36.749433448005227</v>
      </c>
      <c r="BZ351">
        <f>VLOOKUP($H351,'1. Set Program Names'!$B$2:$D$15,3,0)*Z351</f>
        <v>47.167049934760442</v>
      </c>
      <c r="CA351">
        <f>VLOOKUP($H351,'1. Set Program Names'!$B$2:$D$15,3,0)*AA351</f>
        <v>57.886719960417302</v>
      </c>
      <c r="CB351">
        <f>VLOOKUP($H351,'1. Set Program Names'!$B$2:$D$15,3,0)*AB351</f>
        <v>68.831015180474608</v>
      </c>
      <c r="CC351">
        <f>VLOOKUP($H351,'1. Set Program Names'!$B$2:$D$15,3,0)*AC351</f>
        <v>79.955244809135223</v>
      </c>
      <c r="CD351">
        <f>VLOOKUP($H351,'1. Set Program Names'!$B$2:$D$15,3,0)*AD351</f>
        <v>91.228643120722609</v>
      </c>
      <c r="CE351">
        <f>VLOOKUP($H351,'1. Set Program Names'!$B$2:$D$15,3,0)*AE351</f>
        <v>102.61115003231218</v>
      </c>
    </row>
    <row r="352" spans="1:83" x14ac:dyDescent="0.25">
      <c r="A352" s="20" t="s">
        <v>113</v>
      </c>
      <c r="B352" s="20" t="s">
        <v>88</v>
      </c>
      <c r="C352" s="20" t="s">
        <v>122</v>
      </c>
      <c r="D352" s="20" t="s">
        <v>90</v>
      </c>
      <c r="E352" s="20" t="s">
        <v>91</v>
      </c>
      <c r="F352" s="20" t="s">
        <v>90</v>
      </c>
      <c r="G352" s="20" t="s">
        <v>92</v>
      </c>
      <c r="H352" s="20" t="s">
        <v>16</v>
      </c>
      <c r="I352" s="20" t="s">
        <v>160</v>
      </c>
      <c r="J352" s="20" t="s">
        <v>161</v>
      </c>
      <c r="K352" s="20" t="s">
        <v>159</v>
      </c>
      <c r="L352" s="20">
        <v>698.53499999999997</v>
      </c>
      <c r="M352" s="20">
        <v>9.14911955902553E-2</v>
      </c>
      <c r="N352" s="20">
        <v>9.6647765821509996E-2</v>
      </c>
      <c r="O352" s="20">
        <v>179</v>
      </c>
      <c r="P352" s="20">
        <v>35.4245718525491</v>
      </c>
      <c r="Q352" s="20">
        <v>25.445902753025901</v>
      </c>
      <c r="R352" s="20">
        <v>291.28765455670799</v>
      </c>
      <c r="S352" s="20">
        <v>758.69288308917999</v>
      </c>
      <c r="T352" s="20">
        <v>15</v>
      </c>
      <c r="U352" s="20">
        <v>0.59999999999999898</v>
      </c>
      <c r="V352" s="20">
        <v>10019.866471376699</v>
      </c>
      <c r="W352" s="20">
        <v>20926.024788345399</v>
      </c>
      <c r="X352" s="20">
        <v>32535.386507482599</v>
      </c>
      <c r="Y352" s="20">
        <v>44733.919033506099</v>
      </c>
      <c r="Z352" s="20">
        <v>57408.116547686899</v>
      </c>
      <c r="AA352" s="20">
        <v>70447.964765136203</v>
      </c>
      <c r="AB352" s="20">
        <v>83757.823454507903</v>
      </c>
      <c r="AC352" s="20">
        <v>97282.362588526506</v>
      </c>
      <c r="AD352" s="20">
        <v>110986.170522944</v>
      </c>
      <c r="AE352" s="20">
        <v>124819.47056847801</v>
      </c>
      <c r="AF352" t="str">
        <f t="shared" si="22"/>
        <v>NonResidential</v>
      </c>
      <c r="AG352" t="str">
        <f>tbl_Data_old[[#This Row],[All_Meas_Name_Append]]</f>
        <v>LED High Bay_HID Baseline</v>
      </c>
      <c r="AH352">
        <f>AVERAGEIFS('3. Incentive Adjustment'!G:G,'3. Incentive Adjustment'!A:A,tbl_Data_old[[#This Row],[Trimmed Sector]],'3. Incentive Adjustment'!B:B,tbl_Data_old[[#This Row],[Trimmed Measure Name]])</f>
        <v>1.0603846876879557</v>
      </c>
      <c r="AI352">
        <f>$AH352*tbl_Data_old[[#This Row],[2025 ]]</f>
        <v>10624.9129789258</v>
      </c>
      <c r="AJ352">
        <f>$AH352*tbl_Data_old[[#This Row],[2026 ]]</f>
        <v>22189.636259740055</v>
      </c>
      <c r="AK352">
        <f>$AH352*tbl_Data_old[[#This Row],[2027 ]]</f>
        <v>34500.025660543863</v>
      </c>
      <c r="AL352">
        <f>$AH352*tbl_Data_old[[#This Row],[2028 ]]</f>
        <v>47435.162763402659</v>
      </c>
      <c r="AM352">
        <f>$AH352*tbl_Data_old[[#This Row],[2029 ]]</f>
        <v>60874.687736172731</v>
      </c>
      <c r="AN352">
        <f>$AH352*tbl_Data_old[[#This Row],[2030 ]]</f>
        <v>74701.943115731061</v>
      </c>
      <c r="AO352">
        <f>$AH352*tbl_Data_old[[#This Row],[2031 ]]</f>
        <v>88815.513465231299</v>
      </c>
      <c r="AP352">
        <f>$AH352*tbl_Data_old[[#This Row],[2032 ]]</f>
        <v>103156.72767098114</v>
      </c>
      <c r="AQ352">
        <f>$AH352*tbl_Data_old[[#This Row],[2033 ]]</f>
        <v>117688.03576765416</v>
      </c>
      <c r="AR352">
        <f>$AH352*tbl_Data_old[[#This Row],[2034 ]]</f>
        <v>132356.65531613154</v>
      </c>
      <c r="AS352">
        <f>SUM(tbl_Data_old[[#This Row],[Adjusted 2025]:[Adjusted 2034]])</f>
        <v>692343.30073451425</v>
      </c>
      <c r="AT352" s="3">
        <f>AVERAGEIFS('3. Incentive Adjustment'!F:F,'3. Incentive Adjustment'!A:A,tbl_Data_old[[#This Row],[Trimmed Sector]],'3. Incentive Adjustment'!B:B,tbl_Data_old[[#This Row],[Trimmed Measure Name]])</f>
        <v>28.590998621954778</v>
      </c>
      <c r="AU352" s="3">
        <f>IFERROR(VLOOKUP(tbl_Data_old[[#This Row],[All_Meas_Name_Append]],'IRA Tax Credits'!$A$3:$D$46,4,0),0)</f>
        <v>0</v>
      </c>
      <c r="AV352" s="4">
        <f>tbl_Data_old[[#This Row],[Adj. per unit Incentive ($)]]/tbl_Data_old[[#This Row],[kWh Savings]]*tbl_Data_old[[#This Row],[Sum of Annuals]]</f>
        <v>28337.572716070234</v>
      </c>
      <c r="AW352" s="4">
        <f>IFERROR(VLOOKUP(tbl_Data_old[[#This Row],[All_Programs]],'1. Set Program Names'!$B$2:$D$15,3,0)*tbl_Data_old[[#This Row],[Sum of Annuals]],"")</f>
        <v>25220.354459260336</v>
      </c>
      <c r="AX352" s="4">
        <f>tbl_Data_old[[#This Row],[per unit IRA tax ($)]]/tbl_Data_old[[#This Row],[kWh Savings]]*tbl_Data_old[[#This Row],[Sum of Annuals]]</f>
        <v>0</v>
      </c>
      <c r="AY352" s="4">
        <f>tbl_Data_old[[#This Row],[Avoided Costs ($/unit)]]/tbl_Data_old[[#This Row],[kWh Savings]]*tbl_Data_old[[#This Row],[Sum of Annuals]]</f>
        <v>288705.72873085272</v>
      </c>
      <c r="AZ352" s="4">
        <f>tbl_Data_old[[#This Row],[Lost Revenue ($/unit)]]/tbl_Data_old[[#This Row],[kWh Savings]]*tbl_Data_old[[#This Row],[Sum of Annuals]]</f>
        <v>751967.95424960507</v>
      </c>
      <c r="BA352" s="4">
        <f>tbl_Data_old[[#This Row],[Incremental Cost ($/unit)]]/tbl_Data_old[[#This Row],[kWh Savings]]*tbl_Data_old[[#This Row],[Sum of Annuals]]</f>
        <v>177413.37346228617</v>
      </c>
      <c r="BB352">
        <f>ROUNDUP(tbl_Data_old[[#This Row],[Adjusted 2025]]/$L352,0)</f>
        <v>16</v>
      </c>
      <c r="BC352">
        <f>ROUNDUP(tbl_Data_old[[#This Row],[Adjusted 2026]]/$L352,0)</f>
        <v>32</v>
      </c>
      <c r="BD352">
        <f>ROUNDUP(tbl_Data_old[[#This Row],[Adjusted 2027]]/$L352,0)</f>
        <v>50</v>
      </c>
      <c r="BE352">
        <f>ROUNDUP(tbl_Data_old[[#This Row],[Adjusted 2028]]/$L352,0)</f>
        <v>68</v>
      </c>
      <c r="BF352">
        <f>ROUNDUP(tbl_Data_old[[#This Row],[Adjusted 2029]]/$L352,0)</f>
        <v>88</v>
      </c>
      <c r="BG352">
        <f>ROUNDUP(tbl_Data_old[[#This Row],[Adjusted 2030]]/$L352,0)</f>
        <v>107</v>
      </c>
      <c r="BH352">
        <f>ROUNDUP(tbl_Data_old[[#This Row],[Adjusted 2031]]/$L352,0)</f>
        <v>128</v>
      </c>
      <c r="BI352">
        <f>ROUNDUP(tbl_Data_old[[#This Row],[Adjusted 2032]]/$L352,0)</f>
        <v>148</v>
      </c>
      <c r="BJ352">
        <f>ROUNDUP(tbl_Data_old[[#This Row],[Adjusted 2033]]/$L352,0)</f>
        <v>169</v>
      </c>
      <c r="BK352">
        <f>ROUNDUP(tbl_Data_old[[#This Row],[Adjusted 2034]]/$L352,0)</f>
        <v>190</v>
      </c>
      <c r="BL352" s="3">
        <f t="shared" si="24"/>
        <v>410.11257628508537</v>
      </c>
      <c r="BM352" s="3">
        <f t="shared" si="24"/>
        <v>856.50102841886928</v>
      </c>
      <c r="BN352" s="3">
        <f t="shared" si="24"/>
        <v>1331.6715566152034</v>
      </c>
      <c r="BO352" s="3">
        <f t="shared" si="24"/>
        <v>1830.9568131040098</v>
      </c>
      <c r="BP352" s="3">
        <f t="shared" si="24"/>
        <v>2349.7110110501771</v>
      </c>
      <c r="BQ352" s="3">
        <f t="shared" si="23"/>
        <v>2883.4312719040963</v>
      </c>
      <c r="BR352" s="3">
        <f t="shared" si="23"/>
        <v>3428.2030463266224</v>
      </c>
      <c r="BS352" s="3">
        <f t="shared" si="23"/>
        <v>3981.7616793848074</v>
      </c>
      <c r="BT352" s="3">
        <f t="shared" si="23"/>
        <v>4542.657774453005</v>
      </c>
      <c r="BU352" s="3">
        <f t="shared" si="23"/>
        <v>5108.8539744128493</v>
      </c>
      <c r="BV352">
        <f>VLOOKUP($H352,'1. Set Program Names'!$B$2:$D$15,3,0)*V352</f>
        <v>364.99895900557067</v>
      </c>
      <c r="BW352">
        <f>VLOOKUP($H352,'1. Set Program Names'!$B$2:$D$15,3,0)*W352</f>
        <v>762.28333837480807</v>
      </c>
      <c r="BX352">
        <f>VLOOKUP($H352,'1. Set Program Names'!$B$2:$D$15,3,0)*X352</f>
        <v>1185.1836788443147</v>
      </c>
      <c r="BY352">
        <f>VLOOKUP($H352,'1. Set Program Names'!$B$2:$D$15,3,0)*Y352</f>
        <v>1629.546054941171</v>
      </c>
      <c r="BZ352">
        <f>VLOOKUP($H352,'1. Set Program Names'!$B$2:$D$15,3,0)*Z352</f>
        <v>2091.2357303597073</v>
      </c>
      <c r="CA352">
        <f>VLOOKUP($H352,'1. Set Program Names'!$B$2:$D$15,3,0)*AA352</f>
        <v>2566.2451567383901</v>
      </c>
      <c r="CB352">
        <f>VLOOKUP($H352,'1. Set Program Names'!$B$2:$D$15,3,0)*AB352</f>
        <v>3051.0903969429169</v>
      </c>
      <c r="CC352">
        <f>VLOOKUP($H352,'1. Set Program Names'!$B$2:$D$15,3,0)*AC352</f>
        <v>3543.7559148965352</v>
      </c>
      <c r="CD352">
        <f>VLOOKUP($H352,'1. Set Program Names'!$B$2:$D$15,3,0)*AD352</f>
        <v>4042.9517519631563</v>
      </c>
      <c r="CE352">
        <f>VLOOKUP($H352,'1. Set Program Names'!$B$2:$D$15,3,0)*AE352</f>
        <v>4546.8646664371445</v>
      </c>
    </row>
    <row r="353" spans="1:83" x14ac:dyDescent="0.25">
      <c r="A353" s="20" t="s">
        <v>113</v>
      </c>
      <c r="B353" s="20" t="s">
        <v>88</v>
      </c>
      <c r="C353" s="20" t="s">
        <v>122</v>
      </c>
      <c r="D353" s="20" t="s">
        <v>90</v>
      </c>
      <c r="E353" s="20" t="s">
        <v>91</v>
      </c>
      <c r="F353" s="20" t="s">
        <v>90</v>
      </c>
      <c r="G353" s="20" t="s">
        <v>92</v>
      </c>
      <c r="H353" s="20" t="s">
        <v>16</v>
      </c>
      <c r="I353" s="20" t="s">
        <v>162</v>
      </c>
      <c r="J353" s="20" t="s">
        <v>161</v>
      </c>
      <c r="K353" s="20" t="s">
        <v>159</v>
      </c>
      <c r="L353" s="20">
        <v>638.46285714285602</v>
      </c>
      <c r="M353" s="20">
        <v>7.6348348575361394E-2</v>
      </c>
      <c r="N353" s="20">
        <v>7.27444471789533E-2</v>
      </c>
      <c r="O353" s="20">
        <v>179</v>
      </c>
      <c r="P353" s="20">
        <v>51.129983050636802</v>
      </c>
      <c r="Q353" s="20">
        <v>23.2576231316629</v>
      </c>
      <c r="R353" s="20">
        <v>256.15438258671003</v>
      </c>
      <c r="S353" s="20">
        <v>693.44732308484095</v>
      </c>
      <c r="T353" s="20">
        <v>15</v>
      </c>
      <c r="U353" s="20">
        <v>0.59999999999999898</v>
      </c>
      <c r="V353" s="20">
        <v>29271.8273182872</v>
      </c>
      <c r="W353" s="20">
        <v>61132.849006767101</v>
      </c>
      <c r="X353" s="20">
        <v>95048.194334859596</v>
      </c>
      <c r="Y353" s="20">
        <v>130684.73087537099</v>
      </c>
      <c r="Z353" s="20">
        <v>167710.86511506099</v>
      </c>
      <c r="AA353" s="20">
        <v>205805.203634265</v>
      </c>
      <c r="AB353" s="20">
        <v>244688.345071235</v>
      </c>
      <c r="AC353" s="20">
        <v>284198.64944717899</v>
      </c>
      <c r="AD353" s="20">
        <v>324232.66592885001</v>
      </c>
      <c r="AE353" s="20">
        <v>364644.97794235701</v>
      </c>
      <c r="AF353" t="str">
        <f t="shared" si="22"/>
        <v>NonResidential</v>
      </c>
      <c r="AG353" t="str">
        <f>tbl_Data_old[[#This Row],[All_Meas_Name_Append]]</f>
        <v>LED High Bay_LF Baseline</v>
      </c>
      <c r="AH353">
        <f>AVERAGEIFS('3. Incentive Adjustment'!G:G,'3. Incentive Adjustment'!A:A,tbl_Data_old[[#This Row],[Trimmed Sector]],'3. Incentive Adjustment'!B:B,tbl_Data_old[[#This Row],[Trimmed Measure Name]])</f>
        <v>0.93017466414143679</v>
      </c>
      <c r="AI353">
        <f>$AH353*tbl_Data_old[[#This Row],[2025 ]]</f>
        <v>27227.912144593931</v>
      </c>
      <c r="AJ353">
        <f>$AH353*tbl_Data_old[[#This Row],[2026 ]]</f>
        <v>56864.227292878757</v>
      </c>
      <c r="AK353">
        <f>$AH353*tbl_Data_old[[#This Row],[2027 ]]</f>
        <v>88411.422242678047</v>
      </c>
      <c r="AL353">
        <f>$AH353*tbl_Data_old[[#This Row],[2028 ]]</f>
        <v>121559.62565041227</v>
      </c>
      <c r="AM353">
        <f>$AH353*tbl_Data_old[[#This Row],[2029 ]]</f>
        <v>156000.39763127165</v>
      </c>
      <c r="AN353">
        <f>$AH353*tbl_Data_old[[#This Row],[2030 ]]</f>
        <v>191434.78616906246</v>
      </c>
      <c r="AO353">
        <f>$AH353*tbl_Data_old[[#This Row],[2031 ]]</f>
        <v>227602.89919596</v>
      </c>
      <c r="AP353">
        <f>$AH353*tbl_Data_old[[#This Row],[2032 ]]</f>
        <v>264354.38329897966</v>
      </c>
      <c r="AQ353">
        <f>$AH353*tbl_Data_old[[#This Row],[2033 ]]</f>
        <v>301593.01113405073</v>
      </c>
      <c r="AR353">
        <f>$AH353*tbl_Data_old[[#This Row],[2034 ]]</f>
        <v>339183.51988839358</v>
      </c>
      <c r="AS353">
        <f>SUM(tbl_Data_old[[#This Row],[Adjusted 2025]:[Adjusted 2034]])</f>
        <v>1774232.1846482812</v>
      </c>
      <c r="AT353" s="3">
        <f>AVERAGEIFS('3. Incentive Adjustment'!F:F,'3. Incentive Adjustment'!A:A,tbl_Data_old[[#This Row],[Trimmed Sector]],'3. Incentive Adjustment'!B:B,tbl_Data_old[[#This Row],[Trimmed Measure Name]])</f>
        <v>23.858858929800434</v>
      </c>
      <c r="AU353" s="3">
        <f>IFERROR(VLOOKUP(tbl_Data_old[[#This Row],[All_Meas_Name_Append]],'IRA Tax Credits'!$A$3:$D$46,4,0),0)</f>
        <v>0</v>
      </c>
      <c r="AV353" s="4">
        <f>tbl_Data_old[[#This Row],[Adj. per unit Incentive ($)]]/tbl_Data_old[[#This Row],[kWh Savings]]*tbl_Data_old[[#This Row],[Sum of Annuals]]</f>
        <v>66301.672726379737</v>
      </c>
      <c r="AW353" s="4">
        <f>IFERROR(VLOOKUP(tbl_Data_old[[#This Row],[All_Programs]],'1. Set Program Names'!$B$2:$D$15,3,0)*tbl_Data_old[[#This Row],[Sum of Annuals]],"")</f>
        <v>64630.89126793771</v>
      </c>
      <c r="AX353" s="4">
        <f>tbl_Data_old[[#This Row],[per unit IRA tax ($)]]/tbl_Data_old[[#This Row],[kWh Savings]]*tbl_Data_old[[#This Row],[Sum of Annuals]]</f>
        <v>0</v>
      </c>
      <c r="AY353" s="4">
        <f>tbl_Data_old[[#This Row],[Avoided Costs ($/unit)]]/tbl_Data_old[[#This Row],[kWh Savings]]*tbl_Data_old[[#This Row],[Sum of Annuals]]</f>
        <v>711830.52348237205</v>
      </c>
      <c r="AZ353" s="4">
        <f>tbl_Data_old[[#This Row],[Lost Revenue ($/unit)]]/tbl_Data_old[[#This Row],[kWh Savings]]*tbl_Data_old[[#This Row],[Sum of Annuals]]</f>
        <v>1927029.1845654415</v>
      </c>
      <c r="BA353" s="4">
        <f>tbl_Data_old[[#This Row],[Incremental Cost ($/unit)]]/tbl_Data_old[[#This Row],[kWh Savings]]*tbl_Data_old[[#This Row],[Sum of Annuals]]</f>
        <v>497425.27305857372</v>
      </c>
      <c r="BB353">
        <f>ROUNDUP(tbl_Data_old[[#This Row],[Adjusted 2025]]/$L353,0)</f>
        <v>43</v>
      </c>
      <c r="BC353">
        <f>ROUNDUP(tbl_Data_old[[#This Row],[Adjusted 2026]]/$L353,0)</f>
        <v>90</v>
      </c>
      <c r="BD353">
        <f>ROUNDUP(tbl_Data_old[[#This Row],[Adjusted 2027]]/$L353,0)</f>
        <v>139</v>
      </c>
      <c r="BE353">
        <f>ROUNDUP(tbl_Data_old[[#This Row],[Adjusted 2028]]/$L353,0)</f>
        <v>191</v>
      </c>
      <c r="BF353">
        <f>ROUNDUP(tbl_Data_old[[#This Row],[Adjusted 2029]]/$L353,0)</f>
        <v>245</v>
      </c>
      <c r="BG353">
        <f>ROUNDUP(tbl_Data_old[[#This Row],[Adjusted 2030]]/$L353,0)</f>
        <v>300</v>
      </c>
      <c r="BH353">
        <f>ROUNDUP(tbl_Data_old[[#This Row],[Adjusted 2031]]/$L353,0)</f>
        <v>357</v>
      </c>
      <c r="BI353">
        <f>ROUNDUP(tbl_Data_old[[#This Row],[Adjusted 2032]]/$L353,0)</f>
        <v>415</v>
      </c>
      <c r="BJ353">
        <f>ROUNDUP(tbl_Data_old[[#This Row],[Adjusted 2033]]/$L353,0)</f>
        <v>473</v>
      </c>
      <c r="BK353">
        <f>ROUNDUP(tbl_Data_old[[#This Row],[Adjusted 2034]]/$L353,0)</f>
        <v>532</v>
      </c>
      <c r="BL353" s="3">
        <f t="shared" si="24"/>
        <v>1093.8653529977039</v>
      </c>
      <c r="BM353" s="3">
        <f t="shared" si="24"/>
        <v>2284.486879873255</v>
      </c>
      <c r="BN353" s="3">
        <f t="shared" si="24"/>
        <v>3551.8768786580563</v>
      </c>
      <c r="BO353" s="3">
        <f t="shared" si="24"/>
        <v>4883.5864504123565</v>
      </c>
      <c r="BP353" s="3">
        <f t="shared" si="24"/>
        <v>6267.2242042103917</v>
      </c>
      <c r="BQ353" s="3">
        <f t="shared" si="23"/>
        <v>7690.7799186666007</v>
      </c>
      <c r="BR353" s="3">
        <f t="shared" si="23"/>
        <v>9143.8125828432894</v>
      </c>
      <c r="BS353" s="3">
        <f t="shared" si="23"/>
        <v>10620.281836822463</v>
      </c>
      <c r="BT353" s="3">
        <f t="shared" si="23"/>
        <v>12116.321803663912</v>
      </c>
      <c r="BU353" s="3">
        <f t="shared" si="23"/>
        <v>13626.498379435499</v>
      </c>
      <c r="BV353">
        <f>VLOOKUP($H353,'1. Set Program Names'!$B$2:$D$15,3,0)*V353</f>
        <v>1066.3002875224622</v>
      </c>
      <c r="BW353">
        <f>VLOOKUP($H353,'1. Set Program Names'!$B$2:$D$15,3,0)*W353</f>
        <v>2226.9185235408563</v>
      </c>
      <c r="BX353">
        <f>VLOOKUP($H353,'1. Set Program Names'!$B$2:$D$15,3,0)*X353</f>
        <v>3462.3706899375766</v>
      </c>
      <c r="BY353">
        <f>VLOOKUP($H353,'1. Set Program Names'!$B$2:$D$15,3,0)*Y353</f>
        <v>4760.5215961405693</v>
      </c>
      <c r="BZ353">
        <f>VLOOKUP($H353,'1. Set Program Names'!$B$2:$D$15,3,0)*Z353</f>
        <v>6109.2921104077632</v>
      </c>
      <c r="CA353">
        <f>VLOOKUP($H353,'1. Set Program Names'!$B$2:$D$15,3,0)*AA353</f>
        <v>7496.9746651838504</v>
      </c>
      <c r="CB353">
        <f>VLOOKUP($H353,'1. Set Program Names'!$B$2:$D$15,3,0)*AB353</f>
        <v>8913.3913597478895</v>
      </c>
      <c r="CC353">
        <f>VLOOKUP($H353,'1. Set Program Names'!$B$2:$D$15,3,0)*AC353</f>
        <v>10352.654049366483</v>
      </c>
      <c r="CD353">
        <f>VLOOKUP($H353,'1. Set Program Names'!$B$2:$D$15,3,0)*AD353</f>
        <v>11810.994275991687</v>
      </c>
      <c r="CE353">
        <f>VLOOKUP($H353,'1. Set Program Names'!$B$2:$D$15,3,0)*AE353</f>
        <v>13283.11487341435</v>
      </c>
    </row>
    <row r="354" spans="1:83" x14ac:dyDescent="0.25">
      <c r="A354" s="20" t="s">
        <v>113</v>
      </c>
      <c r="B354" s="20" t="s">
        <v>88</v>
      </c>
      <c r="C354" s="20" t="s">
        <v>122</v>
      </c>
      <c r="D354" s="20" t="s">
        <v>90</v>
      </c>
      <c r="E354" s="20" t="s">
        <v>91</v>
      </c>
      <c r="F354" s="20" t="s">
        <v>90</v>
      </c>
      <c r="G354" s="20" t="s">
        <v>92</v>
      </c>
      <c r="H354" s="20" t="s">
        <v>16</v>
      </c>
      <c r="I354" s="20" t="s">
        <v>163</v>
      </c>
      <c r="J354" s="20" t="s">
        <v>161</v>
      </c>
      <c r="K354" s="20" t="s">
        <v>159</v>
      </c>
      <c r="L354" s="20">
        <v>336.08</v>
      </c>
      <c r="M354" s="20">
        <v>5.3794325187228403E-2</v>
      </c>
      <c r="N354" s="20">
        <v>5.3413522005729602E-2</v>
      </c>
      <c r="O354" s="20">
        <v>109.08</v>
      </c>
      <c r="P354" s="20">
        <v>41.915763754167898</v>
      </c>
      <c r="Q354" s="20">
        <v>12.2425633608007</v>
      </c>
      <c r="R354" s="20">
        <v>148.30416484676499</v>
      </c>
      <c r="S354" s="20">
        <v>365.02323312162099</v>
      </c>
      <c r="T354" s="20">
        <v>15</v>
      </c>
      <c r="U354" s="20">
        <v>0.59999999999999898</v>
      </c>
      <c r="V354" s="20">
        <v>38141.718082479099</v>
      </c>
      <c r="W354" s="20">
        <v>78239.9544538091</v>
      </c>
      <c r="X354" s="20">
        <v>119391.866728737</v>
      </c>
      <c r="Y354" s="20">
        <v>161189.15191471501</v>
      </c>
      <c r="Z354" s="20">
        <v>203349.31884295301</v>
      </c>
      <c r="AA354" s="20">
        <v>245556.081392236</v>
      </c>
      <c r="AB354" s="20">
        <v>287639.19891578</v>
      </c>
      <c r="AC354" s="20">
        <v>329548.61199311097</v>
      </c>
      <c r="AD354" s="20">
        <v>371202.01466127997</v>
      </c>
      <c r="AE354" s="20">
        <v>412568.89772477298</v>
      </c>
      <c r="AF354" t="str">
        <f t="shared" si="22"/>
        <v>NonResidential</v>
      </c>
      <c r="AG354" t="str">
        <f>tbl_Data_old[[#This Row],[All_Meas_Name_Append]]</f>
        <v>LED Linear - Fixture Replacement</v>
      </c>
      <c r="AH354">
        <f>AVERAGEIFS('3. Incentive Adjustment'!G:G,'3. Incentive Adjustment'!A:A,tbl_Data_old[[#This Row],[Trimmed Sector]],'3. Incentive Adjustment'!B:B,tbl_Data_old[[#This Row],[Trimmed Measure Name]])</f>
        <v>0.56055357916158088</v>
      </c>
      <c r="AI354">
        <f>$AH354*tbl_Data_old[[#This Row],[2025 ]]</f>
        <v>21380.476586505651</v>
      </c>
      <c r="AJ354">
        <f>$AH354*tbl_Data_old[[#This Row],[2026 ]]</f>
        <v>43857.686502521763</v>
      </c>
      <c r="AK354">
        <f>$AH354*tbl_Data_old[[#This Row],[2027 ]]</f>
        <v>66925.538217575988</v>
      </c>
      <c r="AL354">
        <f>$AH354*tbl_Data_old[[#This Row],[2028 ]]</f>
        <v>90355.156027813282</v>
      </c>
      <c r="AM354">
        <f>$AH354*tbl_Data_old[[#This Row],[2029 ]]</f>
        <v>113988.18849748682</v>
      </c>
      <c r="AN354">
        <f>$AH354*tbl_Data_old[[#This Row],[2030 ]]</f>
        <v>137647.34030931036</v>
      </c>
      <c r="AO354">
        <f>$AH354*tbl_Data_old[[#This Row],[2031 ]]</f>
        <v>161237.1824594104</v>
      </c>
      <c r="AP354">
        <f>$AH354*tbl_Data_old[[#This Row],[2032 ]]</f>
        <v>184729.65396046944</v>
      </c>
      <c r="AQ354">
        <f>$AH354*tbl_Data_old[[#This Row],[2033 ]]</f>
        <v>208078.61791037011</v>
      </c>
      <c r="AR354">
        <f>$AH354*tbl_Data_old[[#This Row],[2034 ]]</f>
        <v>231266.9722703697</v>
      </c>
      <c r="AS354">
        <f>SUM(tbl_Data_old[[#This Row],[Adjusted 2025]:[Adjusted 2034]])</f>
        <v>1259466.8127418335</v>
      </c>
      <c r="AT354" s="3">
        <f>AVERAGEIFS('3. Incentive Adjustment'!F:F,'3. Incentive Adjustment'!A:A,tbl_Data_old[[#This Row],[Trimmed Sector]],'3. Incentive Adjustment'!B:B,tbl_Data_old[[#This Row],[Trimmed Measure Name]])</f>
        <v>16.810726621008875</v>
      </c>
      <c r="AU354" s="3">
        <f>IFERROR(VLOOKUP(tbl_Data_old[[#This Row],[All_Meas_Name_Append]],'IRA Tax Credits'!$A$3:$D$46,4,0),0)</f>
        <v>0</v>
      </c>
      <c r="AV354" s="4">
        <f>tbl_Data_old[[#This Row],[Adj. per unit Incentive ($)]]/tbl_Data_old[[#This Row],[kWh Savings]]*tbl_Data_old[[#This Row],[Sum of Annuals]]</f>
        <v>62998.548789682049</v>
      </c>
      <c r="AW354" s="4">
        <f>IFERROR(VLOOKUP(tbl_Data_old[[#This Row],[All_Programs]],'1. Set Program Names'!$B$2:$D$15,3,0)*tbl_Data_old[[#This Row],[Sum of Annuals]],"")</f>
        <v>45879.261651445071</v>
      </c>
      <c r="AX354" s="4">
        <f>tbl_Data_old[[#This Row],[per unit IRA tax ($)]]/tbl_Data_old[[#This Row],[kWh Savings]]*tbl_Data_old[[#This Row],[Sum of Annuals]]</f>
        <v>0</v>
      </c>
      <c r="AY354" s="4">
        <f>tbl_Data_old[[#This Row],[Avoided Costs ($/unit)]]/tbl_Data_old[[#This Row],[kWh Savings]]*tbl_Data_old[[#This Row],[Sum of Annuals]]</f>
        <v>555772.95232056233</v>
      </c>
      <c r="AZ354" s="4">
        <f>tbl_Data_old[[#This Row],[Lost Revenue ($/unit)]]/tbl_Data_old[[#This Row],[kWh Savings]]*tbl_Data_old[[#This Row],[Sum of Annuals]]</f>
        <v>1367932.1828029258</v>
      </c>
      <c r="BA354" s="4">
        <f>tbl_Data_old[[#This Row],[Incremental Cost ($/unit)]]/tbl_Data_old[[#This Row],[kWh Savings]]*tbl_Data_old[[#This Row],[Sum of Annuals]]</f>
        <v>408779.57609461795</v>
      </c>
      <c r="BB354">
        <f>ROUNDUP(tbl_Data_old[[#This Row],[Adjusted 2025]]/$L354,0)</f>
        <v>64</v>
      </c>
      <c r="BC354">
        <f>ROUNDUP(tbl_Data_old[[#This Row],[Adjusted 2026]]/$L354,0)</f>
        <v>131</v>
      </c>
      <c r="BD354">
        <f>ROUNDUP(tbl_Data_old[[#This Row],[Adjusted 2027]]/$L354,0)</f>
        <v>200</v>
      </c>
      <c r="BE354">
        <f>ROUNDUP(tbl_Data_old[[#This Row],[Adjusted 2028]]/$L354,0)</f>
        <v>269</v>
      </c>
      <c r="BF354">
        <f>ROUNDUP(tbl_Data_old[[#This Row],[Adjusted 2029]]/$L354,0)</f>
        <v>340</v>
      </c>
      <c r="BG354">
        <f>ROUNDUP(tbl_Data_old[[#This Row],[Adjusted 2030]]/$L354,0)</f>
        <v>410</v>
      </c>
      <c r="BH354">
        <f>ROUNDUP(tbl_Data_old[[#This Row],[Adjusted 2031]]/$L354,0)</f>
        <v>480</v>
      </c>
      <c r="BI354">
        <f>ROUNDUP(tbl_Data_old[[#This Row],[Adjusted 2032]]/$L354,0)</f>
        <v>550</v>
      </c>
      <c r="BJ354">
        <f>ROUNDUP(tbl_Data_old[[#This Row],[Adjusted 2033]]/$L354,0)</f>
        <v>620</v>
      </c>
      <c r="BK354">
        <f>ROUNDUP(tbl_Data_old[[#This Row],[Adjusted 2034]]/$L354,0)</f>
        <v>689</v>
      </c>
      <c r="BL354" s="3">
        <f t="shared" si="24"/>
        <v>1907.8493083198853</v>
      </c>
      <c r="BM354" s="3">
        <f t="shared" si="24"/>
        <v>3913.5636906783225</v>
      </c>
      <c r="BN354" s="3">
        <f t="shared" si="24"/>
        <v>5971.9829574765627</v>
      </c>
      <c r="BO354" s="3">
        <f t="shared" si="24"/>
        <v>8062.6837869273495</v>
      </c>
      <c r="BP354" s="3">
        <f t="shared" si="24"/>
        <v>10171.535966547406</v>
      </c>
      <c r="BQ354" s="3">
        <f t="shared" si="23"/>
        <v>12282.718859828268</v>
      </c>
      <c r="BR354" s="3">
        <f t="shared" si="23"/>
        <v>14387.717027074419</v>
      </c>
      <c r="BS354" s="3">
        <f t="shared" si="23"/>
        <v>16484.026495325863</v>
      </c>
      <c r="BT354" s="3">
        <f t="shared" si="23"/>
        <v>18567.530319086251</v>
      </c>
      <c r="BU354" s="3">
        <f t="shared" si="23"/>
        <v>20636.702427940163</v>
      </c>
      <c r="BV354">
        <f>VLOOKUP($H354,'1. Set Program Names'!$B$2:$D$15,3,0)*V354</f>
        <v>1389.4084751087532</v>
      </c>
      <c r="BW354">
        <f>VLOOKUP($H354,'1. Set Program Names'!$B$2:$D$15,3,0)*W354</f>
        <v>2850.0880735150026</v>
      </c>
      <c r="BX354">
        <f>VLOOKUP($H354,'1. Set Program Names'!$B$2:$D$15,3,0)*X354</f>
        <v>4349.1504796204499</v>
      </c>
      <c r="BY354">
        <f>VLOOKUP($H354,'1. Set Program Names'!$B$2:$D$15,3,0)*Y354</f>
        <v>5871.7222250346194</v>
      </c>
      <c r="BZ354">
        <f>VLOOKUP($H354,'1. Set Program Names'!$B$2:$D$15,3,0)*Z354</f>
        <v>7407.5128550063218</v>
      </c>
      <c r="CA354">
        <f>VLOOKUP($H354,'1. Set Program Names'!$B$2:$D$15,3,0)*AA354</f>
        <v>8945.0008482337344</v>
      </c>
      <c r="CB354">
        <f>VLOOKUP($H354,'1. Set Program Names'!$B$2:$D$15,3,0)*AB354</f>
        <v>10477.984758915749</v>
      </c>
      <c r="CC354">
        <f>VLOOKUP($H354,'1. Set Program Names'!$B$2:$D$15,3,0)*AC354</f>
        <v>12004.641046148537</v>
      </c>
      <c r="CD354">
        <f>VLOOKUP($H354,'1. Set Program Names'!$B$2:$D$15,3,0)*AD354</f>
        <v>13521.971507223299</v>
      </c>
      <c r="CE354">
        <f>VLOOKUP($H354,'1. Set Program Names'!$B$2:$D$15,3,0)*AE354</f>
        <v>15028.864767588831</v>
      </c>
    </row>
    <row r="355" spans="1:83" x14ac:dyDescent="0.25">
      <c r="A355" s="20" t="s">
        <v>113</v>
      </c>
      <c r="B355" s="20" t="s">
        <v>88</v>
      </c>
      <c r="C355" s="20" t="s">
        <v>122</v>
      </c>
      <c r="D355" s="20" t="s">
        <v>90</v>
      </c>
      <c r="E355" s="20" t="s">
        <v>91</v>
      </c>
      <c r="F355" s="20" t="s">
        <v>90</v>
      </c>
      <c r="G355" s="20" t="s">
        <v>92</v>
      </c>
      <c r="H355" s="20" t="s">
        <v>16</v>
      </c>
      <c r="I355" s="20" t="s">
        <v>164</v>
      </c>
      <c r="J355" s="20" t="s">
        <v>158</v>
      </c>
      <c r="K355" s="20" t="s">
        <v>159</v>
      </c>
      <c r="L355" s="20">
        <v>612.05999999999904</v>
      </c>
      <c r="M355" s="20">
        <v>0</v>
      </c>
      <c r="N355" s="20">
        <v>3.0244631686656E-2</v>
      </c>
      <c r="O355" s="20">
        <v>255</v>
      </c>
      <c r="P355" s="20">
        <v>129.095003330796</v>
      </c>
      <c r="Q355" s="20">
        <v>22.295832333407802</v>
      </c>
      <c r="R355" s="20">
        <v>299.625229349054</v>
      </c>
      <c r="S355" s="20">
        <v>664.77065003695395</v>
      </c>
      <c r="T355" s="20">
        <v>15</v>
      </c>
      <c r="U355" s="20">
        <v>0.59999999999999898</v>
      </c>
      <c r="V355" s="20">
        <v>158769.022012606</v>
      </c>
      <c r="W355" s="20">
        <v>331271.11601343303</v>
      </c>
      <c r="X355" s="20">
        <v>514806.85077420302</v>
      </c>
      <c r="Y355" s="20">
        <v>707601.66550121503</v>
      </c>
      <c r="Z355" s="20">
        <v>907801.83997562202</v>
      </c>
      <c r="AA355" s="20">
        <v>1113702.6312157901</v>
      </c>
      <c r="AB355" s="20">
        <v>1323734.2166625599</v>
      </c>
      <c r="AC355" s="20">
        <v>1536983.2627983899</v>
      </c>
      <c r="AD355" s="20">
        <v>1752973.2479850301</v>
      </c>
      <c r="AE355" s="20">
        <v>1970875.25750494</v>
      </c>
      <c r="AF355" t="str">
        <f t="shared" si="22"/>
        <v>NonResidential</v>
      </c>
      <c r="AG355" t="str">
        <f>tbl_Data_old[[#This Row],[All_Meas_Name_Append]]</f>
        <v>LED Parking Lighting</v>
      </c>
      <c r="AH355">
        <f>AVERAGEIFS('3. Incentive Adjustment'!G:G,'3. Incentive Adjustment'!A:A,tbl_Data_old[[#This Row],[Trimmed Sector]],'3. Incentive Adjustment'!B:B,tbl_Data_old[[#This Row],[Trimmed Measure Name]])</f>
        <v>0.59704067730377497</v>
      </c>
      <c r="AI355">
        <f>$AH355*tbl_Data_old[[#This Row],[2025 ]]</f>
        <v>94791.564437264242</v>
      </c>
      <c r="AJ355">
        <f>$AH355*tbl_Data_old[[#This Row],[2026 ]]</f>
        <v>197782.33147583748</v>
      </c>
      <c r="AK355">
        <f>$AH355*tbl_Data_old[[#This Row],[2027 ]]</f>
        <v>307360.63086685358</v>
      </c>
      <c r="AL355">
        <f>$AH355*tbl_Data_old[[#This Row],[2028 ]]</f>
        <v>422466.97763212462</v>
      </c>
      <c r="AM355">
        <f>$AH355*tbl_Data_old[[#This Row],[2029 ]]</f>
        <v>541994.62539665855</v>
      </c>
      <c r="AN355">
        <f>$AH355*tbl_Data_old[[#This Row],[2030 ]]</f>
        <v>664925.77325607161</v>
      </c>
      <c r="AO355">
        <f>$AH355*tbl_Data_old[[#This Row],[2031 ]]</f>
        <v>790323.17328639678</v>
      </c>
      <c r="AP355">
        <f>$AH355*tbl_Data_old[[#This Row],[2032 ]]</f>
        <v>917641.52822571667</v>
      </c>
      <c r="AQ355">
        <f>$AH355*tbl_Data_old[[#This Row],[2033 ]]</f>
        <v>1046596.3352723806</v>
      </c>
      <c r="AR355">
        <f>$AH355*tbl_Data_old[[#This Row],[2034 ]]</f>
        <v>1176692.6986220013</v>
      </c>
      <c r="AS355">
        <f>SUM(tbl_Data_old[[#This Row],[Adjusted 2025]:[Adjusted 2034]])</f>
        <v>6160575.6384713054</v>
      </c>
      <c r="AT355" s="3">
        <f>AVERAGEIFS('3. Incentive Adjustment'!F:F,'3. Incentive Adjustment'!A:A,tbl_Data_old[[#This Row],[Trimmed Sector]],'3. Incentive Adjustment'!B:B,tbl_Data_old[[#This Row],[Trimmed Measure Name]])</f>
        <v>9.4514474020799994</v>
      </c>
      <c r="AU355" s="3">
        <f>IFERROR(VLOOKUP(tbl_Data_old[[#This Row],[All_Meas_Name_Append]],'IRA Tax Credits'!$A$3:$D$46,4,0),0)</f>
        <v>0</v>
      </c>
      <c r="AV355" s="4">
        <f>tbl_Data_old[[#This Row],[Adj. per unit Incentive ($)]]/tbl_Data_old[[#This Row],[kWh Savings]]*tbl_Data_old[[#This Row],[Sum of Annuals]]</f>
        <v>95131.778932697853</v>
      </c>
      <c r="AW355" s="4">
        <f>IFERROR(VLOOKUP(tbl_Data_old[[#This Row],[All_Programs]],'1. Set Program Names'!$B$2:$D$15,3,0)*tbl_Data_old[[#This Row],[Sum of Annuals]],"")</f>
        <v>224414.53699413961</v>
      </c>
      <c r="AX355" s="4">
        <f>tbl_Data_old[[#This Row],[per unit IRA tax ($)]]/tbl_Data_old[[#This Row],[kWh Savings]]*tbl_Data_old[[#This Row],[Sum of Annuals]]</f>
        <v>0</v>
      </c>
      <c r="AY355" s="4">
        <f>tbl_Data_old[[#This Row],[Avoided Costs ($/unit)]]/tbl_Data_old[[#This Row],[kWh Savings]]*tbl_Data_old[[#This Row],[Sum of Annuals]]</f>
        <v>3015821.7962277597</v>
      </c>
      <c r="AZ355" s="4">
        <f>tbl_Data_old[[#This Row],[Lost Revenue ($/unit)]]/tbl_Data_old[[#This Row],[kWh Savings]]*tbl_Data_old[[#This Row],[Sum of Annuals]]</f>
        <v>6691124.8436238263</v>
      </c>
      <c r="BA355" s="4">
        <f>tbl_Data_old[[#This Row],[Incremental Cost ($/unit)]]/tbl_Data_old[[#This Row],[kWh Savings]]*tbl_Data_old[[#This Row],[Sum of Annuals]]</f>
        <v>2566654.8831980284</v>
      </c>
      <c r="BB355">
        <f>ROUNDUP(tbl_Data_old[[#This Row],[Adjusted 2025]]/$L355,0)</f>
        <v>155</v>
      </c>
      <c r="BC355">
        <f>ROUNDUP(tbl_Data_old[[#This Row],[Adjusted 2026]]/$L355,0)</f>
        <v>324</v>
      </c>
      <c r="BD355">
        <f>ROUNDUP(tbl_Data_old[[#This Row],[Adjusted 2027]]/$L355,0)</f>
        <v>503</v>
      </c>
      <c r="BE355">
        <f>ROUNDUP(tbl_Data_old[[#This Row],[Adjusted 2028]]/$L355,0)</f>
        <v>691</v>
      </c>
      <c r="BF355">
        <f>ROUNDUP(tbl_Data_old[[#This Row],[Adjusted 2029]]/$L355,0)</f>
        <v>886</v>
      </c>
      <c r="BG355">
        <f>ROUNDUP(tbl_Data_old[[#This Row],[Adjusted 2030]]/$L355,0)</f>
        <v>1087</v>
      </c>
      <c r="BH355">
        <f>ROUNDUP(tbl_Data_old[[#This Row],[Adjusted 2031]]/$L355,0)</f>
        <v>1292</v>
      </c>
      <c r="BI355">
        <f>ROUNDUP(tbl_Data_old[[#This Row],[Adjusted 2032]]/$L355,0)</f>
        <v>1500</v>
      </c>
      <c r="BJ355">
        <f>ROUNDUP(tbl_Data_old[[#This Row],[Adjusted 2033]]/$L355,0)</f>
        <v>1710</v>
      </c>
      <c r="BK355">
        <f>ROUNDUP(tbl_Data_old[[#This Row],[Adjusted 2034]]/$L355,0)</f>
        <v>1923</v>
      </c>
      <c r="BL355" s="3">
        <f t="shared" si="24"/>
        <v>2451.7156171483671</v>
      </c>
      <c r="BM355" s="3">
        <f t="shared" si="24"/>
        <v>5115.4977107298446</v>
      </c>
      <c r="BN355" s="3">
        <f t="shared" si="24"/>
        <v>7949.6615892605869</v>
      </c>
      <c r="BO355" s="3">
        <f t="shared" si="24"/>
        <v>10926.804436017628</v>
      </c>
      <c r="BP355" s="3">
        <f t="shared" si="24"/>
        <v>14018.301052251494</v>
      </c>
      <c r="BQ355" s="3">
        <f t="shared" si="23"/>
        <v>17197.826749818898</v>
      </c>
      <c r="BR355" s="3">
        <f t="shared" si="23"/>
        <v>20441.140285461843</v>
      </c>
      <c r="BS355" s="3">
        <f t="shared" si="23"/>
        <v>23734.137937810519</v>
      </c>
      <c r="BT355" s="3">
        <f t="shared" si="23"/>
        <v>27069.461246583469</v>
      </c>
      <c r="BU355" s="3">
        <f t="shared" si="23"/>
        <v>30434.310087848975</v>
      </c>
      <c r="BV355">
        <f>VLOOKUP($H355,'1. Set Program Names'!$B$2:$D$15,3,0)*V355</f>
        <v>5783.5628770581316</v>
      </c>
      <c r="BW355">
        <f>VLOOKUP($H355,'1. Set Program Names'!$B$2:$D$15,3,0)*W355</f>
        <v>12067.387608300485</v>
      </c>
      <c r="BX355">
        <f>VLOOKUP($H355,'1. Set Program Names'!$B$2:$D$15,3,0)*X355</f>
        <v>18753.140589078412</v>
      </c>
      <c r="BY355">
        <f>VLOOKUP($H355,'1. Set Program Names'!$B$2:$D$15,3,0)*Y355</f>
        <v>25776.178957708755</v>
      </c>
      <c r="BZ355">
        <f>VLOOKUP($H355,'1. Set Program Names'!$B$2:$D$15,3,0)*Z355</f>
        <v>33068.976270391126</v>
      </c>
      <c r="CA355">
        <f>VLOOKUP($H355,'1. Set Program Names'!$B$2:$D$15,3,0)*AA355</f>
        <v>40569.432955694516</v>
      </c>
      <c r="CB355">
        <f>VLOOKUP($H355,'1. Set Program Names'!$B$2:$D$15,3,0)*AB355</f>
        <v>48220.364259555245</v>
      </c>
      <c r="CC355">
        <f>VLOOKUP($H355,'1. Set Program Names'!$B$2:$D$15,3,0)*AC355</f>
        <v>55988.499700367611</v>
      </c>
      <c r="CD355">
        <f>VLOOKUP($H355,'1. Set Program Names'!$B$2:$D$15,3,0)*AD355</f>
        <v>63856.480773165327</v>
      </c>
      <c r="CE355">
        <f>VLOOKUP($H355,'1. Set Program Names'!$B$2:$D$15,3,0)*AE355</f>
        <v>71794.112164480801</v>
      </c>
    </row>
    <row r="356" spans="1:83" x14ac:dyDescent="0.25">
      <c r="A356" s="20" t="s">
        <v>113</v>
      </c>
      <c r="B356" s="20" t="s">
        <v>88</v>
      </c>
      <c r="C356" s="20" t="s">
        <v>122</v>
      </c>
      <c r="D356" s="20" t="s">
        <v>90</v>
      </c>
      <c r="E356" s="20" t="s">
        <v>91</v>
      </c>
      <c r="F356" s="20" t="s">
        <v>90</v>
      </c>
      <c r="G356" s="20" t="s">
        <v>92</v>
      </c>
      <c r="H356" s="20" t="s">
        <v>16</v>
      </c>
      <c r="I356" s="20" t="s">
        <v>165</v>
      </c>
      <c r="J356" s="20" t="s">
        <v>161</v>
      </c>
      <c r="K356" s="20" t="s">
        <v>166</v>
      </c>
      <c r="L356" s="20">
        <v>510.6</v>
      </c>
      <c r="M356" s="20">
        <v>6.2552429943266097E-2</v>
      </c>
      <c r="N356" s="20">
        <v>6.4361142955417797E-2</v>
      </c>
      <c r="O356" s="20">
        <v>129</v>
      </c>
      <c r="P356" s="20">
        <v>26.468747947944401</v>
      </c>
      <c r="Q356" s="20">
        <v>18.5998954178316</v>
      </c>
      <c r="R356" s="20">
        <v>174.74401692254699</v>
      </c>
      <c r="S356" s="20">
        <v>419.99719394182398</v>
      </c>
      <c r="T356" s="20">
        <v>10</v>
      </c>
      <c r="U356" s="20">
        <v>0.59999999999999898</v>
      </c>
      <c r="V356" s="20">
        <v>19927.519621685398</v>
      </c>
      <c r="W356" s="20">
        <v>47256.993885035103</v>
      </c>
      <c r="X356" s="20">
        <v>83611.114124043801</v>
      </c>
      <c r="Y356" s="20">
        <v>130501.41132656</v>
      </c>
      <c r="Z356" s="20">
        <v>188581.57578897799</v>
      </c>
      <c r="AA356" s="20">
        <v>256770.25204842101</v>
      </c>
      <c r="AB356" s="20">
        <v>331725.75963312498</v>
      </c>
      <c r="AC356" s="20">
        <v>407978.42700672901</v>
      </c>
      <c r="AD356" s="20">
        <v>478967.31703185203</v>
      </c>
      <c r="AE356" s="20">
        <v>539183.16425702698</v>
      </c>
      <c r="AF356" t="str">
        <f t="shared" si="22"/>
        <v>NonResidential</v>
      </c>
      <c r="AG356" t="str">
        <f>tbl_Data_old[[#This Row],[All_Meas_Name_Append]]</f>
        <v>Occupancy Sensors_ Ceiling Mounted</v>
      </c>
      <c r="AH356">
        <f>AVERAGEIFS('3. Incentive Adjustment'!G:G,'3. Incentive Adjustment'!A:A,tbl_Data_old[[#This Row],[Trimmed Sector]],'3. Incentive Adjustment'!B:B,tbl_Data_old[[#This Row],[Trimmed Measure Name]])</f>
        <v>0.99348124042467356</v>
      </c>
      <c r="AI356">
        <f>$AH356*tbl_Data_old[[#This Row],[2025 ]]</f>
        <v>19797.616912339032</v>
      </c>
      <c r="AJ356">
        <f>$AH356*tbl_Data_old[[#This Row],[2026 ]]</f>
        <v>46948.936903645888</v>
      </c>
      <c r="AK356">
        <f>$AH356*tbl_Data_old[[#This Row],[2027 ]]</f>
        <v>83066.073373243984</v>
      </c>
      <c r="AL356">
        <f>$AH356*tbl_Data_old[[#This Row],[2028 ]]</f>
        <v>129650.70400188137</v>
      </c>
      <c r="AM356">
        <f>$AH356*tbl_Data_old[[#This Row],[2029 ]]</f>
        <v>187352.25783607343</v>
      </c>
      <c r="AN356">
        <f>$AH356*tbl_Data_old[[#This Row],[2030 ]]</f>
        <v>255096.42850922138</v>
      </c>
      <c r="AO356">
        <f>$AH356*tbl_Data_old[[#This Row],[2031 ]]</f>
        <v>329563.31916113413</v>
      </c>
      <c r="AP356">
        <f>$AH356*tbl_Data_old[[#This Row],[2032 ]]</f>
        <v>405318.91372915229</v>
      </c>
      <c r="AQ356">
        <f>$AH356*tbl_Data_old[[#This Row],[2033 ]]</f>
        <v>475845.04424768221</v>
      </c>
      <c r="AR356">
        <f>$AH356*tbl_Data_old[[#This Row],[2034 ]]</f>
        <v>535668.35884217173</v>
      </c>
      <c r="AS356">
        <f>SUM(tbl_Data_old[[#This Row],[Adjusted 2025]:[Adjusted 2034]])</f>
        <v>2468307.6535165454</v>
      </c>
      <c r="AT356" s="3">
        <f>AVERAGEIFS('3. Incentive Adjustment'!F:F,'3. Incentive Adjustment'!A:A,tbl_Data_old[[#This Row],[Trimmed Sector]],'3. Incentive Adjustment'!B:B,tbl_Data_old[[#This Row],[Trimmed Measure Name]])</f>
        <v>19.547634357270656</v>
      </c>
      <c r="AU356" s="3">
        <f>IFERROR(VLOOKUP(tbl_Data_old[[#This Row],[All_Meas_Name_Append]],'IRA Tax Credits'!$A$3:$D$46,4,0),0)</f>
        <v>0</v>
      </c>
      <c r="AV356" s="4">
        <f>tbl_Data_old[[#This Row],[Adj. per unit Incentive ($)]]/tbl_Data_old[[#This Row],[kWh Savings]]*tbl_Data_old[[#This Row],[Sum of Annuals]]</f>
        <v>94495.839193486361</v>
      </c>
      <c r="AW356" s="4">
        <f>IFERROR(VLOOKUP(tbl_Data_old[[#This Row],[All_Programs]],'1. Set Program Names'!$B$2:$D$15,3,0)*tbl_Data_old[[#This Row],[Sum of Annuals]],"")</f>
        <v>89914.344329105312</v>
      </c>
      <c r="AX356" s="4">
        <f>tbl_Data_old[[#This Row],[per unit IRA tax ($)]]/tbl_Data_old[[#This Row],[kWh Savings]]*tbl_Data_old[[#This Row],[Sum of Annuals]]</f>
        <v>0</v>
      </c>
      <c r="AY356" s="4">
        <f>tbl_Data_old[[#This Row],[Avoided Costs ($/unit)]]/tbl_Data_old[[#This Row],[kWh Savings]]*tbl_Data_old[[#This Row],[Sum of Annuals]]</f>
        <v>844735.59415618388</v>
      </c>
      <c r="AZ356" s="4">
        <f>tbl_Data_old[[#This Row],[Lost Revenue ($/unit)]]/tbl_Data_old[[#This Row],[kWh Savings]]*tbl_Data_old[[#This Row],[Sum of Annuals]]</f>
        <v>2030321.7553115489</v>
      </c>
      <c r="BA356" s="4">
        <f>tbl_Data_old[[#This Row],[Incremental Cost ($/unit)]]/tbl_Data_old[[#This Row],[kWh Savings]]*tbl_Data_old[[#This Row],[Sum of Annuals]]</f>
        <v>623602.99119395681</v>
      </c>
      <c r="BB356">
        <f>ROUNDUP(tbl_Data_old[[#This Row],[Adjusted 2025]]/$L356,0)</f>
        <v>39</v>
      </c>
      <c r="BC356">
        <f>ROUNDUP(tbl_Data_old[[#This Row],[Adjusted 2026]]/$L356,0)</f>
        <v>92</v>
      </c>
      <c r="BD356">
        <f>ROUNDUP(tbl_Data_old[[#This Row],[Adjusted 2027]]/$L356,0)</f>
        <v>163</v>
      </c>
      <c r="BE356">
        <f>ROUNDUP(tbl_Data_old[[#This Row],[Adjusted 2028]]/$L356,0)</f>
        <v>254</v>
      </c>
      <c r="BF356">
        <f>ROUNDUP(tbl_Data_old[[#This Row],[Adjusted 2029]]/$L356,0)</f>
        <v>367</v>
      </c>
      <c r="BG356">
        <f>ROUNDUP(tbl_Data_old[[#This Row],[Adjusted 2030]]/$L356,0)</f>
        <v>500</v>
      </c>
      <c r="BH356">
        <f>ROUNDUP(tbl_Data_old[[#This Row],[Adjusted 2031]]/$L356,0)</f>
        <v>646</v>
      </c>
      <c r="BI356">
        <f>ROUNDUP(tbl_Data_old[[#This Row],[Adjusted 2032]]/$L356,0)</f>
        <v>794</v>
      </c>
      <c r="BJ356">
        <f>ROUNDUP(tbl_Data_old[[#This Row],[Adjusted 2033]]/$L356,0)</f>
        <v>932</v>
      </c>
      <c r="BK356">
        <f>ROUNDUP(tbl_Data_old[[#This Row],[Adjusted 2034]]/$L356,0)</f>
        <v>1050</v>
      </c>
      <c r="BL356" s="3">
        <f t="shared" si="24"/>
        <v>762.89829066204982</v>
      </c>
      <c r="BM356" s="3">
        <f t="shared" si="24"/>
        <v>1809.1704608077584</v>
      </c>
      <c r="BN356" s="3">
        <f t="shared" si="24"/>
        <v>3200.9390660024214</v>
      </c>
      <c r="BO356" s="3">
        <f t="shared" si="24"/>
        <v>4996.0710374449163</v>
      </c>
      <c r="BP356" s="3">
        <f t="shared" si="24"/>
        <v>7219.5920290655431</v>
      </c>
      <c r="BQ356" s="3">
        <f t="shared" si="23"/>
        <v>9830.1038011491601</v>
      </c>
      <c r="BR356" s="3">
        <f t="shared" si="23"/>
        <v>12699.674610646654</v>
      </c>
      <c r="BS356" s="3">
        <f t="shared" si="23"/>
        <v>15618.905438272572</v>
      </c>
      <c r="BT356" s="3">
        <f t="shared" si="23"/>
        <v>18336.619628714408</v>
      </c>
      <c r="BU356" s="3">
        <f t="shared" si="23"/>
        <v>20641.902362891829</v>
      </c>
      <c r="BV356">
        <f>VLOOKUP($H356,'1. Set Program Names'!$B$2:$D$15,3,0)*V356</f>
        <v>725.91026419924879</v>
      </c>
      <c r="BW356">
        <f>VLOOKUP($H356,'1. Set Program Names'!$B$2:$D$15,3,0)*W356</f>
        <v>1721.4554328687084</v>
      </c>
      <c r="BX356">
        <f>VLOOKUP($H356,'1. Set Program Names'!$B$2:$D$15,3,0)*X356</f>
        <v>3045.7461388084625</v>
      </c>
      <c r="BY356">
        <f>VLOOKUP($H356,'1. Set Program Names'!$B$2:$D$15,3,0)*Y356</f>
        <v>4753.8437182793696</v>
      </c>
      <c r="BZ356">
        <f>VLOOKUP($H356,'1. Set Program Names'!$B$2:$D$15,3,0)*Z356</f>
        <v>6869.56049237149</v>
      </c>
      <c r="CA356">
        <f>VLOOKUP($H356,'1. Set Program Names'!$B$2:$D$15,3,0)*AA356</f>
        <v>9353.5053554855112</v>
      </c>
      <c r="CB356">
        <f>VLOOKUP($H356,'1. Set Program Names'!$B$2:$D$15,3,0)*AB356</f>
        <v>12083.949151149398</v>
      </c>
      <c r="CC356">
        <f>VLOOKUP($H356,'1. Set Program Names'!$B$2:$D$15,3,0)*AC356</f>
        <v>14861.645270381161</v>
      </c>
      <c r="CD356">
        <f>VLOOKUP($H356,'1. Set Program Names'!$B$2:$D$15,3,0)*AD356</f>
        <v>17447.594996772154</v>
      </c>
      <c r="CE356">
        <f>VLOOKUP($H356,'1. Set Program Names'!$B$2:$D$15,3,0)*AE356</f>
        <v>19641.109412918609</v>
      </c>
    </row>
    <row r="357" spans="1:83" x14ac:dyDescent="0.25">
      <c r="A357" s="20" t="s">
        <v>113</v>
      </c>
      <c r="B357" s="20" t="s">
        <v>88</v>
      </c>
      <c r="C357" s="20" t="s">
        <v>122</v>
      </c>
      <c r="D357" s="20" t="s">
        <v>90</v>
      </c>
      <c r="E357" s="20" t="s">
        <v>91</v>
      </c>
      <c r="F357" s="20" t="s">
        <v>90</v>
      </c>
      <c r="G357" s="20" t="s">
        <v>92</v>
      </c>
      <c r="H357" s="20" t="s">
        <v>16</v>
      </c>
      <c r="I357" s="20" t="s">
        <v>167</v>
      </c>
      <c r="J357" s="20" t="s">
        <v>124</v>
      </c>
      <c r="K357" s="20" t="s">
        <v>98</v>
      </c>
      <c r="L357" s="20">
        <v>151.66</v>
      </c>
      <c r="M357" s="20">
        <v>2.2013191527321101E-2</v>
      </c>
      <c r="N357" s="20">
        <v>1.95296013954902E-2</v>
      </c>
      <c r="O357" s="20">
        <v>56.6</v>
      </c>
      <c r="P357" s="20">
        <v>25.402483751835899</v>
      </c>
      <c r="Q357" s="20">
        <v>5.5245987839176403</v>
      </c>
      <c r="R357" s="20">
        <v>70.564478576335205</v>
      </c>
      <c r="S357" s="20">
        <v>171.417444155428</v>
      </c>
      <c r="T357" s="20">
        <v>16</v>
      </c>
      <c r="U357" s="20">
        <v>0.6</v>
      </c>
      <c r="V357" s="20">
        <v>2896.54552335176</v>
      </c>
      <c r="W357" s="20">
        <v>6835.9488493275503</v>
      </c>
      <c r="X357" s="20">
        <v>11925.2353403872</v>
      </c>
      <c r="Y357" s="20">
        <v>18208.690424666798</v>
      </c>
      <c r="Z357" s="20">
        <v>25626.5785177533</v>
      </c>
      <c r="AA357" s="20">
        <v>34037.777968669703</v>
      </c>
      <c r="AB357" s="20">
        <v>43243.958757408502</v>
      </c>
      <c r="AC357" s="20">
        <v>53063.311272733103</v>
      </c>
      <c r="AD357" s="20">
        <v>63364.141488311099</v>
      </c>
      <c r="AE357" s="20">
        <v>74024.130189281001</v>
      </c>
      <c r="AF357" t="str">
        <f t="shared" si="22"/>
        <v>NonResidential</v>
      </c>
      <c r="AG357" t="str">
        <f>tbl_Data_old[[#This Row],[All_Meas_Name_Append]]</f>
        <v>Refrigerated Display Case LED Lighting</v>
      </c>
      <c r="AH357">
        <f>AVERAGEIFS('3. Incentive Adjustment'!G:G,'3. Incentive Adjustment'!A:A,tbl_Data_old[[#This Row],[Trimmed Sector]],'3. Incentive Adjustment'!B:B,tbl_Data_old[[#This Row],[Trimmed Measure Name]])</f>
        <v>0.72450810749703154</v>
      </c>
      <c r="AI357">
        <f>$AH357*tbl_Data_old[[#This Row],[2025 ]]</f>
        <v>2098.5707154025827</v>
      </c>
      <c r="AJ357">
        <f>$AH357*tbl_Data_old[[#This Row],[2026 ]]</f>
        <v>4952.7003637728139</v>
      </c>
      <c r="AK357">
        <f>$AH357*tbl_Data_old[[#This Row],[2027 ]]</f>
        <v>8639.9296879206486</v>
      </c>
      <c r="AL357">
        <f>$AH357*tbl_Data_old[[#This Row],[2028 ]]</f>
        <v>13192.343839574662</v>
      </c>
      <c r="AM357">
        <f>$AH357*tbl_Data_old[[#This Row],[2029 ]]</f>
        <v>18566.663903521527</v>
      </c>
      <c r="AN357">
        <f>$AH357*tbl_Data_old[[#This Row],[2030 ]]</f>
        <v>24660.646099485042</v>
      </c>
      <c r="AO357">
        <f>$AH357*tbl_Data_old[[#This Row],[2031 ]]</f>
        <v>31330.598720009719</v>
      </c>
      <c r="AP357">
        <f>$AH357*tbl_Data_old[[#This Row],[2032 ]]</f>
        <v>38444.799227733762</v>
      </c>
      <c r="AQ357">
        <f>$AH357*tbl_Data_old[[#This Row],[2033 ]]</f>
        <v>45907.834232870417</v>
      </c>
      <c r="AR357">
        <f>$AH357*tbl_Data_old[[#This Row],[2034 ]]</f>
        <v>53631.082472549853</v>
      </c>
      <c r="AS357">
        <f>SUM(tbl_Data_old[[#This Row],[Adjusted 2025]:[Adjusted 2034]])</f>
        <v>241425.16926284105</v>
      </c>
      <c r="AT357" s="3">
        <f>AVERAGEIFS('3. Incentive Adjustment'!F:F,'3. Incentive Adjustment'!A:A,tbl_Data_old[[#This Row],[Trimmed Sector]],'3. Incentive Adjustment'!B:B,tbl_Data_old[[#This Row],[Trimmed Measure Name]])</f>
        <v>6.879122352287844</v>
      </c>
      <c r="AU357" s="3">
        <f>IFERROR(VLOOKUP(tbl_Data_old[[#This Row],[All_Meas_Name_Append]],'IRA Tax Credits'!$A$3:$D$46,4,0),0)</f>
        <v>0</v>
      </c>
      <c r="AV357" s="4">
        <f>tbl_Data_old[[#This Row],[Adj. per unit Incentive ($)]]/tbl_Data_old[[#This Row],[kWh Savings]]*tbl_Data_old[[#This Row],[Sum of Annuals]]</f>
        <v>10950.766703685125</v>
      </c>
      <c r="AW357" s="4">
        <f>IFERROR(VLOOKUP(tbl_Data_old[[#This Row],[All_Programs]],'1. Set Program Names'!$B$2:$D$15,3,0)*tbl_Data_old[[#This Row],[Sum of Annuals]],"")</f>
        <v>8794.5219340406311</v>
      </c>
      <c r="AX357" s="4">
        <f>tbl_Data_old[[#This Row],[per unit IRA tax ($)]]/tbl_Data_old[[#This Row],[kWh Savings]]*tbl_Data_old[[#This Row],[Sum of Annuals]]</f>
        <v>0</v>
      </c>
      <c r="AY357" s="4">
        <f>tbl_Data_old[[#This Row],[Avoided Costs ($/unit)]]/tbl_Data_old[[#This Row],[kWh Savings]]*tbl_Data_old[[#This Row],[Sum of Annuals]]</f>
        <v>112330.48387337365</v>
      </c>
      <c r="AZ357" s="4">
        <f>tbl_Data_old[[#This Row],[Lost Revenue ($/unit)]]/tbl_Data_old[[#This Row],[kWh Savings]]*tbl_Data_old[[#This Row],[Sum of Annuals]]</f>
        <v>272876.73394321383</v>
      </c>
      <c r="BA357" s="4">
        <f>tbl_Data_old[[#This Row],[Incremental Cost ($/unit)]]/tbl_Data_old[[#This Row],[kWh Savings]]*tbl_Data_old[[#This Row],[Sum of Annuals]]</f>
        <v>90100.650008418859</v>
      </c>
      <c r="BB357">
        <f>ROUNDUP(tbl_Data_old[[#This Row],[Adjusted 2025]]/$L357,0)</f>
        <v>14</v>
      </c>
      <c r="BC357">
        <f>ROUNDUP(tbl_Data_old[[#This Row],[Adjusted 2026]]/$L357,0)</f>
        <v>33</v>
      </c>
      <c r="BD357">
        <f>ROUNDUP(tbl_Data_old[[#This Row],[Adjusted 2027]]/$L357,0)</f>
        <v>57</v>
      </c>
      <c r="BE357">
        <f>ROUNDUP(tbl_Data_old[[#This Row],[Adjusted 2028]]/$L357,0)</f>
        <v>87</v>
      </c>
      <c r="BF357">
        <f>ROUNDUP(tbl_Data_old[[#This Row],[Adjusted 2029]]/$L357,0)</f>
        <v>123</v>
      </c>
      <c r="BG357">
        <f>ROUNDUP(tbl_Data_old[[#This Row],[Adjusted 2030]]/$L357,0)</f>
        <v>163</v>
      </c>
      <c r="BH357">
        <f>ROUNDUP(tbl_Data_old[[#This Row],[Adjusted 2031]]/$L357,0)</f>
        <v>207</v>
      </c>
      <c r="BI357">
        <f>ROUNDUP(tbl_Data_old[[#This Row],[Adjusted 2032]]/$L357,0)</f>
        <v>254</v>
      </c>
      <c r="BJ357">
        <f>ROUNDUP(tbl_Data_old[[#This Row],[Adjusted 2033]]/$L357,0)</f>
        <v>303</v>
      </c>
      <c r="BK357">
        <f>ROUNDUP(tbl_Data_old[[#This Row],[Adjusted 2034]]/$L357,0)</f>
        <v>354</v>
      </c>
      <c r="BL357" s="3">
        <f t="shared" si="24"/>
        <v>131.38395789336928</v>
      </c>
      <c r="BM357" s="3">
        <f t="shared" si="24"/>
        <v>310.07074066006544</v>
      </c>
      <c r="BN357" s="3">
        <f t="shared" si="24"/>
        <v>540.91489507022641</v>
      </c>
      <c r="BO357" s="3">
        <f t="shared" si="24"/>
        <v>825.92515697095484</v>
      </c>
      <c r="BP357" s="3">
        <f t="shared" si="24"/>
        <v>1162.3919892795477</v>
      </c>
      <c r="BQ357" s="3">
        <f t="shared" si="24"/>
        <v>1543.9142769780199</v>
      </c>
      <c r="BR357" s="3">
        <f t="shared" si="24"/>
        <v>1961.4959995351608</v>
      </c>
      <c r="BS357" s="3">
        <f t="shared" si="24"/>
        <v>2406.8904830717779</v>
      </c>
      <c r="BT357" s="3">
        <f t="shared" si="24"/>
        <v>2874.1242387298589</v>
      </c>
      <c r="BU357" s="3">
        <f t="shared" si="24"/>
        <v>3357.6490082668361</v>
      </c>
      <c r="BV357">
        <f>VLOOKUP($H357,'1. Set Program Names'!$B$2:$D$15,3,0)*V357</f>
        <v>105.51399100534893</v>
      </c>
      <c r="BW357">
        <f>VLOOKUP($H357,'1. Set Program Names'!$B$2:$D$15,3,0)*W357</f>
        <v>249.01671304179203</v>
      </c>
      <c r="BX357">
        <f>VLOOKUP($H357,'1. Set Program Names'!$B$2:$D$15,3,0)*X357</f>
        <v>434.40683541761041</v>
      </c>
      <c r="BY357">
        <f>VLOOKUP($H357,'1. Set Program Names'!$B$2:$D$15,3,0)*Y357</f>
        <v>663.29756677335467</v>
      </c>
      <c r="BZ357">
        <f>VLOOKUP($H357,'1. Set Program Names'!$B$2:$D$15,3,0)*Z357</f>
        <v>933.51288747955823</v>
      </c>
      <c r="CA357">
        <f>VLOOKUP($H357,'1. Set Program Names'!$B$2:$D$15,3,0)*AA357</f>
        <v>1239.9120847485908</v>
      </c>
      <c r="CB357">
        <f>VLOOKUP($H357,'1. Set Program Names'!$B$2:$D$15,3,0)*AB357</f>
        <v>1575.2704863705894</v>
      </c>
      <c r="CC357">
        <f>VLOOKUP($H357,'1. Set Program Names'!$B$2:$D$15,3,0)*AC357</f>
        <v>1932.9652177765036</v>
      </c>
      <c r="CD357">
        <f>VLOOKUP($H357,'1. Set Program Names'!$B$2:$D$15,3,0)*AD357</f>
        <v>2308.1989912324198</v>
      </c>
      <c r="CE357">
        <f>VLOOKUP($H357,'1. Set Program Names'!$B$2:$D$15,3,0)*AE357</f>
        <v>2696.5160202048196</v>
      </c>
    </row>
    <row r="358" spans="1:83" x14ac:dyDescent="0.25">
      <c r="A358" s="20" t="s">
        <v>114</v>
      </c>
      <c r="B358" s="20" t="s">
        <v>88</v>
      </c>
      <c r="C358" s="20" t="s">
        <v>122</v>
      </c>
      <c r="D358" s="20" t="s">
        <v>90</v>
      </c>
      <c r="E358" s="20" t="s">
        <v>91</v>
      </c>
      <c r="F358" s="20" t="s">
        <v>90</v>
      </c>
      <c r="G358" s="20" t="s">
        <v>92</v>
      </c>
      <c r="H358" s="20" t="s">
        <v>16</v>
      </c>
      <c r="I358" s="20" t="s">
        <v>157</v>
      </c>
      <c r="J358" s="20" t="s">
        <v>158</v>
      </c>
      <c r="K358" s="20" t="s">
        <v>159</v>
      </c>
      <c r="L358" s="20">
        <v>562.52</v>
      </c>
      <c r="M358" s="20">
        <v>0</v>
      </c>
      <c r="N358" s="20">
        <v>2.7796637938074201E-2</v>
      </c>
      <c r="O358" s="20">
        <v>169</v>
      </c>
      <c r="P358" s="20">
        <v>53.285725702774101</v>
      </c>
      <c r="Q358" s="20">
        <v>20.491212633056499</v>
      </c>
      <c r="R358" s="20">
        <v>275.373630058213</v>
      </c>
      <c r="S358" s="20">
        <v>610.96426176974103</v>
      </c>
      <c r="T358" s="20">
        <v>15</v>
      </c>
      <c r="U358" s="20">
        <v>0.59999999999999898</v>
      </c>
      <c r="V358" s="20">
        <v>0</v>
      </c>
      <c r="W358" s="20">
        <v>0</v>
      </c>
      <c r="X358" s="20">
        <v>0</v>
      </c>
      <c r="Y358" s="20">
        <v>0</v>
      </c>
      <c r="Z358" s="20">
        <v>0</v>
      </c>
      <c r="AA358" s="20">
        <v>0</v>
      </c>
      <c r="AB358" s="20">
        <v>0</v>
      </c>
      <c r="AC358" s="20">
        <v>0</v>
      </c>
      <c r="AD358" s="20">
        <v>0</v>
      </c>
      <c r="AE358" s="20">
        <v>0</v>
      </c>
      <c r="AF358" t="str">
        <f t="shared" si="22"/>
        <v>NonResidential</v>
      </c>
      <c r="AG358" t="str">
        <f>tbl_Data_old[[#This Row],[All_Meas_Name_Append]]</f>
        <v>LED Exterior Wall Packs</v>
      </c>
      <c r="AH358">
        <f>AVERAGEIFS('3. Incentive Adjustment'!G:G,'3. Incentive Adjustment'!A:A,tbl_Data_old[[#This Row],[Trimmed Sector]],'3. Incentive Adjustment'!B:B,tbl_Data_old[[#This Row],[Trimmed Measure Name]])</f>
        <v>0.80637708305213962</v>
      </c>
      <c r="AI358">
        <f>$AH358*tbl_Data_old[[#This Row],[2025 ]]</f>
        <v>0</v>
      </c>
      <c r="AJ358">
        <f>$AH358*tbl_Data_old[[#This Row],[2026 ]]</f>
        <v>0</v>
      </c>
      <c r="AK358">
        <f>$AH358*tbl_Data_old[[#This Row],[2027 ]]</f>
        <v>0</v>
      </c>
      <c r="AL358">
        <f>$AH358*tbl_Data_old[[#This Row],[2028 ]]</f>
        <v>0</v>
      </c>
      <c r="AM358">
        <f>$AH358*tbl_Data_old[[#This Row],[2029 ]]</f>
        <v>0</v>
      </c>
      <c r="AN358">
        <f>$AH358*tbl_Data_old[[#This Row],[2030 ]]</f>
        <v>0</v>
      </c>
      <c r="AO358">
        <f>$AH358*tbl_Data_old[[#This Row],[2031 ]]</f>
        <v>0</v>
      </c>
      <c r="AP358">
        <f>$AH358*tbl_Data_old[[#This Row],[2032 ]]</f>
        <v>0</v>
      </c>
      <c r="AQ358">
        <f>$AH358*tbl_Data_old[[#This Row],[2033 ]]</f>
        <v>0</v>
      </c>
      <c r="AR358">
        <f>$AH358*tbl_Data_old[[#This Row],[2034 ]]</f>
        <v>0</v>
      </c>
      <c r="AS358">
        <f>SUM(tbl_Data_old[[#This Row],[Adjusted 2025]:[Adjusted 2034]])</f>
        <v>0</v>
      </c>
      <c r="AT358" s="3">
        <f>AVERAGEIFS('3. Incentive Adjustment'!F:F,'3. Incentive Adjustment'!A:A,tbl_Data_old[[#This Row],[Trimmed Sector]],'3. Incentive Adjustment'!B:B,tbl_Data_old[[#This Row],[Trimmed Measure Name]])</f>
        <v>8.6864493556481861</v>
      </c>
      <c r="AU358" s="3">
        <f>IFERROR(VLOOKUP(tbl_Data_old[[#This Row],[All_Meas_Name_Append]],'IRA Tax Credits'!$A$3:$D$46,4,0),0)</f>
        <v>0</v>
      </c>
      <c r="AV358" s="4">
        <f>tbl_Data_old[[#This Row],[Adj. per unit Incentive ($)]]/tbl_Data_old[[#This Row],[kWh Savings]]*tbl_Data_old[[#This Row],[Sum of Annuals]]</f>
        <v>0</v>
      </c>
      <c r="AW358" s="4">
        <f>IFERROR(VLOOKUP(tbl_Data_old[[#This Row],[All_Programs]],'1. Set Program Names'!$B$2:$D$15,3,0)*tbl_Data_old[[#This Row],[Sum of Annuals]],"")</f>
        <v>0</v>
      </c>
      <c r="AX358" s="4">
        <f>tbl_Data_old[[#This Row],[per unit IRA tax ($)]]/tbl_Data_old[[#This Row],[kWh Savings]]*tbl_Data_old[[#This Row],[Sum of Annuals]]</f>
        <v>0</v>
      </c>
      <c r="AY358" s="4">
        <f>tbl_Data_old[[#This Row],[Avoided Costs ($/unit)]]/tbl_Data_old[[#This Row],[kWh Savings]]*tbl_Data_old[[#This Row],[Sum of Annuals]]</f>
        <v>0</v>
      </c>
      <c r="AZ358" s="4">
        <f>tbl_Data_old[[#This Row],[Lost Revenue ($/unit)]]/tbl_Data_old[[#This Row],[kWh Savings]]*tbl_Data_old[[#This Row],[Sum of Annuals]]</f>
        <v>0</v>
      </c>
      <c r="BA358" s="4">
        <f>tbl_Data_old[[#This Row],[Incremental Cost ($/unit)]]/tbl_Data_old[[#This Row],[kWh Savings]]*tbl_Data_old[[#This Row],[Sum of Annuals]]</f>
        <v>0</v>
      </c>
      <c r="BB358">
        <f>ROUNDUP(tbl_Data_old[[#This Row],[Adjusted 2025]]/$L358,0)</f>
        <v>0</v>
      </c>
      <c r="BC358">
        <f>ROUNDUP(tbl_Data_old[[#This Row],[Adjusted 2026]]/$L358,0)</f>
        <v>0</v>
      </c>
      <c r="BD358">
        <f>ROUNDUP(tbl_Data_old[[#This Row],[Adjusted 2027]]/$L358,0)</f>
        <v>0</v>
      </c>
      <c r="BE358">
        <f>ROUNDUP(tbl_Data_old[[#This Row],[Adjusted 2028]]/$L358,0)</f>
        <v>0</v>
      </c>
      <c r="BF358">
        <f>ROUNDUP(tbl_Data_old[[#This Row],[Adjusted 2029]]/$L358,0)</f>
        <v>0</v>
      </c>
      <c r="BG358">
        <f>ROUNDUP(tbl_Data_old[[#This Row],[Adjusted 2030]]/$L358,0)</f>
        <v>0</v>
      </c>
      <c r="BH358">
        <f>ROUNDUP(tbl_Data_old[[#This Row],[Adjusted 2031]]/$L358,0)</f>
        <v>0</v>
      </c>
      <c r="BI358">
        <f>ROUNDUP(tbl_Data_old[[#This Row],[Adjusted 2032]]/$L358,0)</f>
        <v>0</v>
      </c>
      <c r="BJ358">
        <f>ROUNDUP(tbl_Data_old[[#This Row],[Adjusted 2033]]/$L358,0)</f>
        <v>0</v>
      </c>
      <c r="BK358">
        <f>ROUNDUP(tbl_Data_old[[#This Row],[Adjusted 2034]]/$L358,0)</f>
        <v>0</v>
      </c>
      <c r="BL358" s="3">
        <f t="shared" ref="BL358:BU383" si="25">$AT358/$L358*V358</f>
        <v>0</v>
      </c>
      <c r="BM358" s="3">
        <f t="shared" si="25"/>
        <v>0</v>
      </c>
      <c r="BN358" s="3">
        <f t="shared" si="25"/>
        <v>0</v>
      </c>
      <c r="BO358" s="3">
        <f t="shared" si="25"/>
        <v>0</v>
      </c>
      <c r="BP358" s="3">
        <f t="shared" si="25"/>
        <v>0</v>
      </c>
      <c r="BQ358" s="3">
        <f t="shared" si="25"/>
        <v>0</v>
      </c>
      <c r="BR358" s="3">
        <f t="shared" si="25"/>
        <v>0</v>
      </c>
      <c r="BS358" s="3">
        <f t="shared" si="25"/>
        <v>0</v>
      </c>
      <c r="BT358" s="3">
        <f t="shared" si="25"/>
        <v>0</v>
      </c>
      <c r="BU358" s="3">
        <f t="shared" si="25"/>
        <v>0</v>
      </c>
      <c r="BV358">
        <f>VLOOKUP($H358,'1. Set Program Names'!$B$2:$D$15,3,0)*V358</f>
        <v>0</v>
      </c>
      <c r="BW358">
        <f>VLOOKUP($H358,'1. Set Program Names'!$B$2:$D$15,3,0)*W358</f>
        <v>0</v>
      </c>
      <c r="BX358">
        <f>VLOOKUP($H358,'1. Set Program Names'!$B$2:$D$15,3,0)*X358</f>
        <v>0</v>
      </c>
      <c r="BY358">
        <f>VLOOKUP($H358,'1. Set Program Names'!$B$2:$D$15,3,0)*Y358</f>
        <v>0</v>
      </c>
      <c r="BZ358">
        <f>VLOOKUP($H358,'1. Set Program Names'!$B$2:$D$15,3,0)*Z358</f>
        <v>0</v>
      </c>
      <c r="CA358">
        <f>VLOOKUP($H358,'1. Set Program Names'!$B$2:$D$15,3,0)*AA358</f>
        <v>0</v>
      </c>
      <c r="CB358">
        <f>VLOOKUP($H358,'1. Set Program Names'!$B$2:$D$15,3,0)*AB358</f>
        <v>0</v>
      </c>
      <c r="CC358">
        <f>VLOOKUP($H358,'1. Set Program Names'!$B$2:$D$15,3,0)*AC358</f>
        <v>0</v>
      </c>
      <c r="CD358">
        <f>VLOOKUP($H358,'1. Set Program Names'!$B$2:$D$15,3,0)*AD358</f>
        <v>0</v>
      </c>
      <c r="CE358">
        <f>VLOOKUP($H358,'1. Set Program Names'!$B$2:$D$15,3,0)*AE358</f>
        <v>0</v>
      </c>
    </row>
    <row r="359" spans="1:83" x14ac:dyDescent="0.25">
      <c r="A359" s="20" t="s">
        <v>114</v>
      </c>
      <c r="B359" s="20" t="s">
        <v>88</v>
      </c>
      <c r="C359" s="20" t="s">
        <v>122</v>
      </c>
      <c r="D359" s="20" t="s">
        <v>90</v>
      </c>
      <c r="E359" s="20" t="s">
        <v>91</v>
      </c>
      <c r="F359" s="20" t="s">
        <v>90</v>
      </c>
      <c r="G359" s="20" t="s">
        <v>92</v>
      </c>
      <c r="H359" s="20" t="s">
        <v>16</v>
      </c>
      <c r="I359" s="20" t="s">
        <v>160</v>
      </c>
      <c r="J359" s="20" t="s">
        <v>161</v>
      </c>
      <c r="K359" s="20" t="s">
        <v>159</v>
      </c>
      <c r="L359" s="20">
        <v>698.53499999999997</v>
      </c>
      <c r="M359" s="20">
        <v>9.14911955902553E-2</v>
      </c>
      <c r="N359" s="20">
        <v>9.6647765821509996E-2</v>
      </c>
      <c r="O359" s="20">
        <v>179</v>
      </c>
      <c r="P359" s="20">
        <v>35.4245718525491</v>
      </c>
      <c r="Q359" s="20">
        <v>25.445902753025901</v>
      </c>
      <c r="R359" s="20">
        <v>291.28765455670799</v>
      </c>
      <c r="S359" s="20">
        <v>758.69288308917999</v>
      </c>
      <c r="T359" s="20">
        <v>15</v>
      </c>
      <c r="U359" s="20">
        <v>0.59999999999999898</v>
      </c>
      <c r="V359" s="20">
        <v>1.28606404714506</v>
      </c>
      <c r="W359" s="20">
        <v>1.3998208602872</v>
      </c>
      <c r="X359" s="20">
        <v>1.4900780125099899</v>
      </c>
      <c r="Y359" s="20">
        <v>1.5656989196875799</v>
      </c>
      <c r="Z359" s="20">
        <v>1.6267511943363899</v>
      </c>
      <c r="AA359" s="20">
        <v>1.6736829797678701</v>
      </c>
      <c r="AB359" s="20">
        <v>1.7083392061042399</v>
      </c>
      <c r="AC359" s="20">
        <v>1.73589374510675</v>
      </c>
      <c r="AD359" s="20">
        <v>1.7589031494362799</v>
      </c>
      <c r="AE359" s="20">
        <v>1.77552364522558</v>
      </c>
      <c r="AF359" t="str">
        <f t="shared" si="22"/>
        <v>NonResidential</v>
      </c>
      <c r="AG359" t="str">
        <f>tbl_Data_old[[#This Row],[All_Meas_Name_Append]]</f>
        <v>LED High Bay_HID Baseline</v>
      </c>
      <c r="AH359">
        <f>AVERAGEIFS('3. Incentive Adjustment'!G:G,'3. Incentive Adjustment'!A:A,tbl_Data_old[[#This Row],[Trimmed Sector]],'3. Incentive Adjustment'!B:B,tbl_Data_old[[#This Row],[Trimmed Measure Name]])</f>
        <v>1.0603846876879557</v>
      </c>
      <c r="AI359">
        <f>$AH359*tbl_Data_old[[#This Row],[2025 ]]</f>
        <v>1.3637226229786228</v>
      </c>
      <c r="AJ359">
        <f>$AH359*tbl_Data_old[[#This Row],[2026 ]]</f>
        <v>1.4843486057547279</v>
      </c>
      <c r="AK359">
        <f>$AH359*tbl_Data_old[[#This Row],[2027 ]]</f>
        <v>1.5800559079260954</v>
      </c>
      <c r="AL359">
        <f>$AH359*tbl_Data_old[[#This Row],[2028 ]]</f>
        <v>1.6602431599662841</v>
      </c>
      <c r="AM359">
        <f>$AH359*tbl_Data_old[[#This Row],[2029 ]]</f>
        <v>1.7249820571524017</v>
      </c>
      <c r="AN359">
        <f>$AH359*tbl_Data_old[[#This Row],[2030 ]]</f>
        <v>1.7747478037897999</v>
      </c>
      <c r="AO359">
        <f>$AH359*tbl_Data_old[[#This Row],[2031 ]]</f>
        <v>1.8114967355299347</v>
      </c>
      <c r="AP359">
        <f>$AH359*tbl_Data_old[[#This Row],[2032 ]]</f>
        <v>1.8407151467644969</v>
      </c>
      <c r="AQ359">
        <f>$AH359*tbl_Data_old[[#This Row],[2033 ]]</f>
        <v>1.8651139667883514</v>
      </c>
      <c r="AR359">
        <f>$AH359*tbl_Data_old[[#This Row],[2034 ]]</f>
        <v>1.8827380860251073</v>
      </c>
      <c r="AS359">
        <f>SUM(tbl_Data_old[[#This Row],[Adjusted 2025]:[Adjusted 2034]])</f>
        <v>16.988164092675824</v>
      </c>
      <c r="AT359" s="3">
        <f>AVERAGEIFS('3. Incentive Adjustment'!F:F,'3. Incentive Adjustment'!A:A,tbl_Data_old[[#This Row],[Trimmed Sector]],'3. Incentive Adjustment'!B:B,tbl_Data_old[[#This Row],[Trimmed Measure Name]])</f>
        <v>28.590998621954778</v>
      </c>
      <c r="AU359" s="3">
        <f>IFERROR(VLOOKUP(tbl_Data_old[[#This Row],[All_Meas_Name_Append]],'IRA Tax Credits'!$A$3:$D$46,4,0),0)</f>
        <v>0</v>
      </c>
      <c r="AV359" s="4">
        <f>tbl_Data_old[[#This Row],[Adj. per unit Incentive ($)]]/tbl_Data_old[[#This Row],[kWh Savings]]*tbl_Data_old[[#This Row],[Sum of Annuals]]</f>
        <v>0.69532460959470332</v>
      </c>
      <c r="AW359" s="4">
        <f>IFERROR(VLOOKUP(tbl_Data_old[[#This Row],[All_Programs]],'1. Set Program Names'!$B$2:$D$15,3,0)*tbl_Data_old[[#This Row],[Sum of Annuals]],"")</f>
        <v>0.61883681054589335</v>
      </c>
      <c r="AX359" s="4">
        <f>tbl_Data_old[[#This Row],[per unit IRA tax ($)]]/tbl_Data_old[[#This Row],[kWh Savings]]*tbl_Data_old[[#This Row],[Sum of Annuals]]</f>
        <v>0</v>
      </c>
      <c r="AY359" s="4">
        <f>tbl_Data_old[[#This Row],[Avoided Costs ($/unit)]]/tbl_Data_old[[#This Row],[kWh Savings]]*tbl_Data_old[[#This Row],[Sum of Annuals]]</f>
        <v>7.0840293954920321</v>
      </c>
      <c r="AZ359" s="4">
        <f>tbl_Data_old[[#This Row],[Lost Revenue ($/unit)]]/tbl_Data_old[[#This Row],[kWh Savings]]*tbl_Data_old[[#This Row],[Sum of Annuals]]</f>
        <v>18.451185973307428</v>
      </c>
      <c r="BA359" s="4">
        <f>tbl_Data_old[[#This Row],[Incremental Cost ($/unit)]]/tbl_Data_old[[#This Row],[kWh Savings]]*tbl_Data_old[[#This Row],[Sum of Annuals]]</f>
        <v>4.3532269286277323</v>
      </c>
      <c r="BB359">
        <f>ROUNDUP(tbl_Data_old[[#This Row],[Adjusted 2025]]/$L359,0)</f>
        <v>1</v>
      </c>
      <c r="BC359">
        <f>ROUNDUP(tbl_Data_old[[#This Row],[Adjusted 2026]]/$L359,0)</f>
        <v>1</v>
      </c>
      <c r="BD359">
        <f>ROUNDUP(tbl_Data_old[[#This Row],[Adjusted 2027]]/$L359,0)</f>
        <v>1</v>
      </c>
      <c r="BE359">
        <f>ROUNDUP(tbl_Data_old[[#This Row],[Adjusted 2028]]/$L359,0)</f>
        <v>1</v>
      </c>
      <c r="BF359">
        <f>ROUNDUP(tbl_Data_old[[#This Row],[Adjusted 2029]]/$L359,0)</f>
        <v>1</v>
      </c>
      <c r="BG359">
        <f>ROUNDUP(tbl_Data_old[[#This Row],[Adjusted 2030]]/$L359,0)</f>
        <v>1</v>
      </c>
      <c r="BH359">
        <f>ROUNDUP(tbl_Data_old[[#This Row],[Adjusted 2031]]/$L359,0)</f>
        <v>1</v>
      </c>
      <c r="BI359">
        <f>ROUNDUP(tbl_Data_old[[#This Row],[Adjusted 2032]]/$L359,0)</f>
        <v>1</v>
      </c>
      <c r="BJ359">
        <f>ROUNDUP(tbl_Data_old[[#This Row],[Adjusted 2033]]/$L359,0)</f>
        <v>1</v>
      </c>
      <c r="BK359">
        <f>ROUNDUP(tbl_Data_old[[#This Row],[Adjusted 2034]]/$L359,0)</f>
        <v>1</v>
      </c>
      <c r="BL359" s="3">
        <f t="shared" si="25"/>
        <v>5.2638529779710383E-2</v>
      </c>
      <c r="BM359" s="3">
        <f t="shared" si="25"/>
        <v>5.729458980216437E-2</v>
      </c>
      <c r="BN359" s="3">
        <f t="shared" si="25"/>
        <v>6.0988810012781378E-2</v>
      </c>
      <c r="BO359" s="3">
        <f t="shared" si="25"/>
        <v>6.4083969529348819E-2</v>
      </c>
      <c r="BP359" s="3">
        <f t="shared" si="25"/>
        <v>6.6582835728395878E-2</v>
      </c>
      <c r="BQ359" s="3">
        <f t="shared" si="25"/>
        <v>6.8503751090685988E-2</v>
      </c>
      <c r="BR359" s="3">
        <f t="shared" si="25"/>
        <v>6.9922228503307121E-2</v>
      </c>
      <c r="BS359" s="3">
        <f t="shared" si="25"/>
        <v>7.1050034249117086E-2</v>
      </c>
      <c r="BT359" s="3">
        <f t="shared" si="25"/>
        <v>7.1991807886053805E-2</v>
      </c>
      <c r="BU359" s="3">
        <f t="shared" si="25"/>
        <v>7.2672083852480807E-2</v>
      </c>
      <c r="BV359">
        <f>VLOOKUP($H359,'1. Set Program Names'!$B$2:$D$15,3,0)*V359</f>
        <v>4.6848133132650648E-2</v>
      </c>
      <c r="BW359">
        <f>VLOOKUP($H359,'1. Set Program Names'!$B$2:$D$15,3,0)*W359</f>
        <v>5.0992012544146183E-2</v>
      </c>
      <c r="BX359">
        <f>VLOOKUP($H359,'1. Set Program Names'!$B$2:$D$15,3,0)*X359</f>
        <v>5.4279857416953084E-2</v>
      </c>
      <c r="BY359">
        <f>VLOOKUP($H359,'1. Set Program Names'!$B$2:$D$15,3,0)*Y359</f>
        <v>5.7034540074424156E-2</v>
      </c>
      <c r="BZ359">
        <f>VLOOKUP($H359,'1. Set Program Names'!$B$2:$D$15,3,0)*Z359</f>
        <v>5.9258523473344246E-2</v>
      </c>
      <c r="CA359">
        <f>VLOOKUP($H359,'1. Set Program Names'!$B$2:$D$15,3,0)*AA359</f>
        <v>6.0968132366406615E-2</v>
      </c>
      <c r="CB359">
        <f>VLOOKUP($H359,'1. Set Program Names'!$B$2:$D$15,3,0)*AB359</f>
        <v>6.2230572995927151E-2</v>
      </c>
      <c r="CC359">
        <f>VLOOKUP($H359,'1. Set Program Names'!$B$2:$D$15,3,0)*AC359</f>
        <v>6.3234316716517136E-2</v>
      </c>
      <c r="CD359">
        <f>VLOOKUP($H359,'1. Set Program Names'!$B$2:$D$15,3,0)*AD359</f>
        <v>6.4072492419916791E-2</v>
      </c>
      <c r="CE359">
        <f>VLOOKUP($H359,'1. Set Program Names'!$B$2:$D$15,3,0)*AE359</f>
        <v>6.4677935983319626E-2</v>
      </c>
    </row>
    <row r="360" spans="1:83" x14ac:dyDescent="0.25">
      <c r="A360" s="20" t="s">
        <v>114</v>
      </c>
      <c r="B360" s="20" t="s">
        <v>88</v>
      </c>
      <c r="C360" s="20" t="s">
        <v>122</v>
      </c>
      <c r="D360" s="20" t="s">
        <v>90</v>
      </c>
      <c r="E360" s="20" t="s">
        <v>91</v>
      </c>
      <c r="F360" s="20" t="s">
        <v>90</v>
      </c>
      <c r="G360" s="20" t="s">
        <v>92</v>
      </c>
      <c r="H360" s="20" t="s">
        <v>16</v>
      </c>
      <c r="I360" s="20" t="s">
        <v>162</v>
      </c>
      <c r="J360" s="20" t="s">
        <v>161</v>
      </c>
      <c r="K360" s="20" t="s">
        <v>159</v>
      </c>
      <c r="L360" s="20">
        <v>638.46285714285602</v>
      </c>
      <c r="M360" s="20">
        <v>7.6348348575361394E-2</v>
      </c>
      <c r="N360" s="20">
        <v>7.27444471789533E-2</v>
      </c>
      <c r="O360" s="20">
        <v>179</v>
      </c>
      <c r="P360" s="20">
        <v>51.129983050636802</v>
      </c>
      <c r="Q360" s="20">
        <v>23.2576231316629</v>
      </c>
      <c r="R360" s="20">
        <v>256.15438258671003</v>
      </c>
      <c r="S360" s="20">
        <v>693.44732308484095</v>
      </c>
      <c r="T360" s="20">
        <v>15</v>
      </c>
      <c r="U360" s="20">
        <v>0.59999999999999898</v>
      </c>
      <c r="V360" s="20">
        <v>3.7862287020973802</v>
      </c>
      <c r="W360" s="20">
        <v>4.1211337264109202</v>
      </c>
      <c r="X360" s="20">
        <v>4.3868547230238901</v>
      </c>
      <c r="Y360" s="20">
        <v>4.6094859752310002</v>
      </c>
      <c r="Z360" s="20">
        <v>4.7892265372324001</v>
      </c>
      <c r="AA360" s="20">
        <v>4.92739576250219</v>
      </c>
      <c r="AB360" s="20">
        <v>5.0294252058665503</v>
      </c>
      <c r="AC360" s="20">
        <v>5.1105469716728296</v>
      </c>
      <c r="AD360" s="20">
        <v>5.17828766256922</v>
      </c>
      <c r="AE360" s="20">
        <v>5.2272191277946503</v>
      </c>
      <c r="AF360" t="str">
        <f t="shared" si="22"/>
        <v>NonResidential</v>
      </c>
      <c r="AG360" t="str">
        <f>tbl_Data_old[[#This Row],[All_Meas_Name_Append]]</f>
        <v>LED High Bay_LF Baseline</v>
      </c>
      <c r="AH360">
        <f>AVERAGEIFS('3. Incentive Adjustment'!G:G,'3. Incentive Adjustment'!A:A,tbl_Data_old[[#This Row],[Trimmed Sector]],'3. Incentive Adjustment'!B:B,tbl_Data_old[[#This Row],[Trimmed Measure Name]])</f>
        <v>0.93017466414143679</v>
      </c>
      <c r="AI360">
        <f>$AH360*tbl_Data_old[[#This Row],[2025 ]]</f>
        <v>3.5218540113360985</v>
      </c>
      <c r="AJ360">
        <f>$AH360*tbl_Data_old[[#This Row],[2026 ]]</f>
        <v>3.8333741798462255</v>
      </c>
      <c r="AK360">
        <f>$AH360*tbl_Data_old[[#This Row],[2027 ]]</f>
        <v>4.080541118626023</v>
      </c>
      <c r="AL360">
        <f>$AH360*tbl_Data_old[[#This Row],[2028 ]]</f>
        <v>4.2876270688751585</v>
      </c>
      <c r="AM360">
        <f>$AH360*tbl_Data_old[[#This Row],[2029 ]]</f>
        <v>4.4548171857674044</v>
      </c>
      <c r="AN360">
        <f>$AH360*tbl_Data_old[[#This Row],[2030 ]]</f>
        <v>4.5833386984774132</v>
      </c>
      <c r="AO360">
        <f>$AH360*tbl_Data_old[[#This Row],[2031 ]]</f>
        <v>4.6782439016913946</v>
      </c>
      <c r="AP360">
        <f>$AH360*tbl_Data_old[[#This Row],[2032 ]]</f>
        <v>4.7537013129548109</v>
      </c>
      <c r="AQ360">
        <f>$AH360*tbl_Data_old[[#This Row],[2033 ]]</f>
        <v>4.8167119873580697</v>
      </c>
      <c r="AR360">
        <f>$AH360*tbl_Data_old[[#This Row],[2034 ]]</f>
        <v>4.8622267965900834</v>
      </c>
      <c r="AS360">
        <f>SUM(tbl_Data_old[[#This Row],[Adjusted 2025]:[Adjusted 2034]])</f>
        <v>43.872436261522687</v>
      </c>
      <c r="AT360" s="3">
        <f>AVERAGEIFS('3. Incentive Adjustment'!F:F,'3. Incentive Adjustment'!A:A,tbl_Data_old[[#This Row],[Trimmed Sector]],'3. Incentive Adjustment'!B:B,tbl_Data_old[[#This Row],[Trimmed Measure Name]])</f>
        <v>23.858858929800434</v>
      </c>
      <c r="AU360" s="3">
        <f>IFERROR(VLOOKUP(tbl_Data_old[[#This Row],[All_Meas_Name_Append]],'IRA Tax Credits'!$A$3:$D$46,4,0),0)</f>
        <v>0</v>
      </c>
      <c r="AV360" s="4">
        <f>tbl_Data_old[[#This Row],[Adj. per unit Incentive ($)]]/tbl_Data_old[[#This Row],[kWh Savings]]*tbl_Data_old[[#This Row],[Sum of Annuals]]</f>
        <v>1.6394787198029932</v>
      </c>
      <c r="AW360" s="4">
        <f>IFERROR(VLOOKUP(tbl_Data_old[[#This Row],[All_Programs]],'1. Set Program Names'!$B$2:$D$15,3,0)*tbl_Data_old[[#This Row],[Sum of Annuals]],"")</f>
        <v>1.5981643677826218</v>
      </c>
      <c r="AX360" s="4">
        <f>tbl_Data_old[[#This Row],[per unit IRA tax ($)]]/tbl_Data_old[[#This Row],[kWh Savings]]*tbl_Data_old[[#This Row],[Sum of Annuals]]</f>
        <v>0</v>
      </c>
      <c r="AY360" s="4">
        <f>tbl_Data_old[[#This Row],[Avoided Costs ($/unit)]]/tbl_Data_old[[#This Row],[kWh Savings]]*tbl_Data_old[[#This Row],[Sum of Annuals]]</f>
        <v>17.601833368093022</v>
      </c>
      <c r="AZ360" s="4">
        <f>tbl_Data_old[[#This Row],[Lost Revenue ($/unit)]]/tbl_Data_old[[#This Row],[kWh Savings]]*tbl_Data_old[[#This Row],[Sum of Annuals]]</f>
        <v>47.650733542916214</v>
      </c>
      <c r="BA360" s="4">
        <f>tbl_Data_old[[#This Row],[Incremental Cost ($/unit)]]/tbl_Data_old[[#This Row],[kWh Savings]]*tbl_Data_old[[#This Row],[Sum of Annuals]]</f>
        <v>12.300114255597824</v>
      </c>
      <c r="BB360">
        <f>ROUNDUP(tbl_Data_old[[#This Row],[Adjusted 2025]]/$L360,0)</f>
        <v>1</v>
      </c>
      <c r="BC360">
        <f>ROUNDUP(tbl_Data_old[[#This Row],[Adjusted 2026]]/$L360,0)</f>
        <v>1</v>
      </c>
      <c r="BD360">
        <f>ROUNDUP(tbl_Data_old[[#This Row],[Adjusted 2027]]/$L360,0)</f>
        <v>1</v>
      </c>
      <c r="BE360">
        <f>ROUNDUP(tbl_Data_old[[#This Row],[Adjusted 2028]]/$L360,0)</f>
        <v>1</v>
      </c>
      <c r="BF360">
        <f>ROUNDUP(tbl_Data_old[[#This Row],[Adjusted 2029]]/$L360,0)</f>
        <v>1</v>
      </c>
      <c r="BG360">
        <f>ROUNDUP(tbl_Data_old[[#This Row],[Adjusted 2030]]/$L360,0)</f>
        <v>1</v>
      </c>
      <c r="BH360">
        <f>ROUNDUP(tbl_Data_old[[#This Row],[Adjusted 2031]]/$L360,0)</f>
        <v>1</v>
      </c>
      <c r="BI360">
        <f>ROUNDUP(tbl_Data_old[[#This Row],[Adjusted 2032]]/$L360,0)</f>
        <v>1</v>
      </c>
      <c r="BJ360">
        <f>ROUNDUP(tbl_Data_old[[#This Row],[Adjusted 2033]]/$L360,0)</f>
        <v>1</v>
      </c>
      <c r="BK360">
        <f>ROUNDUP(tbl_Data_old[[#This Row],[Adjusted 2034]]/$L360,0)</f>
        <v>1</v>
      </c>
      <c r="BL360" s="3">
        <f t="shared" si="25"/>
        <v>0.14148841309822713</v>
      </c>
      <c r="BM360" s="3">
        <f t="shared" si="25"/>
        <v>0.15400355260960871</v>
      </c>
      <c r="BN360" s="3">
        <f t="shared" si="25"/>
        <v>0.16393333897376097</v>
      </c>
      <c r="BO360" s="3">
        <f t="shared" si="25"/>
        <v>0.17225289520220696</v>
      </c>
      <c r="BP360" s="3">
        <f t="shared" si="25"/>
        <v>0.1789696597951313</v>
      </c>
      <c r="BQ360" s="3">
        <f t="shared" si="25"/>
        <v>0.18413293596268152</v>
      </c>
      <c r="BR360" s="3">
        <f t="shared" si="25"/>
        <v>0.18794569667175384</v>
      </c>
      <c r="BS360" s="3">
        <f t="shared" si="25"/>
        <v>0.19097715377979868</v>
      </c>
      <c r="BT360" s="3">
        <f t="shared" si="25"/>
        <v>0.1935085705565503</v>
      </c>
      <c r="BU360" s="3">
        <f t="shared" si="25"/>
        <v>0.19533710124237022</v>
      </c>
      <c r="BV360">
        <f>VLOOKUP($H360,'1. Set Program Names'!$B$2:$D$15,3,0)*V360</f>
        <v>0.13792294924990936</v>
      </c>
      <c r="BW360">
        <f>VLOOKUP($H360,'1. Set Program Names'!$B$2:$D$15,3,0)*W360</f>
        <v>0.15012271115186432</v>
      </c>
      <c r="BX360">
        <f>VLOOKUP($H360,'1. Set Program Names'!$B$2:$D$15,3,0)*X360</f>
        <v>0.15980226999895253</v>
      </c>
      <c r="BY360">
        <f>VLOOKUP($H360,'1. Set Program Names'!$B$2:$D$15,3,0)*Y360</f>
        <v>0.16791217600716474</v>
      </c>
      <c r="BZ360">
        <f>VLOOKUP($H360,'1. Set Program Names'!$B$2:$D$15,3,0)*Z360</f>
        <v>0.17445968022880265</v>
      </c>
      <c r="CA360">
        <f>VLOOKUP($H360,'1. Set Program Names'!$B$2:$D$15,3,0)*AA360</f>
        <v>0.17949284344850674</v>
      </c>
      <c r="CB360">
        <f>VLOOKUP($H360,'1. Set Program Names'!$B$2:$D$15,3,0)*AB360</f>
        <v>0.18320952377775993</v>
      </c>
      <c r="CC360">
        <f>VLOOKUP($H360,'1. Set Program Names'!$B$2:$D$15,3,0)*AC360</f>
        <v>0.18616458911286887</v>
      </c>
      <c r="CD360">
        <f>VLOOKUP($H360,'1. Set Program Names'!$B$2:$D$15,3,0)*AD360</f>
        <v>0.1886322149769592</v>
      </c>
      <c r="CE360">
        <f>VLOOKUP($H360,'1. Set Program Names'!$B$2:$D$15,3,0)*AE360</f>
        <v>0.19041466726022255</v>
      </c>
    </row>
    <row r="361" spans="1:83" x14ac:dyDescent="0.25">
      <c r="A361" s="20" t="s">
        <v>114</v>
      </c>
      <c r="B361" s="20" t="s">
        <v>88</v>
      </c>
      <c r="C361" s="20" t="s">
        <v>122</v>
      </c>
      <c r="D361" s="20" t="s">
        <v>90</v>
      </c>
      <c r="E361" s="20" t="s">
        <v>91</v>
      </c>
      <c r="F361" s="20" t="s">
        <v>90</v>
      </c>
      <c r="G361" s="20" t="s">
        <v>92</v>
      </c>
      <c r="H361" s="20" t="s">
        <v>16</v>
      </c>
      <c r="I361" s="20" t="s">
        <v>163</v>
      </c>
      <c r="J361" s="20" t="s">
        <v>161</v>
      </c>
      <c r="K361" s="20" t="s">
        <v>159</v>
      </c>
      <c r="L361" s="20">
        <v>336.08</v>
      </c>
      <c r="M361" s="20">
        <v>5.3794325187228403E-2</v>
      </c>
      <c r="N361" s="20">
        <v>5.3413522005729602E-2</v>
      </c>
      <c r="O361" s="20">
        <v>109.08</v>
      </c>
      <c r="P361" s="20">
        <v>41.915763754167898</v>
      </c>
      <c r="Q361" s="20">
        <v>12.2425633608007</v>
      </c>
      <c r="R361" s="20">
        <v>148.30416484676499</v>
      </c>
      <c r="S361" s="20">
        <v>365.02323312162099</v>
      </c>
      <c r="T361" s="20">
        <v>15</v>
      </c>
      <c r="U361" s="20">
        <v>0.59999999999999898</v>
      </c>
      <c r="V361" s="20">
        <v>5.98689396829218</v>
      </c>
      <c r="W361" s="20">
        <v>6.2939977940046203</v>
      </c>
      <c r="X361" s="20">
        <v>6.45938745731626</v>
      </c>
      <c r="Y361" s="20">
        <v>6.5606880641767802</v>
      </c>
      <c r="Z361" s="20">
        <v>6.6176475988586096</v>
      </c>
      <c r="AA361" s="20">
        <v>6.6249614550929801</v>
      </c>
      <c r="AB361" s="20">
        <v>6.6055535810897101</v>
      </c>
      <c r="AC361" s="20">
        <v>6.57828815746484</v>
      </c>
      <c r="AD361" s="20">
        <v>6.5381036232728897</v>
      </c>
      <c r="AE361" s="20">
        <v>6.4931302298528699</v>
      </c>
      <c r="AF361" t="str">
        <f t="shared" si="22"/>
        <v>NonResidential</v>
      </c>
      <c r="AG361" t="str">
        <f>tbl_Data_old[[#This Row],[All_Meas_Name_Append]]</f>
        <v>LED Linear - Fixture Replacement</v>
      </c>
      <c r="AH361">
        <f>AVERAGEIFS('3. Incentive Adjustment'!G:G,'3. Incentive Adjustment'!A:A,tbl_Data_old[[#This Row],[Trimmed Sector]],'3. Incentive Adjustment'!B:B,tbl_Data_old[[#This Row],[Trimmed Measure Name]])</f>
        <v>0.56055357916158088</v>
      </c>
      <c r="AI361">
        <f>$AH361*tbl_Data_old[[#This Row],[2025 ]]</f>
        <v>3.3559748419870616</v>
      </c>
      <c r="AJ361">
        <f>$AH361*tbl_Data_old[[#This Row],[2026 ]]</f>
        <v>3.5281229906643845</v>
      </c>
      <c r="AK361">
        <f>$AH361*tbl_Data_old[[#This Row],[2027 ]]</f>
        <v>3.6208327583900526</v>
      </c>
      <c r="AL361">
        <f>$AH361*tbl_Data_old[[#This Row],[2028 ]]</f>
        <v>3.6776171761369576</v>
      </c>
      <c r="AM361">
        <f>$AH361*tbl_Data_old[[#This Row],[2029 ]]</f>
        <v>3.7095460471702353</v>
      </c>
      <c r="AN361">
        <f>$AH361*tbl_Data_old[[#This Row],[2030 ]]</f>
        <v>3.7136458554598848</v>
      </c>
      <c r="AO361">
        <f>$AH361*tbl_Data_old[[#This Row],[2031 ]]</f>
        <v>3.702766702223435</v>
      </c>
      <c r="AP361">
        <f>$AH361*tbl_Data_old[[#This Row],[2032 ]]</f>
        <v>3.6874829714231572</v>
      </c>
      <c r="AQ361">
        <f>$AH361*tbl_Data_old[[#This Row],[2033 ]]</f>
        <v>3.6649573869549186</v>
      </c>
      <c r="AR361">
        <f>$AH361*tbl_Data_old[[#This Row],[2034 ]]</f>
        <v>3.6397473903062845</v>
      </c>
      <c r="AS361">
        <f>SUM(tbl_Data_old[[#This Row],[Adjusted 2025]:[Adjusted 2034]])</f>
        <v>36.300694120716372</v>
      </c>
      <c r="AT361" s="3">
        <f>AVERAGEIFS('3. Incentive Adjustment'!F:F,'3. Incentive Adjustment'!A:A,tbl_Data_old[[#This Row],[Trimmed Sector]],'3. Incentive Adjustment'!B:B,tbl_Data_old[[#This Row],[Trimmed Measure Name]])</f>
        <v>16.810726621008875</v>
      </c>
      <c r="AU361" s="3">
        <f>IFERROR(VLOOKUP(tbl_Data_old[[#This Row],[All_Meas_Name_Append]],'IRA Tax Credits'!$A$3:$D$46,4,0),0)</f>
        <v>0</v>
      </c>
      <c r="AV361" s="4">
        <f>tbl_Data_old[[#This Row],[Adj. per unit Incentive ($)]]/tbl_Data_old[[#This Row],[kWh Savings]]*tbl_Data_old[[#This Row],[Sum of Annuals]]</f>
        <v>1.8157612622477599</v>
      </c>
      <c r="AW361" s="4">
        <f>IFERROR(VLOOKUP(tbl_Data_old[[#This Row],[All_Programs]],'1. Set Program Names'!$B$2:$D$15,3,0)*tbl_Data_old[[#This Row],[Sum of Annuals]],"")</f>
        <v>1.3223445245593821</v>
      </c>
      <c r="AX361" s="4">
        <f>tbl_Data_old[[#This Row],[per unit IRA tax ($)]]/tbl_Data_old[[#This Row],[kWh Savings]]*tbl_Data_old[[#This Row],[Sum of Annuals]]</f>
        <v>0</v>
      </c>
      <c r="AY361" s="4">
        <f>tbl_Data_old[[#This Row],[Avoided Costs ($/unit)]]/tbl_Data_old[[#This Row],[kWh Savings]]*tbl_Data_old[[#This Row],[Sum of Annuals]]</f>
        <v>16.018638791153041</v>
      </c>
      <c r="AZ361" s="4">
        <f>tbl_Data_old[[#This Row],[Lost Revenue ($/unit)]]/tbl_Data_old[[#This Row],[kWh Savings]]*tbl_Data_old[[#This Row],[Sum of Annuals]]</f>
        <v>39.426912439011275</v>
      </c>
      <c r="BA361" s="4">
        <f>tbl_Data_old[[#This Row],[Incremental Cost ($/unit)]]/tbl_Data_old[[#This Row],[kWh Savings]]*tbl_Data_old[[#This Row],[Sum of Annuals]]</f>
        <v>11.781955828040175</v>
      </c>
      <c r="BB361">
        <f>ROUNDUP(tbl_Data_old[[#This Row],[Adjusted 2025]]/$L361,0)</f>
        <v>1</v>
      </c>
      <c r="BC361">
        <f>ROUNDUP(tbl_Data_old[[#This Row],[Adjusted 2026]]/$L361,0)</f>
        <v>1</v>
      </c>
      <c r="BD361">
        <f>ROUNDUP(tbl_Data_old[[#This Row],[Adjusted 2027]]/$L361,0)</f>
        <v>1</v>
      </c>
      <c r="BE361">
        <f>ROUNDUP(tbl_Data_old[[#This Row],[Adjusted 2028]]/$L361,0)</f>
        <v>1</v>
      </c>
      <c r="BF361">
        <f>ROUNDUP(tbl_Data_old[[#This Row],[Adjusted 2029]]/$L361,0)</f>
        <v>1</v>
      </c>
      <c r="BG361">
        <f>ROUNDUP(tbl_Data_old[[#This Row],[Adjusted 2030]]/$L361,0)</f>
        <v>1</v>
      </c>
      <c r="BH361">
        <f>ROUNDUP(tbl_Data_old[[#This Row],[Adjusted 2031]]/$L361,0)</f>
        <v>1</v>
      </c>
      <c r="BI361">
        <f>ROUNDUP(tbl_Data_old[[#This Row],[Adjusted 2032]]/$L361,0)</f>
        <v>1</v>
      </c>
      <c r="BJ361">
        <f>ROUNDUP(tbl_Data_old[[#This Row],[Adjusted 2033]]/$L361,0)</f>
        <v>1</v>
      </c>
      <c r="BK361">
        <f>ROUNDUP(tbl_Data_old[[#This Row],[Adjusted 2034]]/$L361,0)</f>
        <v>1</v>
      </c>
      <c r="BL361" s="3">
        <f t="shared" si="25"/>
        <v>0.29946452573770183</v>
      </c>
      <c r="BM361" s="3">
        <f t="shared" si="25"/>
        <v>0.31482586368794518</v>
      </c>
      <c r="BN361" s="3">
        <f t="shared" si="25"/>
        <v>0.32309865711770203</v>
      </c>
      <c r="BO361" s="3">
        <f t="shared" si="25"/>
        <v>0.32816571498628838</v>
      </c>
      <c r="BP361" s="3">
        <f t="shared" si="25"/>
        <v>0.33101483176204449</v>
      </c>
      <c r="BQ361" s="3">
        <f t="shared" si="25"/>
        <v>0.33138067096015611</v>
      </c>
      <c r="BR361" s="3">
        <f t="shared" si="25"/>
        <v>0.33040988881256045</v>
      </c>
      <c r="BS361" s="3">
        <f t="shared" si="25"/>
        <v>0.32904607191550111</v>
      </c>
      <c r="BT361" s="3">
        <f t="shared" si="25"/>
        <v>0.32703604091486599</v>
      </c>
      <c r="BU361" s="3">
        <f t="shared" si="25"/>
        <v>0.32478647110409764</v>
      </c>
      <c r="BV361">
        <f>VLOOKUP($H361,'1. Set Program Names'!$B$2:$D$15,3,0)*V361</f>
        <v>0.21808774321950966</v>
      </c>
      <c r="BW361">
        <f>VLOOKUP($H361,'1. Set Program Names'!$B$2:$D$15,3,0)*W361</f>
        <v>0.22927477620162362</v>
      </c>
      <c r="BX361">
        <f>VLOOKUP($H361,'1. Set Program Names'!$B$2:$D$15,3,0)*X361</f>
        <v>0.23529951267006638</v>
      </c>
      <c r="BY361">
        <f>VLOOKUP($H361,'1. Set Program Names'!$B$2:$D$15,3,0)*Y361</f>
        <v>0.23898964328770947</v>
      </c>
      <c r="BZ361">
        <f>VLOOKUP($H361,'1. Set Program Names'!$B$2:$D$15,3,0)*Z361</f>
        <v>0.2410645382899233</v>
      </c>
      <c r="CA361">
        <f>VLOOKUP($H361,'1. Set Program Names'!$B$2:$D$15,3,0)*AA361</f>
        <v>0.24133096398726045</v>
      </c>
      <c r="CB361">
        <f>VLOOKUP($H361,'1. Set Program Names'!$B$2:$D$15,3,0)*AB361</f>
        <v>0.24062398312799041</v>
      </c>
      <c r="CC361">
        <f>VLOOKUP($H361,'1. Set Program Names'!$B$2:$D$15,3,0)*AC361</f>
        <v>0.23963077116570006</v>
      </c>
      <c r="CD361">
        <f>VLOOKUP($H361,'1. Set Program Names'!$B$2:$D$15,3,0)*AD361</f>
        <v>0.23816694795108087</v>
      </c>
      <c r="CE361">
        <f>VLOOKUP($H361,'1. Set Program Names'!$B$2:$D$15,3,0)*AE361</f>
        <v>0.23652867843639744</v>
      </c>
    </row>
    <row r="362" spans="1:83" x14ac:dyDescent="0.25">
      <c r="A362" s="20" t="s">
        <v>114</v>
      </c>
      <c r="B362" s="20" t="s">
        <v>88</v>
      </c>
      <c r="C362" s="20" t="s">
        <v>122</v>
      </c>
      <c r="D362" s="20" t="s">
        <v>90</v>
      </c>
      <c r="E362" s="20" t="s">
        <v>91</v>
      </c>
      <c r="F362" s="20" t="s">
        <v>90</v>
      </c>
      <c r="G362" s="20" t="s">
        <v>92</v>
      </c>
      <c r="H362" s="20" t="s">
        <v>16</v>
      </c>
      <c r="I362" s="20" t="s">
        <v>164</v>
      </c>
      <c r="J362" s="20" t="s">
        <v>158</v>
      </c>
      <c r="K362" s="20" t="s">
        <v>159</v>
      </c>
      <c r="L362" s="20">
        <v>612.05999999999904</v>
      </c>
      <c r="M362" s="20">
        <v>0</v>
      </c>
      <c r="N362" s="20">
        <v>3.0244631686656E-2</v>
      </c>
      <c r="O362" s="20">
        <v>255</v>
      </c>
      <c r="P362" s="20">
        <v>129.095003330796</v>
      </c>
      <c r="Q362" s="20">
        <v>22.295832333407802</v>
      </c>
      <c r="R362" s="20">
        <v>299.625229349054</v>
      </c>
      <c r="S362" s="20">
        <v>664.77065003695395</v>
      </c>
      <c r="T362" s="20">
        <v>15</v>
      </c>
      <c r="U362" s="20">
        <v>0.59999999999999898</v>
      </c>
      <c r="V362" s="20">
        <v>0</v>
      </c>
      <c r="W362" s="20">
        <v>0</v>
      </c>
      <c r="X362" s="20">
        <v>0</v>
      </c>
      <c r="Y362" s="20">
        <v>0</v>
      </c>
      <c r="Z362" s="20">
        <v>0</v>
      </c>
      <c r="AA362" s="20">
        <v>0</v>
      </c>
      <c r="AB362" s="20">
        <v>0</v>
      </c>
      <c r="AC362" s="20">
        <v>0</v>
      </c>
      <c r="AD362" s="20">
        <v>0</v>
      </c>
      <c r="AE362" s="20">
        <v>0</v>
      </c>
      <c r="AF362" t="str">
        <f t="shared" si="22"/>
        <v>NonResidential</v>
      </c>
      <c r="AG362" t="str">
        <f>tbl_Data_old[[#This Row],[All_Meas_Name_Append]]</f>
        <v>LED Parking Lighting</v>
      </c>
      <c r="AH362">
        <f>AVERAGEIFS('3. Incentive Adjustment'!G:G,'3. Incentive Adjustment'!A:A,tbl_Data_old[[#This Row],[Trimmed Sector]],'3. Incentive Adjustment'!B:B,tbl_Data_old[[#This Row],[Trimmed Measure Name]])</f>
        <v>0.59704067730377497</v>
      </c>
      <c r="AI362">
        <f>$AH362*tbl_Data_old[[#This Row],[2025 ]]</f>
        <v>0</v>
      </c>
      <c r="AJ362">
        <f>$AH362*tbl_Data_old[[#This Row],[2026 ]]</f>
        <v>0</v>
      </c>
      <c r="AK362">
        <f>$AH362*tbl_Data_old[[#This Row],[2027 ]]</f>
        <v>0</v>
      </c>
      <c r="AL362">
        <f>$AH362*tbl_Data_old[[#This Row],[2028 ]]</f>
        <v>0</v>
      </c>
      <c r="AM362">
        <f>$AH362*tbl_Data_old[[#This Row],[2029 ]]</f>
        <v>0</v>
      </c>
      <c r="AN362">
        <f>$AH362*tbl_Data_old[[#This Row],[2030 ]]</f>
        <v>0</v>
      </c>
      <c r="AO362">
        <f>$AH362*tbl_Data_old[[#This Row],[2031 ]]</f>
        <v>0</v>
      </c>
      <c r="AP362">
        <f>$AH362*tbl_Data_old[[#This Row],[2032 ]]</f>
        <v>0</v>
      </c>
      <c r="AQ362">
        <f>$AH362*tbl_Data_old[[#This Row],[2033 ]]</f>
        <v>0</v>
      </c>
      <c r="AR362">
        <f>$AH362*tbl_Data_old[[#This Row],[2034 ]]</f>
        <v>0</v>
      </c>
      <c r="AS362">
        <f>SUM(tbl_Data_old[[#This Row],[Adjusted 2025]:[Adjusted 2034]])</f>
        <v>0</v>
      </c>
      <c r="AT362" s="3">
        <f>AVERAGEIFS('3. Incentive Adjustment'!F:F,'3. Incentive Adjustment'!A:A,tbl_Data_old[[#This Row],[Trimmed Sector]],'3. Incentive Adjustment'!B:B,tbl_Data_old[[#This Row],[Trimmed Measure Name]])</f>
        <v>9.4514474020799994</v>
      </c>
      <c r="AU362" s="3">
        <f>IFERROR(VLOOKUP(tbl_Data_old[[#This Row],[All_Meas_Name_Append]],'IRA Tax Credits'!$A$3:$D$46,4,0),0)</f>
        <v>0</v>
      </c>
      <c r="AV362" s="4">
        <f>tbl_Data_old[[#This Row],[Adj. per unit Incentive ($)]]/tbl_Data_old[[#This Row],[kWh Savings]]*tbl_Data_old[[#This Row],[Sum of Annuals]]</f>
        <v>0</v>
      </c>
      <c r="AW362" s="4">
        <f>IFERROR(VLOOKUP(tbl_Data_old[[#This Row],[All_Programs]],'1. Set Program Names'!$B$2:$D$15,3,0)*tbl_Data_old[[#This Row],[Sum of Annuals]],"")</f>
        <v>0</v>
      </c>
      <c r="AX362" s="4">
        <f>tbl_Data_old[[#This Row],[per unit IRA tax ($)]]/tbl_Data_old[[#This Row],[kWh Savings]]*tbl_Data_old[[#This Row],[Sum of Annuals]]</f>
        <v>0</v>
      </c>
      <c r="AY362" s="4">
        <f>tbl_Data_old[[#This Row],[Avoided Costs ($/unit)]]/tbl_Data_old[[#This Row],[kWh Savings]]*tbl_Data_old[[#This Row],[Sum of Annuals]]</f>
        <v>0</v>
      </c>
      <c r="AZ362" s="4">
        <f>tbl_Data_old[[#This Row],[Lost Revenue ($/unit)]]/tbl_Data_old[[#This Row],[kWh Savings]]*tbl_Data_old[[#This Row],[Sum of Annuals]]</f>
        <v>0</v>
      </c>
      <c r="BA362" s="4">
        <f>tbl_Data_old[[#This Row],[Incremental Cost ($/unit)]]/tbl_Data_old[[#This Row],[kWh Savings]]*tbl_Data_old[[#This Row],[Sum of Annuals]]</f>
        <v>0</v>
      </c>
      <c r="BB362">
        <f>ROUNDUP(tbl_Data_old[[#This Row],[Adjusted 2025]]/$L362,0)</f>
        <v>0</v>
      </c>
      <c r="BC362">
        <f>ROUNDUP(tbl_Data_old[[#This Row],[Adjusted 2026]]/$L362,0)</f>
        <v>0</v>
      </c>
      <c r="BD362">
        <f>ROUNDUP(tbl_Data_old[[#This Row],[Adjusted 2027]]/$L362,0)</f>
        <v>0</v>
      </c>
      <c r="BE362">
        <f>ROUNDUP(tbl_Data_old[[#This Row],[Adjusted 2028]]/$L362,0)</f>
        <v>0</v>
      </c>
      <c r="BF362">
        <f>ROUNDUP(tbl_Data_old[[#This Row],[Adjusted 2029]]/$L362,0)</f>
        <v>0</v>
      </c>
      <c r="BG362">
        <f>ROUNDUP(tbl_Data_old[[#This Row],[Adjusted 2030]]/$L362,0)</f>
        <v>0</v>
      </c>
      <c r="BH362">
        <f>ROUNDUP(tbl_Data_old[[#This Row],[Adjusted 2031]]/$L362,0)</f>
        <v>0</v>
      </c>
      <c r="BI362">
        <f>ROUNDUP(tbl_Data_old[[#This Row],[Adjusted 2032]]/$L362,0)</f>
        <v>0</v>
      </c>
      <c r="BJ362">
        <f>ROUNDUP(tbl_Data_old[[#This Row],[Adjusted 2033]]/$L362,0)</f>
        <v>0</v>
      </c>
      <c r="BK362">
        <f>ROUNDUP(tbl_Data_old[[#This Row],[Adjusted 2034]]/$L362,0)</f>
        <v>0</v>
      </c>
      <c r="BL362" s="3">
        <f t="shared" si="25"/>
        <v>0</v>
      </c>
      <c r="BM362" s="3">
        <f t="shared" si="25"/>
        <v>0</v>
      </c>
      <c r="BN362" s="3">
        <f t="shared" si="25"/>
        <v>0</v>
      </c>
      <c r="BO362" s="3">
        <f t="shared" si="25"/>
        <v>0</v>
      </c>
      <c r="BP362" s="3">
        <f t="shared" si="25"/>
        <v>0</v>
      </c>
      <c r="BQ362" s="3">
        <f t="shared" si="25"/>
        <v>0</v>
      </c>
      <c r="BR362" s="3">
        <f t="shared" si="25"/>
        <v>0</v>
      </c>
      <c r="BS362" s="3">
        <f t="shared" si="25"/>
        <v>0</v>
      </c>
      <c r="BT362" s="3">
        <f t="shared" si="25"/>
        <v>0</v>
      </c>
      <c r="BU362" s="3">
        <f t="shared" si="25"/>
        <v>0</v>
      </c>
      <c r="BV362">
        <f>VLOOKUP($H362,'1. Set Program Names'!$B$2:$D$15,3,0)*V362</f>
        <v>0</v>
      </c>
      <c r="BW362">
        <f>VLOOKUP($H362,'1. Set Program Names'!$B$2:$D$15,3,0)*W362</f>
        <v>0</v>
      </c>
      <c r="BX362">
        <f>VLOOKUP($H362,'1. Set Program Names'!$B$2:$D$15,3,0)*X362</f>
        <v>0</v>
      </c>
      <c r="BY362">
        <f>VLOOKUP($H362,'1. Set Program Names'!$B$2:$D$15,3,0)*Y362</f>
        <v>0</v>
      </c>
      <c r="BZ362">
        <f>VLOOKUP($H362,'1. Set Program Names'!$B$2:$D$15,3,0)*Z362</f>
        <v>0</v>
      </c>
      <c r="CA362">
        <f>VLOOKUP($H362,'1. Set Program Names'!$B$2:$D$15,3,0)*AA362</f>
        <v>0</v>
      </c>
      <c r="CB362">
        <f>VLOOKUP($H362,'1. Set Program Names'!$B$2:$D$15,3,0)*AB362</f>
        <v>0</v>
      </c>
      <c r="CC362">
        <f>VLOOKUP($H362,'1. Set Program Names'!$B$2:$D$15,3,0)*AC362</f>
        <v>0</v>
      </c>
      <c r="CD362">
        <f>VLOOKUP($H362,'1. Set Program Names'!$B$2:$D$15,3,0)*AD362</f>
        <v>0</v>
      </c>
      <c r="CE362">
        <f>VLOOKUP($H362,'1. Set Program Names'!$B$2:$D$15,3,0)*AE362</f>
        <v>0</v>
      </c>
    </row>
    <row r="363" spans="1:83" x14ac:dyDescent="0.25">
      <c r="A363" s="20" t="s">
        <v>114</v>
      </c>
      <c r="B363" s="20" t="s">
        <v>88</v>
      </c>
      <c r="C363" s="20" t="s">
        <v>122</v>
      </c>
      <c r="D363" s="20" t="s">
        <v>90</v>
      </c>
      <c r="E363" s="20" t="s">
        <v>91</v>
      </c>
      <c r="F363" s="20" t="s">
        <v>90</v>
      </c>
      <c r="G363" s="20" t="s">
        <v>92</v>
      </c>
      <c r="H363" s="20" t="s">
        <v>16</v>
      </c>
      <c r="I363" s="20" t="s">
        <v>165</v>
      </c>
      <c r="J363" s="20" t="s">
        <v>161</v>
      </c>
      <c r="K363" s="20" t="s">
        <v>166</v>
      </c>
      <c r="L363" s="20">
        <v>510.6</v>
      </c>
      <c r="M363" s="20">
        <v>6.2552429943266097E-2</v>
      </c>
      <c r="N363" s="20">
        <v>6.4361142955417797E-2</v>
      </c>
      <c r="O363" s="20">
        <v>129</v>
      </c>
      <c r="P363" s="20">
        <v>26.468747947944401</v>
      </c>
      <c r="Q363" s="20">
        <v>18.5998954178316</v>
      </c>
      <c r="R363" s="20">
        <v>174.74401692254699</v>
      </c>
      <c r="S363" s="20">
        <v>419.99719394182398</v>
      </c>
      <c r="T363" s="20">
        <v>10</v>
      </c>
      <c r="U363" s="20">
        <v>0.59999999999999898</v>
      </c>
      <c r="V363" s="20">
        <v>3.0293053560174399</v>
      </c>
      <c r="W363" s="20">
        <v>4.1545222052128201</v>
      </c>
      <c r="X363" s="20">
        <v>5.5264143879446701</v>
      </c>
      <c r="Y363" s="20">
        <v>7.1280837333242797</v>
      </c>
      <c r="Z363" s="20">
        <v>8.8291245787013306</v>
      </c>
      <c r="AA363" s="20">
        <v>10.365781900306599</v>
      </c>
      <c r="AB363" s="20">
        <v>11.3944497308264</v>
      </c>
      <c r="AC363" s="20">
        <v>11.591639003286099</v>
      </c>
      <c r="AD363" s="20">
        <v>10.791459692596201</v>
      </c>
      <c r="AE363" s="20">
        <v>9.1537829082274609</v>
      </c>
      <c r="AF363" t="str">
        <f t="shared" si="22"/>
        <v>NonResidential</v>
      </c>
      <c r="AG363" t="str">
        <f>tbl_Data_old[[#This Row],[All_Meas_Name_Append]]</f>
        <v>Occupancy Sensors_ Ceiling Mounted</v>
      </c>
      <c r="AH363">
        <f>AVERAGEIFS('3. Incentive Adjustment'!G:G,'3. Incentive Adjustment'!A:A,tbl_Data_old[[#This Row],[Trimmed Sector]],'3. Incentive Adjustment'!B:B,tbl_Data_old[[#This Row],[Trimmed Measure Name]])</f>
        <v>0.99348124042467356</v>
      </c>
      <c r="AI363">
        <f>$AH363*tbl_Data_old[[#This Row],[2025 ]]</f>
        <v>3.0095580427213133</v>
      </c>
      <c r="AJ363">
        <f>$AH363*tbl_Data_old[[#This Row],[2026 ]]</f>
        <v>4.1274398738066829</v>
      </c>
      <c r="AK363">
        <f>$AH363*tbl_Data_old[[#This Row],[2027 ]]</f>
        <v>5.4903890212360338</v>
      </c>
      <c r="AL363">
        <f>$AH363*tbl_Data_old[[#This Row],[2028 ]]</f>
        <v>7.0816174692339438</v>
      </c>
      <c r="AM363">
        <f>$AH363*tbl_Data_old[[#This Row],[2029 ]]</f>
        <v>8.7715696383121706</v>
      </c>
      <c r="AN363">
        <f>$AH363*tbl_Data_old[[#This Row],[2030 ]]</f>
        <v>10.29820986028823</v>
      </c>
      <c r="AO363">
        <f>$AH363*tbl_Data_old[[#This Row],[2031 ]]</f>
        <v>11.320172052538</v>
      </c>
      <c r="AP363">
        <f>$AH363*tbl_Data_old[[#This Row],[2032 ]]</f>
        <v>11.5160758955397</v>
      </c>
      <c r="AQ363">
        <f>$AH363*tbl_Data_old[[#This Row],[2033 ]]</f>
        <v>10.721112761393339</v>
      </c>
      <c r="AR363">
        <f>$AH363*tbl_Data_old[[#This Row],[2034 ]]</f>
        <v>9.0941115982439928</v>
      </c>
      <c r="AS363">
        <f>SUM(tbl_Data_old[[#This Row],[Adjusted 2025]:[Adjusted 2034]])</f>
        <v>81.430256213313413</v>
      </c>
      <c r="AT363" s="3">
        <f>AVERAGEIFS('3. Incentive Adjustment'!F:F,'3. Incentive Adjustment'!A:A,tbl_Data_old[[#This Row],[Trimmed Sector]],'3. Incentive Adjustment'!B:B,tbl_Data_old[[#This Row],[Trimmed Measure Name]])</f>
        <v>19.547634357270656</v>
      </c>
      <c r="AU363" s="3">
        <f>IFERROR(VLOOKUP(tbl_Data_old[[#This Row],[All_Meas_Name_Append]],'IRA Tax Credits'!$A$3:$D$46,4,0),0)</f>
        <v>0</v>
      </c>
      <c r="AV363" s="4">
        <f>tbl_Data_old[[#This Row],[Adj. per unit Incentive ($)]]/tbl_Data_old[[#This Row],[kWh Savings]]*tbl_Data_old[[#This Row],[Sum of Annuals]]</f>
        <v>3.1174478536559298</v>
      </c>
      <c r="AW363" s="4">
        <f>IFERROR(VLOOKUP(tbl_Data_old[[#This Row],[All_Programs]],'1. Set Program Names'!$B$2:$D$15,3,0)*tbl_Data_old[[#This Row],[Sum of Annuals]],"")</f>
        <v>2.9663028778199472</v>
      </c>
      <c r="AX363" s="4">
        <f>tbl_Data_old[[#This Row],[per unit IRA tax ($)]]/tbl_Data_old[[#This Row],[kWh Savings]]*tbl_Data_old[[#This Row],[Sum of Annuals]]</f>
        <v>0</v>
      </c>
      <c r="AY363" s="4">
        <f>tbl_Data_old[[#This Row],[Avoided Costs ($/unit)]]/tbl_Data_old[[#This Row],[kWh Savings]]*tbl_Data_old[[#This Row],[Sum of Annuals]]</f>
        <v>27.868096493824083</v>
      </c>
      <c r="AZ363" s="4">
        <f>tbl_Data_old[[#This Row],[Lost Revenue ($/unit)]]/tbl_Data_old[[#This Row],[kWh Savings]]*tbl_Data_old[[#This Row],[Sum of Annuals]]</f>
        <v>66.980961832266757</v>
      </c>
      <c r="BA363" s="4">
        <f>tbl_Data_old[[#This Row],[Incremental Cost ($/unit)]]/tbl_Data_old[[#This Row],[kWh Savings]]*tbl_Data_old[[#This Row],[Sum of Annuals]]</f>
        <v>20.572861440496336</v>
      </c>
      <c r="BB363">
        <f>ROUNDUP(tbl_Data_old[[#This Row],[Adjusted 2025]]/$L363,0)</f>
        <v>1</v>
      </c>
      <c r="BC363">
        <f>ROUNDUP(tbl_Data_old[[#This Row],[Adjusted 2026]]/$L363,0)</f>
        <v>1</v>
      </c>
      <c r="BD363">
        <f>ROUNDUP(tbl_Data_old[[#This Row],[Adjusted 2027]]/$L363,0)</f>
        <v>1</v>
      </c>
      <c r="BE363">
        <f>ROUNDUP(tbl_Data_old[[#This Row],[Adjusted 2028]]/$L363,0)</f>
        <v>1</v>
      </c>
      <c r="BF363">
        <f>ROUNDUP(tbl_Data_old[[#This Row],[Adjusted 2029]]/$L363,0)</f>
        <v>1</v>
      </c>
      <c r="BG363">
        <f>ROUNDUP(tbl_Data_old[[#This Row],[Adjusted 2030]]/$L363,0)</f>
        <v>1</v>
      </c>
      <c r="BH363">
        <f>ROUNDUP(tbl_Data_old[[#This Row],[Adjusted 2031]]/$L363,0)</f>
        <v>1</v>
      </c>
      <c r="BI363">
        <f>ROUNDUP(tbl_Data_old[[#This Row],[Adjusted 2032]]/$L363,0)</f>
        <v>1</v>
      </c>
      <c r="BJ363">
        <f>ROUNDUP(tbl_Data_old[[#This Row],[Adjusted 2033]]/$L363,0)</f>
        <v>1</v>
      </c>
      <c r="BK363">
        <f>ROUNDUP(tbl_Data_old[[#This Row],[Adjusted 2034]]/$L363,0)</f>
        <v>1</v>
      </c>
      <c r="BL363" s="3">
        <f t="shared" si="25"/>
        <v>0.11597288181737275</v>
      </c>
      <c r="BM363" s="3">
        <f t="shared" si="25"/>
        <v>0.15905029572397567</v>
      </c>
      <c r="BN363" s="3">
        <f t="shared" si="25"/>
        <v>0.21157134305190389</v>
      </c>
      <c r="BO363" s="3">
        <f t="shared" si="25"/>
        <v>0.2728891000529412</v>
      </c>
      <c r="BP363" s="3">
        <f t="shared" si="25"/>
        <v>0.33801116129895209</v>
      </c>
      <c r="BQ363" s="3">
        <f t="shared" si="25"/>
        <v>0.39684002039641125</v>
      </c>
      <c r="BR363" s="3">
        <f t="shared" si="25"/>
        <v>0.43622118495984241</v>
      </c>
      <c r="BS363" s="3">
        <f t="shared" si="25"/>
        <v>0.44377031108052084</v>
      </c>
      <c r="BT363" s="3">
        <f t="shared" si="25"/>
        <v>0.41313652223285335</v>
      </c>
      <c r="BU363" s="3">
        <f t="shared" si="25"/>
        <v>0.35044026885206431</v>
      </c>
      <c r="BV363">
        <f>VLOOKUP($H363,'1. Set Program Names'!$B$2:$D$15,3,0)*V363</f>
        <v>0.11035010342851868</v>
      </c>
      <c r="BW363">
        <f>VLOOKUP($H363,'1. Set Program Names'!$B$2:$D$15,3,0)*W363</f>
        <v>0.15133897087351694</v>
      </c>
      <c r="BX363">
        <f>VLOOKUP($H363,'1. Set Program Names'!$B$2:$D$15,3,0)*X363</f>
        <v>0.20131361075474136</v>
      </c>
      <c r="BY363">
        <f>VLOOKUP($H363,'1. Set Program Names'!$B$2:$D$15,3,0)*Y363</f>
        <v>0.25965846449153651</v>
      </c>
      <c r="BZ363">
        <f>VLOOKUP($H363,'1. Set Program Names'!$B$2:$D$15,3,0)*Z363</f>
        <v>0.32162317625313674</v>
      </c>
      <c r="CA363">
        <f>VLOOKUP($H363,'1. Set Program Names'!$B$2:$D$15,3,0)*AA363</f>
        <v>0.37759980272180749</v>
      </c>
      <c r="CB363">
        <f>VLOOKUP($H363,'1. Set Program Names'!$B$2:$D$15,3,0)*AB363</f>
        <v>0.41507162815728743</v>
      </c>
      <c r="CC363">
        <f>VLOOKUP($H363,'1. Set Program Names'!$B$2:$D$15,3,0)*AC363</f>
        <v>0.42225474575475846</v>
      </c>
      <c r="CD363">
        <f>VLOOKUP($H363,'1. Set Program Names'!$B$2:$D$15,3,0)*AD363</f>
        <v>0.39310619210347619</v>
      </c>
      <c r="CE363">
        <f>VLOOKUP($H363,'1. Set Program Names'!$B$2:$D$15,3,0)*AE363</f>
        <v>0.33344967640142104</v>
      </c>
    </row>
    <row r="364" spans="1:83" x14ac:dyDescent="0.25">
      <c r="A364" s="20" t="s">
        <v>114</v>
      </c>
      <c r="B364" s="20" t="s">
        <v>88</v>
      </c>
      <c r="C364" s="20" t="s">
        <v>122</v>
      </c>
      <c r="D364" s="20" t="s">
        <v>90</v>
      </c>
      <c r="E364" s="20" t="s">
        <v>91</v>
      </c>
      <c r="F364" s="20" t="s">
        <v>90</v>
      </c>
      <c r="G364" s="20" t="s">
        <v>92</v>
      </c>
      <c r="H364" s="20" t="s">
        <v>16</v>
      </c>
      <c r="I364" s="20" t="s">
        <v>167</v>
      </c>
      <c r="J364" s="20" t="s">
        <v>124</v>
      </c>
      <c r="K364" s="20" t="s">
        <v>98</v>
      </c>
      <c r="L364" s="20">
        <v>151.66</v>
      </c>
      <c r="M364" s="20">
        <v>2.2013191527321101E-2</v>
      </c>
      <c r="N364" s="20">
        <v>1.95296013954902E-2</v>
      </c>
      <c r="O364" s="20">
        <v>56.6</v>
      </c>
      <c r="P364" s="20">
        <v>25.402483751835899</v>
      </c>
      <c r="Q364" s="20">
        <v>5.5245987839176403</v>
      </c>
      <c r="R364" s="20">
        <v>70.564478576335205</v>
      </c>
      <c r="S364" s="20">
        <v>171.417444155428</v>
      </c>
      <c r="T364" s="20">
        <v>16</v>
      </c>
      <c r="U364" s="20">
        <v>0.6</v>
      </c>
      <c r="V364" s="20">
        <v>0.43093788328899002</v>
      </c>
      <c r="W364" s="20">
        <v>0.58609060932457901</v>
      </c>
      <c r="X364" s="20">
        <v>0.75716619339394797</v>
      </c>
      <c r="Y364" s="20">
        <v>0.93483040812959095</v>
      </c>
      <c r="Z364" s="20">
        <v>1.1036073721397299</v>
      </c>
      <c r="AA364" s="20">
        <v>1.2513887519036899</v>
      </c>
      <c r="AB364" s="20">
        <v>1.3696632869363901</v>
      </c>
      <c r="AC364" s="20">
        <v>1.4608888257091199</v>
      </c>
      <c r="AD364" s="20">
        <v>1.53252138916284</v>
      </c>
      <c r="AE364" s="20">
        <v>1.5859557288658701</v>
      </c>
      <c r="AF364" t="str">
        <f t="shared" si="22"/>
        <v>NonResidential</v>
      </c>
      <c r="AG364" t="str">
        <f>tbl_Data_old[[#This Row],[All_Meas_Name_Append]]</f>
        <v>Refrigerated Display Case LED Lighting</v>
      </c>
      <c r="AH364">
        <f>AVERAGEIFS('3. Incentive Adjustment'!G:G,'3. Incentive Adjustment'!A:A,tbl_Data_old[[#This Row],[Trimmed Sector]],'3. Incentive Adjustment'!B:B,tbl_Data_old[[#This Row],[Trimmed Measure Name]])</f>
        <v>0.72450810749703154</v>
      </c>
      <c r="AI364">
        <f>$AH364*tbl_Data_old[[#This Row],[2025 ]]</f>
        <v>0.3122179902704828</v>
      </c>
      <c r="AJ364">
        <f>$AH364*tbl_Data_old[[#This Row],[2026 ]]</f>
        <v>0.42462739818353279</v>
      </c>
      <c r="AK364">
        <f>$AH364*tbl_Data_old[[#This Row],[2027 ]]</f>
        <v>0.54857304583658062</v>
      </c>
      <c r="AL364">
        <f>$AH364*tbl_Data_old[[#This Row],[2028 ]]</f>
        <v>0.67729220982464755</v>
      </c>
      <c r="AM364">
        <f>$AH364*tbl_Data_old[[#This Row],[2029 ]]</f>
        <v>0.79957248860872798</v>
      </c>
      <c r="AN364">
        <f>$AH364*tbl_Data_old[[#This Row],[2030 ]]</f>
        <v>0.90664129638481472</v>
      </c>
      <c r="AO364">
        <f>$AH364*tbl_Data_old[[#This Row],[2031 ]]</f>
        <v>0.99233215592644763</v>
      </c>
      <c r="AP364">
        <f>$AH364*tbl_Data_old[[#This Row],[2032 ]]</f>
        <v>1.0584257983780752</v>
      </c>
      <c r="AQ364">
        <f>$AH364*tbl_Data_old[[#This Row],[2033 ]]</f>
        <v>1.110324171361091</v>
      </c>
      <c r="AR364">
        <f>$AH364*tbl_Data_old[[#This Row],[2034 ]]</f>
        <v>1.1490377836946868</v>
      </c>
      <c r="AS364">
        <f>SUM(tbl_Data_old[[#This Row],[Adjusted 2025]:[Adjusted 2034]])</f>
        <v>7.9790443384690874</v>
      </c>
      <c r="AT364" s="3">
        <f>AVERAGEIFS('3. Incentive Adjustment'!F:F,'3. Incentive Adjustment'!A:A,tbl_Data_old[[#This Row],[Trimmed Sector]],'3. Incentive Adjustment'!B:B,tbl_Data_old[[#This Row],[Trimmed Measure Name]])</f>
        <v>6.879122352287844</v>
      </c>
      <c r="AU364" s="3">
        <f>IFERROR(VLOOKUP(tbl_Data_old[[#This Row],[All_Meas_Name_Append]],'IRA Tax Credits'!$A$3:$D$46,4,0),0)</f>
        <v>0</v>
      </c>
      <c r="AV364" s="4">
        <f>tbl_Data_old[[#This Row],[Adj. per unit Incentive ($)]]/tbl_Data_old[[#This Row],[kWh Savings]]*tbl_Data_old[[#This Row],[Sum of Annuals]]</f>
        <v>0.36192023116615107</v>
      </c>
      <c r="AW364" s="4">
        <f>IFERROR(VLOOKUP(tbl_Data_old[[#This Row],[All_Programs]],'1. Set Program Names'!$B$2:$D$15,3,0)*tbl_Data_old[[#This Row],[Sum of Annuals]],"")</f>
        <v>0.29065685513076128</v>
      </c>
      <c r="AX364" s="4">
        <f>tbl_Data_old[[#This Row],[per unit IRA tax ($)]]/tbl_Data_old[[#This Row],[kWh Savings]]*tbl_Data_old[[#This Row],[Sum of Annuals]]</f>
        <v>0</v>
      </c>
      <c r="AY364" s="4">
        <f>tbl_Data_old[[#This Row],[Avoided Costs ($/unit)]]/tbl_Data_old[[#This Row],[kWh Savings]]*tbl_Data_old[[#This Row],[Sum of Annuals]]</f>
        <v>3.7124957357347399</v>
      </c>
      <c r="AZ364" s="4">
        <f>tbl_Data_old[[#This Row],[Lost Revenue ($/unit)]]/tbl_Data_old[[#This Row],[kWh Savings]]*tbl_Data_old[[#This Row],[Sum of Annuals]]</f>
        <v>9.0185110596281728</v>
      </c>
      <c r="BA364" s="4">
        <f>tbl_Data_old[[#This Row],[Incremental Cost ($/unit)]]/tbl_Data_old[[#This Row],[kWh Savings]]*tbl_Data_old[[#This Row],[Sum of Annuals]]</f>
        <v>2.9778050214779794</v>
      </c>
      <c r="BB364">
        <f>ROUNDUP(tbl_Data_old[[#This Row],[Adjusted 2025]]/$L364,0)</f>
        <v>1</v>
      </c>
      <c r="BC364">
        <f>ROUNDUP(tbl_Data_old[[#This Row],[Adjusted 2026]]/$L364,0)</f>
        <v>1</v>
      </c>
      <c r="BD364">
        <f>ROUNDUP(tbl_Data_old[[#This Row],[Adjusted 2027]]/$L364,0)</f>
        <v>1</v>
      </c>
      <c r="BE364">
        <f>ROUNDUP(tbl_Data_old[[#This Row],[Adjusted 2028]]/$L364,0)</f>
        <v>1</v>
      </c>
      <c r="BF364">
        <f>ROUNDUP(tbl_Data_old[[#This Row],[Adjusted 2029]]/$L364,0)</f>
        <v>1</v>
      </c>
      <c r="BG364">
        <f>ROUNDUP(tbl_Data_old[[#This Row],[Adjusted 2030]]/$L364,0)</f>
        <v>1</v>
      </c>
      <c r="BH364">
        <f>ROUNDUP(tbl_Data_old[[#This Row],[Adjusted 2031]]/$L364,0)</f>
        <v>1</v>
      </c>
      <c r="BI364">
        <f>ROUNDUP(tbl_Data_old[[#This Row],[Adjusted 2032]]/$L364,0)</f>
        <v>1</v>
      </c>
      <c r="BJ364">
        <f>ROUNDUP(tbl_Data_old[[#This Row],[Adjusted 2033]]/$L364,0)</f>
        <v>1</v>
      </c>
      <c r="BK364">
        <f>ROUNDUP(tbl_Data_old[[#This Row],[Adjusted 2034]]/$L364,0)</f>
        <v>1</v>
      </c>
      <c r="BL364" s="3">
        <f t="shared" si="25"/>
        <v>1.9546844424244373E-2</v>
      </c>
      <c r="BM364" s="3">
        <f t="shared" si="25"/>
        <v>2.6584392793556073E-2</v>
      </c>
      <c r="BN364" s="3">
        <f t="shared" si="25"/>
        <v>3.4344183603936491E-2</v>
      </c>
      <c r="BO364" s="3">
        <f t="shared" si="25"/>
        <v>4.2402827087977296E-2</v>
      </c>
      <c r="BP364" s="3">
        <f t="shared" si="25"/>
        <v>5.0058355148595975E-2</v>
      </c>
      <c r="BQ364" s="3">
        <f t="shared" si="25"/>
        <v>5.6761547768839911E-2</v>
      </c>
      <c r="BR364" s="3">
        <f t="shared" si="25"/>
        <v>6.2126344008124487E-2</v>
      </c>
      <c r="BS364" s="3">
        <f t="shared" si="25"/>
        <v>6.626422903298923E-2</v>
      </c>
      <c r="BT364" s="3">
        <f t="shared" si="25"/>
        <v>6.9513399337658655E-2</v>
      </c>
      <c r="BU364" s="3">
        <f t="shared" si="25"/>
        <v>7.1937119241594141E-2</v>
      </c>
      <c r="BV364">
        <f>VLOOKUP($H364,'1. Set Program Names'!$B$2:$D$15,3,0)*V364</f>
        <v>1.5698001489927445E-2</v>
      </c>
      <c r="BW364">
        <f>VLOOKUP($H364,'1. Set Program Names'!$B$2:$D$15,3,0)*W364</f>
        <v>2.1349831646710525E-2</v>
      </c>
      <c r="BX364">
        <f>VLOOKUP($H364,'1. Set Program Names'!$B$2:$D$15,3,0)*X364</f>
        <v>2.758169214854117E-2</v>
      </c>
      <c r="BY364">
        <f>VLOOKUP($H364,'1. Set Program Names'!$B$2:$D$15,3,0)*Y364</f>
        <v>3.405356017355908E-2</v>
      </c>
      <c r="BZ364">
        <f>VLOOKUP($H364,'1. Set Program Names'!$B$2:$D$15,3,0)*Z364</f>
        <v>4.0201687630526804E-2</v>
      </c>
      <c r="CA364">
        <f>VLOOKUP($H364,'1. Set Program Names'!$B$2:$D$15,3,0)*AA364</f>
        <v>4.5584997870073446E-2</v>
      </c>
      <c r="CB364">
        <f>VLOOKUP($H364,'1. Set Program Names'!$B$2:$D$15,3,0)*AB364</f>
        <v>4.9893446718880512E-2</v>
      </c>
      <c r="CC364">
        <f>VLOOKUP($H364,'1. Set Program Names'!$B$2:$D$15,3,0)*AC364</f>
        <v>5.3216567519131439E-2</v>
      </c>
      <c r="CD364">
        <f>VLOOKUP($H364,'1. Set Program Names'!$B$2:$D$15,3,0)*AD364</f>
        <v>5.5825964676887767E-2</v>
      </c>
      <c r="CE364">
        <f>VLOOKUP($H364,'1. Set Program Names'!$B$2:$D$15,3,0)*AE364</f>
        <v>5.7772445542922331E-2</v>
      </c>
    </row>
    <row r="365" spans="1:83" x14ac:dyDescent="0.25">
      <c r="A365" s="20" t="s">
        <v>115</v>
      </c>
      <c r="B365" s="20" t="s">
        <v>88</v>
      </c>
      <c r="C365" s="20" t="s">
        <v>122</v>
      </c>
      <c r="D365" s="20" t="s">
        <v>90</v>
      </c>
      <c r="E365" s="20" t="s">
        <v>91</v>
      </c>
      <c r="F365" s="20" t="s">
        <v>90</v>
      </c>
      <c r="G365" s="20" t="s">
        <v>92</v>
      </c>
      <c r="H365" s="20" t="s">
        <v>16</v>
      </c>
      <c r="I365" s="20" t="s">
        <v>157</v>
      </c>
      <c r="J365" s="20" t="s">
        <v>158</v>
      </c>
      <c r="K365" s="20" t="s">
        <v>159</v>
      </c>
      <c r="L365" s="20">
        <v>562.52</v>
      </c>
      <c r="M365" s="20">
        <v>0</v>
      </c>
      <c r="N365" s="20">
        <v>2.7796637938074201E-2</v>
      </c>
      <c r="O365" s="20">
        <v>169</v>
      </c>
      <c r="P365" s="20">
        <v>53.285725702774101</v>
      </c>
      <c r="Q365" s="20">
        <v>20.491212633056499</v>
      </c>
      <c r="R365" s="20">
        <v>275.373630058213</v>
      </c>
      <c r="S365" s="20">
        <v>610.96426176974103</v>
      </c>
      <c r="T365" s="20">
        <v>15</v>
      </c>
      <c r="U365" s="20">
        <v>0.59999999999999898</v>
      </c>
      <c r="V365" s="20">
        <v>0</v>
      </c>
      <c r="W365" s="20">
        <v>0</v>
      </c>
      <c r="X365" s="20">
        <v>0</v>
      </c>
      <c r="Y365" s="20">
        <v>0</v>
      </c>
      <c r="Z365" s="20">
        <v>0</v>
      </c>
      <c r="AA365" s="20">
        <v>0</v>
      </c>
      <c r="AB365" s="20">
        <v>0</v>
      </c>
      <c r="AC365" s="20">
        <v>0</v>
      </c>
      <c r="AD365" s="20">
        <v>0</v>
      </c>
      <c r="AE365" s="20">
        <v>0</v>
      </c>
      <c r="AF365" t="str">
        <f t="shared" si="22"/>
        <v>NonResidential</v>
      </c>
      <c r="AG365" t="str">
        <f>tbl_Data_old[[#This Row],[All_Meas_Name_Append]]</f>
        <v>LED Exterior Wall Packs</v>
      </c>
      <c r="AH365">
        <f>AVERAGEIFS('3. Incentive Adjustment'!G:G,'3. Incentive Adjustment'!A:A,tbl_Data_old[[#This Row],[Trimmed Sector]],'3. Incentive Adjustment'!B:B,tbl_Data_old[[#This Row],[Trimmed Measure Name]])</f>
        <v>0.80637708305213962</v>
      </c>
      <c r="AI365">
        <f>$AH365*tbl_Data_old[[#This Row],[2025 ]]</f>
        <v>0</v>
      </c>
      <c r="AJ365">
        <f>$AH365*tbl_Data_old[[#This Row],[2026 ]]</f>
        <v>0</v>
      </c>
      <c r="AK365">
        <f>$AH365*tbl_Data_old[[#This Row],[2027 ]]</f>
        <v>0</v>
      </c>
      <c r="AL365">
        <f>$AH365*tbl_Data_old[[#This Row],[2028 ]]</f>
        <v>0</v>
      </c>
      <c r="AM365">
        <f>$AH365*tbl_Data_old[[#This Row],[2029 ]]</f>
        <v>0</v>
      </c>
      <c r="AN365">
        <f>$AH365*tbl_Data_old[[#This Row],[2030 ]]</f>
        <v>0</v>
      </c>
      <c r="AO365">
        <f>$AH365*tbl_Data_old[[#This Row],[2031 ]]</f>
        <v>0</v>
      </c>
      <c r="AP365">
        <f>$AH365*tbl_Data_old[[#This Row],[2032 ]]</f>
        <v>0</v>
      </c>
      <c r="AQ365">
        <f>$AH365*tbl_Data_old[[#This Row],[2033 ]]</f>
        <v>0</v>
      </c>
      <c r="AR365">
        <f>$AH365*tbl_Data_old[[#This Row],[2034 ]]</f>
        <v>0</v>
      </c>
      <c r="AS365">
        <f>SUM(tbl_Data_old[[#This Row],[Adjusted 2025]:[Adjusted 2034]])</f>
        <v>0</v>
      </c>
      <c r="AT365" s="3">
        <f>AVERAGEIFS('3. Incentive Adjustment'!F:F,'3. Incentive Adjustment'!A:A,tbl_Data_old[[#This Row],[Trimmed Sector]],'3. Incentive Adjustment'!B:B,tbl_Data_old[[#This Row],[Trimmed Measure Name]])</f>
        <v>8.6864493556481861</v>
      </c>
      <c r="AU365" s="3">
        <f>IFERROR(VLOOKUP(tbl_Data_old[[#This Row],[All_Meas_Name_Append]],'IRA Tax Credits'!$A$3:$D$46,4,0),0)</f>
        <v>0</v>
      </c>
      <c r="AV365" s="4">
        <f>tbl_Data_old[[#This Row],[Adj. per unit Incentive ($)]]/tbl_Data_old[[#This Row],[kWh Savings]]*tbl_Data_old[[#This Row],[Sum of Annuals]]</f>
        <v>0</v>
      </c>
      <c r="AW365" s="4">
        <f>IFERROR(VLOOKUP(tbl_Data_old[[#This Row],[All_Programs]],'1. Set Program Names'!$B$2:$D$15,3,0)*tbl_Data_old[[#This Row],[Sum of Annuals]],"")</f>
        <v>0</v>
      </c>
      <c r="AX365" s="4">
        <f>tbl_Data_old[[#This Row],[per unit IRA tax ($)]]/tbl_Data_old[[#This Row],[kWh Savings]]*tbl_Data_old[[#This Row],[Sum of Annuals]]</f>
        <v>0</v>
      </c>
      <c r="AY365" s="4">
        <f>tbl_Data_old[[#This Row],[Avoided Costs ($/unit)]]/tbl_Data_old[[#This Row],[kWh Savings]]*tbl_Data_old[[#This Row],[Sum of Annuals]]</f>
        <v>0</v>
      </c>
      <c r="AZ365" s="4">
        <f>tbl_Data_old[[#This Row],[Lost Revenue ($/unit)]]/tbl_Data_old[[#This Row],[kWh Savings]]*tbl_Data_old[[#This Row],[Sum of Annuals]]</f>
        <v>0</v>
      </c>
      <c r="BA365" s="4">
        <f>tbl_Data_old[[#This Row],[Incremental Cost ($/unit)]]/tbl_Data_old[[#This Row],[kWh Savings]]*tbl_Data_old[[#This Row],[Sum of Annuals]]</f>
        <v>0</v>
      </c>
      <c r="BB365">
        <f>ROUNDUP(tbl_Data_old[[#This Row],[Adjusted 2025]]/$L365,0)</f>
        <v>0</v>
      </c>
      <c r="BC365">
        <f>ROUNDUP(tbl_Data_old[[#This Row],[Adjusted 2026]]/$L365,0)</f>
        <v>0</v>
      </c>
      <c r="BD365">
        <f>ROUNDUP(tbl_Data_old[[#This Row],[Adjusted 2027]]/$L365,0)</f>
        <v>0</v>
      </c>
      <c r="BE365">
        <f>ROUNDUP(tbl_Data_old[[#This Row],[Adjusted 2028]]/$L365,0)</f>
        <v>0</v>
      </c>
      <c r="BF365">
        <f>ROUNDUP(tbl_Data_old[[#This Row],[Adjusted 2029]]/$L365,0)</f>
        <v>0</v>
      </c>
      <c r="BG365">
        <f>ROUNDUP(tbl_Data_old[[#This Row],[Adjusted 2030]]/$L365,0)</f>
        <v>0</v>
      </c>
      <c r="BH365">
        <f>ROUNDUP(tbl_Data_old[[#This Row],[Adjusted 2031]]/$L365,0)</f>
        <v>0</v>
      </c>
      <c r="BI365">
        <f>ROUNDUP(tbl_Data_old[[#This Row],[Adjusted 2032]]/$L365,0)</f>
        <v>0</v>
      </c>
      <c r="BJ365">
        <f>ROUNDUP(tbl_Data_old[[#This Row],[Adjusted 2033]]/$L365,0)</f>
        <v>0</v>
      </c>
      <c r="BK365">
        <f>ROUNDUP(tbl_Data_old[[#This Row],[Adjusted 2034]]/$L365,0)</f>
        <v>0</v>
      </c>
      <c r="BL365" s="3">
        <f t="shared" si="25"/>
        <v>0</v>
      </c>
      <c r="BM365" s="3">
        <f t="shared" si="25"/>
        <v>0</v>
      </c>
      <c r="BN365" s="3">
        <f t="shared" si="25"/>
        <v>0</v>
      </c>
      <c r="BO365" s="3">
        <f t="shared" si="25"/>
        <v>0</v>
      </c>
      <c r="BP365" s="3">
        <f t="shared" si="25"/>
        <v>0</v>
      </c>
      <c r="BQ365" s="3">
        <f t="shared" si="25"/>
        <v>0</v>
      </c>
      <c r="BR365" s="3">
        <f t="shared" si="25"/>
        <v>0</v>
      </c>
      <c r="BS365" s="3">
        <f t="shared" si="25"/>
        <v>0</v>
      </c>
      <c r="BT365" s="3">
        <f t="shared" si="25"/>
        <v>0</v>
      </c>
      <c r="BU365" s="3">
        <f t="shared" si="25"/>
        <v>0</v>
      </c>
      <c r="BV365">
        <f>VLOOKUP($H365,'1. Set Program Names'!$B$2:$D$15,3,0)*V365</f>
        <v>0</v>
      </c>
      <c r="BW365">
        <f>VLOOKUP($H365,'1. Set Program Names'!$B$2:$D$15,3,0)*W365</f>
        <v>0</v>
      </c>
      <c r="BX365">
        <f>VLOOKUP($H365,'1. Set Program Names'!$B$2:$D$15,3,0)*X365</f>
        <v>0</v>
      </c>
      <c r="BY365">
        <f>VLOOKUP($H365,'1. Set Program Names'!$B$2:$D$15,3,0)*Y365</f>
        <v>0</v>
      </c>
      <c r="BZ365">
        <f>VLOOKUP($H365,'1. Set Program Names'!$B$2:$D$15,3,0)*Z365</f>
        <v>0</v>
      </c>
      <c r="CA365">
        <f>VLOOKUP($H365,'1. Set Program Names'!$B$2:$D$15,3,0)*AA365</f>
        <v>0</v>
      </c>
      <c r="CB365">
        <f>VLOOKUP($H365,'1. Set Program Names'!$B$2:$D$15,3,0)*AB365</f>
        <v>0</v>
      </c>
      <c r="CC365">
        <f>VLOOKUP($H365,'1. Set Program Names'!$B$2:$D$15,3,0)*AC365</f>
        <v>0</v>
      </c>
      <c r="CD365">
        <f>VLOOKUP($H365,'1. Set Program Names'!$B$2:$D$15,3,0)*AD365</f>
        <v>0</v>
      </c>
      <c r="CE365">
        <f>VLOOKUP($H365,'1. Set Program Names'!$B$2:$D$15,3,0)*AE365</f>
        <v>0</v>
      </c>
    </row>
    <row r="366" spans="1:83" x14ac:dyDescent="0.25">
      <c r="A366" s="20" t="s">
        <v>115</v>
      </c>
      <c r="B366" s="20" t="s">
        <v>88</v>
      </c>
      <c r="C366" s="20" t="s">
        <v>122</v>
      </c>
      <c r="D366" s="20" t="s">
        <v>90</v>
      </c>
      <c r="E366" s="20" t="s">
        <v>91</v>
      </c>
      <c r="F366" s="20" t="s">
        <v>90</v>
      </c>
      <c r="G366" s="20" t="s">
        <v>92</v>
      </c>
      <c r="H366" s="20" t="s">
        <v>16</v>
      </c>
      <c r="I366" s="20" t="s">
        <v>160</v>
      </c>
      <c r="J366" s="20" t="s">
        <v>161</v>
      </c>
      <c r="K366" s="20" t="s">
        <v>159</v>
      </c>
      <c r="L366" s="20">
        <v>698.53499999999997</v>
      </c>
      <c r="M366" s="20">
        <v>9.14911955902553E-2</v>
      </c>
      <c r="N366" s="20">
        <v>9.6647765821509996E-2</v>
      </c>
      <c r="O366" s="20">
        <v>179</v>
      </c>
      <c r="P366" s="20">
        <v>35.4245718525491</v>
      </c>
      <c r="Q366" s="20">
        <v>25.445902753025901</v>
      </c>
      <c r="R366" s="20">
        <v>291.28765455670799</v>
      </c>
      <c r="S366" s="20">
        <v>758.69288308917999</v>
      </c>
      <c r="T366" s="20">
        <v>15</v>
      </c>
      <c r="U366" s="20">
        <v>0.59999999999999898</v>
      </c>
      <c r="V366" s="20">
        <v>1.28606404714506</v>
      </c>
      <c r="W366" s="20">
        <v>2.6858849074322602</v>
      </c>
      <c r="X366" s="20">
        <v>4.1759629199422603</v>
      </c>
      <c r="Y366" s="20">
        <v>5.74166183962984</v>
      </c>
      <c r="Z366" s="20">
        <v>7.3684130339662399</v>
      </c>
      <c r="AA366" s="20">
        <v>9.0420960137341204</v>
      </c>
      <c r="AB366" s="20">
        <v>10.7504352198383</v>
      </c>
      <c r="AC366" s="20">
        <v>12.4863289649451</v>
      </c>
      <c r="AD366" s="20">
        <v>14.2452321143814</v>
      </c>
      <c r="AE366" s="20">
        <v>16.020755759606999</v>
      </c>
      <c r="AF366" t="str">
        <f t="shared" si="22"/>
        <v>NonResidential</v>
      </c>
      <c r="AG366" t="str">
        <f>tbl_Data_old[[#This Row],[All_Meas_Name_Append]]</f>
        <v>LED High Bay_HID Baseline</v>
      </c>
      <c r="AH366">
        <f>AVERAGEIFS('3. Incentive Adjustment'!G:G,'3. Incentive Adjustment'!A:A,tbl_Data_old[[#This Row],[Trimmed Sector]],'3. Incentive Adjustment'!B:B,tbl_Data_old[[#This Row],[Trimmed Measure Name]])</f>
        <v>1.0603846876879557</v>
      </c>
      <c r="AI366">
        <f>$AH366*tbl_Data_old[[#This Row],[2025 ]]</f>
        <v>1.3637226229786228</v>
      </c>
      <c r="AJ366">
        <f>$AH366*tbl_Data_old[[#This Row],[2026 ]]</f>
        <v>2.8480712287333509</v>
      </c>
      <c r="AK366">
        <f>$AH366*tbl_Data_old[[#This Row],[2027 ]]</f>
        <v>4.428127136659457</v>
      </c>
      <c r="AL366">
        <f>$AH366*tbl_Data_old[[#This Row],[2028 ]]</f>
        <v>6.0883702966257411</v>
      </c>
      <c r="AM366">
        <f>$AH366*tbl_Data_old[[#This Row],[2029 ]]</f>
        <v>7.8133523537781535</v>
      </c>
      <c r="AN366">
        <f>$AH366*tbl_Data_old[[#This Row],[2030 ]]</f>
        <v>9.5881001575679647</v>
      </c>
      <c r="AO366">
        <f>$AH366*tbl_Data_old[[#This Row],[2031 ]]</f>
        <v>11.399596893097835</v>
      </c>
      <c r="AP366">
        <f>$AH366*tbl_Data_old[[#This Row],[2032 ]]</f>
        <v>13.240312039862385</v>
      </c>
      <c r="AQ366">
        <f>$AH366*tbl_Data_old[[#This Row],[2033 ]]</f>
        <v>15.105426006650758</v>
      </c>
      <c r="AR366">
        <f>$AH366*tbl_Data_old[[#This Row],[2034 ]]</f>
        <v>16.988164092675884</v>
      </c>
      <c r="AS366">
        <f>SUM(tbl_Data_old[[#This Row],[Adjusted 2025]:[Adjusted 2034]])</f>
        <v>88.863242828630163</v>
      </c>
      <c r="AT366" s="3">
        <f>AVERAGEIFS('3. Incentive Adjustment'!F:F,'3. Incentive Adjustment'!A:A,tbl_Data_old[[#This Row],[Trimmed Sector]],'3. Incentive Adjustment'!B:B,tbl_Data_old[[#This Row],[Trimmed Measure Name]])</f>
        <v>28.590998621954778</v>
      </c>
      <c r="AU366" s="3">
        <f>IFERROR(VLOOKUP(tbl_Data_old[[#This Row],[All_Meas_Name_Append]],'IRA Tax Credits'!$A$3:$D$46,4,0),0)</f>
        <v>0</v>
      </c>
      <c r="AV366" s="4">
        <f>tbl_Data_old[[#This Row],[Adj. per unit Incentive ($)]]/tbl_Data_old[[#This Row],[kWh Savings]]*tbl_Data_old[[#This Row],[Sum of Annuals]]</f>
        <v>3.6371675767940013</v>
      </c>
      <c r="AW366" s="4">
        <f>IFERROR(VLOOKUP(tbl_Data_old[[#This Row],[All_Programs]],'1. Set Program Names'!$B$2:$D$15,3,0)*tbl_Data_old[[#This Row],[Sum of Annuals]],"")</f>
        <v>3.2370682003562452</v>
      </c>
      <c r="AX366" s="4">
        <f>tbl_Data_old[[#This Row],[per unit IRA tax ($)]]/tbl_Data_old[[#This Row],[kWh Savings]]*tbl_Data_old[[#This Row],[Sum of Annuals]]</f>
        <v>0</v>
      </c>
      <c r="AY366" s="4">
        <f>tbl_Data_old[[#This Row],[Avoided Costs ($/unit)]]/tbl_Data_old[[#This Row],[kWh Savings]]*tbl_Data_old[[#This Row],[Sum of Annuals]]</f>
        <v>37.05578901537487</v>
      </c>
      <c r="AZ366" s="4">
        <f>tbl_Data_old[[#This Row],[Lost Revenue ($/unit)]]/tbl_Data_old[[#This Row],[kWh Savings]]*tbl_Data_old[[#This Row],[Sum of Annuals]]</f>
        <v>96.516151520406737</v>
      </c>
      <c r="BA366" s="4">
        <f>tbl_Data_old[[#This Row],[Incremental Cost ($/unit)]]/tbl_Data_old[[#This Row],[kWh Savings]]*tbl_Data_old[[#This Row],[Sum of Annuals]]</f>
        <v>22.771257655414264</v>
      </c>
      <c r="BB366">
        <f>ROUNDUP(tbl_Data_old[[#This Row],[Adjusted 2025]]/$L366,0)</f>
        <v>1</v>
      </c>
      <c r="BC366">
        <f>ROUNDUP(tbl_Data_old[[#This Row],[Adjusted 2026]]/$L366,0)</f>
        <v>1</v>
      </c>
      <c r="BD366">
        <f>ROUNDUP(tbl_Data_old[[#This Row],[Adjusted 2027]]/$L366,0)</f>
        <v>1</v>
      </c>
      <c r="BE366">
        <f>ROUNDUP(tbl_Data_old[[#This Row],[Adjusted 2028]]/$L366,0)</f>
        <v>1</v>
      </c>
      <c r="BF366">
        <f>ROUNDUP(tbl_Data_old[[#This Row],[Adjusted 2029]]/$L366,0)</f>
        <v>1</v>
      </c>
      <c r="BG366">
        <f>ROUNDUP(tbl_Data_old[[#This Row],[Adjusted 2030]]/$L366,0)</f>
        <v>1</v>
      </c>
      <c r="BH366">
        <f>ROUNDUP(tbl_Data_old[[#This Row],[Adjusted 2031]]/$L366,0)</f>
        <v>1</v>
      </c>
      <c r="BI366">
        <f>ROUNDUP(tbl_Data_old[[#This Row],[Adjusted 2032]]/$L366,0)</f>
        <v>1</v>
      </c>
      <c r="BJ366">
        <f>ROUNDUP(tbl_Data_old[[#This Row],[Adjusted 2033]]/$L366,0)</f>
        <v>1</v>
      </c>
      <c r="BK366">
        <f>ROUNDUP(tbl_Data_old[[#This Row],[Adjusted 2034]]/$L366,0)</f>
        <v>1</v>
      </c>
      <c r="BL366" s="3">
        <f t="shared" si="25"/>
        <v>5.2638529779710383E-2</v>
      </c>
      <c r="BM366" s="3">
        <f t="shared" si="25"/>
        <v>0.10993311958187477</v>
      </c>
      <c r="BN366" s="3">
        <f t="shared" si="25"/>
        <v>0.17092192959465655</v>
      </c>
      <c r="BO366" s="3">
        <f t="shared" si="25"/>
        <v>0.23500589912400538</v>
      </c>
      <c r="BP366" s="3">
        <f t="shared" si="25"/>
        <v>0.30158873485240167</v>
      </c>
      <c r="BQ366" s="3">
        <f t="shared" si="25"/>
        <v>0.37009248594308808</v>
      </c>
      <c r="BR366" s="3">
        <f t="shared" si="25"/>
        <v>0.44001471444639273</v>
      </c>
      <c r="BS366" s="3">
        <f t="shared" si="25"/>
        <v>0.51106474869551188</v>
      </c>
      <c r="BT366" s="3">
        <f t="shared" si="25"/>
        <v>0.58305655658156652</v>
      </c>
      <c r="BU366" s="3">
        <f t="shared" si="25"/>
        <v>0.6557286404340481</v>
      </c>
      <c r="BV366">
        <f>VLOOKUP($H366,'1. Set Program Names'!$B$2:$D$15,3,0)*V366</f>
        <v>4.6848133132650648E-2</v>
      </c>
      <c r="BW366">
        <f>VLOOKUP($H366,'1. Set Program Names'!$B$2:$D$15,3,0)*W366</f>
        <v>9.7840145676796844E-2</v>
      </c>
      <c r="BX366">
        <f>VLOOKUP($H366,'1. Set Program Names'!$B$2:$D$15,3,0)*X366</f>
        <v>0.15212000309375029</v>
      </c>
      <c r="BY366">
        <f>VLOOKUP($H366,'1. Set Program Names'!$B$2:$D$15,3,0)*Y366</f>
        <v>0.20915454316817444</v>
      </c>
      <c r="BZ366">
        <f>VLOOKUP($H366,'1. Set Program Names'!$B$2:$D$15,3,0)*Z366</f>
        <v>0.26841306664151904</v>
      </c>
      <c r="CA366">
        <f>VLOOKUP($H366,'1. Set Program Names'!$B$2:$D$15,3,0)*AA366</f>
        <v>0.32938119900792606</v>
      </c>
      <c r="CB366">
        <f>VLOOKUP($H366,'1. Set Program Names'!$B$2:$D$15,3,0)*AB366</f>
        <v>0.391611772003851</v>
      </c>
      <c r="CC366">
        <f>VLOOKUP($H366,'1. Set Program Names'!$B$2:$D$15,3,0)*AC366</f>
        <v>0.45484608872036997</v>
      </c>
      <c r="CD366">
        <f>VLOOKUP($H366,'1. Set Program Names'!$B$2:$D$15,3,0)*AD366</f>
        <v>0.51891858114028744</v>
      </c>
      <c r="CE366">
        <f>VLOOKUP($H366,'1. Set Program Names'!$B$2:$D$15,3,0)*AE366</f>
        <v>0.58359651712360783</v>
      </c>
    </row>
    <row r="367" spans="1:83" x14ac:dyDescent="0.25">
      <c r="A367" s="20" t="s">
        <v>115</v>
      </c>
      <c r="B367" s="20" t="s">
        <v>88</v>
      </c>
      <c r="C367" s="20" t="s">
        <v>122</v>
      </c>
      <c r="D367" s="20" t="s">
        <v>90</v>
      </c>
      <c r="E367" s="20" t="s">
        <v>91</v>
      </c>
      <c r="F367" s="20" t="s">
        <v>90</v>
      </c>
      <c r="G367" s="20" t="s">
        <v>92</v>
      </c>
      <c r="H367" s="20" t="s">
        <v>16</v>
      </c>
      <c r="I367" s="20" t="s">
        <v>162</v>
      </c>
      <c r="J367" s="20" t="s">
        <v>161</v>
      </c>
      <c r="K367" s="20" t="s">
        <v>159</v>
      </c>
      <c r="L367" s="20">
        <v>638.46285714285602</v>
      </c>
      <c r="M367" s="20">
        <v>7.6348348575361394E-2</v>
      </c>
      <c r="N367" s="20">
        <v>7.27444471789533E-2</v>
      </c>
      <c r="O367" s="20">
        <v>179</v>
      </c>
      <c r="P367" s="20">
        <v>51.129983050636802</v>
      </c>
      <c r="Q367" s="20">
        <v>23.2576231316629</v>
      </c>
      <c r="R367" s="20">
        <v>256.15438258671003</v>
      </c>
      <c r="S367" s="20">
        <v>693.44732308484095</v>
      </c>
      <c r="T367" s="20">
        <v>15</v>
      </c>
      <c r="U367" s="20">
        <v>0.59999999999999898</v>
      </c>
      <c r="V367" s="20">
        <v>3.7862287020973802</v>
      </c>
      <c r="W367" s="20">
        <v>7.9073624285083</v>
      </c>
      <c r="X367" s="20">
        <v>12.2942171515322</v>
      </c>
      <c r="Y367" s="20">
        <v>16.903703126763201</v>
      </c>
      <c r="Z367" s="20">
        <v>21.692929663995599</v>
      </c>
      <c r="AA367" s="20">
        <v>26.6203254264978</v>
      </c>
      <c r="AB367" s="20">
        <v>31.649750632364299</v>
      </c>
      <c r="AC367" s="20">
        <v>36.760297604037198</v>
      </c>
      <c r="AD367" s="20">
        <v>41.938585266606403</v>
      </c>
      <c r="AE367" s="20">
        <v>47.165804394401</v>
      </c>
      <c r="AF367" t="str">
        <f t="shared" si="22"/>
        <v>NonResidential</v>
      </c>
      <c r="AG367" t="str">
        <f>tbl_Data_old[[#This Row],[All_Meas_Name_Append]]</f>
        <v>LED High Bay_LF Baseline</v>
      </c>
      <c r="AH367">
        <f>AVERAGEIFS('3. Incentive Adjustment'!G:G,'3. Incentive Adjustment'!A:A,tbl_Data_old[[#This Row],[Trimmed Sector]],'3. Incentive Adjustment'!B:B,tbl_Data_old[[#This Row],[Trimmed Measure Name]])</f>
        <v>0.93017466414143679</v>
      </c>
      <c r="AI367">
        <f>$AH367*tbl_Data_old[[#This Row],[2025 ]]</f>
        <v>3.5218540113360985</v>
      </c>
      <c r="AJ367">
        <f>$AH367*tbl_Data_old[[#This Row],[2026 ]]</f>
        <v>7.3552281911823236</v>
      </c>
      <c r="AK367">
        <f>$AH367*tbl_Data_old[[#This Row],[2027 ]]</f>
        <v>11.435769309808355</v>
      </c>
      <c r="AL367">
        <f>$AH367*tbl_Data_old[[#This Row],[2028 ]]</f>
        <v>15.723396378683516</v>
      </c>
      <c r="AM367">
        <f>$AH367*tbl_Data_old[[#This Row],[2029 ]]</f>
        <v>20.178213564450918</v>
      </c>
      <c r="AN367">
        <f>$AH367*tbl_Data_old[[#This Row],[2030 ]]</f>
        <v>24.76155226292834</v>
      </c>
      <c r="AO367">
        <f>$AH367*tbl_Data_old[[#This Row],[2031 ]]</f>
        <v>29.43979616461969</v>
      </c>
      <c r="AP367">
        <f>$AH367*tbl_Data_old[[#This Row],[2032 ]]</f>
        <v>34.193497477574567</v>
      </c>
      <c r="AQ367">
        <f>$AH367*tbl_Data_old[[#This Row],[2033 ]]</f>
        <v>39.010209464932622</v>
      </c>
      <c r="AR367">
        <f>$AH367*tbl_Data_old[[#This Row],[2034 ]]</f>
        <v>43.872436261522651</v>
      </c>
      <c r="AS367">
        <f>SUM(tbl_Data_old[[#This Row],[Adjusted 2025]:[Adjusted 2034]])</f>
        <v>229.49195308703912</v>
      </c>
      <c r="AT367" s="3">
        <f>AVERAGEIFS('3. Incentive Adjustment'!F:F,'3. Incentive Adjustment'!A:A,tbl_Data_old[[#This Row],[Trimmed Sector]],'3. Incentive Adjustment'!B:B,tbl_Data_old[[#This Row],[Trimmed Measure Name]])</f>
        <v>23.858858929800434</v>
      </c>
      <c r="AU367" s="3">
        <f>IFERROR(VLOOKUP(tbl_Data_old[[#This Row],[All_Meas_Name_Append]],'IRA Tax Credits'!$A$3:$D$46,4,0),0)</f>
        <v>0</v>
      </c>
      <c r="AV367" s="4">
        <f>tbl_Data_old[[#This Row],[Adj. per unit Incentive ($)]]/tbl_Data_old[[#This Row],[kWh Savings]]*tbl_Data_old[[#This Row],[Sum of Annuals]]</f>
        <v>8.5759352685459689</v>
      </c>
      <c r="AW367" s="4">
        <f>IFERROR(VLOOKUP(tbl_Data_old[[#This Row],[All_Programs]],'1. Set Program Names'!$B$2:$D$15,3,0)*tbl_Data_old[[#This Row],[Sum of Annuals]],"")</f>
        <v>8.3598243765234113</v>
      </c>
      <c r="AX367" s="4">
        <f>tbl_Data_old[[#This Row],[per unit IRA tax ($)]]/tbl_Data_old[[#This Row],[kWh Savings]]*tbl_Data_old[[#This Row],[Sum of Annuals]]</f>
        <v>0</v>
      </c>
      <c r="AY367" s="4">
        <f>tbl_Data_old[[#This Row],[Avoided Costs ($/unit)]]/tbl_Data_old[[#This Row],[kWh Savings]]*tbl_Data_old[[#This Row],[Sum of Annuals]]</f>
        <v>92.073280213504262</v>
      </c>
      <c r="AZ367" s="4">
        <f>tbl_Data_old[[#This Row],[Lost Revenue ($/unit)]]/tbl_Data_old[[#This Row],[kWh Savings]]*tbl_Data_old[[#This Row],[Sum of Annuals]]</f>
        <v>249.255816148615</v>
      </c>
      <c r="BA367" s="4">
        <f>tbl_Data_old[[#This Row],[Incremental Cost ($/unit)]]/tbl_Data_old[[#This Row],[kWh Savings]]*tbl_Data_old[[#This Row],[Sum of Annuals]]</f>
        <v>64.340562873790731</v>
      </c>
      <c r="BB367">
        <f>ROUNDUP(tbl_Data_old[[#This Row],[Adjusted 2025]]/$L367,0)</f>
        <v>1</v>
      </c>
      <c r="BC367">
        <f>ROUNDUP(tbl_Data_old[[#This Row],[Adjusted 2026]]/$L367,0)</f>
        <v>1</v>
      </c>
      <c r="BD367">
        <f>ROUNDUP(tbl_Data_old[[#This Row],[Adjusted 2027]]/$L367,0)</f>
        <v>1</v>
      </c>
      <c r="BE367">
        <f>ROUNDUP(tbl_Data_old[[#This Row],[Adjusted 2028]]/$L367,0)</f>
        <v>1</v>
      </c>
      <c r="BF367">
        <f>ROUNDUP(tbl_Data_old[[#This Row],[Adjusted 2029]]/$L367,0)</f>
        <v>1</v>
      </c>
      <c r="BG367">
        <f>ROUNDUP(tbl_Data_old[[#This Row],[Adjusted 2030]]/$L367,0)</f>
        <v>1</v>
      </c>
      <c r="BH367">
        <f>ROUNDUP(tbl_Data_old[[#This Row],[Adjusted 2031]]/$L367,0)</f>
        <v>1</v>
      </c>
      <c r="BI367">
        <f>ROUNDUP(tbl_Data_old[[#This Row],[Adjusted 2032]]/$L367,0)</f>
        <v>1</v>
      </c>
      <c r="BJ367">
        <f>ROUNDUP(tbl_Data_old[[#This Row],[Adjusted 2033]]/$L367,0)</f>
        <v>1</v>
      </c>
      <c r="BK367">
        <f>ROUNDUP(tbl_Data_old[[#This Row],[Adjusted 2034]]/$L367,0)</f>
        <v>1</v>
      </c>
      <c r="BL367" s="3">
        <f t="shared" si="25"/>
        <v>0.14148841309822713</v>
      </c>
      <c r="BM367" s="3">
        <f t="shared" si="25"/>
        <v>0.29549196570783581</v>
      </c>
      <c r="BN367" s="3">
        <f t="shared" si="25"/>
        <v>0.45942530468159715</v>
      </c>
      <c r="BO367" s="3">
        <f t="shared" si="25"/>
        <v>0.63167819988380414</v>
      </c>
      <c r="BP367" s="3">
        <f t="shared" si="25"/>
        <v>0.81064785967893538</v>
      </c>
      <c r="BQ367" s="3">
        <f t="shared" si="25"/>
        <v>0.99478079564161725</v>
      </c>
      <c r="BR367" s="3">
        <f t="shared" si="25"/>
        <v>1.1827264923133691</v>
      </c>
      <c r="BS367" s="3">
        <f t="shared" si="25"/>
        <v>1.3737036460931704</v>
      </c>
      <c r="BT367" s="3">
        <f t="shared" si="25"/>
        <v>1.5672122166497202</v>
      </c>
      <c r="BU367" s="3">
        <f t="shared" si="25"/>
        <v>1.7625493178920886</v>
      </c>
      <c r="BV367">
        <f>VLOOKUP($H367,'1. Set Program Names'!$B$2:$D$15,3,0)*V367</f>
        <v>0.13792294924990936</v>
      </c>
      <c r="BW367">
        <f>VLOOKUP($H367,'1. Set Program Names'!$B$2:$D$15,3,0)*W367</f>
        <v>0.28804566040177365</v>
      </c>
      <c r="BX367">
        <f>VLOOKUP($H367,'1. Set Program Names'!$B$2:$D$15,3,0)*X367</f>
        <v>0.44784793040072657</v>
      </c>
      <c r="BY367">
        <f>VLOOKUP($H367,'1. Set Program Names'!$B$2:$D$15,3,0)*Y367</f>
        <v>0.61576010640789136</v>
      </c>
      <c r="BZ367">
        <f>VLOOKUP($H367,'1. Set Program Names'!$B$2:$D$15,3,0)*Z367</f>
        <v>0.7902197866366939</v>
      </c>
      <c r="CA367">
        <f>VLOOKUP($H367,'1. Set Program Names'!$B$2:$D$15,3,0)*AA367</f>
        <v>0.96971263008520103</v>
      </c>
      <c r="CB367">
        <f>VLOOKUP($H367,'1. Set Program Names'!$B$2:$D$15,3,0)*AB367</f>
        <v>1.152922153862959</v>
      </c>
      <c r="CC367">
        <f>VLOOKUP($H367,'1. Set Program Names'!$B$2:$D$15,3,0)*AC367</f>
        <v>1.3390867429758304</v>
      </c>
      <c r="CD367">
        <f>VLOOKUP($H367,'1. Set Program Names'!$B$2:$D$15,3,0)*AD367</f>
        <v>1.5277189579527892</v>
      </c>
      <c r="CE367">
        <f>VLOOKUP($H367,'1. Set Program Names'!$B$2:$D$15,3,0)*AE367</f>
        <v>1.7181336252130097</v>
      </c>
    </row>
    <row r="368" spans="1:83" x14ac:dyDescent="0.25">
      <c r="A368" s="20" t="s">
        <v>115</v>
      </c>
      <c r="B368" s="20" t="s">
        <v>88</v>
      </c>
      <c r="C368" s="20" t="s">
        <v>122</v>
      </c>
      <c r="D368" s="20" t="s">
        <v>90</v>
      </c>
      <c r="E368" s="20" t="s">
        <v>91</v>
      </c>
      <c r="F368" s="20" t="s">
        <v>90</v>
      </c>
      <c r="G368" s="20" t="s">
        <v>92</v>
      </c>
      <c r="H368" s="20" t="s">
        <v>16</v>
      </c>
      <c r="I368" s="20" t="s">
        <v>163</v>
      </c>
      <c r="J368" s="20" t="s">
        <v>161</v>
      </c>
      <c r="K368" s="20" t="s">
        <v>159</v>
      </c>
      <c r="L368" s="20">
        <v>336.08</v>
      </c>
      <c r="M368" s="20">
        <v>5.3794325187228403E-2</v>
      </c>
      <c r="N368" s="20">
        <v>5.3413522005729602E-2</v>
      </c>
      <c r="O368" s="20">
        <v>109.08</v>
      </c>
      <c r="P368" s="20">
        <v>41.915763754167898</v>
      </c>
      <c r="Q368" s="20">
        <v>12.2425633608007</v>
      </c>
      <c r="R368" s="20">
        <v>148.30416484676499</v>
      </c>
      <c r="S368" s="20">
        <v>365.02323312162099</v>
      </c>
      <c r="T368" s="20">
        <v>15</v>
      </c>
      <c r="U368" s="20">
        <v>0.59999999999999898</v>
      </c>
      <c r="V368" s="20">
        <v>5.98689396829218</v>
      </c>
      <c r="W368" s="20">
        <v>12.2808917622968</v>
      </c>
      <c r="X368" s="20">
        <v>18.740279219613001</v>
      </c>
      <c r="Y368" s="20">
        <v>25.300967283789799</v>
      </c>
      <c r="Z368" s="20">
        <v>31.918614882648399</v>
      </c>
      <c r="AA368" s="20">
        <v>38.543576337741399</v>
      </c>
      <c r="AB368" s="20">
        <v>45.1491299188311</v>
      </c>
      <c r="AC368" s="20">
        <v>51.727418076295997</v>
      </c>
      <c r="AD368" s="20">
        <v>58.265521699568801</v>
      </c>
      <c r="AE368" s="20">
        <v>64.758651929421703</v>
      </c>
      <c r="AF368" t="str">
        <f t="shared" si="22"/>
        <v>NonResidential</v>
      </c>
      <c r="AG368" t="str">
        <f>tbl_Data_old[[#This Row],[All_Meas_Name_Append]]</f>
        <v>LED Linear - Fixture Replacement</v>
      </c>
      <c r="AH368">
        <f>AVERAGEIFS('3. Incentive Adjustment'!G:G,'3. Incentive Adjustment'!A:A,tbl_Data_old[[#This Row],[Trimmed Sector]],'3. Incentive Adjustment'!B:B,tbl_Data_old[[#This Row],[Trimmed Measure Name]])</f>
        <v>0.56055357916158088</v>
      </c>
      <c r="AI368">
        <f>$AH368*tbl_Data_old[[#This Row],[2025 ]]</f>
        <v>3.3559748419870616</v>
      </c>
      <c r="AJ368">
        <f>$AH368*tbl_Data_old[[#This Row],[2026 ]]</f>
        <v>6.8840978326514461</v>
      </c>
      <c r="AK368">
        <f>$AH368*tbl_Data_old[[#This Row],[2027 ]]</f>
        <v>10.504930591041466</v>
      </c>
      <c r="AL368">
        <f>$AH368*tbl_Data_old[[#This Row],[2028 ]]</f>
        <v>14.182547767178432</v>
      </c>
      <c r="AM368">
        <f>$AH368*tbl_Data_old[[#This Row],[2029 ]]</f>
        <v>17.892093814348662</v>
      </c>
      <c r="AN368">
        <f>$AH368*tbl_Data_old[[#This Row],[2030 ]]</f>
        <v>21.60573966980856</v>
      </c>
      <c r="AO368">
        <f>$AH368*tbl_Data_old[[#This Row],[2031 ]]</f>
        <v>25.308506372031989</v>
      </c>
      <c r="AP368">
        <f>$AH368*tbl_Data_old[[#This Row],[2032 ]]</f>
        <v>28.995989343455179</v>
      </c>
      <c r="AQ368">
        <f>$AH368*tbl_Data_old[[#This Row],[2033 ]]</f>
        <v>32.660946730410046</v>
      </c>
      <c r="AR368">
        <f>$AH368*tbl_Data_old[[#This Row],[2034 ]]</f>
        <v>36.300694120716351</v>
      </c>
      <c r="AS368">
        <f>SUM(tbl_Data_old[[#This Row],[Adjusted 2025]:[Adjusted 2034]])</f>
        <v>197.6915210836292</v>
      </c>
      <c r="AT368" s="3">
        <f>AVERAGEIFS('3. Incentive Adjustment'!F:F,'3. Incentive Adjustment'!A:A,tbl_Data_old[[#This Row],[Trimmed Sector]],'3. Incentive Adjustment'!B:B,tbl_Data_old[[#This Row],[Trimmed Measure Name]])</f>
        <v>16.810726621008875</v>
      </c>
      <c r="AU368" s="3">
        <f>IFERROR(VLOOKUP(tbl_Data_old[[#This Row],[All_Meas_Name_Append]],'IRA Tax Credits'!$A$3:$D$46,4,0),0)</f>
        <v>0</v>
      </c>
      <c r="AV368" s="4">
        <f>tbl_Data_old[[#This Row],[Adj. per unit Incentive ($)]]/tbl_Data_old[[#This Row],[kWh Savings]]*tbl_Data_old[[#This Row],[Sum of Annuals]]</f>
        <v>9.888532838098973</v>
      </c>
      <c r="AW368" s="4">
        <f>IFERROR(VLOOKUP(tbl_Data_old[[#This Row],[All_Programs]],'1. Set Program Names'!$B$2:$D$15,3,0)*tbl_Data_old[[#This Row],[Sum of Annuals]],"")</f>
        <v>7.2014132729094449</v>
      </c>
      <c r="AX368" s="4">
        <f>tbl_Data_old[[#This Row],[per unit IRA tax ($)]]/tbl_Data_old[[#This Row],[kWh Savings]]*tbl_Data_old[[#This Row],[Sum of Annuals]]</f>
        <v>0</v>
      </c>
      <c r="AY368" s="4">
        <f>tbl_Data_old[[#This Row],[Avoided Costs ($/unit)]]/tbl_Data_old[[#This Row],[kWh Savings]]*tbl_Data_old[[#This Row],[Sum of Annuals]]</f>
        <v>87.236598225405444</v>
      </c>
      <c r="AZ368" s="4">
        <f>tbl_Data_old[[#This Row],[Lost Revenue ($/unit)]]/tbl_Data_old[[#This Row],[kWh Savings]]*tbl_Data_old[[#This Row],[Sum of Annuals]]</f>
        <v>214.71672871541728</v>
      </c>
      <c r="BA368" s="4">
        <f>tbl_Data_old[[#This Row],[Incremental Cost ($/unit)]]/tbl_Data_old[[#This Row],[kWh Savings]]*tbl_Data_old[[#This Row],[Sum of Annuals]]</f>
        <v>64.163863127238372</v>
      </c>
      <c r="BB368">
        <f>ROUNDUP(tbl_Data_old[[#This Row],[Adjusted 2025]]/$L368,0)</f>
        <v>1</v>
      </c>
      <c r="BC368">
        <f>ROUNDUP(tbl_Data_old[[#This Row],[Adjusted 2026]]/$L368,0)</f>
        <v>1</v>
      </c>
      <c r="BD368">
        <f>ROUNDUP(tbl_Data_old[[#This Row],[Adjusted 2027]]/$L368,0)</f>
        <v>1</v>
      </c>
      <c r="BE368">
        <f>ROUNDUP(tbl_Data_old[[#This Row],[Adjusted 2028]]/$L368,0)</f>
        <v>1</v>
      </c>
      <c r="BF368">
        <f>ROUNDUP(tbl_Data_old[[#This Row],[Adjusted 2029]]/$L368,0)</f>
        <v>1</v>
      </c>
      <c r="BG368">
        <f>ROUNDUP(tbl_Data_old[[#This Row],[Adjusted 2030]]/$L368,0)</f>
        <v>1</v>
      </c>
      <c r="BH368">
        <f>ROUNDUP(tbl_Data_old[[#This Row],[Adjusted 2031]]/$L368,0)</f>
        <v>1</v>
      </c>
      <c r="BI368">
        <f>ROUNDUP(tbl_Data_old[[#This Row],[Adjusted 2032]]/$L368,0)</f>
        <v>1</v>
      </c>
      <c r="BJ368">
        <f>ROUNDUP(tbl_Data_old[[#This Row],[Adjusted 2033]]/$L368,0)</f>
        <v>1</v>
      </c>
      <c r="BK368">
        <f>ROUNDUP(tbl_Data_old[[#This Row],[Adjusted 2034]]/$L368,0)</f>
        <v>1</v>
      </c>
      <c r="BL368" s="3">
        <f t="shared" si="25"/>
        <v>0.29946452573770183</v>
      </c>
      <c r="BM368" s="3">
        <f t="shared" si="25"/>
        <v>0.61429038942564695</v>
      </c>
      <c r="BN368" s="3">
        <f t="shared" si="25"/>
        <v>0.93738904654334609</v>
      </c>
      <c r="BO368" s="3">
        <f t="shared" si="25"/>
        <v>1.2655547615296352</v>
      </c>
      <c r="BP368" s="3">
        <f t="shared" si="25"/>
        <v>1.5965695932916792</v>
      </c>
      <c r="BQ368" s="3">
        <f t="shared" si="25"/>
        <v>1.9279502642518365</v>
      </c>
      <c r="BR368" s="3">
        <f t="shared" si="25"/>
        <v>2.2583601530643964</v>
      </c>
      <c r="BS368" s="3">
        <f t="shared" si="25"/>
        <v>2.5874062249799006</v>
      </c>
      <c r="BT368" s="3">
        <f t="shared" si="25"/>
        <v>2.914442265894762</v>
      </c>
      <c r="BU368" s="3">
        <f t="shared" si="25"/>
        <v>3.2392287369988613</v>
      </c>
      <c r="BV368">
        <f>VLOOKUP($H368,'1. Set Program Names'!$B$2:$D$15,3,0)*V368</f>
        <v>0.21808774321950966</v>
      </c>
      <c r="BW368">
        <f>VLOOKUP($H368,'1. Set Program Names'!$B$2:$D$15,3,0)*W368</f>
        <v>0.44736251942113325</v>
      </c>
      <c r="BX368">
        <f>VLOOKUP($H368,'1. Set Program Names'!$B$2:$D$15,3,0)*X368</f>
        <v>0.68266203209119747</v>
      </c>
      <c r="BY368">
        <f>VLOOKUP($H368,'1. Set Program Names'!$B$2:$D$15,3,0)*Y368</f>
        <v>0.92165167537890758</v>
      </c>
      <c r="BZ368">
        <f>VLOOKUP($H368,'1. Set Program Names'!$B$2:$D$15,3,0)*Z368</f>
        <v>1.1627162136688305</v>
      </c>
      <c r="CA368">
        <f>VLOOKUP($H368,'1. Set Program Names'!$B$2:$D$15,3,0)*AA368</f>
        <v>1.4040471776560917</v>
      </c>
      <c r="CB368">
        <f>VLOOKUP($H368,'1. Set Program Names'!$B$2:$D$15,3,0)*AB368</f>
        <v>1.6446711607840818</v>
      </c>
      <c r="CC368">
        <f>VLOOKUP($H368,'1. Set Program Names'!$B$2:$D$15,3,0)*AC368</f>
        <v>1.884301931949784</v>
      </c>
      <c r="CD368">
        <f>VLOOKUP($H368,'1. Set Program Names'!$B$2:$D$15,3,0)*AD368</f>
        <v>2.1224688799008615</v>
      </c>
      <c r="CE368">
        <f>VLOOKUP($H368,'1. Set Program Names'!$B$2:$D$15,3,0)*AE368</f>
        <v>2.3589975583372604</v>
      </c>
    </row>
    <row r="369" spans="1:83" x14ac:dyDescent="0.25">
      <c r="A369" s="20" t="s">
        <v>115</v>
      </c>
      <c r="B369" s="20" t="s">
        <v>88</v>
      </c>
      <c r="C369" s="20" t="s">
        <v>122</v>
      </c>
      <c r="D369" s="20" t="s">
        <v>90</v>
      </c>
      <c r="E369" s="20" t="s">
        <v>91</v>
      </c>
      <c r="F369" s="20" t="s">
        <v>90</v>
      </c>
      <c r="G369" s="20" t="s">
        <v>92</v>
      </c>
      <c r="H369" s="20" t="s">
        <v>16</v>
      </c>
      <c r="I369" s="20" t="s">
        <v>164</v>
      </c>
      <c r="J369" s="20" t="s">
        <v>158</v>
      </c>
      <c r="K369" s="20" t="s">
        <v>159</v>
      </c>
      <c r="L369" s="20">
        <v>612.05999999999904</v>
      </c>
      <c r="M369" s="20">
        <v>0</v>
      </c>
      <c r="N369" s="20">
        <v>3.0244631686656E-2</v>
      </c>
      <c r="O369" s="20">
        <v>255</v>
      </c>
      <c r="P369" s="20">
        <v>129.095003330796</v>
      </c>
      <c r="Q369" s="20">
        <v>22.295832333407802</v>
      </c>
      <c r="R369" s="20">
        <v>299.625229349054</v>
      </c>
      <c r="S369" s="20">
        <v>664.77065003695395</v>
      </c>
      <c r="T369" s="20">
        <v>15</v>
      </c>
      <c r="U369" s="20">
        <v>0.59999999999999898</v>
      </c>
      <c r="V369" s="20">
        <v>0</v>
      </c>
      <c r="W369" s="20">
        <v>0</v>
      </c>
      <c r="X369" s="20">
        <v>0</v>
      </c>
      <c r="Y369" s="20">
        <v>0</v>
      </c>
      <c r="Z369" s="20">
        <v>0</v>
      </c>
      <c r="AA369" s="20">
        <v>0</v>
      </c>
      <c r="AB369" s="20">
        <v>0</v>
      </c>
      <c r="AC369" s="20">
        <v>0</v>
      </c>
      <c r="AD369" s="20">
        <v>0</v>
      </c>
      <c r="AE369" s="20">
        <v>0</v>
      </c>
      <c r="AF369" t="str">
        <f t="shared" si="22"/>
        <v>NonResidential</v>
      </c>
      <c r="AG369" t="str">
        <f>tbl_Data_old[[#This Row],[All_Meas_Name_Append]]</f>
        <v>LED Parking Lighting</v>
      </c>
      <c r="AH369">
        <f>AVERAGEIFS('3. Incentive Adjustment'!G:G,'3. Incentive Adjustment'!A:A,tbl_Data_old[[#This Row],[Trimmed Sector]],'3. Incentive Adjustment'!B:B,tbl_Data_old[[#This Row],[Trimmed Measure Name]])</f>
        <v>0.59704067730377497</v>
      </c>
      <c r="AI369">
        <f>$AH369*tbl_Data_old[[#This Row],[2025 ]]</f>
        <v>0</v>
      </c>
      <c r="AJ369">
        <f>$AH369*tbl_Data_old[[#This Row],[2026 ]]</f>
        <v>0</v>
      </c>
      <c r="AK369">
        <f>$AH369*tbl_Data_old[[#This Row],[2027 ]]</f>
        <v>0</v>
      </c>
      <c r="AL369">
        <f>$AH369*tbl_Data_old[[#This Row],[2028 ]]</f>
        <v>0</v>
      </c>
      <c r="AM369">
        <f>$AH369*tbl_Data_old[[#This Row],[2029 ]]</f>
        <v>0</v>
      </c>
      <c r="AN369">
        <f>$AH369*tbl_Data_old[[#This Row],[2030 ]]</f>
        <v>0</v>
      </c>
      <c r="AO369">
        <f>$AH369*tbl_Data_old[[#This Row],[2031 ]]</f>
        <v>0</v>
      </c>
      <c r="AP369">
        <f>$AH369*tbl_Data_old[[#This Row],[2032 ]]</f>
        <v>0</v>
      </c>
      <c r="AQ369">
        <f>$AH369*tbl_Data_old[[#This Row],[2033 ]]</f>
        <v>0</v>
      </c>
      <c r="AR369">
        <f>$AH369*tbl_Data_old[[#This Row],[2034 ]]</f>
        <v>0</v>
      </c>
      <c r="AS369">
        <f>SUM(tbl_Data_old[[#This Row],[Adjusted 2025]:[Adjusted 2034]])</f>
        <v>0</v>
      </c>
      <c r="AT369" s="3">
        <f>AVERAGEIFS('3. Incentive Adjustment'!F:F,'3. Incentive Adjustment'!A:A,tbl_Data_old[[#This Row],[Trimmed Sector]],'3. Incentive Adjustment'!B:B,tbl_Data_old[[#This Row],[Trimmed Measure Name]])</f>
        <v>9.4514474020799994</v>
      </c>
      <c r="AU369" s="3">
        <f>IFERROR(VLOOKUP(tbl_Data_old[[#This Row],[All_Meas_Name_Append]],'IRA Tax Credits'!$A$3:$D$46,4,0),0)</f>
        <v>0</v>
      </c>
      <c r="AV369" s="4">
        <f>tbl_Data_old[[#This Row],[Adj. per unit Incentive ($)]]/tbl_Data_old[[#This Row],[kWh Savings]]*tbl_Data_old[[#This Row],[Sum of Annuals]]</f>
        <v>0</v>
      </c>
      <c r="AW369" s="4">
        <f>IFERROR(VLOOKUP(tbl_Data_old[[#This Row],[All_Programs]],'1. Set Program Names'!$B$2:$D$15,3,0)*tbl_Data_old[[#This Row],[Sum of Annuals]],"")</f>
        <v>0</v>
      </c>
      <c r="AX369" s="4">
        <f>tbl_Data_old[[#This Row],[per unit IRA tax ($)]]/tbl_Data_old[[#This Row],[kWh Savings]]*tbl_Data_old[[#This Row],[Sum of Annuals]]</f>
        <v>0</v>
      </c>
      <c r="AY369" s="4">
        <f>tbl_Data_old[[#This Row],[Avoided Costs ($/unit)]]/tbl_Data_old[[#This Row],[kWh Savings]]*tbl_Data_old[[#This Row],[Sum of Annuals]]</f>
        <v>0</v>
      </c>
      <c r="AZ369" s="4">
        <f>tbl_Data_old[[#This Row],[Lost Revenue ($/unit)]]/tbl_Data_old[[#This Row],[kWh Savings]]*tbl_Data_old[[#This Row],[Sum of Annuals]]</f>
        <v>0</v>
      </c>
      <c r="BA369" s="4">
        <f>tbl_Data_old[[#This Row],[Incremental Cost ($/unit)]]/tbl_Data_old[[#This Row],[kWh Savings]]*tbl_Data_old[[#This Row],[Sum of Annuals]]</f>
        <v>0</v>
      </c>
      <c r="BB369">
        <f>ROUNDUP(tbl_Data_old[[#This Row],[Adjusted 2025]]/$L369,0)</f>
        <v>0</v>
      </c>
      <c r="BC369">
        <f>ROUNDUP(tbl_Data_old[[#This Row],[Adjusted 2026]]/$L369,0)</f>
        <v>0</v>
      </c>
      <c r="BD369">
        <f>ROUNDUP(tbl_Data_old[[#This Row],[Adjusted 2027]]/$L369,0)</f>
        <v>0</v>
      </c>
      <c r="BE369">
        <f>ROUNDUP(tbl_Data_old[[#This Row],[Adjusted 2028]]/$L369,0)</f>
        <v>0</v>
      </c>
      <c r="BF369">
        <f>ROUNDUP(tbl_Data_old[[#This Row],[Adjusted 2029]]/$L369,0)</f>
        <v>0</v>
      </c>
      <c r="BG369">
        <f>ROUNDUP(tbl_Data_old[[#This Row],[Adjusted 2030]]/$L369,0)</f>
        <v>0</v>
      </c>
      <c r="BH369">
        <f>ROUNDUP(tbl_Data_old[[#This Row],[Adjusted 2031]]/$L369,0)</f>
        <v>0</v>
      </c>
      <c r="BI369">
        <f>ROUNDUP(tbl_Data_old[[#This Row],[Adjusted 2032]]/$L369,0)</f>
        <v>0</v>
      </c>
      <c r="BJ369">
        <f>ROUNDUP(tbl_Data_old[[#This Row],[Adjusted 2033]]/$L369,0)</f>
        <v>0</v>
      </c>
      <c r="BK369">
        <f>ROUNDUP(tbl_Data_old[[#This Row],[Adjusted 2034]]/$L369,0)</f>
        <v>0</v>
      </c>
      <c r="BL369" s="3">
        <f t="shared" si="25"/>
        <v>0</v>
      </c>
      <c r="BM369" s="3">
        <f t="shared" si="25"/>
        <v>0</v>
      </c>
      <c r="BN369" s="3">
        <f t="shared" si="25"/>
        <v>0</v>
      </c>
      <c r="BO369" s="3">
        <f t="shared" si="25"/>
        <v>0</v>
      </c>
      <c r="BP369" s="3">
        <f t="shared" si="25"/>
        <v>0</v>
      </c>
      <c r="BQ369" s="3">
        <f t="shared" si="25"/>
        <v>0</v>
      </c>
      <c r="BR369" s="3">
        <f t="shared" si="25"/>
        <v>0</v>
      </c>
      <c r="BS369" s="3">
        <f t="shared" si="25"/>
        <v>0</v>
      </c>
      <c r="BT369" s="3">
        <f t="shared" si="25"/>
        <v>0</v>
      </c>
      <c r="BU369" s="3">
        <f t="shared" si="25"/>
        <v>0</v>
      </c>
      <c r="BV369">
        <f>VLOOKUP($H369,'1. Set Program Names'!$B$2:$D$15,3,0)*V369</f>
        <v>0</v>
      </c>
      <c r="BW369">
        <f>VLOOKUP($H369,'1. Set Program Names'!$B$2:$D$15,3,0)*W369</f>
        <v>0</v>
      </c>
      <c r="BX369">
        <f>VLOOKUP($H369,'1. Set Program Names'!$B$2:$D$15,3,0)*X369</f>
        <v>0</v>
      </c>
      <c r="BY369">
        <f>VLOOKUP($H369,'1. Set Program Names'!$B$2:$D$15,3,0)*Y369</f>
        <v>0</v>
      </c>
      <c r="BZ369">
        <f>VLOOKUP($H369,'1. Set Program Names'!$B$2:$D$15,3,0)*Z369</f>
        <v>0</v>
      </c>
      <c r="CA369">
        <f>VLOOKUP($H369,'1. Set Program Names'!$B$2:$D$15,3,0)*AA369</f>
        <v>0</v>
      </c>
      <c r="CB369">
        <f>VLOOKUP($H369,'1. Set Program Names'!$B$2:$D$15,3,0)*AB369</f>
        <v>0</v>
      </c>
      <c r="CC369">
        <f>VLOOKUP($H369,'1. Set Program Names'!$B$2:$D$15,3,0)*AC369</f>
        <v>0</v>
      </c>
      <c r="CD369">
        <f>VLOOKUP($H369,'1. Set Program Names'!$B$2:$D$15,3,0)*AD369</f>
        <v>0</v>
      </c>
      <c r="CE369">
        <f>VLOOKUP($H369,'1. Set Program Names'!$B$2:$D$15,3,0)*AE369</f>
        <v>0</v>
      </c>
    </row>
    <row r="370" spans="1:83" x14ac:dyDescent="0.25">
      <c r="A370" s="20" t="s">
        <v>115</v>
      </c>
      <c r="B370" s="20" t="s">
        <v>88</v>
      </c>
      <c r="C370" s="20" t="s">
        <v>122</v>
      </c>
      <c r="D370" s="20" t="s">
        <v>90</v>
      </c>
      <c r="E370" s="20" t="s">
        <v>91</v>
      </c>
      <c r="F370" s="20" t="s">
        <v>90</v>
      </c>
      <c r="G370" s="20" t="s">
        <v>92</v>
      </c>
      <c r="H370" s="20" t="s">
        <v>16</v>
      </c>
      <c r="I370" s="20" t="s">
        <v>165</v>
      </c>
      <c r="J370" s="20" t="s">
        <v>161</v>
      </c>
      <c r="K370" s="20" t="s">
        <v>166</v>
      </c>
      <c r="L370" s="20">
        <v>510.6</v>
      </c>
      <c r="M370" s="20">
        <v>6.2552429943266097E-2</v>
      </c>
      <c r="N370" s="20">
        <v>6.4361142955417797E-2</v>
      </c>
      <c r="O370" s="20">
        <v>129</v>
      </c>
      <c r="P370" s="20">
        <v>26.468747947944401</v>
      </c>
      <c r="Q370" s="20">
        <v>18.5998954178316</v>
      </c>
      <c r="R370" s="20">
        <v>174.74401692254699</v>
      </c>
      <c r="S370" s="20">
        <v>419.99719394182398</v>
      </c>
      <c r="T370" s="20">
        <v>10</v>
      </c>
      <c r="U370" s="20">
        <v>0.59999999999999898</v>
      </c>
      <c r="V370" s="20">
        <v>3.0293053560174399</v>
      </c>
      <c r="W370" s="20">
        <v>7.1838275612302596</v>
      </c>
      <c r="X370" s="20">
        <v>12.7102419491749</v>
      </c>
      <c r="Y370" s="20">
        <v>19.8383256824992</v>
      </c>
      <c r="Z370" s="20">
        <v>28.6674502612005</v>
      </c>
      <c r="AA370" s="20">
        <v>39.0332321615072</v>
      </c>
      <c r="AB370" s="20">
        <v>50.427681892333602</v>
      </c>
      <c r="AC370" s="20">
        <v>62.0193208956197</v>
      </c>
      <c r="AD370" s="20">
        <v>72.810780588216005</v>
      </c>
      <c r="AE370" s="20">
        <v>81.964563496443503</v>
      </c>
      <c r="AF370" t="str">
        <f t="shared" si="22"/>
        <v>NonResidential</v>
      </c>
      <c r="AG370" t="str">
        <f>tbl_Data_old[[#This Row],[All_Meas_Name_Append]]</f>
        <v>Occupancy Sensors_ Ceiling Mounted</v>
      </c>
      <c r="AH370">
        <f>AVERAGEIFS('3. Incentive Adjustment'!G:G,'3. Incentive Adjustment'!A:A,tbl_Data_old[[#This Row],[Trimmed Sector]],'3. Incentive Adjustment'!B:B,tbl_Data_old[[#This Row],[Trimmed Measure Name]])</f>
        <v>0.99348124042467356</v>
      </c>
      <c r="AI370">
        <f>$AH370*tbl_Data_old[[#This Row],[2025 ]]</f>
        <v>3.0095580427213133</v>
      </c>
      <c r="AJ370">
        <f>$AH370*tbl_Data_old[[#This Row],[2026 ]]</f>
        <v>7.1369979165279958</v>
      </c>
      <c r="AK370">
        <f>$AH370*tbl_Data_old[[#This Row],[2027 ]]</f>
        <v>12.627386937764001</v>
      </c>
      <c r="AL370">
        <f>$AH370*tbl_Data_old[[#This Row],[2028 ]]</f>
        <v>19.709004406997963</v>
      </c>
      <c r="AM370">
        <f>$AH370*tbl_Data_old[[#This Row],[2029 ]]</f>
        <v>28.480574045310103</v>
      </c>
      <c r="AN370">
        <f>$AH370*tbl_Data_old[[#This Row],[2030 ]]</f>
        <v>38.778783905598438</v>
      </c>
      <c r="AO370">
        <f>$AH370*tbl_Data_old[[#This Row],[2031 ]]</f>
        <v>50.098955958136436</v>
      </c>
      <c r="AP370">
        <f>$AH370*tbl_Data_old[[#This Row],[2032 ]]</f>
        <v>61.615031853676136</v>
      </c>
      <c r="AQ370">
        <f>$AH370*tbl_Data_old[[#This Row],[2033 ]]</f>
        <v>72.336144615069585</v>
      </c>
      <c r="AR370">
        <f>$AH370*tbl_Data_old[[#This Row],[2034 ]]</f>
        <v>81.430256213313612</v>
      </c>
      <c r="AS370">
        <f>SUM(tbl_Data_old[[#This Row],[Adjusted 2025]:[Adjusted 2034]])</f>
        <v>375.22269389511558</v>
      </c>
      <c r="AT370" s="3">
        <f>AVERAGEIFS('3. Incentive Adjustment'!F:F,'3. Incentive Adjustment'!A:A,tbl_Data_old[[#This Row],[Trimmed Sector]],'3. Incentive Adjustment'!B:B,tbl_Data_old[[#This Row],[Trimmed Measure Name]])</f>
        <v>19.547634357270656</v>
      </c>
      <c r="AU370" s="3">
        <f>IFERROR(VLOOKUP(tbl_Data_old[[#This Row],[All_Meas_Name_Append]],'IRA Tax Credits'!$A$3:$D$46,4,0),0)</f>
        <v>0</v>
      </c>
      <c r="AV370" s="4">
        <f>tbl_Data_old[[#This Row],[Adj. per unit Incentive ($)]]/tbl_Data_old[[#This Row],[kWh Savings]]*tbl_Data_old[[#This Row],[Sum of Annuals]]</f>
        <v>14.364896245224857</v>
      </c>
      <c r="AW370" s="4">
        <f>IFERROR(VLOOKUP(tbl_Data_old[[#This Row],[All_Programs]],'1. Set Program Names'!$B$2:$D$15,3,0)*tbl_Data_old[[#This Row],[Sum of Annuals]],"")</f>
        <v>13.668434909608708</v>
      </c>
      <c r="AX370" s="4">
        <f>tbl_Data_old[[#This Row],[per unit IRA tax ($)]]/tbl_Data_old[[#This Row],[kWh Savings]]*tbl_Data_old[[#This Row],[Sum of Annuals]]</f>
        <v>0</v>
      </c>
      <c r="AY370" s="4">
        <f>tbl_Data_old[[#This Row],[Avoided Costs ($/unit)]]/tbl_Data_old[[#This Row],[kWh Savings]]*tbl_Data_old[[#This Row],[Sum of Annuals]]</f>
        <v>128.41347585533049</v>
      </c>
      <c r="AZ370" s="4">
        <f>tbl_Data_old[[#This Row],[Lost Revenue ($/unit)]]/tbl_Data_old[[#This Row],[kWh Savings]]*tbl_Data_old[[#This Row],[Sum of Annuals]]</f>
        <v>308.64175193740795</v>
      </c>
      <c r="BA370" s="4">
        <f>tbl_Data_old[[#This Row],[Incremental Cost ($/unit)]]/tbl_Data_old[[#This Row],[kWh Savings]]*tbl_Data_old[[#This Row],[Sum of Annuals]]</f>
        <v>94.797742875969263</v>
      </c>
      <c r="BB370">
        <f>ROUNDUP(tbl_Data_old[[#This Row],[Adjusted 2025]]/$L370,0)</f>
        <v>1</v>
      </c>
      <c r="BC370">
        <f>ROUNDUP(tbl_Data_old[[#This Row],[Adjusted 2026]]/$L370,0)</f>
        <v>1</v>
      </c>
      <c r="BD370">
        <f>ROUNDUP(tbl_Data_old[[#This Row],[Adjusted 2027]]/$L370,0)</f>
        <v>1</v>
      </c>
      <c r="BE370">
        <f>ROUNDUP(tbl_Data_old[[#This Row],[Adjusted 2028]]/$L370,0)</f>
        <v>1</v>
      </c>
      <c r="BF370">
        <f>ROUNDUP(tbl_Data_old[[#This Row],[Adjusted 2029]]/$L370,0)</f>
        <v>1</v>
      </c>
      <c r="BG370">
        <f>ROUNDUP(tbl_Data_old[[#This Row],[Adjusted 2030]]/$L370,0)</f>
        <v>1</v>
      </c>
      <c r="BH370">
        <f>ROUNDUP(tbl_Data_old[[#This Row],[Adjusted 2031]]/$L370,0)</f>
        <v>1</v>
      </c>
      <c r="BI370">
        <f>ROUNDUP(tbl_Data_old[[#This Row],[Adjusted 2032]]/$L370,0)</f>
        <v>1</v>
      </c>
      <c r="BJ370">
        <f>ROUNDUP(tbl_Data_old[[#This Row],[Adjusted 2033]]/$L370,0)</f>
        <v>1</v>
      </c>
      <c r="BK370">
        <f>ROUNDUP(tbl_Data_old[[#This Row],[Adjusted 2034]]/$L370,0)</f>
        <v>1</v>
      </c>
      <c r="BL370" s="3">
        <f t="shared" si="25"/>
        <v>0.11597288181737275</v>
      </c>
      <c r="BM370" s="3">
        <f t="shared" si="25"/>
        <v>0.27502317754134842</v>
      </c>
      <c r="BN370" s="3">
        <f t="shared" si="25"/>
        <v>0.48659452059325115</v>
      </c>
      <c r="BO370" s="3">
        <f t="shared" si="25"/>
        <v>0.75948362064619312</v>
      </c>
      <c r="BP370" s="3">
        <f t="shared" si="25"/>
        <v>1.0974947819451442</v>
      </c>
      <c r="BQ370" s="3">
        <f t="shared" si="25"/>
        <v>1.4943348023415592</v>
      </c>
      <c r="BR370" s="3">
        <f t="shared" si="25"/>
        <v>1.9305559873014018</v>
      </c>
      <c r="BS370" s="3">
        <f t="shared" si="25"/>
        <v>2.3743262983819227</v>
      </c>
      <c r="BT370" s="3">
        <f t="shared" si="25"/>
        <v>2.7874628206147798</v>
      </c>
      <c r="BU370" s="3">
        <f t="shared" si="25"/>
        <v>3.1379030894668456</v>
      </c>
      <c r="BV370">
        <f>VLOOKUP($H370,'1. Set Program Names'!$B$2:$D$15,3,0)*V370</f>
        <v>0.11035010342851868</v>
      </c>
      <c r="BW370">
        <f>VLOOKUP($H370,'1. Set Program Names'!$B$2:$D$15,3,0)*W370</f>
        <v>0.26168907430203558</v>
      </c>
      <c r="BX370">
        <f>VLOOKUP($H370,'1. Set Program Names'!$B$2:$D$15,3,0)*X370</f>
        <v>0.46300268505677589</v>
      </c>
      <c r="BY370">
        <f>VLOOKUP($H370,'1. Set Program Names'!$B$2:$D$15,3,0)*Y370</f>
        <v>0.72266114954831318</v>
      </c>
      <c r="BZ370">
        <f>VLOOKUP($H370,'1. Set Program Names'!$B$2:$D$15,3,0)*Z370</f>
        <v>1.0442843258014487</v>
      </c>
      <c r="CA370">
        <f>VLOOKUP($H370,'1. Set Program Names'!$B$2:$D$15,3,0)*AA370</f>
        <v>1.42188412852326</v>
      </c>
      <c r="CB370">
        <f>VLOOKUP($H370,'1. Set Program Names'!$B$2:$D$15,3,0)*AB370</f>
        <v>1.8369557566805474</v>
      </c>
      <c r="CC370">
        <f>VLOOKUP($H370,'1. Set Program Names'!$B$2:$D$15,3,0)*AC370</f>
        <v>2.2592105024353057</v>
      </c>
      <c r="CD370">
        <f>VLOOKUP($H370,'1. Set Program Names'!$B$2:$D$15,3,0)*AD370</f>
        <v>2.6523166945387859</v>
      </c>
      <c r="CE370">
        <f>VLOOKUP($H370,'1. Set Program Names'!$B$2:$D$15,3,0)*AE370</f>
        <v>2.9857663709402082</v>
      </c>
    </row>
    <row r="371" spans="1:83" x14ac:dyDescent="0.25">
      <c r="A371" s="20" t="s">
        <v>115</v>
      </c>
      <c r="B371" s="20" t="s">
        <v>88</v>
      </c>
      <c r="C371" s="20" t="s">
        <v>122</v>
      </c>
      <c r="D371" s="20" t="s">
        <v>90</v>
      </c>
      <c r="E371" s="20" t="s">
        <v>91</v>
      </c>
      <c r="F371" s="20" t="s">
        <v>90</v>
      </c>
      <c r="G371" s="20" t="s">
        <v>92</v>
      </c>
      <c r="H371" s="20" t="s">
        <v>16</v>
      </c>
      <c r="I371" s="20" t="s">
        <v>167</v>
      </c>
      <c r="J371" s="20" t="s">
        <v>124</v>
      </c>
      <c r="K371" s="20" t="s">
        <v>98</v>
      </c>
      <c r="L371" s="20">
        <v>151.66</v>
      </c>
      <c r="M371" s="20">
        <v>2.2013191527321101E-2</v>
      </c>
      <c r="N371" s="20">
        <v>1.95296013954902E-2</v>
      </c>
      <c r="O371" s="20">
        <v>56.6</v>
      </c>
      <c r="P371" s="20">
        <v>25.402483751835899</v>
      </c>
      <c r="Q371" s="20">
        <v>5.5245987839176403</v>
      </c>
      <c r="R371" s="20">
        <v>70.564478576335205</v>
      </c>
      <c r="S371" s="20">
        <v>171.417444155428</v>
      </c>
      <c r="T371" s="20">
        <v>16</v>
      </c>
      <c r="U371" s="20">
        <v>0.6</v>
      </c>
      <c r="V371" s="20">
        <v>0.43093788328899002</v>
      </c>
      <c r="W371" s="20">
        <v>1.01702849261357</v>
      </c>
      <c r="X371" s="20">
        <v>1.77419468600751</v>
      </c>
      <c r="Y371" s="20">
        <v>2.7090250941370999</v>
      </c>
      <c r="Z371" s="20">
        <v>3.81263246627684</v>
      </c>
      <c r="AA371" s="20">
        <v>5.06402121818053</v>
      </c>
      <c r="AB371" s="20">
        <v>6.43368450511693</v>
      </c>
      <c r="AC371" s="20">
        <v>7.8945733308260602</v>
      </c>
      <c r="AD371" s="20">
        <v>9.4270947199889097</v>
      </c>
      <c r="AE371" s="20">
        <v>11.013050448854701</v>
      </c>
      <c r="AF371" t="str">
        <f t="shared" si="22"/>
        <v>NonResidential</v>
      </c>
      <c r="AG371" t="str">
        <f>tbl_Data_old[[#This Row],[All_Meas_Name_Append]]</f>
        <v>Refrigerated Display Case LED Lighting</v>
      </c>
      <c r="AH371">
        <f>AVERAGEIFS('3. Incentive Adjustment'!G:G,'3. Incentive Adjustment'!A:A,tbl_Data_old[[#This Row],[Trimmed Sector]],'3. Incentive Adjustment'!B:B,tbl_Data_old[[#This Row],[Trimmed Measure Name]])</f>
        <v>0.72450810749703154</v>
      </c>
      <c r="AI371">
        <f>$AH371*tbl_Data_old[[#This Row],[2025 ]]</f>
        <v>0.3122179902704828</v>
      </c>
      <c r="AJ371">
        <f>$AH371*tbl_Data_old[[#This Row],[2026 ]]</f>
        <v>0.73684538845401626</v>
      </c>
      <c r="AK371">
        <f>$AH371*tbl_Data_old[[#This Row],[2027 ]]</f>
        <v>1.2854184342905912</v>
      </c>
      <c r="AL371">
        <f>$AH371*tbl_Data_old[[#This Row],[2028 ]]</f>
        <v>1.962710644115238</v>
      </c>
      <c r="AM371">
        <f>$AH371*tbl_Data_old[[#This Row],[2029 ]]</f>
        <v>2.7622831327239732</v>
      </c>
      <c r="AN371">
        <f>$AH371*tbl_Data_old[[#This Row],[2030 ]]</f>
        <v>3.6689244291087881</v>
      </c>
      <c r="AO371">
        <f>$AH371*tbl_Data_old[[#This Row],[2031 ]]</f>
        <v>4.6612565850352432</v>
      </c>
      <c r="AP371">
        <f>$AH371*tbl_Data_old[[#This Row],[2032 ]]</f>
        <v>5.7196823834133257</v>
      </c>
      <c r="AQ371">
        <f>$AH371*tbl_Data_old[[#This Row],[2033 ]]</f>
        <v>6.8300065547744238</v>
      </c>
      <c r="AR371">
        <f>$AH371*tbl_Data_old[[#This Row],[2034 ]]</f>
        <v>7.9790443384690528</v>
      </c>
      <c r="AS371">
        <f>SUM(tbl_Data_old[[#This Row],[Adjusted 2025]:[Adjusted 2034]])</f>
        <v>35.918389880655134</v>
      </c>
      <c r="AT371" s="3">
        <f>AVERAGEIFS('3. Incentive Adjustment'!F:F,'3. Incentive Adjustment'!A:A,tbl_Data_old[[#This Row],[Trimmed Sector]],'3. Incentive Adjustment'!B:B,tbl_Data_old[[#This Row],[Trimmed Measure Name]])</f>
        <v>6.879122352287844</v>
      </c>
      <c r="AU371" s="3">
        <f>IFERROR(VLOOKUP(tbl_Data_old[[#This Row],[All_Meas_Name_Append]],'IRA Tax Credits'!$A$3:$D$46,4,0),0)</f>
        <v>0</v>
      </c>
      <c r="AV371" s="4">
        <f>tbl_Data_old[[#This Row],[Adj. per unit Incentive ($)]]/tbl_Data_old[[#This Row],[kWh Savings]]*tbl_Data_old[[#This Row],[Sum of Annuals]]</f>
        <v>1.6292166602017952</v>
      </c>
      <c r="AW371" s="4">
        <f>IFERROR(VLOOKUP(tbl_Data_old[[#This Row],[All_Programs]],'1. Set Program Names'!$B$2:$D$15,3,0)*tbl_Data_old[[#This Row],[Sum of Annuals]],"")</f>
        <v>1.3084181264337797</v>
      </c>
      <c r="AX371" s="4">
        <f>tbl_Data_old[[#This Row],[per unit IRA tax ($)]]/tbl_Data_old[[#This Row],[kWh Savings]]*tbl_Data_old[[#This Row],[Sum of Annuals]]</f>
        <v>0</v>
      </c>
      <c r="AY371" s="4">
        <f>tbl_Data_old[[#This Row],[Avoided Costs ($/unit)]]/tbl_Data_old[[#This Row],[kWh Savings]]*tbl_Data_old[[#This Row],[Sum of Annuals]]</f>
        <v>16.712135389884903</v>
      </c>
      <c r="AZ371" s="4">
        <f>tbl_Data_old[[#This Row],[Lost Revenue ($/unit)]]/tbl_Data_old[[#This Row],[kWh Savings]]*tbl_Data_old[[#This Row],[Sum of Annuals]]</f>
        <v>40.597643356983326</v>
      </c>
      <c r="BA371" s="4">
        <f>tbl_Data_old[[#This Row],[Incremental Cost ($/unit)]]/tbl_Data_old[[#This Row],[kWh Savings]]*tbl_Data_old[[#This Row],[Sum of Annuals]]</f>
        <v>13.404858678920485</v>
      </c>
      <c r="BB371">
        <f>ROUNDUP(tbl_Data_old[[#This Row],[Adjusted 2025]]/$L371,0)</f>
        <v>1</v>
      </c>
      <c r="BC371">
        <f>ROUNDUP(tbl_Data_old[[#This Row],[Adjusted 2026]]/$L371,0)</f>
        <v>1</v>
      </c>
      <c r="BD371">
        <f>ROUNDUP(tbl_Data_old[[#This Row],[Adjusted 2027]]/$L371,0)</f>
        <v>1</v>
      </c>
      <c r="BE371">
        <f>ROUNDUP(tbl_Data_old[[#This Row],[Adjusted 2028]]/$L371,0)</f>
        <v>1</v>
      </c>
      <c r="BF371">
        <f>ROUNDUP(tbl_Data_old[[#This Row],[Adjusted 2029]]/$L371,0)</f>
        <v>1</v>
      </c>
      <c r="BG371">
        <f>ROUNDUP(tbl_Data_old[[#This Row],[Adjusted 2030]]/$L371,0)</f>
        <v>1</v>
      </c>
      <c r="BH371">
        <f>ROUNDUP(tbl_Data_old[[#This Row],[Adjusted 2031]]/$L371,0)</f>
        <v>1</v>
      </c>
      <c r="BI371">
        <f>ROUNDUP(tbl_Data_old[[#This Row],[Adjusted 2032]]/$L371,0)</f>
        <v>1</v>
      </c>
      <c r="BJ371">
        <f>ROUNDUP(tbl_Data_old[[#This Row],[Adjusted 2033]]/$L371,0)</f>
        <v>1</v>
      </c>
      <c r="BK371">
        <f>ROUNDUP(tbl_Data_old[[#This Row],[Adjusted 2034]]/$L371,0)</f>
        <v>1</v>
      </c>
      <c r="BL371" s="3">
        <f t="shared" si="25"/>
        <v>1.9546844424244373E-2</v>
      </c>
      <c r="BM371" s="3">
        <f t="shared" si="25"/>
        <v>4.6131237217800485E-2</v>
      </c>
      <c r="BN371" s="3">
        <f t="shared" si="25"/>
        <v>8.0475420821736615E-2</v>
      </c>
      <c r="BO371" s="3">
        <f t="shared" si="25"/>
        <v>0.12287824790971387</v>
      </c>
      <c r="BP371" s="3">
        <f t="shared" si="25"/>
        <v>0.1729366030583103</v>
      </c>
      <c r="BQ371" s="3">
        <f t="shared" si="25"/>
        <v>0.22969815082715023</v>
      </c>
      <c r="BR371" s="3">
        <f t="shared" si="25"/>
        <v>0.29182449483527517</v>
      </c>
      <c r="BS371" s="3">
        <f t="shared" si="25"/>
        <v>0.35808872386826485</v>
      </c>
      <c r="BT371" s="3">
        <f t="shared" si="25"/>
        <v>0.42760212320592395</v>
      </c>
      <c r="BU371" s="3">
        <f t="shared" si="25"/>
        <v>0.49953924244751452</v>
      </c>
      <c r="BV371">
        <f>VLOOKUP($H371,'1. Set Program Names'!$B$2:$D$15,3,0)*V371</f>
        <v>1.5698001489927445E-2</v>
      </c>
      <c r="BW371">
        <f>VLOOKUP($H371,'1. Set Program Names'!$B$2:$D$15,3,0)*W371</f>
        <v>3.7047833136638002E-2</v>
      </c>
      <c r="BX371">
        <f>VLOOKUP($H371,'1. Set Program Names'!$B$2:$D$15,3,0)*X371</f>
        <v>6.4629525285178888E-2</v>
      </c>
      <c r="BY371">
        <f>VLOOKUP($H371,'1. Set Program Names'!$B$2:$D$15,3,0)*Y371</f>
        <v>9.8683085458737926E-2</v>
      </c>
      <c r="BZ371">
        <f>VLOOKUP($H371,'1. Set Program Names'!$B$2:$D$15,3,0)*Z371</f>
        <v>0.13888477308926508</v>
      </c>
      <c r="CA371">
        <f>VLOOKUP($H371,'1. Set Program Names'!$B$2:$D$15,3,0)*AA371</f>
        <v>0.18446977095933856</v>
      </c>
      <c r="CB371">
        <f>VLOOKUP($H371,'1. Set Program Names'!$B$2:$D$15,3,0)*AB371</f>
        <v>0.23436321767821941</v>
      </c>
      <c r="CC371">
        <f>VLOOKUP($H371,'1. Set Program Names'!$B$2:$D$15,3,0)*AC371</f>
        <v>0.28757978519735122</v>
      </c>
      <c r="CD371">
        <f>VLOOKUP($H371,'1. Set Program Names'!$B$2:$D$15,3,0)*AD371</f>
        <v>0.34340574987423933</v>
      </c>
      <c r="CE371">
        <f>VLOOKUP($H371,'1. Set Program Names'!$B$2:$D$15,3,0)*AE371</f>
        <v>0.40117819541715882</v>
      </c>
    </row>
    <row r="372" spans="1:83" x14ac:dyDescent="0.25">
      <c r="A372" s="20" t="s">
        <v>116</v>
      </c>
      <c r="B372" s="20" t="s">
        <v>88</v>
      </c>
      <c r="C372" s="20" t="s">
        <v>122</v>
      </c>
      <c r="D372" s="20" t="s">
        <v>90</v>
      </c>
      <c r="E372" s="20" t="s">
        <v>91</v>
      </c>
      <c r="F372" s="20" t="s">
        <v>90</v>
      </c>
      <c r="G372" s="20" t="s">
        <v>92</v>
      </c>
      <c r="H372" s="20" t="s">
        <v>16</v>
      </c>
      <c r="I372" s="20" t="s">
        <v>157</v>
      </c>
      <c r="J372" s="20" t="s">
        <v>158</v>
      </c>
      <c r="K372" s="20" t="s">
        <v>159</v>
      </c>
      <c r="L372" s="20">
        <v>562.52</v>
      </c>
      <c r="M372" s="20">
        <v>0</v>
      </c>
      <c r="N372" s="20">
        <v>2.7796637938074201E-2</v>
      </c>
      <c r="O372" s="20">
        <v>169</v>
      </c>
      <c r="P372" s="20">
        <v>53.285725702774101</v>
      </c>
      <c r="Q372" s="20">
        <v>20.491212633056499</v>
      </c>
      <c r="R372" s="20">
        <v>275.373630058213</v>
      </c>
      <c r="S372" s="20">
        <v>610.96426176974103</v>
      </c>
      <c r="T372" s="20">
        <v>15</v>
      </c>
      <c r="U372" s="20">
        <v>0.59999999999999898</v>
      </c>
      <c r="V372" s="20">
        <v>1.13247254854205E-2</v>
      </c>
      <c r="W372" s="20">
        <v>1.23349961897752E-2</v>
      </c>
      <c r="X372" s="20">
        <v>1.31327773049595E-2</v>
      </c>
      <c r="Y372" s="20">
        <v>1.3800784609577101E-2</v>
      </c>
      <c r="Z372" s="20">
        <v>1.4342025019285399E-2</v>
      </c>
      <c r="AA372" s="20">
        <v>1.4757863848474301E-2</v>
      </c>
      <c r="AB372" s="20">
        <v>1.50671056365286E-2</v>
      </c>
      <c r="AC372" s="20">
        <v>1.53148207224001E-2</v>
      </c>
      <c r="AD372" s="20">
        <v>1.55201814155554E-2</v>
      </c>
      <c r="AE372" s="20">
        <v>1.56703904942158E-2</v>
      </c>
      <c r="AF372" t="str">
        <f t="shared" si="22"/>
        <v>NonResidential</v>
      </c>
      <c r="AG372" t="str">
        <f>tbl_Data_old[[#This Row],[All_Meas_Name_Append]]</f>
        <v>LED Exterior Wall Packs</v>
      </c>
      <c r="AH372">
        <f>AVERAGEIFS('3. Incentive Adjustment'!G:G,'3. Incentive Adjustment'!A:A,tbl_Data_old[[#This Row],[Trimmed Sector]],'3. Incentive Adjustment'!B:B,tbl_Data_old[[#This Row],[Trimmed Measure Name]])</f>
        <v>0.80637708305213962</v>
      </c>
      <c r="AI372">
        <f>$AH372*tbl_Data_old[[#This Row],[2025 ]]</f>
        <v>9.1319991032996085E-3</v>
      </c>
      <c r="AJ372">
        <f>$AH372*tbl_Data_old[[#This Row],[2026 ]]</f>
        <v>9.9466582469701827E-3</v>
      </c>
      <c r="AK372">
        <f>$AH372*tbl_Data_old[[#This Row],[2027 ]]</f>
        <v>1.0589970655546581E-2</v>
      </c>
      <c r="AL372">
        <f>$AH372*tbl_Data_old[[#This Row],[2028 ]]</f>
        <v>1.1128636437301644E-2</v>
      </c>
      <c r="AM372">
        <f>$AH372*tbl_Data_old[[#This Row],[2029 ]]</f>
        <v>1.1565080300112166E-2</v>
      </c>
      <c r="AN372">
        <f>$AH372*tbl_Data_old[[#This Row],[2030 ]]</f>
        <v>1.190040320221333E-2</v>
      </c>
      <c r="AO372">
        <f>$AH372*tbl_Data_old[[#This Row],[2031 ]]</f>
        <v>1.2149768693222384E-2</v>
      </c>
      <c r="AP372">
        <f>$AH372*tbl_Data_old[[#This Row],[2032 ]]</f>
        <v>1.2349520461595454E-2</v>
      </c>
      <c r="AQ372">
        <f>$AH372*tbl_Data_old[[#This Row],[2033 ]]</f>
        <v>1.251511861831559E-2</v>
      </c>
      <c r="AR372">
        <f>$AH372*tbl_Data_old[[#This Row],[2034 ]]</f>
        <v>1.2636243777013712E-2</v>
      </c>
      <c r="AS372">
        <f>SUM(tbl_Data_old[[#This Row],[Adjusted 2025]:[Adjusted 2034]])</f>
        <v>0.11391339949559065</v>
      </c>
      <c r="AT372" s="3">
        <f>AVERAGEIFS('3. Incentive Adjustment'!F:F,'3. Incentive Adjustment'!A:A,tbl_Data_old[[#This Row],[Trimmed Sector]],'3. Incentive Adjustment'!B:B,tbl_Data_old[[#This Row],[Trimmed Measure Name]])</f>
        <v>8.6864493556481861</v>
      </c>
      <c r="AU372" s="3">
        <f>IFERROR(VLOOKUP(tbl_Data_old[[#This Row],[All_Meas_Name_Append]],'IRA Tax Credits'!$A$3:$D$46,4,0),0)</f>
        <v>0</v>
      </c>
      <c r="AV372" s="4">
        <f>tbl_Data_old[[#This Row],[Adj. per unit Incentive ($)]]/tbl_Data_old[[#This Row],[kWh Savings]]*tbl_Data_old[[#This Row],[Sum of Annuals]]</f>
        <v>1.75905385701516E-3</v>
      </c>
      <c r="AW372" s="4">
        <f>IFERROR(VLOOKUP(tbl_Data_old[[#This Row],[All_Programs]],'1. Set Program Names'!$B$2:$D$15,3,0)*tbl_Data_old[[#This Row],[Sum of Annuals]],"")</f>
        <v>4.1495834651540577E-3</v>
      </c>
      <c r="AX372" s="4">
        <f>tbl_Data_old[[#This Row],[per unit IRA tax ($)]]/tbl_Data_old[[#This Row],[kWh Savings]]*tbl_Data_old[[#This Row],[Sum of Annuals]]</f>
        <v>0</v>
      </c>
      <c r="AY372" s="4">
        <f>tbl_Data_old[[#This Row],[Avoided Costs ($/unit)]]/tbl_Data_old[[#This Row],[kWh Savings]]*tbl_Data_old[[#This Row],[Sum of Annuals]]</f>
        <v>5.5764677400576348E-2</v>
      </c>
      <c r="AZ372" s="4">
        <f>tbl_Data_old[[#This Row],[Lost Revenue ($/unit)]]/tbl_Data_old[[#This Row],[kWh Savings]]*tbl_Data_old[[#This Row],[Sum of Annuals]]</f>
        <v>0.12372362943274041</v>
      </c>
      <c r="BA372" s="4">
        <f>tbl_Data_old[[#This Row],[Incremental Cost ($/unit)]]/tbl_Data_old[[#This Row],[kWh Savings]]*tbl_Data_old[[#This Row],[Sum of Annuals]]</f>
        <v>3.4223431193121705E-2</v>
      </c>
      <c r="BB372">
        <f>ROUNDUP(tbl_Data_old[[#This Row],[Adjusted 2025]]/$L372,0)</f>
        <v>1</v>
      </c>
      <c r="BC372">
        <f>ROUNDUP(tbl_Data_old[[#This Row],[Adjusted 2026]]/$L372,0)</f>
        <v>1</v>
      </c>
      <c r="BD372">
        <f>ROUNDUP(tbl_Data_old[[#This Row],[Adjusted 2027]]/$L372,0)</f>
        <v>1</v>
      </c>
      <c r="BE372">
        <f>ROUNDUP(tbl_Data_old[[#This Row],[Adjusted 2028]]/$L372,0)</f>
        <v>1</v>
      </c>
      <c r="BF372">
        <f>ROUNDUP(tbl_Data_old[[#This Row],[Adjusted 2029]]/$L372,0)</f>
        <v>1</v>
      </c>
      <c r="BG372">
        <f>ROUNDUP(tbl_Data_old[[#This Row],[Adjusted 2030]]/$L372,0)</f>
        <v>1</v>
      </c>
      <c r="BH372">
        <f>ROUNDUP(tbl_Data_old[[#This Row],[Adjusted 2031]]/$L372,0)</f>
        <v>1</v>
      </c>
      <c r="BI372">
        <f>ROUNDUP(tbl_Data_old[[#This Row],[Adjusted 2032]]/$L372,0)</f>
        <v>1</v>
      </c>
      <c r="BJ372">
        <f>ROUNDUP(tbl_Data_old[[#This Row],[Adjusted 2033]]/$L372,0)</f>
        <v>1</v>
      </c>
      <c r="BK372">
        <f>ROUNDUP(tbl_Data_old[[#This Row],[Adjusted 2034]]/$L372,0)</f>
        <v>1</v>
      </c>
      <c r="BL372" s="3">
        <f t="shared" si="25"/>
        <v>1.7487672330890189E-4</v>
      </c>
      <c r="BM372" s="3">
        <f t="shared" si="25"/>
        <v>1.9047735139123164E-4</v>
      </c>
      <c r="BN372" s="3">
        <f t="shared" si="25"/>
        <v>2.027967093766205E-4</v>
      </c>
      <c r="BO372" s="3">
        <f t="shared" si="25"/>
        <v>2.1311209659976606E-4</v>
      </c>
      <c r="BP372" s="3">
        <f t="shared" si="25"/>
        <v>2.2146994593518775E-4</v>
      </c>
      <c r="BQ372" s="3">
        <f t="shared" si="25"/>
        <v>2.2789134060535314E-4</v>
      </c>
      <c r="BR372" s="3">
        <f t="shared" si="25"/>
        <v>2.3266666082611643E-4</v>
      </c>
      <c r="BS372" s="3">
        <f t="shared" si="25"/>
        <v>2.3649188401471917E-4</v>
      </c>
      <c r="BT372" s="3">
        <f t="shared" si="25"/>
        <v>2.3966306950276285E-4</v>
      </c>
      <c r="BU372" s="3">
        <f t="shared" si="25"/>
        <v>2.4198260223856269E-4</v>
      </c>
      <c r="BV372">
        <f>VLOOKUP($H372,'1. Set Program Names'!$B$2:$D$15,3,0)*V372</f>
        <v>4.125317463072346E-4</v>
      </c>
      <c r="BW372">
        <f>VLOOKUP($H372,'1. Set Program Names'!$B$2:$D$15,3,0)*W372</f>
        <v>4.4933340992787024E-4</v>
      </c>
      <c r="BX372">
        <f>VLOOKUP($H372,'1. Set Program Names'!$B$2:$D$15,3,0)*X372</f>
        <v>4.7839460324700279E-4</v>
      </c>
      <c r="BY372">
        <f>VLOOKUP($H372,'1. Set Program Names'!$B$2:$D$15,3,0)*Y372</f>
        <v>5.0272845754436852E-4</v>
      </c>
      <c r="BZ372">
        <f>VLOOKUP($H372,'1. Set Program Names'!$B$2:$D$15,3,0)*Z372</f>
        <v>5.2244450732203936E-4</v>
      </c>
      <c r="CA372">
        <f>VLOOKUP($H372,'1. Set Program Names'!$B$2:$D$15,3,0)*AA372</f>
        <v>5.3759248760716887E-4</v>
      </c>
      <c r="CB372">
        <f>VLOOKUP($H372,'1. Set Program Names'!$B$2:$D$15,3,0)*AB372</f>
        <v>5.4885740127076697E-4</v>
      </c>
      <c r="CC372">
        <f>VLOOKUP($H372,'1. Set Program Names'!$B$2:$D$15,3,0)*AC372</f>
        <v>5.5788104931351885E-4</v>
      </c>
      <c r="CD372">
        <f>VLOOKUP($H372,'1. Set Program Names'!$B$2:$D$15,3,0)*AD372</f>
        <v>5.6536183156111381E-4</v>
      </c>
      <c r="CE372">
        <f>VLOOKUP($H372,'1. Set Program Names'!$B$2:$D$15,3,0)*AE372</f>
        <v>5.7083357686838431E-4</v>
      </c>
    </row>
    <row r="373" spans="1:83" x14ac:dyDescent="0.25">
      <c r="A373" s="20" t="s">
        <v>116</v>
      </c>
      <c r="B373" s="20" t="s">
        <v>88</v>
      </c>
      <c r="C373" s="20" t="s">
        <v>122</v>
      </c>
      <c r="D373" s="20" t="s">
        <v>90</v>
      </c>
      <c r="E373" s="20" t="s">
        <v>91</v>
      </c>
      <c r="F373" s="20" t="s">
        <v>90</v>
      </c>
      <c r="G373" s="20" t="s">
        <v>92</v>
      </c>
      <c r="H373" s="20" t="s">
        <v>16</v>
      </c>
      <c r="I373" s="20" t="s">
        <v>160</v>
      </c>
      <c r="J373" s="20" t="s">
        <v>161</v>
      </c>
      <c r="K373" s="20" t="s">
        <v>159</v>
      </c>
      <c r="L373" s="20">
        <v>698.53499999999997</v>
      </c>
      <c r="M373" s="20">
        <v>9.14911955902553E-2</v>
      </c>
      <c r="N373" s="20">
        <v>9.6647765821509996E-2</v>
      </c>
      <c r="O373" s="20">
        <v>179</v>
      </c>
      <c r="P373" s="20">
        <v>35.4245718525491</v>
      </c>
      <c r="Q373" s="20">
        <v>25.445902753025901</v>
      </c>
      <c r="R373" s="20">
        <v>291.28765455670799</v>
      </c>
      <c r="S373" s="20">
        <v>758.69288308917999</v>
      </c>
      <c r="T373" s="20">
        <v>15</v>
      </c>
      <c r="U373" s="20">
        <v>0.59999999999999898</v>
      </c>
      <c r="V373" s="20">
        <v>1.3662315356207599</v>
      </c>
      <c r="W373" s="20">
        <v>1.4870794403977601</v>
      </c>
      <c r="X373" s="20">
        <v>1.5829628203552699</v>
      </c>
      <c r="Y373" s="20">
        <v>1.6632975971244599</v>
      </c>
      <c r="Z373" s="20">
        <v>1.72815559788402</v>
      </c>
      <c r="AA373" s="20">
        <v>1.7780129011978201</v>
      </c>
      <c r="AB373" s="20">
        <v>1.8148294418914701</v>
      </c>
      <c r="AC373" s="20">
        <v>1.84410160778266</v>
      </c>
      <c r="AD373" s="20">
        <v>1.8685453156062599</v>
      </c>
      <c r="AE373" s="20">
        <v>1.8862018588673899</v>
      </c>
      <c r="AF373" t="str">
        <f t="shared" si="22"/>
        <v>NonResidential</v>
      </c>
      <c r="AG373" t="str">
        <f>tbl_Data_old[[#This Row],[All_Meas_Name_Append]]</f>
        <v>LED High Bay_HID Baseline</v>
      </c>
      <c r="AH373">
        <f>AVERAGEIFS('3. Incentive Adjustment'!G:G,'3. Incentive Adjustment'!A:A,tbl_Data_old[[#This Row],[Trimmed Sector]],'3. Incentive Adjustment'!B:B,tbl_Data_old[[#This Row],[Trimmed Measure Name]])</f>
        <v>1.0603846876879557</v>
      </c>
      <c r="AI373">
        <f>$AH373*tbl_Data_old[[#This Row],[2025 ]]</f>
        <v>1.4487310002086555</v>
      </c>
      <c r="AJ373">
        <f>$AH373*tbl_Data_old[[#This Row],[2026 ]]</f>
        <v>1.5768762679733588</v>
      </c>
      <c r="AK373">
        <f>$AH373*tbl_Data_old[[#This Row],[2027 ]]</f>
        <v>1.6785495358840683</v>
      </c>
      <c r="AL373">
        <f>$AH373*tbl_Data_old[[#This Row],[2028 ]]</f>
        <v>1.7637353030589475</v>
      </c>
      <c r="AM373">
        <f>$AH373*tbl_Data_old[[#This Row],[2029 ]]</f>
        <v>1.8325097339384389</v>
      </c>
      <c r="AN373">
        <f>$AH373*tbl_Data_old[[#This Row],[2030 ]]</f>
        <v>1.8853776549418064</v>
      </c>
      <c r="AO373">
        <f>$AH373*tbl_Data_old[[#This Row],[2031 ]]</f>
        <v>1.9244173509469935</v>
      </c>
      <c r="AP373">
        <f>$AH373*tbl_Data_old[[#This Row],[2032 ]]</f>
        <v>1.9554571074334728</v>
      </c>
      <c r="AQ373">
        <f>$AH373*tbl_Data_old[[#This Row],[2033 ]]</f>
        <v>1.9813768409199366</v>
      </c>
      <c r="AR373">
        <f>$AH373*tbl_Data_old[[#This Row],[2034 ]]</f>
        <v>2.0000995690315388</v>
      </c>
      <c r="AS373">
        <f>SUM(tbl_Data_old[[#This Row],[Adjusted 2025]:[Adjusted 2034]])</f>
        <v>18.047130364337214</v>
      </c>
      <c r="AT373" s="3">
        <f>AVERAGEIFS('3. Incentive Adjustment'!F:F,'3. Incentive Adjustment'!A:A,tbl_Data_old[[#This Row],[Trimmed Sector]],'3. Incentive Adjustment'!B:B,tbl_Data_old[[#This Row],[Trimmed Measure Name]])</f>
        <v>28.590998621954778</v>
      </c>
      <c r="AU373" s="3">
        <f>IFERROR(VLOOKUP(tbl_Data_old[[#This Row],[All_Meas_Name_Append]],'IRA Tax Credits'!$A$3:$D$46,4,0),0)</f>
        <v>0</v>
      </c>
      <c r="AV373" s="4">
        <f>tbl_Data_old[[#This Row],[Adj. per unit Incentive ($)]]/tbl_Data_old[[#This Row],[kWh Savings]]*tbl_Data_old[[#This Row],[Sum of Annuals]]</f>
        <v>0.73866804007960019</v>
      </c>
      <c r="AW373" s="4">
        <f>IFERROR(VLOOKUP(tbl_Data_old[[#This Row],[All_Programs]],'1. Set Program Names'!$B$2:$D$15,3,0)*tbl_Data_old[[#This Row],[Sum of Annuals]],"")</f>
        <v>0.65741233327192727</v>
      </c>
      <c r="AX373" s="4">
        <f>tbl_Data_old[[#This Row],[per unit IRA tax ($)]]/tbl_Data_old[[#This Row],[kWh Savings]]*tbl_Data_old[[#This Row],[Sum of Annuals]]</f>
        <v>0</v>
      </c>
      <c r="AY373" s="4">
        <f>tbl_Data_old[[#This Row],[Avoided Costs ($/unit)]]/tbl_Data_old[[#This Row],[kWh Savings]]*tbl_Data_old[[#This Row],[Sum of Annuals]]</f>
        <v>7.5256161470891714</v>
      </c>
      <c r="AZ373" s="4">
        <f>tbl_Data_old[[#This Row],[Lost Revenue ($/unit)]]/tbl_Data_old[[#This Row],[kWh Savings]]*tbl_Data_old[[#This Row],[Sum of Annuals]]</f>
        <v>19.601350494399401</v>
      </c>
      <c r="BA373" s="4">
        <f>tbl_Data_old[[#This Row],[Incremental Cost ($/unit)]]/tbl_Data_old[[#This Row],[kWh Savings]]*tbl_Data_old[[#This Row],[Sum of Annuals]]</f>
        <v>4.6245876516085263</v>
      </c>
      <c r="BB373">
        <f>ROUNDUP(tbl_Data_old[[#This Row],[Adjusted 2025]]/$L373,0)</f>
        <v>1</v>
      </c>
      <c r="BC373">
        <f>ROUNDUP(tbl_Data_old[[#This Row],[Adjusted 2026]]/$L373,0)</f>
        <v>1</v>
      </c>
      <c r="BD373">
        <f>ROUNDUP(tbl_Data_old[[#This Row],[Adjusted 2027]]/$L373,0)</f>
        <v>1</v>
      </c>
      <c r="BE373">
        <f>ROUNDUP(tbl_Data_old[[#This Row],[Adjusted 2028]]/$L373,0)</f>
        <v>1</v>
      </c>
      <c r="BF373">
        <f>ROUNDUP(tbl_Data_old[[#This Row],[Adjusted 2029]]/$L373,0)</f>
        <v>1</v>
      </c>
      <c r="BG373">
        <f>ROUNDUP(tbl_Data_old[[#This Row],[Adjusted 2030]]/$L373,0)</f>
        <v>1</v>
      </c>
      <c r="BH373">
        <f>ROUNDUP(tbl_Data_old[[#This Row],[Adjusted 2031]]/$L373,0)</f>
        <v>1</v>
      </c>
      <c r="BI373">
        <f>ROUNDUP(tbl_Data_old[[#This Row],[Adjusted 2032]]/$L373,0)</f>
        <v>1</v>
      </c>
      <c r="BJ373">
        <f>ROUNDUP(tbl_Data_old[[#This Row],[Adjusted 2033]]/$L373,0)</f>
        <v>1</v>
      </c>
      <c r="BK373">
        <f>ROUNDUP(tbl_Data_old[[#This Row],[Adjusted 2034]]/$L373,0)</f>
        <v>1</v>
      </c>
      <c r="BL373" s="3">
        <f t="shared" si="25"/>
        <v>5.591978061543703E-2</v>
      </c>
      <c r="BM373" s="3">
        <f t="shared" si="25"/>
        <v>6.0866078623332605E-2</v>
      </c>
      <c r="BN373" s="3">
        <f t="shared" si="25"/>
        <v>6.4790580021592575E-2</v>
      </c>
      <c r="BO373" s="3">
        <f t="shared" si="25"/>
        <v>6.807867795784911E-2</v>
      </c>
      <c r="BP373" s="3">
        <f t="shared" si="25"/>
        <v>7.0733312314523178E-2</v>
      </c>
      <c r="BQ373" s="3">
        <f t="shared" si="25"/>
        <v>7.2773968960703025E-2</v>
      </c>
      <c r="BR373" s="3">
        <f t="shared" si="25"/>
        <v>7.4280867919577373E-2</v>
      </c>
      <c r="BS373" s="3">
        <f t="shared" si="25"/>
        <v>7.5478976038220874E-2</v>
      </c>
      <c r="BT373" s="3">
        <f t="shared" si="25"/>
        <v>7.6479455637238847E-2</v>
      </c>
      <c r="BU373" s="3">
        <f t="shared" si="25"/>
        <v>7.7202136968950855E-2</v>
      </c>
      <c r="BV373">
        <f>VLOOKUP($H373,'1. Set Program Names'!$B$2:$D$15,3,0)*V373</f>
        <v>4.9768436504288416E-2</v>
      </c>
      <c r="BW373">
        <f>VLOOKUP($H373,'1. Set Program Names'!$B$2:$D$15,3,0)*W373</f>
        <v>5.4170626849600362E-2</v>
      </c>
      <c r="BX373">
        <f>VLOOKUP($H373,'1. Set Program Names'!$B$2:$D$15,3,0)*X373</f>
        <v>5.7663421286572349E-2</v>
      </c>
      <c r="BY373">
        <f>VLOOKUP($H373,'1. Set Program Names'!$B$2:$D$15,3,0)*Y373</f>
        <v>6.0589818557081135E-2</v>
      </c>
      <c r="BZ373">
        <f>VLOOKUP($H373,'1. Set Program Names'!$B$2:$D$15,3,0)*Z373</f>
        <v>6.2952435147636293E-2</v>
      </c>
      <c r="CA373">
        <f>VLOOKUP($H373,'1. Set Program Names'!$B$2:$D$15,3,0)*AA373</f>
        <v>6.4768613423100044E-2</v>
      </c>
      <c r="CB373">
        <f>VLOOKUP($H373,'1. Set Program Names'!$B$2:$D$15,3,0)*AB373</f>
        <v>6.6109748962755802E-2</v>
      </c>
      <c r="CC373">
        <f>VLOOKUP($H373,'1. Set Program Names'!$B$2:$D$15,3,0)*AC373</f>
        <v>6.7176061583651914E-2</v>
      </c>
      <c r="CD373">
        <f>VLOOKUP($H373,'1. Set Program Names'!$B$2:$D$15,3,0)*AD373</f>
        <v>6.8066485416677744E-2</v>
      </c>
      <c r="CE373">
        <f>VLOOKUP($H373,'1. Set Program Names'!$B$2:$D$15,3,0)*AE373</f>
        <v>6.8709669627601042E-2</v>
      </c>
    </row>
    <row r="374" spans="1:83" x14ac:dyDescent="0.25">
      <c r="A374" s="20" t="s">
        <v>116</v>
      </c>
      <c r="B374" s="20" t="s">
        <v>88</v>
      </c>
      <c r="C374" s="20" t="s">
        <v>122</v>
      </c>
      <c r="D374" s="20" t="s">
        <v>90</v>
      </c>
      <c r="E374" s="20" t="s">
        <v>91</v>
      </c>
      <c r="F374" s="20" t="s">
        <v>90</v>
      </c>
      <c r="G374" s="20" t="s">
        <v>92</v>
      </c>
      <c r="H374" s="20" t="s">
        <v>16</v>
      </c>
      <c r="I374" s="20" t="s">
        <v>162</v>
      </c>
      <c r="J374" s="20" t="s">
        <v>161</v>
      </c>
      <c r="K374" s="20" t="s">
        <v>159</v>
      </c>
      <c r="L374" s="20">
        <v>638.46285714285602</v>
      </c>
      <c r="M374" s="20">
        <v>7.6348348575361394E-2</v>
      </c>
      <c r="N374" s="20">
        <v>7.27444471789533E-2</v>
      </c>
      <c r="O374" s="20">
        <v>179</v>
      </c>
      <c r="P374" s="20">
        <v>51.129983050636802</v>
      </c>
      <c r="Q374" s="20">
        <v>23.2576231316629</v>
      </c>
      <c r="R374" s="20">
        <v>256.15438258671003</v>
      </c>
      <c r="S374" s="20">
        <v>693.44732308484095</v>
      </c>
      <c r="T374" s="20">
        <v>15</v>
      </c>
      <c r="U374" s="20">
        <v>0.59999999999999898</v>
      </c>
      <c r="V374" s="20">
        <v>3.51533248973857</v>
      </c>
      <c r="W374" s="20">
        <v>3.8262758071070899</v>
      </c>
      <c r="X374" s="20">
        <v>4.0729850595307102</v>
      </c>
      <c r="Y374" s="20">
        <v>4.2796875425796896</v>
      </c>
      <c r="Z374" s="20">
        <v>4.4465680685704703</v>
      </c>
      <c r="AA374" s="20">
        <v>4.5748515941810197</v>
      </c>
      <c r="AB374" s="20">
        <v>4.6695810586135202</v>
      </c>
      <c r="AC374" s="20">
        <v>4.7448987431490099</v>
      </c>
      <c r="AD374" s="20">
        <v>4.8077927388163904</v>
      </c>
      <c r="AE374" s="20">
        <v>4.8532232669253199</v>
      </c>
      <c r="AF374" t="str">
        <f t="shared" si="22"/>
        <v>NonResidential</v>
      </c>
      <c r="AG374" t="str">
        <f>tbl_Data_old[[#This Row],[All_Meas_Name_Append]]</f>
        <v>LED High Bay_LF Baseline</v>
      </c>
      <c r="AH374">
        <f>AVERAGEIFS('3. Incentive Adjustment'!G:G,'3. Incentive Adjustment'!A:A,tbl_Data_old[[#This Row],[Trimmed Sector]],'3. Incentive Adjustment'!B:B,tbl_Data_old[[#This Row],[Trimmed Measure Name]])</f>
        <v>0.93017466414143679</v>
      </c>
      <c r="AI374">
        <f>$AH374*tbl_Data_old[[#This Row],[2025 ]]</f>
        <v>3.2698732179880552</v>
      </c>
      <c r="AJ374">
        <f>$AH374*tbl_Data_old[[#This Row],[2026 ]]</f>
        <v>3.5591048137883425</v>
      </c>
      <c r="AK374">
        <f>$AH374*tbl_Data_old[[#This Row],[2027 ]]</f>
        <v>3.7885875098020683</v>
      </c>
      <c r="AL374">
        <f>$AH374*tbl_Data_old[[#This Row],[2028 ]]</f>
        <v>3.980856922549354</v>
      </c>
      <c r="AM374">
        <f>$AH374*tbl_Data_old[[#This Row],[2029 ]]</f>
        <v>4.1360849597645748</v>
      </c>
      <c r="AN374">
        <f>$AH374*tbl_Data_old[[#This Row],[2030 ]]</f>
        <v>4.2554110451142471</v>
      </c>
      <c r="AO374">
        <f>$AH374*tbl_Data_old[[#This Row],[2031 ]]</f>
        <v>4.343525992877046</v>
      </c>
      <c r="AP374">
        <f>$AH374*tbl_Data_old[[#This Row],[2032 ]]</f>
        <v>4.4135845947937558</v>
      </c>
      <c r="AQ374">
        <f>$AH374*tbl_Data_old[[#This Row],[2033 ]]</f>
        <v>4.4720869960901748</v>
      </c>
      <c r="AR374">
        <f>$AH374*tbl_Data_old[[#This Row],[2034 ]]</f>
        <v>4.5143453223156662</v>
      </c>
      <c r="AS374">
        <f>SUM(tbl_Data_old[[#This Row],[Adjusted 2025]:[Adjusted 2034]])</f>
        <v>40.73346137508328</v>
      </c>
      <c r="AT374" s="3">
        <f>AVERAGEIFS('3. Incentive Adjustment'!F:F,'3. Incentive Adjustment'!A:A,tbl_Data_old[[#This Row],[Trimmed Sector]],'3. Incentive Adjustment'!B:B,tbl_Data_old[[#This Row],[Trimmed Measure Name]])</f>
        <v>23.858858929800434</v>
      </c>
      <c r="AU374" s="3">
        <f>IFERROR(VLOOKUP(tbl_Data_old[[#This Row],[All_Meas_Name_Append]],'IRA Tax Credits'!$A$3:$D$46,4,0),0)</f>
        <v>0</v>
      </c>
      <c r="AV374" s="4">
        <f>tbl_Data_old[[#This Row],[Adj. per unit Incentive ($)]]/tbl_Data_old[[#This Row],[kWh Savings]]*tbl_Data_old[[#This Row],[Sum of Annuals]]</f>
        <v>1.5221776768967696</v>
      </c>
      <c r="AW374" s="4">
        <f>IFERROR(VLOOKUP(tbl_Data_old[[#This Row],[All_Programs]],'1. Set Program Names'!$B$2:$D$15,3,0)*tbl_Data_old[[#This Row],[Sum of Annuals]],"")</f>
        <v>1.4838192745453069</v>
      </c>
      <c r="AX374" s="4">
        <f>tbl_Data_old[[#This Row],[per unit IRA tax ($)]]/tbl_Data_old[[#This Row],[kWh Savings]]*tbl_Data_old[[#This Row],[Sum of Annuals]]</f>
        <v>0</v>
      </c>
      <c r="AY374" s="4">
        <f>tbl_Data_old[[#This Row],[Avoided Costs ($/unit)]]/tbl_Data_old[[#This Row],[kWh Savings]]*tbl_Data_old[[#This Row],[Sum of Annuals]]</f>
        <v>16.342461479821743</v>
      </c>
      <c r="AZ374" s="4">
        <f>tbl_Data_old[[#This Row],[Lost Revenue ($/unit)]]/tbl_Data_old[[#This Row],[kWh Savings]]*tbl_Data_old[[#This Row],[Sum of Annuals]]</f>
        <v>44.241429919565562</v>
      </c>
      <c r="BA374" s="4">
        <f>tbl_Data_old[[#This Row],[Incremental Cost ($/unit)]]/tbl_Data_old[[#This Row],[kWh Savings]]*tbl_Data_old[[#This Row],[Sum of Annuals]]</f>
        <v>11.420068535809094</v>
      </c>
      <c r="BB374">
        <f>ROUNDUP(tbl_Data_old[[#This Row],[Adjusted 2025]]/$L374,0)</f>
        <v>1</v>
      </c>
      <c r="BC374">
        <f>ROUNDUP(tbl_Data_old[[#This Row],[Adjusted 2026]]/$L374,0)</f>
        <v>1</v>
      </c>
      <c r="BD374">
        <f>ROUNDUP(tbl_Data_old[[#This Row],[Adjusted 2027]]/$L374,0)</f>
        <v>1</v>
      </c>
      <c r="BE374">
        <f>ROUNDUP(tbl_Data_old[[#This Row],[Adjusted 2028]]/$L374,0)</f>
        <v>1</v>
      </c>
      <c r="BF374">
        <f>ROUNDUP(tbl_Data_old[[#This Row],[Adjusted 2029]]/$L374,0)</f>
        <v>1</v>
      </c>
      <c r="BG374">
        <f>ROUNDUP(tbl_Data_old[[#This Row],[Adjusted 2030]]/$L374,0)</f>
        <v>1</v>
      </c>
      <c r="BH374">
        <f>ROUNDUP(tbl_Data_old[[#This Row],[Adjusted 2031]]/$L374,0)</f>
        <v>1</v>
      </c>
      <c r="BI374">
        <f>ROUNDUP(tbl_Data_old[[#This Row],[Adjusted 2032]]/$L374,0)</f>
        <v>1</v>
      </c>
      <c r="BJ374">
        <f>ROUNDUP(tbl_Data_old[[#This Row],[Adjusted 2033]]/$L374,0)</f>
        <v>1</v>
      </c>
      <c r="BK374">
        <f>ROUNDUP(tbl_Data_old[[#This Row],[Adjusted 2034]]/$L374,0)</f>
        <v>1</v>
      </c>
      <c r="BL374" s="3">
        <f t="shared" si="25"/>
        <v>0.13136523295865019</v>
      </c>
      <c r="BM374" s="3">
        <f t="shared" si="25"/>
        <v>0.1429849421731515</v>
      </c>
      <c r="BN374" s="3">
        <f t="shared" si="25"/>
        <v>0.15220427448731719</v>
      </c>
      <c r="BO374" s="3">
        <f t="shared" si="25"/>
        <v>0.15992858503777665</v>
      </c>
      <c r="BP374" s="3">
        <f t="shared" si="25"/>
        <v>0.16616478011663002</v>
      </c>
      <c r="BQ374" s="3">
        <f t="shared" si="25"/>
        <v>0.17095863539938877</v>
      </c>
      <c r="BR374" s="3">
        <f t="shared" si="25"/>
        <v>0.17449860159022526</v>
      </c>
      <c r="BS374" s="3">
        <f t="shared" si="25"/>
        <v>0.17731316470873318</v>
      </c>
      <c r="BT374" s="3">
        <f t="shared" si="25"/>
        <v>0.17966346426550717</v>
      </c>
      <c r="BU374" s="3">
        <f t="shared" si="25"/>
        <v>0.18136116766223703</v>
      </c>
      <c r="BV374">
        <f>VLOOKUP($H374,'1. Set Program Names'!$B$2:$D$15,3,0)*V374</f>
        <v>0.12805487009017458</v>
      </c>
      <c r="BW374">
        <f>VLOOKUP($H374,'1. Set Program Names'!$B$2:$D$15,3,0)*W374</f>
        <v>0.13938176625924645</v>
      </c>
      <c r="BX374">
        <f>VLOOKUP($H374,'1. Set Program Names'!$B$2:$D$15,3,0)*X374</f>
        <v>0.14836877427665884</v>
      </c>
      <c r="BY374">
        <f>VLOOKUP($H374,'1. Set Program Names'!$B$2:$D$15,3,0)*Y374</f>
        <v>0.15589843461218006</v>
      </c>
      <c r="BZ374">
        <f>VLOOKUP($H374,'1. Set Program Names'!$B$2:$D$15,3,0)*Z374</f>
        <v>0.16197747952150487</v>
      </c>
      <c r="CA374">
        <f>VLOOKUP($H374,'1. Set Program Names'!$B$2:$D$15,3,0)*AA374</f>
        <v>0.1666505311474096</v>
      </c>
      <c r="CB374">
        <f>VLOOKUP($H374,'1. Set Program Names'!$B$2:$D$15,3,0)*AB374</f>
        <v>0.17010129129514112</v>
      </c>
      <c r="CC374">
        <f>VLOOKUP($H374,'1. Set Program Names'!$B$2:$D$15,3,0)*AC374</f>
        <v>0.1728449283015519</v>
      </c>
      <c r="CD374">
        <f>VLOOKUP($H374,'1. Set Program Names'!$B$2:$D$15,3,0)*AD374</f>
        <v>0.17513600104307722</v>
      </c>
      <c r="CE374">
        <f>VLOOKUP($H374,'1. Set Program Names'!$B$2:$D$15,3,0)*AE374</f>
        <v>0.17679092284410142</v>
      </c>
    </row>
    <row r="375" spans="1:83" x14ac:dyDescent="0.25">
      <c r="A375" s="20" t="s">
        <v>116</v>
      </c>
      <c r="B375" s="20" t="s">
        <v>88</v>
      </c>
      <c r="C375" s="20" t="s">
        <v>122</v>
      </c>
      <c r="D375" s="20" t="s">
        <v>90</v>
      </c>
      <c r="E375" s="20" t="s">
        <v>91</v>
      </c>
      <c r="F375" s="20" t="s">
        <v>90</v>
      </c>
      <c r="G375" s="20" t="s">
        <v>92</v>
      </c>
      <c r="H375" s="20" t="s">
        <v>16</v>
      </c>
      <c r="I375" s="20" t="s">
        <v>163</v>
      </c>
      <c r="J375" s="20" t="s">
        <v>161</v>
      </c>
      <c r="K375" s="20" t="s">
        <v>159</v>
      </c>
      <c r="L375" s="20">
        <v>336.08</v>
      </c>
      <c r="M375" s="20">
        <v>5.3794325187228403E-2</v>
      </c>
      <c r="N375" s="20">
        <v>5.3413522005729602E-2</v>
      </c>
      <c r="O375" s="20">
        <v>109.08</v>
      </c>
      <c r="P375" s="20">
        <v>41.915763754167898</v>
      </c>
      <c r="Q375" s="20">
        <v>12.2425633608007</v>
      </c>
      <c r="R375" s="20">
        <v>148.30416484676499</v>
      </c>
      <c r="S375" s="20">
        <v>365.02323312162099</v>
      </c>
      <c r="T375" s="20">
        <v>15</v>
      </c>
      <c r="U375" s="20">
        <v>0.59999999999999898</v>
      </c>
      <c r="V375" s="20">
        <v>5.9638577214734898</v>
      </c>
      <c r="W375" s="20">
        <v>6.2697798794354096</v>
      </c>
      <c r="X375" s="20">
        <v>6.4345331598203703</v>
      </c>
      <c r="Y375" s="20">
        <v>6.5354439843004304</v>
      </c>
      <c r="Z375" s="20">
        <v>6.5921843512624703</v>
      </c>
      <c r="AA375" s="20">
        <v>6.5994700653920599</v>
      </c>
      <c r="AB375" s="20">
        <v>6.5801368686050701</v>
      </c>
      <c r="AC375" s="20">
        <v>6.5529763563134598</v>
      </c>
      <c r="AD375" s="20">
        <v>6.51294644334126</v>
      </c>
      <c r="AE375" s="20">
        <v>6.4681460976145102</v>
      </c>
      <c r="AF375" t="str">
        <f t="shared" si="22"/>
        <v>NonResidential</v>
      </c>
      <c r="AG375" t="str">
        <f>tbl_Data_old[[#This Row],[All_Meas_Name_Append]]</f>
        <v>LED Linear - Fixture Replacement</v>
      </c>
      <c r="AH375">
        <f>AVERAGEIFS('3. Incentive Adjustment'!G:G,'3. Incentive Adjustment'!A:A,tbl_Data_old[[#This Row],[Trimmed Sector]],'3. Incentive Adjustment'!B:B,tbl_Data_old[[#This Row],[Trimmed Measure Name]])</f>
        <v>0.56055357916158088</v>
      </c>
      <c r="AI375">
        <f>$AH375*tbl_Data_old[[#This Row],[2025 ]]</f>
        <v>3.3430617913823952</v>
      </c>
      <c r="AJ375">
        <f>$AH375*tbl_Data_old[[#This Row],[2026 ]]</f>
        <v>3.5145475519727838</v>
      </c>
      <c r="AK375">
        <f>$AH375*tbl_Data_old[[#This Row],[2027 ]]</f>
        <v>3.606900592971185</v>
      </c>
      <c r="AL375">
        <f>$AH375*tbl_Data_old[[#This Row],[2028 ]]</f>
        <v>3.663466516809629</v>
      </c>
      <c r="AM375">
        <f>$AH375*tbl_Data_old[[#This Row],[2029 ]]</f>
        <v>3.6952725325931417</v>
      </c>
      <c r="AN375">
        <f>$AH375*tbl_Data_old[[#This Row],[2030 ]]</f>
        <v>3.6993565657252314</v>
      </c>
      <c r="AO375">
        <f>$AH375*tbl_Data_old[[#This Row],[2031 ]]</f>
        <v>3.688519273069649</v>
      </c>
      <c r="AP375">
        <f>$AH375*tbl_Data_old[[#This Row],[2032 ]]</f>
        <v>3.6732943506927249</v>
      </c>
      <c r="AQ375">
        <f>$AH375*tbl_Data_old[[#This Row],[2033 ]]</f>
        <v>3.6508554397026316</v>
      </c>
      <c r="AR375">
        <f>$AH375*tbl_Data_old[[#This Row],[2034 ]]</f>
        <v>3.625742445557826</v>
      </c>
      <c r="AS375">
        <f>SUM(tbl_Data_old[[#This Row],[Adjusted 2025]:[Adjusted 2034]])</f>
        <v>36.161017060477199</v>
      </c>
      <c r="AT375" s="3">
        <f>AVERAGEIFS('3. Incentive Adjustment'!F:F,'3. Incentive Adjustment'!A:A,tbl_Data_old[[#This Row],[Trimmed Sector]],'3. Incentive Adjustment'!B:B,tbl_Data_old[[#This Row],[Trimmed Measure Name]])</f>
        <v>16.810726621008875</v>
      </c>
      <c r="AU375" s="3">
        <f>IFERROR(VLOOKUP(tbl_Data_old[[#This Row],[All_Meas_Name_Append]],'IRA Tax Credits'!$A$3:$D$46,4,0),0)</f>
        <v>0</v>
      </c>
      <c r="AV375" s="4">
        <f>tbl_Data_old[[#This Row],[Adj. per unit Incentive ($)]]/tbl_Data_old[[#This Row],[kWh Savings]]*tbl_Data_old[[#This Row],[Sum of Annuals]]</f>
        <v>1.8087746136078322</v>
      </c>
      <c r="AW375" s="4">
        <f>IFERROR(VLOOKUP(tbl_Data_old[[#This Row],[All_Programs]],'1. Set Program Names'!$B$2:$D$15,3,0)*tbl_Data_old[[#This Row],[Sum of Annuals]],"")</f>
        <v>1.3172564346402307</v>
      </c>
      <c r="AX375" s="4">
        <f>tbl_Data_old[[#This Row],[per unit IRA tax ($)]]/tbl_Data_old[[#This Row],[kWh Savings]]*tbl_Data_old[[#This Row],[Sum of Annuals]]</f>
        <v>0</v>
      </c>
      <c r="AY375" s="4">
        <f>tbl_Data_old[[#This Row],[Avoided Costs ($/unit)]]/tbl_Data_old[[#This Row],[kWh Savings]]*tbl_Data_old[[#This Row],[Sum of Annuals]]</f>
        <v>15.957002604033837</v>
      </c>
      <c r="AZ375" s="4">
        <f>tbl_Data_old[[#This Row],[Lost Revenue ($/unit)]]/tbl_Data_old[[#This Row],[kWh Savings]]*tbl_Data_old[[#This Row],[Sum of Annuals]]</f>
        <v>39.275206380568562</v>
      </c>
      <c r="BA375" s="4">
        <f>tbl_Data_old[[#This Row],[Incremental Cost ($/unit)]]/tbl_Data_old[[#This Row],[kWh Savings]]*tbl_Data_old[[#This Row],[Sum of Annuals]]</f>
        <v>11.736621462023486</v>
      </c>
      <c r="BB375">
        <f>ROUNDUP(tbl_Data_old[[#This Row],[Adjusted 2025]]/$L375,0)</f>
        <v>1</v>
      </c>
      <c r="BC375">
        <f>ROUNDUP(tbl_Data_old[[#This Row],[Adjusted 2026]]/$L375,0)</f>
        <v>1</v>
      </c>
      <c r="BD375">
        <f>ROUNDUP(tbl_Data_old[[#This Row],[Adjusted 2027]]/$L375,0)</f>
        <v>1</v>
      </c>
      <c r="BE375">
        <f>ROUNDUP(tbl_Data_old[[#This Row],[Adjusted 2028]]/$L375,0)</f>
        <v>1</v>
      </c>
      <c r="BF375">
        <f>ROUNDUP(tbl_Data_old[[#This Row],[Adjusted 2029]]/$L375,0)</f>
        <v>1</v>
      </c>
      <c r="BG375">
        <f>ROUNDUP(tbl_Data_old[[#This Row],[Adjusted 2030]]/$L375,0)</f>
        <v>1</v>
      </c>
      <c r="BH375">
        <f>ROUNDUP(tbl_Data_old[[#This Row],[Adjusted 2031]]/$L375,0)</f>
        <v>1</v>
      </c>
      <c r="BI375">
        <f>ROUNDUP(tbl_Data_old[[#This Row],[Adjusted 2032]]/$L375,0)</f>
        <v>1</v>
      </c>
      <c r="BJ375">
        <f>ROUNDUP(tbl_Data_old[[#This Row],[Adjusted 2033]]/$L375,0)</f>
        <v>1</v>
      </c>
      <c r="BK375">
        <f>ROUNDUP(tbl_Data_old[[#This Row],[Adjusted 2034]]/$L375,0)</f>
        <v>1</v>
      </c>
      <c r="BL375" s="3">
        <f t="shared" si="25"/>
        <v>0.29831225232767122</v>
      </c>
      <c r="BM375" s="3">
        <f t="shared" si="25"/>
        <v>0.31361448323937952</v>
      </c>
      <c r="BN375" s="3">
        <f t="shared" si="25"/>
        <v>0.32185544478563638</v>
      </c>
      <c r="BO375" s="3">
        <f t="shared" si="25"/>
        <v>0.32690300573372877</v>
      </c>
      <c r="BP375" s="3">
        <f t="shared" si="25"/>
        <v>0.32974115973686663</v>
      </c>
      <c r="BQ375" s="3">
        <f t="shared" si="25"/>
        <v>0.33010559126647671</v>
      </c>
      <c r="BR375" s="3">
        <f t="shared" si="25"/>
        <v>0.32913854447435503</v>
      </c>
      <c r="BS375" s="3">
        <f t="shared" si="25"/>
        <v>0.3277799752437528</v>
      </c>
      <c r="BT375" s="3">
        <f t="shared" si="25"/>
        <v>0.32577767839883959</v>
      </c>
      <c r="BU375" s="3">
        <f t="shared" si="25"/>
        <v>0.32353676443627388</v>
      </c>
      <c r="BV375">
        <f>VLOOKUP($H375,'1. Set Program Names'!$B$2:$D$15,3,0)*V375</f>
        <v>0.21724858971060446</v>
      </c>
      <c r="BW375">
        <f>VLOOKUP($H375,'1. Set Program Names'!$B$2:$D$15,3,0)*W375</f>
        <v>0.22839257745852667</v>
      </c>
      <c r="BX375">
        <f>VLOOKUP($H375,'1. Set Program Names'!$B$2:$D$15,3,0)*X375</f>
        <v>0.23439413207056145</v>
      </c>
      <c r="BY375">
        <f>VLOOKUP($H375,'1. Set Program Names'!$B$2:$D$15,3,0)*Y375</f>
        <v>0.23807006387991569</v>
      </c>
      <c r="BZ375">
        <f>VLOOKUP($H375,'1. Set Program Names'!$B$2:$D$15,3,0)*Z375</f>
        <v>0.24013697514404286</v>
      </c>
      <c r="CA375">
        <f>VLOOKUP($H375,'1. Set Program Names'!$B$2:$D$15,3,0)*AA375</f>
        <v>0.24040237569409104</v>
      </c>
      <c r="CB375">
        <f>VLOOKUP($H375,'1. Set Program Names'!$B$2:$D$15,3,0)*AB375</f>
        <v>0.23969811514115258</v>
      </c>
      <c r="CC375">
        <f>VLOOKUP($H375,'1. Set Program Names'!$B$2:$D$15,3,0)*AC375</f>
        <v>0.23870872483931418</v>
      </c>
      <c r="CD375">
        <f>VLOOKUP($H375,'1. Set Program Names'!$B$2:$D$15,3,0)*AD375</f>
        <v>0.23725053409339211</v>
      </c>
      <c r="CE375">
        <f>VLOOKUP($H375,'1. Set Program Names'!$B$2:$D$15,3,0)*AE375</f>
        <v>0.23561856827827216</v>
      </c>
    </row>
    <row r="376" spans="1:83" x14ac:dyDescent="0.25">
      <c r="A376" s="20" t="s">
        <v>116</v>
      </c>
      <c r="B376" s="20" t="s">
        <v>88</v>
      </c>
      <c r="C376" s="20" t="s">
        <v>122</v>
      </c>
      <c r="D376" s="20" t="s">
        <v>90</v>
      </c>
      <c r="E376" s="20" t="s">
        <v>91</v>
      </c>
      <c r="F376" s="20" t="s">
        <v>90</v>
      </c>
      <c r="G376" s="20" t="s">
        <v>92</v>
      </c>
      <c r="H376" s="20" t="s">
        <v>16</v>
      </c>
      <c r="I376" s="20" t="s">
        <v>164</v>
      </c>
      <c r="J376" s="20" t="s">
        <v>158</v>
      </c>
      <c r="K376" s="20" t="s">
        <v>159</v>
      </c>
      <c r="L376" s="20">
        <v>612.05999999999904</v>
      </c>
      <c r="M376" s="20">
        <v>0</v>
      </c>
      <c r="N376" s="20">
        <v>3.0244631686656E-2</v>
      </c>
      <c r="O376" s="20">
        <v>255</v>
      </c>
      <c r="P376" s="20">
        <v>129.095003330796</v>
      </c>
      <c r="Q376" s="20">
        <v>22.295832333407802</v>
      </c>
      <c r="R376" s="20">
        <v>299.625229349054</v>
      </c>
      <c r="S376" s="20">
        <v>664.77065003695395</v>
      </c>
      <c r="T376" s="20">
        <v>15</v>
      </c>
      <c r="U376" s="20">
        <v>0.59999999999999898</v>
      </c>
      <c r="V376" s="20">
        <v>7.9626759035393899</v>
      </c>
      <c r="W376" s="20">
        <v>8.6514248799833204</v>
      </c>
      <c r="X376" s="20">
        <v>9.2047904187628102</v>
      </c>
      <c r="Y376" s="20">
        <v>9.6691571573214805</v>
      </c>
      <c r="Z376" s="20">
        <v>10.040555046343799</v>
      </c>
      <c r="AA376" s="20">
        <v>10.326455678474</v>
      </c>
      <c r="AB376" s="20">
        <v>10.533625660844301</v>
      </c>
      <c r="AC376" s="20">
        <v>10.6949896119136</v>
      </c>
      <c r="AD376" s="20">
        <v>10.832454773922599</v>
      </c>
      <c r="AE376" s="20">
        <v>10.928347725157799</v>
      </c>
      <c r="AF376" t="str">
        <f t="shared" si="22"/>
        <v>NonResidential</v>
      </c>
      <c r="AG376" t="str">
        <f>tbl_Data_old[[#This Row],[All_Meas_Name_Append]]</f>
        <v>LED Parking Lighting</v>
      </c>
      <c r="AH376">
        <f>AVERAGEIFS('3. Incentive Adjustment'!G:G,'3. Incentive Adjustment'!A:A,tbl_Data_old[[#This Row],[Trimmed Sector]],'3. Incentive Adjustment'!B:B,tbl_Data_old[[#This Row],[Trimmed Measure Name]])</f>
        <v>0.59704067730377497</v>
      </c>
      <c r="AI376">
        <f>$AH376*tbl_Data_old[[#This Row],[2025 ]]</f>
        <v>4.7540414145996053</v>
      </c>
      <c r="AJ376">
        <f>$AH376*tbl_Data_old[[#This Row],[2026 ]]</f>
        <v>5.1652525699879721</v>
      </c>
      <c r="AK376">
        <f>$AH376*tbl_Data_old[[#This Row],[2027 ]]</f>
        <v>5.4956343060574468</v>
      </c>
      <c r="AL376">
        <f>$AH376*tbl_Data_old[[#This Row],[2028 ]]</f>
        <v>5.7728801381638606</v>
      </c>
      <c r="AM376">
        <f>$AH376*tbl_Data_old[[#This Row],[2029 ]]</f>
        <v>5.9946197853749377</v>
      </c>
      <c r="AN376">
        <f>$AH376*tbl_Data_old[[#This Row],[2030 ]]</f>
        <v>6.1653140924235297</v>
      </c>
      <c r="AO376">
        <f>$AH376*tbl_Data_old[[#This Row],[2031 ]]</f>
        <v>6.2890029990149054</v>
      </c>
      <c r="AP376">
        <f>$AH376*tbl_Data_old[[#This Row],[2032 ]]</f>
        <v>6.3853438416537331</v>
      </c>
      <c r="AQ376">
        <f>$AH376*tbl_Data_old[[#This Row],[2033 ]]</f>
        <v>6.4674161350852595</v>
      </c>
      <c r="AR376">
        <f>$AH376*tbl_Data_old[[#This Row],[2034 ]]</f>
        <v>6.524668127639381</v>
      </c>
      <c r="AS376">
        <f>SUM(tbl_Data_old[[#This Row],[Adjusted 2025]:[Adjusted 2034]])</f>
        <v>59.01417341000063</v>
      </c>
      <c r="AT376" s="3">
        <f>AVERAGEIFS('3. Incentive Adjustment'!F:F,'3. Incentive Adjustment'!A:A,tbl_Data_old[[#This Row],[Trimmed Sector]],'3. Incentive Adjustment'!B:B,tbl_Data_old[[#This Row],[Trimmed Measure Name]])</f>
        <v>9.4514474020799994</v>
      </c>
      <c r="AU376" s="3">
        <f>IFERROR(VLOOKUP(tbl_Data_old[[#This Row],[All_Meas_Name_Append]],'IRA Tax Credits'!$A$3:$D$46,4,0),0)</f>
        <v>0</v>
      </c>
      <c r="AV376" s="4">
        <f>tbl_Data_old[[#This Row],[Adj. per unit Incentive ($)]]/tbl_Data_old[[#This Row],[kWh Savings]]*tbl_Data_old[[#This Row],[Sum of Annuals]]</f>
        <v>0.91129849354940673</v>
      </c>
      <c r="AW376" s="4">
        <f>IFERROR(VLOOKUP(tbl_Data_old[[#This Row],[All_Programs]],'1. Set Program Names'!$B$2:$D$15,3,0)*tbl_Data_old[[#This Row],[Sum of Annuals]],"")</f>
        <v>2.1497404104892142</v>
      </c>
      <c r="AX376" s="4">
        <f>tbl_Data_old[[#This Row],[per unit IRA tax ($)]]/tbl_Data_old[[#This Row],[kWh Savings]]*tbl_Data_old[[#This Row],[Sum of Annuals]]</f>
        <v>0</v>
      </c>
      <c r="AY376" s="4">
        <f>tbl_Data_old[[#This Row],[Avoided Costs ($/unit)]]/tbl_Data_old[[#This Row],[kWh Savings]]*tbl_Data_old[[#This Row],[Sum of Annuals]]</f>
        <v>28.889545539352859</v>
      </c>
      <c r="AZ376" s="4">
        <f>tbl_Data_old[[#This Row],[Lost Revenue ($/unit)]]/tbl_Data_old[[#This Row],[kWh Savings]]*tbl_Data_old[[#This Row],[Sum of Annuals]]</f>
        <v>64.096478154363467</v>
      </c>
      <c r="BA376" s="4">
        <f>tbl_Data_old[[#This Row],[Incremental Cost ($/unit)]]/tbl_Data_old[[#This Row],[kWh Savings]]*tbl_Data_old[[#This Row],[Sum of Annuals]]</f>
        <v>24.586828447456433</v>
      </c>
      <c r="BB376">
        <f>ROUNDUP(tbl_Data_old[[#This Row],[Adjusted 2025]]/$L376,0)</f>
        <v>1</v>
      </c>
      <c r="BC376">
        <f>ROUNDUP(tbl_Data_old[[#This Row],[Adjusted 2026]]/$L376,0)</f>
        <v>1</v>
      </c>
      <c r="BD376">
        <f>ROUNDUP(tbl_Data_old[[#This Row],[Adjusted 2027]]/$L376,0)</f>
        <v>1</v>
      </c>
      <c r="BE376">
        <f>ROUNDUP(tbl_Data_old[[#This Row],[Adjusted 2028]]/$L376,0)</f>
        <v>1</v>
      </c>
      <c r="BF376">
        <f>ROUNDUP(tbl_Data_old[[#This Row],[Adjusted 2029]]/$L376,0)</f>
        <v>1</v>
      </c>
      <c r="BG376">
        <f>ROUNDUP(tbl_Data_old[[#This Row],[Adjusted 2030]]/$L376,0)</f>
        <v>1</v>
      </c>
      <c r="BH376">
        <f>ROUNDUP(tbl_Data_old[[#This Row],[Adjusted 2031]]/$L376,0)</f>
        <v>1</v>
      </c>
      <c r="BI376">
        <f>ROUNDUP(tbl_Data_old[[#This Row],[Adjusted 2032]]/$L376,0)</f>
        <v>1</v>
      </c>
      <c r="BJ376">
        <f>ROUNDUP(tbl_Data_old[[#This Row],[Adjusted 2033]]/$L376,0)</f>
        <v>1</v>
      </c>
      <c r="BK376">
        <f>ROUNDUP(tbl_Data_old[[#This Row],[Adjusted 2034]]/$L376,0)</f>
        <v>1</v>
      </c>
      <c r="BL376" s="3">
        <f t="shared" si="25"/>
        <v>0.12295986093211858</v>
      </c>
      <c r="BM376" s="3">
        <f t="shared" si="25"/>
        <v>0.13359554162371132</v>
      </c>
      <c r="BN376" s="3">
        <f t="shared" si="25"/>
        <v>0.14214062753669046</v>
      </c>
      <c r="BO376" s="3">
        <f t="shared" si="25"/>
        <v>0.14931139152185977</v>
      </c>
      <c r="BP376" s="3">
        <f t="shared" si="25"/>
        <v>0.15504652796818527</v>
      </c>
      <c r="BQ376" s="3">
        <f t="shared" si="25"/>
        <v>0.15946141341536368</v>
      </c>
      <c r="BR376" s="3">
        <f t="shared" si="25"/>
        <v>0.16266053799736993</v>
      </c>
      <c r="BS376" s="3">
        <f t="shared" si="25"/>
        <v>0.16515232458058612</v>
      </c>
      <c r="BT376" s="3">
        <f t="shared" si="25"/>
        <v>0.16727506540394732</v>
      </c>
      <c r="BU376" s="3">
        <f t="shared" si="25"/>
        <v>0.16875584700187843</v>
      </c>
      <c r="BV376">
        <f>VLOOKUP($H376,'1. Set Program Names'!$B$2:$D$15,3,0)*V376</f>
        <v>0.29006059352119223</v>
      </c>
      <c r="BW376">
        <f>VLOOKUP($H376,'1. Set Program Names'!$B$2:$D$15,3,0)*W376</f>
        <v>0.31515001563438394</v>
      </c>
      <c r="BX376">
        <f>VLOOKUP($H376,'1. Set Program Names'!$B$2:$D$15,3,0)*X376</f>
        <v>0.3353077538817999</v>
      </c>
      <c r="BY376">
        <f>VLOOKUP($H376,'1. Set Program Names'!$B$2:$D$15,3,0)*Y376</f>
        <v>0.35222348590826058</v>
      </c>
      <c r="BZ376">
        <f>VLOOKUP($H376,'1. Set Program Names'!$B$2:$D$15,3,0)*Z376</f>
        <v>0.36575259263410975</v>
      </c>
      <c r="CA376">
        <f>VLOOKUP($H376,'1. Set Program Names'!$B$2:$D$15,3,0)*AA376</f>
        <v>0.3761672457040543</v>
      </c>
      <c r="CB376">
        <f>VLOOKUP($H376,'1. Set Program Names'!$B$2:$D$15,3,0)*AB376</f>
        <v>0.38371393588384595</v>
      </c>
      <c r="CC376">
        <f>VLOOKUP($H376,'1. Set Program Names'!$B$2:$D$15,3,0)*AC376</f>
        <v>0.38959202560984885</v>
      </c>
      <c r="CD376">
        <f>VLOOKUP($H376,'1. Set Program Names'!$B$2:$D$15,3,0)*AD376</f>
        <v>0.39459954154592924</v>
      </c>
      <c r="CE376">
        <f>VLOOKUP($H376,'1. Set Program Names'!$B$2:$D$15,3,0)*AE376</f>
        <v>0.39809268464088021</v>
      </c>
    </row>
    <row r="377" spans="1:83" x14ac:dyDescent="0.25">
      <c r="A377" s="20" t="s">
        <v>116</v>
      </c>
      <c r="B377" s="20" t="s">
        <v>88</v>
      </c>
      <c r="C377" s="20" t="s">
        <v>122</v>
      </c>
      <c r="D377" s="20" t="s">
        <v>90</v>
      </c>
      <c r="E377" s="20" t="s">
        <v>91</v>
      </c>
      <c r="F377" s="20" t="s">
        <v>90</v>
      </c>
      <c r="G377" s="20" t="s">
        <v>92</v>
      </c>
      <c r="H377" s="20" t="s">
        <v>16</v>
      </c>
      <c r="I377" s="20" t="s">
        <v>165</v>
      </c>
      <c r="J377" s="20" t="s">
        <v>161</v>
      </c>
      <c r="K377" s="20" t="s">
        <v>166</v>
      </c>
      <c r="L377" s="20">
        <v>510.6</v>
      </c>
      <c r="M377" s="20">
        <v>6.2552429943266097E-2</v>
      </c>
      <c r="N377" s="20">
        <v>6.4361142955417797E-2</v>
      </c>
      <c r="O377" s="20">
        <v>129</v>
      </c>
      <c r="P377" s="20">
        <v>26.468747947944401</v>
      </c>
      <c r="Q377" s="20">
        <v>18.5998954178316</v>
      </c>
      <c r="R377" s="20">
        <v>174.74401692254699</v>
      </c>
      <c r="S377" s="20">
        <v>419.99719394182398</v>
      </c>
      <c r="T377" s="20">
        <v>10</v>
      </c>
      <c r="U377" s="20">
        <v>0.59999999999999898</v>
      </c>
      <c r="V377" s="20">
        <v>3.0309367607522701</v>
      </c>
      <c r="W377" s="20">
        <v>4.1567595852059096</v>
      </c>
      <c r="X377" s="20">
        <v>5.5293905879441798</v>
      </c>
      <c r="Y377" s="20">
        <v>7.1319224977227398</v>
      </c>
      <c r="Z377" s="20">
        <v>8.8338794231125792</v>
      </c>
      <c r="AA377" s="20">
        <v>10.371364297485099</v>
      </c>
      <c r="AB377" s="20">
        <v>11.4005861076709</v>
      </c>
      <c r="AC377" s="20">
        <v>11.597881574612501</v>
      </c>
      <c r="AD377" s="20">
        <v>10.7972713346623</v>
      </c>
      <c r="AE377" s="20">
        <v>9.1587125944171799</v>
      </c>
      <c r="AF377" t="str">
        <f t="shared" si="22"/>
        <v>NonResidential</v>
      </c>
      <c r="AG377" t="str">
        <f>tbl_Data_old[[#This Row],[All_Meas_Name_Append]]</f>
        <v>Occupancy Sensors_ Ceiling Mounted</v>
      </c>
      <c r="AH377">
        <f>AVERAGEIFS('3. Incentive Adjustment'!G:G,'3. Incentive Adjustment'!A:A,tbl_Data_old[[#This Row],[Trimmed Sector]],'3. Incentive Adjustment'!B:B,tbl_Data_old[[#This Row],[Trimmed Measure Name]])</f>
        <v>0.99348124042467356</v>
      </c>
      <c r="AI377">
        <f>$AH377*tbl_Data_old[[#This Row],[2025 ]]</f>
        <v>3.0111788127209076</v>
      </c>
      <c r="AJ377">
        <f>$AH377*tbl_Data_old[[#This Row],[2026 ]]</f>
        <v>4.1296626688575184</v>
      </c>
      <c r="AK377">
        <f>$AH377*tbl_Data_old[[#This Row],[2027 ]]</f>
        <v>5.4933458201032987</v>
      </c>
      <c r="AL377">
        <f>$AH377*tbl_Data_old[[#This Row],[2028 ]]</f>
        <v>7.0854312096502232</v>
      </c>
      <c r="AM377">
        <f>$AH377*tbl_Data_old[[#This Row],[2029 ]]</f>
        <v>8.7762934870358844</v>
      </c>
      <c r="AN377">
        <f>$AH377*tbl_Data_old[[#This Row],[2030 ]]</f>
        <v>10.303755867161669</v>
      </c>
      <c r="AO377">
        <f>$AH377*tbl_Data_old[[#This Row],[2031 ]]</f>
        <v>11.326268427817187</v>
      </c>
      <c r="AP377">
        <f>$AH377*tbl_Data_old[[#This Row],[2032 ]]</f>
        <v>11.522277773044493</v>
      </c>
      <c r="AQ377">
        <f>$AH377*tbl_Data_old[[#This Row],[2033 ]]</f>
        <v>10.726886518762072</v>
      </c>
      <c r="AR377">
        <f>$AH377*tbl_Data_old[[#This Row],[2034 ]]</f>
        <v>9.0990091489946607</v>
      </c>
      <c r="AS377">
        <f>SUM(tbl_Data_old[[#This Row],[Adjusted 2025]:[Adjusted 2034]])</f>
        <v>81.474109734147902</v>
      </c>
      <c r="AT377" s="3">
        <f>AVERAGEIFS('3. Incentive Adjustment'!F:F,'3. Incentive Adjustment'!A:A,tbl_Data_old[[#This Row],[Trimmed Sector]],'3. Incentive Adjustment'!B:B,tbl_Data_old[[#This Row],[Trimmed Measure Name]])</f>
        <v>19.547634357270656</v>
      </c>
      <c r="AU377" s="3">
        <f>IFERROR(VLOOKUP(tbl_Data_old[[#This Row],[All_Meas_Name_Append]],'IRA Tax Credits'!$A$3:$D$46,4,0),0)</f>
        <v>0</v>
      </c>
      <c r="AV377" s="4">
        <f>tbl_Data_old[[#This Row],[Adj. per unit Incentive ($)]]/tbl_Data_old[[#This Row],[kWh Savings]]*tbl_Data_old[[#This Row],[Sum of Annuals]]</f>
        <v>3.1191267267279068</v>
      </c>
      <c r="AW377" s="4">
        <f>IFERROR(VLOOKUP(tbl_Data_old[[#This Row],[All_Programs]],'1. Set Program Names'!$B$2:$D$15,3,0)*tbl_Data_old[[#This Row],[Sum of Annuals]],"")</f>
        <v>2.9679003531454957</v>
      </c>
      <c r="AX377" s="4">
        <f>tbl_Data_old[[#This Row],[per unit IRA tax ($)]]/tbl_Data_old[[#This Row],[kWh Savings]]*tbl_Data_old[[#This Row],[Sum of Annuals]]</f>
        <v>0</v>
      </c>
      <c r="AY377" s="4">
        <f>tbl_Data_old[[#This Row],[Avoided Costs ($/unit)]]/tbl_Data_old[[#This Row],[kWh Savings]]*tbl_Data_old[[#This Row],[Sum of Annuals]]</f>
        <v>27.883104602689759</v>
      </c>
      <c r="AZ377" s="4">
        <f>tbl_Data_old[[#This Row],[Lost Revenue ($/unit)]]/tbl_Data_old[[#This Row],[kWh Savings]]*tbl_Data_old[[#This Row],[Sum of Annuals]]</f>
        <v>67.017033817568276</v>
      </c>
      <c r="BA377" s="4">
        <f>tbl_Data_old[[#This Row],[Incremental Cost ($/unit)]]/tbl_Data_old[[#This Row],[kWh Savings]]*tbl_Data_old[[#This Row],[Sum of Annuals]]</f>
        <v>20.583940767146647</v>
      </c>
      <c r="BB377">
        <f>ROUNDUP(tbl_Data_old[[#This Row],[Adjusted 2025]]/$L377,0)</f>
        <v>1</v>
      </c>
      <c r="BC377">
        <f>ROUNDUP(tbl_Data_old[[#This Row],[Adjusted 2026]]/$L377,0)</f>
        <v>1</v>
      </c>
      <c r="BD377">
        <f>ROUNDUP(tbl_Data_old[[#This Row],[Adjusted 2027]]/$L377,0)</f>
        <v>1</v>
      </c>
      <c r="BE377">
        <f>ROUNDUP(tbl_Data_old[[#This Row],[Adjusted 2028]]/$L377,0)</f>
        <v>1</v>
      </c>
      <c r="BF377">
        <f>ROUNDUP(tbl_Data_old[[#This Row],[Adjusted 2029]]/$L377,0)</f>
        <v>1</v>
      </c>
      <c r="BG377">
        <f>ROUNDUP(tbl_Data_old[[#This Row],[Adjusted 2030]]/$L377,0)</f>
        <v>1</v>
      </c>
      <c r="BH377">
        <f>ROUNDUP(tbl_Data_old[[#This Row],[Adjusted 2031]]/$L377,0)</f>
        <v>1</v>
      </c>
      <c r="BI377">
        <f>ROUNDUP(tbl_Data_old[[#This Row],[Adjusted 2032]]/$L377,0)</f>
        <v>1</v>
      </c>
      <c r="BJ377">
        <f>ROUNDUP(tbl_Data_old[[#This Row],[Adjusted 2033]]/$L377,0)</f>
        <v>1</v>
      </c>
      <c r="BK377">
        <f>ROUNDUP(tbl_Data_old[[#This Row],[Adjusted 2034]]/$L377,0)</f>
        <v>1</v>
      </c>
      <c r="BL377" s="3">
        <f t="shared" si="25"/>
        <v>0.11603533795377147</v>
      </c>
      <c r="BM377" s="3">
        <f t="shared" si="25"/>
        <v>0.15913595080823573</v>
      </c>
      <c r="BN377" s="3">
        <f t="shared" si="25"/>
        <v>0.21168528286656219</v>
      </c>
      <c r="BO377" s="3">
        <f t="shared" si="25"/>
        <v>0.27303606198565722</v>
      </c>
      <c r="BP377" s="3">
        <f t="shared" si="25"/>
        <v>0.33819319412303517</v>
      </c>
      <c r="BQ377" s="3">
        <f t="shared" si="25"/>
        <v>0.39705373496531526</v>
      </c>
      <c r="BR377" s="3">
        <f t="shared" si="25"/>
        <v>0.43645610789528055</v>
      </c>
      <c r="BS377" s="3">
        <f t="shared" si="25"/>
        <v>0.44400929952889079</v>
      </c>
      <c r="BT377" s="3">
        <f t="shared" si="25"/>
        <v>0.41335901313399603</v>
      </c>
      <c r="BU377" s="3">
        <f t="shared" si="25"/>
        <v>0.35062899525851299</v>
      </c>
      <c r="BV377">
        <f>VLOOKUP($H377,'1. Set Program Names'!$B$2:$D$15,3,0)*V377</f>
        <v>0.11040953146896521</v>
      </c>
      <c r="BW377">
        <f>VLOOKUP($H377,'1. Set Program Names'!$B$2:$D$15,3,0)*W377</f>
        <v>0.15142047309420126</v>
      </c>
      <c r="BX377">
        <f>VLOOKUP($H377,'1. Set Program Names'!$B$2:$D$15,3,0)*X377</f>
        <v>0.20142202636134815</v>
      </c>
      <c r="BY377">
        <f>VLOOKUP($H377,'1. Set Program Names'!$B$2:$D$15,3,0)*Y377</f>
        <v>0.25979830118629771</v>
      </c>
      <c r="BZ377">
        <f>VLOOKUP($H377,'1. Set Program Names'!$B$2:$D$15,3,0)*Z377</f>
        <v>0.32179638347753409</v>
      </c>
      <c r="CA377">
        <f>VLOOKUP($H377,'1. Set Program Names'!$B$2:$D$15,3,0)*AA377</f>
        <v>0.37780315564719119</v>
      </c>
      <c r="CB377">
        <f>VLOOKUP($H377,'1. Set Program Names'!$B$2:$D$15,3,0)*AB377</f>
        <v>0.41529516119205462</v>
      </c>
      <c r="CC377">
        <f>VLOOKUP($H377,'1. Set Program Names'!$B$2:$D$15,3,0)*AC377</f>
        <v>0.42248214719190974</v>
      </c>
      <c r="CD377">
        <f>VLOOKUP($H377,'1. Set Program Names'!$B$2:$D$15,3,0)*AD377</f>
        <v>0.39331789585325161</v>
      </c>
      <c r="CE377">
        <f>VLOOKUP($H377,'1. Set Program Names'!$B$2:$D$15,3,0)*AE377</f>
        <v>0.33362925267946941</v>
      </c>
    </row>
    <row r="378" spans="1:83" x14ac:dyDescent="0.25">
      <c r="A378" s="20" t="s">
        <v>116</v>
      </c>
      <c r="B378" s="20" t="s">
        <v>88</v>
      </c>
      <c r="C378" s="20" t="s">
        <v>122</v>
      </c>
      <c r="D378" s="20" t="s">
        <v>90</v>
      </c>
      <c r="E378" s="20" t="s">
        <v>91</v>
      </c>
      <c r="F378" s="20" t="s">
        <v>90</v>
      </c>
      <c r="G378" s="20" t="s">
        <v>92</v>
      </c>
      <c r="H378" s="20" t="s">
        <v>16</v>
      </c>
      <c r="I378" s="20" t="s">
        <v>167</v>
      </c>
      <c r="J378" s="20" t="s">
        <v>124</v>
      </c>
      <c r="K378" s="20" t="s">
        <v>98</v>
      </c>
      <c r="L378" s="20">
        <v>151.66</v>
      </c>
      <c r="M378" s="20">
        <v>2.2013191527321101E-2</v>
      </c>
      <c r="N378" s="20">
        <v>1.95296013954902E-2</v>
      </c>
      <c r="O378" s="20">
        <v>56.6</v>
      </c>
      <c r="P378" s="20">
        <v>25.402483751835899</v>
      </c>
      <c r="Q378" s="20">
        <v>5.5245987839176403</v>
      </c>
      <c r="R378" s="20">
        <v>70.564478576335205</v>
      </c>
      <c r="S378" s="20">
        <v>171.417444155428</v>
      </c>
      <c r="T378" s="20">
        <v>16</v>
      </c>
      <c r="U378" s="20">
        <v>0.6</v>
      </c>
      <c r="V378" s="20">
        <v>0.38506045411207002</v>
      </c>
      <c r="W378" s="20">
        <v>0.52369569937762706</v>
      </c>
      <c r="X378" s="20">
        <v>0.67655866326113101</v>
      </c>
      <c r="Y378" s="20">
        <v>0.83530883552132595</v>
      </c>
      <c r="Z378" s="20">
        <v>0.98611788927494604</v>
      </c>
      <c r="AA378" s="20">
        <v>1.1181665380660699</v>
      </c>
      <c r="AB378" s="20">
        <v>1.2238496258976499</v>
      </c>
      <c r="AC378" s="20">
        <v>1.3053633399353799</v>
      </c>
      <c r="AD378" s="20">
        <v>1.3693699369005601</v>
      </c>
      <c r="AE378" s="20">
        <v>1.4171156838146901</v>
      </c>
      <c r="AF378" t="str">
        <f t="shared" si="22"/>
        <v>NonResidential</v>
      </c>
      <c r="AG378" t="str">
        <f>tbl_Data_old[[#This Row],[All_Meas_Name_Append]]</f>
        <v>Refrigerated Display Case LED Lighting</v>
      </c>
      <c r="AH378">
        <f>AVERAGEIFS('3. Incentive Adjustment'!G:G,'3. Incentive Adjustment'!A:A,tbl_Data_old[[#This Row],[Trimmed Sector]],'3. Incentive Adjustment'!B:B,tbl_Data_old[[#This Row],[Trimmed Measure Name]])</f>
        <v>0.72450810749703154</v>
      </c>
      <c r="AI378">
        <f>$AH378*tbl_Data_old[[#This Row],[2025 ]]</f>
        <v>0.27897942088068339</v>
      </c>
      <c r="AJ378">
        <f>$AH378*tbl_Data_old[[#This Row],[2026 ]]</f>
        <v>0.37942178006041893</v>
      </c>
      <c r="AK378">
        <f>$AH378*tbl_Data_old[[#This Row],[2027 ]]</f>
        <v>0.49017223673004345</v>
      </c>
      <c r="AL378">
        <f>$AH378*tbl_Data_old[[#This Row],[2028 ]]</f>
        <v>0.60518802359910506</v>
      </c>
      <c r="AM378">
        <f>$AH378*tbl_Data_old[[#This Row],[2029 ]]</f>
        <v>0.71445040572755847</v>
      </c>
      <c r="AN378">
        <f>$AH378*tbl_Data_old[[#This Row],[2030 ]]</f>
        <v>0.81012072236075583</v>
      </c>
      <c r="AO378">
        <f>$AH378*tbl_Data_old[[#This Row],[2031 ]]</f>
        <v>0.88668897632005639</v>
      </c>
      <c r="AP378">
        <f>$AH378*tbl_Data_old[[#This Row],[2032 ]]</f>
        <v>0.94574632301258632</v>
      </c>
      <c r="AQ378">
        <f>$AH378*tbl_Data_old[[#This Row],[2033 ]]</f>
        <v>0.99211962144715427</v>
      </c>
      <c r="AR378">
        <f>$AH378*tbl_Data_old[[#This Row],[2034 ]]</f>
        <v>1.0267118021849428</v>
      </c>
      <c r="AS378">
        <f>SUM(tbl_Data_old[[#This Row],[Adjusted 2025]:[Adjusted 2034]])</f>
        <v>7.1295993123233048</v>
      </c>
      <c r="AT378" s="3">
        <f>AVERAGEIFS('3. Incentive Adjustment'!F:F,'3. Incentive Adjustment'!A:A,tbl_Data_old[[#This Row],[Trimmed Sector]],'3. Incentive Adjustment'!B:B,tbl_Data_old[[#This Row],[Trimmed Measure Name]])</f>
        <v>6.879122352287844</v>
      </c>
      <c r="AU378" s="3">
        <f>IFERROR(VLOOKUP(tbl_Data_old[[#This Row],[All_Meas_Name_Append]],'IRA Tax Credits'!$A$3:$D$46,4,0),0)</f>
        <v>0</v>
      </c>
      <c r="AV378" s="4">
        <f>tbl_Data_old[[#This Row],[Adj. per unit Incentive ($)]]/tbl_Data_old[[#This Row],[kWh Savings]]*tbl_Data_old[[#This Row],[Sum of Annuals]]</f>
        <v>0.32339038633957068</v>
      </c>
      <c r="AW378" s="4">
        <f>IFERROR(VLOOKUP(tbl_Data_old[[#This Row],[All_Programs]],'1. Set Program Names'!$B$2:$D$15,3,0)*tbl_Data_old[[#This Row],[Sum of Annuals]],"")</f>
        <v>0.25971367328683487</v>
      </c>
      <c r="AX378" s="4">
        <f>tbl_Data_old[[#This Row],[per unit IRA tax ($)]]/tbl_Data_old[[#This Row],[kWh Savings]]*tbl_Data_old[[#This Row],[Sum of Annuals]]</f>
        <v>0</v>
      </c>
      <c r="AY378" s="4">
        <f>tbl_Data_old[[#This Row],[Avoided Costs ($/unit)]]/tbl_Data_old[[#This Row],[kWh Savings]]*tbl_Data_old[[#This Row],[Sum of Annuals]]</f>
        <v>3.3172653167103525</v>
      </c>
      <c r="AZ378" s="4">
        <f>tbl_Data_old[[#This Row],[Lost Revenue ($/unit)]]/tbl_Data_old[[#This Row],[kWh Savings]]*tbl_Data_old[[#This Row],[Sum of Annuals]]</f>
        <v>8.0584049318921132</v>
      </c>
      <c r="BA378" s="4">
        <f>tbl_Data_old[[#This Row],[Incremental Cost ($/unit)]]/tbl_Data_old[[#This Row],[kWh Savings]]*tbl_Data_old[[#This Row],[Sum of Annuals]]</f>
        <v>2.6607894044408482</v>
      </c>
      <c r="BB378">
        <f>ROUNDUP(tbl_Data_old[[#This Row],[Adjusted 2025]]/$L378,0)</f>
        <v>1</v>
      </c>
      <c r="BC378">
        <f>ROUNDUP(tbl_Data_old[[#This Row],[Adjusted 2026]]/$L378,0)</f>
        <v>1</v>
      </c>
      <c r="BD378">
        <f>ROUNDUP(tbl_Data_old[[#This Row],[Adjusted 2027]]/$L378,0)</f>
        <v>1</v>
      </c>
      <c r="BE378">
        <f>ROUNDUP(tbl_Data_old[[#This Row],[Adjusted 2028]]/$L378,0)</f>
        <v>1</v>
      </c>
      <c r="BF378">
        <f>ROUNDUP(tbl_Data_old[[#This Row],[Adjusted 2029]]/$L378,0)</f>
        <v>1</v>
      </c>
      <c r="BG378">
        <f>ROUNDUP(tbl_Data_old[[#This Row],[Adjusted 2030]]/$L378,0)</f>
        <v>1</v>
      </c>
      <c r="BH378">
        <f>ROUNDUP(tbl_Data_old[[#This Row],[Adjusted 2031]]/$L378,0)</f>
        <v>1</v>
      </c>
      <c r="BI378">
        <f>ROUNDUP(tbl_Data_old[[#This Row],[Adjusted 2032]]/$L378,0)</f>
        <v>1</v>
      </c>
      <c r="BJ378">
        <f>ROUNDUP(tbl_Data_old[[#This Row],[Adjusted 2033]]/$L378,0)</f>
        <v>1</v>
      </c>
      <c r="BK378">
        <f>ROUNDUP(tbl_Data_old[[#This Row],[Adjusted 2034]]/$L378,0)</f>
        <v>1</v>
      </c>
      <c r="BL378" s="3">
        <f t="shared" si="25"/>
        <v>1.7465897249534807E-2</v>
      </c>
      <c r="BM378" s="3">
        <f t="shared" si="25"/>
        <v>2.3754231777565936E-2</v>
      </c>
      <c r="BN378" s="3">
        <f t="shared" si="25"/>
        <v>3.0687919181548406E-2</v>
      </c>
      <c r="BO378" s="3">
        <f t="shared" si="25"/>
        <v>3.7888643554650429E-2</v>
      </c>
      <c r="BP378" s="3">
        <f t="shared" si="25"/>
        <v>4.4729167968496575E-2</v>
      </c>
      <c r="BQ378" s="3">
        <f t="shared" si="25"/>
        <v>5.0718742091458643E-2</v>
      </c>
      <c r="BR378" s="3">
        <f t="shared" si="25"/>
        <v>5.5512404835498082E-2</v>
      </c>
      <c r="BS378" s="3">
        <f t="shared" si="25"/>
        <v>5.9209772712690144E-2</v>
      </c>
      <c r="BT378" s="3">
        <f t="shared" si="25"/>
        <v>6.2113037989474075E-2</v>
      </c>
      <c r="BU378" s="3">
        <f t="shared" si="25"/>
        <v>6.4278729897845888E-2</v>
      </c>
      <c r="BV378">
        <f>VLOOKUP($H378,'1. Set Program Names'!$B$2:$D$15,3,0)*V378</f>
        <v>1.4026800188067496E-2</v>
      </c>
      <c r="BW378">
        <f>VLOOKUP($H378,'1. Set Program Names'!$B$2:$D$15,3,0)*W378</f>
        <v>1.9076939363870081E-2</v>
      </c>
      <c r="BX378">
        <f>VLOOKUP($H378,'1. Set Program Names'!$B$2:$D$15,3,0)*X378</f>
        <v>2.4645359147444208E-2</v>
      </c>
      <c r="BY378">
        <f>VLOOKUP($H378,'1. Set Program Names'!$B$2:$D$15,3,0)*Y378</f>
        <v>3.0428235374632583E-2</v>
      </c>
      <c r="BZ378">
        <f>VLOOKUP($H378,'1. Set Program Names'!$B$2:$D$15,3,0)*Z378</f>
        <v>3.5921836290965299E-2</v>
      </c>
      <c r="CA378">
        <f>VLOOKUP($H378,'1. Set Program Names'!$B$2:$D$15,3,0)*AA378</f>
        <v>4.0732042044159353E-2</v>
      </c>
      <c r="CB378">
        <f>VLOOKUP($H378,'1. Set Program Names'!$B$2:$D$15,3,0)*AB378</f>
        <v>4.4581815606832491E-2</v>
      </c>
      <c r="CC378">
        <f>VLOOKUP($H378,'1. Set Program Names'!$B$2:$D$15,3,0)*AC378</f>
        <v>4.7551158646826248E-2</v>
      </c>
      <c r="CD378">
        <f>VLOOKUP($H378,'1. Set Program Names'!$B$2:$D$15,3,0)*AD378</f>
        <v>4.9882760702454239E-2</v>
      </c>
      <c r="CE378">
        <f>VLOOKUP($H378,'1. Set Program Names'!$B$2:$D$15,3,0)*AE378</f>
        <v>5.1622020199612637E-2</v>
      </c>
    </row>
    <row r="379" spans="1:83" x14ac:dyDescent="0.25">
      <c r="A379" s="20" t="s">
        <v>117</v>
      </c>
      <c r="B379" s="20" t="s">
        <v>88</v>
      </c>
      <c r="C379" s="20" t="s">
        <v>122</v>
      </c>
      <c r="D379" s="20" t="s">
        <v>90</v>
      </c>
      <c r="E379" s="20" t="s">
        <v>91</v>
      </c>
      <c r="F379" s="20" t="s">
        <v>90</v>
      </c>
      <c r="G379" s="20" t="s">
        <v>92</v>
      </c>
      <c r="H379" s="20" t="s">
        <v>16</v>
      </c>
      <c r="I379" s="20" t="s">
        <v>157</v>
      </c>
      <c r="J379" s="20" t="s">
        <v>158</v>
      </c>
      <c r="K379" s="20" t="s">
        <v>159</v>
      </c>
      <c r="L379" s="20">
        <v>562.52</v>
      </c>
      <c r="M379" s="20">
        <v>0</v>
      </c>
      <c r="N379" s="20">
        <v>2.7796637938074201E-2</v>
      </c>
      <c r="O379" s="20">
        <v>169</v>
      </c>
      <c r="P379" s="20">
        <v>53.285725702774101</v>
      </c>
      <c r="Q379" s="20">
        <v>20.491212633056499</v>
      </c>
      <c r="R379" s="20">
        <v>275.373630058213</v>
      </c>
      <c r="S379" s="20">
        <v>610.96426176974103</v>
      </c>
      <c r="T379" s="20">
        <v>15</v>
      </c>
      <c r="U379" s="20">
        <v>0.59999999999999898</v>
      </c>
      <c r="V379" s="20">
        <v>1.13247254854205E-2</v>
      </c>
      <c r="W379" s="20">
        <v>2.36597216751958E-2</v>
      </c>
      <c r="X379" s="20">
        <v>3.6792498980155297E-2</v>
      </c>
      <c r="Y379" s="20">
        <v>5.0593283589732502E-2</v>
      </c>
      <c r="Z379" s="20">
        <v>6.4935308609017903E-2</v>
      </c>
      <c r="AA379" s="20">
        <v>7.9693172457492203E-2</v>
      </c>
      <c r="AB379" s="20">
        <v>9.4760278094020906E-2</v>
      </c>
      <c r="AC379" s="20">
        <v>0.110075098816421</v>
      </c>
      <c r="AD379" s="20">
        <v>0.125595280231976</v>
      </c>
      <c r="AE379" s="20">
        <v>0.14126567072619201</v>
      </c>
      <c r="AF379" t="str">
        <f t="shared" si="22"/>
        <v>NonResidential</v>
      </c>
      <c r="AG379" t="str">
        <f>tbl_Data_old[[#This Row],[All_Meas_Name_Append]]</f>
        <v>LED Exterior Wall Packs</v>
      </c>
      <c r="AH379">
        <f>AVERAGEIFS('3. Incentive Adjustment'!G:G,'3. Incentive Adjustment'!A:A,tbl_Data_old[[#This Row],[Trimmed Sector]],'3. Incentive Adjustment'!B:B,tbl_Data_old[[#This Row],[Trimmed Measure Name]])</f>
        <v>0.80637708305213962</v>
      </c>
      <c r="AI379">
        <f>$AH379*tbl_Data_old[[#This Row],[2025 ]]</f>
        <v>9.1319991032996085E-3</v>
      </c>
      <c r="AJ379">
        <f>$AH379*tbl_Data_old[[#This Row],[2026 ]]</f>
        <v>1.9078657350269871E-2</v>
      </c>
      <c r="AK379">
        <f>$AH379*tbl_Data_old[[#This Row],[2027 ]]</f>
        <v>2.966862800581645E-2</v>
      </c>
      <c r="AL379">
        <f>$AH379*tbl_Data_old[[#This Row],[2028 ]]</f>
        <v>4.0797264443118181E-2</v>
      </c>
      <c r="AM379">
        <f>$AH379*tbl_Data_old[[#This Row],[2029 ]]</f>
        <v>5.2362344743230343E-2</v>
      </c>
      <c r="AN379">
        <f>$AH379*tbl_Data_old[[#This Row],[2030 ]]</f>
        <v>6.4262747945443677E-2</v>
      </c>
      <c r="AO379">
        <f>$AH379*tbl_Data_old[[#This Row],[2031 ]]</f>
        <v>7.6412516638666148E-2</v>
      </c>
      <c r="AP379">
        <f>$AH379*tbl_Data_old[[#This Row],[2032 ]]</f>
        <v>8.8762037100261593E-2</v>
      </c>
      <c r="AQ379">
        <f>$AH379*tbl_Data_old[[#This Row],[2033 ]]</f>
        <v>0.10127715571857686</v>
      </c>
      <c r="AR379">
        <f>$AH379*tbl_Data_old[[#This Row],[2034 ]]</f>
        <v>0.11391339949559073</v>
      </c>
      <c r="AS379">
        <f>SUM(tbl_Data_old[[#This Row],[Adjusted 2025]:[Adjusted 2034]])</f>
        <v>0.59566675054427354</v>
      </c>
      <c r="AT379" s="3">
        <f>AVERAGEIFS('3. Incentive Adjustment'!F:F,'3. Incentive Adjustment'!A:A,tbl_Data_old[[#This Row],[Trimmed Sector]],'3. Incentive Adjustment'!B:B,tbl_Data_old[[#This Row],[Trimmed Measure Name]])</f>
        <v>8.6864493556481861</v>
      </c>
      <c r="AU379" s="3">
        <f>IFERROR(VLOOKUP(tbl_Data_old[[#This Row],[All_Meas_Name_Append]],'IRA Tax Credits'!$A$3:$D$46,4,0),0)</f>
        <v>0</v>
      </c>
      <c r="AV379" s="4">
        <f>tbl_Data_old[[#This Row],[Adj. per unit Incentive ($)]]/tbl_Data_old[[#This Row],[kWh Savings]]*tbl_Data_old[[#This Row],[Sum of Annuals]]</f>
        <v>9.1983023918195857E-3</v>
      </c>
      <c r="AW379" s="4">
        <f>IFERROR(VLOOKUP(tbl_Data_old[[#This Row],[All_Programs]],'1. Set Program Names'!$B$2:$D$15,3,0)*tbl_Data_old[[#This Row],[Sum of Annuals]],"")</f>
        <v>2.1698666792015469E-2</v>
      </c>
      <c r="AX379" s="4">
        <f>tbl_Data_old[[#This Row],[per unit IRA tax ($)]]/tbl_Data_old[[#This Row],[kWh Savings]]*tbl_Data_old[[#This Row],[Sum of Annuals]]</f>
        <v>0</v>
      </c>
      <c r="AY379" s="4">
        <f>tbl_Data_old[[#This Row],[Avoided Costs ($/unit)]]/tbl_Data_old[[#This Row],[kWh Savings]]*tbl_Data_old[[#This Row],[Sum of Annuals]]</f>
        <v>0.29160014826558456</v>
      </c>
      <c r="AZ379" s="4">
        <f>tbl_Data_old[[#This Row],[Lost Revenue ($/unit)]]/tbl_Data_old[[#This Row],[kWh Savings]]*tbl_Data_old[[#This Row],[Sum of Annuals]]</f>
        <v>0.64696561279076759</v>
      </c>
      <c r="BA379" s="4">
        <f>tbl_Data_old[[#This Row],[Incremental Cost ($/unit)]]/tbl_Data_old[[#This Row],[kWh Savings]]*tbl_Data_old[[#This Row],[Sum of Annuals]]</f>
        <v>0.1789584029758626</v>
      </c>
      <c r="BB379">
        <f>ROUNDUP(tbl_Data_old[[#This Row],[Adjusted 2025]]/$L379,0)</f>
        <v>1</v>
      </c>
      <c r="BC379">
        <f>ROUNDUP(tbl_Data_old[[#This Row],[Adjusted 2026]]/$L379,0)</f>
        <v>1</v>
      </c>
      <c r="BD379">
        <f>ROUNDUP(tbl_Data_old[[#This Row],[Adjusted 2027]]/$L379,0)</f>
        <v>1</v>
      </c>
      <c r="BE379">
        <f>ROUNDUP(tbl_Data_old[[#This Row],[Adjusted 2028]]/$L379,0)</f>
        <v>1</v>
      </c>
      <c r="BF379">
        <f>ROUNDUP(tbl_Data_old[[#This Row],[Adjusted 2029]]/$L379,0)</f>
        <v>1</v>
      </c>
      <c r="BG379">
        <f>ROUNDUP(tbl_Data_old[[#This Row],[Adjusted 2030]]/$L379,0)</f>
        <v>1</v>
      </c>
      <c r="BH379">
        <f>ROUNDUP(tbl_Data_old[[#This Row],[Adjusted 2031]]/$L379,0)</f>
        <v>1</v>
      </c>
      <c r="BI379">
        <f>ROUNDUP(tbl_Data_old[[#This Row],[Adjusted 2032]]/$L379,0)</f>
        <v>1</v>
      </c>
      <c r="BJ379">
        <f>ROUNDUP(tbl_Data_old[[#This Row],[Adjusted 2033]]/$L379,0)</f>
        <v>1</v>
      </c>
      <c r="BK379">
        <f>ROUNDUP(tbl_Data_old[[#This Row],[Adjusted 2034]]/$L379,0)</f>
        <v>1</v>
      </c>
      <c r="BL379" s="3">
        <f t="shared" si="25"/>
        <v>1.7487672330890189E-4</v>
      </c>
      <c r="BM379" s="3">
        <f t="shared" si="25"/>
        <v>3.6535407470013505E-4</v>
      </c>
      <c r="BN379" s="3">
        <f t="shared" si="25"/>
        <v>5.6815078407675558E-4</v>
      </c>
      <c r="BO379" s="3">
        <f t="shared" si="25"/>
        <v>7.8126288067652315E-4</v>
      </c>
      <c r="BP379" s="3">
        <f t="shared" si="25"/>
        <v>1.002732826611711E-3</v>
      </c>
      <c r="BQ379" s="3">
        <f t="shared" si="25"/>
        <v>1.230624167217064E-3</v>
      </c>
      <c r="BR379" s="3">
        <f t="shared" si="25"/>
        <v>1.4632908280431821E-3</v>
      </c>
      <c r="BS379" s="3">
        <f t="shared" si="25"/>
        <v>1.6997827120579011E-3</v>
      </c>
      <c r="BT379" s="3">
        <f t="shared" si="25"/>
        <v>1.9394457815606579E-3</v>
      </c>
      <c r="BU379" s="3">
        <f t="shared" si="25"/>
        <v>2.1814283837992238E-3</v>
      </c>
      <c r="BV379">
        <f>VLOOKUP($H379,'1. Set Program Names'!$B$2:$D$15,3,0)*V379</f>
        <v>4.125317463072346E-4</v>
      </c>
      <c r="BW379">
        <f>VLOOKUP($H379,'1. Set Program Names'!$B$2:$D$15,3,0)*W379</f>
        <v>8.6186515623510847E-4</v>
      </c>
      <c r="BX379">
        <f>VLOOKUP($H379,'1. Set Program Names'!$B$2:$D$15,3,0)*X379</f>
        <v>1.3402597594821112E-3</v>
      </c>
      <c r="BY379">
        <f>VLOOKUP($H379,'1. Set Program Names'!$B$2:$D$15,3,0)*Y379</f>
        <v>1.8429882170264834E-3</v>
      </c>
      <c r="BZ379">
        <f>VLOOKUP($H379,'1. Set Program Names'!$B$2:$D$15,3,0)*Z379</f>
        <v>2.3654327243485228E-3</v>
      </c>
      <c r="CA379">
        <f>VLOOKUP($H379,'1. Set Program Names'!$B$2:$D$15,3,0)*AA379</f>
        <v>2.9030252119556918E-3</v>
      </c>
      <c r="CB379">
        <f>VLOOKUP($H379,'1. Set Program Names'!$B$2:$D$15,3,0)*AB379</f>
        <v>3.4518826132264625E-3</v>
      </c>
      <c r="CC379">
        <f>VLOOKUP($H379,'1. Set Program Names'!$B$2:$D$15,3,0)*AC379</f>
        <v>4.0097636625399807E-3</v>
      </c>
      <c r="CD379">
        <f>VLOOKUP($H379,'1. Set Program Names'!$B$2:$D$15,3,0)*AD379</f>
        <v>4.5751254941010806E-3</v>
      </c>
      <c r="CE379">
        <f>VLOOKUP($H379,'1. Set Program Names'!$B$2:$D$15,3,0)*AE379</f>
        <v>5.1459590709694719E-3</v>
      </c>
    </row>
    <row r="380" spans="1:83" x14ac:dyDescent="0.25">
      <c r="A380" s="20" t="s">
        <v>117</v>
      </c>
      <c r="B380" s="20" t="s">
        <v>88</v>
      </c>
      <c r="C380" s="20" t="s">
        <v>122</v>
      </c>
      <c r="D380" s="20" t="s">
        <v>90</v>
      </c>
      <c r="E380" s="20" t="s">
        <v>91</v>
      </c>
      <c r="F380" s="20" t="s">
        <v>90</v>
      </c>
      <c r="G380" s="20" t="s">
        <v>92</v>
      </c>
      <c r="H380" s="20" t="s">
        <v>16</v>
      </c>
      <c r="I380" s="20" t="s">
        <v>160</v>
      </c>
      <c r="J380" s="20" t="s">
        <v>161</v>
      </c>
      <c r="K380" s="20" t="s">
        <v>159</v>
      </c>
      <c r="L380" s="20">
        <v>698.53499999999997</v>
      </c>
      <c r="M380" s="20">
        <v>9.14911955902553E-2</v>
      </c>
      <c r="N380" s="20">
        <v>9.6647765821509996E-2</v>
      </c>
      <c r="O380" s="20">
        <v>179</v>
      </c>
      <c r="P380" s="20">
        <v>35.4245718525491</v>
      </c>
      <c r="Q380" s="20">
        <v>25.445902753025901</v>
      </c>
      <c r="R380" s="20">
        <v>291.28765455670799</v>
      </c>
      <c r="S380" s="20">
        <v>758.69288308917999</v>
      </c>
      <c r="T380" s="20">
        <v>15</v>
      </c>
      <c r="U380" s="20">
        <v>0.59999999999999898</v>
      </c>
      <c r="V380" s="20">
        <v>1.3662315356207599</v>
      </c>
      <c r="W380" s="20">
        <v>2.85331097601853</v>
      </c>
      <c r="X380" s="20">
        <v>4.4362737963738104</v>
      </c>
      <c r="Y380" s="20">
        <v>6.0995713934982696</v>
      </c>
      <c r="Z380" s="20">
        <v>7.8277269913823</v>
      </c>
      <c r="AA380" s="20">
        <v>9.6057398925801305</v>
      </c>
      <c r="AB380" s="20">
        <v>11.420569334471599</v>
      </c>
      <c r="AC380" s="20">
        <v>13.264670942254201</v>
      </c>
      <c r="AD380" s="20">
        <v>15.1332162578605</v>
      </c>
      <c r="AE380" s="20">
        <v>17.019418116727898</v>
      </c>
      <c r="AF380" t="str">
        <f t="shared" si="22"/>
        <v>NonResidential</v>
      </c>
      <c r="AG380" t="str">
        <f>tbl_Data_old[[#This Row],[All_Meas_Name_Append]]</f>
        <v>LED High Bay_HID Baseline</v>
      </c>
      <c r="AH380">
        <f>AVERAGEIFS('3. Incentive Adjustment'!G:G,'3. Incentive Adjustment'!A:A,tbl_Data_old[[#This Row],[Trimmed Sector]],'3. Incentive Adjustment'!B:B,tbl_Data_old[[#This Row],[Trimmed Measure Name]])</f>
        <v>1.0603846876879557</v>
      </c>
      <c r="AI380">
        <f>$AH380*tbl_Data_old[[#This Row],[2025 ]]</f>
        <v>1.4487310002086555</v>
      </c>
      <c r="AJ380">
        <f>$AH380*tbl_Data_old[[#This Row],[2026 ]]</f>
        <v>3.025607268182025</v>
      </c>
      <c r="AK380">
        <f>$AH380*tbl_Data_old[[#This Row],[2027 ]]</f>
        <v>4.7041568040661046</v>
      </c>
      <c r="AL380">
        <f>$AH380*tbl_Data_old[[#This Row],[2028 ]]</f>
        <v>6.467892107125051</v>
      </c>
      <c r="AM380">
        <f>$AH380*tbl_Data_old[[#This Row],[2029 ]]</f>
        <v>8.3004018410635005</v>
      </c>
      <c r="AN380">
        <f>$AH380*tbl_Data_old[[#This Row],[2030 ]]</f>
        <v>10.185779496005319</v>
      </c>
      <c r="AO380">
        <f>$AH380*tbl_Data_old[[#This Row],[2031 ]]</f>
        <v>12.110196846952311</v>
      </c>
      <c r="AP380">
        <f>$AH380*tbl_Data_old[[#This Row],[2032 ]]</f>
        <v>14.065653954385722</v>
      </c>
      <c r="AQ380">
        <f>$AH380*tbl_Data_old[[#This Row],[2033 ]]</f>
        <v>16.047030795305698</v>
      </c>
      <c r="AR380">
        <f>$AH380*tbl_Data_old[[#This Row],[2034 ]]</f>
        <v>18.047130364337246</v>
      </c>
      <c r="AS380">
        <f>SUM(tbl_Data_old[[#This Row],[Adjusted 2025]:[Adjusted 2034]])</f>
        <v>94.402580477631645</v>
      </c>
      <c r="AT380" s="3">
        <f>AVERAGEIFS('3. Incentive Adjustment'!F:F,'3. Incentive Adjustment'!A:A,tbl_Data_old[[#This Row],[Trimmed Sector]],'3. Incentive Adjustment'!B:B,tbl_Data_old[[#This Row],[Trimmed Measure Name]])</f>
        <v>28.590998621954778</v>
      </c>
      <c r="AU380" s="3">
        <f>IFERROR(VLOOKUP(tbl_Data_old[[#This Row],[All_Meas_Name_Append]],'IRA Tax Credits'!$A$3:$D$46,4,0),0)</f>
        <v>0</v>
      </c>
      <c r="AV380" s="4">
        <f>tbl_Data_old[[#This Row],[Adj. per unit Incentive ($)]]/tbl_Data_old[[#This Row],[kWh Savings]]*tbl_Data_old[[#This Row],[Sum of Annuals]]</f>
        <v>3.8638923580707356</v>
      </c>
      <c r="AW380" s="4">
        <f>IFERROR(VLOOKUP(tbl_Data_old[[#This Row],[All_Programs]],'1. Set Program Names'!$B$2:$D$15,3,0)*tbl_Data_old[[#This Row],[Sum of Annuals]],"")</f>
        <v>3.4388525735553932</v>
      </c>
      <c r="AX380" s="4">
        <f>tbl_Data_old[[#This Row],[per unit IRA tax ($)]]/tbl_Data_old[[#This Row],[kWh Savings]]*tbl_Data_old[[#This Row],[Sum of Annuals]]</f>
        <v>0</v>
      </c>
      <c r="AY380" s="4">
        <f>tbl_Data_old[[#This Row],[Avoided Costs ($/unit)]]/tbl_Data_old[[#This Row],[kWh Savings]]*tbl_Data_old[[#This Row],[Sum of Annuals]]</f>
        <v>39.365681392385774</v>
      </c>
      <c r="AZ380" s="4">
        <f>tbl_Data_old[[#This Row],[Lost Revenue ($/unit)]]/tbl_Data_old[[#This Row],[kWh Savings]]*tbl_Data_old[[#This Row],[Sum of Annuals]]</f>
        <v>102.53253731542829</v>
      </c>
      <c r="BA380" s="4">
        <f>tbl_Data_old[[#This Row],[Incremental Cost ($/unit)]]/tbl_Data_old[[#This Row],[kWh Savings]]*tbl_Data_old[[#This Row],[Sum of Annuals]]</f>
        <v>24.190716149507278</v>
      </c>
      <c r="BB380">
        <f>ROUNDUP(tbl_Data_old[[#This Row],[Adjusted 2025]]/$L380,0)</f>
        <v>1</v>
      </c>
      <c r="BC380">
        <f>ROUNDUP(tbl_Data_old[[#This Row],[Adjusted 2026]]/$L380,0)</f>
        <v>1</v>
      </c>
      <c r="BD380">
        <f>ROUNDUP(tbl_Data_old[[#This Row],[Adjusted 2027]]/$L380,0)</f>
        <v>1</v>
      </c>
      <c r="BE380">
        <f>ROUNDUP(tbl_Data_old[[#This Row],[Adjusted 2028]]/$L380,0)</f>
        <v>1</v>
      </c>
      <c r="BF380">
        <f>ROUNDUP(tbl_Data_old[[#This Row],[Adjusted 2029]]/$L380,0)</f>
        <v>1</v>
      </c>
      <c r="BG380">
        <f>ROUNDUP(tbl_Data_old[[#This Row],[Adjusted 2030]]/$L380,0)</f>
        <v>1</v>
      </c>
      <c r="BH380">
        <f>ROUNDUP(tbl_Data_old[[#This Row],[Adjusted 2031]]/$L380,0)</f>
        <v>1</v>
      </c>
      <c r="BI380">
        <f>ROUNDUP(tbl_Data_old[[#This Row],[Adjusted 2032]]/$L380,0)</f>
        <v>1</v>
      </c>
      <c r="BJ380">
        <f>ROUNDUP(tbl_Data_old[[#This Row],[Adjusted 2033]]/$L380,0)</f>
        <v>1</v>
      </c>
      <c r="BK380">
        <f>ROUNDUP(tbl_Data_old[[#This Row],[Adjusted 2034]]/$L380,0)</f>
        <v>1</v>
      </c>
      <c r="BL380" s="3">
        <f t="shared" si="25"/>
        <v>5.591978061543703E-2</v>
      </c>
      <c r="BM380" s="3">
        <f t="shared" si="25"/>
        <v>0.11678585923877005</v>
      </c>
      <c r="BN380" s="3">
        <f t="shared" si="25"/>
        <v>0.18157643926036304</v>
      </c>
      <c r="BO380" s="3">
        <f t="shared" si="25"/>
        <v>0.24965511721821212</v>
      </c>
      <c r="BP380" s="3">
        <f t="shared" si="25"/>
        <v>0.32038842953273572</v>
      </c>
      <c r="BQ380" s="3">
        <f t="shared" si="25"/>
        <v>0.3931623984934392</v>
      </c>
      <c r="BR380" s="3">
        <f t="shared" si="25"/>
        <v>0.46744326641301653</v>
      </c>
      <c r="BS380" s="3">
        <f t="shared" si="25"/>
        <v>0.54292224245123499</v>
      </c>
      <c r="BT380" s="3">
        <f t="shared" si="25"/>
        <v>0.61940169808847545</v>
      </c>
      <c r="BU380" s="3">
        <f t="shared" si="25"/>
        <v>0.69660383505742662</v>
      </c>
      <c r="BV380">
        <f>VLOOKUP($H380,'1. Set Program Names'!$B$2:$D$15,3,0)*V380</f>
        <v>4.9768436504288416E-2</v>
      </c>
      <c r="BW380">
        <f>VLOOKUP($H380,'1. Set Program Names'!$B$2:$D$15,3,0)*W380</f>
        <v>0.10393906335388914</v>
      </c>
      <c r="BX380">
        <f>VLOOKUP($H380,'1. Set Program Names'!$B$2:$D$15,3,0)*X380</f>
        <v>0.16160248464046187</v>
      </c>
      <c r="BY380">
        <f>VLOOKUP($H380,'1. Set Program Names'!$B$2:$D$15,3,0)*Y380</f>
        <v>0.22219230319754296</v>
      </c>
      <c r="BZ380">
        <f>VLOOKUP($H380,'1. Set Program Names'!$B$2:$D$15,3,0)*Z380</f>
        <v>0.28514473834517962</v>
      </c>
      <c r="CA380">
        <f>VLOOKUP($H380,'1. Set Program Names'!$B$2:$D$15,3,0)*AA380</f>
        <v>0.34991335176828009</v>
      </c>
      <c r="CB380">
        <f>VLOOKUP($H380,'1. Set Program Names'!$B$2:$D$15,3,0)*AB380</f>
        <v>0.41602310073103582</v>
      </c>
      <c r="CC380">
        <f>VLOOKUP($H380,'1. Set Program Names'!$B$2:$D$15,3,0)*AC380</f>
        <v>0.48319916231468557</v>
      </c>
      <c r="CD380">
        <f>VLOOKUP($H380,'1. Set Program Names'!$B$2:$D$15,3,0)*AD380</f>
        <v>0.55126564773136477</v>
      </c>
      <c r="CE380">
        <f>VLOOKUP($H380,'1. Set Program Names'!$B$2:$D$15,3,0)*AE380</f>
        <v>0.61997531735896616</v>
      </c>
    </row>
    <row r="381" spans="1:83" x14ac:dyDescent="0.25">
      <c r="A381" s="20" t="s">
        <v>117</v>
      </c>
      <c r="B381" s="20" t="s">
        <v>88</v>
      </c>
      <c r="C381" s="20" t="s">
        <v>122</v>
      </c>
      <c r="D381" s="20" t="s">
        <v>90</v>
      </c>
      <c r="E381" s="20" t="s">
        <v>91</v>
      </c>
      <c r="F381" s="20" t="s">
        <v>90</v>
      </c>
      <c r="G381" s="20" t="s">
        <v>92</v>
      </c>
      <c r="H381" s="20" t="s">
        <v>16</v>
      </c>
      <c r="I381" s="20" t="s">
        <v>162</v>
      </c>
      <c r="J381" s="20" t="s">
        <v>161</v>
      </c>
      <c r="K381" s="20" t="s">
        <v>159</v>
      </c>
      <c r="L381" s="20">
        <v>638.46285714285602</v>
      </c>
      <c r="M381" s="20">
        <v>7.6348348575361394E-2</v>
      </c>
      <c r="N381" s="20">
        <v>7.27444471789533E-2</v>
      </c>
      <c r="O381" s="20">
        <v>179</v>
      </c>
      <c r="P381" s="20">
        <v>51.129983050636802</v>
      </c>
      <c r="Q381" s="20">
        <v>23.2576231316629</v>
      </c>
      <c r="R381" s="20">
        <v>256.15438258671003</v>
      </c>
      <c r="S381" s="20">
        <v>693.44732308484095</v>
      </c>
      <c r="T381" s="20">
        <v>15</v>
      </c>
      <c r="U381" s="20">
        <v>0.59999999999999898</v>
      </c>
      <c r="V381" s="20">
        <v>3.51533248973857</v>
      </c>
      <c r="W381" s="20">
        <v>7.3416082968456697</v>
      </c>
      <c r="X381" s="20">
        <v>11.414593356376299</v>
      </c>
      <c r="Y381" s="20">
        <v>15.694280898956</v>
      </c>
      <c r="Z381" s="20">
        <v>20.140848967526502</v>
      </c>
      <c r="AA381" s="20">
        <v>24.7157005617075</v>
      </c>
      <c r="AB381" s="20">
        <v>29.385281620321098</v>
      </c>
      <c r="AC381" s="20">
        <v>34.130180363470103</v>
      </c>
      <c r="AD381" s="20">
        <v>38.937973102286499</v>
      </c>
      <c r="AE381" s="20">
        <v>43.791196369211796</v>
      </c>
      <c r="AF381" t="str">
        <f t="shared" si="22"/>
        <v>NonResidential</v>
      </c>
      <c r="AG381" t="str">
        <f>tbl_Data_old[[#This Row],[All_Meas_Name_Append]]</f>
        <v>LED High Bay_LF Baseline</v>
      </c>
      <c r="AH381">
        <f>AVERAGEIFS('3. Incentive Adjustment'!G:G,'3. Incentive Adjustment'!A:A,tbl_Data_old[[#This Row],[Trimmed Sector]],'3. Incentive Adjustment'!B:B,tbl_Data_old[[#This Row],[Trimmed Measure Name]])</f>
        <v>0.93017466414143679</v>
      </c>
      <c r="AI381">
        <f>$AH381*tbl_Data_old[[#This Row],[2025 ]]</f>
        <v>3.2698732179880552</v>
      </c>
      <c r="AJ381">
        <f>$AH381*tbl_Data_old[[#This Row],[2026 ]]</f>
        <v>6.8289780317764066</v>
      </c>
      <c r="AK381">
        <f>$AH381*tbl_Data_old[[#This Row],[2027 ]]</f>
        <v>10.617565541578399</v>
      </c>
      <c r="AL381">
        <f>$AH381*tbl_Data_old[[#This Row],[2028 ]]</f>
        <v>14.598422464127765</v>
      </c>
      <c r="AM381">
        <f>$AH381*tbl_Data_old[[#This Row],[2029 ]]</f>
        <v>18.734507423892367</v>
      </c>
      <c r="AN381">
        <f>$AH381*tbl_Data_old[[#This Row],[2030 ]]</f>
        <v>22.989918469006593</v>
      </c>
      <c r="AO381">
        <f>$AH381*tbl_Data_old[[#This Row],[2031 ]]</f>
        <v>27.333444461883712</v>
      </c>
      <c r="AP381">
        <f>$AH381*tbl_Data_old[[#This Row],[2032 ]]</f>
        <v>31.747029056677466</v>
      </c>
      <c r="AQ381">
        <f>$AH381*tbl_Data_old[[#This Row],[2033 ]]</f>
        <v>36.219116052767646</v>
      </c>
      <c r="AR381">
        <f>$AH381*tbl_Data_old[[#This Row],[2034 ]]</f>
        <v>40.733461375083287</v>
      </c>
      <c r="AS381">
        <f>SUM(tbl_Data_old[[#This Row],[Adjusted 2025]:[Adjusted 2034]])</f>
        <v>213.07231609478171</v>
      </c>
      <c r="AT381" s="3">
        <f>AVERAGEIFS('3. Incentive Adjustment'!F:F,'3. Incentive Adjustment'!A:A,tbl_Data_old[[#This Row],[Trimmed Sector]],'3. Incentive Adjustment'!B:B,tbl_Data_old[[#This Row],[Trimmed Measure Name]])</f>
        <v>23.858858929800434</v>
      </c>
      <c r="AU381" s="3">
        <f>IFERROR(VLOOKUP(tbl_Data_old[[#This Row],[All_Meas_Name_Append]],'IRA Tax Credits'!$A$3:$D$46,4,0),0)</f>
        <v>0</v>
      </c>
      <c r="AV381" s="4">
        <f>tbl_Data_old[[#This Row],[Adj. per unit Incentive ($)]]/tbl_Data_old[[#This Row],[kWh Savings]]*tbl_Data_old[[#This Row],[Sum of Annuals]]</f>
        <v>7.9623462425062792</v>
      </c>
      <c r="AW381" s="4">
        <f>IFERROR(VLOOKUP(tbl_Data_old[[#This Row],[All_Programs]],'1. Set Program Names'!$B$2:$D$15,3,0)*tbl_Data_old[[#This Row],[Sum of Annuals]],"")</f>
        <v>7.7616976024248059</v>
      </c>
      <c r="AX381" s="4">
        <f>tbl_Data_old[[#This Row],[per unit IRA tax ($)]]/tbl_Data_old[[#This Row],[kWh Savings]]*tbl_Data_old[[#This Row],[Sum of Annuals]]</f>
        <v>0</v>
      </c>
      <c r="AY381" s="4">
        <f>tbl_Data_old[[#This Row],[Avoided Costs ($/unit)]]/tbl_Data_old[[#This Row],[kWh Savings]]*tbl_Data_old[[#This Row],[Sum of Annuals]]</f>
        <v>85.485642531852065</v>
      </c>
      <c r="AZ381" s="4">
        <f>tbl_Data_old[[#This Row],[Lost Revenue ($/unit)]]/tbl_Data_old[[#This Row],[kWh Savings]]*tbl_Data_old[[#This Row],[Sum of Annuals]]</f>
        <v>231.42211886940416</v>
      </c>
      <c r="BA381" s="4">
        <f>tbl_Data_old[[#This Row],[Incremental Cost ($/unit)]]/tbl_Data_old[[#This Row],[kWh Savings]]*tbl_Data_old[[#This Row],[Sum of Annuals]]</f>
        <v>59.737139215339056</v>
      </c>
      <c r="BB381">
        <f>ROUNDUP(tbl_Data_old[[#This Row],[Adjusted 2025]]/$L381,0)</f>
        <v>1</v>
      </c>
      <c r="BC381">
        <f>ROUNDUP(tbl_Data_old[[#This Row],[Adjusted 2026]]/$L381,0)</f>
        <v>1</v>
      </c>
      <c r="BD381">
        <f>ROUNDUP(tbl_Data_old[[#This Row],[Adjusted 2027]]/$L381,0)</f>
        <v>1</v>
      </c>
      <c r="BE381">
        <f>ROUNDUP(tbl_Data_old[[#This Row],[Adjusted 2028]]/$L381,0)</f>
        <v>1</v>
      </c>
      <c r="BF381">
        <f>ROUNDUP(tbl_Data_old[[#This Row],[Adjusted 2029]]/$L381,0)</f>
        <v>1</v>
      </c>
      <c r="BG381">
        <f>ROUNDUP(tbl_Data_old[[#This Row],[Adjusted 2030]]/$L381,0)</f>
        <v>1</v>
      </c>
      <c r="BH381">
        <f>ROUNDUP(tbl_Data_old[[#This Row],[Adjusted 2031]]/$L381,0)</f>
        <v>1</v>
      </c>
      <c r="BI381">
        <f>ROUNDUP(tbl_Data_old[[#This Row],[Adjusted 2032]]/$L381,0)</f>
        <v>1</v>
      </c>
      <c r="BJ381">
        <f>ROUNDUP(tbl_Data_old[[#This Row],[Adjusted 2033]]/$L381,0)</f>
        <v>1</v>
      </c>
      <c r="BK381">
        <f>ROUNDUP(tbl_Data_old[[#This Row],[Adjusted 2034]]/$L381,0)</f>
        <v>1</v>
      </c>
      <c r="BL381" s="3">
        <f t="shared" si="25"/>
        <v>0.13136523295865019</v>
      </c>
      <c r="BM381" s="3">
        <f t="shared" si="25"/>
        <v>0.27435017513180204</v>
      </c>
      <c r="BN381" s="3">
        <f t="shared" si="25"/>
        <v>0.4265544496191162</v>
      </c>
      <c r="BO381" s="3">
        <f t="shared" si="25"/>
        <v>0.58648303465689333</v>
      </c>
      <c r="BP381" s="3">
        <f t="shared" si="25"/>
        <v>0.75264781477352449</v>
      </c>
      <c r="BQ381" s="3">
        <f t="shared" si="25"/>
        <v>0.92360645017291243</v>
      </c>
      <c r="BR381" s="3">
        <f t="shared" si="25"/>
        <v>1.0981050517631405</v>
      </c>
      <c r="BS381" s="3">
        <f t="shared" si="25"/>
        <v>1.2754182164718737</v>
      </c>
      <c r="BT381" s="3">
        <f t="shared" si="25"/>
        <v>1.455081680737381</v>
      </c>
      <c r="BU381" s="3">
        <f t="shared" si="25"/>
        <v>1.6364428483996172</v>
      </c>
      <c r="BV381">
        <f>VLOOKUP($H381,'1. Set Program Names'!$B$2:$D$15,3,0)*V381</f>
        <v>0.12805487009017458</v>
      </c>
      <c r="BW381">
        <f>VLOOKUP($H381,'1. Set Program Names'!$B$2:$D$15,3,0)*W381</f>
        <v>0.26743663634942139</v>
      </c>
      <c r="BX381">
        <f>VLOOKUP($H381,'1. Set Program Names'!$B$2:$D$15,3,0)*X381</f>
        <v>0.41580541062607729</v>
      </c>
      <c r="BY381">
        <f>VLOOKUP($H381,'1. Set Program Names'!$B$2:$D$15,3,0)*Y381</f>
        <v>0.57170384523825779</v>
      </c>
      <c r="BZ381">
        <f>VLOOKUP($H381,'1. Set Program Names'!$B$2:$D$15,3,0)*Z381</f>
        <v>0.73368132475976378</v>
      </c>
      <c r="CA381">
        <f>VLOOKUP($H381,'1. Set Program Names'!$B$2:$D$15,3,0)*AA381</f>
        <v>0.90033185590717257</v>
      </c>
      <c r="CB381">
        <f>VLOOKUP($H381,'1. Set Program Names'!$B$2:$D$15,3,0)*AB381</f>
        <v>1.0704331472023165</v>
      </c>
      <c r="CC381">
        <f>VLOOKUP($H381,'1. Set Program Names'!$B$2:$D$15,3,0)*AC381</f>
        <v>1.2432780755038684</v>
      </c>
      <c r="CD381">
        <f>VLOOKUP($H381,'1. Set Program Names'!$B$2:$D$15,3,0)*AD381</f>
        <v>1.4184140765469457</v>
      </c>
      <c r="CE381">
        <f>VLOOKUP($H381,'1. Set Program Names'!$B$2:$D$15,3,0)*AE381</f>
        <v>1.5952049993910462</v>
      </c>
    </row>
    <row r="382" spans="1:83" x14ac:dyDescent="0.25">
      <c r="A382" s="20" t="s">
        <v>117</v>
      </c>
      <c r="B382" s="20" t="s">
        <v>88</v>
      </c>
      <c r="C382" s="20" t="s">
        <v>122</v>
      </c>
      <c r="D382" s="20" t="s">
        <v>90</v>
      </c>
      <c r="E382" s="20" t="s">
        <v>91</v>
      </c>
      <c r="F382" s="20" t="s">
        <v>90</v>
      </c>
      <c r="G382" s="20" t="s">
        <v>92</v>
      </c>
      <c r="H382" s="20" t="s">
        <v>16</v>
      </c>
      <c r="I382" s="20" t="s">
        <v>163</v>
      </c>
      <c r="J382" s="20" t="s">
        <v>161</v>
      </c>
      <c r="K382" s="20" t="s">
        <v>159</v>
      </c>
      <c r="L382" s="20">
        <v>336.08</v>
      </c>
      <c r="M382" s="20">
        <v>5.3794325187228403E-2</v>
      </c>
      <c r="N382" s="20">
        <v>5.3413522005729602E-2</v>
      </c>
      <c r="O382" s="20">
        <v>109.08</v>
      </c>
      <c r="P382" s="20">
        <v>41.915763754167898</v>
      </c>
      <c r="Q382" s="20">
        <v>12.2425633608007</v>
      </c>
      <c r="R382" s="20">
        <v>148.30416484676499</v>
      </c>
      <c r="S382" s="20">
        <v>365.02323312162099</v>
      </c>
      <c r="T382" s="20">
        <v>15</v>
      </c>
      <c r="U382" s="20">
        <v>0.59999999999999898</v>
      </c>
      <c r="V382" s="20">
        <v>5.9638577214734898</v>
      </c>
      <c r="W382" s="20">
        <v>12.233637600908899</v>
      </c>
      <c r="X382" s="20">
        <v>18.6681707607292</v>
      </c>
      <c r="Y382" s="20">
        <v>25.2036147450297</v>
      </c>
      <c r="Z382" s="20">
        <v>31.7957990962921</v>
      </c>
      <c r="AA382" s="20">
        <v>38.395269161684197</v>
      </c>
      <c r="AB382" s="20">
        <v>44.9754060302893</v>
      </c>
      <c r="AC382" s="20">
        <v>51.528382386602701</v>
      </c>
      <c r="AD382" s="20">
        <v>58.041328829944</v>
      </c>
      <c r="AE382" s="20">
        <v>64.5094749275585</v>
      </c>
      <c r="AF382" t="str">
        <f t="shared" si="22"/>
        <v>NonResidential</v>
      </c>
      <c r="AG382" t="str">
        <f>tbl_Data_old[[#This Row],[All_Meas_Name_Append]]</f>
        <v>LED Linear - Fixture Replacement</v>
      </c>
      <c r="AH382">
        <f>AVERAGEIFS('3. Incentive Adjustment'!G:G,'3. Incentive Adjustment'!A:A,tbl_Data_old[[#This Row],[Trimmed Sector]],'3. Incentive Adjustment'!B:B,tbl_Data_old[[#This Row],[Trimmed Measure Name]])</f>
        <v>0.56055357916158088</v>
      </c>
      <c r="AI382">
        <f>$AH382*tbl_Data_old[[#This Row],[2025 ]]</f>
        <v>3.3430617913823952</v>
      </c>
      <c r="AJ382">
        <f>$AH382*tbl_Data_old[[#This Row],[2026 ]]</f>
        <v>6.857609343355179</v>
      </c>
      <c r="AK382">
        <f>$AH382*tbl_Data_old[[#This Row],[2027 ]]</f>
        <v>10.464509936326326</v>
      </c>
      <c r="AL382">
        <f>$AH382*tbl_Data_old[[#This Row],[2028 ]]</f>
        <v>14.127976453135993</v>
      </c>
      <c r="AM382">
        <f>$AH382*tbl_Data_old[[#This Row],[2029 ]]</f>
        <v>17.823248985729094</v>
      </c>
      <c r="AN382">
        <f>$AH382*tbl_Data_old[[#This Row],[2030 ]]</f>
        <v>21.522605551454348</v>
      </c>
      <c r="AO382">
        <f>$AH382*tbl_Data_old[[#This Row],[2031 ]]</f>
        <v>25.211124824524013</v>
      </c>
      <c r="AP382">
        <f>$AH382*tbl_Data_old[[#This Row],[2032 ]]</f>
        <v>28.884419175216706</v>
      </c>
      <c r="AQ382">
        <f>$AH382*tbl_Data_old[[#This Row],[2033 ]]</f>
        <v>32.535274614919359</v>
      </c>
      <c r="AR382">
        <f>$AH382*tbl_Data_old[[#This Row],[2034 ]]</f>
        <v>36.161017060477178</v>
      </c>
      <c r="AS382">
        <f>SUM(tbl_Data_old[[#This Row],[Adjusted 2025]:[Adjusted 2034]])</f>
        <v>196.9308477365206</v>
      </c>
      <c r="AT382" s="3">
        <f>AVERAGEIFS('3. Incentive Adjustment'!F:F,'3. Incentive Adjustment'!A:A,tbl_Data_old[[#This Row],[Trimmed Sector]],'3. Incentive Adjustment'!B:B,tbl_Data_old[[#This Row],[Trimmed Measure Name]])</f>
        <v>16.810726621008875</v>
      </c>
      <c r="AU382" s="3">
        <f>IFERROR(VLOOKUP(tbl_Data_old[[#This Row],[All_Meas_Name_Append]],'IRA Tax Credits'!$A$3:$D$46,4,0),0)</f>
        <v>0</v>
      </c>
      <c r="AV382" s="4">
        <f>tbl_Data_old[[#This Row],[Adj. per unit Incentive ($)]]/tbl_Data_old[[#This Row],[kWh Savings]]*tbl_Data_old[[#This Row],[Sum of Annuals]]</f>
        <v>9.8504839459122007</v>
      </c>
      <c r="AW382" s="4">
        <f>IFERROR(VLOOKUP(tbl_Data_old[[#This Row],[All_Programs]],'1. Set Program Names'!$B$2:$D$15,3,0)*tbl_Data_old[[#This Row],[Sum of Annuals]],"")</f>
        <v>7.1737038238233666</v>
      </c>
      <c r="AX382" s="4">
        <f>tbl_Data_old[[#This Row],[per unit IRA tax ($)]]/tbl_Data_old[[#This Row],[kWh Savings]]*tbl_Data_old[[#This Row],[Sum of Annuals]]</f>
        <v>0</v>
      </c>
      <c r="AY382" s="4">
        <f>tbl_Data_old[[#This Row],[Avoided Costs ($/unit)]]/tbl_Data_old[[#This Row],[kWh Savings]]*tbl_Data_old[[#This Row],[Sum of Annuals]]</f>
        <v>86.900931046566683</v>
      </c>
      <c r="AZ382" s="4">
        <f>tbl_Data_old[[#This Row],[Lost Revenue ($/unit)]]/tbl_Data_old[[#This Row],[kWh Savings]]*tbl_Data_old[[#This Row],[Sum of Annuals]]</f>
        <v>213.89054612641755</v>
      </c>
      <c r="BA382" s="4">
        <f>tbl_Data_old[[#This Row],[Incremental Cost ($/unit)]]/tbl_Data_old[[#This Row],[kWh Savings]]*tbl_Data_old[[#This Row],[Sum of Annuals]]</f>
        <v>63.916974741429627</v>
      </c>
      <c r="BB382">
        <f>ROUNDUP(tbl_Data_old[[#This Row],[Adjusted 2025]]/$L382,0)</f>
        <v>1</v>
      </c>
      <c r="BC382">
        <f>ROUNDUP(tbl_Data_old[[#This Row],[Adjusted 2026]]/$L382,0)</f>
        <v>1</v>
      </c>
      <c r="BD382">
        <f>ROUNDUP(tbl_Data_old[[#This Row],[Adjusted 2027]]/$L382,0)</f>
        <v>1</v>
      </c>
      <c r="BE382">
        <f>ROUNDUP(tbl_Data_old[[#This Row],[Adjusted 2028]]/$L382,0)</f>
        <v>1</v>
      </c>
      <c r="BF382">
        <f>ROUNDUP(tbl_Data_old[[#This Row],[Adjusted 2029]]/$L382,0)</f>
        <v>1</v>
      </c>
      <c r="BG382">
        <f>ROUNDUP(tbl_Data_old[[#This Row],[Adjusted 2030]]/$L382,0)</f>
        <v>1</v>
      </c>
      <c r="BH382">
        <f>ROUNDUP(tbl_Data_old[[#This Row],[Adjusted 2031]]/$L382,0)</f>
        <v>1</v>
      </c>
      <c r="BI382">
        <f>ROUNDUP(tbl_Data_old[[#This Row],[Adjusted 2032]]/$L382,0)</f>
        <v>1</v>
      </c>
      <c r="BJ382">
        <f>ROUNDUP(tbl_Data_old[[#This Row],[Adjusted 2033]]/$L382,0)</f>
        <v>1</v>
      </c>
      <c r="BK382">
        <f>ROUNDUP(tbl_Data_old[[#This Row],[Adjusted 2034]]/$L382,0)</f>
        <v>1</v>
      </c>
      <c r="BL382" s="3">
        <f t="shared" si="25"/>
        <v>0.29831225232767122</v>
      </c>
      <c r="BM382" s="3">
        <f t="shared" si="25"/>
        <v>0.61192673556705068</v>
      </c>
      <c r="BN382" s="3">
        <f t="shared" si="25"/>
        <v>0.93378218035268357</v>
      </c>
      <c r="BO382" s="3">
        <f t="shared" si="25"/>
        <v>1.2606851860864159</v>
      </c>
      <c r="BP382" s="3">
        <f t="shared" si="25"/>
        <v>1.590426345823279</v>
      </c>
      <c r="BQ382" s="3">
        <f t="shared" si="25"/>
        <v>1.9205319370897576</v>
      </c>
      <c r="BR382" s="3">
        <f t="shared" si="25"/>
        <v>2.2496704815641144</v>
      </c>
      <c r="BS382" s="3">
        <f t="shared" si="25"/>
        <v>2.5774504568078642</v>
      </c>
      <c r="BT382" s="3">
        <f t="shared" si="25"/>
        <v>2.9032281352067058</v>
      </c>
      <c r="BU382" s="3">
        <f t="shared" si="25"/>
        <v>3.226764899642979</v>
      </c>
      <c r="BV382">
        <f>VLOOKUP($H382,'1. Set Program Names'!$B$2:$D$15,3,0)*V382</f>
        <v>0.21724858971060446</v>
      </c>
      <c r="BW382">
        <f>VLOOKUP($H382,'1. Set Program Names'!$B$2:$D$15,3,0)*W382</f>
        <v>0.4456411671691311</v>
      </c>
      <c r="BX382">
        <f>VLOOKUP($H382,'1. Set Program Names'!$B$2:$D$15,3,0)*X382</f>
        <v>0.68003529923969008</v>
      </c>
      <c r="BY382">
        <f>VLOOKUP($H382,'1. Set Program Names'!$B$2:$D$15,3,0)*Y382</f>
        <v>0.91810536311960833</v>
      </c>
      <c r="BZ382">
        <f>VLOOKUP($H382,'1. Set Program Names'!$B$2:$D$15,3,0)*Z382</f>
        <v>1.1582423382636486</v>
      </c>
      <c r="CA382">
        <f>VLOOKUP($H382,'1. Set Program Names'!$B$2:$D$15,3,0)*AA382</f>
        <v>1.3986447139577409</v>
      </c>
      <c r="CB382">
        <f>VLOOKUP($H382,'1. Set Program Names'!$B$2:$D$15,3,0)*AB382</f>
        <v>1.6383428290988946</v>
      </c>
      <c r="CC382">
        <f>VLOOKUP($H382,'1. Set Program Names'!$B$2:$D$15,3,0)*AC382</f>
        <v>1.8770515539382069</v>
      </c>
      <c r="CD382">
        <f>VLOOKUP($H382,'1. Set Program Names'!$B$2:$D$15,3,0)*AD382</f>
        <v>2.1143020880316001</v>
      </c>
      <c r="CE382">
        <f>VLOOKUP($H382,'1. Set Program Names'!$B$2:$D$15,3,0)*AE382</f>
        <v>2.3499206563098722</v>
      </c>
    </row>
    <row r="383" spans="1:83" x14ac:dyDescent="0.25">
      <c r="A383" s="20" t="s">
        <v>117</v>
      </c>
      <c r="B383" s="20" t="s">
        <v>88</v>
      </c>
      <c r="C383" s="20" t="s">
        <v>122</v>
      </c>
      <c r="D383" s="20" t="s">
        <v>90</v>
      </c>
      <c r="E383" s="20" t="s">
        <v>91</v>
      </c>
      <c r="F383" s="20" t="s">
        <v>90</v>
      </c>
      <c r="G383" s="20" t="s">
        <v>92</v>
      </c>
      <c r="H383" s="20" t="s">
        <v>16</v>
      </c>
      <c r="I383" s="20" t="s">
        <v>164</v>
      </c>
      <c r="J383" s="20" t="s">
        <v>158</v>
      </c>
      <c r="K383" s="20" t="s">
        <v>159</v>
      </c>
      <c r="L383" s="20">
        <v>612.05999999999904</v>
      </c>
      <c r="M383" s="20">
        <v>0</v>
      </c>
      <c r="N383" s="20">
        <v>3.0244631686656E-2</v>
      </c>
      <c r="O383" s="20">
        <v>255</v>
      </c>
      <c r="P383" s="20">
        <v>129.095003330796</v>
      </c>
      <c r="Q383" s="20">
        <v>22.295832333407802</v>
      </c>
      <c r="R383" s="20">
        <v>299.625229349054</v>
      </c>
      <c r="S383" s="20">
        <v>664.77065003695395</v>
      </c>
      <c r="T383" s="20">
        <v>15</v>
      </c>
      <c r="U383" s="20">
        <v>0.59999999999999898</v>
      </c>
      <c r="V383" s="20">
        <v>7.9626759035393899</v>
      </c>
      <c r="W383" s="20">
        <v>16.614100783522701</v>
      </c>
      <c r="X383" s="20">
        <v>25.818891202285499</v>
      </c>
      <c r="Y383" s="20">
        <v>35.488048359606999</v>
      </c>
      <c r="Z383" s="20">
        <v>45.528603405950797</v>
      </c>
      <c r="AA383" s="20">
        <v>55.855059084424802</v>
      </c>
      <c r="AB383" s="20">
        <v>66.388684745269202</v>
      </c>
      <c r="AC383" s="20">
        <v>77.0836743571829</v>
      </c>
      <c r="AD383" s="20">
        <v>87.916129131105507</v>
      </c>
      <c r="AE383" s="20">
        <v>98.844476856263299</v>
      </c>
      <c r="AF383" t="str">
        <f t="shared" si="22"/>
        <v>NonResidential</v>
      </c>
      <c r="AG383" t="str">
        <f>tbl_Data_old[[#This Row],[All_Meas_Name_Append]]</f>
        <v>LED Parking Lighting</v>
      </c>
      <c r="AH383">
        <f>AVERAGEIFS('3. Incentive Adjustment'!G:G,'3. Incentive Adjustment'!A:A,tbl_Data_old[[#This Row],[Trimmed Sector]],'3. Incentive Adjustment'!B:B,tbl_Data_old[[#This Row],[Trimmed Measure Name]])</f>
        <v>0.59704067730377497</v>
      </c>
      <c r="AI383">
        <f>$AH383*tbl_Data_old[[#This Row],[2025 ]]</f>
        <v>4.7540414145996053</v>
      </c>
      <c r="AJ383">
        <f>$AH383*tbl_Data_old[[#This Row],[2026 ]]</f>
        <v>9.9192939845875721</v>
      </c>
      <c r="AK383">
        <f>$AH383*tbl_Data_old[[#This Row],[2027 ]]</f>
        <v>15.414928290645012</v>
      </c>
      <c r="AL383">
        <f>$AH383*tbl_Data_old[[#This Row],[2028 ]]</f>
        <v>21.187808428808882</v>
      </c>
      <c r="AM383">
        <f>$AH383*tbl_Data_old[[#This Row],[2029 ]]</f>
        <v>27.182428214183819</v>
      </c>
      <c r="AN383">
        <f>$AH383*tbl_Data_old[[#This Row],[2030 ]]</f>
        <v>33.347742306607351</v>
      </c>
      <c r="AO383">
        <f>$AH383*tbl_Data_old[[#This Row],[2031 ]]</f>
        <v>39.63674530562232</v>
      </c>
      <c r="AP383">
        <f>$AH383*tbl_Data_old[[#This Row],[2032 ]]</f>
        <v>46.022089147276112</v>
      </c>
      <c r="AQ383">
        <f>$AH383*tbl_Data_old[[#This Row],[2033 ]]</f>
        <v>52.489505282361371</v>
      </c>
      <c r="AR383">
        <f>$AH383*tbl_Data_old[[#This Row],[2034 ]]</f>
        <v>59.014173410000751</v>
      </c>
      <c r="AS383">
        <f>SUM(tbl_Data_old[[#This Row],[Adjusted 2025]:[Adjusted 2034]])</f>
        <v>308.9687557846928</v>
      </c>
      <c r="AT383" s="3">
        <f>AVERAGEIFS('3. Incentive Adjustment'!F:F,'3. Incentive Adjustment'!A:A,tbl_Data_old[[#This Row],[Trimmed Sector]],'3. Incentive Adjustment'!B:B,tbl_Data_old[[#This Row],[Trimmed Measure Name]])</f>
        <v>9.4514474020799994</v>
      </c>
      <c r="AU383" s="3">
        <f>IFERROR(VLOOKUP(tbl_Data_old[[#This Row],[All_Meas_Name_Append]],'IRA Tax Credits'!$A$3:$D$46,4,0),0)</f>
        <v>0</v>
      </c>
      <c r="AV383" s="4">
        <f>tbl_Data_old[[#This Row],[Adj. per unit Incentive ($)]]/tbl_Data_old[[#This Row],[kWh Savings]]*tbl_Data_old[[#This Row],[Sum of Annuals]]</f>
        <v>4.7711040489251531</v>
      </c>
      <c r="AW383" s="4">
        <f>IFERROR(VLOOKUP(tbl_Data_old[[#This Row],[All_Programs]],'1. Set Program Names'!$B$2:$D$15,3,0)*tbl_Data_old[[#This Row],[Sum of Annuals]],"")</f>
        <v>11.254967773154823</v>
      </c>
      <c r="AX383" s="4">
        <f>tbl_Data_old[[#This Row],[per unit IRA tax ($)]]/tbl_Data_old[[#This Row],[kWh Savings]]*tbl_Data_old[[#This Row],[Sum of Annuals]]</f>
        <v>0</v>
      </c>
      <c r="AY383" s="4">
        <f>tbl_Data_old[[#This Row],[Avoided Costs ($/unit)]]/tbl_Data_old[[#This Row],[kWh Savings]]*tbl_Data_old[[#This Row],[Sum of Annuals]]</f>
        <v>151.25124058700223</v>
      </c>
      <c r="AZ383" s="4">
        <f>tbl_Data_old[[#This Row],[Lost Revenue ($/unit)]]/tbl_Data_old[[#This Row],[kWh Savings]]*tbl_Data_old[[#This Row],[Sum of Annuals]]</f>
        <v>335.57716665702617</v>
      </c>
      <c r="BA383" s="4">
        <f>tbl_Data_old[[#This Row],[Incremental Cost ($/unit)]]/tbl_Data_old[[#This Row],[kWh Savings]]*tbl_Data_old[[#This Row],[Sum of Annuals]]</f>
        <v>128.72436154151029</v>
      </c>
      <c r="BB383">
        <f>ROUNDUP(tbl_Data_old[[#This Row],[Adjusted 2025]]/$L383,0)</f>
        <v>1</v>
      </c>
      <c r="BC383">
        <f>ROUNDUP(tbl_Data_old[[#This Row],[Adjusted 2026]]/$L383,0)</f>
        <v>1</v>
      </c>
      <c r="BD383">
        <f>ROUNDUP(tbl_Data_old[[#This Row],[Adjusted 2027]]/$L383,0)</f>
        <v>1</v>
      </c>
      <c r="BE383">
        <f>ROUNDUP(tbl_Data_old[[#This Row],[Adjusted 2028]]/$L383,0)</f>
        <v>1</v>
      </c>
      <c r="BF383">
        <f>ROUNDUP(tbl_Data_old[[#This Row],[Adjusted 2029]]/$L383,0)</f>
        <v>1</v>
      </c>
      <c r="BG383">
        <f>ROUNDUP(tbl_Data_old[[#This Row],[Adjusted 2030]]/$L383,0)</f>
        <v>1</v>
      </c>
      <c r="BH383">
        <f>ROUNDUP(tbl_Data_old[[#This Row],[Adjusted 2031]]/$L383,0)</f>
        <v>1</v>
      </c>
      <c r="BI383">
        <f>ROUNDUP(tbl_Data_old[[#This Row],[Adjusted 2032]]/$L383,0)</f>
        <v>1</v>
      </c>
      <c r="BJ383">
        <f>ROUNDUP(tbl_Data_old[[#This Row],[Adjusted 2033]]/$L383,0)</f>
        <v>1</v>
      </c>
      <c r="BK383">
        <f>ROUNDUP(tbl_Data_old[[#This Row],[Adjusted 2034]]/$L383,0)</f>
        <v>1</v>
      </c>
      <c r="BL383" s="3">
        <f t="shared" si="25"/>
        <v>0.12295986093211858</v>
      </c>
      <c r="BM383" s="3">
        <f t="shared" si="25"/>
        <v>0.25655540255582976</v>
      </c>
      <c r="BN383" s="3">
        <f t="shared" si="25"/>
        <v>0.39869603009252003</v>
      </c>
      <c r="BO383" s="3">
        <f t="shared" si="25"/>
        <v>0.5480074216143801</v>
      </c>
      <c r="BP383" s="3">
        <f t="shared" si="25"/>
        <v>0.7030539495825654</v>
      </c>
      <c r="BQ383" s="3">
        <f t="shared" ref="BQ383:BU424" si="26">$AT383/$L383*AA383</f>
        <v>0.86251536299792908</v>
      </c>
      <c r="BR383" s="3">
        <f t="shared" si="26"/>
        <v>1.0251759009953005</v>
      </c>
      <c r="BS383" s="3">
        <f t="shared" si="26"/>
        <v>1.1903282255758882</v>
      </c>
      <c r="BT383" s="3">
        <f t="shared" si="26"/>
        <v>1.3576032909798357</v>
      </c>
      <c r="BU383" s="3">
        <f t="shared" si="26"/>
        <v>1.5263591379817139</v>
      </c>
      <c r="BV383">
        <f>VLOOKUP($H383,'1. Set Program Names'!$B$2:$D$15,3,0)*V383</f>
        <v>0.29006059352119223</v>
      </c>
      <c r="BW383">
        <f>VLOOKUP($H383,'1. Set Program Names'!$B$2:$D$15,3,0)*W383</f>
        <v>0.6052106091555759</v>
      </c>
      <c r="BX383">
        <f>VLOOKUP($H383,'1. Set Program Names'!$B$2:$D$15,3,0)*X383</f>
        <v>0.94051836303737524</v>
      </c>
      <c r="BY383">
        <f>VLOOKUP($H383,'1. Set Program Names'!$B$2:$D$15,3,0)*Y383</f>
        <v>1.2927418489456366</v>
      </c>
      <c r="BZ383">
        <f>VLOOKUP($H383,'1. Set Program Names'!$B$2:$D$15,3,0)*Z383</f>
        <v>1.6584944415797462</v>
      </c>
      <c r="CA383">
        <f>VLOOKUP($H383,'1. Set Program Names'!$B$2:$D$15,3,0)*AA383</f>
        <v>2.0346616872838008</v>
      </c>
      <c r="CB383">
        <f>VLOOKUP($H383,'1. Set Program Names'!$B$2:$D$15,3,0)*AB383</f>
        <v>2.4183756231676501</v>
      </c>
      <c r="CC383">
        <f>VLOOKUP($H383,'1. Set Program Names'!$B$2:$D$15,3,0)*AC383</f>
        <v>2.8079676487775025</v>
      </c>
      <c r="CD383">
        <f>VLOOKUP($H383,'1. Set Program Names'!$B$2:$D$15,3,0)*AD383</f>
        <v>3.2025671903234323</v>
      </c>
      <c r="CE383">
        <f>VLOOKUP($H383,'1. Set Program Names'!$B$2:$D$15,3,0)*AE383</f>
        <v>3.6006598749643119</v>
      </c>
    </row>
    <row r="384" spans="1:83" x14ac:dyDescent="0.25">
      <c r="A384" s="20" t="s">
        <v>117</v>
      </c>
      <c r="B384" s="20" t="s">
        <v>88</v>
      </c>
      <c r="C384" s="20" t="s">
        <v>122</v>
      </c>
      <c r="D384" s="20" t="s">
        <v>90</v>
      </c>
      <c r="E384" s="20" t="s">
        <v>91</v>
      </c>
      <c r="F384" s="20" t="s">
        <v>90</v>
      </c>
      <c r="G384" s="20" t="s">
        <v>92</v>
      </c>
      <c r="H384" s="20" t="s">
        <v>16</v>
      </c>
      <c r="I384" s="20" t="s">
        <v>165</v>
      </c>
      <c r="J384" s="20" t="s">
        <v>161</v>
      </c>
      <c r="K384" s="20" t="s">
        <v>166</v>
      </c>
      <c r="L384" s="20">
        <v>510.6</v>
      </c>
      <c r="M384" s="20">
        <v>6.2552429943266097E-2</v>
      </c>
      <c r="N384" s="20">
        <v>6.4361142955417797E-2</v>
      </c>
      <c r="O384" s="20">
        <v>129</v>
      </c>
      <c r="P384" s="20">
        <v>26.468747947944401</v>
      </c>
      <c r="Q384" s="20">
        <v>18.5998954178316</v>
      </c>
      <c r="R384" s="20">
        <v>174.74401692254699</v>
      </c>
      <c r="S384" s="20">
        <v>419.99719394182398</v>
      </c>
      <c r="T384" s="20">
        <v>10</v>
      </c>
      <c r="U384" s="20">
        <v>0.59999999999999898</v>
      </c>
      <c r="V384" s="20">
        <v>3.0309367607522701</v>
      </c>
      <c r="W384" s="20">
        <v>7.1876963459581802</v>
      </c>
      <c r="X384" s="20">
        <v>12.7170869339023</v>
      </c>
      <c r="Y384" s="20">
        <v>19.849009431625099</v>
      </c>
      <c r="Z384" s="20">
        <v>28.682888854737701</v>
      </c>
      <c r="AA384" s="20">
        <v>39.054253152222799</v>
      </c>
      <c r="AB384" s="20">
        <v>50.454839259893802</v>
      </c>
      <c r="AC384" s="20">
        <v>62.052720834506303</v>
      </c>
      <c r="AD384" s="20">
        <v>72.849992169168601</v>
      </c>
      <c r="AE384" s="20">
        <v>82.008704763585897</v>
      </c>
      <c r="AF384" t="str">
        <f t="shared" si="22"/>
        <v>NonResidential</v>
      </c>
      <c r="AG384" t="str">
        <f>tbl_Data_old[[#This Row],[All_Meas_Name_Append]]</f>
        <v>Occupancy Sensors_ Ceiling Mounted</v>
      </c>
      <c r="AH384">
        <f>AVERAGEIFS('3. Incentive Adjustment'!G:G,'3. Incentive Adjustment'!A:A,tbl_Data_old[[#This Row],[Trimmed Sector]],'3. Incentive Adjustment'!B:B,tbl_Data_old[[#This Row],[Trimmed Measure Name]])</f>
        <v>0.99348124042467356</v>
      </c>
      <c r="AI384">
        <f>$AH384*tbl_Data_old[[#This Row],[2025 ]]</f>
        <v>3.0111788127209076</v>
      </c>
      <c r="AJ384">
        <f>$AH384*tbl_Data_old[[#This Row],[2026 ]]</f>
        <v>7.140841481578426</v>
      </c>
      <c r="AK384">
        <f>$AH384*tbl_Data_old[[#This Row],[2027 ]]</f>
        <v>12.634187301681665</v>
      </c>
      <c r="AL384">
        <f>$AH384*tbl_Data_old[[#This Row],[2028 ]]</f>
        <v>19.719618511331948</v>
      </c>
      <c r="AM384">
        <f>$AH384*tbl_Data_old[[#This Row],[2029 ]]</f>
        <v>28.495911998367855</v>
      </c>
      <c r="AN384">
        <f>$AH384*tbl_Data_old[[#This Row],[2030 ]]</f>
        <v>38.799667865529521</v>
      </c>
      <c r="AO384">
        <f>$AH384*tbl_Data_old[[#This Row],[2031 ]]</f>
        <v>50.125936293346811</v>
      </c>
      <c r="AP384">
        <f>$AH384*tbl_Data_old[[#This Row],[2032 ]]</f>
        <v>61.648214066391304</v>
      </c>
      <c r="AQ384">
        <f>$AH384*tbl_Data_old[[#This Row],[2033 ]]</f>
        <v>72.375100585153376</v>
      </c>
      <c r="AR384">
        <f>$AH384*tbl_Data_old[[#This Row],[2034 ]]</f>
        <v>81.474109734148158</v>
      </c>
      <c r="AS384">
        <f>SUM(tbl_Data_old[[#This Row],[Adjusted 2025]:[Adjusted 2034]])</f>
        <v>375.42476665024998</v>
      </c>
      <c r="AT384" s="3">
        <f>AVERAGEIFS('3. Incentive Adjustment'!F:F,'3. Incentive Adjustment'!A:A,tbl_Data_old[[#This Row],[Trimmed Sector]],'3. Incentive Adjustment'!B:B,tbl_Data_old[[#This Row],[Trimmed Measure Name]])</f>
        <v>19.547634357270656</v>
      </c>
      <c r="AU384" s="3">
        <f>IFERROR(VLOOKUP(tbl_Data_old[[#This Row],[All_Meas_Name_Append]],'IRA Tax Credits'!$A$3:$D$46,4,0),0)</f>
        <v>0</v>
      </c>
      <c r="AV384" s="4">
        <f>tbl_Data_old[[#This Row],[Adj. per unit Incentive ($)]]/tbl_Data_old[[#This Row],[kWh Savings]]*tbl_Data_old[[#This Row],[Sum of Annuals]]</f>
        <v>14.372632328912545</v>
      </c>
      <c r="AW384" s="4">
        <f>IFERROR(VLOOKUP(tbl_Data_old[[#This Row],[All_Programs]],'1. Set Program Names'!$B$2:$D$15,3,0)*tbl_Data_old[[#This Row],[Sum of Annuals]],"")</f>
        <v>13.675795920404424</v>
      </c>
      <c r="AX384" s="4">
        <f>tbl_Data_old[[#This Row],[per unit IRA tax ($)]]/tbl_Data_old[[#This Row],[kWh Savings]]*tbl_Data_old[[#This Row],[Sum of Annuals]]</f>
        <v>0</v>
      </c>
      <c r="AY384" s="4">
        <f>tbl_Data_old[[#This Row],[Avoided Costs ($/unit)]]/tbl_Data_old[[#This Row],[kWh Savings]]*tbl_Data_old[[#This Row],[Sum of Annuals]]</f>
        <v>128.4826317600363</v>
      </c>
      <c r="AZ384" s="4">
        <f>tbl_Data_old[[#This Row],[Lost Revenue ($/unit)]]/tbl_Data_old[[#This Row],[kWh Savings]]*tbl_Data_old[[#This Row],[Sum of Annuals]]</f>
        <v>308.80796813429112</v>
      </c>
      <c r="BA384" s="4">
        <f>tbl_Data_old[[#This Row],[Incremental Cost ($/unit)]]/tbl_Data_old[[#This Row],[kWh Savings]]*tbl_Data_old[[#This Row],[Sum of Annuals]]</f>
        <v>94.848795334669489</v>
      </c>
      <c r="BB384">
        <f>ROUNDUP(tbl_Data_old[[#This Row],[Adjusted 2025]]/$L384,0)</f>
        <v>1</v>
      </c>
      <c r="BC384">
        <f>ROUNDUP(tbl_Data_old[[#This Row],[Adjusted 2026]]/$L384,0)</f>
        <v>1</v>
      </c>
      <c r="BD384">
        <f>ROUNDUP(tbl_Data_old[[#This Row],[Adjusted 2027]]/$L384,0)</f>
        <v>1</v>
      </c>
      <c r="BE384">
        <f>ROUNDUP(tbl_Data_old[[#This Row],[Adjusted 2028]]/$L384,0)</f>
        <v>1</v>
      </c>
      <c r="BF384">
        <f>ROUNDUP(tbl_Data_old[[#This Row],[Adjusted 2029]]/$L384,0)</f>
        <v>1</v>
      </c>
      <c r="BG384">
        <f>ROUNDUP(tbl_Data_old[[#This Row],[Adjusted 2030]]/$L384,0)</f>
        <v>1</v>
      </c>
      <c r="BH384">
        <f>ROUNDUP(tbl_Data_old[[#This Row],[Adjusted 2031]]/$L384,0)</f>
        <v>1</v>
      </c>
      <c r="BI384">
        <f>ROUNDUP(tbl_Data_old[[#This Row],[Adjusted 2032]]/$L384,0)</f>
        <v>1</v>
      </c>
      <c r="BJ384">
        <f>ROUNDUP(tbl_Data_old[[#This Row],[Adjusted 2033]]/$L384,0)</f>
        <v>1</v>
      </c>
      <c r="BK384">
        <f>ROUNDUP(tbl_Data_old[[#This Row],[Adjusted 2034]]/$L384,0)</f>
        <v>1</v>
      </c>
      <c r="BL384" s="3">
        <f t="shared" ref="BL384:BU425" si="27">$AT384/$L384*V384</f>
        <v>0.11603533795377147</v>
      </c>
      <c r="BM384" s="3">
        <f t="shared" si="27"/>
        <v>0.27517128876200719</v>
      </c>
      <c r="BN384" s="3">
        <f t="shared" si="27"/>
        <v>0.48685657162856705</v>
      </c>
      <c r="BO384" s="3">
        <f t="shared" si="27"/>
        <v>0.75989263361422654</v>
      </c>
      <c r="BP384" s="3">
        <f t="shared" si="27"/>
        <v>1.0980858277372627</v>
      </c>
      <c r="BQ384" s="3">
        <f t="shared" si="26"/>
        <v>1.4951395627025779</v>
      </c>
      <c r="BR384" s="3">
        <f t="shared" si="26"/>
        <v>1.9315956705978623</v>
      </c>
      <c r="BS384" s="3">
        <f t="shared" si="26"/>
        <v>2.3756049701267532</v>
      </c>
      <c r="BT384" s="3">
        <f t="shared" si="26"/>
        <v>2.7889639832607491</v>
      </c>
      <c r="BU384" s="3">
        <f t="shared" si="26"/>
        <v>3.1395929785192664</v>
      </c>
      <c r="BV384">
        <f>VLOOKUP($H384,'1. Set Program Names'!$B$2:$D$15,3,0)*V384</f>
        <v>0.11040953146896521</v>
      </c>
      <c r="BW384">
        <f>VLOOKUP($H384,'1. Set Program Names'!$B$2:$D$15,3,0)*W384</f>
        <v>0.26183000456316646</v>
      </c>
      <c r="BX384">
        <f>VLOOKUP($H384,'1. Set Program Names'!$B$2:$D$15,3,0)*X384</f>
        <v>0.46325203092451245</v>
      </c>
      <c r="BY384">
        <f>VLOOKUP($H384,'1. Set Program Names'!$B$2:$D$15,3,0)*Y384</f>
        <v>0.72305033211081227</v>
      </c>
      <c r="BZ384">
        <f>VLOOKUP($H384,'1. Set Program Names'!$B$2:$D$15,3,0)*Z384</f>
        <v>1.0448467155883472</v>
      </c>
      <c r="CA384">
        <f>VLOOKUP($H384,'1. Set Program Names'!$B$2:$D$15,3,0)*AA384</f>
        <v>1.4226498712355384</v>
      </c>
      <c r="CB384">
        <f>VLOOKUP($H384,'1. Set Program Names'!$B$2:$D$15,3,0)*AB384</f>
        <v>1.8379450324275968</v>
      </c>
      <c r="CC384">
        <f>VLOOKUP($H384,'1. Set Program Names'!$B$2:$D$15,3,0)*AC384</f>
        <v>2.2604271796195063</v>
      </c>
      <c r="CD384">
        <f>VLOOKUP($H384,'1. Set Program Names'!$B$2:$D$15,3,0)*AD384</f>
        <v>2.6537450754727581</v>
      </c>
      <c r="CE384">
        <f>VLOOKUP($H384,'1. Set Program Names'!$B$2:$D$15,3,0)*AE384</f>
        <v>2.9873743281522316</v>
      </c>
    </row>
    <row r="385" spans="1:83" x14ac:dyDescent="0.25">
      <c r="A385" s="20" t="s">
        <v>117</v>
      </c>
      <c r="B385" s="20" t="s">
        <v>88</v>
      </c>
      <c r="C385" s="20" t="s">
        <v>122</v>
      </c>
      <c r="D385" s="20" t="s">
        <v>90</v>
      </c>
      <c r="E385" s="20" t="s">
        <v>91</v>
      </c>
      <c r="F385" s="20" t="s">
        <v>90</v>
      </c>
      <c r="G385" s="20" t="s">
        <v>92</v>
      </c>
      <c r="H385" s="20" t="s">
        <v>16</v>
      </c>
      <c r="I385" s="20" t="s">
        <v>167</v>
      </c>
      <c r="J385" s="20" t="s">
        <v>124</v>
      </c>
      <c r="K385" s="20" t="s">
        <v>98</v>
      </c>
      <c r="L385" s="20">
        <v>151.66</v>
      </c>
      <c r="M385" s="20">
        <v>2.2013191527321101E-2</v>
      </c>
      <c r="N385" s="20">
        <v>1.95296013954902E-2</v>
      </c>
      <c r="O385" s="20">
        <v>56.6</v>
      </c>
      <c r="P385" s="20">
        <v>25.402483751835899</v>
      </c>
      <c r="Q385" s="20">
        <v>5.5245987839176403</v>
      </c>
      <c r="R385" s="20">
        <v>70.564478576335205</v>
      </c>
      <c r="S385" s="20">
        <v>171.417444155428</v>
      </c>
      <c r="T385" s="20">
        <v>16</v>
      </c>
      <c r="U385" s="20">
        <v>0.6</v>
      </c>
      <c r="V385" s="20">
        <v>0.38506045411207002</v>
      </c>
      <c r="W385" s="20">
        <v>0.90875615348969696</v>
      </c>
      <c r="X385" s="20">
        <v>1.58531481675082</v>
      </c>
      <c r="Y385" s="20">
        <v>2.42062365227215</v>
      </c>
      <c r="Z385" s="20">
        <v>3.4067415415470998</v>
      </c>
      <c r="AA385" s="20">
        <v>4.52490807961318</v>
      </c>
      <c r="AB385" s="20">
        <v>5.7487577055108403</v>
      </c>
      <c r="AC385" s="20">
        <v>7.0541210454462302</v>
      </c>
      <c r="AD385" s="20">
        <v>8.4234909823467898</v>
      </c>
      <c r="AE385" s="20">
        <v>9.8406066661614808</v>
      </c>
      <c r="AF385" t="str">
        <f t="shared" si="22"/>
        <v>NonResidential</v>
      </c>
      <c r="AG385" t="str">
        <f>tbl_Data_old[[#This Row],[All_Meas_Name_Append]]</f>
        <v>Refrigerated Display Case LED Lighting</v>
      </c>
      <c r="AH385">
        <f>AVERAGEIFS('3. Incentive Adjustment'!G:G,'3. Incentive Adjustment'!A:A,tbl_Data_old[[#This Row],[Trimmed Sector]],'3. Incentive Adjustment'!B:B,tbl_Data_old[[#This Row],[Trimmed Measure Name]])</f>
        <v>0.72450810749703154</v>
      </c>
      <c r="AI385">
        <f>$AH385*tbl_Data_old[[#This Row],[2025 ]]</f>
        <v>0.27897942088068339</v>
      </c>
      <c r="AJ385">
        <f>$AH385*tbl_Data_old[[#This Row],[2026 ]]</f>
        <v>0.65840120094110222</v>
      </c>
      <c r="AK385">
        <f>$AH385*tbl_Data_old[[#This Row],[2027 ]]</f>
        <v>1.1485734376711398</v>
      </c>
      <c r="AL385">
        <f>$AH385*tbl_Data_old[[#This Row],[2028 ]]</f>
        <v>1.7537614612702479</v>
      </c>
      <c r="AM385">
        <f>$AH385*tbl_Data_old[[#This Row],[2029 ]]</f>
        <v>2.4682118669978093</v>
      </c>
      <c r="AN385">
        <f>$AH385*tbl_Data_old[[#This Row],[2030 ]]</f>
        <v>3.2783325893585724</v>
      </c>
      <c r="AO385">
        <f>$AH385*tbl_Data_old[[#This Row],[2031 ]]</f>
        <v>4.1650215656786367</v>
      </c>
      <c r="AP385">
        <f>$AH385*tbl_Data_old[[#This Row],[2032 ]]</f>
        <v>5.11076788869123</v>
      </c>
      <c r="AQ385">
        <f>$AH385*tbl_Data_old[[#This Row],[2033 ]]</f>
        <v>6.1028875101383839</v>
      </c>
      <c r="AR385">
        <f>$AH385*tbl_Data_old[[#This Row],[2034 ]]</f>
        <v>7.129599312323327</v>
      </c>
      <c r="AS385">
        <f>SUM(tbl_Data_old[[#This Row],[Adjusted 2025]:[Adjusted 2034]])</f>
        <v>32.094536253951127</v>
      </c>
      <c r="AT385" s="3">
        <f>AVERAGEIFS('3. Incentive Adjustment'!F:F,'3. Incentive Adjustment'!A:A,tbl_Data_old[[#This Row],[Trimmed Sector]],'3. Incentive Adjustment'!B:B,tbl_Data_old[[#This Row],[Trimmed Measure Name]])</f>
        <v>6.879122352287844</v>
      </c>
      <c r="AU385" s="3">
        <f>IFERROR(VLOOKUP(tbl_Data_old[[#This Row],[All_Meas_Name_Append]],'IRA Tax Credits'!$A$3:$D$46,4,0),0)</f>
        <v>0</v>
      </c>
      <c r="AV385" s="4">
        <f>tbl_Data_old[[#This Row],[Adj. per unit Incentive ($)]]/tbl_Data_old[[#This Row],[kWh Savings]]*tbl_Data_old[[#This Row],[Sum of Annuals]]</f>
        <v>1.4557710782728983</v>
      </c>
      <c r="AW385" s="4">
        <f>IFERROR(VLOOKUP(tbl_Data_old[[#This Row],[All_Programs]],'1. Set Program Names'!$B$2:$D$15,3,0)*tbl_Data_old[[#This Row],[Sum of Annuals]],"")</f>
        <v>1.1691245942171899</v>
      </c>
      <c r="AX385" s="4">
        <f>tbl_Data_old[[#This Row],[per unit IRA tax ($)]]/tbl_Data_old[[#This Row],[kWh Savings]]*tbl_Data_old[[#This Row],[Sum of Annuals]]</f>
        <v>0</v>
      </c>
      <c r="AY385" s="4">
        <f>tbl_Data_old[[#This Row],[Avoided Costs ($/unit)]]/tbl_Data_old[[#This Row],[kWh Savings]]*tbl_Data_old[[#This Row],[Sum of Annuals]]</f>
        <v>14.932969905771779</v>
      </c>
      <c r="AZ385" s="4">
        <f>tbl_Data_old[[#This Row],[Lost Revenue ($/unit)]]/tbl_Data_old[[#This Row],[kWh Savings]]*tbl_Data_old[[#This Row],[Sum of Annuals]]</f>
        <v>36.275638770974723</v>
      </c>
      <c r="BA385" s="4">
        <f>tbl_Data_old[[#This Row],[Incremental Cost ($/unit)]]/tbl_Data_old[[#This Row],[kWh Savings]]*tbl_Data_old[[#This Row],[Sum of Annuals]]</f>
        <v>11.977784201329513</v>
      </c>
      <c r="BB385">
        <f>ROUNDUP(tbl_Data_old[[#This Row],[Adjusted 2025]]/$L385,0)</f>
        <v>1</v>
      </c>
      <c r="BC385">
        <f>ROUNDUP(tbl_Data_old[[#This Row],[Adjusted 2026]]/$L385,0)</f>
        <v>1</v>
      </c>
      <c r="BD385">
        <f>ROUNDUP(tbl_Data_old[[#This Row],[Adjusted 2027]]/$L385,0)</f>
        <v>1</v>
      </c>
      <c r="BE385">
        <f>ROUNDUP(tbl_Data_old[[#This Row],[Adjusted 2028]]/$L385,0)</f>
        <v>1</v>
      </c>
      <c r="BF385">
        <f>ROUNDUP(tbl_Data_old[[#This Row],[Adjusted 2029]]/$L385,0)</f>
        <v>1</v>
      </c>
      <c r="BG385">
        <f>ROUNDUP(tbl_Data_old[[#This Row],[Adjusted 2030]]/$L385,0)</f>
        <v>1</v>
      </c>
      <c r="BH385">
        <f>ROUNDUP(tbl_Data_old[[#This Row],[Adjusted 2031]]/$L385,0)</f>
        <v>1</v>
      </c>
      <c r="BI385">
        <f>ROUNDUP(tbl_Data_old[[#This Row],[Adjusted 2032]]/$L385,0)</f>
        <v>1</v>
      </c>
      <c r="BJ385">
        <f>ROUNDUP(tbl_Data_old[[#This Row],[Adjusted 2033]]/$L385,0)</f>
        <v>1</v>
      </c>
      <c r="BK385">
        <f>ROUNDUP(tbl_Data_old[[#This Row],[Adjusted 2034]]/$L385,0)</f>
        <v>1</v>
      </c>
      <c r="BL385" s="3">
        <f t="shared" si="27"/>
        <v>1.7465897249534807E-2</v>
      </c>
      <c r="BM385" s="3">
        <f t="shared" si="27"/>
        <v>4.1220129027100733E-2</v>
      </c>
      <c r="BN385" s="3">
        <f t="shared" si="27"/>
        <v>7.1908048208648781E-2</v>
      </c>
      <c r="BO385" s="3">
        <f t="shared" si="27"/>
        <v>0.1097966917632994</v>
      </c>
      <c r="BP385" s="3">
        <f t="shared" si="27"/>
        <v>0.15452585973179614</v>
      </c>
      <c r="BQ385" s="3">
        <f t="shared" si="26"/>
        <v>0.20524460182325524</v>
      </c>
      <c r="BR385" s="3">
        <f t="shared" si="26"/>
        <v>0.26075700665875379</v>
      </c>
      <c r="BS385" s="3">
        <f t="shared" si="26"/>
        <v>0.31996677937144441</v>
      </c>
      <c r="BT385" s="3">
        <f t="shared" si="26"/>
        <v>0.38207981736091845</v>
      </c>
      <c r="BU385" s="3">
        <f t="shared" si="26"/>
        <v>0.44635854725876439</v>
      </c>
      <c r="BV385">
        <f>VLOOKUP($H385,'1. Set Program Names'!$B$2:$D$15,3,0)*V385</f>
        <v>1.4026800188067496E-2</v>
      </c>
      <c r="BW385">
        <f>VLOOKUP($H385,'1. Set Program Names'!$B$2:$D$15,3,0)*W385</f>
        <v>3.3103739551937572E-2</v>
      </c>
      <c r="BX385">
        <f>VLOOKUP($H385,'1. Set Program Names'!$B$2:$D$15,3,0)*X385</f>
        <v>5.7749098699381489E-2</v>
      </c>
      <c r="BY385">
        <f>VLOOKUP($H385,'1. Set Program Names'!$B$2:$D$15,3,0)*Y385</f>
        <v>8.8177334074014221E-2</v>
      </c>
      <c r="BZ385">
        <f>VLOOKUP($H385,'1. Set Program Names'!$B$2:$D$15,3,0)*Z385</f>
        <v>0.12409917036497967</v>
      </c>
      <c r="CA385">
        <f>VLOOKUP($H385,'1. Set Program Names'!$B$2:$D$15,3,0)*AA385</f>
        <v>0.16483121240913939</v>
      </c>
      <c r="CB385">
        <f>VLOOKUP($H385,'1. Set Program Names'!$B$2:$D$15,3,0)*AB385</f>
        <v>0.20941302801597225</v>
      </c>
      <c r="CC385">
        <f>VLOOKUP($H385,'1. Set Program Names'!$B$2:$D$15,3,0)*AC385</f>
        <v>0.25696418666279885</v>
      </c>
      <c r="CD385">
        <f>VLOOKUP($H385,'1. Set Program Names'!$B$2:$D$15,3,0)*AD385</f>
        <v>0.30684694736525309</v>
      </c>
      <c r="CE385">
        <f>VLOOKUP($H385,'1. Set Program Names'!$B$2:$D$15,3,0)*AE385</f>
        <v>0.35846896756486579</v>
      </c>
    </row>
    <row r="386" spans="1:83" x14ac:dyDescent="0.25">
      <c r="A386" s="20" t="s">
        <v>87</v>
      </c>
      <c r="B386" s="20" t="s">
        <v>88</v>
      </c>
      <c r="C386" s="20" t="s">
        <v>122</v>
      </c>
      <c r="D386" s="20" t="s">
        <v>90</v>
      </c>
      <c r="E386" s="20" t="s">
        <v>91</v>
      </c>
      <c r="F386" s="20" t="s">
        <v>90</v>
      </c>
      <c r="G386" s="20" t="s">
        <v>92</v>
      </c>
      <c r="H386" s="20" t="s">
        <v>18</v>
      </c>
      <c r="I386" s="20" t="s">
        <v>168</v>
      </c>
      <c r="J386" s="20" t="s">
        <v>129</v>
      </c>
      <c r="K386" s="20" t="s">
        <v>102</v>
      </c>
      <c r="L386" s="20">
        <v>3050.4666666666599</v>
      </c>
      <c r="M386" s="20">
        <v>1.01361966409546</v>
      </c>
      <c r="N386" s="20">
        <v>0</v>
      </c>
      <c r="O386" s="20">
        <v>742</v>
      </c>
      <c r="P386" s="20">
        <v>130.44720079847701</v>
      </c>
      <c r="Q386" s="20">
        <v>96.541767463653102</v>
      </c>
      <c r="R386" s="20">
        <v>1331.93833936435</v>
      </c>
      <c r="S386" s="20">
        <v>2509.1802589366698</v>
      </c>
      <c r="T386" s="20">
        <v>10</v>
      </c>
      <c r="U386" s="20">
        <v>1</v>
      </c>
      <c r="V386" s="20">
        <v>21243.524858074899</v>
      </c>
      <c r="W386" s="20">
        <v>29291.245780466099</v>
      </c>
      <c r="X386" s="20">
        <v>39257.249220828598</v>
      </c>
      <c r="Y386" s="20">
        <v>51117.688154932301</v>
      </c>
      <c r="Z386" s="20">
        <v>64042.244942414902</v>
      </c>
      <c r="AA386" s="20">
        <v>76213.767799135196</v>
      </c>
      <c r="AB386" s="20">
        <v>85118.766241082005</v>
      </c>
      <c r="AC386" s="20">
        <v>88223.351916194195</v>
      </c>
      <c r="AD386" s="20">
        <v>83976.871877104597</v>
      </c>
      <c r="AE386" s="20">
        <v>73132.671453852701</v>
      </c>
      <c r="AF386" t="str">
        <f t="shared" ref="AF386:AF449" si="28">IF(C386="Residential","Residential","NonResidential")</f>
        <v>NonResidential</v>
      </c>
      <c r="AG386" t="str">
        <f>tbl_Data_old[[#This Row],[All_Meas_Name_Append]]</f>
        <v>Chilled Water Reset</v>
      </c>
      <c r="AH386">
        <f>AVERAGEIFS('3. Incentive Adjustment'!G:G,'3. Incentive Adjustment'!A:A,tbl_Data_old[[#This Row],[Trimmed Sector]],'3. Incentive Adjustment'!B:B,tbl_Data_old[[#This Row],[Trimmed Measure Name]])</f>
        <v>1.6724428329362533</v>
      </c>
      <c r="AI386">
        <f>$AH386*tbl_Data_old[[#This Row],[2025 ]]</f>
        <v>35528.580895190506</v>
      </c>
      <c r="AJ386">
        <f>$AH386*tbl_Data_old[[#This Row],[2026 ]]</f>
        <v>48987.934073314798</v>
      </c>
      <c r="AK386">
        <f>$AH386*tbl_Data_old[[#This Row],[2027 ]]</f>
        <v>65655.505100167109</v>
      </c>
      <c r="AL386">
        <f>$AH386*tbl_Data_old[[#This Row],[2028 ]]</f>
        <v>85491.411190986939</v>
      </c>
      <c r="AM386">
        <f>$AH386*tbl_Data_old[[#This Row],[2029 ]]</f>
        <v>107106.99355908982</v>
      </c>
      <c r="AN386">
        <f>$AH386*tbl_Data_old[[#This Row],[2030 ]]</f>
        <v>127463.16972673146</v>
      </c>
      <c r="AO386">
        <f>$AH386*tbl_Data_old[[#This Row],[2031 ]]</f>
        <v>142356.2705482739</v>
      </c>
      <c r="AP386">
        <f>$AH386*tbl_Data_old[[#This Row],[2032 ]]</f>
        <v>147548.51260985184</v>
      </c>
      <c r="AQ386">
        <f>$AH386*tbl_Data_old[[#This Row],[2033 ]]</f>
        <v>140446.5175032696</v>
      </c>
      <c r="AR386">
        <f>$AH386*tbl_Data_old[[#This Row],[2034 ]]</f>
        <v>122310.21222647767</v>
      </c>
      <c r="AS386">
        <f>SUM(tbl_Data_old[[#This Row],[Adjusted 2025]:[Adjusted 2034]])</f>
        <v>1022895.1074333537</v>
      </c>
      <c r="AT386" s="3">
        <f>AVERAGEIFS('3. Incentive Adjustment'!F:F,'3. Incentive Adjustment'!A:A,tbl_Data_old[[#This Row],[Trimmed Sector]],'3. Incentive Adjustment'!B:B,tbl_Data_old[[#This Row],[Trimmed Measure Name]])</f>
        <v>725.0262900596623</v>
      </c>
      <c r="AU386" s="3">
        <f>IFERROR(VLOOKUP(tbl_Data_old[[#This Row],[All_Meas_Name_Append]],'IRA Tax Credits'!$A$3:$D$46,4,0),0)</f>
        <v>0</v>
      </c>
      <c r="AV386" s="4">
        <f>tbl_Data_old[[#This Row],[Adj. per unit Incentive ($)]]/tbl_Data_old[[#This Row],[kWh Savings]]*tbl_Data_old[[#This Row],[Sum of Annuals]]</f>
        <v>243118.81620164754</v>
      </c>
      <c r="AW386" s="4">
        <f>IFERROR(VLOOKUP(tbl_Data_old[[#This Row],[All_Programs]],'1. Set Program Names'!$B$2:$D$15,3,0)*tbl_Data_old[[#This Row],[Sum of Annuals]],"")</f>
        <v>32372.785017004888</v>
      </c>
      <c r="AX386" s="4">
        <f>tbl_Data_old[[#This Row],[per unit IRA tax ($)]]/tbl_Data_old[[#This Row],[kWh Savings]]*tbl_Data_old[[#This Row],[Sum of Annuals]]</f>
        <v>0</v>
      </c>
      <c r="AY386" s="4">
        <f>tbl_Data_old[[#This Row],[Avoided Costs ($/unit)]]/tbl_Data_old[[#This Row],[kWh Savings]]*tbl_Data_old[[#This Row],[Sum of Annuals]]</f>
        <v>446631.07636166131</v>
      </c>
      <c r="AZ386" s="4">
        <f>tbl_Data_old[[#This Row],[Lost Revenue ($/unit)]]/tbl_Data_old[[#This Row],[kWh Savings]]*tbl_Data_old[[#This Row],[Sum of Annuals]]</f>
        <v>841388.70900671394</v>
      </c>
      <c r="BA386" s="4">
        <f>tbl_Data_old[[#This Row],[Incremental Cost ($/unit)]]/tbl_Data_old[[#This Row],[kWh Savings]]*tbl_Data_old[[#This Row],[Sum of Annuals]]</f>
        <v>248810.51086682369</v>
      </c>
      <c r="BB386">
        <f>ROUNDUP(tbl_Data_old[[#This Row],[Adjusted 2025]]/$L386,0)</f>
        <v>12</v>
      </c>
      <c r="BC386">
        <f>ROUNDUP(tbl_Data_old[[#This Row],[Adjusted 2026]]/$L386,0)</f>
        <v>17</v>
      </c>
      <c r="BD386">
        <f>ROUNDUP(tbl_Data_old[[#This Row],[Adjusted 2027]]/$L386,0)</f>
        <v>22</v>
      </c>
      <c r="BE386">
        <f>ROUNDUP(tbl_Data_old[[#This Row],[Adjusted 2028]]/$L386,0)</f>
        <v>29</v>
      </c>
      <c r="BF386">
        <f>ROUNDUP(tbl_Data_old[[#This Row],[Adjusted 2029]]/$L386,0)</f>
        <v>36</v>
      </c>
      <c r="BG386">
        <f>ROUNDUP(tbl_Data_old[[#This Row],[Adjusted 2030]]/$L386,0)</f>
        <v>42</v>
      </c>
      <c r="BH386">
        <f>ROUNDUP(tbl_Data_old[[#This Row],[Adjusted 2031]]/$L386,0)</f>
        <v>47</v>
      </c>
      <c r="BI386">
        <f>ROUNDUP(tbl_Data_old[[#This Row],[Adjusted 2032]]/$L386,0)</f>
        <v>49</v>
      </c>
      <c r="BJ386">
        <f>ROUNDUP(tbl_Data_old[[#This Row],[Adjusted 2033]]/$L386,0)</f>
        <v>47</v>
      </c>
      <c r="BK386">
        <f>ROUNDUP(tbl_Data_old[[#This Row],[Adjusted 2034]]/$L386,0)</f>
        <v>41</v>
      </c>
      <c r="BL386" s="3">
        <f t="shared" si="27"/>
        <v>5049.1009077213184</v>
      </c>
      <c r="BM386" s="3">
        <f t="shared" si="27"/>
        <v>6961.8604561391003</v>
      </c>
      <c r="BN386" s="3">
        <f t="shared" si="27"/>
        <v>9330.5519681769965</v>
      </c>
      <c r="BO386" s="3">
        <f t="shared" si="27"/>
        <v>12149.507550559714</v>
      </c>
      <c r="BP386" s="3">
        <f t="shared" si="27"/>
        <v>15221.379654815006</v>
      </c>
      <c r="BQ386" s="3">
        <f t="shared" si="26"/>
        <v>18114.272784123412</v>
      </c>
      <c r="BR386" s="3">
        <f t="shared" si="26"/>
        <v>20230.787628852671</v>
      </c>
      <c r="BS386" s="3">
        <f t="shared" si="26"/>
        <v>20968.676771781284</v>
      </c>
      <c r="BT386" s="3">
        <f t="shared" si="26"/>
        <v>19959.385405907142</v>
      </c>
      <c r="BU386" s="3">
        <f t="shared" si="26"/>
        <v>17381.966518676632</v>
      </c>
      <c r="BV386">
        <f>VLOOKUP($H386,'1. Set Program Names'!$B$2:$D$15,3,0)*V386</f>
        <v>672.3192419596802</v>
      </c>
      <c r="BW386">
        <f>VLOOKUP($H386,'1. Set Program Names'!$B$2:$D$15,3,0)*W386</f>
        <v>927.01509239847712</v>
      </c>
      <c r="BX386">
        <f>VLOOKUP($H386,'1. Set Program Names'!$B$2:$D$15,3,0)*X386</f>
        <v>1242.4211242672989</v>
      </c>
      <c r="BY386">
        <f>VLOOKUP($H386,'1. Set Program Names'!$B$2:$D$15,3,0)*Y386</f>
        <v>1617.782622265343</v>
      </c>
      <c r="BZ386">
        <f>VLOOKUP($H386,'1. Set Program Names'!$B$2:$D$15,3,0)*Z386</f>
        <v>2026.821530830566</v>
      </c>
      <c r="CA386">
        <f>VLOOKUP($H386,'1. Set Program Names'!$B$2:$D$15,3,0)*AA386</f>
        <v>2412.0282738355809</v>
      </c>
      <c r="CB386">
        <f>VLOOKUP($H386,'1. Set Program Names'!$B$2:$D$15,3,0)*AB386</f>
        <v>2693.8554113817349</v>
      </c>
      <c r="CC386">
        <f>VLOOKUP($H386,'1. Set Program Names'!$B$2:$D$15,3,0)*AC386</f>
        <v>2792.1099478409665</v>
      </c>
      <c r="CD386">
        <f>VLOOKUP($H386,'1. Set Program Names'!$B$2:$D$15,3,0)*AD386</f>
        <v>2657.7165145500489</v>
      </c>
      <c r="CE386">
        <f>VLOOKUP($H386,'1. Set Program Names'!$B$2:$D$15,3,0)*AE386</f>
        <v>2314.5171322946012</v>
      </c>
    </row>
    <row r="387" spans="1:83" x14ac:dyDescent="0.25">
      <c r="A387" s="20" t="s">
        <v>87</v>
      </c>
      <c r="B387" s="20" t="s">
        <v>88</v>
      </c>
      <c r="C387" s="20" t="s">
        <v>122</v>
      </c>
      <c r="D387" s="20" t="s">
        <v>90</v>
      </c>
      <c r="E387" s="20" t="s">
        <v>91</v>
      </c>
      <c r="F387" s="20" t="s">
        <v>90</v>
      </c>
      <c r="G387" s="20" t="s">
        <v>92</v>
      </c>
      <c r="H387" s="20" t="s">
        <v>18</v>
      </c>
      <c r="I387" s="20" t="s">
        <v>169</v>
      </c>
      <c r="J387" s="20" t="s">
        <v>129</v>
      </c>
      <c r="K387" s="20" t="s">
        <v>102</v>
      </c>
      <c r="L387" s="20">
        <v>12279.148571428501</v>
      </c>
      <c r="M387" s="20">
        <v>2.3939185148112898</v>
      </c>
      <c r="N387" s="20">
        <v>0.409805025192993</v>
      </c>
      <c r="O387" s="20">
        <v>4666.07785714284</v>
      </c>
      <c r="P387" s="20">
        <v>2140.17810945783</v>
      </c>
      <c r="Q387" s="20">
        <v>388.61290273657698</v>
      </c>
      <c r="R387" s="20">
        <v>6035.2668545830202</v>
      </c>
      <c r="S387" s="20">
        <v>13336.629705795</v>
      </c>
      <c r="T387" s="20">
        <v>15</v>
      </c>
      <c r="U387" s="20">
        <v>1</v>
      </c>
      <c r="V387" s="20">
        <v>79275.1337541947</v>
      </c>
      <c r="W387" s="20">
        <v>88467.5331907496</v>
      </c>
      <c r="X387" s="20">
        <v>96565.981944576299</v>
      </c>
      <c r="Y387" s="20">
        <v>104071.58909631699</v>
      </c>
      <c r="Z387" s="20">
        <v>110935.959037949</v>
      </c>
      <c r="AA387" s="20">
        <v>117123.687958455</v>
      </c>
      <c r="AB387" s="20">
        <v>122707.84562364699</v>
      </c>
      <c r="AC387" s="20">
        <v>128010.177921001</v>
      </c>
      <c r="AD387" s="20">
        <v>133184.31191850299</v>
      </c>
      <c r="AE387" s="20">
        <v>138074.654682411</v>
      </c>
      <c r="AF387" t="str">
        <f t="shared" si="28"/>
        <v>NonResidential</v>
      </c>
      <c r="AG387" t="str">
        <f>tbl_Data_old[[#This Row],[All_Meas_Name_Append]]</f>
        <v>Custom measure - Non-lighting_69</v>
      </c>
      <c r="AH387">
        <f>AVERAGEIFS('3. Incentive Adjustment'!G:G,'3. Incentive Adjustment'!A:A,tbl_Data_old[[#This Row],[Trimmed Sector]],'3. Incentive Adjustment'!B:B,tbl_Data_old[[#This Row],[Trimmed Measure Name]])</f>
        <v>0.94249803878007732</v>
      </c>
      <c r="AI387">
        <f>$AH387*tbl_Data_old[[#This Row],[2025 ]]</f>
        <v>74716.658087356816</v>
      </c>
      <c r="AJ387">
        <f>$AH387*tbl_Data_old[[#This Row],[2026 ]]</f>
        <v>83380.476527992898</v>
      </c>
      <c r="AK387">
        <f>$AH387*tbl_Data_old[[#This Row],[2027 ]]</f>
        <v>91013.248595635523</v>
      </c>
      <c r="AL387">
        <f>$AH387*tbl_Data_old[[#This Row],[2028 ]]</f>
        <v>98087.268616004847</v>
      </c>
      <c r="AM387">
        <f>$AH387*tbl_Data_old[[#This Row],[2029 ]]</f>
        <v>104556.92382345392</v>
      </c>
      <c r="AN387">
        <f>$AH387*tbl_Data_old[[#This Row],[2030 ]]</f>
        <v>110388.8461955336</v>
      </c>
      <c r="AO387">
        <f>$AH387*tbl_Data_old[[#This Row],[2031 ]]</f>
        <v>115651.90384321578</v>
      </c>
      <c r="AP387">
        <f>$AH387*tbl_Data_old[[#This Row],[2032 ]]</f>
        <v>120649.3416344322</v>
      </c>
      <c r="AQ387">
        <f>$AH387*tbl_Data_old[[#This Row],[2033 ]]</f>
        <v>125525.95277946314</v>
      </c>
      <c r="AR387">
        <f>$AH387*tbl_Data_old[[#This Row],[2034 ]]</f>
        <v>130135.09124340878</v>
      </c>
      <c r="AS387">
        <f>SUM(tbl_Data_old[[#This Row],[Adjusted 2025]:[Adjusted 2034]])</f>
        <v>1054105.7113464975</v>
      </c>
      <c r="AT387" s="3">
        <f>AVERAGEIFS('3. Incentive Adjustment'!F:F,'3. Incentive Adjustment'!A:A,tbl_Data_old[[#This Row],[Trimmed Sector]],'3. Incentive Adjustment'!B:B,tbl_Data_old[[#This Row],[Trimmed Measure Name]])</f>
        <v>1864.5735288999113</v>
      </c>
      <c r="AU387" s="3">
        <f>IFERROR(VLOOKUP(tbl_Data_old[[#This Row],[All_Meas_Name_Append]],'IRA Tax Credits'!$A$3:$D$46,4,0),0)</f>
        <v>0</v>
      </c>
      <c r="AV387" s="4">
        <f>tbl_Data_old[[#This Row],[Adj. per unit Incentive ($)]]/tbl_Data_old[[#This Row],[kWh Savings]]*tbl_Data_old[[#This Row],[Sum of Annuals]]</f>
        <v>160064.64899465235</v>
      </c>
      <c r="AW387" s="4">
        <f>IFERROR(VLOOKUP(tbl_Data_old[[#This Row],[All_Programs]],'1. Set Program Names'!$B$2:$D$15,3,0)*tbl_Data_old[[#This Row],[Sum of Annuals]],"")</f>
        <v>33360.544332098616</v>
      </c>
      <c r="AX387" s="4">
        <f>tbl_Data_old[[#This Row],[per unit IRA tax ($)]]/tbl_Data_old[[#This Row],[kWh Savings]]*tbl_Data_old[[#This Row],[Sum of Annuals]]</f>
        <v>0</v>
      </c>
      <c r="AY387" s="4">
        <f>tbl_Data_old[[#This Row],[Avoided Costs ($/unit)]]/tbl_Data_old[[#This Row],[kWh Savings]]*tbl_Data_old[[#This Row],[Sum of Annuals]]</f>
        <v>518098.56554053153</v>
      </c>
      <c r="AZ387" s="4">
        <f>tbl_Data_old[[#This Row],[Lost Revenue ($/unit)]]/tbl_Data_old[[#This Row],[kWh Savings]]*tbl_Data_old[[#This Row],[Sum of Annuals]]</f>
        <v>1144885.3689825824</v>
      </c>
      <c r="BA387" s="4">
        <f>tbl_Data_old[[#This Row],[Incremental Cost ($/unit)]]/tbl_Data_old[[#This Row],[kWh Savings]]*tbl_Data_old[[#This Row],[Sum of Annuals]]</f>
        <v>400560.29049492098</v>
      </c>
      <c r="BB387">
        <f>ROUNDUP(tbl_Data_old[[#This Row],[Adjusted 2025]]/$L387,0)</f>
        <v>7</v>
      </c>
      <c r="BC387">
        <f>ROUNDUP(tbl_Data_old[[#This Row],[Adjusted 2026]]/$L387,0)</f>
        <v>7</v>
      </c>
      <c r="BD387">
        <f>ROUNDUP(tbl_Data_old[[#This Row],[Adjusted 2027]]/$L387,0)</f>
        <v>8</v>
      </c>
      <c r="BE387">
        <f>ROUNDUP(tbl_Data_old[[#This Row],[Adjusted 2028]]/$L387,0)</f>
        <v>8</v>
      </c>
      <c r="BF387">
        <f>ROUNDUP(tbl_Data_old[[#This Row],[Adjusted 2029]]/$L387,0)</f>
        <v>9</v>
      </c>
      <c r="BG387">
        <f>ROUNDUP(tbl_Data_old[[#This Row],[Adjusted 2030]]/$L387,0)</f>
        <v>9</v>
      </c>
      <c r="BH387">
        <f>ROUNDUP(tbl_Data_old[[#This Row],[Adjusted 2031]]/$L387,0)</f>
        <v>10</v>
      </c>
      <c r="BI387">
        <f>ROUNDUP(tbl_Data_old[[#This Row],[Adjusted 2032]]/$L387,0)</f>
        <v>10</v>
      </c>
      <c r="BJ387">
        <f>ROUNDUP(tbl_Data_old[[#This Row],[Adjusted 2033]]/$L387,0)</f>
        <v>11</v>
      </c>
      <c r="BK387">
        <f>ROUNDUP(tbl_Data_old[[#This Row],[Adjusted 2034]]/$L387,0)</f>
        <v>11</v>
      </c>
      <c r="BL387" s="3">
        <f t="shared" si="27"/>
        <v>12037.831046527945</v>
      </c>
      <c r="BM387" s="3">
        <f t="shared" si="27"/>
        <v>13433.685535686613</v>
      </c>
      <c r="BN387" s="3">
        <f t="shared" si="27"/>
        <v>14663.424966209772</v>
      </c>
      <c r="BO387" s="3">
        <f t="shared" si="27"/>
        <v>15803.142132432598</v>
      </c>
      <c r="BP387" s="3">
        <f t="shared" si="27"/>
        <v>16845.488221112122</v>
      </c>
      <c r="BQ387" s="3">
        <f t="shared" si="26"/>
        <v>17785.087207317865</v>
      </c>
      <c r="BR387" s="3">
        <f t="shared" si="26"/>
        <v>18633.034644646512</v>
      </c>
      <c r="BS387" s="3">
        <f t="shared" si="26"/>
        <v>19438.1872483117</v>
      </c>
      <c r="BT387" s="3">
        <f t="shared" si="26"/>
        <v>20223.873098645941</v>
      </c>
      <c r="BU387" s="3">
        <f t="shared" si="26"/>
        <v>20966.465601032229</v>
      </c>
      <c r="BV387">
        <f>VLOOKUP($H387,'1. Set Program Names'!$B$2:$D$15,3,0)*V387</f>
        <v>2508.9149841163576</v>
      </c>
      <c r="BW387">
        <f>VLOOKUP($H387,'1. Set Program Names'!$B$2:$D$15,3,0)*W387</f>
        <v>2799.8378447180912</v>
      </c>
      <c r="BX387">
        <f>VLOOKUP($H387,'1. Set Program Names'!$B$2:$D$15,3,0)*X387</f>
        <v>3056.13913951722</v>
      </c>
      <c r="BY387">
        <f>VLOOKUP($H387,'1. Set Program Names'!$B$2:$D$15,3,0)*Y387</f>
        <v>3293.6780669983323</v>
      </c>
      <c r="BZ387">
        <f>VLOOKUP($H387,'1. Set Program Names'!$B$2:$D$15,3,0)*Z387</f>
        <v>3510.9229934651662</v>
      </c>
      <c r="CA387">
        <f>VLOOKUP($H387,'1. Set Program Names'!$B$2:$D$15,3,0)*AA387</f>
        <v>3706.7534521616326</v>
      </c>
      <c r="CB387">
        <f>VLOOKUP($H387,'1. Set Program Names'!$B$2:$D$15,3,0)*AB387</f>
        <v>3883.4819693699314</v>
      </c>
      <c r="CC387">
        <f>VLOOKUP($H387,'1. Set Program Names'!$B$2:$D$15,3,0)*AC387</f>
        <v>4051.2912220524181</v>
      </c>
      <c r="CD387">
        <f>VLOOKUP($H387,'1. Set Program Names'!$B$2:$D$15,3,0)*AD387</f>
        <v>4215.0432297930765</v>
      </c>
      <c r="CE387">
        <f>VLOOKUP($H387,'1. Set Program Names'!$B$2:$D$15,3,0)*AE387</f>
        <v>4369.8137569028413</v>
      </c>
    </row>
    <row r="388" spans="1:83" x14ac:dyDescent="0.25">
      <c r="A388" s="20" t="s">
        <v>87</v>
      </c>
      <c r="B388" s="20" t="s">
        <v>88</v>
      </c>
      <c r="C388" s="20" t="s">
        <v>122</v>
      </c>
      <c r="D388" s="20" t="s">
        <v>90</v>
      </c>
      <c r="E388" s="20" t="s">
        <v>91</v>
      </c>
      <c r="F388" s="20" t="s">
        <v>90</v>
      </c>
      <c r="G388" s="20" t="s">
        <v>92</v>
      </c>
      <c r="H388" s="20" t="s">
        <v>18</v>
      </c>
      <c r="I388" s="20" t="s">
        <v>170</v>
      </c>
      <c r="J388" s="20" t="s">
        <v>144</v>
      </c>
      <c r="K388" s="20" t="s">
        <v>171</v>
      </c>
      <c r="L388" s="20">
        <v>5592.79</v>
      </c>
      <c r="M388" s="20">
        <v>0.87755365852981304</v>
      </c>
      <c r="N388" s="20">
        <v>1.3078150987013399</v>
      </c>
      <c r="O388" s="20">
        <v>2274</v>
      </c>
      <c r="P388" s="20">
        <v>1123.5242193223601</v>
      </c>
      <c r="Q388" s="20">
        <v>177.00171503367099</v>
      </c>
      <c r="R388" s="20">
        <v>3205.1805113222799</v>
      </c>
      <c r="S388" s="20">
        <v>7177.7771935445198</v>
      </c>
      <c r="T388" s="20">
        <v>20</v>
      </c>
      <c r="U388" s="20">
        <v>1</v>
      </c>
      <c r="V388" s="20">
        <v>1601.16012615676</v>
      </c>
      <c r="W388" s="20">
        <v>2060.4241629355201</v>
      </c>
      <c r="X388" s="20">
        <v>2588.30153383687</v>
      </c>
      <c r="Y388" s="20">
        <v>3182.01068164043</v>
      </c>
      <c r="Z388" s="20">
        <v>3809.57266246577</v>
      </c>
      <c r="AA388" s="20">
        <v>4417.1874785280597</v>
      </c>
      <c r="AB388" s="20">
        <v>4940.5232068426503</v>
      </c>
      <c r="AC388" s="20">
        <v>5316.3029563522005</v>
      </c>
      <c r="AD388" s="20">
        <v>5478.7283947257201</v>
      </c>
      <c r="AE388" s="20">
        <v>5380.9170799649701</v>
      </c>
      <c r="AF388" t="str">
        <f t="shared" si="28"/>
        <v>NonResidential</v>
      </c>
      <c r="AG388" t="str">
        <f>tbl_Data_old[[#This Row],[All_Meas_Name_Append]]</f>
        <v>Demand Controlled Circulating Systems</v>
      </c>
      <c r="AH388">
        <f>AVERAGEIFS('3. Incentive Adjustment'!G:G,'3. Incentive Adjustment'!A:A,tbl_Data_old[[#This Row],[Trimmed Sector]],'3. Incentive Adjustment'!B:B,tbl_Data_old[[#This Row],[Trimmed Measure Name]])</f>
        <v>0.82519266246945677</v>
      </c>
      <c r="AI388">
        <f>$AH388*tbl_Data_old[[#This Row],[2025 ]]</f>
        <v>1321.2655875432281</v>
      </c>
      <c r="AJ388">
        <f>$AH388*tbl_Data_old[[#This Row],[2026 ]]</f>
        <v>1700.2469008291637</v>
      </c>
      <c r="AK388">
        <f>$AH388*tbl_Data_old[[#This Row],[2027 ]]</f>
        <v>2135.8474339806257</v>
      </c>
      <c r="AL388">
        <f>$AH388*tbl_Data_old[[#This Row],[2028 ]]</f>
        <v>2625.7718663891173</v>
      </c>
      <c r="AM388">
        <f>$AH388*tbl_Data_old[[#This Row],[2029 ]]</f>
        <v>3143.6314082109861</v>
      </c>
      <c r="AN388">
        <f>$AH388*tbl_Data_old[[#This Row],[2030 ]]</f>
        <v>3645.030696033316</v>
      </c>
      <c r="AO388">
        <f>$AH388*tbl_Data_old[[#This Row],[2031 ]]</f>
        <v>4076.8834990466253</v>
      </c>
      <c r="AP388">
        <f>$AH388*tbl_Data_old[[#This Row],[2032 ]]</f>
        <v>4386.9741910465164</v>
      </c>
      <c r="AQ388">
        <f>$AH388*tbl_Data_old[[#This Row],[2033 ]]</f>
        <v>4521.0064709907301</v>
      </c>
      <c r="AR388">
        <f>$AH388*tbl_Data_old[[#This Row],[2034 ]]</f>
        <v>4440.2932917436683</v>
      </c>
      <c r="AS388">
        <f>SUM(tbl_Data_old[[#This Row],[Adjusted 2025]:[Adjusted 2034]])</f>
        <v>31996.951345813977</v>
      </c>
      <c r="AT388" s="3">
        <f>AVERAGEIFS('3. Incentive Adjustment'!F:F,'3. Incentive Adjustment'!A:A,tbl_Data_old[[#This Row],[Trimmed Sector]],'3. Incentive Adjustment'!B:B,tbl_Data_old[[#This Row],[Trimmed Measure Name]])</f>
        <v>716.2547365811331</v>
      </c>
      <c r="AU388" s="3">
        <f>IFERROR(VLOOKUP(tbl_Data_old[[#This Row],[All_Meas_Name_Append]],'IRA Tax Credits'!$A$3:$D$46,4,0),0)</f>
        <v>0</v>
      </c>
      <c r="AV388" s="4">
        <f>tbl_Data_old[[#This Row],[Adj. per unit Incentive ($)]]/tbl_Data_old[[#This Row],[kWh Savings]]*tbl_Data_old[[#This Row],[Sum of Annuals]]</f>
        <v>4097.7701572194419</v>
      </c>
      <c r="AW388" s="4">
        <f>IFERROR(VLOOKUP(tbl_Data_old[[#This Row],[All_Programs]],'1. Set Program Names'!$B$2:$D$15,3,0)*tbl_Data_old[[#This Row],[Sum of Annuals]],"")</f>
        <v>1012.6457928972841</v>
      </c>
      <c r="AX388" s="4">
        <f>tbl_Data_old[[#This Row],[per unit IRA tax ($)]]/tbl_Data_old[[#This Row],[kWh Savings]]*tbl_Data_old[[#This Row],[Sum of Annuals]]</f>
        <v>0</v>
      </c>
      <c r="AY388" s="4">
        <f>tbl_Data_old[[#This Row],[Avoided Costs ($/unit)]]/tbl_Data_old[[#This Row],[kWh Savings]]*tbl_Data_old[[#This Row],[Sum of Annuals]]</f>
        <v>18337.181420244666</v>
      </c>
      <c r="AZ388" s="4">
        <f>tbl_Data_old[[#This Row],[Lost Revenue ($/unit)]]/tbl_Data_old[[#This Row],[kWh Savings]]*tbl_Data_old[[#This Row],[Sum of Annuals]]</f>
        <v>41064.833049861911</v>
      </c>
      <c r="BA388" s="4">
        <f>tbl_Data_old[[#This Row],[Incremental Cost ($/unit)]]/tbl_Data_old[[#This Row],[kWh Savings]]*tbl_Data_old[[#This Row],[Sum of Annuals]]</f>
        <v>13009.797857666921</v>
      </c>
      <c r="BB388">
        <f>ROUNDUP(tbl_Data_old[[#This Row],[Adjusted 2025]]/$L388,0)</f>
        <v>1</v>
      </c>
      <c r="BC388">
        <f>ROUNDUP(tbl_Data_old[[#This Row],[Adjusted 2026]]/$L388,0)</f>
        <v>1</v>
      </c>
      <c r="BD388">
        <f>ROUNDUP(tbl_Data_old[[#This Row],[Adjusted 2027]]/$L388,0)</f>
        <v>1</v>
      </c>
      <c r="BE388">
        <f>ROUNDUP(tbl_Data_old[[#This Row],[Adjusted 2028]]/$L388,0)</f>
        <v>1</v>
      </c>
      <c r="BF388">
        <f>ROUNDUP(tbl_Data_old[[#This Row],[Adjusted 2029]]/$L388,0)</f>
        <v>1</v>
      </c>
      <c r="BG388">
        <f>ROUNDUP(tbl_Data_old[[#This Row],[Adjusted 2030]]/$L388,0)</f>
        <v>1</v>
      </c>
      <c r="BH388">
        <f>ROUNDUP(tbl_Data_old[[#This Row],[Adjusted 2031]]/$L388,0)</f>
        <v>1</v>
      </c>
      <c r="BI388">
        <f>ROUNDUP(tbl_Data_old[[#This Row],[Adjusted 2032]]/$L388,0)</f>
        <v>1</v>
      </c>
      <c r="BJ388">
        <f>ROUNDUP(tbl_Data_old[[#This Row],[Adjusted 2033]]/$L388,0)</f>
        <v>1</v>
      </c>
      <c r="BK388">
        <f>ROUNDUP(tbl_Data_old[[#This Row],[Adjusted 2034]]/$L388,0)</f>
        <v>1</v>
      </c>
      <c r="BL388" s="3">
        <f t="shared" si="27"/>
        <v>205.05660401778434</v>
      </c>
      <c r="BM388" s="3">
        <f t="shared" si="27"/>
        <v>263.87340952704869</v>
      </c>
      <c r="BN388" s="3">
        <f t="shared" si="27"/>
        <v>331.47735447082226</v>
      </c>
      <c r="BO388" s="3">
        <f t="shared" si="27"/>
        <v>407.51221171842997</v>
      </c>
      <c r="BP388" s="3">
        <f t="shared" si="27"/>
        <v>487.88251728405788</v>
      </c>
      <c r="BQ388" s="3">
        <f t="shared" si="26"/>
        <v>565.69823895812203</v>
      </c>
      <c r="BR388" s="3">
        <f t="shared" si="26"/>
        <v>632.72054700606634</v>
      </c>
      <c r="BS388" s="3">
        <f t="shared" si="26"/>
        <v>680.84572701416369</v>
      </c>
      <c r="BT388" s="3">
        <f t="shared" si="26"/>
        <v>701.64714984182228</v>
      </c>
      <c r="BU388" s="3">
        <f t="shared" si="26"/>
        <v>689.12069748287161</v>
      </c>
      <c r="BV388">
        <f>VLOOKUP($H388,'1. Set Program Names'!$B$2:$D$15,3,0)*V388</f>
        <v>50.673829765336365</v>
      </c>
      <c r="BW388">
        <f>VLOOKUP($H388,'1. Set Program Names'!$B$2:$D$15,3,0)*W388</f>
        <v>65.2087080931705</v>
      </c>
      <c r="BX388">
        <f>VLOOKUP($H388,'1. Set Program Names'!$B$2:$D$15,3,0)*X388</f>
        <v>81.915074678900382</v>
      </c>
      <c r="BY388">
        <f>VLOOKUP($H388,'1. Set Program Names'!$B$2:$D$15,3,0)*Y388</f>
        <v>100.70489825396925</v>
      </c>
      <c r="BZ388">
        <f>VLOOKUP($H388,'1. Set Program Names'!$B$2:$D$15,3,0)*Z388</f>
        <v>120.56610292927672</v>
      </c>
      <c r="CA388">
        <f>VLOOKUP($H388,'1. Set Program Names'!$B$2:$D$15,3,0)*AA388</f>
        <v>139.79601582121327</v>
      </c>
      <c r="CB388">
        <f>VLOOKUP($H388,'1. Set Program Names'!$B$2:$D$15,3,0)*AB388</f>
        <v>156.35864761144282</v>
      </c>
      <c r="CC388">
        <f>VLOOKUP($H388,'1. Set Program Names'!$B$2:$D$15,3,0)*AC388</f>
        <v>168.25139883902577</v>
      </c>
      <c r="CD388">
        <f>VLOOKUP($H388,'1. Set Program Names'!$B$2:$D$15,3,0)*AD388</f>
        <v>173.39187097497381</v>
      </c>
      <c r="CE388">
        <f>VLOOKUP($H388,'1. Set Program Names'!$B$2:$D$15,3,0)*AE388</f>
        <v>170.29631929819871</v>
      </c>
    </row>
    <row r="389" spans="1:83" x14ac:dyDescent="0.25">
      <c r="A389" s="20" t="s">
        <v>87</v>
      </c>
      <c r="B389" s="20" t="s">
        <v>88</v>
      </c>
      <c r="C389" s="20" t="s">
        <v>122</v>
      </c>
      <c r="D389" s="20" t="s">
        <v>90</v>
      </c>
      <c r="E389" s="20" t="s">
        <v>91</v>
      </c>
      <c r="F389" s="20" t="s">
        <v>90</v>
      </c>
      <c r="G389" s="20" t="s">
        <v>92</v>
      </c>
      <c r="H389" s="20" t="s">
        <v>18</v>
      </c>
      <c r="I389" s="20" t="s">
        <v>172</v>
      </c>
      <c r="J389" s="20" t="s">
        <v>144</v>
      </c>
      <c r="K389" s="20" t="s">
        <v>102</v>
      </c>
      <c r="L389" s="20">
        <v>18085.229999999901</v>
      </c>
      <c r="M389" s="20">
        <v>0.84213537152598805</v>
      </c>
      <c r="N389" s="20">
        <v>1.2419142635526399</v>
      </c>
      <c r="O389" s="20">
        <v>5343.87</v>
      </c>
      <c r="P389" s="20">
        <v>2505.3610009054501</v>
      </c>
      <c r="Q389" s="20">
        <v>572.36490674214201</v>
      </c>
      <c r="R389" s="20">
        <v>7297.3054636159204</v>
      </c>
      <c r="S389" s="20">
        <v>27879.9715993795</v>
      </c>
      <c r="T389" s="20">
        <v>30</v>
      </c>
      <c r="U389" s="20">
        <v>1</v>
      </c>
      <c r="V389" s="20">
        <v>33528.579471105601</v>
      </c>
      <c r="W389" s="20">
        <v>46170.287003845799</v>
      </c>
      <c r="X389" s="20">
        <v>61635.351942693502</v>
      </c>
      <c r="Y389" s="20">
        <v>79804.021537628403</v>
      </c>
      <c r="Z389" s="20">
        <v>99240.601910004101</v>
      </c>
      <c r="AA389" s="20">
        <v>116838.79013199</v>
      </c>
      <c r="AB389" s="20">
        <v>128616.539471011</v>
      </c>
      <c r="AC389" s="20">
        <v>130732.75490289299</v>
      </c>
      <c r="AD389" s="20">
        <v>121140.455966037</v>
      </c>
      <c r="AE389" s="20">
        <v>101804.95459312299</v>
      </c>
      <c r="AF389" t="str">
        <f t="shared" si="28"/>
        <v>NonResidential</v>
      </c>
      <c r="AG389" t="str">
        <f>tbl_Data_old[[#This Row],[All_Meas_Name_Append]]</f>
        <v>Drain water heat recovery</v>
      </c>
      <c r="AH389">
        <f>AVERAGEIFS('3. Incentive Adjustment'!G:G,'3. Incentive Adjustment'!A:A,tbl_Data_old[[#This Row],[Trimmed Sector]],'3. Incentive Adjustment'!B:B,tbl_Data_old[[#This Row],[Trimmed Measure Name]])</f>
        <v>0.69383814414313949</v>
      </c>
      <c r="AI389">
        <f>$AH389*tbl_Data_old[[#This Row],[2025 ]]</f>
        <v>23263.407355987674</v>
      </c>
      <c r="AJ389">
        <f>$AH389*tbl_Data_old[[#This Row],[2026 ]]</f>
        <v>32034.70624930448</v>
      </c>
      <c r="AK389">
        <f>$AH389*tbl_Data_old[[#This Row],[2027 ]]</f>
        <v>42764.958205527706</v>
      </c>
      <c r="AL389">
        <f>$AH389*tbl_Data_old[[#This Row],[2028 ]]</f>
        <v>55371.074198827228</v>
      </c>
      <c r="AM389">
        <f>$AH389*tbl_Data_old[[#This Row],[2029 ]]</f>
        <v>68856.91505288535</v>
      </c>
      <c r="AN389">
        <f>$AH389*tbl_Data_old[[#This Row],[2030 ]]</f>
        <v>81067.209309109705</v>
      </c>
      <c r="AO389">
        <f>$AH389*tbl_Data_old[[#This Row],[2031 ]]</f>
        <v>89239.061052679113</v>
      </c>
      <c r="AP389">
        <f>$AH389*tbl_Data_old[[#This Row],[2032 ]]</f>
        <v>90707.372040543196</v>
      </c>
      <c r="AQ389">
        <f>$AH389*tbl_Data_old[[#This Row],[2033 ]]</f>
        <v>84051.869148128826</v>
      </c>
      <c r="AR389">
        <f>$AH389*tbl_Data_old[[#This Row],[2034 ]]</f>
        <v>70636.160759469043</v>
      </c>
      <c r="AS389">
        <f>SUM(tbl_Data_old[[#This Row],[Adjusted 2025]:[Adjusted 2034]])</f>
        <v>637992.73337246233</v>
      </c>
      <c r="AT389" s="3">
        <f>AVERAGEIFS('3. Incentive Adjustment'!F:F,'3. Incentive Adjustment'!A:A,tbl_Data_old[[#This Row],[Trimmed Sector]],'3. Incentive Adjustment'!B:B,tbl_Data_old[[#This Row],[Trimmed Measure Name]])</f>
        <v>0</v>
      </c>
      <c r="AU389" s="3">
        <f>IFERROR(VLOOKUP(tbl_Data_old[[#This Row],[All_Meas_Name_Append]],'IRA Tax Credits'!$A$3:$D$46,4,0),0)</f>
        <v>0</v>
      </c>
      <c r="AV389" s="4">
        <f>tbl_Data_old[[#This Row],[Adj. per unit Incentive ($)]]/tbl_Data_old[[#This Row],[kWh Savings]]*tbl_Data_old[[#This Row],[Sum of Annuals]]</f>
        <v>0</v>
      </c>
      <c r="AW389" s="4">
        <f>IFERROR(VLOOKUP(tbl_Data_old[[#This Row],[All_Programs]],'1. Set Program Names'!$B$2:$D$15,3,0)*tbl_Data_old[[#This Row],[Sum of Annuals]],"")</f>
        <v>20191.319178074882</v>
      </c>
      <c r="AX389" s="4">
        <f>tbl_Data_old[[#This Row],[per unit IRA tax ($)]]/tbl_Data_old[[#This Row],[kWh Savings]]*tbl_Data_old[[#This Row],[Sum of Annuals]]</f>
        <v>0</v>
      </c>
      <c r="AY389" s="4">
        <f>tbl_Data_old[[#This Row],[Avoided Costs ($/unit)]]/tbl_Data_old[[#This Row],[kWh Savings]]*tbl_Data_old[[#This Row],[Sum of Annuals]]</f>
        <v>257427.07496593351</v>
      </c>
      <c r="AZ389" s="4">
        <f>tbl_Data_old[[#This Row],[Lost Revenue ($/unit)]]/tbl_Data_old[[#This Row],[kWh Savings]]*tbl_Data_old[[#This Row],[Sum of Annuals]]</f>
        <v>983521.8732100639</v>
      </c>
      <c r="BA389" s="4">
        <f>tbl_Data_old[[#This Row],[Incremental Cost ($/unit)]]/tbl_Data_old[[#This Row],[kWh Savings]]*tbl_Data_old[[#This Row],[Sum of Annuals]]</f>
        <v>188515.72405145629</v>
      </c>
      <c r="BB389">
        <f>ROUNDUP(tbl_Data_old[[#This Row],[Adjusted 2025]]/$L389,0)</f>
        <v>2</v>
      </c>
      <c r="BC389">
        <f>ROUNDUP(tbl_Data_old[[#This Row],[Adjusted 2026]]/$L389,0)</f>
        <v>2</v>
      </c>
      <c r="BD389">
        <f>ROUNDUP(tbl_Data_old[[#This Row],[Adjusted 2027]]/$L389,0)</f>
        <v>3</v>
      </c>
      <c r="BE389">
        <f>ROUNDUP(tbl_Data_old[[#This Row],[Adjusted 2028]]/$L389,0)</f>
        <v>4</v>
      </c>
      <c r="BF389">
        <f>ROUNDUP(tbl_Data_old[[#This Row],[Adjusted 2029]]/$L389,0)</f>
        <v>4</v>
      </c>
      <c r="BG389">
        <f>ROUNDUP(tbl_Data_old[[#This Row],[Adjusted 2030]]/$L389,0)</f>
        <v>5</v>
      </c>
      <c r="BH389">
        <f>ROUNDUP(tbl_Data_old[[#This Row],[Adjusted 2031]]/$L389,0)</f>
        <v>5</v>
      </c>
      <c r="BI389">
        <f>ROUNDUP(tbl_Data_old[[#This Row],[Adjusted 2032]]/$L389,0)</f>
        <v>6</v>
      </c>
      <c r="BJ389">
        <f>ROUNDUP(tbl_Data_old[[#This Row],[Adjusted 2033]]/$L389,0)</f>
        <v>5</v>
      </c>
      <c r="BK389">
        <f>ROUNDUP(tbl_Data_old[[#This Row],[Adjusted 2034]]/$L389,0)</f>
        <v>4</v>
      </c>
      <c r="BL389" s="3">
        <f t="shared" si="27"/>
        <v>0</v>
      </c>
      <c r="BM389" s="3">
        <f t="shared" si="27"/>
        <v>0</v>
      </c>
      <c r="BN389" s="3">
        <f t="shared" si="27"/>
        <v>0</v>
      </c>
      <c r="BO389" s="3">
        <f t="shared" si="27"/>
        <v>0</v>
      </c>
      <c r="BP389" s="3">
        <f t="shared" si="27"/>
        <v>0</v>
      </c>
      <c r="BQ389" s="3">
        <f t="shared" si="26"/>
        <v>0</v>
      </c>
      <c r="BR389" s="3">
        <f t="shared" si="26"/>
        <v>0</v>
      </c>
      <c r="BS389" s="3">
        <f t="shared" si="26"/>
        <v>0</v>
      </c>
      <c r="BT389" s="3">
        <f t="shared" si="26"/>
        <v>0</v>
      </c>
      <c r="BU389" s="3">
        <f t="shared" si="26"/>
        <v>0</v>
      </c>
      <c r="BV389">
        <f>VLOOKUP($H389,'1. Set Program Names'!$B$2:$D$15,3,0)*V389</f>
        <v>1061.1190602594456</v>
      </c>
      <c r="BW389">
        <f>VLOOKUP($H389,'1. Set Program Names'!$B$2:$D$15,3,0)*W389</f>
        <v>1461.2063001252538</v>
      </c>
      <c r="BX389">
        <f>VLOOKUP($H389,'1. Set Program Names'!$B$2:$D$15,3,0)*X389</f>
        <v>1950.6477090254875</v>
      </c>
      <c r="BY389">
        <f>VLOOKUP($H389,'1. Set Program Names'!$B$2:$D$15,3,0)*Y389</f>
        <v>2525.6533284361199</v>
      </c>
      <c r="BZ389">
        <f>VLOOKUP($H389,'1. Set Program Names'!$B$2:$D$15,3,0)*Z389</f>
        <v>3140.7860368518277</v>
      </c>
      <c r="CA389">
        <f>VLOOKUP($H389,'1. Set Program Names'!$B$2:$D$15,3,0)*AA389</f>
        <v>3697.7369498624812</v>
      </c>
      <c r="CB389">
        <f>VLOOKUP($H389,'1. Set Program Names'!$B$2:$D$15,3,0)*AB389</f>
        <v>4070.481471334484</v>
      </c>
      <c r="CC389">
        <f>VLOOKUP($H389,'1. Set Program Names'!$B$2:$D$15,3,0)*AC389</f>
        <v>4137.4558724516064</v>
      </c>
      <c r="CD389">
        <f>VLOOKUP($H389,'1. Set Program Names'!$B$2:$D$15,3,0)*AD389</f>
        <v>3833.8769140177715</v>
      </c>
      <c r="CE389">
        <f>VLOOKUP($H389,'1. Set Program Names'!$B$2:$D$15,3,0)*AE389</f>
        <v>3221.943173605262</v>
      </c>
    </row>
    <row r="390" spans="1:83" x14ac:dyDescent="0.25">
      <c r="A390" s="20" t="s">
        <v>87</v>
      </c>
      <c r="B390" s="20" t="s">
        <v>88</v>
      </c>
      <c r="C390" s="20" t="s">
        <v>122</v>
      </c>
      <c r="D390" s="20" t="s">
        <v>90</v>
      </c>
      <c r="E390" s="20" t="s">
        <v>91</v>
      </c>
      <c r="F390" s="20" t="s">
        <v>90</v>
      </c>
      <c r="G390" s="20" t="s">
        <v>92</v>
      </c>
      <c r="H390" s="20" t="s">
        <v>18</v>
      </c>
      <c r="I390" s="20" t="s">
        <v>133</v>
      </c>
      <c r="J390" s="20" t="s">
        <v>134</v>
      </c>
      <c r="K390" s="20" t="s">
        <v>98</v>
      </c>
      <c r="L390" s="20">
        <v>4486</v>
      </c>
      <c r="M390" s="20">
        <v>0.89185722946849999</v>
      </c>
      <c r="N390" s="20">
        <v>0.84310494165890204</v>
      </c>
      <c r="O390" s="20">
        <v>2050</v>
      </c>
      <c r="P390" s="20">
        <v>1127.1986160539</v>
      </c>
      <c r="Q390" s="20">
        <v>141.97380799941499</v>
      </c>
      <c r="R390" s="20">
        <v>2297.8137992477</v>
      </c>
      <c r="S390" s="20">
        <v>5757.3247860621796</v>
      </c>
      <c r="T390" s="20">
        <v>20</v>
      </c>
      <c r="U390" s="20">
        <v>1</v>
      </c>
      <c r="V390" s="20">
        <v>50633.576019914697</v>
      </c>
      <c r="W390" s="20">
        <v>65479.076181668999</v>
      </c>
      <c r="X390" s="20">
        <v>82830.211332240404</v>
      </c>
      <c r="Y390" s="20">
        <v>102747.517184193</v>
      </c>
      <c r="Z390" s="20">
        <v>124360.999863793</v>
      </c>
      <c r="AA390" s="20">
        <v>146061.41095404499</v>
      </c>
      <c r="AB390" s="20">
        <v>165773.93234276099</v>
      </c>
      <c r="AC390" s="20">
        <v>181292.57552994799</v>
      </c>
      <c r="AD390" s="20">
        <v>190123.01222254001</v>
      </c>
      <c r="AE390" s="20">
        <v>190199.333883841</v>
      </c>
      <c r="AF390" t="str">
        <f t="shared" si="28"/>
        <v>NonResidential</v>
      </c>
      <c r="AG390" t="str">
        <f>tbl_Data_old[[#This Row],[All_Meas_Name_Append]]</f>
        <v>Efficient Exhaust Hood</v>
      </c>
      <c r="AH390">
        <f>AVERAGEIFS('3. Incentive Adjustment'!G:G,'3. Incentive Adjustment'!A:A,tbl_Data_old[[#This Row],[Trimmed Sector]],'3. Incentive Adjustment'!B:B,tbl_Data_old[[#This Row],[Trimmed Measure Name]])</f>
        <v>0.51531219842413434</v>
      </c>
      <c r="AI390">
        <f>$AH390*tbl_Data_old[[#This Row],[2025 ]]</f>
        <v>26092.099372897774</v>
      </c>
      <c r="AJ390">
        <f>$AH390*tbl_Data_old[[#This Row],[2026 ]]</f>
        <v>33742.166697957226</v>
      </c>
      <c r="AK390">
        <f>$AH390*tbl_Data_old[[#This Row],[2027 ]]</f>
        <v>42683.418297552445</v>
      </c>
      <c r="AL390">
        <f>$AH390*tbl_Data_old[[#This Row],[2028 ]]</f>
        <v>52947.048962808018</v>
      </c>
      <c r="AM390">
        <f>$AH390*tbl_Data_old[[#This Row],[2029 ]]</f>
        <v>64084.740238034639</v>
      </c>
      <c r="AN390">
        <f>$AH390*tbl_Data_old[[#This Row],[2030 ]]</f>
        <v>75267.226783659862</v>
      </c>
      <c r="AO390">
        <f>$AH390*tbl_Data_old[[#This Row],[2031 ]]</f>
        <v>85425.32951696188</v>
      </c>
      <c r="AP390">
        <f>$AH390*tbl_Data_old[[#This Row],[2032 ]]</f>
        <v>93422.275654310928</v>
      </c>
      <c r="AQ390">
        <f>$AH390*tbl_Data_old[[#This Row],[2033 ]]</f>
        <v>97972.707399415653</v>
      </c>
      <c r="AR390">
        <f>$AH390*tbl_Data_old[[#This Row],[2034 ]]</f>
        <v>98012.036882488057</v>
      </c>
      <c r="AS390">
        <f>SUM(tbl_Data_old[[#This Row],[Adjusted 2025]:[Adjusted 2034]])</f>
        <v>669649.04980608646</v>
      </c>
      <c r="AT390" s="3">
        <f>AVERAGEIFS('3. Incentive Adjustment'!F:F,'3. Incentive Adjustment'!A:A,tbl_Data_old[[#This Row],[Trimmed Sector]],'3. Incentive Adjustment'!B:B,tbl_Data_old[[#This Row],[Trimmed Measure Name]])</f>
        <v>0</v>
      </c>
      <c r="AU390" s="3">
        <f>IFERROR(VLOOKUP(tbl_Data_old[[#This Row],[All_Meas_Name_Append]],'IRA Tax Credits'!$A$3:$D$46,4,0),0)</f>
        <v>0</v>
      </c>
      <c r="AV390" s="4">
        <f>tbl_Data_old[[#This Row],[Adj. per unit Incentive ($)]]/tbl_Data_old[[#This Row],[kWh Savings]]*tbl_Data_old[[#This Row],[Sum of Annuals]]</f>
        <v>0</v>
      </c>
      <c r="AW390" s="4">
        <f>IFERROR(VLOOKUP(tbl_Data_old[[#This Row],[All_Programs]],'1. Set Program Names'!$B$2:$D$15,3,0)*tbl_Data_old[[#This Row],[Sum of Annuals]],"")</f>
        <v>21193.18449045029</v>
      </c>
      <c r="AX390" s="4">
        <f>tbl_Data_old[[#This Row],[per unit IRA tax ($)]]/tbl_Data_old[[#This Row],[kWh Savings]]*tbl_Data_old[[#This Row],[Sum of Annuals]]</f>
        <v>0</v>
      </c>
      <c r="AY390" s="4">
        <f>tbl_Data_old[[#This Row],[Avoided Costs ($/unit)]]/tbl_Data_old[[#This Row],[kWh Savings]]*tbl_Data_old[[#This Row],[Sum of Annuals]]</f>
        <v>343006.8718897762</v>
      </c>
      <c r="AZ390" s="4">
        <f>tbl_Data_old[[#This Row],[Lost Revenue ($/unit)]]/tbl_Data_old[[#This Row],[kWh Savings]]*tbl_Data_old[[#This Row],[Sum of Annuals]]</f>
        <v>859426.45394818741</v>
      </c>
      <c r="BA390" s="4">
        <f>tbl_Data_old[[#This Row],[Incremental Cost ($/unit)]]/tbl_Data_old[[#This Row],[kWh Savings]]*tbl_Data_old[[#This Row],[Sum of Annuals]]</f>
        <v>306014.38967955357</v>
      </c>
      <c r="BB390">
        <f>ROUNDUP(tbl_Data_old[[#This Row],[Adjusted 2025]]/$L390,0)</f>
        <v>6</v>
      </c>
      <c r="BC390">
        <f>ROUNDUP(tbl_Data_old[[#This Row],[Adjusted 2026]]/$L390,0)</f>
        <v>8</v>
      </c>
      <c r="BD390">
        <f>ROUNDUP(tbl_Data_old[[#This Row],[Adjusted 2027]]/$L390,0)</f>
        <v>10</v>
      </c>
      <c r="BE390">
        <f>ROUNDUP(tbl_Data_old[[#This Row],[Adjusted 2028]]/$L390,0)</f>
        <v>12</v>
      </c>
      <c r="BF390">
        <f>ROUNDUP(tbl_Data_old[[#This Row],[Adjusted 2029]]/$L390,0)</f>
        <v>15</v>
      </c>
      <c r="BG390">
        <f>ROUNDUP(tbl_Data_old[[#This Row],[Adjusted 2030]]/$L390,0)</f>
        <v>17</v>
      </c>
      <c r="BH390">
        <f>ROUNDUP(tbl_Data_old[[#This Row],[Adjusted 2031]]/$L390,0)</f>
        <v>20</v>
      </c>
      <c r="BI390">
        <f>ROUNDUP(tbl_Data_old[[#This Row],[Adjusted 2032]]/$L390,0)</f>
        <v>21</v>
      </c>
      <c r="BJ390">
        <f>ROUNDUP(tbl_Data_old[[#This Row],[Adjusted 2033]]/$L390,0)</f>
        <v>22</v>
      </c>
      <c r="BK390">
        <f>ROUNDUP(tbl_Data_old[[#This Row],[Adjusted 2034]]/$L390,0)</f>
        <v>22</v>
      </c>
      <c r="BL390" s="3">
        <f t="shared" si="27"/>
        <v>0</v>
      </c>
      <c r="BM390" s="3">
        <f t="shared" si="27"/>
        <v>0</v>
      </c>
      <c r="BN390" s="3">
        <f t="shared" si="27"/>
        <v>0</v>
      </c>
      <c r="BO390" s="3">
        <f t="shared" si="27"/>
        <v>0</v>
      </c>
      <c r="BP390" s="3">
        <f t="shared" si="27"/>
        <v>0</v>
      </c>
      <c r="BQ390" s="3">
        <f t="shared" si="26"/>
        <v>0</v>
      </c>
      <c r="BR390" s="3">
        <f t="shared" si="26"/>
        <v>0</v>
      </c>
      <c r="BS390" s="3">
        <f t="shared" si="26"/>
        <v>0</v>
      </c>
      <c r="BT390" s="3">
        <f t="shared" si="26"/>
        <v>0</v>
      </c>
      <c r="BU390" s="3">
        <f t="shared" si="26"/>
        <v>0</v>
      </c>
      <c r="BV390">
        <f>VLOOKUP($H390,'1. Set Program Names'!$B$2:$D$15,3,0)*V390</f>
        <v>1602.4613464501008</v>
      </c>
      <c r="BW390">
        <f>VLOOKUP($H390,'1. Set Program Names'!$B$2:$D$15,3,0)*W390</f>
        <v>2072.2946477475125</v>
      </c>
      <c r="BX390">
        <f>VLOOKUP($H390,'1. Set Program Names'!$B$2:$D$15,3,0)*X390</f>
        <v>2621.4267766906969</v>
      </c>
      <c r="BY390">
        <f>VLOOKUP($H390,'1. Set Program Names'!$B$2:$D$15,3,0)*Y390</f>
        <v>3251.7735793859138</v>
      </c>
      <c r="BZ390">
        <f>VLOOKUP($H390,'1. Set Program Names'!$B$2:$D$15,3,0)*Z390</f>
        <v>3935.8013190542624</v>
      </c>
      <c r="CA390">
        <f>VLOOKUP($H390,'1. Set Program Names'!$B$2:$D$15,3,0)*AA390</f>
        <v>4622.5801861152995</v>
      </c>
      <c r="CB390">
        <f>VLOOKUP($H390,'1. Set Program Names'!$B$2:$D$15,3,0)*AB390</f>
        <v>5246.4459299463133</v>
      </c>
      <c r="CC390">
        <f>VLOOKUP($H390,'1. Set Program Names'!$B$2:$D$15,3,0)*AC390</f>
        <v>5737.5829937602039</v>
      </c>
      <c r="CD390">
        <f>VLOOKUP($H390,'1. Set Program Names'!$B$2:$D$15,3,0)*AD390</f>
        <v>6017.0503864363181</v>
      </c>
      <c r="CE390">
        <f>VLOOKUP($H390,'1. Set Program Names'!$B$2:$D$15,3,0)*AE390</f>
        <v>6019.4658293448656</v>
      </c>
    </row>
    <row r="391" spans="1:83" x14ac:dyDescent="0.25">
      <c r="A391" s="20" t="s">
        <v>87</v>
      </c>
      <c r="B391" s="20" t="s">
        <v>88</v>
      </c>
      <c r="C391" s="20" t="s">
        <v>122</v>
      </c>
      <c r="D391" s="20" t="s">
        <v>90</v>
      </c>
      <c r="E391" s="20" t="s">
        <v>91</v>
      </c>
      <c r="F391" s="20" t="s">
        <v>90</v>
      </c>
      <c r="G391" s="20" t="s">
        <v>92</v>
      </c>
      <c r="H391" s="20" t="s">
        <v>18</v>
      </c>
      <c r="I391" s="20" t="s">
        <v>173</v>
      </c>
      <c r="J391" s="20" t="s">
        <v>129</v>
      </c>
      <c r="K391" s="20" t="s">
        <v>130</v>
      </c>
      <c r="L391" s="20">
        <v>142641.03499999901</v>
      </c>
      <c r="M391" s="20">
        <v>27.8398087391258</v>
      </c>
      <c r="N391" s="20">
        <v>0</v>
      </c>
      <c r="O391" s="20">
        <v>59303.302436563899</v>
      </c>
      <c r="P391" s="20">
        <v>29333.7078862829</v>
      </c>
      <c r="Q391" s="20">
        <v>4514.3314569611503</v>
      </c>
      <c r="R391" s="20">
        <v>66617.989682832806</v>
      </c>
      <c r="S391" s="20">
        <v>154925.29091738301</v>
      </c>
      <c r="T391" s="20">
        <v>15</v>
      </c>
      <c r="U391" s="20">
        <v>1</v>
      </c>
      <c r="V391" s="20">
        <v>52.448398681454201</v>
      </c>
      <c r="W391" s="20">
        <v>71.002321660013195</v>
      </c>
      <c r="X391" s="20">
        <v>93.555715733442995</v>
      </c>
      <c r="Y391" s="20">
        <v>119.26564909843501</v>
      </c>
      <c r="Z391" s="20">
        <v>145.75406035276799</v>
      </c>
      <c r="AA391" s="20">
        <v>170.216328898813</v>
      </c>
      <c r="AB391" s="20">
        <v>188.111695445452</v>
      </c>
      <c r="AC391" s="20">
        <v>196.07268742863701</v>
      </c>
      <c r="AD391" s="20">
        <v>193.19031972681299</v>
      </c>
      <c r="AE391" s="20">
        <v>179.83648234294401</v>
      </c>
      <c r="AF391" t="str">
        <f t="shared" si="28"/>
        <v>NonResidential</v>
      </c>
      <c r="AG391" t="str">
        <f>tbl_Data_old[[#This Row],[All_Meas_Name_Append]]</f>
        <v>Facility Energy Management System_SC</v>
      </c>
      <c r="AH391">
        <f>AVERAGEIFS('3. Incentive Adjustment'!G:G,'3. Incentive Adjustment'!A:A,tbl_Data_old[[#This Row],[Trimmed Sector]],'3. Incentive Adjustment'!B:B,tbl_Data_old[[#This Row],[Trimmed Measure Name]])</f>
        <v>0.86797534995247072</v>
      </c>
      <c r="AI391">
        <f>$AH391*tbl_Data_old[[#This Row],[2025 ]]</f>
        <v>45.523917199981916</v>
      </c>
      <c r="AJ391">
        <f>$AH391*tbl_Data_old[[#This Row],[2026 ]]</f>
        <v>61.628264990287846</v>
      </c>
      <c r="AK391">
        <f>$AH391*tbl_Data_old[[#This Row],[2027 ]]</f>
        <v>81.204055103789059</v>
      </c>
      <c r="AL391">
        <f>$AH391*tbl_Data_old[[#This Row],[2028 ]]</f>
        <v>103.51964351352269</v>
      </c>
      <c r="AM391">
        <f>$AH391*tbl_Data_old[[#This Row],[2029 ]]</f>
        <v>126.51093154168734</v>
      </c>
      <c r="AN391">
        <f>$AH391*tbl_Data_old[[#This Row],[2030 ]]</f>
        <v>147.74357764357208</v>
      </c>
      <c r="AO391">
        <f>$AH391*tbl_Data_old[[#This Row],[2031 ]]</f>
        <v>163.27631468441879</v>
      </c>
      <c r="AP391">
        <f>$AH391*tbl_Data_old[[#This Row],[2032 ]]</f>
        <v>170.18625948699261</v>
      </c>
      <c r="AQ391">
        <f>$AH391*tbl_Data_old[[#This Row],[2033 ]]</f>
        <v>167.68443537231022</v>
      </c>
      <c r="AR391">
        <f>$AH391*tbl_Data_old[[#This Row],[2034 ]]</f>
        <v>156.09363369583815</v>
      </c>
      <c r="AS391">
        <f>SUM(tbl_Data_old[[#This Row],[Adjusted 2025]:[Adjusted 2034]])</f>
        <v>1223.3710332324008</v>
      </c>
      <c r="AT391" s="3">
        <f>AVERAGEIFS('3. Incentive Adjustment'!F:F,'3. Incentive Adjustment'!A:A,tbl_Data_old[[#This Row],[Trimmed Sector]],'3. Incentive Adjustment'!B:B,tbl_Data_old[[#This Row],[Trimmed Measure Name]])</f>
        <v>21679.111511953593</v>
      </c>
      <c r="AU391" s="3">
        <f>IFERROR(VLOOKUP(tbl_Data_old[[#This Row],[All_Meas_Name_Append]],'IRA Tax Credits'!$A$3:$D$46,4,0),0)</f>
        <v>0</v>
      </c>
      <c r="AV391" s="4">
        <f>tbl_Data_old[[#This Row],[Adj. per unit Incentive ($)]]/tbl_Data_old[[#This Row],[kWh Savings]]*tbl_Data_old[[#This Row],[Sum of Annuals]]</f>
        <v>185.93244959235807</v>
      </c>
      <c r="AW391" s="4">
        <f>IFERROR(VLOOKUP(tbl_Data_old[[#This Row],[All_Programs]],'1. Set Program Names'!$B$2:$D$15,3,0)*tbl_Data_old[[#This Row],[Sum of Annuals]],"")</f>
        <v>38.717486443197238</v>
      </c>
      <c r="AX391" s="4">
        <f>tbl_Data_old[[#This Row],[per unit IRA tax ($)]]/tbl_Data_old[[#This Row],[kWh Savings]]*tbl_Data_old[[#This Row],[Sum of Annuals]]</f>
        <v>0</v>
      </c>
      <c r="AY391" s="4">
        <f>tbl_Data_old[[#This Row],[Avoided Costs ($/unit)]]/tbl_Data_old[[#This Row],[kWh Savings]]*tbl_Data_old[[#This Row],[Sum of Annuals]]</f>
        <v>571.35395063666738</v>
      </c>
      <c r="AZ391" s="4">
        <f>tbl_Data_old[[#This Row],[Lost Revenue ($/unit)]]/tbl_Data_old[[#This Row],[kWh Savings]]*tbl_Data_old[[#This Row],[Sum of Annuals]]</f>
        <v>1328.727832235867</v>
      </c>
      <c r="BA391" s="4">
        <f>tbl_Data_old[[#This Row],[Incremental Cost ($/unit)]]/tbl_Data_old[[#This Row],[kWh Savings]]*tbl_Data_old[[#This Row],[Sum of Annuals]]</f>
        <v>508.61901258577683</v>
      </c>
      <c r="BB391">
        <f>ROUNDUP(tbl_Data_old[[#This Row],[Adjusted 2025]]/$L391,0)</f>
        <v>1</v>
      </c>
      <c r="BC391">
        <f>ROUNDUP(tbl_Data_old[[#This Row],[Adjusted 2026]]/$L391,0)</f>
        <v>1</v>
      </c>
      <c r="BD391">
        <f>ROUNDUP(tbl_Data_old[[#This Row],[Adjusted 2027]]/$L391,0)</f>
        <v>1</v>
      </c>
      <c r="BE391">
        <f>ROUNDUP(tbl_Data_old[[#This Row],[Adjusted 2028]]/$L391,0)</f>
        <v>1</v>
      </c>
      <c r="BF391">
        <f>ROUNDUP(tbl_Data_old[[#This Row],[Adjusted 2029]]/$L391,0)</f>
        <v>1</v>
      </c>
      <c r="BG391">
        <f>ROUNDUP(tbl_Data_old[[#This Row],[Adjusted 2030]]/$L391,0)</f>
        <v>1</v>
      </c>
      <c r="BH391">
        <f>ROUNDUP(tbl_Data_old[[#This Row],[Adjusted 2031]]/$L391,0)</f>
        <v>1</v>
      </c>
      <c r="BI391">
        <f>ROUNDUP(tbl_Data_old[[#This Row],[Adjusted 2032]]/$L391,0)</f>
        <v>1</v>
      </c>
      <c r="BJ391">
        <f>ROUNDUP(tbl_Data_old[[#This Row],[Adjusted 2033]]/$L391,0)</f>
        <v>1</v>
      </c>
      <c r="BK391">
        <f>ROUNDUP(tbl_Data_old[[#This Row],[Adjusted 2034]]/$L391,0)</f>
        <v>1</v>
      </c>
      <c r="BL391" s="3">
        <f t="shared" si="27"/>
        <v>7.9713014115373824</v>
      </c>
      <c r="BM391" s="3">
        <f t="shared" si="27"/>
        <v>10.791195176584596</v>
      </c>
      <c r="BN391" s="3">
        <f t="shared" si="27"/>
        <v>14.218943335387014</v>
      </c>
      <c r="BO391" s="3">
        <f t="shared" si="27"/>
        <v>18.126433998116443</v>
      </c>
      <c r="BP391" s="3">
        <f t="shared" si="27"/>
        <v>22.152240606692828</v>
      </c>
      <c r="BQ391" s="3">
        <f t="shared" si="26"/>
        <v>25.870106560519289</v>
      </c>
      <c r="BR391" s="3">
        <f t="shared" si="26"/>
        <v>28.589910485889526</v>
      </c>
      <c r="BS391" s="3">
        <f t="shared" si="26"/>
        <v>29.799851460793679</v>
      </c>
      <c r="BT391" s="3">
        <f t="shared" si="26"/>
        <v>29.361778568050738</v>
      </c>
      <c r="BU391" s="3">
        <f t="shared" si="26"/>
        <v>27.332213024324897</v>
      </c>
      <c r="BV391">
        <f>VLOOKUP($H391,'1. Set Program Names'!$B$2:$D$15,3,0)*V391</f>
        <v>1.659897210048495</v>
      </c>
      <c r="BW391">
        <f>VLOOKUP($H391,'1. Set Program Names'!$B$2:$D$15,3,0)*W391</f>
        <v>2.2470954041175695</v>
      </c>
      <c r="BX391">
        <f>VLOOKUP($H391,'1. Set Program Names'!$B$2:$D$15,3,0)*X391</f>
        <v>2.9608696439562379</v>
      </c>
      <c r="BY391">
        <f>VLOOKUP($H391,'1. Set Program Names'!$B$2:$D$15,3,0)*Y391</f>
        <v>3.7745426584990667</v>
      </c>
      <c r="BZ391">
        <f>VLOOKUP($H391,'1. Set Program Names'!$B$2:$D$15,3,0)*Z391</f>
        <v>4.612853093994433</v>
      </c>
      <c r="CA391">
        <f>VLOOKUP($H391,'1. Set Program Names'!$B$2:$D$15,3,0)*AA391</f>
        <v>5.3870397675981607</v>
      </c>
      <c r="CB391">
        <f>VLOOKUP($H391,'1. Set Program Names'!$B$2:$D$15,3,0)*AB391</f>
        <v>5.9533958385236359</v>
      </c>
      <c r="CC391">
        <f>VLOOKUP($H391,'1. Set Program Names'!$B$2:$D$15,3,0)*AC391</f>
        <v>6.2053468744811902</v>
      </c>
      <c r="CD391">
        <f>VLOOKUP($H391,'1. Set Program Names'!$B$2:$D$15,3,0)*AD391</f>
        <v>6.1141251360321309</v>
      </c>
      <c r="CE391">
        <f>VLOOKUP($H391,'1. Set Program Names'!$B$2:$D$15,3,0)*AE391</f>
        <v>5.6915002709423357</v>
      </c>
    </row>
    <row r="392" spans="1:83" x14ac:dyDescent="0.25">
      <c r="A392" s="20" t="s">
        <v>87</v>
      </c>
      <c r="B392" s="20" t="s">
        <v>88</v>
      </c>
      <c r="C392" s="20" t="s">
        <v>122</v>
      </c>
      <c r="D392" s="20" t="s">
        <v>90</v>
      </c>
      <c r="E392" s="20" t="s">
        <v>91</v>
      </c>
      <c r="F392" s="20" t="s">
        <v>90</v>
      </c>
      <c r="G392" s="20" t="s">
        <v>92</v>
      </c>
      <c r="H392" s="20" t="s">
        <v>18</v>
      </c>
      <c r="I392" s="20" t="s">
        <v>174</v>
      </c>
      <c r="J392" s="20" t="s">
        <v>132</v>
      </c>
      <c r="K392" s="20" t="s">
        <v>130</v>
      </c>
      <c r="L392" s="20">
        <v>2657.18</v>
      </c>
      <c r="M392" s="20">
        <v>0</v>
      </c>
      <c r="N392" s="20">
        <v>0.57468805905447795</v>
      </c>
      <c r="O392" s="20">
        <v>1080.72711480357</v>
      </c>
      <c r="P392" s="20">
        <v>534.12671770284101</v>
      </c>
      <c r="Q392" s="20">
        <v>84.094953887624897</v>
      </c>
      <c r="R392" s="20">
        <v>1466.48739383472</v>
      </c>
      <c r="S392" s="20">
        <v>2886.0165275711402</v>
      </c>
      <c r="T392" s="20">
        <v>15</v>
      </c>
      <c r="U392" s="20">
        <v>1</v>
      </c>
      <c r="V392" s="20">
        <v>65.223669153549295</v>
      </c>
      <c r="W392" s="20">
        <v>87.617079313666494</v>
      </c>
      <c r="X392" s="20">
        <v>114.476467110147</v>
      </c>
      <c r="Y392" s="20">
        <v>144.59371653522601</v>
      </c>
      <c r="Z392" s="20">
        <v>174.961766921048</v>
      </c>
      <c r="AA392" s="20">
        <v>202.17666127736899</v>
      </c>
      <c r="AB392" s="20">
        <v>220.90868708212699</v>
      </c>
      <c r="AC392" s="20">
        <v>227.42400290457101</v>
      </c>
      <c r="AD392" s="20">
        <v>221.003073934258</v>
      </c>
      <c r="AE392" s="20">
        <v>202.55120573241101</v>
      </c>
      <c r="AF392" t="str">
        <f t="shared" si="28"/>
        <v>NonResidential</v>
      </c>
      <c r="AG392" t="str">
        <f>tbl_Data_old[[#This Row],[All_Meas_Name_Append]]</f>
        <v>Facility Energy Management System_SH</v>
      </c>
      <c r="AH392">
        <f>AVERAGEIFS('3. Incentive Adjustment'!G:G,'3. Incentive Adjustment'!A:A,tbl_Data_old[[#This Row],[Trimmed Sector]],'3. Incentive Adjustment'!B:B,tbl_Data_old[[#This Row],[Trimmed Measure Name]])</f>
        <v>0.63685031373688805</v>
      </c>
      <c r="AI392">
        <f>$AH392*tbl_Data_old[[#This Row],[2025 ]]</f>
        <v>41.537714163508859</v>
      </c>
      <c r="AJ392">
        <f>$AH392*tbl_Data_old[[#This Row],[2026 ]]</f>
        <v>55.79896444961831</v>
      </c>
      <c r="AK392">
        <f>$AH392*tbl_Data_old[[#This Row],[2027 ]]</f>
        <v>72.904373994587658</v>
      </c>
      <c r="AL392">
        <f>$AH392*tbl_Data_old[[#This Row],[2028 ]]</f>
        <v>92.08455373984134</v>
      </c>
      <c r="AM392">
        <f>$AH392*tbl_Data_old[[#This Row],[2029 ]]</f>
        <v>111.4244561556297</v>
      </c>
      <c r="AN392">
        <f>$AH392*tbl_Data_old[[#This Row],[2030 ]]</f>
        <v>128.75627016476898</v>
      </c>
      <c r="AO392">
        <f>$AH392*tbl_Data_old[[#This Row],[2031 ]]</f>
        <v>140.68576667545659</v>
      </c>
      <c r="AP392">
        <f>$AH392*tbl_Data_old[[#This Row],[2032 ]]</f>
        <v>144.83504760107499</v>
      </c>
      <c r="AQ392">
        <f>$AH392*tbl_Data_old[[#This Row],[2033 ]]</f>
        <v>140.74587697184887</v>
      </c>
      <c r="AR392">
        <f>$AH392*tbl_Data_old[[#This Row],[2034 ]]</f>
        <v>128.99479891847091</v>
      </c>
      <c r="AS392">
        <f>SUM(tbl_Data_old[[#This Row],[Adjusted 2025]:[Adjusted 2034]])</f>
        <v>1057.7678228348061</v>
      </c>
      <c r="AT392" s="3">
        <f>AVERAGEIFS('3. Incentive Adjustment'!F:F,'3. Incentive Adjustment'!A:A,tbl_Data_old[[#This Row],[Trimmed Sector]],'3. Incentive Adjustment'!B:B,tbl_Data_old[[#This Row],[Trimmed Measure Name]])</f>
        <v>79.715399999999988</v>
      </c>
      <c r="AU392" s="3">
        <f>IFERROR(VLOOKUP(tbl_Data_old[[#This Row],[All_Meas_Name_Append]],'IRA Tax Credits'!$A$3:$D$46,4,0),0)</f>
        <v>0</v>
      </c>
      <c r="AV392" s="4">
        <f>tbl_Data_old[[#This Row],[Adj. per unit Incentive ($)]]/tbl_Data_old[[#This Row],[kWh Savings]]*tbl_Data_old[[#This Row],[Sum of Annuals]]</f>
        <v>31.733034685044181</v>
      </c>
      <c r="AW392" s="4">
        <f>IFERROR(VLOOKUP(tbl_Data_old[[#This Row],[All_Programs]],'1. Set Program Names'!$B$2:$D$15,3,0)*tbl_Data_old[[#This Row],[Sum of Annuals]],"")</f>
        <v>33.476443554861341</v>
      </c>
      <c r="AX392" s="4">
        <f>tbl_Data_old[[#This Row],[per unit IRA tax ($)]]/tbl_Data_old[[#This Row],[kWh Savings]]*tbl_Data_old[[#This Row],[Sum of Annuals]]</f>
        <v>0</v>
      </c>
      <c r="AY392" s="4">
        <f>tbl_Data_old[[#This Row],[Avoided Costs ($/unit)]]/tbl_Data_old[[#This Row],[kWh Savings]]*tbl_Data_old[[#This Row],[Sum of Annuals]]</f>
        <v>583.77798184211861</v>
      </c>
      <c r="AZ392" s="4">
        <f>tbl_Data_old[[#This Row],[Lost Revenue ($/unit)]]/tbl_Data_old[[#This Row],[kWh Savings]]*tbl_Data_old[[#This Row],[Sum of Annuals]]</f>
        <v>1148.8628617685638</v>
      </c>
      <c r="BA392" s="4">
        <f>tbl_Data_old[[#This Row],[Incremental Cost ($/unit)]]/tbl_Data_old[[#This Row],[kWh Savings]]*tbl_Data_old[[#This Row],[Sum of Annuals]]</f>
        <v>430.21487716463088</v>
      </c>
      <c r="BB392">
        <f>ROUNDUP(tbl_Data_old[[#This Row],[Adjusted 2025]]/$L392,0)</f>
        <v>1</v>
      </c>
      <c r="BC392">
        <f>ROUNDUP(tbl_Data_old[[#This Row],[Adjusted 2026]]/$L392,0)</f>
        <v>1</v>
      </c>
      <c r="BD392">
        <f>ROUNDUP(tbl_Data_old[[#This Row],[Adjusted 2027]]/$L392,0)</f>
        <v>1</v>
      </c>
      <c r="BE392">
        <f>ROUNDUP(tbl_Data_old[[#This Row],[Adjusted 2028]]/$L392,0)</f>
        <v>1</v>
      </c>
      <c r="BF392">
        <f>ROUNDUP(tbl_Data_old[[#This Row],[Adjusted 2029]]/$L392,0)</f>
        <v>1</v>
      </c>
      <c r="BG392">
        <f>ROUNDUP(tbl_Data_old[[#This Row],[Adjusted 2030]]/$L392,0)</f>
        <v>1</v>
      </c>
      <c r="BH392">
        <f>ROUNDUP(tbl_Data_old[[#This Row],[Adjusted 2031]]/$L392,0)</f>
        <v>1</v>
      </c>
      <c r="BI392">
        <f>ROUNDUP(tbl_Data_old[[#This Row],[Adjusted 2032]]/$L392,0)</f>
        <v>1</v>
      </c>
      <c r="BJ392">
        <f>ROUNDUP(tbl_Data_old[[#This Row],[Adjusted 2033]]/$L392,0)</f>
        <v>1</v>
      </c>
      <c r="BK392">
        <f>ROUNDUP(tbl_Data_old[[#This Row],[Adjusted 2034]]/$L392,0)</f>
        <v>1</v>
      </c>
      <c r="BL392" s="3">
        <f t="shared" si="27"/>
        <v>1.9567100746064787</v>
      </c>
      <c r="BM392" s="3">
        <f t="shared" si="27"/>
        <v>2.6285123794099947</v>
      </c>
      <c r="BN392" s="3">
        <f t="shared" si="27"/>
        <v>3.43429401330441</v>
      </c>
      <c r="BO392" s="3">
        <f t="shared" si="27"/>
        <v>4.33781149605678</v>
      </c>
      <c r="BP392" s="3">
        <f t="shared" si="27"/>
        <v>5.2488530076314399</v>
      </c>
      <c r="BQ392" s="3">
        <f t="shared" si="26"/>
        <v>6.0652998383210699</v>
      </c>
      <c r="BR392" s="3">
        <f t="shared" si="26"/>
        <v>6.6272606124638092</v>
      </c>
      <c r="BS392" s="3">
        <f t="shared" si="26"/>
        <v>6.8227200871371299</v>
      </c>
      <c r="BT392" s="3">
        <f t="shared" si="26"/>
        <v>6.6300922180277393</v>
      </c>
      <c r="BU392" s="3">
        <f t="shared" si="26"/>
        <v>6.0765361719723296</v>
      </c>
      <c r="BV392">
        <f>VLOOKUP($H392,'1. Set Program Names'!$B$2:$D$15,3,0)*V392</f>
        <v>2.064211476019477</v>
      </c>
      <c r="BW392">
        <f>VLOOKUP($H392,'1. Set Program Names'!$B$2:$D$15,3,0)*W392</f>
        <v>2.7729225135862685</v>
      </c>
      <c r="BX392">
        <f>VLOOKUP($H392,'1. Set Program Names'!$B$2:$D$15,3,0)*X392</f>
        <v>3.6229736874604002</v>
      </c>
      <c r="BY392">
        <f>VLOOKUP($H392,'1. Set Program Names'!$B$2:$D$15,3,0)*Y392</f>
        <v>4.5761303052371849</v>
      </c>
      <c r="BZ392">
        <f>VLOOKUP($H392,'1. Set Program Names'!$B$2:$D$15,3,0)*Z392</f>
        <v>5.5372243210181153</v>
      </c>
      <c r="CA392">
        <f>VLOOKUP($H392,'1. Set Program Names'!$B$2:$D$15,3,0)*AA392</f>
        <v>6.3985266362362783</v>
      </c>
      <c r="CB392">
        <f>VLOOKUP($H392,'1. Set Program Names'!$B$2:$D$15,3,0)*AB392</f>
        <v>6.9913614634865677</v>
      </c>
      <c r="CC392">
        <f>VLOOKUP($H392,'1. Set Program Names'!$B$2:$D$15,3,0)*AC392</f>
        <v>7.1975594567168883</v>
      </c>
      <c r="CD392">
        <f>VLOOKUP($H392,'1. Set Program Names'!$B$2:$D$15,3,0)*AD392</f>
        <v>6.994348637098275</v>
      </c>
      <c r="CE392">
        <f>VLOOKUP($H392,'1. Set Program Names'!$B$2:$D$15,3,0)*AE392</f>
        <v>6.4103802926222304</v>
      </c>
    </row>
    <row r="393" spans="1:83" x14ac:dyDescent="0.25">
      <c r="A393" s="20" t="s">
        <v>87</v>
      </c>
      <c r="B393" s="20" t="s">
        <v>88</v>
      </c>
      <c r="C393" s="20" t="s">
        <v>122</v>
      </c>
      <c r="D393" s="20" t="s">
        <v>90</v>
      </c>
      <c r="E393" s="20" t="s">
        <v>91</v>
      </c>
      <c r="F393" s="20" t="s">
        <v>90</v>
      </c>
      <c r="G393" s="20" t="s">
        <v>92</v>
      </c>
      <c r="H393" s="20" t="s">
        <v>18</v>
      </c>
      <c r="I393" s="20" t="s">
        <v>145</v>
      </c>
      <c r="J393" s="20" t="s">
        <v>129</v>
      </c>
      <c r="K393" s="20" t="s">
        <v>98</v>
      </c>
      <c r="L393" s="20">
        <v>1452.1399999999801</v>
      </c>
      <c r="M393" s="20">
        <v>0.33467704377742202</v>
      </c>
      <c r="N393" s="20">
        <v>4.3977319526113799E-2</v>
      </c>
      <c r="O393" s="20">
        <v>654.99999999999898</v>
      </c>
      <c r="P393" s="20">
        <v>358.56061649158102</v>
      </c>
      <c r="Q393" s="20">
        <v>45.957611580086699</v>
      </c>
      <c r="R393" s="20">
        <v>761.15206993055403</v>
      </c>
      <c r="S393" s="20">
        <v>1577.19839843259</v>
      </c>
      <c r="T393" s="20">
        <v>15</v>
      </c>
      <c r="U393" s="20">
        <v>0.94999999999999896</v>
      </c>
      <c r="V393" s="20">
        <v>9915.04051639934</v>
      </c>
      <c r="W393" s="20">
        <v>11097.433288505599</v>
      </c>
      <c r="X393" s="20">
        <v>12149.6572713267</v>
      </c>
      <c r="Y393" s="20">
        <v>13134.6384202148</v>
      </c>
      <c r="Z393" s="20">
        <v>14046.2230333057</v>
      </c>
      <c r="AA393" s="20">
        <v>14878.7930106929</v>
      </c>
      <c r="AB393" s="20">
        <v>15641.4447918847</v>
      </c>
      <c r="AC393" s="20">
        <v>16374.505261709301</v>
      </c>
      <c r="AD393" s="20">
        <v>17096.442613652998</v>
      </c>
      <c r="AE393" s="20">
        <v>17787.847580176101</v>
      </c>
      <c r="AF393" t="str">
        <f t="shared" si="28"/>
        <v>NonResidential</v>
      </c>
      <c r="AG393" t="str">
        <f>tbl_Data_old[[#This Row],[All_Meas_Name_Append]]</f>
        <v>HE DX Less than 5.4 Tons Elect Heat</v>
      </c>
      <c r="AH393">
        <f>AVERAGEIFS('3. Incentive Adjustment'!G:G,'3. Incentive Adjustment'!A:A,tbl_Data_old[[#This Row],[Trimmed Sector]],'3. Incentive Adjustment'!B:B,tbl_Data_old[[#This Row],[Trimmed Measure Name]])</f>
        <v>0.74493198517309978</v>
      </c>
      <c r="AI393">
        <f>$AH393*tbl_Data_old[[#This Row],[2025 ]]</f>
        <v>7386.0308149530765</v>
      </c>
      <c r="AJ393">
        <f>$AH393*tbl_Data_old[[#This Row],[2026 ]]</f>
        <v>8266.8330099325176</v>
      </c>
      <c r="AK393">
        <f>$AH393*tbl_Data_old[[#This Row],[2027 ]]</f>
        <v>9050.6683103021842</v>
      </c>
      <c r="AL393">
        <f>$AH393*tbl_Data_old[[#This Row],[2028 ]]</f>
        <v>9784.412272901478</v>
      </c>
      <c r="AM393">
        <f>$AH393*tbl_Data_old[[#This Row],[2029 ]]</f>
        <v>10463.480808384535</v>
      </c>
      <c r="AN393">
        <f>$AH393*tbl_Data_old[[#This Row],[2030 ]]</f>
        <v>11083.688814435103</v>
      </c>
      <c r="AO393">
        <f>$AH393*tbl_Data_old[[#This Row],[2031 ]]</f>
        <v>11651.812519794112</v>
      </c>
      <c r="AP393">
        <f>$AH393*tbl_Data_old[[#This Row],[2032 ]]</f>
        <v>12197.892710832477</v>
      </c>
      <c r="AQ393">
        <f>$AH393*tbl_Data_old[[#This Row],[2033 ]]</f>
        <v>12735.686935586506</v>
      </c>
      <c r="AR393">
        <f>$AH393*tbl_Data_old[[#This Row],[2034 ]]</f>
        <v>13250.736609857102</v>
      </c>
      <c r="AS393">
        <f>SUM(tbl_Data_old[[#This Row],[Adjusted 2025]:[Adjusted 2034]])</f>
        <v>105871.24280697909</v>
      </c>
      <c r="AT393" s="3">
        <f>AVERAGEIFS('3. Incentive Adjustment'!F:F,'3. Incentive Adjustment'!A:A,tbl_Data_old[[#This Row],[Trimmed Sector]],'3. Incentive Adjustment'!B:B,tbl_Data_old[[#This Row],[Trimmed Measure Name]])</f>
        <v>196.49999999999969</v>
      </c>
      <c r="AU393" s="3">
        <f>IFERROR(VLOOKUP(tbl_Data_old[[#This Row],[All_Meas_Name_Append]],'IRA Tax Credits'!$A$3:$D$46,4,0),0)</f>
        <v>0</v>
      </c>
      <c r="AV393" s="4">
        <f>tbl_Data_old[[#This Row],[Adj. per unit Incentive ($)]]/tbl_Data_old[[#This Row],[kWh Savings]]*tbl_Data_old[[#This Row],[Sum of Annuals]]</f>
        <v>14326.235219449669</v>
      </c>
      <c r="AW393" s="4">
        <f>IFERROR(VLOOKUP(tbl_Data_old[[#This Row],[All_Programs]],'1. Set Program Names'!$B$2:$D$15,3,0)*tbl_Data_old[[#This Row],[Sum of Annuals]],"")</f>
        <v>3350.6338606637305</v>
      </c>
      <c r="AX393" s="4">
        <f>tbl_Data_old[[#This Row],[per unit IRA tax ($)]]/tbl_Data_old[[#This Row],[kWh Savings]]*tbl_Data_old[[#This Row],[Sum of Annuals]]</f>
        <v>0</v>
      </c>
      <c r="AY393" s="4">
        <f>tbl_Data_old[[#This Row],[Avoided Costs ($/unit)]]/tbl_Data_old[[#This Row],[kWh Savings]]*tbl_Data_old[[#This Row],[Sum of Annuals]]</f>
        <v>55493.35161117628</v>
      </c>
      <c r="AZ393" s="4">
        <f>tbl_Data_old[[#This Row],[Lost Revenue ($/unit)]]/tbl_Data_old[[#This Row],[kWh Savings]]*tbl_Data_old[[#This Row],[Sum of Annuals]]</f>
        <v>114988.88164724997</v>
      </c>
      <c r="BA393" s="4">
        <f>tbl_Data_old[[#This Row],[Incremental Cost ($/unit)]]/tbl_Data_old[[#This Row],[kWh Savings]]*tbl_Data_old[[#This Row],[Sum of Annuals]]</f>
        <v>47754.117398165567</v>
      </c>
      <c r="BB393">
        <f>ROUNDUP(tbl_Data_old[[#This Row],[Adjusted 2025]]/$L393,0)</f>
        <v>6</v>
      </c>
      <c r="BC393">
        <f>ROUNDUP(tbl_Data_old[[#This Row],[Adjusted 2026]]/$L393,0)</f>
        <v>6</v>
      </c>
      <c r="BD393">
        <f>ROUNDUP(tbl_Data_old[[#This Row],[Adjusted 2027]]/$L393,0)</f>
        <v>7</v>
      </c>
      <c r="BE393">
        <f>ROUNDUP(tbl_Data_old[[#This Row],[Adjusted 2028]]/$L393,0)</f>
        <v>7</v>
      </c>
      <c r="BF393">
        <f>ROUNDUP(tbl_Data_old[[#This Row],[Adjusted 2029]]/$L393,0)</f>
        <v>8</v>
      </c>
      <c r="BG393">
        <f>ROUNDUP(tbl_Data_old[[#This Row],[Adjusted 2030]]/$L393,0)</f>
        <v>8</v>
      </c>
      <c r="BH393">
        <f>ROUNDUP(tbl_Data_old[[#This Row],[Adjusted 2031]]/$L393,0)</f>
        <v>9</v>
      </c>
      <c r="BI393">
        <f>ROUNDUP(tbl_Data_old[[#This Row],[Adjusted 2032]]/$L393,0)</f>
        <v>9</v>
      </c>
      <c r="BJ393">
        <f>ROUNDUP(tbl_Data_old[[#This Row],[Adjusted 2033]]/$L393,0)</f>
        <v>9</v>
      </c>
      <c r="BK393">
        <f>ROUNDUP(tbl_Data_old[[#This Row],[Adjusted 2034]]/$L393,0)</f>
        <v>10</v>
      </c>
      <c r="BL393" s="3">
        <f t="shared" si="27"/>
        <v>1341.6788060879073</v>
      </c>
      <c r="BM393" s="3">
        <f t="shared" si="27"/>
        <v>1501.677277116102</v>
      </c>
      <c r="BN393" s="3">
        <f t="shared" si="27"/>
        <v>1644.0616289171328</v>
      </c>
      <c r="BO393" s="3">
        <f t="shared" si="27"/>
        <v>1777.3468464281952</v>
      </c>
      <c r="BP393" s="3">
        <f t="shared" si="27"/>
        <v>1900.7002259042538</v>
      </c>
      <c r="BQ393" s="3">
        <f t="shared" si="26"/>
        <v>2013.3615399349856</v>
      </c>
      <c r="BR393" s="3">
        <f t="shared" si="26"/>
        <v>2116.5616962588874</v>
      </c>
      <c r="BS393" s="3">
        <f t="shared" si="26"/>
        <v>2215.7576293786524</v>
      </c>
      <c r="BT393" s="3">
        <f t="shared" si="26"/>
        <v>2313.448409645664</v>
      </c>
      <c r="BU393" s="3">
        <f t="shared" si="26"/>
        <v>2407.0076228907997</v>
      </c>
      <c r="BV393">
        <f>VLOOKUP($H393,'1. Set Program Names'!$B$2:$D$15,3,0)*V393</f>
        <v>313.79314725405715</v>
      </c>
      <c r="BW393">
        <f>VLOOKUP($H393,'1. Set Program Names'!$B$2:$D$15,3,0)*W393</f>
        <v>351.21374565060421</v>
      </c>
      <c r="BX393">
        <f>VLOOKUP($H393,'1. Set Program Names'!$B$2:$D$15,3,0)*X393</f>
        <v>384.51473666920043</v>
      </c>
      <c r="BY393">
        <f>VLOOKUP($H393,'1. Set Program Names'!$B$2:$D$15,3,0)*Y393</f>
        <v>415.68761328874621</v>
      </c>
      <c r="BZ393">
        <f>VLOOKUP($H393,'1. Set Program Names'!$B$2:$D$15,3,0)*Z393</f>
        <v>444.53762194549796</v>
      </c>
      <c r="CA393">
        <f>VLOOKUP($H393,'1. Set Program Names'!$B$2:$D$15,3,0)*AA393</f>
        <v>470.88695991153622</v>
      </c>
      <c r="CB393">
        <f>VLOOKUP($H393,'1. Set Program Names'!$B$2:$D$15,3,0)*AB393</f>
        <v>495.02351308882925</v>
      </c>
      <c r="CC393">
        <f>VLOOKUP($H393,'1. Set Program Names'!$B$2:$D$15,3,0)*AC393</f>
        <v>518.22355463917222</v>
      </c>
      <c r="CD393">
        <f>VLOOKUP($H393,'1. Set Program Names'!$B$2:$D$15,3,0)*AD393</f>
        <v>541.07156957284599</v>
      </c>
      <c r="CE393">
        <f>VLOOKUP($H393,'1. Set Program Names'!$B$2:$D$15,3,0)*AE393</f>
        <v>562.95328958332152</v>
      </c>
    </row>
    <row r="394" spans="1:83" x14ac:dyDescent="0.25">
      <c r="A394" s="20" t="s">
        <v>87</v>
      </c>
      <c r="B394" s="20" t="s">
        <v>88</v>
      </c>
      <c r="C394" s="20" t="s">
        <v>122</v>
      </c>
      <c r="D394" s="20" t="s">
        <v>90</v>
      </c>
      <c r="E394" s="20" t="s">
        <v>91</v>
      </c>
      <c r="F394" s="20" t="s">
        <v>90</v>
      </c>
      <c r="G394" s="20" t="s">
        <v>92</v>
      </c>
      <c r="H394" s="20" t="s">
        <v>18</v>
      </c>
      <c r="I394" s="20" t="s">
        <v>146</v>
      </c>
      <c r="J394" s="20" t="s">
        <v>129</v>
      </c>
      <c r="K394" s="20" t="s">
        <v>98</v>
      </c>
      <c r="L394" s="20">
        <v>23719.439999999999</v>
      </c>
      <c r="M394" s="20">
        <v>5.4597690026648404</v>
      </c>
      <c r="N394" s="20">
        <v>0</v>
      </c>
      <c r="O394" s="20">
        <v>11386</v>
      </c>
      <c r="P394" s="20">
        <v>6681.8656442185202</v>
      </c>
      <c r="Q394" s="20">
        <v>750.67749006099905</v>
      </c>
      <c r="R394" s="20">
        <v>13758.6347393458</v>
      </c>
      <c r="S394" s="20">
        <v>32663.358650317699</v>
      </c>
      <c r="T394" s="20">
        <v>23</v>
      </c>
      <c r="U394" s="20">
        <v>1</v>
      </c>
      <c r="V394" s="20">
        <v>25948.150219894</v>
      </c>
      <c r="W394" s="20">
        <v>29046.8528229113</v>
      </c>
      <c r="X394" s="20">
        <v>31864.965864645001</v>
      </c>
      <c r="Y394" s="20">
        <v>34521.1708826381</v>
      </c>
      <c r="Z394" s="20">
        <v>36971.484507759596</v>
      </c>
      <c r="AA394" s="20">
        <v>39225.695726390302</v>
      </c>
      <c r="AB394" s="20">
        <v>41277.439277772501</v>
      </c>
      <c r="AC394" s="20">
        <v>43236.404037040098</v>
      </c>
      <c r="AD394" s="20">
        <v>45190.938236825197</v>
      </c>
      <c r="AE394" s="20">
        <v>47047.663049200397</v>
      </c>
      <c r="AF394" t="str">
        <f t="shared" si="28"/>
        <v>NonResidential</v>
      </c>
      <c r="AG394" t="str">
        <f>tbl_Data_old[[#This Row],[All_Meas_Name_Append]]</f>
        <v>HE Water Cooled Chiller - Centrifugal Compressor - 200 Tons</v>
      </c>
      <c r="AH394">
        <f>AVERAGEIFS('3. Incentive Adjustment'!G:G,'3. Incentive Adjustment'!A:A,tbl_Data_old[[#This Row],[Trimmed Sector]],'3. Incentive Adjustment'!B:B,tbl_Data_old[[#This Row],[Trimmed Measure Name]])</f>
        <v>0.69536855707903378</v>
      </c>
      <c r="AI394">
        <f>$AH394*tbl_Data_old[[#This Row],[2025 ]]</f>
        <v>18043.527777277704</v>
      </c>
      <c r="AJ394">
        <f>$AH394*tbl_Data_old[[#This Row],[2026 ]]</f>
        <v>20198.268135154889</v>
      </c>
      <c r="AK394">
        <f>$AH394*tbl_Data_old[[#This Row],[2027 ]]</f>
        <v>22157.895334670859</v>
      </c>
      <c r="AL394">
        <f>$AH394*tbl_Data_old[[#This Row],[2028 ]]</f>
        <v>24004.93678533881</v>
      </c>
      <c r="AM394">
        <f>$AH394*tbl_Data_old[[#This Row],[2029 ]]</f>
        <v>25708.80783523064</v>
      </c>
      <c r="AN394">
        <f>$AH394*tbl_Data_old[[#This Row],[2030 ]]</f>
        <v>27276.315437681245</v>
      </c>
      <c r="AO394">
        <f>$AH394*tbl_Data_old[[#This Row],[2031 ]]</f>
        <v>28703.033390502096</v>
      </c>
      <c r="AP394">
        <f>$AH394*tbl_Data_old[[#This Row],[2032 ]]</f>
        <v>30065.235888522682</v>
      </c>
      <c r="AQ394">
        <f>$AH394*tbl_Data_old[[#This Row],[2033 ]]</f>
        <v>31424.357514788873</v>
      </c>
      <c r="AR394">
        <f>$AH394*tbl_Data_old[[#This Row],[2034 ]]</f>
        <v>32715.465568463056</v>
      </c>
      <c r="AS394">
        <f>SUM(tbl_Data_old[[#This Row],[Adjusted 2025]:[Adjusted 2034]])</f>
        <v>260297.84366763083</v>
      </c>
      <c r="AT394" s="3">
        <f>AVERAGEIFS('3. Incentive Adjustment'!F:F,'3. Incentive Adjustment'!A:A,tbl_Data_old[[#This Row],[Trimmed Sector]],'3. Incentive Adjustment'!B:B,tbl_Data_old[[#This Row],[Trimmed Measure Name]])</f>
        <v>3415.7999999999997</v>
      </c>
      <c r="AU394" s="3">
        <f>IFERROR(VLOOKUP(tbl_Data_old[[#This Row],[All_Meas_Name_Append]],'IRA Tax Credits'!$A$3:$D$46,4,0),0)</f>
        <v>0</v>
      </c>
      <c r="AV394" s="4">
        <f>tbl_Data_old[[#This Row],[Adj. per unit Incentive ($)]]/tbl_Data_old[[#This Row],[kWh Savings]]*tbl_Data_old[[#This Row],[Sum of Annuals]]</f>
        <v>37485.091317497099</v>
      </c>
      <c r="AW394" s="4">
        <f>IFERROR(VLOOKUP(tbl_Data_old[[#This Row],[All_Programs]],'1. Set Program Names'!$B$2:$D$15,3,0)*tbl_Data_old[[#This Row],[Sum of Annuals]],"")</f>
        <v>8237.9572179068127</v>
      </c>
      <c r="AX394" s="4">
        <f>tbl_Data_old[[#This Row],[per unit IRA tax ($)]]/tbl_Data_old[[#This Row],[kWh Savings]]*tbl_Data_old[[#This Row],[Sum of Annuals]]</f>
        <v>0</v>
      </c>
      <c r="AY394" s="4">
        <f>tbl_Data_old[[#This Row],[Avoided Costs ($/unit)]]/tbl_Data_old[[#This Row],[kWh Savings]]*tbl_Data_old[[#This Row],[Sum of Annuals]]</f>
        <v>150987.668952651</v>
      </c>
      <c r="AZ394" s="4">
        <f>tbl_Data_old[[#This Row],[Lost Revenue ($/unit)]]/tbl_Data_old[[#This Row],[kWh Savings]]*tbl_Data_old[[#This Row],[Sum of Annuals]]</f>
        <v>358448.67432031088</v>
      </c>
      <c r="BA394" s="4">
        <f>tbl_Data_old[[#This Row],[Incremental Cost ($/unit)]]/tbl_Data_old[[#This Row],[kWh Savings]]*tbl_Data_old[[#This Row],[Sum of Annuals]]</f>
        <v>124950.304391657</v>
      </c>
      <c r="BB394">
        <f>ROUNDUP(tbl_Data_old[[#This Row],[Adjusted 2025]]/$L394,0)</f>
        <v>1</v>
      </c>
      <c r="BC394">
        <f>ROUNDUP(tbl_Data_old[[#This Row],[Adjusted 2026]]/$L394,0)</f>
        <v>1</v>
      </c>
      <c r="BD394">
        <f>ROUNDUP(tbl_Data_old[[#This Row],[Adjusted 2027]]/$L394,0)</f>
        <v>1</v>
      </c>
      <c r="BE394">
        <f>ROUNDUP(tbl_Data_old[[#This Row],[Adjusted 2028]]/$L394,0)</f>
        <v>2</v>
      </c>
      <c r="BF394">
        <f>ROUNDUP(tbl_Data_old[[#This Row],[Adjusted 2029]]/$L394,0)</f>
        <v>2</v>
      </c>
      <c r="BG394">
        <f>ROUNDUP(tbl_Data_old[[#This Row],[Adjusted 2030]]/$L394,0)</f>
        <v>2</v>
      </c>
      <c r="BH394">
        <f>ROUNDUP(tbl_Data_old[[#This Row],[Adjusted 2031]]/$L394,0)</f>
        <v>2</v>
      </c>
      <c r="BI394">
        <f>ROUNDUP(tbl_Data_old[[#This Row],[Adjusted 2032]]/$L394,0)</f>
        <v>2</v>
      </c>
      <c r="BJ394">
        <f>ROUNDUP(tbl_Data_old[[#This Row],[Adjusted 2033]]/$L394,0)</f>
        <v>2</v>
      </c>
      <c r="BK394">
        <f>ROUNDUP(tbl_Data_old[[#This Row],[Adjusted 2034]]/$L394,0)</f>
        <v>2</v>
      </c>
      <c r="BL394" s="3">
        <f t="shared" si="27"/>
        <v>3736.753124066754</v>
      </c>
      <c r="BM394" s="3">
        <f t="shared" si="27"/>
        <v>4182.9925104682243</v>
      </c>
      <c r="BN394" s="3">
        <f t="shared" si="27"/>
        <v>4588.8246265702055</v>
      </c>
      <c r="BO394" s="3">
        <f t="shared" si="27"/>
        <v>4971.3406176922908</v>
      </c>
      <c r="BP394" s="3">
        <f t="shared" si="27"/>
        <v>5324.2065066293817</v>
      </c>
      <c r="BQ394" s="3">
        <f t="shared" si="26"/>
        <v>5648.831990224221</v>
      </c>
      <c r="BR394" s="3">
        <f t="shared" si="26"/>
        <v>5944.3004170846916</v>
      </c>
      <c r="BS394" s="3">
        <f t="shared" si="26"/>
        <v>6226.4079130755854</v>
      </c>
      <c r="BT394" s="3">
        <f t="shared" si="26"/>
        <v>6507.87737102341</v>
      </c>
      <c r="BU394" s="3">
        <f t="shared" si="26"/>
        <v>6775.2614498259118</v>
      </c>
      <c r="BV394">
        <f>VLOOKUP($H394,'1. Set Program Names'!$B$2:$D$15,3,0)*V394</f>
        <v>821.21214829674727</v>
      </c>
      <c r="BW394">
        <f>VLOOKUP($H394,'1. Set Program Names'!$B$2:$D$15,3,0)*W394</f>
        <v>919.28049613626263</v>
      </c>
      <c r="BX394">
        <f>VLOOKUP($H394,'1. Set Program Names'!$B$2:$D$15,3,0)*X394</f>
        <v>1008.4686904982216</v>
      </c>
      <c r="BY394">
        <f>VLOOKUP($H394,'1. Set Program Names'!$B$2:$D$15,3,0)*Y394</f>
        <v>1092.532787964034</v>
      </c>
      <c r="BZ394">
        <f>VLOOKUP($H394,'1. Set Program Names'!$B$2:$D$15,3,0)*Z394</f>
        <v>1170.0807942394131</v>
      </c>
      <c r="CA394">
        <f>VLOOKUP($H394,'1. Set Program Names'!$B$2:$D$15,3,0)*AA394</f>
        <v>1241.4225130856018</v>
      </c>
      <c r="CB394">
        <f>VLOOKUP($H394,'1. Set Program Names'!$B$2:$D$15,3,0)*AB394</f>
        <v>1306.3564954814944</v>
      </c>
      <c r="CC394">
        <f>VLOOKUP($H394,'1. Set Program Names'!$B$2:$D$15,3,0)*AC394</f>
        <v>1368.3541964645256</v>
      </c>
      <c r="CD394">
        <f>VLOOKUP($H394,'1. Set Program Names'!$B$2:$D$15,3,0)*AD394</f>
        <v>1430.2116782319308</v>
      </c>
      <c r="CE394">
        <f>VLOOKUP($H394,'1. Set Program Names'!$B$2:$D$15,3,0)*AE394</f>
        <v>1488.9736693197387</v>
      </c>
    </row>
    <row r="395" spans="1:83" x14ac:dyDescent="0.25">
      <c r="A395" s="20" t="s">
        <v>87</v>
      </c>
      <c r="B395" s="20" t="s">
        <v>88</v>
      </c>
      <c r="C395" s="20" t="s">
        <v>122</v>
      </c>
      <c r="D395" s="20" t="s">
        <v>90</v>
      </c>
      <c r="E395" s="20" t="s">
        <v>91</v>
      </c>
      <c r="F395" s="20" t="s">
        <v>90</v>
      </c>
      <c r="G395" s="20" t="s">
        <v>92</v>
      </c>
      <c r="H395" s="20" t="s">
        <v>18</v>
      </c>
      <c r="I395" s="20" t="s">
        <v>147</v>
      </c>
      <c r="J395" s="20" t="s">
        <v>129</v>
      </c>
      <c r="K395" s="20" t="s">
        <v>98</v>
      </c>
      <c r="L395" s="20">
        <v>51564</v>
      </c>
      <c r="M395" s="20">
        <v>11.869063049271301</v>
      </c>
      <c r="N395" s="20">
        <v>0</v>
      </c>
      <c r="O395" s="20">
        <v>19806</v>
      </c>
      <c r="P395" s="20">
        <v>9503.5476574024997</v>
      </c>
      <c r="Q395" s="20">
        <v>1631.9075870891199</v>
      </c>
      <c r="R395" s="20">
        <v>29910.075520317099</v>
      </c>
      <c r="S395" s="20">
        <v>71007.301413734196</v>
      </c>
      <c r="T395" s="20">
        <v>23</v>
      </c>
      <c r="U395" s="20">
        <v>1</v>
      </c>
      <c r="V395" s="20">
        <v>25289.064611936301</v>
      </c>
      <c r="W395" s="20">
        <v>28359.548032642499</v>
      </c>
      <c r="X395" s="20">
        <v>31160.900090069601</v>
      </c>
      <c r="Y395" s="20">
        <v>33806.966604956797</v>
      </c>
      <c r="Z395" s="20">
        <v>36253.097288284604</v>
      </c>
      <c r="AA395" s="20">
        <v>38507.505281835904</v>
      </c>
      <c r="AB395" s="20">
        <v>40562.844130104299</v>
      </c>
      <c r="AC395" s="20">
        <v>42526.125863045301</v>
      </c>
      <c r="AD395" s="20">
        <v>44483.902326568699</v>
      </c>
      <c r="AE395" s="20">
        <v>46344.070633476797</v>
      </c>
      <c r="AF395" t="str">
        <f t="shared" si="28"/>
        <v>NonResidential</v>
      </c>
      <c r="AG395" t="str">
        <f>tbl_Data_old[[#This Row],[All_Meas_Name_Append]]</f>
        <v>HE Water Cooled Chiller - Centrifugal Compressor - 500 Tons</v>
      </c>
      <c r="AH395">
        <f>AVERAGEIFS('3. Incentive Adjustment'!G:G,'3. Incentive Adjustment'!A:A,tbl_Data_old[[#This Row],[Trimmed Sector]],'3. Incentive Adjustment'!B:B,tbl_Data_old[[#This Row],[Trimmed Measure Name]])</f>
        <v>0.83338953851620801</v>
      </c>
      <c r="AI395">
        <f>$AH395*tbl_Data_old[[#This Row],[2025 ]]</f>
        <v>21075.64188644816</v>
      </c>
      <c r="AJ395">
        <f>$AH395*tbl_Data_old[[#This Row],[2026 ]]</f>
        <v>23634.550647452168</v>
      </c>
      <c r="AK395">
        <f>$AH395*tbl_Data_old[[#This Row],[2027 ]]</f>
        <v>25969.168145812768</v>
      </c>
      <c r="AL395">
        <f>$AH395*tbl_Data_old[[#This Row],[2028 ]]</f>
        <v>28174.3722975378</v>
      </c>
      <c r="AM395">
        <f>$AH395*tbl_Data_old[[#This Row],[2029 ]]</f>
        <v>30212.952018866697</v>
      </c>
      <c r="AN395">
        <f>$AH395*tbl_Data_old[[#This Row],[2030 ]]</f>
        <v>32091.752056239668</v>
      </c>
      <c r="AO395">
        <f>$AH395*tbl_Data_old[[#This Row],[2031 ]]</f>
        <v>33804.649950492501</v>
      </c>
      <c r="AP395">
        <f>$AH395*tbl_Data_old[[#This Row],[2032 ]]</f>
        <v>35440.828407885499</v>
      </c>
      <c r="AQ395">
        <f>$AH395*tbl_Data_old[[#This Row],[2033 ]]</f>
        <v>37072.418831339157</v>
      </c>
      <c r="AR395">
        <f>$AH395*tbl_Data_old[[#This Row],[2034 ]]</f>
        <v>38622.663638195772</v>
      </c>
      <c r="AS395">
        <f>SUM(tbl_Data_old[[#This Row],[Adjusted 2025]:[Adjusted 2034]])</f>
        <v>306098.99788027018</v>
      </c>
      <c r="AT395" s="3">
        <f>AVERAGEIFS('3. Incentive Adjustment'!F:F,'3. Incentive Adjustment'!A:A,tbl_Data_old[[#This Row],[Trimmed Sector]],'3. Incentive Adjustment'!B:B,tbl_Data_old[[#This Row],[Trimmed Measure Name]])</f>
        <v>5941.8</v>
      </c>
      <c r="AU395" s="3">
        <f>IFERROR(VLOOKUP(tbl_Data_old[[#This Row],[All_Meas_Name_Append]],'IRA Tax Credits'!$A$3:$D$46,4,0),0)</f>
        <v>0</v>
      </c>
      <c r="AV395" s="4">
        <f>tbl_Data_old[[#This Row],[Adj. per unit Incentive ($)]]/tbl_Data_old[[#This Row],[kWh Savings]]*tbl_Data_old[[#This Row],[Sum of Annuals]]</f>
        <v>35272.264091323195</v>
      </c>
      <c r="AW395" s="4">
        <f>IFERROR(VLOOKUP(tbl_Data_old[[#This Row],[All_Programs]],'1. Set Program Names'!$B$2:$D$15,3,0)*tbl_Data_old[[#This Row],[Sum of Annuals]],"")</f>
        <v>9687.481131044764</v>
      </c>
      <c r="AX395" s="4">
        <f>tbl_Data_old[[#This Row],[per unit IRA tax ($)]]/tbl_Data_old[[#This Row],[kWh Savings]]*tbl_Data_old[[#This Row],[Sum of Annuals]]</f>
        <v>0</v>
      </c>
      <c r="AY395" s="4">
        <f>tbl_Data_old[[#This Row],[Avoided Costs ($/unit)]]/tbl_Data_old[[#This Row],[kWh Savings]]*tbl_Data_old[[#This Row],[Sum of Annuals]]</f>
        <v>177554.9636043027</v>
      </c>
      <c r="AZ395" s="4">
        <f>tbl_Data_old[[#This Row],[Lost Revenue ($/unit)]]/tbl_Data_old[[#This Row],[kWh Savings]]*tbl_Data_old[[#This Row],[Sum of Annuals]]</f>
        <v>421520.12654034462</v>
      </c>
      <c r="BA395" s="4">
        <f>tbl_Data_old[[#This Row],[Incremental Cost ($/unit)]]/tbl_Data_old[[#This Row],[kWh Savings]]*tbl_Data_old[[#This Row],[Sum of Annuals]]</f>
        <v>117574.21363774399</v>
      </c>
      <c r="BB395">
        <f>ROUNDUP(tbl_Data_old[[#This Row],[Adjusted 2025]]/$L395,0)</f>
        <v>1</v>
      </c>
      <c r="BC395">
        <f>ROUNDUP(tbl_Data_old[[#This Row],[Adjusted 2026]]/$L395,0)</f>
        <v>1</v>
      </c>
      <c r="BD395">
        <f>ROUNDUP(tbl_Data_old[[#This Row],[Adjusted 2027]]/$L395,0)</f>
        <v>1</v>
      </c>
      <c r="BE395">
        <f>ROUNDUP(tbl_Data_old[[#This Row],[Adjusted 2028]]/$L395,0)</f>
        <v>1</v>
      </c>
      <c r="BF395">
        <f>ROUNDUP(tbl_Data_old[[#This Row],[Adjusted 2029]]/$L395,0)</f>
        <v>1</v>
      </c>
      <c r="BG395">
        <f>ROUNDUP(tbl_Data_old[[#This Row],[Adjusted 2030]]/$L395,0)</f>
        <v>1</v>
      </c>
      <c r="BH395">
        <f>ROUNDUP(tbl_Data_old[[#This Row],[Adjusted 2031]]/$L395,0)</f>
        <v>1</v>
      </c>
      <c r="BI395">
        <f>ROUNDUP(tbl_Data_old[[#This Row],[Adjusted 2032]]/$L395,0)</f>
        <v>1</v>
      </c>
      <c r="BJ395">
        <f>ROUNDUP(tbl_Data_old[[#This Row],[Adjusted 2033]]/$L395,0)</f>
        <v>1</v>
      </c>
      <c r="BK395">
        <f>ROUNDUP(tbl_Data_old[[#This Row],[Adjusted 2034]]/$L395,0)</f>
        <v>1</v>
      </c>
      <c r="BL395" s="3">
        <f t="shared" si="27"/>
        <v>2914.0982877822339</v>
      </c>
      <c r="BM395" s="3">
        <f t="shared" si="27"/>
        <v>3267.9148727863471</v>
      </c>
      <c r="BN395" s="3">
        <f t="shared" si="27"/>
        <v>3590.7190317891464</v>
      </c>
      <c r="BO395" s="3">
        <f t="shared" si="27"/>
        <v>3895.6293959609861</v>
      </c>
      <c r="BP395" s="3">
        <f t="shared" si="27"/>
        <v>4177.5008429821091</v>
      </c>
      <c r="BQ395" s="3">
        <f t="shared" si="26"/>
        <v>4437.2797859671973</v>
      </c>
      <c r="BR395" s="3">
        <f t="shared" si="26"/>
        <v>4674.1196814105524</v>
      </c>
      <c r="BS395" s="3">
        <f t="shared" si="26"/>
        <v>4900.3516921309938</v>
      </c>
      <c r="BT395" s="3">
        <f t="shared" si="26"/>
        <v>5125.9493220852901</v>
      </c>
      <c r="BU395" s="3">
        <f t="shared" si="26"/>
        <v>5340.2994121866504</v>
      </c>
      <c r="BV395">
        <f>VLOOKUP($H395,'1. Set Program Names'!$B$2:$D$15,3,0)*V395</f>
        <v>800.3532776861</v>
      </c>
      <c r="BW395">
        <f>VLOOKUP($H395,'1. Set Program Names'!$B$2:$D$15,3,0)*W395</f>
        <v>897.52853930819731</v>
      </c>
      <c r="BX395">
        <f>VLOOKUP($H395,'1. Set Program Names'!$B$2:$D$15,3,0)*X395</f>
        <v>986.18627875089044</v>
      </c>
      <c r="BY395">
        <f>VLOOKUP($H395,'1. Set Program Names'!$B$2:$D$15,3,0)*Y395</f>
        <v>1069.9295108815807</v>
      </c>
      <c r="BZ395">
        <f>VLOOKUP($H395,'1. Set Program Names'!$B$2:$D$15,3,0)*Z395</f>
        <v>1147.345134594523</v>
      </c>
      <c r="CA395">
        <f>VLOOKUP($H395,'1. Set Program Names'!$B$2:$D$15,3,0)*AA395</f>
        <v>1218.6930810119993</v>
      </c>
      <c r="CB395">
        <f>VLOOKUP($H395,'1. Set Program Names'!$B$2:$D$15,3,0)*AB395</f>
        <v>1283.7408480690203</v>
      </c>
      <c r="CC395">
        <f>VLOOKUP($H395,'1. Set Program Names'!$B$2:$D$15,3,0)*AC395</f>
        <v>1345.8751734817097</v>
      </c>
      <c r="CD395">
        <f>VLOOKUP($H395,'1. Set Program Names'!$B$2:$D$15,3,0)*AD395</f>
        <v>1407.8352670479255</v>
      </c>
      <c r="CE395">
        <f>VLOOKUP($H395,'1. Set Program Names'!$B$2:$D$15,3,0)*AE395</f>
        <v>1466.7062385262063</v>
      </c>
    </row>
    <row r="396" spans="1:83" x14ac:dyDescent="0.25">
      <c r="A396" s="20" t="s">
        <v>87</v>
      </c>
      <c r="B396" s="20" t="s">
        <v>88</v>
      </c>
      <c r="C396" s="20" t="s">
        <v>122</v>
      </c>
      <c r="D396" s="20" t="s">
        <v>90</v>
      </c>
      <c r="E396" s="20" t="s">
        <v>91</v>
      </c>
      <c r="F396" s="20" t="s">
        <v>90</v>
      </c>
      <c r="G396" s="20" t="s">
        <v>92</v>
      </c>
      <c r="H396" s="20" t="s">
        <v>18</v>
      </c>
      <c r="I396" s="20" t="s">
        <v>148</v>
      </c>
      <c r="J396" s="20" t="s">
        <v>129</v>
      </c>
      <c r="K396" s="20" t="s">
        <v>98</v>
      </c>
      <c r="L396" s="20">
        <v>552.51399999999899</v>
      </c>
      <c r="M396" s="20">
        <v>0.19160575593909501</v>
      </c>
      <c r="N396" s="20">
        <v>0</v>
      </c>
      <c r="O396" s="20">
        <v>129</v>
      </c>
      <c r="P396" s="20">
        <v>16.0943430226503</v>
      </c>
      <c r="Q396" s="20">
        <v>17.486071456306</v>
      </c>
      <c r="R396" s="20">
        <v>212.35909497904299</v>
      </c>
      <c r="S396" s="20">
        <v>383.33946557666002</v>
      </c>
      <c r="T396" s="20">
        <v>8</v>
      </c>
      <c r="U396" s="20">
        <v>1</v>
      </c>
      <c r="V396" s="20">
        <v>652625.30308988295</v>
      </c>
      <c r="W396" s="20">
        <v>731930.58268690296</v>
      </c>
      <c r="X396" s="20">
        <v>803276.34164691705</v>
      </c>
      <c r="Y396" s="20">
        <v>870416.99734937504</v>
      </c>
      <c r="Z396" s="20">
        <v>932691.22355761298</v>
      </c>
      <c r="AA396" s="20">
        <v>989874.39780050097</v>
      </c>
      <c r="AB396" s="20">
        <v>1042305.1391630101</v>
      </c>
      <c r="AC396" s="20">
        <v>1092671.28712978</v>
      </c>
      <c r="AD396" s="20">
        <v>1142502.8934959201</v>
      </c>
      <c r="AE396" s="20">
        <v>1190168.0652743001</v>
      </c>
      <c r="AF396" t="str">
        <f t="shared" si="28"/>
        <v>NonResidential</v>
      </c>
      <c r="AG396" t="str">
        <f>tbl_Data_old[[#This Row],[All_Meas_Name_Append]]</f>
        <v>High Efficiency PTAC</v>
      </c>
      <c r="AH396">
        <f>AVERAGEIFS('3. Incentive Adjustment'!G:G,'3. Incentive Adjustment'!A:A,tbl_Data_old[[#This Row],[Trimmed Sector]],'3. Incentive Adjustment'!B:B,tbl_Data_old[[#This Row],[Trimmed Measure Name]])</f>
        <v>1.1757614296438725</v>
      </c>
      <c r="AI396">
        <f>$AH396*tbl_Data_old[[#This Row],[2025 ]]</f>
        <v>767331.65938272642</v>
      </c>
      <c r="AJ396">
        <f>$AH396*tbl_Data_old[[#This Row],[2026 ]]</f>
        <v>860575.74830002571</v>
      </c>
      <c r="AK396">
        <f>$AH396*tbl_Data_old[[#This Row],[2027 ]]</f>
        <v>944461.33985387895</v>
      </c>
      <c r="AL396">
        <f>$AH396*tbl_Data_old[[#This Row],[2028 ]]</f>
        <v>1023402.733189828</v>
      </c>
      <c r="AM396">
        <f>$AH396*tbl_Data_old[[#This Row],[2029 ]]</f>
        <v>1096622.3664263918</v>
      </c>
      <c r="AN396">
        <f>$AH396*tbl_Data_old[[#This Row],[2030 ]]</f>
        <v>1163856.1371257845</v>
      </c>
      <c r="AO396">
        <f>$AH396*tbl_Data_old[[#This Row],[2031 ]]</f>
        <v>1225502.1805474563</v>
      </c>
      <c r="AP396">
        <f>$AH396*tbl_Data_old[[#This Row],[2032 ]]</f>
        <v>1284720.7546865204</v>
      </c>
      <c r="AQ396">
        <f>$AH396*tbl_Data_old[[#This Row],[2033 ]]</f>
        <v>1343310.8354290242</v>
      </c>
      <c r="AR396">
        <f>$AH396*tbl_Data_old[[#This Row],[2034 ]]</f>
        <v>1399353.7059433928</v>
      </c>
      <c r="AS396">
        <f>SUM(tbl_Data_old[[#This Row],[Adjusted 2025]:[Adjusted 2034]])</f>
        <v>11109137.460885029</v>
      </c>
      <c r="AT396" s="3">
        <f>AVERAGEIFS('3. Incentive Adjustment'!F:F,'3. Incentive Adjustment'!A:A,tbl_Data_old[[#This Row],[Trimmed Sector]],'3. Incentive Adjustment'!B:B,tbl_Data_old[[#This Row],[Trimmed Measure Name]])</f>
        <v>50</v>
      </c>
      <c r="AU396" s="3">
        <f>IFERROR(VLOOKUP(tbl_Data_old[[#This Row],[All_Meas_Name_Append]],'IRA Tax Credits'!$A$3:$D$46,4,0),0)</f>
        <v>0</v>
      </c>
      <c r="AV396" s="4">
        <f>tbl_Data_old[[#This Row],[Adj. per unit Incentive ($)]]/tbl_Data_old[[#This Row],[kWh Savings]]*tbl_Data_old[[#This Row],[Sum of Annuals]]</f>
        <v>1005326.33208254</v>
      </c>
      <c r="AW396" s="4">
        <f>IFERROR(VLOOKUP(tbl_Data_old[[#This Row],[All_Programs]],'1. Set Program Names'!$B$2:$D$15,3,0)*tbl_Data_old[[#This Row],[Sum of Annuals]],"")</f>
        <v>351584.16159402579</v>
      </c>
      <c r="AX396" s="4">
        <f>tbl_Data_old[[#This Row],[per unit IRA tax ($)]]/tbl_Data_old[[#This Row],[kWh Savings]]*tbl_Data_old[[#This Row],[Sum of Annuals]]</f>
        <v>0</v>
      </c>
      <c r="AY396" s="4">
        <f>tbl_Data_old[[#This Row],[Avoided Costs ($/unit)]]/tbl_Data_old[[#This Row],[kWh Savings]]*tbl_Data_old[[#This Row],[Sum of Annuals]]</f>
        <v>4269803.8007929809</v>
      </c>
      <c r="AZ396" s="4">
        <f>tbl_Data_old[[#This Row],[Lost Revenue ($/unit)]]/tbl_Data_old[[#This Row],[kWh Savings]]*tbl_Data_old[[#This Row],[Sum of Annuals]]</f>
        <v>7707625.1774132941</v>
      </c>
      <c r="BA396" s="4">
        <f>tbl_Data_old[[#This Row],[Incremental Cost ($/unit)]]/tbl_Data_old[[#This Row],[kWh Savings]]*tbl_Data_old[[#This Row],[Sum of Annuals]]</f>
        <v>2593741.9367729528</v>
      </c>
      <c r="BB396">
        <f>ROUNDUP(tbl_Data_old[[#This Row],[Adjusted 2025]]/$L396,0)</f>
        <v>1389</v>
      </c>
      <c r="BC396">
        <f>ROUNDUP(tbl_Data_old[[#This Row],[Adjusted 2026]]/$L396,0)</f>
        <v>1558</v>
      </c>
      <c r="BD396">
        <f>ROUNDUP(tbl_Data_old[[#This Row],[Adjusted 2027]]/$L396,0)</f>
        <v>1710</v>
      </c>
      <c r="BE396">
        <f>ROUNDUP(tbl_Data_old[[#This Row],[Adjusted 2028]]/$L396,0)</f>
        <v>1853</v>
      </c>
      <c r="BF396">
        <f>ROUNDUP(tbl_Data_old[[#This Row],[Adjusted 2029]]/$L396,0)</f>
        <v>1985</v>
      </c>
      <c r="BG396">
        <f>ROUNDUP(tbl_Data_old[[#This Row],[Adjusted 2030]]/$L396,0)</f>
        <v>2107</v>
      </c>
      <c r="BH396">
        <f>ROUNDUP(tbl_Data_old[[#This Row],[Adjusted 2031]]/$L396,0)</f>
        <v>2219</v>
      </c>
      <c r="BI396">
        <f>ROUNDUP(tbl_Data_old[[#This Row],[Adjusted 2032]]/$L396,0)</f>
        <v>2326</v>
      </c>
      <c r="BJ396">
        <f>ROUNDUP(tbl_Data_old[[#This Row],[Adjusted 2033]]/$L396,0)</f>
        <v>2432</v>
      </c>
      <c r="BK396">
        <f>ROUNDUP(tbl_Data_old[[#This Row],[Adjusted 2034]]/$L396,0)</f>
        <v>2533</v>
      </c>
      <c r="BL396" s="3">
        <f t="shared" si="27"/>
        <v>59059.616868521356</v>
      </c>
      <c r="BM396" s="3">
        <f t="shared" si="27"/>
        <v>66236.383393624812</v>
      </c>
      <c r="BN396" s="3">
        <f t="shared" si="27"/>
        <v>72692.849560999224</v>
      </c>
      <c r="BO396" s="3">
        <f t="shared" si="27"/>
        <v>78768.773040083746</v>
      </c>
      <c r="BP396" s="3">
        <f t="shared" si="27"/>
        <v>84404.306819158854</v>
      </c>
      <c r="BQ396" s="3">
        <f t="shared" si="26"/>
        <v>89579.123587864087</v>
      </c>
      <c r="BR396" s="3">
        <f t="shared" si="26"/>
        <v>94323.866830796323</v>
      </c>
      <c r="BS396" s="3">
        <f t="shared" si="26"/>
        <v>98881.773776753354</v>
      </c>
      <c r="BT396" s="3">
        <f t="shared" si="26"/>
        <v>103391.30714297938</v>
      </c>
      <c r="BU396" s="3">
        <f t="shared" si="26"/>
        <v>107704.78804829401</v>
      </c>
      <c r="BV396">
        <f>VLOOKUP($H396,'1. Set Program Names'!$B$2:$D$15,3,0)*V396</f>
        <v>20654.413614900368</v>
      </c>
      <c r="BW396">
        <f>VLOOKUP($H396,'1. Set Program Names'!$B$2:$D$15,3,0)*W396</f>
        <v>23164.282660564044</v>
      </c>
      <c r="BX396">
        <f>VLOOKUP($H396,'1. Set Program Names'!$B$2:$D$15,3,0)*X396</f>
        <v>25422.247235722665</v>
      </c>
      <c r="BY396">
        <f>VLOOKUP($H396,'1. Set Program Names'!$B$2:$D$15,3,0)*Y396</f>
        <v>27547.12787808905</v>
      </c>
      <c r="BZ396">
        <f>VLOOKUP($H396,'1. Set Program Names'!$B$2:$D$15,3,0)*Z396</f>
        <v>29517.994805195718</v>
      </c>
      <c r="CA396">
        <f>VLOOKUP($H396,'1. Set Program Names'!$B$2:$D$15,3,0)*AA396</f>
        <v>31327.739121013121</v>
      </c>
      <c r="CB396">
        <f>VLOOKUP($H396,'1. Set Program Names'!$B$2:$D$15,3,0)*AB396</f>
        <v>32987.077508767878</v>
      </c>
      <c r="CC396">
        <f>VLOOKUP($H396,'1. Set Program Names'!$B$2:$D$15,3,0)*AC396</f>
        <v>34581.075239731843</v>
      </c>
      <c r="CD396">
        <f>VLOOKUP($H396,'1. Set Program Names'!$B$2:$D$15,3,0)*AD396</f>
        <v>36158.155693260327</v>
      </c>
      <c r="CE396">
        <f>VLOOKUP($H396,'1. Set Program Names'!$B$2:$D$15,3,0)*AE396</f>
        <v>37666.672399975185</v>
      </c>
    </row>
    <row r="397" spans="1:83" x14ac:dyDescent="0.25">
      <c r="A397" s="20" t="s">
        <v>87</v>
      </c>
      <c r="B397" s="20" t="s">
        <v>88</v>
      </c>
      <c r="C397" s="20" t="s">
        <v>122</v>
      </c>
      <c r="D397" s="20" t="s">
        <v>90</v>
      </c>
      <c r="E397" s="20" t="s">
        <v>91</v>
      </c>
      <c r="F397" s="20" t="s">
        <v>90</v>
      </c>
      <c r="G397" s="20" t="s">
        <v>92</v>
      </c>
      <c r="H397" s="20" t="s">
        <v>18</v>
      </c>
      <c r="I397" s="20" t="s">
        <v>149</v>
      </c>
      <c r="J397" s="20" t="s">
        <v>129</v>
      </c>
      <c r="K397" s="20" t="s">
        <v>98</v>
      </c>
      <c r="L397" s="20">
        <v>540.79749999999899</v>
      </c>
      <c r="M397" s="20">
        <v>0.159555976068885</v>
      </c>
      <c r="N397" s="20">
        <v>1.50169234953632E-2</v>
      </c>
      <c r="O397" s="20">
        <v>128.99999999999901</v>
      </c>
      <c r="P397" s="20">
        <v>23.4690947103329</v>
      </c>
      <c r="Q397" s="20">
        <v>17.115265365930298</v>
      </c>
      <c r="R397" s="20">
        <v>204.24936172330499</v>
      </c>
      <c r="S397" s="20">
        <v>375.21044649582399</v>
      </c>
      <c r="T397" s="20">
        <v>8</v>
      </c>
      <c r="U397" s="20">
        <v>1</v>
      </c>
      <c r="V397" s="20">
        <v>392284.24879535497</v>
      </c>
      <c r="W397" s="20">
        <v>440399.76549642801</v>
      </c>
      <c r="X397" s="20">
        <v>483731.86992791301</v>
      </c>
      <c r="Y397" s="20">
        <v>524516.24370458804</v>
      </c>
      <c r="Z397" s="20">
        <v>562337.59406402695</v>
      </c>
      <c r="AA397" s="20">
        <v>597046.19079193706</v>
      </c>
      <c r="AB397" s="20">
        <v>628837.90339180396</v>
      </c>
      <c r="AC397" s="20">
        <v>659328.90695444797</v>
      </c>
      <c r="AD397" s="20">
        <v>689438.86340285197</v>
      </c>
      <c r="AE397" s="20">
        <v>718183.69122661999</v>
      </c>
      <c r="AF397" t="str">
        <f t="shared" si="28"/>
        <v>NonResidential</v>
      </c>
      <c r="AG397" t="str">
        <f>tbl_Data_old[[#This Row],[All_Meas_Name_Append]]</f>
        <v>High Efficiency PTHP</v>
      </c>
      <c r="AH397">
        <f>AVERAGEIFS('3. Incentive Adjustment'!G:G,'3. Incentive Adjustment'!A:A,tbl_Data_old[[#This Row],[Trimmed Sector]],'3. Incentive Adjustment'!B:B,tbl_Data_old[[#This Row],[Trimmed Measure Name]])</f>
        <v>1.138194101705527</v>
      </c>
      <c r="AI397">
        <f>$AH397*tbl_Data_old[[#This Row],[2025 ]]</f>
        <v>446495.61817085656</v>
      </c>
      <c r="AJ397">
        <f>$AH397*tbl_Data_old[[#This Row],[2026 ]]</f>
        <v>501260.41548053164</v>
      </c>
      <c r="AK397">
        <f>$AH397*tbl_Data_old[[#This Row],[2027 ]]</f>
        <v>550580.76115893584</v>
      </c>
      <c r="AL397">
        <f>$AH397*tbl_Data_old[[#This Row],[2028 ]]</f>
        <v>597001.29483330087</v>
      </c>
      <c r="AM397">
        <f>$AH397*tbl_Data_old[[#This Row],[2029 ]]</f>
        <v>640049.33273095242</v>
      </c>
      <c r="AN397">
        <f>$AH397*tbl_Data_old[[#This Row],[2030 ]]</f>
        <v>679554.45280513552</v>
      </c>
      <c r="AO397">
        <f>$AH397*tbl_Data_old[[#This Row],[2031 ]]</f>
        <v>715739.59256942128</v>
      </c>
      <c r="AP397">
        <f>$AH397*tbl_Data_old[[#This Row],[2032 ]]</f>
        <v>750444.27297950489</v>
      </c>
      <c r="AQ397">
        <f>$AH397*tbl_Data_old[[#This Row],[2033 ]]</f>
        <v>784715.24781168869</v>
      </c>
      <c r="AR397">
        <f>$AH397*tbl_Data_old[[#This Row],[2034 ]]</f>
        <v>817432.4412952424</v>
      </c>
      <c r="AS397">
        <f>SUM(tbl_Data_old[[#This Row],[Adjusted 2025]:[Adjusted 2034]])</f>
        <v>6483273.429835571</v>
      </c>
      <c r="AT397" s="3">
        <f>AVERAGEIFS('3. Incentive Adjustment'!F:F,'3. Incentive Adjustment'!A:A,tbl_Data_old[[#This Row],[Trimmed Sector]],'3. Incentive Adjustment'!B:B,tbl_Data_old[[#This Row],[Trimmed Measure Name]])</f>
        <v>50</v>
      </c>
      <c r="AU397" s="3">
        <f>IFERROR(VLOOKUP(tbl_Data_old[[#This Row],[All_Meas_Name_Append]],'IRA Tax Credits'!$A$3:$D$46,4,0),0)</f>
        <v>0</v>
      </c>
      <c r="AV397" s="4">
        <f>tbl_Data_old[[#This Row],[Adj. per unit Incentive ($)]]/tbl_Data_old[[#This Row],[kWh Savings]]*tbl_Data_old[[#This Row],[Sum of Annuals]]</f>
        <v>599417.84400219889</v>
      </c>
      <c r="AW397" s="4">
        <f>IFERROR(VLOOKUP(tbl_Data_old[[#This Row],[All_Programs]],'1. Set Program Names'!$B$2:$D$15,3,0)*tbl_Data_old[[#This Row],[Sum of Annuals]],"")</f>
        <v>205183.90930342933</v>
      </c>
      <c r="AX397" s="4">
        <f>tbl_Data_old[[#This Row],[per unit IRA tax ($)]]/tbl_Data_old[[#This Row],[kWh Savings]]*tbl_Data_old[[#This Row],[Sum of Annuals]]</f>
        <v>0</v>
      </c>
      <c r="AY397" s="4">
        <f>tbl_Data_old[[#This Row],[Avoided Costs ($/unit)]]/tbl_Data_old[[#This Row],[kWh Savings]]*tbl_Data_old[[#This Row],[Sum of Annuals]]</f>
        <v>2448614.2408601744</v>
      </c>
      <c r="AZ397" s="4">
        <f>tbl_Data_old[[#This Row],[Lost Revenue ($/unit)]]/tbl_Data_old[[#This Row],[kWh Savings]]*tbl_Data_old[[#This Row],[Sum of Annuals]]</f>
        <v>4498156.7377125844</v>
      </c>
      <c r="BA397" s="4">
        <f>tbl_Data_old[[#This Row],[Incremental Cost ($/unit)]]/tbl_Data_old[[#This Row],[kWh Savings]]*tbl_Data_old[[#This Row],[Sum of Annuals]]</f>
        <v>1546498.0375256613</v>
      </c>
      <c r="BB397">
        <f>ROUNDUP(tbl_Data_old[[#This Row],[Adjusted 2025]]/$L397,0)</f>
        <v>826</v>
      </c>
      <c r="BC397">
        <f>ROUNDUP(tbl_Data_old[[#This Row],[Adjusted 2026]]/$L397,0)</f>
        <v>927</v>
      </c>
      <c r="BD397">
        <f>ROUNDUP(tbl_Data_old[[#This Row],[Adjusted 2027]]/$L397,0)</f>
        <v>1019</v>
      </c>
      <c r="BE397">
        <f>ROUNDUP(tbl_Data_old[[#This Row],[Adjusted 2028]]/$L397,0)</f>
        <v>1104</v>
      </c>
      <c r="BF397">
        <f>ROUNDUP(tbl_Data_old[[#This Row],[Adjusted 2029]]/$L397,0)</f>
        <v>1184</v>
      </c>
      <c r="BG397">
        <f>ROUNDUP(tbl_Data_old[[#This Row],[Adjusted 2030]]/$L397,0)</f>
        <v>1257</v>
      </c>
      <c r="BH397">
        <f>ROUNDUP(tbl_Data_old[[#This Row],[Adjusted 2031]]/$L397,0)</f>
        <v>1324</v>
      </c>
      <c r="BI397">
        <f>ROUNDUP(tbl_Data_old[[#This Row],[Adjusted 2032]]/$L397,0)</f>
        <v>1388</v>
      </c>
      <c r="BJ397">
        <f>ROUNDUP(tbl_Data_old[[#This Row],[Adjusted 2033]]/$L397,0)</f>
        <v>1452</v>
      </c>
      <c r="BK397">
        <f>ROUNDUP(tbl_Data_old[[#This Row],[Adjusted 2034]]/$L397,0)</f>
        <v>1512</v>
      </c>
      <c r="BL397" s="3">
        <f t="shared" si="27"/>
        <v>36269.051613159798</v>
      </c>
      <c r="BM397" s="3">
        <f t="shared" si="27"/>
        <v>40717.622168781185</v>
      </c>
      <c r="BN397" s="3">
        <f t="shared" si="27"/>
        <v>44723.93732662539</v>
      </c>
      <c r="BO397" s="3">
        <f t="shared" si="27"/>
        <v>48494.699374959113</v>
      </c>
      <c r="BP397" s="3">
        <f t="shared" si="27"/>
        <v>51991.511985912286</v>
      </c>
      <c r="BQ397" s="3">
        <f t="shared" si="26"/>
        <v>55200.531695499536</v>
      </c>
      <c r="BR397" s="3">
        <f t="shared" si="26"/>
        <v>58139.867824075103</v>
      </c>
      <c r="BS397" s="3">
        <f t="shared" si="26"/>
        <v>60958.945534553066</v>
      </c>
      <c r="BT397" s="3">
        <f t="shared" si="26"/>
        <v>63742.793134477623</v>
      </c>
      <c r="BU397" s="3">
        <f t="shared" si="26"/>
        <v>66400.42633579309</v>
      </c>
      <c r="BV397">
        <f>VLOOKUP($H397,'1. Set Program Names'!$B$2:$D$15,3,0)*V397</f>
        <v>12415.088858597072</v>
      </c>
      <c r="BW397">
        <f>VLOOKUP($H397,'1. Set Program Names'!$B$2:$D$15,3,0)*W397</f>
        <v>13937.858169767556</v>
      </c>
      <c r="BX397">
        <f>VLOOKUP($H397,'1. Set Program Names'!$B$2:$D$15,3,0)*X397</f>
        <v>15309.24111108861</v>
      </c>
      <c r="BY397">
        <f>VLOOKUP($H397,'1. Set Program Names'!$B$2:$D$15,3,0)*Y397</f>
        <v>16599.992972868822</v>
      </c>
      <c r="BZ397">
        <f>VLOOKUP($H397,'1. Set Program Names'!$B$2:$D$15,3,0)*Z397</f>
        <v>17796.970488296731</v>
      </c>
      <c r="CA397">
        <f>VLOOKUP($H397,'1. Set Program Names'!$B$2:$D$15,3,0)*AA397</f>
        <v>18895.434966178458</v>
      </c>
      <c r="CB397">
        <f>VLOOKUP($H397,'1. Set Program Names'!$B$2:$D$15,3,0)*AB397</f>
        <v>19901.585322983203</v>
      </c>
      <c r="CC397">
        <f>VLOOKUP($H397,'1. Set Program Names'!$B$2:$D$15,3,0)*AC397</f>
        <v>20866.570585023394</v>
      </c>
      <c r="CD397">
        <f>VLOOKUP($H397,'1. Set Program Names'!$B$2:$D$15,3,0)*AD397</f>
        <v>21819.496393243735</v>
      </c>
      <c r="CE397">
        <f>VLOOKUP($H397,'1. Set Program Names'!$B$2:$D$15,3,0)*AE397</f>
        <v>22729.218342960161</v>
      </c>
    </row>
    <row r="398" spans="1:83" x14ac:dyDescent="0.25">
      <c r="A398" s="20" t="s">
        <v>87</v>
      </c>
      <c r="B398" s="20" t="s">
        <v>88</v>
      </c>
      <c r="C398" s="20" t="s">
        <v>122</v>
      </c>
      <c r="D398" s="20" t="s">
        <v>90</v>
      </c>
      <c r="E398" s="20" t="s">
        <v>91</v>
      </c>
      <c r="F398" s="20" t="s">
        <v>90</v>
      </c>
      <c r="G398" s="20" t="s">
        <v>92</v>
      </c>
      <c r="H398" s="20" t="s">
        <v>18</v>
      </c>
      <c r="I398" s="20" t="s">
        <v>157</v>
      </c>
      <c r="J398" s="20" t="s">
        <v>158</v>
      </c>
      <c r="K398" s="20" t="s">
        <v>159</v>
      </c>
      <c r="L398" s="20">
        <v>562.52</v>
      </c>
      <c r="M398" s="20">
        <v>0</v>
      </c>
      <c r="N398" s="20">
        <v>2.7796637938074201E-2</v>
      </c>
      <c r="O398" s="20">
        <v>169</v>
      </c>
      <c r="P398" s="20">
        <v>53.285725702774101</v>
      </c>
      <c r="Q398" s="20">
        <v>17.802743307140201</v>
      </c>
      <c r="R398" s="20">
        <v>275.373630058213</v>
      </c>
      <c r="S398" s="20">
        <v>610.96426176974103</v>
      </c>
      <c r="T398" s="20">
        <v>15</v>
      </c>
      <c r="U398" s="20">
        <v>0.2</v>
      </c>
      <c r="V398" s="20">
        <v>75.2721609243507</v>
      </c>
      <c r="W398" s="20">
        <v>81.9871631703068</v>
      </c>
      <c r="X398" s="20">
        <v>87.2897917480187</v>
      </c>
      <c r="Y398" s="20">
        <v>91.729848761291606</v>
      </c>
      <c r="Z398" s="20">
        <v>95.327327719592006</v>
      </c>
      <c r="AA398" s="20">
        <v>98.091295535866806</v>
      </c>
      <c r="AB398" s="20">
        <v>100.14674838805701</v>
      </c>
      <c r="AC398" s="20">
        <v>101.793254223509</v>
      </c>
      <c r="AD398" s="20">
        <v>103.15823554538299</v>
      </c>
      <c r="AE398" s="20">
        <v>104.15664350968601</v>
      </c>
      <c r="AF398" t="str">
        <f t="shared" si="28"/>
        <v>NonResidential</v>
      </c>
      <c r="AG398" t="str">
        <f>tbl_Data_old[[#This Row],[All_Meas_Name_Append]]</f>
        <v>LED Exterior Wall Packs</v>
      </c>
      <c r="AH398">
        <f>AVERAGEIFS('3. Incentive Adjustment'!G:G,'3. Incentive Adjustment'!A:A,tbl_Data_old[[#This Row],[Trimmed Sector]],'3. Incentive Adjustment'!B:B,tbl_Data_old[[#This Row],[Trimmed Measure Name]])</f>
        <v>0.80637708305213962</v>
      </c>
      <c r="AI398">
        <f>$AH398*tbl_Data_old[[#This Row],[2025 ]]</f>
        <v>60.69774556120916</v>
      </c>
      <c r="AJ398">
        <f>$AH398*tbl_Data_old[[#This Row],[2026 ]]</f>
        <v>66.112569484991809</v>
      </c>
      <c r="AK398">
        <f>$AH398*tbl_Data_old[[#This Row],[2027 ]]</f>
        <v>70.388487649996051</v>
      </c>
      <c r="AL398">
        <f>$AH398*tbl_Data_old[[#This Row],[2028 ]]</f>
        <v>73.968847872944252</v>
      </c>
      <c r="AM398">
        <f>$AH398*tbl_Data_old[[#This Row],[2029 ]]</f>
        <v>76.869772461679972</v>
      </c>
      <c r="AN398">
        <f>$AH398*tbl_Data_old[[#This Row],[2030 ]]</f>
        <v>79.098572767017643</v>
      </c>
      <c r="AO398">
        <f>$AH398*tbl_Data_old[[#This Row],[2031 ]]</f>
        <v>80.756042842317967</v>
      </c>
      <c r="AP398">
        <f>$AH398*tbl_Data_old[[#This Row],[2032 ]]</f>
        <v>82.083747415138077</v>
      </c>
      <c r="AQ398">
        <f>$AH398*tbl_Data_old[[#This Row],[2033 ]]</f>
        <v>83.18443707189148</v>
      </c>
      <c r="AR398">
        <f>$AH398*tbl_Data_old[[#This Row],[2034 ]]</f>
        <v>83.989530373842172</v>
      </c>
      <c r="AS398">
        <f>SUM(tbl_Data_old[[#This Row],[Adjusted 2025]:[Adjusted 2034]])</f>
        <v>757.14975350102861</v>
      </c>
      <c r="AT398" s="3">
        <f>AVERAGEIFS('3. Incentive Adjustment'!F:F,'3. Incentive Adjustment'!A:A,tbl_Data_old[[#This Row],[Trimmed Sector]],'3. Incentive Adjustment'!B:B,tbl_Data_old[[#This Row],[Trimmed Measure Name]])</f>
        <v>8.6864493556481861</v>
      </c>
      <c r="AU398" s="3">
        <f>IFERROR(VLOOKUP(tbl_Data_old[[#This Row],[All_Meas_Name_Append]],'IRA Tax Credits'!$A$3:$D$46,4,0),0)</f>
        <v>0</v>
      </c>
      <c r="AV398" s="4">
        <f>tbl_Data_old[[#This Row],[Adj. per unit Incentive ($)]]/tbl_Data_old[[#This Row],[kWh Savings]]*tbl_Data_old[[#This Row],[Sum of Annuals]]</f>
        <v>11.691927377565586</v>
      </c>
      <c r="AW398" s="4">
        <f>IFERROR(VLOOKUP(tbl_Data_old[[#This Row],[All_Programs]],'1. Set Program Names'!$B$2:$D$15,3,0)*tbl_Data_old[[#This Row],[Sum of Annuals]],"")</f>
        <v>23.962423925626265</v>
      </c>
      <c r="AX398" s="4">
        <f>tbl_Data_old[[#This Row],[per unit IRA tax ($)]]/tbl_Data_old[[#This Row],[kWh Savings]]*tbl_Data_old[[#This Row],[Sum of Annuals]]</f>
        <v>0</v>
      </c>
      <c r="AY398" s="4">
        <f>tbl_Data_old[[#This Row],[Avoided Costs ($/unit)]]/tbl_Data_old[[#This Row],[kWh Savings]]*tbl_Data_old[[#This Row],[Sum of Annuals]]</f>
        <v>370.65184547973303</v>
      </c>
      <c r="AZ398" s="4">
        <f>tbl_Data_old[[#This Row],[Lost Revenue ($/unit)]]/tbl_Data_old[[#This Row],[kWh Savings]]*tbl_Data_old[[#This Row],[Sum of Annuals]]</f>
        <v>822.35554326405702</v>
      </c>
      <c r="BA398" s="4">
        <f>tbl_Data_old[[#This Row],[Incremental Cost ($/unit)]]/tbl_Data_old[[#This Row],[kWh Savings]]*tbl_Data_old[[#This Row],[Sum of Annuals]]</f>
        <v>227.47334911056288</v>
      </c>
      <c r="BB398">
        <f>ROUNDUP(tbl_Data_old[[#This Row],[Adjusted 2025]]/$L398,0)</f>
        <v>1</v>
      </c>
      <c r="BC398">
        <f>ROUNDUP(tbl_Data_old[[#This Row],[Adjusted 2026]]/$L398,0)</f>
        <v>1</v>
      </c>
      <c r="BD398">
        <f>ROUNDUP(tbl_Data_old[[#This Row],[Adjusted 2027]]/$L398,0)</f>
        <v>1</v>
      </c>
      <c r="BE398">
        <f>ROUNDUP(tbl_Data_old[[#This Row],[Adjusted 2028]]/$L398,0)</f>
        <v>1</v>
      </c>
      <c r="BF398">
        <f>ROUNDUP(tbl_Data_old[[#This Row],[Adjusted 2029]]/$L398,0)</f>
        <v>1</v>
      </c>
      <c r="BG398">
        <f>ROUNDUP(tbl_Data_old[[#This Row],[Adjusted 2030]]/$L398,0)</f>
        <v>1</v>
      </c>
      <c r="BH398">
        <f>ROUNDUP(tbl_Data_old[[#This Row],[Adjusted 2031]]/$L398,0)</f>
        <v>1</v>
      </c>
      <c r="BI398">
        <f>ROUNDUP(tbl_Data_old[[#This Row],[Adjusted 2032]]/$L398,0)</f>
        <v>1</v>
      </c>
      <c r="BJ398">
        <f>ROUNDUP(tbl_Data_old[[#This Row],[Adjusted 2033]]/$L398,0)</f>
        <v>1</v>
      </c>
      <c r="BK398">
        <f>ROUNDUP(tbl_Data_old[[#This Row],[Adjusted 2034]]/$L398,0)</f>
        <v>1</v>
      </c>
      <c r="BL398" s="3">
        <f t="shared" si="27"/>
        <v>1.1623547851802116</v>
      </c>
      <c r="BM398" s="3">
        <f t="shared" si="27"/>
        <v>1.2660480350781025</v>
      </c>
      <c r="BN398" s="3">
        <f t="shared" si="27"/>
        <v>1.3479313718343195</v>
      </c>
      <c r="BO398" s="3">
        <f t="shared" si="27"/>
        <v>1.4164948547006808</v>
      </c>
      <c r="BP398" s="3">
        <f t="shared" si="27"/>
        <v>1.4720472240018372</v>
      </c>
      <c r="BQ398" s="3">
        <f t="shared" si="26"/>
        <v>1.5147284912576016</v>
      </c>
      <c r="BR398" s="3">
        <f t="shared" si="26"/>
        <v>1.5464688508954327</v>
      </c>
      <c r="BS398" s="3">
        <f t="shared" si="26"/>
        <v>1.5718942394210547</v>
      </c>
      <c r="BT398" s="3">
        <f t="shared" si="26"/>
        <v>1.5929723186428855</v>
      </c>
      <c r="BU398" s="3">
        <f t="shared" si="26"/>
        <v>1.6083897619661343</v>
      </c>
      <c r="BV398">
        <f>VLOOKUP($H398,'1. Set Program Names'!$B$2:$D$15,3,0)*V398</f>
        <v>2.3822281147514119</v>
      </c>
      <c r="BW398">
        <f>VLOOKUP($H398,'1. Set Program Names'!$B$2:$D$15,3,0)*W398</f>
        <v>2.5947458230846734</v>
      </c>
      <c r="BX398">
        <f>VLOOKUP($H398,'1. Set Program Names'!$B$2:$D$15,3,0)*X398</f>
        <v>2.7625644525060467</v>
      </c>
      <c r="BY398">
        <f>VLOOKUP($H398,'1. Set Program Names'!$B$2:$D$15,3,0)*Y398</f>
        <v>2.9030842478490837</v>
      </c>
      <c r="BZ398">
        <f>VLOOKUP($H398,'1. Set Program Names'!$B$2:$D$15,3,0)*Z398</f>
        <v>3.0169379676234209</v>
      </c>
      <c r="CA398">
        <f>VLOOKUP($H398,'1. Set Program Names'!$B$2:$D$15,3,0)*AA398</f>
        <v>3.1044125632686193</v>
      </c>
      <c r="CB398">
        <f>VLOOKUP($H398,'1. Set Program Names'!$B$2:$D$15,3,0)*AB398</f>
        <v>3.169463938344121</v>
      </c>
      <c r="CC398">
        <f>VLOOKUP($H398,'1. Set Program Names'!$B$2:$D$15,3,0)*AC398</f>
        <v>3.2215728780125068</v>
      </c>
      <c r="CD398">
        <f>VLOOKUP($H398,'1. Set Program Names'!$B$2:$D$15,3,0)*AD398</f>
        <v>3.2647720746497173</v>
      </c>
      <c r="CE398">
        <f>VLOOKUP($H398,'1. Set Program Names'!$B$2:$D$15,3,0)*AE398</f>
        <v>3.2963698857573949</v>
      </c>
    </row>
    <row r="399" spans="1:83" x14ac:dyDescent="0.25">
      <c r="A399" s="20" t="s">
        <v>87</v>
      </c>
      <c r="B399" s="20" t="s">
        <v>88</v>
      </c>
      <c r="C399" s="20" t="s">
        <v>122</v>
      </c>
      <c r="D399" s="20" t="s">
        <v>90</v>
      </c>
      <c r="E399" s="20" t="s">
        <v>91</v>
      </c>
      <c r="F399" s="20" t="s">
        <v>90</v>
      </c>
      <c r="G399" s="20" t="s">
        <v>92</v>
      </c>
      <c r="H399" s="20" t="s">
        <v>18</v>
      </c>
      <c r="I399" s="20" t="s">
        <v>160</v>
      </c>
      <c r="J399" s="20" t="s">
        <v>161</v>
      </c>
      <c r="K399" s="20" t="s">
        <v>159</v>
      </c>
      <c r="L399" s="20">
        <v>698.53499999999997</v>
      </c>
      <c r="M399" s="20">
        <v>9.14911955902553E-2</v>
      </c>
      <c r="N399" s="20">
        <v>9.6647765821509996E-2</v>
      </c>
      <c r="O399" s="20">
        <v>179</v>
      </c>
      <c r="P399" s="20">
        <v>35.4245718525491</v>
      </c>
      <c r="Q399" s="20">
        <v>22.107372708620399</v>
      </c>
      <c r="R399" s="20">
        <v>291.28765455670799</v>
      </c>
      <c r="S399" s="20">
        <v>758.69288308917999</v>
      </c>
      <c r="T399" s="20">
        <v>15</v>
      </c>
      <c r="U399" s="20">
        <v>0.2</v>
      </c>
      <c r="V399" s="20">
        <v>3339.9554904589199</v>
      </c>
      <c r="W399" s="20">
        <v>3635.38610565621</v>
      </c>
      <c r="X399" s="20">
        <v>3869.7872397124002</v>
      </c>
      <c r="Y399" s="20">
        <v>4066.1775086744901</v>
      </c>
      <c r="Z399" s="20">
        <v>4224.7325047269496</v>
      </c>
      <c r="AA399" s="20">
        <v>4346.6160724830697</v>
      </c>
      <c r="AB399" s="20">
        <v>4436.6195631238998</v>
      </c>
      <c r="AC399" s="20">
        <v>4508.1797113395496</v>
      </c>
      <c r="AD399" s="20">
        <v>4567.9359781391604</v>
      </c>
      <c r="AE399" s="20">
        <v>4611.10001517827</v>
      </c>
      <c r="AF399" t="str">
        <f t="shared" si="28"/>
        <v>NonResidential</v>
      </c>
      <c r="AG399" t="str">
        <f>tbl_Data_old[[#This Row],[All_Meas_Name_Append]]</f>
        <v>LED High Bay_HID Baseline</v>
      </c>
      <c r="AH399">
        <f>AVERAGEIFS('3. Incentive Adjustment'!G:G,'3. Incentive Adjustment'!A:A,tbl_Data_old[[#This Row],[Trimmed Sector]],'3. Incentive Adjustment'!B:B,tbl_Data_old[[#This Row],[Trimmed Measure Name]])</f>
        <v>1.0603846876879557</v>
      </c>
      <c r="AI399">
        <f>$AH399*tbl_Data_old[[#This Row],[2025 ]]</f>
        <v>3541.6376596419545</v>
      </c>
      <c r="AJ399">
        <f>$AH399*tbl_Data_old[[#This Row],[2026 ]]</f>
        <v>3854.9077602713937</v>
      </c>
      <c r="AK399">
        <f>$AH399*tbl_Data_old[[#This Row],[2027 ]]</f>
        <v>4103.4631336012699</v>
      </c>
      <c r="AL399">
        <f>$AH399*tbl_Data_old[[#This Row],[2028 ]]</f>
        <v>4311.7123676195888</v>
      </c>
      <c r="AM399">
        <f>$AH399*tbl_Data_old[[#This Row],[2029 ]]</f>
        <v>4479.841657590041</v>
      </c>
      <c r="AN399">
        <f>$AH399*tbl_Data_old[[#This Row],[2030 ]]</f>
        <v>4609.0851265194087</v>
      </c>
      <c r="AO399">
        <f>$AH399*tbl_Data_old[[#This Row],[2031 ]]</f>
        <v>4704.5234498334112</v>
      </c>
      <c r="AP399">
        <f>$AH399*tbl_Data_old[[#This Row],[2032 ]]</f>
        <v>4780.4047352499665</v>
      </c>
      <c r="AQ399">
        <f>$AH399*tbl_Data_old[[#This Row],[2033 ]]</f>
        <v>4843.7693655576695</v>
      </c>
      <c r="AR399">
        <f>$AH399*tbl_Data_old[[#This Row],[2034 ]]</f>
        <v>4889.5398494927376</v>
      </c>
      <c r="AS399">
        <f>SUM(tbl_Data_old[[#This Row],[Adjusted 2025]:[Adjusted 2034]])</f>
        <v>44118.885105377442</v>
      </c>
      <c r="AT399" s="3">
        <f>AVERAGEIFS('3. Incentive Adjustment'!F:F,'3. Incentive Adjustment'!A:A,tbl_Data_old[[#This Row],[Trimmed Sector]],'3. Incentive Adjustment'!B:B,tbl_Data_old[[#This Row],[Trimmed Measure Name]])</f>
        <v>28.590998621954778</v>
      </c>
      <c r="AU399" s="3">
        <f>IFERROR(VLOOKUP(tbl_Data_old[[#This Row],[All_Meas_Name_Append]],'IRA Tax Credits'!$A$3:$D$46,4,0),0)</f>
        <v>0</v>
      </c>
      <c r="AV399" s="4">
        <f>tbl_Data_old[[#This Row],[Adj. per unit Incentive ($)]]/tbl_Data_old[[#This Row],[kWh Savings]]*tbl_Data_old[[#This Row],[Sum of Annuals]]</f>
        <v>1805.7835087003909</v>
      </c>
      <c r="AW399" s="4">
        <f>IFERROR(VLOOKUP(tbl_Data_old[[#This Row],[All_Programs]],'1. Set Program Names'!$B$2:$D$15,3,0)*tbl_Data_old[[#This Row],[Sum of Annuals]],"")</f>
        <v>1396.2831304277991</v>
      </c>
      <c r="AX399" s="4">
        <f>tbl_Data_old[[#This Row],[per unit IRA tax ($)]]/tbl_Data_old[[#This Row],[kWh Savings]]*tbl_Data_old[[#This Row],[Sum of Annuals]]</f>
        <v>0</v>
      </c>
      <c r="AY399" s="4">
        <f>tbl_Data_old[[#This Row],[Avoided Costs ($/unit)]]/tbl_Data_old[[#This Row],[kWh Savings]]*tbl_Data_old[[#This Row],[Sum of Annuals]]</f>
        <v>18397.484111751415</v>
      </c>
      <c r="AZ399" s="4">
        <f>tbl_Data_old[[#This Row],[Lost Revenue ($/unit)]]/tbl_Data_old[[#This Row],[kWh Savings]]*tbl_Data_old[[#This Row],[Sum of Annuals]]</f>
        <v>47918.406578452181</v>
      </c>
      <c r="BA399" s="4">
        <f>tbl_Data_old[[#This Row],[Incremental Cost ($/unit)]]/tbl_Data_old[[#This Row],[kWh Savings]]*tbl_Data_old[[#This Row],[Sum of Annuals]]</f>
        <v>11305.489966662462</v>
      </c>
      <c r="BB399">
        <f>ROUNDUP(tbl_Data_old[[#This Row],[Adjusted 2025]]/$L399,0)</f>
        <v>6</v>
      </c>
      <c r="BC399">
        <f>ROUNDUP(tbl_Data_old[[#This Row],[Adjusted 2026]]/$L399,0)</f>
        <v>6</v>
      </c>
      <c r="BD399">
        <f>ROUNDUP(tbl_Data_old[[#This Row],[Adjusted 2027]]/$L399,0)</f>
        <v>6</v>
      </c>
      <c r="BE399">
        <f>ROUNDUP(tbl_Data_old[[#This Row],[Adjusted 2028]]/$L399,0)</f>
        <v>7</v>
      </c>
      <c r="BF399">
        <f>ROUNDUP(tbl_Data_old[[#This Row],[Adjusted 2029]]/$L399,0)</f>
        <v>7</v>
      </c>
      <c r="BG399">
        <f>ROUNDUP(tbl_Data_old[[#This Row],[Adjusted 2030]]/$L399,0)</f>
        <v>7</v>
      </c>
      <c r="BH399">
        <f>ROUNDUP(tbl_Data_old[[#This Row],[Adjusted 2031]]/$L399,0)</f>
        <v>7</v>
      </c>
      <c r="BI399">
        <f>ROUNDUP(tbl_Data_old[[#This Row],[Adjusted 2032]]/$L399,0)</f>
        <v>7</v>
      </c>
      <c r="BJ399">
        <f>ROUNDUP(tbl_Data_old[[#This Row],[Adjusted 2033]]/$L399,0)</f>
        <v>7</v>
      </c>
      <c r="BK399">
        <f>ROUNDUP(tbl_Data_old[[#This Row],[Adjusted 2034]]/$L399,0)</f>
        <v>7</v>
      </c>
      <c r="BL399" s="3">
        <f t="shared" si="27"/>
        <v>136.70419209502927</v>
      </c>
      <c r="BM399" s="3">
        <f t="shared" si="27"/>
        <v>148.79615071126034</v>
      </c>
      <c r="BN399" s="3">
        <f t="shared" si="27"/>
        <v>158.39017606544471</v>
      </c>
      <c r="BO399" s="3">
        <f t="shared" si="27"/>
        <v>166.42841882960175</v>
      </c>
      <c r="BP399" s="3">
        <f t="shared" si="27"/>
        <v>172.91806598205642</v>
      </c>
      <c r="BQ399" s="3">
        <f t="shared" si="26"/>
        <v>177.90675361797182</v>
      </c>
      <c r="BR399" s="3">
        <f t="shared" si="26"/>
        <v>181.59059147417528</v>
      </c>
      <c r="BS399" s="3">
        <f t="shared" si="26"/>
        <v>184.51954435272901</v>
      </c>
      <c r="BT399" s="3">
        <f t="shared" si="26"/>
        <v>186.96536502273241</v>
      </c>
      <c r="BU399" s="3">
        <f t="shared" si="26"/>
        <v>188.73206665329235</v>
      </c>
      <c r="BV399">
        <f>VLOOKUP($H399,'1. Set Program Names'!$B$2:$D$15,3,0)*V399</f>
        <v>105.70356654681378</v>
      </c>
      <c r="BW399">
        <f>VLOOKUP($H399,'1. Set Program Names'!$B$2:$D$15,3,0)*W399</f>
        <v>115.05341260993663</v>
      </c>
      <c r="BX399">
        <f>VLOOKUP($H399,'1. Set Program Names'!$B$2:$D$15,3,0)*X399</f>
        <v>122.47178568201392</v>
      </c>
      <c r="BY399">
        <f>VLOOKUP($H399,'1. Set Program Names'!$B$2:$D$15,3,0)*Y399</f>
        <v>128.68718343916444</v>
      </c>
      <c r="BZ399">
        <f>VLOOKUP($H399,'1. Set Program Names'!$B$2:$D$15,3,0)*Z399</f>
        <v>133.70516305728745</v>
      </c>
      <c r="CA399">
        <f>VLOOKUP($H399,'1. Set Program Names'!$B$2:$D$15,3,0)*AA399</f>
        <v>137.56255811901084</v>
      </c>
      <c r="CB399">
        <f>VLOOKUP($H399,'1. Set Program Names'!$B$2:$D$15,3,0)*AB399</f>
        <v>140.41100624641126</v>
      </c>
      <c r="CC399">
        <f>VLOOKUP($H399,'1. Set Program Names'!$B$2:$D$15,3,0)*AC399</f>
        <v>142.67575585478806</v>
      </c>
      <c r="CD399">
        <f>VLOOKUP($H399,'1. Set Program Names'!$B$2:$D$15,3,0)*AD399</f>
        <v>144.5669339085932</v>
      </c>
      <c r="CE399">
        <f>VLOOKUP($H399,'1. Set Program Names'!$B$2:$D$15,3,0)*AE399</f>
        <v>145.9329978201113</v>
      </c>
    </row>
    <row r="400" spans="1:83" x14ac:dyDescent="0.25">
      <c r="A400" s="20" t="s">
        <v>87</v>
      </c>
      <c r="B400" s="20" t="s">
        <v>88</v>
      </c>
      <c r="C400" s="20" t="s">
        <v>122</v>
      </c>
      <c r="D400" s="20" t="s">
        <v>90</v>
      </c>
      <c r="E400" s="20" t="s">
        <v>91</v>
      </c>
      <c r="F400" s="20" t="s">
        <v>90</v>
      </c>
      <c r="G400" s="20" t="s">
        <v>92</v>
      </c>
      <c r="H400" s="20" t="s">
        <v>18</v>
      </c>
      <c r="I400" s="20" t="s">
        <v>162</v>
      </c>
      <c r="J400" s="20" t="s">
        <v>161</v>
      </c>
      <c r="K400" s="20" t="s">
        <v>159</v>
      </c>
      <c r="L400" s="20">
        <v>638.46285714285602</v>
      </c>
      <c r="M400" s="20">
        <v>7.6348348575361394E-2</v>
      </c>
      <c r="N400" s="20">
        <v>7.27444471789533E-2</v>
      </c>
      <c r="O400" s="20">
        <v>179</v>
      </c>
      <c r="P400" s="20">
        <v>51.129983050636802</v>
      </c>
      <c r="Q400" s="20">
        <v>20.206197747382401</v>
      </c>
      <c r="R400" s="20">
        <v>256.15438258671003</v>
      </c>
      <c r="S400" s="20">
        <v>693.44732308484095</v>
      </c>
      <c r="T400" s="20">
        <v>15</v>
      </c>
      <c r="U400" s="20">
        <v>0.2</v>
      </c>
      <c r="V400" s="20">
        <v>9757.2757727623994</v>
      </c>
      <c r="W400" s="20">
        <v>10620.340562826599</v>
      </c>
      <c r="X400" s="20">
        <v>11305.1151093641</v>
      </c>
      <c r="Y400" s="20">
        <v>11878.8455135039</v>
      </c>
      <c r="Z400" s="20">
        <v>12342.044746563301</v>
      </c>
      <c r="AA400" s="20">
        <v>12698.1128397346</v>
      </c>
      <c r="AB400" s="20">
        <v>12961.047145656499</v>
      </c>
      <c r="AC400" s="20">
        <v>13170.1014586479</v>
      </c>
      <c r="AD400" s="20">
        <v>13344.672160557</v>
      </c>
      <c r="AE400" s="20">
        <v>13470.770671168801</v>
      </c>
      <c r="AF400" t="str">
        <f t="shared" si="28"/>
        <v>NonResidential</v>
      </c>
      <c r="AG400" t="str">
        <f>tbl_Data_old[[#This Row],[All_Meas_Name_Append]]</f>
        <v>LED High Bay_LF Baseline</v>
      </c>
      <c r="AH400">
        <f>AVERAGEIFS('3. Incentive Adjustment'!G:G,'3. Incentive Adjustment'!A:A,tbl_Data_old[[#This Row],[Trimmed Sector]],'3. Incentive Adjustment'!B:B,tbl_Data_old[[#This Row],[Trimmed Measure Name]])</f>
        <v>0.93017466414143679</v>
      </c>
      <c r="AI400">
        <f>$AH400*tbl_Data_old[[#This Row],[2025 ]]</f>
        <v>9075.970714864643</v>
      </c>
      <c r="AJ400">
        <f>$AH400*tbl_Data_old[[#This Row],[2026 ]]</f>
        <v>9878.7717160949105</v>
      </c>
      <c r="AK400">
        <f>$AH400*tbl_Data_old[[#This Row],[2027 ]]</f>
        <v>10515.731649933034</v>
      </c>
      <c r="AL400">
        <f>$AH400*tbl_Data_old[[#This Row],[2028 ]]</f>
        <v>11049.401135911503</v>
      </c>
      <c r="AM400">
        <f>$AH400*tbl_Data_old[[#This Row],[2029 ]]</f>
        <v>11480.257326953102</v>
      </c>
      <c r="AN400">
        <f>$AH400*tbl_Data_old[[#This Row],[2030 ]]</f>
        <v>11811.462845930198</v>
      </c>
      <c r="AO400">
        <f>$AH400*tbl_Data_old[[#This Row],[2031 ]]</f>
        <v>12056.037675632362</v>
      </c>
      <c r="AP400">
        <f>$AH400*tbl_Data_old[[#This Row],[2032 ]]</f>
        <v>12250.494701006457</v>
      </c>
      <c r="AQ400">
        <f>$AH400*tbl_Data_old[[#This Row],[2033 ]]</f>
        <v>12412.875945023688</v>
      </c>
      <c r="AR400">
        <f>$AH400*tbl_Data_old[[#This Row],[2034 ]]</f>
        <v>12530.169584780757</v>
      </c>
      <c r="AS400">
        <f>SUM(tbl_Data_old[[#This Row],[Adjusted 2025]:[Adjusted 2034]])</f>
        <v>113061.17329613066</v>
      </c>
      <c r="AT400" s="3">
        <f>AVERAGEIFS('3. Incentive Adjustment'!F:F,'3. Incentive Adjustment'!A:A,tbl_Data_old[[#This Row],[Trimmed Sector]],'3. Incentive Adjustment'!B:B,tbl_Data_old[[#This Row],[Trimmed Measure Name]])</f>
        <v>23.858858929800434</v>
      </c>
      <c r="AU400" s="3">
        <f>IFERROR(VLOOKUP(tbl_Data_old[[#This Row],[All_Meas_Name_Append]],'IRA Tax Credits'!$A$3:$D$46,4,0),0)</f>
        <v>0</v>
      </c>
      <c r="AV400" s="4">
        <f>tbl_Data_old[[#This Row],[Adj. per unit Incentive ($)]]/tbl_Data_old[[#This Row],[kWh Savings]]*tbl_Data_old[[#This Row],[Sum of Annuals]]</f>
        <v>4225.0078511717293</v>
      </c>
      <c r="AW400" s="4">
        <f>IFERROR(VLOOKUP(tbl_Data_old[[#This Row],[All_Programs]],'1. Set Program Names'!$B$2:$D$15,3,0)*tbl_Data_old[[#This Row],[Sum of Annuals]],"")</f>
        <v>3578.1821912022824</v>
      </c>
      <c r="AX400" s="4">
        <f>tbl_Data_old[[#This Row],[per unit IRA tax ($)]]/tbl_Data_old[[#This Row],[kWh Savings]]*tbl_Data_old[[#This Row],[Sum of Annuals]]</f>
        <v>0</v>
      </c>
      <c r="AY400" s="4">
        <f>tbl_Data_old[[#This Row],[Avoided Costs ($/unit)]]/tbl_Data_old[[#This Row],[kWh Savings]]*tbl_Data_old[[#This Row],[Sum of Annuals]]</f>
        <v>45360.688904913579</v>
      </c>
      <c r="AZ400" s="4">
        <f>tbl_Data_old[[#This Row],[Lost Revenue ($/unit)]]/tbl_Data_old[[#This Row],[kWh Savings]]*tbl_Data_old[[#This Row],[Sum of Annuals]]</f>
        <v>122798.00945333717</v>
      </c>
      <c r="BA400" s="4">
        <f>tbl_Data_old[[#This Row],[Incremental Cost ($/unit)]]/tbl_Data_old[[#This Row],[kWh Savings]]*tbl_Data_old[[#This Row],[Sum of Annuals]]</f>
        <v>31697.928538197088</v>
      </c>
      <c r="BB400">
        <f>ROUNDUP(tbl_Data_old[[#This Row],[Adjusted 2025]]/$L400,0)</f>
        <v>15</v>
      </c>
      <c r="BC400">
        <f>ROUNDUP(tbl_Data_old[[#This Row],[Adjusted 2026]]/$L400,0)</f>
        <v>16</v>
      </c>
      <c r="BD400">
        <f>ROUNDUP(tbl_Data_old[[#This Row],[Adjusted 2027]]/$L400,0)</f>
        <v>17</v>
      </c>
      <c r="BE400">
        <f>ROUNDUP(tbl_Data_old[[#This Row],[Adjusted 2028]]/$L400,0)</f>
        <v>18</v>
      </c>
      <c r="BF400">
        <f>ROUNDUP(tbl_Data_old[[#This Row],[Adjusted 2029]]/$L400,0)</f>
        <v>18</v>
      </c>
      <c r="BG400">
        <f>ROUNDUP(tbl_Data_old[[#This Row],[Adjusted 2030]]/$L400,0)</f>
        <v>19</v>
      </c>
      <c r="BH400">
        <f>ROUNDUP(tbl_Data_old[[#This Row],[Adjusted 2031]]/$L400,0)</f>
        <v>19</v>
      </c>
      <c r="BI400">
        <f>ROUNDUP(tbl_Data_old[[#This Row],[Adjusted 2032]]/$L400,0)</f>
        <v>20</v>
      </c>
      <c r="BJ400">
        <f>ROUNDUP(tbl_Data_old[[#This Row],[Adjusted 2033]]/$L400,0)</f>
        <v>20</v>
      </c>
      <c r="BK400">
        <f>ROUNDUP(tbl_Data_old[[#This Row],[Adjusted 2034]]/$L400,0)</f>
        <v>20</v>
      </c>
      <c r="BL400" s="3">
        <f t="shared" si="27"/>
        <v>364.62178433256798</v>
      </c>
      <c r="BM400" s="3">
        <f t="shared" si="27"/>
        <v>396.87384229184903</v>
      </c>
      <c r="BN400" s="3">
        <f t="shared" si="27"/>
        <v>422.46333292826466</v>
      </c>
      <c r="BO400" s="3">
        <f t="shared" si="27"/>
        <v>443.90319058477053</v>
      </c>
      <c r="BP400" s="3">
        <f t="shared" si="27"/>
        <v>461.21258459934393</v>
      </c>
      <c r="BQ400" s="3">
        <f t="shared" si="26"/>
        <v>474.51857148540051</v>
      </c>
      <c r="BR400" s="3">
        <f t="shared" si="26"/>
        <v>484.34422139222346</v>
      </c>
      <c r="BS400" s="3">
        <f t="shared" si="26"/>
        <v>492.15641799305428</v>
      </c>
      <c r="BT400" s="3">
        <f t="shared" si="26"/>
        <v>498.67998894714901</v>
      </c>
      <c r="BU400" s="3">
        <f t="shared" si="26"/>
        <v>503.39219192385519</v>
      </c>
      <c r="BV400">
        <f>VLOOKUP($H400,'1. Set Program Names'!$B$2:$D$15,3,0)*V400</f>
        <v>308.80017769940088</v>
      </c>
      <c r="BW400">
        <f>VLOOKUP($H400,'1. Set Program Names'!$B$2:$D$15,3,0)*W400</f>
        <v>336.1146214790777</v>
      </c>
      <c r="BX400">
        <f>VLOOKUP($H400,'1. Set Program Names'!$B$2:$D$15,3,0)*X400</f>
        <v>357.78650065718773</v>
      </c>
      <c r="BY400">
        <f>VLOOKUP($H400,'1. Set Program Names'!$B$2:$D$15,3,0)*Y400</f>
        <v>375.94403303364129</v>
      </c>
      <c r="BZ400">
        <f>VLOOKUP($H400,'1. Set Program Names'!$B$2:$D$15,3,0)*Z400</f>
        <v>390.60345322531577</v>
      </c>
      <c r="CA400">
        <f>VLOOKUP($H400,'1. Set Program Names'!$B$2:$D$15,3,0)*AA400</f>
        <v>401.87236608635453</v>
      </c>
      <c r="CB400">
        <f>VLOOKUP($H400,'1. Set Program Names'!$B$2:$D$15,3,0)*AB400</f>
        <v>410.1937625788679</v>
      </c>
      <c r="CC400">
        <f>VLOOKUP($H400,'1. Set Program Names'!$B$2:$D$15,3,0)*AC400</f>
        <v>416.80995448570934</v>
      </c>
      <c r="CD400">
        <f>VLOOKUP($H400,'1. Set Program Names'!$B$2:$D$15,3,0)*AD400</f>
        <v>422.33480230451579</v>
      </c>
      <c r="CE400">
        <f>VLOOKUP($H400,'1. Set Program Names'!$B$2:$D$15,3,0)*AE400</f>
        <v>426.32559270456306</v>
      </c>
    </row>
    <row r="401" spans="1:83" x14ac:dyDescent="0.25">
      <c r="A401" s="20" t="s">
        <v>87</v>
      </c>
      <c r="B401" s="20" t="s">
        <v>88</v>
      </c>
      <c r="C401" s="20" t="s">
        <v>122</v>
      </c>
      <c r="D401" s="20" t="s">
        <v>90</v>
      </c>
      <c r="E401" s="20" t="s">
        <v>91</v>
      </c>
      <c r="F401" s="20" t="s">
        <v>90</v>
      </c>
      <c r="G401" s="20" t="s">
        <v>92</v>
      </c>
      <c r="H401" s="20" t="s">
        <v>18</v>
      </c>
      <c r="I401" s="20" t="s">
        <v>163</v>
      </c>
      <c r="J401" s="20" t="s">
        <v>161</v>
      </c>
      <c r="K401" s="20" t="s">
        <v>159</v>
      </c>
      <c r="L401" s="20">
        <v>336.08</v>
      </c>
      <c r="M401" s="20">
        <v>5.3794325187228403E-2</v>
      </c>
      <c r="N401" s="20">
        <v>5.3413522005729602E-2</v>
      </c>
      <c r="O401" s="20">
        <v>109.08</v>
      </c>
      <c r="P401" s="20">
        <v>41.915763754167898</v>
      </c>
      <c r="Q401" s="20">
        <v>10.6363257673748</v>
      </c>
      <c r="R401" s="20">
        <v>148.30416484676499</v>
      </c>
      <c r="S401" s="20">
        <v>365.02323312162099</v>
      </c>
      <c r="T401" s="20">
        <v>15</v>
      </c>
      <c r="U401" s="20">
        <v>0.2</v>
      </c>
      <c r="V401" s="20">
        <v>12713.906027493</v>
      </c>
      <c r="W401" s="20">
        <v>13366.0787904433</v>
      </c>
      <c r="X401" s="20">
        <v>13717.3040916428</v>
      </c>
      <c r="Y401" s="20">
        <v>13932.4283953258</v>
      </c>
      <c r="Z401" s="20">
        <v>14053.388976079301</v>
      </c>
      <c r="AA401" s="20">
        <v>14068.9208497612</v>
      </c>
      <c r="AB401" s="20">
        <v>14027.7058411812</v>
      </c>
      <c r="AC401" s="20">
        <v>13969.8043591101</v>
      </c>
      <c r="AD401" s="20">
        <v>13884.467556056499</v>
      </c>
      <c r="AE401" s="20">
        <v>13788.961021164099</v>
      </c>
      <c r="AF401" t="str">
        <f t="shared" si="28"/>
        <v>NonResidential</v>
      </c>
      <c r="AG401" t="str">
        <f>tbl_Data_old[[#This Row],[All_Meas_Name_Append]]</f>
        <v>LED Linear - Fixture Replacement</v>
      </c>
      <c r="AH401">
        <f>AVERAGEIFS('3. Incentive Adjustment'!G:G,'3. Incentive Adjustment'!A:A,tbl_Data_old[[#This Row],[Trimmed Sector]],'3. Incentive Adjustment'!B:B,tbl_Data_old[[#This Row],[Trimmed Measure Name]])</f>
        <v>0.56055357916158088</v>
      </c>
      <c r="AI401">
        <f>$AH401*tbl_Data_old[[#This Row],[2025 ]]</f>
        <v>7126.8255288351975</v>
      </c>
      <c r="AJ401">
        <f>$AH401*tbl_Data_old[[#This Row],[2026 ]]</f>
        <v>7492.4033053386856</v>
      </c>
      <c r="AK401">
        <f>$AH401*tbl_Data_old[[#This Row],[2027 ]]</f>
        <v>7689.2839050181692</v>
      </c>
      <c r="AL401">
        <f>$AH401*tbl_Data_old[[#This Row],[2028 ]]</f>
        <v>7809.8726034123183</v>
      </c>
      <c r="AM401">
        <f>$AH401*tbl_Data_old[[#This Row],[2029 ]]</f>
        <v>7877.6774898911563</v>
      </c>
      <c r="AN401">
        <f>$AH401*tbl_Data_old[[#This Row],[2030 ]]</f>
        <v>7886.3839372746306</v>
      </c>
      <c r="AO401">
        <f>$AH401*tbl_Data_old[[#This Row],[2031 ]]</f>
        <v>7863.2807166999364</v>
      </c>
      <c r="AP401">
        <f>$AH401*tbl_Data_old[[#This Row],[2032 ]]</f>
        <v>7830.8238336862205</v>
      </c>
      <c r="AQ401">
        <f>$AH401*tbl_Data_old[[#This Row],[2033 ]]</f>
        <v>7782.9879833003179</v>
      </c>
      <c r="AR401">
        <f>$AH401*tbl_Data_old[[#This Row],[2034 ]]</f>
        <v>7729.451453333063</v>
      </c>
      <c r="AS401">
        <f>SUM(tbl_Data_old[[#This Row],[Adjusted 2025]:[Adjusted 2034]])</f>
        <v>77088.990756789688</v>
      </c>
      <c r="AT401" s="3">
        <f>AVERAGEIFS('3. Incentive Adjustment'!F:F,'3. Incentive Adjustment'!A:A,tbl_Data_old[[#This Row],[Trimmed Sector]],'3. Incentive Adjustment'!B:B,tbl_Data_old[[#This Row],[Trimmed Measure Name]])</f>
        <v>16.810726621008875</v>
      </c>
      <c r="AU401" s="3">
        <f>IFERROR(VLOOKUP(tbl_Data_old[[#This Row],[All_Meas_Name_Append]],'IRA Tax Credits'!$A$3:$D$46,4,0),0)</f>
        <v>0</v>
      </c>
      <c r="AV401" s="4">
        <f>tbl_Data_old[[#This Row],[Adj. per unit Incentive ($)]]/tbl_Data_old[[#This Row],[kWh Savings]]*tbl_Data_old[[#This Row],[Sum of Annuals]]</f>
        <v>3855.9924693581042</v>
      </c>
      <c r="AW401" s="4">
        <f>IFERROR(VLOOKUP(tbl_Data_old[[#This Row],[All_Programs]],'1. Set Program Names'!$B$2:$D$15,3,0)*tbl_Data_old[[#This Row],[Sum of Annuals]],"")</f>
        <v>2439.7275016881713</v>
      </c>
      <c r="AX401" s="4">
        <f>tbl_Data_old[[#This Row],[per unit IRA tax ($)]]/tbl_Data_old[[#This Row],[kWh Savings]]*tbl_Data_old[[#This Row],[Sum of Annuals]]</f>
        <v>0</v>
      </c>
      <c r="AY401" s="4">
        <f>tbl_Data_old[[#This Row],[Avoided Costs ($/unit)]]/tbl_Data_old[[#This Row],[kWh Savings]]*tbl_Data_old[[#This Row],[Sum of Annuals]]</f>
        <v>34017.550562561533</v>
      </c>
      <c r="AZ401" s="4">
        <f>tbl_Data_old[[#This Row],[Lost Revenue ($/unit)]]/tbl_Data_old[[#This Row],[kWh Savings]]*tbl_Data_old[[#This Row],[Sum of Annuals]]</f>
        <v>83727.900036081075</v>
      </c>
      <c r="BA401" s="4">
        <f>tbl_Data_old[[#This Row],[Incremental Cost ($/unit)]]/tbl_Data_old[[#This Row],[kWh Savings]]*tbl_Data_old[[#This Row],[Sum of Annuals]]</f>
        <v>25020.432967598845</v>
      </c>
      <c r="BB401">
        <f>ROUNDUP(tbl_Data_old[[#This Row],[Adjusted 2025]]/$L401,0)</f>
        <v>22</v>
      </c>
      <c r="BC401">
        <f>ROUNDUP(tbl_Data_old[[#This Row],[Adjusted 2026]]/$L401,0)</f>
        <v>23</v>
      </c>
      <c r="BD401">
        <f>ROUNDUP(tbl_Data_old[[#This Row],[Adjusted 2027]]/$L401,0)</f>
        <v>23</v>
      </c>
      <c r="BE401">
        <f>ROUNDUP(tbl_Data_old[[#This Row],[Adjusted 2028]]/$L401,0)</f>
        <v>24</v>
      </c>
      <c r="BF401">
        <f>ROUNDUP(tbl_Data_old[[#This Row],[Adjusted 2029]]/$L401,0)</f>
        <v>24</v>
      </c>
      <c r="BG401">
        <f>ROUNDUP(tbl_Data_old[[#This Row],[Adjusted 2030]]/$L401,0)</f>
        <v>24</v>
      </c>
      <c r="BH401">
        <f>ROUNDUP(tbl_Data_old[[#This Row],[Adjusted 2031]]/$L401,0)</f>
        <v>24</v>
      </c>
      <c r="BI401">
        <f>ROUNDUP(tbl_Data_old[[#This Row],[Adjusted 2032]]/$L401,0)</f>
        <v>24</v>
      </c>
      <c r="BJ401">
        <f>ROUNDUP(tbl_Data_old[[#This Row],[Adjusted 2033]]/$L401,0)</f>
        <v>24</v>
      </c>
      <c r="BK401">
        <f>ROUNDUP(tbl_Data_old[[#This Row],[Adjusted 2034]]/$L401,0)</f>
        <v>23</v>
      </c>
      <c r="BL401" s="3">
        <f t="shared" si="27"/>
        <v>635.94976943996005</v>
      </c>
      <c r="BM401" s="3">
        <f t="shared" si="27"/>
        <v>668.57146078614414</v>
      </c>
      <c r="BN401" s="3">
        <f t="shared" si="27"/>
        <v>686.13975559942162</v>
      </c>
      <c r="BO401" s="3">
        <f t="shared" si="27"/>
        <v>696.90027648358546</v>
      </c>
      <c r="BP401" s="3">
        <f t="shared" si="27"/>
        <v>702.95072654001717</v>
      </c>
      <c r="BQ401" s="3">
        <f t="shared" si="26"/>
        <v>703.72763109363075</v>
      </c>
      <c r="BR401" s="3">
        <f t="shared" si="26"/>
        <v>701.66605574871016</v>
      </c>
      <c r="BS401" s="3">
        <f t="shared" si="26"/>
        <v>698.7698227504701</v>
      </c>
      <c r="BT401" s="3">
        <f t="shared" si="26"/>
        <v>694.5012745868039</v>
      </c>
      <c r="BU401" s="3">
        <f t="shared" si="26"/>
        <v>689.72403628462587</v>
      </c>
      <c r="BV401">
        <f>VLOOKUP($H401,'1. Set Program Names'!$B$2:$D$15,3,0)*V401</f>
        <v>402.3721919906144</v>
      </c>
      <c r="BW401">
        <f>VLOOKUP($H401,'1. Set Program Names'!$B$2:$D$15,3,0)*W401</f>
        <v>423.01228352640436</v>
      </c>
      <c r="BX401">
        <f>VLOOKUP($H401,'1. Set Program Names'!$B$2:$D$15,3,0)*X401</f>
        <v>434.12793075712983</v>
      </c>
      <c r="BY401">
        <f>VLOOKUP($H401,'1. Set Program Names'!$B$2:$D$15,3,0)*Y401</f>
        <v>440.93622692010314</v>
      </c>
      <c r="BZ401">
        <f>VLOOKUP($H401,'1. Set Program Names'!$B$2:$D$15,3,0)*Z401</f>
        <v>444.76441110810919</v>
      </c>
      <c r="CA401">
        <f>VLOOKUP($H401,'1. Set Program Names'!$B$2:$D$15,3,0)*AA401</f>
        <v>445.25596689321509</v>
      </c>
      <c r="CB401">
        <f>VLOOKUP($H401,'1. Set Program Names'!$B$2:$D$15,3,0)*AB401</f>
        <v>443.95158621670345</v>
      </c>
      <c r="CC401">
        <f>VLOOKUP($H401,'1. Set Program Names'!$B$2:$D$15,3,0)*AC401</f>
        <v>442.11910875383143</v>
      </c>
      <c r="CD401">
        <f>VLOOKUP($H401,'1. Set Program Names'!$B$2:$D$15,3,0)*AD401</f>
        <v>439.41835287063577</v>
      </c>
      <c r="CE401">
        <f>VLOOKUP($H401,'1. Set Program Names'!$B$2:$D$15,3,0)*AE401</f>
        <v>436.39574331925303</v>
      </c>
    </row>
    <row r="402" spans="1:83" x14ac:dyDescent="0.25">
      <c r="A402" s="20" t="s">
        <v>87</v>
      </c>
      <c r="B402" s="20" t="s">
        <v>88</v>
      </c>
      <c r="C402" s="20" t="s">
        <v>122</v>
      </c>
      <c r="D402" s="20" t="s">
        <v>90</v>
      </c>
      <c r="E402" s="20" t="s">
        <v>91</v>
      </c>
      <c r="F402" s="20" t="s">
        <v>90</v>
      </c>
      <c r="G402" s="20" t="s">
        <v>92</v>
      </c>
      <c r="H402" s="20" t="s">
        <v>18</v>
      </c>
      <c r="I402" s="20" t="s">
        <v>164</v>
      </c>
      <c r="J402" s="20" t="s">
        <v>158</v>
      </c>
      <c r="K402" s="20" t="s">
        <v>159</v>
      </c>
      <c r="L402" s="20">
        <v>612.05999999999904</v>
      </c>
      <c r="M402" s="20">
        <v>0</v>
      </c>
      <c r="N402" s="20">
        <v>3.0244631686656E-2</v>
      </c>
      <c r="O402" s="20">
        <v>255</v>
      </c>
      <c r="P402" s="20">
        <v>129.095003330796</v>
      </c>
      <c r="Q402" s="20">
        <v>19.3705949451899</v>
      </c>
      <c r="R402" s="20">
        <v>299.625229349054</v>
      </c>
      <c r="S402" s="20">
        <v>664.77065003695395</v>
      </c>
      <c r="T402" s="20">
        <v>15</v>
      </c>
      <c r="U402" s="20">
        <v>0.2</v>
      </c>
      <c r="V402" s="20">
        <v>52923.007337535302</v>
      </c>
      <c r="W402" s="20">
        <v>57500.698000275901</v>
      </c>
      <c r="X402" s="20">
        <v>61178.578253589803</v>
      </c>
      <c r="Y402" s="20">
        <v>64264.938242337303</v>
      </c>
      <c r="Z402" s="20">
        <v>66733.391491469098</v>
      </c>
      <c r="AA402" s="20">
        <v>68633.597080058593</v>
      </c>
      <c r="AB402" s="20">
        <v>70010.528482255599</v>
      </c>
      <c r="AC402" s="20">
        <v>71083.015378608994</v>
      </c>
      <c r="AD402" s="20">
        <v>71996.661728879903</v>
      </c>
      <c r="AE402" s="20">
        <v>72634.003173303005</v>
      </c>
      <c r="AF402" t="str">
        <f t="shared" si="28"/>
        <v>NonResidential</v>
      </c>
      <c r="AG402" t="str">
        <f>tbl_Data_old[[#This Row],[All_Meas_Name_Append]]</f>
        <v>LED Parking Lighting</v>
      </c>
      <c r="AH402">
        <f>AVERAGEIFS('3. Incentive Adjustment'!G:G,'3. Incentive Adjustment'!A:A,tbl_Data_old[[#This Row],[Trimmed Sector]],'3. Incentive Adjustment'!B:B,tbl_Data_old[[#This Row],[Trimmed Measure Name]])</f>
        <v>0.59704067730377497</v>
      </c>
      <c r="AI402">
        <f>$AH402*tbl_Data_old[[#This Row],[2025 ]]</f>
        <v>31597.188145754728</v>
      </c>
      <c r="AJ402">
        <f>$AH402*tbl_Data_old[[#This Row],[2026 ]]</f>
        <v>34330.25567952454</v>
      </c>
      <c r="AK402">
        <f>$AH402*tbl_Data_old[[#This Row],[2027 ]]</f>
        <v>36526.099797005256</v>
      </c>
      <c r="AL402">
        <f>$AH402*tbl_Data_old[[#This Row],[2028 ]]</f>
        <v>38368.782255090329</v>
      </c>
      <c r="AM402">
        <f>$AH402*tbl_Data_old[[#This Row],[2029 ]]</f>
        <v>39842.549254844685</v>
      </c>
      <c r="AN402">
        <f>$AH402*tbl_Data_old[[#This Row],[2030 ]]</f>
        <v>40977.049286472575</v>
      </c>
      <c r="AO402">
        <f>$AH402*tbl_Data_old[[#This Row],[2031 ]]</f>
        <v>41799.133343441114</v>
      </c>
      <c r="AP402">
        <f>$AH402*tbl_Data_old[[#This Row],[2032 ]]</f>
        <v>42439.451646439367</v>
      </c>
      <c r="AQ402">
        <f>$AH402*tbl_Data_old[[#This Row],[2033 ]]</f>
        <v>42984.935682221228</v>
      </c>
      <c r="AR402">
        <f>$AH402*tbl_Data_old[[#This Row],[2034 ]]</f>
        <v>43365.454449873367</v>
      </c>
      <c r="AS402">
        <f>SUM(tbl_Data_old[[#This Row],[Adjusted 2025]:[Adjusted 2034]])</f>
        <v>392230.89954066725</v>
      </c>
      <c r="AT402" s="3">
        <f>AVERAGEIFS('3. Incentive Adjustment'!F:F,'3. Incentive Adjustment'!A:A,tbl_Data_old[[#This Row],[Trimmed Sector]],'3. Incentive Adjustment'!B:B,tbl_Data_old[[#This Row],[Trimmed Measure Name]])</f>
        <v>9.4514474020799994</v>
      </c>
      <c r="AU402" s="3">
        <f>IFERROR(VLOOKUP(tbl_Data_old[[#This Row],[All_Meas_Name_Append]],'IRA Tax Credits'!$A$3:$D$46,4,0),0)</f>
        <v>0</v>
      </c>
      <c r="AV402" s="4">
        <f>tbl_Data_old[[#This Row],[Adj. per unit Incentive ($)]]/tbl_Data_old[[#This Row],[kWh Savings]]*tbl_Data_old[[#This Row],[Sum of Annuals]]</f>
        <v>6056.8403693741566</v>
      </c>
      <c r="AW402" s="4">
        <f>IFERROR(VLOOKUP(tbl_Data_old[[#This Row],[All_Programs]],'1. Set Program Names'!$B$2:$D$15,3,0)*tbl_Data_old[[#This Row],[Sum of Annuals]],"")</f>
        <v>12413.40045091942</v>
      </c>
      <c r="AX402" s="4">
        <f>tbl_Data_old[[#This Row],[per unit IRA tax ($)]]/tbl_Data_old[[#This Row],[kWh Savings]]*tbl_Data_old[[#This Row],[Sum of Annuals]]</f>
        <v>0</v>
      </c>
      <c r="AY402" s="4">
        <f>tbl_Data_old[[#This Row],[Avoided Costs ($/unit)]]/tbl_Data_old[[#This Row],[kWh Savings]]*tbl_Data_old[[#This Row],[Sum of Annuals]]</f>
        <v>192011.03361215955</v>
      </c>
      <c r="AZ402" s="4">
        <f>tbl_Data_old[[#This Row],[Lost Revenue ($/unit)]]/tbl_Data_old[[#This Row],[kWh Savings]]*tbl_Data_old[[#This Row],[Sum of Annuals]]</f>
        <v>426009.85206062964</v>
      </c>
      <c r="BA402" s="4">
        <f>tbl_Data_old[[#This Row],[Incremental Cost ($/unit)]]/tbl_Data_old[[#This Row],[kWh Savings]]*tbl_Data_old[[#This Row],[Sum of Annuals]]</f>
        <v>163413.52054189183</v>
      </c>
      <c r="BB402">
        <f>ROUNDUP(tbl_Data_old[[#This Row],[Adjusted 2025]]/$L402,0)</f>
        <v>52</v>
      </c>
      <c r="BC402">
        <f>ROUNDUP(tbl_Data_old[[#This Row],[Adjusted 2026]]/$L402,0)</f>
        <v>57</v>
      </c>
      <c r="BD402">
        <f>ROUNDUP(tbl_Data_old[[#This Row],[Adjusted 2027]]/$L402,0)</f>
        <v>60</v>
      </c>
      <c r="BE402">
        <f>ROUNDUP(tbl_Data_old[[#This Row],[Adjusted 2028]]/$L402,0)</f>
        <v>63</v>
      </c>
      <c r="BF402">
        <f>ROUNDUP(tbl_Data_old[[#This Row],[Adjusted 2029]]/$L402,0)</f>
        <v>66</v>
      </c>
      <c r="BG402">
        <f>ROUNDUP(tbl_Data_old[[#This Row],[Adjusted 2030]]/$L402,0)</f>
        <v>67</v>
      </c>
      <c r="BH402">
        <f>ROUNDUP(tbl_Data_old[[#This Row],[Adjusted 2031]]/$L402,0)</f>
        <v>69</v>
      </c>
      <c r="BI402">
        <f>ROUNDUP(tbl_Data_old[[#This Row],[Adjusted 2032]]/$L402,0)</f>
        <v>70</v>
      </c>
      <c r="BJ402">
        <f>ROUNDUP(tbl_Data_old[[#This Row],[Adjusted 2033]]/$L402,0)</f>
        <v>71</v>
      </c>
      <c r="BK402">
        <f>ROUNDUP(tbl_Data_old[[#This Row],[Adjusted 2034]]/$L402,0)</f>
        <v>71</v>
      </c>
      <c r="BL402" s="3">
        <f t="shared" si="27"/>
        <v>817.2385390494552</v>
      </c>
      <c r="BM402" s="3">
        <f t="shared" si="27"/>
        <v>887.92736452716258</v>
      </c>
      <c r="BN402" s="3">
        <f t="shared" si="27"/>
        <v>944.72129284357777</v>
      </c>
      <c r="BO402" s="3">
        <f t="shared" si="27"/>
        <v>992.38094891901358</v>
      </c>
      <c r="BP402" s="3">
        <f t="shared" si="27"/>
        <v>1030.4988720779565</v>
      </c>
      <c r="BQ402" s="3">
        <f t="shared" si="26"/>
        <v>1059.8418991891747</v>
      </c>
      <c r="BR402" s="3">
        <f t="shared" si="26"/>
        <v>1081.1045118809652</v>
      </c>
      <c r="BS402" s="3">
        <f t="shared" si="26"/>
        <v>1097.6658841162102</v>
      </c>
      <c r="BT402" s="3">
        <f t="shared" si="26"/>
        <v>1111.7744362576473</v>
      </c>
      <c r="BU402" s="3">
        <f t="shared" si="26"/>
        <v>1121.6162804218316</v>
      </c>
      <c r="BV402">
        <f>VLOOKUP($H402,'1. Set Program Names'!$B$2:$D$15,3,0)*V402</f>
        <v>1674.9177178980981</v>
      </c>
      <c r="BW402">
        <f>VLOOKUP($H402,'1. Set Program Names'!$B$2:$D$15,3,0)*W402</f>
        <v>1819.7933699784921</v>
      </c>
      <c r="BX402">
        <f>VLOOKUP($H402,'1. Set Program Names'!$B$2:$D$15,3,0)*X402</f>
        <v>1936.1916457093946</v>
      </c>
      <c r="BY402">
        <f>VLOOKUP($H402,'1. Set Program Names'!$B$2:$D$15,3,0)*Y402</f>
        <v>2033.8693720713013</v>
      </c>
      <c r="BZ402">
        <f>VLOOKUP($H402,'1. Set Program Names'!$B$2:$D$15,3,0)*Z402</f>
        <v>2111.9914647257306</v>
      </c>
      <c r="CA402">
        <f>VLOOKUP($H402,'1. Set Program Names'!$B$2:$D$15,3,0)*AA402</f>
        <v>2172.1295439486062</v>
      </c>
      <c r="CB402">
        <f>VLOOKUP($H402,'1. Set Program Names'!$B$2:$D$15,3,0)*AB402</f>
        <v>2215.7069390720753</v>
      </c>
      <c r="CC402">
        <f>VLOOKUP($H402,'1. Set Program Names'!$B$2:$D$15,3,0)*AC402</f>
        <v>2249.6492147530307</v>
      </c>
      <c r="CD402">
        <f>VLOOKUP($H402,'1. Set Program Names'!$B$2:$D$15,3,0)*AD402</f>
        <v>2278.5644736724976</v>
      </c>
      <c r="CE402">
        <f>VLOOKUP($H402,'1. Set Program Names'!$B$2:$D$15,3,0)*AE402</f>
        <v>2298.7351807301425</v>
      </c>
    </row>
    <row r="403" spans="1:83" x14ac:dyDescent="0.25">
      <c r="A403" s="20" t="s">
        <v>87</v>
      </c>
      <c r="B403" s="20" t="s">
        <v>88</v>
      </c>
      <c r="C403" s="20" t="s">
        <v>122</v>
      </c>
      <c r="D403" s="20" t="s">
        <v>90</v>
      </c>
      <c r="E403" s="20" t="s">
        <v>91</v>
      </c>
      <c r="F403" s="20" t="s">
        <v>90</v>
      </c>
      <c r="G403" s="20" t="s">
        <v>92</v>
      </c>
      <c r="H403" s="20" t="s">
        <v>18</v>
      </c>
      <c r="I403" s="20" t="s">
        <v>165</v>
      </c>
      <c r="J403" s="20" t="s">
        <v>161</v>
      </c>
      <c r="K403" s="20" t="s">
        <v>166</v>
      </c>
      <c r="L403" s="20">
        <v>510.6</v>
      </c>
      <c r="M403" s="20">
        <v>6.2552429943266097E-2</v>
      </c>
      <c r="N403" s="20">
        <v>6.4361142955417797E-2</v>
      </c>
      <c r="O403" s="20">
        <v>129</v>
      </c>
      <c r="P403" s="20">
        <v>26.468747947944401</v>
      </c>
      <c r="Q403" s="20">
        <v>16.159568962215999</v>
      </c>
      <c r="R403" s="20">
        <v>174.74401692254699</v>
      </c>
      <c r="S403" s="20">
        <v>419.99719394182398</v>
      </c>
      <c r="T403" s="20">
        <v>10</v>
      </c>
      <c r="U403" s="20">
        <v>0.2</v>
      </c>
      <c r="V403" s="20">
        <v>6642.5065405618298</v>
      </c>
      <c r="W403" s="20">
        <v>9109.8247544498809</v>
      </c>
      <c r="X403" s="20">
        <v>12118.040079669499</v>
      </c>
      <c r="Y403" s="20">
        <v>15630.0990675057</v>
      </c>
      <c r="Z403" s="20">
        <v>19360.054820805701</v>
      </c>
      <c r="AA403" s="20">
        <v>22729.558753147699</v>
      </c>
      <c r="AB403" s="20">
        <v>24985.1691949013</v>
      </c>
      <c r="AC403" s="20">
        <v>25417.555791201401</v>
      </c>
      <c r="AD403" s="20">
        <v>23662.963341707498</v>
      </c>
      <c r="AE403" s="20">
        <v>20071.949075058201</v>
      </c>
      <c r="AF403" t="str">
        <f t="shared" si="28"/>
        <v>NonResidential</v>
      </c>
      <c r="AG403" t="str">
        <f>tbl_Data_old[[#This Row],[All_Meas_Name_Append]]</f>
        <v>Occupancy Sensors_ Ceiling Mounted</v>
      </c>
      <c r="AH403">
        <f>AVERAGEIFS('3. Incentive Adjustment'!G:G,'3. Incentive Adjustment'!A:A,tbl_Data_old[[#This Row],[Trimmed Sector]],'3. Incentive Adjustment'!B:B,tbl_Data_old[[#This Row],[Trimmed Measure Name]])</f>
        <v>0.99348124042467356</v>
      </c>
      <c r="AI403">
        <f>$AH403*tbl_Data_old[[#This Row],[2025 ]]</f>
        <v>6599.2056374463737</v>
      </c>
      <c r="AJ403">
        <f>$AH403*tbl_Data_old[[#This Row],[2026 ]]</f>
        <v>9050.4399971022649</v>
      </c>
      <c r="AK403">
        <f>$AH403*tbl_Data_old[[#This Row],[2027 ]]</f>
        <v>12039.045489865965</v>
      </c>
      <c r="AL403">
        <f>$AH403*tbl_Data_old[[#This Row],[2028 ]]</f>
        <v>15528.210209546096</v>
      </c>
      <c r="AM403">
        <f>$AH403*tbl_Data_old[[#This Row],[2029 ]]</f>
        <v>19233.851278063728</v>
      </c>
      <c r="AN403">
        <f>$AH403*tbl_Data_old[[#This Row],[2030 ]]</f>
        <v>22581.390224382674</v>
      </c>
      <c r="AO403">
        <f>$AH403*tbl_Data_old[[#This Row],[2031 ]]</f>
        <v>24822.296883970885</v>
      </c>
      <c r="AP403">
        <f>$AH403*tbl_Data_old[[#This Row],[2032 ]]</f>
        <v>25251.864856006112</v>
      </c>
      <c r="AQ403">
        <f>$AH403*tbl_Data_old[[#This Row],[2033 ]]</f>
        <v>23508.710172843144</v>
      </c>
      <c r="AR403">
        <f>$AH403*tbl_Data_old[[#This Row],[2034 ]]</f>
        <v>19941.1048648297</v>
      </c>
      <c r="AS403">
        <f>SUM(tbl_Data_old[[#This Row],[Adjusted 2025]:[Adjusted 2034]])</f>
        <v>178556.11961405695</v>
      </c>
      <c r="AT403" s="3">
        <f>AVERAGEIFS('3. Incentive Adjustment'!F:F,'3. Incentive Adjustment'!A:A,tbl_Data_old[[#This Row],[Trimmed Sector]],'3. Incentive Adjustment'!B:B,tbl_Data_old[[#This Row],[Trimmed Measure Name]])</f>
        <v>19.547634357270656</v>
      </c>
      <c r="AU403" s="3">
        <f>IFERROR(VLOOKUP(tbl_Data_old[[#This Row],[All_Meas_Name_Append]],'IRA Tax Credits'!$A$3:$D$46,4,0),0)</f>
        <v>0</v>
      </c>
      <c r="AV403" s="4">
        <f>tbl_Data_old[[#This Row],[Adj. per unit Incentive ($)]]/tbl_Data_old[[#This Row],[kWh Savings]]*tbl_Data_old[[#This Row],[Sum of Annuals]]</f>
        <v>6835.7809214035815</v>
      </c>
      <c r="AW403" s="4">
        <f>IFERROR(VLOOKUP(tbl_Data_old[[#This Row],[All_Programs]],'1. Set Program Names'!$B$2:$D$15,3,0)*tbl_Data_old[[#This Row],[Sum of Annuals]],"")</f>
        <v>5650.9791001352423</v>
      </c>
      <c r="AX403" s="4">
        <f>tbl_Data_old[[#This Row],[per unit IRA tax ($)]]/tbl_Data_old[[#This Row],[kWh Savings]]*tbl_Data_old[[#This Row],[Sum of Annuals]]</f>
        <v>0</v>
      </c>
      <c r="AY403" s="4">
        <f>tbl_Data_old[[#This Row],[Avoided Costs ($/unit)]]/tbl_Data_old[[#This Row],[kWh Savings]]*tbl_Data_old[[#This Row],[Sum of Annuals]]</f>
        <v>61107.74302284194</v>
      </c>
      <c r="AZ403" s="4">
        <f>tbl_Data_old[[#This Row],[Lost Revenue ($/unit)]]/tbl_Data_old[[#This Row],[kWh Savings]]*tbl_Data_old[[#This Row],[Sum of Annuals]]</f>
        <v>146872.44261465842</v>
      </c>
      <c r="BA403" s="4">
        <f>tbl_Data_old[[#This Row],[Incremental Cost ($/unit)]]/tbl_Data_old[[#This Row],[kWh Savings]]*tbl_Data_old[[#This Row],[Sum of Annuals]]</f>
        <v>45111.123051730014</v>
      </c>
      <c r="BB403">
        <f>ROUNDUP(tbl_Data_old[[#This Row],[Adjusted 2025]]/$L403,0)</f>
        <v>13</v>
      </c>
      <c r="BC403">
        <f>ROUNDUP(tbl_Data_old[[#This Row],[Adjusted 2026]]/$L403,0)</f>
        <v>18</v>
      </c>
      <c r="BD403">
        <f>ROUNDUP(tbl_Data_old[[#This Row],[Adjusted 2027]]/$L403,0)</f>
        <v>24</v>
      </c>
      <c r="BE403">
        <f>ROUNDUP(tbl_Data_old[[#This Row],[Adjusted 2028]]/$L403,0)</f>
        <v>31</v>
      </c>
      <c r="BF403">
        <f>ROUNDUP(tbl_Data_old[[#This Row],[Adjusted 2029]]/$L403,0)</f>
        <v>38</v>
      </c>
      <c r="BG403">
        <f>ROUNDUP(tbl_Data_old[[#This Row],[Adjusted 2030]]/$L403,0)</f>
        <v>45</v>
      </c>
      <c r="BH403">
        <f>ROUNDUP(tbl_Data_old[[#This Row],[Adjusted 2031]]/$L403,0)</f>
        <v>49</v>
      </c>
      <c r="BI403">
        <f>ROUNDUP(tbl_Data_old[[#This Row],[Adjusted 2032]]/$L403,0)</f>
        <v>50</v>
      </c>
      <c r="BJ403">
        <f>ROUNDUP(tbl_Data_old[[#This Row],[Adjusted 2033]]/$L403,0)</f>
        <v>47</v>
      </c>
      <c r="BK403">
        <f>ROUNDUP(tbl_Data_old[[#This Row],[Adjusted 2034]]/$L403,0)</f>
        <v>40</v>
      </c>
      <c r="BL403" s="3">
        <f t="shared" si="27"/>
        <v>254.29943022068446</v>
      </c>
      <c r="BM403" s="3">
        <f t="shared" si="27"/>
        <v>348.75739004856877</v>
      </c>
      <c r="BN403" s="3">
        <f t="shared" si="27"/>
        <v>463.9228683982185</v>
      </c>
      <c r="BO403" s="3">
        <f t="shared" si="27"/>
        <v>598.37732381417641</v>
      </c>
      <c r="BP403" s="3">
        <f t="shared" si="27"/>
        <v>741.17366387353104</v>
      </c>
      <c r="BQ403" s="3">
        <f t="shared" si="26"/>
        <v>870.17059069453967</v>
      </c>
      <c r="BR403" s="3">
        <f t="shared" si="26"/>
        <v>956.52360316583054</v>
      </c>
      <c r="BS403" s="3">
        <f t="shared" si="26"/>
        <v>973.07694254197463</v>
      </c>
      <c r="BT403" s="3">
        <f t="shared" si="26"/>
        <v>905.90473014727297</v>
      </c>
      <c r="BU403" s="3">
        <f t="shared" si="26"/>
        <v>768.42757805913561</v>
      </c>
      <c r="BV403">
        <f>VLOOKUP($H403,'1. Set Program Names'!$B$2:$D$15,3,0)*V403</f>
        <v>210.22335002777163</v>
      </c>
      <c r="BW403">
        <f>VLOOKUP($H403,'1. Set Program Names'!$B$2:$D$15,3,0)*W403</f>
        <v>288.30952086415186</v>
      </c>
      <c r="BX403">
        <f>VLOOKUP($H403,'1. Set Program Names'!$B$2:$D$15,3,0)*X403</f>
        <v>383.51410958542419</v>
      </c>
      <c r="BY403">
        <f>VLOOKUP($H403,'1. Set Program Names'!$B$2:$D$15,3,0)*Y403</f>
        <v>494.66444137804046</v>
      </c>
      <c r="BZ403">
        <f>VLOOKUP($H403,'1. Set Program Names'!$B$2:$D$15,3,0)*Z403</f>
        <v>612.71081274793073</v>
      </c>
      <c r="CA403">
        <f>VLOOKUP($H403,'1. Set Program Names'!$B$2:$D$15,3,0)*AA403</f>
        <v>719.3495341798515</v>
      </c>
      <c r="CB403">
        <f>VLOOKUP($H403,'1. Set Program Names'!$B$2:$D$15,3,0)*AB403</f>
        <v>790.73553591391328</v>
      </c>
      <c r="CC403">
        <f>VLOOKUP($H403,'1. Set Program Names'!$B$2:$D$15,3,0)*AC403</f>
        <v>804.4197917330464</v>
      </c>
      <c r="CD403">
        <f>VLOOKUP($H403,'1. Set Program Names'!$B$2:$D$15,3,0)*AD403</f>
        <v>748.89010570057417</v>
      </c>
      <c r="CE403">
        <f>VLOOKUP($H403,'1. Set Program Names'!$B$2:$D$15,3,0)*AE403</f>
        <v>635.24098175576194</v>
      </c>
    </row>
    <row r="404" spans="1:83" x14ac:dyDescent="0.25">
      <c r="A404" s="20" t="s">
        <v>87</v>
      </c>
      <c r="B404" s="20" t="s">
        <v>88</v>
      </c>
      <c r="C404" s="20" t="s">
        <v>122</v>
      </c>
      <c r="D404" s="20" t="s">
        <v>90</v>
      </c>
      <c r="E404" s="20" t="s">
        <v>91</v>
      </c>
      <c r="F404" s="20" t="s">
        <v>90</v>
      </c>
      <c r="G404" s="20" t="s">
        <v>92</v>
      </c>
      <c r="H404" s="20" t="s">
        <v>18</v>
      </c>
      <c r="I404" s="20" t="s">
        <v>167</v>
      </c>
      <c r="J404" s="20" t="s">
        <v>124</v>
      </c>
      <c r="K404" s="20" t="s">
        <v>98</v>
      </c>
      <c r="L404" s="20">
        <v>151.66</v>
      </c>
      <c r="M404" s="20">
        <v>2.2013191527321101E-2</v>
      </c>
      <c r="N404" s="20">
        <v>1.95296013954902E-2</v>
      </c>
      <c r="O404" s="20">
        <v>56.6</v>
      </c>
      <c r="P404" s="20">
        <v>25.402483751835899</v>
      </c>
      <c r="Q404" s="20">
        <v>4.7997654304929203</v>
      </c>
      <c r="R404" s="20">
        <v>70.564478576335205</v>
      </c>
      <c r="S404" s="20">
        <v>171.417444155428</v>
      </c>
      <c r="T404" s="20">
        <v>16</v>
      </c>
      <c r="U404" s="20">
        <v>0.2</v>
      </c>
      <c r="V404" s="20">
        <v>965.51517445058698</v>
      </c>
      <c r="W404" s="20">
        <v>1313.1344419919301</v>
      </c>
      <c r="X404" s="20">
        <v>1696.4288303532401</v>
      </c>
      <c r="Y404" s="20">
        <v>2094.4850280931701</v>
      </c>
      <c r="Z404" s="20">
        <v>2472.6293643621898</v>
      </c>
      <c r="AA404" s="20">
        <v>2803.7331503054402</v>
      </c>
      <c r="AB404" s="20">
        <v>3068.72692957961</v>
      </c>
      <c r="AC404" s="20">
        <v>3273.11750510817</v>
      </c>
      <c r="AD404" s="20">
        <v>3433.6100718593402</v>
      </c>
      <c r="AE404" s="20">
        <v>3553.3295669899799</v>
      </c>
      <c r="AF404" t="str">
        <f t="shared" si="28"/>
        <v>NonResidential</v>
      </c>
      <c r="AG404" t="str">
        <f>tbl_Data_old[[#This Row],[All_Meas_Name_Append]]</f>
        <v>Refrigerated Display Case LED Lighting</v>
      </c>
      <c r="AH404">
        <f>AVERAGEIFS('3. Incentive Adjustment'!G:G,'3. Incentive Adjustment'!A:A,tbl_Data_old[[#This Row],[Trimmed Sector]],'3. Incentive Adjustment'!B:B,tbl_Data_old[[#This Row],[Trimmed Measure Name]])</f>
        <v>0.72450810749703154</v>
      </c>
      <c r="AI404">
        <f>$AH404*tbl_Data_old[[#This Row],[2025 ]]</f>
        <v>699.52357180086108</v>
      </c>
      <c r="AJ404">
        <f>$AH404*tbl_Data_old[[#This Row],[2026 ]]</f>
        <v>951.37654945674376</v>
      </c>
      <c r="AK404">
        <f>$AH404*tbl_Data_old[[#This Row],[2027 ]]</f>
        <v>1229.0764413826287</v>
      </c>
      <c r="AL404">
        <f>$AH404*tbl_Data_old[[#This Row],[2028 ]]</f>
        <v>1517.4713838846496</v>
      </c>
      <c r="AM404">
        <f>$AH404*tbl_Data_old[[#This Row],[2029 ]]</f>
        <v>1791.4400213156382</v>
      </c>
      <c r="AN404">
        <f>$AH404*tbl_Data_old[[#This Row],[2030 ]]</f>
        <v>2031.3273986544848</v>
      </c>
      <c r="AO404">
        <f>$AH404*tbl_Data_old[[#This Row],[2031 ]]</f>
        <v>2223.3175401748995</v>
      </c>
      <c r="AP404">
        <f>$AH404*tbl_Data_old[[#This Row],[2032 ]]</f>
        <v>2371.4001692413258</v>
      </c>
      <c r="AQ404">
        <f>$AH404*tbl_Data_old[[#This Row],[2033 ]]</f>
        <v>2487.6783350455571</v>
      </c>
      <c r="AR404">
        <f>$AH404*tbl_Data_old[[#This Row],[2034 ]]</f>
        <v>2574.4160798931571</v>
      </c>
      <c r="AS404">
        <f>SUM(tbl_Data_old[[#This Row],[Adjusted 2025]:[Adjusted 2034]])</f>
        <v>17877.027490849945</v>
      </c>
      <c r="AT404" s="3">
        <f>AVERAGEIFS('3. Incentive Adjustment'!F:F,'3. Incentive Adjustment'!A:A,tbl_Data_old[[#This Row],[Trimmed Sector]],'3. Incentive Adjustment'!B:B,tbl_Data_old[[#This Row],[Trimmed Measure Name]])</f>
        <v>6.879122352287844</v>
      </c>
      <c r="AU404" s="3">
        <f>IFERROR(VLOOKUP(tbl_Data_old[[#This Row],[All_Meas_Name_Append]],'IRA Tax Credits'!$A$3:$D$46,4,0),0)</f>
        <v>0</v>
      </c>
      <c r="AV404" s="4">
        <f>tbl_Data_old[[#This Row],[Adj. per unit Incentive ($)]]/tbl_Data_old[[#This Row],[kWh Savings]]*tbl_Data_old[[#This Row],[Sum of Annuals]]</f>
        <v>810.88130953956306</v>
      </c>
      <c r="AW404" s="4">
        <f>IFERROR(VLOOKUP(tbl_Data_old[[#This Row],[All_Programs]],'1. Set Program Names'!$B$2:$D$15,3,0)*tbl_Data_old[[#This Row],[Sum of Annuals]],"")</f>
        <v>565.77567289036858</v>
      </c>
      <c r="AX404" s="4">
        <f>tbl_Data_old[[#This Row],[per unit IRA tax ($)]]/tbl_Data_old[[#This Row],[kWh Savings]]*tbl_Data_old[[#This Row],[Sum of Annuals]]</f>
        <v>0</v>
      </c>
      <c r="AY404" s="4">
        <f>tbl_Data_old[[#This Row],[Avoided Costs ($/unit)]]/tbl_Data_old[[#This Row],[kWh Savings]]*tbl_Data_old[[#This Row],[Sum of Annuals]]</f>
        <v>8317.8367624069397</v>
      </c>
      <c r="AZ404" s="4">
        <f>tbl_Data_old[[#This Row],[Lost Revenue ($/unit)]]/tbl_Data_old[[#This Row],[kWh Savings]]*tbl_Data_old[[#This Row],[Sum of Annuals]]</f>
        <v>20205.949898310835</v>
      </c>
      <c r="BA404" s="4">
        <f>tbl_Data_old[[#This Row],[Incremental Cost ($/unit)]]/tbl_Data_old[[#This Row],[kWh Savings]]*tbl_Data_old[[#This Row],[Sum of Annuals]]</f>
        <v>6671.7641829230315</v>
      </c>
      <c r="BB404">
        <f>ROUNDUP(tbl_Data_old[[#This Row],[Adjusted 2025]]/$L404,0)</f>
        <v>5</v>
      </c>
      <c r="BC404">
        <f>ROUNDUP(tbl_Data_old[[#This Row],[Adjusted 2026]]/$L404,0)</f>
        <v>7</v>
      </c>
      <c r="BD404">
        <f>ROUNDUP(tbl_Data_old[[#This Row],[Adjusted 2027]]/$L404,0)</f>
        <v>9</v>
      </c>
      <c r="BE404">
        <f>ROUNDUP(tbl_Data_old[[#This Row],[Adjusted 2028]]/$L404,0)</f>
        <v>11</v>
      </c>
      <c r="BF404">
        <f>ROUNDUP(tbl_Data_old[[#This Row],[Adjusted 2029]]/$L404,0)</f>
        <v>12</v>
      </c>
      <c r="BG404">
        <f>ROUNDUP(tbl_Data_old[[#This Row],[Adjusted 2030]]/$L404,0)</f>
        <v>14</v>
      </c>
      <c r="BH404">
        <f>ROUNDUP(tbl_Data_old[[#This Row],[Adjusted 2031]]/$L404,0)</f>
        <v>15</v>
      </c>
      <c r="BI404">
        <f>ROUNDUP(tbl_Data_old[[#This Row],[Adjusted 2032]]/$L404,0)</f>
        <v>16</v>
      </c>
      <c r="BJ404">
        <f>ROUNDUP(tbl_Data_old[[#This Row],[Adjusted 2033]]/$L404,0)</f>
        <v>17</v>
      </c>
      <c r="BK404">
        <f>ROUNDUP(tbl_Data_old[[#This Row],[Adjusted 2034]]/$L404,0)</f>
        <v>17</v>
      </c>
      <c r="BL404" s="3">
        <f t="shared" si="27"/>
        <v>43.794652631123107</v>
      </c>
      <c r="BM404" s="3">
        <f t="shared" si="27"/>
        <v>59.562260922232042</v>
      </c>
      <c r="BN404" s="3">
        <f t="shared" si="27"/>
        <v>76.948051470054708</v>
      </c>
      <c r="BO404" s="3">
        <f t="shared" si="27"/>
        <v>95.003420633574834</v>
      </c>
      <c r="BP404" s="3">
        <f t="shared" si="27"/>
        <v>112.155610769532</v>
      </c>
      <c r="BQ404" s="3">
        <f t="shared" si="26"/>
        <v>127.17409589948943</v>
      </c>
      <c r="BR404" s="3">
        <f t="shared" si="26"/>
        <v>139.19390751904749</v>
      </c>
      <c r="BS404" s="3">
        <f t="shared" si="26"/>
        <v>148.46482784553763</v>
      </c>
      <c r="BT404" s="3">
        <f t="shared" si="26"/>
        <v>155.7445852193608</v>
      </c>
      <c r="BU404" s="3">
        <f t="shared" si="26"/>
        <v>161.17492317899286</v>
      </c>
      <c r="BV404">
        <f>VLOOKUP($H404,'1. Set Program Names'!$B$2:$D$15,3,0)*V404</f>
        <v>30.556813641990484</v>
      </c>
      <c r="BW404">
        <f>VLOOKUP($H404,'1. Set Program Names'!$B$2:$D$15,3,0)*W404</f>
        <v>41.558336412122429</v>
      </c>
      <c r="BX404">
        <f>VLOOKUP($H404,'1. Set Program Names'!$B$2:$D$15,3,0)*X404</f>
        <v>53.688912404200408</v>
      </c>
      <c r="BY404">
        <f>VLOOKUP($H404,'1. Set Program Names'!$B$2:$D$15,3,0)*Y404</f>
        <v>66.286673035253912</v>
      </c>
      <c r="BZ404">
        <f>VLOOKUP($H404,'1. Set Program Names'!$B$2:$D$15,3,0)*Z404</f>
        <v>78.254259168451412</v>
      </c>
      <c r="CA404">
        <f>VLOOKUP($H404,'1. Set Program Names'!$B$2:$D$15,3,0)*AA404</f>
        <v>88.733096737195609</v>
      </c>
      <c r="CB404">
        <f>VLOOKUP($H404,'1. Set Program Names'!$B$2:$D$15,3,0)*AB404</f>
        <v>97.119671846359751</v>
      </c>
      <c r="CC404">
        <f>VLOOKUP($H404,'1. Set Program Names'!$B$2:$D$15,3,0)*AC404</f>
        <v>103.5882648751118</v>
      </c>
      <c r="CD404">
        <f>VLOOKUP($H404,'1. Set Program Names'!$B$2:$D$15,3,0)*AD404</f>
        <v>108.66756511079257</v>
      </c>
      <c r="CE404">
        <f>VLOOKUP($H404,'1. Set Program Names'!$B$2:$D$15,3,0)*AE404</f>
        <v>112.45647117754788</v>
      </c>
    </row>
    <row r="405" spans="1:83" x14ac:dyDescent="0.25">
      <c r="A405" s="20" t="s">
        <v>113</v>
      </c>
      <c r="B405" s="20" t="s">
        <v>88</v>
      </c>
      <c r="C405" s="20" t="s">
        <v>122</v>
      </c>
      <c r="D405" s="20" t="s">
        <v>90</v>
      </c>
      <c r="E405" s="20" t="s">
        <v>91</v>
      </c>
      <c r="F405" s="20" t="s">
        <v>90</v>
      </c>
      <c r="G405" s="20" t="s">
        <v>92</v>
      </c>
      <c r="H405" s="20" t="s">
        <v>18</v>
      </c>
      <c r="I405" s="20" t="s">
        <v>168</v>
      </c>
      <c r="J405" s="20" t="s">
        <v>129</v>
      </c>
      <c r="K405" s="20" t="s">
        <v>102</v>
      </c>
      <c r="L405" s="20">
        <v>3050.4666666666599</v>
      </c>
      <c r="M405" s="20">
        <v>1.01361966409546</v>
      </c>
      <c r="N405" s="20">
        <v>0</v>
      </c>
      <c r="O405" s="20">
        <v>742</v>
      </c>
      <c r="P405" s="20">
        <v>130.44720079847701</v>
      </c>
      <c r="Q405" s="20">
        <v>96.541767463653102</v>
      </c>
      <c r="R405" s="20">
        <v>1331.93833936435</v>
      </c>
      <c r="S405" s="20">
        <v>2509.1802589366698</v>
      </c>
      <c r="T405" s="20">
        <v>10</v>
      </c>
      <c r="U405" s="20">
        <v>1</v>
      </c>
      <c r="V405" s="20">
        <v>21243.524858074899</v>
      </c>
      <c r="W405" s="20">
        <v>50534.7706385411</v>
      </c>
      <c r="X405" s="20">
        <v>89792.019859369801</v>
      </c>
      <c r="Y405" s="20">
        <v>140909.70801430201</v>
      </c>
      <c r="Z405" s="20">
        <v>204951.952956717</v>
      </c>
      <c r="AA405" s="20">
        <v>281165.720755852</v>
      </c>
      <c r="AB405" s="20">
        <v>366284.48699693399</v>
      </c>
      <c r="AC405" s="20">
        <v>454507.83891312801</v>
      </c>
      <c r="AD405" s="20">
        <v>538484.71079023299</v>
      </c>
      <c r="AE405" s="20">
        <v>611617.38224408601</v>
      </c>
      <c r="AF405" t="str">
        <f t="shared" si="28"/>
        <v>NonResidential</v>
      </c>
      <c r="AG405" t="str">
        <f>tbl_Data_old[[#This Row],[All_Meas_Name_Append]]</f>
        <v>Chilled Water Reset</v>
      </c>
      <c r="AH405">
        <f>AVERAGEIFS('3. Incentive Adjustment'!G:G,'3. Incentive Adjustment'!A:A,tbl_Data_old[[#This Row],[Trimmed Sector]],'3. Incentive Adjustment'!B:B,tbl_Data_old[[#This Row],[Trimmed Measure Name]])</f>
        <v>1.6724428329362533</v>
      </c>
      <c r="AI405">
        <f>$AH405*tbl_Data_old[[#This Row],[2025 ]]</f>
        <v>35528.580895190506</v>
      </c>
      <c r="AJ405">
        <f>$AH405*tbl_Data_old[[#This Row],[2026 ]]</f>
        <v>84516.514968505464</v>
      </c>
      <c r="AK405">
        <f>$AH405*tbl_Data_old[[#This Row],[2027 ]]</f>
        <v>150172.02006867275</v>
      </c>
      <c r="AL405">
        <f>$AH405*tbl_Data_old[[#This Row],[2028 ]]</f>
        <v>235663.43125965953</v>
      </c>
      <c r="AM405">
        <f>$AH405*tbl_Data_old[[#This Row],[2029 ]]</f>
        <v>342770.42481874948</v>
      </c>
      <c r="AN405">
        <f>$AH405*tbl_Data_old[[#This Row],[2030 ]]</f>
        <v>470233.59454548062</v>
      </c>
      <c r="AO405">
        <f>$AH405*tbl_Data_old[[#This Row],[2031 ]]</f>
        <v>612589.86509375449</v>
      </c>
      <c r="AP405">
        <f>$AH405*tbl_Data_old[[#This Row],[2032 ]]</f>
        <v>760138.37770360603</v>
      </c>
      <c r="AQ405">
        <f>$AH405*tbl_Data_old[[#This Row],[2033 ]]</f>
        <v>900584.89520687633</v>
      </c>
      <c r="AR405">
        <f>$AH405*tbl_Data_old[[#This Row],[2034 ]]</f>
        <v>1022895.1074333545</v>
      </c>
      <c r="AS405">
        <f>SUM(tbl_Data_old[[#This Row],[Adjusted 2025]:[Adjusted 2034]])</f>
        <v>4615092.8119938495</v>
      </c>
      <c r="AT405" s="3">
        <f>AVERAGEIFS('3. Incentive Adjustment'!F:F,'3. Incentive Adjustment'!A:A,tbl_Data_old[[#This Row],[Trimmed Sector]],'3. Incentive Adjustment'!B:B,tbl_Data_old[[#This Row],[Trimmed Measure Name]])</f>
        <v>725.0262900596623</v>
      </c>
      <c r="AU405" s="3">
        <f>IFERROR(VLOOKUP(tbl_Data_old[[#This Row],[All_Meas_Name_Append]],'IRA Tax Credits'!$A$3:$D$46,4,0),0)</f>
        <v>0</v>
      </c>
      <c r="AV405" s="4">
        <f>tbl_Data_old[[#This Row],[Adj. per unit Incentive ($)]]/tbl_Data_old[[#This Row],[kWh Savings]]*tbl_Data_old[[#This Row],[Sum of Annuals]]</f>
        <v>1096902.2072341682</v>
      </c>
      <c r="AW405" s="4">
        <f>IFERROR(VLOOKUP(tbl_Data_old[[#This Row],[All_Programs]],'1. Set Program Names'!$B$2:$D$15,3,0)*tbl_Data_old[[#This Row],[Sum of Annuals]],"")</f>
        <v>146059.3626369806</v>
      </c>
      <c r="AX405" s="4">
        <f>tbl_Data_old[[#This Row],[per unit IRA tax ($)]]/tbl_Data_old[[#This Row],[kWh Savings]]*tbl_Data_old[[#This Row],[Sum of Annuals]]</f>
        <v>0</v>
      </c>
      <c r="AY405" s="4">
        <f>tbl_Data_old[[#This Row],[Avoided Costs ($/unit)]]/tbl_Data_old[[#This Row],[kWh Savings]]*tbl_Data_old[[#This Row],[Sum of Annuals]]</f>
        <v>2015107.7614417847</v>
      </c>
      <c r="AZ405" s="4">
        <f>tbl_Data_old[[#This Row],[Lost Revenue ($/unit)]]/tbl_Data_old[[#This Row],[kWh Savings]]*tbl_Data_old[[#This Row],[Sum of Annuals]]</f>
        <v>3796173.1900088019</v>
      </c>
      <c r="BA405" s="4">
        <f>tbl_Data_old[[#This Row],[Incremental Cost ($/unit)]]/tbl_Data_old[[#This Row],[kWh Savings]]*tbl_Data_old[[#This Row],[Sum of Annuals]]</f>
        <v>1122581.9655460729</v>
      </c>
      <c r="BB405">
        <f>ROUNDUP(tbl_Data_old[[#This Row],[Adjusted 2025]]/$L405,0)</f>
        <v>12</v>
      </c>
      <c r="BC405">
        <f>ROUNDUP(tbl_Data_old[[#This Row],[Adjusted 2026]]/$L405,0)</f>
        <v>28</v>
      </c>
      <c r="BD405">
        <f>ROUNDUP(tbl_Data_old[[#This Row],[Adjusted 2027]]/$L405,0)</f>
        <v>50</v>
      </c>
      <c r="BE405">
        <f>ROUNDUP(tbl_Data_old[[#This Row],[Adjusted 2028]]/$L405,0)</f>
        <v>78</v>
      </c>
      <c r="BF405">
        <f>ROUNDUP(tbl_Data_old[[#This Row],[Adjusted 2029]]/$L405,0)</f>
        <v>113</v>
      </c>
      <c r="BG405">
        <f>ROUNDUP(tbl_Data_old[[#This Row],[Adjusted 2030]]/$L405,0)</f>
        <v>155</v>
      </c>
      <c r="BH405">
        <f>ROUNDUP(tbl_Data_old[[#This Row],[Adjusted 2031]]/$L405,0)</f>
        <v>201</v>
      </c>
      <c r="BI405">
        <f>ROUNDUP(tbl_Data_old[[#This Row],[Adjusted 2032]]/$L405,0)</f>
        <v>250</v>
      </c>
      <c r="BJ405">
        <f>ROUNDUP(tbl_Data_old[[#This Row],[Adjusted 2033]]/$L405,0)</f>
        <v>296</v>
      </c>
      <c r="BK405">
        <f>ROUNDUP(tbl_Data_old[[#This Row],[Adjusted 2034]]/$L405,0)</f>
        <v>336</v>
      </c>
      <c r="BL405" s="3">
        <f t="shared" si="27"/>
        <v>5049.1009077213184</v>
      </c>
      <c r="BM405" s="3">
        <f t="shared" si="27"/>
        <v>12010.961363860442</v>
      </c>
      <c r="BN405" s="3">
        <f t="shared" si="27"/>
        <v>21341.513332037463</v>
      </c>
      <c r="BO405" s="3">
        <f t="shared" si="27"/>
        <v>33491.020882597157</v>
      </c>
      <c r="BP405" s="3">
        <f t="shared" si="27"/>
        <v>48712.400537412184</v>
      </c>
      <c r="BQ405" s="3">
        <f t="shared" si="26"/>
        <v>66826.673321535549</v>
      </c>
      <c r="BR405" s="3">
        <f t="shared" si="26"/>
        <v>87057.460950388224</v>
      </c>
      <c r="BS405" s="3">
        <f t="shared" si="26"/>
        <v>108026.13772216946</v>
      </c>
      <c r="BT405" s="3">
        <f t="shared" si="26"/>
        <v>127985.52312807669</v>
      </c>
      <c r="BU405" s="3">
        <f t="shared" si="26"/>
        <v>145367.48964675341</v>
      </c>
      <c r="BV405">
        <f>VLOOKUP($H405,'1. Set Program Names'!$B$2:$D$15,3,0)*V405</f>
        <v>672.3192419596802</v>
      </c>
      <c r="BW405">
        <f>VLOOKUP($H405,'1. Set Program Names'!$B$2:$D$15,3,0)*W405</f>
        <v>1599.3343343581605</v>
      </c>
      <c r="BX405">
        <f>VLOOKUP($H405,'1. Set Program Names'!$B$2:$D$15,3,0)*X405</f>
        <v>2841.7554586254628</v>
      </c>
      <c r="BY405">
        <f>VLOOKUP($H405,'1. Set Program Names'!$B$2:$D$15,3,0)*Y405</f>
        <v>4459.538080890803</v>
      </c>
      <c r="BZ405">
        <f>VLOOKUP($H405,'1. Set Program Names'!$B$2:$D$15,3,0)*Z405</f>
        <v>6486.359611721371</v>
      </c>
      <c r="CA405">
        <f>VLOOKUP($H405,'1. Set Program Names'!$B$2:$D$15,3,0)*AA405</f>
        <v>8898.3878855569455</v>
      </c>
      <c r="CB405">
        <f>VLOOKUP($H405,'1. Set Program Names'!$B$2:$D$15,3,0)*AB405</f>
        <v>11592.243296938681</v>
      </c>
      <c r="CC405">
        <f>VLOOKUP($H405,'1. Set Program Names'!$B$2:$D$15,3,0)*AC405</f>
        <v>14384.353244779642</v>
      </c>
      <c r="CD405">
        <f>VLOOKUP($H405,'1. Set Program Names'!$B$2:$D$15,3,0)*AD405</f>
        <v>17042.069759329701</v>
      </c>
      <c r="CE405">
        <f>VLOOKUP($H405,'1. Set Program Names'!$B$2:$D$15,3,0)*AE405</f>
        <v>19356.586891624313</v>
      </c>
    </row>
    <row r="406" spans="1:83" x14ac:dyDescent="0.25">
      <c r="A406" s="20" t="s">
        <v>113</v>
      </c>
      <c r="B406" s="20" t="s">
        <v>88</v>
      </c>
      <c r="C406" s="20" t="s">
        <v>122</v>
      </c>
      <c r="D406" s="20" t="s">
        <v>90</v>
      </c>
      <c r="E406" s="20" t="s">
        <v>91</v>
      </c>
      <c r="F406" s="20" t="s">
        <v>90</v>
      </c>
      <c r="G406" s="20" t="s">
        <v>92</v>
      </c>
      <c r="H406" s="20" t="s">
        <v>18</v>
      </c>
      <c r="I406" s="20" t="s">
        <v>169</v>
      </c>
      <c r="J406" s="20" t="s">
        <v>129</v>
      </c>
      <c r="K406" s="20" t="s">
        <v>102</v>
      </c>
      <c r="L406" s="20">
        <v>12279.148571428501</v>
      </c>
      <c r="M406" s="20">
        <v>2.3939185148112898</v>
      </c>
      <c r="N406" s="20">
        <v>0.409805025192993</v>
      </c>
      <c r="O406" s="20">
        <v>4666.07785714284</v>
      </c>
      <c r="P406" s="20">
        <v>2140.17810945783</v>
      </c>
      <c r="Q406" s="20">
        <v>388.61290273657698</v>
      </c>
      <c r="R406" s="20">
        <v>6035.2668545830202</v>
      </c>
      <c r="S406" s="20">
        <v>13336.629705795</v>
      </c>
      <c r="T406" s="20">
        <v>15</v>
      </c>
      <c r="U406" s="20">
        <v>1</v>
      </c>
      <c r="V406" s="20">
        <v>79275.1337541947</v>
      </c>
      <c r="W406" s="20">
        <v>167742.66694494401</v>
      </c>
      <c r="X406" s="20">
        <v>264308.64888951997</v>
      </c>
      <c r="Y406" s="20">
        <v>368380.23798583797</v>
      </c>
      <c r="Z406" s="20">
        <v>479316.197023788</v>
      </c>
      <c r="AA406" s="20">
        <v>596439.88498224295</v>
      </c>
      <c r="AB406" s="20">
        <v>719147.73060589004</v>
      </c>
      <c r="AC406" s="20">
        <v>847157.90852689196</v>
      </c>
      <c r="AD406" s="20">
        <v>980342.22044539498</v>
      </c>
      <c r="AE406" s="20">
        <v>1118416.8751278</v>
      </c>
      <c r="AF406" t="str">
        <f t="shared" si="28"/>
        <v>NonResidential</v>
      </c>
      <c r="AG406" t="str">
        <f>tbl_Data_old[[#This Row],[All_Meas_Name_Append]]</f>
        <v>Custom measure - Non-lighting_69</v>
      </c>
      <c r="AH406">
        <f>AVERAGEIFS('3. Incentive Adjustment'!G:G,'3. Incentive Adjustment'!A:A,tbl_Data_old[[#This Row],[Trimmed Sector]],'3. Incentive Adjustment'!B:B,tbl_Data_old[[#This Row],[Trimmed Measure Name]])</f>
        <v>0.94249803878007732</v>
      </c>
      <c r="AI406">
        <f>$AH406*tbl_Data_old[[#This Row],[2025 ]]</f>
        <v>74716.658087356816</v>
      </c>
      <c r="AJ406">
        <f>$AH406*tbl_Data_old[[#This Row],[2026 ]]</f>
        <v>158097.13461534944</v>
      </c>
      <c r="AK406">
        <f>$AH406*tbl_Data_old[[#This Row],[2027 ]]</f>
        <v>249110.38321098464</v>
      </c>
      <c r="AL406">
        <f>$AH406*tbl_Data_old[[#This Row],[2028 ]]</f>
        <v>347197.65182699042</v>
      </c>
      <c r="AM406">
        <f>$AH406*tbl_Data_old[[#This Row],[2029 ]]</f>
        <v>451754.5756504453</v>
      </c>
      <c r="AN406">
        <f>$AH406*tbl_Data_old[[#This Row],[2030 ]]</f>
        <v>562143.42184597882</v>
      </c>
      <c r="AO406">
        <f>$AH406*tbl_Data_old[[#This Row],[2031 ]]</f>
        <v>677795.32568919472</v>
      </c>
      <c r="AP406">
        <f>$AH406*tbl_Data_old[[#This Row],[2032 ]]</f>
        <v>798444.66732362786</v>
      </c>
      <c r="AQ406">
        <f>$AH406*tbl_Data_old[[#This Row],[2033 ]]</f>
        <v>923970.620103091</v>
      </c>
      <c r="AR406">
        <f>$AH406*tbl_Data_old[[#This Row],[2034 ]]</f>
        <v>1054105.7113464943</v>
      </c>
      <c r="AS406">
        <f>SUM(tbl_Data_old[[#This Row],[Adjusted 2025]:[Adjusted 2034]])</f>
        <v>5297336.1496995129</v>
      </c>
      <c r="AT406" s="3">
        <f>AVERAGEIFS('3. Incentive Adjustment'!F:F,'3. Incentive Adjustment'!A:A,tbl_Data_old[[#This Row],[Trimmed Sector]],'3. Incentive Adjustment'!B:B,tbl_Data_old[[#This Row],[Trimmed Measure Name]])</f>
        <v>1864.5735288999113</v>
      </c>
      <c r="AU406" s="3">
        <f>IFERROR(VLOOKUP(tbl_Data_old[[#This Row],[All_Meas_Name_Append]],'IRA Tax Credits'!$A$3:$D$46,4,0),0)</f>
        <v>0</v>
      </c>
      <c r="AV406" s="4">
        <f>tbl_Data_old[[#This Row],[Adj. per unit Incentive ($)]]/tbl_Data_old[[#This Row],[kWh Savings]]*tbl_Data_old[[#This Row],[Sum of Annuals]]</f>
        <v>804393.94482098124</v>
      </c>
      <c r="AW406" s="4">
        <f>IFERROR(VLOOKUP(tbl_Data_old[[#This Row],[All_Programs]],'1. Set Program Names'!$B$2:$D$15,3,0)*tbl_Data_old[[#This Row],[Sum of Annuals]],"")</f>
        <v>167651.13362144426</v>
      </c>
      <c r="AX406" s="4">
        <f>tbl_Data_old[[#This Row],[per unit IRA tax ($)]]/tbl_Data_old[[#This Row],[kWh Savings]]*tbl_Data_old[[#This Row],[Sum of Annuals]]</f>
        <v>0</v>
      </c>
      <c r="AY406" s="4">
        <f>tbl_Data_old[[#This Row],[Avoided Costs ($/unit)]]/tbl_Data_old[[#This Row],[kWh Savings]]*tbl_Data_old[[#This Row],[Sum of Annuals]]</f>
        <v>2603668.9022768755</v>
      </c>
      <c r="AZ406" s="4">
        <f>tbl_Data_old[[#This Row],[Lost Revenue ($/unit)]]/tbl_Data_old[[#This Row],[kWh Savings]]*tbl_Data_old[[#This Row],[Sum of Annuals]]</f>
        <v>5753543.1096624713</v>
      </c>
      <c r="BA406" s="4">
        <f>tbl_Data_old[[#This Row],[Incremental Cost ($/unit)]]/tbl_Data_old[[#This Row],[kWh Savings]]*tbl_Data_old[[#This Row],[Sum of Annuals]]</f>
        <v>2012988.3408585265</v>
      </c>
      <c r="BB406">
        <f>ROUNDUP(tbl_Data_old[[#This Row],[Adjusted 2025]]/$L406,0)</f>
        <v>7</v>
      </c>
      <c r="BC406">
        <f>ROUNDUP(tbl_Data_old[[#This Row],[Adjusted 2026]]/$L406,0)</f>
        <v>13</v>
      </c>
      <c r="BD406">
        <f>ROUNDUP(tbl_Data_old[[#This Row],[Adjusted 2027]]/$L406,0)</f>
        <v>21</v>
      </c>
      <c r="BE406">
        <f>ROUNDUP(tbl_Data_old[[#This Row],[Adjusted 2028]]/$L406,0)</f>
        <v>29</v>
      </c>
      <c r="BF406">
        <f>ROUNDUP(tbl_Data_old[[#This Row],[Adjusted 2029]]/$L406,0)</f>
        <v>37</v>
      </c>
      <c r="BG406">
        <f>ROUNDUP(tbl_Data_old[[#This Row],[Adjusted 2030]]/$L406,0)</f>
        <v>46</v>
      </c>
      <c r="BH406">
        <f>ROUNDUP(tbl_Data_old[[#This Row],[Adjusted 2031]]/$L406,0)</f>
        <v>56</v>
      </c>
      <c r="BI406">
        <f>ROUNDUP(tbl_Data_old[[#This Row],[Adjusted 2032]]/$L406,0)</f>
        <v>66</v>
      </c>
      <c r="BJ406">
        <f>ROUNDUP(tbl_Data_old[[#This Row],[Adjusted 2033]]/$L406,0)</f>
        <v>76</v>
      </c>
      <c r="BK406">
        <f>ROUNDUP(tbl_Data_old[[#This Row],[Adjusted 2034]]/$L406,0)</f>
        <v>86</v>
      </c>
      <c r="BL406" s="3">
        <f t="shared" si="27"/>
        <v>12037.831046527945</v>
      </c>
      <c r="BM406" s="3">
        <f t="shared" si="27"/>
        <v>25471.516582214514</v>
      </c>
      <c r="BN406" s="3">
        <f t="shared" si="27"/>
        <v>40134.941548424234</v>
      </c>
      <c r="BO406" s="3">
        <f t="shared" si="27"/>
        <v>55938.083680856987</v>
      </c>
      <c r="BP406" s="3">
        <f t="shared" si="27"/>
        <v>72783.571901969262</v>
      </c>
      <c r="BQ406" s="3">
        <f t="shared" si="26"/>
        <v>90568.659109287124</v>
      </c>
      <c r="BR406" s="3">
        <f t="shared" si="26"/>
        <v>109201.69375393365</v>
      </c>
      <c r="BS406" s="3">
        <f t="shared" si="26"/>
        <v>128639.88100224549</v>
      </c>
      <c r="BT406" s="3">
        <f t="shared" si="26"/>
        <v>148863.75410089144</v>
      </c>
      <c r="BU406" s="3">
        <f t="shared" si="26"/>
        <v>169830.21970192276</v>
      </c>
      <c r="BV406">
        <f>VLOOKUP($H406,'1. Set Program Names'!$B$2:$D$15,3,0)*V406</f>
        <v>2508.9149841163576</v>
      </c>
      <c r="BW406">
        <f>VLOOKUP($H406,'1. Set Program Names'!$B$2:$D$15,3,0)*W406</f>
        <v>5308.7528288344392</v>
      </c>
      <c r="BX406">
        <f>VLOOKUP($H406,'1. Set Program Names'!$B$2:$D$15,3,0)*X406</f>
        <v>8364.8919683516488</v>
      </c>
      <c r="BY406">
        <f>VLOOKUP($H406,'1. Set Program Names'!$B$2:$D$15,3,0)*Y406</f>
        <v>11658.570035350014</v>
      </c>
      <c r="BZ406">
        <f>VLOOKUP($H406,'1. Set Program Names'!$B$2:$D$15,3,0)*Z406</f>
        <v>15169.493028815212</v>
      </c>
      <c r="CA406">
        <f>VLOOKUP($H406,'1. Set Program Names'!$B$2:$D$15,3,0)*AA406</f>
        <v>18876.246480976843</v>
      </c>
      <c r="CB406">
        <f>VLOOKUP($H406,'1. Set Program Names'!$B$2:$D$15,3,0)*AB406</f>
        <v>22759.728450346778</v>
      </c>
      <c r="CC406">
        <f>VLOOKUP($H406,'1. Set Program Names'!$B$2:$D$15,3,0)*AC406</f>
        <v>26811.019672399227</v>
      </c>
      <c r="CD406">
        <f>VLOOKUP($H406,'1. Set Program Names'!$B$2:$D$15,3,0)*AD406</f>
        <v>31026.062902192301</v>
      </c>
      <c r="CE406">
        <f>VLOOKUP($H406,'1. Set Program Names'!$B$2:$D$15,3,0)*AE406</f>
        <v>35395.876659094953</v>
      </c>
    </row>
    <row r="407" spans="1:83" x14ac:dyDescent="0.25">
      <c r="A407" s="20" t="s">
        <v>113</v>
      </c>
      <c r="B407" s="20" t="s">
        <v>88</v>
      </c>
      <c r="C407" s="20" t="s">
        <v>122</v>
      </c>
      <c r="D407" s="20" t="s">
        <v>90</v>
      </c>
      <c r="E407" s="20" t="s">
        <v>91</v>
      </c>
      <c r="F407" s="20" t="s">
        <v>90</v>
      </c>
      <c r="G407" s="20" t="s">
        <v>92</v>
      </c>
      <c r="H407" s="20" t="s">
        <v>18</v>
      </c>
      <c r="I407" s="20" t="s">
        <v>170</v>
      </c>
      <c r="J407" s="20" t="s">
        <v>144</v>
      </c>
      <c r="K407" s="20" t="s">
        <v>171</v>
      </c>
      <c r="L407" s="20">
        <v>5592.79</v>
      </c>
      <c r="M407" s="20">
        <v>0.87755365852981304</v>
      </c>
      <c r="N407" s="20">
        <v>1.3078150987013399</v>
      </c>
      <c r="O407" s="20">
        <v>2274</v>
      </c>
      <c r="P407" s="20">
        <v>1123.5242193223601</v>
      </c>
      <c r="Q407" s="20">
        <v>177.00171503367099</v>
      </c>
      <c r="R407" s="20">
        <v>3205.1805113222799</v>
      </c>
      <c r="S407" s="20">
        <v>7177.7771935445198</v>
      </c>
      <c r="T407" s="20">
        <v>20</v>
      </c>
      <c r="U407" s="20">
        <v>1</v>
      </c>
      <c r="V407" s="20">
        <v>1601.16012615676</v>
      </c>
      <c r="W407" s="20">
        <v>3661.58428909229</v>
      </c>
      <c r="X407" s="20">
        <v>6249.88582292917</v>
      </c>
      <c r="Y407" s="20">
        <v>9431.8965045696004</v>
      </c>
      <c r="Z407" s="20">
        <v>13241.4691670353</v>
      </c>
      <c r="AA407" s="20">
        <v>17658.656645563398</v>
      </c>
      <c r="AB407" s="20">
        <v>22599.179852406</v>
      </c>
      <c r="AC407" s="20">
        <v>27915.482808758199</v>
      </c>
      <c r="AD407" s="20">
        <v>33394.211203484003</v>
      </c>
      <c r="AE407" s="20">
        <v>38775.128283448998</v>
      </c>
      <c r="AF407" t="str">
        <f t="shared" si="28"/>
        <v>NonResidential</v>
      </c>
      <c r="AG407" t="str">
        <f>tbl_Data_old[[#This Row],[All_Meas_Name_Append]]</f>
        <v>Demand Controlled Circulating Systems</v>
      </c>
      <c r="AH407">
        <f>AVERAGEIFS('3. Incentive Adjustment'!G:G,'3. Incentive Adjustment'!A:A,tbl_Data_old[[#This Row],[Trimmed Sector]],'3. Incentive Adjustment'!B:B,tbl_Data_old[[#This Row],[Trimmed Measure Name]])</f>
        <v>0.82519266246945677</v>
      </c>
      <c r="AI407">
        <f>$AH407*tbl_Data_old[[#This Row],[2025 ]]</f>
        <v>1321.2655875432281</v>
      </c>
      <c r="AJ407">
        <f>$AH407*tbl_Data_old[[#This Row],[2026 ]]</f>
        <v>3021.5124883723997</v>
      </c>
      <c r="AK407">
        <f>$AH407*tbl_Data_old[[#This Row],[2027 ]]</f>
        <v>5157.3599223530337</v>
      </c>
      <c r="AL407">
        <f>$AH407*tbl_Data_old[[#This Row],[2028 ]]</f>
        <v>7783.131788742151</v>
      </c>
      <c r="AM407">
        <f>$AH407*tbl_Data_old[[#This Row],[2029 ]]</f>
        <v>10926.763196953079</v>
      </c>
      <c r="AN407">
        <f>$AH407*tbl_Data_old[[#This Row],[2030 ]]</f>
        <v>14571.793892986427</v>
      </c>
      <c r="AO407">
        <f>$AH407*tbl_Data_old[[#This Row],[2031 ]]</f>
        <v>18648.677392033012</v>
      </c>
      <c r="AP407">
        <f>$AH407*tbl_Data_old[[#This Row],[2032 ]]</f>
        <v>23035.651583079529</v>
      </c>
      <c r="AQ407">
        <f>$AH407*tbl_Data_old[[#This Row],[2033 ]]</f>
        <v>27556.658054070325</v>
      </c>
      <c r="AR407">
        <f>$AH407*tbl_Data_old[[#This Row],[2034 ]]</f>
        <v>31996.951345814014</v>
      </c>
      <c r="AS407">
        <f>SUM(tbl_Data_old[[#This Row],[Adjusted 2025]:[Adjusted 2034]])</f>
        <v>144019.76525194722</v>
      </c>
      <c r="AT407" s="3">
        <f>AVERAGEIFS('3. Incentive Adjustment'!F:F,'3. Incentive Adjustment'!A:A,tbl_Data_old[[#This Row],[Trimmed Sector]],'3. Incentive Adjustment'!B:B,tbl_Data_old[[#This Row],[Trimmed Measure Name]])</f>
        <v>716.2547365811331</v>
      </c>
      <c r="AU407" s="3">
        <f>IFERROR(VLOOKUP(tbl_Data_old[[#This Row],[All_Meas_Name_Append]],'IRA Tax Credits'!$A$3:$D$46,4,0),0)</f>
        <v>0</v>
      </c>
      <c r="AV407" s="4">
        <f>tbl_Data_old[[#This Row],[Adj. per unit Incentive ($)]]/tbl_Data_old[[#This Row],[kWh Savings]]*tbl_Data_old[[#This Row],[Sum of Annuals]]</f>
        <v>18444.253945349294</v>
      </c>
      <c r="AW407" s="4">
        <f>IFERROR(VLOOKUP(tbl_Data_old[[#This Row],[All_Programs]],'1. Set Program Names'!$B$2:$D$15,3,0)*tbl_Data_old[[#This Row],[Sum of Annuals]],"")</f>
        <v>4557.9657824344122</v>
      </c>
      <c r="AX407" s="4">
        <f>tbl_Data_old[[#This Row],[per unit IRA tax ($)]]/tbl_Data_old[[#This Row],[kWh Savings]]*tbl_Data_old[[#This Row],[Sum of Annuals]]</f>
        <v>0</v>
      </c>
      <c r="AY407" s="4">
        <f>tbl_Data_old[[#This Row],[Avoided Costs ($/unit)]]/tbl_Data_old[[#This Row],[kWh Savings]]*tbl_Data_old[[#This Row],[Sum of Annuals]]</f>
        <v>82536.505899694239</v>
      </c>
      <c r="AZ407" s="4">
        <f>tbl_Data_old[[#This Row],[Lost Revenue ($/unit)]]/tbl_Data_old[[#This Row],[kWh Savings]]*tbl_Data_old[[#This Row],[Sum of Annuals]]</f>
        <v>184834.72228441658</v>
      </c>
      <c r="BA407" s="4">
        <f>tbl_Data_old[[#This Row],[Incremental Cost ($/unit)]]/tbl_Data_old[[#This Row],[kWh Savings]]*tbl_Data_old[[#This Row],[Sum of Annuals]]</f>
        <v>58557.704863391606</v>
      </c>
      <c r="BB407">
        <f>ROUNDUP(tbl_Data_old[[#This Row],[Adjusted 2025]]/$L407,0)</f>
        <v>1</v>
      </c>
      <c r="BC407">
        <f>ROUNDUP(tbl_Data_old[[#This Row],[Adjusted 2026]]/$L407,0)</f>
        <v>1</v>
      </c>
      <c r="BD407">
        <f>ROUNDUP(tbl_Data_old[[#This Row],[Adjusted 2027]]/$L407,0)</f>
        <v>1</v>
      </c>
      <c r="BE407">
        <f>ROUNDUP(tbl_Data_old[[#This Row],[Adjusted 2028]]/$L407,0)</f>
        <v>2</v>
      </c>
      <c r="BF407">
        <f>ROUNDUP(tbl_Data_old[[#This Row],[Adjusted 2029]]/$L407,0)</f>
        <v>2</v>
      </c>
      <c r="BG407">
        <f>ROUNDUP(tbl_Data_old[[#This Row],[Adjusted 2030]]/$L407,0)</f>
        <v>3</v>
      </c>
      <c r="BH407">
        <f>ROUNDUP(tbl_Data_old[[#This Row],[Adjusted 2031]]/$L407,0)</f>
        <v>4</v>
      </c>
      <c r="BI407">
        <f>ROUNDUP(tbl_Data_old[[#This Row],[Adjusted 2032]]/$L407,0)</f>
        <v>5</v>
      </c>
      <c r="BJ407">
        <f>ROUNDUP(tbl_Data_old[[#This Row],[Adjusted 2033]]/$L407,0)</f>
        <v>5</v>
      </c>
      <c r="BK407">
        <f>ROUNDUP(tbl_Data_old[[#This Row],[Adjusted 2034]]/$L407,0)</f>
        <v>6</v>
      </c>
      <c r="BL407" s="3">
        <f t="shared" si="27"/>
        <v>205.05660401778434</v>
      </c>
      <c r="BM407" s="3">
        <f t="shared" si="27"/>
        <v>468.93001354483431</v>
      </c>
      <c r="BN407" s="3">
        <f t="shared" si="27"/>
        <v>800.40736801565788</v>
      </c>
      <c r="BO407" s="3">
        <f t="shared" si="27"/>
        <v>1207.9195797340878</v>
      </c>
      <c r="BP407" s="3">
        <f t="shared" si="27"/>
        <v>1695.8020970181369</v>
      </c>
      <c r="BQ407" s="3">
        <f t="shared" si="26"/>
        <v>2261.5003359762636</v>
      </c>
      <c r="BR407" s="3">
        <f t="shared" si="26"/>
        <v>2894.2208829823239</v>
      </c>
      <c r="BS407" s="3">
        <f t="shared" si="26"/>
        <v>3575.0666099964874</v>
      </c>
      <c r="BT407" s="3">
        <f t="shared" si="26"/>
        <v>4276.7137598383206</v>
      </c>
      <c r="BU407" s="3">
        <f t="shared" si="26"/>
        <v>4965.8344573211953</v>
      </c>
      <c r="BV407">
        <f>VLOOKUP($H407,'1. Set Program Names'!$B$2:$D$15,3,0)*V407</f>
        <v>50.673829765336365</v>
      </c>
      <c r="BW407">
        <f>VLOOKUP($H407,'1. Set Program Names'!$B$2:$D$15,3,0)*W407</f>
        <v>115.88253785850718</v>
      </c>
      <c r="BX407">
        <f>VLOOKUP($H407,'1. Set Program Names'!$B$2:$D$15,3,0)*X407</f>
        <v>197.79761253740787</v>
      </c>
      <c r="BY407">
        <f>VLOOKUP($H407,'1. Set Program Names'!$B$2:$D$15,3,0)*Y407</f>
        <v>298.50251079137712</v>
      </c>
      <c r="BZ407">
        <f>VLOOKUP($H407,'1. Set Program Names'!$B$2:$D$15,3,0)*Z407</f>
        <v>419.06861372065163</v>
      </c>
      <c r="CA407">
        <f>VLOOKUP($H407,'1. Set Program Names'!$B$2:$D$15,3,0)*AA407</f>
        <v>558.86462954186618</v>
      </c>
      <c r="CB407">
        <f>VLOOKUP($H407,'1. Set Program Names'!$B$2:$D$15,3,0)*AB407</f>
        <v>715.22327715330744</v>
      </c>
      <c r="CC407">
        <f>VLOOKUP($H407,'1. Set Program Names'!$B$2:$D$15,3,0)*AC407</f>
        <v>883.47467599233312</v>
      </c>
      <c r="CD407">
        <f>VLOOKUP($H407,'1. Set Program Names'!$B$2:$D$15,3,0)*AD407</f>
        <v>1056.8665469673097</v>
      </c>
      <c r="CE407">
        <f>VLOOKUP($H407,'1. Set Program Names'!$B$2:$D$15,3,0)*AE407</f>
        <v>1227.1628662655091</v>
      </c>
    </row>
    <row r="408" spans="1:83" x14ac:dyDescent="0.25">
      <c r="A408" s="20" t="s">
        <v>113</v>
      </c>
      <c r="B408" s="20" t="s">
        <v>88</v>
      </c>
      <c r="C408" s="20" t="s">
        <v>122</v>
      </c>
      <c r="D408" s="20" t="s">
        <v>90</v>
      </c>
      <c r="E408" s="20" t="s">
        <v>91</v>
      </c>
      <c r="F408" s="20" t="s">
        <v>90</v>
      </c>
      <c r="G408" s="20" t="s">
        <v>92</v>
      </c>
      <c r="H408" s="20" t="s">
        <v>18</v>
      </c>
      <c r="I408" s="20" t="s">
        <v>172</v>
      </c>
      <c r="J408" s="20" t="s">
        <v>144</v>
      </c>
      <c r="K408" s="20" t="s">
        <v>102</v>
      </c>
      <c r="L408" s="20">
        <v>18085.229999999901</v>
      </c>
      <c r="M408" s="20">
        <v>0.84213537152598805</v>
      </c>
      <c r="N408" s="20">
        <v>1.2419142635526399</v>
      </c>
      <c r="O408" s="20">
        <v>5343.87</v>
      </c>
      <c r="P408" s="20">
        <v>2505.3610009054501</v>
      </c>
      <c r="Q408" s="20">
        <v>572.36490674214201</v>
      </c>
      <c r="R408" s="20">
        <v>7297.3054636159204</v>
      </c>
      <c r="S408" s="20">
        <v>27879.9715993795</v>
      </c>
      <c r="T408" s="20">
        <v>30</v>
      </c>
      <c r="U408" s="20">
        <v>1</v>
      </c>
      <c r="V408" s="20">
        <v>33528.579471105601</v>
      </c>
      <c r="W408" s="20">
        <v>79698.866474951399</v>
      </c>
      <c r="X408" s="20">
        <v>141334.218417645</v>
      </c>
      <c r="Y408" s="20">
        <v>221138.23995527299</v>
      </c>
      <c r="Z408" s="20">
        <v>320378.84186527698</v>
      </c>
      <c r="AA408" s="20">
        <v>437217.63199726801</v>
      </c>
      <c r="AB408" s="20">
        <v>565834.17146827898</v>
      </c>
      <c r="AC408" s="20">
        <v>696566.926371173</v>
      </c>
      <c r="AD408" s="20">
        <v>817707.38233721105</v>
      </c>
      <c r="AE408" s="20">
        <v>919512.33693033399</v>
      </c>
      <c r="AF408" t="str">
        <f t="shared" si="28"/>
        <v>NonResidential</v>
      </c>
      <c r="AG408" t="str">
        <f>tbl_Data_old[[#This Row],[All_Meas_Name_Append]]</f>
        <v>Drain water heat recovery</v>
      </c>
      <c r="AH408">
        <f>AVERAGEIFS('3. Incentive Adjustment'!G:G,'3. Incentive Adjustment'!A:A,tbl_Data_old[[#This Row],[Trimmed Sector]],'3. Incentive Adjustment'!B:B,tbl_Data_old[[#This Row],[Trimmed Measure Name]])</f>
        <v>0.69383814414313949</v>
      </c>
      <c r="AI408">
        <f>$AH408*tbl_Data_old[[#This Row],[2025 ]]</f>
        <v>23263.407355987674</v>
      </c>
      <c r="AJ408">
        <f>$AH408*tbl_Data_old[[#This Row],[2026 ]]</f>
        <v>55298.113605292157</v>
      </c>
      <c r="AK408">
        <f>$AH408*tbl_Data_old[[#This Row],[2027 ]]</f>
        <v>98063.071810819922</v>
      </c>
      <c r="AL408">
        <f>$AH408*tbl_Data_old[[#This Row],[2028 ]]</f>
        <v>153434.14600964688</v>
      </c>
      <c r="AM408">
        <f>$AH408*tbl_Data_old[[#This Row],[2029 ]]</f>
        <v>222291.06106253213</v>
      </c>
      <c r="AN408">
        <f>$AH408*tbl_Data_old[[#This Row],[2030 ]]</f>
        <v>303358.27037164255</v>
      </c>
      <c r="AO408">
        <f>$AH408*tbl_Data_old[[#This Row],[2031 ]]</f>
        <v>392597.33142432163</v>
      </c>
      <c r="AP408">
        <f>$AH408*tbl_Data_old[[#This Row],[2032 ]]</f>
        <v>483304.70346486557</v>
      </c>
      <c r="AQ408">
        <f>$AH408*tbl_Data_old[[#This Row],[2033 ]]</f>
        <v>567356.57261299517</v>
      </c>
      <c r="AR408">
        <f>$AH408*tbl_Data_old[[#This Row],[2034 ]]</f>
        <v>637992.73337246408</v>
      </c>
      <c r="AS408">
        <f>SUM(tbl_Data_old[[#This Row],[Adjusted 2025]:[Adjusted 2034]])</f>
        <v>2936959.4110905677</v>
      </c>
      <c r="AT408" s="3">
        <f>AVERAGEIFS('3. Incentive Adjustment'!F:F,'3. Incentive Adjustment'!A:A,tbl_Data_old[[#This Row],[Trimmed Sector]],'3. Incentive Adjustment'!B:B,tbl_Data_old[[#This Row],[Trimmed Measure Name]])</f>
        <v>0</v>
      </c>
      <c r="AU408" s="3">
        <f>IFERROR(VLOOKUP(tbl_Data_old[[#This Row],[All_Meas_Name_Append]],'IRA Tax Credits'!$A$3:$D$46,4,0),0)</f>
        <v>0</v>
      </c>
      <c r="AV408" s="4">
        <f>tbl_Data_old[[#This Row],[Adj. per unit Incentive ($)]]/tbl_Data_old[[#This Row],[kWh Savings]]*tbl_Data_old[[#This Row],[Sum of Annuals]]</f>
        <v>0</v>
      </c>
      <c r="AW408" s="4">
        <f>IFERROR(VLOOKUP(tbl_Data_old[[#This Row],[All_Programs]],'1. Set Program Names'!$B$2:$D$15,3,0)*tbl_Data_old[[#This Row],[Sum of Annuals]],"")</f>
        <v>92949.467572948546</v>
      </c>
      <c r="AX408" s="4">
        <f>tbl_Data_old[[#This Row],[per unit IRA tax ($)]]/tbl_Data_old[[#This Row],[kWh Savings]]*tbl_Data_old[[#This Row],[Sum of Annuals]]</f>
        <v>0</v>
      </c>
      <c r="AY408" s="4">
        <f>tbl_Data_old[[#This Row],[Avoided Costs ($/unit)]]/tbl_Data_old[[#This Row],[kWh Savings]]*tbl_Data_old[[#This Row],[Sum of Annuals]]</f>
        <v>1185049.3445186769</v>
      </c>
      <c r="AZ408" s="4">
        <f>tbl_Data_old[[#This Row],[Lost Revenue ($/unit)]]/tbl_Data_old[[#This Row],[kWh Savings]]*tbl_Data_old[[#This Row],[Sum of Annuals]]</f>
        <v>4527581.0686253821</v>
      </c>
      <c r="BA408" s="4">
        <f>tbl_Data_old[[#This Row],[Incremental Cost ($/unit)]]/tbl_Data_old[[#This Row],[kWh Savings]]*tbl_Data_old[[#This Row],[Sum of Annuals]]</f>
        <v>867820.27589058236</v>
      </c>
      <c r="BB408">
        <f>ROUNDUP(tbl_Data_old[[#This Row],[Adjusted 2025]]/$L408,0)</f>
        <v>2</v>
      </c>
      <c r="BC408">
        <f>ROUNDUP(tbl_Data_old[[#This Row],[Adjusted 2026]]/$L408,0)</f>
        <v>4</v>
      </c>
      <c r="BD408">
        <f>ROUNDUP(tbl_Data_old[[#This Row],[Adjusted 2027]]/$L408,0)</f>
        <v>6</v>
      </c>
      <c r="BE408">
        <f>ROUNDUP(tbl_Data_old[[#This Row],[Adjusted 2028]]/$L408,0)</f>
        <v>9</v>
      </c>
      <c r="BF408">
        <f>ROUNDUP(tbl_Data_old[[#This Row],[Adjusted 2029]]/$L408,0)</f>
        <v>13</v>
      </c>
      <c r="BG408">
        <f>ROUNDUP(tbl_Data_old[[#This Row],[Adjusted 2030]]/$L408,0)</f>
        <v>17</v>
      </c>
      <c r="BH408">
        <f>ROUNDUP(tbl_Data_old[[#This Row],[Adjusted 2031]]/$L408,0)</f>
        <v>22</v>
      </c>
      <c r="BI408">
        <f>ROUNDUP(tbl_Data_old[[#This Row],[Adjusted 2032]]/$L408,0)</f>
        <v>27</v>
      </c>
      <c r="BJ408">
        <f>ROUNDUP(tbl_Data_old[[#This Row],[Adjusted 2033]]/$L408,0)</f>
        <v>32</v>
      </c>
      <c r="BK408">
        <f>ROUNDUP(tbl_Data_old[[#This Row],[Adjusted 2034]]/$L408,0)</f>
        <v>36</v>
      </c>
      <c r="BL408" s="3">
        <f t="shared" si="27"/>
        <v>0</v>
      </c>
      <c r="BM408" s="3">
        <f t="shared" si="27"/>
        <v>0</v>
      </c>
      <c r="BN408" s="3">
        <f t="shared" si="27"/>
        <v>0</v>
      </c>
      <c r="BO408" s="3">
        <f t="shared" si="27"/>
        <v>0</v>
      </c>
      <c r="BP408" s="3">
        <f t="shared" si="27"/>
        <v>0</v>
      </c>
      <c r="BQ408" s="3">
        <f t="shared" si="26"/>
        <v>0</v>
      </c>
      <c r="BR408" s="3">
        <f t="shared" si="26"/>
        <v>0</v>
      </c>
      <c r="BS408" s="3">
        <f t="shared" si="26"/>
        <v>0</v>
      </c>
      <c r="BT408" s="3">
        <f t="shared" si="26"/>
        <v>0</v>
      </c>
      <c r="BU408" s="3">
        <f t="shared" si="26"/>
        <v>0</v>
      </c>
      <c r="BV408">
        <f>VLOOKUP($H408,'1. Set Program Names'!$B$2:$D$15,3,0)*V408</f>
        <v>1061.1190602594456</v>
      </c>
      <c r="BW408">
        <f>VLOOKUP($H408,'1. Set Program Names'!$B$2:$D$15,3,0)*W408</f>
        <v>2522.3253603846997</v>
      </c>
      <c r="BX408">
        <f>VLOOKUP($H408,'1. Set Program Names'!$B$2:$D$15,3,0)*X408</f>
        <v>4472.97306941019</v>
      </c>
      <c r="BY408">
        <f>VLOOKUP($H408,'1. Set Program Names'!$B$2:$D$15,3,0)*Y408</f>
        <v>6998.6263978462966</v>
      </c>
      <c r="BZ408">
        <f>VLOOKUP($H408,'1. Set Program Names'!$B$2:$D$15,3,0)*Z408</f>
        <v>10139.412434698121</v>
      </c>
      <c r="CA408">
        <f>VLOOKUP($H408,'1. Set Program Names'!$B$2:$D$15,3,0)*AA408</f>
        <v>13837.149384560635</v>
      </c>
      <c r="CB408">
        <f>VLOOKUP($H408,'1. Set Program Names'!$B$2:$D$15,3,0)*AB408</f>
        <v>17907.630855895117</v>
      </c>
      <c r="CC408">
        <f>VLOOKUP($H408,'1. Set Program Names'!$B$2:$D$15,3,0)*AC408</f>
        <v>22045.086728346756</v>
      </c>
      <c r="CD408">
        <f>VLOOKUP($H408,'1. Set Program Names'!$B$2:$D$15,3,0)*AD408</f>
        <v>25878.963642364561</v>
      </c>
      <c r="CE408">
        <f>VLOOKUP($H408,'1. Set Program Names'!$B$2:$D$15,3,0)*AE408</f>
        <v>29100.906815969822</v>
      </c>
    </row>
    <row r="409" spans="1:83" x14ac:dyDescent="0.25">
      <c r="A409" s="20" t="s">
        <v>113</v>
      </c>
      <c r="B409" s="20" t="s">
        <v>88</v>
      </c>
      <c r="C409" s="20" t="s">
        <v>122</v>
      </c>
      <c r="D409" s="20" t="s">
        <v>90</v>
      </c>
      <c r="E409" s="20" t="s">
        <v>91</v>
      </c>
      <c r="F409" s="20" t="s">
        <v>90</v>
      </c>
      <c r="G409" s="20" t="s">
        <v>92</v>
      </c>
      <c r="H409" s="20" t="s">
        <v>18</v>
      </c>
      <c r="I409" s="20" t="s">
        <v>133</v>
      </c>
      <c r="J409" s="20" t="s">
        <v>134</v>
      </c>
      <c r="K409" s="20" t="s">
        <v>98</v>
      </c>
      <c r="L409" s="20">
        <v>4486</v>
      </c>
      <c r="M409" s="20">
        <v>0.89185722946849999</v>
      </c>
      <c r="N409" s="20">
        <v>0.84310494165890204</v>
      </c>
      <c r="O409" s="20">
        <v>2050</v>
      </c>
      <c r="P409" s="20">
        <v>1127.1986160539</v>
      </c>
      <c r="Q409" s="20">
        <v>141.97380799941499</v>
      </c>
      <c r="R409" s="20">
        <v>2297.8137992477</v>
      </c>
      <c r="S409" s="20">
        <v>5757.3247860621796</v>
      </c>
      <c r="T409" s="20">
        <v>20</v>
      </c>
      <c r="U409" s="20">
        <v>1</v>
      </c>
      <c r="V409" s="20">
        <v>50633.576019914697</v>
      </c>
      <c r="W409" s="20">
        <v>116112.652201583</v>
      </c>
      <c r="X409" s="20">
        <v>198942.86353382401</v>
      </c>
      <c r="Y409" s="20">
        <v>301690.380718017</v>
      </c>
      <c r="Z409" s="20">
        <v>426051.38058181101</v>
      </c>
      <c r="AA409" s="20">
        <v>572112.79153585597</v>
      </c>
      <c r="AB409" s="20">
        <v>737886.72387861705</v>
      </c>
      <c r="AC409" s="20">
        <v>919179.29940856597</v>
      </c>
      <c r="AD409" s="20">
        <v>1109302.3116311</v>
      </c>
      <c r="AE409" s="20">
        <v>1299501.6455149399</v>
      </c>
      <c r="AF409" t="str">
        <f t="shared" si="28"/>
        <v>NonResidential</v>
      </c>
      <c r="AG409" t="str">
        <f>tbl_Data_old[[#This Row],[All_Meas_Name_Append]]</f>
        <v>Efficient Exhaust Hood</v>
      </c>
      <c r="AH409">
        <f>AVERAGEIFS('3. Incentive Adjustment'!G:G,'3. Incentive Adjustment'!A:A,tbl_Data_old[[#This Row],[Trimmed Sector]],'3. Incentive Adjustment'!B:B,tbl_Data_old[[#This Row],[Trimmed Measure Name]])</f>
        <v>0.51531219842413434</v>
      </c>
      <c r="AI409">
        <f>$AH409*tbl_Data_old[[#This Row],[2025 ]]</f>
        <v>26092.099372897774</v>
      </c>
      <c r="AJ409">
        <f>$AH409*tbl_Data_old[[#This Row],[2026 ]]</f>
        <v>59834.266070854639</v>
      </c>
      <c r="AK409">
        <f>$AH409*tbl_Data_old[[#This Row],[2027 ]]</f>
        <v>102517.6843684074</v>
      </c>
      <c r="AL409">
        <f>$AH409*tbl_Data_old[[#This Row],[2028 ]]</f>
        <v>155464.73333121539</v>
      </c>
      <c r="AM409">
        <f>$AH409*tbl_Data_old[[#This Row],[2029 ]]</f>
        <v>219549.47356925058</v>
      </c>
      <c r="AN409">
        <f>$AH409*tbl_Data_old[[#This Row],[2030 ]]</f>
        <v>294816.70035291044</v>
      </c>
      <c r="AO409">
        <f>$AH409*tbl_Data_old[[#This Row],[2031 ]]</f>
        <v>380242.02986987232</v>
      </c>
      <c r="AP409">
        <f>$AH409*tbl_Data_old[[#This Row],[2032 ]]</f>
        <v>473664.30552418373</v>
      </c>
      <c r="AQ409">
        <f>$AH409*tbl_Data_old[[#This Row],[2033 ]]</f>
        <v>571637.01292359631</v>
      </c>
      <c r="AR409">
        <f>$AH409*tbl_Data_old[[#This Row],[2034 ]]</f>
        <v>669649.04980608379</v>
      </c>
      <c r="AS409">
        <f>SUM(tbl_Data_old[[#This Row],[Adjusted 2025]:[Adjusted 2034]])</f>
        <v>2953467.3551892722</v>
      </c>
      <c r="AT409" s="3">
        <f>AVERAGEIFS('3. Incentive Adjustment'!F:F,'3. Incentive Adjustment'!A:A,tbl_Data_old[[#This Row],[Trimmed Sector]],'3. Incentive Adjustment'!B:B,tbl_Data_old[[#This Row],[Trimmed Measure Name]])</f>
        <v>0</v>
      </c>
      <c r="AU409" s="3">
        <f>IFERROR(VLOOKUP(tbl_Data_old[[#This Row],[All_Meas_Name_Append]],'IRA Tax Credits'!$A$3:$D$46,4,0),0)</f>
        <v>0</v>
      </c>
      <c r="AV409" s="4">
        <f>tbl_Data_old[[#This Row],[Adj. per unit Incentive ($)]]/tbl_Data_old[[#This Row],[kWh Savings]]*tbl_Data_old[[#This Row],[Sum of Annuals]]</f>
        <v>0</v>
      </c>
      <c r="AW409" s="4">
        <f>IFERROR(VLOOKUP(tbl_Data_old[[#This Row],[All_Programs]],'1. Set Program Names'!$B$2:$D$15,3,0)*tbl_Data_old[[#This Row],[Sum of Annuals]],"")</f>
        <v>93471.91422607706</v>
      </c>
      <c r="AX409" s="4">
        <f>tbl_Data_old[[#This Row],[per unit IRA tax ($)]]/tbl_Data_old[[#This Row],[kWh Savings]]*tbl_Data_old[[#This Row],[Sum of Annuals]]</f>
        <v>0</v>
      </c>
      <c r="AY409" s="4">
        <f>tbl_Data_old[[#This Row],[Avoided Costs ($/unit)]]/tbl_Data_old[[#This Row],[kWh Savings]]*tbl_Data_old[[#This Row],[Sum of Annuals]]</f>
        <v>1512821.6773030581</v>
      </c>
      <c r="AZ409" s="4">
        <f>tbl_Data_old[[#This Row],[Lost Revenue ($/unit)]]/tbl_Data_old[[#This Row],[kWh Savings]]*tbl_Data_old[[#This Row],[Sum of Annuals]]</f>
        <v>3790474.9908285127</v>
      </c>
      <c r="BA409" s="4">
        <f>tbl_Data_old[[#This Row],[Incremental Cost ($/unit)]]/tbl_Data_old[[#This Row],[kWh Savings]]*tbl_Data_old[[#This Row],[Sum of Annuals]]</f>
        <v>1349667.4271373178</v>
      </c>
      <c r="BB409">
        <f>ROUNDUP(tbl_Data_old[[#This Row],[Adjusted 2025]]/$L409,0)</f>
        <v>6</v>
      </c>
      <c r="BC409">
        <f>ROUNDUP(tbl_Data_old[[#This Row],[Adjusted 2026]]/$L409,0)</f>
        <v>14</v>
      </c>
      <c r="BD409">
        <f>ROUNDUP(tbl_Data_old[[#This Row],[Adjusted 2027]]/$L409,0)</f>
        <v>23</v>
      </c>
      <c r="BE409">
        <f>ROUNDUP(tbl_Data_old[[#This Row],[Adjusted 2028]]/$L409,0)</f>
        <v>35</v>
      </c>
      <c r="BF409">
        <f>ROUNDUP(tbl_Data_old[[#This Row],[Adjusted 2029]]/$L409,0)</f>
        <v>49</v>
      </c>
      <c r="BG409">
        <f>ROUNDUP(tbl_Data_old[[#This Row],[Adjusted 2030]]/$L409,0)</f>
        <v>66</v>
      </c>
      <c r="BH409">
        <f>ROUNDUP(tbl_Data_old[[#This Row],[Adjusted 2031]]/$L409,0)</f>
        <v>85</v>
      </c>
      <c r="BI409">
        <f>ROUNDUP(tbl_Data_old[[#This Row],[Adjusted 2032]]/$L409,0)</f>
        <v>106</v>
      </c>
      <c r="BJ409">
        <f>ROUNDUP(tbl_Data_old[[#This Row],[Adjusted 2033]]/$L409,0)</f>
        <v>128</v>
      </c>
      <c r="BK409">
        <f>ROUNDUP(tbl_Data_old[[#This Row],[Adjusted 2034]]/$L409,0)</f>
        <v>150</v>
      </c>
      <c r="BL409" s="3">
        <f t="shared" si="27"/>
        <v>0</v>
      </c>
      <c r="BM409" s="3">
        <f t="shared" si="27"/>
        <v>0</v>
      </c>
      <c r="BN409" s="3">
        <f t="shared" si="27"/>
        <v>0</v>
      </c>
      <c r="BO409" s="3">
        <f t="shared" si="27"/>
        <v>0</v>
      </c>
      <c r="BP409" s="3">
        <f t="shared" si="27"/>
        <v>0</v>
      </c>
      <c r="BQ409" s="3">
        <f t="shared" si="26"/>
        <v>0</v>
      </c>
      <c r="BR409" s="3">
        <f t="shared" si="26"/>
        <v>0</v>
      </c>
      <c r="BS409" s="3">
        <f t="shared" si="26"/>
        <v>0</v>
      </c>
      <c r="BT409" s="3">
        <f t="shared" si="26"/>
        <v>0</v>
      </c>
      <c r="BU409" s="3">
        <f t="shared" si="26"/>
        <v>0</v>
      </c>
      <c r="BV409">
        <f>VLOOKUP($H409,'1. Set Program Names'!$B$2:$D$15,3,0)*V409</f>
        <v>1602.4613464501008</v>
      </c>
      <c r="BW409">
        <f>VLOOKUP($H409,'1. Set Program Names'!$B$2:$D$15,3,0)*W409</f>
        <v>3674.7559941975915</v>
      </c>
      <c r="BX409">
        <f>VLOOKUP($H409,'1. Set Program Names'!$B$2:$D$15,3,0)*X409</f>
        <v>6296.1827708883075</v>
      </c>
      <c r="BY409">
        <f>VLOOKUP($H409,'1. Set Program Names'!$B$2:$D$15,3,0)*Y409</f>
        <v>9547.9563502742203</v>
      </c>
      <c r="BZ409">
        <f>VLOOKUP($H409,'1. Set Program Names'!$B$2:$D$15,3,0)*Z409</f>
        <v>13483.757669328515</v>
      </c>
      <c r="CA409">
        <f>VLOOKUP($H409,'1. Set Program Names'!$B$2:$D$15,3,0)*AA409</f>
        <v>18106.337855443813</v>
      </c>
      <c r="CB409">
        <f>VLOOKUP($H409,'1. Set Program Names'!$B$2:$D$15,3,0)*AB409</f>
        <v>23352.783785390129</v>
      </c>
      <c r="CC409">
        <f>VLOOKUP($H409,'1. Set Program Names'!$B$2:$D$15,3,0)*AC409</f>
        <v>29090.366779150361</v>
      </c>
      <c r="CD409">
        <f>VLOOKUP($H409,'1. Set Program Names'!$B$2:$D$15,3,0)*AD409</f>
        <v>35107.417165586492</v>
      </c>
      <c r="CE409">
        <f>VLOOKUP($H409,'1. Set Program Names'!$B$2:$D$15,3,0)*AE409</f>
        <v>41126.882994931322</v>
      </c>
    </row>
    <row r="410" spans="1:83" x14ac:dyDescent="0.25">
      <c r="A410" s="20" t="s">
        <v>113</v>
      </c>
      <c r="B410" s="20" t="s">
        <v>88</v>
      </c>
      <c r="C410" s="20" t="s">
        <v>122</v>
      </c>
      <c r="D410" s="20" t="s">
        <v>90</v>
      </c>
      <c r="E410" s="20" t="s">
        <v>91</v>
      </c>
      <c r="F410" s="20" t="s">
        <v>90</v>
      </c>
      <c r="G410" s="20" t="s">
        <v>92</v>
      </c>
      <c r="H410" s="20" t="s">
        <v>18</v>
      </c>
      <c r="I410" s="20" t="s">
        <v>173</v>
      </c>
      <c r="J410" s="20" t="s">
        <v>129</v>
      </c>
      <c r="K410" s="20" t="s">
        <v>130</v>
      </c>
      <c r="L410" s="20">
        <v>142641.03499999901</v>
      </c>
      <c r="M410" s="20">
        <v>27.8398087391258</v>
      </c>
      <c r="N410" s="20">
        <v>0</v>
      </c>
      <c r="O410" s="20">
        <v>59303.302436563899</v>
      </c>
      <c r="P410" s="20">
        <v>29333.7078862829</v>
      </c>
      <c r="Q410" s="20">
        <v>4514.3314569611503</v>
      </c>
      <c r="R410" s="20">
        <v>66617.989682832806</v>
      </c>
      <c r="S410" s="20">
        <v>154925.29091738301</v>
      </c>
      <c r="T410" s="20">
        <v>15</v>
      </c>
      <c r="U410" s="20">
        <v>1</v>
      </c>
      <c r="V410" s="20">
        <v>52.448398681454201</v>
      </c>
      <c r="W410" s="20">
        <v>123.450720341467</v>
      </c>
      <c r="X410" s="20">
        <v>217.00643607491</v>
      </c>
      <c r="Y410" s="20">
        <v>336.27208517334498</v>
      </c>
      <c r="Z410" s="20">
        <v>482.026145526113</v>
      </c>
      <c r="AA410" s="20">
        <v>652.24247442492697</v>
      </c>
      <c r="AB410" s="20">
        <v>840.354169870379</v>
      </c>
      <c r="AC410" s="20">
        <v>1036.42685729901</v>
      </c>
      <c r="AD410" s="20">
        <v>1229.61717702583</v>
      </c>
      <c r="AE410" s="20">
        <v>1409.4536593687701</v>
      </c>
      <c r="AF410" t="str">
        <f t="shared" si="28"/>
        <v>NonResidential</v>
      </c>
      <c r="AG410" t="str">
        <f>tbl_Data_old[[#This Row],[All_Meas_Name_Append]]</f>
        <v>Facility Energy Management System_SC</v>
      </c>
      <c r="AH410">
        <f>AVERAGEIFS('3. Incentive Adjustment'!G:G,'3. Incentive Adjustment'!A:A,tbl_Data_old[[#This Row],[Trimmed Sector]],'3. Incentive Adjustment'!B:B,tbl_Data_old[[#This Row],[Trimmed Measure Name]])</f>
        <v>0.86797534995247072</v>
      </c>
      <c r="AI410">
        <f>$AH410*tbl_Data_old[[#This Row],[2025 ]]</f>
        <v>45.523917199981916</v>
      </c>
      <c r="AJ410">
        <f>$AH410*tbl_Data_old[[#This Row],[2026 ]]</f>
        <v>107.15218219026941</v>
      </c>
      <c r="AK410">
        <f>$AH410*tbl_Data_old[[#This Row],[2027 ]]</f>
        <v>188.35623729405847</v>
      </c>
      <c r="AL410">
        <f>$AH410*tbl_Data_old[[#This Row],[2028 ]]</f>
        <v>291.87588080758115</v>
      </c>
      <c r="AM410">
        <f>$AH410*tbl_Data_old[[#This Row],[2029 ]]</f>
        <v>418.3868123492685</v>
      </c>
      <c r="AN410">
        <f>$AH410*tbl_Data_old[[#This Row],[2030 ]]</f>
        <v>566.1303899928414</v>
      </c>
      <c r="AO410">
        <f>$AH410*tbl_Data_old[[#This Row],[2031 ]]</f>
        <v>729.40670467726022</v>
      </c>
      <c r="AP410">
        <f>$AH410*tbl_Data_old[[#This Row],[2032 ]]</f>
        <v>899.59296416424763</v>
      </c>
      <c r="AQ410">
        <f>$AH410*tbl_Data_old[[#This Row],[2033 ]]</f>
        <v>1067.277399536564</v>
      </c>
      <c r="AR410">
        <f>$AH410*tbl_Data_old[[#This Row],[2034 ]]</f>
        <v>1223.3710332323988</v>
      </c>
      <c r="AS410">
        <f>SUM(tbl_Data_old[[#This Row],[Adjusted 2025]:[Adjusted 2034]])</f>
        <v>5537.0735214444721</v>
      </c>
      <c r="AT410" s="3">
        <f>AVERAGEIFS('3. Incentive Adjustment'!F:F,'3. Incentive Adjustment'!A:A,tbl_Data_old[[#This Row],[Trimmed Sector]],'3. Incentive Adjustment'!B:B,tbl_Data_old[[#This Row],[Trimmed Measure Name]])</f>
        <v>21679.111511953593</v>
      </c>
      <c r="AU410" s="3">
        <f>IFERROR(VLOOKUP(tbl_Data_old[[#This Row],[All_Meas_Name_Append]],'IRA Tax Credits'!$A$3:$D$46,4,0),0)</f>
        <v>0</v>
      </c>
      <c r="AV410" s="4">
        <f>tbl_Data_old[[#This Row],[Adj. per unit Incentive ($)]]/tbl_Data_old[[#This Row],[kWh Savings]]*tbl_Data_old[[#This Row],[Sum of Annuals]]</f>
        <v>841.54489149129563</v>
      </c>
      <c r="AW410" s="4">
        <f>IFERROR(VLOOKUP(tbl_Data_old[[#This Row],[All_Programs]],'1. Set Program Names'!$B$2:$D$15,3,0)*tbl_Data_old[[#This Row],[Sum of Annuals]],"")</f>
        <v>175.23838899068258</v>
      </c>
      <c r="AX410" s="4">
        <f>tbl_Data_old[[#This Row],[per unit IRA tax ($)]]/tbl_Data_old[[#This Row],[kWh Savings]]*tbl_Data_old[[#This Row],[Sum of Annuals]]</f>
        <v>0</v>
      </c>
      <c r="AY410" s="4">
        <f>tbl_Data_old[[#This Row],[Avoided Costs ($/unit)]]/tbl_Data_old[[#This Row],[kWh Savings]]*tbl_Data_old[[#This Row],[Sum of Annuals]]</f>
        <v>2585.9929207936348</v>
      </c>
      <c r="AZ410" s="4">
        <f>tbl_Data_old[[#This Row],[Lost Revenue ($/unit)]]/tbl_Data_old[[#This Row],[kWh Savings]]*tbl_Data_old[[#This Row],[Sum of Annuals]]</f>
        <v>6013.9266806408768</v>
      </c>
      <c r="BA410" s="4">
        <f>tbl_Data_old[[#This Row],[Incremental Cost ($/unit)]]/tbl_Data_old[[#This Row],[kWh Savings]]*tbl_Data_old[[#This Row],[Sum of Annuals]]</f>
        <v>2302.049656718445</v>
      </c>
      <c r="BB410">
        <f>ROUNDUP(tbl_Data_old[[#This Row],[Adjusted 2025]]/$L410,0)</f>
        <v>1</v>
      </c>
      <c r="BC410">
        <f>ROUNDUP(tbl_Data_old[[#This Row],[Adjusted 2026]]/$L410,0)</f>
        <v>1</v>
      </c>
      <c r="BD410">
        <f>ROUNDUP(tbl_Data_old[[#This Row],[Adjusted 2027]]/$L410,0)</f>
        <v>1</v>
      </c>
      <c r="BE410">
        <f>ROUNDUP(tbl_Data_old[[#This Row],[Adjusted 2028]]/$L410,0)</f>
        <v>1</v>
      </c>
      <c r="BF410">
        <f>ROUNDUP(tbl_Data_old[[#This Row],[Adjusted 2029]]/$L410,0)</f>
        <v>1</v>
      </c>
      <c r="BG410">
        <f>ROUNDUP(tbl_Data_old[[#This Row],[Adjusted 2030]]/$L410,0)</f>
        <v>1</v>
      </c>
      <c r="BH410">
        <f>ROUNDUP(tbl_Data_old[[#This Row],[Adjusted 2031]]/$L410,0)</f>
        <v>1</v>
      </c>
      <c r="BI410">
        <f>ROUNDUP(tbl_Data_old[[#This Row],[Adjusted 2032]]/$L410,0)</f>
        <v>1</v>
      </c>
      <c r="BJ410">
        <f>ROUNDUP(tbl_Data_old[[#This Row],[Adjusted 2033]]/$L410,0)</f>
        <v>1</v>
      </c>
      <c r="BK410">
        <f>ROUNDUP(tbl_Data_old[[#This Row],[Adjusted 2034]]/$L410,0)</f>
        <v>1</v>
      </c>
      <c r="BL410" s="3">
        <f t="shared" si="27"/>
        <v>7.9713014115373824</v>
      </c>
      <c r="BM410" s="3">
        <f t="shared" si="27"/>
        <v>18.76249658812192</v>
      </c>
      <c r="BN410" s="3">
        <f t="shared" si="27"/>
        <v>32.981439923508937</v>
      </c>
      <c r="BO410" s="3">
        <f t="shared" si="27"/>
        <v>51.107873921625377</v>
      </c>
      <c r="BP410" s="3">
        <f t="shared" si="27"/>
        <v>73.260114528318212</v>
      </c>
      <c r="BQ410" s="3">
        <f t="shared" si="26"/>
        <v>99.130221088837644</v>
      </c>
      <c r="BR410" s="3">
        <f t="shared" si="26"/>
        <v>127.72013157472718</v>
      </c>
      <c r="BS410" s="3">
        <f t="shared" si="26"/>
        <v>157.51998303551994</v>
      </c>
      <c r="BT410" s="3">
        <f t="shared" si="26"/>
        <v>186.88176160357173</v>
      </c>
      <c r="BU410" s="3">
        <f t="shared" si="26"/>
        <v>214.21397462789605</v>
      </c>
      <c r="BV410">
        <f>VLOOKUP($H410,'1. Set Program Names'!$B$2:$D$15,3,0)*V410</f>
        <v>1.659897210048495</v>
      </c>
      <c r="BW410">
        <f>VLOOKUP($H410,'1. Set Program Names'!$B$2:$D$15,3,0)*W410</f>
        <v>3.9069926141660525</v>
      </c>
      <c r="BX410">
        <f>VLOOKUP($H410,'1. Set Program Names'!$B$2:$D$15,3,0)*X410</f>
        <v>6.8678622581222903</v>
      </c>
      <c r="BY410">
        <f>VLOOKUP($H410,'1. Set Program Names'!$B$2:$D$15,3,0)*Y410</f>
        <v>10.642404916621356</v>
      </c>
      <c r="BZ410">
        <f>VLOOKUP($H410,'1. Set Program Names'!$B$2:$D$15,3,0)*Z410</f>
        <v>15.25525801061579</v>
      </c>
      <c r="CA410">
        <f>VLOOKUP($H410,'1. Set Program Names'!$B$2:$D$15,3,0)*AA410</f>
        <v>20.642297778213983</v>
      </c>
      <c r="CB410">
        <f>VLOOKUP($H410,'1. Set Program Names'!$B$2:$D$15,3,0)*AB410</f>
        <v>26.595693616737616</v>
      </c>
      <c r="CC410">
        <f>VLOOKUP($H410,'1. Set Program Names'!$B$2:$D$15,3,0)*AC410</f>
        <v>32.801040491218615</v>
      </c>
      <c r="CD410">
        <f>VLOOKUP($H410,'1. Set Program Names'!$B$2:$D$15,3,0)*AD410</f>
        <v>38.915165627250971</v>
      </c>
      <c r="CE410">
        <f>VLOOKUP($H410,'1. Set Program Names'!$B$2:$D$15,3,0)*AE410</f>
        <v>44.606665898193185</v>
      </c>
    </row>
    <row r="411" spans="1:83" x14ac:dyDescent="0.25">
      <c r="A411" s="20" t="s">
        <v>113</v>
      </c>
      <c r="B411" s="20" t="s">
        <v>88</v>
      </c>
      <c r="C411" s="20" t="s">
        <v>122</v>
      </c>
      <c r="D411" s="20" t="s">
        <v>90</v>
      </c>
      <c r="E411" s="20" t="s">
        <v>91</v>
      </c>
      <c r="F411" s="20" t="s">
        <v>90</v>
      </c>
      <c r="G411" s="20" t="s">
        <v>92</v>
      </c>
      <c r="H411" s="20" t="s">
        <v>18</v>
      </c>
      <c r="I411" s="20" t="s">
        <v>174</v>
      </c>
      <c r="J411" s="20" t="s">
        <v>132</v>
      </c>
      <c r="K411" s="20" t="s">
        <v>130</v>
      </c>
      <c r="L411" s="20">
        <v>2657.18</v>
      </c>
      <c r="M411" s="20">
        <v>0</v>
      </c>
      <c r="N411" s="20">
        <v>0.57468805905447795</v>
      </c>
      <c r="O411" s="20">
        <v>1080.72711480357</v>
      </c>
      <c r="P411" s="20">
        <v>534.12671770284101</v>
      </c>
      <c r="Q411" s="20">
        <v>84.094953887624897</v>
      </c>
      <c r="R411" s="20">
        <v>1466.48739383472</v>
      </c>
      <c r="S411" s="20">
        <v>2886.0165275711402</v>
      </c>
      <c r="T411" s="20">
        <v>15</v>
      </c>
      <c r="U411" s="20">
        <v>1</v>
      </c>
      <c r="V411" s="20">
        <v>65.223669153549295</v>
      </c>
      <c r="W411" s="20">
        <v>152.84074846721501</v>
      </c>
      <c r="X411" s="20">
        <v>267.31721557736302</v>
      </c>
      <c r="Y411" s="20">
        <v>411.91093211258902</v>
      </c>
      <c r="Z411" s="20">
        <v>586.87269903363801</v>
      </c>
      <c r="AA411" s="20">
        <v>789.04936031100704</v>
      </c>
      <c r="AB411" s="20">
        <v>1009.95804739313</v>
      </c>
      <c r="AC411" s="20">
        <v>1237.3820502977001</v>
      </c>
      <c r="AD411" s="20">
        <v>1458.3851242319599</v>
      </c>
      <c r="AE411" s="20">
        <v>1660.9363299643701</v>
      </c>
      <c r="AF411" t="str">
        <f t="shared" si="28"/>
        <v>NonResidential</v>
      </c>
      <c r="AG411" t="str">
        <f>tbl_Data_old[[#This Row],[All_Meas_Name_Append]]</f>
        <v>Facility Energy Management System_SH</v>
      </c>
      <c r="AH411">
        <f>AVERAGEIFS('3. Incentive Adjustment'!G:G,'3. Incentive Adjustment'!A:A,tbl_Data_old[[#This Row],[Trimmed Sector]],'3. Incentive Adjustment'!B:B,tbl_Data_old[[#This Row],[Trimmed Measure Name]])</f>
        <v>0.63685031373688805</v>
      </c>
      <c r="AI411">
        <f>$AH411*tbl_Data_old[[#This Row],[2025 ]]</f>
        <v>41.537714163508859</v>
      </c>
      <c r="AJ411">
        <f>$AH411*tbl_Data_old[[#This Row],[2026 ]]</f>
        <v>97.336678613126665</v>
      </c>
      <c r="AK411">
        <f>$AH411*tbl_Data_old[[#This Row],[2027 ]]</f>
        <v>170.24105260771498</v>
      </c>
      <c r="AL411">
        <f>$AH411*tbl_Data_old[[#This Row],[2028 ]]</f>
        <v>262.32560634755629</v>
      </c>
      <c r="AM411">
        <f>$AH411*tbl_Data_old[[#This Row],[2029 ]]</f>
        <v>373.75006250318665</v>
      </c>
      <c r="AN411">
        <f>$AH411*tbl_Data_old[[#This Row],[2030 ]]</f>
        <v>502.50633266795563</v>
      </c>
      <c r="AO411">
        <f>$AH411*tbl_Data_old[[#This Row],[2031 ]]</f>
        <v>643.19209934340972</v>
      </c>
      <c r="AP411">
        <f>$AH411*tbl_Data_old[[#This Row],[2032 ]]</f>
        <v>788.02714694448412</v>
      </c>
      <c r="AQ411">
        <f>$AH411*tbl_Data_old[[#This Row],[2033 ]]</f>
        <v>928.77302391633418</v>
      </c>
      <c r="AR411">
        <f>$AH411*tbl_Data_old[[#This Row],[2034 ]]</f>
        <v>1057.7678228348045</v>
      </c>
      <c r="AS411">
        <f>SUM(tbl_Data_old[[#This Row],[Adjusted 2025]:[Adjusted 2034]])</f>
        <v>4865.4575399420819</v>
      </c>
      <c r="AT411" s="3">
        <f>AVERAGEIFS('3. Incentive Adjustment'!F:F,'3. Incentive Adjustment'!A:A,tbl_Data_old[[#This Row],[Trimmed Sector]],'3. Incentive Adjustment'!B:B,tbl_Data_old[[#This Row],[Trimmed Measure Name]])</f>
        <v>79.715399999999988</v>
      </c>
      <c r="AU411" s="3">
        <f>IFERROR(VLOOKUP(tbl_Data_old[[#This Row],[All_Meas_Name_Append]],'IRA Tax Credits'!$A$3:$D$46,4,0),0)</f>
        <v>0</v>
      </c>
      <c r="AV411" s="4">
        <f>tbl_Data_old[[#This Row],[Adj. per unit Incentive ($)]]/tbl_Data_old[[#This Row],[kWh Savings]]*tbl_Data_old[[#This Row],[Sum of Annuals]]</f>
        <v>145.96372619826246</v>
      </c>
      <c r="AW411" s="4">
        <f>IFERROR(VLOOKUP(tbl_Data_old[[#This Row],[All_Programs]],'1. Set Program Names'!$B$2:$D$15,3,0)*tbl_Data_old[[#This Row],[Sum of Annuals]],"")</f>
        <v>153.98295466006311</v>
      </c>
      <c r="AX411" s="4">
        <f>tbl_Data_old[[#This Row],[per unit IRA tax ($)]]/tbl_Data_old[[#This Row],[kWh Savings]]*tbl_Data_old[[#This Row],[Sum of Annuals]]</f>
        <v>0</v>
      </c>
      <c r="AY411" s="4">
        <f>tbl_Data_old[[#This Row],[Avoided Costs ($/unit)]]/tbl_Data_old[[#This Row],[kWh Savings]]*tbl_Data_old[[#This Row],[Sum of Annuals]]</f>
        <v>2685.2272512826198</v>
      </c>
      <c r="AZ411" s="4">
        <f>tbl_Data_old[[#This Row],[Lost Revenue ($/unit)]]/tbl_Data_old[[#This Row],[kWh Savings]]*tbl_Data_old[[#This Row],[Sum of Annuals]]</f>
        <v>5284.4710838063174</v>
      </c>
      <c r="BA411" s="4">
        <f>tbl_Data_old[[#This Row],[Incremental Cost ($/unit)]]/tbl_Data_old[[#This Row],[kWh Savings]]*tbl_Data_old[[#This Row],[Sum of Annuals]]</f>
        <v>1978.8768127642395</v>
      </c>
      <c r="BB411">
        <f>ROUNDUP(tbl_Data_old[[#This Row],[Adjusted 2025]]/$L411,0)</f>
        <v>1</v>
      </c>
      <c r="BC411">
        <f>ROUNDUP(tbl_Data_old[[#This Row],[Adjusted 2026]]/$L411,0)</f>
        <v>1</v>
      </c>
      <c r="BD411">
        <f>ROUNDUP(tbl_Data_old[[#This Row],[Adjusted 2027]]/$L411,0)</f>
        <v>1</v>
      </c>
      <c r="BE411">
        <f>ROUNDUP(tbl_Data_old[[#This Row],[Adjusted 2028]]/$L411,0)</f>
        <v>1</v>
      </c>
      <c r="BF411">
        <f>ROUNDUP(tbl_Data_old[[#This Row],[Adjusted 2029]]/$L411,0)</f>
        <v>1</v>
      </c>
      <c r="BG411">
        <f>ROUNDUP(tbl_Data_old[[#This Row],[Adjusted 2030]]/$L411,0)</f>
        <v>1</v>
      </c>
      <c r="BH411">
        <f>ROUNDUP(tbl_Data_old[[#This Row],[Adjusted 2031]]/$L411,0)</f>
        <v>1</v>
      </c>
      <c r="BI411">
        <f>ROUNDUP(tbl_Data_old[[#This Row],[Adjusted 2032]]/$L411,0)</f>
        <v>1</v>
      </c>
      <c r="BJ411">
        <f>ROUNDUP(tbl_Data_old[[#This Row],[Adjusted 2033]]/$L411,0)</f>
        <v>1</v>
      </c>
      <c r="BK411">
        <f>ROUNDUP(tbl_Data_old[[#This Row],[Adjusted 2034]]/$L411,0)</f>
        <v>1</v>
      </c>
      <c r="BL411" s="3">
        <f t="shared" si="27"/>
        <v>1.9567100746064787</v>
      </c>
      <c r="BM411" s="3">
        <f t="shared" si="27"/>
        <v>4.5852224540164501</v>
      </c>
      <c r="BN411" s="3">
        <f t="shared" si="27"/>
        <v>8.0195164673208907</v>
      </c>
      <c r="BO411" s="3">
        <f t="shared" si="27"/>
        <v>12.357327963377671</v>
      </c>
      <c r="BP411" s="3">
        <f t="shared" si="27"/>
        <v>17.606180971009138</v>
      </c>
      <c r="BQ411" s="3">
        <f t="shared" si="26"/>
        <v>23.671480809330209</v>
      </c>
      <c r="BR411" s="3">
        <f t="shared" si="26"/>
        <v>30.298741421793899</v>
      </c>
      <c r="BS411" s="3">
        <f t="shared" si="26"/>
        <v>37.121461508930999</v>
      </c>
      <c r="BT411" s="3">
        <f t="shared" si="26"/>
        <v>43.751553726958797</v>
      </c>
      <c r="BU411" s="3">
        <f t="shared" si="26"/>
        <v>49.828089898931104</v>
      </c>
      <c r="BV411">
        <f>VLOOKUP($H411,'1. Set Program Names'!$B$2:$D$15,3,0)*V411</f>
        <v>2.064211476019477</v>
      </c>
      <c r="BW411">
        <f>VLOOKUP($H411,'1. Set Program Names'!$B$2:$D$15,3,0)*W411</f>
        <v>4.8371339896057206</v>
      </c>
      <c r="BX411">
        <f>VLOOKUP($H411,'1. Set Program Names'!$B$2:$D$15,3,0)*X411</f>
        <v>8.4601076770661532</v>
      </c>
      <c r="BY411">
        <f>VLOOKUP($H411,'1. Set Program Names'!$B$2:$D$15,3,0)*Y411</f>
        <v>13.036237982303339</v>
      </c>
      <c r="BZ411">
        <f>VLOOKUP($H411,'1. Set Program Names'!$B$2:$D$15,3,0)*Z411</f>
        <v>18.573462303321485</v>
      </c>
      <c r="CA411">
        <f>VLOOKUP($H411,'1. Set Program Names'!$B$2:$D$15,3,0)*AA411</f>
        <v>24.971988939557765</v>
      </c>
      <c r="CB411">
        <f>VLOOKUP($H411,'1. Set Program Names'!$B$2:$D$15,3,0)*AB411</f>
        <v>31.963350403044203</v>
      </c>
      <c r="CC411">
        <f>VLOOKUP($H411,'1. Set Program Names'!$B$2:$D$15,3,0)*AC411</f>
        <v>39.160909859761063</v>
      </c>
      <c r="CD411">
        <f>VLOOKUP($H411,'1. Set Program Names'!$B$2:$D$15,3,0)*AD411</f>
        <v>46.155258496859396</v>
      </c>
      <c r="CE411">
        <f>VLOOKUP($H411,'1. Set Program Names'!$B$2:$D$15,3,0)*AE411</f>
        <v>52.565638789481596</v>
      </c>
    </row>
    <row r="412" spans="1:83" x14ac:dyDescent="0.25">
      <c r="A412" s="20" t="s">
        <v>113</v>
      </c>
      <c r="B412" s="20" t="s">
        <v>88</v>
      </c>
      <c r="C412" s="20" t="s">
        <v>122</v>
      </c>
      <c r="D412" s="20" t="s">
        <v>90</v>
      </c>
      <c r="E412" s="20" t="s">
        <v>91</v>
      </c>
      <c r="F412" s="20" t="s">
        <v>90</v>
      </c>
      <c r="G412" s="20" t="s">
        <v>92</v>
      </c>
      <c r="H412" s="20" t="s">
        <v>18</v>
      </c>
      <c r="I412" s="20" t="s">
        <v>145</v>
      </c>
      <c r="J412" s="20" t="s">
        <v>129</v>
      </c>
      <c r="K412" s="20" t="s">
        <v>98</v>
      </c>
      <c r="L412" s="20">
        <v>1452.1399999999801</v>
      </c>
      <c r="M412" s="20">
        <v>0.33467704377742202</v>
      </c>
      <c r="N412" s="20">
        <v>4.3977319526113799E-2</v>
      </c>
      <c r="O412" s="20">
        <v>654.99999999999898</v>
      </c>
      <c r="P412" s="20">
        <v>358.56061649158102</v>
      </c>
      <c r="Q412" s="20">
        <v>45.957611580086699</v>
      </c>
      <c r="R412" s="20">
        <v>761.15206993055403</v>
      </c>
      <c r="S412" s="20">
        <v>1577.19839843259</v>
      </c>
      <c r="T412" s="20">
        <v>15</v>
      </c>
      <c r="U412" s="20">
        <v>0.94999999999999896</v>
      </c>
      <c r="V412" s="20">
        <v>9915.04051639934</v>
      </c>
      <c r="W412" s="20">
        <v>21012.473804904901</v>
      </c>
      <c r="X412" s="20">
        <v>33162.131076231701</v>
      </c>
      <c r="Y412" s="20">
        <v>46296.769496446599</v>
      </c>
      <c r="Z412" s="20">
        <v>60342.9925297523</v>
      </c>
      <c r="AA412" s="20">
        <v>75221.7855404453</v>
      </c>
      <c r="AB412" s="20">
        <v>90863.230332330102</v>
      </c>
      <c r="AC412" s="20">
        <v>107237.735594039</v>
      </c>
      <c r="AD412" s="20">
        <v>124334.17820769201</v>
      </c>
      <c r="AE412" s="20">
        <v>142122.02578786801</v>
      </c>
      <c r="AF412" t="str">
        <f t="shared" si="28"/>
        <v>NonResidential</v>
      </c>
      <c r="AG412" t="str">
        <f>tbl_Data_old[[#This Row],[All_Meas_Name_Append]]</f>
        <v>HE DX Less than 5.4 Tons Elect Heat</v>
      </c>
      <c r="AH412">
        <f>AVERAGEIFS('3. Incentive Adjustment'!G:G,'3. Incentive Adjustment'!A:A,tbl_Data_old[[#This Row],[Trimmed Sector]],'3. Incentive Adjustment'!B:B,tbl_Data_old[[#This Row],[Trimmed Measure Name]])</f>
        <v>0.74493198517309978</v>
      </c>
      <c r="AI412">
        <f>$AH412*tbl_Data_old[[#This Row],[2025 ]]</f>
        <v>7386.0308149530765</v>
      </c>
      <c r="AJ412">
        <f>$AH412*tbl_Data_old[[#This Row],[2026 ]]</f>
        <v>15652.863824885566</v>
      </c>
      <c r="AK412">
        <f>$AH412*tbl_Data_old[[#This Row],[2027 ]]</f>
        <v>24703.532135187823</v>
      </c>
      <c r="AL412">
        <f>$AH412*tbl_Data_old[[#This Row],[2028 ]]</f>
        <v>34487.944408089374</v>
      </c>
      <c r="AM412">
        <f>$AH412*tbl_Data_old[[#This Row],[2029 ]]</f>
        <v>44951.425216473908</v>
      </c>
      <c r="AN412">
        <f>$AH412*tbl_Data_old[[#This Row],[2030 ]]</f>
        <v>56035.114030909092</v>
      </c>
      <c r="AO412">
        <f>$AH412*tbl_Data_old[[#This Row],[2031 ]]</f>
        <v>67686.926550703283</v>
      </c>
      <c r="AP412">
        <f>$AH412*tbl_Data_old[[#This Row],[2032 ]]</f>
        <v>79884.819261535449</v>
      </c>
      <c r="AQ412">
        <f>$AH412*tbl_Data_old[[#This Row],[2033 ]]</f>
        <v>92620.506197121969</v>
      </c>
      <c r="AR412">
        <f>$AH412*tbl_Data_old[[#This Row],[2034 ]]</f>
        <v>105871.242806979</v>
      </c>
      <c r="AS412">
        <f>SUM(tbl_Data_old[[#This Row],[Adjusted 2025]:[Adjusted 2034]])</f>
        <v>529280.40524683858</v>
      </c>
      <c r="AT412" s="3">
        <f>AVERAGEIFS('3. Incentive Adjustment'!F:F,'3. Incentive Adjustment'!A:A,tbl_Data_old[[#This Row],[Trimmed Sector]],'3. Incentive Adjustment'!B:B,tbl_Data_old[[#This Row],[Trimmed Measure Name]])</f>
        <v>196.49999999999969</v>
      </c>
      <c r="AU412" s="3">
        <f>IFERROR(VLOOKUP(tbl_Data_old[[#This Row],[All_Meas_Name_Append]],'IRA Tax Credits'!$A$3:$D$46,4,0),0)</f>
        <v>0</v>
      </c>
      <c r="AV412" s="4">
        <f>tbl_Data_old[[#This Row],[Adj. per unit Incentive ($)]]/tbl_Data_old[[#This Row],[kWh Savings]]*tbl_Data_old[[#This Row],[Sum of Annuals]]</f>
        <v>71620.917839192523</v>
      </c>
      <c r="AW412" s="4">
        <f>IFERROR(VLOOKUP(tbl_Data_old[[#This Row],[All_Programs]],'1. Set Program Names'!$B$2:$D$15,3,0)*tbl_Data_old[[#This Row],[Sum of Annuals]],"")</f>
        <v>16750.770091923143</v>
      </c>
      <c r="AX412" s="4">
        <f>tbl_Data_old[[#This Row],[per unit IRA tax ($)]]/tbl_Data_old[[#This Row],[kWh Savings]]*tbl_Data_old[[#This Row],[Sum of Annuals]]</f>
        <v>0</v>
      </c>
      <c r="AY412" s="4">
        <f>tbl_Data_old[[#This Row],[Avoided Costs ($/unit)]]/tbl_Data_old[[#This Row],[kWh Savings]]*tbl_Data_old[[#This Row],[Sum of Annuals]]</f>
        <v>277427.02220675634</v>
      </c>
      <c r="AZ412" s="4">
        <f>tbl_Data_old[[#This Row],[Lost Revenue ($/unit)]]/tbl_Data_old[[#This Row],[kWh Savings]]*tbl_Data_old[[#This Row],[Sum of Annuals]]</f>
        <v>574862.07079005986</v>
      </c>
      <c r="BA412" s="4">
        <f>tbl_Data_old[[#This Row],[Incremental Cost ($/unit)]]/tbl_Data_old[[#This Row],[kWh Savings]]*tbl_Data_old[[#This Row],[Sum of Annuals]]</f>
        <v>238736.39279730845</v>
      </c>
      <c r="BB412">
        <f>ROUNDUP(tbl_Data_old[[#This Row],[Adjusted 2025]]/$L412,0)</f>
        <v>6</v>
      </c>
      <c r="BC412">
        <f>ROUNDUP(tbl_Data_old[[#This Row],[Adjusted 2026]]/$L412,0)</f>
        <v>11</v>
      </c>
      <c r="BD412">
        <f>ROUNDUP(tbl_Data_old[[#This Row],[Adjusted 2027]]/$L412,0)</f>
        <v>18</v>
      </c>
      <c r="BE412">
        <f>ROUNDUP(tbl_Data_old[[#This Row],[Adjusted 2028]]/$L412,0)</f>
        <v>24</v>
      </c>
      <c r="BF412">
        <f>ROUNDUP(tbl_Data_old[[#This Row],[Adjusted 2029]]/$L412,0)</f>
        <v>31</v>
      </c>
      <c r="BG412">
        <f>ROUNDUP(tbl_Data_old[[#This Row],[Adjusted 2030]]/$L412,0)</f>
        <v>39</v>
      </c>
      <c r="BH412">
        <f>ROUNDUP(tbl_Data_old[[#This Row],[Adjusted 2031]]/$L412,0)</f>
        <v>47</v>
      </c>
      <c r="BI412">
        <f>ROUNDUP(tbl_Data_old[[#This Row],[Adjusted 2032]]/$L412,0)</f>
        <v>56</v>
      </c>
      <c r="BJ412">
        <f>ROUNDUP(tbl_Data_old[[#This Row],[Adjusted 2033]]/$L412,0)</f>
        <v>64</v>
      </c>
      <c r="BK412">
        <f>ROUNDUP(tbl_Data_old[[#This Row],[Adjusted 2034]]/$L412,0)</f>
        <v>73</v>
      </c>
      <c r="BL412" s="3">
        <f t="shared" si="27"/>
        <v>1341.6788060879073</v>
      </c>
      <c r="BM412" s="3">
        <f t="shared" si="27"/>
        <v>2843.3560832040043</v>
      </c>
      <c r="BN412" s="3">
        <f t="shared" si="27"/>
        <v>4487.4177121211505</v>
      </c>
      <c r="BO412" s="3">
        <f t="shared" si="27"/>
        <v>6264.7645585493592</v>
      </c>
      <c r="BP412" s="3">
        <f t="shared" si="27"/>
        <v>8165.464784453613</v>
      </c>
      <c r="BQ412" s="3">
        <f t="shared" si="26"/>
        <v>10178.826324388612</v>
      </c>
      <c r="BR412" s="3">
        <f t="shared" si="26"/>
        <v>12295.388020647513</v>
      </c>
      <c r="BS412" s="3">
        <f t="shared" si="26"/>
        <v>14511.14565002611</v>
      </c>
      <c r="BT412" s="3">
        <f t="shared" si="26"/>
        <v>16824.594059671777</v>
      </c>
      <c r="BU412" s="3">
        <f t="shared" si="26"/>
        <v>19231.601682562563</v>
      </c>
      <c r="BV412">
        <f>VLOOKUP($H412,'1. Set Program Names'!$B$2:$D$15,3,0)*V412</f>
        <v>313.79314725405715</v>
      </c>
      <c r="BW412">
        <f>VLOOKUP($H412,'1. Set Program Names'!$B$2:$D$15,3,0)*W412</f>
        <v>665.00689290466016</v>
      </c>
      <c r="BX412">
        <f>VLOOKUP($H412,'1. Set Program Names'!$B$2:$D$15,3,0)*X412</f>
        <v>1049.5216295738637</v>
      </c>
      <c r="BY412">
        <f>VLOOKUP($H412,'1. Set Program Names'!$B$2:$D$15,3,0)*Y412</f>
        <v>1465.2092428626131</v>
      </c>
      <c r="BZ412">
        <f>VLOOKUP($H412,'1. Set Program Names'!$B$2:$D$15,3,0)*Z412</f>
        <v>1909.746864808111</v>
      </c>
      <c r="CA412">
        <f>VLOOKUP($H412,'1. Set Program Names'!$B$2:$D$15,3,0)*AA412</f>
        <v>2380.6338247196504</v>
      </c>
      <c r="CB412">
        <f>VLOOKUP($H412,'1. Set Program Names'!$B$2:$D$15,3,0)*AB412</f>
        <v>2875.6573378084827</v>
      </c>
      <c r="CC412">
        <f>VLOOKUP($H412,'1. Set Program Names'!$B$2:$D$15,3,0)*AC412</f>
        <v>3393.8808924476421</v>
      </c>
      <c r="CD412">
        <f>VLOOKUP($H412,'1. Set Program Names'!$B$2:$D$15,3,0)*AD412</f>
        <v>3934.9524620204888</v>
      </c>
      <c r="CE412">
        <f>VLOOKUP($H412,'1. Set Program Names'!$B$2:$D$15,3,0)*AE412</f>
        <v>4497.9057516038074</v>
      </c>
    </row>
    <row r="413" spans="1:83" x14ac:dyDescent="0.25">
      <c r="A413" s="20" t="s">
        <v>113</v>
      </c>
      <c r="B413" s="20" t="s">
        <v>88</v>
      </c>
      <c r="C413" s="20" t="s">
        <v>122</v>
      </c>
      <c r="D413" s="20" t="s">
        <v>90</v>
      </c>
      <c r="E413" s="20" t="s">
        <v>91</v>
      </c>
      <c r="F413" s="20" t="s">
        <v>90</v>
      </c>
      <c r="G413" s="20" t="s">
        <v>92</v>
      </c>
      <c r="H413" s="20" t="s">
        <v>18</v>
      </c>
      <c r="I413" s="20" t="s">
        <v>146</v>
      </c>
      <c r="J413" s="20" t="s">
        <v>129</v>
      </c>
      <c r="K413" s="20" t="s">
        <v>98</v>
      </c>
      <c r="L413" s="20">
        <v>23719.439999999999</v>
      </c>
      <c r="M413" s="20">
        <v>5.4597690026648404</v>
      </c>
      <c r="N413" s="20">
        <v>0</v>
      </c>
      <c r="O413" s="20">
        <v>11386</v>
      </c>
      <c r="P413" s="20">
        <v>6681.8656442185202</v>
      </c>
      <c r="Q413" s="20">
        <v>750.67749006099905</v>
      </c>
      <c r="R413" s="20">
        <v>13758.6347393458</v>
      </c>
      <c r="S413" s="20">
        <v>32663.358650317699</v>
      </c>
      <c r="T413" s="20">
        <v>23</v>
      </c>
      <c r="U413" s="20">
        <v>1</v>
      </c>
      <c r="V413" s="20">
        <v>25948.150219894</v>
      </c>
      <c r="W413" s="20">
        <v>54995.003042805401</v>
      </c>
      <c r="X413" s="20">
        <v>86859.968907450399</v>
      </c>
      <c r="Y413" s="20">
        <v>121381.139790088</v>
      </c>
      <c r="Z413" s="20">
        <v>158352.624297848</v>
      </c>
      <c r="AA413" s="20">
        <v>197578.320024238</v>
      </c>
      <c r="AB413" s="20">
        <v>238855.75930201099</v>
      </c>
      <c r="AC413" s="20">
        <v>282092.16333905101</v>
      </c>
      <c r="AD413" s="20">
        <v>327283.101575876</v>
      </c>
      <c r="AE413" s="20">
        <v>374330.76462507702</v>
      </c>
      <c r="AF413" t="str">
        <f t="shared" si="28"/>
        <v>NonResidential</v>
      </c>
      <c r="AG413" t="str">
        <f>tbl_Data_old[[#This Row],[All_Meas_Name_Append]]</f>
        <v>HE Water Cooled Chiller - Centrifugal Compressor - 200 Tons</v>
      </c>
      <c r="AH413">
        <f>AVERAGEIFS('3. Incentive Adjustment'!G:G,'3. Incentive Adjustment'!A:A,tbl_Data_old[[#This Row],[Trimmed Sector]],'3. Incentive Adjustment'!B:B,tbl_Data_old[[#This Row],[Trimmed Measure Name]])</f>
        <v>0.69536855707903378</v>
      </c>
      <c r="AI413">
        <f>$AH413*tbl_Data_old[[#This Row],[2025 ]]</f>
        <v>18043.527777277704</v>
      </c>
      <c r="AJ413">
        <f>$AH413*tbl_Data_old[[#This Row],[2026 ]]</f>
        <v>38241.795912432666</v>
      </c>
      <c r="AK413">
        <f>$AH413*tbl_Data_old[[#This Row],[2027 ]]</f>
        <v>60399.691247103525</v>
      </c>
      <c r="AL413">
        <f>$AH413*tbl_Data_old[[#This Row],[2028 ]]</f>
        <v>84404.628032441979</v>
      </c>
      <c r="AM413">
        <f>$AH413*tbl_Data_old[[#This Row],[2029 ]]</f>
        <v>110113.4358676729</v>
      </c>
      <c r="AN413">
        <f>$AH413*tbl_Data_old[[#This Row],[2030 ]]</f>
        <v>137389.75130535394</v>
      </c>
      <c r="AO413">
        <f>$AH413*tbl_Data_old[[#This Row],[2031 ]]</f>
        <v>166092.78469585639</v>
      </c>
      <c r="AP413">
        <f>$AH413*tbl_Data_old[[#This Row],[2032 ]]</f>
        <v>196158.020584379</v>
      </c>
      <c r="AQ413">
        <f>$AH413*tbl_Data_old[[#This Row],[2033 ]]</f>
        <v>227582.37809916775</v>
      </c>
      <c r="AR413">
        <f>$AH413*tbl_Data_old[[#This Row],[2034 ]]</f>
        <v>260297.84366763124</v>
      </c>
      <c r="AS413">
        <f>SUM(tbl_Data_old[[#This Row],[Adjusted 2025]:[Adjusted 2034]])</f>
        <v>1298723.857189317</v>
      </c>
      <c r="AT413" s="3">
        <f>AVERAGEIFS('3. Incentive Adjustment'!F:F,'3. Incentive Adjustment'!A:A,tbl_Data_old[[#This Row],[Trimmed Sector]],'3. Incentive Adjustment'!B:B,tbl_Data_old[[#This Row],[Trimmed Measure Name]])</f>
        <v>3415.7999999999997</v>
      </c>
      <c r="AU413" s="3">
        <f>IFERROR(VLOOKUP(tbl_Data_old[[#This Row],[All_Meas_Name_Append]],'IRA Tax Credits'!$A$3:$D$46,4,0),0)</f>
        <v>0</v>
      </c>
      <c r="AV413" s="4">
        <f>tbl_Data_old[[#This Row],[Adj. per unit Incentive ($)]]/tbl_Data_old[[#This Row],[kWh Savings]]*tbl_Data_old[[#This Row],[Sum of Annuals]]</f>
        <v>187027.22119018278</v>
      </c>
      <c r="AW413" s="4">
        <f>IFERROR(VLOOKUP(tbl_Data_old[[#This Row],[All_Programs]],'1. Set Program Names'!$B$2:$D$15,3,0)*tbl_Data_old[[#This Row],[Sum of Annuals]],"")</f>
        <v>41102.2673974266</v>
      </c>
      <c r="AX413" s="4">
        <f>tbl_Data_old[[#This Row],[per unit IRA tax ($)]]/tbl_Data_old[[#This Row],[kWh Savings]]*tbl_Data_old[[#This Row],[Sum of Annuals]]</f>
        <v>0</v>
      </c>
      <c r="AY413" s="4">
        <f>tbl_Data_old[[#This Row],[Avoided Costs ($/unit)]]/tbl_Data_old[[#This Row],[kWh Savings]]*tbl_Data_old[[#This Row],[Sum of Annuals]]</f>
        <v>753334.27679330169</v>
      </c>
      <c r="AZ413" s="4">
        <f>tbl_Data_old[[#This Row],[Lost Revenue ($/unit)]]/tbl_Data_old[[#This Row],[kWh Savings]]*tbl_Data_old[[#This Row],[Sum of Annuals]]</f>
        <v>1788435.2722955791</v>
      </c>
      <c r="BA413" s="4">
        <f>tbl_Data_old[[#This Row],[Incremental Cost ($/unit)]]/tbl_Data_old[[#This Row],[kWh Savings]]*tbl_Data_old[[#This Row],[Sum of Annuals]]</f>
        <v>623424.07063394261</v>
      </c>
      <c r="BB413">
        <f>ROUNDUP(tbl_Data_old[[#This Row],[Adjusted 2025]]/$L413,0)</f>
        <v>1</v>
      </c>
      <c r="BC413">
        <f>ROUNDUP(tbl_Data_old[[#This Row],[Adjusted 2026]]/$L413,0)</f>
        <v>2</v>
      </c>
      <c r="BD413">
        <f>ROUNDUP(tbl_Data_old[[#This Row],[Adjusted 2027]]/$L413,0)</f>
        <v>3</v>
      </c>
      <c r="BE413">
        <f>ROUNDUP(tbl_Data_old[[#This Row],[Adjusted 2028]]/$L413,0)</f>
        <v>4</v>
      </c>
      <c r="BF413">
        <f>ROUNDUP(tbl_Data_old[[#This Row],[Adjusted 2029]]/$L413,0)</f>
        <v>5</v>
      </c>
      <c r="BG413">
        <f>ROUNDUP(tbl_Data_old[[#This Row],[Adjusted 2030]]/$L413,0)</f>
        <v>6</v>
      </c>
      <c r="BH413">
        <f>ROUNDUP(tbl_Data_old[[#This Row],[Adjusted 2031]]/$L413,0)</f>
        <v>8</v>
      </c>
      <c r="BI413">
        <f>ROUNDUP(tbl_Data_old[[#This Row],[Adjusted 2032]]/$L413,0)</f>
        <v>9</v>
      </c>
      <c r="BJ413">
        <f>ROUNDUP(tbl_Data_old[[#This Row],[Adjusted 2033]]/$L413,0)</f>
        <v>10</v>
      </c>
      <c r="BK413">
        <f>ROUNDUP(tbl_Data_old[[#This Row],[Adjusted 2034]]/$L413,0)</f>
        <v>11</v>
      </c>
      <c r="BL413" s="3">
        <f t="shared" si="27"/>
        <v>3736.753124066754</v>
      </c>
      <c r="BM413" s="3">
        <f t="shared" si="27"/>
        <v>7919.7456345349929</v>
      </c>
      <c r="BN413" s="3">
        <f t="shared" si="27"/>
        <v>12508.570261105198</v>
      </c>
      <c r="BO413" s="3">
        <f t="shared" si="27"/>
        <v>17479.910878797415</v>
      </c>
      <c r="BP413" s="3">
        <f t="shared" si="27"/>
        <v>22804.117385426856</v>
      </c>
      <c r="BQ413" s="3">
        <f t="shared" si="26"/>
        <v>28452.949375651035</v>
      </c>
      <c r="BR413" s="3">
        <f t="shared" si="26"/>
        <v>34397.249792735798</v>
      </c>
      <c r="BS413" s="3">
        <f t="shared" si="26"/>
        <v>40623.657705811369</v>
      </c>
      <c r="BT413" s="3">
        <f t="shared" si="26"/>
        <v>47131.535076834749</v>
      </c>
      <c r="BU413" s="3">
        <f t="shared" si="26"/>
        <v>53906.79652666075</v>
      </c>
      <c r="BV413">
        <f>VLOOKUP($H413,'1. Set Program Names'!$B$2:$D$15,3,0)*V413</f>
        <v>821.21214829674727</v>
      </c>
      <c r="BW413">
        <f>VLOOKUP($H413,'1. Set Program Names'!$B$2:$D$15,3,0)*W413</f>
        <v>1740.4926444330131</v>
      </c>
      <c r="BX413">
        <f>VLOOKUP($H413,'1. Set Program Names'!$B$2:$D$15,3,0)*X413</f>
        <v>2748.9613349312344</v>
      </c>
      <c r="BY413">
        <f>VLOOKUP($H413,'1. Set Program Names'!$B$2:$D$15,3,0)*Y413</f>
        <v>3841.494122895253</v>
      </c>
      <c r="BZ413">
        <f>VLOOKUP($H413,'1. Set Program Names'!$B$2:$D$15,3,0)*Z413</f>
        <v>5011.5749171346788</v>
      </c>
      <c r="CA413">
        <f>VLOOKUP($H413,'1. Set Program Names'!$B$2:$D$15,3,0)*AA413</f>
        <v>6252.9974302202709</v>
      </c>
      <c r="CB413">
        <f>VLOOKUP($H413,'1. Set Program Names'!$B$2:$D$15,3,0)*AB413</f>
        <v>7559.353925701781</v>
      </c>
      <c r="CC413">
        <f>VLOOKUP($H413,'1. Set Program Names'!$B$2:$D$15,3,0)*AC413</f>
        <v>8927.7081221663047</v>
      </c>
      <c r="CD413">
        <f>VLOOKUP($H413,'1. Set Program Names'!$B$2:$D$15,3,0)*AD413</f>
        <v>10357.919800398229</v>
      </c>
      <c r="CE413">
        <f>VLOOKUP($H413,'1. Set Program Names'!$B$2:$D$15,3,0)*AE413</f>
        <v>11846.893469717987</v>
      </c>
    </row>
    <row r="414" spans="1:83" x14ac:dyDescent="0.25">
      <c r="A414" s="20" t="s">
        <v>113</v>
      </c>
      <c r="B414" s="20" t="s">
        <v>88</v>
      </c>
      <c r="C414" s="20" t="s">
        <v>122</v>
      </c>
      <c r="D414" s="20" t="s">
        <v>90</v>
      </c>
      <c r="E414" s="20" t="s">
        <v>91</v>
      </c>
      <c r="F414" s="20" t="s">
        <v>90</v>
      </c>
      <c r="G414" s="20" t="s">
        <v>92</v>
      </c>
      <c r="H414" s="20" t="s">
        <v>18</v>
      </c>
      <c r="I414" s="20" t="s">
        <v>147</v>
      </c>
      <c r="J414" s="20" t="s">
        <v>129</v>
      </c>
      <c r="K414" s="20" t="s">
        <v>98</v>
      </c>
      <c r="L414" s="20">
        <v>51564</v>
      </c>
      <c r="M414" s="20">
        <v>11.869063049271301</v>
      </c>
      <c r="N414" s="20">
        <v>0</v>
      </c>
      <c r="O414" s="20">
        <v>19806</v>
      </c>
      <c r="P414" s="20">
        <v>9503.5476574024997</v>
      </c>
      <c r="Q414" s="20">
        <v>1631.9075870891199</v>
      </c>
      <c r="R414" s="20">
        <v>29910.075520317099</v>
      </c>
      <c r="S414" s="20">
        <v>71007.301413734196</v>
      </c>
      <c r="T414" s="20">
        <v>23</v>
      </c>
      <c r="U414" s="20">
        <v>1</v>
      </c>
      <c r="V414" s="20">
        <v>25289.064611936301</v>
      </c>
      <c r="W414" s="20">
        <v>53648.612644578898</v>
      </c>
      <c r="X414" s="20">
        <v>84809.512734648597</v>
      </c>
      <c r="Y414" s="20">
        <v>118616.47933960499</v>
      </c>
      <c r="Z414" s="20">
        <v>154869.57662789</v>
      </c>
      <c r="AA414" s="20">
        <v>193377.081909726</v>
      </c>
      <c r="AB414" s="20">
        <v>233939.92603983</v>
      </c>
      <c r="AC414" s="20">
        <v>276466.05190287501</v>
      </c>
      <c r="AD414" s="20">
        <v>320949.95422944397</v>
      </c>
      <c r="AE414" s="20">
        <v>367294.02486292098</v>
      </c>
      <c r="AF414" t="str">
        <f t="shared" si="28"/>
        <v>NonResidential</v>
      </c>
      <c r="AG414" t="str">
        <f>tbl_Data_old[[#This Row],[All_Meas_Name_Append]]</f>
        <v>HE Water Cooled Chiller - Centrifugal Compressor - 500 Tons</v>
      </c>
      <c r="AH414">
        <f>AVERAGEIFS('3. Incentive Adjustment'!G:G,'3. Incentive Adjustment'!A:A,tbl_Data_old[[#This Row],[Trimmed Sector]],'3. Incentive Adjustment'!B:B,tbl_Data_old[[#This Row],[Trimmed Measure Name]])</f>
        <v>0.83338953851620801</v>
      </c>
      <c r="AI414">
        <f>$AH414*tbl_Data_old[[#This Row],[2025 ]]</f>
        <v>21075.64188644816</v>
      </c>
      <c r="AJ414">
        <f>$AH414*tbl_Data_old[[#This Row],[2026 ]]</f>
        <v>44710.192533900408</v>
      </c>
      <c r="AK414">
        <f>$AH414*tbl_Data_old[[#This Row],[2027 ]]</f>
        <v>70679.360679713267</v>
      </c>
      <c r="AL414">
        <f>$AH414*tbl_Data_old[[#This Row],[2028 ]]</f>
        <v>98853.732977250722</v>
      </c>
      <c r="AM414">
        <f>$AH414*tbl_Data_old[[#This Row],[2029 ]]</f>
        <v>129066.68499611776</v>
      </c>
      <c r="AN414">
        <f>$AH414*tbl_Data_old[[#This Row],[2030 ]]</f>
        <v>161158.43705235751</v>
      </c>
      <c r="AO414">
        <f>$AH414*tbl_Data_old[[#This Row],[2031 ]]</f>
        <v>194963.08700284976</v>
      </c>
      <c r="AP414">
        <f>$AH414*tbl_Data_old[[#This Row],[2032 ]]</f>
        <v>230403.915410735</v>
      </c>
      <c r="AQ414">
        <f>$AH414*tbl_Data_old[[#This Row],[2033 ]]</f>
        <v>267476.3342420744</v>
      </c>
      <c r="AR414">
        <f>$AH414*tbl_Data_old[[#This Row],[2034 ]]</f>
        <v>306098.99788027036</v>
      </c>
      <c r="AS414">
        <f>SUM(tbl_Data_old[[#This Row],[Adjusted 2025]:[Adjusted 2034]])</f>
        <v>1524486.3846617173</v>
      </c>
      <c r="AT414" s="3">
        <f>AVERAGEIFS('3. Incentive Adjustment'!F:F,'3. Incentive Adjustment'!A:A,tbl_Data_old[[#This Row],[Trimmed Sector]],'3. Incentive Adjustment'!B:B,tbl_Data_old[[#This Row],[Trimmed Measure Name]])</f>
        <v>5941.8</v>
      </c>
      <c r="AU414" s="3">
        <f>IFERROR(VLOOKUP(tbl_Data_old[[#This Row],[All_Meas_Name_Append]],'IRA Tax Credits'!$A$3:$D$46,4,0),0)</f>
        <v>0</v>
      </c>
      <c r="AV414" s="4">
        <f>tbl_Data_old[[#This Row],[Adj. per unit Incentive ($)]]/tbl_Data_old[[#This Row],[kWh Savings]]*tbl_Data_old[[#This Row],[Sum of Annuals]]</f>
        <v>175668.9395776703</v>
      </c>
      <c r="AW414" s="4">
        <f>IFERROR(VLOOKUP(tbl_Data_old[[#This Row],[All_Programs]],'1. Set Program Names'!$B$2:$D$15,3,0)*tbl_Data_old[[#This Row],[Sum of Annuals]],"")</f>
        <v>48247.244153741631</v>
      </c>
      <c r="AX414" s="4">
        <f>tbl_Data_old[[#This Row],[per unit IRA tax ($)]]/tbl_Data_old[[#This Row],[kWh Savings]]*tbl_Data_old[[#This Row],[Sum of Annuals]]</f>
        <v>0</v>
      </c>
      <c r="AY414" s="4">
        <f>tbl_Data_old[[#This Row],[Avoided Costs ($/unit)]]/tbl_Data_old[[#This Row],[kWh Savings]]*tbl_Data_old[[#This Row],[Sum of Annuals]]</f>
        <v>884289.48287423677</v>
      </c>
      <c r="AZ414" s="4">
        <f>tbl_Data_old[[#This Row],[Lost Revenue ($/unit)]]/tbl_Data_old[[#This Row],[kWh Savings]]*tbl_Data_old[[#This Row],[Sum of Annuals]]</f>
        <v>2099326.3559229015</v>
      </c>
      <c r="BA414" s="4">
        <f>tbl_Data_old[[#This Row],[Incremental Cost ($/unit)]]/tbl_Data_old[[#This Row],[kWh Savings]]*tbl_Data_old[[#This Row],[Sum of Annuals]]</f>
        <v>585563.13192556775</v>
      </c>
      <c r="BB414">
        <f>ROUNDUP(tbl_Data_old[[#This Row],[Adjusted 2025]]/$L414,0)</f>
        <v>1</v>
      </c>
      <c r="BC414">
        <f>ROUNDUP(tbl_Data_old[[#This Row],[Adjusted 2026]]/$L414,0)</f>
        <v>1</v>
      </c>
      <c r="BD414">
        <f>ROUNDUP(tbl_Data_old[[#This Row],[Adjusted 2027]]/$L414,0)</f>
        <v>2</v>
      </c>
      <c r="BE414">
        <f>ROUNDUP(tbl_Data_old[[#This Row],[Adjusted 2028]]/$L414,0)</f>
        <v>2</v>
      </c>
      <c r="BF414">
        <f>ROUNDUP(tbl_Data_old[[#This Row],[Adjusted 2029]]/$L414,0)</f>
        <v>3</v>
      </c>
      <c r="BG414">
        <f>ROUNDUP(tbl_Data_old[[#This Row],[Adjusted 2030]]/$L414,0)</f>
        <v>4</v>
      </c>
      <c r="BH414">
        <f>ROUNDUP(tbl_Data_old[[#This Row],[Adjusted 2031]]/$L414,0)</f>
        <v>4</v>
      </c>
      <c r="BI414">
        <f>ROUNDUP(tbl_Data_old[[#This Row],[Adjusted 2032]]/$L414,0)</f>
        <v>5</v>
      </c>
      <c r="BJ414">
        <f>ROUNDUP(tbl_Data_old[[#This Row],[Adjusted 2033]]/$L414,0)</f>
        <v>6</v>
      </c>
      <c r="BK414">
        <f>ROUNDUP(tbl_Data_old[[#This Row],[Adjusted 2034]]/$L414,0)</f>
        <v>6</v>
      </c>
      <c r="BL414" s="3">
        <f t="shared" si="27"/>
        <v>2914.0982877822339</v>
      </c>
      <c r="BM414" s="3">
        <f t="shared" si="27"/>
        <v>6182.013160568592</v>
      </c>
      <c r="BN414" s="3">
        <f t="shared" si="27"/>
        <v>9772.7321923577492</v>
      </c>
      <c r="BO414" s="3">
        <f t="shared" si="27"/>
        <v>13668.36158831869</v>
      </c>
      <c r="BP414" s="3">
        <f t="shared" si="27"/>
        <v>17845.862431300844</v>
      </c>
      <c r="BQ414" s="3">
        <f t="shared" si="26"/>
        <v>22283.142217268054</v>
      </c>
      <c r="BR414" s="3">
        <f t="shared" si="26"/>
        <v>26957.261898678571</v>
      </c>
      <c r="BS414" s="3">
        <f t="shared" si="26"/>
        <v>31857.613590809531</v>
      </c>
      <c r="BT414" s="3">
        <f t="shared" si="26"/>
        <v>36983.562912894849</v>
      </c>
      <c r="BU414" s="3">
        <f t="shared" si="26"/>
        <v>42323.862325081529</v>
      </c>
      <c r="BV414">
        <f>VLOOKUP($H414,'1. Set Program Names'!$B$2:$D$15,3,0)*V414</f>
        <v>800.3532776861</v>
      </c>
      <c r="BW414">
        <f>VLOOKUP($H414,'1. Set Program Names'!$B$2:$D$15,3,0)*W414</f>
        <v>1697.8818169943004</v>
      </c>
      <c r="BX414">
        <f>VLOOKUP($H414,'1. Set Program Names'!$B$2:$D$15,3,0)*X414</f>
        <v>2684.0680957451941</v>
      </c>
      <c r="BY414">
        <f>VLOOKUP($H414,'1. Set Program Names'!$B$2:$D$15,3,0)*Y414</f>
        <v>3753.9976066267618</v>
      </c>
      <c r="BZ414">
        <f>VLOOKUP($H414,'1. Set Program Names'!$B$2:$D$15,3,0)*Z414</f>
        <v>4901.3427412212977</v>
      </c>
      <c r="CA414">
        <f>VLOOKUP($H414,'1. Set Program Names'!$B$2:$D$15,3,0)*AA414</f>
        <v>6120.0358222332998</v>
      </c>
      <c r="CB414">
        <f>VLOOKUP($H414,'1. Set Program Names'!$B$2:$D$15,3,0)*AB414</f>
        <v>7403.7766703023108</v>
      </c>
      <c r="CC414">
        <f>VLOOKUP($H414,'1. Set Program Names'!$B$2:$D$15,3,0)*AC414</f>
        <v>8749.6518437840114</v>
      </c>
      <c r="CD414">
        <f>VLOOKUP($H414,'1. Set Program Names'!$B$2:$D$15,3,0)*AD414</f>
        <v>10157.487110831946</v>
      </c>
      <c r="CE414">
        <f>VLOOKUP($H414,'1. Set Program Names'!$B$2:$D$15,3,0)*AE414</f>
        <v>11624.193349358158</v>
      </c>
    </row>
    <row r="415" spans="1:83" x14ac:dyDescent="0.25">
      <c r="A415" s="20" t="s">
        <v>113</v>
      </c>
      <c r="B415" s="20" t="s">
        <v>88</v>
      </c>
      <c r="C415" s="20" t="s">
        <v>122</v>
      </c>
      <c r="D415" s="20" t="s">
        <v>90</v>
      </c>
      <c r="E415" s="20" t="s">
        <v>91</v>
      </c>
      <c r="F415" s="20" t="s">
        <v>90</v>
      </c>
      <c r="G415" s="20" t="s">
        <v>92</v>
      </c>
      <c r="H415" s="20" t="s">
        <v>18</v>
      </c>
      <c r="I415" s="20" t="s">
        <v>148</v>
      </c>
      <c r="J415" s="20" t="s">
        <v>129</v>
      </c>
      <c r="K415" s="20" t="s">
        <v>98</v>
      </c>
      <c r="L415" s="20">
        <v>552.51399999999899</v>
      </c>
      <c r="M415" s="20">
        <v>0.19160575593909501</v>
      </c>
      <c r="N415" s="20">
        <v>0</v>
      </c>
      <c r="O415" s="20">
        <v>129</v>
      </c>
      <c r="P415" s="20">
        <v>16.0943430226503</v>
      </c>
      <c r="Q415" s="20">
        <v>17.486071456306</v>
      </c>
      <c r="R415" s="20">
        <v>212.35909497904299</v>
      </c>
      <c r="S415" s="20">
        <v>383.33946557666002</v>
      </c>
      <c r="T415" s="20">
        <v>8</v>
      </c>
      <c r="U415" s="20">
        <v>1</v>
      </c>
      <c r="V415" s="20">
        <v>652625.30308988295</v>
      </c>
      <c r="W415" s="20">
        <v>1384555.8857767801</v>
      </c>
      <c r="X415" s="20">
        <v>2187832.2274237</v>
      </c>
      <c r="Y415" s="20">
        <v>3058249.2247730698</v>
      </c>
      <c r="Z415" s="20">
        <v>3990940.4483306902</v>
      </c>
      <c r="AA415" s="20">
        <v>4980814.8461311897</v>
      </c>
      <c r="AB415" s="20">
        <v>6023119.9852942098</v>
      </c>
      <c r="AC415" s="20">
        <v>7115791.2724240003</v>
      </c>
      <c r="AD415" s="20">
        <v>7605668.86283004</v>
      </c>
      <c r="AE415" s="20">
        <v>8063906.3454174297</v>
      </c>
      <c r="AF415" t="str">
        <f t="shared" si="28"/>
        <v>NonResidential</v>
      </c>
      <c r="AG415" t="str">
        <f>tbl_Data_old[[#This Row],[All_Meas_Name_Append]]</f>
        <v>High Efficiency PTAC</v>
      </c>
      <c r="AH415">
        <f>AVERAGEIFS('3. Incentive Adjustment'!G:G,'3. Incentive Adjustment'!A:A,tbl_Data_old[[#This Row],[Trimmed Sector]],'3. Incentive Adjustment'!B:B,tbl_Data_old[[#This Row],[Trimmed Measure Name]])</f>
        <v>1.1757614296438725</v>
      </c>
      <c r="AI415">
        <f>$AH415*tbl_Data_old[[#This Row],[2025 ]]</f>
        <v>767331.65938272642</v>
      </c>
      <c r="AJ415">
        <f>$AH415*tbl_Data_old[[#This Row],[2026 ]]</f>
        <v>1627907.4076827453</v>
      </c>
      <c r="AK415">
        <f>$AH415*tbl_Data_old[[#This Row],[2027 ]]</f>
        <v>2572368.7475366276</v>
      </c>
      <c r="AL415">
        <f>$AH415*tbl_Data_old[[#This Row],[2028 ]]</f>
        <v>3595771.4807264493</v>
      </c>
      <c r="AM415">
        <f>$AH415*tbl_Data_old[[#This Row],[2029 ]]</f>
        <v>4692393.8471528497</v>
      </c>
      <c r="AN415">
        <f>$AH415*tbl_Data_old[[#This Row],[2030 ]]</f>
        <v>5856249.9842786323</v>
      </c>
      <c r="AO415">
        <f>$AH415*tbl_Data_old[[#This Row],[2031 ]]</f>
        <v>7081752.1648261007</v>
      </c>
      <c r="AP415">
        <f>$AH415*tbl_Data_old[[#This Row],[2032 ]]</f>
        <v>8366472.9195126332</v>
      </c>
      <c r="AQ415">
        <f>$AH415*tbl_Data_old[[#This Row],[2033 ]]</f>
        <v>8942452.0955589339</v>
      </c>
      <c r="AR415">
        <f>$AH415*tbl_Data_old[[#This Row],[2034 ]]</f>
        <v>9481230.053202292</v>
      </c>
      <c r="AS415">
        <f>SUM(tbl_Data_old[[#This Row],[Adjusted 2025]:[Adjusted 2034]])</f>
        <v>52983930.359859988</v>
      </c>
      <c r="AT415" s="3">
        <f>AVERAGEIFS('3. Incentive Adjustment'!F:F,'3. Incentive Adjustment'!A:A,tbl_Data_old[[#This Row],[Trimmed Sector]],'3. Incentive Adjustment'!B:B,tbl_Data_old[[#This Row],[Trimmed Measure Name]])</f>
        <v>50</v>
      </c>
      <c r="AU415" s="3">
        <f>IFERROR(VLOOKUP(tbl_Data_old[[#This Row],[All_Meas_Name_Append]],'IRA Tax Credits'!$A$3:$D$46,4,0),0)</f>
        <v>0</v>
      </c>
      <c r="AV415" s="4">
        <f>tbl_Data_old[[#This Row],[Adj. per unit Incentive ($)]]/tbl_Data_old[[#This Row],[kWh Savings]]*tbl_Data_old[[#This Row],[Sum of Annuals]]</f>
        <v>4794804.3271175111</v>
      </c>
      <c r="AW415" s="4">
        <f>IFERROR(VLOOKUP(tbl_Data_old[[#This Row],[All_Programs]],'1. Set Program Names'!$B$2:$D$15,3,0)*tbl_Data_old[[#This Row],[Sum of Annuals]],"")</f>
        <v>1676845.8216596381</v>
      </c>
      <c r="AX415" s="4">
        <f>tbl_Data_old[[#This Row],[per unit IRA tax ($)]]/tbl_Data_old[[#This Row],[kWh Savings]]*tbl_Data_old[[#This Row],[Sum of Annuals]]</f>
        <v>0</v>
      </c>
      <c r="AY415" s="4">
        <f>tbl_Data_old[[#This Row],[Avoided Costs ($/unit)]]/tbl_Data_old[[#This Row],[kWh Savings]]*tbl_Data_old[[#This Row],[Sum of Annuals]]</f>
        <v>20364406.150165476</v>
      </c>
      <c r="AZ415" s="4">
        <f>tbl_Data_old[[#This Row],[Lost Revenue ($/unit)]]/tbl_Data_old[[#This Row],[kWh Savings]]*tbl_Data_old[[#This Row],[Sum of Annuals]]</f>
        <v>36760754.56603767</v>
      </c>
      <c r="BA415" s="4">
        <f>tbl_Data_old[[#This Row],[Incremental Cost ($/unit)]]/tbl_Data_old[[#This Row],[kWh Savings]]*tbl_Data_old[[#This Row],[Sum of Annuals]]</f>
        <v>12370595.163963176</v>
      </c>
      <c r="BB415">
        <f>ROUNDUP(tbl_Data_old[[#This Row],[Adjusted 2025]]/$L415,0)</f>
        <v>1389</v>
      </c>
      <c r="BC415">
        <f>ROUNDUP(tbl_Data_old[[#This Row],[Adjusted 2026]]/$L415,0)</f>
        <v>2947</v>
      </c>
      <c r="BD415">
        <f>ROUNDUP(tbl_Data_old[[#This Row],[Adjusted 2027]]/$L415,0)</f>
        <v>4656</v>
      </c>
      <c r="BE415">
        <f>ROUNDUP(tbl_Data_old[[#This Row],[Adjusted 2028]]/$L415,0)</f>
        <v>6509</v>
      </c>
      <c r="BF415">
        <f>ROUNDUP(tbl_Data_old[[#This Row],[Adjusted 2029]]/$L415,0)</f>
        <v>8493</v>
      </c>
      <c r="BG415">
        <f>ROUNDUP(tbl_Data_old[[#This Row],[Adjusted 2030]]/$L415,0)</f>
        <v>10600</v>
      </c>
      <c r="BH415">
        <f>ROUNDUP(tbl_Data_old[[#This Row],[Adjusted 2031]]/$L415,0)</f>
        <v>12818</v>
      </c>
      <c r="BI415">
        <f>ROUNDUP(tbl_Data_old[[#This Row],[Adjusted 2032]]/$L415,0)</f>
        <v>15143</v>
      </c>
      <c r="BJ415">
        <f>ROUNDUP(tbl_Data_old[[#This Row],[Adjusted 2033]]/$L415,0)</f>
        <v>16186</v>
      </c>
      <c r="BK415">
        <f>ROUNDUP(tbl_Data_old[[#This Row],[Adjusted 2034]]/$L415,0)</f>
        <v>17161</v>
      </c>
      <c r="BL415" s="3">
        <f t="shared" si="27"/>
        <v>59059.616868521356</v>
      </c>
      <c r="BM415" s="3">
        <f t="shared" si="27"/>
        <v>125296.00026214564</v>
      </c>
      <c r="BN415" s="3">
        <f t="shared" si="27"/>
        <v>197988.84982314514</v>
      </c>
      <c r="BO415" s="3">
        <f t="shared" si="27"/>
        <v>276757.62286322837</v>
      </c>
      <c r="BP415" s="3">
        <f t="shared" si="27"/>
        <v>361161.92968238791</v>
      </c>
      <c r="BQ415" s="3">
        <f t="shared" si="26"/>
        <v>450741.0532702519</v>
      </c>
      <c r="BR415" s="3">
        <f t="shared" si="26"/>
        <v>545064.92010104912</v>
      </c>
      <c r="BS415" s="3">
        <f t="shared" si="26"/>
        <v>643946.69387780339</v>
      </c>
      <c r="BT415" s="3">
        <f t="shared" si="26"/>
        <v>688278.38415226166</v>
      </c>
      <c r="BU415" s="3">
        <f t="shared" si="26"/>
        <v>729746.78880693018</v>
      </c>
      <c r="BV415">
        <f>VLOOKUP($H415,'1. Set Program Names'!$B$2:$D$15,3,0)*V415</f>
        <v>20654.413614900368</v>
      </c>
      <c r="BW415">
        <f>VLOOKUP($H415,'1. Set Program Names'!$B$2:$D$15,3,0)*W415</f>
        <v>43818.69627546423</v>
      </c>
      <c r="BX415">
        <f>VLOOKUP($H415,'1. Set Program Names'!$B$2:$D$15,3,0)*X415</f>
        <v>69240.943511186983</v>
      </c>
      <c r="BY415">
        <f>VLOOKUP($H415,'1. Set Program Names'!$B$2:$D$15,3,0)*Y415</f>
        <v>96788.071389275865</v>
      </c>
      <c r="BZ415">
        <f>VLOOKUP($H415,'1. Set Program Names'!$B$2:$D$15,3,0)*Z415</f>
        <v>126306.06619447182</v>
      </c>
      <c r="CA415">
        <f>VLOOKUP($H415,'1. Set Program Names'!$B$2:$D$15,3,0)*AA415</f>
        <v>157633.8053154849</v>
      </c>
      <c r="CB415">
        <f>VLOOKUP($H415,'1. Set Program Names'!$B$2:$D$15,3,0)*AB415</f>
        <v>190620.88282425309</v>
      </c>
      <c r="CC415">
        <f>VLOOKUP($H415,'1. Set Program Names'!$B$2:$D$15,3,0)*AC415</f>
        <v>225201.95806398525</v>
      </c>
      <c r="CD415">
        <f>VLOOKUP($H415,'1. Set Program Names'!$B$2:$D$15,3,0)*AD415</f>
        <v>240705.7001423453</v>
      </c>
      <c r="CE415">
        <f>VLOOKUP($H415,'1. Set Program Names'!$B$2:$D$15,3,0)*AE415</f>
        <v>255208.0898817562</v>
      </c>
    </row>
    <row r="416" spans="1:83" x14ac:dyDescent="0.25">
      <c r="A416" s="20" t="s">
        <v>113</v>
      </c>
      <c r="B416" s="20" t="s">
        <v>88</v>
      </c>
      <c r="C416" s="20" t="s">
        <v>122</v>
      </c>
      <c r="D416" s="20" t="s">
        <v>90</v>
      </c>
      <c r="E416" s="20" t="s">
        <v>91</v>
      </c>
      <c r="F416" s="20" t="s">
        <v>90</v>
      </c>
      <c r="G416" s="20" t="s">
        <v>92</v>
      </c>
      <c r="H416" s="20" t="s">
        <v>18</v>
      </c>
      <c r="I416" s="20" t="s">
        <v>149</v>
      </c>
      <c r="J416" s="20" t="s">
        <v>129</v>
      </c>
      <c r="K416" s="20" t="s">
        <v>98</v>
      </c>
      <c r="L416" s="20">
        <v>540.79749999999899</v>
      </c>
      <c r="M416" s="20">
        <v>0.159555976068885</v>
      </c>
      <c r="N416" s="20">
        <v>1.50169234953632E-2</v>
      </c>
      <c r="O416" s="20">
        <v>128.99999999999901</v>
      </c>
      <c r="P416" s="20">
        <v>23.4690947103329</v>
      </c>
      <c r="Q416" s="20">
        <v>17.115265365930298</v>
      </c>
      <c r="R416" s="20">
        <v>204.24936172330499</v>
      </c>
      <c r="S416" s="20">
        <v>375.21044649582399</v>
      </c>
      <c r="T416" s="20">
        <v>8</v>
      </c>
      <c r="U416" s="20">
        <v>1</v>
      </c>
      <c r="V416" s="20">
        <v>392284.24879535497</v>
      </c>
      <c r="W416" s="20">
        <v>832684.01429178298</v>
      </c>
      <c r="X416" s="20">
        <v>1316415.88421969</v>
      </c>
      <c r="Y416" s="20">
        <v>1840932.12792428</v>
      </c>
      <c r="Z416" s="20">
        <v>2403269.7219883101</v>
      </c>
      <c r="AA416" s="20">
        <v>3000315.91278025</v>
      </c>
      <c r="AB416" s="20">
        <v>3629153.8161720498</v>
      </c>
      <c r="AC416" s="20">
        <v>4288482.7231264999</v>
      </c>
      <c r="AD416" s="20">
        <v>4585637.3377339998</v>
      </c>
      <c r="AE416" s="20">
        <v>4863421.2634641901</v>
      </c>
      <c r="AF416" t="str">
        <f t="shared" si="28"/>
        <v>NonResidential</v>
      </c>
      <c r="AG416" t="str">
        <f>tbl_Data_old[[#This Row],[All_Meas_Name_Append]]</f>
        <v>High Efficiency PTHP</v>
      </c>
      <c r="AH416">
        <f>AVERAGEIFS('3. Incentive Adjustment'!G:G,'3. Incentive Adjustment'!A:A,tbl_Data_old[[#This Row],[Trimmed Sector]],'3. Incentive Adjustment'!B:B,tbl_Data_old[[#This Row],[Trimmed Measure Name]])</f>
        <v>1.138194101705527</v>
      </c>
      <c r="AI416">
        <f>$AH416*tbl_Data_old[[#This Row],[2025 ]]</f>
        <v>446495.61817085656</v>
      </c>
      <c r="AJ416">
        <f>$AH416*tbl_Data_old[[#This Row],[2026 ]]</f>
        <v>947756.03365138813</v>
      </c>
      <c r="AK416">
        <f>$AH416*tbl_Data_old[[#This Row],[2027 ]]</f>
        <v>1498336.7948103172</v>
      </c>
      <c r="AL416">
        <f>$AH416*tbl_Data_old[[#This Row],[2028 ]]</f>
        <v>2095338.0896436202</v>
      </c>
      <c r="AM416">
        <f>$AH416*tbl_Data_old[[#This Row],[2029 ]]</f>
        <v>2735387.4223745763</v>
      </c>
      <c r="AN416">
        <f>$AH416*tbl_Data_old[[#This Row],[2030 ]]</f>
        <v>3414941.875179715</v>
      </c>
      <c r="AO416">
        <f>$AH416*tbl_Data_old[[#This Row],[2031 ]]</f>
        <v>4130681.4677491318</v>
      </c>
      <c r="AP416">
        <f>$AH416*tbl_Data_old[[#This Row],[2032 ]]</f>
        <v>4881125.7407286391</v>
      </c>
      <c r="AQ416">
        <f>$AH416*tbl_Data_old[[#This Row],[2033 ]]</f>
        <v>5219345.3703694744</v>
      </c>
      <c r="AR416">
        <f>$AH416*tbl_Data_old[[#This Row],[2034 ]]</f>
        <v>5535517.3961841827</v>
      </c>
      <c r="AS416">
        <f>SUM(tbl_Data_old[[#This Row],[Adjusted 2025]:[Adjusted 2034]])</f>
        <v>30904925.808861904</v>
      </c>
      <c r="AT416" s="3">
        <f>AVERAGEIFS('3. Incentive Adjustment'!F:F,'3. Incentive Adjustment'!A:A,tbl_Data_old[[#This Row],[Trimmed Sector]],'3. Incentive Adjustment'!B:B,tbl_Data_old[[#This Row],[Trimmed Measure Name]])</f>
        <v>50</v>
      </c>
      <c r="AU416" s="3">
        <f>IFERROR(VLOOKUP(tbl_Data_old[[#This Row],[All_Meas_Name_Append]],'IRA Tax Credits'!$A$3:$D$46,4,0),0)</f>
        <v>0</v>
      </c>
      <c r="AV416" s="4">
        <f>tbl_Data_old[[#This Row],[Adj. per unit Incentive ($)]]/tbl_Data_old[[#This Row],[kWh Savings]]*tbl_Data_old[[#This Row],[Sum of Annuals]]</f>
        <v>2857347.3258347129</v>
      </c>
      <c r="AW416" s="4">
        <f>IFERROR(VLOOKUP(tbl_Data_old[[#This Row],[All_Programs]],'1. Set Program Names'!$B$2:$D$15,3,0)*tbl_Data_old[[#This Row],[Sum of Annuals]],"")</f>
        <v>978085.15448585036</v>
      </c>
      <c r="AX416" s="4">
        <f>tbl_Data_old[[#This Row],[per unit IRA tax ($)]]/tbl_Data_old[[#This Row],[kWh Savings]]*tbl_Data_old[[#This Row],[Sum of Annuals]]</f>
        <v>0</v>
      </c>
      <c r="AY416" s="4">
        <f>tbl_Data_old[[#This Row],[Avoided Costs ($/unit)]]/tbl_Data_old[[#This Row],[kWh Savings]]*tbl_Data_old[[#This Row],[Sum of Annuals]]</f>
        <v>11672227.350470647</v>
      </c>
      <c r="AZ416" s="4">
        <f>tbl_Data_old[[#This Row],[Lost Revenue ($/unit)]]/tbl_Data_old[[#This Row],[kWh Savings]]*tbl_Data_old[[#This Row],[Sum of Annuals]]</f>
        <v>21442131.318401825</v>
      </c>
      <c r="BA416" s="4">
        <f>tbl_Data_old[[#This Row],[Incremental Cost ($/unit)]]/tbl_Data_old[[#This Row],[kWh Savings]]*tbl_Data_old[[#This Row],[Sum of Annuals]]</f>
        <v>7371956.1006535022</v>
      </c>
      <c r="BB416">
        <f>ROUNDUP(tbl_Data_old[[#This Row],[Adjusted 2025]]/$L416,0)</f>
        <v>826</v>
      </c>
      <c r="BC416">
        <f>ROUNDUP(tbl_Data_old[[#This Row],[Adjusted 2026]]/$L416,0)</f>
        <v>1753</v>
      </c>
      <c r="BD416">
        <f>ROUNDUP(tbl_Data_old[[#This Row],[Adjusted 2027]]/$L416,0)</f>
        <v>2771</v>
      </c>
      <c r="BE416">
        <f>ROUNDUP(tbl_Data_old[[#This Row],[Adjusted 2028]]/$L416,0)</f>
        <v>3875</v>
      </c>
      <c r="BF416">
        <f>ROUNDUP(tbl_Data_old[[#This Row],[Adjusted 2029]]/$L416,0)</f>
        <v>5059</v>
      </c>
      <c r="BG416">
        <f>ROUNDUP(tbl_Data_old[[#This Row],[Adjusted 2030]]/$L416,0)</f>
        <v>6315</v>
      </c>
      <c r="BH416">
        <f>ROUNDUP(tbl_Data_old[[#This Row],[Adjusted 2031]]/$L416,0)</f>
        <v>7639</v>
      </c>
      <c r="BI416">
        <f>ROUNDUP(tbl_Data_old[[#This Row],[Adjusted 2032]]/$L416,0)</f>
        <v>9026</v>
      </c>
      <c r="BJ416">
        <f>ROUNDUP(tbl_Data_old[[#This Row],[Adjusted 2033]]/$L416,0)</f>
        <v>9652</v>
      </c>
      <c r="BK416">
        <f>ROUNDUP(tbl_Data_old[[#This Row],[Adjusted 2034]]/$L416,0)</f>
        <v>10236</v>
      </c>
      <c r="BL416" s="3">
        <f t="shared" si="27"/>
        <v>36269.051613159798</v>
      </c>
      <c r="BM416" s="3">
        <f t="shared" si="27"/>
        <v>76986.673781940975</v>
      </c>
      <c r="BN416" s="3">
        <f t="shared" si="27"/>
        <v>121710.61110856582</v>
      </c>
      <c r="BO416" s="3">
        <f t="shared" si="27"/>
        <v>170205.3104835251</v>
      </c>
      <c r="BP416" s="3">
        <f t="shared" si="27"/>
        <v>222196.8224694377</v>
      </c>
      <c r="BQ416" s="3">
        <f t="shared" si="26"/>
        <v>277397.35416493745</v>
      </c>
      <c r="BR416" s="3">
        <f t="shared" si="26"/>
        <v>335537.22198901221</v>
      </c>
      <c r="BS416" s="3">
        <f t="shared" si="26"/>
        <v>396496.16752356547</v>
      </c>
      <c r="BT416" s="3">
        <f t="shared" si="26"/>
        <v>423969.90904488356</v>
      </c>
      <c r="BU416" s="3">
        <f t="shared" si="26"/>
        <v>449652.71321189532</v>
      </c>
      <c r="BV416">
        <f>VLOOKUP($H416,'1. Set Program Names'!$B$2:$D$15,3,0)*V416</f>
        <v>12415.088858597072</v>
      </c>
      <c r="BW416">
        <f>VLOOKUP($H416,'1. Set Program Names'!$B$2:$D$15,3,0)*W416</f>
        <v>26352.94702836463</v>
      </c>
      <c r="BX416">
        <f>VLOOKUP($H416,'1. Set Program Names'!$B$2:$D$15,3,0)*X416</f>
        <v>41662.18813945305</v>
      </c>
      <c r="BY416">
        <f>VLOOKUP($H416,'1. Set Program Names'!$B$2:$D$15,3,0)*Y416</f>
        <v>58262.181112321938</v>
      </c>
      <c r="BZ416">
        <f>VLOOKUP($H416,'1. Set Program Names'!$B$2:$D$15,3,0)*Z416</f>
        <v>76059.151600618759</v>
      </c>
      <c r="CA416">
        <f>VLOOKUP($H416,'1. Set Program Names'!$B$2:$D$15,3,0)*AA416</f>
        <v>94954.586566797312</v>
      </c>
      <c r="CB416">
        <f>VLOOKUP($H416,'1. Set Program Names'!$B$2:$D$15,3,0)*AB416</f>
        <v>114856.17188978038</v>
      </c>
      <c r="CC416">
        <f>VLOOKUP($H416,'1. Set Program Names'!$B$2:$D$15,3,0)*AC416</f>
        <v>135722.74247480385</v>
      </c>
      <c r="CD416">
        <f>VLOOKUP($H416,'1. Set Program Names'!$B$2:$D$15,3,0)*AD416</f>
        <v>145127.15000945059</v>
      </c>
      <c r="CE416">
        <f>VLOOKUP($H416,'1. Set Program Names'!$B$2:$D$15,3,0)*AE416</f>
        <v>153918.51018264316</v>
      </c>
    </row>
    <row r="417" spans="1:83" x14ac:dyDescent="0.25">
      <c r="A417" s="20" t="s">
        <v>113</v>
      </c>
      <c r="B417" s="20" t="s">
        <v>88</v>
      </c>
      <c r="C417" s="20" t="s">
        <v>122</v>
      </c>
      <c r="D417" s="20" t="s">
        <v>90</v>
      </c>
      <c r="E417" s="20" t="s">
        <v>91</v>
      </c>
      <c r="F417" s="20" t="s">
        <v>90</v>
      </c>
      <c r="G417" s="20" t="s">
        <v>92</v>
      </c>
      <c r="H417" s="20" t="s">
        <v>18</v>
      </c>
      <c r="I417" s="20" t="s">
        <v>157</v>
      </c>
      <c r="J417" s="20" t="s">
        <v>158</v>
      </c>
      <c r="K417" s="20" t="s">
        <v>159</v>
      </c>
      <c r="L417" s="20">
        <v>562.52</v>
      </c>
      <c r="M417" s="20">
        <v>0</v>
      </c>
      <c r="N417" s="20">
        <v>2.7796637938074201E-2</v>
      </c>
      <c r="O417" s="20">
        <v>169</v>
      </c>
      <c r="P417" s="20">
        <v>53.285725702774101</v>
      </c>
      <c r="Q417" s="20">
        <v>17.802743307140201</v>
      </c>
      <c r="R417" s="20">
        <v>275.373630058213</v>
      </c>
      <c r="S417" s="20">
        <v>610.96426176974103</v>
      </c>
      <c r="T417" s="20">
        <v>15</v>
      </c>
      <c r="U417" s="20">
        <v>0.2</v>
      </c>
      <c r="V417" s="20">
        <v>75.2721609243507</v>
      </c>
      <c r="W417" s="20">
        <v>157.25932409465699</v>
      </c>
      <c r="X417" s="20">
        <v>244.549115842676</v>
      </c>
      <c r="Y417" s="20">
        <v>336.27896460396698</v>
      </c>
      <c r="Z417" s="20">
        <v>431.60629232356001</v>
      </c>
      <c r="AA417" s="20">
        <v>529.69758785942599</v>
      </c>
      <c r="AB417" s="20">
        <v>629.84433624748397</v>
      </c>
      <c r="AC417" s="20">
        <v>731.63759047099404</v>
      </c>
      <c r="AD417" s="20">
        <v>834.79582601637799</v>
      </c>
      <c r="AE417" s="20">
        <v>938.95246952606499</v>
      </c>
      <c r="AF417" t="str">
        <f t="shared" si="28"/>
        <v>NonResidential</v>
      </c>
      <c r="AG417" t="str">
        <f>tbl_Data_old[[#This Row],[All_Meas_Name_Append]]</f>
        <v>LED Exterior Wall Packs</v>
      </c>
      <c r="AH417">
        <f>AVERAGEIFS('3. Incentive Adjustment'!G:G,'3. Incentive Adjustment'!A:A,tbl_Data_old[[#This Row],[Trimmed Sector]],'3. Incentive Adjustment'!B:B,tbl_Data_old[[#This Row],[Trimmed Measure Name]])</f>
        <v>0.80637708305213962</v>
      </c>
      <c r="AI417">
        <f>$AH417*tbl_Data_old[[#This Row],[2025 ]]</f>
        <v>60.69774556120916</v>
      </c>
      <c r="AJ417">
        <f>$AH417*tbl_Data_old[[#This Row],[2026 ]]</f>
        <v>126.81031504620056</v>
      </c>
      <c r="AK417">
        <f>$AH417*tbl_Data_old[[#This Row],[2027 ]]</f>
        <v>197.19880269619685</v>
      </c>
      <c r="AL417">
        <f>$AH417*tbl_Data_old[[#This Row],[2028 ]]</f>
        <v>271.16765056914062</v>
      </c>
      <c r="AM417">
        <f>$AH417*tbl_Data_old[[#This Row],[2029 ]]</f>
        <v>348.0374230308214</v>
      </c>
      <c r="AN417">
        <f>$AH417*tbl_Data_old[[#This Row],[2030 ]]</f>
        <v>427.1359957978384</v>
      </c>
      <c r="AO417">
        <f>$AH417*tbl_Data_old[[#This Row],[2031 ]]</f>
        <v>507.89203864015712</v>
      </c>
      <c r="AP417">
        <f>$AH417*tbl_Data_old[[#This Row],[2032 ]]</f>
        <v>589.97578605529611</v>
      </c>
      <c r="AQ417">
        <f>$AH417*tbl_Data_old[[#This Row],[2033 ]]</f>
        <v>673.16022312718837</v>
      </c>
      <c r="AR417">
        <f>$AH417*tbl_Data_old[[#This Row],[2034 ]]</f>
        <v>757.14975350103134</v>
      </c>
      <c r="AS417">
        <f>SUM(tbl_Data_old[[#This Row],[Adjusted 2025]:[Adjusted 2034]])</f>
        <v>3959.2257340250799</v>
      </c>
      <c r="AT417" s="3">
        <f>AVERAGEIFS('3. Incentive Adjustment'!F:F,'3. Incentive Adjustment'!A:A,tbl_Data_old[[#This Row],[Trimmed Sector]],'3. Incentive Adjustment'!B:B,tbl_Data_old[[#This Row],[Trimmed Measure Name]])</f>
        <v>8.6864493556481861</v>
      </c>
      <c r="AU417" s="3">
        <f>IFERROR(VLOOKUP(tbl_Data_old[[#This Row],[All_Meas_Name_Append]],'IRA Tax Credits'!$A$3:$D$46,4,0),0)</f>
        <v>0</v>
      </c>
      <c r="AV417" s="4">
        <f>tbl_Data_old[[#This Row],[Adj. per unit Incentive ($)]]/tbl_Data_old[[#This Row],[kWh Savings]]*tbl_Data_old[[#This Row],[Sum of Annuals]]</f>
        <v>61.138472989738801</v>
      </c>
      <c r="AW417" s="4">
        <f>IFERROR(VLOOKUP(tbl_Data_old[[#This Row],[All_Programs]],'1. Set Program Names'!$B$2:$D$15,3,0)*tbl_Data_old[[#This Row],[Sum of Annuals]],"")</f>
        <v>125.30235269478813</v>
      </c>
      <c r="AX417" s="4">
        <f>tbl_Data_old[[#This Row],[per unit IRA tax ($)]]/tbl_Data_old[[#This Row],[kWh Savings]]*tbl_Data_old[[#This Row],[Sum of Annuals]]</f>
        <v>0</v>
      </c>
      <c r="AY417" s="4">
        <f>tbl_Data_old[[#This Row],[Avoided Costs ($/unit)]]/tbl_Data_old[[#This Row],[kWh Savings]]*tbl_Data_old[[#This Row],[Sum of Annuals]]</f>
        <v>1938.1823981340738</v>
      </c>
      <c r="AZ417" s="4">
        <f>tbl_Data_old[[#This Row],[Lost Revenue ($/unit)]]/tbl_Data_old[[#This Row],[kWh Savings]]*tbl_Data_old[[#This Row],[Sum of Annuals]]</f>
        <v>4300.194531338253</v>
      </c>
      <c r="BA417" s="4">
        <f>tbl_Data_old[[#This Row],[Incremental Cost ($/unit)]]/tbl_Data_old[[#This Row],[kWh Savings]]*tbl_Data_old[[#This Row],[Sum of Annuals]]</f>
        <v>1189.4850832863515</v>
      </c>
      <c r="BB417">
        <f>ROUNDUP(tbl_Data_old[[#This Row],[Adjusted 2025]]/$L417,0)</f>
        <v>1</v>
      </c>
      <c r="BC417">
        <f>ROUNDUP(tbl_Data_old[[#This Row],[Adjusted 2026]]/$L417,0)</f>
        <v>1</v>
      </c>
      <c r="BD417">
        <f>ROUNDUP(tbl_Data_old[[#This Row],[Adjusted 2027]]/$L417,0)</f>
        <v>1</v>
      </c>
      <c r="BE417">
        <f>ROUNDUP(tbl_Data_old[[#This Row],[Adjusted 2028]]/$L417,0)</f>
        <v>1</v>
      </c>
      <c r="BF417">
        <f>ROUNDUP(tbl_Data_old[[#This Row],[Adjusted 2029]]/$L417,0)</f>
        <v>1</v>
      </c>
      <c r="BG417">
        <f>ROUNDUP(tbl_Data_old[[#This Row],[Adjusted 2030]]/$L417,0)</f>
        <v>1</v>
      </c>
      <c r="BH417">
        <f>ROUNDUP(tbl_Data_old[[#This Row],[Adjusted 2031]]/$L417,0)</f>
        <v>1</v>
      </c>
      <c r="BI417">
        <f>ROUNDUP(tbl_Data_old[[#This Row],[Adjusted 2032]]/$L417,0)</f>
        <v>2</v>
      </c>
      <c r="BJ417">
        <f>ROUNDUP(tbl_Data_old[[#This Row],[Adjusted 2033]]/$L417,0)</f>
        <v>2</v>
      </c>
      <c r="BK417">
        <f>ROUNDUP(tbl_Data_old[[#This Row],[Adjusted 2034]]/$L417,0)</f>
        <v>2</v>
      </c>
      <c r="BL417" s="3">
        <f t="shared" si="27"/>
        <v>1.1623547851802116</v>
      </c>
      <c r="BM417" s="3">
        <f t="shared" si="27"/>
        <v>2.4284028202583063</v>
      </c>
      <c r="BN417" s="3">
        <f t="shared" si="27"/>
        <v>3.7763341920926305</v>
      </c>
      <c r="BO417" s="3">
        <f t="shared" si="27"/>
        <v>5.1928290467933014</v>
      </c>
      <c r="BP417" s="3">
        <f t="shared" si="27"/>
        <v>6.6648762707951548</v>
      </c>
      <c r="BQ417" s="3">
        <f t="shared" si="26"/>
        <v>8.1796047620527439</v>
      </c>
      <c r="BR417" s="3">
        <f t="shared" si="26"/>
        <v>9.7260736129481913</v>
      </c>
      <c r="BS417" s="3">
        <f t="shared" si="26"/>
        <v>11.297967852369263</v>
      </c>
      <c r="BT417" s="3">
        <f t="shared" si="26"/>
        <v>12.890940171012163</v>
      </c>
      <c r="BU417" s="3">
        <f t="shared" si="26"/>
        <v>14.499329932978313</v>
      </c>
      <c r="BV417">
        <f>VLOOKUP($H417,'1. Set Program Names'!$B$2:$D$15,3,0)*V417</f>
        <v>2.3822281147514119</v>
      </c>
      <c r="BW417">
        <f>VLOOKUP($H417,'1. Set Program Names'!$B$2:$D$15,3,0)*W417</f>
        <v>4.9769739378360693</v>
      </c>
      <c r="BX417">
        <f>VLOOKUP($H417,'1. Set Program Names'!$B$2:$D$15,3,0)*X417</f>
        <v>7.7395383903421262</v>
      </c>
      <c r="BY417">
        <f>VLOOKUP($H417,'1. Set Program Names'!$B$2:$D$15,3,0)*Y417</f>
        <v>10.64262263819119</v>
      </c>
      <c r="BZ417">
        <f>VLOOKUP($H417,'1. Set Program Names'!$B$2:$D$15,3,0)*Z417</f>
        <v>13.659560605814644</v>
      </c>
      <c r="CA417">
        <f>VLOOKUP($H417,'1. Set Program Names'!$B$2:$D$15,3,0)*AA417</f>
        <v>16.763973169083236</v>
      </c>
      <c r="CB417">
        <f>VLOOKUP($H417,'1. Set Program Names'!$B$2:$D$15,3,0)*AB417</f>
        <v>19.933437107427388</v>
      </c>
      <c r="CC417">
        <f>VLOOKUP($H417,'1. Set Program Names'!$B$2:$D$15,3,0)*AC417</f>
        <v>23.155009985439928</v>
      </c>
      <c r="CD417">
        <f>VLOOKUP($H417,'1. Set Program Names'!$B$2:$D$15,3,0)*AD417</f>
        <v>26.419782060089677</v>
      </c>
      <c r="CE417">
        <f>VLOOKUP($H417,'1. Set Program Names'!$B$2:$D$15,3,0)*AE417</f>
        <v>29.716151945847102</v>
      </c>
    </row>
    <row r="418" spans="1:83" x14ac:dyDescent="0.25">
      <c r="A418" s="20" t="s">
        <v>113</v>
      </c>
      <c r="B418" s="20" t="s">
        <v>88</v>
      </c>
      <c r="C418" s="20" t="s">
        <v>122</v>
      </c>
      <c r="D418" s="20" t="s">
        <v>90</v>
      </c>
      <c r="E418" s="20" t="s">
        <v>91</v>
      </c>
      <c r="F418" s="20" t="s">
        <v>90</v>
      </c>
      <c r="G418" s="20" t="s">
        <v>92</v>
      </c>
      <c r="H418" s="20" t="s">
        <v>18</v>
      </c>
      <c r="I418" s="20" t="s">
        <v>160</v>
      </c>
      <c r="J418" s="20" t="s">
        <v>161</v>
      </c>
      <c r="K418" s="20" t="s">
        <v>159</v>
      </c>
      <c r="L418" s="20">
        <v>698.53499999999997</v>
      </c>
      <c r="M418" s="20">
        <v>9.14911955902553E-2</v>
      </c>
      <c r="N418" s="20">
        <v>9.6647765821509996E-2</v>
      </c>
      <c r="O418" s="20">
        <v>179</v>
      </c>
      <c r="P418" s="20">
        <v>35.4245718525491</v>
      </c>
      <c r="Q418" s="20">
        <v>22.107372708620399</v>
      </c>
      <c r="R418" s="20">
        <v>291.28765455670799</v>
      </c>
      <c r="S418" s="20">
        <v>758.69288308917999</v>
      </c>
      <c r="T418" s="20">
        <v>15</v>
      </c>
      <c r="U418" s="20">
        <v>0.2</v>
      </c>
      <c r="V418" s="20">
        <v>3339.9554904589199</v>
      </c>
      <c r="W418" s="20">
        <v>6975.3415961151304</v>
      </c>
      <c r="X418" s="20">
        <v>10845.1288358275</v>
      </c>
      <c r="Y418" s="20">
        <v>14911.306344502</v>
      </c>
      <c r="Z418" s="20">
        <v>19136.038849228898</v>
      </c>
      <c r="AA418" s="20">
        <v>23482.654921712001</v>
      </c>
      <c r="AB418" s="20">
        <v>27919.2744848359</v>
      </c>
      <c r="AC418" s="20">
        <v>32427.454196175499</v>
      </c>
      <c r="AD418" s="20">
        <v>36995.390174314598</v>
      </c>
      <c r="AE418" s="20">
        <v>41606.490189492899</v>
      </c>
      <c r="AF418" t="str">
        <f t="shared" si="28"/>
        <v>NonResidential</v>
      </c>
      <c r="AG418" t="str">
        <f>tbl_Data_old[[#This Row],[All_Meas_Name_Append]]</f>
        <v>LED High Bay_HID Baseline</v>
      </c>
      <c r="AH418">
        <f>AVERAGEIFS('3. Incentive Adjustment'!G:G,'3. Incentive Adjustment'!A:A,tbl_Data_old[[#This Row],[Trimmed Sector]],'3. Incentive Adjustment'!B:B,tbl_Data_old[[#This Row],[Trimmed Measure Name]])</f>
        <v>1.0603846876879557</v>
      </c>
      <c r="AI418">
        <f>$AH418*tbl_Data_old[[#This Row],[2025 ]]</f>
        <v>3541.6376596419545</v>
      </c>
      <c r="AJ418">
        <f>$AH418*tbl_Data_old[[#This Row],[2026 ]]</f>
        <v>7396.5454199133492</v>
      </c>
      <c r="AK418">
        <f>$AH418*tbl_Data_old[[#This Row],[2027 ]]</f>
        <v>11500.008553514586</v>
      </c>
      <c r="AL418">
        <f>$AH418*tbl_Data_old[[#This Row],[2028 ]]</f>
        <v>15811.720921134185</v>
      </c>
      <c r="AM418">
        <f>$AH418*tbl_Data_old[[#This Row],[2029 ]]</f>
        <v>20291.562578724173</v>
      </c>
      <c r="AN418">
        <f>$AH418*tbl_Data_old[[#This Row],[2030 ]]</f>
        <v>24900.647705243617</v>
      </c>
      <c r="AO418">
        <f>$AH418*tbl_Data_old[[#This Row],[2031 ]]</f>
        <v>29605.171155077027</v>
      </c>
      <c r="AP418">
        <f>$AH418*tbl_Data_old[[#This Row],[2032 ]]</f>
        <v>34385.575890327047</v>
      </c>
      <c r="AQ418">
        <f>$AH418*tbl_Data_old[[#This Row],[2033 ]]</f>
        <v>39229.345255884647</v>
      </c>
      <c r="AR418">
        <f>$AH418*tbl_Data_old[[#This Row],[2034 ]]</f>
        <v>44118.88510537742</v>
      </c>
      <c r="AS418">
        <f>SUM(tbl_Data_old[[#This Row],[Adjusted 2025]:[Adjusted 2034]])</f>
        <v>230781.10024483799</v>
      </c>
      <c r="AT418" s="3">
        <f>AVERAGEIFS('3. Incentive Adjustment'!F:F,'3. Incentive Adjustment'!A:A,tbl_Data_old[[#This Row],[Trimmed Sector]],'3. Incentive Adjustment'!B:B,tbl_Data_old[[#This Row],[Trimmed Measure Name]])</f>
        <v>28.590998621954778</v>
      </c>
      <c r="AU418" s="3">
        <f>IFERROR(VLOOKUP(tbl_Data_old[[#This Row],[All_Meas_Name_Append]],'IRA Tax Credits'!$A$3:$D$46,4,0),0)</f>
        <v>0</v>
      </c>
      <c r="AV418" s="4">
        <f>tbl_Data_old[[#This Row],[Adj. per unit Incentive ($)]]/tbl_Data_old[[#This Row],[kWh Savings]]*tbl_Data_old[[#This Row],[Sum of Annuals]]</f>
        <v>9445.8575720234076</v>
      </c>
      <c r="AW418" s="4">
        <f>IFERROR(VLOOKUP(tbl_Data_old[[#This Row],[All_Programs]],'1. Set Program Names'!$B$2:$D$15,3,0)*tbl_Data_old[[#This Row],[Sum of Annuals]],"")</f>
        <v>7303.8055318890711</v>
      </c>
      <c r="AX418" s="4">
        <f>tbl_Data_old[[#This Row],[per unit IRA tax ($)]]/tbl_Data_old[[#This Row],[kWh Savings]]*tbl_Data_old[[#This Row],[Sum of Annuals]]</f>
        <v>0</v>
      </c>
      <c r="AY418" s="4">
        <f>tbl_Data_old[[#This Row],[Avoided Costs ($/unit)]]/tbl_Data_old[[#This Row],[kWh Savings]]*tbl_Data_old[[#This Row],[Sum of Annuals]]</f>
        <v>96235.2429102842</v>
      </c>
      <c r="AZ418" s="4">
        <f>tbl_Data_old[[#This Row],[Lost Revenue ($/unit)]]/tbl_Data_old[[#This Row],[kWh Savings]]*tbl_Data_old[[#This Row],[Sum of Annuals]]</f>
        <v>250655.98474986825</v>
      </c>
      <c r="BA418" s="4">
        <f>tbl_Data_old[[#This Row],[Incremental Cost ($/unit)]]/tbl_Data_old[[#This Row],[kWh Savings]]*tbl_Data_old[[#This Row],[Sum of Annuals]]</f>
        <v>59137.791154095365</v>
      </c>
      <c r="BB418">
        <f>ROUNDUP(tbl_Data_old[[#This Row],[Adjusted 2025]]/$L418,0)</f>
        <v>6</v>
      </c>
      <c r="BC418">
        <f>ROUNDUP(tbl_Data_old[[#This Row],[Adjusted 2026]]/$L418,0)</f>
        <v>11</v>
      </c>
      <c r="BD418">
        <f>ROUNDUP(tbl_Data_old[[#This Row],[Adjusted 2027]]/$L418,0)</f>
        <v>17</v>
      </c>
      <c r="BE418">
        <f>ROUNDUP(tbl_Data_old[[#This Row],[Adjusted 2028]]/$L418,0)</f>
        <v>23</v>
      </c>
      <c r="BF418">
        <f>ROUNDUP(tbl_Data_old[[#This Row],[Adjusted 2029]]/$L418,0)</f>
        <v>30</v>
      </c>
      <c r="BG418">
        <f>ROUNDUP(tbl_Data_old[[#This Row],[Adjusted 2030]]/$L418,0)</f>
        <v>36</v>
      </c>
      <c r="BH418">
        <f>ROUNDUP(tbl_Data_old[[#This Row],[Adjusted 2031]]/$L418,0)</f>
        <v>43</v>
      </c>
      <c r="BI418">
        <f>ROUNDUP(tbl_Data_old[[#This Row],[Adjusted 2032]]/$L418,0)</f>
        <v>50</v>
      </c>
      <c r="BJ418">
        <f>ROUNDUP(tbl_Data_old[[#This Row],[Adjusted 2033]]/$L418,0)</f>
        <v>57</v>
      </c>
      <c r="BK418">
        <f>ROUNDUP(tbl_Data_old[[#This Row],[Adjusted 2034]]/$L418,0)</f>
        <v>64</v>
      </c>
      <c r="BL418" s="3">
        <f t="shared" si="27"/>
        <v>136.70419209502927</v>
      </c>
      <c r="BM418" s="3">
        <f t="shared" si="27"/>
        <v>285.50034280628967</v>
      </c>
      <c r="BN418" s="3">
        <f t="shared" si="27"/>
        <v>443.89051887173309</v>
      </c>
      <c r="BO418" s="3">
        <f t="shared" si="27"/>
        <v>610.31893770133524</v>
      </c>
      <c r="BP418" s="3">
        <f t="shared" si="27"/>
        <v>783.23700368338962</v>
      </c>
      <c r="BQ418" s="3">
        <f t="shared" si="26"/>
        <v>961.14375730136271</v>
      </c>
      <c r="BR418" s="3">
        <f t="shared" si="26"/>
        <v>1142.7343487755379</v>
      </c>
      <c r="BS418" s="3">
        <f t="shared" si="26"/>
        <v>1327.2538931282691</v>
      </c>
      <c r="BT418" s="3">
        <f t="shared" si="26"/>
        <v>1514.2192581509989</v>
      </c>
      <c r="BU418" s="3">
        <f t="shared" si="26"/>
        <v>1702.9513248042924</v>
      </c>
      <c r="BV418">
        <f>VLOOKUP($H418,'1. Set Program Names'!$B$2:$D$15,3,0)*V418</f>
        <v>105.70356654681378</v>
      </c>
      <c r="BW418">
        <f>VLOOKUP($H418,'1. Set Program Names'!$B$2:$D$15,3,0)*W418</f>
        <v>220.75697915675042</v>
      </c>
      <c r="BX418">
        <f>VLOOKUP($H418,'1. Set Program Names'!$B$2:$D$15,3,0)*X418</f>
        <v>343.22876483876337</v>
      </c>
      <c r="BY418">
        <f>VLOOKUP($H418,'1. Set Program Names'!$B$2:$D$15,3,0)*Y418</f>
        <v>471.91594827792812</v>
      </c>
      <c r="BZ418">
        <f>VLOOKUP($H418,'1. Set Program Names'!$B$2:$D$15,3,0)*Z418</f>
        <v>605.62111133521398</v>
      </c>
      <c r="CA418">
        <f>VLOOKUP($H418,'1. Set Program Names'!$B$2:$D$15,3,0)*AA418</f>
        <v>743.18366945422576</v>
      </c>
      <c r="CB418">
        <f>VLOOKUP($H418,'1. Set Program Names'!$B$2:$D$15,3,0)*AB418</f>
        <v>883.59467570063703</v>
      </c>
      <c r="CC418">
        <f>VLOOKUP($H418,'1. Set Program Names'!$B$2:$D$15,3,0)*AC418</f>
        <v>1026.2704315554267</v>
      </c>
      <c r="CD418">
        <f>VLOOKUP($H418,'1. Set Program Names'!$B$2:$D$15,3,0)*AD418</f>
        <v>1170.8373654640179</v>
      </c>
      <c r="CE418">
        <f>VLOOKUP($H418,'1. Set Program Names'!$B$2:$D$15,3,0)*AE418</f>
        <v>1316.7703632841301</v>
      </c>
    </row>
    <row r="419" spans="1:83" x14ac:dyDescent="0.25">
      <c r="A419" s="20" t="s">
        <v>113</v>
      </c>
      <c r="B419" s="20" t="s">
        <v>88</v>
      </c>
      <c r="C419" s="20" t="s">
        <v>122</v>
      </c>
      <c r="D419" s="20" t="s">
        <v>90</v>
      </c>
      <c r="E419" s="20" t="s">
        <v>91</v>
      </c>
      <c r="F419" s="20" t="s">
        <v>90</v>
      </c>
      <c r="G419" s="20" t="s">
        <v>92</v>
      </c>
      <c r="H419" s="20" t="s">
        <v>18</v>
      </c>
      <c r="I419" s="20" t="s">
        <v>162</v>
      </c>
      <c r="J419" s="20" t="s">
        <v>161</v>
      </c>
      <c r="K419" s="20" t="s">
        <v>159</v>
      </c>
      <c r="L419" s="20">
        <v>638.46285714285602</v>
      </c>
      <c r="M419" s="20">
        <v>7.6348348575361394E-2</v>
      </c>
      <c r="N419" s="20">
        <v>7.27444471789533E-2</v>
      </c>
      <c r="O419" s="20">
        <v>179</v>
      </c>
      <c r="P419" s="20">
        <v>51.129983050636802</v>
      </c>
      <c r="Q419" s="20">
        <v>20.206197747382401</v>
      </c>
      <c r="R419" s="20">
        <v>256.15438258671003</v>
      </c>
      <c r="S419" s="20">
        <v>693.44732308484095</v>
      </c>
      <c r="T419" s="20">
        <v>15</v>
      </c>
      <c r="U419" s="20">
        <v>0.2</v>
      </c>
      <c r="V419" s="20">
        <v>9757.2757727623994</v>
      </c>
      <c r="W419" s="20">
        <v>20377.616335588998</v>
      </c>
      <c r="X419" s="20">
        <v>31682.731444953199</v>
      </c>
      <c r="Y419" s="20">
        <v>43561.576958457197</v>
      </c>
      <c r="Z419" s="20">
        <v>55903.621705020603</v>
      </c>
      <c r="AA419" s="20">
        <v>68601.734544755294</v>
      </c>
      <c r="AB419" s="20">
        <v>81562.781690411794</v>
      </c>
      <c r="AC419" s="20">
        <v>94732.883149059795</v>
      </c>
      <c r="AD419" s="20">
        <v>108077.555309616</v>
      </c>
      <c r="AE419" s="20">
        <v>121548.325980785</v>
      </c>
      <c r="AF419" t="str">
        <f t="shared" si="28"/>
        <v>NonResidential</v>
      </c>
      <c r="AG419" t="str">
        <f>tbl_Data_old[[#This Row],[All_Meas_Name_Append]]</f>
        <v>LED High Bay_LF Baseline</v>
      </c>
      <c r="AH419">
        <f>AVERAGEIFS('3. Incentive Adjustment'!G:G,'3. Incentive Adjustment'!A:A,tbl_Data_old[[#This Row],[Trimmed Sector]],'3. Incentive Adjustment'!B:B,tbl_Data_old[[#This Row],[Trimmed Measure Name]])</f>
        <v>0.93017466414143679</v>
      </c>
      <c r="AI419">
        <f>$AH419*tbl_Data_old[[#This Row],[2025 ]]</f>
        <v>9075.970714864643</v>
      </c>
      <c r="AJ419">
        <f>$AH419*tbl_Data_old[[#This Row],[2026 ]]</f>
        <v>18954.742430959552</v>
      </c>
      <c r="AK419">
        <f>$AH419*tbl_Data_old[[#This Row],[2027 ]]</f>
        <v>29470.47408089268</v>
      </c>
      <c r="AL419">
        <f>$AH419*tbl_Data_old[[#This Row],[2028 ]]</f>
        <v>40519.875216804277</v>
      </c>
      <c r="AM419">
        <f>$AH419*tbl_Data_old[[#This Row],[2029 ]]</f>
        <v>52000.132543757478</v>
      </c>
      <c r="AN419">
        <f>$AH419*tbl_Data_old[[#This Row],[2030 ]]</f>
        <v>63811.595389687755</v>
      </c>
      <c r="AO419">
        <f>$AH419*tbl_Data_old[[#This Row],[2031 ]]</f>
        <v>75867.633065320115</v>
      </c>
      <c r="AP419">
        <f>$AH419*tbl_Data_old[[#This Row],[2032 ]]</f>
        <v>88118.127766326666</v>
      </c>
      <c r="AQ419">
        <f>$AH419*tbl_Data_old[[#This Row],[2033 ]]</f>
        <v>100531.00371134962</v>
      </c>
      <c r="AR419">
        <f>$AH419*tbl_Data_old[[#This Row],[2034 ]]</f>
        <v>113061.17329613055</v>
      </c>
      <c r="AS419">
        <f>SUM(tbl_Data_old[[#This Row],[Adjusted 2025]:[Adjusted 2034]])</f>
        <v>591410.72821609327</v>
      </c>
      <c r="AT419" s="3">
        <f>AVERAGEIFS('3. Incentive Adjustment'!F:F,'3. Incentive Adjustment'!A:A,tbl_Data_old[[#This Row],[Trimmed Sector]],'3. Incentive Adjustment'!B:B,tbl_Data_old[[#This Row],[Trimmed Measure Name]])</f>
        <v>23.858858929800434</v>
      </c>
      <c r="AU419" s="3">
        <f>IFERROR(VLOOKUP(tbl_Data_old[[#This Row],[All_Meas_Name_Append]],'IRA Tax Credits'!$A$3:$D$46,4,0),0)</f>
        <v>0</v>
      </c>
      <c r="AV419" s="4">
        <f>tbl_Data_old[[#This Row],[Adj. per unit Incentive ($)]]/tbl_Data_old[[#This Row],[kWh Savings]]*tbl_Data_old[[#This Row],[Sum of Annuals]]</f>
        <v>22100.557575459894</v>
      </c>
      <c r="AW419" s="4">
        <f>IFERROR(VLOOKUP(tbl_Data_old[[#This Row],[All_Programs]],'1. Set Program Names'!$B$2:$D$15,3,0)*tbl_Data_old[[#This Row],[Sum of Annuals]],"")</f>
        <v>18717.082741093585</v>
      </c>
      <c r="AX419" s="4">
        <f>tbl_Data_old[[#This Row],[per unit IRA tax ($)]]/tbl_Data_old[[#This Row],[kWh Savings]]*tbl_Data_old[[#This Row],[Sum of Annuals]]</f>
        <v>0</v>
      </c>
      <c r="AY419" s="4">
        <f>tbl_Data_old[[#This Row],[Avoided Costs ($/unit)]]/tbl_Data_old[[#This Row],[kWh Savings]]*tbl_Data_old[[#This Row],[Sum of Annuals]]</f>
        <v>237276.8411607905</v>
      </c>
      <c r="AZ419" s="4">
        <f>tbl_Data_old[[#This Row],[Lost Revenue ($/unit)]]/tbl_Data_old[[#This Row],[kWh Savings]]*tbl_Data_old[[#This Row],[Sum of Annuals]]</f>
        <v>642343.06152181327</v>
      </c>
      <c r="BA419" s="4">
        <f>tbl_Data_old[[#This Row],[Incremental Cost ($/unit)]]/tbl_Data_old[[#This Row],[kWh Savings]]*tbl_Data_old[[#This Row],[Sum of Annuals]]</f>
        <v>165808.42435285778</v>
      </c>
      <c r="BB419">
        <f>ROUNDUP(tbl_Data_old[[#This Row],[Adjusted 2025]]/$L419,0)</f>
        <v>15</v>
      </c>
      <c r="BC419">
        <f>ROUNDUP(tbl_Data_old[[#This Row],[Adjusted 2026]]/$L419,0)</f>
        <v>30</v>
      </c>
      <c r="BD419">
        <f>ROUNDUP(tbl_Data_old[[#This Row],[Adjusted 2027]]/$L419,0)</f>
        <v>47</v>
      </c>
      <c r="BE419">
        <f>ROUNDUP(tbl_Data_old[[#This Row],[Adjusted 2028]]/$L419,0)</f>
        <v>64</v>
      </c>
      <c r="BF419">
        <f>ROUNDUP(tbl_Data_old[[#This Row],[Adjusted 2029]]/$L419,0)</f>
        <v>82</v>
      </c>
      <c r="BG419">
        <f>ROUNDUP(tbl_Data_old[[#This Row],[Adjusted 2030]]/$L419,0)</f>
        <v>100</v>
      </c>
      <c r="BH419">
        <f>ROUNDUP(tbl_Data_old[[#This Row],[Adjusted 2031]]/$L419,0)</f>
        <v>119</v>
      </c>
      <c r="BI419">
        <f>ROUNDUP(tbl_Data_old[[#This Row],[Adjusted 2032]]/$L419,0)</f>
        <v>139</v>
      </c>
      <c r="BJ419">
        <f>ROUNDUP(tbl_Data_old[[#This Row],[Adjusted 2033]]/$L419,0)</f>
        <v>158</v>
      </c>
      <c r="BK419">
        <f>ROUNDUP(tbl_Data_old[[#This Row],[Adjusted 2034]]/$L419,0)</f>
        <v>178</v>
      </c>
      <c r="BL419" s="3">
        <f t="shared" si="27"/>
        <v>364.62178433256798</v>
      </c>
      <c r="BM419" s="3">
        <f t="shared" si="27"/>
        <v>761.49562662441701</v>
      </c>
      <c r="BN419" s="3">
        <f t="shared" si="27"/>
        <v>1183.9589595526854</v>
      </c>
      <c r="BO419" s="3">
        <f t="shared" si="27"/>
        <v>1627.8621501374596</v>
      </c>
      <c r="BP419" s="3">
        <f t="shared" si="27"/>
        <v>2089.0747347368074</v>
      </c>
      <c r="BQ419" s="3">
        <f t="shared" si="26"/>
        <v>2563.5933062222116</v>
      </c>
      <c r="BR419" s="3">
        <f t="shared" si="26"/>
        <v>3047.9375276144347</v>
      </c>
      <c r="BS419" s="3">
        <f t="shared" si="26"/>
        <v>3540.093945607493</v>
      </c>
      <c r="BT419" s="3">
        <f t="shared" si="26"/>
        <v>4038.7739345546124</v>
      </c>
      <c r="BU419" s="3">
        <f t="shared" si="26"/>
        <v>4542.1661264784743</v>
      </c>
      <c r="BV419">
        <f>VLOOKUP($H419,'1. Set Program Names'!$B$2:$D$15,3,0)*V419</f>
        <v>308.80017769940088</v>
      </c>
      <c r="BW419">
        <f>VLOOKUP($H419,'1. Set Program Names'!$B$2:$D$15,3,0)*W419</f>
        <v>644.91479917847857</v>
      </c>
      <c r="BX419">
        <f>VLOOKUP($H419,'1. Set Program Names'!$B$2:$D$15,3,0)*X419</f>
        <v>1002.7012998356695</v>
      </c>
      <c r="BY419">
        <f>VLOOKUP($H419,'1. Set Program Names'!$B$2:$D$15,3,0)*Y419</f>
        <v>1378.645332869314</v>
      </c>
      <c r="BZ419">
        <f>VLOOKUP($H419,'1. Set Program Names'!$B$2:$D$15,3,0)*Z419</f>
        <v>1769.248786094633</v>
      </c>
      <c r="CA419">
        <f>VLOOKUP($H419,'1. Set Program Names'!$B$2:$D$15,3,0)*AA419</f>
        <v>2171.1211521809905</v>
      </c>
      <c r="CB419">
        <f>VLOOKUP($H419,'1. Set Program Names'!$B$2:$D$15,3,0)*AB419</f>
        <v>2581.3149147598583</v>
      </c>
      <c r="CC419">
        <f>VLOOKUP($H419,'1. Set Program Names'!$B$2:$D$15,3,0)*AC419</f>
        <v>2998.1248692455706</v>
      </c>
      <c r="CD419">
        <f>VLOOKUP($H419,'1. Set Program Names'!$B$2:$D$15,3,0)*AD419</f>
        <v>3420.4596715500616</v>
      </c>
      <c r="CE419">
        <f>VLOOKUP($H419,'1. Set Program Names'!$B$2:$D$15,3,0)*AE419</f>
        <v>3846.7852642546309</v>
      </c>
    </row>
    <row r="420" spans="1:83" x14ac:dyDescent="0.25">
      <c r="A420" s="20" t="s">
        <v>113</v>
      </c>
      <c r="B420" s="20" t="s">
        <v>88</v>
      </c>
      <c r="C420" s="20" t="s">
        <v>122</v>
      </c>
      <c r="D420" s="20" t="s">
        <v>90</v>
      </c>
      <c r="E420" s="20" t="s">
        <v>91</v>
      </c>
      <c r="F420" s="20" t="s">
        <v>90</v>
      </c>
      <c r="G420" s="20" t="s">
        <v>92</v>
      </c>
      <c r="H420" s="20" t="s">
        <v>18</v>
      </c>
      <c r="I420" s="20" t="s">
        <v>163</v>
      </c>
      <c r="J420" s="20" t="s">
        <v>161</v>
      </c>
      <c r="K420" s="20" t="s">
        <v>159</v>
      </c>
      <c r="L420" s="20">
        <v>336.08</v>
      </c>
      <c r="M420" s="20">
        <v>5.3794325187228403E-2</v>
      </c>
      <c r="N420" s="20">
        <v>5.3413522005729602E-2</v>
      </c>
      <c r="O420" s="20">
        <v>109.08</v>
      </c>
      <c r="P420" s="20">
        <v>41.915763754167898</v>
      </c>
      <c r="Q420" s="20">
        <v>10.6363257673748</v>
      </c>
      <c r="R420" s="20">
        <v>148.30416484676499</v>
      </c>
      <c r="S420" s="20">
        <v>365.02323312162099</v>
      </c>
      <c r="T420" s="20">
        <v>15</v>
      </c>
      <c r="U420" s="20">
        <v>0.2</v>
      </c>
      <c r="V420" s="20">
        <v>12713.906027493</v>
      </c>
      <c r="W420" s="20">
        <v>26079.9848179363</v>
      </c>
      <c r="X420" s="20">
        <v>39797.288909579198</v>
      </c>
      <c r="Y420" s="20">
        <v>53729.717304905003</v>
      </c>
      <c r="Z420" s="20">
        <v>67783.106280984401</v>
      </c>
      <c r="AA420" s="20">
        <v>81852.027130745599</v>
      </c>
      <c r="AB420" s="20">
        <v>95879.732971926802</v>
      </c>
      <c r="AC420" s="20">
        <v>109849.537331036</v>
      </c>
      <c r="AD420" s="20">
        <v>123734.004887093</v>
      </c>
      <c r="AE420" s="20">
        <v>137522.965908257</v>
      </c>
      <c r="AF420" t="str">
        <f t="shared" si="28"/>
        <v>NonResidential</v>
      </c>
      <c r="AG420" t="str">
        <f>tbl_Data_old[[#This Row],[All_Meas_Name_Append]]</f>
        <v>LED Linear - Fixture Replacement</v>
      </c>
      <c r="AH420">
        <f>AVERAGEIFS('3. Incentive Adjustment'!G:G,'3. Incentive Adjustment'!A:A,tbl_Data_old[[#This Row],[Trimmed Sector]],'3. Incentive Adjustment'!B:B,tbl_Data_old[[#This Row],[Trimmed Measure Name]])</f>
        <v>0.56055357916158088</v>
      </c>
      <c r="AI420">
        <f>$AH420*tbl_Data_old[[#This Row],[2025 ]]</f>
        <v>7126.8255288351975</v>
      </c>
      <c r="AJ420">
        <f>$AH420*tbl_Data_old[[#This Row],[2026 ]]</f>
        <v>14619.228834173884</v>
      </c>
      <c r="AK420">
        <f>$AH420*tbl_Data_old[[#This Row],[2027 ]]</f>
        <v>22308.512739192109</v>
      </c>
      <c r="AL420">
        <f>$AH420*tbl_Data_old[[#This Row],[2028 ]]</f>
        <v>30118.38534260443</v>
      </c>
      <c r="AM420">
        <f>$AH420*tbl_Data_old[[#This Row],[2029 ]]</f>
        <v>37996.062832495641</v>
      </c>
      <c r="AN420">
        <f>$AH420*tbl_Data_old[[#This Row],[2030 ]]</f>
        <v>45882.446769770271</v>
      </c>
      <c r="AO420">
        <f>$AH420*tbl_Data_old[[#This Row],[2031 ]]</f>
        <v>53745.727486470205</v>
      </c>
      <c r="AP420">
        <f>$AH420*tbl_Data_old[[#This Row],[2032 ]]</f>
        <v>61576.551320155922</v>
      </c>
      <c r="AQ420">
        <f>$AH420*tbl_Data_old[[#This Row],[2033 ]]</f>
        <v>69359.53930345652</v>
      </c>
      <c r="AR420">
        <f>$AH420*tbl_Data_old[[#This Row],[2034 ]]</f>
        <v>77088.990756789528</v>
      </c>
      <c r="AS420">
        <f>SUM(tbl_Data_old[[#This Row],[Adjusted 2025]:[Adjusted 2034]])</f>
        <v>419822.27091394371</v>
      </c>
      <c r="AT420" s="3">
        <f>AVERAGEIFS('3. Incentive Adjustment'!F:F,'3. Incentive Adjustment'!A:A,tbl_Data_old[[#This Row],[Trimmed Sector]],'3. Incentive Adjustment'!B:B,tbl_Data_old[[#This Row],[Trimmed Measure Name]])</f>
        <v>16.810726621008875</v>
      </c>
      <c r="AU420" s="3">
        <f>IFERROR(VLOOKUP(tbl_Data_old[[#This Row],[All_Meas_Name_Append]],'IRA Tax Credits'!$A$3:$D$46,4,0),0)</f>
        <v>0</v>
      </c>
      <c r="AV420" s="4">
        <f>tbl_Data_old[[#This Row],[Adj. per unit Incentive ($)]]/tbl_Data_old[[#This Row],[kWh Savings]]*tbl_Data_old[[#This Row],[Sum of Annuals]]</f>
        <v>20999.51626322731</v>
      </c>
      <c r="AW420" s="4">
        <f>IFERROR(VLOOKUP(tbl_Data_old[[#This Row],[All_Programs]],'1. Set Program Names'!$B$2:$D$15,3,0)*tbl_Data_old[[#This Row],[Sum of Annuals]],"")</f>
        <v>13286.617584622074</v>
      </c>
      <c r="AX420" s="4">
        <f>tbl_Data_old[[#This Row],[per unit IRA tax ($)]]/tbl_Data_old[[#This Row],[kWh Savings]]*tbl_Data_old[[#This Row],[Sum of Annuals]]</f>
        <v>0</v>
      </c>
      <c r="AY420" s="4">
        <f>tbl_Data_old[[#This Row],[Avoided Costs ($/unit)]]/tbl_Data_old[[#This Row],[kWh Savings]]*tbl_Data_old[[#This Row],[Sum of Annuals]]</f>
        <v>185257.65077352041</v>
      </c>
      <c r="AZ420" s="4">
        <f>tbl_Data_old[[#This Row],[Lost Revenue ($/unit)]]/tbl_Data_old[[#This Row],[kWh Savings]]*tbl_Data_old[[#This Row],[Sum of Annuals]]</f>
        <v>455977.39426764107</v>
      </c>
      <c r="BA420" s="4">
        <f>tbl_Data_old[[#This Row],[Incremental Cost ($/unit)]]/tbl_Data_old[[#This Row],[kWh Savings]]*tbl_Data_old[[#This Row],[Sum of Annuals]]</f>
        <v>136259.85869820573</v>
      </c>
      <c r="BB420">
        <f>ROUNDUP(tbl_Data_old[[#This Row],[Adjusted 2025]]/$L420,0)</f>
        <v>22</v>
      </c>
      <c r="BC420">
        <f>ROUNDUP(tbl_Data_old[[#This Row],[Adjusted 2026]]/$L420,0)</f>
        <v>44</v>
      </c>
      <c r="BD420">
        <f>ROUNDUP(tbl_Data_old[[#This Row],[Adjusted 2027]]/$L420,0)</f>
        <v>67</v>
      </c>
      <c r="BE420">
        <f>ROUNDUP(tbl_Data_old[[#This Row],[Adjusted 2028]]/$L420,0)</f>
        <v>90</v>
      </c>
      <c r="BF420">
        <f>ROUNDUP(tbl_Data_old[[#This Row],[Adjusted 2029]]/$L420,0)</f>
        <v>114</v>
      </c>
      <c r="BG420">
        <f>ROUNDUP(tbl_Data_old[[#This Row],[Adjusted 2030]]/$L420,0)</f>
        <v>137</v>
      </c>
      <c r="BH420">
        <f>ROUNDUP(tbl_Data_old[[#This Row],[Adjusted 2031]]/$L420,0)</f>
        <v>160</v>
      </c>
      <c r="BI420">
        <f>ROUNDUP(tbl_Data_old[[#This Row],[Adjusted 2032]]/$L420,0)</f>
        <v>184</v>
      </c>
      <c r="BJ420">
        <f>ROUNDUP(tbl_Data_old[[#This Row],[Adjusted 2033]]/$L420,0)</f>
        <v>207</v>
      </c>
      <c r="BK420">
        <f>ROUNDUP(tbl_Data_old[[#This Row],[Adjusted 2034]]/$L420,0)</f>
        <v>230</v>
      </c>
      <c r="BL420" s="3">
        <f t="shared" si="27"/>
        <v>635.94976943996005</v>
      </c>
      <c r="BM420" s="3">
        <f t="shared" si="27"/>
        <v>1304.5212302261043</v>
      </c>
      <c r="BN420" s="3">
        <f t="shared" si="27"/>
        <v>1990.6609858255308</v>
      </c>
      <c r="BO420" s="3">
        <f t="shared" si="27"/>
        <v>2687.5612623091165</v>
      </c>
      <c r="BP420" s="3">
        <f t="shared" si="27"/>
        <v>3390.5119888491386</v>
      </c>
      <c r="BQ420" s="3">
        <f t="shared" si="26"/>
        <v>4094.2396199427694</v>
      </c>
      <c r="BR420" s="3">
        <f t="shared" si="26"/>
        <v>4795.9056756914797</v>
      </c>
      <c r="BS420" s="3">
        <f t="shared" si="26"/>
        <v>5494.6754984419049</v>
      </c>
      <c r="BT420" s="3">
        <f t="shared" si="26"/>
        <v>6189.1767730287338</v>
      </c>
      <c r="BU420" s="3">
        <f t="shared" si="26"/>
        <v>6878.9008093133543</v>
      </c>
      <c r="BV420">
        <f>VLOOKUP($H420,'1. Set Program Names'!$B$2:$D$15,3,0)*V420</f>
        <v>402.3721919906144</v>
      </c>
      <c r="BW420">
        <f>VLOOKUP($H420,'1. Set Program Names'!$B$2:$D$15,3,0)*W420</f>
        <v>825.3844755170187</v>
      </c>
      <c r="BX420">
        <f>VLOOKUP($H420,'1. Set Program Names'!$B$2:$D$15,3,0)*X420</f>
        <v>1259.5124062741518</v>
      </c>
      <c r="BY420">
        <f>VLOOKUP($H420,'1. Set Program Names'!$B$2:$D$15,3,0)*Y420</f>
        <v>1700.4486331942551</v>
      </c>
      <c r="BZ420">
        <f>VLOOKUP($H420,'1. Set Program Names'!$B$2:$D$15,3,0)*Z420</f>
        <v>2145.2130443023671</v>
      </c>
      <c r="CA420">
        <f>VLOOKUP($H420,'1. Set Program Names'!$B$2:$D$15,3,0)*AA420</f>
        <v>2590.4690111955824</v>
      </c>
      <c r="CB420">
        <f>VLOOKUP($H420,'1. Set Program Names'!$B$2:$D$15,3,0)*AB420</f>
        <v>3034.420597412286</v>
      </c>
      <c r="CC420">
        <f>VLOOKUP($H420,'1. Set Program Names'!$B$2:$D$15,3,0)*AC420</f>
        <v>3476.5397061660888</v>
      </c>
      <c r="CD420">
        <f>VLOOKUP($H420,'1. Set Program Names'!$B$2:$D$15,3,0)*AD420</f>
        <v>3915.9580590367405</v>
      </c>
      <c r="CE420">
        <f>VLOOKUP($H420,'1. Set Program Names'!$B$2:$D$15,3,0)*AE420</f>
        <v>4352.3538023559904</v>
      </c>
    </row>
    <row r="421" spans="1:83" x14ac:dyDescent="0.25">
      <c r="A421" s="20" t="s">
        <v>113</v>
      </c>
      <c r="B421" s="20" t="s">
        <v>88</v>
      </c>
      <c r="C421" s="20" t="s">
        <v>122</v>
      </c>
      <c r="D421" s="20" t="s">
        <v>90</v>
      </c>
      <c r="E421" s="20" t="s">
        <v>91</v>
      </c>
      <c r="F421" s="20" t="s">
        <v>90</v>
      </c>
      <c r="G421" s="20" t="s">
        <v>92</v>
      </c>
      <c r="H421" s="20" t="s">
        <v>18</v>
      </c>
      <c r="I421" s="20" t="s">
        <v>164</v>
      </c>
      <c r="J421" s="20" t="s">
        <v>158</v>
      </c>
      <c r="K421" s="20" t="s">
        <v>159</v>
      </c>
      <c r="L421" s="20">
        <v>612.05999999999904</v>
      </c>
      <c r="M421" s="20">
        <v>0</v>
      </c>
      <c r="N421" s="20">
        <v>3.0244631686656E-2</v>
      </c>
      <c r="O421" s="20">
        <v>255</v>
      </c>
      <c r="P421" s="20">
        <v>129.095003330796</v>
      </c>
      <c r="Q421" s="20">
        <v>19.3705949451899</v>
      </c>
      <c r="R421" s="20">
        <v>299.625229349054</v>
      </c>
      <c r="S421" s="20">
        <v>664.77065003695395</v>
      </c>
      <c r="T421" s="20">
        <v>15</v>
      </c>
      <c r="U421" s="20">
        <v>0.2</v>
      </c>
      <c r="V421" s="20">
        <v>52923.007337535302</v>
      </c>
      <c r="W421" s="20">
        <v>110423.705337811</v>
      </c>
      <c r="X421" s="20">
        <v>171602.28359140101</v>
      </c>
      <c r="Y421" s="20">
        <v>235867.221833738</v>
      </c>
      <c r="Z421" s="20">
        <v>302600.61332520703</v>
      </c>
      <c r="AA421" s="20">
        <v>371234.21040526603</v>
      </c>
      <c r="AB421" s="20">
        <v>441244.73888752097</v>
      </c>
      <c r="AC421" s="20">
        <v>512327.75426612998</v>
      </c>
      <c r="AD421" s="20">
        <v>584324.41599500994</v>
      </c>
      <c r="AE421" s="20">
        <v>656958.41916831303</v>
      </c>
      <c r="AF421" t="str">
        <f t="shared" si="28"/>
        <v>NonResidential</v>
      </c>
      <c r="AG421" t="str">
        <f>tbl_Data_old[[#This Row],[All_Meas_Name_Append]]</f>
        <v>LED Parking Lighting</v>
      </c>
      <c r="AH421">
        <f>AVERAGEIFS('3. Incentive Adjustment'!G:G,'3. Incentive Adjustment'!A:A,tbl_Data_old[[#This Row],[Trimmed Sector]],'3. Incentive Adjustment'!B:B,tbl_Data_old[[#This Row],[Trimmed Measure Name]])</f>
        <v>0.59704067730377497</v>
      </c>
      <c r="AI421">
        <f>$AH421*tbl_Data_old[[#This Row],[2025 ]]</f>
        <v>31597.188145754728</v>
      </c>
      <c r="AJ421">
        <f>$AH421*tbl_Data_old[[#This Row],[2026 ]]</f>
        <v>65927.443825279144</v>
      </c>
      <c r="AK421">
        <f>$AH421*tbl_Data_old[[#This Row],[2027 ]]</f>
        <v>102453.54362228453</v>
      </c>
      <c r="AL421">
        <f>$AH421*tbl_Data_old[[#This Row],[2028 ]]</f>
        <v>140822.32587737468</v>
      </c>
      <c r="AM421">
        <f>$AH421*tbl_Data_old[[#This Row],[2029 ]]</f>
        <v>180664.87513221931</v>
      </c>
      <c r="AN421">
        <f>$AH421*tbl_Data_old[[#This Row],[2030 ]]</f>
        <v>221641.92441869213</v>
      </c>
      <c r="AO421">
        <f>$AH421*tbl_Data_old[[#This Row],[2031 ]]</f>
        <v>263441.05776213284</v>
      </c>
      <c r="AP421">
        <f>$AH421*tbl_Data_old[[#This Row],[2032 ]]</f>
        <v>305880.50940857222</v>
      </c>
      <c r="AQ421">
        <f>$AH421*tbl_Data_old[[#This Row],[2033 ]]</f>
        <v>348865.44509079348</v>
      </c>
      <c r="AR421">
        <f>$AH421*tbl_Data_old[[#This Row],[2034 ]]</f>
        <v>392230.8995406669</v>
      </c>
      <c r="AS421">
        <f>SUM(tbl_Data_old[[#This Row],[Adjusted 2025]:[Adjusted 2034]])</f>
        <v>2053525.21282377</v>
      </c>
      <c r="AT421" s="3">
        <f>AVERAGEIFS('3. Incentive Adjustment'!F:F,'3. Incentive Adjustment'!A:A,tbl_Data_old[[#This Row],[Trimmed Sector]],'3. Incentive Adjustment'!B:B,tbl_Data_old[[#This Row],[Trimmed Measure Name]])</f>
        <v>9.4514474020799994</v>
      </c>
      <c r="AU421" s="3">
        <f>IFERROR(VLOOKUP(tbl_Data_old[[#This Row],[All_Meas_Name_Append]],'IRA Tax Credits'!$A$3:$D$46,4,0),0)</f>
        <v>0</v>
      </c>
      <c r="AV421" s="4">
        <f>tbl_Data_old[[#This Row],[Adj. per unit Incentive ($)]]/tbl_Data_old[[#This Row],[kWh Savings]]*tbl_Data_old[[#This Row],[Sum of Annuals]]</f>
        <v>31710.592977565972</v>
      </c>
      <c r="AW421" s="4">
        <f>IFERROR(VLOOKUP(tbl_Data_old[[#This Row],[All_Programs]],'1. Set Program Names'!$B$2:$D$15,3,0)*tbl_Data_old[[#This Row],[Sum of Annuals]],"")</f>
        <v>64990.368766696323</v>
      </c>
      <c r="AX421" s="4">
        <f>tbl_Data_old[[#This Row],[per unit IRA tax ($)]]/tbl_Data_old[[#This Row],[kWh Savings]]*tbl_Data_old[[#This Row],[Sum of Annuals]]</f>
        <v>0</v>
      </c>
      <c r="AY421" s="4">
        <f>tbl_Data_old[[#This Row],[Avoided Costs ($/unit)]]/tbl_Data_old[[#This Row],[kWh Savings]]*tbl_Data_old[[#This Row],[Sum of Annuals]]</f>
        <v>1005273.9320759206</v>
      </c>
      <c r="AZ421" s="4">
        <f>tbl_Data_old[[#This Row],[Lost Revenue ($/unit)]]/tbl_Data_old[[#This Row],[kWh Savings]]*tbl_Data_old[[#This Row],[Sum of Annuals]]</f>
        <v>2230374.9478746103</v>
      </c>
      <c r="BA421" s="4">
        <f>tbl_Data_old[[#This Row],[Incremental Cost ($/unit)]]/tbl_Data_old[[#This Row],[kWh Savings]]*tbl_Data_old[[#This Row],[Sum of Annuals]]</f>
        <v>855551.6277326768</v>
      </c>
      <c r="BB421">
        <f>ROUNDUP(tbl_Data_old[[#This Row],[Adjusted 2025]]/$L421,0)</f>
        <v>52</v>
      </c>
      <c r="BC421">
        <f>ROUNDUP(tbl_Data_old[[#This Row],[Adjusted 2026]]/$L421,0)</f>
        <v>108</v>
      </c>
      <c r="BD421">
        <f>ROUNDUP(tbl_Data_old[[#This Row],[Adjusted 2027]]/$L421,0)</f>
        <v>168</v>
      </c>
      <c r="BE421">
        <f>ROUNDUP(tbl_Data_old[[#This Row],[Adjusted 2028]]/$L421,0)</f>
        <v>231</v>
      </c>
      <c r="BF421">
        <f>ROUNDUP(tbl_Data_old[[#This Row],[Adjusted 2029]]/$L421,0)</f>
        <v>296</v>
      </c>
      <c r="BG421">
        <f>ROUNDUP(tbl_Data_old[[#This Row],[Adjusted 2030]]/$L421,0)</f>
        <v>363</v>
      </c>
      <c r="BH421">
        <f>ROUNDUP(tbl_Data_old[[#This Row],[Adjusted 2031]]/$L421,0)</f>
        <v>431</v>
      </c>
      <c r="BI421">
        <f>ROUNDUP(tbl_Data_old[[#This Row],[Adjusted 2032]]/$L421,0)</f>
        <v>500</v>
      </c>
      <c r="BJ421">
        <f>ROUNDUP(tbl_Data_old[[#This Row],[Adjusted 2033]]/$L421,0)</f>
        <v>570</v>
      </c>
      <c r="BK421">
        <f>ROUNDUP(tbl_Data_old[[#This Row],[Adjusted 2034]]/$L421,0)</f>
        <v>641</v>
      </c>
      <c r="BL421" s="3">
        <f t="shared" si="27"/>
        <v>817.2385390494552</v>
      </c>
      <c r="BM421" s="3">
        <f t="shared" si="27"/>
        <v>1705.1659035766147</v>
      </c>
      <c r="BN421" s="3">
        <f t="shared" si="27"/>
        <v>2649.8871964201958</v>
      </c>
      <c r="BO421" s="3">
        <f t="shared" si="27"/>
        <v>3642.2681453392042</v>
      </c>
      <c r="BP421" s="3">
        <f t="shared" si="27"/>
        <v>4672.7670174171599</v>
      </c>
      <c r="BQ421" s="3">
        <f t="shared" si="26"/>
        <v>5732.6089166063412</v>
      </c>
      <c r="BR421" s="3">
        <f t="shared" si="26"/>
        <v>6813.7134284872955</v>
      </c>
      <c r="BS421" s="3">
        <f t="shared" si="26"/>
        <v>7911.3793126035062</v>
      </c>
      <c r="BT421" s="3">
        <f t="shared" si="26"/>
        <v>9023.1537488611539</v>
      </c>
      <c r="BU421" s="3">
        <f t="shared" si="26"/>
        <v>10144.770029282987</v>
      </c>
      <c r="BV421">
        <f>VLOOKUP($H421,'1. Set Program Names'!$B$2:$D$15,3,0)*V421</f>
        <v>1674.9177178980981</v>
      </c>
      <c r="BW421">
        <f>VLOOKUP($H421,'1. Set Program Names'!$B$2:$D$15,3,0)*W421</f>
        <v>3494.7110878765839</v>
      </c>
      <c r="BX421">
        <f>VLOOKUP($H421,'1. Set Program Names'!$B$2:$D$15,3,0)*X421</f>
        <v>5430.9027335859846</v>
      </c>
      <c r="BY421">
        <f>VLOOKUP($H421,'1. Set Program Names'!$B$2:$D$15,3,0)*Y421</f>
        <v>7464.7721056572764</v>
      </c>
      <c r="BZ421">
        <f>VLOOKUP($H421,'1. Set Program Names'!$B$2:$D$15,3,0)*Z421</f>
        <v>9576.7635703830056</v>
      </c>
      <c r="CA421">
        <f>VLOOKUP($H421,'1. Set Program Names'!$B$2:$D$15,3,0)*AA421</f>
        <v>11748.893114331624</v>
      </c>
      <c r="CB421">
        <f>VLOOKUP($H421,'1. Set Program Names'!$B$2:$D$15,3,0)*AB421</f>
        <v>13964.600053403679</v>
      </c>
      <c r="CC421">
        <f>VLOOKUP($H421,'1. Set Program Names'!$B$2:$D$15,3,0)*AC421</f>
        <v>16214.249268156709</v>
      </c>
      <c r="CD421">
        <f>VLOOKUP($H421,'1. Set Program Names'!$B$2:$D$15,3,0)*AD421</f>
        <v>18492.81374182921</v>
      </c>
      <c r="CE421">
        <f>VLOOKUP($H421,'1. Set Program Names'!$B$2:$D$15,3,0)*AE421</f>
        <v>20791.548922559356</v>
      </c>
    </row>
    <row r="422" spans="1:83" x14ac:dyDescent="0.25">
      <c r="A422" s="20" t="s">
        <v>113</v>
      </c>
      <c r="B422" s="20" t="s">
        <v>88</v>
      </c>
      <c r="C422" s="20" t="s">
        <v>122</v>
      </c>
      <c r="D422" s="20" t="s">
        <v>90</v>
      </c>
      <c r="E422" s="20" t="s">
        <v>91</v>
      </c>
      <c r="F422" s="20" t="s">
        <v>90</v>
      </c>
      <c r="G422" s="20" t="s">
        <v>92</v>
      </c>
      <c r="H422" s="20" t="s">
        <v>18</v>
      </c>
      <c r="I422" s="20" t="s">
        <v>165</v>
      </c>
      <c r="J422" s="20" t="s">
        <v>161</v>
      </c>
      <c r="K422" s="20" t="s">
        <v>166</v>
      </c>
      <c r="L422" s="20">
        <v>510.6</v>
      </c>
      <c r="M422" s="20">
        <v>6.2552429943266097E-2</v>
      </c>
      <c r="N422" s="20">
        <v>6.4361142955417797E-2</v>
      </c>
      <c r="O422" s="20">
        <v>129</v>
      </c>
      <c r="P422" s="20">
        <v>26.468747947944401</v>
      </c>
      <c r="Q422" s="20">
        <v>16.159568962215999</v>
      </c>
      <c r="R422" s="20">
        <v>174.74401692254699</v>
      </c>
      <c r="S422" s="20">
        <v>419.99719394182398</v>
      </c>
      <c r="T422" s="20">
        <v>10</v>
      </c>
      <c r="U422" s="20">
        <v>0.2</v>
      </c>
      <c r="V422" s="20">
        <v>6642.5065405618298</v>
      </c>
      <c r="W422" s="20">
        <v>15752.3312950117</v>
      </c>
      <c r="X422" s="20">
        <v>27870.371374681199</v>
      </c>
      <c r="Y422" s="20">
        <v>43500.470442186997</v>
      </c>
      <c r="Z422" s="20">
        <v>62860.525262992698</v>
      </c>
      <c r="AA422" s="20">
        <v>85590.084016140507</v>
      </c>
      <c r="AB422" s="20">
        <v>110575.253211041</v>
      </c>
      <c r="AC422" s="20">
        <v>135992.80900224301</v>
      </c>
      <c r="AD422" s="20">
        <v>159655.77234395</v>
      </c>
      <c r="AE422" s="20">
        <v>179727.721419009</v>
      </c>
      <c r="AF422" t="str">
        <f t="shared" si="28"/>
        <v>NonResidential</v>
      </c>
      <c r="AG422" t="str">
        <f>tbl_Data_old[[#This Row],[All_Meas_Name_Append]]</f>
        <v>Occupancy Sensors_ Ceiling Mounted</v>
      </c>
      <c r="AH422">
        <f>AVERAGEIFS('3. Incentive Adjustment'!G:G,'3. Incentive Adjustment'!A:A,tbl_Data_old[[#This Row],[Trimmed Sector]],'3. Incentive Adjustment'!B:B,tbl_Data_old[[#This Row],[Trimmed Measure Name]])</f>
        <v>0.99348124042467356</v>
      </c>
      <c r="AI422">
        <f>$AH422*tbl_Data_old[[#This Row],[2025 ]]</f>
        <v>6599.2056374463737</v>
      </c>
      <c r="AJ422">
        <f>$AH422*tbl_Data_old[[#This Row],[2026 ]]</f>
        <v>15649.645634548628</v>
      </c>
      <c r="AK422">
        <f>$AH422*tbl_Data_old[[#This Row],[2027 ]]</f>
        <v>27688.691124414592</v>
      </c>
      <c r="AL422">
        <f>$AH422*tbl_Data_old[[#This Row],[2028 ]]</f>
        <v>43216.901333960785</v>
      </c>
      <c r="AM422">
        <f>$AH422*tbl_Data_old[[#This Row],[2029 ]]</f>
        <v>62450.752612024517</v>
      </c>
      <c r="AN422">
        <f>$AH422*tbl_Data_old[[#This Row],[2030 ]]</f>
        <v>85032.142836407293</v>
      </c>
      <c r="AO422">
        <f>$AH422*tbl_Data_old[[#This Row],[2031 ]]</f>
        <v>109854.43972037737</v>
      </c>
      <c r="AP422">
        <f>$AH422*tbl_Data_old[[#This Row],[2032 ]]</f>
        <v>135106.30457638411</v>
      </c>
      <c r="AQ422">
        <f>$AH422*tbl_Data_old[[#This Row],[2033 ]]</f>
        <v>158615.01474922674</v>
      </c>
      <c r="AR422">
        <f>$AH422*tbl_Data_old[[#This Row],[2034 ]]</f>
        <v>178556.11961405724</v>
      </c>
      <c r="AS422">
        <f>SUM(tbl_Data_old[[#This Row],[Adjusted 2025]:[Adjusted 2034]])</f>
        <v>822769.21783884766</v>
      </c>
      <c r="AT422" s="3">
        <f>AVERAGEIFS('3. Incentive Adjustment'!F:F,'3. Incentive Adjustment'!A:A,tbl_Data_old[[#This Row],[Trimmed Sector]],'3. Incentive Adjustment'!B:B,tbl_Data_old[[#This Row],[Trimmed Measure Name]])</f>
        <v>19.547634357270656</v>
      </c>
      <c r="AU422" s="3">
        <f>IFERROR(VLOOKUP(tbl_Data_old[[#This Row],[All_Meas_Name_Append]],'IRA Tax Credits'!$A$3:$D$46,4,0),0)</f>
        <v>0</v>
      </c>
      <c r="AV422" s="4">
        <f>tbl_Data_old[[#This Row],[Adj. per unit Incentive ($)]]/tbl_Data_old[[#This Row],[kWh Savings]]*tbl_Data_old[[#This Row],[Sum of Annuals]]</f>
        <v>31498.613064495425</v>
      </c>
      <c r="AW422" s="4">
        <f>IFERROR(VLOOKUP(tbl_Data_old[[#This Row],[All_Programs]],'1. Set Program Names'!$B$2:$D$15,3,0)*tbl_Data_old[[#This Row],[Sum of Annuals]],"")</f>
        <v>26039.161605278958</v>
      </c>
      <c r="AX422" s="4">
        <f>tbl_Data_old[[#This Row],[per unit IRA tax ($)]]/tbl_Data_old[[#This Row],[kWh Savings]]*tbl_Data_old[[#This Row],[Sum of Annuals]]</f>
        <v>0</v>
      </c>
      <c r="AY422" s="4">
        <f>tbl_Data_old[[#This Row],[Avoided Costs ($/unit)]]/tbl_Data_old[[#This Row],[kWh Savings]]*tbl_Data_old[[#This Row],[Sum of Annuals]]</f>
        <v>281578.53138539434</v>
      </c>
      <c r="AZ422" s="4">
        <f>tbl_Data_old[[#This Row],[Lost Revenue ($/unit)]]/tbl_Data_old[[#This Row],[kWh Savings]]*tbl_Data_old[[#This Row],[Sum of Annuals]]</f>
        <v>676773.91843718232</v>
      </c>
      <c r="BA422" s="4">
        <f>tbl_Data_old[[#This Row],[Incremental Cost ($/unit)]]/tbl_Data_old[[#This Row],[kWh Savings]]*tbl_Data_old[[#This Row],[Sum of Annuals]]</f>
        <v>207867.66373131872</v>
      </c>
      <c r="BB422">
        <f>ROUNDUP(tbl_Data_old[[#This Row],[Adjusted 2025]]/$L422,0)</f>
        <v>13</v>
      </c>
      <c r="BC422">
        <f>ROUNDUP(tbl_Data_old[[#This Row],[Adjusted 2026]]/$L422,0)</f>
        <v>31</v>
      </c>
      <c r="BD422">
        <f>ROUNDUP(tbl_Data_old[[#This Row],[Adjusted 2027]]/$L422,0)</f>
        <v>55</v>
      </c>
      <c r="BE422">
        <f>ROUNDUP(tbl_Data_old[[#This Row],[Adjusted 2028]]/$L422,0)</f>
        <v>85</v>
      </c>
      <c r="BF422">
        <f>ROUNDUP(tbl_Data_old[[#This Row],[Adjusted 2029]]/$L422,0)</f>
        <v>123</v>
      </c>
      <c r="BG422">
        <f>ROUNDUP(tbl_Data_old[[#This Row],[Adjusted 2030]]/$L422,0)</f>
        <v>167</v>
      </c>
      <c r="BH422">
        <f>ROUNDUP(tbl_Data_old[[#This Row],[Adjusted 2031]]/$L422,0)</f>
        <v>216</v>
      </c>
      <c r="BI422">
        <f>ROUNDUP(tbl_Data_old[[#This Row],[Adjusted 2032]]/$L422,0)</f>
        <v>265</v>
      </c>
      <c r="BJ422">
        <f>ROUNDUP(tbl_Data_old[[#This Row],[Adjusted 2033]]/$L422,0)</f>
        <v>311</v>
      </c>
      <c r="BK422">
        <f>ROUNDUP(tbl_Data_old[[#This Row],[Adjusted 2034]]/$L422,0)</f>
        <v>350</v>
      </c>
      <c r="BL422" s="3">
        <f t="shared" si="27"/>
        <v>254.29943022068446</v>
      </c>
      <c r="BM422" s="3">
        <f t="shared" si="27"/>
        <v>603.05682026925285</v>
      </c>
      <c r="BN422" s="3">
        <f t="shared" si="27"/>
        <v>1066.9796886674712</v>
      </c>
      <c r="BO422" s="3">
        <f t="shared" si="27"/>
        <v>1665.3570124816515</v>
      </c>
      <c r="BP422" s="3">
        <f t="shared" si="27"/>
        <v>2406.5306763551825</v>
      </c>
      <c r="BQ422" s="3">
        <f t="shared" si="26"/>
        <v>3276.7012670497265</v>
      </c>
      <c r="BR422" s="3">
        <f t="shared" si="26"/>
        <v>4233.2248702155257</v>
      </c>
      <c r="BS422" s="3">
        <f t="shared" si="26"/>
        <v>5206.3018127575242</v>
      </c>
      <c r="BT422" s="3">
        <f t="shared" si="26"/>
        <v>6112.2065429047771</v>
      </c>
      <c r="BU422" s="3">
        <f t="shared" si="26"/>
        <v>6880.634120963944</v>
      </c>
      <c r="BV422">
        <f>VLOOKUP($H422,'1. Set Program Names'!$B$2:$D$15,3,0)*V422</f>
        <v>210.22335002777163</v>
      </c>
      <c r="BW422">
        <f>VLOOKUP($H422,'1. Set Program Names'!$B$2:$D$15,3,0)*W422</f>
        <v>498.5328708919231</v>
      </c>
      <c r="BX422">
        <f>VLOOKUP($H422,'1. Set Program Names'!$B$2:$D$15,3,0)*X422</f>
        <v>882.04698047734735</v>
      </c>
      <c r="BY422">
        <f>VLOOKUP($H422,'1. Set Program Names'!$B$2:$D$15,3,0)*Y422</f>
        <v>1376.7114218553909</v>
      </c>
      <c r="BZ422">
        <f>VLOOKUP($H422,'1. Set Program Names'!$B$2:$D$15,3,0)*Z422</f>
        <v>1989.4222346033216</v>
      </c>
      <c r="CA422">
        <f>VLOOKUP($H422,'1. Set Program Names'!$B$2:$D$15,3,0)*AA422</f>
        <v>2708.7717687831764</v>
      </c>
      <c r="CB422">
        <f>VLOOKUP($H422,'1. Set Program Names'!$B$2:$D$15,3,0)*AB422</f>
        <v>3499.5073046970642</v>
      </c>
      <c r="CC422">
        <f>VLOOKUP($H422,'1. Set Program Names'!$B$2:$D$15,3,0)*AC422</f>
        <v>4303.9270964301304</v>
      </c>
      <c r="CD422">
        <f>VLOOKUP($H422,'1. Set Program Names'!$B$2:$D$15,3,0)*AD422</f>
        <v>5052.8172021306882</v>
      </c>
      <c r="CE422">
        <f>VLOOKUP($H422,'1. Set Program Names'!$B$2:$D$15,3,0)*AE422</f>
        <v>5688.0581838864755</v>
      </c>
    </row>
    <row r="423" spans="1:83" x14ac:dyDescent="0.25">
      <c r="A423" s="20" t="s">
        <v>113</v>
      </c>
      <c r="B423" s="20" t="s">
        <v>88</v>
      </c>
      <c r="C423" s="20" t="s">
        <v>122</v>
      </c>
      <c r="D423" s="20" t="s">
        <v>90</v>
      </c>
      <c r="E423" s="20" t="s">
        <v>91</v>
      </c>
      <c r="F423" s="20" t="s">
        <v>90</v>
      </c>
      <c r="G423" s="20" t="s">
        <v>92</v>
      </c>
      <c r="H423" s="20" t="s">
        <v>18</v>
      </c>
      <c r="I423" s="20" t="s">
        <v>167</v>
      </c>
      <c r="J423" s="20" t="s">
        <v>124</v>
      </c>
      <c r="K423" s="20" t="s">
        <v>98</v>
      </c>
      <c r="L423" s="20">
        <v>151.66</v>
      </c>
      <c r="M423" s="20">
        <v>2.2013191527321101E-2</v>
      </c>
      <c r="N423" s="20">
        <v>1.95296013954902E-2</v>
      </c>
      <c r="O423" s="20">
        <v>56.6</v>
      </c>
      <c r="P423" s="20">
        <v>25.402483751835899</v>
      </c>
      <c r="Q423" s="20">
        <v>4.7997654304929203</v>
      </c>
      <c r="R423" s="20">
        <v>70.564478576335205</v>
      </c>
      <c r="S423" s="20">
        <v>171.417444155428</v>
      </c>
      <c r="T423" s="20">
        <v>16</v>
      </c>
      <c r="U423" s="20">
        <v>0.2</v>
      </c>
      <c r="V423" s="20">
        <v>965.51517445058698</v>
      </c>
      <c r="W423" s="20">
        <v>2278.6496164425098</v>
      </c>
      <c r="X423" s="20">
        <v>3975.0784467957601</v>
      </c>
      <c r="Y423" s="20">
        <v>6069.5634748889397</v>
      </c>
      <c r="Z423" s="20">
        <v>8542.1928392511309</v>
      </c>
      <c r="AA423" s="20">
        <v>11345.925989556499</v>
      </c>
      <c r="AB423" s="20">
        <v>14414.652919136101</v>
      </c>
      <c r="AC423" s="20">
        <v>17687.7704242443</v>
      </c>
      <c r="AD423" s="20">
        <v>21121.380496103699</v>
      </c>
      <c r="AE423" s="20">
        <v>24674.7100630936</v>
      </c>
      <c r="AF423" t="str">
        <f t="shared" si="28"/>
        <v>NonResidential</v>
      </c>
      <c r="AG423" t="str">
        <f>tbl_Data_old[[#This Row],[All_Meas_Name_Append]]</f>
        <v>Refrigerated Display Case LED Lighting</v>
      </c>
      <c r="AH423">
        <f>AVERAGEIFS('3. Incentive Adjustment'!G:G,'3. Incentive Adjustment'!A:A,tbl_Data_old[[#This Row],[Trimmed Sector]],'3. Incentive Adjustment'!B:B,tbl_Data_old[[#This Row],[Trimmed Measure Name]])</f>
        <v>0.72450810749703154</v>
      </c>
      <c r="AI423">
        <f>$AH423*tbl_Data_old[[#This Row],[2025 ]]</f>
        <v>699.52357180086108</v>
      </c>
      <c r="AJ423">
        <f>$AH423*tbl_Data_old[[#This Row],[2026 ]]</f>
        <v>1650.9001212575995</v>
      </c>
      <c r="AK423">
        <f>$AH423*tbl_Data_old[[#This Row],[2027 ]]</f>
        <v>2879.9765626402359</v>
      </c>
      <c r="AL423">
        <f>$AH423*tbl_Data_old[[#This Row],[2028 ]]</f>
        <v>4397.4479465248924</v>
      </c>
      <c r="AM423">
        <f>$AH423*tbl_Data_old[[#This Row],[2029 ]]</f>
        <v>6188.887967840531</v>
      </c>
      <c r="AN423">
        <f>$AH423*tbl_Data_old[[#This Row],[2030 ]]</f>
        <v>8220.2153664949637</v>
      </c>
      <c r="AO423">
        <f>$AH423*tbl_Data_old[[#This Row],[2031 ]]</f>
        <v>10443.532906669858</v>
      </c>
      <c r="AP423">
        <f>$AH423*tbl_Data_old[[#This Row],[2032 ]]</f>
        <v>12814.933075911204</v>
      </c>
      <c r="AQ423">
        <f>$AH423*tbl_Data_old[[#This Row],[2033 ]]</f>
        <v>15302.611410956804</v>
      </c>
      <c r="AR423">
        <f>$AH423*tbl_Data_old[[#This Row],[2034 ]]</f>
        <v>17877.027490849905</v>
      </c>
      <c r="AS423">
        <f>SUM(tbl_Data_old[[#This Row],[Adjusted 2025]:[Adjusted 2034]])</f>
        <v>80475.056420946843</v>
      </c>
      <c r="AT423" s="3">
        <f>AVERAGEIFS('3. Incentive Adjustment'!F:F,'3. Incentive Adjustment'!A:A,tbl_Data_old[[#This Row],[Trimmed Sector]],'3. Incentive Adjustment'!B:B,tbl_Data_old[[#This Row],[Trimmed Measure Name]])</f>
        <v>6.879122352287844</v>
      </c>
      <c r="AU423" s="3">
        <f>IFERROR(VLOOKUP(tbl_Data_old[[#This Row],[All_Meas_Name_Append]],'IRA Tax Credits'!$A$3:$D$46,4,0),0)</f>
        <v>0</v>
      </c>
      <c r="AV423" s="4">
        <f>tbl_Data_old[[#This Row],[Adj. per unit Incentive ($)]]/tbl_Data_old[[#This Row],[kWh Savings]]*tbl_Data_old[[#This Row],[Sum of Annuals]]</f>
        <v>3650.2555678950339</v>
      </c>
      <c r="AW423" s="4">
        <f>IFERROR(VLOOKUP(tbl_Data_old[[#This Row],[All_Programs]],'1. Set Program Names'!$B$2:$D$15,3,0)*tbl_Data_old[[#This Row],[Sum of Annuals]],"")</f>
        <v>2546.8903720574222</v>
      </c>
      <c r="AX423" s="4">
        <f>tbl_Data_old[[#This Row],[per unit IRA tax ($)]]/tbl_Data_old[[#This Row],[kWh Savings]]*tbl_Data_old[[#This Row],[Sum of Annuals]]</f>
        <v>0</v>
      </c>
      <c r="AY423" s="4">
        <f>tbl_Data_old[[#This Row],[Avoided Costs ($/unit)]]/tbl_Data_old[[#This Row],[kWh Savings]]*tbl_Data_old[[#This Row],[Sum of Annuals]]</f>
        <v>37443.494624457802</v>
      </c>
      <c r="AZ423" s="4">
        <f>tbl_Data_old[[#This Row],[Lost Revenue ($/unit)]]/tbl_Data_old[[#This Row],[kWh Savings]]*tbl_Data_old[[#This Row],[Sum of Annuals]]</f>
        <v>90958.911314404409</v>
      </c>
      <c r="BA423" s="4">
        <f>tbl_Data_old[[#This Row],[Incremental Cost ($/unit)]]/tbl_Data_old[[#This Row],[kWh Savings]]*tbl_Data_old[[#This Row],[Sum of Annuals]]</f>
        <v>30033.55000280622</v>
      </c>
      <c r="BB423">
        <f>ROUNDUP(tbl_Data_old[[#This Row],[Adjusted 2025]]/$L423,0)</f>
        <v>5</v>
      </c>
      <c r="BC423">
        <f>ROUNDUP(tbl_Data_old[[#This Row],[Adjusted 2026]]/$L423,0)</f>
        <v>11</v>
      </c>
      <c r="BD423">
        <f>ROUNDUP(tbl_Data_old[[#This Row],[Adjusted 2027]]/$L423,0)</f>
        <v>19</v>
      </c>
      <c r="BE423">
        <f>ROUNDUP(tbl_Data_old[[#This Row],[Adjusted 2028]]/$L423,0)</f>
        <v>29</v>
      </c>
      <c r="BF423">
        <f>ROUNDUP(tbl_Data_old[[#This Row],[Adjusted 2029]]/$L423,0)</f>
        <v>41</v>
      </c>
      <c r="BG423">
        <f>ROUNDUP(tbl_Data_old[[#This Row],[Adjusted 2030]]/$L423,0)</f>
        <v>55</v>
      </c>
      <c r="BH423">
        <f>ROUNDUP(tbl_Data_old[[#This Row],[Adjusted 2031]]/$L423,0)</f>
        <v>69</v>
      </c>
      <c r="BI423">
        <f>ROUNDUP(tbl_Data_old[[#This Row],[Adjusted 2032]]/$L423,0)</f>
        <v>85</v>
      </c>
      <c r="BJ423">
        <f>ROUNDUP(tbl_Data_old[[#This Row],[Adjusted 2033]]/$L423,0)</f>
        <v>101</v>
      </c>
      <c r="BK423">
        <f>ROUNDUP(tbl_Data_old[[#This Row],[Adjusted 2034]]/$L423,0)</f>
        <v>118</v>
      </c>
      <c r="BL423" s="3">
        <f t="shared" si="27"/>
        <v>43.794652631123107</v>
      </c>
      <c r="BM423" s="3">
        <f t="shared" si="27"/>
        <v>103.35691355335481</v>
      </c>
      <c r="BN423" s="3">
        <f t="shared" si="27"/>
        <v>180.30496502341001</v>
      </c>
      <c r="BO423" s="3">
        <f t="shared" si="27"/>
        <v>275.30838565698525</v>
      </c>
      <c r="BP423" s="3">
        <f t="shared" si="27"/>
        <v>387.46399642651733</v>
      </c>
      <c r="BQ423" s="3">
        <f t="shared" si="26"/>
        <v>514.63809232600352</v>
      </c>
      <c r="BR423" s="3">
        <f t="shared" si="26"/>
        <v>653.83199984505063</v>
      </c>
      <c r="BS423" s="3">
        <f t="shared" si="26"/>
        <v>802.29682769058957</v>
      </c>
      <c r="BT423" s="3">
        <f t="shared" si="26"/>
        <v>958.04141290995301</v>
      </c>
      <c r="BU423" s="3">
        <f t="shared" si="26"/>
        <v>1119.2163360889424</v>
      </c>
      <c r="BV423">
        <f>VLOOKUP($H423,'1. Set Program Names'!$B$2:$D$15,3,0)*V423</f>
        <v>30.556813641990484</v>
      </c>
      <c r="BW423">
        <f>VLOOKUP($H423,'1. Set Program Names'!$B$2:$D$15,3,0)*W423</f>
        <v>72.115150054112675</v>
      </c>
      <c r="BX423">
        <f>VLOOKUP($H423,'1. Set Program Names'!$B$2:$D$15,3,0)*X423</f>
        <v>125.80406245831341</v>
      </c>
      <c r="BY423">
        <f>VLOOKUP($H423,'1. Set Program Names'!$B$2:$D$15,3,0)*Y423</f>
        <v>192.09073549356762</v>
      </c>
      <c r="BZ423">
        <f>VLOOKUP($H423,'1. Set Program Names'!$B$2:$D$15,3,0)*Z423</f>
        <v>270.34499466201908</v>
      </c>
      <c r="CA423">
        <f>VLOOKUP($H423,'1. Set Program Names'!$B$2:$D$15,3,0)*AA423</f>
        <v>359.07809139921244</v>
      </c>
      <c r="CB423">
        <f>VLOOKUP($H423,'1. Set Program Names'!$B$2:$D$15,3,0)*AB423</f>
        <v>456.19776324557188</v>
      </c>
      <c r="CC423">
        <f>VLOOKUP($H423,'1. Set Program Names'!$B$2:$D$15,3,0)*AC423</f>
        <v>559.78602812068459</v>
      </c>
      <c r="CD423">
        <f>VLOOKUP($H423,'1. Set Program Names'!$B$2:$D$15,3,0)*AD423</f>
        <v>668.45359323147909</v>
      </c>
      <c r="CE423">
        <f>VLOOKUP($H423,'1. Set Program Names'!$B$2:$D$15,3,0)*AE423</f>
        <v>780.91006440902447</v>
      </c>
    </row>
    <row r="424" spans="1:83" x14ac:dyDescent="0.25">
      <c r="A424" s="20" t="s">
        <v>114</v>
      </c>
      <c r="B424" s="20" t="s">
        <v>88</v>
      </c>
      <c r="C424" s="20" t="s">
        <v>122</v>
      </c>
      <c r="D424" s="20" t="s">
        <v>90</v>
      </c>
      <c r="E424" s="20" t="s">
        <v>91</v>
      </c>
      <c r="F424" s="20" t="s">
        <v>90</v>
      </c>
      <c r="G424" s="20" t="s">
        <v>92</v>
      </c>
      <c r="H424" s="20" t="s">
        <v>18</v>
      </c>
      <c r="I424" s="20" t="s">
        <v>168</v>
      </c>
      <c r="J424" s="20" t="s">
        <v>129</v>
      </c>
      <c r="K424" s="20" t="s">
        <v>102</v>
      </c>
      <c r="L424" s="20">
        <v>3050.4666666666599</v>
      </c>
      <c r="M424" s="20">
        <v>1.01361966409546</v>
      </c>
      <c r="N424" s="20">
        <v>0</v>
      </c>
      <c r="O424" s="20">
        <v>742</v>
      </c>
      <c r="P424" s="20">
        <v>130.44720079847701</v>
      </c>
      <c r="Q424" s="20">
        <v>96.541767463653102</v>
      </c>
      <c r="R424" s="20">
        <v>1331.93833936435</v>
      </c>
      <c r="S424" s="20">
        <v>2509.1802589366698</v>
      </c>
      <c r="T424" s="20">
        <v>10</v>
      </c>
      <c r="U424" s="20">
        <v>1</v>
      </c>
      <c r="V424" s="20">
        <v>8.0566390345883203</v>
      </c>
      <c r="W424" s="20">
        <v>11.1087494049708</v>
      </c>
      <c r="X424" s="20">
        <v>14.8883713308465</v>
      </c>
      <c r="Y424" s="20">
        <v>19.3864607920938</v>
      </c>
      <c r="Z424" s="20">
        <v>24.288118563789102</v>
      </c>
      <c r="AA424" s="20">
        <v>28.904187074687002</v>
      </c>
      <c r="AB424" s="20">
        <v>32.281421245082498</v>
      </c>
      <c r="AC424" s="20">
        <v>33.458840072863502</v>
      </c>
      <c r="AD424" s="20">
        <v>31.848356074981901</v>
      </c>
      <c r="AE424" s="20">
        <v>27.735676610883498</v>
      </c>
      <c r="AF424" t="str">
        <f t="shared" si="28"/>
        <v>NonResidential</v>
      </c>
      <c r="AG424" t="str">
        <f>tbl_Data_old[[#This Row],[All_Meas_Name_Append]]</f>
        <v>Chilled Water Reset</v>
      </c>
      <c r="AH424">
        <f>AVERAGEIFS('3. Incentive Adjustment'!G:G,'3. Incentive Adjustment'!A:A,tbl_Data_old[[#This Row],[Trimmed Sector]],'3. Incentive Adjustment'!B:B,tbl_Data_old[[#This Row],[Trimmed Measure Name]])</f>
        <v>1.6724428329362533</v>
      </c>
      <c r="AI424">
        <f>$AH424*tbl_Data_old[[#This Row],[2025 ]]</f>
        <v>13.474268210951692</v>
      </c>
      <c r="AJ424">
        <f>$AH424*tbl_Data_old[[#This Row],[2026 ]]</f>
        <v>18.578748325228283</v>
      </c>
      <c r="AK424">
        <f>$AH424*tbl_Data_old[[#This Row],[2027 ]]</f>
        <v>24.899949926367814</v>
      </c>
      <c r="AL424">
        <f>$AH424*tbl_Data_old[[#This Row],[2028 ]]</f>
        <v>32.422747407736956</v>
      </c>
      <c r="AM424">
        <f>$AH424*tbl_Data_old[[#This Row],[2029 ]]</f>
        <v>40.62048981751505</v>
      </c>
      <c r="AN424">
        <f>$AH424*tbl_Data_old[[#This Row],[2030 ]]</f>
        <v>48.340600514908964</v>
      </c>
      <c r="AO424">
        <f>$AH424*tbl_Data_old[[#This Row],[2031 ]]</f>
        <v>53.988831598334329</v>
      </c>
      <c r="AP424">
        <f>$AH424*tbl_Data_old[[#This Row],[2032 ]]</f>
        <v>55.957997278220873</v>
      </c>
      <c r="AQ424">
        <f>$AH424*tbl_Data_old[[#This Row],[2033 ]]</f>
        <v>53.264554858405262</v>
      </c>
      <c r="AR424">
        <f>$AH424*tbl_Data_old[[#This Row],[2034 ]]</f>
        <v>46.386333564509776</v>
      </c>
      <c r="AS424">
        <f>SUM(tbl_Data_old[[#This Row],[Adjusted 2025]:[Adjusted 2034]])</f>
        <v>387.934521502179</v>
      </c>
      <c r="AT424" s="3">
        <f>AVERAGEIFS('3. Incentive Adjustment'!F:F,'3. Incentive Adjustment'!A:A,tbl_Data_old[[#This Row],[Trimmed Sector]],'3. Incentive Adjustment'!B:B,tbl_Data_old[[#This Row],[Trimmed Measure Name]])</f>
        <v>725.0262900596623</v>
      </c>
      <c r="AU424" s="3">
        <f>IFERROR(VLOOKUP(tbl_Data_old[[#This Row],[All_Meas_Name_Append]],'IRA Tax Credits'!$A$3:$D$46,4,0),0)</f>
        <v>0</v>
      </c>
      <c r="AV424" s="4">
        <f>tbl_Data_old[[#This Row],[Adj. per unit Incentive ($)]]/tbl_Data_old[[#This Row],[kWh Savings]]*tbl_Data_old[[#This Row],[Sum of Annuals]]</f>
        <v>92.20317992136583</v>
      </c>
      <c r="AW424" s="4">
        <f>IFERROR(VLOOKUP(tbl_Data_old[[#This Row],[All_Programs]],'1. Set Program Names'!$B$2:$D$15,3,0)*tbl_Data_old[[#This Row],[Sum of Annuals]],"")</f>
        <v>12.277427835955258</v>
      </c>
      <c r="AX424" s="4">
        <f>tbl_Data_old[[#This Row],[per unit IRA tax ($)]]/tbl_Data_old[[#This Row],[kWh Savings]]*tbl_Data_old[[#This Row],[Sum of Annuals]]</f>
        <v>0</v>
      </c>
      <c r="AY424" s="4">
        <f>tbl_Data_old[[#This Row],[Avoided Costs ($/unit)]]/tbl_Data_old[[#This Row],[kWh Savings]]*tbl_Data_old[[#This Row],[Sum of Annuals]]</f>
        <v>169.38551337010199</v>
      </c>
      <c r="AZ424" s="4">
        <f>tbl_Data_old[[#This Row],[Lost Revenue ($/unit)]]/tbl_Data_old[[#This Row],[kWh Savings]]*tbl_Data_old[[#This Row],[Sum of Annuals]]</f>
        <v>319.09794450465921</v>
      </c>
      <c r="BA424" s="4">
        <f>tbl_Data_old[[#This Row],[Incremental Cost ($/unit)]]/tbl_Data_old[[#This Row],[kWh Savings]]*tbl_Data_old[[#This Row],[Sum of Annuals]]</f>
        <v>94.361763758971563</v>
      </c>
      <c r="BB424">
        <f>ROUNDUP(tbl_Data_old[[#This Row],[Adjusted 2025]]/$L424,0)</f>
        <v>1</v>
      </c>
      <c r="BC424">
        <f>ROUNDUP(tbl_Data_old[[#This Row],[Adjusted 2026]]/$L424,0)</f>
        <v>1</v>
      </c>
      <c r="BD424">
        <f>ROUNDUP(tbl_Data_old[[#This Row],[Adjusted 2027]]/$L424,0)</f>
        <v>1</v>
      </c>
      <c r="BE424">
        <f>ROUNDUP(tbl_Data_old[[#This Row],[Adjusted 2028]]/$L424,0)</f>
        <v>1</v>
      </c>
      <c r="BF424">
        <f>ROUNDUP(tbl_Data_old[[#This Row],[Adjusted 2029]]/$L424,0)</f>
        <v>1</v>
      </c>
      <c r="BG424">
        <f>ROUNDUP(tbl_Data_old[[#This Row],[Adjusted 2030]]/$L424,0)</f>
        <v>1</v>
      </c>
      <c r="BH424">
        <f>ROUNDUP(tbl_Data_old[[#This Row],[Adjusted 2031]]/$L424,0)</f>
        <v>1</v>
      </c>
      <c r="BI424">
        <f>ROUNDUP(tbl_Data_old[[#This Row],[Adjusted 2032]]/$L424,0)</f>
        <v>1</v>
      </c>
      <c r="BJ424">
        <f>ROUNDUP(tbl_Data_old[[#This Row],[Adjusted 2033]]/$L424,0)</f>
        <v>1</v>
      </c>
      <c r="BK424">
        <f>ROUNDUP(tbl_Data_old[[#This Row],[Adjusted 2034]]/$L424,0)</f>
        <v>1</v>
      </c>
      <c r="BL424" s="3">
        <f t="shared" si="27"/>
        <v>1.914879180102752</v>
      </c>
      <c r="BM424" s="3">
        <f t="shared" si="27"/>
        <v>2.640296141012898</v>
      </c>
      <c r="BN424" s="3">
        <f t="shared" si="27"/>
        <v>3.5386259908978839</v>
      </c>
      <c r="BO424" s="3">
        <f t="shared" si="27"/>
        <v>4.6077191726333346</v>
      </c>
      <c r="BP424" s="3">
        <f t="shared" si="27"/>
        <v>5.7727313290316014</v>
      </c>
      <c r="BQ424" s="3">
        <f t="shared" si="26"/>
        <v>6.8698654376218302</v>
      </c>
      <c r="BR424" s="3">
        <f t="shared" si="26"/>
        <v>7.6725569038099239</v>
      </c>
      <c r="BS424" s="3">
        <f t="shared" si="26"/>
        <v>7.9524024808426601</v>
      </c>
      <c r="BT424" s="3">
        <f t="shared" si="26"/>
        <v>7.569627198967356</v>
      </c>
      <c r="BU424" s="3">
        <f t="shared" si="26"/>
        <v>6.5921371753447957</v>
      </c>
      <c r="BV424">
        <f>VLOOKUP($H424,'1. Set Program Names'!$B$2:$D$15,3,0)*V424</f>
        <v>0.25497809260303927</v>
      </c>
      <c r="BW424">
        <f>VLOOKUP($H424,'1. Set Program Names'!$B$2:$D$15,3,0)*W424</f>
        <v>0.35157188032432896</v>
      </c>
      <c r="BX424">
        <f>VLOOKUP($H424,'1. Set Program Names'!$B$2:$D$15,3,0)*X424</f>
        <v>0.47119009646669541</v>
      </c>
      <c r="BY424">
        <f>VLOOKUP($H424,'1. Set Program Names'!$B$2:$D$15,3,0)*Y424</f>
        <v>0.61354651410720284</v>
      </c>
      <c r="BZ424">
        <f>VLOOKUP($H424,'1. Set Program Names'!$B$2:$D$15,3,0)*Z424</f>
        <v>0.76867514080303634</v>
      </c>
      <c r="CA424">
        <f>VLOOKUP($H424,'1. Set Program Names'!$B$2:$D$15,3,0)*AA424</f>
        <v>0.91476538255033102</v>
      </c>
      <c r="CB424">
        <f>VLOOKUP($H424,'1. Set Program Names'!$B$2:$D$15,3,0)*AB424</f>
        <v>1.0216487520725765</v>
      </c>
      <c r="CC424">
        <f>VLOOKUP($H424,'1. Set Program Names'!$B$2:$D$15,3,0)*AC424</f>
        <v>1.0589119341034006</v>
      </c>
      <c r="CD424">
        <f>VLOOKUP($H424,'1. Set Program Names'!$B$2:$D$15,3,0)*AD424</f>
        <v>1.0079430206166924</v>
      </c>
      <c r="CE424">
        <f>VLOOKUP($H424,'1. Set Program Names'!$B$2:$D$15,3,0)*AE424</f>
        <v>0.87778413417018253</v>
      </c>
    </row>
    <row r="425" spans="1:83" x14ac:dyDescent="0.25">
      <c r="A425" s="20" t="s">
        <v>114</v>
      </c>
      <c r="B425" s="20" t="s">
        <v>88</v>
      </c>
      <c r="C425" s="20" t="s">
        <v>122</v>
      </c>
      <c r="D425" s="20" t="s">
        <v>90</v>
      </c>
      <c r="E425" s="20" t="s">
        <v>91</v>
      </c>
      <c r="F425" s="20" t="s">
        <v>90</v>
      </c>
      <c r="G425" s="20" t="s">
        <v>92</v>
      </c>
      <c r="H425" s="20" t="s">
        <v>18</v>
      </c>
      <c r="I425" s="20" t="s">
        <v>169</v>
      </c>
      <c r="J425" s="20" t="s">
        <v>129</v>
      </c>
      <c r="K425" s="20" t="s">
        <v>102</v>
      </c>
      <c r="L425" s="20">
        <v>12279.148571428501</v>
      </c>
      <c r="M425" s="20">
        <v>2.3939185148112898</v>
      </c>
      <c r="N425" s="20">
        <v>0.409805025192993</v>
      </c>
      <c r="O425" s="20">
        <v>4666.07785714284</v>
      </c>
      <c r="P425" s="20">
        <v>2140.17810945783</v>
      </c>
      <c r="Q425" s="20">
        <v>388.61290273657698</v>
      </c>
      <c r="R425" s="20">
        <v>6035.2668545830202</v>
      </c>
      <c r="S425" s="20">
        <v>13336.629705795</v>
      </c>
      <c r="T425" s="20">
        <v>15</v>
      </c>
      <c r="U425" s="20">
        <v>1</v>
      </c>
      <c r="V425" s="20">
        <v>18.3854462461099</v>
      </c>
      <c r="W425" s="20">
        <v>20.6056213610144</v>
      </c>
      <c r="X425" s="20">
        <v>22.5896542050642</v>
      </c>
      <c r="Y425" s="20">
        <v>24.452397940021999</v>
      </c>
      <c r="Z425" s="20">
        <v>26.180871541130902</v>
      </c>
      <c r="AA425" s="20">
        <v>27.764552259397298</v>
      </c>
      <c r="AB425" s="20">
        <v>29.2188367234039</v>
      </c>
      <c r="AC425" s="20">
        <v>30.618638266826501</v>
      </c>
      <c r="AD425" s="20">
        <v>31.9995689405165</v>
      </c>
      <c r="AE425" s="20">
        <v>33.323773791160598</v>
      </c>
      <c r="AF425" t="str">
        <f t="shared" si="28"/>
        <v>NonResidential</v>
      </c>
      <c r="AG425" t="str">
        <f>tbl_Data_old[[#This Row],[All_Meas_Name_Append]]</f>
        <v>Custom measure - Non-lighting_69</v>
      </c>
      <c r="AH425">
        <f>AVERAGEIFS('3. Incentive Adjustment'!G:G,'3. Incentive Adjustment'!A:A,tbl_Data_old[[#This Row],[Trimmed Sector]],'3. Incentive Adjustment'!B:B,tbl_Data_old[[#This Row],[Trimmed Measure Name]])</f>
        <v>0.94249803878007732</v>
      </c>
      <c r="AI425">
        <f>$AH425*tbl_Data_old[[#This Row],[2025 ]]</f>
        <v>17.328247029055117</v>
      </c>
      <c r="AJ425">
        <f>$AH425*tbl_Data_old[[#This Row],[2026 ]]</f>
        <v>19.420757720600939</v>
      </c>
      <c r="AK425">
        <f>$AH425*tbl_Data_old[[#This Row],[2027 ]]</f>
        <v>21.290704784993135</v>
      </c>
      <c r="AL425">
        <f>$AH425*tbl_Data_old[[#This Row],[2028 ]]</f>
        <v>23.046337101940736</v>
      </c>
      <c r="AM425">
        <f>$AH425*tbl_Data_old[[#This Row],[2029 ]]</f>
        <v>24.675420081069014</v>
      </c>
      <c r="AN425">
        <f>$AH425*tbl_Data_old[[#This Row],[2030 ]]</f>
        <v>26.168036052088919</v>
      </c>
      <c r="AO425">
        <f>$AH425*tbl_Data_old[[#This Row],[2031 ]]</f>
        <v>27.538696307243477</v>
      </c>
      <c r="AP425">
        <f>$AH425*tbl_Data_old[[#This Row],[2032 ]]</f>
        <v>28.858006516600604</v>
      </c>
      <c r="AQ425">
        <f>$AH425*tbl_Data_old[[#This Row],[2033 ]]</f>
        <v>30.159530968244677</v>
      </c>
      <c r="AR425">
        <f>$AH425*tbl_Data_old[[#This Row],[2034 ]]</f>
        <v>31.407591442919806</v>
      </c>
      <c r="AS425">
        <f>SUM(tbl_Data_old[[#This Row],[Adjusted 2025]:[Adjusted 2034]])</f>
        <v>249.8933280047564</v>
      </c>
      <c r="AT425" s="3">
        <f>AVERAGEIFS('3. Incentive Adjustment'!F:F,'3. Incentive Adjustment'!A:A,tbl_Data_old[[#This Row],[Trimmed Sector]],'3. Incentive Adjustment'!B:B,tbl_Data_old[[#This Row],[Trimmed Measure Name]])</f>
        <v>1864.5735288999113</v>
      </c>
      <c r="AU425" s="3">
        <f>IFERROR(VLOOKUP(tbl_Data_old[[#This Row],[All_Meas_Name_Append]],'IRA Tax Credits'!$A$3:$D$46,4,0),0)</f>
        <v>0</v>
      </c>
      <c r="AV425" s="4">
        <f>tbl_Data_old[[#This Row],[Adj. per unit Incentive ($)]]/tbl_Data_old[[#This Row],[kWh Savings]]*tbl_Data_old[[#This Row],[Sum of Annuals]]</f>
        <v>37.945992894861256</v>
      </c>
      <c r="AW425" s="4">
        <f>IFERROR(VLOOKUP(tbl_Data_old[[#This Row],[All_Programs]],'1. Set Program Names'!$B$2:$D$15,3,0)*tbl_Data_old[[#This Row],[Sum of Annuals]],"")</f>
        <v>7.908673065198867</v>
      </c>
      <c r="AX425" s="4">
        <f>tbl_Data_old[[#This Row],[per unit IRA tax ($)]]/tbl_Data_old[[#This Row],[kWh Savings]]*tbl_Data_old[[#This Row],[Sum of Annuals]]</f>
        <v>0</v>
      </c>
      <c r="AY425" s="4">
        <f>tbl_Data_old[[#This Row],[Avoided Costs ($/unit)]]/tbl_Data_old[[#This Row],[kWh Savings]]*tbl_Data_old[[#This Row],[Sum of Annuals]]</f>
        <v>122.82390028228929</v>
      </c>
      <c r="AZ425" s="4">
        <f>tbl_Data_old[[#This Row],[Lost Revenue ($/unit)]]/tbl_Data_old[[#This Row],[kWh Savings]]*tbl_Data_old[[#This Row],[Sum of Annuals]]</f>
        <v>271.41415890210152</v>
      </c>
      <c r="BA425" s="4">
        <f>tbl_Data_old[[#This Row],[Incremental Cost ($/unit)]]/tbl_Data_old[[#This Row],[kWh Savings]]*tbl_Data_old[[#This Row],[Sum of Annuals]]</f>
        <v>94.959493133250433</v>
      </c>
      <c r="BB425">
        <f>ROUNDUP(tbl_Data_old[[#This Row],[Adjusted 2025]]/$L425,0)</f>
        <v>1</v>
      </c>
      <c r="BC425">
        <f>ROUNDUP(tbl_Data_old[[#This Row],[Adjusted 2026]]/$L425,0)</f>
        <v>1</v>
      </c>
      <c r="BD425">
        <f>ROUNDUP(tbl_Data_old[[#This Row],[Adjusted 2027]]/$L425,0)</f>
        <v>1</v>
      </c>
      <c r="BE425">
        <f>ROUNDUP(tbl_Data_old[[#This Row],[Adjusted 2028]]/$L425,0)</f>
        <v>1</v>
      </c>
      <c r="BF425">
        <f>ROUNDUP(tbl_Data_old[[#This Row],[Adjusted 2029]]/$L425,0)</f>
        <v>1</v>
      </c>
      <c r="BG425">
        <f>ROUNDUP(tbl_Data_old[[#This Row],[Adjusted 2030]]/$L425,0)</f>
        <v>1</v>
      </c>
      <c r="BH425">
        <f>ROUNDUP(tbl_Data_old[[#This Row],[Adjusted 2031]]/$L425,0)</f>
        <v>1</v>
      </c>
      <c r="BI425">
        <f>ROUNDUP(tbl_Data_old[[#This Row],[Adjusted 2032]]/$L425,0)</f>
        <v>1</v>
      </c>
      <c r="BJ425">
        <f>ROUNDUP(tbl_Data_old[[#This Row],[Adjusted 2033]]/$L425,0)</f>
        <v>1</v>
      </c>
      <c r="BK425">
        <f>ROUNDUP(tbl_Data_old[[#This Row],[Adjusted 2034]]/$L425,0)</f>
        <v>1</v>
      </c>
      <c r="BL425" s="3">
        <f t="shared" si="27"/>
        <v>2.7918072811070043</v>
      </c>
      <c r="BM425" s="3">
        <f t="shared" si="27"/>
        <v>3.128938127329159</v>
      </c>
      <c r="BN425" s="3">
        <f t="shared" si="27"/>
        <v>3.4302110616831807</v>
      </c>
      <c r="BO425" s="3">
        <f t="shared" si="27"/>
        <v>3.713066394780792</v>
      </c>
      <c r="BP425" s="3">
        <f t="shared" si="27"/>
        <v>3.9755329740621135</v>
      </c>
      <c r="BQ425" s="3">
        <f t="shared" si="27"/>
        <v>4.2160129331025633</v>
      </c>
      <c r="BR425" s="3">
        <f t="shared" si="27"/>
        <v>4.4368442309163694</v>
      </c>
      <c r="BS425" s="3">
        <f t="shared" si="27"/>
        <v>4.6494023646009905</v>
      </c>
      <c r="BT425" s="3">
        <f t="shared" si="27"/>
        <v>4.8590949800482477</v>
      </c>
      <c r="BU425" s="3">
        <f t="shared" si="27"/>
        <v>5.060173849400555</v>
      </c>
      <c r="BV425">
        <f>VLOOKUP($H425,'1. Set Program Names'!$B$2:$D$15,3,0)*V425</f>
        <v>0.58186620939116629</v>
      </c>
      <c r="BW425">
        <f>VLOOKUP($H425,'1. Set Program Names'!$B$2:$D$15,3,0)*W425</f>
        <v>0.65213074694991136</v>
      </c>
      <c r="BX425">
        <f>VLOOKUP($H425,'1. Set Program Names'!$B$2:$D$15,3,0)*X425</f>
        <v>0.71492180759762869</v>
      </c>
      <c r="BY425">
        <f>VLOOKUP($H425,'1. Set Program Names'!$B$2:$D$15,3,0)*Y425</f>
        <v>0.77387428672803693</v>
      </c>
      <c r="BZ425">
        <f>VLOOKUP($H425,'1. Set Program Names'!$B$2:$D$15,3,0)*Z425</f>
        <v>0.82857735832319812</v>
      </c>
      <c r="CA425">
        <f>VLOOKUP($H425,'1. Set Program Names'!$B$2:$D$15,3,0)*AA425</f>
        <v>0.87869799635875956</v>
      </c>
      <c r="CB425">
        <f>VLOOKUP($H425,'1. Set Program Names'!$B$2:$D$15,3,0)*AB425</f>
        <v>0.92472347635639796</v>
      </c>
      <c r="CC425">
        <f>VLOOKUP($H425,'1. Set Program Names'!$B$2:$D$15,3,0)*AC425</f>
        <v>0.96902467019571248</v>
      </c>
      <c r="CD425">
        <f>VLOOKUP($H425,'1. Set Program Names'!$B$2:$D$15,3,0)*AD425</f>
        <v>1.0127286350479119</v>
      </c>
      <c r="CE425">
        <f>VLOOKUP($H425,'1. Set Program Names'!$B$2:$D$15,3,0)*AE425</f>
        <v>1.0546373299246927</v>
      </c>
    </row>
    <row r="426" spans="1:83" x14ac:dyDescent="0.25">
      <c r="A426" s="20" t="s">
        <v>114</v>
      </c>
      <c r="B426" s="20" t="s">
        <v>88</v>
      </c>
      <c r="C426" s="20" t="s">
        <v>122</v>
      </c>
      <c r="D426" s="20" t="s">
        <v>90</v>
      </c>
      <c r="E426" s="20" t="s">
        <v>91</v>
      </c>
      <c r="F426" s="20" t="s">
        <v>90</v>
      </c>
      <c r="G426" s="20" t="s">
        <v>92</v>
      </c>
      <c r="H426" s="20" t="s">
        <v>18</v>
      </c>
      <c r="I426" s="20" t="s">
        <v>170</v>
      </c>
      <c r="J426" s="20" t="s">
        <v>144</v>
      </c>
      <c r="K426" s="20" t="s">
        <v>171</v>
      </c>
      <c r="L426" s="20">
        <v>5592.79</v>
      </c>
      <c r="M426" s="20">
        <v>0.87755365852981304</v>
      </c>
      <c r="N426" s="20">
        <v>1.3078150987013399</v>
      </c>
      <c r="O426" s="20">
        <v>2274</v>
      </c>
      <c r="P426" s="20">
        <v>1123.5242193223601</v>
      </c>
      <c r="Q426" s="20">
        <v>177.00171503367099</v>
      </c>
      <c r="R426" s="20">
        <v>3205.1805113222799</v>
      </c>
      <c r="S426" s="20">
        <v>7177.7771935445198</v>
      </c>
      <c r="T426" s="20">
        <v>20</v>
      </c>
      <c r="U426" s="20">
        <v>1</v>
      </c>
      <c r="V426" s="20">
        <v>0.25123488037293201</v>
      </c>
      <c r="W426" s="20">
        <v>0.323297095422374</v>
      </c>
      <c r="X426" s="20">
        <v>0.406125293529146</v>
      </c>
      <c r="Y426" s="20">
        <v>0.49928302603074698</v>
      </c>
      <c r="Z426" s="20">
        <v>0.59775253985613497</v>
      </c>
      <c r="AA426" s="20">
        <v>0.69309218336364897</v>
      </c>
      <c r="AB426" s="20">
        <v>0.77520776128125901</v>
      </c>
      <c r="AC426" s="20">
        <v>0.83417062131775699</v>
      </c>
      <c r="AD426" s="20">
        <v>0.85965647680008195</v>
      </c>
      <c r="AE426" s="20">
        <v>0.84430909613427596</v>
      </c>
      <c r="AF426" t="str">
        <f t="shared" si="28"/>
        <v>NonResidential</v>
      </c>
      <c r="AG426" t="str">
        <f>tbl_Data_old[[#This Row],[All_Meas_Name_Append]]</f>
        <v>Demand Controlled Circulating Systems</v>
      </c>
      <c r="AH426">
        <f>AVERAGEIFS('3. Incentive Adjustment'!G:G,'3. Incentive Adjustment'!A:A,tbl_Data_old[[#This Row],[Trimmed Sector]],'3. Incentive Adjustment'!B:B,tbl_Data_old[[#This Row],[Trimmed Measure Name]])</f>
        <v>0.82519266246945677</v>
      </c>
      <c r="AI426">
        <f>$AH426*tbl_Data_old[[#This Row],[2025 ]]</f>
        <v>0.20731717984013523</v>
      </c>
      <c r="AJ426">
        <f>$AH426*tbl_Data_old[[#This Row],[2026 ]]</f>
        <v>0.26678239094023082</v>
      </c>
      <c r="AK426">
        <f>$AH426*tbl_Data_old[[#This Row],[2027 ]]</f>
        <v>0.33513161226350563</v>
      </c>
      <c r="AL426">
        <f>$AH426*tbl_Data_old[[#This Row],[2028 ]]</f>
        <v>0.41200468957611919</v>
      </c>
      <c r="AM426">
        <f>$AH426*tbl_Data_old[[#This Row],[2029 ]]</f>
        <v>0.49326100986176408</v>
      </c>
      <c r="AN426">
        <f>$AH426*tbl_Data_old[[#This Row],[2030 ]]</f>
        <v>0.57193458412661846</v>
      </c>
      <c r="AO426">
        <f>$AH426*tbl_Data_old[[#This Row],[2031 ]]</f>
        <v>0.63969575649866917</v>
      </c>
      <c r="AP426">
        <f>$AH426*tbl_Data_old[[#This Row],[2032 ]]</f>
        <v>0.68835147595900092</v>
      </c>
      <c r="AQ426">
        <f>$AH426*tbl_Data_old[[#This Row],[2033 ]]</f>
        <v>0.70938221689977243</v>
      </c>
      <c r="AR426">
        <f>$AH426*tbl_Data_old[[#This Row],[2034 ]]</f>
        <v>0.69671767098622372</v>
      </c>
      <c r="AS426">
        <f>SUM(tbl_Data_old[[#This Row],[Adjusted 2025]:[Adjusted 2034]])</f>
        <v>5.0205785869520394</v>
      </c>
      <c r="AT426" s="3">
        <f>AVERAGEIFS('3. Incentive Adjustment'!F:F,'3. Incentive Adjustment'!A:A,tbl_Data_old[[#This Row],[Trimmed Sector]],'3. Incentive Adjustment'!B:B,tbl_Data_old[[#This Row],[Trimmed Measure Name]])</f>
        <v>716.2547365811331</v>
      </c>
      <c r="AU426" s="3">
        <f>IFERROR(VLOOKUP(tbl_Data_old[[#This Row],[All_Meas_Name_Append]],'IRA Tax Credits'!$A$3:$D$46,4,0),0)</f>
        <v>0</v>
      </c>
      <c r="AV426" s="4">
        <f>tbl_Data_old[[#This Row],[Adj. per unit Incentive ($)]]/tbl_Data_old[[#This Row],[kWh Savings]]*tbl_Data_old[[#This Row],[Sum of Annuals]]</f>
        <v>0.64297304087623719</v>
      </c>
      <c r="AW426" s="4">
        <f>IFERROR(VLOOKUP(tbl_Data_old[[#This Row],[All_Programs]],'1. Set Program Names'!$B$2:$D$15,3,0)*tbl_Data_old[[#This Row],[Sum of Annuals]],"")</f>
        <v>0.15889225598526593</v>
      </c>
      <c r="AX426" s="4">
        <f>tbl_Data_old[[#This Row],[per unit IRA tax ($)]]/tbl_Data_old[[#This Row],[kWh Savings]]*tbl_Data_old[[#This Row],[Sum of Annuals]]</f>
        <v>0</v>
      </c>
      <c r="AY426" s="4">
        <f>tbl_Data_old[[#This Row],[Avoided Costs ($/unit)]]/tbl_Data_old[[#This Row],[kWh Savings]]*tbl_Data_old[[#This Row],[Sum of Annuals]]</f>
        <v>2.8772510039641448</v>
      </c>
      <c r="AZ426" s="4">
        <f>tbl_Data_old[[#This Row],[Lost Revenue ($/unit)]]/tbl_Data_old[[#This Row],[kWh Savings]]*tbl_Data_old[[#This Row],[Sum of Annuals]]</f>
        <v>6.4434020372340672</v>
      </c>
      <c r="BA426" s="4">
        <f>tbl_Data_old[[#This Row],[Incremental Cost ($/unit)]]/tbl_Data_old[[#This Row],[kWh Savings]]*tbl_Data_old[[#This Row],[Sum of Annuals]]</f>
        <v>2.0413417465574315</v>
      </c>
      <c r="BB426">
        <f>ROUNDUP(tbl_Data_old[[#This Row],[Adjusted 2025]]/$L426,0)</f>
        <v>1</v>
      </c>
      <c r="BC426">
        <f>ROUNDUP(tbl_Data_old[[#This Row],[Adjusted 2026]]/$L426,0)</f>
        <v>1</v>
      </c>
      <c r="BD426">
        <f>ROUNDUP(tbl_Data_old[[#This Row],[Adjusted 2027]]/$L426,0)</f>
        <v>1</v>
      </c>
      <c r="BE426">
        <f>ROUNDUP(tbl_Data_old[[#This Row],[Adjusted 2028]]/$L426,0)</f>
        <v>1</v>
      </c>
      <c r="BF426">
        <f>ROUNDUP(tbl_Data_old[[#This Row],[Adjusted 2029]]/$L426,0)</f>
        <v>1</v>
      </c>
      <c r="BG426">
        <f>ROUNDUP(tbl_Data_old[[#This Row],[Adjusted 2030]]/$L426,0)</f>
        <v>1</v>
      </c>
      <c r="BH426">
        <f>ROUNDUP(tbl_Data_old[[#This Row],[Adjusted 2031]]/$L426,0)</f>
        <v>1</v>
      </c>
      <c r="BI426">
        <f>ROUNDUP(tbl_Data_old[[#This Row],[Adjusted 2032]]/$L426,0)</f>
        <v>1</v>
      </c>
      <c r="BJ426">
        <f>ROUNDUP(tbl_Data_old[[#This Row],[Adjusted 2033]]/$L426,0)</f>
        <v>1</v>
      </c>
      <c r="BK426">
        <f>ROUNDUP(tbl_Data_old[[#This Row],[Adjusted 2034]]/$L426,0)</f>
        <v>1</v>
      </c>
      <c r="BL426" s="3">
        <f t="shared" ref="BL426:BU451" si="29">$AT426/$L426*V426</f>
        <v>3.2175027680550659E-2</v>
      </c>
      <c r="BM426" s="3">
        <f t="shared" si="29"/>
        <v>4.140385673683402E-2</v>
      </c>
      <c r="BN426" s="3">
        <f t="shared" si="29"/>
        <v>5.201145852707751E-2</v>
      </c>
      <c r="BO426" s="3">
        <f t="shared" si="29"/>
        <v>6.39419381541384E-2</v>
      </c>
      <c r="BP426" s="3">
        <f t="shared" si="29"/>
        <v>7.655268443395144E-2</v>
      </c>
      <c r="BQ426" s="3">
        <f t="shared" si="29"/>
        <v>8.8762595989045331E-2</v>
      </c>
      <c r="BR426" s="3">
        <f t="shared" si="29"/>
        <v>9.9278934280056658E-2</v>
      </c>
      <c r="BS426" s="3">
        <f t="shared" si="29"/>
        <v>0.10683016144637474</v>
      </c>
      <c r="BT426" s="3">
        <f t="shared" si="29"/>
        <v>0.11009407171388658</v>
      </c>
      <c r="BU426" s="3">
        <f t="shared" si="29"/>
        <v>0.10812857075711951</v>
      </c>
      <c r="BV426">
        <f>VLOOKUP($H426,'1. Set Program Names'!$B$2:$D$15,3,0)*V426</f>
        <v>7.9511307777134742E-3</v>
      </c>
      <c r="BW426">
        <f>VLOOKUP($H426,'1. Set Program Names'!$B$2:$D$15,3,0)*W426</f>
        <v>1.0231769895734434E-2</v>
      </c>
      <c r="BX426">
        <f>VLOOKUP($H426,'1. Set Program Names'!$B$2:$D$15,3,0)*X426</f>
        <v>1.2853132957470582E-2</v>
      </c>
      <c r="BY426">
        <f>VLOOKUP($H426,'1. Set Program Names'!$B$2:$D$15,3,0)*Y426</f>
        <v>1.5801407150034818E-2</v>
      </c>
      <c r="BZ426">
        <f>VLOOKUP($H426,'1. Set Program Names'!$B$2:$D$15,3,0)*Z426</f>
        <v>1.8917789639923663E-2</v>
      </c>
      <c r="CA426">
        <f>VLOOKUP($H426,'1. Set Program Names'!$B$2:$D$15,3,0)*AA426</f>
        <v>2.1935117380019176E-2</v>
      </c>
      <c r="CB426">
        <f>VLOOKUP($H426,'1. Set Program Names'!$B$2:$D$15,3,0)*AB426</f>
        <v>2.4533927298217073E-2</v>
      </c>
      <c r="CC426">
        <f>VLOOKUP($H426,'1. Set Program Names'!$B$2:$D$15,3,0)*AC426</f>
        <v>2.6399995459143989E-2</v>
      </c>
      <c r="CD426">
        <f>VLOOKUP($H426,'1. Set Program Names'!$B$2:$D$15,3,0)*AD426</f>
        <v>2.7206576812899771E-2</v>
      </c>
      <c r="CE426">
        <f>VLOOKUP($H426,'1. Set Program Names'!$B$2:$D$15,3,0)*AE426</f>
        <v>2.6720859898958383E-2</v>
      </c>
    </row>
    <row r="427" spans="1:83" x14ac:dyDescent="0.25">
      <c r="A427" s="20" t="s">
        <v>114</v>
      </c>
      <c r="B427" s="20" t="s">
        <v>88</v>
      </c>
      <c r="C427" s="20" t="s">
        <v>122</v>
      </c>
      <c r="D427" s="20" t="s">
        <v>90</v>
      </c>
      <c r="E427" s="20" t="s">
        <v>91</v>
      </c>
      <c r="F427" s="20" t="s">
        <v>90</v>
      </c>
      <c r="G427" s="20" t="s">
        <v>92</v>
      </c>
      <c r="H427" s="20" t="s">
        <v>18</v>
      </c>
      <c r="I427" s="20" t="s">
        <v>172</v>
      </c>
      <c r="J427" s="20" t="s">
        <v>144</v>
      </c>
      <c r="K427" s="20" t="s">
        <v>102</v>
      </c>
      <c r="L427" s="20">
        <v>18085.229999999901</v>
      </c>
      <c r="M427" s="20">
        <v>0.84213537152598805</v>
      </c>
      <c r="N427" s="20">
        <v>1.2419142635526399</v>
      </c>
      <c r="O427" s="20">
        <v>5343.87</v>
      </c>
      <c r="P427" s="20">
        <v>2505.3610009054501</v>
      </c>
      <c r="Q427" s="20">
        <v>572.36490674214201</v>
      </c>
      <c r="R427" s="20">
        <v>7297.3054636159204</v>
      </c>
      <c r="S427" s="20">
        <v>27879.9715993795</v>
      </c>
      <c r="T427" s="20">
        <v>30</v>
      </c>
      <c r="U427" s="20">
        <v>1</v>
      </c>
      <c r="V427" s="20">
        <v>4.64269449999132</v>
      </c>
      <c r="W427" s="20">
        <v>6.3931887636486904</v>
      </c>
      <c r="X427" s="20">
        <v>8.5346326621434692</v>
      </c>
      <c r="Y427" s="20">
        <v>11.0504440603942</v>
      </c>
      <c r="Z427" s="20">
        <v>13.7418227652759</v>
      </c>
      <c r="AA427" s="20">
        <v>16.1786397422206</v>
      </c>
      <c r="AB427" s="20">
        <v>17.809501918343202</v>
      </c>
      <c r="AC427" s="20">
        <v>18.102533770613</v>
      </c>
      <c r="AD427" s="20">
        <v>16.774290396783499</v>
      </c>
      <c r="AE427" s="20">
        <v>14.0969080771428</v>
      </c>
      <c r="AF427" t="str">
        <f t="shared" si="28"/>
        <v>NonResidential</v>
      </c>
      <c r="AG427" t="str">
        <f>tbl_Data_old[[#This Row],[All_Meas_Name_Append]]</f>
        <v>Drain water heat recovery</v>
      </c>
      <c r="AH427">
        <f>AVERAGEIFS('3. Incentive Adjustment'!G:G,'3. Incentive Adjustment'!A:A,tbl_Data_old[[#This Row],[Trimmed Sector]],'3. Incentive Adjustment'!B:B,tbl_Data_old[[#This Row],[Trimmed Measure Name]])</f>
        <v>0.69383814414313949</v>
      </c>
      <c r="AI427">
        <f>$AH427*tbl_Data_old[[#This Row],[2025 ]]</f>
        <v>3.2212785356975382</v>
      </c>
      <c r="AJ427">
        <f>$AH427*tbl_Data_old[[#This Row],[2026 ]]</f>
        <v>4.43583822692678</v>
      </c>
      <c r="AK427">
        <f>$AH427*tbl_Data_old[[#This Row],[2027 ]]</f>
        <v>5.9216536872450467</v>
      </c>
      <c r="AL427">
        <f>$AH427*tbl_Data_old[[#This Row],[2028 ]]</f>
        <v>7.6672195988214913</v>
      </c>
      <c r="AM427">
        <f>$AH427*tbl_Data_old[[#This Row],[2029 ]]</f>
        <v>9.5346008046029755</v>
      </c>
      <c r="AN427">
        <f>$AH427*tbl_Data_old[[#This Row],[2030 ]]</f>
        <v>11.225357373502781</v>
      </c>
      <c r="AO427">
        <f>$AH427*tbl_Data_old[[#This Row],[2031 ]]</f>
        <v>12.35691175913693</v>
      </c>
      <c r="AP427">
        <f>$AH427*tbl_Data_old[[#This Row],[2032 ]]</f>
        <v>12.560228435690634</v>
      </c>
      <c r="AQ427">
        <f>$AH427*tbl_Data_old[[#This Row],[2033 ]]</f>
        <v>11.638642518222349</v>
      </c>
      <c r="AR427">
        <f>$AH427*tbl_Data_old[[#This Row],[2034 ]]</f>
        <v>9.7809725384011941</v>
      </c>
      <c r="AS427">
        <f>SUM(tbl_Data_old[[#This Row],[Adjusted 2025]:[Adjusted 2034]])</f>
        <v>88.342703478247728</v>
      </c>
      <c r="AT427" s="3">
        <f>AVERAGEIFS('3. Incentive Adjustment'!F:F,'3. Incentive Adjustment'!A:A,tbl_Data_old[[#This Row],[Trimmed Sector]],'3. Incentive Adjustment'!B:B,tbl_Data_old[[#This Row],[Trimmed Measure Name]])</f>
        <v>0</v>
      </c>
      <c r="AU427" s="3">
        <f>IFERROR(VLOOKUP(tbl_Data_old[[#This Row],[All_Meas_Name_Append]],'IRA Tax Credits'!$A$3:$D$46,4,0),0)</f>
        <v>0</v>
      </c>
      <c r="AV427" s="4">
        <f>tbl_Data_old[[#This Row],[Adj. per unit Incentive ($)]]/tbl_Data_old[[#This Row],[kWh Savings]]*tbl_Data_old[[#This Row],[Sum of Annuals]]</f>
        <v>0</v>
      </c>
      <c r="AW427" s="4">
        <f>IFERROR(VLOOKUP(tbl_Data_old[[#This Row],[All_Programs]],'1. Set Program Names'!$B$2:$D$15,3,0)*tbl_Data_old[[#This Row],[Sum of Annuals]],"")</f>
        <v>2.7958872094895213</v>
      </c>
      <c r="AX427" s="4">
        <f>tbl_Data_old[[#This Row],[per unit IRA tax ($)]]/tbl_Data_old[[#This Row],[kWh Savings]]*tbl_Data_old[[#This Row],[Sum of Annuals]]</f>
        <v>0</v>
      </c>
      <c r="AY427" s="4">
        <f>tbl_Data_old[[#This Row],[Avoided Costs ($/unit)]]/tbl_Data_old[[#This Row],[kWh Savings]]*tbl_Data_old[[#This Row],[Sum of Annuals]]</f>
        <v>35.645866420411672</v>
      </c>
      <c r="AZ427" s="4">
        <f>tbl_Data_old[[#This Row],[Lost Revenue ($/unit)]]/tbl_Data_old[[#This Row],[kWh Savings]]*tbl_Data_old[[#This Row],[Sum of Annuals]]</f>
        <v>136.18804206448934</v>
      </c>
      <c r="BA427" s="4">
        <f>tbl_Data_old[[#This Row],[Incremental Cost ($/unit)]]/tbl_Data_old[[#This Row],[kWh Savings]]*tbl_Data_old[[#This Row],[Sum of Annuals]]</f>
        <v>26.103727894879206</v>
      </c>
      <c r="BB427">
        <f>ROUNDUP(tbl_Data_old[[#This Row],[Adjusted 2025]]/$L427,0)</f>
        <v>1</v>
      </c>
      <c r="BC427">
        <f>ROUNDUP(tbl_Data_old[[#This Row],[Adjusted 2026]]/$L427,0)</f>
        <v>1</v>
      </c>
      <c r="BD427">
        <f>ROUNDUP(tbl_Data_old[[#This Row],[Adjusted 2027]]/$L427,0)</f>
        <v>1</v>
      </c>
      <c r="BE427">
        <f>ROUNDUP(tbl_Data_old[[#This Row],[Adjusted 2028]]/$L427,0)</f>
        <v>1</v>
      </c>
      <c r="BF427">
        <f>ROUNDUP(tbl_Data_old[[#This Row],[Adjusted 2029]]/$L427,0)</f>
        <v>1</v>
      </c>
      <c r="BG427">
        <f>ROUNDUP(tbl_Data_old[[#This Row],[Adjusted 2030]]/$L427,0)</f>
        <v>1</v>
      </c>
      <c r="BH427">
        <f>ROUNDUP(tbl_Data_old[[#This Row],[Adjusted 2031]]/$L427,0)</f>
        <v>1</v>
      </c>
      <c r="BI427">
        <f>ROUNDUP(tbl_Data_old[[#This Row],[Adjusted 2032]]/$L427,0)</f>
        <v>1</v>
      </c>
      <c r="BJ427">
        <f>ROUNDUP(tbl_Data_old[[#This Row],[Adjusted 2033]]/$L427,0)</f>
        <v>1</v>
      </c>
      <c r="BK427">
        <f>ROUNDUP(tbl_Data_old[[#This Row],[Adjusted 2034]]/$L427,0)</f>
        <v>1</v>
      </c>
      <c r="BL427" s="3">
        <f t="shared" si="29"/>
        <v>0</v>
      </c>
      <c r="BM427" s="3">
        <f t="shared" si="29"/>
        <v>0</v>
      </c>
      <c r="BN427" s="3">
        <f t="shared" si="29"/>
        <v>0</v>
      </c>
      <c r="BO427" s="3">
        <f t="shared" si="29"/>
        <v>0</v>
      </c>
      <c r="BP427" s="3">
        <f t="shared" si="29"/>
        <v>0</v>
      </c>
      <c r="BQ427" s="3">
        <f t="shared" si="29"/>
        <v>0</v>
      </c>
      <c r="BR427" s="3">
        <f t="shared" si="29"/>
        <v>0</v>
      </c>
      <c r="BS427" s="3">
        <f t="shared" si="29"/>
        <v>0</v>
      </c>
      <c r="BT427" s="3">
        <f t="shared" si="29"/>
        <v>0</v>
      </c>
      <c r="BU427" s="3">
        <f t="shared" si="29"/>
        <v>0</v>
      </c>
      <c r="BV427">
        <f>VLOOKUP($H427,'1. Set Program Names'!$B$2:$D$15,3,0)*V427</f>
        <v>0.14693290627322952</v>
      </c>
      <c r="BW427">
        <f>VLOOKUP($H427,'1. Set Program Names'!$B$2:$D$15,3,0)*W427</f>
        <v>0.20233289211642363</v>
      </c>
      <c r="BX427">
        <f>VLOOKUP($H427,'1. Set Program Names'!$B$2:$D$15,3,0)*X427</f>
        <v>0.27010572869386823</v>
      </c>
      <c r="BY427">
        <f>VLOOKUP($H427,'1. Set Program Names'!$B$2:$D$15,3,0)*Y427</f>
        <v>0.34972662134165894</v>
      </c>
      <c r="BZ427">
        <f>VLOOKUP($H427,'1. Set Program Names'!$B$2:$D$15,3,0)*Z427</f>
        <v>0.43490390254999345</v>
      </c>
      <c r="CA427">
        <f>VLOOKUP($H427,'1. Set Program Names'!$B$2:$D$15,3,0)*AA427</f>
        <v>0.5120247642562934</v>
      </c>
      <c r="CB427">
        <f>VLOOKUP($H427,'1. Set Program Names'!$B$2:$D$15,3,0)*AB427</f>
        <v>0.56363861032547269</v>
      </c>
      <c r="CC427">
        <f>VLOOKUP($H427,'1. Set Program Names'!$B$2:$D$15,3,0)*AC427</f>
        <v>0.57291253986891122</v>
      </c>
      <c r="CD427">
        <f>VLOOKUP($H427,'1. Set Program Names'!$B$2:$D$15,3,0)*AD427</f>
        <v>0.5308760330181389</v>
      </c>
      <c r="CE427">
        <f>VLOOKUP($H427,'1. Set Program Names'!$B$2:$D$15,3,0)*AE427</f>
        <v>0.44614171215552256</v>
      </c>
    </row>
    <row r="428" spans="1:83" x14ac:dyDescent="0.25">
      <c r="A428" s="20" t="s">
        <v>114</v>
      </c>
      <c r="B428" s="20" t="s">
        <v>88</v>
      </c>
      <c r="C428" s="20" t="s">
        <v>122</v>
      </c>
      <c r="D428" s="20" t="s">
        <v>90</v>
      </c>
      <c r="E428" s="20" t="s">
        <v>91</v>
      </c>
      <c r="F428" s="20" t="s">
        <v>90</v>
      </c>
      <c r="G428" s="20" t="s">
        <v>92</v>
      </c>
      <c r="H428" s="20" t="s">
        <v>18</v>
      </c>
      <c r="I428" s="20" t="s">
        <v>133</v>
      </c>
      <c r="J428" s="20" t="s">
        <v>134</v>
      </c>
      <c r="K428" s="20" t="s">
        <v>98</v>
      </c>
      <c r="L428" s="20">
        <v>4486</v>
      </c>
      <c r="M428" s="20">
        <v>0.89185722946849999</v>
      </c>
      <c r="N428" s="20">
        <v>0.84310494165890204</v>
      </c>
      <c r="O428" s="20">
        <v>2050</v>
      </c>
      <c r="P428" s="20">
        <v>1127.1986160539</v>
      </c>
      <c r="Q428" s="20">
        <v>141.97380799941499</v>
      </c>
      <c r="R428" s="20">
        <v>2297.8137992477</v>
      </c>
      <c r="S428" s="20">
        <v>5757.3247860621796</v>
      </c>
      <c r="T428" s="20">
        <v>20</v>
      </c>
      <c r="U428" s="20">
        <v>1</v>
      </c>
      <c r="V428" s="20">
        <v>10.066411241017301</v>
      </c>
      <c r="W428" s="20">
        <v>13.0178304662372</v>
      </c>
      <c r="X428" s="20">
        <v>16.467392508930502</v>
      </c>
      <c r="Y428" s="20">
        <v>20.427132414325001</v>
      </c>
      <c r="Z428" s="20">
        <v>24.7240875596199</v>
      </c>
      <c r="AA428" s="20">
        <v>29.038324856383099</v>
      </c>
      <c r="AB428" s="20">
        <v>32.9573517648939</v>
      </c>
      <c r="AC428" s="20">
        <v>36.042597890180303</v>
      </c>
      <c r="AD428" s="20">
        <v>37.7981682877843</v>
      </c>
      <c r="AE428" s="20">
        <v>37.813341721889699</v>
      </c>
      <c r="AF428" t="str">
        <f t="shared" si="28"/>
        <v>NonResidential</v>
      </c>
      <c r="AG428" t="str">
        <f>tbl_Data_old[[#This Row],[All_Meas_Name_Append]]</f>
        <v>Efficient Exhaust Hood</v>
      </c>
      <c r="AH428">
        <f>AVERAGEIFS('3. Incentive Adjustment'!G:G,'3. Incentive Adjustment'!A:A,tbl_Data_old[[#This Row],[Trimmed Sector]],'3. Incentive Adjustment'!B:B,tbl_Data_old[[#This Row],[Trimmed Measure Name]])</f>
        <v>0.51531219842413434</v>
      </c>
      <c r="AI428">
        <f>$AH428*tbl_Data_old[[#This Row],[2025 ]]</f>
        <v>5.1873445068500441</v>
      </c>
      <c r="AJ428">
        <f>$AH428*tbl_Data_old[[#This Row],[2026 ]]</f>
        <v>6.7082468362693648</v>
      </c>
      <c r="AK428">
        <f>$AH428*tbl_Data_old[[#This Row],[2027 ]]</f>
        <v>8.4858482360900975</v>
      </c>
      <c r="AL428">
        <f>$AH428*tbl_Data_old[[#This Row],[2028 ]]</f>
        <v>10.526350511926712</v>
      </c>
      <c r="AM428">
        <f>$AH428*tbl_Data_old[[#This Row],[2029 ]]</f>
        <v>12.740623914378521</v>
      </c>
      <c r="AN428">
        <f>$AH428*tbl_Data_old[[#This Row],[2030 ]]</f>
        <v>14.963803020296959</v>
      </c>
      <c r="AO428">
        <f>$AH428*tbl_Data_old[[#This Row],[2031 ]]</f>
        <v>16.983325392205</v>
      </c>
      <c r="AP428">
        <f>$AH428*tbl_Data_old[[#This Row],[2032 ]]</f>
        <v>18.573190355705879</v>
      </c>
      <c r="AQ428">
        <f>$AH428*tbl_Data_old[[#This Row],[2033 ]]</f>
        <v>19.477857196783525</v>
      </c>
      <c r="AR428">
        <f>$AH428*tbl_Data_old[[#This Row],[2034 ]]</f>
        <v>19.485676252470022</v>
      </c>
      <c r="AS428">
        <f>SUM(tbl_Data_old[[#This Row],[Adjusted 2025]:[Adjusted 2034]])</f>
        <v>133.13226622297611</v>
      </c>
      <c r="AT428" s="3">
        <f>AVERAGEIFS('3. Incentive Adjustment'!F:F,'3. Incentive Adjustment'!A:A,tbl_Data_old[[#This Row],[Trimmed Sector]],'3. Incentive Adjustment'!B:B,tbl_Data_old[[#This Row],[Trimmed Measure Name]])</f>
        <v>0</v>
      </c>
      <c r="AU428" s="3">
        <f>IFERROR(VLOOKUP(tbl_Data_old[[#This Row],[All_Meas_Name_Append]],'IRA Tax Credits'!$A$3:$D$46,4,0),0)</f>
        <v>0</v>
      </c>
      <c r="AV428" s="4">
        <f>tbl_Data_old[[#This Row],[Adj. per unit Incentive ($)]]/tbl_Data_old[[#This Row],[kWh Savings]]*tbl_Data_old[[#This Row],[Sum of Annuals]]</f>
        <v>0</v>
      </c>
      <c r="AW428" s="4">
        <f>IFERROR(VLOOKUP(tbl_Data_old[[#This Row],[All_Programs]],'1. Set Program Names'!$B$2:$D$15,3,0)*tbl_Data_old[[#This Row],[Sum of Annuals]],"")</f>
        <v>4.2133960774114607</v>
      </c>
      <c r="AX428" s="4">
        <f>tbl_Data_old[[#This Row],[per unit IRA tax ($)]]/tbl_Data_old[[#This Row],[kWh Savings]]*tbl_Data_old[[#This Row],[Sum of Annuals]]</f>
        <v>0</v>
      </c>
      <c r="AY428" s="4">
        <f>tbl_Data_old[[#This Row],[Avoided Costs ($/unit)]]/tbl_Data_old[[#This Row],[kWh Savings]]*tbl_Data_old[[#This Row],[Sum of Annuals]]</f>
        <v>68.192857434746543</v>
      </c>
      <c r="AZ428" s="4">
        <f>tbl_Data_old[[#This Row],[Lost Revenue ($/unit)]]/tbl_Data_old[[#This Row],[kWh Savings]]*tbl_Data_old[[#This Row],[Sum of Annuals]]</f>
        <v>170.86172450962306</v>
      </c>
      <c r="BA428" s="4">
        <f>tbl_Data_old[[#This Row],[Incremental Cost ($/unit)]]/tbl_Data_old[[#This Row],[kWh Savings]]*tbl_Data_old[[#This Row],[Sum of Annuals]]</f>
        <v>60.83841858160968</v>
      </c>
      <c r="BB428">
        <f>ROUNDUP(tbl_Data_old[[#This Row],[Adjusted 2025]]/$L428,0)</f>
        <v>1</v>
      </c>
      <c r="BC428">
        <f>ROUNDUP(tbl_Data_old[[#This Row],[Adjusted 2026]]/$L428,0)</f>
        <v>1</v>
      </c>
      <c r="BD428">
        <f>ROUNDUP(tbl_Data_old[[#This Row],[Adjusted 2027]]/$L428,0)</f>
        <v>1</v>
      </c>
      <c r="BE428">
        <f>ROUNDUP(tbl_Data_old[[#This Row],[Adjusted 2028]]/$L428,0)</f>
        <v>1</v>
      </c>
      <c r="BF428">
        <f>ROUNDUP(tbl_Data_old[[#This Row],[Adjusted 2029]]/$L428,0)</f>
        <v>1</v>
      </c>
      <c r="BG428">
        <f>ROUNDUP(tbl_Data_old[[#This Row],[Adjusted 2030]]/$L428,0)</f>
        <v>1</v>
      </c>
      <c r="BH428">
        <f>ROUNDUP(tbl_Data_old[[#This Row],[Adjusted 2031]]/$L428,0)</f>
        <v>1</v>
      </c>
      <c r="BI428">
        <f>ROUNDUP(tbl_Data_old[[#This Row],[Adjusted 2032]]/$L428,0)</f>
        <v>1</v>
      </c>
      <c r="BJ428">
        <f>ROUNDUP(tbl_Data_old[[#This Row],[Adjusted 2033]]/$L428,0)</f>
        <v>1</v>
      </c>
      <c r="BK428">
        <f>ROUNDUP(tbl_Data_old[[#This Row],[Adjusted 2034]]/$L428,0)</f>
        <v>1</v>
      </c>
      <c r="BL428" s="3">
        <f t="shared" si="29"/>
        <v>0</v>
      </c>
      <c r="BM428" s="3">
        <f t="shared" si="29"/>
        <v>0</v>
      </c>
      <c r="BN428" s="3">
        <f t="shared" si="29"/>
        <v>0</v>
      </c>
      <c r="BO428" s="3">
        <f t="shared" si="29"/>
        <v>0</v>
      </c>
      <c r="BP428" s="3">
        <f t="shared" si="29"/>
        <v>0</v>
      </c>
      <c r="BQ428" s="3">
        <f t="shared" si="29"/>
        <v>0</v>
      </c>
      <c r="BR428" s="3">
        <f t="shared" si="29"/>
        <v>0</v>
      </c>
      <c r="BS428" s="3">
        <f t="shared" si="29"/>
        <v>0</v>
      </c>
      <c r="BT428" s="3">
        <f t="shared" si="29"/>
        <v>0</v>
      </c>
      <c r="BU428" s="3">
        <f t="shared" si="29"/>
        <v>0</v>
      </c>
      <c r="BV428">
        <f>VLOOKUP($H428,'1. Set Program Names'!$B$2:$D$15,3,0)*V428</f>
        <v>0.31858375764051339</v>
      </c>
      <c r="BW428">
        <f>VLOOKUP($H428,'1. Set Program Names'!$B$2:$D$15,3,0)*W428</f>
        <v>0.41199085224754683</v>
      </c>
      <c r="BX428">
        <f>VLOOKUP($H428,'1. Set Program Names'!$B$2:$D$15,3,0)*X428</f>
        <v>0.52116326846052241</v>
      </c>
      <c r="BY428">
        <f>VLOOKUP($H428,'1. Set Program Names'!$B$2:$D$15,3,0)*Y428</f>
        <v>0.64648189375167275</v>
      </c>
      <c r="BZ428">
        <f>VLOOKUP($H428,'1. Set Program Names'!$B$2:$D$15,3,0)*Z428</f>
        <v>0.78247277310526087</v>
      </c>
      <c r="CA428">
        <f>VLOOKUP($H428,'1. Set Program Names'!$B$2:$D$15,3,0)*AA428</f>
        <v>0.9190106013786834</v>
      </c>
      <c r="CB428">
        <f>VLOOKUP($H428,'1. Set Program Names'!$B$2:$D$15,3,0)*AB428</f>
        <v>1.0430407337579641</v>
      </c>
      <c r="CC428">
        <f>VLOOKUP($H428,'1. Set Program Names'!$B$2:$D$15,3,0)*AC428</f>
        <v>1.1406832083505525</v>
      </c>
      <c r="CD428">
        <f>VLOOKUP($H428,'1. Set Program Names'!$B$2:$D$15,3,0)*AD428</f>
        <v>1.1962438446766528</v>
      </c>
      <c r="CE428">
        <f>VLOOKUP($H428,'1. Set Program Names'!$B$2:$D$15,3,0)*AE428</f>
        <v>1.1967240564957282</v>
      </c>
    </row>
    <row r="429" spans="1:83" x14ac:dyDescent="0.25">
      <c r="A429" s="20" t="s">
        <v>114</v>
      </c>
      <c r="B429" s="20" t="s">
        <v>88</v>
      </c>
      <c r="C429" s="20" t="s">
        <v>122</v>
      </c>
      <c r="D429" s="20" t="s">
        <v>90</v>
      </c>
      <c r="E429" s="20" t="s">
        <v>91</v>
      </c>
      <c r="F429" s="20" t="s">
        <v>90</v>
      </c>
      <c r="G429" s="20" t="s">
        <v>92</v>
      </c>
      <c r="H429" s="20" t="s">
        <v>18</v>
      </c>
      <c r="I429" s="20" t="s">
        <v>173</v>
      </c>
      <c r="J429" s="20" t="s">
        <v>129</v>
      </c>
      <c r="K429" s="20" t="s">
        <v>130</v>
      </c>
      <c r="L429" s="20">
        <v>142641.03499999901</v>
      </c>
      <c r="M429" s="20">
        <v>27.8398087391258</v>
      </c>
      <c r="N429" s="20">
        <v>0</v>
      </c>
      <c r="O429" s="20">
        <v>59303.302436563899</v>
      </c>
      <c r="P429" s="20">
        <v>29333.7078862829</v>
      </c>
      <c r="Q429" s="20">
        <v>4514.3314569611503</v>
      </c>
      <c r="R429" s="20">
        <v>66617.989682832806</v>
      </c>
      <c r="S429" s="20">
        <v>154925.29091738301</v>
      </c>
      <c r="T429" s="20">
        <v>15</v>
      </c>
      <c r="U429" s="20">
        <v>1</v>
      </c>
      <c r="V429" s="20">
        <v>2.0291717951960199E-2</v>
      </c>
      <c r="W429" s="20">
        <v>2.74700299967175E-2</v>
      </c>
      <c r="X429" s="20">
        <v>3.6195694133328703E-2</v>
      </c>
      <c r="Y429" s="20">
        <v>4.6142589167715901E-2</v>
      </c>
      <c r="Z429" s="20">
        <v>5.6390668874265797E-2</v>
      </c>
      <c r="AA429" s="20">
        <v>6.5854855890083705E-2</v>
      </c>
      <c r="AB429" s="20">
        <v>7.2778379576989793E-2</v>
      </c>
      <c r="AC429" s="20">
        <v>7.5858401236406595E-2</v>
      </c>
      <c r="AD429" s="20">
        <v>7.4743244360131203E-2</v>
      </c>
      <c r="AE429" s="20">
        <v>6.95767891664167E-2</v>
      </c>
      <c r="AF429" t="str">
        <f t="shared" si="28"/>
        <v>NonResidential</v>
      </c>
      <c r="AG429" t="str">
        <f>tbl_Data_old[[#This Row],[All_Meas_Name_Append]]</f>
        <v>Facility Energy Management System_SC</v>
      </c>
      <c r="AH429">
        <f>AVERAGEIFS('3. Incentive Adjustment'!G:G,'3. Incentive Adjustment'!A:A,tbl_Data_old[[#This Row],[Trimmed Sector]],'3. Incentive Adjustment'!B:B,tbl_Data_old[[#This Row],[Trimmed Measure Name]])</f>
        <v>0.86797534995247072</v>
      </c>
      <c r="AI429">
        <f>$AH429*tbl_Data_old[[#This Row],[2025 ]]</f>
        <v>1.7612710990489486E-2</v>
      </c>
      <c r="AJ429">
        <f>$AH429*tbl_Data_old[[#This Row],[2026 ]]</f>
        <v>2.3843308899605741E-2</v>
      </c>
      <c r="AK429">
        <f>$AH429*tbl_Data_old[[#This Row],[2027 ]]</f>
        <v>3.1416970282148571E-2</v>
      </c>
      <c r="AL429">
        <f>$AH429*tbl_Data_old[[#This Row],[2028 ]]</f>
        <v>4.0050629980561296E-2</v>
      </c>
      <c r="AM429">
        <f>$AH429*tbl_Data_old[[#This Row],[2029 ]]</f>
        <v>4.8945710550194754E-2</v>
      </c>
      <c r="AN429">
        <f>$AH429*tbl_Data_old[[#This Row],[2030 ]]</f>
        <v>5.7160391587264929E-2</v>
      </c>
      <c r="AO429">
        <f>$AH429*tbl_Data_old[[#This Row],[2031 ]]</f>
        <v>6.316983948231146E-2</v>
      </c>
      <c r="AP429">
        <f>$AH429*tbl_Data_old[[#This Row],[2032 ]]</f>
        <v>6.5843222360004949E-2</v>
      </c>
      <c r="AQ429">
        <f>$AH429*tbl_Data_old[[#This Row],[2033 ]]</f>
        <v>6.4875293680067919E-2</v>
      </c>
      <c r="AR429">
        <f>$AH429*tbl_Data_old[[#This Row],[2034 ]]</f>
        <v>6.0390937925289809E-2</v>
      </c>
      <c r="AS429">
        <f>SUM(tbl_Data_old[[#This Row],[Adjusted 2025]:[Adjusted 2034]])</f>
        <v>0.47330901573793893</v>
      </c>
      <c r="AT429" s="3">
        <f>AVERAGEIFS('3. Incentive Adjustment'!F:F,'3. Incentive Adjustment'!A:A,tbl_Data_old[[#This Row],[Trimmed Sector]],'3. Incentive Adjustment'!B:B,tbl_Data_old[[#This Row],[Trimmed Measure Name]])</f>
        <v>21679.111511953593</v>
      </c>
      <c r="AU429" s="3">
        <f>IFERROR(VLOOKUP(tbl_Data_old[[#This Row],[All_Meas_Name_Append]],'IRA Tax Credits'!$A$3:$D$46,4,0),0)</f>
        <v>0</v>
      </c>
      <c r="AV429" s="4">
        <f>tbl_Data_old[[#This Row],[Adj. per unit Incentive ($)]]/tbl_Data_old[[#This Row],[kWh Savings]]*tbl_Data_old[[#This Row],[Sum of Annuals]]</f>
        <v>7.193525293612632E-2</v>
      </c>
      <c r="AW429" s="4">
        <f>IFERROR(VLOOKUP(tbl_Data_old[[#This Row],[All_Programs]],'1. Set Program Names'!$B$2:$D$15,3,0)*tbl_Data_old[[#This Row],[Sum of Annuals]],"")</f>
        <v>1.4979376577077626E-2</v>
      </c>
      <c r="AX429" s="4">
        <f>tbl_Data_old[[#This Row],[per unit IRA tax ($)]]/tbl_Data_old[[#This Row],[kWh Savings]]*tbl_Data_old[[#This Row],[Sum of Annuals]]</f>
        <v>0</v>
      </c>
      <c r="AY429" s="4">
        <f>tbl_Data_old[[#This Row],[Avoided Costs ($/unit)]]/tbl_Data_old[[#This Row],[kWh Savings]]*tbl_Data_old[[#This Row],[Sum of Annuals]]</f>
        <v>0.22105066138381557</v>
      </c>
      <c r="AZ429" s="4">
        <f>tbl_Data_old[[#This Row],[Lost Revenue ($/unit)]]/tbl_Data_old[[#This Row],[kWh Savings]]*tbl_Data_old[[#This Row],[Sum of Annuals]]</f>
        <v>0.51407042129931901</v>
      </c>
      <c r="BA429" s="4">
        <f>tbl_Data_old[[#This Row],[Incremental Cost ($/unit)]]/tbl_Data_old[[#This Row],[kWh Savings]]*tbl_Data_old[[#This Row],[Sum of Annuals]]</f>
        <v>0.19677919265139635</v>
      </c>
      <c r="BB429">
        <f>ROUNDUP(tbl_Data_old[[#This Row],[Adjusted 2025]]/$L429,0)</f>
        <v>1</v>
      </c>
      <c r="BC429">
        <f>ROUNDUP(tbl_Data_old[[#This Row],[Adjusted 2026]]/$L429,0)</f>
        <v>1</v>
      </c>
      <c r="BD429">
        <f>ROUNDUP(tbl_Data_old[[#This Row],[Adjusted 2027]]/$L429,0)</f>
        <v>1</v>
      </c>
      <c r="BE429">
        <f>ROUNDUP(tbl_Data_old[[#This Row],[Adjusted 2028]]/$L429,0)</f>
        <v>1</v>
      </c>
      <c r="BF429">
        <f>ROUNDUP(tbl_Data_old[[#This Row],[Adjusted 2029]]/$L429,0)</f>
        <v>1</v>
      </c>
      <c r="BG429">
        <f>ROUNDUP(tbl_Data_old[[#This Row],[Adjusted 2030]]/$L429,0)</f>
        <v>1</v>
      </c>
      <c r="BH429">
        <f>ROUNDUP(tbl_Data_old[[#This Row],[Adjusted 2031]]/$L429,0)</f>
        <v>1</v>
      </c>
      <c r="BI429">
        <f>ROUNDUP(tbl_Data_old[[#This Row],[Adjusted 2032]]/$L429,0)</f>
        <v>1</v>
      </c>
      <c r="BJ429">
        <f>ROUNDUP(tbl_Data_old[[#This Row],[Adjusted 2033]]/$L429,0)</f>
        <v>1</v>
      </c>
      <c r="BK429">
        <f>ROUNDUP(tbl_Data_old[[#This Row],[Adjusted 2034]]/$L429,0)</f>
        <v>1</v>
      </c>
      <c r="BL429" s="3">
        <f t="shared" si="29"/>
        <v>3.0840102656970957E-3</v>
      </c>
      <c r="BM429" s="3">
        <f t="shared" si="29"/>
        <v>4.174996651808878E-3</v>
      </c>
      <c r="BN429" s="3">
        <f t="shared" si="29"/>
        <v>5.5011553258079117E-3</v>
      </c>
      <c r="BO429" s="3">
        <f t="shared" si="29"/>
        <v>7.0129211837055292E-3</v>
      </c>
      <c r="BP429" s="3">
        <f t="shared" si="29"/>
        <v>8.5704622008587299E-3</v>
      </c>
      <c r="BQ429" s="3">
        <f t="shared" si="29"/>
        <v>1.0008864310643626E-2</v>
      </c>
      <c r="BR429" s="3">
        <f t="shared" si="29"/>
        <v>1.1061127020768311E-2</v>
      </c>
      <c r="BS429" s="3">
        <f t="shared" si="29"/>
        <v>1.1529240092253874E-2</v>
      </c>
      <c r="BT429" s="3">
        <f t="shared" si="29"/>
        <v>1.1359754430052278E-2</v>
      </c>
      <c r="BU429" s="3">
        <f t="shared" si="29"/>
        <v>1.0574537481324659E-2</v>
      </c>
      <c r="BV429">
        <f>VLOOKUP($H429,'1. Set Program Names'!$B$2:$D$15,3,0)*V429</f>
        <v>6.4219627028307613E-4</v>
      </c>
      <c r="BW429">
        <f>VLOOKUP($H429,'1. Set Program Names'!$B$2:$D$15,3,0)*W429</f>
        <v>8.6937689801429795E-4</v>
      </c>
      <c r="BX429">
        <f>VLOOKUP($H429,'1. Set Program Names'!$B$2:$D$15,3,0)*X429</f>
        <v>1.1455284282859475E-3</v>
      </c>
      <c r="BY429">
        <f>VLOOKUP($H429,'1. Set Program Names'!$B$2:$D$15,3,0)*Y429</f>
        <v>1.4603297135740488E-3</v>
      </c>
      <c r="BZ429">
        <f>VLOOKUP($H429,'1. Set Program Names'!$B$2:$D$15,3,0)*Z429</f>
        <v>1.7846629504488629E-3</v>
      </c>
      <c r="CA429">
        <f>VLOOKUP($H429,'1. Set Program Names'!$B$2:$D$15,3,0)*AA429</f>
        <v>2.0841873976745178E-3</v>
      </c>
      <c r="CB429">
        <f>VLOOKUP($H429,'1. Set Program Names'!$B$2:$D$15,3,0)*AB429</f>
        <v>2.3033044334757231E-3</v>
      </c>
      <c r="CC429">
        <f>VLOOKUP($H429,'1. Set Program Names'!$B$2:$D$15,3,0)*AC429</f>
        <v>2.4007815631476091E-3</v>
      </c>
      <c r="CD429">
        <f>VLOOKUP($H429,'1. Set Program Names'!$B$2:$D$15,3,0)*AD429</f>
        <v>2.3654888595716953E-3</v>
      </c>
      <c r="CE429">
        <f>VLOOKUP($H429,'1. Set Program Names'!$B$2:$D$15,3,0)*AE429</f>
        <v>2.2019798721196215E-3</v>
      </c>
    </row>
    <row r="430" spans="1:83" x14ac:dyDescent="0.25">
      <c r="A430" s="20" t="s">
        <v>114</v>
      </c>
      <c r="B430" s="20" t="s">
        <v>88</v>
      </c>
      <c r="C430" s="20" t="s">
        <v>122</v>
      </c>
      <c r="D430" s="20" t="s">
        <v>90</v>
      </c>
      <c r="E430" s="20" t="s">
        <v>91</v>
      </c>
      <c r="F430" s="20" t="s">
        <v>90</v>
      </c>
      <c r="G430" s="20" t="s">
        <v>92</v>
      </c>
      <c r="H430" s="20" t="s">
        <v>18</v>
      </c>
      <c r="I430" s="20" t="s">
        <v>174</v>
      </c>
      <c r="J430" s="20" t="s">
        <v>132</v>
      </c>
      <c r="K430" s="20" t="s">
        <v>130</v>
      </c>
      <c r="L430" s="20">
        <v>2657.18</v>
      </c>
      <c r="M430" s="20">
        <v>0</v>
      </c>
      <c r="N430" s="20">
        <v>0.57468805905447795</v>
      </c>
      <c r="O430" s="20">
        <v>1080.72711480357</v>
      </c>
      <c r="P430" s="20">
        <v>534.12671770284101</v>
      </c>
      <c r="Q430" s="20">
        <v>84.094953887624897</v>
      </c>
      <c r="R430" s="20">
        <v>1466.48739383472</v>
      </c>
      <c r="S430" s="20">
        <v>2886.0165275711402</v>
      </c>
      <c r="T430" s="20">
        <v>15</v>
      </c>
      <c r="U430" s="20">
        <v>1</v>
      </c>
      <c r="V430" s="20">
        <v>0</v>
      </c>
      <c r="W430" s="20">
        <v>0</v>
      </c>
      <c r="X430" s="20">
        <v>0</v>
      </c>
      <c r="Y430" s="20">
        <v>0</v>
      </c>
      <c r="Z430" s="20">
        <v>0</v>
      </c>
      <c r="AA430" s="20">
        <v>0</v>
      </c>
      <c r="AB430" s="20">
        <v>0</v>
      </c>
      <c r="AC430" s="20">
        <v>0</v>
      </c>
      <c r="AD430" s="20">
        <v>0</v>
      </c>
      <c r="AE430" s="20">
        <v>0</v>
      </c>
      <c r="AF430" t="str">
        <f t="shared" si="28"/>
        <v>NonResidential</v>
      </c>
      <c r="AG430" t="str">
        <f>tbl_Data_old[[#This Row],[All_Meas_Name_Append]]</f>
        <v>Facility Energy Management System_SH</v>
      </c>
      <c r="AH430">
        <f>AVERAGEIFS('3. Incentive Adjustment'!G:G,'3. Incentive Adjustment'!A:A,tbl_Data_old[[#This Row],[Trimmed Sector]],'3. Incentive Adjustment'!B:B,tbl_Data_old[[#This Row],[Trimmed Measure Name]])</f>
        <v>0.63685031373688805</v>
      </c>
      <c r="AI430">
        <f>$AH430*tbl_Data_old[[#This Row],[2025 ]]</f>
        <v>0</v>
      </c>
      <c r="AJ430">
        <f>$AH430*tbl_Data_old[[#This Row],[2026 ]]</f>
        <v>0</v>
      </c>
      <c r="AK430">
        <f>$AH430*tbl_Data_old[[#This Row],[2027 ]]</f>
        <v>0</v>
      </c>
      <c r="AL430">
        <f>$AH430*tbl_Data_old[[#This Row],[2028 ]]</f>
        <v>0</v>
      </c>
      <c r="AM430">
        <f>$AH430*tbl_Data_old[[#This Row],[2029 ]]</f>
        <v>0</v>
      </c>
      <c r="AN430">
        <f>$AH430*tbl_Data_old[[#This Row],[2030 ]]</f>
        <v>0</v>
      </c>
      <c r="AO430">
        <f>$AH430*tbl_Data_old[[#This Row],[2031 ]]</f>
        <v>0</v>
      </c>
      <c r="AP430">
        <f>$AH430*tbl_Data_old[[#This Row],[2032 ]]</f>
        <v>0</v>
      </c>
      <c r="AQ430">
        <f>$AH430*tbl_Data_old[[#This Row],[2033 ]]</f>
        <v>0</v>
      </c>
      <c r="AR430">
        <f>$AH430*tbl_Data_old[[#This Row],[2034 ]]</f>
        <v>0</v>
      </c>
      <c r="AS430">
        <f>SUM(tbl_Data_old[[#This Row],[Adjusted 2025]:[Adjusted 2034]])</f>
        <v>0</v>
      </c>
      <c r="AT430" s="3">
        <f>AVERAGEIFS('3. Incentive Adjustment'!F:F,'3. Incentive Adjustment'!A:A,tbl_Data_old[[#This Row],[Trimmed Sector]],'3. Incentive Adjustment'!B:B,tbl_Data_old[[#This Row],[Trimmed Measure Name]])</f>
        <v>79.715399999999988</v>
      </c>
      <c r="AU430" s="3">
        <f>IFERROR(VLOOKUP(tbl_Data_old[[#This Row],[All_Meas_Name_Append]],'IRA Tax Credits'!$A$3:$D$46,4,0),0)</f>
        <v>0</v>
      </c>
      <c r="AV430" s="4">
        <f>tbl_Data_old[[#This Row],[Adj. per unit Incentive ($)]]/tbl_Data_old[[#This Row],[kWh Savings]]*tbl_Data_old[[#This Row],[Sum of Annuals]]</f>
        <v>0</v>
      </c>
      <c r="AW430" s="4">
        <f>IFERROR(VLOOKUP(tbl_Data_old[[#This Row],[All_Programs]],'1. Set Program Names'!$B$2:$D$15,3,0)*tbl_Data_old[[#This Row],[Sum of Annuals]],"")</f>
        <v>0</v>
      </c>
      <c r="AX430" s="4">
        <f>tbl_Data_old[[#This Row],[per unit IRA tax ($)]]/tbl_Data_old[[#This Row],[kWh Savings]]*tbl_Data_old[[#This Row],[Sum of Annuals]]</f>
        <v>0</v>
      </c>
      <c r="AY430" s="4">
        <f>tbl_Data_old[[#This Row],[Avoided Costs ($/unit)]]/tbl_Data_old[[#This Row],[kWh Savings]]*tbl_Data_old[[#This Row],[Sum of Annuals]]</f>
        <v>0</v>
      </c>
      <c r="AZ430" s="4">
        <f>tbl_Data_old[[#This Row],[Lost Revenue ($/unit)]]/tbl_Data_old[[#This Row],[kWh Savings]]*tbl_Data_old[[#This Row],[Sum of Annuals]]</f>
        <v>0</v>
      </c>
      <c r="BA430" s="4">
        <f>tbl_Data_old[[#This Row],[Incremental Cost ($/unit)]]/tbl_Data_old[[#This Row],[kWh Savings]]*tbl_Data_old[[#This Row],[Sum of Annuals]]</f>
        <v>0</v>
      </c>
      <c r="BB430">
        <f>ROUNDUP(tbl_Data_old[[#This Row],[Adjusted 2025]]/$L430,0)</f>
        <v>0</v>
      </c>
      <c r="BC430">
        <f>ROUNDUP(tbl_Data_old[[#This Row],[Adjusted 2026]]/$L430,0)</f>
        <v>0</v>
      </c>
      <c r="BD430">
        <f>ROUNDUP(tbl_Data_old[[#This Row],[Adjusted 2027]]/$L430,0)</f>
        <v>0</v>
      </c>
      <c r="BE430">
        <f>ROUNDUP(tbl_Data_old[[#This Row],[Adjusted 2028]]/$L430,0)</f>
        <v>0</v>
      </c>
      <c r="BF430">
        <f>ROUNDUP(tbl_Data_old[[#This Row],[Adjusted 2029]]/$L430,0)</f>
        <v>0</v>
      </c>
      <c r="BG430">
        <f>ROUNDUP(tbl_Data_old[[#This Row],[Adjusted 2030]]/$L430,0)</f>
        <v>0</v>
      </c>
      <c r="BH430">
        <f>ROUNDUP(tbl_Data_old[[#This Row],[Adjusted 2031]]/$L430,0)</f>
        <v>0</v>
      </c>
      <c r="BI430">
        <f>ROUNDUP(tbl_Data_old[[#This Row],[Adjusted 2032]]/$L430,0)</f>
        <v>0</v>
      </c>
      <c r="BJ430">
        <f>ROUNDUP(tbl_Data_old[[#This Row],[Adjusted 2033]]/$L430,0)</f>
        <v>0</v>
      </c>
      <c r="BK430">
        <f>ROUNDUP(tbl_Data_old[[#This Row],[Adjusted 2034]]/$L430,0)</f>
        <v>0</v>
      </c>
      <c r="BL430" s="3">
        <f t="shared" si="29"/>
        <v>0</v>
      </c>
      <c r="BM430" s="3">
        <f t="shared" si="29"/>
        <v>0</v>
      </c>
      <c r="BN430" s="3">
        <f t="shared" si="29"/>
        <v>0</v>
      </c>
      <c r="BO430" s="3">
        <f t="shared" si="29"/>
        <v>0</v>
      </c>
      <c r="BP430" s="3">
        <f t="shared" si="29"/>
        <v>0</v>
      </c>
      <c r="BQ430" s="3">
        <f t="shared" si="29"/>
        <v>0</v>
      </c>
      <c r="BR430" s="3">
        <f t="shared" si="29"/>
        <v>0</v>
      </c>
      <c r="BS430" s="3">
        <f t="shared" si="29"/>
        <v>0</v>
      </c>
      <c r="BT430" s="3">
        <f t="shared" si="29"/>
        <v>0</v>
      </c>
      <c r="BU430" s="3">
        <f t="shared" si="29"/>
        <v>0</v>
      </c>
      <c r="BV430">
        <f>VLOOKUP($H430,'1. Set Program Names'!$B$2:$D$15,3,0)*V430</f>
        <v>0</v>
      </c>
      <c r="BW430">
        <f>VLOOKUP($H430,'1. Set Program Names'!$B$2:$D$15,3,0)*W430</f>
        <v>0</v>
      </c>
      <c r="BX430">
        <f>VLOOKUP($H430,'1. Set Program Names'!$B$2:$D$15,3,0)*X430</f>
        <v>0</v>
      </c>
      <c r="BY430">
        <f>VLOOKUP($H430,'1. Set Program Names'!$B$2:$D$15,3,0)*Y430</f>
        <v>0</v>
      </c>
      <c r="BZ430">
        <f>VLOOKUP($H430,'1. Set Program Names'!$B$2:$D$15,3,0)*Z430</f>
        <v>0</v>
      </c>
      <c r="CA430">
        <f>VLOOKUP($H430,'1. Set Program Names'!$B$2:$D$15,3,0)*AA430</f>
        <v>0</v>
      </c>
      <c r="CB430">
        <f>VLOOKUP($H430,'1. Set Program Names'!$B$2:$D$15,3,0)*AB430</f>
        <v>0</v>
      </c>
      <c r="CC430">
        <f>VLOOKUP($H430,'1. Set Program Names'!$B$2:$D$15,3,0)*AC430</f>
        <v>0</v>
      </c>
      <c r="CD430">
        <f>VLOOKUP($H430,'1. Set Program Names'!$B$2:$D$15,3,0)*AD430</f>
        <v>0</v>
      </c>
      <c r="CE430">
        <f>VLOOKUP($H430,'1. Set Program Names'!$B$2:$D$15,3,0)*AE430</f>
        <v>0</v>
      </c>
    </row>
    <row r="431" spans="1:83" x14ac:dyDescent="0.25">
      <c r="A431" s="20" t="s">
        <v>114</v>
      </c>
      <c r="B431" s="20" t="s">
        <v>88</v>
      </c>
      <c r="C431" s="20" t="s">
        <v>122</v>
      </c>
      <c r="D431" s="20" t="s">
        <v>90</v>
      </c>
      <c r="E431" s="20" t="s">
        <v>91</v>
      </c>
      <c r="F431" s="20" t="s">
        <v>90</v>
      </c>
      <c r="G431" s="20" t="s">
        <v>92</v>
      </c>
      <c r="H431" s="20" t="s">
        <v>18</v>
      </c>
      <c r="I431" s="20" t="s">
        <v>145</v>
      </c>
      <c r="J431" s="20" t="s">
        <v>129</v>
      </c>
      <c r="K431" s="20" t="s">
        <v>98</v>
      </c>
      <c r="L431" s="20">
        <v>1452.1399999999801</v>
      </c>
      <c r="M431" s="20">
        <v>0.33467704377742202</v>
      </c>
      <c r="N431" s="20">
        <v>4.3977319526113799E-2</v>
      </c>
      <c r="O431" s="20">
        <v>654.99999999999898</v>
      </c>
      <c r="P431" s="20">
        <v>358.56061649158102</v>
      </c>
      <c r="Q431" s="20">
        <v>45.957611580086699</v>
      </c>
      <c r="R431" s="20">
        <v>761.15206993055403</v>
      </c>
      <c r="S431" s="20">
        <v>1577.19839843259</v>
      </c>
      <c r="T431" s="20">
        <v>15</v>
      </c>
      <c r="U431" s="20">
        <v>0.94999999999999896</v>
      </c>
      <c r="V431" s="20">
        <v>2.9094475278799901</v>
      </c>
      <c r="W431" s="20">
        <v>3.2560889166271099</v>
      </c>
      <c r="X431" s="20">
        <v>3.5646105199245</v>
      </c>
      <c r="Y431" s="20">
        <v>3.8536046656528899</v>
      </c>
      <c r="Z431" s="20">
        <v>4.1213574058787801</v>
      </c>
      <c r="AA431" s="20">
        <v>4.3661853169431</v>
      </c>
      <c r="AB431" s="20">
        <v>4.5908334890742903</v>
      </c>
      <c r="AC431" s="20">
        <v>4.8071313983391697</v>
      </c>
      <c r="AD431" s="20">
        <v>5.0203987958853</v>
      </c>
      <c r="AE431" s="20">
        <v>5.2250340411812699</v>
      </c>
      <c r="AF431" t="str">
        <f t="shared" si="28"/>
        <v>NonResidential</v>
      </c>
      <c r="AG431" t="str">
        <f>tbl_Data_old[[#This Row],[All_Meas_Name_Append]]</f>
        <v>HE DX Less than 5.4 Tons Elect Heat</v>
      </c>
      <c r="AH431">
        <f>AVERAGEIFS('3. Incentive Adjustment'!G:G,'3. Incentive Adjustment'!A:A,tbl_Data_old[[#This Row],[Trimmed Sector]],'3. Incentive Adjustment'!B:B,tbl_Data_old[[#This Row],[Trimmed Measure Name]])</f>
        <v>0.74493198517309978</v>
      </c>
      <c r="AI431">
        <f>$AH431*tbl_Data_old[[#This Row],[2025 ]]</f>
        <v>2.1673405227006084</v>
      </c>
      <c r="AJ431">
        <f>$AH431*tbl_Data_old[[#This Row],[2026 ]]</f>
        <v>2.4255647805631608</v>
      </c>
      <c r="AK431">
        <f>$AH431*tbl_Data_old[[#This Row],[2027 ]]</f>
        <v>2.6553923909762731</v>
      </c>
      <c r="AL431">
        <f>$AH431*tbl_Data_old[[#This Row],[2028 ]]</f>
        <v>2.8706733736571266</v>
      </c>
      <c r="AM431">
        <f>$AH431*tbl_Data_old[[#This Row],[2029 ]]</f>
        <v>3.0701309539691364</v>
      </c>
      <c r="AN431">
        <f>$AH431*tbl_Data_old[[#This Row],[2030 ]]</f>
        <v>3.2525110957840635</v>
      </c>
      <c r="AO431">
        <f>$AH431*tbl_Data_old[[#This Row],[2031 ]]</f>
        <v>3.4198587046152591</v>
      </c>
      <c r="AP431">
        <f>$AH431*tbl_Data_old[[#This Row],[2032 ]]</f>
        <v>3.5809859355527367</v>
      </c>
      <c r="AQ431">
        <f>$AH431*tbl_Data_old[[#This Row],[2033 ]]</f>
        <v>3.7398556413794761</v>
      </c>
      <c r="AR431">
        <f>$AH431*tbl_Data_old[[#This Row],[2034 ]]</f>
        <v>3.8922949808941874</v>
      </c>
      <c r="AS431">
        <f>SUM(tbl_Data_old[[#This Row],[Adjusted 2025]:[Adjusted 2034]])</f>
        <v>31.074608380092027</v>
      </c>
      <c r="AT431" s="3">
        <f>AVERAGEIFS('3. Incentive Adjustment'!F:F,'3. Incentive Adjustment'!A:A,tbl_Data_old[[#This Row],[Trimmed Sector]],'3. Incentive Adjustment'!B:B,tbl_Data_old[[#This Row],[Trimmed Measure Name]])</f>
        <v>196.49999999999969</v>
      </c>
      <c r="AU431" s="3">
        <f>IFERROR(VLOOKUP(tbl_Data_old[[#This Row],[All_Meas_Name_Append]],'IRA Tax Credits'!$A$3:$D$46,4,0),0)</f>
        <v>0</v>
      </c>
      <c r="AV431" s="4">
        <f>tbl_Data_old[[#This Row],[Adj. per unit Incentive ($)]]/tbl_Data_old[[#This Row],[kWh Savings]]*tbl_Data_old[[#This Row],[Sum of Annuals]]</f>
        <v>4.204939294205901</v>
      </c>
      <c r="AW431" s="4">
        <f>IFERROR(VLOOKUP(tbl_Data_old[[#This Row],[All_Programs]],'1. Set Program Names'!$B$2:$D$15,3,0)*tbl_Data_old[[#This Row],[Sum of Annuals]],"")</f>
        <v>0.9834553017860449</v>
      </c>
      <c r="AX431" s="4">
        <f>tbl_Data_old[[#This Row],[per unit IRA tax ($)]]/tbl_Data_old[[#This Row],[kWh Savings]]*tbl_Data_old[[#This Row],[Sum of Annuals]]</f>
        <v>0</v>
      </c>
      <c r="AY431" s="4">
        <f>tbl_Data_old[[#This Row],[Avoided Costs ($/unit)]]/tbl_Data_old[[#This Row],[kWh Savings]]*tbl_Data_old[[#This Row],[Sum of Annuals]]</f>
        <v>16.288031794998219</v>
      </c>
      <c r="AZ431" s="4">
        <f>tbl_Data_old[[#This Row],[Lost Revenue ($/unit)]]/tbl_Data_old[[#This Row],[kWh Savings]]*tbl_Data_old[[#This Row],[Sum of Annuals]]</f>
        <v>33.750755828640322</v>
      </c>
      <c r="BA431" s="4">
        <f>tbl_Data_old[[#This Row],[Incremental Cost ($/unit)]]/tbl_Data_old[[#This Row],[kWh Savings]]*tbl_Data_old[[#This Row],[Sum of Annuals]]</f>
        <v>14.016464314019672</v>
      </c>
      <c r="BB431">
        <f>ROUNDUP(tbl_Data_old[[#This Row],[Adjusted 2025]]/$L431,0)</f>
        <v>1</v>
      </c>
      <c r="BC431">
        <f>ROUNDUP(tbl_Data_old[[#This Row],[Adjusted 2026]]/$L431,0)</f>
        <v>1</v>
      </c>
      <c r="BD431">
        <f>ROUNDUP(tbl_Data_old[[#This Row],[Adjusted 2027]]/$L431,0)</f>
        <v>1</v>
      </c>
      <c r="BE431">
        <f>ROUNDUP(tbl_Data_old[[#This Row],[Adjusted 2028]]/$L431,0)</f>
        <v>1</v>
      </c>
      <c r="BF431">
        <f>ROUNDUP(tbl_Data_old[[#This Row],[Adjusted 2029]]/$L431,0)</f>
        <v>1</v>
      </c>
      <c r="BG431">
        <f>ROUNDUP(tbl_Data_old[[#This Row],[Adjusted 2030]]/$L431,0)</f>
        <v>1</v>
      </c>
      <c r="BH431">
        <f>ROUNDUP(tbl_Data_old[[#This Row],[Adjusted 2031]]/$L431,0)</f>
        <v>1</v>
      </c>
      <c r="BI431">
        <f>ROUNDUP(tbl_Data_old[[#This Row],[Adjusted 2032]]/$L431,0)</f>
        <v>1</v>
      </c>
      <c r="BJ431">
        <f>ROUNDUP(tbl_Data_old[[#This Row],[Adjusted 2033]]/$L431,0)</f>
        <v>1</v>
      </c>
      <c r="BK431">
        <f>ROUNDUP(tbl_Data_old[[#This Row],[Adjusted 2034]]/$L431,0)</f>
        <v>1</v>
      </c>
      <c r="BL431" s="3">
        <f t="shared" si="29"/>
        <v>0.39369925711599774</v>
      </c>
      <c r="BM431" s="3">
        <f t="shared" si="29"/>
        <v>0.44060591411106009</v>
      </c>
      <c r="BN431" s="3">
        <f t="shared" si="29"/>
        <v>0.48235429584280626</v>
      </c>
      <c r="BO431" s="3">
        <f t="shared" si="29"/>
        <v>0.52146027022243169</v>
      </c>
      <c r="BP431" s="3">
        <f t="shared" si="29"/>
        <v>0.55769191004668284</v>
      </c>
      <c r="BQ431" s="3">
        <f t="shared" si="29"/>
        <v>0.59082141858176862</v>
      </c>
      <c r="BR431" s="3">
        <f t="shared" si="29"/>
        <v>0.62122025466078268</v>
      </c>
      <c r="BS431" s="3">
        <f t="shared" si="29"/>
        <v>0.65048915378245775</v>
      </c>
      <c r="BT431" s="3">
        <f t="shared" si="29"/>
        <v>0.67934797153957149</v>
      </c>
      <c r="BU431" s="3">
        <f t="shared" si="29"/>
        <v>0.70703870776380506</v>
      </c>
      <c r="BV431">
        <f>VLOOKUP($H431,'1. Set Program Names'!$B$2:$D$15,3,0)*V431</f>
        <v>9.2078766096211837E-2</v>
      </c>
      <c r="BW431">
        <f>VLOOKUP($H431,'1. Set Program Names'!$B$2:$D$15,3,0)*W431</f>
        <v>0.1030493407664379</v>
      </c>
      <c r="BX431">
        <f>VLOOKUP($H431,'1. Set Program Names'!$B$2:$D$15,3,0)*X431</f>
        <v>0.11281349298895582</v>
      </c>
      <c r="BY431">
        <f>VLOOKUP($H431,'1. Set Program Names'!$B$2:$D$15,3,0)*Y431</f>
        <v>0.12195963640371225</v>
      </c>
      <c r="BZ431">
        <f>VLOOKUP($H431,'1. Set Program Names'!$B$2:$D$15,3,0)*Z431</f>
        <v>0.13043352765029001</v>
      </c>
      <c r="CA431">
        <f>VLOOKUP($H431,'1. Set Program Names'!$B$2:$D$15,3,0)*AA431</f>
        <v>0.13818188940649678</v>
      </c>
      <c r="CB431">
        <f>VLOOKUP($H431,'1. Set Program Names'!$B$2:$D$15,3,0)*AB431</f>
        <v>0.14529159882637488</v>
      </c>
      <c r="CC431">
        <f>VLOOKUP($H431,'1. Set Program Names'!$B$2:$D$15,3,0)*AC431</f>
        <v>0.15213703748902466</v>
      </c>
      <c r="CD431">
        <f>VLOOKUP($H431,'1. Set Program Names'!$B$2:$D$15,3,0)*AD431</f>
        <v>0.15888656592231692</v>
      </c>
      <c r="CE431">
        <f>VLOOKUP($H431,'1. Set Program Names'!$B$2:$D$15,3,0)*AE431</f>
        <v>0.1653629023078638</v>
      </c>
    </row>
    <row r="432" spans="1:83" x14ac:dyDescent="0.25">
      <c r="A432" s="20" t="s">
        <v>114</v>
      </c>
      <c r="B432" s="20" t="s">
        <v>88</v>
      </c>
      <c r="C432" s="20" t="s">
        <v>122</v>
      </c>
      <c r="D432" s="20" t="s">
        <v>90</v>
      </c>
      <c r="E432" s="20" t="s">
        <v>91</v>
      </c>
      <c r="F432" s="20" t="s">
        <v>90</v>
      </c>
      <c r="G432" s="20" t="s">
        <v>92</v>
      </c>
      <c r="H432" s="20" t="s">
        <v>18</v>
      </c>
      <c r="I432" s="20" t="s">
        <v>146</v>
      </c>
      <c r="J432" s="20" t="s">
        <v>129</v>
      </c>
      <c r="K432" s="20" t="s">
        <v>98</v>
      </c>
      <c r="L432" s="20">
        <v>23719.439999999999</v>
      </c>
      <c r="M432" s="20">
        <v>5.4597690026648404</v>
      </c>
      <c r="N432" s="20">
        <v>0</v>
      </c>
      <c r="O432" s="20">
        <v>11386</v>
      </c>
      <c r="P432" s="20">
        <v>6681.8656442185202</v>
      </c>
      <c r="Q432" s="20">
        <v>750.67749006099905</v>
      </c>
      <c r="R432" s="20">
        <v>13758.6347393458</v>
      </c>
      <c r="S432" s="20">
        <v>32663.358650317699</v>
      </c>
      <c r="T432" s="20">
        <v>23</v>
      </c>
      <c r="U432" s="20">
        <v>1</v>
      </c>
      <c r="V432" s="20">
        <v>5.0440584111094298</v>
      </c>
      <c r="W432" s="20">
        <v>5.6464149103520196</v>
      </c>
      <c r="X432" s="20">
        <v>6.1942276319199596</v>
      </c>
      <c r="Y432" s="20">
        <v>6.7105670684153997</v>
      </c>
      <c r="Z432" s="20">
        <v>7.1868832969677703</v>
      </c>
      <c r="AA432" s="20">
        <v>7.6250791976926697</v>
      </c>
      <c r="AB432" s="20">
        <v>8.0239174281671595</v>
      </c>
      <c r="AC432" s="20">
        <v>8.4047203982176093</v>
      </c>
      <c r="AD432" s="20">
        <v>8.7846621122388395</v>
      </c>
      <c r="AE432" s="20">
        <v>9.1455906689032105</v>
      </c>
      <c r="AF432" t="str">
        <f t="shared" si="28"/>
        <v>NonResidential</v>
      </c>
      <c r="AG432" t="str">
        <f>tbl_Data_old[[#This Row],[All_Meas_Name_Append]]</f>
        <v>HE Water Cooled Chiller - Centrifugal Compressor - 200 Tons</v>
      </c>
      <c r="AH432">
        <f>AVERAGEIFS('3. Incentive Adjustment'!G:G,'3. Incentive Adjustment'!A:A,tbl_Data_old[[#This Row],[Trimmed Sector]],'3. Incentive Adjustment'!B:B,tbl_Data_old[[#This Row],[Trimmed Measure Name]])</f>
        <v>0.69536855707903378</v>
      </c>
      <c r="AI432">
        <f>$AH432*tbl_Data_old[[#This Row],[2025 ]]</f>
        <v>3.5074796191555278</v>
      </c>
      <c r="AJ432">
        <f>$AH432*tbl_Data_old[[#This Row],[2026 ]]</f>
        <v>3.9263393888810256</v>
      </c>
      <c r="AK432">
        <f>$AH432*tbl_Data_old[[#This Row],[2027 ]]</f>
        <v>4.3072711306272629</v>
      </c>
      <c r="AL432">
        <f>$AH432*tbl_Data_old[[#This Row],[2028 ]]</f>
        <v>4.6663173395460982</v>
      </c>
      <c r="AM432">
        <f>$AH432*tbl_Data_old[[#This Row],[2029 ]]</f>
        <v>4.9975326681078878</v>
      </c>
      <c r="AN432">
        <f>$AH432*tbl_Data_old[[#This Row],[2030 ]]</f>
        <v>5.302240319312908</v>
      </c>
      <c r="AO432">
        <f>$AH432*tbl_Data_old[[#This Row],[2031 ]]</f>
        <v>5.5795798841459092</v>
      </c>
      <c r="AP432">
        <f>$AH432*tbl_Data_old[[#This Row],[2032 ]]</f>
        <v>5.8443782959613015</v>
      </c>
      <c r="AQ432">
        <f>$AH432*tbl_Data_old[[#This Row],[2033 ]]</f>
        <v>6.1085778174143792</v>
      </c>
      <c r="AR432">
        <f>$AH432*tbl_Data_old[[#This Row],[2034 ]]</f>
        <v>6.3595561870707007</v>
      </c>
      <c r="AS432">
        <f>SUM(tbl_Data_old[[#This Row],[Adjusted 2025]:[Adjusted 2034]])</f>
        <v>50.599272650223</v>
      </c>
      <c r="AT432" s="3">
        <f>AVERAGEIFS('3. Incentive Adjustment'!F:F,'3. Incentive Adjustment'!A:A,tbl_Data_old[[#This Row],[Trimmed Sector]],'3. Incentive Adjustment'!B:B,tbl_Data_old[[#This Row],[Trimmed Measure Name]])</f>
        <v>3415.7999999999997</v>
      </c>
      <c r="AU432" s="3">
        <f>IFERROR(VLOOKUP(tbl_Data_old[[#This Row],[All_Meas_Name_Append]],'IRA Tax Credits'!$A$3:$D$46,4,0),0)</f>
        <v>0</v>
      </c>
      <c r="AV432" s="4">
        <f>tbl_Data_old[[#This Row],[Adj. per unit Incentive ($)]]/tbl_Data_old[[#This Row],[kWh Savings]]*tbl_Data_old[[#This Row],[Sum of Annuals]]</f>
        <v>7.2867232750280664</v>
      </c>
      <c r="AW432" s="4">
        <f>IFERROR(VLOOKUP(tbl_Data_old[[#This Row],[All_Programs]],'1. Set Program Names'!$B$2:$D$15,3,0)*tbl_Data_old[[#This Row],[Sum of Annuals]],"")</f>
        <v>1.6013757066769527</v>
      </c>
      <c r="AX432" s="4">
        <f>tbl_Data_old[[#This Row],[per unit IRA tax ($)]]/tbl_Data_old[[#This Row],[kWh Savings]]*tbl_Data_old[[#This Row],[Sum of Annuals]]</f>
        <v>0</v>
      </c>
      <c r="AY432" s="4">
        <f>tbl_Data_old[[#This Row],[Avoided Costs ($/unit)]]/tbl_Data_old[[#This Row],[kWh Savings]]*tbl_Data_old[[#This Row],[Sum of Annuals]]</f>
        <v>29.350478361672454</v>
      </c>
      <c r="AZ432" s="4">
        <f>tbl_Data_old[[#This Row],[Lost Revenue ($/unit)]]/tbl_Data_old[[#This Row],[kWh Savings]]*tbl_Data_old[[#This Row],[Sum of Annuals]]</f>
        <v>69.678803126020071</v>
      </c>
      <c r="BA432" s="4">
        <f>tbl_Data_old[[#This Row],[Incremental Cost ($/unit)]]/tbl_Data_old[[#This Row],[kWh Savings]]*tbl_Data_old[[#This Row],[Sum of Annuals]]</f>
        <v>24.289077583426891</v>
      </c>
      <c r="BB432">
        <f>ROUNDUP(tbl_Data_old[[#This Row],[Adjusted 2025]]/$L432,0)</f>
        <v>1</v>
      </c>
      <c r="BC432">
        <f>ROUNDUP(tbl_Data_old[[#This Row],[Adjusted 2026]]/$L432,0)</f>
        <v>1</v>
      </c>
      <c r="BD432">
        <f>ROUNDUP(tbl_Data_old[[#This Row],[Adjusted 2027]]/$L432,0)</f>
        <v>1</v>
      </c>
      <c r="BE432">
        <f>ROUNDUP(tbl_Data_old[[#This Row],[Adjusted 2028]]/$L432,0)</f>
        <v>1</v>
      </c>
      <c r="BF432">
        <f>ROUNDUP(tbl_Data_old[[#This Row],[Adjusted 2029]]/$L432,0)</f>
        <v>1</v>
      </c>
      <c r="BG432">
        <f>ROUNDUP(tbl_Data_old[[#This Row],[Adjusted 2030]]/$L432,0)</f>
        <v>1</v>
      </c>
      <c r="BH432">
        <f>ROUNDUP(tbl_Data_old[[#This Row],[Adjusted 2031]]/$L432,0)</f>
        <v>1</v>
      </c>
      <c r="BI432">
        <f>ROUNDUP(tbl_Data_old[[#This Row],[Adjusted 2032]]/$L432,0)</f>
        <v>1</v>
      </c>
      <c r="BJ432">
        <f>ROUNDUP(tbl_Data_old[[#This Row],[Adjusted 2033]]/$L432,0)</f>
        <v>1</v>
      </c>
      <c r="BK432">
        <f>ROUNDUP(tbl_Data_old[[#This Row],[Adjusted 2034]]/$L432,0)</f>
        <v>1</v>
      </c>
      <c r="BL432" s="3">
        <f t="shared" si="29"/>
        <v>0.72638707830655325</v>
      </c>
      <c r="BM432" s="3">
        <f t="shared" si="29"/>
        <v>0.81313150946145563</v>
      </c>
      <c r="BN432" s="3">
        <f t="shared" si="29"/>
        <v>0.89202117525170066</v>
      </c>
      <c r="BO432" s="3">
        <f t="shared" si="29"/>
        <v>0.96637842176262689</v>
      </c>
      <c r="BP432" s="3">
        <f t="shared" si="29"/>
        <v>1.0349719877780634</v>
      </c>
      <c r="BQ432" s="3">
        <f t="shared" si="29"/>
        <v>1.0980759041308994</v>
      </c>
      <c r="BR432" s="3">
        <f t="shared" si="29"/>
        <v>1.1555119830456952</v>
      </c>
      <c r="BS432" s="3">
        <f t="shared" si="29"/>
        <v>1.2103508319012468</v>
      </c>
      <c r="BT432" s="3">
        <f t="shared" si="29"/>
        <v>1.2650656526033257</v>
      </c>
      <c r="BU432" s="3">
        <f t="shared" si="29"/>
        <v>1.3170424178159175</v>
      </c>
      <c r="BV432">
        <f>VLOOKUP($H432,'1. Set Program Names'!$B$2:$D$15,3,0)*V432</f>
        <v>0.15963535006613563</v>
      </c>
      <c r="BW432">
        <f>VLOOKUP($H432,'1. Set Program Names'!$B$2:$D$15,3,0)*W432</f>
        <v>0.17869884671586081</v>
      </c>
      <c r="BX432">
        <f>VLOOKUP($H432,'1. Set Program Names'!$B$2:$D$15,3,0)*X432</f>
        <v>0.19603613119011934</v>
      </c>
      <c r="BY432">
        <f>VLOOKUP($H432,'1. Set Program Names'!$B$2:$D$15,3,0)*Y432</f>
        <v>0.21237734296442379</v>
      </c>
      <c r="BZ432">
        <f>VLOOKUP($H432,'1. Set Program Names'!$B$2:$D$15,3,0)*Z432</f>
        <v>0.22745189240256461</v>
      </c>
      <c r="CA432">
        <f>VLOOKUP($H432,'1. Set Program Names'!$B$2:$D$15,3,0)*AA432</f>
        <v>0.2413200022277201</v>
      </c>
      <c r="CB432">
        <f>VLOOKUP($H432,'1. Set Program Names'!$B$2:$D$15,3,0)*AB432</f>
        <v>0.25394251278416496</v>
      </c>
      <c r="CC432">
        <f>VLOOKUP($H432,'1. Set Program Names'!$B$2:$D$15,3,0)*AC432</f>
        <v>0.26599423988080995</v>
      </c>
      <c r="CD432">
        <f>VLOOKUP($H432,'1. Set Program Names'!$B$2:$D$15,3,0)*AD432</f>
        <v>0.27801870977769333</v>
      </c>
      <c r="CE432">
        <f>VLOOKUP($H432,'1. Set Program Names'!$B$2:$D$15,3,0)*AE432</f>
        <v>0.28944144754081713</v>
      </c>
    </row>
    <row r="433" spans="1:83" x14ac:dyDescent="0.25">
      <c r="A433" s="20" t="s">
        <v>114</v>
      </c>
      <c r="B433" s="20" t="s">
        <v>88</v>
      </c>
      <c r="C433" s="20" t="s">
        <v>122</v>
      </c>
      <c r="D433" s="20" t="s">
        <v>90</v>
      </c>
      <c r="E433" s="20" t="s">
        <v>91</v>
      </c>
      <c r="F433" s="20" t="s">
        <v>90</v>
      </c>
      <c r="G433" s="20" t="s">
        <v>92</v>
      </c>
      <c r="H433" s="20" t="s">
        <v>18</v>
      </c>
      <c r="I433" s="20" t="s">
        <v>147</v>
      </c>
      <c r="J433" s="20" t="s">
        <v>129</v>
      </c>
      <c r="K433" s="20" t="s">
        <v>98</v>
      </c>
      <c r="L433" s="20">
        <v>51564</v>
      </c>
      <c r="M433" s="20">
        <v>11.869063049271301</v>
      </c>
      <c r="N433" s="20">
        <v>0</v>
      </c>
      <c r="O433" s="20">
        <v>19806</v>
      </c>
      <c r="P433" s="20">
        <v>9503.5476574024997</v>
      </c>
      <c r="Q433" s="20">
        <v>1631.9075870891199</v>
      </c>
      <c r="R433" s="20">
        <v>29910.075520317099</v>
      </c>
      <c r="S433" s="20">
        <v>71007.301413734196</v>
      </c>
      <c r="T433" s="20">
        <v>23</v>
      </c>
      <c r="U433" s="20">
        <v>1</v>
      </c>
      <c r="V433" s="20">
        <v>4.9159388235362398</v>
      </c>
      <c r="W433" s="20">
        <v>5.5128097986591902</v>
      </c>
      <c r="X433" s="20">
        <v>6.0573643541091897</v>
      </c>
      <c r="Y433" s="20">
        <v>6.5717329679666303</v>
      </c>
      <c r="Z433" s="20">
        <v>7.0472360748683496</v>
      </c>
      <c r="AA433" s="20">
        <v>7.4854702266510298</v>
      </c>
      <c r="AB433" s="20">
        <v>7.8850073465394397</v>
      </c>
      <c r="AC433" s="20">
        <v>8.2666494926846497</v>
      </c>
      <c r="AD433" s="20">
        <v>8.6472214700403196</v>
      </c>
      <c r="AE433" s="20">
        <v>9.0088194072738297</v>
      </c>
      <c r="AF433" t="str">
        <f t="shared" si="28"/>
        <v>NonResidential</v>
      </c>
      <c r="AG433" t="str">
        <f>tbl_Data_old[[#This Row],[All_Meas_Name_Append]]</f>
        <v>HE Water Cooled Chiller - Centrifugal Compressor - 500 Tons</v>
      </c>
      <c r="AH433">
        <f>AVERAGEIFS('3. Incentive Adjustment'!G:G,'3. Incentive Adjustment'!A:A,tbl_Data_old[[#This Row],[Trimmed Sector]],'3. Incentive Adjustment'!B:B,tbl_Data_old[[#This Row],[Trimmed Measure Name]])</f>
        <v>0.83338953851620801</v>
      </c>
      <c r="AI433">
        <f>$AH433*tbl_Data_old[[#This Row],[2025 ]]</f>
        <v>4.0968919875207774</v>
      </c>
      <c r="AJ433">
        <f>$AH433*tbl_Data_old[[#This Row],[2026 ]]</f>
        <v>4.5943180140322122</v>
      </c>
      <c r="AK433">
        <f>$AH433*tbl_Data_old[[#This Row],[2027 ]]</f>
        <v>5.0481440836955862</v>
      </c>
      <c r="AL433">
        <f>$AH433*tbl_Data_old[[#This Row],[2028 ]]</f>
        <v>5.4768135054254596</v>
      </c>
      <c r="AM433">
        <f>$AH433*tbl_Data_old[[#This Row],[2029 ]]</f>
        <v>5.8730928202493073</v>
      </c>
      <c r="AN433">
        <f>$AH433*tbl_Data_old[[#This Row],[2030 ]]</f>
        <v>6.2383125777655168</v>
      </c>
      <c r="AO433">
        <f>$AH433*tbl_Data_old[[#This Row],[2031 ]]</f>
        <v>6.5712826337294139</v>
      </c>
      <c r="AP433">
        <f>$AH433*tbl_Data_old[[#This Row],[2032 ]]</f>
        <v>6.8893392057837053</v>
      </c>
      <c r="AQ433">
        <f>$AH433*tbl_Data_old[[#This Row],[2033 ]]</f>
        <v>7.206503910364348</v>
      </c>
      <c r="AR433">
        <f>$AH433*tbl_Data_old[[#This Row],[2034 ]]</f>
        <v>7.5078558484037954</v>
      </c>
      <c r="AS433">
        <f>SUM(tbl_Data_old[[#This Row],[Adjusted 2025]:[Adjusted 2034]])</f>
        <v>59.502554586970113</v>
      </c>
      <c r="AT433" s="3">
        <f>AVERAGEIFS('3. Incentive Adjustment'!F:F,'3. Incentive Adjustment'!A:A,tbl_Data_old[[#This Row],[Trimmed Sector]],'3. Incentive Adjustment'!B:B,tbl_Data_old[[#This Row],[Trimmed Measure Name]])</f>
        <v>5941.8</v>
      </c>
      <c r="AU433" s="3">
        <f>IFERROR(VLOOKUP(tbl_Data_old[[#This Row],[All_Meas_Name_Append]],'IRA Tax Credits'!$A$3:$D$46,4,0),0)</f>
        <v>0</v>
      </c>
      <c r="AV433" s="4">
        <f>tbl_Data_old[[#This Row],[Adj. per unit Incentive ($)]]/tbl_Data_old[[#This Row],[kWh Savings]]*tbl_Data_old[[#This Row],[Sum of Annuals]]</f>
        <v>6.8565720045934953</v>
      </c>
      <c r="AW433" s="4">
        <f>IFERROR(VLOOKUP(tbl_Data_old[[#This Row],[All_Programs]],'1. Set Program Names'!$B$2:$D$15,3,0)*tbl_Data_old[[#This Row],[Sum of Annuals]],"")</f>
        <v>1.883148519929827</v>
      </c>
      <c r="AX433" s="4">
        <f>tbl_Data_old[[#This Row],[per unit IRA tax ($)]]/tbl_Data_old[[#This Row],[kWh Savings]]*tbl_Data_old[[#This Row],[Sum of Annuals]]</f>
        <v>0</v>
      </c>
      <c r="AY433" s="4">
        <f>tbl_Data_old[[#This Row],[Avoided Costs ($/unit)]]/tbl_Data_old[[#This Row],[kWh Savings]]*tbl_Data_old[[#This Row],[Sum of Annuals]]</f>
        <v>34.514892198977321</v>
      </c>
      <c r="AZ433" s="4">
        <f>tbl_Data_old[[#This Row],[Lost Revenue ($/unit)]]/tbl_Data_old[[#This Row],[kWh Savings]]*tbl_Data_old[[#This Row],[Sum of Annuals]]</f>
        <v>81.939256621754694</v>
      </c>
      <c r="BA433" s="4">
        <f>tbl_Data_old[[#This Row],[Incremental Cost ($/unit)]]/tbl_Data_old[[#This Row],[kWh Savings]]*tbl_Data_old[[#This Row],[Sum of Annuals]]</f>
        <v>22.855240015311654</v>
      </c>
      <c r="BB433">
        <f>ROUNDUP(tbl_Data_old[[#This Row],[Adjusted 2025]]/$L433,0)</f>
        <v>1</v>
      </c>
      <c r="BC433">
        <f>ROUNDUP(tbl_Data_old[[#This Row],[Adjusted 2026]]/$L433,0)</f>
        <v>1</v>
      </c>
      <c r="BD433">
        <f>ROUNDUP(tbl_Data_old[[#This Row],[Adjusted 2027]]/$L433,0)</f>
        <v>1</v>
      </c>
      <c r="BE433">
        <f>ROUNDUP(tbl_Data_old[[#This Row],[Adjusted 2028]]/$L433,0)</f>
        <v>1</v>
      </c>
      <c r="BF433">
        <f>ROUNDUP(tbl_Data_old[[#This Row],[Adjusted 2029]]/$L433,0)</f>
        <v>1</v>
      </c>
      <c r="BG433">
        <f>ROUNDUP(tbl_Data_old[[#This Row],[Adjusted 2030]]/$L433,0)</f>
        <v>1</v>
      </c>
      <c r="BH433">
        <f>ROUNDUP(tbl_Data_old[[#This Row],[Adjusted 2031]]/$L433,0)</f>
        <v>1</v>
      </c>
      <c r="BI433">
        <f>ROUNDUP(tbl_Data_old[[#This Row],[Adjusted 2032]]/$L433,0)</f>
        <v>1</v>
      </c>
      <c r="BJ433">
        <f>ROUNDUP(tbl_Data_old[[#This Row],[Adjusted 2033]]/$L433,0)</f>
        <v>1</v>
      </c>
      <c r="BK433">
        <f>ROUNDUP(tbl_Data_old[[#This Row],[Adjusted 2034]]/$L433,0)</f>
        <v>1</v>
      </c>
      <c r="BL433" s="3">
        <f t="shared" si="29"/>
        <v>0.56647128426203608</v>
      </c>
      <c r="BM433" s="3">
        <f t="shared" si="29"/>
        <v>0.6352496559939721</v>
      </c>
      <c r="BN433" s="3">
        <f t="shared" si="29"/>
        <v>0.69799952523555164</v>
      </c>
      <c r="BO433" s="3">
        <f t="shared" si="29"/>
        <v>0.75727102143092317</v>
      </c>
      <c r="BP433" s="3">
        <f t="shared" si="29"/>
        <v>0.81206398475007291</v>
      </c>
      <c r="BQ433" s="3">
        <f t="shared" si="29"/>
        <v>0.86256238834681342</v>
      </c>
      <c r="BR433" s="3">
        <f t="shared" si="29"/>
        <v>0.90860167271096193</v>
      </c>
      <c r="BS433" s="3">
        <f t="shared" si="29"/>
        <v>0.95257889138999396</v>
      </c>
      <c r="BT433" s="3">
        <f t="shared" si="29"/>
        <v>0.99643279285326136</v>
      </c>
      <c r="BU433" s="3">
        <f t="shared" si="29"/>
        <v>1.0381002861325661</v>
      </c>
      <c r="BV433">
        <f>VLOOKUP($H433,'1. Set Program Names'!$B$2:$D$15,3,0)*V433</f>
        <v>0.1555805962259483</v>
      </c>
      <c r="BW433">
        <f>VLOOKUP($H433,'1. Set Program Names'!$B$2:$D$15,3,0)*W433</f>
        <v>0.17447048593226336</v>
      </c>
      <c r="BX433">
        <f>VLOOKUP($H433,'1. Set Program Names'!$B$2:$D$15,3,0)*X433</f>
        <v>0.1917046553260808</v>
      </c>
      <c r="BY433">
        <f>VLOOKUP($H433,'1. Set Program Names'!$B$2:$D$15,3,0)*Y433</f>
        <v>0.20798349411893</v>
      </c>
      <c r="BZ433">
        <f>VLOOKUP($H433,'1. Set Program Names'!$B$2:$D$15,3,0)*Z433</f>
        <v>0.22303230972356441</v>
      </c>
      <c r="CA433">
        <f>VLOOKUP($H433,'1. Set Program Names'!$B$2:$D$15,3,0)*AA433</f>
        <v>0.23690163012570012</v>
      </c>
      <c r="CB433">
        <f>VLOOKUP($H433,'1. Set Program Names'!$B$2:$D$15,3,0)*AB433</f>
        <v>0.24954625927141486</v>
      </c>
      <c r="CC433">
        <f>VLOOKUP($H433,'1. Set Program Names'!$B$2:$D$15,3,0)*AC433</f>
        <v>0.2616245447777244</v>
      </c>
      <c r="CD433">
        <f>VLOOKUP($H433,'1. Set Program Names'!$B$2:$D$15,3,0)*AD433</f>
        <v>0.27366896137225222</v>
      </c>
      <c r="CE433">
        <f>VLOOKUP($H433,'1. Set Program Names'!$B$2:$D$15,3,0)*AE433</f>
        <v>0.28511288382293765</v>
      </c>
    </row>
    <row r="434" spans="1:83" x14ac:dyDescent="0.25">
      <c r="A434" s="20" t="s">
        <v>114</v>
      </c>
      <c r="B434" s="20" t="s">
        <v>88</v>
      </c>
      <c r="C434" s="20" t="s">
        <v>122</v>
      </c>
      <c r="D434" s="20" t="s">
        <v>90</v>
      </c>
      <c r="E434" s="20" t="s">
        <v>91</v>
      </c>
      <c r="F434" s="20" t="s">
        <v>90</v>
      </c>
      <c r="G434" s="20" t="s">
        <v>92</v>
      </c>
      <c r="H434" s="20" t="s">
        <v>18</v>
      </c>
      <c r="I434" s="20" t="s">
        <v>148</v>
      </c>
      <c r="J434" s="20" t="s">
        <v>129</v>
      </c>
      <c r="K434" s="20" t="s">
        <v>98</v>
      </c>
      <c r="L434" s="20">
        <v>552.51399999999899</v>
      </c>
      <c r="M434" s="20">
        <v>0.19160575593909501</v>
      </c>
      <c r="N434" s="20">
        <v>0</v>
      </c>
      <c r="O434" s="20">
        <v>129</v>
      </c>
      <c r="P434" s="20">
        <v>16.0943430226503</v>
      </c>
      <c r="Q434" s="20">
        <v>17.486071456306</v>
      </c>
      <c r="R434" s="20">
        <v>212.35909497904299</v>
      </c>
      <c r="S434" s="20">
        <v>383.33946557666002</v>
      </c>
      <c r="T434" s="20">
        <v>8</v>
      </c>
      <c r="U434" s="20">
        <v>1</v>
      </c>
      <c r="V434" s="20">
        <v>245.45574035392301</v>
      </c>
      <c r="W434" s="20">
        <v>275.29463082840499</v>
      </c>
      <c r="X434" s="20">
        <v>302.14092724015097</v>
      </c>
      <c r="Y434" s="20">
        <v>327.40625370466398</v>
      </c>
      <c r="Z434" s="20">
        <v>350.84148476262499</v>
      </c>
      <c r="AA434" s="20">
        <v>372.36180728958101</v>
      </c>
      <c r="AB434" s="20">
        <v>392.09434221760398</v>
      </c>
      <c r="AC434" s="20">
        <v>411.050026086466</v>
      </c>
      <c r="AD434" s="20">
        <v>429.80436449701898</v>
      </c>
      <c r="AE434" s="20">
        <v>447.74339750206798</v>
      </c>
      <c r="AF434" t="str">
        <f t="shared" si="28"/>
        <v>NonResidential</v>
      </c>
      <c r="AG434" t="str">
        <f>tbl_Data_old[[#This Row],[All_Meas_Name_Append]]</f>
        <v>High Efficiency PTAC</v>
      </c>
      <c r="AH434">
        <f>AVERAGEIFS('3. Incentive Adjustment'!G:G,'3. Incentive Adjustment'!A:A,tbl_Data_old[[#This Row],[Trimmed Sector]],'3. Incentive Adjustment'!B:B,tbl_Data_old[[#This Row],[Trimmed Measure Name]])</f>
        <v>1.1757614296438725</v>
      </c>
      <c r="AI434">
        <f>$AH434*tbl_Data_old[[#This Row],[2025 ]]</f>
        <v>288.59739219282369</v>
      </c>
      <c r="AJ434">
        <f>$AH434*tbl_Data_old[[#This Row],[2026 ]]</f>
        <v>323.68080871608754</v>
      </c>
      <c r="AK434">
        <f>$AH434*tbl_Data_old[[#This Row],[2027 ]]</f>
        <v>355.2456485658052</v>
      </c>
      <c r="AL434">
        <f>$AH434*tbl_Data_old[[#This Row],[2028 ]]</f>
        <v>384.95164493014016</v>
      </c>
      <c r="AM434">
        <f>$AH434*tbl_Data_old[[#This Row],[2029 ]]</f>
        <v>412.50588570288289</v>
      </c>
      <c r="AN434">
        <f>$AH434*tbl_Data_old[[#This Row],[2030 ]]</f>
        <v>437.80865088357393</v>
      </c>
      <c r="AO434">
        <f>$AH434*tbl_Data_old[[#This Row],[2031 ]]</f>
        <v>461.00940436104383</v>
      </c>
      <c r="AP434">
        <f>$AH434*tbl_Data_old[[#This Row],[2032 ]]</f>
        <v>483.29676632657436</v>
      </c>
      <c r="AQ434">
        <f>$AH434*tbl_Data_old[[#This Row],[2033 ]]</f>
        <v>505.34739406819114</v>
      </c>
      <c r="AR434">
        <f>$AH434*tbl_Data_old[[#This Row],[2034 ]]</f>
        <v>526.43941716063614</v>
      </c>
      <c r="AS434">
        <f>SUM(tbl_Data_old[[#This Row],[Adjusted 2025]:[Adjusted 2034]])</f>
        <v>4178.8830129077587</v>
      </c>
      <c r="AT434" s="3">
        <f>AVERAGEIFS('3. Incentive Adjustment'!F:F,'3. Incentive Adjustment'!A:A,tbl_Data_old[[#This Row],[Trimmed Sector]],'3. Incentive Adjustment'!B:B,tbl_Data_old[[#This Row],[Trimmed Measure Name]])</f>
        <v>50</v>
      </c>
      <c r="AU434" s="3">
        <f>IFERROR(VLOOKUP(tbl_Data_old[[#This Row],[All_Meas_Name_Append]],'IRA Tax Credits'!$A$3:$D$46,4,0),0)</f>
        <v>0</v>
      </c>
      <c r="AV434" s="4">
        <f>tbl_Data_old[[#This Row],[Adj. per unit Incentive ($)]]/tbl_Data_old[[#This Row],[kWh Savings]]*tbl_Data_old[[#This Row],[Sum of Annuals]]</f>
        <v>378.16987559661533</v>
      </c>
      <c r="AW434" s="4">
        <f>IFERROR(VLOOKUP(tbl_Data_old[[#This Row],[All_Programs]],'1. Set Program Names'!$B$2:$D$15,3,0)*tbl_Data_old[[#This Row],[Sum of Annuals]],"")</f>
        <v>132.25410934609516</v>
      </c>
      <c r="AX434" s="4">
        <f>tbl_Data_old[[#This Row],[per unit IRA tax ($)]]/tbl_Data_old[[#This Row],[kWh Savings]]*tbl_Data_old[[#This Row],[Sum of Annuals]]</f>
        <v>0</v>
      </c>
      <c r="AY434" s="4">
        <f>tbl_Data_old[[#This Row],[Avoided Costs ($/unit)]]/tbl_Data_old[[#This Row],[kWh Savings]]*tbl_Data_old[[#This Row],[Sum of Annuals]]</f>
        <v>1606.1562506006901</v>
      </c>
      <c r="AZ434" s="4">
        <f>tbl_Data_old[[#This Row],[Lost Revenue ($/unit)]]/tbl_Data_old[[#This Row],[kWh Savings]]*tbl_Data_old[[#This Row],[Sum of Annuals]]</f>
        <v>2899.3487601679703</v>
      </c>
      <c r="BA434" s="4">
        <f>tbl_Data_old[[#This Row],[Incremental Cost ($/unit)]]/tbl_Data_old[[#This Row],[kWh Savings]]*tbl_Data_old[[#This Row],[Sum of Annuals]]</f>
        <v>975.67827903926752</v>
      </c>
      <c r="BB434">
        <f>ROUNDUP(tbl_Data_old[[#This Row],[Adjusted 2025]]/$L434,0)</f>
        <v>1</v>
      </c>
      <c r="BC434">
        <f>ROUNDUP(tbl_Data_old[[#This Row],[Adjusted 2026]]/$L434,0)</f>
        <v>1</v>
      </c>
      <c r="BD434">
        <f>ROUNDUP(tbl_Data_old[[#This Row],[Adjusted 2027]]/$L434,0)</f>
        <v>1</v>
      </c>
      <c r="BE434">
        <f>ROUNDUP(tbl_Data_old[[#This Row],[Adjusted 2028]]/$L434,0)</f>
        <v>1</v>
      </c>
      <c r="BF434">
        <f>ROUNDUP(tbl_Data_old[[#This Row],[Adjusted 2029]]/$L434,0)</f>
        <v>1</v>
      </c>
      <c r="BG434">
        <f>ROUNDUP(tbl_Data_old[[#This Row],[Adjusted 2030]]/$L434,0)</f>
        <v>1</v>
      </c>
      <c r="BH434">
        <f>ROUNDUP(tbl_Data_old[[#This Row],[Adjusted 2031]]/$L434,0)</f>
        <v>1</v>
      </c>
      <c r="BI434">
        <f>ROUNDUP(tbl_Data_old[[#This Row],[Adjusted 2032]]/$L434,0)</f>
        <v>1</v>
      </c>
      <c r="BJ434">
        <f>ROUNDUP(tbl_Data_old[[#This Row],[Adjusted 2033]]/$L434,0)</f>
        <v>1</v>
      </c>
      <c r="BK434">
        <f>ROUNDUP(tbl_Data_old[[#This Row],[Adjusted 2034]]/$L434,0)</f>
        <v>1</v>
      </c>
      <c r="BL434" s="3">
        <f t="shared" si="29"/>
        <v>22.212626318421204</v>
      </c>
      <c r="BM434" s="3">
        <f t="shared" si="29"/>
        <v>24.912909974082602</v>
      </c>
      <c r="BN434" s="3">
        <f t="shared" si="29"/>
        <v>27.342377499950366</v>
      </c>
      <c r="BO434" s="3">
        <f t="shared" si="29"/>
        <v>29.628774447766446</v>
      </c>
      <c r="BP434" s="3">
        <f t="shared" si="29"/>
        <v>31.74955609836363</v>
      </c>
      <c r="BQ434" s="3">
        <f t="shared" si="29"/>
        <v>33.697047250348561</v>
      </c>
      <c r="BR434" s="3">
        <f t="shared" si="29"/>
        <v>35.482751768969173</v>
      </c>
      <c r="BS434" s="3">
        <f t="shared" si="29"/>
        <v>37.198154805712321</v>
      </c>
      <c r="BT434" s="3">
        <f t="shared" si="29"/>
        <v>38.895336995715923</v>
      </c>
      <c r="BU434" s="3">
        <f t="shared" si="29"/>
        <v>40.518737760678356</v>
      </c>
      <c r="BV434">
        <f>VLOOKUP($H434,'1. Set Program Names'!$B$2:$D$15,3,0)*V434</f>
        <v>7.7682314207227199</v>
      </c>
      <c r="BW434">
        <f>VLOOKUP($H434,'1. Set Program Names'!$B$2:$D$15,3,0)*W434</f>
        <v>8.7125784798265276</v>
      </c>
      <c r="BX434">
        <f>VLOOKUP($H434,'1. Set Program Names'!$B$2:$D$15,3,0)*X434</f>
        <v>9.5622153349884993</v>
      </c>
      <c r="BY434">
        <f>VLOOKUP($H434,'1. Set Program Names'!$B$2:$D$15,3,0)*Y434</f>
        <v>10.361817343128337</v>
      </c>
      <c r="BZ434">
        <f>VLOOKUP($H434,'1. Set Program Names'!$B$2:$D$15,3,0)*Z434</f>
        <v>11.103500132839635</v>
      </c>
      <c r="CA434">
        <f>VLOOKUP($H434,'1. Set Program Names'!$B$2:$D$15,3,0)*AA434</f>
        <v>11.784579521722279</v>
      </c>
      <c r="CB434">
        <f>VLOOKUP($H434,'1. Set Program Names'!$B$2:$D$15,3,0)*AB434</f>
        <v>12.409078657971248</v>
      </c>
      <c r="CC434">
        <f>VLOOKUP($H434,'1. Set Program Names'!$B$2:$D$15,3,0)*AC434</f>
        <v>13.008991859508347</v>
      </c>
      <c r="CD434">
        <f>VLOOKUP($H434,'1. Set Program Names'!$B$2:$D$15,3,0)*AD434</f>
        <v>13.602532840483805</v>
      </c>
      <c r="CE434">
        <f>VLOOKUP($H434,'1. Set Program Names'!$B$2:$D$15,3,0)*AE434</f>
        <v>14.170270876050902</v>
      </c>
    </row>
    <row r="435" spans="1:83" x14ac:dyDescent="0.25">
      <c r="A435" s="20" t="s">
        <v>114</v>
      </c>
      <c r="B435" s="20" t="s">
        <v>88</v>
      </c>
      <c r="C435" s="20" t="s">
        <v>122</v>
      </c>
      <c r="D435" s="20" t="s">
        <v>90</v>
      </c>
      <c r="E435" s="20" t="s">
        <v>91</v>
      </c>
      <c r="F435" s="20" t="s">
        <v>90</v>
      </c>
      <c r="G435" s="20" t="s">
        <v>92</v>
      </c>
      <c r="H435" s="20" t="s">
        <v>18</v>
      </c>
      <c r="I435" s="20" t="s">
        <v>149</v>
      </c>
      <c r="J435" s="20" t="s">
        <v>129</v>
      </c>
      <c r="K435" s="20" t="s">
        <v>98</v>
      </c>
      <c r="L435" s="20">
        <v>540.79749999999899</v>
      </c>
      <c r="M435" s="20">
        <v>0.159555976068885</v>
      </c>
      <c r="N435" s="20">
        <v>1.50169234953632E-2</v>
      </c>
      <c r="O435" s="20">
        <v>128.99999999999901</v>
      </c>
      <c r="P435" s="20">
        <v>23.4690947103329</v>
      </c>
      <c r="Q435" s="20">
        <v>17.115265365930298</v>
      </c>
      <c r="R435" s="20">
        <v>204.24936172330499</v>
      </c>
      <c r="S435" s="20">
        <v>375.21044649582399</v>
      </c>
      <c r="T435" s="20">
        <v>8</v>
      </c>
      <c r="U435" s="20">
        <v>1</v>
      </c>
      <c r="V435" s="20">
        <v>137.50999656228501</v>
      </c>
      <c r="W435" s="20">
        <v>154.51649362057699</v>
      </c>
      <c r="X435" s="20">
        <v>169.87168127254401</v>
      </c>
      <c r="Y435" s="20">
        <v>184.35574388613</v>
      </c>
      <c r="Z435" s="20">
        <v>197.819322450269</v>
      </c>
      <c r="AA435" s="20">
        <v>210.206731590749</v>
      </c>
      <c r="AB435" s="20">
        <v>221.58338301656701</v>
      </c>
      <c r="AC435" s="20">
        <v>232.51627407152901</v>
      </c>
      <c r="AD435" s="20">
        <v>243.328931460013</v>
      </c>
      <c r="AE435" s="20">
        <v>253.67255437578399</v>
      </c>
      <c r="AF435" t="str">
        <f t="shared" si="28"/>
        <v>NonResidential</v>
      </c>
      <c r="AG435" t="str">
        <f>tbl_Data_old[[#This Row],[All_Meas_Name_Append]]</f>
        <v>High Efficiency PTHP</v>
      </c>
      <c r="AH435">
        <f>AVERAGEIFS('3. Incentive Adjustment'!G:G,'3. Incentive Adjustment'!A:A,tbl_Data_old[[#This Row],[Trimmed Sector]],'3. Incentive Adjustment'!B:B,tbl_Data_old[[#This Row],[Trimmed Measure Name]])</f>
        <v>1.138194101705527</v>
      </c>
      <c r="AI435">
        <f>$AH435*tbl_Data_old[[#This Row],[2025 ]]</f>
        <v>156.51306701274009</v>
      </c>
      <c r="AJ435">
        <f>$AH435*tbl_Data_old[[#This Row],[2026 ]]</f>
        <v>175.86976165516043</v>
      </c>
      <c r="AK435">
        <f>$AH435*tbl_Data_old[[#This Row],[2027 ]]</f>
        <v>193.34694567121082</v>
      </c>
      <c r="AL435">
        <f>$AH435*tbl_Data_old[[#This Row],[2028 ]]</f>
        <v>209.83262030672793</v>
      </c>
      <c r="AM435">
        <f>$AH435*tbl_Data_old[[#This Row],[2029 ]]</f>
        <v>225.15678601627991</v>
      </c>
      <c r="AN435">
        <f>$AH435*tbl_Data_old[[#This Row],[2030 ]]</f>
        <v>239.2560620353874</v>
      </c>
      <c r="AO435">
        <f>$AH435*tbl_Data_old[[#This Row],[2031 ]]</f>
        <v>252.20489958541322</v>
      </c>
      <c r="AP435">
        <f>$AH435*tbl_Data_old[[#This Row],[2032 ]]</f>
        <v>264.64865169876009</v>
      </c>
      <c r="AQ435">
        <f>$AH435*tbl_Data_old[[#This Row],[2033 ]]</f>
        <v>276.95555456209524</v>
      </c>
      <c r="AR435">
        <f>$AH435*tbl_Data_old[[#This Row],[2034 ]]</f>
        <v>288.72860515509194</v>
      </c>
      <c r="AS435">
        <f>SUM(tbl_Data_old[[#This Row],[Adjusted 2025]:[Adjusted 2034]])</f>
        <v>2282.512953698867</v>
      </c>
      <c r="AT435" s="3">
        <f>AVERAGEIFS('3. Incentive Adjustment'!F:F,'3. Incentive Adjustment'!A:A,tbl_Data_old[[#This Row],[Trimmed Sector]],'3. Incentive Adjustment'!B:B,tbl_Data_old[[#This Row],[Trimmed Measure Name]])</f>
        <v>50</v>
      </c>
      <c r="AU435" s="3">
        <f>IFERROR(VLOOKUP(tbl_Data_old[[#This Row],[All_Meas_Name_Append]],'IRA Tax Credits'!$A$3:$D$46,4,0),0)</f>
        <v>0</v>
      </c>
      <c r="AV435" s="4">
        <f>tbl_Data_old[[#This Row],[Adj. per unit Incentive ($)]]/tbl_Data_old[[#This Row],[kWh Savings]]*tbl_Data_old[[#This Row],[Sum of Annuals]]</f>
        <v>211.03212881890829</v>
      </c>
      <c r="AW435" s="4">
        <f>IFERROR(VLOOKUP(tbl_Data_old[[#This Row],[All_Programs]],'1. Set Program Names'!$B$2:$D$15,3,0)*tbl_Data_old[[#This Row],[Sum of Annuals]],"")</f>
        <v>72.23741770945621</v>
      </c>
      <c r="AX435" s="4">
        <f>tbl_Data_old[[#This Row],[per unit IRA tax ($)]]/tbl_Data_old[[#This Row],[kWh Savings]]*tbl_Data_old[[#This Row],[Sum of Annuals]]</f>
        <v>0</v>
      </c>
      <c r="AY435" s="4">
        <f>tbl_Data_old[[#This Row],[Avoided Costs ($/unit)]]/tbl_Data_old[[#This Row],[kWh Savings]]*tbl_Data_old[[#This Row],[Sum of Annuals]]</f>
        <v>862.06355228744587</v>
      </c>
      <c r="AZ435" s="4">
        <f>tbl_Data_old[[#This Row],[Lost Revenue ($/unit)]]/tbl_Data_old[[#This Row],[kWh Savings]]*tbl_Data_old[[#This Row],[Sum of Annuals]]</f>
        <v>1583.6291855821366</v>
      </c>
      <c r="BA435" s="4">
        <f>tbl_Data_old[[#This Row],[Incremental Cost ($/unit)]]/tbl_Data_old[[#This Row],[kWh Savings]]*tbl_Data_old[[#This Row],[Sum of Annuals]]</f>
        <v>544.46289235277925</v>
      </c>
      <c r="BB435">
        <f>ROUNDUP(tbl_Data_old[[#This Row],[Adjusted 2025]]/$L435,0)</f>
        <v>1</v>
      </c>
      <c r="BC435">
        <f>ROUNDUP(tbl_Data_old[[#This Row],[Adjusted 2026]]/$L435,0)</f>
        <v>1</v>
      </c>
      <c r="BD435">
        <f>ROUNDUP(tbl_Data_old[[#This Row],[Adjusted 2027]]/$L435,0)</f>
        <v>1</v>
      </c>
      <c r="BE435">
        <f>ROUNDUP(tbl_Data_old[[#This Row],[Adjusted 2028]]/$L435,0)</f>
        <v>1</v>
      </c>
      <c r="BF435">
        <f>ROUNDUP(tbl_Data_old[[#This Row],[Adjusted 2029]]/$L435,0)</f>
        <v>1</v>
      </c>
      <c r="BG435">
        <f>ROUNDUP(tbl_Data_old[[#This Row],[Adjusted 2030]]/$L435,0)</f>
        <v>1</v>
      </c>
      <c r="BH435">
        <f>ROUNDUP(tbl_Data_old[[#This Row],[Adjusted 2031]]/$L435,0)</f>
        <v>1</v>
      </c>
      <c r="BI435">
        <f>ROUNDUP(tbl_Data_old[[#This Row],[Adjusted 2032]]/$L435,0)</f>
        <v>1</v>
      </c>
      <c r="BJ435">
        <f>ROUNDUP(tbl_Data_old[[#This Row],[Adjusted 2033]]/$L435,0)</f>
        <v>1</v>
      </c>
      <c r="BK435">
        <f>ROUNDUP(tbl_Data_old[[#This Row],[Adjusted 2034]]/$L435,0)</f>
        <v>1</v>
      </c>
      <c r="BL435" s="3">
        <f t="shared" si="29"/>
        <v>12.713630939703426</v>
      </c>
      <c r="BM435" s="3">
        <f t="shared" si="29"/>
        <v>14.285984460040707</v>
      </c>
      <c r="BN435" s="3">
        <f t="shared" si="29"/>
        <v>15.705664437478383</v>
      </c>
      <c r="BO435" s="3">
        <f t="shared" si="29"/>
        <v>17.044803635938621</v>
      </c>
      <c r="BP435" s="3">
        <f t="shared" si="29"/>
        <v>18.28959291141965</v>
      </c>
      <c r="BQ435" s="3">
        <f t="shared" si="29"/>
        <v>19.434883814251119</v>
      </c>
      <c r="BR435" s="3">
        <f t="shared" si="29"/>
        <v>20.486724052585988</v>
      </c>
      <c r="BS435" s="3">
        <f t="shared" si="29"/>
        <v>21.49753596045927</v>
      </c>
      <c r="BT435" s="3">
        <f t="shared" si="29"/>
        <v>22.497231538608577</v>
      </c>
      <c r="BU435" s="3">
        <f t="shared" si="29"/>
        <v>23.453562042704011</v>
      </c>
      <c r="BV435">
        <f>VLOOKUP($H435,'1. Set Program Names'!$B$2:$D$15,3,0)*V435</f>
        <v>4.3519433459505272</v>
      </c>
      <c r="BW435">
        <f>VLOOKUP($H435,'1. Set Program Names'!$B$2:$D$15,3,0)*W435</f>
        <v>4.8901683009430741</v>
      </c>
      <c r="BX435">
        <f>VLOOKUP($H435,'1. Set Program Names'!$B$2:$D$15,3,0)*X435</f>
        <v>5.37613229191395</v>
      </c>
      <c r="BY435">
        <f>VLOOKUP($H435,'1. Set Program Names'!$B$2:$D$15,3,0)*Y435</f>
        <v>5.8345267467852748</v>
      </c>
      <c r="BZ435">
        <f>VLOOKUP($H435,'1. Set Program Names'!$B$2:$D$15,3,0)*Z435</f>
        <v>6.2606247222757139</v>
      </c>
      <c r="CA435">
        <f>VLOOKUP($H435,'1. Set Program Names'!$B$2:$D$15,3,0)*AA435</f>
        <v>6.6526638767386448</v>
      </c>
      <c r="CB435">
        <f>VLOOKUP($H435,'1. Set Program Names'!$B$2:$D$15,3,0)*AB435</f>
        <v>7.0127143727719385</v>
      </c>
      <c r="CC435">
        <f>VLOOKUP($H435,'1. Set Program Names'!$B$2:$D$15,3,0)*AC435</f>
        <v>7.3587206535378096</v>
      </c>
      <c r="CD435">
        <f>VLOOKUP($H435,'1. Set Program Names'!$B$2:$D$15,3,0)*AD435</f>
        <v>7.7009217556412608</v>
      </c>
      <c r="CE435">
        <f>VLOOKUP($H435,'1. Set Program Names'!$B$2:$D$15,3,0)*AE435</f>
        <v>8.0282787627438061</v>
      </c>
    </row>
    <row r="436" spans="1:83" x14ac:dyDescent="0.25">
      <c r="A436" s="20" t="s">
        <v>114</v>
      </c>
      <c r="B436" s="20" t="s">
        <v>88</v>
      </c>
      <c r="C436" s="20" t="s">
        <v>122</v>
      </c>
      <c r="D436" s="20" t="s">
        <v>90</v>
      </c>
      <c r="E436" s="20" t="s">
        <v>91</v>
      </c>
      <c r="F436" s="20" t="s">
        <v>90</v>
      </c>
      <c r="G436" s="20" t="s">
        <v>92</v>
      </c>
      <c r="H436" s="20" t="s">
        <v>18</v>
      </c>
      <c r="I436" s="20" t="s">
        <v>157</v>
      </c>
      <c r="J436" s="20" t="s">
        <v>158</v>
      </c>
      <c r="K436" s="20" t="s">
        <v>159</v>
      </c>
      <c r="L436" s="20">
        <v>562.52</v>
      </c>
      <c r="M436" s="20">
        <v>0</v>
      </c>
      <c r="N436" s="20">
        <v>2.7796637938074201E-2</v>
      </c>
      <c r="O436" s="20">
        <v>169</v>
      </c>
      <c r="P436" s="20">
        <v>53.285725702774101</v>
      </c>
      <c r="Q436" s="20">
        <v>17.802743307140201</v>
      </c>
      <c r="R436" s="20">
        <v>275.373630058213</v>
      </c>
      <c r="S436" s="20">
        <v>610.96426176974103</v>
      </c>
      <c r="T436" s="20">
        <v>15</v>
      </c>
      <c r="U436" s="20">
        <v>0.2</v>
      </c>
      <c r="V436" s="20">
        <v>0</v>
      </c>
      <c r="W436" s="20">
        <v>0</v>
      </c>
      <c r="X436" s="20">
        <v>0</v>
      </c>
      <c r="Y436" s="20">
        <v>0</v>
      </c>
      <c r="Z436" s="20">
        <v>0</v>
      </c>
      <c r="AA436" s="20">
        <v>0</v>
      </c>
      <c r="AB436" s="20">
        <v>0</v>
      </c>
      <c r="AC436" s="20">
        <v>0</v>
      </c>
      <c r="AD436" s="20">
        <v>0</v>
      </c>
      <c r="AE436" s="20">
        <v>0</v>
      </c>
      <c r="AF436" t="str">
        <f t="shared" si="28"/>
        <v>NonResidential</v>
      </c>
      <c r="AG436" t="str">
        <f>tbl_Data_old[[#This Row],[All_Meas_Name_Append]]</f>
        <v>LED Exterior Wall Packs</v>
      </c>
      <c r="AH436">
        <f>AVERAGEIFS('3. Incentive Adjustment'!G:G,'3. Incentive Adjustment'!A:A,tbl_Data_old[[#This Row],[Trimmed Sector]],'3. Incentive Adjustment'!B:B,tbl_Data_old[[#This Row],[Trimmed Measure Name]])</f>
        <v>0.80637708305213962</v>
      </c>
      <c r="AI436">
        <f>$AH436*tbl_Data_old[[#This Row],[2025 ]]</f>
        <v>0</v>
      </c>
      <c r="AJ436">
        <f>$AH436*tbl_Data_old[[#This Row],[2026 ]]</f>
        <v>0</v>
      </c>
      <c r="AK436">
        <f>$AH436*tbl_Data_old[[#This Row],[2027 ]]</f>
        <v>0</v>
      </c>
      <c r="AL436">
        <f>$AH436*tbl_Data_old[[#This Row],[2028 ]]</f>
        <v>0</v>
      </c>
      <c r="AM436">
        <f>$AH436*tbl_Data_old[[#This Row],[2029 ]]</f>
        <v>0</v>
      </c>
      <c r="AN436">
        <f>$AH436*tbl_Data_old[[#This Row],[2030 ]]</f>
        <v>0</v>
      </c>
      <c r="AO436">
        <f>$AH436*tbl_Data_old[[#This Row],[2031 ]]</f>
        <v>0</v>
      </c>
      <c r="AP436">
        <f>$AH436*tbl_Data_old[[#This Row],[2032 ]]</f>
        <v>0</v>
      </c>
      <c r="AQ436">
        <f>$AH436*tbl_Data_old[[#This Row],[2033 ]]</f>
        <v>0</v>
      </c>
      <c r="AR436">
        <f>$AH436*tbl_Data_old[[#This Row],[2034 ]]</f>
        <v>0</v>
      </c>
      <c r="AS436">
        <f>SUM(tbl_Data_old[[#This Row],[Adjusted 2025]:[Adjusted 2034]])</f>
        <v>0</v>
      </c>
      <c r="AT436" s="3">
        <f>AVERAGEIFS('3. Incentive Adjustment'!F:F,'3. Incentive Adjustment'!A:A,tbl_Data_old[[#This Row],[Trimmed Sector]],'3. Incentive Adjustment'!B:B,tbl_Data_old[[#This Row],[Trimmed Measure Name]])</f>
        <v>8.6864493556481861</v>
      </c>
      <c r="AU436" s="3">
        <f>IFERROR(VLOOKUP(tbl_Data_old[[#This Row],[All_Meas_Name_Append]],'IRA Tax Credits'!$A$3:$D$46,4,0),0)</f>
        <v>0</v>
      </c>
      <c r="AV436" s="4">
        <f>tbl_Data_old[[#This Row],[Adj. per unit Incentive ($)]]/tbl_Data_old[[#This Row],[kWh Savings]]*tbl_Data_old[[#This Row],[Sum of Annuals]]</f>
        <v>0</v>
      </c>
      <c r="AW436" s="4">
        <f>IFERROR(VLOOKUP(tbl_Data_old[[#This Row],[All_Programs]],'1. Set Program Names'!$B$2:$D$15,3,0)*tbl_Data_old[[#This Row],[Sum of Annuals]],"")</f>
        <v>0</v>
      </c>
      <c r="AX436" s="4">
        <f>tbl_Data_old[[#This Row],[per unit IRA tax ($)]]/tbl_Data_old[[#This Row],[kWh Savings]]*tbl_Data_old[[#This Row],[Sum of Annuals]]</f>
        <v>0</v>
      </c>
      <c r="AY436" s="4">
        <f>tbl_Data_old[[#This Row],[Avoided Costs ($/unit)]]/tbl_Data_old[[#This Row],[kWh Savings]]*tbl_Data_old[[#This Row],[Sum of Annuals]]</f>
        <v>0</v>
      </c>
      <c r="AZ436" s="4">
        <f>tbl_Data_old[[#This Row],[Lost Revenue ($/unit)]]/tbl_Data_old[[#This Row],[kWh Savings]]*tbl_Data_old[[#This Row],[Sum of Annuals]]</f>
        <v>0</v>
      </c>
      <c r="BA436" s="4">
        <f>tbl_Data_old[[#This Row],[Incremental Cost ($/unit)]]/tbl_Data_old[[#This Row],[kWh Savings]]*tbl_Data_old[[#This Row],[Sum of Annuals]]</f>
        <v>0</v>
      </c>
      <c r="BB436">
        <f>ROUNDUP(tbl_Data_old[[#This Row],[Adjusted 2025]]/$L436,0)</f>
        <v>0</v>
      </c>
      <c r="BC436">
        <f>ROUNDUP(tbl_Data_old[[#This Row],[Adjusted 2026]]/$L436,0)</f>
        <v>0</v>
      </c>
      <c r="BD436">
        <f>ROUNDUP(tbl_Data_old[[#This Row],[Adjusted 2027]]/$L436,0)</f>
        <v>0</v>
      </c>
      <c r="BE436">
        <f>ROUNDUP(tbl_Data_old[[#This Row],[Adjusted 2028]]/$L436,0)</f>
        <v>0</v>
      </c>
      <c r="BF436">
        <f>ROUNDUP(tbl_Data_old[[#This Row],[Adjusted 2029]]/$L436,0)</f>
        <v>0</v>
      </c>
      <c r="BG436">
        <f>ROUNDUP(tbl_Data_old[[#This Row],[Adjusted 2030]]/$L436,0)</f>
        <v>0</v>
      </c>
      <c r="BH436">
        <f>ROUNDUP(tbl_Data_old[[#This Row],[Adjusted 2031]]/$L436,0)</f>
        <v>0</v>
      </c>
      <c r="BI436">
        <f>ROUNDUP(tbl_Data_old[[#This Row],[Adjusted 2032]]/$L436,0)</f>
        <v>0</v>
      </c>
      <c r="BJ436">
        <f>ROUNDUP(tbl_Data_old[[#This Row],[Adjusted 2033]]/$L436,0)</f>
        <v>0</v>
      </c>
      <c r="BK436">
        <f>ROUNDUP(tbl_Data_old[[#This Row],[Adjusted 2034]]/$L436,0)</f>
        <v>0</v>
      </c>
      <c r="BL436" s="3">
        <f t="shared" si="29"/>
        <v>0</v>
      </c>
      <c r="BM436" s="3">
        <f t="shared" si="29"/>
        <v>0</v>
      </c>
      <c r="BN436" s="3">
        <f t="shared" si="29"/>
        <v>0</v>
      </c>
      <c r="BO436" s="3">
        <f t="shared" si="29"/>
        <v>0</v>
      </c>
      <c r="BP436" s="3">
        <f t="shared" si="29"/>
        <v>0</v>
      </c>
      <c r="BQ436" s="3">
        <f t="shared" si="29"/>
        <v>0</v>
      </c>
      <c r="BR436" s="3">
        <f t="shared" si="29"/>
        <v>0</v>
      </c>
      <c r="BS436" s="3">
        <f t="shared" si="29"/>
        <v>0</v>
      </c>
      <c r="BT436" s="3">
        <f t="shared" si="29"/>
        <v>0</v>
      </c>
      <c r="BU436" s="3">
        <f t="shared" si="29"/>
        <v>0</v>
      </c>
      <c r="BV436">
        <f>VLOOKUP($H436,'1. Set Program Names'!$B$2:$D$15,3,0)*V436</f>
        <v>0</v>
      </c>
      <c r="BW436">
        <f>VLOOKUP($H436,'1. Set Program Names'!$B$2:$D$15,3,0)*W436</f>
        <v>0</v>
      </c>
      <c r="BX436">
        <f>VLOOKUP($H436,'1. Set Program Names'!$B$2:$D$15,3,0)*X436</f>
        <v>0</v>
      </c>
      <c r="BY436">
        <f>VLOOKUP($H436,'1. Set Program Names'!$B$2:$D$15,3,0)*Y436</f>
        <v>0</v>
      </c>
      <c r="BZ436">
        <f>VLOOKUP($H436,'1. Set Program Names'!$B$2:$D$15,3,0)*Z436</f>
        <v>0</v>
      </c>
      <c r="CA436">
        <f>VLOOKUP($H436,'1. Set Program Names'!$B$2:$D$15,3,0)*AA436</f>
        <v>0</v>
      </c>
      <c r="CB436">
        <f>VLOOKUP($H436,'1. Set Program Names'!$B$2:$D$15,3,0)*AB436</f>
        <v>0</v>
      </c>
      <c r="CC436">
        <f>VLOOKUP($H436,'1. Set Program Names'!$B$2:$D$15,3,0)*AC436</f>
        <v>0</v>
      </c>
      <c r="CD436">
        <f>VLOOKUP($H436,'1. Set Program Names'!$B$2:$D$15,3,0)*AD436</f>
        <v>0</v>
      </c>
      <c r="CE436">
        <f>VLOOKUP($H436,'1. Set Program Names'!$B$2:$D$15,3,0)*AE436</f>
        <v>0</v>
      </c>
    </row>
    <row r="437" spans="1:83" x14ac:dyDescent="0.25">
      <c r="A437" s="20" t="s">
        <v>114</v>
      </c>
      <c r="B437" s="20" t="s">
        <v>88</v>
      </c>
      <c r="C437" s="20" t="s">
        <v>122</v>
      </c>
      <c r="D437" s="20" t="s">
        <v>90</v>
      </c>
      <c r="E437" s="20" t="s">
        <v>91</v>
      </c>
      <c r="F437" s="20" t="s">
        <v>90</v>
      </c>
      <c r="G437" s="20" t="s">
        <v>92</v>
      </c>
      <c r="H437" s="20" t="s">
        <v>18</v>
      </c>
      <c r="I437" s="20" t="s">
        <v>160</v>
      </c>
      <c r="J437" s="20" t="s">
        <v>161</v>
      </c>
      <c r="K437" s="20" t="s">
        <v>159</v>
      </c>
      <c r="L437" s="20">
        <v>698.53499999999997</v>
      </c>
      <c r="M437" s="20">
        <v>9.14911955902553E-2</v>
      </c>
      <c r="N437" s="20">
        <v>9.6647765821509996E-2</v>
      </c>
      <c r="O437" s="20">
        <v>179</v>
      </c>
      <c r="P437" s="20">
        <v>35.4245718525491</v>
      </c>
      <c r="Q437" s="20">
        <v>22.107372708620399</v>
      </c>
      <c r="R437" s="20">
        <v>291.28765455670799</v>
      </c>
      <c r="S437" s="20">
        <v>758.69288308917999</v>
      </c>
      <c r="T437" s="20">
        <v>15</v>
      </c>
      <c r="U437" s="20">
        <v>0.2</v>
      </c>
      <c r="V437" s="20">
        <v>0.42868801571502102</v>
      </c>
      <c r="W437" s="20">
        <v>0.466606953429067</v>
      </c>
      <c r="X437" s="20">
        <v>0.49669267083666402</v>
      </c>
      <c r="Y437" s="20">
        <v>0.52189963989586197</v>
      </c>
      <c r="Z437" s="20">
        <v>0.54225039811213205</v>
      </c>
      <c r="AA437" s="20">
        <v>0.55789432658929305</v>
      </c>
      <c r="AB437" s="20">
        <v>0.56944640203474794</v>
      </c>
      <c r="AC437" s="20">
        <v>0.57863124836891899</v>
      </c>
      <c r="AD437" s="20">
        <v>0.58630104981209397</v>
      </c>
      <c r="AE437" s="20">
        <v>0.59184121507519505</v>
      </c>
      <c r="AF437" t="str">
        <f t="shared" si="28"/>
        <v>NonResidential</v>
      </c>
      <c r="AG437" t="str">
        <f>tbl_Data_old[[#This Row],[All_Meas_Name_Append]]</f>
        <v>LED High Bay_HID Baseline</v>
      </c>
      <c r="AH437">
        <f>AVERAGEIFS('3. Incentive Adjustment'!G:G,'3. Incentive Adjustment'!A:A,tbl_Data_old[[#This Row],[Trimmed Sector]],'3. Incentive Adjustment'!B:B,tbl_Data_old[[#This Row],[Trimmed Measure Name]])</f>
        <v>1.0603846876879557</v>
      </c>
      <c r="AI437">
        <f>$AH437*tbl_Data_old[[#This Row],[2025 ]]</f>
        <v>0.45457420765954198</v>
      </c>
      <c r="AJ437">
        <f>$AH437*tbl_Data_old[[#This Row],[2026 ]]</f>
        <v>0.49478286858490966</v>
      </c>
      <c r="AK437">
        <f>$AH437*tbl_Data_old[[#This Row],[2027 ]]</f>
        <v>0.5266853026420325</v>
      </c>
      <c r="AL437">
        <f>$AH437*tbl_Data_old[[#This Row],[2028 ]]</f>
        <v>0.55341438665543008</v>
      </c>
      <c r="AM437">
        <f>$AH437*tbl_Data_old[[#This Row],[2029 ]]</f>
        <v>0.57499401905080283</v>
      </c>
      <c r="AN437">
        <f>$AH437*tbl_Data_old[[#This Row],[2030 ]]</f>
        <v>0.59158260126326989</v>
      </c>
      <c r="AO437">
        <f>$AH437*tbl_Data_old[[#This Row],[2031 ]]</f>
        <v>0.60383224517664624</v>
      </c>
      <c r="AP437">
        <f>$AH437*tbl_Data_old[[#This Row],[2032 ]]</f>
        <v>0.61357171558816803</v>
      </c>
      <c r="AQ437">
        <f>$AH437*tbl_Data_old[[#This Row],[2033 ]]</f>
        <v>0.62170465559611776</v>
      </c>
      <c r="AR437">
        <f>$AH437*tbl_Data_old[[#This Row],[2034 ]]</f>
        <v>0.62757936200837094</v>
      </c>
      <c r="AS437">
        <f>SUM(tbl_Data_old[[#This Row],[Adjusted 2025]:[Adjusted 2034]])</f>
        <v>5.6627213642252903</v>
      </c>
      <c r="AT437" s="3">
        <f>AVERAGEIFS('3. Incentive Adjustment'!F:F,'3. Incentive Adjustment'!A:A,tbl_Data_old[[#This Row],[Trimmed Sector]],'3. Incentive Adjustment'!B:B,tbl_Data_old[[#This Row],[Trimmed Measure Name]])</f>
        <v>28.590998621954778</v>
      </c>
      <c r="AU437" s="3">
        <f>IFERROR(VLOOKUP(tbl_Data_old[[#This Row],[All_Meas_Name_Append]],'IRA Tax Credits'!$A$3:$D$46,4,0),0)</f>
        <v>0</v>
      </c>
      <c r="AV437" s="4">
        <f>tbl_Data_old[[#This Row],[Adj. per unit Incentive ($)]]/tbl_Data_old[[#This Row],[kWh Savings]]*tbl_Data_old[[#This Row],[Sum of Annuals]]</f>
        <v>0.23177486986490176</v>
      </c>
      <c r="AW437" s="4">
        <f>IFERROR(VLOOKUP(tbl_Data_old[[#This Row],[All_Programs]],'1. Set Program Names'!$B$2:$D$15,3,0)*tbl_Data_old[[#This Row],[Sum of Annuals]],"")</f>
        <v>0.17921491656680932</v>
      </c>
      <c r="AX437" s="4">
        <f>tbl_Data_old[[#This Row],[per unit IRA tax ($)]]/tbl_Data_old[[#This Row],[kWh Savings]]*tbl_Data_old[[#This Row],[Sum of Annuals]]</f>
        <v>0</v>
      </c>
      <c r="AY437" s="4">
        <f>tbl_Data_old[[#This Row],[Avoided Costs ($/unit)]]/tbl_Data_old[[#This Row],[kWh Savings]]*tbl_Data_old[[#This Row],[Sum of Annuals]]</f>
        <v>2.3613431318306839</v>
      </c>
      <c r="AZ437" s="4">
        <f>tbl_Data_old[[#This Row],[Lost Revenue ($/unit)]]/tbl_Data_old[[#This Row],[kWh Savings]]*tbl_Data_old[[#This Row],[Sum of Annuals]]</f>
        <v>6.1503953244358271</v>
      </c>
      <c r="BA437" s="4">
        <f>tbl_Data_old[[#This Row],[Incremental Cost ($/unit)]]/tbl_Data_old[[#This Row],[kWh Savings]]*tbl_Data_old[[#This Row],[Sum of Annuals]]</f>
        <v>1.4510756428759148</v>
      </c>
      <c r="BB437">
        <f>ROUNDUP(tbl_Data_old[[#This Row],[Adjusted 2025]]/$L437,0)</f>
        <v>1</v>
      </c>
      <c r="BC437">
        <f>ROUNDUP(tbl_Data_old[[#This Row],[Adjusted 2026]]/$L437,0)</f>
        <v>1</v>
      </c>
      <c r="BD437">
        <f>ROUNDUP(tbl_Data_old[[#This Row],[Adjusted 2027]]/$L437,0)</f>
        <v>1</v>
      </c>
      <c r="BE437">
        <f>ROUNDUP(tbl_Data_old[[#This Row],[Adjusted 2028]]/$L437,0)</f>
        <v>1</v>
      </c>
      <c r="BF437">
        <f>ROUNDUP(tbl_Data_old[[#This Row],[Adjusted 2029]]/$L437,0)</f>
        <v>1</v>
      </c>
      <c r="BG437">
        <f>ROUNDUP(tbl_Data_old[[#This Row],[Adjusted 2030]]/$L437,0)</f>
        <v>1</v>
      </c>
      <c r="BH437">
        <f>ROUNDUP(tbl_Data_old[[#This Row],[Adjusted 2031]]/$L437,0)</f>
        <v>1</v>
      </c>
      <c r="BI437">
        <f>ROUNDUP(tbl_Data_old[[#This Row],[Adjusted 2032]]/$L437,0)</f>
        <v>1</v>
      </c>
      <c r="BJ437">
        <f>ROUNDUP(tbl_Data_old[[#This Row],[Adjusted 2033]]/$L437,0)</f>
        <v>1</v>
      </c>
      <c r="BK437">
        <f>ROUNDUP(tbl_Data_old[[#This Row],[Adjusted 2034]]/$L437,0)</f>
        <v>1</v>
      </c>
      <c r="BL437" s="3">
        <f t="shared" si="29"/>
        <v>1.7546176593236838E-2</v>
      </c>
      <c r="BM437" s="3">
        <f t="shared" si="29"/>
        <v>1.909819660072147E-2</v>
      </c>
      <c r="BN437" s="3">
        <f t="shared" si="29"/>
        <v>2.0329603337593819E-2</v>
      </c>
      <c r="BO437" s="3">
        <f t="shared" si="29"/>
        <v>2.136132317644969E-2</v>
      </c>
      <c r="BP437" s="3">
        <f t="shared" si="29"/>
        <v>2.2194278576132043E-2</v>
      </c>
      <c r="BQ437" s="3">
        <f t="shared" si="29"/>
        <v>2.2834583696895457E-2</v>
      </c>
      <c r="BR437" s="3">
        <f t="shared" si="29"/>
        <v>2.3307409501102428E-2</v>
      </c>
      <c r="BS437" s="3">
        <f t="shared" si="29"/>
        <v>2.3683344749705793E-2</v>
      </c>
      <c r="BT437" s="3">
        <f t="shared" si="29"/>
        <v>2.3997269295351297E-2</v>
      </c>
      <c r="BU437" s="3">
        <f t="shared" si="29"/>
        <v>2.4224027950827006E-2</v>
      </c>
      <c r="BV437">
        <f>VLOOKUP($H437,'1. Set Program Names'!$B$2:$D$15,3,0)*V437</f>
        <v>1.3567202415241772E-2</v>
      </c>
      <c r="BW437">
        <f>VLOOKUP($H437,'1. Set Program Names'!$B$2:$D$15,3,0)*W437</f>
        <v>1.4767268394411576E-2</v>
      </c>
      <c r="BX437">
        <f>VLOOKUP($H437,'1. Set Program Names'!$B$2:$D$15,3,0)*X437</f>
        <v>1.571942708071359E-2</v>
      </c>
      <c r="BY437">
        <f>VLOOKUP($H437,'1. Set Program Names'!$B$2:$D$15,3,0)*Y437</f>
        <v>1.6517182182242292E-2</v>
      </c>
      <c r="BZ437">
        <f>VLOOKUP($H437,'1. Set Program Names'!$B$2:$D$15,3,0)*Z437</f>
        <v>1.7161246970391925E-2</v>
      </c>
      <c r="CA437">
        <f>VLOOKUP($H437,'1. Set Program Names'!$B$2:$D$15,3,0)*AA437</f>
        <v>1.7656349087639592E-2</v>
      </c>
      <c r="CB437">
        <f>VLOOKUP($H437,'1. Set Program Names'!$B$2:$D$15,3,0)*AB437</f>
        <v>1.8021951437458533E-2</v>
      </c>
      <c r="CC437">
        <f>VLOOKUP($H437,'1. Set Program Names'!$B$2:$D$15,3,0)*AC437</f>
        <v>1.8312635255994362E-2</v>
      </c>
      <c r="CD437">
        <f>VLOOKUP($H437,'1. Set Program Names'!$B$2:$D$15,3,0)*AD437</f>
        <v>1.8555370636620078E-2</v>
      </c>
      <c r="CE437">
        <f>VLOOKUP($H437,'1. Set Program Names'!$B$2:$D$15,3,0)*AE437</f>
        <v>1.8730706873657202E-2</v>
      </c>
    </row>
    <row r="438" spans="1:83" x14ac:dyDescent="0.25">
      <c r="A438" s="20" t="s">
        <v>114</v>
      </c>
      <c r="B438" s="20" t="s">
        <v>88</v>
      </c>
      <c r="C438" s="20" t="s">
        <v>122</v>
      </c>
      <c r="D438" s="20" t="s">
        <v>90</v>
      </c>
      <c r="E438" s="20" t="s">
        <v>91</v>
      </c>
      <c r="F438" s="20" t="s">
        <v>90</v>
      </c>
      <c r="G438" s="20" t="s">
        <v>92</v>
      </c>
      <c r="H438" s="20" t="s">
        <v>18</v>
      </c>
      <c r="I438" s="20" t="s">
        <v>162</v>
      </c>
      <c r="J438" s="20" t="s">
        <v>161</v>
      </c>
      <c r="K438" s="20" t="s">
        <v>159</v>
      </c>
      <c r="L438" s="20">
        <v>638.46285714285602</v>
      </c>
      <c r="M438" s="20">
        <v>7.6348348575361394E-2</v>
      </c>
      <c r="N438" s="20">
        <v>7.27444471789533E-2</v>
      </c>
      <c r="O438" s="20">
        <v>179</v>
      </c>
      <c r="P438" s="20">
        <v>51.129983050636802</v>
      </c>
      <c r="Q438" s="20">
        <v>20.206197747382401</v>
      </c>
      <c r="R438" s="20">
        <v>256.15438258671003</v>
      </c>
      <c r="S438" s="20">
        <v>693.44732308484095</v>
      </c>
      <c r="T438" s="20">
        <v>15</v>
      </c>
      <c r="U438" s="20">
        <v>0.2</v>
      </c>
      <c r="V438" s="20">
        <v>1.2620762340324601</v>
      </c>
      <c r="W438" s="20">
        <v>1.3737112421369699</v>
      </c>
      <c r="X438" s="20">
        <v>1.46228490767463</v>
      </c>
      <c r="Y438" s="20">
        <v>1.5364953250769999</v>
      </c>
      <c r="Z438" s="20">
        <v>1.5964088457441299</v>
      </c>
      <c r="AA438" s="20">
        <v>1.6424652541673901</v>
      </c>
      <c r="AB438" s="20">
        <v>1.6764750686221801</v>
      </c>
      <c r="AC438" s="20">
        <v>1.70351565722427</v>
      </c>
      <c r="AD438" s="20">
        <v>1.7260958875230701</v>
      </c>
      <c r="AE438" s="20">
        <v>1.74240637593155</v>
      </c>
      <c r="AF438" t="str">
        <f t="shared" si="28"/>
        <v>NonResidential</v>
      </c>
      <c r="AG438" t="str">
        <f>tbl_Data_old[[#This Row],[All_Meas_Name_Append]]</f>
        <v>LED High Bay_LF Baseline</v>
      </c>
      <c r="AH438">
        <f>AVERAGEIFS('3. Incentive Adjustment'!G:G,'3. Incentive Adjustment'!A:A,tbl_Data_old[[#This Row],[Trimmed Sector]],'3. Incentive Adjustment'!B:B,tbl_Data_old[[#This Row],[Trimmed Measure Name]])</f>
        <v>0.93017466414143679</v>
      </c>
      <c r="AI438">
        <f>$AH438*tbl_Data_old[[#This Row],[2025 ]]</f>
        <v>1.1739513371120329</v>
      </c>
      <c r="AJ438">
        <f>$AH438*tbl_Data_old[[#This Row],[2026 ]]</f>
        <v>1.2777913932820719</v>
      </c>
      <c r="AK438">
        <f>$AH438*tbl_Data_old[[#This Row],[2027 ]]</f>
        <v>1.360180372875341</v>
      </c>
      <c r="AL438">
        <f>$AH438*tbl_Data_old[[#This Row],[2028 ]]</f>
        <v>1.4292090229583863</v>
      </c>
      <c r="AM438">
        <f>$AH438*tbl_Data_old[[#This Row],[2029 ]]</f>
        <v>1.4849390619224647</v>
      </c>
      <c r="AN438">
        <f>$AH438*tbl_Data_old[[#This Row],[2030 ]]</f>
        <v>1.5277795661591318</v>
      </c>
      <c r="AO438">
        <f>$AH438*tbl_Data_old[[#This Row],[2031 ]]</f>
        <v>1.5594146338971286</v>
      </c>
      <c r="AP438">
        <f>$AH438*tbl_Data_old[[#This Row],[2032 ]]</f>
        <v>1.5845671043182643</v>
      </c>
      <c r="AQ438">
        <f>$AH438*tbl_Data_old[[#This Row],[2033 ]]</f>
        <v>1.6055706624526869</v>
      </c>
      <c r="AR438">
        <f>$AH438*tbl_Data_old[[#This Row],[2034 ]]</f>
        <v>1.6207422655300276</v>
      </c>
      <c r="AS438">
        <f>SUM(tbl_Data_old[[#This Row],[Adjusted 2025]:[Adjusted 2034]])</f>
        <v>14.624145420507537</v>
      </c>
      <c r="AT438" s="3">
        <f>AVERAGEIFS('3. Incentive Adjustment'!F:F,'3. Incentive Adjustment'!A:A,tbl_Data_old[[#This Row],[Trimmed Sector]],'3. Incentive Adjustment'!B:B,tbl_Data_old[[#This Row],[Trimmed Measure Name]])</f>
        <v>23.858858929800434</v>
      </c>
      <c r="AU438" s="3">
        <f>IFERROR(VLOOKUP(tbl_Data_old[[#This Row],[All_Meas_Name_Append]],'IRA Tax Credits'!$A$3:$D$46,4,0),0)</f>
        <v>0</v>
      </c>
      <c r="AV438" s="4">
        <f>tbl_Data_old[[#This Row],[Adj. per unit Incentive ($)]]/tbl_Data_old[[#This Row],[kWh Savings]]*tbl_Data_old[[#This Row],[Sum of Annuals]]</f>
        <v>0.54649290660099681</v>
      </c>
      <c r="AW438" s="4">
        <f>IFERROR(VLOOKUP(tbl_Data_old[[#This Row],[All_Programs]],'1. Set Program Names'!$B$2:$D$15,3,0)*tbl_Data_old[[#This Row],[Sum of Annuals]],"")</f>
        <v>0.46282782302422226</v>
      </c>
      <c r="AX438" s="4">
        <f>tbl_Data_old[[#This Row],[per unit IRA tax ($)]]/tbl_Data_old[[#This Row],[kWh Savings]]*tbl_Data_old[[#This Row],[Sum of Annuals]]</f>
        <v>0</v>
      </c>
      <c r="AY438" s="4">
        <f>tbl_Data_old[[#This Row],[Avoided Costs ($/unit)]]/tbl_Data_old[[#This Row],[kWh Savings]]*tbl_Data_old[[#This Row],[Sum of Annuals]]</f>
        <v>5.8672777893643309</v>
      </c>
      <c r="AZ438" s="4">
        <f>tbl_Data_old[[#This Row],[Lost Revenue ($/unit)]]/tbl_Data_old[[#This Row],[kWh Savings]]*tbl_Data_old[[#This Row],[Sum of Annuals]]</f>
        <v>15.88357784763871</v>
      </c>
      <c r="BA438" s="4">
        <f>tbl_Data_old[[#This Row],[Incremental Cost ($/unit)]]/tbl_Data_old[[#This Row],[kWh Savings]]*tbl_Data_old[[#This Row],[Sum of Annuals]]</f>
        <v>4.1000380851992677</v>
      </c>
      <c r="BB438">
        <f>ROUNDUP(tbl_Data_old[[#This Row],[Adjusted 2025]]/$L438,0)</f>
        <v>1</v>
      </c>
      <c r="BC438">
        <f>ROUNDUP(tbl_Data_old[[#This Row],[Adjusted 2026]]/$L438,0)</f>
        <v>1</v>
      </c>
      <c r="BD438">
        <f>ROUNDUP(tbl_Data_old[[#This Row],[Adjusted 2027]]/$L438,0)</f>
        <v>1</v>
      </c>
      <c r="BE438">
        <f>ROUNDUP(tbl_Data_old[[#This Row],[Adjusted 2028]]/$L438,0)</f>
        <v>1</v>
      </c>
      <c r="BF438">
        <f>ROUNDUP(tbl_Data_old[[#This Row],[Adjusted 2029]]/$L438,0)</f>
        <v>1</v>
      </c>
      <c r="BG438">
        <f>ROUNDUP(tbl_Data_old[[#This Row],[Adjusted 2030]]/$L438,0)</f>
        <v>1</v>
      </c>
      <c r="BH438">
        <f>ROUNDUP(tbl_Data_old[[#This Row],[Adjusted 2031]]/$L438,0)</f>
        <v>1</v>
      </c>
      <c r="BI438">
        <f>ROUNDUP(tbl_Data_old[[#This Row],[Adjusted 2032]]/$L438,0)</f>
        <v>1</v>
      </c>
      <c r="BJ438">
        <f>ROUNDUP(tbl_Data_old[[#This Row],[Adjusted 2033]]/$L438,0)</f>
        <v>1</v>
      </c>
      <c r="BK438">
        <f>ROUNDUP(tbl_Data_old[[#This Row],[Adjusted 2034]]/$L438,0)</f>
        <v>1</v>
      </c>
      <c r="BL438" s="3">
        <f t="shared" si="29"/>
        <v>4.7162804366075707E-2</v>
      </c>
      <c r="BM438" s="3">
        <f t="shared" si="29"/>
        <v>5.133451753653611E-2</v>
      </c>
      <c r="BN438" s="3">
        <f t="shared" si="29"/>
        <v>5.4644446324586995E-2</v>
      </c>
      <c r="BO438" s="3">
        <f t="shared" si="29"/>
        <v>5.7417631734068976E-2</v>
      </c>
      <c r="BP438" s="3">
        <f t="shared" si="29"/>
        <v>5.9656553265043634E-2</v>
      </c>
      <c r="BQ438" s="3">
        <f t="shared" si="29"/>
        <v>6.1377645320893598E-2</v>
      </c>
      <c r="BR438" s="3">
        <f t="shared" si="29"/>
        <v>6.2648565557251151E-2</v>
      </c>
      <c r="BS438" s="3">
        <f t="shared" si="29"/>
        <v>6.3659051259932653E-2</v>
      </c>
      <c r="BT438" s="3">
        <f t="shared" si="29"/>
        <v>6.4502856852183307E-2</v>
      </c>
      <c r="BU438" s="3">
        <f t="shared" si="29"/>
        <v>6.5112367080790073E-2</v>
      </c>
      <c r="BV438">
        <f>VLOOKUP($H438,'1. Set Program Names'!$B$2:$D$15,3,0)*V438</f>
        <v>3.9942436230751055E-2</v>
      </c>
      <c r="BW438">
        <f>VLOOKUP($H438,'1. Set Program Names'!$B$2:$D$15,3,0)*W438</f>
        <v>4.3475482866204201E-2</v>
      </c>
      <c r="BX438">
        <f>VLOOKUP($H438,'1. Set Program Names'!$B$2:$D$15,3,0)*X438</f>
        <v>4.6278679608256844E-2</v>
      </c>
      <c r="BY438">
        <f>VLOOKUP($H438,'1. Set Program Names'!$B$2:$D$15,3,0)*Y438</f>
        <v>4.8627305455746922E-2</v>
      </c>
      <c r="BZ438">
        <f>VLOOKUP($H438,'1. Set Program Names'!$B$2:$D$15,3,0)*Z438</f>
        <v>5.0523460310799108E-2</v>
      </c>
      <c r="CA438">
        <f>VLOOKUP($H438,'1. Set Program Names'!$B$2:$D$15,3,0)*AA438</f>
        <v>5.1981062559266912E-2</v>
      </c>
      <c r="CB438">
        <f>VLOOKUP($H438,'1. Set Program Names'!$B$2:$D$15,3,0)*AB438</f>
        <v>5.3057411838691809E-2</v>
      </c>
      <c r="CC438">
        <f>VLOOKUP($H438,'1. Set Program Names'!$B$2:$D$15,3,0)*AC438</f>
        <v>5.3913197691207254E-2</v>
      </c>
      <c r="CD438">
        <f>VLOOKUP($H438,'1. Set Program Names'!$B$2:$D$15,3,0)*AD438</f>
        <v>5.4627821249170788E-2</v>
      </c>
      <c r="CE438">
        <f>VLOOKUP($H438,'1. Set Program Names'!$B$2:$D$15,3,0)*AE438</f>
        <v>5.5144018785881044E-2</v>
      </c>
    </row>
    <row r="439" spans="1:83" x14ac:dyDescent="0.25">
      <c r="A439" s="20" t="s">
        <v>114</v>
      </c>
      <c r="B439" s="20" t="s">
        <v>88</v>
      </c>
      <c r="C439" s="20" t="s">
        <v>122</v>
      </c>
      <c r="D439" s="20" t="s">
        <v>90</v>
      </c>
      <c r="E439" s="20" t="s">
        <v>91</v>
      </c>
      <c r="F439" s="20" t="s">
        <v>90</v>
      </c>
      <c r="G439" s="20" t="s">
        <v>92</v>
      </c>
      <c r="H439" s="20" t="s">
        <v>18</v>
      </c>
      <c r="I439" s="20" t="s">
        <v>163</v>
      </c>
      <c r="J439" s="20" t="s">
        <v>161</v>
      </c>
      <c r="K439" s="20" t="s">
        <v>159</v>
      </c>
      <c r="L439" s="20">
        <v>336.08</v>
      </c>
      <c r="M439" s="20">
        <v>5.3794325187228403E-2</v>
      </c>
      <c r="N439" s="20">
        <v>5.3413522005729602E-2</v>
      </c>
      <c r="O439" s="20">
        <v>109.08</v>
      </c>
      <c r="P439" s="20">
        <v>41.915763754167898</v>
      </c>
      <c r="Q439" s="20">
        <v>10.6363257673748</v>
      </c>
      <c r="R439" s="20">
        <v>148.30416484676499</v>
      </c>
      <c r="S439" s="20">
        <v>365.02323312162099</v>
      </c>
      <c r="T439" s="20">
        <v>15</v>
      </c>
      <c r="U439" s="20">
        <v>0.2</v>
      </c>
      <c r="V439" s="20">
        <v>1.9956313227640601</v>
      </c>
      <c r="W439" s="20">
        <v>2.0979992646682</v>
      </c>
      <c r="X439" s="20">
        <v>2.1531291524387499</v>
      </c>
      <c r="Y439" s="20">
        <v>2.1868960213922599</v>
      </c>
      <c r="Z439" s="20">
        <v>2.2058825329528702</v>
      </c>
      <c r="AA439" s="20">
        <v>2.2083204850309901</v>
      </c>
      <c r="AB439" s="20">
        <v>2.2018511936965699</v>
      </c>
      <c r="AC439" s="20">
        <v>2.1927627191549401</v>
      </c>
      <c r="AD439" s="20">
        <v>2.1793678744242899</v>
      </c>
      <c r="AE439" s="20">
        <v>2.16437674328429</v>
      </c>
      <c r="AF439" t="str">
        <f t="shared" si="28"/>
        <v>NonResidential</v>
      </c>
      <c r="AG439" t="str">
        <f>tbl_Data_old[[#This Row],[All_Meas_Name_Append]]</f>
        <v>LED Linear - Fixture Replacement</v>
      </c>
      <c r="AH439">
        <f>AVERAGEIFS('3. Incentive Adjustment'!G:G,'3. Incentive Adjustment'!A:A,tbl_Data_old[[#This Row],[Trimmed Sector]],'3. Incentive Adjustment'!B:B,tbl_Data_old[[#This Row],[Trimmed Measure Name]])</f>
        <v>0.56055357916158088</v>
      </c>
      <c r="AI439">
        <f>$AH439*tbl_Data_old[[#This Row],[2025 ]]</f>
        <v>1.118658280662354</v>
      </c>
      <c r="AJ439">
        <f>$AH439*tbl_Data_old[[#This Row],[2026 ]]</f>
        <v>1.1760409968881242</v>
      </c>
      <c r="AK439">
        <f>$AH439*tbl_Data_old[[#This Row],[2027 ]]</f>
        <v>1.2069442527966823</v>
      </c>
      <c r="AL439">
        <f>$AH439*tbl_Data_old[[#This Row],[2028 ]]</f>
        <v>1.2258723920456525</v>
      </c>
      <c r="AM439">
        <f>$AH439*tbl_Data_old[[#This Row],[2029 ]]</f>
        <v>1.2365153490567453</v>
      </c>
      <c r="AN439">
        <f>$AH439*tbl_Data_old[[#This Row],[2030 ]]</f>
        <v>1.2378819518199597</v>
      </c>
      <c r="AO439">
        <f>$AH439*tbl_Data_old[[#This Row],[2031 ]]</f>
        <v>1.2342555674078115</v>
      </c>
      <c r="AP439">
        <f>$AH439*tbl_Data_old[[#This Row],[2032 ]]</f>
        <v>1.2291609904743821</v>
      </c>
      <c r="AQ439">
        <f>$AH439*tbl_Data_old[[#This Row],[2033 ]]</f>
        <v>1.2216524623183025</v>
      </c>
      <c r="AR439">
        <f>$AH439*tbl_Data_old[[#This Row],[2034 ]]</f>
        <v>1.2132491301020949</v>
      </c>
      <c r="AS439">
        <f>SUM(tbl_Data_old[[#This Row],[Adjusted 2025]:[Adjusted 2034]])</f>
        <v>12.100231373572107</v>
      </c>
      <c r="AT439" s="3">
        <f>AVERAGEIFS('3. Incentive Adjustment'!F:F,'3. Incentive Adjustment'!A:A,tbl_Data_old[[#This Row],[Trimmed Sector]],'3. Incentive Adjustment'!B:B,tbl_Data_old[[#This Row],[Trimmed Measure Name]])</f>
        <v>16.810726621008875</v>
      </c>
      <c r="AU439" s="3">
        <f>IFERROR(VLOOKUP(tbl_Data_old[[#This Row],[All_Meas_Name_Append]],'IRA Tax Credits'!$A$3:$D$46,4,0),0)</f>
        <v>0</v>
      </c>
      <c r="AV439" s="4">
        <f>tbl_Data_old[[#This Row],[Adj. per unit Incentive ($)]]/tbl_Data_old[[#This Row],[kWh Savings]]*tbl_Data_old[[#This Row],[Sum of Annuals]]</f>
        <v>0.60525375408258586</v>
      </c>
      <c r="AW439" s="4">
        <f>IFERROR(VLOOKUP(tbl_Data_old[[#This Row],[All_Programs]],'1. Set Program Names'!$B$2:$D$15,3,0)*tbl_Data_old[[#This Row],[Sum of Annuals]],"")</f>
        <v>0.38295049616139631</v>
      </c>
      <c r="AX439" s="4">
        <f>tbl_Data_old[[#This Row],[per unit IRA tax ($)]]/tbl_Data_old[[#This Row],[kWh Savings]]*tbl_Data_old[[#This Row],[Sum of Annuals]]</f>
        <v>0</v>
      </c>
      <c r="AY439" s="4">
        <f>tbl_Data_old[[#This Row],[Avoided Costs ($/unit)]]/tbl_Data_old[[#This Row],[kWh Savings]]*tbl_Data_old[[#This Row],[Sum of Annuals]]</f>
        <v>5.3395462637176729</v>
      </c>
      <c r="AZ439" s="4">
        <f>tbl_Data_old[[#This Row],[Lost Revenue ($/unit)]]/tbl_Data_old[[#This Row],[kWh Savings]]*tbl_Data_old[[#This Row],[Sum of Annuals]]</f>
        <v>13.142304146337073</v>
      </c>
      <c r="BA439" s="4">
        <f>tbl_Data_old[[#This Row],[Incremental Cost ($/unit)]]/tbl_Data_old[[#This Row],[kWh Savings]]*tbl_Data_old[[#This Row],[Sum of Annuals]]</f>
        <v>3.9273186093467198</v>
      </c>
      <c r="BB439">
        <f>ROUNDUP(tbl_Data_old[[#This Row],[Adjusted 2025]]/$L439,0)</f>
        <v>1</v>
      </c>
      <c r="BC439">
        <f>ROUNDUP(tbl_Data_old[[#This Row],[Adjusted 2026]]/$L439,0)</f>
        <v>1</v>
      </c>
      <c r="BD439">
        <f>ROUNDUP(tbl_Data_old[[#This Row],[Adjusted 2027]]/$L439,0)</f>
        <v>1</v>
      </c>
      <c r="BE439">
        <f>ROUNDUP(tbl_Data_old[[#This Row],[Adjusted 2028]]/$L439,0)</f>
        <v>1</v>
      </c>
      <c r="BF439">
        <f>ROUNDUP(tbl_Data_old[[#This Row],[Adjusted 2029]]/$L439,0)</f>
        <v>1</v>
      </c>
      <c r="BG439">
        <f>ROUNDUP(tbl_Data_old[[#This Row],[Adjusted 2030]]/$L439,0)</f>
        <v>1</v>
      </c>
      <c r="BH439">
        <f>ROUNDUP(tbl_Data_old[[#This Row],[Adjusted 2031]]/$L439,0)</f>
        <v>1</v>
      </c>
      <c r="BI439">
        <f>ROUNDUP(tbl_Data_old[[#This Row],[Adjusted 2032]]/$L439,0)</f>
        <v>1</v>
      </c>
      <c r="BJ439">
        <f>ROUNDUP(tbl_Data_old[[#This Row],[Adjusted 2033]]/$L439,0)</f>
        <v>1</v>
      </c>
      <c r="BK439">
        <f>ROUNDUP(tbl_Data_old[[#This Row],[Adjusted 2034]]/$L439,0)</f>
        <v>1</v>
      </c>
      <c r="BL439" s="3">
        <f t="shared" si="29"/>
        <v>9.9821508579233942E-2</v>
      </c>
      <c r="BM439" s="3">
        <f t="shared" si="29"/>
        <v>0.10494195456264806</v>
      </c>
      <c r="BN439" s="3">
        <f t="shared" si="29"/>
        <v>0.10769955237256716</v>
      </c>
      <c r="BO439" s="3">
        <f t="shared" si="29"/>
        <v>0.10938857166209612</v>
      </c>
      <c r="BP439" s="3">
        <f t="shared" si="29"/>
        <v>0.11033827725401484</v>
      </c>
      <c r="BQ439" s="3">
        <f t="shared" si="29"/>
        <v>0.1104602236533852</v>
      </c>
      <c r="BR439" s="3">
        <f t="shared" si="29"/>
        <v>0.1101366296041868</v>
      </c>
      <c r="BS439" s="3">
        <f t="shared" si="29"/>
        <v>0.10968202397183338</v>
      </c>
      <c r="BT439" s="3">
        <f t="shared" si="29"/>
        <v>0.10901201363828833</v>
      </c>
      <c r="BU439" s="3">
        <f t="shared" si="29"/>
        <v>0.10826215703469921</v>
      </c>
      <c r="BV439">
        <f>VLOOKUP($H439,'1. Set Program Names'!$B$2:$D$15,3,0)*V439</f>
        <v>6.3158131577290069E-2</v>
      </c>
      <c r="BW439">
        <f>VLOOKUP($H439,'1. Set Program Names'!$B$2:$D$15,3,0)*W439</f>
        <v>6.6397892283753202E-2</v>
      </c>
      <c r="BX439">
        <f>VLOOKUP($H439,'1. Set Program Names'!$B$2:$D$15,3,0)*X439</f>
        <v>6.8142653786509633E-2</v>
      </c>
      <c r="BY439">
        <f>VLOOKUP($H439,'1. Set Program Names'!$B$2:$D$15,3,0)*Y439</f>
        <v>6.9211314279052444E-2</v>
      </c>
      <c r="BZ439">
        <f>VLOOKUP($H439,'1. Set Program Names'!$B$2:$D$15,3,0)*Z439</f>
        <v>6.9812203121425317E-2</v>
      </c>
      <c r="CA439">
        <f>VLOOKUP($H439,'1. Set Program Names'!$B$2:$D$15,3,0)*AA439</f>
        <v>6.9889359907036278E-2</v>
      </c>
      <c r="CB439">
        <f>VLOOKUP($H439,'1. Set Program Names'!$B$2:$D$15,3,0)*AB439</f>
        <v>6.9684618505831367E-2</v>
      </c>
      <c r="CC439">
        <f>VLOOKUP($H439,'1. Set Program Names'!$B$2:$D$15,3,0)*AC439</f>
        <v>6.9396984680690721E-2</v>
      </c>
      <c r="CD439">
        <f>VLOOKUP($H439,'1. Set Program Names'!$B$2:$D$15,3,0)*AD439</f>
        <v>6.8973062007045768E-2</v>
      </c>
      <c r="CE439">
        <f>VLOOKUP($H439,'1. Set Program Names'!$B$2:$D$15,3,0)*AE439</f>
        <v>6.8498619747981021E-2</v>
      </c>
    </row>
    <row r="440" spans="1:83" x14ac:dyDescent="0.25">
      <c r="A440" s="20" t="s">
        <v>114</v>
      </c>
      <c r="B440" s="20" t="s">
        <v>88</v>
      </c>
      <c r="C440" s="20" t="s">
        <v>122</v>
      </c>
      <c r="D440" s="20" t="s">
        <v>90</v>
      </c>
      <c r="E440" s="20" t="s">
        <v>91</v>
      </c>
      <c r="F440" s="20" t="s">
        <v>90</v>
      </c>
      <c r="G440" s="20" t="s">
        <v>92</v>
      </c>
      <c r="H440" s="20" t="s">
        <v>18</v>
      </c>
      <c r="I440" s="20" t="s">
        <v>164</v>
      </c>
      <c r="J440" s="20" t="s">
        <v>158</v>
      </c>
      <c r="K440" s="20" t="s">
        <v>159</v>
      </c>
      <c r="L440" s="20">
        <v>612.05999999999904</v>
      </c>
      <c r="M440" s="20">
        <v>0</v>
      </c>
      <c r="N440" s="20">
        <v>3.0244631686656E-2</v>
      </c>
      <c r="O440" s="20">
        <v>255</v>
      </c>
      <c r="P440" s="20">
        <v>129.095003330796</v>
      </c>
      <c r="Q440" s="20">
        <v>19.3705949451899</v>
      </c>
      <c r="R440" s="20">
        <v>299.625229349054</v>
      </c>
      <c r="S440" s="20">
        <v>664.77065003695395</v>
      </c>
      <c r="T440" s="20">
        <v>15</v>
      </c>
      <c r="U440" s="20">
        <v>0.2</v>
      </c>
      <c r="V440" s="20">
        <v>0</v>
      </c>
      <c r="W440" s="20">
        <v>0</v>
      </c>
      <c r="X440" s="20">
        <v>0</v>
      </c>
      <c r="Y440" s="20">
        <v>0</v>
      </c>
      <c r="Z440" s="20">
        <v>0</v>
      </c>
      <c r="AA440" s="20">
        <v>0</v>
      </c>
      <c r="AB440" s="20">
        <v>0</v>
      </c>
      <c r="AC440" s="20">
        <v>0</v>
      </c>
      <c r="AD440" s="20">
        <v>0</v>
      </c>
      <c r="AE440" s="20">
        <v>0</v>
      </c>
      <c r="AF440" t="str">
        <f t="shared" si="28"/>
        <v>NonResidential</v>
      </c>
      <c r="AG440" t="str">
        <f>tbl_Data_old[[#This Row],[All_Meas_Name_Append]]</f>
        <v>LED Parking Lighting</v>
      </c>
      <c r="AH440">
        <f>AVERAGEIFS('3. Incentive Adjustment'!G:G,'3. Incentive Adjustment'!A:A,tbl_Data_old[[#This Row],[Trimmed Sector]],'3. Incentive Adjustment'!B:B,tbl_Data_old[[#This Row],[Trimmed Measure Name]])</f>
        <v>0.59704067730377497</v>
      </c>
      <c r="AI440">
        <f>$AH440*tbl_Data_old[[#This Row],[2025 ]]</f>
        <v>0</v>
      </c>
      <c r="AJ440">
        <f>$AH440*tbl_Data_old[[#This Row],[2026 ]]</f>
        <v>0</v>
      </c>
      <c r="AK440">
        <f>$AH440*tbl_Data_old[[#This Row],[2027 ]]</f>
        <v>0</v>
      </c>
      <c r="AL440">
        <f>$AH440*tbl_Data_old[[#This Row],[2028 ]]</f>
        <v>0</v>
      </c>
      <c r="AM440">
        <f>$AH440*tbl_Data_old[[#This Row],[2029 ]]</f>
        <v>0</v>
      </c>
      <c r="AN440">
        <f>$AH440*tbl_Data_old[[#This Row],[2030 ]]</f>
        <v>0</v>
      </c>
      <c r="AO440">
        <f>$AH440*tbl_Data_old[[#This Row],[2031 ]]</f>
        <v>0</v>
      </c>
      <c r="AP440">
        <f>$AH440*tbl_Data_old[[#This Row],[2032 ]]</f>
        <v>0</v>
      </c>
      <c r="AQ440">
        <f>$AH440*tbl_Data_old[[#This Row],[2033 ]]</f>
        <v>0</v>
      </c>
      <c r="AR440">
        <f>$AH440*tbl_Data_old[[#This Row],[2034 ]]</f>
        <v>0</v>
      </c>
      <c r="AS440">
        <f>SUM(tbl_Data_old[[#This Row],[Adjusted 2025]:[Adjusted 2034]])</f>
        <v>0</v>
      </c>
      <c r="AT440" s="3">
        <f>AVERAGEIFS('3. Incentive Adjustment'!F:F,'3. Incentive Adjustment'!A:A,tbl_Data_old[[#This Row],[Trimmed Sector]],'3. Incentive Adjustment'!B:B,tbl_Data_old[[#This Row],[Trimmed Measure Name]])</f>
        <v>9.4514474020799994</v>
      </c>
      <c r="AU440" s="3">
        <f>IFERROR(VLOOKUP(tbl_Data_old[[#This Row],[All_Meas_Name_Append]],'IRA Tax Credits'!$A$3:$D$46,4,0),0)</f>
        <v>0</v>
      </c>
      <c r="AV440" s="4">
        <f>tbl_Data_old[[#This Row],[Adj. per unit Incentive ($)]]/tbl_Data_old[[#This Row],[kWh Savings]]*tbl_Data_old[[#This Row],[Sum of Annuals]]</f>
        <v>0</v>
      </c>
      <c r="AW440" s="4">
        <f>IFERROR(VLOOKUP(tbl_Data_old[[#This Row],[All_Programs]],'1. Set Program Names'!$B$2:$D$15,3,0)*tbl_Data_old[[#This Row],[Sum of Annuals]],"")</f>
        <v>0</v>
      </c>
      <c r="AX440" s="4">
        <f>tbl_Data_old[[#This Row],[per unit IRA tax ($)]]/tbl_Data_old[[#This Row],[kWh Savings]]*tbl_Data_old[[#This Row],[Sum of Annuals]]</f>
        <v>0</v>
      </c>
      <c r="AY440" s="4">
        <f>tbl_Data_old[[#This Row],[Avoided Costs ($/unit)]]/tbl_Data_old[[#This Row],[kWh Savings]]*tbl_Data_old[[#This Row],[Sum of Annuals]]</f>
        <v>0</v>
      </c>
      <c r="AZ440" s="4">
        <f>tbl_Data_old[[#This Row],[Lost Revenue ($/unit)]]/tbl_Data_old[[#This Row],[kWh Savings]]*tbl_Data_old[[#This Row],[Sum of Annuals]]</f>
        <v>0</v>
      </c>
      <c r="BA440" s="4">
        <f>tbl_Data_old[[#This Row],[Incremental Cost ($/unit)]]/tbl_Data_old[[#This Row],[kWh Savings]]*tbl_Data_old[[#This Row],[Sum of Annuals]]</f>
        <v>0</v>
      </c>
      <c r="BB440">
        <f>ROUNDUP(tbl_Data_old[[#This Row],[Adjusted 2025]]/$L440,0)</f>
        <v>0</v>
      </c>
      <c r="BC440">
        <f>ROUNDUP(tbl_Data_old[[#This Row],[Adjusted 2026]]/$L440,0)</f>
        <v>0</v>
      </c>
      <c r="BD440">
        <f>ROUNDUP(tbl_Data_old[[#This Row],[Adjusted 2027]]/$L440,0)</f>
        <v>0</v>
      </c>
      <c r="BE440">
        <f>ROUNDUP(tbl_Data_old[[#This Row],[Adjusted 2028]]/$L440,0)</f>
        <v>0</v>
      </c>
      <c r="BF440">
        <f>ROUNDUP(tbl_Data_old[[#This Row],[Adjusted 2029]]/$L440,0)</f>
        <v>0</v>
      </c>
      <c r="BG440">
        <f>ROUNDUP(tbl_Data_old[[#This Row],[Adjusted 2030]]/$L440,0)</f>
        <v>0</v>
      </c>
      <c r="BH440">
        <f>ROUNDUP(tbl_Data_old[[#This Row],[Adjusted 2031]]/$L440,0)</f>
        <v>0</v>
      </c>
      <c r="BI440">
        <f>ROUNDUP(tbl_Data_old[[#This Row],[Adjusted 2032]]/$L440,0)</f>
        <v>0</v>
      </c>
      <c r="BJ440">
        <f>ROUNDUP(tbl_Data_old[[#This Row],[Adjusted 2033]]/$L440,0)</f>
        <v>0</v>
      </c>
      <c r="BK440">
        <f>ROUNDUP(tbl_Data_old[[#This Row],[Adjusted 2034]]/$L440,0)</f>
        <v>0</v>
      </c>
      <c r="BL440" s="3">
        <f t="shared" si="29"/>
        <v>0</v>
      </c>
      <c r="BM440" s="3">
        <f t="shared" si="29"/>
        <v>0</v>
      </c>
      <c r="BN440" s="3">
        <f t="shared" si="29"/>
        <v>0</v>
      </c>
      <c r="BO440" s="3">
        <f t="shared" si="29"/>
        <v>0</v>
      </c>
      <c r="BP440" s="3">
        <f t="shared" si="29"/>
        <v>0</v>
      </c>
      <c r="BQ440" s="3">
        <f t="shared" si="29"/>
        <v>0</v>
      </c>
      <c r="BR440" s="3">
        <f t="shared" si="29"/>
        <v>0</v>
      </c>
      <c r="BS440" s="3">
        <f t="shared" si="29"/>
        <v>0</v>
      </c>
      <c r="BT440" s="3">
        <f t="shared" si="29"/>
        <v>0</v>
      </c>
      <c r="BU440" s="3">
        <f t="shared" si="29"/>
        <v>0</v>
      </c>
      <c r="BV440">
        <f>VLOOKUP($H440,'1. Set Program Names'!$B$2:$D$15,3,0)*V440</f>
        <v>0</v>
      </c>
      <c r="BW440">
        <f>VLOOKUP($H440,'1. Set Program Names'!$B$2:$D$15,3,0)*W440</f>
        <v>0</v>
      </c>
      <c r="BX440">
        <f>VLOOKUP($H440,'1. Set Program Names'!$B$2:$D$15,3,0)*X440</f>
        <v>0</v>
      </c>
      <c r="BY440">
        <f>VLOOKUP($H440,'1. Set Program Names'!$B$2:$D$15,3,0)*Y440</f>
        <v>0</v>
      </c>
      <c r="BZ440">
        <f>VLOOKUP($H440,'1. Set Program Names'!$B$2:$D$15,3,0)*Z440</f>
        <v>0</v>
      </c>
      <c r="CA440">
        <f>VLOOKUP($H440,'1. Set Program Names'!$B$2:$D$15,3,0)*AA440</f>
        <v>0</v>
      </c>
      <c r="CB440">
        <f>VLOOKUP($H440,'1. Set Program Names'!$B$2:$D$15,3,0)*AB440</f>
        <v>0</v>
      </c>
      <c r="CC440">
        <f>VLOOKUP($H440,'1. Set Program Names'!$B$2:$D$15,3,0)*AC440</f>
        <v>0</v>
      </c>
      <c r="CD440">
        <f>VLOOKUP($H440,'1. Set Program Names'!$B$2:$D$15,3,0)*AD440</f>
        <v>0</v>
      </c>
      <c r="CE440">
        <f>VLOOKUP($H440,'1. Set Program Names'!$B$2:$D$15,3,0)*AE440</f>
        <v>0</v>
      </c>
    </row>
    <row r="441" spans="1:83" x14ac:dyDescent="0.25">
      <c r="A441" s="20" t="s">
        <v>114</v>
      </c>
      <c r="B441" s="20" t="s">
        <v>88</v>
      </c>
      <c r="C441" s="20" t="s">
        <v>122</v>
      </c>
      <c r="D441" s="20" t="s">
        <v>90</v>
      </c>
      <c r="E441" s="20" t="s">
        <v>91</v>
      </c>
      <c r="F441" s="20" t="s">
        <v>90</v>
      </c>
      <c r="G441" s="20" t="s">
        <v>92</v>
      </c>
      <c r="H441" s="20" t="s">
        <v>18</v>
      </c>
      <c r="I441" s="20" t="s">
        <v>165</v>
      </c>
      <c r="J441" s="20" t="s">
        <v>161</v>
      </c>
      <c r="K441" s="20" t="s">
        <v>166</v>
      </c>
      <c r="L441" s="20">
        <v>510.6</v>
      </c>
      <c r="M441" s="20">
        <v>6.2552429943266097E-2</v>
      </c>
      <c r="N441" s="20">
        <v>6.4361142955417797E-2</v>
      </c>
      <c r="O441" s="20">
        <v>129</v>
      </c>
      <c r="P441" s="20">
        <v>26.468747947944401</v>
      </c>
      <c r="Q441" s="20">
        <v>16.159568962215999</v>
      </c>
      <c r="R441" s="20">
        <v>174.74401692254699</v>
      </c>
      <c r="S441" s="20">
        <v>419.99719394182398</v>
      </c>
      <c r="T441" s="20">
        <v>10</v>
      </c>
      <c r="U441" s="20">
        <v>0.2</v>
      </c>
      <c r="V441" s="20">
        <v>1.0097684520058099</v>
      </c>
      <c r="W441" s="20">
        <v>1.38484073507094</v>
      </c>
      <c r="X441" s="20">
        <v>1.84213812931489</v>
      </c>
      <c r="Y441" s="20">
        <v>2.37602791110809</v>
      </c>
      <c r="Z441" s="20">
        <v>2.9430415262337699</v>
      </c>
      <c r="AA441" s="20">
        <v>3.4552606334355498</v>
      </c>
      <c r="AB441" s="20">
        <v>3.7981499102754701</v>
      </c>
      <c r="AC441" s="20">
        <v>3.8638796677620402</v>
      </c>
      <c r="AD441" s="20">
        <v>3.5971532308654099</v>
      </c>
      <c r="AE441" s="20">
        <v>3.0512609694091499</v>
      </c>
      <c r="AF441" t="str">
        <f t="shared" si="28"/>
        <v>NonResidential</v>
      </c>
      <c r="AG441" t="str">
        <f>tbl_Data_old[[#This Row],[All_Meas_Name_Append]]</f>
        <v>Occupancy Sensors_ Ceiling Mounted</v>
      </c>
      <c r="AH441">
        <f>AVERAGEIFS('3. Incentive Adjustment'!G:G,'3. Incentive Adjustment'!A:A,tbl_Data_old[[#This Row],[Trimmed Sector]],'3. Incentive Adjustment'!B:B,tbl_Data_old[[#This Row],[Trimmed Measure Name]])</f>
        <v>0.99348124042467356</v>
      </c>
      <c r="AI441">
        <f>$AH441*tbl_Data_old[[#This Row],[2025 ]]</f>
        <v>1.0031860142404345</v>
      </c>
      <c r="AJ441">
        <f>$AH441*tbl_Data_old[[#This Row],[2026 ]]</f>
        <v>1.3758132912688941</v>
      </c>
      <c r="AK441">
        <f>$AH441*tbl_Data_old[[#This Row],[2027 ]]</f>
        <v>1.8301296737453445</v>
      </c>
      <c r="AL441">
        <f>$AH441*tbl_Data_old[[#This Row],[2028 ]]</f>
        <v>2.3605391564113112</v>
      </c>
      <c r="AM441">
        <f>$AH441*tbl_Data_old[[#This Row],[2029 ]]</f>
        <v>2.9238565461040502</v>
      </c>
      <c r="AN441">
        <f>$AH441*tbl_Data_old[[#This Row],[2030 ]]</f>
        <v>3.4327366200960934</v>
      </c>
      <c r="AO441">
        <f>$AH441*tbl_Data_old[[#This Row],[2031 ]]</f>
        <v>3.7733906841793368</v>
      </c>
      <c r="AP441">
        <f>$AH441*tbl_Data_old[[#This Row],[2032 ]]</f>
        <v>3.8386919651799074</v>
      </c>
      <c r="AQ441">
        <f>$AH441*tbl_Data_old[[#This Row],[2033 ]]</f>
        <v>3.5737042537977897</v>
      </c>
      <c r="AR441">
        <f>$AH441*tbl_Data_old[[#This Row],[2034 ]]</f>
        <v>3.0313705327479941</v>
      </c>
      <c r="AS441">
        <f>SUM(tbl_Data_old[[#This Row],[Adjusted 2025]:[Adjusted 2034]])</f>
        <v>27.143418737771157</v>
      </c>
      <c r="AT441" s="3">
        <f>AVERAGEIFS('3. Incentive Adjustment'!F:F,'3. Incentive Adjustment'!A:A,tbl_Data_old[[#This Row],[Trimmed Sector]],'3. Incentive Adjustment'!B:B,tbl_Data_old[[#This Row],[Trimmed Measure Name]])</f>
        <v>19.547634357270656</v>
      </c>
      <c r="AU441" s="3">
        <f>IFERROR(VLOOKUP(tbl_Data_old[[#This Row],[All_Meas_Name_Append]],'IRA Tax Credits'!$A$3:$D$46,4,0),0)</f>
        <v>0</v>
      </c>
      <c r="AV441" s="4">
        <f>tbl_Data_old[[#This Row],[Adj. per unit Incentive ($)]]/tbl_Data_old[[#This Row],[kWh Savings]]*tbl_Data_old[[#This Row],[Sum of Annuals]]</f>
        <v>1.0391492845519772</v>
      </c>
      <c r="AW441" s="4">
        <f>IFERROR(VLOOKUP(tbl_Data_old[[#This Row],[All_Programs]],'1. Set Program Names'!$B$2:$D$15,3,0)*tbl_Data_old[[#This Row],[Sum of Annuals]],"")</f>
        <v>0.85904024082123165</v>
      </c>
      <c r="AX441" s="4">
        <f>tbl_Data_old[[#This Row],[per unit IRA tax ($)]]/tbl_Data_old[[#This Row],[kWh Savings]]*tbl_Data_old[[#This Row],[Sum of Annuals]]</f>
        <v>0</v>
      </c>
      <c r="AY441" s="4">
        <f>tbl_Data_old[[#This Row],[Avoided Costs ($/unit)]]/tbl_Data_old[[#This Row],[kWh Savings]]*tbl_Data_old[[#This Row],[Sum of Annuals]]</f>
        <v>9.2893654979413665</v>
      </c>
      <c r="AZ441" s="4">
        <f>tbl_Data_old[[#This Row],[Lost Revenue ($/unit)]]/tbl_Data_old[[#This Row],[kWh Savings]]*tbl_Data_old[[#This Row],[Sum of Annuals]]</f>
        <v>22.326987277422269</v>
      </c>
      <c r="BA441" s="4">
        <f>tbl_Data_old[[#This Row],[Incremental Cost ($/unit)]]/tbl_Data_old[[#This Row],[kWh Savings]]*tbl_Data_old[[#This Row],[Sum of Annuals]]</f>
        <v>6.8576204801654503</v>
      </c>
      <c r="BB441">
        <f>ROUNDUP(tbl_Data_old[[#This Row],[Adjusted 2025]]/$L441,0)</f>
        <v>1</v>
      </c>
      <c r="BC441">
        <f>ROUNDUP(tbl_Data_old[[#This Row],[Adjusted 2026]]/$L441,0)</f>
        <v>1</v>
      </c>
      <c r="BD441">
        <f>ROUNDUP(tbl_Data_old[[#This Row],[Adjusted 2027]]/$L441,0)</f>
        <v>1</v>
      </c>
      <c r="BE441">
        <f>ROUNDUP(tbl_Data_old[[#This Row],[Adjusted 2028]]/$L441,0)</f>
        <v>1</v>
      </c>
      <c r="BF441">
        <f>ROUNDUP(tbl_Data_old[[#This Row],[Adjusted 2029]]/$L441,0)</f>
        <v>1</v>
      </c>
      <c r="BG441">
        <f>ROUNDUP(tbl_Data_old[[#This Row],[Adjusted 2030]]/$L441,0)</f>
        <v>1</v>
      </c>
      <c r="BH441">
        <f>ROUNDUP(tbl_Data_old[[#This Row],[Adjusted 2031]]/$L441,0)</f>
        <v>1</v>
      </c>
      <c r="BI441">
        <f>ROUNDUP(tbl_Data_old[[#This Row],[Adjusted 2032]]/$L441,0)</f>
        <v>1</v>
      </c>
      <c r="BJ441">
        <f>ROUNDUP(tbl_Data_old[[#This Row],[Adjusted 2033]]/$L441,0)</f>
        <v>1</v>
      </c>
      <c r="BK441">
        <f>ROUNDUP(tbl_Data_old[[#This Row],[Adjusted 2034]]/$L441,0)</f>
        <v>1</v>
      </c>
      <c r="BL441" s="3">
        <f t="shared" si="29"/>
        <v>3.8657627272457452E-2</v>
      </c>
      <c r="BM441" s="3">
        <f t="shared" si="29"/>
        <v>5.3016765241325217E-2</v>
      </c>
      <c r="BN441" s="3">
        <f t="shared" si="29"/>
        <v>7.0523781017301293E-2</v>
      </c>
      <c r="BO441" s="3">
        <f t="shared" si="29"/>
        <v>9.0963033350980271E-2</v>
      </c>
      <c r="BP441" s="3">
        <f t="shared" si="29"/>
        <v>0.11267038709965044</v>
      </c>
      <c r="BQ441" s="3">
        <f t="shared" si="29"/>
        <v>0.13228000679880439</v>
      </c>
      <c r="BR441" s="3">
        <f t="shared" si="29"/>
        <v>0.14540706165328093</v>
      </c>
      <c r="BS441" s="3">
        <f t="shared" si="29"/>
        <v>0.14792343702684055</v>
      </c>
      <c r="BT441" s="3">
        <f t="shared" si="29"/>
        <v>0.13771217407761815</v>
      </c>
      <c r="BU441" s="3">
        <f t="shared" si="29"/>
        <v>0.11681342295068796</v>
      </c>
      <c r="BV441">
        <f>VLOOKUP($H441,'1. Set Program Names'!$B$2:$D$15,3,0)*V441</f>
        <v>3.1957350051034179E-2</v>
      </c>
      <c r="BW441">
        <f>VLOOKUP($H441,'1. Set Program Names'!$B$2:$D$15,3,0)*W441</f>
        <v>4.3827711241803465E-2</v>
      </c>
      <c r="BX441">
        <f>VLOOKUP($H441,'1. Set Program Names'!$B$2:$D$15,3,0)*X441</f>
        <v>5.8300348880908091E-2</v>
      </c>
      <c r="BY441">
        <f>VLOOKUP($H441,'1. Set Program Names'!$B$2:$D$15,3,0)*Y441</f>
        <v>7.5196997425972148E-2</v>
      </c>
      <c r="BZ441">
        <f>VLOOKUP($H441,'1. Set Program Names'!$B$2:$D$15,3,0)*Z441</f>
        <v>9.3141955546103092E-2</v>
      </c>
      <c r="CA441">
        <f>VLOOKUP($H441,'1. Set Program Names'!$B$2:$D$15,3,0)*AA441</f>
        <v>0.10935276633065442</v>
      </c>
      <c r="CB441">
        <f>VLOOKUP($H441,'1. Set Program Names'!$B$2:$D$15,3,0)*AB441</f>
        <v>0.12020459342720571</v>
      </c>
      <c r="CC441">
        <f>VLOOKUP($H441,'1. Set Program Names'!$B$2:$D$15,3,0)*AC441</f>
        <v>0.12228482168606582</v>
      </c>
      <c r="CD441">
        <f>VLOOKUP($H441,'1. Set Program Names'!$B$2:$D$15,3,0)*AD441</f>
        <v>0.11384341108857803</v>
      </c>
      <c r="CE441">
        <f>VLOOKUP($H441,'1. Set Program Names'!$B$2:$D$15,3,0)*AE441</f>
        <v>9.6566905712662396E-2</v>
      </c>
    </row>
    <row r="442" spans="1:83" x14ac:dyDescent="0.25">
      <c r="A442" s="20" t="s">
        <v>114</v>
      </c>
      <c r="B442" s="20" t="s">
        <v>88</v>
      </c>
      <c r="C442" s="20" t="s">
        <v>122</v>
      </c>
      <c r="D442" s="20" t="s">
        <v>90</v>
      </c>
      <c r="E442" s="20" t="s">
        <v>91</v>
      </c>
      <c r="F442" s="20" t="s">
        <v>90</v>
      </c>
      <c r="G442" s="20" t="s">
        <v>92</v>
      </c>
      <c r="H442" s="20" t="s">
        <v>18</v>
      </c>
      <c r="I442" s="20" t="s">
        <v>167</v>
      </c>
      <c r="J442" s="20" t="s">
        <v>124</v>
      </c>
      <c r="K442" s="20" t="s">
        <v>98</v>
      </c>
      <c r="L442" s="20">
        <v>151.66</v>
      </c>
      <c r="M442" s="20">
        <v>2.2013191527321101E-2</v>
      </c>
      <c r="N442" s="20">
        <v>1.95296013954902E-2</v>
      </c>
      <c r="O442" s="20">
        <v>56.6</v>
      </c>
      <c r="P442" s="20">
        <v>25.402483751835899</v>
      </c>
      <c r="Q442" s="20">
        <v>4.7997654304929203</v>
      </c>
      <c r="R442" s="20">
        <v>70.564478576335205</v>
      </c>
      <c r="S442" s="20">
        <v>171.417444155428</v>
      </c>
      <c r="T442" s="20">
        <v>16</v>
      </c>
      <c r="U442" s="20">
        <v>0.2</v>
      </c>
      <c r="V442" s="20">
        <v>0.14364596109632999</v>
      </c>
      <c r="W442" s="20">
        <v>0.19536353644152599</v>
      </c>
      <c r="X442" s="20">
        <v>0.25238873113131599</v>
      </c>
      <c r="Y442" s="20">
        <v>0.31161013604319698</v>
      </c>
      <c r="Z442" s="20">
        <v>0.36786912404657601</v>
      </c>
      <c r="AA442" s="20">
        <v>0.41712958396789901</v>
      </c>
      <c r="AB442" s="20">
        <v>0.4565544289788</v>
      </c>
      <c r="AC442" s="20">
        <v>0.48696294190304101</v>
      </c>
      <c r="AD442" s="20">
        <v>0.51084046305428199</v>
      </c>
      <c r="AE442" s="20">
        <v>0.52865190962195896</v>
      </c>
      <c r="AF442" t="str">
        <f t="shared" si="28"/>
        <v>NonResidential</v>
      </c>
      <c r="AG442" t="str">
        <f>tbl_Data_old[[#This Row],[All_Meas_Name_Append]]</f>
        <v>Refrigerated Display Case LED Lighting</v>
      </c>
      <c r="AH442">
        <f>AVERAGEIFS('3. Incentive Adjustment'!G:G,'3. Incentive Adjustment'!A:A,tbl_Data_old[[#This Row],[Trimmed Sector]],'3. Incentive Adjustment'!B:B,tbl_Data_old[[#This Row],[Trimmed Measure Name]])</f>
        <v>0.72450810749703154</v>
      </c>
      <c r="AI442">
        <f>$AH442*tbl_Data_old[[#This Row],[2025 ]]</f>
        <v>0.10407266342349426</v>
      </c>
      <c r="AJ442">
        <f>$AH442*tbl_Data_old[[#This Row],[2026 ]]</f>
        <v>0.14154246606117735</v>
      </c>
      <c r="AK442">
        <f>$AH442*tbl_Data_old[[#This Row],[2027 ]]</f>
        <v>0.18285768194552687</v>
      </c>
      <c r="AL442">
        <f>$AH442*tbl_Data_old[[#This Row],[2028 ]]</f>
        <v>0.22576406994154918</v>
      </c>
      <c r="AM442">
        <f>$AH442*tbl_Data_old[[#This Row],[2029 ]]</f>
        <v>0.26652416286957553</v>
      </c>
      <c r="AN442">
        <f>$AH442*tbl_Data_old[[#This Row],[2030 ]]</f>
        <v>0.30221376546160661</v>
      </c>
      <c r="AO442">
        <f>$AH442*tbl_Data_old[[#This Row],[2031 ]]</f>
        <v>0.33077738530881828</v>
      </c>
      <c r="AP442">
        <f>$AH442*tbl_Data_old[[#This Row],[2032 ]]</f>
        <v>0.35280859945935916</v>
      </c>
      <c r="AQ442">
        <f>$AH442*tbl_Data_old[[#This Row],[2033 ]]</f>
        <v>0.3701080571203651</v>
      </c>
      <c r="AR442">
        <f>$AH442*tbl_Data_old[[#This Row],[2034 ]]</f>
        <v>0.38301259456489722</v>
      </c>
      <c r="AS442">
        <f>SUM(tbl_Data_old[[#This Row],[Adjusted 2025]:[Adjusted 2034]])</f>
        <v>2.6596814461563696</v>
      </c>
      <c r="AT442" s="3">
        <f>AVERAGEIFS('3. Incentive Adjustment'!F:F,'3. Incentive Adjustment'!A:A,tbl_Data_old[[#This Row],[Trimmed Sector]],'3. Incentive Adjustment'!B:B,tbl_Data_old[[#This Row],[Trimmed Measure Name]])</f>
        <v>6.879122352287844</v>
      </c>
      <c r="AU442" s="3">
        <f>IFERROR(VLOOKUP(tbl_Data_old[[#This Row],[All_Meas_Name_Append]],'IRA Tax Credits'!$A$3:$D$46,4,0),0)</f>
        <v>0</v>
      </c>
      <c r="AV442" s="4">
        <f>tbl_Data_old[[#This Row],[Adj. per unit Incentive ($)]]/tbl_Data_old[[#This Row],[kWh Savings]]*tbl_Data_old[[#This Row],[Sum of Annuals]]</f>
        <v>0.12064007705538402</v>
      </c>
      <c r="AW442" s="4">
        <f>IFERROR(VLOOKUP(tbl_Data_old[[#This Row],[All_Programs]],'1. Set Program Names'!$B$2:$D$15,3,0)*tbl_Data_old[[#This Row],[Sum of Annuals]],"")</f>
        <v>8.4174120146279716E-2</v>
      </c>
      <c r="AX442" s="4">
        <f>tbl_Data_old[[#This Row],[per unit IRA tax ($)]]/tbl_Data_old[[#This Row],[kWh Savings]]*tbl_Data_old[[#This Row],[Sum of Annuals]]</f>
        <v>0</v>
      </c>
      <c r="AY442" s="4">
        <f>tbl_Data_old[[#This Row],[Avoided Costs ($/unit)]]/tbl_Data_old[[#This Row],[kWh Savings]]*tbl_Data_old[[#This Row],[Sum of Annuals]]</f>
        <v>1.23749857857825</v>
      </c>
      <c r="AZ442" s="4">
        <f>tbl_Data_old[[#This Row],[Lost Revenue ($/unit)]]/tbl_Data_old[[#This Row],[kWh Savings]]*tbl_Data_old[[#This Row],[Sum of Annuals]]</f>
        <v>3.0061703532093991</v>
      </c>
      <c r="BA442" s="4">
        <f>tbl_Data_old[[#This Row],[Incremental Cost ($/unit)]]/tbl_Data_old[[#This Row],[kWh Savings]]*tbl_Data_old[[#This Row],[Sum of Annuals]]</f>
        <v>0.99260167382599584</v>
      </c>
      <c r="BB442">
        <f>ROUNDUP(tbl_Data_old[[#This Row],[Adjusted 2025]]/$L442,0)</f>
        <v>1</v>
      </c>
      <c r="BC442">
        <f>ROUNDUP(tbl_Data_old[[#This Row],[Adjusted 2026]]/$L442,0)</f>
        <v>1</v>
      </c>
      <c r="BD442">
        <f>ROUNDUP(tbl_Data_old[[#This Row],[Adjusted 2027]]/$L442,0)</f>
        <v>1</v>
      </c>
      <c r="BE442">
        <f>ROUNDUP(tbl_Data_old[[#This Row],[Adjusted 2028]]/$L442,0)</f>
        <v>1</v>
      </c>
      <c r="BF442">
        <f>ROUNDUP(tbl_Data_old[[#This Row],[Adjusted 2029]]/$L442,0)</f>
        <v>1</v>
      </c>
      <c r="BG442">
        <f>ROUNDUP(tbl_Data_old[[#This Row],[Adjusted 2030]]/$L442,0)</f>
        <v>1</v>
      </c>
      <c r="BH442">
        <f>ROUNDUP(tbl_Data_old[[#This Row],[Adjusted 2031]]/$L442,0)</f>
        <v>1</v>
      </c>
      <c r="BI442">
        <f>ROUNDUP(tbl_Data_old[[#This Row],[Adjusted 2032]]/$L442,0)</f>
        <v>1</v>
      </c>
      <c r="BJ442">
        <f>ROUNDUP(tbl_Data_old[[#This Row],[Adjusted 2033]]/$L442,0)</f>
        <v>1</v>
      </c>
      <c r="BK442">
        <f>ROUNDUP(tbl_Data_old[[#This Row],[Adjusted 2034]]/$L442,0)</f>
        <v>1</v>
      </c>
      <c r="BL442" s="3">
        <f t="shared" si="29"/>
        <v>6.5156148080814571E-3</v>
      </c>
      <c r="BM442" s="3">
        <f t="shared" si="29"/>
        <v>8.8614642645186755E-3</v>
      </c>
      <c r="BN442" s="3">
        <f t="shared" si="29"/>
        <v>1.1448061201312164E-2</v>
      </c>
      <c r="BO442" s="3">
        <f t="shared" si="29"/>
        <v>1.4134275695992434E-2</v>
      </c>
      <c r="BP442" s="3">
        <f t="shared" si="29"/>
        <v>1.6686118382865295E-2</v>
      </c>
      <c r="BQ442" s="3">
        <f t="shared" si="29"/>
        <v>1.8920515922946746E-2</v>
      </c>
      <c r="BR442" s="3">
        <f t="shared" si="29"/>
        <v>2.0708781336041648E-2</v>
      </c>
      <c r="BS442" s="3">
        <f t="shared" si="29"/>
        <v>2.2088076344329792E-2</v>
      </c>
      <c r="BT442" s="3">
        <f t="shared" si="29"/>
        <v>2.3171133112552974E-2</v>
      </c>
      <c r="BU442" s="3">
        <f t="shared" si="29"/>
        <v>2.3979039747198148E-2</v>
      </c>
      <c r="BV442">
        <f>VLOOKUP($H442,'1. Set Program Names'!$B$2:$D$15,3,0)*V442</f>
        <v>4.5461355551898773E-3</v>
      </c>
      <c r="BW442">
        <f>VLOOKUP($H442,'1. Set Program Names'!$B$2:$D$15,3,0)*W442</f>
        <v>6.1829035249299875E-3</v>
      </c>
      <c r="BX442">
        <f>VLOOKUP($H442,'1. Set Program Names'!$B$2:$D$15,3,0)*X442</f>
        <v>7.9876480728607729E-3</v>
      </c>
      <c r="BY442">
        <f>VLOOKUP($H442,'1. Set Program Names'!$B$2:$D$15,3,0)*Y442</f>
        <v>9.8618987127214522E-3</v>
      </c>
      <c r="BZ442">
        <f>VLOOKUP($H442,'1. Set Program Names'!$B$2:$D$15,3,0)*Z442</f>
        <v>1.1642394201137218E-2</v>
      </c>
      <c r="CA442">
        <f>VLOOKUP($H442,'1. Set Program Names'!$B$2:$D$15,3,0)*AA442</f>
        <v>1.3201398899940781E-2</v>
      </c>
      <c r="CB442">
        <f>VLOOKUP($H442,'1. Set Program Names'!$B$2:$D$15,3,0)*AB442</f>
        <v>1.4449124128648841E-2</v>
      </c>
      <c r="CC442">
        <f>VLOOKUP($H442,'1. Set Program Names'!$B$2:$D$15,3,0)*AC442</f>
        <v>1.5411498710783018E-2</v>
      </c>
      <c r="CD442">
        <f>VLOOKUP($H442,'1. Set Program Names'!$B$2:$D$15,3,0)*AD442</f>
        <v>1.6167179184128595E-2</v>
      </c>
      <c r="CE442">
        <f>VLOOKUP($H442,'1. Set Program Names'!$B$2:$D$15,3,0)*AE442</f>
        <v>1.6730879339097657E-2</v>
      </c>
    </row>
    <row r="443" spans="1:83" x14ac:dyDescent="0.25">
      <c r="A443" s="20" t="s">
        <v>115</v>
      </c>
      <c r="B443" s="20" t="s">
        <v>88</v>
      </c>
      <c r="C443" s="20" t="s">
        <v>122</v>
      </c>
      <c r="D443" s="20" t="s">
        <v>90</v>
      </c>
      <c r="E443" s="20" t="s">
        <v>91</v>
      </c>
      <c r="F443" s="20" t="s">
        <v>90</v>
      </c>
      <c r="G443" s="20" t="s">
        <v>92</v>
      </c>
      <c r="H443" s="20" t="s">
        <v>18</v>
      </c>
      <c r="I443" s="20" t="s">
        <v>168</v>
      </c>
      <c r="J443" s="20" t="s">
        <v>129</v>
      </c>
      <c r="K443" s="20" t="s">
        <v>102</v>
      </c>
      <c r="L443" s="20">
        <v>3050.4666666666599</v>
      </c>
      <c r="M443" s="20">
        <v>1.01361966409546</v>
      </c>
      <c r="N443" s="20">
        <v>0</v>
      </c>
      <c r="O443" s="20">
        <v>742</v>
      </c>
      <c r="P443" s="20">
        <v>130.44720079847701</v>
      </c>
      <c r="Q443" s="20">
        <v>96.541767463653102</v>
      </c>
      <c r="R443" s="20">
        <v>1331.93833936435</v>
      </c>
      <c r="S443" s="20">
        <v>2509.1802589366698</v>
      </c>
      <c r="T443" s="20">
        <v>10</v>
      </c>
      <c r="U443" s="20">
        <v>1</v>
      </c>
      <c r="V443" s="20">
        <v>8.0566390345883203</v>
      </c>
      <c r="W443" s="20">
        <v>19.165388439559099</v>
      </c>
      <c r="X443" s="20">
        <v>34.053759770405698</v>
      </c>
      <c r="Y443" s="20">
        <v>53.440220562499597</v>
      </c>
      <c r="Z443" s="20">
        <v>77.728339126288702</v>
      </c>
      <c r="AA443" s="20">
        <v>106.63252620097499</v>
      </c>
      <c r="AB443" s="20">
        <v>138.91394744605799</v>
      </c>
      <c r="AC443" s="20">
        <v>172.372787518921</v>
      </c>
      <c r="AD443" s="20">
        <v>204.22114359390301</v>
      </c>
      <c r="AE443" s="20">
        <v>231.95682020478699</v>
      </c>
      <c r="AF443" t="str">
        <f t="shared" si="28"/>
        <v>NonResidential</v>
      </c>
      <c r="AG443" t="str">
        <f>tbl_Data_old[[#This Row],[All_Meas_Name_Append]]</f>
        <v>Chilled Water Reset</v>
      </c>
      <c r="AH443">
        <f>AVERAGEIFS('3. Incentive Adjustment'!G:G,'3. Incentive Adjustment'!A:A,tbl_Data_old[[#This Row],[Trimmed Sector]],'3. Incentive Adjustment'!B:B,tbl_Data_old[[#This Row],[Trimmed Measure Name]])</f>
        <v>1.6724428329362533</v>
      </c>
      <c r="AI443">
        <f>$AH443*tbl_Data_old[[#This Row],[2025 ]]</f>
        <v>13.474268210951692</v>
      </c>
      <c r="AJ443">
        <f>$AH443*tbl_Data_old[[#This Row],[2026 ]]</f>
        <v>32.053016536179939</v>
      </c>
      <c r="AK443">
        <f>$AH443*tbl_Data_old[[#This Row],[2027 ]]</f>
        <v>56.95296646254792</v>
      </c>
      <c r="AL443">
        <f>$AH443*tbl_Data_old[[#This Row],[2028 ]]</f>
        <v>89.37571387028504</v>
      </c>
      <c r="AM443">
        <f>$AH443*tbl_Data_old[[#This Row],[2029 ]]</f>
        <v>129.99620368780009</v>
      </c>
      <c r="AN443">
        <f>$AH443*tbl_Data_old[[#This Row],[2030 ]]</f>
        <v>178.33680420270787</v>
      </c>
      <c r="AO443">
        <f>$AH443*tbl_Data_old[[#This Row],[2031 ]]</f>
        <v>232.32563580104303</v>
      </c>
      <c r="AP443">
        <f>$AH443*tbl_Data_old[[#This Row],[2032 ]]</f>
        <v>288.2836330792631</v>
      </c>
      <c r="AQ443">
        <f>$AH443*tbl_Data_old[[#This Row],[2033 ]]</f>
        <v>341.5481879376685</v>
      </c>
      <c r="AR443">
        <f>$AH443*tbl_Data_old[[#This Row],[2034 ]]</f>
        <v>387.93452150217911</v>
      </c>
      <c r="AS443">
        <f>SUM(tbl_Data_old[[#This Row],[Adjusted 2025]:[Adjusted 2034]])</f>
        <v>1750.280951290626</v>
      </c>
      <c r="AT443" s="3">
        <f>AVERAGEIFS('3. Incentive Adjustment'!F:F,'3. Incentive Adjustment'!A:A,tbl_Data_old[[#This Row],[Trimmed Sector]],'3. Incentive Adjustment'!B:B,tbl_Data_old[[#This Row],[Trimmed Measure Name]])</f>
        <v>725.0262900596623</v>
      </c>
      <c r="AU443" s="3">
        <f>IFERROR(VLOOKUP(tbl_Data_old[[#This Row],[All_Meas_Name_Append]],'IRA Tax Credits'!$A$3:$D$46,4,0),0)</f>
        <v>0</v>
      </c>
      <c r="AV443" s="4">
        <f>tbl_Data_old[[#This Row],[Adj. per unit Incentive ($)]]/tbl_Data_old[[#This Row],[kWh Savings]]*tbl_Data_old[[#This Row],[Sum of Annuals]]</f>
        <v>416.00182639039116</v>
      </c>
      <c r="AW443" s="4">
        <f>IFERROR(VLOOKUP(tbl_Data_old[[#This Row],[All_Programs]],'1. Set Program Names'!$B$2:$D$15,3,0)*tbl_Data_old[[#This Row],[Sum of Annuals]],"")</f>
        <v>55.39323489156682</v>
      </c>
      <c r="AX443" s="4">
        <f>tbl_Data_old[[#This Row],[per unit IRA tax ($)]]/tbl_Data_old[[#This Row],[kWh Savings]]*tbl_Data_old[[#This Row],[Sum of Annuals]]</f>
        <v>0</v>
      </c>
      <c r="AY443" s="4">
        <f>tbl_Data_old[[#This Row],[Avoided Costs ($/unit)]]/tbl_Data_old[[#This Row],[kWh Savings]]*tbl_Data_old[[#This Row],[Sum of Annuals]]</f>
        <v>764.23267598938833</v>
      </c>
      <c r="AZ443" s="4">
        <f>tbl_Data_old[[#This Row],[Lost Revenue ($/unit)]]/tbl_Data_old[[#This Row],[kWh Savings]]*tbl_Data_old[[#This Row],[Sum of Annuals]]</f>
        <v>1439.7044421306064</v>
      </c>
      <c r="BA443" s="4">
        <f>tbl_Data_old[[#This Row],[Incremental Cost ($/unit)]]/tbl_Data_old[[#This Row],[kWh Savings]]*tbl_Data_old[[#This Row],[Sum of Annuals]]</f>
        <v>425.74091369330836</v>
      </c>
      <c r="BB443">
        <f>ROUNDUP(tbl_Data_old[[#This Row],[Adjusted 2025]]/$L443,0)</f>
        <v>1</v>
      </c>
      <c r="BC443">
        <f>ROUNDUP(tbl_Data_old[[#This Row],[Adjusted 2026]]/$L443,0)</f>
        <v>1</v>
      </c>
      <c r="BD443">
        <f>ROUNDUP(tbl_Data_old[[#This Row],[Adjusted 2027]]/$L443,0)</f>
        <v>1</v>
      </c>
      <c r="BE443">
        <f>ROUNDUP(tbl_Data_old[[#This Row],[Adjusted 2028]]/$L443,0)</f>
        <v>1</v>
      </c>
      <c r="BF443">
        <f>ROUNDUP(tbl_Data_old[[#This Row],[Adjusted 2029]]/$L443,0)</f>
        <v>1</v>
      </c>
      <c r="BG443">
        <f>ROUNDUP(tbl_Data_old[[#This Row],[Adjusted 2030]]/$L443,0)</f>
        <v>1</v>
      </c>
      <c r="BH443">
        <f>ROUNDUP(tbl_Data_old[[#This Row],[Adjusted 2031]]/$L443,0)</f>
        <v>1</v>
      </c>
      <c r="BI443">
        <f>ROUNDUP(tbl_Data_old[[#This Row],[Adjusted 2032]]/$L443,0)</f>
        <v>1</v>
      </c>
      <c r="BJ443">
        <f>ROUNDUP(tbl_Data_old[[#This Row],[Adjusted 2033]]/$L443,0)</f>
        <v>1</v>
      </c>
      <c r="BK443">
        <f>ROUNDUP(tbl_Data_old[[#This Row],[Adjusted 2034]]/$L443,0)</f>
        <v>1</v>
      </c>
      <c r="BL443" s="3">
        <f t="shared" si="29"/>
        <v>1.914879180102752</v>
      </c>
      <c r="BM443" s="3">
        <f t="shared" si="29"/>
        <v>4.5551753211156445</v>
      </c>
      <c r="BN443" s="3">
        <f t="shared" si="29"/>
        <v>8.0938013120135519</v>
      </c>
      <c r="BO443" s="3">
        <f t="shared" si="29"/>
        <v>12.701520484646911</v>
      </c>
      <c r="BP443" s="3">
        <f t="shared" si="29"/>
        <v>18.474251813678514</v>
      </c>
      <c r="BQ443" s="3">
        <f t="shared" si="29"/>
        <v>25.344117251300176</v>
      </c>
      <c r="BR443" s="3">
        <f t="shared" si="29"/>
        <v>33.016674155110216</v>
      </c>
      <c r="BS443" s="3">
        <f t="shared" si="29"/>
        <v>40.96907663595276</v>
      </c>
      <c r="BT443" s="3">
        <f t="shared" si="29"/>
        <v>48.538703834920142</v>
      </c>
      <c r="BU443" s="3">
        <f t="shared" si="29"/>
        <v>55.130841010265051</v>
      </c>
      <c r="BV443">
        <f>VLOOKUP($H443,'1. Set Program Names'!$B$2:$D$15,3,0)*V443</f>
        <v>0.25497809260303927</v>
      </c>
      <c r="BW443">
        <f>VLOOKUP($H443,'1. Set Program Names'!$B$2:$D$15,3,0)*W443</f>
        <v>0.60654997292736756</v>
      </c>
      <c r="BX443">
        <f>VLOOKUP($H443,'1. Set Program Names'!$B$2:$D$15,3,0)*X443</f>
        <v>1.0777400693940662</v>
      </c>
      <c r="BY443">
        <f>VLOOKUP($H443,'1. Set Program Names'!$B$2:$D$15,3,0)*Y443</f>
        <v>1.691286583501272</v>
      </c>
      <c r="BZ443">
        <f>VLOOKUP($H443,'1. Set Program Names'!$B$2:$D$15,3,0)*Z443</f>
        <v>2.4599617243043084</v>
      </c>
      <c r="CA443">
        <f>VLOOKUP($H443,'1. Set Program Names'!$B$2:$D$15,3,0)*AA443</f>
        <v>3.3747271068546172</v>
      </c>
      <c r="CB443">
        <f>VLOOKUP($H443,'1. Set Program Names'!$B$2:$D$15,3,0)*AB443</f>
        <v>4.3963758589272093</v>
      </c>
      <c r="CC443">
        <f>VLOOKUP($H443,'1. Set Program Names'!$B$2:$D$15,3,0)*AC443</f>
        <v>5.4552877930305943</v>
      </c>
      <c r="CD443">
        <f>VLOOKUP($H443,'1. Set Program Names'!$B$2:$D$15,3,0)*AD443</f>
        <v>6.4632308136472902</v>
      </c>
      <c r="CE443">
        <f>VLOOKUP($H443,'1. Set Program Names'!$B$2:$D$15,3,0)*AE443</f>
        <v>7.341014947817488</v>
      </c>
    </row>
    <row r="444" spans="1:83" x14ac:dyDescent="0.25">
      <c r="A444" s="20" t="s">
        <v>115</v>
      </c>
      <c r="B444" s="20" t="s">
        <v>88</v>
      </c>
      <c r="C444" s="20" t="s">
        <v>122</v>
      </c>
      <c r="D444" s="20" t="s">
        <v>90</v>
      </c>
      <c r="E444" s="20" t="s">
        <v>91</v>
      </c>
      <c r="F444" s="20" t="s">
        <v>90</v>
      </c>
      <c r="G444" s="20" t="s">
        <v>92</v>
      </c>
      <c r="H444" s="20" t="s">
        <v>18</v>
      </c>
      <c r="I444" s="20" t="s">
        <v>169</v>
      </c>
      <c r="J444" s="20" t="s">
        <v>129</v>
      </c>
      <c r="K444" s="20" t="s">
        <v>102</v>
      </c>
      <c r="L444" s="20">
        <v>12279.148571428501</v>
      </c>
      <c r="M444" s="20">
        <v>2.3939185148112898</v>
      </c>
      <c r="N444" s="20">
        <v>0.409805025192993</v>
      </c>
      <c r="O444" s="20">
        <v>4666.07785714284</v>
      </c>
      <c r="P444" s="20">
        <v>2140.17810945783</v>
      </c>
      <c r="Q444" s="20">
        <v>388.61290273657698</v>
      </c>
      <c r="R444" s="20">
        <v>6035.2668545830202</v>
      </c>
      <c r="S444" s="20">
        <v>13336.629705795</v>
      </c>
      <c r="T444" s="20">
        <v>15</v>
      </c>
      <c r="U444" s="20">
        <v>1</v>
      </c>
      <c r="V444" s="20">
        <v>18.3854462461099</v>
      </c>
      <c r="W444" s="20">
        <v>38.9910676071244</v>
      </c>
      <c r="X444" s="20">
        <v>61.580721812188699</v>
      </c>
      <c r="Y444" s="20">
        <v>86.033119752210695</v>
      </c>
      <c r="Z444" s="20">
        <v>112.213991293341</v>
      </c>
      <c r="AA444" s="20">
        <v>139.97854355273799</v>
      </c>
      <c r="AB444" s="20">
        <v>169.19738027614201</v>
      </c>
      <c r="AC444" s="20">
        <v>199.816018542969</v>
      </c>
      <c r="AD444" s="20">
        <v>231.81558748348499</v>
      </c>
      <c r="AE444" s="20">
        <v>265.13936127464598</v>
      </c>
      <c r="AF444" t="str">
        <f t="shared" si="28"/>
        <v>NonResidential</v>
      </c>
      <c r="AG444" t="str">
        <f>tbl_Data_old[[#This Row],[All_Meas_Name_Append]]</f>
        <v>Custom measure - Non-lighting_69</v>
      </c>
      <c r="AH444">
        <f>AVERAGEIFS('3. Incentive Adjustment'!G:G,'3. Incentive Adjustment'!A:A,tbl_Data_old[[#This Row],[Trimmed Sector]],'3. Incentive Adjustment'!B:B,tbl_Data_old[[#This Row],[Trimmed Measure Name]])</f>
        <v>0.94249803878007732</v>
      </c>
      <c r="AI444">
        <f>$AH444*tbl_Data_old[[#This Row],[2025 ]]</f>
        <v>17.328247029055117</v>
      </c>
      <c r="AJ444">
        <f>$AH444*tbl_Data_old[[#This Row],[2026 ]]</f>
        <v>36.749004749656152</v>
      </c>
      <c r="AK444">
        <f>$AH444*tbl_Data_old[[#This Row],[2027 ]]</f>
        <v>58.039709534649376</v>
      </c>
      <c r="AL444">
        <f>$AH444*tbl_Data_old[[#This Row],[2028 ]]</f>
        <v>81.086046636590112</v>
      </c>
      <c r="AM444">
        <f>$AH444*tbl_Data_old[[#This Row],[2029 ]]</f>
        <v>105.76146671765856</v>
      </c>
      <c r="AN444">
        <f>$AH444*tbl_Data_old[[#This Row],[2030 ]]</f>
        <v>131.92950276974719</v>
      </c>
      <c r="AO444">
        <f>$AH444*tbl_Data_old[[#This Row],[2031 ]]</f>
        <v>159.46819907699077</v>
      </c>
      <c r="AP444">
        <f>$AH444*tbl_Data_old[[#This Row],[2032 ]]</f>
        <v>188.32620559359185</v>
      </c>
      <c r="AQ444">
        <f>$AH444*tbl_Data_old[[#This Row],[2033 ]]</f>
        <v>218.48573656183603</v>
      </c>
      <c r="AR444">
        <f>$AH444*tbl_Data_old[[#This Row],[2034 ]]</f>
        <v>249.89332800475623</v>
      </c>
      <c r="AS444">
        <f>SUM(tbl_Data_old[[#This Row],[Adjusted 2025]:[Adjusted 2034]])</f>
        <v>1247.0674466745313</v>
      </c>
      <c r="AT444" s="3">
        <f>AVERAGEIFS('3. Incentive Adjustment'!F:F,'3. Incentive Adjustment'!A:A,tbl_Data_old[[#This Row],[Trimmed Sector]],'3. Incentive Adjustment'!B:B,tbl_Data_old[[#This Row],[Trimmed Measure Name]])</f>
        <v>1864.5735288999113</v>
      </c>
      <c r="AU444" s="3">
        <f>IFERROR(VLOOKUP(tbl_Data_old[[#This Row],[All_Meas_Name_Append]],'IRA Tax Credits'!$A$3:$D$46,4,0),0)</f>
        <v>0</v>
      </c>
      <c r="AV444" s="4">
        <f>tbl_Data_old[[#This Row],[Adj. per unit Incentive ($)]]/tbl_Data_old[[#This Row],[kWh Savings]]*tbl_Data_old[[#This Row],[Sum of Annuals]]</f>
        <v>189.3656499305329</v>
      </c>
      <c r="AW444" s="4">
        <f>IFERROR(VLOOKUP(tbl_Data_old[[#This Row],[All_Programs]],'1. Set Program Names'!$B$2:$D$15,3,0)*tbl_Data_old[[#This Row],[Sum of Annuals]],"")</f>
        <v>39.467435184237765</v>
      </c>
      <c r="AX444" s="4">
        <f>tbl_Data_old[[#This Row],[per unit IRA tax ($)]]/tbl_Data_old[[#This Row],[kWh Savings]]*tbl_Data_old[[#This Row],[Sum of Annuals]]</f>
        <v>0</v>
      </c>
      <c r="AY444" s="4">
        <f>tbl_Data_old[[#This Row],[Avoided Costs ($/unit)]]/tbl_Data_old[[#This Row],[kWh Savings]]*tbl_Data_old[[#This Row],[Sum of Annuals]]</f>
        <v>612.94028511528074</v>
      </c>
      <c r="AZ444" s="4">
        <f>tbl_Data_old[[#This Row],[Lost Revenue ($/unit)]]/tbl_Data_old[[#This Row],[kWh Savings]]*tbl_Data_old[[#This Row],[Sum of Annuals]]</f>
        <v>1354.4649824621042</v>
      </c>
      <c r="BA444" s="4">
        <f>tbl_Data_old[[#This Row],[Incremental Cost ($/unit)]]/tbl_Data_old[[#This Row],[kWh Savings]]*tbl_Data_old[[#This Row],[Sum of Annuals]]</f>
        <v>473.88577191999423</v>
      </c>
      <c r="BB444">
        <f>ROUNDUP(tbl_Data_old[[#This Row],[Adjusted 2025]]/$L444,0)</f>
        <v>1</v>
      </c>
      <c r="BC444">
        <f>ROUNDUP(tbl_Data_old[[#This Row],[Adjusted 2026]]/$L444,0)</f>
        <v>1</v>
      </c>
      <c r="BD444">
        <f>ROUNDUP(tbl_Data_old[[#This Row],[Adjusted 2027]]/$L444,0)</f>
        <v>1</v>
      </c>
      <c r="BE444">
        <f>ROUNDUP(tbl_Data_old[[#This Row],[Adjusted 2028]]/$L444,0)</f>
        <v>1</v>
      </c>
      <c r="BF444">
        <f>ROUNDUP(tbl_Data_old[[#This Row],[Adjusted 2029]]/$L444,0)</f>
        <v>1</v>
      </c>
      <c r="BG444">
        <f>ROUNDUP(tbl_Data_old[[#This Row],[Adjusted 2030]]/$L444,0)</f>
        <v>1</v>
      </c>
      <c r="BH444">
        <f>ROUNDUP(tbl_Data_old[[#This Row],[Adjusted 2031]]/$L444,0)</f>
        <v>1</v>
      </c>
      <c r="BI444">
        <f>ROUNDUP(tbl_Data_old[[#This Row],[Adjusted 2032]]/$L444,0)</f>
        <v>1</v>
      </c>
      <c r="BJ444">
        <f>ROUNDUP(tbl_Data_old[[#This Row],[Adjusted 2033]]/$L444,0)</f>
        <v>1</v>
      </c>
      <c r="BK444">
        <f>ROUNDUP(tbl_Data_old[[#This Row],[Adjusted 2034]]/$L444,0)</f>
        <v>1</v>
      </c>
      <c r="BL444" s="3">
        <f t="shared" si="29"/>
        <v>2.7918072811070043</v>
      </c>
      <c r="BM444" s="3">
        <f t="shared" si="29"/>
        <v>5.9207454084361784</v>
      </c>
      <c r="BN444" s="3">
        <f t="shared" si="29"/>
        <v>9.3509564701193746</v>
      </c>
      <c r="BO444" s="3">
        <f t="shared" si="29"/>
        <v>13.064022864900165</v>
      </c>
      <c r="BP444" s="3">
        <f t="shared" si="29"/>
        <v>17.039555838962187</v>
      </c>
      <c r="BQ444" s="3">
        <f t="shared" si="29"/>
        <v>21.255568772064706</v>
      </c>
      <c r="BR444" s="3">
        <f t="shared" si="29"/>
        <v>25.692413002981095</v>
      </c>
      <c r="BS444" s="3">
        <f t="shared" si="29"/>
        <v>30.341815367582157</v>
      </c>
      <c r="BT444" s="3">
        <f t="shared" si="29"/>
        <v>35.200910347630327</v>
      </c>
      <c r="BU444" s="3">
        <f t="shared" si="29"/>
        <v>40.261084197030939</v>
      </c>
      <c r="BV444">
        <f>VLOOKUP($H444,'1. Set Program Names'!$B$2:$D$15,3,0)*V444</f>
        <v>0.58186620939116629</v>
      </c>
      <c r="BW444">
        <f>VLOOKUP($H444,'1. Set Program Names'!$B$2:$D$15,3,0)*W444</f>
        <v>1.2339969563410809</v>
      </c>
      <c r="BX444">
        <f>VLOOKUP($H444,'1. Set Program Names'!$B$2:$D$15,3,0)*X444</f>
        <v>1.9489187639387127</v>
      </c>
      <c r="BY444">
        <f>VLOOKUP($H444,'1. Set Program Names'!$B$2:$D$15,3,0)*Y444</f>
        <v>2.7227930506667497</v>
      </c>
      <c r="BZ444">
        <f>VLOOKUP($H444,'1. Set Program Names'!$B$2:$D$15,3,0)*Z444</f>
        <v>3.5513704089899285</v>
      </c>
      <c r="CA444">
        <f>VLOOKUP($H444,'1. Set Program Names'!$B$2:$D$15,3,0)*AA444</f>
        <v>4.4300684053486785</v>
      </c>
      <c r="CB444">
        <f>VLOOKUP($H444,'1. Set Program Names'!$B$2:$D$15,3,0)*AB444</f>
        <v>5.3547918817050801</v>
      </c>
      <c r="CC444">
        <f>VLOOKUP($H444,'1. Set Program Names'!$B$2:$D$15,3,0)*AC444</f>
        <v>6.3238165519008085</v>
      </c>
      <c r="CD444">
        <f>VLOOKUP($H444,'1. Set Program Names'!$B$2:$D$15,3,0)*AD444</f>
        <v>7.3365451869487037</v>
      </c>
      <c r="CE444">
        <f>VLOOKUP($H444,'1. Set Program Names'!$B$2:$D$15,3,0)*AE444</f>
        <v>8.3911825168734087</v>
      </c>
    </row>
    <row r="445" spans="1:83" x14ac:dyDescent="0.25">
      <c r="A445" s="20" t="s">
        <v>115</v>
      </c>
      <c r="B445" s="20" t="s">
        <v>88</v>
      </c>
      <c r="C445" s="20" t="s">
        <v>122</v>
      </c>
      <c r="D445" s="20" t="s">
        <v>90</v>
      </c>
      <c r="E445" s="20" t="s">
        <v>91</v>
      </c>
      <c r="F445" s="20" t="s">
        <v>90</v>
      </c>
      <c r="G445" s="20" t="s">
        <v>92</v>
      </c>
      <c r="H445" s="20" t="s">
        <v>18</v>
      </c>
      <c r="I445" s="20" t="s">
        <v>170</v>
      </c>
      <c r="J445" s="20" t="s">
        <v>144</v>
      </c>
      <c r="K445" s="20" t="s">
        <v>171</v>
      </c>
      <c r="L445" s="20">
        <v>5592.79</v>
      </c>
      <c r="M445" s="20">
        <v>0.87755365852981304</v>
      </c>
      <c r="N445" s="20">
        <v>1.3078150987013399</v>
      </c>
      <c r="O445" s="20">
        <v>2274</v>
      </c>
      <c r="P445" s="20">
        <v>1123.5242193223601</v>
      </c>
      <c r="Q445" s="20">
        <v>177.00171503367099</v>
      </c>
      <c r="R445" s="20">
        <v>3205.1805113222799</v>
      </c>
      <c r="S445" s="20">
        <v>7177.7771935445198</v>
      </c>
      <c r="T445" s="20">
        <v>20</v>
      </c>
      <c r="U445" s="20">
        <v>1</v>
      </c>
      <c r="V445" s="20">
        <v>0.25123488037293201</v>
      </c>
      <c r="W445" s="20">
        <v>0.57453197579530602</v>
      </c>
      <c r="X445" s="20">
        <v>0.98065726932445296</v>
      </c>
      <c r="Y445" s="20">
        <v>1.4799402953552001</v>
      </c>
      <c r="Z445" s="20">
        <v>2.0776928352113302</v>
      </c>
      <c r="AA445" s="20">
        <v>2.7707850185749798</v>
      </c>
      <c r="AB445" s="20">
        <v>3.5459927798562401</v>
      </c>
      <c r="AC445" s="20">
        <v>4.3801634011740003</v>
      </c>
      <c r="AD445" s="20">
        <v>5.2398198779740799</v>
      </c>
      <c r="AE445" s="20">
        <v>6.08412897410836</v>
      </c>
      <c r="AF445" t="str">
        <f t="shared" si="28"/>
        <v>NonResidential</v>
      </c>
      <c r="AG445" t="str">
        <f>tbl_Data_old[[#This Row],[All_Meas_Name_Append]]</f>
        <v>Demand Controlled Circulating Systems</v>
      </c>
      <c r="AH445">
        <f>AVERAGEIFS('3. Incentive Adjustment'!G:G,'3. Incentive Adjustment'!A:A,tbl_Data_old[[#This Row],[Trimmed Sector]],'3. Incentive Adjustment'!B:B,tbl_Data_old[[#This Row],[Trimmed Measure Name]])</f>
        <v>0.82519266246945677</v>
      </c>
      <c r="AI445">
        <f>$AH445*tbl_Data_old[[#This Row],[2025 ]]</f>
        <v>0.20731717984013523</v>
      </c>
      <c r="AJ445">
        <f>$AH445*tbl_Data_old[[#This Row],[2026 ]]</f>
        <v>0.47409957078036608</v>
      </c>
      <c r="AK445">
        <f>$AH445*tbl_Data_old[[#This Row],[2027 ]]</f>
        <v>0.80923118304387243</v>
      </c>
      <c r="AL445">
        <f>$AH445*tbl_Data_old[[#This Row],[2028 ]]</f>
        <v>1.2212358726199919</v>
      </c>
      <c r="AM445">
        <f>$AH445*tbl_Data_old[[#This Row],[2029 ]]</f>
        <v>1.7144968824817519</v>
      </c>
      <c r="AN445">
        <f>$AH445*tbl_Data_old[[#This Row],[2030 ]]</f>
        <v>2.2864314666083709</v>
      </c>
      <c r="AO445">
        <f>$AH445*tbl_Data_old[[#This Row],[2031 ]]</f>
        <v>2.926127223107041</v>
      </c>
      <c r="AP445">
        <f>$AH445*tbl_Data_old[[#This Row],[2032 ]]</f>
        <v>3.6144786990660447</v>
      </c>
      <c r="AQ445">
        <f>$AH445*tbl_Data_old[[#This Row],[2033 ]]</f>
        <v>4.323860915965815</v>
      </c>
      <c r="AR445">
        <f>$AH445*tbl_Data_old[[#This Row],[2034 ]]</f>
        <v>5.0205785869520421</v>
      </c>
      <c r="AS445">
        <f>SUM(tbl_Data_old[[#This Row],[Adjusted 2025]:[Adjusted 2034]])</f>
        <v>22.59785758046543</v>
      </c>
      <c r="AT445" s="3">
        <f>AVERAGEIFS('3. Incentive Adjustment'!F:F,'3. Incentive Adjustment'!A:A,tbl_Data_old[[#This Row],[Trimmed Sector]],'3. Incentive Adjustment'!B:B,tbl_Data_old[[#This Row],[Trimmed Measure Name]])</f>
        <v>716.2547365811331</v>
      </c>
      <c r="AU445" s="3">
        <f>IFERROR(VLOOKUP(tbl_Data_old[[#This Row],[All_Meas_Name_Append]],'IRA Tax Credits'!$A$3:$D$46,4,0),0)</f>
        <v>0</v>
      </c>
      <c r="AV445" s="4">
        <f>tbl_Data_old[[#This Row],[Adj. per unit Incentive ($)]]/tbl_Data_old[[#This Row],[kWh Savings]]*tbl_Data_old[[#This Row],[Sum of Annuals]]</f>
        <v>2.8940515428961624</v>
      </c>
      <c r="AW445" s="4">
        <f>IFERROR(VLOOKUP(tbl_Data_old[[#This Row],[All_Programs]],'1. Set Program Names'!$B$2:$D$15,3,0)*tbl_Data_old[[#This Row],[Sum of Annuals]],"")</f>
        <v>0.71518142963154785</v>
      </c>
      <c r="AX445" s="4">
        <f>tbl_Data_old[[#This Row],[per unit IRA tax ($)]]/tbl_Data_old[[#This Row],[kWh Savings]]*tbl_Data_old[[#This Row],[Sum of Annuals]]</f>
        <v>0</v>
      </c>
      <c r="AY445" s="4">
        <f>tbl_Data_old[[#This Row],[Avoided Costs ($/unit)]]/tbl_Data_old[[#This Row],[kWh Savings]]*tbl_Data_old[[#This Row],[Sum of Annuals]]</f>
        <v>12.950640505819859</v>
      </c>
      <c r="AZ445" s="4">
        <f>tbl_Data_old[[#This Row],[Lost Revenue ($/unit)]]/tbl_Data_old[[#This Row],[kWh Savings]]*tbl_Data_old[[#This Row],[Sum of Annuals]]</f>
        <v>29.002052064181186</v>
      </c>
      <c r="BA445" s="4">
        <f>tbl_Data_old[[#This Row],[Incremental Cost ($/unit)]]/tbl_Data_old[[#This Row],[kWh Savings]]*tbl_Data_old[[#This Row],[Sum of Annuals]]</f>
        <v>9.1881740844870592</v>
      </c>
      <c r="BB445">
        <f>ROUNDUP(tbl_Data_old[[#This Row],[Adjusted 2025]]/$L445,0)</f>
        <v>1</v>
      </c>
      <c r="BC445">
        <f>ROUNDUP(tbl_Data_old[[#This Row],[Adjusted 2026]]/$L445,0)</f>
        <v>1</v>
      </c>
      <c r="BD445">
        <f>ROUNDUP(tbl_Data_old[[#This Row],[Adjusted 2027]]/$L445,0)</f>
        <v>1</v>
      </c>
      <c r="BE445">
        <f>ROUNDUP(tbl_Data_old[[#This Row],[Adjusted 2028]]/$L445,0)</f>
        <v>1</v>
      </c>
      <c r="BF445">
        <f>ROUNDUP(tbl_Data_old[[#This Row],[Adjusted 2029]]/$L445,0)</f>
        <v>1</v>
      </c>
      <c r="BG445">
        <f>ROUNDUP(tbl_Data_old[[#This Row],[Adjusted 2030]]/$L445,0)</f>
        <v>1</v>
      </c>
      <c r="BH445">
        <f>ROUNDUP(tbl_Data_old[[#This Row],[Adjusted 2031]]/$L445,0)</f>
        <v>1</v>
      </c>
      <c r="BI445">
        <f>ROUNDUP(tbl_Data_old[[#This Row],[Adjusted 2032]]/$L445,0)</f>
        <v>1</v>
      </c>
      <c r="BJ445">
        <f>ROUNDUP(tbl_Data_old[[#This Row],[Adjusted 2033]]/$L445,0)</f>
        <v>1</v>
      </c>
      <c r="BK445">
        <f>ROUNDUP(tbl_Data_old[[#This Row],[Adjusted 2034]]/$L445,0)</f>
        <v>1</v>
      </c>
      <c r="BL445" s="3">
        <f t="shared" si="29"/>
        <v>3.2175027680550659E-2</v>
      </c>
      <c r="BM445" s="3">
        <f t="shared" si="29"/>
        <v>7.357888441738468E-2</v>
      </c>
      <c r="BN445" s="3">
        <f t="shared" si="29"/>
        <v>0.12559034294446231</v>
      </c>
      <c r="BO445" s="3">
        <f t="shared" si="29"/>
        <v>0.18953228109860074</v>
      </c>
      <c r="BP445" s="3">
        <f t="shared" si="29"/>
        <v>0.26608496553255157</v>
      </c>
      <c r="BQ445" s="3">
        <f t="shared" si="29"/>
        <v>0.35484756152159697</v>
      </c>
      <c r="BR445" s="3">
        <f t="shared" si="29"/>
        <v>0.45412649580165376</v>
      </c>
      <c r="BS445" s="3">
        <f t="shared" si="29"/>
        <v>0.5609566572480289</v>
      </c>
      <c r="BT445" s="3">
        <f t="shared" si="29"/>
        <v>0.6710507289619152</v>
      </c>
      <c r="BU445" s="3">
        <f t="shared" si="29"/>
        <v>0.77917929971903521</v>
      </c>
      <c r="BV445">
        <f>VLOOKUP($H445,'1. Set Program Names'!$B$2:$D$15,3,0)*V445</f>
        <v>7.9511307777134742E-3</v>
      </c>
      <c r="BW445">
        <f>VLOOKUP($H445,'1. Set Program Names'!$B$2:$D$15,3,0)*W445</f>
        <v>1.8182900673447907E-2</v>
      </c>
      <c r="BX445">
        <f>VLOOKUP($H445,'1. Set Program Names'!$B$2:$D$15,3,0)*X445</f>
        <v>3.103603363091852E-2</v>
      </c>
      <c r="BY445">
        <f>VLOOKUP($H445,'1. Set Program Names'!$B$2:$D$15,3,0)*Y445</f>
        <v>4.6837440780953338E-2</v>
      </c>
      <c r="BZ445">
        <f>VLOOKUP($H445,'1. Set Program Names'!$B$2:$D$15,3,0)*Z445</f>
        <v>6.5755230420876845E-2</v>
      </c>
      <c r="CA445">
        <f>VLOOKUP($H445,'1. Set Program Names'!$B$2:$D$15,3,0)*AA445</f>
        <v>8.7690347800896046E-2</v>
      </c>
      <c r="CB445">
        <f>VLOOKUP($H445,'1. Set Program Names'!$B$2:$D$15,3,0)*AB445</f>
        <v>0.11222427509911316</v>
      </c>
      <c r="CC445">
        <f>VLOOKUP($H445,'1. Set Program Names'!$B$2:$D$15,3,0)*AC445</f>
        <v>0.13862427055825724</v>
      </c>
      <c r="CD445">
        <f>VLOOKUP($H445,'1. Set Program Names'!$B$2:$D$15,3,0)*AD445</f>
        <v>0.16583084737115694</v>
      </c>
      <c r="CE445">
        <f>VLOOKUP($H445,'1. Set Program Names'!$B$2:$D$15,3,0)*AE445</f>
        <v>0.19255170727011547</v>
      </c>
    </row>
    <row r="446" spans="1:83" x14ac:dyDescent="0.25">
      <c r="A446" s="20" t="s">
        <v>115</v>
      </c>
      <c r="B446" s="20" t="s">
        <v>88</v>
      </c>
      <c r="C446" s="20" t="s">
        <v>122</v>
      </c>
      <c r="D446" s="20" t="s">
        <v>90</v>
      </c>
      <c r="E446" s="20" t="s">
        <v>91</v>
      </c>
      <c r="F446" s="20" t="s">
        <v>90</v>
      </c>
      <c r="G446" s="20" t="s">
        <v>92</v>
      </c>
      <c r="H446" s="20" t="s">
        <v>18</v>
      </c>
      <c r="I446" s="20" t="s">
        <v>172</v>
      </c>
      <c r="J446" s="20" t="s">
        <v>144</v>
      </c>
      <c r="K446" s="20" t="s">
        <v>102</v>
      </c>
      <c r="L446" s="20">
        <v>18085.229999999901</v>
      </c>
      <c r="M446" s="20">
        <v>0.84213537152598805</v>
      </c>
      <c r="N446" s="20">
        <v>1.2419142635526399</v>
      </c>
      <c r="O446" s="20">
        <v>5343.87</v>
      </c>
      <c r="P446" s="20">
        <v>2505.3610009054501</v>
      </c>
      <c r="Q446" s="20">
        <v>572.36490674214201</v>
      </c>
      <c r="R446" s="20">
        <v>7297.3054636159204</v>
      </c>
      <c r="S446" s="20">
        <v>27879.9715993795</v>
      </c>
      <c r="T446" s="20">
        <v>30</v>
      </c>
      <c r="U446" s="20">
        <v>1</v>
      </c>
      <c r="V446" s="20">
        <v>4.64269449999132</v>
      </c>
      <c r="W446" s="20">
        <v>11.035883263640001</v>
      </c>
      <c r="X446" s="20">
        <v>19.5705159257835</v>
      </c>
      <c r="Y446" s="20">
        <v>30.620959986177699</v>
      </c>
      <c r="Z446" s="20">
        <v>44.362782751453601</v>
      </c>
      <c r="AA446" s="20">
        <v>60.541422493674197</v>
      </c>
      <c r="AB446" s="20">
        <v>78.350924412017406</v>
      </c>
      <c r="AC446" s="20">
        <v>96.453458182630499</v>
      </c>
      <c r="AD446" s="20">
        <v>113.227748579414</v>
      </c>
      <c r="AE446" s="20">
        <v>127.324656656557</v>
      </c>
      <c r="AF446" t="str">
        <f t="shared" si="28"/>
        <v>NonResidential</v>
      </c>
      <c r="AG446" t="str">
        <f>tbl_Data_old[[#This Row],[All_Meas_Name_Append]]</f>
        <v>Drain water heat recovery</v>
      </c>
      <c r="AH446">
        <f>AVERAGEIFS('3. Incentive Adjustment'!G:G,'3. Incentive Adjustment'!A:A,tbl_Data_old[[#This Row],[Trimmed Sector]],'3. Incentive Adjustment'!B:B,tbl_Data_old[[#This Row],[Trimmed Measure Name]])</f>
        <v>0.69383814414313949</v>
      </c>
      <c r="AI446">
        <f>$AH446*tbl_Data_old[[#This Row],[2025 ]]</f>
        <v>3.2212785356975382</v>
      </c>
      <c r="AJ446">
        <f>$AH446*tbl_Data_old[[#This Row],[2026 ]]</f>
        <v>7.6571167626243115</v>
      </c>
      <c r="AK446">
        <f>$AH446*tbl_Data_old[[#This Row],[2027 ]]</f>
        <v>13.57877044986938</v>
      </c>
      <c r="AL446">
        <f>$AH446*tbl_Data_old[[#This Row],[2028 ]]</f>
        <v>21.245990048690867</v>
      </c>
      <c r="AM446">
        <f>$AH446*tbl_Data_old[[#This Row],[2029 ]]</f>
        <v>30.780590853293845</v>
      </c>
      <c r="AN446">
        <f>$AH446*tbl_Data_old[[#This Row],[2030 ]]</f>
        <v>42.005948226796626</v>
      </c>
      <c r="AO446">
        <f>$AH446*tbl_Data_old[[#This Row],[2031 ]]</f>
        <v>54.362859985933561</v>
      </c>
      <c r="AP446">
        <f>$AH446*tbl_Data_old[[#This Row],[2032 ]]</f>
        <v>66.923088421624257</v>
      </c>
      <c r="AQ446">
        <f>$AH446*tbl_Data_old[[#This Row],[2033 ]]</f>
        <v>78.561730939846612</v>
      </c>
      <c r="AR446">
        <f>$AH446*tbl_Data_old[[#This Row],[2034 ]]</f>
        <v>88.342703478247941</v>
      </c>
      <c r="AS446">
        <f>SUM(tbl_Data_old[[#This Row],[Adjusted 2025]:[Adjusted 2034]])</f>
        <v>406.68007770262494</v>
      </c>
      <c r="AT446" s="3">
        <f>AVERAGEIFS('3. Incentive Adjustment'!F:F,'3. Incentive Adjustment'!A:A,tbl_Data_old[[#This Row],[Trimmed Sector]],'3. Incentive Adjustment'!B:B,tbl_Data_old[[#This Row],[Trimmed Measure Name]])</f>
        <v>0</v>
      </c>
      <c r="AU446" s="3">
        <f>IFERROR(VLOOKUP(tbl_Data_old[[#This Row],[All_Meas_Name_Append]],'IRA Tax Credits'!$A$3:$D$46,4,0),0)</f>
        <v>0</v>
      </c>
      <c r="AV446" s="4">
        <f>tbl_Data_old[[#This Row],[Adj. per unit Incentive ($)]]/tbl_Data_old[[#This Row],[kWh Savings]]*tbl_Data_old[[#This Row],[Sum of Annuals]]</f>
        <v>0</v>
      </c>
      <c r="AW446" s="4">
        <f>IFERROR(VLOOKUP(tbl_Data_old[[#This Row],[All_Programs]],'1. Set Program Names'!$B$2:$D$15,3,0)*tbl_Data_old[[#This Row],[Sum of Annuals]],"")</f>
        <v>12.870690875822479</v>
      </c>
      <c r="AX446" s="4">
        <f>tbl_Data_old[[#This Row],[per unit IRA tax ($)]]/tbl_Data_old[[#This Row],[kWh Savings]]*tbl_Data_old[[#This Row],[Sum of Annuals]]</f>
        <v>0</v>
      </c>
      <c r="AY446" s="4">
        <f>tbl_Data_old[[#This Row],[Avoided Costs ($/unit)]]/tbl_Data_old[[#This Row],[kWh Savings]]*tbl_Data_old[[#This Row],[Sum of Annuals]]</f>
        <v>164.09350353648409</v>
      </c>
      <c r="AZ446" s="4">
        <f>tbl_Data_old[[#This Row],[Lost Revenue ($/unit)]]/tbl_Data_old[[#This Row],[kWh Savings]]*tbl_Data_old[[#This Row],[Sum of Annuals]]</f>
        <v>626.93308386914032</v>
      </c>
      <c r="BA446" s="4">
        <f>tbl_Data_old[[#This Row],[Incremental Cost ($/unit)]]/tbl_Data_old[[#This Row],[kWh Savings]]*tbl_Data_old[[#This Row],[Sum of Annuals]]</f>
        <v>120.16686914309291</v>
      </c>
      <c r="BB446">
        <f>ROUNDUP(tbl_Data_old[[#This Row],[Adjusted 2025]]/$L446,0)</f>
        <v>1</v>
      </c>
      <c r="BC446">
        <f>ROUNDUP(tbl_Data_old[[#This Row],[Adjusted 2026]]/$L446,0)</f>
        <v>1</v>
      </c>
      <c r="BD446">
        <f>ROUNDUP(tbl_Data_old[[#This Row],[Adjusted 2027]]/$L446,0)</f>
        <v>1</v>
      </c>
      <c r="BE446">
        <f>ROUNDUP(tbl_Data_old[[#This Row],[Adjusted 2028]]/$L446,0)</f>
        <v>1</v>
      </c>
      <c r="BF446">
        <f>ROUNDUP(tbl_Data_old[[#This Row],[Adjusted 2029]]/$L446,0)</f>
        <v>1</v>
      </c>
      <c r="BG446">
        <f>ROUNDUP(tbl_Data_old[[#This Row],[Adjusted 2030]]/$L446,0)</f>
        <v>1</v>
      </c>
      <c r="BH446">
        <f>ROUNDUP(tbl_Data_old[[#This Row],[Adjusted 2031]]/$L446,0)</f>
        <v>1</v>
      </c>
      <c r="BI446">
        <f>ROUNDUP(tbl_Data_old[[#This Row],[Adjusted 2032]]/$L446,0)</f>
        <v>1</v>
      </c>
      <c r="BJ446">
        <f>ROUNDUP(tbl_Data_old[[#This Row],[Adjusted 2033]]/$L446,0)</f>
        <v>1</v>
      </c>
      <c r="BK446">
        <f>ROUNDUP(tbl_Data_old[[#This Row],[Adjusted 2034]]/$L446,0)</f>
        <v>1</v>
      </c>
      <c r="BL446" s="3">
        <f t="shared" si="29"/>
        <v>0</v>
      </c>
      <c r="BM446" s="3">
        <f t="shared" si="29"/>
        <v>0</v>
      </c>
      <c r="BN446" s="3">
        <f t="shared" si="29"/>
        <v>0</v>
      </c>
      <c r="BO446" s="3">
        <f t="shared" si="29"/>
        <v>0</v>
      </c>
      <c r="BP446" s="3">
        <f t="shared" si="29"/>
        <v>0</v>
      </c>
      <c r="BQ446" s="3">
        <f t="shared" si="29"/>
        <v>0</v>
      </c>
      <c r="BR446" s="3">
        <f t="shared" si="29"/>
        <v>0</v>
      </c>
      <c r="BS446" s="3">
        <f t="shared" si="29"/>
        <v>0</v>
      </c>
      <c r="BT446" s="3">
        <f t="shared" si="29"/>
        <v>0</v>
      </c>
      <c r="BU446" s="3">
        <f t="shared" si="29"/>
        <v>0</v>
      </c>
      <c r="BV446">
        <f>VLOOKUP($H446,'1. Set Program Names'!$B$2:$D$15,3,0)*V446</f>
        <v>0.14693290627322952</v>
      </c>
      <c r="BW446">
        <f>VLOOKUP($H446,'1. Set Program Names'!$B$2:$D$15,3,0)*W446</f>
        <v>0.34926579838965283</v>
      </c>
      <c r="BX446">
        <f>VLOOKUP($H446,'1. Set Program Names'!$B$2:$D$15,3,0)*X446</f>
        <v>0.61937152708352206</v>
      </c>
      <c r="BY446">
        <f>VLOOKUP($H446,'1. Set Program Names'!$B$2:$D$15,3,0)*Y446</f>
        <v>0.96909814842518094</v>
      </c>
      <c r="BZ446">
        <f>VLOOKUP($H446,'1. Set Program Names'!$B$2:$D$15,3,0)*Z446</f>
        <v>1.4040020509751745</v>
      </c>
      <c r="CA446">
        <f>VLOOKUP($H446,'1. Set Program Names'!$B$2:$D$15,3,0)*AA446</f>
        <v>1.9160268152314677</v>
      </c>
      <c r="CB446">
        <f>VLOOKUP($H446,'1. Set Program Names'!$B$2:$D$15,3,0)*AB446</f>
        <v>2.4796654255569406</v>
      </c>
      <c r="CC446">
        <f>VLOOKUP($H446,'1. Set Program Names'!$B$2:$D$15,3,0)*AC446</f>
        <v>3.0525779654258547</v>
      </c>
      <c r="CD446">
        <f>VLOOKUP($H446,'1. Set Program Names'!$B$2:$D$15,3,0)*AD446</f>
        <v>3.5834539984439937</v>
      </c>
      <c r="CE446">
        <f>VLOOKUP($H446,'1. Set Program Names'!$B$2:$D$15,3,0)*AE446</f>
        <v>4.0295957105995228</v>
      </c>
    </row>
    <row r="447" spans="1:83" x14ac:dyDescent="0.25">
      <c r="A447" s="20" t="s">
        <v>115</v>
      </c>
      <c r="B447" s="20" t="s">
        <v>88</v>
      </c>
      <c r="C447" s="20" t="s">
        <v>122</v>
      </c>
      <c r="D447" s="20" t="s">
        <v>90</v>
      </c>
      <c r="E447" s="20" t="s">
        <v>91</v>
      </c>
      <c r="F447" s="20" t="s">
        <v>90</v>
      </c>
      <c r="G447" s="20" t="s">
        <v>92</v>
      </c>
      <c r="H447" s="20" t="s">
        <v>18</v>
      </c>
      <c r="I447" s="20" t="s">
        <v>133</v>
      </c>
      <c r="J447" s="20" t="s">
        <v>134</v>
      </c>
      <c r="K447" s="20" t="s">
        <v>98</v>
      </c>
      <c r="L447" s="20">
        <v>4486</v>
      </c>
      <c r="M447" s="20">
        <v>0.89185722946849999</v>
      </c>
      <c r="N447" s="20">
        <v>0.84310494165890204</v>
      </c>
      <c r="O447" s="20">
        <v>2050</v>
      </c>
      <c r="P447" s="20">
        <v>1127.1986160539</v>
      </c>
      <c r="Q447" s="20">
        <v>141.97380799941499</v>
      </c>
      <c r="R447" s="20">
        <v>2297.8137992477</v>
      </c>
      <c r="S447" s="20">
        <v>5757.3247860621796</v>
      </c>
      <c r="T447" s="20">
        <v>20</v>
      </c>
      <c r="U447" s="20">
        <v>1</v>
      </c>
      <c r="V447" s="20">
        <v>10.066411241017301</v>
      </c>
      <c r="W447" s="20">
        <v>23.084241707254499</v>
      </c>
      <c r="X447" s="20">
        <v>39.5516342161851</v>
      </c>
      <c r="Y447" s="20">
        <v>59.978766630510101</v>
      </c>
      <c r="Z447" s="20">
        <v>84.702854190130097</v>
      </c>
      <c r="AA447" s="20">
        <v>113.741179046513</v>
      </c>
      <c r="AB447" s="20">
        <v>146.69853081140701</v>
      </c>
      <c r="AC447" s="20">
        <v>182.741128701587</v>
      </c>
      <c r="AD447" s="20">
        <v>220.539296989371</v>
      </c>
      <c r="AE447" s="20">
        <v>258.35263871126102</v>
      </c>
      <c r="AF447" t="str">
        <f t="shared" si="28"/>
        <v>NonResidential</v>
      </c>
      <c r="AG447" t="str">
        <f>tbl_Data_old[[#This Row],[All_Meas_Name_Append]]</f>
        <v>Efficient Exhaust Hood</v>
      </c>
      <c r="AH447">
        <f>AVERAGEIFS('3. Incentive Adjustment'!G:G,'3. Incentive Adjustment'!A:A,tbl_Data_old[[#This Row],[Trimmed Sector]],'3. Incentive Adjustment'!B:B,tbl_Data_old[[#This Row],[Trimmed Measure Name]])</f>
        <v>0.51531219842413434</v>
      </c>
      <c r="AI447">
        <f>$AH447*tbl_Data_old[[#This Row],[2025 ]]</f>
        <v>5.1873445068500441</v>
      </c>
      <c r="AJ447">
        <f>$AH447*tbl_Data_old[[#This Row],[2026 ]]</f>
        <v>11.895591343119408</v>
      </c>
      <c r="AK447">
        <f>$AH447*tbl_Data_old[[#This Row],[2027 ]]</f>
        <v>20.381439579209559</v>
      </c>
      <c r="AL447">
        <f>$AH447*tbl_Data_old[[#This Row],[2028 ]]</f>
        <v>30.907790091136267</v>
      </c>
      <c r="AM447">
        <f>$AH447*tbl_Data_old[[#This Row],[2029 ]]</f>
        <v>43.648414005514837</v>
      </c>
      <c r="AN447">
        <f>$AH447*tbl_Data_old[[#This Row],[2030 ]]</f>
        <v>58.612217025811695</v>
      </c>
      <c r="AO447">
        <f>$AH447*tbl_Data_old[[#This Row],[2031 ]]</f>
        <v>75.595542418016748</v>
      </c>
      <c r="AP447">
        <f>$AH447*tbl_Data_old[[#This Row],[2032 ]]</f>
        <v>94.168732773722468</v>
      </c>
      <c r="AQ447">
        <f>$AH447*tbl_Data_old[[#This Row],[2033 ]]</f>
        <v>113.64658997050584</v>
      </c>
      <c r="AR447">
        <f>$AH447*tbl_Data_old[[#This Row],[2034 ]]</f>
        <v>133.13226622297603</v>
      </c>
      <c r="AS447">
        <f>SUM(tbl_Data_old[[#This Row],[Adjusted 2025]:[Adjusted 2034]])</f>
        <v>587.17592793686288</v>
      </c>
      <c r="AT447" s="3">
        <f>AVERAGEIFS('3. Incentive Adjustment'!F:F,'3. Incentive Adjustment'!A:A,tbl_Data_old[[#This Row],[Trimmed Sector]],'3. Incentive Adjustment'!B:B,tbl_Data_old[[#This Row],[Trimmed Measure Name]])</f>
        <v>0</v>
      </c>
      <c r="AU447" s="3">
        <f>IFERROR(VLOOKUP(tbl_Data_old[[#This Row],[All_Meas_Name_Append]],'IRA Tax Credits'!$A$3:$D$46,4,0),0)</f>
        <v>0</v>
      </c>
      <c r="AV447" s="4">
        <f>tbl_Data_old[[#This Row],[Adj. per unit Incentive ($)]]/tbl_Data_old[[#This Row],[kWh Savings]]*tbl_Data_old[[#This Row],[Sum of Annuals]]</f>
        <v>0</v>
      </c>
      <c r="AW447" s="4">
        <f>IFERROR(VLOOKUP(tbl_Data_old[[#This Row],[All_Programs]],'1. Set Program Names'!$B$2:$D$15,3,0)*tbl_Data_old[[#This Row],[Sum of Annuals]],"")</f>
        <v>18.583058951133861</v>
      </c>
      <c r="AX447" s="4">
        <f>tbl_Data_old[[#This Row],[per unit IRA tax ($)]]/tbl_Data_old[[#This Row],[kWh Savings]]*tbl_Data_old[[#This Row],[Sum of Annuals]]</f>
        <v>0</v>
      </c>
      <c r="AY447" s="4">
        <f>tbl_Data_old[[#This Row],[Avoided Costs ($/unit)]]/tbl_Data_old[[#This Row],[kWh Savings]]*tbl_Data_old[[#This Row],[Sum of Annuals]]</f>
        <v>300.76258354868406</v>
      </c>
      <c r="AZ447" s="4">
        <f>tbl_Data_old[[#This Row],[Lost Revenue ($/unit)]]/tbl_Data_old[[#This Row],[kWh Savings]]*tbl_Data_old[[#This Row],[Sum of Annuals]]</f>
        <v>753.58058932009828</v>
      </c>
      <c r="BA447" s="4">
        <f>tbl_Data_old[[#This Row],[Incremental Cost ($/unit)]]/tbl_Data_old[[#This Row],[kWh Savings]]*tbl_Data_old[[#This Row],[Sum of Annuals]]</f>
        <v>268.32604821011347</v>
      </c>
      <c r="BB447">
        <f>ROUNDUP(tbl_Data_old[[#This Row],[Adjusted 2025]]/$L447,0)</f>
        <v>1</v>
      </c>
      <c r="BC447">
        <f>ROUNDUP(tbl_Data_old[[#This Row],[Adjusted 2026]]/$L447,0)</f>
        <v>1</v>
      </c>
      <c r="BD447">
        <f>ROUNDUP(tbl_Data_old[[#This Row],[Adjusted 2027]]/$L447,0)</f>
        <v>1</v>
      </c>
      <c r="BE447">
        <f>ROUNDUP(tbl_Data_old[[#This Row],[Adjusted 2028]]/$L447,0)</f>
        <v>1</v>
      </c>
      <c r="BF447">
        <f>ROUNDUP(tbl_Data_old[[#This Row],[Adjusted 2029]]/$L447,0)</f>
        <v>1</v>
      </c>
      <c r="BG447">
        <f>ROUNDUP(tbl_Data_old[[#This Row],[Adjusted 2030]]/$L447,0)</f>
        <v>1</v>
      </c>
      <c r="BH447">
        <f>ROUNDUP(tbl_Data_old[[#This Row],[Adjusted 2031]]/$L447,0)</f>
        <v>1</v>
      </c>
      <c r="BI447">
        <f>ROUNDUP(tbl_Data_old[[#This Row],[Adjusted 2032]]/$L447,0)</f>
        <v>1</v>
      </c>
      <c r="BJ447">
        <f>ROUNDUP(tbl_Data_old[[#This Row],[Adjusted 2033]]/$L447,0)</f>
        <v>1</v>
      </c>
      <c r="BK447">
        <f>ROUNDUP(tbl_Data_old[[#This Row],[Adjusted 2034]]/$L447,0)</f>
        <v>1</v>
      </c>
      <c r="BL447" s="3">
        <f t="shared" si="29"/>
        <v>0</v>
      </c>
      <c r="BM447" s="3">
        <f t="shared" si="29"/>
        <v>0</v>
      </c>
      <c r="BN447" s="3">
        <f t="shared" si="29"/>
        <v>0</v>
      </c>
      <c r="BO447" s="3">
        <f t="shared" si="29"/>
        <v>0</v>
      </c>
      <c r="BP447" s="3">
        <f t="shared" si="29"/>
        <v>0</v>
      </c>
      <c r="BQ447" s="3">
        <f t="shared" si="29"/>
        <v>0</v>
      </c>
      <c r="BR447" s="3">
        <f t="shared" si="29"/>
        <v>0</v>
      </c>
      <c r="BS447" s="3">
        <f t="shared" si="29"/>
        <v>0</v>
      </c>
      <c r="BT447" s="3">
        <f t="shared" si="29"/>
        <v>0</v>
      </c>
      <c r="BU447" s="3">
        <f t="shared" si="29"/>
        <v>0</v>
      </c>
      <c r="BV447">
        <f>VLOOKUP($H447,'1. Set Program Names'!$B$2:$D$15,3,0)*V447</f>
        <v>0.31858375764051339</v>
      </c>
      <c r="BW447">
        <f>VLOOKUP($H447,'1. Set Program Names'!$B$2:$D$15,3,0)*W447</f>
        <v>0.73057460988806011</v>
      </c>
      <c r="BX447">
        <f>VLOOKUP($H447,'1. Set Program Names'!$B$2:$D$15,3,0)*X447</f>
        <v>1.2517378783485857</v>
      </c>
      <c r="BY447">
        <f>VLOOKUP($H447,'1. Set Program Names'!$B$2:$D$15,3,0)*Y447</f>
        <v>1.8982197721002585</v>
      </c>
      <c r="BZ447">
        <f>VLOOKUP($H447,'1. Set Program Names'!$B$2:$D$15,3,0)*Z447</f>
        <v>2.6806925452055226</v>
      </c>
      <c r="CA447">
        <f>VLOOKUP($H447,'1. Set Program Names'!$B$2:$D$15,3,0)*AA447</f>
        <v>3.5997031465841998</v>
      </c>
      <c r="CB447">
        <f>VLOOKUP($H447,'1. Set Program Names'!$B$2:$D$15,3,0)*AB447</f>
        <v>4.6427438803421675</v>
      </c>
      <c r="CC447">
        <f>VLOOKUP($H447,'1. Set Program Names'!$B$2:$D$15,3,0)*AC447</f>
        <v>5.7834270886927097</v>
      </c>
      <c r="CD447">
        <f>VLOOKUP($H447,'1. Set Program Names'!$B$2:$D$15,3,0)*AD447</f>
        <v>6.979670933369353</v>
      </c>
      <c r="CE447">
        <f>VLOOKUP($H447,'1. Set Program Names'!$B$2:$D$15,3,0)*AE447</f>
        <v>8.1763949898650914</v>
      </c>
    </row>
    <row r="448" spans="1:83" x14ac:dyDescent="0.25">
      <c r="A448" s="20" t="s">
        <v>115</v>
      </c>
      <c r="B448" s="20" t="s">
        <v>88</v>
      </c>
      <c r="C448" s="20" t="s">
        <v>122</v>
      </c>
      <c r="D448" s="20" t="s">
        <v>90</v>
      </c>
      <c r="E448" s="20" t="s">
        <v>91</v>
      </c>
      <c r="F448" s="20" t="s">
        <v>90</v>
      </c>
      <c r="G448" s="20" t="s">
        <v>92</v>
      </c>
      <c r="H448" s="20" t="s">
        <v>18</v>
      </c>
      <c r="I448" s="20" t="s">
        <v>173</v>
      </c>
      <c r="J448" s="20" t="s">
        <v>129</v>
      </c>
      <c r="K448" s="20" t="s">
        <v>130</v>
      </c>
      <c r="L448" s="20">
        <v>142641.03499999901</v>
      </c>
      <c r="M448" s="20">
        <v>27.8398087391258</v>
      </c>
      <c r="N448" s="20">
        <v>0</v>
      </c>
      <c r="O448" s="20">
        <v>59303.302436563899</v>
      </c>
      <c r="P448" s="20">
        <v>29333.7078862829</v>
      </c>
      <c r="Q448" s="20">
        <v>4514.3314569611503</v>
      </c>
      <c r="R448" s="20">
        <v>66617.989682832806</v>
      </c>
      <c r="S448" s="20">
        <v>154925.29091738301</v>
      </c>
      <c r="T448" s="20">
        <v>15</v>
      </c>
      <c r="U448" s="20">
        <v>1</v>
      </c>
      <c r="V448" s="20">
        <v>2.0291717951960199E-2</v>
      </c>
      <c r="W448" s="20">
        <v>4.7761747948677803E-2</v>
      </c>
      <c r="X448" s="20">
        <v>8.3957442082006506E-2</v>
      </c>
      <c r="Y448" s="20">
        <v>0.130100031249722</v>
      </c>
      <c r="Z448" s="20">
        <v>0.186490700123988</v>
      </c>
      <c r="AA448" s="20">
        <v>0.25234555601407199</v>
      </c>
      <c r="AB448" s="20">
        <v>0.32512393559106201</v>
      </c>
      <c r="AC448" s="20">
        <v>0.40098233682746798</v>
      </c>
      <c r="AD448" s="20">
        <v>0.475725581187599</v>
      </c>
      <c r="AE448" s="20">
        <v>0.54530237035401596</v>
      </c>
      <c r="AF448" t="str">
        <f t="shared" si="28"/>
        <v>NonResidential</v>
      </c>
      <c r="AG448" t="str">
        <f>tbl_Data_old[[#This Row],[All_Meas_Name_Append]]</f>
        <v>Facility Energy Management System_SC</v>
      </c>
      <c r="AH448">
        <f>AVERAGEIFS('3. Incentive Adjustment'!G:G,'3. Incentive Adjustment'!A:A,tbl_Data_old[[#This Row],[Trimmed Sector]],'3. Incentive Adjustment'!B:B,tbl_Data_old[[#This Row],[Trimmed Measure Name]])</f>
        <v>0.86797534995247072</v>
      </c>
      <c r="AI448">
        <f>$AH448*tbl_Data_old[[#This Row],[2025 ]]</f>
        <v>1.7612710990489486E-2</v>
      </c>
      <c r="AJ448">
        <f>$AH448*tbl_Data_old[[#This Row],[2026 ]]</f>
        <v>4.1456019890095314E-2</v>
      </c>
      <c r="AK448">
        <f>$AH448*tbl_Data_old[[#This Row],[2027 ]]</f>
        <v>7.2872990172243884E-2</v>
      </c>
      <c r="AL448">
        <f>$AH448*tbl_Data_old[[#This Row],[2028 ]]</f>
        <v>0.11292362015280483</v>
      </c>
      <c r="AM448">
        <f>$AH448*tbl_Data_old[[#This Row],[2029 ]]</f>
        <v>0.16186933070299975</v>
      </c>
      <c r="AN448">
        <f>$AH448*tbl_Data_old[[#This Row],[2030 ]]</f>
        <v>0.21902972229026493</v>
      </c>
      <c r="AO448">
        <f>$AH448*tbl_Data_old[[#This Row],[2031 ]]</f>
        <v>0.2821995617725766</v>
      </c>
      <c r="AP448">
        <f>$AH448*tbl_Data_old[[#This Row],[2032 ]]</f>
        <v>0.348042784132581</v>
      </c>
      <c r="AQ448">
        <f>$AH448*tbl_Data_old[[#This Row],[2033 ]]</f>
        <v>0.41291807781264878</v>
      </c>
      <c r="AR448">
        <f>$AH448*tbl_Data_old[[#This Row],[2034 ]]</f>
        <v>0.47330901573793882</v>
      </c>
      <c r="AS448">
        <f>SUM(tbl_Data_old[[#This Row],[Adjusted 2025]:[Adjusted 2034]])</f>
        <v>2.1422338336546436</v>
      </c>
      <c r="AT448" s="3">
        <f>AVERAGEIFS('3. Incentive Adjustment'!F:F,'3. Incentive Adjustment'!A:A,tbl_Data_old[[#This Row],[Trimmed Sector]],'3. Incentive Adjustment'!B:B,tbl_Data_old[[#This Row],[Trimmed Measure Name]])</f>
        <v>21679.111511953593</v>
      </c>
      <c r="AU448" s="3">
        <f>IFERROR(VLOOKUP(tbl_Data_old[[#This Row],[All_Meas_Name_Append]],'IRA Tax Credits'!$A$3:$D$46,4,0),0)</f>
        <v>0</v>
      </c>
      <c r="AV448" s="4">
        <f>tbl_Data_old[[#This Row],[Adj. per unit Incentive ($)]]/tbl_Data_old[[#This Row],[kWh Savings]]*tbl_Data_old[[#This Row],[Sum of Annuals]]</f>
        <v>0.3255846129024455</v>
      </c>
      <c r="AW448" s="4">
        <f>IFERROR(VLOOKUP(tbl_Data_old[[#This Row],[All_Programs]],'1. Set Program Names'!$B$2:$D$15,3,0)*tbl_Data_old[[#This Row],[Sum of Annuals]],"")</f>
        <v>6.7797836600342193E-2</v>
      </c>
      <c r="AX448" s="4">
        <f>tbl_Data_old[[#This Row],[per unit IRA tax ($)]]/tbl_Data_old[[#This Row],[kWh Savings]]*tbl_Data_old[[#This Row],[Sum of Annuals]]</f>
        <v>0</v>
      </c>
      <c r="AY448" s="4">
        <f>tbl_Data_old[[#This Row],[Avoided Costs ($/unit)]]/tbl_Data_old[[#This Row],[kWh Savings]]*tbl_Data_old[[#This Row],[Sum of Annuals]]</f>
        <v>1.0004926803049445</v>
      </c>
      <c r="AZ448" s="4">
        <f>tbl_Data_old[[#This Row],[Lost Revenue ($/unit)]]/tbl_Data_old[[#This Row],[kWh Savings]]*tbl_Data_old[[#This Row],[Sum of Annuals]]</f>
        <v>2.3267231613399932</v>
      </c>
      <c r="BA448" s="4">
        <f>tbl_Data_old[[#This Row],[Incremental Cost ($/unit)]]/tbl_Data_old[[#This Row],[kWh Savings]]*tbl_Data_old[[#This Row],[Sum of Annuals]]</f>
        <v>0.89063810373404773</v>
      </c>
      <c r="BB448">
        <f>ROUNDUP(tbl_Data_old[[#This Row],[Adjusted 2025]]/$L448,0)</f>
        <v>1</v>
      </c>
      <c r="BC448">
        <f>ROUNDUP(tbl_Data_old[[#This Row],[Adjusted 2026]]/$L448,0)</f>
        <v>1</v>
      </c>
      <c r="BD448">
        <f>ROUNDUP(tbl_Data_old[[#This Row],[Adjusted 2027]]/$L448,0)</f>
        <v>1</v>
      </c>
      <c r="BE448">
        <f>ROUNDUP(tbl_Data_old[[#This Row],[Adjusted 2028]]/$L448,0)</f>
        <v>1</v>
      </c>
      <c r="BF448">
        <f>ROUNDUP(tbl_Data_old[[#This Row],[Adjusted 2029]]/$L448,0)</f>
        <v>1</v>
      </c>
      <c r="BG448">
        <f>ROUNDUP(tbl_Data_old[[#This Row],[Adjusted 2030]]/$L448,0)</f>
        <v>1</v>
      </c>
      <c r="BH448">
        <f>ROUNDUP(tbl_Data_old[[#This Row],[Adjusted 2031]]/$L448,0)</f>
        <v>1</v>
      </c>
      <c r="BI448">
        <f>ROUNDUP(tbl_Data_old[[#This Row],[Adjusted 2032]]/$L448,0)</f>
        <v>1</v>
      </c>
      <c r="BJ448">
        <f>ROUNDUP(tbl_Data_old[[#This Row],[Adjusted 2033]]/$L448,0)</f>
        <v>1</v>
      </c>
      <c r="BK448">
        <f>ROUNDUP(tbl_Data_old[[#This Row],[Adjusted 2034]]/$L448,0)</f>
        <v>1</v>
      </c>
      <c r="BL448" s="3">
        <f t="shared" si="29"/>
        <v>3.0840102656970957E-3</v>
      </c>
      <c r="BM448" s="3">
        <f t="shared" si="29"/>
        <v>7.2590069175059897E-3</v>
      </c>
      <c r="BN448" s="3">
        <f t="shared" si="29"/>
        <v>1.2760162243313902E-2</v>
      </c>
      <c r="BO448" s="3">
        <f t="shared" si="29"/>
        <v>1.9773083427019368E-2</v>
      </c>
      <c r="BP448" s="3">
        <f t="shared" si="29"/>
        <v>2.8343545627878129E-2</v>
      </c>
      <c r="BQ448" s="3">
        <f t="shared" si="29"/>
        <v>3.8352409938521799E-2</v>
      </c>
      <c r="BR448" s="3">
        <f t="shared" si="29"/>
        <v>4.9413536959290148E-2</v>
      </c>
      <c r="BS448" s="3">
        <f t="shared" si="29"/>
        <v>6.0942777051543925E-2</v>
      </c>
      <c r="BT448" s="3">
        <f t="shared" si="29"/>
        <v>7.2302531481596169E-2</v>
      </c>
      <c r="BU448" s="3">
        <f t="shared" si="29"/>
        <v>8.287706896292088E-2</v>
      </c>
      <c r="BV448">
        <f>VLOOKUP($H448,'1. Set Program Names'!$B$2:$D$15,3,0)*V448</f>
        <v>6.4219627028307613E-4</v>
      </c>
      <c r="BW448">
        <f>VLOOKUP($H448,'1. Set Program Names'!$B$2:$D$15,3,0)*W448</f>
        <v>1.5115731682973773E-3</v>
      </c>
      <c r="BX448">
        <f>VLOOKUP($H448,'1. Set Program Names'!$B$2:$D$15,3,0)*X448</f>
        <v>2.6571015965833251E-3</v>
      </c>
      <c r="BY448">
        <f>VLOOKUP($H448,'1. Set Program Names'!$B$2:$D$15,3,0)*Y448</f>
        <v>4.1174313101573611E-3</v>
      </c>
      <c r="BZ448">
        <f>VLOOKUP($H448,'1. Set Program Names'!$B$2:$D$15,3,0)*Z448</f>
        <v>5.9020942606062303E-3</v>
      </c>
      <c r="CA448">
        <f>VLOOKUP($H448,'1. Set Program Names'!$B$2:$D$15,3,0)*AA448</f>
        <v>7.9862816582807576E-3</v>
      </c>
      <c r="CB448">
        <f>VLOOKUP($H448,'1. Set Program Names'!$B$2:$D$15,3,0)*AB448</f>
        <v>1.0289586091756488E-2</v>
      </c>
      <c r="CC448">
        <f>VLOOKUP($H448,'1. Set Program Names'!$B$2:$D$15,3,0)*AC448</f>
        <v>1.2690367654904076E-2</v>
      </c>
      <c r="CD448">
        <f>VLOOKUP($H448,'1. Set Program Names'!$B$2:$D$15,3,0)*AD448</f>
        <v>1.5055856514475767E-2</v>
      </c>
      <c r="CE448">
        <f>VLOOKUP($H448,'1. Set Program Names'!$B$2:$D$15,3,0)*AE448</f>
        <v>1.7257836386595397E-2</v>
      </c>
    </row>
    <row r="449" spans="1:83" x14ac:dyDescent="0.25">
      <c r="A449" s="20" t="s">
        <v>115</v>
      </c>
      <c r="B449" s="20" t="s">
        <v>88</v>
      </c>
      <c r="C449" s="20" t="s">
        <v>122</v>
      </c>
      <c r="D449" s="20" t="s">
        <v>90</v>
      </c>
      <c r="E449" s="20" t="s">
        <v>91</v>
      </c>
      <c r="F449" s="20" t="s">
        <v>90</v>
      </c>
      <c r="G449" s="20" t="s">
        <v>92</v>
      </c>
      <c r="H449" s="20" t="s">
        <v>18</v>
      </c>
      <c r="I449" s="20" t="s">
        <v>174</v>
      </c>
      <c r="J449" s="20" t="s">
        <v>132</v>
      </c>
      <c r="K449" s="20" t="s">
        <v>130</v>
      </c>
      <c r="L449" s="20">
        <v>2657.18</v>
      </c>
      <c r="M449" s="20">
        <v>0</v>
      </c>
      <c r="N449" s="20">
        <v>0.57468805905447795</v>
      </c>
      <c r="O449" s="20">
        <v>1080.72711480357</v>
      </c>
      <c r="P449" s="20">
        <v>534.12671770284101</v>
      </c>
      <c r="Q449" s="20">
        <v>84.094953887624897</v>
      </c>
      <c r="R449" s="20">
        <v>1466.48739383472</v>
      </c>
      <c r="S449" s="20">
        <v>2886.0165275711402</v>
      </c>
      <c r="T449" s="20">
        <v>15</v>
      </c>
      <c r="U449" s="20">
        <v>1</v>
      </c>
      <c r="V449" s="20">
        <v>0</v>
      </c>
      <c r="W449" s="20">
        <v>0</v>
      </c>
      <c r="X449" s="20">
        <v>0</v>
      </c>
      <c r="Y449" s="20">
        <v>0</v>
      </c>
      <c r="Z449" s="20">
        <v>0</v>
      </c>
      <c r="AA449" s="20">
        <v>0</v>
      </c>
      <c r="AB449" s="20">
        <v>0</v>
      </c>
      <c r="AC449" s="20">
        <v>0</v>
      </c>
      <c r="AD449" s="20">
        <v>0</v>
      </c>
      <c r="AE449" s="20">
        <v>0</v>
      </c>
      <c r="AF449" t="str">
        <f t="shared" si="28"/>
        <v>NonResidential</v>
      </c>
      <c r="AG449" t="str">
        <f>tbl_Data_old[[#This Row],[All_Meas_Name_Append]]</f>
        <v>Facility Energy Management System_SH</v>
      </c>
      <c r="AH449">
        <f>AVERAGEIFS('3. Incentive Adjustment'!G:G,'3. Incentive Adjustment'!A:A,tbl_Data_old[[#This Row],[Trimmed Sector]],'3. Incentive Adjustment'!B:B,tbl_Data_old[[#This Row],[Trimmed Measure Name]])</f>
        <v>0.63685031373688805</v>
      </c>
      <c r="AI449">
        <f>$AH449*tbl_Data_old[[#This Row],[2025 ]]</f>
        <v>0</v>
      </c>
      <c r="AJ449">
        <f>$AH449*tbl_Data_old[[#This Row],[2026 ]]</f>
        <v>0</v>
      </c>
      <c r="AK449">
        <f>$AH449*tbl_Data_old[[#This Row],[2027 ]]</f>
        <v>0</v>
      </c>
      <c r="AL449">
        <f>$AH449*tbl_Data_old[[#This Row],[2028 ]]</f>
        <v>0</v>
      </c>
      <c r="AM449">
        <f>$AH449*tbl_Data_old[[#This Row],[2029 ]]</f>
        <v>0</v>
      </c>
      <c r="AN449">
        <f>$AH449*tbl_Data_old[[#This Row],[2030 ]]</f>
        <v>0</v>
      </c>
      <c r="AO449">
        <f>$AH449*tbl_Data_old[[#This Row],[2031 ]]</f>
        <v>0</v>
      </c>
      <c r="AP449">
        <f>$AH449*tbl_Data_old[[#This Row],[2032 ]]</f>
        <v>0</v>
      </c>
      <c r="AQ449">
        <f>$AH449*tbl_Data_old[[#This Row],[2033 ]]</f>
        <v>0</v>
      </c>
      <c r="AR449">
        <f>$AH449*tbl_Data_old[[#This Row],[2034 ]]</f>
        <v>0</v>
      </c>
      <c r="AS449">
        <f>SUM(tbl_Data_old[[#This Row],[Adjusted 2025]:[Adjusted 2034]])</f>
        <v>0</v>
      </c>
      <c r="AT449" s="3">
        <f>AVERAGEIFS('3. Incentive Adjustment'!F:F,'3. Incentive Adjustment'!A:A,tbl_Data_old[[#This Row],[Trimmed Sector]],'3. Incentive Adjustment'!B:B,tbl_Data_old[[#This Row],[Trimmed Measure Name]])</f>
        <v>79.715399999999988</v>
      </c>
      <c r="AU449" s="3">
        <f>IFERROR(VLOOKUP(tbl_Data_old[[#This Row],[All_Meas_Name_Append]],'IRA Tax Credits'!$A$3:$D$46,4,0),0)</f>
        <v>0</v>
      </c>
      <c r="AV449" s="4">
        <f>tbl_Data_old[[#This Row],[Adj. per unit Incentive ($)]]/tbl_Data_old[[#This Row],[kWh Savings]]*tbl_Data_old[[#This Row],[Sum of Annuals]]</f>
        <v>0</v>
      </c>
      <c r="AW449" s="4">
        <f>IFERROR(VLOOKUP(tbl_Data_old[[#This Row],[All_Programs]],'1. Set Program Names'!$B$2:$D$15,3,0)*tbl_Data_old[[#This Row],[Sum of Annuals]],"")</f>
        <v>0</v>
      </c>
      <c r="AX449" s="4">
        <f>tbl_Data_old[[#This Row],[per unit IRA tax ($)]]/tbl_Data_old[[#This Row],[kWh Savings]]*tbl_Data_old[[#This Row],[Sum of Annuals]]</f>
        <v>0</v>
      </c>
      <c r="AY449" s="4">
        <f>tbl_Data_old[[#This Row],[Avoided Costs ($/unit)]]/tbl_Data_old[[#This Row],[kWh Savings]]*tbl_Data_old[[#This Row],[Sum of Annuals]]</f>
        <v>0</v>
      </c>
      <c r="AZ449" s="4">
        <f>tbl_Data_old[[#This Row],[Lost Revenue ($/unit)]]/tbl_Data_old[[#This Row],[kWh Savings]]*tbl_Data_old[[#This Row],[Sum of Annuals]]</f>
        <v>0</v>
      </c>
      <c r="BA449" s="4">
        <f>tbl_Data_old[[#This Row],[Incremental Cost ($/unit)]]/tbl_Data_old[[#This Row],[kWh Savings]]*tbl_Data_old[[#This Row],[Sum of Annuals]]</f>
        <v>0</v>
      </c>
      <c r="BB449">
        <f>ROUNDUP(tbl_Data_old[[#This Row],[Adjusted 2025]]/$L449,0)</f>
        <v>0</v>
      </c>
      <c r="BC449">
        <f>ROUNDUP(tbl_Data_old[[#This Row],[Adjusted 2026]]/$L449,0)</f>
        <v>0</v>
      </c>
      <c r="BD449">
        <f>ROUNDUP(tbl_Data_old[[#This Row],[Adjusted 2027]]/$L449,0)</f>
        <v>0</v>
      </c>
      <c r="BE449">
        <f>ROUNDUP(tbl_Data_old[[#This Row],[Adjusted 2028]]/$L449,0)</f>
        <v>0</v>
      </c>
      <c r="BF449">
        <f>ROUNDUP(tbl_Data_old[[#This Row],[Adjusted 2029]]/$L449,0)</f>
        <v>0</v>
      </c>
      <c r="BG449">
        <f>ROUNDUP(tbl_Data_old[[#This Row],[Adjusted 2030]]/$L449,0)</f>
        <v>0</v>
      </c>
      <c r="BH449">
        <f>ROUNDUP(tbl_Data_old[[#This Row],[Adjusted 2031]]/$L449,0)</f>
        <v>0</v>
      </c>
      <c r="BI449">
        <f>ROUNDUP(tbl_Data_old[[#This Row],[Adjusted 2032]]/$L449,0)</f>
        <v>0</v>
      </c>
      <c r="BJ449">
        <f>ROUNDUP(tbl_Data_old[[#This Row],[Adjusted 2033]]/$L449,0)</f>
        <v>0</v>
      </c>
      <c r="BK449">
        <f>ROUNDUP(tbl_Data_old[[#This Row],[Adjusted 2034]]/$L449,0)</f>
        <v>0</v>
      </c>
      <c r="BL449" s="3">
        <f t="shared" si="29"/>
        <v>0</v>
      </c>
      <c r="BM449" s="3">
        <f t="shared" si="29"/>
        <v>0</v>
      </c>
      <c r="BN449" s="3">
        <f t="shared" si="29"/>
        <v>0</v>
      </c>
      <c r="BO449" s="3">
        <f t="shared" si="29"/>
        <v>0</v>
      </c>
      <c r="BP449" s="3">
        <f t="shared" si="29"/>
        <v>0</v>
      </c>
      <c r="BQ449" s="3">
        <f t="shared" si="29"/>
        <v>0</v>
      </c>
      <c r="BR449" s="3">
        <f t="shared" si="29"/>
        <v>0</v>
      </c>
      <c r="BS449" s="3">
        <f t="shared" si="29"/>
        <v>0</v>
      </c>
      <c r="BT449" s="3">
        <f t="shared" si="29"/>
        <v>0</v>
      </c>
      <c r="BU449" s="3">
        <f t="shared" si="29"/>
        <v>0</v>
      </c>
      <c r="BV449">
        <f>VLOOKUP($H449,'1. Set Program Names'!$B$2:$D$15,3,0)*V449</f>
        <v>0</v>
      </c>
      <c r="BW449">
        <f>VLOOKUP($H449,'1. Set Program Names'!$B$2:$D$15,3,0)*W449</f>
        <v>0</v>
      </c>
      <c r="BX449">
        <f>VLOOKUP($H449,'1. Set Program Names'!$B$2:$D$15,3,0)*X449</f>
        <v>0</v>
      </c>
      <c r="BY449">
        <f>VLOOKUP($H449,'1. Set Program Names'!$B$2:$D$15,3,0)*Y449</f>
        <v>0</v>
      </c>
      <c r="BZ449">
        <f>VLOOKUP($H449,'1. Set Program Names'!$B$2:$D$15,3,0)*Z449</f>
        <v>0</v>
      </c>
      <c r="CA449">
        <f>VLOOKUP($H449,'1. Set Program Names'!$B$2:$D$15,3,0)*AA449</f>
        <v>0</v>
      </c>
      <c r="CB449">
        <f>VLOOKUP($H449,'1. Set Program Names'!$B$2:$D$15,3,0)*AB449</f>
        <v>0</v>
      </c>
      <c r="CC449">
        <f>VLOOKUP($H449,'1. Set Program Names'!$B$2:$D$15,3,0)*AC449</f>
        <v>0</v>
      </c>
      <c r="CD449">
        <f>VLOOKUP($H449,'1. Set Program Names'!$B$2:$D$15,3,0)*AD449</f>
        <v>0</v>
      </c>
      <c r="CE449">
        <f>VLOOKUP($H449,'1. Set Program Names'!$B$2:$D$15,3,0)*AE449</f>
        <v>0</v>
      </c>
    </row>
    <row r="450" spans="1:83" x14ac:dyDescent="0.25">
      <c r="A450" s="20" t="s">
        <v>115</v>
      </c>
      <c r="B450" s="20" t="s">
        <v>88</v>
      </c>
      <c r="C450" s="20" t="s">
        <v>122</v>
      </c>
      <c r="D450" s="20" t="s">
        <v>90</v>
      </c>
      <c r="E450" s="20" t="s">
        <v>91</v>
      </c>
      <c r="F450" s="20" t="s">
        <v>90</v>
      </c>
      <c r="G450" s="20" t="s">
        <v>92</v>
      </c>
      <c r="H450" s="20" t="s">
        <v>18</v>
      </c>
      <c r="I450" s="20" t="s">
        <v>145</v>
      </c>
      <c r="J450" s="20" t="s">
        <v>129</v>
      </c>
      <c r="K450" s="20" t="s">
        <v>98</v>
      </c>
      <c r="L450" s="20">
        <v>1452.1399999999801</v>
      </c>
      <c r="M450" s="20">
        <v>0.33467704377742202</v>
      </c>
      <c r="N450" s="20">
        <v>4.3977319526113799E-2</v>
      </c>
      <c r="O450" s="20">
        <v>654.99999999999898</v>
      </c>
      <c r="P450" s="20">
        <v>358.56061649158102</v>
      </c>
      <c r="Q450" s="20">
        <v>45.957611580086699</v>
      </c>
      <c r="R450" s="20">
        <v>761.15206993055403</v>
      </c>
      <c r="S450" s="20">
        <v>1577.19839843259</v>
      </c>
      <c r="T450" s="20">
        <v>15</v>
      </c>
      <c r="U450" s="20">
        <v>0.94999999999999896</v>
      </c>
      <c r="V450" s="20">
        <v>2.9094475278799901</v>
      </c>
      <c r="W450" s="20">
        <v>6.1655364445071097</v>
      </c>
      <c r="X450" s="20">
        <v>9.7301469644316096</v>
      </c>
      <c r="Y450" s="20">
        <v>13.5837516300845</v>
      </c>
      <c r="Z450" s="20">
        <v>17.7051090359633</v>
      </c>
      <c r="AA450" s="20">
        <v>22.071294352906399</v>
      </c>
      <c r="AB450" s="20">
        <v>26.662127841980698</v>
      </c>
      <c r="AC450" s="20">
        <v>31.469259240319801</v>
      </c>
      <c r="AD450" s="20">
        <v>36.4896580362051</v>
      </c>
      <c r="AE450" s="20">
        <v>41.714692077386403</v>
      </c>
      <c r="AF450" t="str">
        <f t="shared" ref="AF450:AF513" si="30">IF(C450="Residential","Residential","NonResidential")</f>
        <v>NonResidential</v>
      </c>
      <c r="AG450" t="str">
        <f>tbl_Data_old[[#This Row],[All_Meas_Name_Append]]</f>
        <v>HE DX Less than 5.4 Tons Elect Heat</v>
      </c>
      <c r="AH450">
        <f>AVERAGEIFS('3. Incentive Adjustment'!G:G,'3. Incentive Adjustment'!A:A,tbl_Data_old[[#This Row],[Trimmed Sector]],'3. Incentive Adjustment'!B:B,tbl_Data_old[[#This Row],[Trimmed Measure Name]])</f>
        <v>0.74493198517309978</v>
      </c>
      <c r="AI450">
        <f>$AH450*tbl_Data_old[[#This Row],[2025 ]]</f>
        <v>2.1673405227006084</v>
      </c>
      <c r="AJ450">
        <f>$AH450*tbl_Data_old[[#This Row],[2026 ]]</f>
        <v>4.5929053032637768</v>
      </c>
      <c r="AK450">
        <f>$AH450*tbl_Data_old[[#This Row],[2027 ]]</f>
        <v>7.2482976942400494</v>
      </c>
      <c r="AL450">
        <f>$AH450*tbl_Data_old[[#This Row],[2028 ]]</f>
        <v>10.118971067897176</v>
      </c>
      <c r="AM450">
        <f>$AH450*tbl_Data_old[[#This Row],[2029 ]]</f>
        <v>13.189102021866328</v>
      </c>
      <c r="AN450">
        <f>$AH450*tbl_Data_old[[#This Row],[2030 ]]</f>
        <v>16.441613117650391</v>
      </c>
      <c r="AO450">
        <f>$AH450*tbl_Data_old[[#This Row],[2031 ]]</f>
        <v>19.861471822265656</v>
      </c>
      <c r="AP450">
        <f>$AH450*tbl_Data_old[[#This Row],[2032 ]]</f>
        <v>23.442457757818342</v>
      </c>
      <c r="AQ450">
        <f>$AH450*tbl_Data_old[[#This Row],[2033 ]]</f>
        <v>27.182313399197817</v>
      </c>
      <c r="AR450">
        <f>$AH450*tbl_Data_old[[#This Row],[2034 ]]</f>
        <v>31.07460838009203</v>
      </c>
      <c r="AS450">
        <f>SUM(tbl_Data_old[[#This Row],[Adjusted 2025]:[Adjusted 2034]])</f>
        <v>155.31908108699218</v>
      </c>
      <c r="AT450" s="3">
        <f>AVERAGEIFS('3. Incentive Adjustment'!F:F,'3. Incentive Adjustment'!A:A,tbl_Data_old[[#This Row],[Trimmed Sector]],'3. Incentive Adjustment'!B:B,tbl_Data_old[[#This Row],[Trimmed Measure Name]])</f>
        <v>196.49999999999969</v>
      </c>
      <c r="AU450" s="3">
        <f>IFERROR(VLOOKUP(tbl_Data_old[[#This Row],[All_Meas_Name_Append]],'IRA Tax Credits'!$A$3:$D$46,4,0),0)</f>
        <v>0</v>
      </c>
      <c r="AV450" s="4">
        <f>tbl_Data_old[[#This Row],[Adj. per unit Incentive ($)]]/tbl_Data_old[[#This Row],[kWh Savings]]*tbl_Data_old[[#This Row],[Sum of Annuals]]</f>
        <v>21.017394626960439</v>
      </c>
      <c r="AW450" s="4">
        <f>IFERROR(VLOOKUP(tbl_Data_old[[#This Row],[All_Programs]],'1. Set Program Names'!$B$2:$D$15,3,0)*tbl_Data_old[[#This Row],[Sum of Annuals]],"")</f>
        <v>4.9155687465203286</v>
      </c>
      <c r="AX450" s="4">
        <f>tbl_Data_old[[#This Row],[per unit IRA tax ($)]]/tbl_Data_old[[#This Row],[kWh Savings]]*tbl_Data_old[[#This Row],[Sum of Annuals]]</f>
        <v>0</v>
      </c>
      <c r="AY450" s="4">
        <f>tbl_Data_old[[#This Row],[Avoided Costs ($/unit)]]/tbl_Data_old[[#This Row],[kWh Savings]]*tbl_Data_old[[#This Row],[Sum of Annuals]]</f>
        <v>81.411874935665494</v>
      </c>
      <c r="AZ450" s="4">
        <f>tbl_Data_old[[#This Row],[Lost Revenue ($/unit)]]/tbl_Data_old[[#This Row],[kWh Savings]]*tbl_Data_old[[#This Row],[Sum of Annuals]]</f>
        <v>168.69517122070118</v>
      </c>
      <c r="BA450" s="4">
        <f>tbl_Data_old[[#This Row],[Incremental Cost ($/unit)]]/tbl_Data_old[[#This Row],[kWh Savings]]*tbl_Data_old[[#This Row],[Sum of Annuals]]</f>
        <v>70.057982089868133</v>
      </c>
      <c r="BB450">
        <f>ROUNDUP(tbl_Data_old[[#This Row],[Adjusted 2025]]/$L450,0)</f>
        <v>1</v>
      </c>
      <c r="BC450">
        <f>ROUNDUP(tbl_Data_old[[#This Row],[Adjusted 2026]]/$L450,0)</f>
        <v>1</v>
      </c>
      <c r="BD450">
        <f>ROUNDUP(tbl_Data_old[[#This Row],[Adjusted 2027]]/$L450,0)</f>
        <v>1</v>
      </c>
      <c r="BE450">
        <f>ROUNDUP(tbl_Data_old[[#This Row],[Adjusted 2028]]/$L450,0)</f>
        <v>1</v>
      </c>
      <c r="BF450">
        <f>ROUNDUP(tbl_Data_old[[#This Row],[Adjusted 2029]]/$L450,0)</f>
        <v>1</v>
      </c>
      <c r="BG450">
        <f>ROUNDUP(tbl_Data_old[[#This Row],[Adjusted 2030]]/$L450,0)</f>
        <v>1</v>
      </c>
      <c r="BH450">
        <f>ROUNDUP(tbl_Data_old[[#This Row],[Adjusted 2031]]/$L450,0)</f>
        <v>1</v>
      </c>
      <c r="BI450">
        <f>ROUNDUP(tbl_Data_old[[#This Row],[Adjusted 2032]]/$L450,0)</f>
        <v>1</v>
      </c>
      <c r="BJ450">
        <f>ROUNDUP(tbl_Data_old[[#This Row],[Adjusted 2033]]/$L450,0)</f>
        <v>1</v>
      </c>
      <c r="BK450">
        <f>ROUNDUP(tbl_Data_old[[#This Row],[Adjusted 2034]]/$L450,0)</f>
        <v>1</v>
      </c>
      <c r="BL450" s="3">
        <f t="shared" si="29"/>
        <v>0.39369925711599774</v>
      </c>
      <c r="BM450" s="3">
        <f t="shared" si="29"/>
        <v>0.83430517122705916</v>
      </c>
      <c r="BN450" s="3">
        <f t="shared" si="29"/>
        <v>1.3166594670698655</v>
      </c>
      <c r="BO450" s="3">
        <f t="shared" si="29"/>
        <v>1.8381197372922971</v>
      </c>
      <c r="BP450" s="3">
        <f t="shared" si="29"/>
        <v>2.3958116473389826</v>
      </c>
      <c r="BQ450" s="3">
        <f t="shared" si="29"/>
        <v>2.9866330659207514</v>
      </c>
      <c r="BR450" s="3">
        <f t="shared" si="29"/>
        <v>3.6078533205815351</v>
      </c>
      <c r="BS450" s="3">
        <f t="shared" si="29"/>
        <v>4.2583424743639835</v>
      </c>
      <c r="BT450" s="3">
        <f t="shared" si="29"/>
        <v>4.9376904459035549</v>
      </c>
      <c r="BU450" s="3">
        <f t="shared" si="29"/>
        <v>5.6447291536673649</v>
      </c>
      <c r="BV450">
        <f>VLOOKUP($H450,'1. Set Program Names'!$B$2:$D$15,3,0)*V450</f>
        <v>9.2078766096211837E-2</v>
      </c>
      <c r="BW450">
        <f>VLOOKUP($H450,'1. Set Program Names'!$B$2:$D$15,3,0)*W450</f>
        <v>0.19512810686265006</v>
      </c>
      <c r="BX450">
        <f>VLOOKUP($H450,'1. Set Program Names'!$B$2:$D$15,3,0)*X450</f>
        <v>0.30794159985160585</v>
      </c>
      <c r="BY450">
        <f>VLOOKUP($H450,'1. Set Program Names'!$B$2:$D$15,3,0)*Y450</f>
        <v>0.42990123625531812</v>
      </c>
      <c r="BZ450">
        <f>VLOOKUP($H450,'1. Set Program Names'!$B$2:$D$15,3,0)*Z450</f>
        <v>0.56033476390560877</v>
      </c>
      <c r="CA450">
        <f>VLOOKUP($H450,'1. Set Program Names'!$B$2:$D$15,3,0)*AA450</f>
        <v>0.69851665331210555</v>
      </c>
      <c r="CB450">
        <f>VLOOKUP($H450,'1. Set Program Names'!$B$2:$D$15,3,0)*AB450</f>
        <v>0.84380825213848065</v>
      </c>
      <c r="CC450">
        <f>VLOOKUP($H450,'1. Set Program Names'!$B$2:$D$15,3,0)*AC450</f>
        <v>0.99594528962750317</v>
      </c>
      <c r="CD450">
        <f>VLOOKUP($H450,'1. Set Program Names'!$B$2:$D$15,3,0)*AD450</f>
        <v>1.15483185554982</v>
      </c>
      <c r="CE450">
        <f>VLOOKUP($H450,'1. Set Program Names'!$B$2:$D$15,3,0)*AE450</f>
        <v>1.3201947578576849</v>
      </c>
    </row>
    <row r="451" spans="1:83" x14ac:dyDescent="0.25">
      <c r="A451" s="20" t="s">
        <v>115</v>
      </c>
      <c r="B451" s="20" t="s">
        <v>88</v>
      </c>
      <c r="C451" s="20" t="s">
        <v>122</v>
      </c>
      <c r="D451" s="20" t="s">
        <v>90</v>
      </c>
      <c r="E451" s="20" t="s">
        <v>91</v>
      </c>
      <c r="F451" s="20" t="s">
        <v>90</v>
      </c>
      <c r="G451" s="20" t="s">
        <v>92</v>
      </c>
      <c r="H451" s="20" t="s">
        <v>18</v>
      </c>
      <c r="I451" s="20" t="s">
        <v>146</v>
      </c>
      <c r="J451" s="20" t="s">
        <v>129</v>
      </c>
      <c r="K451" s="20" t="s">
        <v>98</v>
      </c>
      <c r="L451" s="20">
        <v>23719.439999999999</v>
      </c>
      <c r="M451" s="20">
        <v>5.4597690026648404</v>
      </c>
      <c r="N451" s="20">
        <v>0</v>
      </c>
      <c r="O451" s="20">
        <v>11386</v>
      </c>
      <c r="P451" s="20">
        <v>6681.8656442185202</v>
      </c>
      <c r="Q451" s="20">
        <v>750.67749006099905</v>
      </c>
      <c r="R451" s="20">
        <v>13758.6347393458</v>
      </c>
      <c r="S451" s="20">
        <v>32663.358650317699</v>
      </c>
      <c r="T451" s="20">
        <v>23</v>
      </c>
      <c r="U451" s="20">
        <v>1</v>
      </c>
      <c r="V451" s="20">
        <v>5.0440584111094298</v>
      </c>
      <c r="W451" s="20">
        <v>10.690473321461401</v>
      </c>
      <c r="X451" s="20">
        <v>16.884700953381401</v>
      </c>
      <c r="Y451" s="20">
        <v>23.595268021796802</v>
      </c>
      <c r="Z451" s="20">
        <v>30.782151318764601</v>
      </c>
      <c r="AA451" s="20">
        <v>38.407230516457297</v>
      </c>
      <c r="AB451" s="20">
        <v>46.431147944624399</v>
      </c>
      <c r="AC451" s="20">
        <v>54.835868342841998</v>
      </c>
      <c r="AD451" s="20">
        <v>63.620530455080903</v>
      </c>
      <c r="AE451" s="20">
        <v>72.766121123984107</v>
      </c>
      <c r="AF451" t="str">
        <f t="shared" si="30"/>
        <v>NonResidential</v>
      </c>
      <c r="AG451" t="str">
        <f>tbl_Data_old[[#This Row],[All_Meas_Name_Append]]</f>
        <v>HE Water Cooled Chiller - Centrifugal Compressor - 200 Tons</v>
      </c>
      <c r="AH451">
        <f>AVERAGEIFS('3. Incentive Adjustment'!G:G,'3. Incentive Adjustment'!A:A,tbl_Data_old[[#This Row],[Trimmed Sector]],'3. Incentive Adjustment'!B:B,tbl_Data_old[[#This Row],[Trimmed Measure Name]])</f>
        <v>0.69536855707903378</v>
      </c>
      <c r="AI451">
        <f>$AH451*tbl_Data_old[[#This Row],[2025 ]]</f>
        <v>3.5074796191555278</v>
      </c>
      <c r="AJ451">
        <f>$AH451*tbl_Data_old[[#This Row],[2026 ]]</f>
        <v>7.4338190080365196</v>
      </c>
      <c r="AK451">
        <f>$AH451*tbl_Data_old[[#This Row],[2027 ]]</f>
        <v>11.741090138663811</v>
      </c>
      <c r="AL451">
        <f>$AH451*tbl_Data_old[[#This Row],[2028 ]]</f>
        <v>16.407407478209908</v>
      </c>
      <c r="AM451">
        <f>$AH451*tbl_Data_old[[#This Row],[2029 ]]</f>
        <v>21.404940146317816</v>
      </c>
      <c r="AN451">
        <f>$AH451*tbl_Data_old[[#This Row],[2030 ]]</f>
        <v>26.707180465630742</v>
      </c>
      <c r="AO451">
        <f>$AH451*tbl_Data_old[[#This Row],[2031 ]]</f>
        <v>32.286760349776614</v>
      </c>
      <c r="AP451">
        <f>$AH451*tbl_Data_old[[#This Row],[2032 ]]</f>
        <v>38.131138645737906</v>
      </c>
      <c r="AQ451">
        <f>$AH451*tbl_Data_old[[#This Row],[2033 ]]</f>
        <v>44.239716463152334</v>
      </c>
      <c r="AR451">
        <f>$AH451*tbl_Data_old[[#This Row],[2034 ]]</f>
        <v>50.599272650223028</v>
      </c>
      <c r="AS451">
        <f>SUM(tbl_Data_old[[#This Row],[Adjusted 2025]:[Adjusted 2034]])</f>
        <v>252.45880496490423</v>
      </c>
      <c r="AT451" s="3">
        <f>AVERAGEIFS('3. Incentive Adjustment'!F:F,'3. Incentive Adjustment'!A:A,tbl_Data_old[[#This Row],[Trimmed Sector]],'3. Incentive Adjustment'!B:B,tbl_Data_old[[#This Row],[Trimmed Measure Name]])</f>
        <v>3415.7999999999997</v>
      </c>
      <c r="AU451" s="3">
        <f>IFERROR(VLOOKUP(tbl_Data_old[[#This Row],[All_Meas_Name_Append]],'IRA Tax Credits'!$A$3:$D$46,4,0),0)</f>
        <v>0</v>
      </c>
      <c r="AV451" s="4">
        <f>tbl_Data_old[[#This Row],[Adj. per unit Incentive ($)]]/tbl_Data_old[[#This Row],[kWh Savings]]*tbl_Data_old[[#This Row],[Sum of Annuals]]</f>
        <v>36.356203434782607</v>
      </c>
      <c r="AW451" s="4">
        <f>IFERROR(VLOOKUP(tbl_Data_old[[#This Row],[All_Programs]],'1. Set Program Names'!$B$2:$D$15,3,0)*tbl_Data_old[[#This Row],[Sum of Annuals]],"")</f>
        <v>7.9898657832922577</v>
      </c>
      <c r="AX451" s="4">
        <f>tbl_Data_old[[#This Row],[per unit IRA tax ($)]]/tbl_Data_old[[#This Row],[kWh Savings]]*tbl_Data_old[[#This Row],[Sum of Annuals]]</f>
        <v>0</v>
      </c>
      <c r="AY451" s="4">
        <f>tbl_Data_old[[#This Row],[Avoided Costs ($/unit)]]/tbl_Data_old[[#This Row],[kWh Savings]]*tbl_Data_old[[#This Row],[Sum of Annuals]]</f>
        <v>146.44057719085518</v>
      </c>
      <c r="AZ451" s="4">
        <f>tbl_Data_old[[#This Row],[Lost Revenue ($/unit)]]/tbl_Data_old[[#This Row],[kWh Savings]]*tbl_Data_old[[#This Row],[Sum of Annuals]]</f>
        <v>347.65375957439443</v>
      </c>
      <c r="BA451" s="4">
        <f>tbl_Data_old[[#This Row],[Incremental Cost ($/unit)]]/tbl_Data_old[[#This Row],[kWh Savings]]*tbl_Data_old[[#This Row],[Sum of Annuals]]</f>
        <v>121.18734478260869</v>
      </c>
      <c r="BB451">
        <f>ROUNDUP(tbl_Data_old[[#This Row],[Adjusted 2025]]/$L451,0)</f>
        <v>1</v>
      </c>
      <c r="BC451">
        <f>ROUNDUP(tbl_Data_old[[#This Row],[Adjusted 2026]]/$L451,0)</f>
        <v>1</v>
      </c>
      <c r="BD451">
        <f>ROUNDUP(tbl_Data_old[[#This Row],[Adjusted 2027]]/$L451,0)</f>
        <v>1</v>
      </c>
      <c r="BE451">
        <f>ROUNDUP(tbl_Data_old[[#This Row],[Adjusted 2028]]/$L451,0)</f>
        <v>1</v>
      </c>
      <c r="BF451">
        <f>ROUNDUP(tbl_Data_old[[#This Row],[Adjusted 2029]]/$L451,0)</f>
        <v>1</v>
      </c>
      <c r="BG451">
        <f>ROUNDUP(tbl_Data_old[[#This Row],[Adjusted 2030]]/$L451,0)</f>
        <v>1</v>
      </c>
      <c r="BH451">
        <f>ROUNDUP(tbl_Data_old[[#This Row],[Adjusted 2031]]/$L451,0)</f>
        <v>1</v>
      </c>
      <c r="BI451">
        <f>ROUNDUP(tbl_Data_old[[#This Row],[Adjusted 2032]]/$L451,0)</f>
        <v>1</v>
      </c>
      <c r="BJ451">
        <f>ROUNDUP(tbl_Data_old[[#This Row],[Adjusted 2033]]/$L451,0)</f>
        <v>1</v>
      </c>
      <c r="BK451">
        <f>ROUNDUP(tbl_Data_old[[#This Row],[Adjusted 2034]]/$L451,0)</f>
        <v>1</v>
      </c>
      <c r="BL451" s="3">
        <f t="shared" si="29"/>
        <v>0.72638707830655325</v>
      </c>
      <c r="BM451" s="3">
        <f t="shared" si="29"/>
        <v>1.5395185877680018</v>
      </c>
      <c r="BN451" s="3">
        <f t="shared" si="29"/>
        <v>2.4315397630197082</v>
      </c>
      <c r="BO451" s="3">
        <f t="shared" si="29"/>
        <v>3.3979181847823354</v>
      </c>
      <c r="BP451" s="3">
        <f t="shared" si="29"/>
        <v>4.4328901725604029</v>
      </c>
      <c r="BQ451" s="3">
        <f t="shared" ref="BQ451:BU482" si="31">$AT451/$L451*AA451</f>
        <v>5.530966076691306</v>
      </c>
      <c r="BR451" s="3">
        <f t="shared" si="31"/>
        <v>6.6864780597369933</v>
      </c>
      <c r="BS451" s="3">
        <f t="shared" si="31"/>
        <v>7.8968288916382381</v>
      </c>
      <c r="BT451" s="3">
        <f t="shared" si="31"/>
        <v>9.1618945442415729</v>
      </c>
      <c r="BU451" s="3">
        <f t="shared" si="31"/>
        <v>10.478936962057491</v>
      </c>
      <c r="BV451">
        <f>VLOOKUP($H451,'1. Set Program Names'!$B$2:$D$15,3,0)*V451</f>
        <v>0.15963535006613563</v>
      </c>
      <c r="BW451">
        <f>VLOOKUP($H451,'1. Set Program Names'!$B$2:$D$15,3,0)*W451</f>
        <v>0.33833419678199489</v>
      </c>
      <c r="BX451">
        <f>VLOOKUP($H451,'1. Set Program Names'!$B$2:$D$15,3,0)*X451</f>
        <v>0.53437032797211548</v>
      </c>
      <c r="BY451">
        <f>VLOOKUP($H451,'1. Set Program Names'!$B$2:$D$15,3,0)*Y451</f>
        <v>0.74674767093653927</v>
      </c>
      <c r="BZ451">
        <f>VLOOKUP($H451,'1. Set Program Names'!$B$2:$D$15,3,0)*Z451</f>
        <v>0.97419956333910485</v>
      </c>
      <c r="CA451">
        <f>VLOOKUP($H451,'1. Set Program Names'!$B$2:$D$15,3,0)*AA451</f>
        <v>1.2155195655668258</v>
      </c>
      <c r="CB451">
        <f>VLOOKUP($H451,'1. Set Program Names'!$B$2:$D$15,3,0)*AB451</f>
        <v>1.4694620783509889</v>
      </c>
      <c r="CC451">
        <f>VLOOKUP($H451,'1. Set Program Names'!$B$2:$D$15,3,0)*AC451</f>
        <v>1.7354563182317986</v>
      </c>
      <c r="CD451">
        <f>VLOOKUP($H451,'1. Set Program Names'!$B$2:$D$15,3,0)*AD451</f>
        <v>2.013475028009494</v>
      </c>
      <c r="CE451">
        <f>VLOOKUP($H451,'1. Set Program Names'!$B$2:$D$15,3,0)*AE451</f>
        <v>2.3029164755503109</v>
      </c>
    </row>
    <row r="452" spans="1:83" x14ac:dyDescent="0.25">
      <c r="A452" s="20" t="s">
        <v>115</v>
      </c>
      <c r="B452" s="20" t="s">
        <v>88</v>
      </c>
      <c r="C452" s="20" t="s">
        <v>122</v>
      </c>
      <c r="D452" s="20" t="s">
        <v>90</v>
      </c>
      <c r="E452" s="20" t="s">
        <v>91</v>
      </c>
      <c r="F452" s="20" t="s">
        <v>90</v>
      </c>
      <c r="G452" s="20" t="s">
        <v>92</v>
      </c>
      <c r="H452" s="20" t="s">
        <v>18</v>
      </c>
      <c r="I452" s="20" t="s">
        <v>147</v>
      </c>
      <c r="J452" s="20" t="s">
        <v>129</v>
      </c>
      <c r="K452" s="20" t="s">
        <v>98</v>
      </c>
      <c r="L452" s="20">
        <v>51564</v>
      </c>
      <c r="M452" s="20">
        <v>11.869063049271301</v>
      </c>
      <c r="N452" s="20">
        <v>0</v>
      </c>
      <c r="O452" s="20">
        <v>19806</v>
      </c>
      <c r="P452" s="20">
        <v>9503.5476574024997</v>
      </c>
      <c r="Q452" s="20">
        <v>1631.9075870891199</v>
      </c>
      <c r="R452" s="20">
        <v>29910.075520317099</v>
      </c>
      <c r="S452" s="20">
        <v>71007.301413734196</v>
      </c>
      <c r="T452" s="20">
        <v>23</v>
      </c>
      <c r="U452" s="20">
        <v>1</v>
      </c>
      <c r="V452" s="20">
        <v>4.9159388235362398</v>
      </c>
      <c r="W452" s="20">
        <v>10.4287486221954</v>
      </c>
      <c r="X452" s="20">
        <v>16.4861129763046</v>
      </c>
      <c r="Y452" s="20">
        <v>23.0578459442712</v>
      </c>
      <c r="Z452" s="20">
        <v>30.105082019139601</v>
      </c>
      <c r="AA452" s="20">
        <v>37.590552245790597</v>
      </c>
      <c r="AB452" s="20">
        <v>45.4755595923301</v>
      </c>
      <c r="AC452" s="20">
        <v>53.7422090850147</v>
      </c>
      <c r="AD452" s="20">
        <v>62.389430555055</v>
      </c>
      <c r="AE452" s="20">
        <v>71.398249962328904</v>
      </c>
      <c r="AF452" t="str">
        <f t="shared" si="30"/>
        <v>NonResidential</v>
      </c>
      <c r="AG452" t="str">
        <f>tbl_Data_old[[#This Row],[All_Meas_Name_Append]]</f>
        <v>HE Water Cooled Chiller - Centrifugal Compressor - 500 Tons</v>
      </c>
      <c r="AH452">
        <f>AVERAGEIFS('3. Incentive Adjustment'!G:G,'3. Incentive Adjustment'!A:A,tbl_Data_old[[#This Row],[Trimmed Sector]],'3. Incentive Adjustment'!B:B,tbl_Data_old[[#This Row],[Trimmed Measure Name]])</f>
        <v>0.83338953851620801</v>
      </c>
      <c r="AI452">
        <f>$AH452*tbl_Data_old[[#This Row],[2025 ]]</f>
        <v>4.0968919875207774</v>
      </c>
      <c r="AJ452">
        <f>$AH452*tbl_Data_old[[#This Row],[2026 ]]</f>
        <v>8.6912100015529639</v>
      </c>
      <c r="AK452">
        <f>$AH452*tbl_Data_old[[#This Row],[2027 ]]</f>
        <v>13.739354085248559</v>
      </c>
      <c r="AL452">
        <f>$AH452*tbl_Data_old[[#This Row],[2028 ]]</f>
        <v>19.216167590673994</v>
      </c>
      <c r="AM452">
        <f>$AH452*tbl_Data_old[[#This Row],[2029 ]]</f>
        <v>25.089260410923345</v>
      </c>
      <c r="AN452">
        <f>$AH452*tbl_Data_old[[#This Row],[2030 ]]</f>
        <v>31.327572988688832</v>
      </c>
      <c r="AO452">
        <f>$AH452*tbl_Data_old[[#This Row],[2031 ]]</f>
        <v>37.898855622418296</v>
      </c>
      <c r="AP452">
        <f>$AH452*tbl_Data_old[[#This Row],[2032 ]]</f>
        <v>44.788194828201959</v>
      </c>
      <c r="AQ452">
        <f>$AH452*tbl_Data_old[[#This Row],[2033 ]]</f>
        <v>51.994698738566292</v>
      </c>
      <c r="AR452">
        <f>$AH452*tbl_Data_old[[#This Row],[2034 ]]</f>
        <v>59.502554586970149</v>
      </c>
      <c r="AS452">
        <f>SUM(tbl_Data_old[[#This Row],[Adjusted 2025]:[Adjusted 2034]])</f>
        <v>296.34476084076516</v>
      </c>
      <c r="AT452" s="3">
        <f>AVERAGEIFS('3. Incentive Adjustment'!F:F,'3. Incentive Adjustment'!A:A,tbl_Data_old[[#This Row],[Trimmed Sector]],'3. Incentive Adjustment'!B:B,tbl_Data_old[[#This Row],[Trimmed Measure Name]])</f>
        <v>5941.8</v>
      </c>
      <c r="AU452" s="3">
        <f>IFERROR(VLOOKUP(tbl_Data_old[[#This Row],[All_Meas_Name_Append]],'IRA Tax Credits'!$A$3:$D$46,4,0),0)</f>
        <v>0</v>
      </c>
      <c r="AV452" s="4">
        <f>tbl_Data_old[[#This Row],[Adj. per unit Incentive ($)]]/tbl_Data_old[[#This Row],[kWh Savings]]*tbl_Data_old[[#This Row],[Sum of Annuals]]</f>
        <v>34.148268170887796</v>
      </c>
      <c r="AW452" s="4">
        <f>IFERROR(VLOOKUP(tbl_Data_old[[#This Row],[All_Programs]],'1. Set Program Names'!$B$2:$D$15,3,0)*tbl_Data_old[[#This Row],[Sum of Annuals]],"")</f>
        <v>9.378777123771588</v>
      </c>
      <c r="AX452" s="4">
        <f>tbl_Data_old[[#This Row],[per unit IRA tax ($)]]/tbl_Data_old[[#This Row],[kWh Savings]]*tbl_Data_old[[#This Row],[Sum of Annuals]]</f>
        <v>0</v>
      </c>
      <c r="AY452" s="4">
        <f>tbl_Data_old[[#This Row],[Avoided Costs ($/unit)]]/tbl_Data_old[[#This Row],[kWh Savings]]*tbl_Data_old[[#This Row],[Sum of Annuals]]</f>
        <v>171.89694703276695</v>
      </c>
      <c r="AZ452" s="4">
        <f>tbl_Data_old[[#This Row],[Lost Revenue ($/unit)]]/tbl_Data_old[[#This Row],[kWh Savings]]*tbl_Data_old[[#This Row],[Sum of Annuals]]</f>
        <v>408.08784724616373</v>
      </c>
      <c r="BA452" s="4">
        <f>tbl_Data_old[[#This Row],[Incremental Cost ($/unit)]]/tbl_Data_old[[#This Row],[kWh Savings]]*tbl_Data_old[[#This Row],[Sum of Annuals]]</f>
        <v>113.827560569626</v>
      </c>
      <c r="BB452">
        <f>ROUNDUP(tbl_Data_old[[#This Row],[Adjusted 2025]]/$L452,0)</f>
        <v>1</v>
      </c>
      <c r="BC452">
        <f>ROUNDUP(tbl_Data_old[[#This Row],[Adjusted 2026]]/$L452,0)</f>
        <v>1</v>
      </c>
      <c r="BD452">
        <f>ROUNDUP(tbl_Data_old[[#This Row],[Adjusted 2027]]/$L452,0)</f>
        <v>1</v>
      </c>
      <c r="BE452">
        <f>ROUNDUP(tbl_Data_old[[#This Row],[Adjusted 2028]]/$L452,0)</f>
        <v>1</v>
      </c>
      <c r="BF452">
        <f>ROUNDUP(tbl_Data_old[[#This Row],[Adjusted 2029]]/$L452,0)</f>
        <v>1</v>
      </c>
      <c r="BG452">
        <f>ROUNDUP(tbl_Data_old[[#This Row],[Adjusted 2030]]/$L452,0)</f>
        <v>1</v>
      </c>
      <c r="BH452">
        <f>ROUNDUP(tbl_Data_old[[#This Row],[Adjusted 2031]]/$L452,0)</f>
        <v>1</v>
      </c>
      <c r="BI452">
        <f>ROUNDUP(tbl_Data_old[[#This Row],[Adjusted 2032]]/$L452,0)</f>
        <v>1</v>
      </c>
      <c r="BJ452">
        <f>ROUNDUP(tbl_Data_old[[#This Row],[Adjusted 2033]]/$L452,0)</f>
        <v>1</v>
      </c>
      <c r="BK452">
        <f>ROUNDUP(tbl_Data_old[[#This Row],[Adjusted 2034]]/$L452,0)</f>
        <v>1</v>
      </c>
      <c r="BL452" s="3">
        <f t="shared" ref="BL452:BU483" si="32">$AT452/$L452*V452</f>
        <v>0.56647128426203608</v>
      </c>
      <c r="BM452" s="3">
        <f t="shared" si="32"/>
        <v>1.2017209402560047</v>
      </c>
      <c r="BN452" s="3">
        <f t="shared" si="32"/>
        <v>1.8997204654915576</v>
      </c>
      <c r="BO452" s="3">
        <f t="shared" si="32"/>
        <v>2.6569914869224771</v>
      </c>
      <c r="BP452" s="3">
        <f t="shared" si="32"/>
        <v>3.4690554716725561</v>
      </c>
      <c r="BQ452" s="3">
        <f t="shared" si="31"/>
        <v>4.3316178600193656</v>
      </c>
      <c r="BR452" s="3">
        <f t="shared" si="31"/>
        <v>5.2402195327303351</v>
      </c>
      <c r="BS452" s="3">
        <f t="shared" si="31"/>
        <v>6.1927984241203227</v>
      </c>
      <c r="BT452" s="3">
        <f t="shared" si="31"/>
        <v>7.1892312169735826</v>
      </c>
      <c r="BU452" s="3">
        <f t="shared" si="31"/>
        <v>8.2273315031061571</v>
      </c>
      <c r="BV452">
        <f>VLOOKUP($H452,'1. Set Program Names'!$B$2:$D$15,3,0)*V452</f>
        <v>0.1555805962259483</v>
      </c>
      <c r="BW452">
        <f>VLOOKUP($H452,'1. Set Program Names'!$B$2:$D$15,3,0)*W452</f>
        <v>0.33005108215821072</v>
      </c>
      <c r="BX452">
        <f>VLOOKUP($H452,'1. Set Program Names'!$B$2:$D$15,3,0)*X452</f>
        <v>0.52175573748429183</v>
      </c>
      <c r="BY452">
        <f>VLOOKUP($H452,'1. Set Program Names'!$B$2:$D$15,3,0)*Y452</f>
        <v>0.72973923160322085</v>
      </c>
      <c r="BZ452">
        <f>VLOOKUP($H452,'1. Set Program Names'!$B$2:$D$15,3,0)*Z452</f>
        <v>0.95277154132678699</v>
      </c>
      <c r="CA452">
        <f>VLOOKUP($H452,'1. Set Program Names'!$B$2:$D$15,3,0)*AA452</f>
        <v>1.189673171452486</v>
      </c>
      <c r="CB452">
        <f>VLOOKUP($H452,'1. Set Program Names'!$B$2:$D$15,3,0)*AB452</f>
        <v>1.4392194307239028</v>
      </c>
      <c r="CC452">
        <f>VLOOKUP($H452,'1. Set Program Names'!$B$2:$D$15,3,0)*AC452</f>
        <v>1.7008439755016256</v>
      </c>
      <c r="CD452">
        <f>VLOOKUP($H452,'1. Set Program Names'!$B$2:$D$15,3,0)*AD452</f>
        <v>1.9745129368738772</v>
      </c>
      <c r="CE452">
        <f>VLOOKUP($H452,'1. Set Program Names'!$B$2:$D$15,3,0)*AE452</f>
        <v>2.2596258206968174</v>
      </c>
    </row>
    <row r="453" spans="1:83" x14ac:dyDescent="0.25">
      <c r="A453" s="20" t="s">
        <v>115</v>
      </c>
      <c r="B453" s="20" t="s">
        <v>88</v>
      </c>
      <c r="C453" s="20" t="s">
        <v>122</v>
      </c>
      <c r="D453" s="20" t="s">
        <v>90</v>
      </c>
      <c r="E453" s="20" t="s">
        <v>91</v>
      </c>
      <c r="F453" s="20" t="s">
        <v>90</v>
      </c>
      <c r="G453" s="20" t="s">
        <v>92</v>
      </c>
      <c r="H453" s="20" t="s">
        <v>18</v>
      </c>
      <c r="I453" s="20" t="s">
        <v>148</v>
      </c>
      <c r="J453" s="20" t="s">
        <v>129</v>
      </c>
      <c r="K453" s="20" t="s">
        <v>98</v>
      </c>
      <c r="L453" s="20">
        <v>552.51399999999899</v>
      </c>
      <c r="M453" s="20">
        <v>0.19160575593909501</v>
      </c>
      <c r="N453" s="20">
        <v>0</v>
      </c>
      <c r="O453" s="20">
        <v>129</v>
      </c>
      <c r="P453" s="20">
        <v>16.0943430226503</v>
      </c>
      <c r="Q453" s="20">
        <v>17.486071456306</v>
      </c>
      <c r="R453" s="20">
        <v>212.35909497904299</v>
      </c>
      <c r="S453" s="20">
        <v>383.33946557666002</v>
      </c>
      <c r="T453" s="20">
        <v>8</v>
      </c>
      <c r="U453" s="20">
        <v>1</v>
      </c>
      <c r="V453" s="20">
        <v>245.45574035392301</v>
      </c>
      <c r="W453" s="20">
        <v>520.75037118232797</v>
      </c>
      <c r="X453" s="20">
        <v>822.89129842247905</v>
      </c>
      <c r="Y453" s="20">
        <v>1150.2975521271401</v>
      </c>
      <c r="Z453" s="20">
        <v>1501.1390368897601</v>
      </c>
      <c r="AA453" s="20">
        <v>1873.50084417935</v>
      </c>
      <c r="AB453" s="20">
        <v>2265.5951863969499</v>
      </c>
      <c r="AC453" s="20">
        <v>2676.64521248342</v>
      </c>
      <c r="AD453" s="20">
        <v>2860.9938366265101</v>
      </c>
      <c r="AE453" s="20">
        <v>3033.4426033001801</v>
      </c>
      <c r="AF453" t="str">
        <f t="shared" si="30"/>
        <v>NonResidential</v>
      </c>
      <c r="AG453" t="str">
        <f>tbl_Data_old[[#This Row],[All_Meas_Name_Append]]</f>
        <v>High Efficiency PTAC</v>
      </c>
      <c r="AH453">
        <f>AVERAGEIFS('3. Incentive Adjustment'!G:G,'3. Incentive Adjustment'!A:A,tbl_Data_old[[#This Row],[Trimmed Sector]],'3. Incentive Adjustment'!B:B,tbl_Data_old[[#This Row],[Trimmed Measure Name]])</f>
        <v>1.1757614296438725</v>
      </c>
      <c r="AI453">
        <f>$AH453*tbl_Data_old[[#This Row],[2025 ]]</f>
        <v>288.59739219282369</v>
      </c>
      <c r="AJ453">
        <f>$AH453*tbl_Data_old[[#This Row],[2026 ]]</f>
        <v>612.27820090891123</v>
      </c>
      <c r="AK453">
        <f>$AH453*tbl_Data_old[[#This Row],[2027 ]]</f>
        <v>967.52384947471649</v>
      </c>
      <c r="AL453">
        <f>$AH453*tbl_Data_old[[#This Row],[2028 ]]</f>
        <v>1352.4754944048532</v>
      </c>
      <c r="AM453">
        <f>$AH453*tbl_Data_old[[#This Row],[2029 ]]</f>
        <v>1764.9813801077303</v>
      </c>
      <c r="AN453">
        <f>$AH453*tbl_Data_old[[#This Row],[2030 ]]</f>
        <v>2202.7900309913148</v>
      </c>
      <c r="AO453">
        <f>$AH453*tbl_Data_old[[#This Row],[2031 ]]</f>
        <v>2663.7994353523536</v>
      </c>
      <c r="AP453">
        <f>$AH453*tbl_Data_old[[#This Row],[2032 ]]</f>
        <v>3147.0962016789326</v>
      </c>
      <c r="AQ453">
        <f>$AH453*tbl_Data_old[[#This Row],[2033 ]]</f>
        <v>3363.8462035542934</v>
      </c>
      <c r="AR453">
        <f>$AH453*tbl_Data_old[[#This Row],[2034 ]]</f>
        <v>3566.60481199885</v>
      </c>
      <c r="AS453">
        <f>SUM(tbl_Data_old[[#This Row],[Adjusted 2025]:[Adjusted 2034]])</f>
        <v>19929.993000664777</v>
      </c>
      <c r="AT453" s="3">
        <f>AVERAGEIFS('3. Incentive Adjustment'!F:F,'3. Incentive Adjustment'!A:A,tbl_Data_old[[#This Row],[Trimmed Sector]],'3. Incentive Adjustment'!B:B,tbl_Data_old[[#This Row],[Trimmed Measure Name]])</f>
        <v>50</v>
      </c>
      <c r="AU453" s="3">
        <f>IFERROR(VLOOKUP(tbl_Data_old[[#This Row],[All_Meas_Name_Append]],'IRA Tax Credits'!$A$3:$D$46,4,0),0)</f>
        <v>0</v>
      </c>
      <c r="AV453" s="4">
        <f>tbl_Data_old[[#This Row],[Adj. per unit Incentive ($)]]/tbl_Data_old[[#This Row],[kWh Savings]]*tbl_Data_old[[#This Row],[Sum of Annuals]]</f>
        <v>1803.573574666417</v>
      </c>
      <c r="AW453" s="4">
        <f>IFERROR(VLOOKUP(tbl_Data_old[[#This Row],[All_Programs]],'1. Set Program Names'!$B$2:$D$15,3,0)*tbl_Data_old[[#This Row],[Sum of Annuals]],"")</f>
        <v>630.74832806644349</v>
      </c>
      <c r="AX453" s="4">
        <f>tbl_Data_old[[#This Row],[per unit IRA tax ($)]]/tbl_Data_old[[#This Row],[kWh Savings]]*tbl_Data_old[[#This Row],[Sum of Annuals]]</f>
        <v>0</v>
      </c>
      <c r="AY453" s="4">
        <f>tbl_Data_old[[#This Row],[Avoided Costs ($/unit)]]/tbl_Data_old[[#This Row],[kWh Savings]]*tbl_Data_old[[#This Row],[Sum of Annuals]]</f>
        <v>7660.1050408855544</v>
      </c>
      <c r="AZ453" s="4">
        <f>tbl_Data_old[[#This Row],[Lost Revenue ($/unit)]]/tbl_Data_old[[#This Row],[kWh Savings]]*tbl_Data_old[[#This Row],[Sum of Annuals]]</f>
        <v>13827.618604816213</v>
      </c>
      <c r="BA453" s="4">
        <f>tbl_Data_old[[#This Row],[Incremental Cost ($/unit)]]/tbl_Data_old[[#This Row],[kWh Savings]]*tbl_Data_old[[#This Row],[Sum of Annuals]]</f>
        <v>4653.2198226393557</v>
      </c>
      <c r="BB453">
        <f>ROUNDUP(tbl_Data_old[[#This Row],[Adjusted 2025]]/$L453,0)</f>
        <v>1</v>
      </c>
      <c r="BC453">
        <f>ROUNDUP(tbl_Data_old[[#This Row],[Adjusted 2026]]/$L453,0)</f>
        <v>2</v>
      </c>
      <c r="BD453">
        <f>ROUNDUP(tbl_Data_old[[#This Row],[Adjusted 2027]]/$L453,0)</f>
        <v>2</v>
      </c>
      <c r="BE453">
        <f>ROUNDUP(tbl_Data_old[[#This Row],[Adjusted 2028]]/$L453,0)</f>
        <v>3</v>
      </c>
      <c r="BF453">
        <f>ROUNDUP(tbl_Data_old[[#This Row],[Adjusted 2029]]/$L453,0)</f>
        <v>4</v>
      </c>
      <c r="BG453">
        <f>ROUNDUP(tbl_Data_old[[#This Row],[Adjusted 2030]]/$L453,0)</f>
        <v>4</v>
      </c>
      <c r="BH453">
        <f>ROUNDUP(tbl_Data_old[[#This Row],[Adjusted 2031]]/$L453,0)</f>
        <v>5</v>
      </c>
      <c r="BI453">
        <f>ROUNDUP(tbl_Data_old[[#This Row],[Adjusted 2032]]/$L453,0)</f>
        <v>6</v>
      </c>
      <c r="BJ453">
        <f>ROUNDUP(tbl_Data_old[[#This Row],[Adjusted 2033]]/$L453,0)</f>
        <v>7</v>
      </c>
      <c r="BK453">
        <f>ROUNDUP(tbl_Data_old[[#This Row],[Adjusted 2034]]/$L453,0)</f>
        <v>7</v>
      </c>
      <c r="BL453" s="3">
        <f t="shared" si="32"/>
        <v>22.212626318421204</v>
      </c>
      <c r="BM453" s="3">
        <f t="shared" si="32"/>
        <v>47.125536292503803</v>
      </c>
      <c r="BN453" s="3">
        <f t="shared" si="32"/>
        <v>74.467913792454183</v>
      </c>
      <c r="BO453" s="3">
        <f t="shared" si="32"/>
        <v>104.09668824022036</v>
      </c>
      <c r="BP453" s="3">
        <f t="shared" si="32"/>
        <v>135.84624433858355</v>
      </c>
      <c r="BQ453" s="3">
        <f t="shared" si="31"/>
        <v>169.5432915889329</v>
      </c>
      <c r="BR453" s="3">
        <f t="shared" si="31"/>
        <v>205.0260433579017</v>
      </c>
      <c r="BS453" s="3">
        <f t="shared" si="31"/>
        <v>242.2241981636144</v>
      </c>
      <c r="BT453" s="3">
        <f t="shared" si="31"/>
        <v>258.90690884090861</v>
      </c>
      <c r="BU453" s="3">
        <f t="shared" si="31"/>
        <v>274.51273662750498</v>
      </c>
      <c r="BV453">
        <f>VLOOKUP($H453,'1. Set Program Names'!$B$2:$D$15,3,0)*V453</f>
        <v>7.7682314207227199</v>
      </c>
      <c r="BW453">
        <f>VLOOKUP($H453,'1. Set Program Names'!$B$2:$D$15,3,0)*W453</f>
        <v>16.480809900549247</v>
      </c>
      <c r="BX453">
        <f>VLOOKUP($H453,'1. Set Program Names'!$B$2:$D$15,3,0)*X453</f>
        <v>26.043025235537748</v>
      </c>
      <c r="BY453">
        <f>VLOOKUP($H453,'1. Set Program Names'!$B$2:$D$15,3,0)*Y453</f>
        <v>36.404842578665992</v>
      </c>
      <c r="BZ453">
        <f>VLOOKUP($H453,'1. Set Program Names'!$B$2:$D$15,3,0)*Z453</f>
        <v>47.50834271150547</v>
      </c>
      <c r="CA453">
        <f>VLOOKUP($H453,'1. Set Program Names'!$B$2:$D$15,3,0)*AA453</f>
        <v>59.292922233228026</v>
      </c>
      <c r="CB453">
        <f>VLOOKUP($H453,'1. Set Program Names'!$B$2:$D$15,3,0)*AB453</f>
        <v>71.702000891199148</v>
      </c>
      <c r="CC453">
        <f>VLOOKUP($H453,'1. Set Program Names'!$B$2:$D$15,3,0)*AC453</f>
        <v>84.710992750707618</v>
      </c>
      <c r="CD453">
        <f>VLOOKUP($H453,'1. Set Program Names'!$B$2:$D$15,3,0)*AD453</f>
        <v>90.545294170468523</v>
      </c>
      <c r="CE453">
        <f>VLOOKUP($H453,'1. Set Program Names'!$B$2:$D$15,3,0)*AE453</f>
        <v>96.002986566693124</v>
      </c>
    </row>
    <row r="454" spans="1:83" x14ac:dyDescent="0.25">
      <c r="A454" s="20" t="s">
        <v>115</v>
      </c>
      <c r="B454" s="20" t="s">
        <v>88</v>
      </c>
      <c r="C454" s="20" t="s">
        <v>122</v>
      </c>
      <c r="D454" s="20" t="s">
        <v>90</v>
      </c>
      <c r="E454" s="20" t="s">
        <v>91</v>
      </c>
      <c r="F454" s="20" t="s">
        <v>90</v>
      </c>
      <c r="G454" s="20" t="s">
        <v>92</v>
      </c>
      <c r="H454" s="20" t="s">
        <v>18</v>
      </c>
      <c r="I454" s="20" t="s">
        <v>149</v>
      </c>
      <c r="J454" s="20" t="s">
        <v>129</v>
      </c>
      <c r="K454" s="20" t="s">
        <v>98</v>
      </c>
      <c r="L454" s="20">
        <v>540.79749999999899</v>
      </c>
      <c r="M454" s="20">
        <v>0.159555976068885</v>
      </c>
      <c r="N454" s="20">
        <v>1.50169234953632E-2</v>
      </c>
      <c r="O454" s="20">
        <v>128.99999999999901</v>
      </c>
      <c r="P454" s="20">
        <v>23.4690947103329</v>
      </c>
      <c r="Q454" s="20">
        <v>17.115265365930298</v>
      </c>
      <c r="R454" s="20">
        <v>204.24936172330499</v>
      </c>
      <c r="S454" s="20">
        <v>375.21044649582399</v>
      </c>
      <c r="T454" s="20">
        <v>8</v>
      </c>
      <c r="U454" s="20">
        <v>1</v>
      </c>
      <c r="V454" s="20">
        <v>137.50999656228501</v>
      </c>
      <c r="W454" s="20">
        <v>292.02649018286297</v>
      </c>
      <c r="X454" s="20">
        <v>461.89817145540798</v>
      </c>
      <c r="Y454" s="20">
        <v>646.253915341538</v>
      </c>
      <c r="Z454" s="20">
        <v>844.07323779180797</v>
      </c>
      <c r="AA454" s="20">
        <v>1054.27996938255</v>
      </c>
      <c r="AB454" s="20">
        <v>1275.86335239912</v>
      </c>
      <c r="AC454" s="20">
        <v>1508.37962647065</v>
      </c>
      <c r="AD454" s="20">
        <v>1614.1985613683801</v>
      </c>
      <c r="AE454" s="20">
        <v>1713.3546221235799</v>
      </c>
      <c r="AF454" t="str">
        <f t="shared" si="30"/>
        <v>NonResidential</v>
      </c>
      <c r="AG454" t="str">
        <f>tbl_Data_old[[#This Row],[All_Meas_Name_Append]]</f>
        <v>High Efficiency PTHP</v>
      </c>
      <c r="AH454">
        <f>AVERAGEIFS('3. Incentive Adjustment'!G:G,'3. Incentive Adjustment'!A:A,tbl_Data_old[[#This Row],[Trimmed Sector]],'3. Incentive Adjustment'!B:B,tbl_Data_old[[#This Row],[Trimmed Measure Name]])</f>
        <v>1.138194101705527</v>
      </c>
      <c r="AI454">
        <f>$AH454*tbl_Data_old[[#This Row],[2025 ]]</f>
        <v>156.51306701274009</v>
      </c>
      <c r="AJ454">
        <f>$AH454*tbl_Data_old[[#This Row],[2026 ]]</f>
        <v>332.38282866790161</v>
      </c>
      <c r="AK454">
        <f>$AH454*tbl_Data_old[[#This Row],[2027 ]]</f>
        <v>525.72977433911365</v>
      </c>
      <c r="AL454">
        <f>$AH454*tbl_Data_old[[#This Row],[2028 ]]</f>
        <v>735.56239464584155</v>
      </c>
      <c r="AM454">
        <f>$AH454*tbl_Data_old[[#This Row],[2029 ]]</f>
        <v>960.71918066212254</v>
      </c>
      <c r="AN454">
        <f>$AH454*tbl_Data_old[[#This Row],[2030 ]]</f>
        <v>1199.9752426975022</v>
      </c>
      <c r="AO454">
        <f>$AH454*tbl_Data_old[[#This Row],[2031 ]]</f>
        <v>1452.1801422829187</v>
      </c>
      <c r="AP454">
        <f>$AH454*tbl_Data_old[[#This Row],[2032 ]]</f>
        <v>1716.8287939816798</v>
      </c>
      <c r="AQ454">
        <f>$AH454*tbl_Data_old[[#This Row],[2033 ]]</f>
        <v>1837.2712815310374</v>
      </c>
      <c r="AR454">
        <f>$AH454*tbl_Data_old[[#This Row],[2034 ]]</f>
        <v>1950.1301250309607</v>
      </c>
      <c r="AS454">
        <f>SUM(tbl_Data_old[[#This Row],[Adjusted 2025]:[Adjusted 2034]])</f>
        <v>10867.292830851819</v>
      </c>
      <c r="AT454" s="3">
        <f>AVERAGEIFS('3. Incentive Adjustment'!F:F,'3. Incentive Adjustment'!A:A,tbl_Data_old[[#This Row],[Trimmed Sector]],'3. Incentive Adjustment'!B:B,tbl_Data_old[[#This Row],[Trimmed Measure Name]])</f>
        <v>50</v>
      </c>
      <c r="AU454" s="3">
        <f>IFERROR(VLOOKUP(tbl_Data_old[[#This Row],[All_Meas_Name_Append]],'IRA Tax Credits'!$A$3:$D$46,4,0),0)</f>
        <v>0</v>
      </c>
      <c r="AV454" s="4">
        <f>tbl_Data_old[[#This Row],[Adj. per unit Incentive ($)]]/tbl_Data_old[[#This Row],[kWh Savings]]*tbl_Data_old[[#This Row],[Sum of Annuals]]</f>
        <v>1004.7469552699337</v>
      </c>
      <c r="AW454" s="4">
        <f>IFERROR(VLOOKUP(tbl_Data_old[[#This Row],[All_Programs]],'1. Set Program Names'!$B$2:$D$15,3,0)*tbl_Data_old[[#This Row],[Sum of Annuals]],"")</f>
        <v>343.930215301109</v>
      </c>
      <c r="AX454" s="4">
        <f>tbl_Data_old[[#This Row],[per unit IRA tax ($)]]/tbl_Data_old[[#This Row],[kWh Savings]]*tbl_Data_old[[#This Row],[Sum of Annuals]]</f>
        <v>0</v>
      </c>
      <c r="AY454" s="4">
        <f>tbl_Data_old[[#This Row],[Avoided Costs ($/unit)]]/tbl_Data_old[[#This Row],[kWh Savings]]*tbl_Data_old[[#This Row],[Sum of Annuals]]</f>
        <v>4104.37848614636</v>
      </c>
      <c r="AZ454" s="4">
        <f>tbl_Data_old[[#This Row],[Lost Revenue ($/unit)]]/tbl_Data_old[[#This Row],[kWh Savings]]*tbl_Data_old[[#This Row],[Sum of Annuals]]</f>
        <v>7539.8310740430297</v>
      </c>
      <c r="BA454" s="4">
        <f>tbl_Data_old[[#This Row],[Incremental Cost ($/unit)]]/tbl_Data_old[[#This Row],[kWh Savings]]*tbl_Data_old[[#This Row],[Sum of Annuals]]</f>
        <v>2592.2471445964088</v>
      </c>
      <c r="BB454">
        <f>ROUNDUP(tbl_Data_old[[#This Row],[Adjusted 2025]]/$L454,0)</f>
        <v>1</v>
      </c>
      <c r="BC454">
        <f>ROUNDUP(tbl_Data_old[[#This Row],[Adjusted 2026]]/$L454,0)</f>
        <v>1</v>
      </c>
      <c r="BD454">
        <f>ROUNDUP(tbl_Data_old[[#This Row],[Adjusted 2027]]/$L454,0)</f>
        <v>1</v>
      </c>
      <c r="BE454">
        <f>ROUNDUP(tbl_Data_old[[#This Row],[Adjusted 2028]]/$L454,0)</f>
        <v>2</v>
      </c>
      <c r="BF454">
        <f>ROUNDUP(tbl_Data_old[[#This Row],[Adjusted 2029]]/$L454,0)</f>
        <v>2</v>
      </c>
      <c r="BG454">
        <f>ROUNDUP(tbl_Data_old[[#This Row],[Adjusted 2030]]/$L454,0)</f>
        <v>3</v>
      </c>
      <c r="BH454">
        <f>ROUNDUP(tbl_Data_old[[#This Row],[Adjusted 2031]]/$L454,0)</f>
        <v>3</v>
      </c>
      <c r="BI454">
        <f>ROUNDUP(tbl_Data_old[[#This Row],[Adjusted 2032]]/$L454,0)</f>
        <v>4</v>
      </c>
      <c r="BJ454">
        <f>ROUNDUP(tbl_Data_old[[#This Row],[Adjusted 2033]]/$L454,0)</f>
        <v>4</v>
      </c>
      <c r="BK454">
        <f>ROUNDUP(tbl_Data_old[[#This Row],[Adjusted 2034]]/$L454,0)</f>
        <v>4</v>
      </c>
      <c r="BL454" s="3">
        <f t="shared" si="32"/>
        <v>12.713630939703426</v>
      </c>
      <c r="BM454" s="3">
        <f t="shared" si="32"/>
        <v>26.999615399744222</v>
      </c>
      <c r="BN454" s="3">
        <f t="shared" si="32"/>
        <v>42.705279837222697</v>
      </c>
      <c r="BO454" s="3">
        <f t="shared" si="32"/>
        <v>59.750083473161325</v>
      </c>
      <c r="BP454" s="3">
        <f t="shared" si="32"/>
        <v>78.039676384581057</v>
      </c>
      <c r="BQ454" s="3">
        <f t="shared" si="31"/>
        <v>97.47456019883154</v>
      </c>
      <c r="BR454" s="3">
        <f t="shared" si="31"/>
        <v>117.96128425141781</v>
      </c>
      <c r="BS454" s="3">
        <f t="shared" si="31"/>
        <v>139.45882021187717</v>
      </c>
      <c r="BT454" s="3">
        <f t="shared" si="31"/>
        <v>149.24242081078251</v>
      </c>
      <c r="BU454" s="3">
        <f t="shared" si="31"/>
        <v>158.40999839344516</v>
      </c>
      <c r="BV454">
        <f>VLOOKUP($H454,'1. Set Program Names'!$B$2:$D$15,3,0)*V454</f>
        <v>4.3519433459505272</v>
      </c>
      <c r="BW454">
        <f>VLOOKUP($H454,'1. Set Program Names'!$B$2:$D$15,3,0)*W454</f>
        <v>9.2421116468936315</v>
      </c>
      <c r="BX454">
        <f>VLOOKUP($H454,'1. Set Program Names'!$B$2:$D$15,3,0)*X454</f>
        <v>14.618243938807614</v>
      </c>
      <c r="BY454">
        <f>VLOOKUP($H454,'1. Set Program Names'!$B$2:$D$15,3,0)*Y454</f>
        <v>20.452770685592888</v>
      </c>
      <c r="BZ454">
        <f>VLOOKUP($H454,'1. Set Program Names'!$B$2:$D$15,3,0)*Z454</f>
        <v>26.713395407868635</v>
      </c>
      <c r="CA454">
        <f>VLOOKUP($H454,'1. Set Program Names'!$B$2:$D$15,3,0)*AA454</f>
        <v>33.366059284607061</v>
      </c>
      <c r="CB454">
        <f>VLOOKUP($H454,'1. Set Program Names'!$B$2:$D$15,3,0)*AB454</f>
        <v>40.378773657379092</v>
      </c>
      <c r="CC454">
        <f>VLOOKUP($H454,'1. Set Program Names'!$B$2:$D$15,3,0)*AC454</f>
        <v>47.737494310916929</v>
      </c>
      <c r="CD454">
        <f>VLOOKUP($H454,'1. Set Program Names'!$B$2:$D$15,3,0)*AD454</f>
        <v>51.08647272060773</v>
      </c>
      <c r="CE454">
        <f>VLOOKUP($H454,'1. Set Program Names'!$B$2:$D$15,3,0)*AE454</f>
        <v>54.224583182408239</v>
      </c>
    </row>
    <row r="455" spans="1:83" x14ac:dyDescent="0.25">
      <c r="A455" s="20" t="s">
        <v>115</v>
      </c>
      <c r="B455" s="20" t="s">
        <v>88</v>
      </c>
      <c r="C455" s="20" t="s">
        <v>122</v>
      </c>
      <c r="D455" s="20" t="s">
        <v>90</v>
      </c>
      <c r="E455" s="20" t="s">
        <v>91</v>
      </c>
      <c r="F455" s="20" t="s">
        <v>90</v>
      </c>
      <c r="G455" s="20" t="s">
        <v>92</v>
      </c>
      <c r="H455" s="20" t="s">
        <v>18</v>
      </c>
      <c r="I455" s="20" t="s">
        <v>157</v>
      </c>
      <c r="J455" s="20" t="s">
        <v>158</v>
      </c>
      <c r="K455" s="20" t="s">
        <v>159</v>
      </c>
      <c r="L455" s="20">
        <v>562.52</v>
      </c>
      <c r="M455" s="20">
        <v>0</v>
      </c>
      <c r="N455" s="20">
        <v>2.7796637938074201E-2</v>
      </c>
      <c r="O455" s="20">
        <v>169</v>
      </c>
      <c r="P455" s="20">
        <v>53.285725702774101</v>
      </c>
      <c r="Q455" s="20">
        <v>17.802743307140201</v>
      </c>
      <c r="R455" s="20">
        <v>275.373630058213</v>
      </c>
      <c r="S455" s="20">
        <v>610.96426176974103</v>
      </c>
      <c r="T455" s="20">
        <v>15</v>
      </c>
      <c r="U455" s="20">
        <v>0.2</v>
      </c>
      <c r="V455" s="20">
        <v>0</v>
      </c>
      <c r="W455" s="20">
        <v>0</v>
      </c>
      <c r="X455" s="20">
        <v>0</v>
      </c>
      <c r="Y455" s="20">
        <v>0</v>
      </c>
      <c r="Z455" s="20">
        <v>0</v>
      </c>
      <c r="AA455" s="20">
        <v>0</v>
      </c>
      <c r="AB455" s="20">
        <v>0</v>
      </c>
      <c r="AC455" s="20">
        <v>0</v>
      </c>
      <c r="AD455" s="20">
        <v>0</v>
      </c>
      <c r="AE455" s="20">
        <v>0</v>
      </c>
      <c r="AF455" t="str">
        <f t="shared" si="30"/>
        <v>NonResidential</v>
      </c>
      <c r="AG455" t="str">
        <f>tbl_Data_old[[#This Row],[All_Meas_Name_Append]]</f>
        <v>LED Exterior Wall Packs</v>
      </c>
      <c r="AH455">
        <f>AVERAGEIFS('3. Incentive Adjustment'!G:G,'3. Incentive Adjustment'!A:A,tbl_Data_old[[#This Row],[Trimmed Sector]],'3. Incentive Adjustment'!B:B,tbl_Data_old[[#This Row],[Trimmed Measure Name]])</f>
        <v>0.80637708305213962</v>
      </c>
      <c r="AI455">
        <f>$AH455*tbl_Data_old[[#This Row],[2025 ]]</f>
        <v>0</v>
      </c>
      <c r="AJ455">
        <f>$AH455*tbl_Data_old[[#This Row],[2026 ]]</f>
        <v>0</v>
      </c>
      <c r="AK455">
        <f>$AH455*tbl_Data_old[[#This Row],[2027 ]]</f>
        <v>0</v>
      </c>
      <c r="AL455">
        <f>$AH455*tbl_Data_old[[#This Row],[2028 ]]</f>
        <v>0</v>
      </c>
      <c r="AM455">
        <f>$AH455*tbl_Data_old[[#This Row],[2029 ]]</f>
        <v>0</v>
      </c>
      <c r="AN455">
        <f>$AH455*tbl_Data_old[[#This Row],[2030 ]]</f>
        <v>0</v>
      </c>
      <c r="AO455">
        <f>$AH455*tbl_Data_old[[#This Row],[2031 ]]</f>
        <v>0</v>
      </c>
      <c r="AP455">
        <f>$AH455*tbl_Data_old[[#This Row],[2032 ]]</f>
        <v>0</v>
      </c>
      <c r="AQ455">
        <f>$AH455*tbl_Data_old[[#This Row],[2033 ]]</f>
        <v>0</v>
      </c>
      <c r="AR455">
        <f>$AH455*tbl_Data_old[[#This Row],[2034 ]]</f>
        <v>0</v>
      </c>
      <c r="AS455">
        <f>SUM(tbl_Data_old[[#This Row],[Adjusted 2025]:[Adjusted 2034]])</f>
        <v>0</v>
      </c>
      <c r="AT455" s="3">
        <f>AVERAGEIFS('3. Incentive Adjustment'!F:F,'3. Incentive Adjustment'!A:A,tbl_Data_old[[#This Row],[Trimmed Sector]],'3. Incentive Adjustment'!B:B,tbl_Data_old[[#This Row],[Trimmed Measure Name]])</f>
        <v>8.6864493556481861</v>
      </c>
      <c r="AU455" s="3">
        <f>IFERROR(VLOOKUP(tbl_Data_old[[#This Row],[All_Meas_Name_Append]],'IRA Tax Credits'!$A$3:$D$46,4,0),0)</f>
        <v>0</v>
      </c>
      <c r="AV455" s="4">
        <f>tbl_Data_old[[#This Row],[Adj. per unit Incentive ($)]]/tbl_Data_old[[#This Row],[kWh Savings]]*tbl_Data_old[[#This Row],[Sum of Annuals]]</f>
        <v>0</v>
      </c>
      <c r="AW455" s="4">
        <f>IFERROR(VLOOKUP(tbl_Data_old[[#This Row],[All_Programs]],'1. Set Program Names'!$B$2:$D$15,3,0)*tbl_Data_old[[#This Row],[Sum of Annuals]],"")</f>
        <v>0</v>
      </c>
      <c r="AX455" s="4">
        <f>tbl_Data_old[[#This Row],[per unit IRA tax ($)]]/tbl_Data_old[[#This Row],[kWh Savings]]*tbl_Data_old[[#This Row],[Sum of Annuals]]</f>
        <v>0</v>
      </c>
      <c r="AY455" s="4">
        <f>tbl_Data_old[[#This Row],[Avoided Costs ($/unit)]]/tbl_Data_old[[#This Row],[kWh Savings]]*tbl_Data_old[[#This Row],[Sum of Annuals]]</f>
        <v>0</v>
      </c>
      <c r="AZ455" s="4">
        <f>tbl_Data_old[[#This Row],[Lost Revenue ($/unit)]]/tbl_Data_old[[#This Row],[kWh Savings]]*tbl_Data_old[[#This Row],[Sum of Annuals]]</f>
        <v>0</v>
      </c>
      <c r="BA455" s="4">
        <f>tbl_Data_old[[#This Row],[Incremental Cost ($/unit)]]/tbl_Data_old[[#This Row],[kWh Savings]]*tbl_Data_old[[#This Row],[Sum of Annuals]]</f>
        <v>0</v>
      </c>
      <c r="BB455">
        <f>ROUNDUP(tbl_Data_old[[#This Row],[Adjusted 2025]]/$L455,0)</f>
        <v>0</v>
      </c>
      <c r="BC455">
        <f>ROUNDUP(tbl_Data_old[[#This Row],[Adjusted 2026]]/$L455,0)</f>
        <v>0</v>
      </c>
      <c r="BD455">
        <f>ROUNDUP(tbl_Data_old[[#This Row],[Adjusted 2027]]/$L455,0)</f>
        <v>0</v>
      </c>
      <c r="BE455">
        <f>ROUNDUP(tbl_Data_old[[#This Row],[Adjusted 2028]]/$L455,0)</f>
        <v>0</v>
      </c>
      <c r="BF455">
        <f>ROUNDUP(tbl_Data_old[[#This Row],[Adjusted 2029]]/$L455,0)</f>
        <v>0</v>
      </c>
      <c r="BG455">
        <f>ROUNDUP(tbl_Data_old[[#This Row],[Adjusted 2030]]/$L455,0)</f>
        <v>0</v>
      </c>
      <c r="BH455">
        <f>ROUNDUP(tbl_Data_old[[#This Row],[Adjusted 2031]]/$L455,0)</f>
        <v>0</v>
      </c>
      <c r="BI455">
        <f>ROUNDUP(tbl_Data_old[[#This Row],[Adjusted 2032]]/$L455,0)</f>
        <v>0</v>
      </c>
      <c r="BJ455">
        <f>ROUNDUP(tbl_Data_old[[#This Row],[Adjusted 2033]]/$L455,0)</f>
        <v>0</v>
      </c>
      <c r="BK455">
        <f>ROUNDUP(tbl_Data_old[[#This Row],[Adjusted 2034]]/$L455,0)</f>
        <v>0</v>
      </c>
      <c r="BL455" s="3">
        <f t="shared" si="32"/>
        <v>0</v>
      </c>
      <c r="BM455" s="3">
        <f t="shared" si="32"/>
        <v>0</v>
      </c>
      <c r="BN455" s="3">
        <f t="shared" si="32"/>
        <v>0</v>
      </c>
      <c r="BO455" s="3">
        <f t="shared" si="32"/>
        <v>0</v>
      </c>
      <c r="BP455" s="3">
        <f t="shared" si="32"/>
        <v>0</v>
      </c>
      <c r="BQ455" s="3">
        <f t="shared" si="31"/>
        <v>0</v>
      </c>
      <c r="BR455" s="3">
        <f t="shared" si="31"/>
        <v>0</v>
      </c>
      <c r="BS455" s="3">
        <f t="shared" si="31"/>
        <v>0</v>
      </c>
      <c r="BT455" s="3">
        <f t="shared" si="31"/>
        <v>0</v>
      </c>
      <c r="BU455" s="3">
        <f t="shared" si="31"/>
        <v>0</v>
      </c>
      <c r="BV455">
        <f>VLOOKUP($H455,'1. Set Program Names'!$B$2:$D$15,3,0)*V455</f>
        <v>0</v>
      </c>
      <c r="BW455">
        <f>VLOOKUP($H455,'1. Set Program Names'!$B$2:$D$15,3,0)*W455</f>
        <v>0</v>
      </c>
      <c r="BX455">
        <f>VLOOKUP($H455,'1. Set Program Names'!$B$2:$D$15,3,0)*X455</f>
        <v>0</v>
      </c>
      <c r="BY455">
        <f>VLOOKUP($H455,'1. Set Program Names'!$B$2:$D$15,3,0)*Y455</f>
        <v>0</v>
      </c>
      <c r="BZ455">
        <f>VLOOKUP($H455,'1. Set Program Names'!$B$2:$D$15,3,0)*Z455</f>
        <v>0</v>
      </c>
      <c r="CA455">
        <f>VLOOKUP($H455,'1. Set Program Names'!$B$2:$D$15,3,0)*AA455</f>
        <v>0</v>
      </c>
      <c r="CB455">
        <f>VLOOKUP($H455,'1. Set Program Names'!$B$2:$D$15,3,0)*AB455</f>
        <v>0</v>
      </c>
      <c r="CC455">
        <f>VLOOKUP($H455,'1. Set Program Names'!$B$2:$D$15,3,0)*AC455</f>
        <v>0</v>
      </c>
      <c r="CD455">
        <f>VLOOKUP($H455,'1. Set Program Names'!$B$2:$D$15,3,0)*AD455</f>
        <v>0</v>
      </c>
      <c r="CE455">
        <f>VLOOKUP($H455,'1. Set Program Names'!$B$2:$D$15,3,0)*AE455</f>
        <v>0</v>
      </c>
    </row>
    <row r="456" spans="1:83" x14ac:dyDescent="0.25">
      <c r="A456" s="20" t="s">
        <v>115</v>
      </c>
      <c r="B456" s="20" t="s">
        <v>88</v>
      </c>
      <c r="C456" s="20" t="s">
        <v>122</v>
      </c>
      <c r="D456" s="20" t="s">
        <v>90</v>
      </c>
      <c r="E456" s="20" t="s">
        <v>91</v>
      </c>
      <c r="F456" s="20" t="s">
        <v>90</v>
      </c>
      <c r="G456" s="20" t="s">
        <v>92</v>
      </c>
      <c r="H456" s="20" t="s">
        <v>18</v>
      </c>
      <c r="I456" s="20" t="s">
        <v>160</v>
      </c>
      <c r="J456" s="20" t="s">
        <v>161</v>
      </c>
      <c r="K456" s="20" t="s">
        <v>159</v>
      </c>
      <c r="L456" s="20">
        <v>698.53499999999997</v>
      </c>
      <c r="M456" s="20">
        <v>9.14911955902553E-2</v>
      </c>
      <c r="N456" s="20">
        <v>9.6647765821509996E-2</v>
      </c>
      <c r="O456" s="20">
        <v>179</v>
      </c>
      <c r="P456" s="20">
        <v>35.4245718525491</v>
      </c>
      <c r="Q456" s="20">
        <v>22.107372708620399</v>
      </c>
      <c r="R456" s="20">
        <v>291.28765455670799</v>
      </c>
      <c r="S456" s="20">
        <v>758.69288308917999</v>
      </c>
      <c r="T456" s="20">
        <v>15</v>
      </c>
      <c r="U456" s="20">
        <v>0.2</v>
      </c>
      <c r="V456" s="20">
        <v>0.42868801571502102</v>
      </c>
      <c r="W456" s="20">
        <v>0.89529496914408901</v>
      </c>
      <c r="X456" s="20">
        <v>1.39198763998075</v>
      </c>
      <c r="Y456" s="20">
        <v>1.91388727987661</v>
      </c>
      <c r="Z456" s="20">
        <v>2.4561376779887398</v>
      </c>
      <c r="AA456" s="20">
        <v>3.01403200457804</v>
      </c>
      <c r="AB456" s="20">
        <v>3.58347840661279</v>
      </c>
      <c r="AC456" s="20">
        <v>4.1621096549817098</v>
      </c>
      <c r="AD456" s="20">
        <v>4.7484107047938</v>
      </c>
      <c r="AE456" s="20">
        <v>5.3402519198689999</v>
      </c>
      <c r="AF456" t="str">
        <f t="shared" si="30"/>
        <v>NonResidential</v>
      </c>
      <c r="AG456" t="str">
        <f>tbl_Data_old[[#This Row],[All_Meas_Name_Append]]</f>
        <v>LED High Bay_HID Baseline</v>
      </c>
      <c r="AH456">
        <f>AVERAGEIFS('3. Incentive Adjustment'!G:G,'3. Incentive Adjustment'!A:A,tbl_Data_old[[#This Row],[Trimmed Sector]],'3. Incentive Adjustment'!B:B,tbl_Data_old[[#This Row],[Trimmed Measure Name]])</f>
        <v>1.0603846876879557</v>
      </c>
      <c r="AI456">
        <f>$AH456*tbl_Data_old[[#This Row],[2025 ]]</f>
        <v>0.45457420765954198</v>
      </c>
      <c r="AJ456">
        <f>$AH456*tbl_Data_old[[#This Row],[2026 ]]</f>
        <v>0.94935707624445276</v>
      </c>
      <c r="AK456">
        <f>$AH456*tbl_Data_old[[#This Row],[2027 ]]</f>
        <v>1.476042378886482</v>
      </c>
      <c r="AL456">
        <f>$AH456*tbl_Data_old[[#This Row],[2028 ]]</f>
        <v>2.02945676554191</v>
      </c>
      <c r="AM456">
        <f>$AH456*tbl_Data_old[[#This Row],[2029 ]]</f>
        <v>2.6044507845927107</v>
      </c>
      <c r="AN456">
        <f>$AH456*tbl_Data_old[[#This Row],[2030 ]]</f>
        <v>3.196033385855988</v>
      </c>
      <c r="AO456">
        <f>$AH456*tbl_Data_old[[#This Row],[2031 ]]</f>
        <v>3.7998656310326364</v>
      </c>
      <c r="AP456">
        <f>$AH456*tbl_Data_old[[#This Row],[2032 ]]</f>
        <v>4.413437346620805</v>
      </c>
      <c r="AQ456">
        <f>$AH456*tbl_Data_old[[#This Row],[2033 ]]</f>
        <v>5.0351420022169195</v>
      </c>
      <c r="AR456">
        <f>$AH456*tbl_Data_old[[#This Row],[2034 ]]</f>
        <v>5.6627213642252956</v>
      </c>
      <c r="AS456">
        <f>SUM(tbl_Data_old[[#This Row],[Adjusted 2025]:[Adjusted 2034]])</f>
        <v>29.621080942876741</v>
      </c>
      <c r="AT456" s="3">
        <f>AVERAGEIFS('3. Incentive Adjustment'!F:F,'3. Incentive Adjustment'!A:A,tbl_Data_old[[#This Row],[Trimmed Sector]],'3. Incentive Adjustment'!B:B,tbl_Data_old[[#This Row],[Trimmed Measure Name]])</f>
        <v>28.590998621954778</v>
      </c>
      <c r="AU456" s="3">
        <f>IFERROR(VLOOKUP(tbl_Data_old[[#This Row],[All_Meas_Name_Append]],'IRA Tax Credits'!$A$3:$D$46,4,0),0)</f>
        <v>0</v>
      </c>
      <c r="AV456" s="4">
        <f>tbl_Data_old[[#This Row],[Adj. per unit Incentive ($)]]/tbl_Data_old[[#This Row],[kWh Savings]]*tbl_Data_old[[#This Row],[Sum of Annuals]]</f>
        <v>1.2123891922646679</v>
      </c>
      <c r="AW456" s="4">
        <f>IFERROR(VLOOKUP(tbl_Data_old[[#This Row],[All_Programs]],'1. Set Program Names'!$B$2:$D$15,3,0)*tbl_Data_old[[#This Row],[Sum of Annuals]],"")</f>
        <v>0.93745378032080084</v>
      </c>
      <c r="AX456" s="4">
        <f>tbl_Data_old[[#This Row],[per unit IRA tax ($)]]/tbl_Data_old[[#This Row],[kWh Savings]]*tbl_Data_old[[#This Row],[Sum of Annuals]]</f>
        <v>0</v>
      </c>
      <c r="AY456" s="4">
        <f>tbl_Data_old[[#This Row],[Avoided Costs ($/unit)]]/tbl_Data_old[[#This Row],[kWh Savings]]*tbl_Data_old[[#This Row],[Sum of Annuals]]</f>
        <v>12.35192967179163</v>
      </c>
      <c r="AZ456" s="4">
        <f>tbl_Data_old[[#This Row],[Lost Revenue ($/unit)]]/tbl_Data_old[[#This Row],[kWh Savings]]*tbl_Data_old[[#This Row],[Sum of Annuals]]</f>
        <v>32.172050506802272</v>
      </c>
      <c r="BA456" s="4">
        <f>tbl_Data_old[[#This Row],[Incremental Cost ($/unit)]]/tbl_Data_old[[#This Row],[kWh Savings]]*tbl_Data_old[[#This Row],[Sum of Annuals]]</f>
        <v>7.5904192184714256</v>
      </c>
      <c r="BB456">
        <f>ROUNDUP(tbl_Data_old[[#This Row],[Adjusted 2025]]/$L456,0)</f>
        <v>1</v>
      </c>
      <c r="BC456">
        <f>ROUNDUP(tbl_Data_old[[#This Row],[Adjusted 2026]]/$L456,0)</f>
        <v>1</v>
      </c>
      <c r="BD456">
        <f>ROUNDUP(tbl_Data_old[[#This Row],[Adjusted 2027]]/$L456,0)</f>
        <v>1</v>
      </c>
      <c r="BE456">
        <f>ROUNDUP(tbl_Data_old[[#This Row],[Adjusted 2028]]/$L456,0)</f>
        <v>1</v>
      </c>
      <c r="BF456">
        <f>ROUNDUP(tbl_Data_old[[#This Row],[Adjusted 2029]]/$L456,0)</f>
        <v>1</v>
      </c>
      <c r="BG456">
        <f>ROUNDUP(tbl_Data_old[[#This Row],[Adjusted 2030]]/$L456,0)</f>
        <v>1</v>
      </c>
      <c r="BH456">
        <f>ROUNDUP(tbl_Data_old[[#This Row],[Adjusted 2031]]/$L456,0)</f>
        <v>1</v>
      </c>
      <c r="BI456">
        <f>ROUNDUP(tbl_Data_old[[#This Row],[Adjusted 2032]]/$L456,0)</f>
        <v>1</v>
      </c>
      <c r="BJ456">
        <f>ROUNDUP(tbl_Data_old[[#This Row],[Adjusted 2033]]/$L456,0)</f>
        <v>1</v>
      </c>
      <c r="BK456">
        <f>ROUNDUP(tbl_Data_old[[#This Row],[Adjusted 2034]]/$L456,0)</f>
        <v>1</v>
      </c>
      <c r="BL456" s="3">
        <f t="shared" si="32"/>
        <v>1.7546176593236838E-2</v>
      </c>
      <c r="BM456" s="3">
        <f t="shared" si="32"/>
        <v>3.664437319395835E-2</v>
      </c>
      <c r="BN456" s="3">
        <f t="shared" si="32"/>
        <v>5.6973976531552048E-2</v>
      </c>
      <c r="BO456" s="3">
        <f t="shared" si="32"/>
        <v>7.8335299708001654E-2</v>
      </c>
      <c r="BP456" s="3">
        <f t="shared" si="32"/>
        <v>0.10052957828413361</v>
      </c>
      <c r="BQ456" s="3">
        <f t="shared" si="31"/>
        <v>0.12336416198102935</v>
      </c>
      <c r="BR456" s="3">
        <f t="shared" si="31"/>
        <v>0.14667157148213186</v>
      </c>
      <c r="BS456" s="3">
        <f t="shared" si="31"/>
        <v>0.17035491623183768</v>
      </c>
      <c r="BT456" s="3">
        <f t="shared" si="31"/>
        <v>0.19435218552718883</v>
      </c>
      <c r="BU456" s="3">
        <f t="shared" si="31"/>
        <v>0.21857621347801603</v>
      </c>
      <c r="BV456">
        <f>VLOOKUP($H456,'1. Set Program Names'!$B$2:$D$15,3,0)*V456</f>
        <v>1.3567202415241772E-2</v>
      </c>
      <c r="BW456">
        <f>VLOOKUP($H456,'1. Set Program Names'!$B$2:$D$15,3,0)*W456</f>
        <v>2.833447080965338E-2</v>
      </c>
      <c r="BX456">
        <f>VLOOKUP($H456,'1. Set Program Names'!$B$2:$D$15,3,0)*X456</f>
        <v>4.4053897890366872E-2</v>
      </c>
      <c r="BY456">
        <f>VLOOKUP($H456,'1. Set Program Names'!$B$2:$D$15,3,0)*Y456</f>
        <v>6.0571080072609106E-2</v>
      </c>
      <c r="BZ456">
        <f>VLOOKUP($H456,'1. Set Program Names'!$B$2:$D$15,3,0)*Z456</f>
        <v>7.7732327043000954E-2</v>
      </c>
      <c r="CA456">
        <f>VLOOKUP($H456,'1. Set Program Names'!$B$2:$D$15,3,0)*AA456</f>
        <v>9.5388676130640782E-2</v>
      </c>
      <c r="CB456">
        <f>VLOOKUP($H456,'1. Set Program Names'!$B$2:$D$15,3,0)*AB456</f>
        <v>0.11341062756809937</v>
      </c>
      <c r="CC456">
        <f>VLOOKUP($H456,'1. Set Program Names'!$B$2:$D$15,3,0)*AC456</f>
        <v>0.13172326282409377</v>
      </c>
      <c r="CD456">
        <f>VLOOKUP($H456,'1. Set Program Names'!$B$2:$D$15,3,0)*AD456</f>
        <v>0.15027863346071371</v>
      </c>
      <c r="CE456">
        <f>VLOOKUP($H456,'1. Set Program Names'!$B$2:$D$15,3,0)*AE456</f>
        <v>0.16900934033437107</v>
      </c>
    </row>
    <row r="457" spans="1:83" x14ac:dyDescent="0.25">
      <c r="A457" s="20" t="s">
        <v>115</v>
      </c>
      <c r="B457" s="20" t="s">
        <v>88</v>
      </c>
      <c r="C457" s="20" t="s">
        <v>122</v>
      </c>
      <c r="D457" s="20" t="s">
        <v>90</v>
      </c>
      <c r="E457" s="20" t="s">
        <v>91</v>
      </c>
      <c r="F457" s="20" t="s">
        <v>90</v>
      </c>
      <c r="G457" s="20" t="s">
        <v>92</v>
      </c>
      <c r="H457" s="20" t="s">
        <v>18</v>
      </c>
      <c r="I457" s="20" t="s">
        <v>162</v>
      </c>
      <c r="J457" s="20" t="s">
        <v>161</v>
      </c>
      <c r="K457" s="20" t="s">
        <v>159</v>
      </c>
      <c r="L457" s="20">
        <v>638.46285714285602</v>
      </c>
      <c r="M457" s="20">
        <v>7.6348348575361394E-2</v>
      </c>
      <c r="N457" s="20">
        <v>7.27444471789533E-2</v>
      </c>
      <c r="O457" s="20">
        <v>179</v>
      </c>
      <c r="P457" s="20">
        <v>51.129983050636802</v>
      </c>
      <c r="Q457" s="20">
        <v>20.206197747382401</v>
      </c>
      <c r="R457" s="20">
        <v>256.15438258671003</v>
      </c>
      <c r="S457" s="20">
        <v>693.44732308484095</v>
      </c>
      <c r="T457" s="20">
        <v>15</v>
      </c>
      <c r="U457" s="20">
        <v>0.2</v>
      </c>
      <c r="V457" s="20">
        <v>1.2620762340324601</v>
      </c>
      <c r="W457" s="20">
        <v>2.6357874761694302</v>
      </c>
      <c r="X457" s="20">
        <v>4.0980723838440696</v>
      </c>
      <c r="Y457" s="20">
        <v>5.63456770892107</v>
      </c>
      <c r="Z457" s="20">
        <v>7.2309765546652001</v>
      </c>
      <c r="AA457" s="20">
        <v>8.8734418088326006</v>
      </c>
      <c r="AB457" s="20">
        <v>10.549916877454701</v>
      </c>
      <c r="AC457" s="20">
        <v>12.253432534679</v>
      </c>
      <c r="AD457" s="20">
        <v>13.979528422202099</v>
      </c>
      <c r="AE457" s="20">
        <v>15.721934798133701</v>
      </c>
      <c r="AF457" t="str">
        <f t="shared" si="30"/>
        <v>NonResidential</v>
      </c>
      <c r="AG457" t="str">
        <f>tbl_Data_old[[#This Row],[All_Meas_Name_Append]]</f>
        <v>LED High Bay_LF Baseline</v>
      </c>
      <c r="AH457">
        <f>AVERAGEIFS('3. Incentive Adjustment'!G:G,'3. Incentive Adjustment'!A:A,tbl_Data_old[[#This Row],[Trimmed Sector]],'3. Incentive Adjustment'!B:B,tbl_Data_old[[#This Row],[Trimmed Measure Name]])</f>
        <v>0.93017466414143679</v>
      </c>
      <c r="AI457">
        <f>$AH457*tbl_Data_old[[#This Row],[2025 ]]</f>
        <v>1.1739513371120329</v>
      </c>
      <c r="AJ457">
        <f>$AH457*tbl_Data_old[[#This Row],[2026 ]]</f>
        <v>2.4517427303941051</v>
      </c>
      <c r="AK457">
        <f>$AH457*tbl_Data_old[[#This Row],[2027 ]]</f>
        <v>3.8119231032694545</v>
      </c>
      <c r="AL457">
        <f>$AH457*tbl_Data_old[[#This Row],[2028 ]]</f>
        <v>5.241132126227841</v>
      </c>
      <c r="AM457">
        <f>$AH457*tbl_Data_old[[#This Row],[2029 ]]</f>
        <v>6.7260711881503061</v>
      </c>
      <c r="AN457">
        <f>$AH457*tbl_Data_old[[#This Row],[2030 ]]</f>
        <v>8.2538507543094468</v>
      </c>
      <c r="AO457">
        <f>$AH457*tbl_Data_old[[#This Row],[2031 ]]</f>
        <v>9.8132653882065011</v>
      </c>
      <c r="AP457">
        <f>$AH457*tbl_Data_old[[#This Row],[2032 ]]</f>
        <v>11.397832492524794</v>
      </c>
      <c r="AQ457">
        <f>$AH457*tbl_Data_old[[#This Row],[2033 ]]</f>
        <v>13.003403154977507</v>
      </c>
      <c r="AR457">
        <f>$AH457*tbl_Data_old[[#This Row],[2034 ]]</f>
        <v>14.624145420507583</v>
      </c>
      <c r="AS457">
        <f>SUM(tbl_Data_old[[#This Row],[Adjusted 2025]:[Adjusted 2034]])</f>
        <v>76.49731769567957</v>
      </c>
      <c r="AT457" s="3">
        <f>AVERAGEIFS('3. Incentive Adjustment'!F:F,'3. Incentive Adjustment'!A:A,tbl_Data_old[[#This Row],[Trimmed Sector]],'3. Incentive Adjustment'!B:B,tbl_Data_old[[#This Row],[Trimmed Measure Name]])</f>
        <v>23.858858929800434</v>
      </c>
      <c r="AU457" s="3">
        <f>IFERROR(VLOOKUP(tbl_Data_old[[#This Row],[All_Meas_Name_Append]],'IRA Tax Credits'!$A$3:$D$46,4,0),0)</f>
        <v>0</v>
      </c>
      <c r="AV457" s="4">
        <f>tbl_Data_old[[#This Row],[Adj. per unit Incentive ($)]]/tbl_Data_old[[#This Row],[kWh Savings]]*tbl_Data_old[[#This Row],[Sum of Annuals]]</f>
        <v>2.8586450895153179</v>
      </c>
      <c r="AW457" s="4">
        <f>IFERROR(VLOOKUP(tbl_Data_old[[#This Row],[All_Programs]],'1. Set Program Names'!$B$2:$D$15,3,0)*tbl_Data_old[[#This Row],[Sum of Annuals]],"")</f>
        <v>2.4210021165841868</v>
      </c>
      <c r="AX457" s="4">
        <f>tbl_Data_old[[#This Row],[per unit IRA tax ($)]]/tbl_Data_old[[#This Row],[kWh Savings]]*tbl_Data_old[[#This Row],[Sum of Annuals]]</f>
        <v>0</v>
      </c>
      <c r="AY457" s="4">
        <f>tbl_Data_old[[#This Row],[Avoided Costs ($/unit)]]/tbl_Data_old[[#This Row],[kWh Savings]]*tbl_Data_old[[#This Row],[Sum of Annuals]]</f>
        <v>30.691093404501366</v>
      </c>
      <c r="AZ457" s="4">
        <f>tbl_Data_old[[#This Row],[Lost Revenue ($/unit)]]/tbl_Data_old[[#This Row],[kWh Savings]]*tbl_Data_old[[#This Row],[Sum of Annuals]]</f>
        <v>83.08527204953819</v>
      </c>
      <c r="BA457" s="4">
        <f>tbl_Data_old[[#This Row],[Incremental Cost ($/unit)]]/tbl_Data_old[[#This Row],[kWh Savings]]*tbl_Data_old[[#This Row],[Sum of Annuals]]</f>
        <v>21.446854291263541</v>
      </c>
      <c r="BB457">
        <f>ROUNDUP(tbl_Data_old[[#This Row],[Adjusted 2025]]/$L457,0)</f>
        <v>1</v>
      </c>
      <c r="BC457">
        <f>ROUNDUP(tbl_Data_old[[#This Row],[Adjusted 2026]]/$L457,0)</f>
        <v>1</v>
      </c>
      <c r="BD457">
        <f>ROUNDUP(tbl_Data_old[[#This Row],[Adjusted 2027]]/$L457,0)</f>
        <v>1</v>
      </c>
      <c r="BE457">
        <f>ROUNDUP(tbl_Data_old[[#This Row],[Adjusted 2028]]/$L457,0)</f>
        <v>1</v>
      </c>
      <c r="BF457">
        <f>ROUNDUP(tbl_Data_old[[#This Row],[Adjusted 2029]]/$L457,0)</f>
        <v>1</v>
      </c>
      <c r="BG457">
        <f>ROUNDUP(tbl_Data_old[[#This Row],[Adjusted 2030]]/$L457,0)</f>
        <v>1</v>
      </c>
      <c r="BH457">
        <f>ROUNDUP(tbl_Data_old[[#This Row],[Adjusted 2031]]/$L457,0)</f>
        <v>1</v>
      </c>
      <c r="BI457">
        <f>ROUNDUP(tbl_Data_old[[#This Row],[Adjusted 2032]]/$L457,0)</f>
        <v>1</v>
      </c>
      <c r="BJ457">
        <f>ROUNDUP(tbl_Data_old[[#This Row],[Adjusted 2033]]/$L457,0)</f>
        <v>1</v>
      </c>
      <c r="BK457">
        <f>ROUNDUP(tbl_Data_old[[#This Row],[Adjusted 2034]]/$L457,0)</f>
        <v>1</v>
      </c>
      <c r="BL457" s="3">
        <f t="shared" si="32"/>
        <v>4.7162804366075707E-2</v>
      </c>
      <c r="BM457" s="3">
        <f t="shared" si="32"/>
        <v>9.8497321902611817E-2</v>
      </c>
      <c r="BN457" s="3">
        <f t="shared" si="32"/>
        <v>0.15314176822719916</v>
      </c>
      <c r="BO457" s="3">
        <f t="shared" si="32"/>
        <v>0.21055939996126816</v>
      </c>
      <c r="BP457" s="3">
        <f t="shared" si="32"/>
        <v>0.27021595322631181</v>
      </c>
      <c r="BQ457" s="3">
        <f t="shared" si="31"/>
        <v>0.33159359854720577</v>
      </c>
      <c r="BR457" s="3">
        <f t="shared" si="31"/>
        <v>0.39424216410445395</v>
      </c>
      <c r="BS457" s="3">
        <f t="shared" si="31"/>
        <v>0.45790121536438771</v>
      </c>
      <c r="BT457" s="3">
        <f t="shared" si="31"/>
        <v>0.52240407221657215</v>
      </c>
      <c r="BU457" s="3">
        <f t="shared" si="31"/>
        <v>0.58751643929736408</v>
      </c>
      <c r="BV457">
        <f>VLOOKUP($H457,'1. Set Program Names'!$B$2:$D$15,3,0)*V457</f>
        <v>3.9942436230751055E-2</v>
      </c>
      <c r="BW457">
        <f>VLOOKUP($H457,'1. Set Program Names'!$B$2:$D$15,3,0)*W457</f>
        <v>8.3417919096955256E-2</v>
      </c>
      <c r="BX457">
        <f>VLOOKUP($H457,'1. Set Program Names'!$B$2:$D$15,3,0)*X457</f>
        <v>0.12969659870521238</v>
      </c>
      <c r="BY457">
        <f>VLOOKUP($H457,'1. Set Program Names'!$B$2:$D$15,3,0)*Y457</f>
        <v>0.17832390416095933</v>
      </c>
      <c r="BZ457">
        <f>VLOOKUP($H457,'1. Set Program Names'!$B$2:$D$15,3,0)*Z457</f>
        <v>0.22884736447175844</v>
      </c>
      <c r="CA457">
        <f>VLOOKUP($H457,'1. Set Program Names'!$B$2:$D$15,3,0)*AA457</f>
        <v>0.28082842703102567</v>
      </c>
      <c r="CB457">
        <f>VLOOKUP($H457,'1. Set Program Names'!$B$2:$D$15,3,0)*AB457</f>
        <v>0.33388583886971496</v>
      </c>
      <c r="CC457">
        <f>VLOOKUP($H457,'1. Set Program Names'!$B$2:$D$15,3,0)*AC457</f>
        <v>0.38779903656092313</v>
      </c>
      <c r="CD457">
        <f>VLOOKUP($H457,'1. Set Program Names'!$B$2:$D$15,3,0)*AD457</f>
        <v>0.44242685781009489</v>
      </c>
      <c r="CE457">
        <f>VLOOKUP($H457,'1. Set Program Names'!$B$2:$D$15,3,0)*AE457</f>
        <v>0.49757087659597754</v>
      </c>
    </row>
    <row r="458" spans="1:83" x14ac:dyDescent="0.25">
      <c r="A458" s="20" t="s">
        <v>115</v>
      </c>
      <c r="B458" s="20" t="s">
        <v>88</v>
      </c>
      <c r="C458" s="20" t="s">
        <v>122</v>
      </c>
      <c r="D458" s="20" t="s">
        <v>90</v>
      </c>
      <c r="E458" s="20" t="s">
        <v>91</v>
      </c>
      <c r="F458" s="20" t="s">
        <v>90</v>
      </c>
      <c r="G458" s="20" t="s">
        <v>92</v>
      </c>
      <c r="H458" s="20" t="s">
        <v>18</v>
      </c>
      <c r="I458" s="20" t="s">
        <v>163</v>
      </c>
      <c r="J458" s="20" t="s">
        <v>161</v>
      </c>
      <c r="K458" s="20" t="s">
        <v>159</v>
      </c>
      <c r="L458" s="20">
        <v>336.08</v>
      </c>
      <c r="M458" s="20">
        <v>5.3794325187228403E-2</v>
      </c>
      <c r="N458" s="20">
        <v>5.3413522005729602E-2</v>
      </c>
      <c r="O458" s="20">
        <v>109.08</v>
      </c>
      <c r="P458" s="20">
        <v>41.915763754167898</v>
      </c>
      <c r="Q458" s="20">
        <v>10.6363257673748</v>
      </c>
      <c r="R458" s="20">
        <v>148.30416484676499</v>
      </c>
      <c r="S458" s="20">
        <v>365.02323312162099</v>
      </c>
      <c r="T458" s="20">
        <v>15</v>
      </c>
      <c r="U458" s="20">
        <v>0.2</v>
      </c>
      <c r="V458" s="20">
        <v>1.9956313227640601</v>
      </c>
      <c r="W458" s="20">
        <v>4.0936305874322603</v>
      </c>
      <c r="X458" s="20">
        <v>6.2467597398710204</v>
      </c>
      <c r="Y458" s="20">
        <v>8.4336557612632799</v>
      </c>
      <c r="Z458" s="20">
        <v>10.6395382942161</v>
      </c>
      <c r="AA458" s="20">
        <v>12.847858779247099</v>
      </c>
      <c r="AB458" s="20">
        <v>15.049709972943701</v>
      </c>
      <c r="AC458" s="20">
        <v>17.242472692098598</v>
      </c>
      <c r="AD458" s="20">
        <v>19.421840566522899</v>
      </c>
      <c r="AE458" s="20">
        <v>21.5862173098072</v>
      </c>
      <c r="AF458" t="str">
        <f t="shared" si="30"/>
        <v>NonResidential</v>
      </c>
      <c r="AG458" t="str">
        <f>tbl_Data_old[[#This Row],[All_Meas_Name_Append]]</f>
        <v>LED Linear - Fixture Replacement</v>
      </c>
      <c r="AH458">
        <f>AVERAGEIFS('3. Incentive Adjustment'!G:G,'3. Incentive Adjustment'!A:A,tbl_Data_old[[#This Row],[Trimmed Sector]],'3. Incentive Adjustment'!B:B,tbl_Data_old[[#This Row],[Trimmed Measure Name]])</f>
        <v>0.56055357916158088</v>
      </c>
      <c r="AI458">
        <f>$AH458*tbl_Data_old[[#This Row],[2025 ]]</f>
        <v>1.118658280662354</v>
      </c>
      <c r="AJ458">
        <f>$AH458*tbl_Data_old[[#This Row],[2026 ]]</f>
        <v>2.2946992775504782</v>
      </c>
      <c r="AK458">
        <f>$AH458*tbl_Data_old[[#This Row],[2027 ]]</f>
        <v>3.5016435303471662</v>
      </c>
      <c r="AL458">
        <f>$AH458*tbl_Data_old[[#This Row],[2028 ]]</f>
        <v>4.7275159223928185</v>
      </c>
      <c r="AM458">
        <f>$AH458*tbl_Data_old[[#This Row],[2029 ]]</f>
        <v>5.964031271449536</v>
      </c>
      <c r="AN458">
        <f>$AH458*tbl_Data_old[[#This Row],[2030 ]]</f>
        <v>7.2019132232695009</v>
      </c>
      <c r="AO458">
        <f>$AH458*tbl_Data_old[[#This Row],[2031 ]]</f>
        <v>8.4361687906773302</v>
      </c>
      <c r="AP458">
        <f>$AH458*tbl_Data_old[[#This Row],[2032 ]]</f>
        <v>9.6653297811516889</v>
      </c>
      <c r="AQ458">
        <f>$AH458*tbl_Data_old[[#This Row],[2033 ]]</f>
        <v>10.886982243469998</v>
      </c>
      <c r="AR458">
        <f>$AH458*tbl_Data_old[[#This Row],[2034 ]]</f>
        <v>12.100231373572099</v>
      </c>
      <c r="AS458">
        <f>SUM(tbl_Data_old[[#This Row],[Adjusted 2025]:[Adjusted 2034]])</f>
        <v>65.897173694542971</v>
      </c>
      <c r="AT458" s="3">
        <f>AVERAGEIFS('3. Incentive Adjustment'!F:F,'3. Incentive Adjustment'!A:A,tbl_Data_old[[#This Row],[Trimmed Sector]],'3. Incentive Adjustment'!B:B,tbl_Data_old[[#This Row],[Trimmed Measure Name]])</f>
        <v>16.810726621008875</v>
      </c>
      <c r="AU458" s="3">
        <f>IFERROR(VLOOKUP(tbl_Data_old[[#This Row],[All_Meas_Name_Append]],'IRA Tax Credits'!$A$3:$D$46,4,0),0)</f>
        <v>0</v>
      </c>
      <c r="AV458" s="4">
        <f>tbl_Data_old[[#This Row],[Adj. per unit Incentive ($)]]/tbl_Data_old[[#This Row],[kWh Savings]]*tbl_Data_old[[#This Row],[Sum of Annuals]]</f>
        <v>3.2961776126996529</v>
      </c>
      <c r="AW458" s="4">
        <f>IFERROR(VLOOKUP(tbl_Data_old[[#This Row],[All_Programs]],'1. Set Program Names'!$B$2:$D$15,3,0)*tbl_Data_old[[#This Row],[Sum of Annuals]],"")</f>
        <v>2.0855266798513474</v>
      </c>
      <c r="AX458" s="4">
        <f>tbl_Data_old[[#This Row],[per unit IRA tax ($)]]/tbl_Data_old[[#This Row],[kWh Savings]]*tbl_Data_old[[#This Row],[Sum of Annuals]]</f>
        <v>0</v>
      </c>
      <c r="AY458" s="4">
        <f>tbl_Data_old[[#This Row],[Avoided Costs ($/unit)]]/tbl_Data_old[[#This Row],[kWh Savings]]*tbl_Data_old[[#This Row],[Sum of Annuals]]</f>
        <v>29.078866075135107</v>
      </c>
      <c r="AZ458" s="4">
        <f>tbl_Data_old[[#This Row],[Lost Revenue ($/unit)]]/tbl_Data_old[[#This Row],[kWh Savings]]*tbl_Data_old[[#This Row],[Sum of Annuals]]</f>
        <v>71.572242905138992</v>
      </c>
      <c r="BA458" s="4">
        <f>tbl_Data_old[[#This Row],[Incremental Cost ($/unit)]]/tbl_Data_old[[#This Row],[kWh Savings]]*tbl_Data_old[[#This Row],[Sum of Annuals]]</f>
        <v>21.387954375746094</v>
      </c>
      <c r="BB458">
        <f>ROUNDUP(tbl_Data_old[[#This Row],[Adjusted 2025]]/$L458,0)</f>
        <v>1</v>
      </c>
      <c r="BC458">
        <f>ROUNDUP(tbl_Data_old[[#This Row],[Adjusted 2026]]/$L458,0)</f>
        <v>1</v>
      </c>
      <c r="BD458">
        <f>ROUNDUP(tbl_Data_old[[#This Row],[Adjusted 2027]]/$L458,0)</f>
        <v>1</v>
      </c>
      <c r="BE458">
        <f>ROUNDUP(tbl_Data_old[[#This Row],[Adjusted 2028]]/$L458,0)</f>
        <v>1</v>
      </c>
      <c r="BF458">
        <f>ROUNDUP(tbl_Data_old[[#This Row],[Adjusted 2029]]/$L458,0)</f>
        <v>1</v>
      </c>
      <c r="BG458">
        <f>ROUNDUP(tbl_Data_old[[#This Row],[Adjusted 2030]]/$L458,0)</f>
        <v>1</v>
      </c>
      <c r="BH458">
        <f>ROUNDUP(tbl_Data_old[[#This Row],[Adjusted 2031]]/$L458,0)</f>
        <v>1</v>
      </c>
      <c r="BI458">
        <f>ROUNDUP(tbl_Data_old[[#This Row],[Adjusted 2032]]/$L458,0)</f>
        <v>1</v>
      </c>
      <c r="BJ458">
        <f>ROUNDUP(tbl_Data_old[[#This Row],[Adjusted 2033]]/$L458,0)</f>
        <v>1</v>
      </c>
      <c r="BK458">
        <f>ROUNDUP(tbl_Data_old[[#This Row],[Adjusted 2034]]/$L458,0)</f>
        <v>1</v>
      </c>
      <c r="BL458" s="3">
        <f t="shared" si="32"/>
        <v>9.9821508579233942E-2</v>
      </c>
      <c r="BM458" s="3">
        <f t="shared" si="32"/>
        <v>0.20476346314188201</v>
      </c>
      <c r="BN458" s="3">
        <f t="shared" si="32"/>
        <v>0.31246301551444966</v>
      </c>
      <c r="BO458" s="3">
        <f t="shared" si="32"/>
        <v>0.42185158717654581</v>
      </c>
      <c r="BP458" s="3">
        <f t="shared" si="32"/>
        <v>0.53218986443055816</v>
      </c>
      <c r="BQ458" s="3">
        <f t="shared" si="31"/>
        <v>0.64265008808394375</v>
      </c>
      <c r="BR458" s="3">
        <f t="shared" si="31"/>
        <v>0.75278671768813221</v>
      </c>
      <c r="BS458" s="3">
        <f t="shared" si="31"/>
        <v>0.86246874165996346</v>
      </c>
      <c r="BT458" s="3">
        <f t="shared" si="31"/>
        <v>0.97148075529825229</v>
      </c>
      <c r="BU458" s="3">
        <f t="shared" si="31"/>
        <v>1.0797429123329521</v>
      </c>
      <c r="BV458">
        <f>VLOOKUP($H458,'1. Set Program Names'!$B$2:$D$15,3,0)*V458</f>
        <v>6.3158131577290069E-2</v>
      </c>
      <c r="BW458">
        <f>VLOOKUP($H458,'1. Set Program Names'!$B$2:$D$15,3,0)*W458</f>
        <v>0.12955602386104326</v>
      </c>
      <c r="BX458">
        <f>VLOOKUP($H458,'1. Set Program Names'!$B$2:$D$15,3,0)*X458</f>
        <v>0.19769867764755322</v>
      </c>
      <c r="BY458">
        <f>VLOOKUP($H458,'1. Set Program Names'!$B$2:$D$15,3,0)*Y458</f>
        <v>0.26690999192660564</v>
      </c>
      <c r="BZ458">
        <f>VLOOKUP($H458,'1. Set Program Names'!$B$2:$D$15,3,0)*Z458</f>
        <v>0.33672219504802942</v>
      </c>
      <c r="CA458">
        <f>VLOOKUP($H458,'1. Set Program Names'!$B$2:$D$15,3,0)*AA458</f>
        <v>0.40661155495506596</v>
      </c>
      <c r="CB458">
        <f>VLOOKUP($H458,'1. Set Program Names'!$B$2:$D$15,3,0)*AB458</f>
        <v>0.47629617346089831</v>
      </c>
      <c r="CC458">
        <f>VLOOKUP($H458,'1. Set Program Names'!$B$2:$D$15,3,0)*AC458</f>
        <v>0.5456931581415877</v>
      </c>
      <c r="CD458">
        <f>VLOOKUP($H458,'1. Set Program Names'!$B$2:$D$15,3,0)*AD458</f>
        <v>0.61466622014863381</v>
      </c>
      <c r="CE458">
        <f>VLOOKUP($H458,'1. Set Program Names'!$B$2:$D$15,3,0)*AE458</f>
        <v>0.68316483989661514</v>
      </c>
    </row>
    <row r="459" spans="1:83" x14ac:dyDescent="0.25">
      <c r="A459" s="20" t="s">
        <v>115</v>
      </c>
      <c r="B459" s="20" t="s">
        <v>88</v>
      </c>
      <c r="C459" s="20" t="s">
        <v>122</v>
      </c>
      <c r="D459" s="20" t="s">
        <v>90</v>
      </c>
      <c r="E459" s="20" t="s">
        <v>91</v>
      </c>
      <c r="F459" s="20" t="s">
        <v>90</v>
      </c>
      <c r="G459" s="20" t="s">
        <v>92</v>
      </c>
      <c r="H459" s="20" t="s">
        <v>18</v>
      </c>
      <c r="I459" s="20" t="s">
        <v>164</v>
      </c>
      <c r="J459" s="20" t="s">
        <v>158</v>
      </c>
      <c r="K459" s="20" t="s">
        <v>159</v>
      </c>
      <c r="L459" s="20">
        <v>612.05999999999904</v>
      </c>
      <c r="M459" s="20">
        <v>0</v>
      </c>
      <c r="N459" s="20">
        <v>3.0244631686656E-2</v>
      </c>
      <c r="O459" s="20">
        <v>255</v>
      </c>
      <c r="P459" s="20">
        <v>129.095003330796</v>
      </c>
      <c r="Q459" s="20">
        <v>19.3705949451899</v>
      </c>
      <c r="R459" s="20">
        <v>299.625229349054</v>
      </c>
      <c r="S459" s="20">
        <v>664.77065003695395</v>
      </c>
      <c r="T459" s="20">
        <v>15</v>
      </c>
      <c r="U459" s="20">
        <v>0.2</v>
      </c>
      <c r="V459" s="20">
        <v>0</v>
      </c>
      <c r="W459" s="20">
        <v>0</v>
      </c>
      <c r="X459" s="20">
        <v>0</v>
      </c>
      <c r="Y459" s="20">
        <v>0</v>
      </c>
      <c r="Z459" s="20">
        <v>0</v>
      </c>
      <c r="AA459" s="20">
        <v>0</v>
      </c>
      <c r="AB459" s="20">
        <v>0</v>
      </c>
      <c r="AC459" s="20">
        <v>0</v>
      </c>
      <c r="AD459" s="20">
        <v>0</v>
      </c>
      <c r="AE459" s="20">
        <v>0</v>
      </c>
      <c r="AF459" t="str">
        <f t="shared" si="30"/>
        <v>NonResidential</v>
      </c>
      <c r="AG459" t="str">
        <f>tbl_Data_old[[#This Row],[All_Meas_Name_Append]]</f>
        <v>LED Parking Lighting</v>
      </c>
      <c r="AH459">
        <f>AVERAGEIFS('3. Incentive Adjustment'!G:G,'3. Incentive Adjustment'!A:A,tbl_Data_old[[#This Row],[Trimmed Sector]],'3. Incentive Adjustment'!B:B,tbl_Data_old[[#This Row],[Trimmed Measure Name]])</f>
        <v>0.59704067730377497</v>
      </c>
      <c r="AI459">
        <f>$AH459*tbl_Data_old[[#This Row],[2025 ]]</f>
        <v>0</v>
      </c>
      <c r="AJ459">
        <f>$AH459*tbl_Data_old[[#This Row],[2026 ]]</f>
        <v>0</v>
      </c>
      <c r="AK459">
        <f>$AH459*tbl_Data_old[[#This Row],[2027 ]]</f>
        <v>0</v>
      </c>
      <c r="AL459">
        <f>$AH459*tbl_Data_old[[#This Row],[2028 ]]</f>
        <v>0</v>
      </c>
      <c r="AM459">
        <f>$AH459*tbl_Data_old[[#This Row],[2029 ]]</f>
        <v>0</v>
      </c>
      <c r="AN459">
        <f>$AH459*tbl_Data_old[[#This Row],[2030 ]]</f>
        <v>0</v>
      </c>
      <c r="AO459">
        <f>$AH459*tbl_Data_old[[#This Row],[2031 ]]</f>
        <v>0</v>
      </c>
      <c r="AP459">
        <f>$AH459*tbl_Data_old[[#This Row],[2032 ]]</f>
        <v>0</v>
      </c>
      <c r="AQ459">
        <f>$AH459*tbl_Data_old[[#This Row],[2033 ]]</f>
        <v>0</v>
      </c>
      <c r="AR459">
        <f>$AH459*tbl_Data_old[[#This Row],[2034 ]]</f>
        <v>0</v>
      </c>
      <c r="AS459">
        <f>SUM(tbl_Data_old[[#This Row],[Adjusted 2025]:[Adjusted 2034]])</f>
        <v>0</v>
      </c>
      <c r="AT459" s="3">
        <f>AVERAGEIFS('3. Incentive Adjustment'!F:F,'3. Incentive Adjustment'!A:A,tbl_Data_old[[#This Row],[Trimmed Sector]],'3. Incentive Adjustment'!B:B,tbl_Data_old[[#This Row],[Trimmed Measure Name]])</f>
        <v>9.4514474020799994</v>
      </c>
      <c r="AU459" s="3">
        <f>IFERROR(VLOOKUP(tbl_Data_old[[#This Row],[All_Meas_Name_Append]],'IRA Tax Credits'!$A$3:$D$46,4,0),0)</f>
        <v>0</v>
      </c>
      <c r="AV459" s="4">
        <f>tbl_Data_old[[#This Row],[Adj. per unit Incentive ($)]]/tbl_Data_old[[#This Row],[kWh Savings]]*tbl_Data_old[[#This Row],[Sum of Annuals]]</f>
        <v>0</v>
      </c>
      <c r="AW459" s="4">
        <f>IFERROR(VLOOKUP(tbl_Data_old[[#This Row],[All_Programs]],'1. Set Program Names'!$B$2:$D$15,3,0)*tbl_Data_old[[#This Row],[Sum of Annuals]],"")</f>
        <v>0</v>
      </c>
      <c r="AX459" s="4">
        <f>tbl_Data_old[[#This Row],[per unit IRA tax ($)]]/tbl_Data_old[[#This Row],[kWh Savings]]*tbl_Data_old[[#This Row],[Sum of Annuals]]</f>
        <v>0</v>
      </c>
      <c r="AY459" s="4">
        <f>tbl_Data_old[[#This Row],[Avoided Costs ($/unit)]]/tbl_Data_old[[#This Row],[kWh Savings]]*tbl_Data_old[[#This Row],[Sum of Annuals]]</f>
        <v>0</v>
      </c>
      <c r="AZ459" s="4">
        <f>tbl_Data_old[[#This Row],[Lost Revenue ($/unit)]]/tbl_Data_old[[#This Row],[kWh Savings]]*tbl_Data_old[[#This Row],[Sum of Annuals]]</f>
        <v>0</v>
      </c>
      <c r="BA459" s="4">
        <f>tbl_Data_old[[#This Row],[Incremental Cost ($/unit)]]/tbl_Data_old[[#This Row],[kWh Savings]]*tbl_Data_old[[#This Row],[Sum of Annuals]]</f>
        <v>0</v>
      </c>
      <c r="BB459">
        <f>ROUNDUP(tbl_Data_old[[#This Row],[Adjusted 2025]]/$L459,0)</f>
        <v>0</v>
      </c>
      <c r="BC459">
        <f>ROUNDUP(tbl_Data_old[[#This Row],[Adjusted 2026]]/$L459,0)</f>
        <v>0</v>
      </c>
      <c r="BD459">
        <f>ROUNDUP(tbl_Data_old[[#This Row],[Adjusted 2027]]/$L459,0)</f>
        <v>0</v>
      </c>
      <c r="BE459">
        <f>ROUNDUP(tbl_Data_old[[#This Row],[Adjusted 2028]]/$L459,0)</f>
        <v>0</v>
      </c>
      <c r="BF459">
        <f>ROUNDUP(tbl_Data_old[[#This Row],[Adjusted 2029]]/$L459,0)</f>
        <v>0</v>
      </c>
      <c r="BG459">
        <f>ROUNDUP(tbl_Data_old[[#This Row],[Adjusted 2030]]/$L459,0)</f>
        <v>0</v>
      </c>
      <c r="BH459">
        <f>ROUNDUP(tbl_Data_old[[#This Row],[Adjusted 2031]]/$L459,0)</f>
        <v>0</v>
      </c>
      <c r="BI459">
        <f>ROUNDUP(tbl_Data_old[[#This Row],[Adjusted 2032]]/$L459,0)</f>
        <v>0</v>
      </c>
      <c r="BJ459">
        <f>ROUNDUP(tbl_Data_old[[#This Row],[Adjusted 2033]]/$L459,0)</f>
        <v>0</v>
      </c>
      <c r="BK459">
        <f>ROUNDUP(tbl_Data_old[[#This Row],[Adjusted 2034]]/$L459,0)</f>
        <v>0</v>
      </c>
      <c r="BL459" s="3">
        <f t="shared" si="32"/>
        <v>0</v>
      </c>
      <c r="BM459" s="3">
        <f t="shared" si="32"/>
        <v>0</v>
      </c>
      <c r="BN459" s="3">
        <f t="shared" si="32"/>
        <v>0</v>
      </c>
      <c r="BO459" s="3">
        <f t="shared" si="32"/>
        <v>0</v>
      </c>
      <c r="BP459" s="3">
        <f t="shared" si="32"/>
        <v>0</v>
      </c>
      <c r="BQ459" s="3">
        <f t="shared" si="31"/>
        <v>0</v>
      </c>
      <c r="BR459" s="3">
        <f t="shared" si="31"/>
        <v>0</v>
      </c>
      <c r="BS459" s="3">
        <f t="shared" si="31"/>
        <v>0</v>
      </c>
      <c r="BT459" s="3">
        <f t="shared" si="31"/>
        <v>0</v>
      </c>
      <c r="BU459" s="3">
        <f t="shared" si="31"/>
        <v>0</v>
      </c>
      <c r="BV459">
        <f>VLOOKUP($H459,'1. Set Program Names'!$B$2:$D$15,3,0)*V459</f>
        <v>0</v>
      </c>
      <c r="BW459">
        <f>VLOOKUP($H459,'1. Set Program Names'!$B$2:$D$15,3,0)*W459</f>
        <v>0</v>
      </c>
      <c r="BX459">
        <f>VLOOKUP($H459,'1. Set Program Names'!$B$2:$D$15,3,0)*X459</f>
        <v>0</v>
      </c>
      <c r="BY459">
        <f>VLOOKUP($H459,'1. Set Program Names'!$B$2:$D$15,3,0)*Y459</f>
        <v>0</v>
      </c>
      <c r="BZ459">
        <f>VLOOKUP($H459,'1. Set Program Names'!$B$2:$D$15,3,0)*Z459</f>
        <v>0</v>
      </c>
      <c r="CA459">
        <f>VLOOKUP($H459,'1. Set Program Names'!$B$2:$D$15,3,0)*AA459</f>
        <v>0</v>
      </c>
      <c r="CB459">
        <f>VLOOKUP($H459,'1. Set Program Names'!$B$2:$D$15,3,0)*AB459</f>
        <v>0</v>
      </c>
      <c r="CC459">
        <f>VLOOKUP($H459,'1. Set Program Names'!$B$2:$D$15,3,0)*AC459</f>
        <v>0</v>
      </c>
      <c r="CD459">
        <f>VLOOKUP($H459,'1. Set Program Names'!$B$2:$D$15,3,0)*AD459</f>
        <v>0</v>
      </c>
      <c r="CE459">
        <f>VLOOKUP($H459,'1. Set Program Names'!$B$2:$D$15,3,0)*AE459</f>
        <v>0</v>
      </c>
    </row>
    <row r="460" spans="1:83" x14ac:dyDescent="0.25">
      <c r="A460" s="20" t="s">
        <v>115</v>
      </c>
      <c r="B460" s="20" t="s">
        <v>88</v>
      </c>
      <c r="C460" s="20" t="s">
        <v>122</v>
      </c>
      <c r="D460" s="20" t="s">
        <v>90</v>
      </c>
      <c r="E460" s="20" t="s">
        <v>91</v>
      </c>
      <c r="F460" s="20" t="s">
        <v>90</v>
      </c>
      <c r="G460" s="20" t="s">
        <v>92</v>
      </c>
      <c r="H460" s="20" t="s">
        <v>18</v>
      </c>
      <c r="I460" s="20" t="s">
        <v>165</v>
      </c>
      <c r="J460" s="20" t="s">
        <v>161</v>
      </c>
      <c r="K460" s="20" t="s">
        <v>166</v>
      </c>
      <c r="L460" s="20">
        <v>510.6</v>
      </c>
      <c r="M460" s="20">
        <v>6.2552429943266097E-2</v>
      </c>
      <c r="N460" s="20">
        <v>6.4361142955417797E-2</v>
      </c>
      <c r="O460" s="20">
        <v>129</v>
      </c>
      <c r="P460" s="20">
        <v>26.468747947944401</v>
      </c>
      <c r="Q460" s="20">
        <v>16.159568962215999</v>
      </c>
      <c r="R460" s="20">
        <v>174.74401692254699</v>
      </c>
      <c r="S460" s="20">
        <v>419.99719394182398</v>
      </c>
      <c r="T460" s="20">
        <v>10</v>
      </c>
      <c r="U460" s="20">
        <v>0.2</v>
      </c>
      <c r="V460" s="20">
        <v>1.0097684520058099</v>
      </c>
      <c r="W460" s="20">
        <v>2.3946091870767501</v>
      </c>
      <c r="X460" s="20">
        <v>4.2367473163916403</v>
      </c>
      <c r="Y460" s="20">
        <v>6.61277522749974</v>
      </c>
      <c r="Z460" s="20">
        <v>9.5558167537335201</v>
      </c>
      <c r="AA460" s="20">
        <v>13.011077387168999</v>
      </c>
      <c r="AB460" s="20">
        <v>16.809227297444501</v>
      </c>
      <c r="AC460" s="20">
        <v>20.6731069652065</v>
      </c>
      <c r="AD460" s="20">
        <v>24.270260196072002</v>
      </c>
      <c r="AE460" s="20">
        <v>27.321521165481101</v>
      </c>
      <c r="AF460" t="str">
        <f t="shared" si="30"/>
        <v>NonResidential</v>
      </c>
      <c r="AG460" t="str">
        <f>tbl_Data_old[[#This Row],[All_Meas_Name_Append]]</f>
        <v>Occupancy Sensors_ Ceiling Mounted</v>
      </c>
      <c r="AH460">
        <f>AVERAGEIFS('3. Incentive Adjustment'!G:G,'3. Incentive Adjustment'!A:A,tbl_Data_old[[#This Row],[Trimmed Sector]],'3. Incentive Adjustment'!B:B,tbl_Data_old[[#This Row],[Trimmed Measure Name]])</f>
        <v>0.99348124042467356</v>
      </c>
      <c r="AI460">
        <f>$AH460*tbl_Data_old[[#This Row],[2025 ]]</f>
        <v>1.0031860142404345</v>
      </c>
      <c r="AJ460">
        <f>$AH460*tbl_Data_old[[#This Row],[2026 ]]</f>
        <v>2.3789993055093288</v>
      </c>
      <c r="AK460">
        <f>$AH460*tbl_Data_old[[#This Row],[2027 ]]</f>
        <v>4.2091289792546736</v>
      </c>
      <c r="AL460">
        <f>$AH460*tbl_Data_old[[#This Row],[2028 ]]</f>
        <v>6.5696681356659949</v>
      </c>
      <c r="AM460">
        <f>$AH460*tbl_Data_old[[#This Row],[2029 ]]</f>
        <v>9.4935246817700545</v>
      </c>
      <c r="AN460">
        <f>$AH460*tbl_Data_old[[#This Row],[2030 ]]</f>
        <v>12.926261301866077</v>
      </c>
      <c r="AO460">
        <f>$AH460*tbl_Data_old[[#This Row],[2031 ]]</f>
        <v>16.699651986045446</v>
      </c>
      <c r="AP460">
        <f>$AH460*tbl_Data_old[[#This Row],[2032 ]]</f>
        <v>20.538343951225311</v>
      </c>
      <c r="AQ460">
        <f>$AH460*tbl_Data_old[[#This Row],[2033 ]]</f>
        <v>24.112048205023193</v>
      </c>
      <c r="AR460">
        <f>$AH460*tbl_Data_old[[#This Row],[2034 ]]</f>
        <v>27.143418737771139</v>
      </c>
      <c r="AS460">
        <f>SUM(tbl_Data_old[[#This Row],[Adjusted 2025]:[Adjusted 2034]])</f>
        <v>125.07423129837166</v>
      </c>
      <c r="AT460" s="3">
        <f>AVERAGEIFS('3. Incentive Adjustment'!F:F,'3. Incentive Adjustment'!A:A,tbl_Data_old[[#This Row],[Trimmed Sector]],'3. Incentive Adjustment'!B:B,tbl_Data_old[[#This Row],[Trimmed Measure Name]])</f>
        <v>19.547634357270656</v>
      </c>
      <c r="AU460" s="3">
        <f>IFERROR(VLOOKUP(tbl_Data_old[[#This Row],[All_Meas_Name_Append]],'IRA Tax Credits'!$A$3:$D$46,4,0),0)</f>
        <v>0</v>
      </c>
      <c r="AV460" s="4">
        <f>tbl_Data_old[[#This Row],[Adj. per unit Incentive ($)]]/tbl_Data_old[[#This Row],[kWh Savings]]*tbl_Data_old[[#This Row],[Sum of Annuals]]</f>
        <v>4.7882987484082777</v>
      </c>
      <c r="AW460" s="4">
        <f>IFERROR(VLOOKUP(tbl_Data_old[[#This Row],[All_Programs]],'1. Set Program Names'!$B$2:$D$15,3,0)*tbl_Data_old[[#This Row],[Sum of Annuals]],"")</f>
        <v>3.9583738074073649</v>
      </c>
      <c r="AX460" s="4">
        <f>tbl_Data_old[[#This Row],[per unit IRA tax ($)]]/tbl_Data_old[[#This Row],[kWh Savings]]*tbl_Data_old[[#This Row],[Sum of Annuals]]</f>
        <v>0</v>
      </c>
      <c r="AY460" s="4">
        <f>tbl_Data_old[[#This Row],[Avoided Costs ($/unit)]]/tbl_Data_old[[#This Row],[kWh Savings]]*tbl_Data_old[[#This Row],[Sum of Annuals]]</f>
        <v>42.804491951776761</v>
      </c>
      <c r="AZ460" s="4">
        <f>tbl_Data_old[[#This Row],[Lost Revenue ($/unit)]]/tbl_Data_old[[#This Row],[kWh Savings]]*tbl_Data_old[[#This Row],[Sum of Annuals]]</f>
        <v>102.88058397913582</v>
      </c>
      <c r="BA460" s="4">
        <f>tbl_Data_old[[#This Row],[Incremental Cost ($/unit)]]/tbl_Data_old[[#This Row],[kWh Savings]]*tbl_Data_old[[#This Row],[Sum of Annuals]]</f>
        <v>31.599247625323038</v>
      </c>
      <c r="BB460">
        <f>ROUNDUP(tbl_Data_old[[#This Row],[Adjusted 2025]]/$L460,0)</f>
        <v>1</v>
      </c>
      <c r="BC460">
        <f>ROUNDUP(tbl_Data_old[[#This Row],[Adjusted 2026]]/$L460,0)</f>
        <v>1</v>
      </c>
      <c r="BD460">
        <f>ROUNDUP(tbl_Data_old[[#This Row],[Adjusted 2027]]/$L460,0)</f>
        <v>1</v>
      </c>
      <c r="BE460">
        <f>ROUNDUP(tbl_Data_old[[#This Row],[Adjusted 2028]]/$L460,0)</f>
        <v>1</v>
      </c>
      <c r="BF460">
        <f>ROUNDUP(tbl_Data_old[[#This Row],[Adjusted 2029]]/$L460,0)</f>
        <v>1</v>
      </c>
      <c r="BG460">
        <f>ROUNDUP(tbl_Data_old[[#This Row],[Adjusted 2030]]/$L460,0)</f>
        <v>1</v>
      </c>
      <c r="BH460">
        <f>ROUNDUP(tbl_Data_old[[#This Row],[Adjusted 2031]]/$L460,0)</f>
        <v>1</v>
      </c>
      <c r="BI460">
        <f>ROUNDUP(tbl_Data_old[[#This Row],[Adjusted 2032]]/$L460,0)</f>
        <v>1</v>
      </c>
      <c r="BJ460">
        <f>ROUNDUP(tbl_Data_old[[#This Row],[Adjusted 2033]]/$L460,0)</f>
        <v>1</v>
      </c>
      <c r="BK460">
        <f>ROUNDUP(tbl_Data_old[[#This Row],[Adjusted 2034]]/$L460,0)</f>
        <v>1</v>
      </c>
      <c r="BL460" s="3">
        <f t="shared" si="32"/>
        <v>3.8657627272457452E-2</v>
      </c>
      <c r="BM460" s="3">
        <f t="shared" si="32"/>
        <v>9.1674392513782677E-2</v>
      </c>
      <c r="BN460" s="3">
        <f t="shared" si="32"/>
        <v>0.16219817353108398</v>
      </c>
      <c r="BO460" s="3">
        <f t="shared" si="32"/>
        <v>0.25316120688206462</v>
      </c>
      <c r="BP460" s="3">
        <f t="shared" si="32"/>
        <v>0.36583159398171544</v>
      </c>
      <c r="BQ460" s="3">
        <f t="shared" si="31"/>
        <v>0.49811160078051714</v>
      </c>
      <c r="BR460" s="3">
        <f t="shared" si="31"/>
        <v>0.64351866243379929</v>
      </c>
      <c r="BS460" s="3">
        <f t="shared" si="31"/>
        <v>0.79144209946063826</v>
      </c>
      <c r="BT460" s="3">
        <f t="shared" si="31"/>
        <v>0.92915427353825997</v>
      </c>
      <c r="BU460" s="3">
        <f t="shared" si="31"/>
        <v>1.0459676964889459</v>
      </c>
      <c r="BV460">
        <f>VLOOKUP($H460,'1. Set Program Names'!$B$2:$D$15,3,0)*V460</f>
        <v>3.1957350051034179E-2</v>
      </c>
      <c r="BW460">
        <f>VLOOKUP($H460,'1. Set Program Names'!$B$2:$D$15,3,0)*W460</f>
        <v>7.5785061292837658E-2</v>
      </c>
      <c r="BX460">
        <f>VLOOKUP($H460,'1. Set Program Names'!$B$2:$D$15,3,0)*X460</f>
        <v>0.13408541017374576</v>
      </c>
      <c r="BY460">
        <f>VLOOKUP($H460,'1. Set Program Names'!$B$2:$D$15,3,0)*Y460</f>
        <v>0.2092824075997182</v>
      </c>
      <c r="BZ460">
        <f>VLOOKUP($H460,'1. Set Program Names'!$B$2:$D$15,3,0)*Z460</f>
        <v>0.30242436314582161</v>
      </c>
      <c r="CA460">
        <f>VLOOKUP($H460,'1. Set Program Names'!$B$2:$D$15,3,0)*AA460</f>
        <v>0.41177712947647382</v>
      </c>
      <c r="CB460">
        <f>VLOOKUP($H460,'1. Set Program Names'!$B$2:$D$15,3,0)*AB460</f>
        <v>0.53198172290368051</v>
      </c>
      <c r="CC460">
        <f>VLOOKUP($H460,'1. Set Program Names'!$B$2:$D$15,3,0)*AC460</f>
        <v>0.65426654458974509</v>
      </c>
      <c r="CD460">
        <f>VLOOKUP($H460,'1. Set Program Names'!$B$2:$D$15,3,0)*AD460</f>
        <v>0.76810995567832596</v>
      </c>
      <c r="CE460">
        <f>VLOOKUP($H460,'1. Set Program Names'!$B$2:$D$15,3,0)*AE460</f>
        <v>0.86467686139098676</v>
      </c>
    </row>
    <row r="461" spans="1:83" x14ac:dyDescent="0.25">
      <c r="A461" s="20" t="s">
        <v>115</v>
      </c>
      <c r="B461" s="20" t="s">
        <v>88</v>
      </c>
      <c r="C461" s="20" t="s">
        <v>122</v>
      </c>
      <c r="D461" s="20" t="s">
        <v>90</v>
      </c>
      <c r="E461" s="20" t="s">
        <v>91</v>
      </c>
      <c r="F461" s="20" t="s">
        <v>90</v>
      </c>
      <c r="G461" s="20" t="s">
        <v>92</v>
      </c>
      <c r="H461" s="20" t="s">
        <v>18</v>
      </c>
      <c r="I461" s="20" t="s">
        <v>167</v>
      </c>
      <c r="J461" s="20" t="s">
        <v>124</v>
      </c>
      <c r="K461" s="20" t="s">
        <v>98</v>
      </c>
      <c r="L461" s="20">
        <v>151.66</v>
      </c>
      <c r="M461" s="20">
        <v>2.2013191527321101E-2</v>
      </c>
      <c r="N461" s="20">
        <v>1.95296013954902E-2</v>
      </c>
      <c r="O461" s="20">
        <v>56.6</v>
      </c>
      <c r="P461" s="20">
        <v>25.402483751835899</v>
      </c>
      <c r="Q461" s="20">
        <v>4.7997654304929203</v>
      </c>
      <c r="R461" s="20">
        <v>70.564478576335205</v>
      </c>
      <c r="S461" s="20">
        <v>171.417444155428</v>
      </c>
      <c r="T461" s="20">
        <v>16</v>
      </c>
      <c r="U461" s="20">
        <v>0.2</v>
      </c>
      <c r="V461" s="20">
        <v>0.14364596109632999</v>
      </c>
      <c r="W461" s="20">
        <v>0.33900949753785597</v>
      </c>
      <c r="X461" s="20">
        <v>0.59139822866917202</v>
      </c>
      <c r="Y461" s="20">
        <v>0.903008364712369</v>
      </c>
      <c r="Z461" s="20">
        <v>1.27087748875894</v>
      </c>
      <c r="AA461" s="20">
        <v>1.6880070727268399</v>
      </c>
      <c r="AB461" s="20">
        <v>2.1445615017056401</v>
      </c>
      <c r="AC461" s="20">
        <v>2.6315244436086802</v>
      </c>
      <c r="AD461" s="20">
        <v>3.1423649066629702</v>
      </c>
      <c r="AE461" s="20">
        <v>3.6710168162849302</v>
      </c>
      <c r="AF461" t="str">
        <f t="shared" si="30"/>
        <v>NonResidential</v>
      </c>
      <c r="AG461" t="str">
        <f>tbl_Data_old[[#This Row],[All_Meas_Name_Append]]</f>
        <v>Refrigerated Display Case LED Lighting</v>
      </c>
      <c r="AH461">
        <f>AVERAGEIFS('3. Incentive Adjustment'!G:G,'3. Incentive Adjustment'!A:A,tbl_Data_old[[#This Row],[Trimmed Sector]],'3. Incentive Adjustment'!B:B,tbl_Data_old[[#This Row],[Trimmed Measure Name]])</f>
        <v>0.72450810749703154</v>
      </c>
      <c r="AI461">
        <f>$AH461*tbl_Data_old[[#This Row],[2025 ]]</f>
        <v>0.10407266342349426</v>
      </c>
      <c r="AJ461">
        <f>$AH461*tbl_Data_old[[#This Row],[2026 ]]</f>
        <v>0.2456151294846716</v>
      </c>
      <c r="AK461">
        <f>$AH461*tbl_Data_old[[#This Row],[2027 ]]</f>
        <v>0.4284728114301985</v>
      </c>
      <c r="AL461">
        <f>$AH461*tbl_Data_old[[#This Row],[2028 ]]</f>
        <v>0.65423688137174774</v>
      </c>
      <c r="AM461">
        <f>$AH461*tbl_Data_old[[#This Row],[2029 ]]</f>
        <v>0.92076104424131966</v>
      </c>
      <c r="AN461">
        <f>$AH461*tbl_Data_old[[#This Row],[2030 ]]</f>
        <v>1.2229748097029269</v>
      </c>
      <c r="AO461">
        <f>$AH461*tbl_Data_old[[#This Row],[2031 ]]</f>
        <v>1.5537521950117452</v>
      </c>
      <c r="AP461">
        <f>$AH461*tbl_Data_old[[#This Row],[2032 ]]</f>
        <v>1.9065607944711038</v>
      </c>
      <c r="AQ461">
        <f>$AH461*tbl_Data_old[[#This Row],[2033 ]]</f>
        <v>2.2766688515914746</v>
      </c>
      <c r="AR461">
        <f>$AH461*tbl_Data_old[[#This Row],[2034 ]]</f>
        <v>2.6596814461563727</v>
      </c>
      <c r="AS461">
        <f>SUM(tbl_Data_old[[#This Row],[Adjusted 2025]:[Adjusted 2034]])</f>
        <v>11.972796626885055</v>
      </c>
      <c r="AT461" s="3">
        <f>AVERAGEIFS('3. Incentive Adjustment'!F:F,'3. Incentive Adjustment'!A:A,tbl_Data_old[[#This Row],[Trimmed Sector]],'3. Incentive Adjustment'!B:B,tbl_Data_old[[#This Row],[Trimmed Measure Name]])</f>
        <v>6.879122352287844</v>
      </c>
      <c r="AU461" s="3">
        <f>IFERROR(VLOOKUP(tbl_Data_old[[#This Row],[All_Meas_Name_Append]],'IRA Tax Credits'!$A$3:$D$46,4,0),0)</f>
        <v>0</v>
      </c>
      <c r="AV461" s="4">
        <f>tbl_Data_old[[#This Row],[Adj. per unit Incentive ($)]]/tbl_Data_old[[#This Row],[kWh Savings]]*tbl_Data_old[[#This Row],[Sum of Annuals]]</f>
        <v>0.54307222006726552</v>
      </c>
      <c r="AW461" s="4">
        <f>IFERROR(VLOOKUP(tbl_Data_old[[#This Row],[All_Programs]],'1. Set Program Names'!$B$2:$D$15,3,0)*tbl_Data_old[[#This Row],[Sum of Annuals]],"")</f>
        <v>0.37891741629991577</v>
      </c>
      <c r="AX461" s="4">
        <f>tbl_Data_old[[#This Row],[per unit IRA tax ($)]]/tbl_Data_old[[#This Row],[kWh Savings]]*tbl_Data_old[[#This Row],[Sum of Annuals]]</f>
        <v>0</v>
      </c>
      <c r="AY461" s="4">
        <f>tbl_Data_old[[#This Row],[Avoided Costs ($/unit)]]/tbl_Data_old[[#This Row],[kWh Savings]]*tbl_Data_old[[#This Row],[Sum of Annuals]]</f>
        <v>5.5707117966283057</v>
      </c>
      <c r="AZ461" s="4">
        <f>tbl_Data_old[[#This Row],[Lost Revenue ($/unit)]]/tbl_Data_old[[#This Row],[kWh Savings]]*tbl_Data_old[[#This Row],[Sum of Annuals]]</f>
        <v>13.532547785661121</v>
      </c>
      <c r="BA461" s="4">
        <f>tbl_Data_old[[#This Row],[Incremental Cost ($/unit)]]/tbl_Data_old[[#This Row],[kWh Savings]]*tbl_Data_old[[#This Row],[Sum of Annuals]]</f>
        <v>4.4682862263068319</v>
      </c>
      <c r="BB461">
        <f>ROUNDUP(tbl_Data_old[[#This Row],[Adjusted 2025]]/$L461,0)</f>
        <v>1</v>
      </c>
      <c r="BC461">
        <f>ROUNDUP(tbl_Data_old[[#This Row],[Adjusted 2026]]/$L461,0)</f>
        <v>1</v>
      </c>
      <c r="BD461">
        <f>ROUNDUP(tbl_Data_old[[#This Row],[Adjusted 2027]]/$L461,0)</f>
        <v>1</v>
      </c>
      <c r="BE461">
        <f>ROUNDUP(tbl_Data_old[[#This Row],[Adjusted 2028]]/$L461,0)</f>
        <v>1</v>
      </c>
      <c r="BF461">
        <f>ROUNDUP(tbl_Data_old[[#This Row],[Adjusted 2029]]/$L461,0)</f>
        <v>1</v>
      </c>
      <c r="BG461">
        <f>ROUNDUP(tbl_Data_old[[#This Row],[Adjusted 2030]]/$L461,0)</f>
        <v>1</v>
      </c>
      <c r="BH461">
        <f>ROUNDUP(tbl_Data_old[[#This Row],[Adjusted 2031]]/$L461,0)</f>
        <v>1</v>
      </c>
      <c r="BI461">
        <f>ROUNDUP(tbl_Data_old[[#This Row],[Adjusted 2032]]/$L461,0)</f>
        <v>1</v>
      </c>
      <c r="BJ461">
        <f>ROUNDUP(tbl_Data_old[[#This Row],[Adjusted 2033]]/$L461,0)</f>
        <v>1</v>
      </c>
      <c r="BK461">
        <f>ROUNDUP(tbl_Data_old[[#This Row],[Adjusted 2034]]/$L461,0)</f>
        <v>1</v>
      </c>
      <c r="BL461" s="3">
        <f t="shared" si="32"/>
        <v>6.5156148080814571E-3</v>
      </c>
      <c r="BM461" s="3">
        <f t="shared" si="32"/>
        <v>1.5377079072600131E-2</v>
      </c>
      <c r="BN461" s="3">
        <f t="shared" si="32"/>
        <v>2.6825140273912296E-2</v>
      </c>
      <c r="BO461" s="3">
        <f t="shared" si="32"/>
        <v>4.0959415969904732E-2</v>
      </c>
      <c r="BP461" s="3">
        <f t="shared" si="32"/>
        <v>5.7645534352769798E-2</v>
      </c>
      <c r="BQ461" s="3">
        <f t="shared" si="31"/>
        <v>7.6566050275716585E-2</v>
      </c>
      <c r="BR461" s="3">
        <f t="shared" si="31"/>
        <v>9.7274831611758233E-2</v>
      </c>
      <c r="BS461" s="3">
        <f t="shared" si="31"/>
        <v>0.11936290795608799</v>
      </c>
      <c r="BT461" s="3">
        <f t="shared" si="31"/>
        <v>0.14253404106864132</v>
      </c>
      <c r="BU461" s="3">
        <f t="shared" si="31"/>
        <v>0.16651308081583951</v>
      </c>
      <c r="BV461">
        <f>VLOOKUP($H461,'1. Set Program Names'!$B$2:$D$15,3,0)*V461</f>
        <v>4.5461355551898773E-3</v>
      </c>
      <c r="BW461">
        <f>VLOOKUP($H461,'1. Set Program Names'!$B$2:$D$15,3,0)*W461</f>
        <v>1.0729039080119865E-2</v>
      </c>
      <c r="BX461">
        <f>VLOOKUP($H461,'1. Set Program Names'!$B$2:$D$15,3,0)*X461</f>
        <v>1.8716687152980638E-2</v>
      </c>
      <c r="BY461">
        <f>VLOOKUP($H461,'1. Set Program Names'!$B$2:$D$15,3,0)*Y461</f>
        <v>2.857858586570209E-2</v>
      </c>
      <c r="BZ461">
        <f>VLOOKUP($H461,'1. Set Program Names'!$B$2:$D$15,3,0)*Z461</f>
        <v>4.0220980066839149E-2</v>
      </c>
      <c r="CA461">
        <f>VLOOKUP($H461,'1. Set Program Names'!$B$2:$D$15,3,0)*AA461</f>
        <v>5.3422378966779961E-2</v>
      </c>
      <c r="CB461">
        <f>VLOOKUP($H461,'1. Set Program Names'!$B$2:$D$15,3,0)*AB461</f>
        <v>6.7871503095428803E-2</v>
      </c>
      <c r="CC461">
        <f>VLOOKUP($H461,'1. Set Program Names'!$B$2:$D$15,3,0)*AC461</f>
        <v>8.3283001806211801E-2</v>
      </c>
      <c r="CD461">
        <f>VLOOKUP($H461,'1. Set Program Names'!$B$2:$D$15,3,0)*AD461</f>
        <v>9.9450180990340642E-2</v>
      </c>
      <c r="CE461">
        <f>VLOOKUP($H461,'1. Set Program Names'!$B$2:$D$15,3,0)*AE461</f>
        <v>0.11618106032943833</v>
      </c>
    </row>
    <row r="462" spans="1:83" x14ac:dyDescent="0.25">
      <c r="A462" s="20" t="s">
        <v>116</v>
      </c>
      <c r="B462" s="20" t="s">
        <v>88</v>
      </c>
      <c r="C462" s="20" t="s">
        <v>122</v>
      </c>
      <c r="D462" s="20" t="s">
        <v>90</v>
      </c>
      <c r="E462" s="20" t="s">
        <v>91</v>
      </c>
      <c r="F462" s="20" t="s">
        <v>90</v>
      </c>
      <c r="G462" s="20" t="s">
        <v>92</v>
      </c>
      <c r="H462" s="20" t="s">
        <v>18</v>
      </c>
      <c r="I462" s="20" t="s">
        <v>168</v>
      </c>
      <c r="J462" s="20" t="s">
        <v>129</v>
      </c>
      <c r="K462" s="20" t="s">
        <v>102</v>
      </c>
      <c r="L462" s="20">
        <v>3050.4666666666599</v>
      </c>
      <c r="M462" s="20">
        <v>1.01361966409546</v>
      </c>
      <c r="N462" s="20">
        <v>0</v>
      </c>
      <c r="O462" s="20">
        <v>742</v>
      </c>
      <c r="P462" s="20">
        <v>130.44720079847701</v>
      </c>
      <c r="Q462" s="20">
        <v>96.541767463653102</v>
      </c>
      <c r="R462" s="20">
        <v>1331.93833936435</v>
      </c>
      <c r="S462" s="20">
        <v>2509.1802589366698</v>
      </c>
      <c r="T462" s="20">
        <v>10</v>
      </c>
      <c r="U462" s="20">
        <v>1</v>
      </c>
      <c r="V462" s="20">
        <v>0</v>
      </c>
      <c r="W462" s="20">
        <v>0</v>
      </c>
      <c r="X462" s="20">
        <v>0</v>
      </c>
      <c r="Y462" s="20">
        <v>0</v>
      </c>
      <c r="Z462" s="20">
        <v>0</v>
      </c>
      <c r="AA462" s="20">
        <v>0</v>
      </c>
      <c r="AB462" s="20">
        <v>0</v>
      </c>
      <c r="AC462" s="20">
        <v>0</v>
      </c>
      <c r="AD462" s="20">
        <v>0</v>
      </c>
      <c r="AE462" s="20">
        <v>0</v>
      </c>
      <c r="AF462" t="str">
        <f t="shared" si="30"/>
        <v>NonResidential</v>
      </c>
      <c r="AG462" t="str">
        <f>tbl_Data_old[[#This Row],[All_Meas_Name_Append]]</f>
        <v>Chilled Water Reset</v>
      </c>
      <c r="AH462">
        <f>AVERAGEIFS('3. Incentive Adjustment'!G:G,'3. Incentive Adjustment'!A:A,tbl_Data_old[[#This Row],[Trimmed Sector]],'3. Incentive Adjustment'!B:B,tbl_Data_old[[#This Row],[Trimmed Measure Name]])</f>
        <v>1.6724428329362533</v>
      </c>
      <c r="AI462">
        <f>$AH462*tbl_Data_old[[#This Row],[2025 ]]</f>
        <v>0</v>
      </c>
      <c r="AJ462">
        <f>$AH462*tbl_Data_old[[#This Row],[2026 ]]</f>
        <v>0</v>
      </c>
      <c r="AK462">
        <f>$AH462*tbl_Data_old[[#This Row],[2027 ]]</f>
        <v>0</v>
      </c>
      <c r="AL462">
        <f>$AH462*tbl_Data_old[[#This Row],[2028 ]]</f>
        <v>0</v>
      </c>
      <c r="AM462">
        <f>$AH462*tbl_Data_old[[#This Row],[2029 ]]</f>
        <v>0</v>
      </c>
      <c r="AN462">
        <f>$AH462*tbl_Data_old[[#This Row],[2030 ]]</f>
        <v>0</v>
      </c>
      <c r="AO462">
        <f>$AH462*tbl_Data_old[[#This Row],[2031 ]]</f>
        <v>0</v>
      </c>
      <c r="AP462">
        <f>$AH462*tbl_Data_old[[#This Row],[2032 ]]</f>
        <v>0</v>
      </c>
      <c r="AQ462">
        <f>$AH462*tbl_Data_old[[#This Row],[2033 ]]</f>
        <v>0</v>
      </c>
      <c r="AR462">
        <f>$AH462*tbl_Data_old[[#This Row],[2034 ]]</f>
        <v>0</v>
      </c>
      <c r="AS462">
        <f>SUM(tbl_Data_old[[#This Row],[Adjusted 2025]:[Adjusted 2034]])</f>
        <v>0</v>
      </c>
      <c r="AT462" s="3">
        <f>AVERAGEIFS('3. Incentive Adjustment'!F:F,'3. Incentive Adjustment'!A:A,tbl_Data_old[[#This Row],[Trimmed Sector]],'3. Incentive Adjustment'!B:B,tbl_Data_old[[#This Row],[Trimmed Measure Name]])</f>
        <v>725.0262900596623</v>
      </c>
      <c r="AU462" s="3">
        <f>IFERROR(VLOOKUP(tbl_Data_old[[#This Row],[All_Meas_Name_Append]],'IRA Tax Credits'!$A$3:$D$46,4,0),0)</f>
        <v>0</v>
      </c>
      <c r="AV462" s="4">
        <f>tbl_Data_old[[#This Row],[Adj. per unit Incentive ($)]]/tbl_Data_old[[#This Row],[kWh Savings]]*tbl_Data_old[[#This Row],[Sum of Annuals]]</f>
        <v>0</v>
      </c>
      <c r="AW462" s="4">
        <f>IFERROR(VLOOKUP(tbl_Data_old[[#This Row],[All_Programs]],'1. Set Program Names'!$B$2:$D$15,3,0)*tbl_Data_old[[#This Row],[Sum of Annuals]],"")</f>
        <v>0</v>
      </c>
      <c r="AX462" s="4">
        <f>tbl_Data_old[[#This Row],[per unit IRA tax ($)]]/tbl_Data_old[[#This Row],[kWh Savings]]*tbl_Data_old[[#This Row],[Sum of Annuals]]</f>
        <v>0</v>
      </c>
      <c r="AY462" s="4">
        <f>tbl_Data_old[[#This Row],[Avoided Costs ($/unit)]]/tbl_Data_old[[#This Row],[kWh Savings]]*tbl_Data_old[[#This Row],[Sum of Annuals]]</f>
        <v>0</v>
      </c>
      <c r="AZ462" s="4">
        <f>tbl_Data_old[[#This Row],[Lost Revenue ($/unit)]]/tbl_Data_old[[#This Row],[kWh Savings]]*tbl_Data_old[[#This Row],[Sum of Annuals]]</f>
        <v>0</v>
      </c>
      <c r="BA462" s="4">
        <f>tbl_Data_old[[#This Row],[Incremental Cost ($/unit)]]/tbl_Data_old[[#This Row],[kWh Savings]]*tbl_Data_old[[#This Row],[Sum of Annuals]]</f>
        <v>0</v>
      </c>
      <c r="BB462">
        <f>ROUNDUP(tbl_Data_old[[#This Row],[Adjusted 2025]]/$L462,0)</f>
        <v>0</v>
      </c>
      <c r="BC462">
        <f>ROUNDUP(tbl_Data_old[[#This Row],[Adjusted 2026]]/$L462,0)</f>
        <v>0</v>
      </c>
      <c r="BD462">
        <f>ROUNDUP(tbl_Data_old[[#This Row],[Adjusted 2027]]/$L462,0)</f>
        <v>0</v>
      </c>
      <c r="BE462">
        <f>ROUNDUP(tbl_Data_old[[#This Row],[Adjusted 2028]]/$L462,0)</f>
        <v>0</v>
      </c>
      <c r="BF462">
        <f>ROUNDUP(tbl_Data_old[[#This Row],[Adjusted 2029]]/$L462,0)</f>
        <v>0</v>
      </c>
      <c r="BG462">
        <f>ROUNDUP(tbl_Data_old[[#This Row],[Adjusted 2030]]/$L462,0)</f>
        <v>0</v>
      </c>
      <c r="BH462">
        <f>ROUNDUP(tbl_Data_old[[#This Row],[Adjusted 2031]]/$L462,0)</f>
        <v>0</v>
      </c>
      <c r="BI462">
        <f>ROUNDUP(tbl_Data_old[[#This Row],[Adjusted 2032]]/$L462,0)</f>
        <v>0</v>
      </c>
      <c r="BJ462">
        <f>ROUNDUP(tbl_Data_old[[#This Row],[Adjusted 2033]]/$L462,0)</f>
        <v>0</v>
      </c>
      <c r="BK462">
        <f>ROUNDUP(tbl_Data_old[[#This Row],[Adjusted 2034]]/$L462,0)</f>
        <v>0</v>
      </c>
      <c r="BL462" s="3">
        <f t="shared" si="32"/>
        <v>0</v>
      </c>
      <c r="BM462" s="3">
        <f t="shared" si="32"/>
        <v>0</v>
      </c>
      <c r="BN462" s="3">
        <f t="shared" si="32"/>
        <v>0</v>
      </c>
      <c r="BO462" s="3">
        <f t="shared" si="32"/>
        <v>0</v>
      </c>
      <c r="BP462" s="3">
        <f t="shared" si="32"/>
        <v>0</v>
      </c>
      <c r="BQ462" s="3">
        <f t="shared" si="31"/>
        <v>0</v>
      </c>
      <c r="BR462" s="3">
        <f t="shared" si="31"/>
        <v>0</v>
      </c>
      <c r="BS462" s="3">
        <f t="shared" si="31"/>
        <v>0</v>
      </c>
      <c r="BT462" s="3">
        <f t="shared" si="31"/>
        <v>0</v>
      </c>
      <c r="BU462" s="3">
        <f t="shared" si="31"/>
        <v>0</v>
      </c>
      <c r="BV462">
        <f>VLOOKUP($H462,'1. Set Program Names'!$B$2:$D$15,3,0)*V462</f>
        <v>0</v>
      </c>
      <c r="BW462">
        <f>VLOOKUP($H462,'1. Set Program Names'!$B$2:$D$15,3,0)*W462</f>
        <v>0</v>
      </c>
      <c r="BX462">
        <f>VLOOKUP($H462,'1. Set Program Names'!$B$2:$D$15,3,0)*X462</f>
        <v>0</v>
      </c>
      <c r="BY462">
        <f>VLOOKUP($H462,'1. Set Program Names'!$B$2:$D$15,3,0)*Y462</f>
        <v>0</v>
      </c>
      <c r="BZ462">
        <f>VLOOKUP($H462,'1. Set Program Names'!$B$2:$D$15,3,0)*Z462</f>
        <v>0</v>
      </c>
      <c r="CA462">
        <f>VLOOKUP($H462,'1. Set Program Names'!$B$2:$D$15,3,0)*AA462</f>
        <v>0</v>
      </c>
      <c r="CB462">
        <f>VLOOKUP($H462,'1. Set Program Names'!$B$2:$D$15,3,0)*AB462</f>
        <v>0</v>
      </c>
      <c r="CC462">
        <f>VLOOKUP($H462,'1. Set Program Names'!$B$2:$D$15,3,0)*AC462</f>
        <v>0</v>
      </c>
      <c r="CD462">
        <f>VLOOKUP($H462,'1. Set Program Names'!$B$2:$D$15,3,0)*AD462</f>
        <v>0</v>
      </c>
      <c r="CE462">
        <f>VLOOKUP($H462,'1. Set Program Names'!$B$2:$D$15,3,0)*AE462</f>
        <v>0</v>
      </c>
    </row>
    <row r="463" spans="1:83" x14ac:dyDescent="0.25">
      <c r="A463" s="20" t="s">
        <v>116</v>
      </c>
      <c r="B463" s="20" t="s">
        <v>88</v>
      </c>
      <c r="C463" s="20" t="s">
        <v>122</v>
      </c>
      <c r="D463" s="20" t="s">
        <v>90</v>
      </c>
      <c r="E463" s="20" t="s">
        <v>91</v>
      </c>
      <c r="F463" s="20" t="s">
        <v>90</v>
      </c>
      <c r="G463" s="20" t="s">
        <v>92</v>
      </c>
      <c r="H463" s="20" t="s">
        <v>18</v>
      </c>
      <c r="I463" s="20" t="s">
        <v>169</v>
      </c>
      <c r="J463" s="20" t="s">
        <v>129</v>
      </c>
      <c r="K463" s="20" t="s">
        <v>102</v>
      </c>
      <c r="L463" s="20">
        <v>12279.148571428501</v>
      </c>
      <c r="M463" s="20">
        <v>2.3939185148112898</v>
      </c>
      <c r="N463" s="20">
        <v>0.409805025192993</v>
      </c>
      <c r="O463" s="20">
        <v>4666.07785714284</v>
      </c>
      <c r="P463" s="20">
        <v>2140.17810945783</v>
      </c>
      <c r="Q463" s="20">
        <v>388.61290273657698</v>
      </c>
      <c r="R463" s="20">
        <v>6035.2668545830202</v>
      </c>
      <c r="S463" s="20">
        <v>13336.629705795</v>
      </c>
      <c r="T463" s="20">
        <v>15</v>
      </c>
      <c r="U463" s="20">
        <v>1</v>
      </c>
      <c r="V463" s="20">
        <v>6.8274033608015898</v>
      </c>
      <c r="W463" s="20">
        <v>7.5297851008008996</v>
      </c>
      <c r="X463" s="20">
        <v>8.1209631744505195</v>
      </c>
      <c r="Y463" s="20">
        <v>8.6457221682981604</v>
      </c>
      <c r="Z463" s="20">
        <v>9.1018320302251006</v>
      </c>
      <c r="AA463" s="20">
        <v>9.4885465004212399</v>
      </c>
      <c r="AB463" s="20">
        <v>9.8138040512375806</v>
      </c>
      <c r="AC463" s="20">
        <v>10.105016920809399</v>
      </c>
      <c r="AD463" s="20">
        <v>10.3753167988366</v>
      </c>
      <c r="AE463" s="20">
        <v>10.613155582403101</v>
      </c>
      <c r="AF463" t="str">
        <f t="shared" si="30"/>
        <v>NonResidential</v>
      </c>
      <c r="AG463" t="str">
        <f>tbl_Data_old[[#This Row],[All_Meas_Name_Append]]</f>
        <v>Custom measure - Non-lighting_69</v>
      </c>
      <c r="AH463">
        <f>AVERAGEIFS('3. Incentive Adjustment'!G:G,'3. Incentive Adjustment'!A:A,tbl_Data_old[[#This Row],[Trimmed Sector]],'3. Incentive Adjustment'!B:B,tbl_Data_old[[#This Row],[Trimmed Measure Name]])</f>
        <v>0.94249803878007732</v>
      </c>
      <c r="AI463">
        <f>$AH463*tbl_Data_old[[#This Row],[2025 ]]</f>
        <v>6.4348142775160069</v>
      </c>
      <c r="AJ463">
        <f>$AH463*tbl_Data_old[[#This Row],[2026 ]]</f>
        <v>7.0968076899402943</v>
      </c>
      <c r="AK463">
        <f>$AH463*tbl_Data_old[[#This Row],[2027 ]]</f>
        <v>7.653991864924846</v>
      </c>
      <c r="AL463">
        <f>$AH463*tbl_Data_old[[#This Row],[2028 ]]</f>
        <v>8.1485761874584544</v>
      </c>
      <c r="AM463">
        <f>$AH463*tbl_Data_old[[#This Row],[2029 ]]</f>
        <v>8.5784588377928461</v>
      </c>
      <c r="AN463">
        <f>$AH463*tbl_Data_old[[#This Row],[2030 ]]</f>
        <v>8.9429364675205854</v>
      </c>
      <c r="AO463">
        <f>$AH463*tbl_Data_old[[#This Row],[2031 ]]</f>
        <v>9.2494910712633978</v>
      </c>
      <c r="AP463">
        <f>$AH463*tbl_Data_old[[#This Row],[2032 ]]</f>
        <v>9.5239586297023546</v>
      </c>
      <c r="AQ463">
        <f>$AH463*tbl_Data_old[[#This Row],[2033 ]]</f>
        <v>9.7787157346254858</v>
      </c>
      <c r="AR463">
        <f>$AH463*tbl_Data_old[[#This Row],[2034 ]]</f>
        <v>10.002878321682752</v>
      </c>
      <c r="AS463">
        <f>SUM(tbl_Data_old[[#This Row],[Adjusted 2025]:[Adjusted 2034]])</f>
        <v>85.410629082427036</v>
      </c>
      <c r="AT463" s="3">
        <f>AVERAGEIFS('3. Incentive Adjustment'!F:F,'3. Incentive Adjustment'!A:A,tbl_Data_old[[#This Row],[Trimmed Sector]],'3. Incentive Adjustment'!B:B,tbl_Data_old[[#This Row],[Trimmed Measure Name]])</f>
        <v>1864.5735288999113</v>
      </c>
      <c r="AU463" s="3">
        <f>IFERROR(VLOOKUP(tbl_Data_old[[#This Row],[All_Meas_Name_Append]],'IRA Tax Credits'!$A$3:$D$46,4,0),0)</f>
        <v>0</v>
      </c>
      <c r="AV463" s="4">
        <f>tbl_Data_old[[#This Row],[Adj. per unit Incentive ($)]]/tbl_Data_old[[#This Row],[kWh Savings]]*tbl_Data_old[[#This Row],[Sum of Annuals]]</f>
        <v>12.969498426327405</v>
      </c>
      <c r="AW463" s="4">
        <f>IFERROR(VLOOKUP(tbl_Data_old[[#This Row],[All_Programs]],'1. Set Program Names'!$B$2:$D$15,3,0)*tbl_Data_old[[#This Row],[Sum of Annuals]],"")</f>
        <v>2.7030923438381067</v>
      </c>
      <c r="AX463" s="4">
        <f>tbl_Data_old[[#This Row],[per unit IRA tax ($)]]/tbl_Data_old[[#This Row],[kWh Savings]]*tbl_Data_old[[#This Row],[Sum of Annuals]]</f>
        <v>0</v>
      </c>
      <c r="AY463" s="4">
        <f>tbl_Data_old[[#This Row],[Avoided Costs ($/unit)]]/tbl_Data_old[[#This Row],[kWh Savings]]*tbl_Data_old[[#This Row],[Sum of Annuals]]</f>
        <v>41.979778624853651</v>
      </c>
      <c r="AZ463" s="4">
        <f>tbl_Data_old[[#This Row],[Lost Revenue ($/unit)]]/tbl_Data_old[[#This Row],[kWh Savings]]*tbl_Data_old[[#This Row],[Sum of Annuals]]</f>
        <v>92.766198436738861</v>
      </c>
      <c r="BA463" s="4">
        <f>tbl_Data_old[[#This Row],[Incremental Cost ($/unit)]]/tbl_Data_old[[#This Row],[kWh Savings]]*tbl_Data_old[[#This Row],[Sum of Annuals]]</f>
        <v>32.45604878936566</v>
      </c>
      <c r="BB463">
        <f>ROUNDUP(tbl_Data_old[[#This Row],[Adjusted 2025]]/$L463,0)</f>
        <v>1</v>
      </c>
      <c r="BC463">
        <f>ROUNDUP(tbl_Data_old[[#This Row],[Adjusted 2026]]/$L463,0)</f>
        <v>1</v>
      </c>
      <c r="BD463">
        <f>ROUNDUP(tbl_Data_old[[#This Row],[Adjusted 2027]]/$L463,0)</f>
        <v>1</v>
      </c>
      <c r="BE463">
        <f>ROUNDUP(tbl_Data_old[[#This Row],[Adjusted 2028]]/$L463,0)</f>
        <v>1</v>
      </c>
      <c r="BF463">
        <f>ROUNDUP(tbl_Data_old[[#This Row],[Adjusted 2029]]/$L463,0)</f>
        <v>1</v>
      </c>
      <c r="BG463">
        <f>ROUNDUP(tbl_Data_old[[#This Row],[Adjusted 2030]]/$L463,0)</f>
        <v>1</v>
      </c>
      <c r="BH463">
        <f>ROUNDUP(tbl_Data_old[[#This Row],[Adjusted 2031]]/$L463,0)</f>
        <v>1</v>
      </c>
      <c r="BI463">
        <f>ROUNDUP(tbl_Data_old[[#This Row],[Adjusted 2032]]/$L463,0)</f>
        <v>1</v>
      </c>
      <c r="BJ463">
        <f>ROUNDUP(tbl_Data_old[[#This Row],[Adjusted 2033]]/$L463,0)</f>
        <v>1</v>
      </c>
      <c r="BK463">
        <f>ROUNDUP(tbl_Data_old[[#This Row],[Adjusted 2034]]/$L463,0)</f>
        <v>1</v>
      </c>
      <c r="BL463" s="3">
        <f t="shared" si="32"/>
        <v>1.0367327590850999</v>
      </c>
      <c r="BM463" s="3">
        <f t="shared" si="32"/>
        <v>1.1433885578945295</v>
      </c>
      <c r="BN463" s="3">
        <f t="shared" si="32"/>
        <v>1.2331582174585467</v>
      </c>
      <c r="BO463" s="3">
        <f t="shared" si="32"/>
        <v>1.312842221873735</v>
      </c>
      <c r="BP463" s="3">
        <f t="shared" si="32"/>
        <v>1.3821019404830546</v>
      </c>
      <c r="BQ463" s="3">
        <f t="shared" si="31"/>
        <v>1.440824054657001</v>
      </c>
      <c r="BR463" s="3">
        <f t="shared" si="31"/>
        <v>1.4902140116071196</v>
      </c>
      <c r="BS463" s="3">
        <f t="shared" si="31"/>
        <v>1.5344343258023594</v>
      </c>
      <c r="BT463" s="3">
        <f t="shared" si="31"/>
        <v>1.5754790280879154</v>
      </c>
      <c r="BU463" s="3">
        <f t="shared" si="31"/>
        <v>1.6115945533138034</v>
      </c>
      <c r="BV463">
        <f>VLOOKUP($H463,'1. Set Program Names'!$B$2:$D$15,3,0)*V463</f>
        <v>0.2160750008651372</v>
      </c>
      <c r="BW463">
        <f>VLOOKUP($H463,'1. Set Program Names'!$B$2:$D$15,3,0)*W463</f>
        <v>0.23830411595585432</v>
      </c>
      <c r="BX463">
        <f>VLOOKUP($H463,'1. Set Program Names'!$B$2:$D$15,3,0)*X463</f>
        <v>0.25701383559958935</v>
      </c>
      <c r="BY463">
        <f>VLOOKUP($H463,'1. Set Program Names'!$B$2:$D$15,3,0)*Y463</f>
        <v>0.27362151117660471</v>
      </c>
      <c r="BZ463">
        <f>VLOOKUP($H463,'1. Set Program Names'!$B$2:$D$15,3,0)*Z463</f>
        <v>0.28805656555998749</v>
      </c>
      <c r="CA463">
        <f>VLOOKUP($H463,'1. Set Program Names'!$B$2:$D$15,3,0)*AA463</f>
        <v>0.300295380972877</v>
      </c>
      <c r="CB463">
        <f>VLOOKUP($H463,'1. Set Program Names'!$B$2:$D$15,3,0)*AB463</f>
        <v>0.31058919574549382</v>
      </c>
      <c r="CC463">
        <f>VLOOKUP($H463,'1. Set Program Names'!$B$2:$D$15,3,0)*AC463</f>
        <v>0.31980555776768466</v>
      </c>
      <c r="CD463">
        <f>VLOOKUP($H463,'1. Set Program Names'!$B$2:$D$15,3,0)*AD463</f>
        <v>0.32836006133105938</v>
      </c>
      <c r="CE463">
        <f>VLOOKUP($H463,'1. Set Program Names'!$B$2:$D$15,3,0)*AE463</f>
        <v>0.33588722980918795</v>
      </c>
    </row>
    <row r="464" spans="1:83" x14ac:dyDescent="0.25">
      <c r="A464" s="20" t="s">
        <v>116</v>
      </c>
      <c r="B464" s="20" t="s">
        <v>88</v>
      </c>
      <c r="C464" s="20" t="s">
        <v>122</v>
      </c>
      <c r="D464" s="20" t="s">
        <v>90</v>
      </c>
      <c r="E464" s="20" t="s">
        <v>91</v>
      </c>
      <c r="F464" s="20" t="s">
        <v>90</v>
      </c>
      <c r="G464" s="20" t="s">
        <v>92</v>
      </c>
      <c r="H464" s="20" t="s">
        <v>18</v>
      </c>
      <c r="I464" s="20" t="s">
        <v>170</v>
      </c>
      <c r="J464" s="20" t="s">
        <v>144</v>
      </c>
      <c r="K464" s="20" t="s">
        <v>171</v>
      </c>
      <c r="L464" s="20">
        <v>5592.79</v>
      </c>
      <c r="M464" s="20">
        <v>0.87755365852981304</v>
      </c>
      <c r="N464" s="20">
        <v>1.3078150987013399</v>
      </c>
      <c r="O464" s="20">
        <v>2274</v>
      </c>
      <c r="P464" s="20">
        <v>1123.5242193223601</v>
      </c>
      <c r="Q464" s="20">
        <v>177.00171503367099</v>
      </c>
      <c r="R464" s="20">
        <v>3205.1805113222799</v>
      </c>
      <c r="S464" s="20">
        <v>7177.7771935445198</v>
      </c>
      <c r="T464" s="20">
        <v>20</v>
      </c>
      <c r="U464" s="20">
        <v>1</v>
      </c>
      <c r="V464" s="20">
        <v>0.37441444939401902</v>
      </c>
      <c r="W464" s="20">
        <v>0.48180851239116201</v>
      </c>
      <c r="X464" s="20">
        <v>0.60524708167903896</v>
      </c>
      <c r="Y464" s="20">
        <v>0.74407971936695605</v>
      </c>
      <c r="Z464" s="20">
        <v>0.89082848588497299</v>
      </c>
      <c r="AA464" s="20">
        <v>1.0329128177910301</v>
      </c>
      <c r="AB464" s="20">
        <v>1.15528937174348</v>
      </c>
      <c r="AC464" s="20">
        <v>1.24316151251665</v>
      </c>
      <c r="AD464" s="20">
        <v>1.28114299237162</v>
      </c>
      <c r="AE464" s="20">
        <v>1.25827084550611</v>
      </c>
      <c r="AF464" t="str">
        <f t="shared" si="30"/>
        <v>NonResidential</v>
      </c>
      <c r="AG464" t="str">
        <f>tbl_Data_old[[#This Row],[All_Meas_Name_Append]]</f>
        <v>Demand Controlled Circulating Systems</v>
      </c>
      <c r="AH464">
        <f>AVERAGEIFS('3. Incentive Adjustment'!G:G,'3. Incentive Adjustment'!A:A,tbl_Data_old[[#This Row],[Trimmed Sector]],'3. Incentive Adjustment'!B:B,tbl_Data_old[[#This Row],[Trimmed Measure Name]])</f>
        <v>0.82519266246945677</v>
      </c>
      <c r="AI464">
        <f>$AH464*tbl_Data_old[[#This Row],[2025 ]]</f>
        <v>0.30896405636248625</v>
      </c>
      <c r="AJ464">
        <f>$AH464*tbl_Data_old[[#This Row],[2026 ]]</f>
        <v>0.39758484914051123</v>
      </c>
      <c r="AK464">
        <f>$AH464*tbl_Data_old[[#This Row],[2027 ]]</f>
        <v>0.49944545078259495</v>
      </c>
      <c r="AL464">
        <f>$AH464*tbl_Data_old[[#This Row],[2028 ]]</f>
        <v>0.61400912471394464</v>
      </c>
      <c r="AM464">
        <f>$AH464*tbl_Data_old[[#This Row],[2029 ]]</f>
        <v>0.73510513007105571</v>
      </c>
      <c r="AN464">
        <f>$AH464*tbl_Data_old[[#This Row],[2030 ]]</f>
        <v>0.85235207821180892</v>
      </c>
      <c r="AO464">
        <f>$AH464*tbl_Data_old[[#This Row],[2031 ]]</f>
        <v>0.95333631259166829</v>
      </c>
      <c r="AP464">
        <f>$AH464*tbl_Data_old[[#This Row],[2032 ]]</f>
        <v>1.0258477583931713</v>
      </c>
      <c r="AQ464">
        <f>$AH464*tbl_Data_old[[#This Row],[2033 ]]</f>
        <v>1.0571897968792241</v>
      </c>
      <c r="AR464">
        <f>$AH464*tbl_Data_old[[#This Row],[2034 ]]</f>
        <v>1.0383158691108814</v>
      </c>
      <c r="AS464">
        <f>SUM(tbl_Data_old[[#This Row],[Adjusted 2025]:[Adjusted 2034]])</f>
        <v>7.4821504262573466</v>
      </c>
      <c r="AT464" s="3">
        <f>AVERAGEIFS('3. Incentive Adjustment'!F:F,'3. Incentive Adjustment'!A:A,tbl_Data_old[[#This Row],[Trimmed Sector]],'3. Incentive Adjustment'!B:B,tbl_Data_old[[#This Row],[Trimmed Measure Name]])</f>
        <v>716.2547365811331</v>
      </c>
      <c r="AU464" s="3">
        <f>IFERROR(VLOOKUP(tbl_Data_old[[#This Row],[All_Meas_Name_Append]],'IRA Tax Credits'!$A$3:$D$46,4,0),0)</f>
        <v>0</v>
      </c>
      <c r="AV464" s="4">
        <f>tbl_Data_old[[#This Row],[Adj. per unit Incentive ($)]]/tbl_Data_old[[#This Row],[kWh Savings]]*tbl_Data_old[[#This Row],[Sum of Annuals]]</f>
        <v>0.95822043785290867</v>
      </c>
      <c r="AW464" s="4">
        <f>IFERROR(VLOOKUP(tbl_Data_old[[#This Row],[All_Programs]],'1. Set Program Names'!$B$2:$D$15,3,0)*tbl_Data_old[[#This Row],[Sum of Annuals]],"")</f>
        <v>0.23679656443160979</v>
      </c>
      <c r="AX464" s="4">
        <f>tbl_Data_old[[#This Row],[per unit IRA tax ($)]]/tbl_Data_old[[#This Row],[kWh Savings]]*tbl_Data_old[[#This Row],[Sum of Annuals]]</f>
        <v>0</v>
      </c>
      <c r="AY464" s="4">
        <f>tbl_Data_old[[#This Row],[Avoided Costs ($/unit)]]/tbl_Data_old[[#This Row],[kWh Savings]]*tbl_Data_old[[#This Row],[Sum of Annuals]]</f>
        <v>4.2879569461792304</v>
      </c>
      <c r="AZ464" s="4">
        <f>tbl_Data_old[[#This Row],[Lost Revenue ($/unit)]]/tbl_Data_old[[#This Row],[kWh Savings]]*tbl_Data_old[[#This Row],[Sum of Annuals]]</f>
        <v>9.6025791578549136</v>
      </c>
      <c r="BA464" s="4">
        <f>tbl_Data_old[[#This Row],[Incremental Cost ($/unit)]]/tbl_Data_old[[#This Row],[kWh Savings]]*tbl_Data_old[[#This Row],[Sum of Annuals]]</f>
        <v>3.042204350477884</v>
      </c>
      <c r="BB464">
        <f>ROUNDUP(tbl_Data_old[[#This Row],[Adjusted 2025]]/$L464,0)</f>
        <v>1</v>
      </c>
      <c r="BC464">
        <f>ROUNDUP(tbl_Data_old[[#This Row],[Adjusted 2026]]/$L464,0)</f>
        <v>1</v>
      </c>
      <c r="BD464">
        <f>ROUNDUP(tbl_Data_old[[#This Row],[Adjusted 2027]]/$L464,0)</f>
        <v>1</v>
      </c>
      <c r="BE464">
        <f>ROUNDUP(tbl_Data_old[[#This Row],[Adjusted 2028]]/$L464,0)</f>
        <v>1</v>
      </c>
      <c r="BF464">
        <f>ROUNDUP(tbl_Data_old[[#This Row],[Adjusted 2029]]/$L464,0)</f>
        <v>1</v>
      </c>
      <c r="BG464">
        <f>ROUNDUP(tbl_Data_old[[#This Row],[Adjusted 2030]]/$L464,0)</f>
        <v>1</v>
      </c>
      <c r="BH464">
        <f>ROUNDUP(tbl_Data_old[[#This Row],[Adjusted 2031]]/$L464,0)</f>
        <v>1</v>
      </c>
      <c r="BI464">
        <f>ROUNDUP(tbl_Data_old[[#This Row],[Adjusted 2032]]/$L464,0)</f>
        <v>1</v>
      </c>
      <c r="BJ464">
        <f>ROUNDUP(tbl_Data_old[[#This Row],[Adjusted 2033]]/$L464,0)</f>
        <v>1</v>
      </c>
      <c r="BK464">
        <f>ROUNDUP(tbl_Data_old[[#This Row],[Adjusted 2034]]/$L464,0)</f>
        <v>1</v>
      </c>
      <c r="BL464" s="3">
        <f t="shared" si="32"/>
        <v>4.7950329410344945E-2</v>
      </c>
      <c r="BM464" s="3">
        <f t="shared" si="32"/>
        <v>6.1704020555979996E-2</v>
      </c>
      <c r="BN464" s="3">
        <f t="shared" si="32"/>
        <v>7.7512491807223166E-2</v>
      </c>
      <c r="BO464" s="3">
        <f t="shared" si="32"/>
        <v>9.5292443197499382E-2</v>
      </c>
      <c r="BP464" s="3">
        <f t="shared" si="32"/>
        <v>0.11408619356287487</v>
      </c>
      <c r="BQ464" s="3">
        <f t="shared" si="31"/>
        <v>0.13228258136246671</v>
      </c>
      <c r="BR464" s="3">
        <f t="shared" si="31"/>
        <v>0.14795504294513276</v>
      </c>
      <c r="BS464" s="3">
        <f t="shared" si="31"/>
        <v>0.15920860995592828</v>
      </c>
      <c r="BT464" s="3">
        <f t="shared" si="31"/>
        <v>0.16407280382848263</v>
      </c>
      <c r="BU464" s="3">
        <f t="shared" si="31"/>
        <v>0.16114362473750998</v>
      </c>
      <c r="BV464">
        <f>VLOOKUP($H464,'1. Set Program Names'!$B$2:$D$15,3,0)*V464</f>
        <v>1.1849541941701546E-2</v>
      </c>
      <c r="BW464">
        <f>VLOOKUP($H464,'1. Set Program Names'!$B$2:$D$15,3,0)*W464</f>
        <v>1.5248370314468702E-2</v>
      </c>
      <c r="BX464">
        <f>VLOOKUP($H464,'1. Set Program Names'!$B$2:$D$15,3,0)*X464</f>
        <v>1.9154978369707115E-2</v>
      </c>
      <c r="BY464">
        <f>VLOOKUP($H464,'1. Set Program Names'!$B$2:$D$15,3,0)*Y464</f>
        <v>2.3548780921458495E-2</v>
      </c>
      <c r="BZ464">
        <f>VLOOKUP($H464,'1. Set Program Names'!$B$2:$D$15,3,0)*Z464</f>
        <v>2.8193114671297977E-2</v>
      </c>
      <c r="CA464">
        <f>VLOOKUP($H464,'1. Set Program Names'!$B$2:$D$15,3,0)*AA464</f>
        <v>3.2689827479535985E-2</v>
      </c>
      <c r="CB464">
        <f>VLOOKUP($H464,'1. Set Program Names'!$B$2:$D$15,3,0)*AB464</f>
        <v>3.6562824665107803E-2</v>
      </c>
      <c r="CC464">
        <f>VLOOKUP($H464,'1. Set Program Names'!$B$2:$D$15,3,0)*AC464</f>
        <v>3.9343819413798747E-2</v>
      </c>
      <c r="CD464">
        <f>VLOOKUP($H464,'1. Set Program Names'!$B$2:$D$15,3,0)*AD464</f>
        <v>4.054586473891314E-2</v>
      </c>
      <c r="CE464">
        <f>VLOOKUP($H464,'1. Set Program Names'!$B$2:$D$15,3,0)*AE464</f>
        <v>3.9822002548182349E-2</v>
      </c>
    </row>
    <row r="465" spans="1:83" x14ac:dyDescent="0.25">
      <c r="A465" s="20" t="s">
        <v>116</v>
      </c>
      <c r="B465" s="20" t="s">
        <v>88</v>
      </c>
      <c r="C465" s="20" t="s">
        <v>122</v>
      </c>
      <c r="D465" s="20" t="s">
        <v>90</v>
      </c>
      <c r="E465" s="20" t="s">
        <v>91</v>
      </c>
      <c r="F465" s="20" t="s">
        <v>90</v>
      </c>
      <c r="G465" s="20" t="s">
        <v>92</v>
      </c>
      <c r="H465" s="20" t="s">
        <v>18</v>
      </c>
      <c r="I465" s="20" t="s">
        <v>172</v>
      </c>
      <c r="J465" s="20" t="s">
        <v>144</v>
      </c>
      <c r="K465" s="20" t="s">
        <v>102</v>
      </c>
      <c r="L465" s="20">
        <v>18085.229999999901</v>
      </c>
      <c r="M465" s="20">
        <v>0.84213537152598805</v>
      </c>
      <c r="N465" s="20">
        <v>1.2419142635526399</v>
      </c>
      <c r="O465" s="20">
        <v>5343.87</v>
      </c>
      <c r="P465" s="20">
        <v>2505.3610009054501</v>
      </c>
      <c r="Q465" s="20">
        <v>572.36490674214201</v>
      </c>
      <c r="R465" s="20">
        <v>7297.3054636159204</v>
      </c>
      <c r="S465" s="20">
        <v>27879.9715993795</v>
      </c>
      <c r="T465" s="20">
        <v>30</v>
      </c>
      <c r="U465" s="20">
        <v>1</v>
      </c>
      <c r="V465" s="20">
        <v>6.91492758908133</v>
      </c>
      <c r="W465" s="20">
        <v>9.5221508466778708</v>
      </c>
      <c r="X465" s="20">
        <v>12.7116627764848</v>
      </c>
      <c r="Y465" s="20">
        <v>16.4587655950575</v>
      </c>
      <c r="Z465" s="20">
        <v>20.467362081233102</v>
      </c>
      <c r="AA465" s="20">
        <v>24.096808934444802</v>
      </c>
      <c r="AB465" s="20">
        <v>26.525849625293699</v>
      </c>
      <c r="AC465" s="20">
        <v>26.9622974768041</v>
      </c>
      <c r="AD465" s="20">
        <v>24.9839836440234</v>
      </c>
      <c r="AE465" s="20">
        <v>20.9962336706757</v>
      </c>
      <c r="AF465" t="str">
        <f t="shared" si="30"/>
        <v>NonResidential</v>
      </c>
      <c r="AG465" t="str">
        <f>tbl_Data_old[[#This Row],[All_Meas_Name_Append]]</f>
        <v>Drain water heat recovery</v>
      </c>
      <c r="AH465">
        <f>AVERAGEIFS('3. Incentive Adjustment'!G:G,'3. Incentive Adjustment'!A:A,tbl_Data_old[[#This Row],[Trimmed Sector]],'3. Incentive Adjustment'!B:B,tbl_Data_old[[#This Row],[Trimmed Measure Name]])</f>
        <v>0.69383814414313949</v>
      </c>
      <c r="AI465">
        <f>$AH465*tbl_Data_old[[#This Row],[2025 ]]</f>
        <v>4.7978405252923837</v>
      </c>
      <c r="AJ465">
        <f>$AH465*tbl_Data_old[[#This Row],[2026 ]]</f>
        <v>6.6068314717099978</v>
      </c>
      <c r="AK465">
        <f>$AH465*tbl_Data_old[[#This Row],[2027 ]]</f>
        <v>8.8198365098096421</v>
      </c>
      <c r="AL465">
        <f>$AH465*tbl_Data_old[[#This Row],[2028 ]]</f>
        <v>11.41971937536165</v>
      </c>
      <c r="AM465">
        <f>$AH465*tbl_Data_old[[#This Row],[2029 ]]</f>
        <v>14.20103652194844</v>
      </c>
      <c r="AN465">
        <f>$AH465*tbl_Data_old[[#This Row],[2030 ]]</f>
        <v>16.719285190847003</v>
      </c>
      <c r="AO465">
        <f>$AH465*tbl_Data_old[[#This Row],[2031 ]]</f>
        <v>18.404646275833773</v>
      </c>
      <c r="AP465">
        <f>$AH465*tbl_Data_old[[#This Row],[2032 ]]</f>
        <v>18.707470443141009</v>
      </c>
      <c r="AQ465">
        <f>$AH465*tbl_Data_old[[#This Row],[2033 ]]</f>
        <v>17.334840844871746</v>
      </c>
      <c r="AR465">
        <f>$AH465*tbl_Data_old[[#This Row],[2034 ]]</f>
        <v>14.567987804057324</v>
      </c>
      <c r="AS465">
        <f>SUM(tbl_Data_old[[#This Row],[Adjusted 2025]:[Adjusted 2034]])</f>
        <v>131.57949496287296</v>
      </c>
      <c r="AT465" s="3">
        <f>AVERAGEIFS('3. Incentive Adjustment'!F:F,'3. Incentive Adjustment'!A:A,tbl_Data_old[[#This Row],[Trimmed Sector]],'3. Incentive Adjustment'!B:B,tbl_Data_old[[#This Row],[Trimmed Measure Name]])</f>
        <v>0</v>
      </c>
      <c r="AU465" s="3">
        <f>IFERROR(VLOOKUP(tbl_Data_old[[#This Row],[All_Meas_Name_Append]],'IRA Tax Credits'!$A$3:$D$46,4,0),0)</f>
        <v>0</v>
      </c>
      <c r="AV465" s="4">
        <f>tbl_Data_old[[#This Row],[Adj. per unit Incentive ($)]]/tbl_Data_old[[#This Row],[kWh Savings]]*tbl_Data_old[[#This Row],[Sum of Annuals]]</f>
        <v>0</v>
      </c>
      <c r="AW465" s="4">
        <f>IFERROR(VLOOKUP(tbl_Data_old[[#This Row],[All_Programs]],'1. Set Program Names'!$B$2:$D$15,3,0)*tbl_Data_old[[#This Row],[Sum of Annuals]],"")</f>
        <v>4.1642536679712254</v>
      </c>
      <c r="AX465" s="4">
        <f>tbl_Data_old[[#This Row],[per unit IRA tax ($)]]/tbl_Data_old[[#This Row],[kWh Savings]]*tbl_Data_old[[#This Row],[Sum of Annuals]]</f>
        <v>0</v>
      </c>
      <c r="AY465" s="4">
        <f>tbl_Data_old[[#This Row],[Avoided Costs ($/unit)]]/tbl_Data_old[[#This Row],[kWh Savings]]*tbl_Data_old[[#This Row],[Sum of Annuals]]</f>
        <v>53.091708952133949</v>
      </c>
      <c r="AZ465" s="4">
        <f>tbl_Data_old[[#This Row],[Lost Revenue ($/unit)]]/tbl_Data_old[[#This Row],[kWh Savings]]*tbl_Data_old[[#This Row],[Sum of Annuals]]</f>
        <v>202.84135632367494</v>
      </c>
      <c r="BA465" s="4">
        <f>tbl_Data_old[[#This Row],[Incremental Cost ($/unit)]]/tbl_Data_old[[#This Row],[kWh Savings]]*tbl_Data_old[[#This Row],[Sum of Annuals]]</f>
        <v>38.87944558887289</v>
      </c>
      <c r="BB465">
        <f>ROUNDUP(tbl_Data_old[[#This Row],[Adjusted 2025]]/$L465,0)</f>
        <v>1</v>
      </c>
      <c r="BC465">
        <f>ROUNDUP(tbl_Data_old[[#This Row],[Adjusted 2026]]/$L465,0)</f>
        <v>1</v>
      </c>
      <c r="BD465">
        <f>ROUNDUP(tbl_Data_old[[#This Row],[Adjusted 2027]]/$L465,0)</f>
        <v>1</v>
      </c>
      <c r="BE465">
        <f>ROUNDUP(tbl_Data_old[[#This Row],[Adjusted 2028]]/$L465,0)</f>
        <v>1</v>
      </c>
      <c r="BF465">
        <f>ROUNDUP(tbl_Data_old[[#This Row],[Adjusted 2029]]/$L465,0)</f>
        <v>1</v>
      </c>
      <c r="BG465">
        <f>ROUNDUP(tbl_Data_old[[#This Row],[Adjusted 2030]]/$L465,0)</f>
        <v>1</v>
      </c>
      <c r="BH465">
        <f>ROUNDUP(tbl_Data_old[[#This Row],[Adjusted 2031]]/$L465,0)</f>
        <v>1</v>
      </c>
      <c r="BI465">
        <f>ROUNDUP(tbl_Data_old[[#This Row],[Adjusted 2032]]/$L465,0)</f>
        <v>1</v>
      </c>
      <c r="BJ465">
        <f>ROUNDUP(tbl_Data_old[[#This Row],[Adjusted 2033]]/$L465,0)</f>
        <v>1</v>
      </c>
      <c r="BK465">
        <f>ROUNDUP(tbl_Data_old[[#This Row],[Adjusted 2034]]/$L465,0)</f>
        <v>1</v>
      </c>
      <c r="BL465" s="3">
        <f t="shared" si="32"/>
        <v>0</v>
      </c>
      <c r="BM465" s="3">
        <f t="shared" si="32"/>
        <v>0</v>
      </c>
      <c r="BN465" s="3">
        <f t="shared" si="32"/>
        <v>0</v>
      </c>
      <c r="BO465" s="3">
        <f t="shared" si="32"/>
        <v>0</v>
      </c>
      <c r="BP465" s="3">
        <f t="shared" si="32"/>
        <v>0</v>
      </c>
      <c r="BQ465" s="3">
        <f t="shared" si="31"/>
        <v>0</v>
      </c>
      <c r="BR465" s="3">
        <f t="shared" si="31"/>
        <v>0</v>
      </c>
      <c r="BS465" s="3">
        <f t="shared" si="31"/>
        <v>0</v>
      </c>
      <c r="BT465" s="3">
        <f t="shared" si="31"/>
        <v>0</v>
      </c>
      <c r="BU465" s="3">
        <f t="shared" si="31"/>
        <v>0</v>
      </c>
      <c r="BV465">
        <f>VLOOKUP($H465,'1. Set Program Names'!$B$2:$D$15,3,0)*V465</f>
        <v>0.21884498481098758</v>
      </c>
      <c r="BW465">
        <f>VLOOKUP($H465,'1. Set Program Names'!$B$2:$D$15,3,0)*W465</f>
        <v>0.30135889791522757</v>
      </c>
      <c r="BX465">
        <f>VLOOKUP($H465,'1. Set Program Names'!$B$2:$D$15,3,0)*X465</f>
        <v>0.40230119714265794</v>
      </c>
      <c r="BY465">
        <f>VLOOKUP($H465,'1. Set Program Names'!$B$2:$D$15,3,0)*Y465</f>
        <v>0.52089024219796487</v>
      </c>
      <c r="BZ465">
        <f>VLOOKUP($H465,'1. Set Program Names'!$B$2:$D$15,3,0)*Z465</f>
        <v>0.64775509014166188</v>
      </c>
      <c r="CA465">
        <f>VLOOKUP($H465,'1. Set Program Names'!$B$2:$D$15,3,0)*AA465</f>
        <v>0.7626205361251569</v>
      </c>
      <c r="CB465">
        <f>VLOOKUP($H465,'1. Set Program Names'!$B$2:$D$15,3,0)*AB465</f>
        <v>0.83949529240365617</v>
      </c>
      <c r="CC465">
        <f>VLOOKUP($H465,'1. Set Program Names'!$B$2:$D$15,3,0)*AC465</f>
        <v>0.85330807962436384</v>
      </c>
      <c r="CD465">
        <f>VLOOKUP($H465,'1. Set Program Names'!$B$2:$D$15,3,0)*AD465</f>
        <v>0.79069801536716511</v>
      </c>
      <c r="CE465">
        <f>VLOOKUP($H465,'1. Set Program Names'!$B$2:$D$15,3,0)*AE465</f>
        <v>0.66449292195081677</v>
      </c>
    </row>
    <row r="466" spans="1:83" x14ac:dyDescent="0.25">
      <c r="A466" s="20" t="s">
        <v>116</v>
      </c>
      <c r="B466" s="20" t="s">
        <v>88</v>
      </c>
      <c r="C466" s="20" t="s">
        <v>122</v>
      </c>
      <c r="D466" s="20" t="s">
        <v>90</v>
      </c>
      <c r="E466" s="20" t="s">
        <v>91</v>
      </c>
      <c r="F466" s="20" t="s">
        <v>90</v>
      </c>
      <c r="G466" s="20" t="s">
        <v>92</v>
      </c>
      <c r="H466" s="20" t="s">
        <v>18</v>
      </c>
      <c r="I466" s="20" t="s">
        <v>133</v>
      </c>
      <c r="J466" s="20" t="s">
        <v>134</v>
      </c>
      <c r="K466" s="20" t="s">
        <v>98</v>
      </c>
      <c r="L466" s="20">
        <v>4486</v>
      </c>
      <c r="M466" s="20">
        <v>0.89185722946849999</v>
      </c>
      <c r="N466" s="20">
        <v>0.84310494165890204</v>
      </c>
      <c r="O466" s="20">
        <v>2050</v>
      </c>
      <c r="P466" s="20">
        <v>1127.1986160539</v>
      </c>
      <c r="Q466" s="20">
        <v>141.97380799941499</v>
      </c>
      <c r="R466" s="20">
        <v>2297.8137992477</v>
      </c>
      <c r="S466" s="20">
        <v>5757.3247860621796</v>
      </c>
      <c r="T466" s="20">
        <v>20</v>
      </c>
      <c r="U466" s="20">
        <v>1</v>
      </c>
      <c r="V466" s="20">
        <v>9.5161431467346898</v>
      </c>
      <c r="W466" s="20">
        <v>12.3062266393278</v>
      </c>
      <c r="X466" s="20">
        <v>15.567222579773301</v>
      </c>
      <c r="Y466" s="20">
        <v>19.310508132228399</v>
      </c>
      <c r="Z466" s="20">
        <v>23.372575464736101</v>
      </c>
      <c r="AA466" s="20">
        <v>27.450980240977898</v>
      </c>
      <c r="AB466" s="20">
        <v>31.155778322873601</v>
      </c>
      <c r="AC466" s="20">
        <v>34.072373231245997</v>
      </c>
      <c r="AD466" s="20">
        <v>35.731977514021203</v>
      </c>
      <c r="AE466" s="20">
        <v>35.746321510855601</v>
      </c>
      <c r="AF466" t="str">
        <f t="shared" si="30"/>
        <v>NonResidential</v>
      </c>
      <c r="AG466" t="str">
        <f>tbl_Data_old[[#This Row],[All_Meas_Name_Append]]</f>
        <v>Efficient Exhaust Hood</v>
      </c>
      <c r="AH466">
        <f>AVERAGEIFS('3. Incentive Adjustment'!G:G,'3. Incentive Adjustment'!A:A,tbl_Data_old[[#This Row],[Trimmed Sector]],'3. Incentive Adjustment'!B:B,tbl_Data_old[[#This Row],[Trimmed Measure Name]])</f>
        <v>0.51531219842413434</v>
      </c>
      <c r="AI466">
        <f>$AH466*tbl_Data_old[[#This Row],[2025 ]]</f>
        <v>4.9037846454626122</v>
      </c>
      <c r="AJ466">
        <f>$AH466*tbl_Data_old[[#This Row],[2026 ]]</f>
        <v>6.3415487038176552</v>
      </c>
      <c r="AK466">
        <f>$AH466*tbl_Data_old[[#This Row],[2027 ]]</f>
        <v>8.0219796909408032</v>
      </c>
      <c r="AL466">
        <f>$AH466*tbl_Data_old[[#This Row],[2028 ]]</f>
        <v>9.9509403983057414</v>
      </c>
      <c r="AM466">
        <f>$AH466*tbl_Data_old[[#This Row],[2029 ]]</f>
        <v>12.044173245567144</v>
      </c>
      <c r="AN466">
        <f>$AH466*tbl_Data_old[[#This Row],[2030 ]]</f>
        <v>14.145824976875794</v>
      </c>
      <c r="AO466">
        <f>$AH466*tbl_Data_old[[#This Row],[2031 ]]</f>
        <v>16.054952621174984</v>
      </c>
      <c r="AP466">
        <f>$AH466*tbl_Data_old[[#This Row],[2032 ]]</f>
        <v>17.557909555321</v>
      </c>
      <c r="AQ466">
        <f>$AH466*tbl_Data_old[[#This Row],[2033 ]]</f>
        <v>18.413123886792</v>
      </c>
      <c r="AR466">
        <f>$AH466*tbl_Data_old[[#This Row],[2034 ]]</f>
        <v>18.420515523334924</v>
      </c>
      <c r="AS466">
        <f>SUM(tbl_Data_old[[#This Row],[Adjusted 2025]:[Adjusted 2034]])</f>
        <v>125.85475324759267</v>
      </c>
      <c r="AT466" s="3">
        <f>AVERAGEIFS('3. Incentive Adjustment'!F:F,'3. Incentive Adjustment'!A:A,tbl_Data_old[[#This Row],[Trimmed Sector]],'3. Incentive Adjustment'!B:B,tbl_Data_old[[#This Row],[Trimmed Measure Name]])</f>
        <v>0</v>
      </c>
      <c r="AU466" s="3">
        <f>IFERROR(VLOOKUP(tbl_Data_old[[#This Row],[All_Meas_Name_Append]],'IRA Tax Credits'!$A$3:$D$46,4,0),0)</f>
        <v>0</v>
      </c>
      <c r="AV466" s="4">
        <f>tbl_Data_old[[#This Row],[Adj. per unit Incentive ($)]]/tbl_Data_old[[#This Row],[kWh Savings]]*tbl_Data_old[[#This Row],[Sum of Annuals]]</f>
        <v>0</v>
      </c>
      <c r="AW466" s="4">
        <f>IFERROR(VLOOKUP(tbl_Data_old[[#This Row],[All_Programs]],'1. Set Program Names'!$B$2:$D$15,3,0)*tbl_Data_old[[#This Row],[Sum of Annuals]],"")</f>
        <v>3.9830759191679608</v>
      </c>
      <c r="AX466" s="4">
        <f>tbl_Data_old[[#This Row],[per unit IRA tax ($)]]/tbl_Data_old[[#This Row],[kWh Savings]]*tbl_Data_old[[#This Row],[Sum of Annuals]]</f>
        <v>0</v>
      </c>
      <c r="AY466" s="4">
        <f>tbl_Data_old[[#This Row],[Avoided Costs ($/unit)]]/tbl_Data_old[[#This Row],[kWh Savings]]*tbl_Data_old[[#This Row],[Sum of Annuals]]</f>
        <v>64.46517804574961</v>
      </c>
      <c r="AZ466" s="4">
        <f>tbl_Data_old[[#This Row],[Lost Revenue ($/unit)]]/tbl_Data_old[[#This Row],[kWh Savings]]*tbl_Data_old[[#This Row],[Sum of Annuals]]</f>
        <v>161.52177670889543</v>
      </c>
      <c r="BA466" s="4">
        <f>tbl_Data_old[[#This Row],[Incremental Cost ($/unit)]]/tbl_Data_old[[#This Row],[kWh Savings]]*tbl_Data_old[[#This Row],[Sum of Annuals]]</f>
        <v>57.512760623621261</v>
      </c>
      <c r="BB466">
        <f>ROUNDUP(tbl_Data_old[[#This Row],[Adjusted 2025]]/$L466,0)</f>
        <v>1</v>
      </c>
      <c r="BC466">
        <f>ROUNDUP(tbl_Data_old[[#This Row],[Adjusted 2026]]/$L466,0)</f>
        <v>1</v>
      </c>
      <c r="BD466">
        <f>ROUNDUP(tbl_Data_old[[#This Row],[Adjusted 2027]]/$L466,0)</f>
        <v>1</v>
      </c>
      <c r="BE466">
        <f>ROUNDUP(tbl_Data_old[[#This Row],[Adjusted 2028]]/$L466,0)</f>
        <v>1</v>
      </c>
      <c r="BF466">
        <f>ROUNDUP(tbl_Data_old[[#This Row],[Adjusted 2029]]/$L466,0)</f>
        <v>1</v>
      </c>
      <c r="BG466">
        <f>ROUNDUP(tbl_Data_old[[#This Row],[Adjusted 2030]]/$L466,0)</f>
        <v>1</v>
      </c>
      <c r="BH466">
        <f>ROUNDUP(tbl_Data_old[[#This Row],[Adjusted 2031]]/$L466,0)</f>
        <v>1</v>
      </c>
      <c r="BI466">
        <f>ROUNDUP(tbl_Data_old[[#This Row],[Adjusted 2032]]/$L466,0)</f>
        <v>1</v>
      </c>
      <c r="BJ466">
        <f>ROUNDUP(tbl_Data_old[[#This Row],[Adjusted 2033]]/$L466,0)</f>
        <v>1</v>
      </c>
      <c r="BK466">
        <f>ROUNDUP(tbl_Data_old[[#This Row],[Adjusted 2034]]/$L466,0)</f>
        <v>1</v>
      </c>
      <c r="BL466" s="3">
        <f t="shared" si="32"/>
        <v>0</v>
      </c>
      <c r="BM466" s="3">
        <f t="shared" si="32"/>
        <v>0</v>
      </c>
      <c r="BN466" s="3">
        <f t="shared" si="32"/>
        <v>0</v>
      </c>
      <c r="BO466" s="3">
        <f t="shared" si="32"/>
        <v>0</v>
      </c>
      <c r="BP466" s="3">
        <f t="shared" si="32"/>
        <v>0</v>
      </c>
      <c r="BQ466" s="3">
        <f t="shared" si="31"/>
        <v>0</v>
      </c>
      <c r="BR466" s="3">
        <f t="shared" si="31"/>
        <v>0</v>
      </c>
      <c r="BS466" s="3">
        <f t="shared" si="31"/>
        <v>0</v>
      </c>
      <c r="BT466" s="3">
        <f t="shared" si="31"/>
        <v>0</v>
      </c>
      <c r="BU466" s="3">
        <f t="shared" si="31"/>
        <v>0</v>
      </c>
      <c r="BV466">
        <f>VLOOKUP($H466,'1. Set Program Names'!$B$2:$D$15,3,0)*V466</f>
        <v>0.30116876504892098</v>
      </c>
      <c r="BW466">
        <f>VLOOKUP($H466,'1. Set Program Names'!$B$2:$D$15,3,0)*W466</f>
        <v>0.38946987474124189</v>
      </c>
      <c r="BX466">
        <f>VLOOKUP($H466,'1. Set Program Names'!$B$2:$D$15,3,0)*X466</f>
        <v>0.49267451396007406</v>
      </c>
      <c r="BY466">
        <f>VLOOKUP($H466,'1. Set Program Names'!$B$2:$D$15,3,0)*Y466</f>
        <v>0.61114274942847446</v>
      </c>
      <c r="BZ466">
        <f>VLOOKUP($H466,'1. Set Program Names'!$B$2:$D$15,3,0)*Z466</f>
        <v>0.73969985320603671</v>
      </c>
      <c r="CA466">
        <f>VLOOKUP($H466,'1. Set Program Names'!$B$2:$D$15,3,0)*AA466</f>
        <v>0.86877400760774204</v>
      </c>
      <c r="CB466">
        <f>VLOOKUP($H466,'1. Set Program Names'!$B$2:$D$15,3,0)*AB466</f>
        <v>0.98602418405795633</v>
      </c>
      <c r="CC466">
        <f>VLOOKUP($H466,'1. Set Program Names'!$B$2:$D$15,3,0)*AC466</f>
        <v>1.078329151854063</v>
      </c>
      <c r="CD466">
        <f>VLOOKUP($H466,'1. Set Program Names'!$B$2:$D$15,3,0)*AD466</f>
        <v>1.1308526337527998</v>
      </c>
      <c r="CE466">
        <f>VLOOKUP($H466,'1. Set Program Names'!$B$2:$D$15,3,0)*AE466</f>
        <v>1.1313065953784154</v>
      </c>
    </row>
    <row r="467" spans="1:83" x14ac:dyDescent="0.25">
      <c r="A467" s="20" t="s">
        <v>116</v>
      </c>
      <c r="B467" s="20" t="s">
        <v>88</v>
      </c>
      <c r="C467" s="20" t="s">
        <v>122</v>
      </c>
      <c r="D467" s="20" t="s">
        <v>90</v>
      </c>
      <c r="E467" s="20" t="s">
        <v>91</v>
      </c>
      <c r="F467" s="20" t="s">
        <v>90</v>
      </c>
      <c r="G467" s="20" t="s">
        <v>92</v>
      </c>
      <c r="H467" s="20" t="s">
        <v>18</v>
      </c>
      <c r="I467" s="20" t="s">
        <v>173</v>
      </c>
      <c r="J467" s="20" t="s">
        <v>129</v>
      </c>
      <c r="K467" s="20" t="s">
        <v>130</v>
      </c>
      <c r="L467" s="20">
        <v>142641.03499999901</v>
      </c>
      <c r="M467" s="20">
        <v>27.8398087391258</v>
      </c>
      <c r="N467" s="20">
        <v>0</v>
      </c>
      <c r="O467" s="20">
        <v>59303.302436563899</v>
      </c>
      <c r="P467" s="20">
        <v>29333.7078862829</v>
      </c>
      <c r="Q467" s="20">
        <v>4514.3314569611503</v>
      </c>
      <c r="R467" s="20">
        <v>66617.989682832806</v>
      </c>
      <c r="S467" s="20">
        <v>154925.29091738301</v>
      </c>
      <c r="T467" s="20">
        <v>15</v>
      </c>
      <c r="U467" s="20">
        <v>1</v>
      </c>
      <c r="V467" s="20">
        <v>0</v>
      </c>
      <c r="W467" s="20">
        <v>0</v>
      </c>
      <c r="X467" s="20">
        <v>0</v>
      </c>
      <c r="Y467" s="20">
        <v>0</v>
      </c>
      <c r="Z467" s="20">
        <v>0</v>
      </c>
      <c r="AA467" s="20">
        <v>0</v>
      </c>
      <c r="AB467" s="20">
        <v>0</v>
      </c>
      <c r="AC467" s="20">
        <v>0</v>
      </c>
      <c r="AD467" s="20">
        <v>0</v>
      </c>
      <c r="AE467" s="20">
        <v>0</v>
      </c>
      <c r="AF467" t="str">
        <f t="shared" si="30"/>
        <v>NonResidential</v>
      </c>
      <c r="AG467" t="str">
        <f>tbl_Data_old[[#This Row],[All_Meas_Name_Append]]</f>
        <v>Facility Energy Management System_SC</v>
      </c>
      <c r="AH467">
        <f>AVERAGEIFS('3. Incentive Adjustment'!G:G,'3. Incentive Adjustment'!A:A,tbl_Data_old[[#This Row],[Trimmed Sector]],'3. Incentive Adjustment'!B:B,tbl_Data_old[[#This Row],[Trimmed Measure Name]])</f>
        <v>0.86797534995247072</v>
      </c>
      <c r="AI467">
        <f>$AH467*tbl_Data_old[[#This Row],[2025 ]]</f>
        <v>0</v>
      </c>
      <c r="AJ467">
        <f>$AH467*tbl_Data_old[[#This Row],[2026 ]]</f>
        <v>0</v>
      </c>
      <c r="AK467">
        <f>$AH467*tbl_Data_old[[#This Row],[2027 ]]</f>
        <v>0</v>
      </c>
      <c r="AL467">
        <f>$AH467*tbl_Data_old[[#This Row],[2028 ]]</f>
        <v>0</v>
      </c>
      <c r="AM467">
        <f>$AH467*tbl_Data_old[[#This Row],[2029 ]]</f>
        <v>0</v>
      </c>
      <c r="AN467">
        <f>$AH467*tbl_Data_old[[#This Row],[2030 ]]</f>
        <v>0</v>
      </c>
      <c r="AO467">
        <f>$AH467*tbl_Data_old[[#This Row],[2031 ]]</f>
        <v>0</v>
      </c>
      <c r="AP467">
        <f>$AH467*tbl_Data_old[[#This Row],[2032 ]]</f>
        <v>0</v>
      </c>
      <c r="AQ467">
        <f>$AH467*tbl_Data_old[[#This Row],[2033 ]]</f>
        <v>0</v>
      </c>
      <c r="AR467">
        <f>$AH467*tbl_Data_old[[#This Row],[2034 ]]</f>
        <v>0</v>
      </c>
      <c r="AS467">
        <f>SUM(tbl_Data_old[[#This Row],[Adjusted 2025]:[Adjusted 2034]])</f>
        <v>0</v>
      </c>
      <c r="AT467" s="3">
        <f>AVERAGEIFS('3. Incentive Adjustment'!F:F,'3. Incentive Adjustment'!A:A,tbl_Data_old[[#This Row],[Trimmed Sector]],'3. Incentive Adjustment'!B:B,tbl_Data_old[[#This Row],[Trimmed Measure Name]])</f>
        <v>21679.111511953593</v>
      </c>
      <c r="AU467" s="3">
        <f>IFERROR(VLOOKUP(tbl_Data_old[[#This Row],[All_Meas_Name_Append]],'IRA Tax Credits'!$A$3:$D$46,4,0),0)</f>
        <v>0</v>
      </c>
      <c r="AV467" s="4">
        <f>tbl_Data_old[[#This Row],[Adj. per unit Incentive ($)]]/tbl_Data_old[[#This Row],[kWh Savings]]*tbl_Data_old[[#This Row],[Sum of Annuals]]</f>
        <v>0</v>
      </c>
      <c r="AW467" s="4">
        <f>IFERROR(VLOOKUP(tbl_Data_old[[#This Row],[All_Programs]],'1. Set Program Names'!$B$2:$D$15,3,0)*tbl_Data_old[[#This Row],[Sum of Annuals]],"")</f>
        <v>0</v>
      </c>
      <c r="AX467" s="4">
        <f>tbl_Data_old[[#This Row],[per unit IRA tax ($)]]/tbl_Data_old[[#This Row],[kWh Savings]]*tbl_Data_old[[#This Row],[Sum of Annuals]]</f>
        <v>0</v>
      </c>
      <c r="AY467" s="4">
        <f>tbl_Data_old[[#This Row],[Avoided Costs ($/unit)]]/tbl_Data_old[[#This Row],[kWh Savings]]*tbl_Data_old[[#This Row],[Sum of Annuals]]</f>
        <v>0</v>
      </c>
      <c r="AZ467" s="4">
        <f>tbl_Data_old[[#This Row],[Lost Revenue ($/unit)]]/tbl_Data_old[[#This Row],[kWh Savings]]*tbl_Data_old[[#This Row],[Sum of Annuals]]</f>
        <v>0</v>
      </c>
      <c r="BA467" s="4">
        <f>tbl_Data_old[[#This Row],[Incremental Cost ($/unit)]]/tbl_Data_old[[#This Row],[kWh Savings]]*tbl_Data_old[[#This Row],[Sum of Annuals]]</f>
        <v>0</v>
      </c>
      <c r="BB467">
        <f>ROUNDUP(tbl_Data_old[[#This Row],[Adjusted 2025]]/$L467,0)</f>
        <v>0</v>
      </c>
      <c r="BC467">
        <f>ROUNDUP(tbl_Data_old[[#This Row],[Adjusted 2026]]/$L467,0)</f>
        <v>0</v>
      </c>
      <c r="BD467">
        <f>ROUNDUP(tbl_Data_old[[#This Row],[Adjusted 2027]]/$L467,0)</f>
        <v>0</v>
      </c>
      <c r="BE467">
        <f>ROUNDUP(tbl_Data_old[[#This Row],[Adjusted 2028]]/$L467,0)</f>
        <v>0</v>
      </c>
      <c r="BF467">
        <f>ROUNDUP(tbl_Data_old[[#This Row],[Adjusted 2029]]/$L467,0)</f>
        <v>0</v>
      </c>
      <c r="BG467">
        <f>ROUNDUP(tbl_Data_old[[#This Row],[Adjusted 2030]]/$L467,0)</f>
        <v>0</v>
      </c>
      <c r="BH467">
        <f>ROUNDUP(tbl_Data_old[[#This Row],[Adjusted 2031]]/$L467,0)</f>
        <v>0</v>
      </c>
      <c r="BI467">
        <f>ROUNDUP(tbl_Data_old[[#This Row],[Adjusted 2032]]/$L467,0)</f>
        <v>0</v>
      </c>
      <c r="BJ467">
        <f>ROUNDUP(tbl_Data_old[[#This Row],[Adjusted 2033]]/$L467,0)</f>
        <v>0</v>
      </c>
      <c r="BK467">
        <f>ROUNDUP(tbl_Data_old[[#This Row],[Adjusted 2034]]/$L467,0)</f>
        <v>0</v>
      </c>
      <c r="BL467" s="3">
        <f t="shared" si="32"/>
        <v>0</v>
      </c>
      <c r="BM467" s="3">
        <f t="shared" si="32"/>
        <v>0</v>
      </c>
      <c r="BN467" s="3">
        <f t="shared" si="32"/>
        <v>0</v>
      </c>
      <c r="BO467" s="3">
        <f t="shared" si="32"/>
        <v>0</v>
      </c>
      <c r="BP467" s="3">
        <f t="shared" si="32"/>
        <v>0</v>
      </c>
      <c r="BQ467" s="3">
        <f t="shared" si="31"/>
        <v>0</v>
      </c>
      <c r="BR467" s="3">
        <f t="shared" si="31"/>
        <v>0</v>
      </c>
      <c r="BS467" s="3">
        <f t="shared" si="31"/>
        <v>0</v>
      </c>
      <c r="BT467" s="3">
        <f t="shared" si="31"/>
        <v>0</v>
      </c>
      <c r="BU467" s="3">
        <f t="shared" si="31"/>
        <v>0</v>
      </c>
      <c r="BV467">
        <f>VLOOKUP($H467,'1. Set Program Names'!$B$2:$D$15,3,0)*V467</f>
        <v>0</v>
      </c>
      <c r="BW467">
        <f>VLOOKUP($H467,'1. Set Program Names'!$B$2:$D$15,3,0)*W467</f>
        <v>0</v>
      </c>
      <c r="BX467">
        <f>VLOOKUP($H467,'1. Set Program Names'!$B$2:$D$15,3,0)*X467</f>
        <v>0</v>
      </c>
      <c r="BY467">
        <f>VLOOKUP($H467,'1. Set Program Names'!$B$2:$D$15,3,0)*Y467</f>
        <v>0</v>
      </c>
      <c r="BZ467">
        <f>VLOOKUP($H467,'1. Set Program Names'!$B$2:$D$15,3,0)*Z467</f>
        <v>0</v>
      </c>
      <c r="CA467">
        <f>VLOOKUP($H467,'1. Set Program Names'!$B$2:$D$15,3,0)*AA467</f>
        <v>0</v>
      </c>
      <c r="CB467">
        <f>VLOOKUP($H467,'1. Set Program Names'!$B$2:$D$15,3,0)*AB467</f>
        <v>0</v>
      </c>
      <c r="CC467">
        <f>VLOOKUP($H467,'1. Set Program Names'!$B$2:$D$15,3,0)*AC467</f>
        <v>0</v>
      </c>
      <c r="CD467">
        <f>VLOOKUP($H467,'1. Set Program Names'!$B$2:$D$15,3,0)*AD467</f>
        <v>0</v>
      </c>
      <c r="CE467">
        <f>VLOOKUP($H467,'1. Set Program Names'!$B$2:$D$15,3,0)*AE467</f>
        <v>0</v>
      </c>
    </row>
    <row r="468" spans="1:83" x14ac:dyDescent="0.25">
      <c r="A468" s="20" t="s">
        <v>116</v>
      </c>
      <c r="B468" s="20" t="s">
        <v>88</v>
      </c>
      <c r="C468" s="20" t="s">
        <v>122</v>
      </c>
      <c r="D468" s="20" t="s">
        <v>90</v>
      </c>
      <c r="E468" s="20" t="s">
        <v>91</v>
      </c>
      <c r="F468" s="20" t="s">
        <v>90</v>
      </c>
      <c r="G468" s="20" t="s">
        <v>92</v>
      </c>
      <c r="H468" s="20" t="s">
        <v>18</v>
      </c>
      <c r="I468" s="20" t="s">
        <v>174</v>
      </c>
      <c r="J468" s="20" t="s">
        <v>132</v>
      </c>
      <c r="K468" s="20" t="s">
        <v>130</v>
      </c>
      <c r="L468" s="20">
        <v>2657.18</v>
      </c>
      <c r="M468" s="20">
        <v>0</v>
      </c>
      <c r="N468" s="20">
        <v>0.57468805905447795</v>
      </c>
      <c r="O468" s="20">
        <v>1080.72711480357</v>
      </c>
      <c r="P468" s="20">
        <v>534.12671770284101</v>
      </c>
      <c r="Q468" s="20">
        <v>84.094953887624897</v>
      </c>
      <c r="R468" s="20">
        <v>1466.48739383472</v>
      </c>
      <c r="S468" s="20">
        <v>2886.0165275711402</v>
      </c>
      <c r="T468" s="20">
        <v>15</v>
      </c>
      <c r="U468" s="20">
        <v>1</v>
      </c>
      <c r="V468" s="20">
        <v>1.41064074809628E-2</v>
      </c>
      <c r="W468" s="20">
        <v>1.8949596659162401E-2</v>
      </c>
      <c r="X468" s="20">
        <v>2.4758675998970501E-2</v>
      </c>
      <c r="Y468" s="20">
        <v>3.1272357276173397E-2</v>
      </c>
      <c r="Z468" s="20">
        <v>3.7840281140381703E-2</v>
      </c>
      <c r="AA468" s="20">
        <v>4.3726248524979902E-2</v>
      </c>
      <c r="AB468" s="20">
        <v>4.77775629078575E-2</v>
      </c>
      <c r="AC468" s="20">
        <v>4.9186678663706698E-2</v>
      </c>
      <c r="AD468" s="20">
        <v>4.7797976653577198E-2</v>
      </c>
      <c r="AE468" s="20">
        <v>4.3807254036799803E-2</v>
      </c>
      <c r="AF468" t="str">
        <f t="shared" si="30"/>
        <v>NonResidential</v>
      </c>
      <c r="AG468" t="str">
        <f>tbl_Data_old[[#This Row],[All_Meas_Name_Append]]</f>
        <v>Facility Energy Management System_SH</v>
      </c>
      <c r="AH468">
        <f>AVERAGEIFS('3. Incentive Adjustment'!G:G,'3. Incentive Adjustment'!A:A,tbl_Data_old[[#This Row],[Trimmed Sector]],'3. Incentive Adjustment'!B:B,tbl_Data_old[[#This Row],[Trimmed Measure Name]])</f>
        <v>0.63685031373688805</v>
      </c>
      <c r="AI468">
        <f>$AH468*tbl_Data_old[[#This Row],[2025 ]]</f>
        <v>8.9836700299515439E-3</v>
      </c>
      <c r="AJ468">
        <f>$AH468*tbl_Data_old[[#This Row],[2026 ]]</f>
        <v>1.2068056577575061E-2</v>
      </c>
      <c r="AK468">
        <f>$AH468*tbl_Data_old[[#This Row],[2027 ]]</f>
        <v>1.5767570577654325E-2</v>
      </c>
      <c r="AL468">
        <f>$AH468*tbl_Data_old[[#This Row],[2028 ]]</f>
        <v>1.9915810542623081E-2</v>
      </c>
      <c r="AM468">
        <f>$AH468*tbl_Data_old[[#This Row],[2029 ]]</f>
        <v>2.4098594916144134E-2</v>
      </c>
      <c r="AN468">
        <f>$AH468*tbl_Data_old[[#This Row],[2030 ]]</f>
        <v>2.784707509167059E-2</v>
      </c>
      <c r="AO468">
        <f>$AH468*tbl_Data_old[[#This Row],[2031 ]]</f>
        <v>3.0427155927452956E-2</v>
      </c>
      <c r="AP468">
        <f>$AH468*tbl_Data_old[[#This Row],[2032 ]]</f>
        <v>3.1324551738657107E-2</v>
      </c>
      <c r="AQ468">
        <f>$AH468*tbl_Data_old[[#This Row],[2033 ]]</f>
        <v>3.0440156427819089E-2</v>
      </c>
      <c r="AR468">
        <f>$AH468*tbl_Data_old[[#This Row],[2034 ]]</f>
        <v>2.7898663477287509E-2</v>
      </c>
      <c r="AS468">
        <f>SUM(tbl_Data_old[[#This Row],[Adjusted 2025]:[Adjusted 2034]])</f>
        <v>0.22877130530683537</v>
      </c>
      <c r="AT468" s="3">
        <f>AVERAGEIFS('3. Incentive Adjustment'!F:F,'3. Incentive Adjustment'!A:A,tbl_Data_old[[#This Row],[Trimmed Sector]],'3. Incentive Adjustment'!B:B,tbl_Data_old[[#This Row],[Trimmed Measure Name]])</f>
        <v>79.715399999999988</v>
      </c>
      <c r="AU468" s="3">
        <f>IFERROR(VLOOKUP(tbl_Data_old[[#This Row],[All_Meas_Name_Append]],'IRA Tax Credits'!$A$3:$D$46,4,0),0)</f>
        <v>0</v>
      </c>
      <c r="AV468" s="4">
        <f>tbl_Data_old[[#This Row],[Adj. per unit Incentive ($)]]/tbl_Data_old[[#This Row],[kWh Savings]]*tbl_Data_old[[#This Row],[Sum of Annuals]]</f>
        <v>6.8631391592050605E-3</v>
      </c>
      <c r="AW468" s="4">
        <f>IFERROR(VLOOKUP(tbl_Data_old[[#This Row],[All_Programs]],'1. Set Program Names'!$B$2:$D$15,3,0)*tbl_Data_old[[#This Row],[Sum of Annuals]],"")</f>
        <v>7.2401991474382952E-3</v>
      </c>
      <c r="AX468" s="4">
        <f>tbl_Data_old[[#This Row],[per unit IRA tax ($)]]/tbl_Data_old[[#This Row],[kWh Savings]]*tbl_Data_old[[#This Row],[Sum of Annuals]]</f>
        <v>0</v>
      </c>
      <c r="AY468" s="4">
        <f>tbl_Data_old[[#This Row],[Avoided Costs ($/unit)]]/tbl_Data_old[[#This Row],[kWh Savings]]*tbl_Data_old[[#This Row],[Sum of Annuals]]</f>
        <v>0.12625800107767937</v>
      </c>
      <c r="AZ468" s="4">
        <f>tbl_Data_old[[#This Row],[Lost Revenue ($/unit)]]/tbl_Data_old[[#This Row],[kWh Savings]]*tbl_Data_old[[#This Row],[Sum of Annuals]]</f>
        <v>0.24847310613114287</v>
      </c>
      <c r="BA468" s="4">
        <f>tbl_Data_old[[#This Row],[Incremental Cost ($/unit)]]/tbl_Data_old[[#This Row],[kWh Savings]]*tbl_Data_old[[#This Row],[Sum of Annuals]]</f>
        <v>9.3045767593502457E-2</v>
      </c>
      <c r="BB468">
        <f>ROUNDUP(tbl_Data_old[[#This Row],[Adjusted 2025]]/$L468,0)</f>
        <v>1</v>
      </c>
      <c r="BC468">
        <f>ROUNDUP(tbl_Data_old[[#This Row],[Adjusted 2026]]/$L468,0)</f>
        <v>1</v>
      </c>
      <c r="BD468">
        <f>ROUNDUP(tbl_Data_old[[#This Row],[Adjusted 2027]]/$L468,0)</f>
        <v>1</v>
      </c>
      <c r="BE468">
        <f>ROUNDUP(tbl_Data_old[[#This Row],[Adjusted 2028]]/$L468,0)</f>
        <v>1</v>
      </c>
      <c r="BF468">
        <f>ROUNDUP(tbl_Data_old[[#This Row],[Adjusted 2029]]/$L468,0)</f>
        <v>1</v>
      </c>
      <c r="BG468">
        <f>ROUNDUP(tbl_Data_old[[#This Row],[Adjusted 2030]]/$L468,0)</f>
        <v>1</v>
      </c>
      <c r="BH468">
        <f>ROUNDUP(tbl_Data_old[[#This Row],[Adjusted 2031]]/$L468,0)</f>
        <v>1</v>
      </c>
      <c r="BI468">
        <f>ROUNDUP(tbl_Data_old[[#This Row],[Adjusted 2032]]/$L468,0)</f>
        <v>1</v>
      </c>
      <c r="BJ468">
        <f>ROUNDUP(tbl_Data_old[[#This Row],[Adjusted 2033]]/$L468,0)</f>
        <v>1</v>
      </c>
      <c r="BK468">
        <f>ROUNDUP(tbl_Data_old[[#This Row],[Adjusted 2034]]/$L468,0)</f>
        <v>1</v>
      </c>
      <c r="BL468" s="3">
        <f t="shared" si="32"/>
        <v>4.2319222442888397E-4</v>
      </c>
      <c r="BM468" s="3">
        <f t="shared" si="32"/>
        <v>5.6848789977487202E-4</v>
      </c>
      <c r="BN468" s="3">
        <f t="shared" si="32"/>
        <v>7.4276027996911503E-4</v>
      </c>
      <c r="BO468" s="3">
        <f t="shared" si="32"/>
        <v>9.3817071828520193E-4</v>
      </c>
      <c r="BP468" s="3">
        <f t="shared" si="32"/>
        <v>1.135208434211451E-3</v>
      </c>
      <c r="BQ468" s="3">
        <f t="shared" si="31"/>
        <v>1.311787455749397E-3</v>
      </c>
      <c r="BR468" s="3">
        <f t="shared" si="31"/>
        <v>1.433326887235725E-3</v>
      </c>
      <c r="BS468" s="3">
        <f t="shared" si="31"/>
        <v>1.475600359911201E-3</v>
      </c>
      <c r="BT468" s="3">
        <f t="shared" si="31"/>
        <v>1.4339392996073159E-3</v>
      </c>
      <c r="BU468" s="3">
        <f t="shared" si="31"/>
        <v>1.3142176211039941E-3</v>
      </c>
      <c r="BV468">
        <f>VLOOKUP($H468,'1. Set Program Names'!$B$2:$D$15,3,0)*V468</f>
        <v>4.464423511510753E-4</v>
      </c>
      <c r="BW468">
        <f>VLOOKUP($H468,'1. Set Program Names'!$B$2:$D$15,3,0)*W468</f>
        <v>5.9972055233042314E-4</v>
      </c>
      <c r="BX468">
        <f>VLOOKUP($H468,'1. Set Program Names'!$B$2:$D$15,3,0)*X468</f>
        <v>7.8356743481889474E-4</v>
      </c>
      <c r="BY468">
        <f>VLOOKUP($H468,'1. Set Program Names'!$B$2:$D$15,3,0)*Y468</f>
        <v>9.8971369764078252E-4</v>
      </c>
      <c r="BZ468">
        <f>VLOOKUP($H468,'1. Set Program Names'!$B$2:$D$15,3,0)*Z468</f>
        <v>1.1975766404967534E-3</v>
      </c>
      <c r="CA468">
        <f>VLOOKUP($H468,'1. Set Program Names'!$B$2:$D$15,3,0)*AA468</f>
        <v>1.3838568909095407E-3</v>
      </c>
      <c r="CB468">
        <f>VLOOKUP($H468,'1. Set Program Names'!$B$2:$D$15,3,0)*AB468</f>
        <v>1.5120736832278494E-3</v>
      </c>
      <c r="CC468">
        <f>VLOOKUP($H468,'1. Set Program Names'!$B$2:$D$15,3,0)*AC468</f>
        <v>1.5566696550891699E-3</v>
      </c>
      <c r="CD468">
        <f>VLOOKUP($H468,'1. Set Program Names'!$B$2:$D$15,3,0)*AD468</f>
        <v>1.5127197414568634E-3</v>
      </c>
      <c r="CE468">
        <f>VLOOKUP($H468,'1. Set Program Names'!$B$2:$D$15,3,0)*AE468</f>
        <v>1.3864205692381215E-3</v>
      </c>
    </row>
    <row r="469" spans="1:83" x14ac:dyDescent="0.25">
      <c r="A469" s="20" t="s">
        <v>116</v>
      </c>
      <c r="B469" s="20" t="s">
        <v>88</v>
      </c>
      <c r="C469" s="20" t="s">
        <v>122</v>
      </c>
      <c r="D469" s="20" t="s">
        <v>90</v>
      </c>
      <c r="E469" s="20" t="s">
        <v>91</v>
      </c>
      <c r="F469" s="20" t="s">
        <v>90</v>
      </c>
      <c r="G469" s="20" t="s">
        <v>92</v>
      </c>
      <c r="H469" s="20" t="s">
        <v>18</v>
      </c>
      <c r="I469" s="20" t="s">
        <v>145</v>
      </c>
      <c r="J469" s="20" t="s">
        <v>129</v>
      </c>
      <c r="K469" s="20" t="s">
        <v>98</v>
      </c>
      <c r="L469" s="20">
        <v>1452.1399999999801</v>
      </c>
      <c r="M469" s="20">
        <v>0.33467704377742202</v>
      </c>
      <c r="N469" s="20">
        <v>4.3977319526113799E-2</v>
      </c>
      <c r="O469" s="20">
        <v>654.99999999999898</v>
      </c>
      <c r="P469" s="20">
        <v>358.56061649158102</v>
      </c>
      <c r="Q469" s="20">
        <v>45.957611580086699</v>
      </c>
      <c r="R469" s="20">
        <v>761.15206993055403</v>
      </c>
      <c r="S469" s="20">
        <v>1577.19839843259</v>
      </c>
      <c r="T469" s="20">
        <v>15</v>
      </c>
      <c r="U469" s="20">
        <v>0.94999999999999896</v>
      </c>
      <c r="V469" s="20">
        <v>4.8572910833813203E-2</v>
      </c>
      <c r="W469" s="20">
        <v>5.3586175402021603E-2</v>
      </c>
      <c r="X469" s="20">
        <v>5.7809069321652799E-2</v>
      </c>
      <c r="Y469" s="20">
        <v>6.1559570212866302E-2</v>
      </c>
      <c r="Z469" s="20">
        <v>6.4821276998481794E-2</v>
      </c>
      <c r="AA469" s="20">
        <v>6.7588450783066495E-2</v>
      </c>
      <c r="AB469" s="20">
        <v>6.9917315639597605E-2</v>
      </c>
      <c r="AC469" s="20">
        <v>7.2002969651452794E-2</v>
      </c>
      <c r="AD469" s="20">
        <v>7.3938907349191299E-2</v>
      </c>
      <c r="AE469" s="20">
        <v>7.5642799417055803E-2</v>
      </c>
      <c r="AF469" t="str">
        <f t="shared" si="30"/>
        <v>NonResidential</v>
      </c>
      <c r="AG469" t="str">
        <f>tbl_Data_old[[#This Row],[All_Meas_Name_Append]]</f>
        <v>HE DX Less than 5.4 Tons Elect Heat</v>
      </c>
      <c r="AH469">
        <f>AVERAGEIFS('3. Incentive Adjustment'!G:G,'3. Incentive Adjustment'!A:A,tbl_Data_old[[#This Row],[Trimmed Sector]],'3. Incentive Adjustment'!B:B,tbl_Data_old[[#This Row],[Trimmed Measure Name]])</f>
        <v>0.74493198517309978</v>
      </c>
      <c r="AI469">
        <f>$AH469*tbl_Data_old[[#This Row],[2025 ]]</f>
        <v>3.6183514893068432E-2</v>
      </c>
      <c r="AJ469">
        <f>$AH469*tbl_Data_old[[#This Row],[2026 ]]</f>
        <v>3.9918056020061883E-2</v>
      </c>
      <c r="AK469">
        <f>$AH469*tbl_Data_old[[#This Row],[2027 ]]</f>
        <v>4.3063824770788163E-2</v>
      </c>
      <c r="AL469">
        <f>$AH469*tbl_Data_old[[#This Row],[2028 ]]</f>
        <v>4.5857692845073315E-2</v>
      </c>
      <c r="AM469">
        <f>$AH469*tbl_Data_old[[#This Row],[2029 ]]</f>
        <v>4.828744255593443E-2</v>
      </c>
      <c r="AN469">
        <f>$AH469*tbl_Data_old[[#This Row],[2030 ]]</f>
        <v>5.0348798816604076E-2</v>
      </c>
      <c r="AO469">
        <f>$AH469*tbl_Data_old[[#This Row],[2031 ]]</f>
        <v>5.2083644737379663E-2</v>
      </c>
      <c r="AP469">
        <f>$AH469*tbl_Data_old[[#This Row],[2032 ]]</f>
        <v>5.3637315120815189E-2</v>
      </c>
      <c r="AQ469">
        <f>$AH469*tbl_Data_old[[#This Row],[2033 ]]</f>
        <v>5.5079457033162971E-2</v>
      </c>
      <c r="AR469">
        <f>$AH469*tbl_Data_old[[#This Row],[2034 ]]</f>
        <v>5.6348740733797975E-2</v>
      </c>
      <c r="AS469">
        <f>SUM(tbl_Data_old[[#This Row],[Adjusted 2025]:[Adjusted 2034]])</f>
        <v>0.48080848752668609</v>
      </c>
      <c r="AT469" s="3">
        <f>AVERAGEIFS('3. Incentive Adjustment'!F:F,'3. Incentive Adjustment'!A:A,tbl_Data_old[[#This Row],[Trimmed Sector]],'3. Incentive Adjustment'!B:B,tbl_Data_old[[#This Row],[Trimmed Measure Name]])</f>
        <v>196.49999999999969</v>
      </c>
      <c r="AU469" s="3">
        <f>IFERROR(VLOOKUP(tbl_Data_old[[#This Row],[All_Meas_Name_Append]],'IRA Tax Credits'!$A$3:$D$46,4,0),0)</f>
        <v>0</v>
      </c>
      <c r="AV469" s="4">
        <f>tbl_Data_old[[#This Row],[Adj. per unit Incentive ($)]]/tbl_Data_old[[#This Row],[kWh Savings]]*tbl_Data_old[[#This Row],[Sum of Annuals]]</f>
        <v>6.5061817592652879E-2</v>
      </c>
      <c r="AW469" s="4">
        <f>IFERROR(VLOOKUP(tbl_Data_old[[#This Row],[All_Programs]],'1. Set Program Names'!$B$2:$D$15,3,0)*tbl_Data_old[[#This Row],[Sum of Annuals]],"")</f>
        <v>1.521672133138717E-2</v>
      </c>
      <c r="AX469" s="4">
        <f>tbl_Data_old[[#This Row],[per unit IRA tax ($)]]/tbl_Data_old[[#This Row],[kWh Savings]]*tbl_Data_old[[#This Row],[Sum of Annuals]]</f>
        <v>0</v>
      </c>
      <c r="AY469" s="4">
        <f>tbl_Data_old[[#This Row],[Avoided Costs ($/unit)]]/tbl_Data_old[[#This Row],[kWh Savings]]*tbl_Data_old[[#This Row],[Sum of Annuals]]</f>
        <v>0.25202003630581149</v>
      </c>
      <c r="AZ469" s="4">
        <f>tbl_Data_old[[#This Row],[Lost Revenue ($/unit)]]/tbl_Data_old[[#This Row],[kWh Savings]]*tbl_Data_old[[#This Row],[Sum of Annuals]]</f>
        <v>0.52221574812338734</v>
      </c>
      <c r="BA469" s="4">
        <f>tbl_Data_old[[#This Row],[Incremental Cost ($/unit)]]/tbl_Data_old[[#This Row],[kWh Savings]]*tbl_Data_old[[#This Row],[Sum of Annuals]]</f>
        <v>0.21687272530884297</v>
      </c>
      <c r="BB469">
        <f>ROUNDUP(tbl_Data_old[[#This Row],[Adjusted 2025]]/$L469,0)</f>
        <v>1</v>
      </c>
      <c r="BC469">
        <f>ROUNDUP(tbl_Data_old[[#This Row],[Adjusted 2026]]/$L469,0)</f>
        <v>1</v>
      </c>
      <c r="BD469">
        <f>ROUNDUP(tbl_Data_old[[#This Row],[Adjusted 2027]]/$L469,0)</f>
        <v>1</v>
      </c>
      <c r="BE469">
        <f>ROUNDUP(tbl_Data_old[[#This Row],[Adjusted 2028]]/$L469,0)</f>
        <v>1</v>
      </c>
      <c r="BF469">
        <f>ROUNDUP(tbl_Data_old[[#This Row],[Adjusted 2029]]/$L469,0)</f>
        <v>1</v>
      </c>
      <c r="BG469">
        <f>ROUNDUP(tbl_Data_old[[#This Row],[Adjusted 2030]]/$L469,0)</f>
        <v>1</v>
      </c>
      <c r="BH469">
        <f>ROUNDUP(tbl_Data_old[[#This Row],[Adjusted 2031]]/$L469,0)</f>
        <v>1</v>
      </c>
      <c r="BI469">
        <f>ROUNDUP(tbl_Data_old[[#This Row],[Adjusted 2032]]/$L469,0)</f>
        <v>1</v>
      </c>
      <c r="BJ469">
        <f>ROUNDUP(tbl_Data_old[[#This Row],[Adjusted 2033]]/$L469,0)</f>
        <v>1</v>
      </c>
      <c r="BK469">
        <f>ROUNDUP(tbl_Data_old[[#This Row],[Adjusted 2034]]/$L469,0)</f>
        <v>1</v>
      </c>
      <c r="BL469" s="3">
        <f t="shared" si="32"/>
        <v>6.5727663853653298E-3</v>
      </c>
      <c r="BM469" s="3">
        <f t="shared" si="32"/>
        <v>7.2511489708274495E-3</v>
      </c>
      <c r="BN469" s="3">
        <f t="shared" si="32"/>
        <v>7.8225805512587704E-3</v>
      </c>
      <c r="BO469" s="3">
        <f t="shared" si="32"/>
        <v>8.3300890732493933E-3</v>
      </c>
      <c r="BP469" s="3">
        <f t="shared" si="32"/>
        <v>8.7714551835235081E-3</v>
      </c>
      <c r="BQ469" s="3">
        <f t="shared" si="31"/>
        <v>9.1459023089183727E-3</v>
      </c>
      <c r="BR469" s="3">
        <f t="shared" si="31"/>
        <v>9.4610385521926906E-3</v>
      </c>
      <c r="BS469" s="3">
        <f t="shared" si="31"/>
        <v>9.7432641043636598E-3</v>
      </c>
      <c r="BT469" s="3">
        <f t="shared" si="31"/>
        <v>1.0005230414502917E-2</v>
      </c>
      <c r="BU469" s="3">
        <f t="shared" si="31"/>
        <v>1.0235796882843007E-2</v>
      </c>
      <c r="BV469">
        <f>VLOOKUP($H469,'1. Set Program Names'!$B$2:$D$15,3,0)*V469</f>
        <v>1.5372450104084931E-3</v>
      </c>
      <c r="BW469">
        <f>VLOOKUP($H469,'1. Set Program Names'!$B$2:$D$15,3,0)*W469</f>
        <v>1.6959057908938005E-3</v>
      </c>
      <c r="BX469">
        <f>VLOOKUP($H469,'1. Set Program Names'!$B$2:$D$15,3,0)*X469</f>
        <v>1.8295527660493103E-3</v>
      </c>
      <c r="BY469">
        <f>VLOOKUP($H469,'1. Set Program Names'!$B$2:$D$15,3,0)*Y469</f>
        <v>1.9482493539741388E-3</v>
      </c>
      <c r="BZ469">
        <f>VLOOKUP($H469,'1. Set Program Names'!$B$2:$D$15,3,0)*Z469</f>
        <v>2.0514764901603541E-3</v>
      </c>
      <c r="CA469">
        <f>VLOOKUP($H469,'1. Set Program Names'!$B$2:$D$15,3,0)*AA469</f>
        <v>2.1390525489195255E-3</v>
      </c>
      <c r="CB469">
        <f>VLOOKUP($H469,'1. Set Program Names'!$B$2:$D$15,3,0)*AB469</f>
        <v>2.2127569207424712E-3</v>
      </c>
      <c r="CC469">
        <f>VLOOKUP($H469,'1. Set Program Names'!$B$2:$D$15,3,0)*AC469</f>
        <v>2.2787641080434825E-3</v>
      </c>
      <c r="CD469">
        <f>VLOOKUP($H469,'1. Set Program Names'!$B$2:$D$15,3,0)*AD469</f>
        <v>2.340033044066121E-3</v>
      </c>
      <c r="CE469">
        <f>VLOOKUP($H469,'1. Set Program Names'!$B$2:$D$15,3,0)*AE469</f>
        <v>2.3939581544751092E-3</v>
      </c>
    </row>
    <row r="470" spans="1:83" x14ac:dyDescent="0.25">
      <c r="A470" s="20" t="s">
        <v>116</v>
      </c>
      <c r="B470" s="20" t="s">
        <v>88</v>
      </c>
      <c r="C470" s="20" t="s">
        <v>122</v>
      </c>
      <c r="D470" s="20" t="s">
        <v>90</v>
      </c>
      <c r="E470" s="20" t="s">
        <v>91</v>
      </c>
      <c r="F470" s="20" t="s">
        <v>90</v>
      </c>
      <c r="G470" s="20" t="s">
        <v>92</v>
      </c>
      <c r="H470" s="20" t="s">
        <v>18</v>
      </c>
      <c r="I470" s="20" t="s">
        <v>146</v>
      </c>
      <c r="J470" s="20" t="s">
        <v>129</v>
      </c>
      <c r="K470" s="20" t="s">
        <v>98</v>
      </c>
      <c r="L470" s="20">
        <v>23719.439999999999</v>
      </c>
      <c r="M470" s="20">
        <v>5.4597690026648404</v>
      </c>
      <c r="N470" s="20">
        <v>0</v>
      </c>
      <c r="O470" s="20">
        <v>11386</v>
      </c>
      <c r="P470" s="20">
        <v>6681.8656442185202</v>
      </c>
      <c r="Q470" s="20">
        <v>750.67749006099905</v>
      </c>
      <c r="R470" s="20">
        <v>13758.6347393458</v>
      </c>
      <c r="S470" s="20">
        <v>32663.358650317699</v>
      </c>
      <c r="T470" s="20">
        <v>23</v>
      </c>
      <c r="U470" s="20">
        <v>1</v>
      </c>
      <c r="V470" s="20">
        <v>0</v>
      </c>
      <c r="W470" s="20">
        <v>0</v>
      </c>
      <c r="X470" s="20">
        <v>0</v>
      </c>
      <c r="Y470" s="20">
        <v>0</v>
      </c>
      <c r="Z470" s="20">
        <v>0</v>
      </c>
      <c r="AA470" s="20">
        <v>0</v>
      </c>
      <c r="AB470" s="20">
        <v>0</v>
      </c>
      <c r="AC470" s="20">
        <v>0</v>
      </c>
      <c r="AD470" s="20">
        <v>0</v>
      </c>
      <c r="AE470" s="20">
        <v>0</v>
      </c>
      <c r="AF470" t="str">
        <f t="shared" si="30"/>
        <v>NonResidential</v>
      </c>
      <c r="AG470" t="str">
        <f>tbl_Data_old[[#This Row],[All_Meas_Name_Append]]</f>
        <v>HE Water Cooled Chiller - Centrifugal Compressor - 200 Tons</v>
      </c>
      <c r="AH470">
        <f>AVERAGEIFS('3. Incentive Adjustment'!G:G,'3. Incentive Adjustment'!A:A,tbl_Data_old[[#This Row],[Trimmed Sector]],'3. Incentive Adjustment'!B:B,tbl_Data_old[[#This Row],[Trimmed Measure Name]])</f>
        <v>0.69536855707903378</v>
      </c>
      <c r="AI470">
        <f>$AH470*tbl_Data_old[[#This Row],[2025 ]]</f>
        <v>0</v>
      </c>
      <c r="AJ470">
        <f>$AH470*tbl_Data_old[[#This Row],[2026 ]]</f>
        <v>0</v>
      </c>
      <c r="AK470">
        <f>$AH470*tbl_Data_old[[#This Row],[2027 ]]</f>
        <v>0</v>
      </c>
      <c r="AL470">
        <f>$AH470*tbl_Data_old[[#This Row],[2028 ]]</f>
        <v>0</v>
      </c>
      <c r="AM470">
        <f>$AH470*tbl_Data_old[[#This Row],[2029 ]]</f>
        <v>0</v>
      </c>
      <c r="AN470">
        <f>$AH470*tbl_Data_old[[#This Row],[2030 ]]</f>
        <v>0</v>
      </c>
      <c r="AO470">
        <f>$AH470*tbl_Data_old[[#This Row],[2031 ]]</f>
        <v>0</v>
      </c>
      <c r="AP470">
        <f>$AH470*tbl_Data_old[[#This Row],[2032 ]]</f>
        <v>0</v>
      </c>
      <c r="AQ470">
        <f>$AH470*tbl_Data_old[[#This Row],[2033 ]]</f>
        <v>0</v>
      </c>
      <c r="AR470">
        <f>$AH470*tbl_Data_old[[#This Row],[2034 ]]</f>
        <v>0</v>
      </c>
      <c r="AS470">
        <f>SUM(tbl_Data_old[[#This Row],[Adjusted 2025]:[Adjusted 2034]])</f>
        <v>0</v>
      </c>
      <c r="AT470" s="3">
        <f>AVERAGEIFS('3. Incentive Adjustment'!F:F,'3. Incentive Adjustment'!A:A,tbl_Data_old[[#This Row],[Trimmed Sector]],'3. Incentive Adjustment'!B:B,tbl_Data_old[[#This Row],[Trimmed Measure Name]])</f>
        <v>3415.7999999999997</v>
      </c>
      <c r="AU470" s="3">
        <f>IFERROR(VLOOKUP(tbl_Data_old[[#This Row],[All_Meas_Name_Append]],'IRA Tax Credits'!$A$3:$D$46,4,0),0)</f>
        <v>0</v>
      </c>
      <c r="AV470" s="4">
        <f>tbl_Data_old[[#This Row],[Adj. per unit Incentive ($)]]/tbl_Data_old[[#This Row],[kWh Savings]]*tbl_Data_old[[#This Row],[Sum of Annuals]]</f>
        <v>0</v>
      </c>
      <c r="AW470" s="4">
        <f>IFERROR(VLOOKUP(tbl_Data_old[[#This Row],[All_Programs]],'1. Set Program Names'!$B$2:$D$15,3,0)*tbl_Data_old[[#This Row],[Sum of Annuals]],"")</f>
        <v>0</v>
      </c>
      <c r="AX470" s="4">
        <f>tbl_Data_old[[#This Row],[per unit IRA tax ($)]]/tbl_Data_old[[#This Row],[kWh Savings]]*tbl_Data_old[[#This Row],[Sum of Annuals]]</f>
        <v>0</v>
      </c>
      <c r="AY470" s="4">
        <f>tbl_Data_old[[#This Row],[Avoided Costs ($/unit)]]/tbl_Data_old[[#This Row],[kWh Savings]]*tbl_Data_old[[#This Row],[Sum of Annuals]]</f>
        <v>0</v>
      </c>
      <c r="AZ470" s="4">
        <f>tbl_Data_old[[#This Row],[Lost Revenue ($/unit)]]/tbl_Data_old[[#This Row],[kWh Savings]]*tbl_Data_old[[#This Row],[Sum of Annuals]]</f>
        <v>0</v>
      </c>
      <c r="BA470" s="4">
        <f>tbl_Data_old[[#This Row],[Incremental Cost ($/unit)]]/tbl_Data_old[[#This Row],[kWh Savings]]*tbl_Data_old[[#This Row],[Sum of Annuals]]</f>
        <v>0</v>
      </c>
      <c r="BB470">
        <f>ROUNDUP(tbl_Data_old[[#This Row],[Adjusted 2025]]/$L470,0)</f>
        <v>0</v>
      </c>
      <c r="BC470">
        <f>ROUNDUP(tbl_Data_old[[#This Row],[Adjusted 2026]]/$L470,0)</f>
        <v>0</v>
      </c>
      <c r="BD470">
        <f>ROUNDUP(tbl_Data_old[[#This Row],[Adjusted 2027]]/$L470,0)</f>
        <v>0</v>
      </c>
      <c r="BE470">
        <f>ROUNDUP(tbl_Data_old[[#This Row],[Adjusted 2028]]/$L470,0)</f>
        <v>0</v>
      </c>
      <c r="BF470">
        <f>ROUNDUP(tbl_Data_old[[#This Row],[Adjusted 2029]]/$L470,0)</f>
        <v>0</v>
      </c>
      <c r="BG470">
        <f>ROUNDUP(tbl_Data_old[[#This Row],[Adjusted 2030]]/$L470,0)</f>
        <v>0</v>
      </c>
      <c r="BH470">
        <f>ROUNDUP(tbl_Data_old[[#This Row],[Adjusted 2031]]/$L470,0)</f>
        <v>0</v>
      </c>
      <c r="BI470">
        <f>ROUNDUP(tbl_Data_old[[#This Row],[Adjusted 2032]]/$L470,0)</f>
        <v>0</v>
      </c>
      <c r="BJ470">
        <f>ROUNDUP(tbl_Data_old[[#This Row],[Adjusted 2033]]/$L470,0)</f>
        <v>0</v>
      </c>
      <c r="BK470">
        <f>ROUNDUP(tbl_Data_old[[#This Row],[Adjusted 2034]]/$L470,0)</f>
        <v>0</v>
      </c>
      <c r="BL470" s="3">
        <f t="shared" si="32"/>
        <v>0</v>
      </c>
      <c r="BM470" s="3">
        <f t="shared" si="32"/>
        <v>0</v>
      </c>
      <c r="BN470" s="3">
        <f t="shared" si="32"/>
        <v>0</v>
      </c>
      <c r="BO470" s="3">
        <f t="shared" si="32"/>
        <v>0</v>
      </c>
      <c r="BP470" s="3">
        <f t="shared" si="32"/>
        <v>0</v>
      </c>
      <c r="BQ470" s="3">
        <f t="shared" si="31"/>
        <v>0</v>
      </c>
      <c r="BR470" s="3">
        <f t="shared" si="31"/>
        <v>0</v>
      </c>
      <c r="BS470" s="3">
        <f t="shared" si="31"/>
        <v>0</v>
      </c>
      <c r="BT470" s="3">
        <f t="shared" si="31"/>
        <v>0</v>
      </c>
      <c r="BU470" s="3">
        <f t="shared" si="31"/>
        <v>0</v>
      </c>
      <c r="BV470">
        <f>VLOOKUP($H470,'1. Set Program Names'!$B$2:$D$15,3,0)*V470</f>
        <v>0</v>
      </c>
      <c r="BW470">
        <f>VLOOKUP($H470,'1. Set Program Names'!$B$2:$D$15,3,0)*W470</f>
        <v>0</v>
      </c>
      <c r="BX470">
        <f>VLOOKUP($H470,'1. Set Program Names'!$B$2:$D$15,3,0)*X470</f>
        <v>0</v>
      </c>
      <c r="BY470">
        <f>VLOOKUP($H470,'1. Set Program Names'!$B$2:$D$15,3,0)*Y470</f>
        <v>0</v>
      </c>
      <c r="BZ470">
        <f>VLOOKUP($H470,'1. Set Program Names'!$B$2:$D$15,3,0)*Z470</f>
        <v>0</v>
      </c>
      <c r="CA470">
        <f>VLOOKUP($H470,'1. Set Program Names'!$B$2:$D$15,3,0)*AA470</f>
        <v>0</v>
      </c>
      <c r="CB470">
        <f>VLOOKUP($H470,'1. Set Program Names'!$B$2:$D$15,3,0)*AB470</f>
        <v>0</v>
      </c>
      <c r="CC470">
        <f>VLOOKUP($H470,'1. Set Program Names'!$B$2:$D$15,3,0)*AC470</f>
        <v>0</v>
      </c>
      <c r="CD470">
        <f>VLOOKUP($H470,'1. Set Program Names'!$B$2:$D$15,3,0)*AD470</f>
        <v>0</v>
      </c>
      <c r="CE470">
        <f>VLOOKUP($H470,'1. Set Program Names'!$B$2:$D$15,3,0)*AE470</f>
        <v>0</v>
      </c>
    </row>
    <row r="471" spans="1:83" x14ac:dyDescent="0.25">
      <c r="A471" s="20" t="s">
        <v>116</v>
      </c>
      <c r="B471" s="20" t="s">
        <v>88</v>
      </c>
      <c r="C471" s="20" t="s">
        <v>122</v>
      </c>
      <c r="D471" s="20" t="s">
        <v>90</v>
      </c>
      <c r="E471" s="20" t="s">
        <v>91</v>
      </c>
      <c r="F471" s="20" t="s">
        <v>90</v>
      </c>
      <c r="G471" s="20" t="s">
        <v>92</v>
      </c>
      <c r="H471" s="20" t="s">
        <v>18</v>
      </c>
      <c r="I471" s="20" t="s">
        <v>147</v>
      </c>
      <c r="J471" s="20" t="s">
        <v>129</v>
      </c>
      <c r="K471" s="20" t="s">
        <v>98</v>
      </c>
      <c r="L471" s="20">
        <v>51564</v>
      </c>
      <c r="M471" s="20">
        <v>11.869063049271301</v>
      </c>
      <c r="N471" s="20">
        <v>0</v>
      </c>
      <c r="O471" s="20">
        <v>19806</v>
      </c>
      <c r="P471" s="20">
        <v>9503.5476574024997</v>
      </c>
      <c r="Q471" s="20">
        <v>1631.9075870891199</v>
      </c>
      <c r="R471" s="20">
        <v>29910.075520317099</v>
      </c>
      <c r="S471" s="20">
        <v>71007.301413734196</v>
      </c>
      <c r="T471" s="20">
        <v>23</v>
      </c>
      <c r="U471" s="20">
        <v>1</v>
      </c>
      <c r="V471" s="20">
        <v>0</v>
      </c>
      <c r="W471" s="20">
        <v>0</v>
      </c>
      <c r="X471" s="20">
        <v>0</v>
      </c>
      <c r="Y471" s="20">
        <v>0</v>
      </c>
      <c r="Z471" s="20">
        <v>0</v>
      </c>
      <c r="AA471" s="20">
        <v>0</v>
      </c>
      <c r="AB471" s="20">
        <v>0</v>
      </c>
      <c r="AC471" s="20">
        <v>0</v>
      </c>
      <c r="AD471" s="20">
        <v>0</v>
      </c>
      <c r="AE471" s="20">
        <v>0</v>
      </c>
      <c r="AF471" t="str">
        <f t="shared" si="30"/>
        <v>NonResidential</v>
      </c>
      <c r="AG471" t="str">
        <f>tbl_Data_old[[#This Row],[All_Meas_Name_Append]]</f>
        <v>HE Water Cooled Chiller - Centrifugal Compressor - 500 Tons</v>
      </c>
      <c r="AH471">
        <f>AVERAGEIFS('3. Incentive Adjustment'!G:G,'3. Incentive Adjustment'!A:A,tbl_Data_old[[#This Row],[Trimmed Sector]],'3. Incentive Adjustment'!B:B,tbl_Data_old[[#This Row],[Trimmed Measure Name]])</f>
        <v>0.83338953851620801</v>
      </c>
      <c r="AI471">
        <f>$AH471*tbl_Data_old[[#This Row],[2025 ]]</f>
        <v>0</v>
      </c>
      <c r="AJ471">
        <f>$AH471*tbl_Data_old[[#This Row],[2026 ]]</f>
        <v>0</v>
      </c>
      <c r="AK471">
        <f>$AH471*tbl_Data_old[[#This Row],[2027 ]]</f>
        <v>0</v>
      </c>
      <c r="AL471">
        <f>$AH471*tbl_Data_old[[#This Row],[2028 ]]</f>
        <v>0</v>
      </c>
      <c r="AM471">
        <f>$AH471*tbl_Data_old[[#This Row],[2029 ]]</f>
        <v>0</v>
      </c>
      <c r="AN471">
        <f>$AH471*tbl_Data_old[[#This Row],[2030 ]]</f>
        <v>0</v>
      </c>
      <c r="AO471">
        <f>$AH471*tbl_Data_old[[#This Row],[2031 ]]</f>
        <v>0</v>
      </c>
      <c r="AP471">
        <f>$AH471*tbl_Data_old[[#This Row],[2032 ]]</f>
        <v>0</v>
      </c>
      <c r="AQ471">
        <f>$AH471*tbl_Data_old[[#This Row],[2033 ]]</f>
        <v>0</v>
      </c>
      <c r="AR471">
        <f>$AH471*tbl_Data_old[[#This Row],[2034 ]]</f>
        <v>0</v>
      </c>
      <c r="AS471">
        <f>SUM(tbl_Data_old[[#This Row],[Adjusted 2025]:[Adjusted 2034]])</f>
        <v>0</v>
      </c>
      <c r="AT471" s="3">
        <f>AVERAGEIFS('3. Incentive Adjustment'!F:F,'3. Incentive Adjustment'!A:A,tbl_Data_old[[#This Row],[Trimmed Sector]],'3. Incentive Adjustment'!B:B,tbl_Data_old[[#This Row],[Trimmed Measure Name]])</f>
        <v>5941.8</v>
      </c>
      <c r="AU471" s="3">
        <f>IFERROR(VLOOKUP(tbl_Data_old[[#This Row],[All_Meas_Name_Append]],'IRA Tax Credits'!$A$3:$D$46,4,0),0)</f>
        <v>0</v>
      </c>
      <c r="AV471" s="4">
        <f>tbl_Data_old[[#This Row],[Adj. per unit Incentive ($)]]/tbl_Data_old[[#This Row],[kWh Savings]]*tbl_Data_old[[#This Row],[Sum of Annuals]]</f>
        <v>0</v>
      </c>
      <c r="AW471" s="4">
        <f>IFERROR(VLOOKUP(tbl_Data_old[[#This Row],[All_Programs]],'1. Set Program Names'!$B$2:$D$15,3,0)*tbl_Data_old[[#This Row],[Sum of Annuals]],"")</f>
        <v>0</v>
      </c>
      <c r="AX471" s="4">
        <f>tbl_Data_old[[#This Row],[per unit IRA tax ($)]]/tbl_Data_old[[#This Row],[kWh Savings]]*tbl_Data_old[[#This Row],[Sum of Annuals]]</f>
        <v>0</v>
      </c>
      <c r="AY471" s="4">
        <f>tbl_Data_old[[#This Row],[Avoided Costs ($/unit)]]/tbl_Data_old[[#This Row],[kWh Savings]]*tbl_Data_old[[#This Row],[Sum of Annuals]]</f>
        <v>0</v>
      </c>
      <c r="AZ471" s="4">
        <f>tbl_Data_old[[#This Row],[Lost Revenue ($/unit)]]/tbl_Data_old[[#This Row],[kWh Savings]]*tbl_Data_old[[#This Row],[Sum of Annuals]]</f>
        <v>0</v>
      </c>
      <c r="BA471" s="4">
        <f>tbl_Data_old[[#This Row],[Incremental Cost ($/unit)]]/tbl_Data_old[[#This Row],[kWh Savings]]*tbl_Data_old[[#This Row],[Sum of Annuals]]</f>
        <v>0</v>
      </c>
      <c r="BB471">
        <f>ROUNDUP(tbl_Data_old[[#This Row],[Adjusted 2025]]/$L471,0)</f>
        <v>0</v>
      </c>
      <c r="BC471">
        <f>ROUNDUP(tbl_Data_old[[#This Row],[Adjusted 2026]]/$L471,0)</f>
        <v>0</v>
      </c>
      <c r="BD471">
        <f>ROUNDUP(tbl_Data_old[[#This Row],[Adjusted 2027]]/$L471,0)</f>
        <v>0</v>
      </c>
      <c r="BE471">
        <f>ROUNDUP(tbl_Data_old[[#This Row],[Adjusted 2028]]/$L471,0)</f>
        <v>0</v>
      </c>
      <c r="BF471">
        <f>ROUNDUP(tbl_Data_old[[#This Row],[Adjusted 2029]]/$L471,0)</f>
        <v>0</v>
      </c>
      <c r="BG471">
        <f>ROUNDUP(tbl_Data_old[[#This Row],[Adjusted 2030]]/$L471,0)</f>
        <v>0</v>
      </c>
      <c r="BH471">
        <f>ROUNDUP(tbl_Data_old[[#This Row],[Adjusted 2031]]/$L471,0)</f>
        <v>0</v>
      </c>
      <c r="BI471">
        <f>ROUNDUP(tbl_Data_old[[#This Row],[Adjusted 2032]]/$L471,0)</f>
        <v>0</v>
      </c>
      <c r="BJ471">
        <f>ROUNDUP(tbl_Data_old[[#This Row],[Adjusted 2033]]/$L471,0)</f>
        <v>0</v>
      </c>
      <c r="BK471">
        <f>ROUNDUP(tbl_Data_old[[#This Row],[Adjusted 2034]]/$L471,0)</f>
        <v>0</v>
      </c>
      <c r="BL471" s="3">
        <f t="shared" si="32"/>
        <v>0</v>
      </c>
      <c r="BM471" s="3">
        <f t="shared" si="32"/>
        <v>0</v>
      </c>
      <c r="BN471" s="3">
        <f t="shared" si="32"/>
        <v>0</v>
      </c>
      <c r="BO471" s="3">
        <f t="shared" si="32"/>
        <v>0</v>
      </c>
      <c r="BP471" s="3">
        <f t="shared" si="32"/>
        <v>0</v>
      </c>
      <c r="BQ471" s="3">
        <f t="shared" si="31"/>
        <v>0</v>
      </c>
      <c r="BR471" s="3">
        <f t="shared" si="31"/>
        <v>0</v>
      </c>
      <c r="BS471" s="3">
        <f t="shared" si="31"/>
        <v>0</v>
      </c>
      <c r="BT471" s="3">
        <f t="shared" si="31"/>
        <v>0</v>
      </c>
      <c r="BU471" s="3">
        <f t="shared" si="31"/>
        <v>0</v>
      </c>
      <c r="BV471">
        <f>VLOOKUP($H471,'1. Set Program Names'!$B$2:$D$15,3,0)*V471</f>
        <v>0</v>
      </c>
      <c r="BW471">
        <f>VLOOKUP($H471,'1. Set Program Names'!$B$2:$D$15,3,0)*W471</f>
        <v>0</v>
      </c>
      <c r="BX471">
        <f>VLOOKUP($H471,'1. Set Program Names'!$B$2:$D$15,3,0)*X471</f>
        <v>0</v>
      </c>
      <c r="BY471">
        <f>VLOOKUP($H471,'1. Set Program Names'!$B$2:$D$15,3,0)*Y471</f>
        <v>0</v>
      </c>
      <c r="BZ471">
        <f>VLOOKUP($H471,'1. Set Program Names'!$B$2:$D$15,3,0)*Z471</f>
        <v>0</v>
      </c>
      <c r="CA471">
        <f>VLOOKUP($H471,'1. Set Program Names'!$B$2:$D$15,3,0)*AA471</f>
        <v>0</v>
      </c>
      <c r="CB471">
        <f>VLOOKUP($H471,'1. Set Program Names'!$B$2:$D$15,3,0)*AB471</f>
        <v>0</v>
      </c>
      <c r="CC471">
        <f>VLOOKUP($H471,'1. Set Program Names'!$B$2:$D$15,3,0)*AC471</f>
        <v>0</v>
      </c>
      <c r="CD471">
        <f>VLOOKUP($H471,'1. Set Program Names'!$B$2:$D$15,3,0)*AD471</f>
        <v>0</v>
      </c>
      <c r="CE471">
        <f>VLOOKUP($H471,'1. Set Program Names'!$B$2:$D$15,3,0)*AE471</f>
        <v>0</v>
      </c>
    </row>
    <row r="472" spans="1:83" x14ac:dyDescent="0.25">
      <c r="A472" s="20" t="s">
        <v>116</v>
      </c>
      <c r="B472" s="20" t="s">
        <v>88</v>
      </c>
      <c r="C472" s="20" t="s">
        <v>122</v>
      </c>
      <c r="D472" s="20" t="s">
        <v>90</v>
      </c>
      <c r="E472" s="20" t="s">
        <v>91</v>
      </c>
      <c r="F472" s="20" t="s">
        <v>90</v>
      </c>
      <c r="G472" s="20" t="s">
        <v>92</v>
      </c>
      <c r="H472" s="20" t="s">
        <v>18</v>
      </c>
      <c r="I472" s="20" t="s">
        <v>148</v>
      </c>
      <c r="J472" s="20" t="s">
        <v>129</v>
      </c>
      <c r="K472" s="20" t="s">
        <v>98</v>
      </c>
      <c r="L472" s="20">
        <v>552.51399999999899</v>
      </c>
      <c r="M472" s="20">
        <v>0.19160575593909501</v>
      </c>
      <c r="N472" s="20">
        <v>0</v>
      </c>
      <c r="O472" s="20">
        <v>129</v>
      </c>
      <c r="P472" s="20">
        <v>16.0943430226503</v>
      </c>
      <c r="Q472" s="20">
        <v>17.486071456306</v>
      </c>
      <c r="R472" s="20">
        <v>212.35909497904299</v>
      </c>
      <c r="S472" s="20">
        <v>383.33946557666002</v>
      </c>
      <c r="T472" s="20">
        <v>8</v>
      </c>
      <c r="U472" s="20">
        <v>1</v>
      </c>
      <c r="V472" s="20">
        <v>0</v>
      </c>
      <c r="W472" s="20">
        <v>0</v>
      </c>
      <c r="X472" s="20">
        <v>0</v>
      </c>
      <c r="Y472" s="20">
        <v>0</v>
      </c>
      <c r="Z472" s="20">
        <v>0</v>
      </c>
      <c r="AA472" s="20">
        <v>0</v>
      </c>
      <c r="AB472" s="20">
        <v>0</v>
      </c>
      <c r="AC472" s="20">
        <v>0</v>
      </c>
      <c r="AD472" s="20">
        <v>0</v>
      </c>
      <c r="AE472" s="20">
        <v>0</v>
      </c>
      <c r="AF472" t="str">
        <f t="shared" si="30"/>
        <v>NonResidential</v>
      </c>
      <c r="AG472" t="str">
        <f>tbl_Data_old[[#This Row],[All_Meas_Name_Append]]</f>
        <v>High Efficiency PTAC</v>
      </c>
      <c r="AH472">
        <f>AVERAGEIFS('3. Incentive Adjustment'!G:G,'3. Incentive Adjustment'!A:A,tbl_Data_old[[#This Row],[Trimmed Sector]],'3. Incentive Adjustment'!B:B,tbl_Data_old[[#This Row],[Trimmed Measure Name]])</f>
        <v>1.1757614296438725</v>
      </c>
      <c r="AI472">
        <f>$AH472*tbl_Data_old[[#This Row],[2025 ]]</f>
        <v>0</v>
      </c>
      <c r="AJ472">
        <f>$AH472*tbl_Data_old[[#This Row],[2026 ]]</f>
        <v>0</v>
      </c>
      <c r="AK472">
        <f>$AH472*tbl_Data_old[[#This Row],[2027 ]]</f>
        <v>0</v>
      </c>
      <c r="AL472">
        <f>$AH472*tbl_Data_old[[#This Row],[2028 ]]</f>
        <v>0</v>
      </c>
      <c r="AM472">
        <f>$AH472*tbl_Data_old[[#This Row],[2029 ]]</f>
        <v>0</v>
      </c>
      <c r="AN472">
        <f>$AH472*tbl_Data_old[[#This Row],[2030 ]]</f>
        <v>0</v>
      </c>
      <c r="AO472">
        <f>$AH472*tbl_Data_old[[#This Row],[2031 ]]</f>
        <v>0</v>
      </c>
      <c r="AP472">
        <f>$AH472*tbl_Data_old[[#This Row],[2032 ]]</f>
        <v>0</v>
      </c>
      <c r="AQ472">
        <f>$AH472*tbl_Data_old[[#This Row],[2033 ]]</f>
        <v>0</v>
      </c>
      <c r="AR472">
        <f>$AH472*tbl_Data_old[[#This Row],[2034 ]]</f>
        <v>0</v>
      </c>
      <c r="AS472">
        <f>SUM(tbl_Data_old[[#This Row],[Adjusted 2025]:[Adjusted 2034]])</f>
        <v>0</v>
      </c>
      <c r="AT472" s="3">
        <f>AVERAGEIFS('3. Incentive Adjustment'!F:F,'3. Incentive Adjustment'!A:A,tbl_Data_old[[#This Row],[Trimmed Sector]],'3. Incentive Adjustment'!B:B,tbl_Data_old[[#This Row],[Trimmed Measure Name]])</f>
        <v>50</v>
      </c>
      <c r="AU472" s="3">
        <f>IFERROR(VLOOKUP(tbl_Data_old[[#This Row],[All_Meas_Name_Append]],'IRA Tax Credits'!$A$3:$D$46,4,0),0)</f>
        <v>0</v>
      </c>
      <c r="AV472" s="4">
        <f>tbl_Data_old[[#This Row],[Adj. per unit Incentive ($)]]/tbl_Data_old[[#This Row],[kWh Savings]]*tbl_Data_old[[#This Row],[Sum of Annuals]]</f>
        <v>0</v>
      </c>
      <c r="AW472" s="4">
        <f>IFERROR(VLOOKUP(tbl_Data_old[[#This Row],[All_Programs]],'1. Set Program Names'!$B$2:$D$15,3,0)*tbl_Data_old[[#This Row],[Sum of Annuals]],"")</f>
        <v>0</v>
      </c>
      <c r="AX472" s="4">
        <f>tbl_Data_old[[#This Row],[per unit IRA tax ($)]]/tbl_Data_old[[#This Row],[kWh Savings]]*tbl_Data_old[[#This Row],[Sum of Annuals]]</f>
        <v>0</v>
      </c>
      <c r="AY472" s="4">
        <f>tbl_Data_old[[#This Row],[Avoided Costs ($/unit)]]/tbl_Data_old[[#This Row],[kWh Savings]]*tbl_Data_old[[#This Row],[Sum of Annuals]]</f>
        <v>0</v>
      </c>
      <c r="AZ472" s="4">
        <f>tbl_Data_old[[#This Row],[Lost Revenue ($/unit)]]/tbl_Data_old[[#This Row],[kWh Savings]]*tbl_Data_old[[#This Row],[Sum of Annuals]]</f>
        <v>0</v>
      </c>
      <c r="BA472" s="4">
        <f>tbl_Data_old[[#This Row],[Incremental Cost ($/unit)]]/tbl_Data_old[[#This Row],[kWh Savings]]*tbl_Data_old[[#This Row],[Sum of Annuals]]</f>
        <v>0</v>
      </c>
      <c r="BB472">
        <f>ROUNDUP(tbl_Data_old[[#This Row],[Adjusted 2025]]/$L472,0)</f>
        <v>0</v>
      </c>
      <c r="BC472">
        <f>ROUNDUP(tbl_Data_old[[#This Row],[Adjusted 2026]]/$L472,0)</f>
        <v>0</v>
      </c>
      <c r="BD472">
        <f>ROUNDUP(tbl_Data_old[[#This Row],[Adjusted 2027]]/$L472,0)</f>
        <v>0</v>
      </c>
      <c r="BE472">
        <f>ROUNDUP(tbl_Data_old[[#This Row],[Adjusted 2028]]/$L472,0)</f>
        <v>0</v>
      </c>
      <c r="BF472">
        <f>ROUNDUP(tbl_Data_old[[#This Row],[Adjusted 2029]]/$L472,0)</f>
        <v>0</v>
      </c>
      <c r="BG472">
        <f>ROUNDUP(tbl_Data_old[[#This Row],[Adjusted 2030]]/$L472,0)</f>
        <v>0</v>
      </c>
      <c r="BH472">
        <f>ROUNDUP(tbl_Data_old[[#This Row],[Adjusted 2031]]/$L472,0)</f>
        <v>0</v>
      </c>
      <c r="BI472">
        <f>ROUNDUP(tbl_Data_old[[#This Row],[Adjusted 2032]]/$L472,0)</f>
        <v>0</v>
      </c>
      <c r="BJ472">
        <f>ROUNDUP(tbl_Data_old[[#This Row],[Adjusted 2033]]/$L472,0)</f>
        <v>0</v>
      </c>
      <c r="BK472">
        <f>ROUNDUP(tbl_Data_old[[#This Row],[Adjusted 2034]]/$L472,0)</f>
        <v>0</v>
      </c>
      <c r="BL472" s="3">
        <f t="shared" si="32"/>
        <v>0</v>
      </c>
      <c r="BM472" s="3">
        <f t="shared" si="32"/>
        <v>0</v>
      </c>
      <c r="BN472" s="3">
        <f t="shared" si="32"/>
        <v>0</v>
      </c>
      <c r="BO472" s="3">
        <f t="shared" si="32"/>
        <v>0</v>
      </c>
      <c r="BP472" s="3">
        <f t="shared" si="32"/>
        <v>0</v>
      </c>
      <c r="BQ472" s="3">
        <f t="shared" si="31"/>
        <v>0</v>
      </c>
      <c r="BR472" s="3">
        <f t="shared" si="31"/>
        <v>0</v>
      </c>
      <c r="BS472" s="3">
        <f t="shared" si="31"/>
        <v>0</v>
      </c>
      <c r="BT472" s="3">
        <f t="shared" si="31"/>
        <v>0</v>
      </c>
      <c r="BU472" s="3">
        <f t="shared" si="31"/>
        <v>0</v>
      </c>
      <c r="BV472">
        <f>VLOOKUP($H472,'1. Set Program Names'!$B$2:$D$15,3,0)*V472</f>
        <v>0</v>
      </c>
      <c r="BW472">
        <f>VLOOKUP($H472,'1. Set Program Names'!$B$2:$D$15,3,0)*W472</f>
        <v>0</v>
      </c>
      <c r="BX472">
        <f>VLOOKUP($H472,'1. Set Program Names'!$B$2:$D$15,3,0)*X472</f>
        <v>0</v>
      </c>
      <c r="BY472">
        <f>VLOOKUP($H472,'1. Set Program Names'!$B$2:$D$15,3,0)*Y472</f>
        <v>0</v>
      </c>
      <c r="BZ472">
        <f>VLOOKUP($H472,'1. Set Program Names'!$B$2:$D$15,3,0)*Z472</f>
        <v>0</v>
      </c>
      <c r="CA472">
        <f>VLOOKUP($H472,'1. Set Program Names'!$B$2:$D$15,3,0)*AA472</f>
        <v>0</v>
      </c>
      <c r="CB472">
        <f>VLOOKUP($H472,'1. Set Program Names'!$B$2:$D$15,3,0)*AB472</f>
        <v>0</v>
      </c>
      <c r="CC472">
        <f>VLOOKUP($H472,'1. Set Program Names'!$B$2:$D$15,3,0)*AC472</f>
        <v>0</v>
      </c>
      <c r="CD472">
        <f>VLOOKUP($H472,'1. Set Program Names'!$B$2:$D$15,3,0)*AD472</f>
        <v>0</v>
      </c>
      <c r="CE472">
        <f>VLOOKUP($H472,'1. Set Program Names'!$B$2:$D$15,3,0)*AE472</f>
        <v>0</v>
      </c>
    </row>
    <row r="473" spans="1:83" x14ac:dyDescent="0.25">
      <c r="A473" s="20" t="s">
        <v>116</v>
      </c>
      <c r="B473" s="20" t="s">
        <v>88</v>
      </c>
      <c r="C473" s="20" t="s">
        <v>122</v>
      </c>
      <c r="D473" s="20" t="s">
        <v>90</v>
      </c>
      <c r="E473" s="20" t="s">
        <v>91</v>
      </c>
      <c r="F473" s="20" t="s">
        <v>90</v>
      </c>
      <c r="G473" s="20" t="s">
        <v>92</v>
      </c>
      <c r="H473" s="20" t="s">
        <v>18</v>
      </c>
      <c r="I473" s="20" t="s">
        <v>149</v>
      </c>
      <c r="J473" s="20" t="s">
        <v>129</v>
      </c>
      <c r="K473" s="20" t="s">
        <v>98</v>
      </c>
      <c r="L473" s="20">
        <v>540.79749999999899</v>
      </c>
      <c r="M473" s="20">
        <v>0.159555976068885</v>
      </c>
      <c r="N473" s="20">
        <v>1.50169234953632E-2</v>
      </c>
      <c r="O473" s="20">
        <v>128.99999999999901</v>
      </c>
      <c r="P473" s="20">
        <v>23.4690947103329</v>
      </c>
      <c r="Q473" s="20">
        <v>17.115265365930298</v>
      </c>
      <c r="R473" s="20">
        <v>204.24936172330499</v>
      </c>
      <c r="S473" s="20">
        <v>375.21044649582399</v>
      </c>
      <c r="T473" s="20">
        <v>8</v>
      </c>
      <c r="U473" s="20">
        <v>1</v>
      </c>
      <c r="V473" s="20">
        <v>7.8207077508097598</v>
      </c>
      <c r="W473" s="20">
        <v>8.6210926469960505</v>
      </c>
      <c r="X473" s="20">
        <v>9.2972812556736599</v>
      </c>
      <c r="Y473" s="20">
        <v>9.8978150816878792</v>
      </c>
      <c r="Z473" s="20">
        <v>10.4187015364994</v>
      </c>
      <c r="AA473" s="20">
        <v>10.86057921516</v>
      </c>
      <c r="AB473" s="20">
        <v>11.231032906087099</v>
      </c>
      <c r="AC473" s="20">
        <v>11.561752275642601</v>
      </c>
      <c r="AD473" s="20">
        <v>11.8697664834135</v>
      </c>
      <c r="AE473" s="20">
        <v>12.1398124864621</v>
      </c>
      <c r="AF473" t="str">
        <f t="shared" si="30"/>
        <v>NonResidential</v>
      </c>
      <c r="AG473" t="str">
        <f>tbl_Data_old[[#This Row],[All_Meas_Name_Append]]</f>
        <v>High Efficiency PTHP</v>
      </c>
      <c r="AH473">
        <f>AVERAGEIFS('3. Incentive Adjustment'!G:G,'3. Incentive Adjustment'!A:A,tbl_Data_old[[#This Row],[Trimmed Sector]],'3. Incentive Adjustment'!B:B,tbl_Data_old[[#This Row],[Trimmed Measure Name]])</f>
        <v>1.138194101705527</v>
      </c>
      <c r="AI473">
        <f>$AH473*tbl_Data_old[[#This Row],[2025 ]]</f>
        <v>8.9014834331343682</v>
      </c>
      <c r="AJ473">
        <f>$AH473*tbl_Data_old[[#This Row],[2026 ]]</f>
        <v>9.8124768010677936</v>
      </c>
      <c r="AK473">
        <f>$AH473*tbl_Data_old[[#This Row],[2027 ]]</f>
        <v>10.582110687105116</v>
      </c>
      <c r="AL473">
        <f>$AH473*tbl_Data_old[[#This Row],[2028 ]]</f>
        <v>11.265634745749153</v>
      </c>
      <c r="AM473">
        <f>$AH473*tbl_Data_old[[#This Row],[2029 ]]</f>
        <v>11.858504636273929</v>
      </c>
      <c r="AN473">
        <f>$AH473*tbl_Data_old[[#This Row],[2030 ]]</f>
        <v>12.361447203800754</v>
      </c>
      <c r="AO473">
        <f>$AH473*tbl_Data_old[[#This Row],[2031 ]]</f>
        <v>12.783095409769022</v>
      </c>
      <c r="AP473">
        <f>$AH473*tbl_Data_old[[#This Row],[2032 ]]</f>
        <v>13.159518245516862</v>
      </c>
      <c r="AQ473">
        <f>$AH473*tbl_Data_old[[#This Row],[2033 ]]</f>
        <v>13.510098200043201</v>
      </c>
      <c r="AR473">
        <f>$AH473*tbl_Data_old[[#This Row],[2034 ]]</f>
        <v>13.817462967902271</v>
      </c>
      <c r="AS473">
        <f>SUM(tbl_Data_old[[#This Row],[Adjusted 2025]:[Adjusted 2034]])</f>
        <v>118.05183233036247</v>
      </c>
      <c r="AT473" s="3">
        <f>AVERAGEIFS('3. Incentive Adjustment'!F:F,'3. Incentive Adjustment'!A:A,tbl_Data_old[[#This Row],[Trimmed Sector]],'3. Incentive Adjustment'!B:B,tbl_Data_old[[#This Row],[Trimmed Measure Name]])</f>
        <v>50</v>
      </c>
      <c r="AU473" s="3">
        <f>IFERROR(VLOOKUP(tbl_Data_old[[#This Row],[All_Meas_Name_Append]],'IRA Tax Credits'!$A$3:$D$46,4,0),0)</f>
        <v>0</v>
      </c>
      <c r="AV473" s="4">
        <f>tbl_Data_old[[#This Row],[Adj. per unit Incentive ($)]]/tbl_Data_old[[#This Row],[kWh Savings]]*tbl_Data_old[[#This Row],[Sum of Annuals]]</f>
        <v>10.914605959750432</v>
      </c>
      <c r="AW473" s="4">
        <f>IFERROR(VLOOKUP(tbl_Data_old[[#This Row],[All_Programs]],'1. Set Program Names'!$B$2:$D$15,3,0)*tbl_Data_old[[#This Row],[Sum of Annuals]],"")</f>
        <v>3.7361275473138682</v>
      </c>
      <c r="AX473" s="4">
        <f>tbl_Data_old[[#This Row],[per unit IRA tax ($)]]/tbl_Data_old[[#This Row],[kWh Savings]]*tbl_Data_old[[#This Row],[Sum of Annuals]]</f>
        <v>0</v>
      </c>
      <c r="AY473" s="4">
        <f>tbl_Data_old[[#This Row],[Avoided Costs ($/unit)]]/tbl_Data_old[[#This Row],[kWh Savings]]*tbl_Data_old[[#This Row],[Sum of Annuals]]</f>
        <v>44.586026014808127</v>
      </c>
      <c r="AZ473" s="4">
        <f>tbl_Data_old[[#This Row],[Lost Revenue ($/unit)]]/tbl_Data_old[[#This Row],[kWh Savings]]*tbl_Data_old[[#This Row],[Sum of Annuals]]</f>
        <v>81.905483509678831</v>
      </c>
      <c r="BA473" s="4">
        <f>tbl_Data_old[[#This Row],[Incremental Cost ($/unit)]]/tbl_Data_old[[#This Row],[kWh Savings]]*tbl_Data_old[[#This Row],[Sum of Annuals]]</f>
        <v>28.1596833761559</v>
      </c>
      <c r="BB473">
        <f>ROUNDUP(tbl_Data_old[[#This Row],[Adjusted 2025]]/$L473,0)</f>
        <v>1</v>
      </c>
      <c r="BC473">
        <f>ROUNDUP(tbl_Data_old[[#This Row],[Adjusted 2026]]/$L473,0)</f>
        <v>1</v>
      </c>
      <c r="BD473">
        <f>ROUNDUP(tbl_Data_old[[#This Row],[Adjusted 2027]]/$L473,0)</f>
        <v>1</v>
      </c>
      <c r="BE473">
        <f>ROUNDUP(tbl_Data_old[[#This Row],[Adjusted 2028]]/$L473,0)</f>
        <v>1</v>
      </c>
      <c r="BF473">
        <f>ROUNDUP(tbl_Data_old[[#This Row],[Adjusted 2029]]/$L473,0)</f>
        <v>1</v>
      </c>
      <c r="BG473">
        <f>ROUNDUP(tbl_Data_old[[#This Row],[Adjusted 2030]]/$L473,0)</f>
        <v>1</v>
      </c>
      <c r="BH473">
        <f>ROUNDUP(tbl_Data_old[[#This Row],[Adjusted 2031]]/$L473,0)</f>
        <v>1</v>
      </c>
      <c r="BI473">
        <f>ROUNDUP(tbl_Data_old[[#This Row],[Adjusted 2032]]/$L473,0)</f>
        <v>1</v>
      </c>
      <c r="BJ473">
        <f>ROUNDUP(tbl_Data_old[[#This Row],[Adjusted 2033]]/$L473,0)</f>
        <v>1</v>
      </c>
      <c r="BK473">
        <f>ROUNDUP(tbl_Data_old[[#This Row],[Adjusted 2034]]/$L473,0)</f>
        <v>1</v>
      </c>
      <c r="BL473" s="3">
        <f t="shared" si="32"/>
        <v>0.72307173672305936</v>
      </c>
      <c r="BM473" s="3">
        <f t="shared" si="32"/>
        <v>0.7970721616682831</v>
      </c>
      <c r="BN473" s="3">
        <f t="shared" si="32"/>
        <v>0.85958988860651886</v>
      </c>
      <c r="BO473" s="3">
        <f t="shared" si="32"/>
        <v>0.91511287327399793</v>
      </c>
      <c r="BP473" s="3">
        <f t="shared" si="32"/>
        <v>0.96327197671026765</v>
      </c>
      <c r="BQ473" s="3">
        <f t="shared" si="31"/>
        <v>1.0041262408905385</v>
      </c>
      <c r="BR473" s="3">
        <f t="shared" si="31"/>
        <v>1.0383769253821551</v>
      </c>
      <c r="BS473" s="3">
        <f t="shared" si="31"/>
        <v>1.0689539315217453</v>
      </c>
      <c r="BT473" s="3">
        <f t="shared" si="31"/>
        <v>1.0974317081175045</v>
      </c>
      <c r="BU473" s="3">
        <f t="shared" si="31"/>
        <v>1.122399094528185</v>
      </c>
      <c r="BV473">
        <f>VLOOKUP($H473,'1. Set Program Names'!$B$2:$D$15,3,0)*V473</f>
        <v>0.24751129305238553</v>
      </c>
      <c r="BW473">
        <f>VLOOKUP($H473,'1. Set Program Names'!$B$2:$D$15,3,0)*W473</f>
        <v>0.27284203125496781</v>
      </c>
      <c r="BX473">
        <f>VLOOKUP($H473,'1. Set Program Names'!$B$2:$D$15,3,0)*X473</f>
        <v>0.29424218098742133</v>
      </c>
      <c r="BY473">
        <f>VLOOKUP($H473,'1. Set Program Names'!$B$2:$D$15,3,0)*Y473</f>
        <v>0.31324799331726905</v>
      </c>
      <c r="BZ473">
        <f>VLOOKUP($H473,'1. Set Program Names'!$B$2:$D$15,3,0)*Z473</f>
        <v>0.32973311001920991</v>
      </c>
      <c r="CA473">
        <f>VLOOKUP($H473,'1. Set Program Names'!$B$2:$D$15,3,0)*AA473</f>
        <v>0.34371774147471307</v>
      </c>
      <c r="CB473">
        <f>VLOOKUP($H473,'1. Set Program Names'!$B$2:$D$15,3,0)*AB473</f>
        <v>0.35544193255548856</v>
      </c>
      <c r="CC473">
        <f>VLOOKUP($H473,'1. Set Program Names'!$B$2:$D$15,3,0)*AC473</f>
        <v>0.3659086040389839</v>
      </c>
      <c r="CD473">
        <f>VLOOKUP($H473,'1. Set Program Names'!$B$2:$D$15,3,0)*AD473</f>
        <v>0.37565669810834584</v>
      </c>
      <c r="CE473">
        <f>VLOOKUP($H473,'1. Set Program Names'!$B$2:$D$15,3,0)*AE473</f>
        <v>0.38420316698659629</v>
      </c>
    </row>
    <row r="474" spans="1:83" x14ac:dyDescent="0.25">
      <c r="A474" s="20" t="s">
        <v>116</v>
      </c>
      <c r="B474" s="20" t="s">
        <v>88</v>
      </c>
      <c r="C474" s="20" t="s">
        <v>122</v>
      </c>
      <c r="D474" s="20" t="s">
        <v>90</v>
      </c>
      <c r="E474" s="20" t="s">
        <v>91</v>
      </c>
      <c r="F474" s="20" t="s">
        <v>90</v>
      </c>
      <c r="G474" s="20" t="s">
        <v>92</v>
      </c>
      <c r="H474" s="20" t="s">
        <v>18</v>
      </c>
      <c r="I474" s="20" t="s">
        <v>157</v>
      </c>
      <c r="J474" s="20" t="s">
        <v>158</v>
      </c>
      <c r="K474" s="20" t="s">
        <v>159</v>
      </c>
      <c r="L474" s="20">
        <v>562.52</v>
      </c>
      <c r="M474" s="20">
        <v>0</v>
      </c>
      <c r="N474" s="20">
        <v>2.7796637938074201E-2</v>
      </c>
      <c r="O474" s="20">
        <v>169</v>
      </c>
      <c r="P474" s="20">
        <v>53.285725702774101</v>
      </c>
      <c r="Q474" s="20">
        <v>17.802743307140201</v>
      </c>
      <c r="R474" s="20">
        <v>275.373630058213</v>
      </c>
      <c r="S474" s="20">
        <v>610.96426176974103</v>
      </c>
      <c r="T474" s="20">
        <v>15</v>
      </c>
      <c r="U474" s="20">
        <v>0.2</v>
      </c>
      <c r="V474" s="20">
        <v>3.7749084951401901E-3</v>
      </c>
      <c r="W474" s="20">
        <v>4.1116653965917399E-3</v>
      </c>
      <c r="X474" s="20">
        <v>4.3775924349865004E-3</v>
      </c>
      <c r="Y474" s="20">
        <v>4.6002615365257097E-3</v>
      </c>
      <c r="Z474" s="20">
        <v>4.78067500642848E-3</v>
      </c>
      <c r="AA474" s="20">
        <v>4.91928794949144E-3</v>
      </c>
      <c r="AB474" s="20">
        <v>5.0223685455095396E-3</v>
      </c>
      <c r="AC474" s="20">
        <v>5.1049402408000297E-3</v>
      </c>
      <c r="AD474" s="20">
        <v>5.1733938051851504E-3</v>
      </c>
      <c r="AE474" s="20">
        <v>5.2234634980719398E-3</v>
      </c>
      <c r="AF474" t="str">
        <f t="shared" si="30"/>
        <v>NonResidential</v>
      </c>
      <c r="AG474" t="str">
        <f>tbl_Data_old[[#This Row],[All_Meas_Name_Append]]</f>
        <v>LED Exterior Wall Packs</v>
      </c>
      <c r="AH474">
        <f>AVERAGEIFS('3. Incentive Adjustment'!G:G,'3. Incentive Adjustment'!A:A,tbl_Data_old[[#This Row],[Trimmed Sector]],'3. Incentive Adjustment'!B:B,tbl_Data_old[[#This Row],[Trimmed Measure Name]])</f>
        <v>0.80637708305213962</v>
      </c>
      <c r="AI474">
        <f>$AH474*tbl_Data_old[[#This Row],[2025 ]]</f>
        <v>3.0439997010998886E-3</v>
      </c>
      <c r="AJ474">
        <f>$AH474*tbl_Data_old[[#This Row],[2026 ]]</f>
        <v>3.315552748990066E-3</v>
      </c>
      <c r="AK474">
        <f>$AH474*tbl_Data_old[[#This Row],[2027 ]]</f>
        <v>3.5299902185155275E-3</v>
      </c>
      <c r="AL474">
        <f>$AH474*tbl_Data_old[[#This Row],[2028 ]]</f>
        <v>3.7095454791005555E-3</v>
      </c>
      <c r="AM474">
        <f>$AH474*tbl_Data_old[[#This Row],[2029 ]]</f>
        <v>3.8550267667040667E-3</v>
      </c>
      <c r="AN474">
        <f>$AH474*tbl_Data_old[[#This Row],[2030 ]]</f>
        <v>3.9668010674044482E-3</v>
      </c>
      <c r="AO474">
        <f>$AH474*tbl_Data_old[[#This Row],[2031 ]]</f>
        <v>4.0499228977407993E-3</v>
      </c>
      <c r="AP474">
        <f>$AH474*tbl_Data_old[[#This Row],[2032 ]]</f>
        <v>4.116506820531815E-3</v>
      </c>
      <c r="AQ474">
        <f>$AH474*tbl_Data_old[[#This Row],[2033 ]]</f>
        <v>4.1717062061052109E-3</v>
      </c>
      <c r="AR474">
        <f>$AH474*tbl_Data_old[[#This Row],[2034 ]]</f>
        <v>4.2120812590045768E-3</v>
      </c>
      <c r="AS474">
        <f>SUM(tbl_Data_old[[#This Row],[Adjusted 2025]:[Adjusted 2034]])</f>
        <v>3.7971133165196951E-2</v>
      </c>
      <c r="AT474" s="3">
        <f>AVERAGEIFS('3. Incentive Adjustment'!F:F,'3. Incentive Adjustment'!A:A,tbl_Data_old[[#This Row],[Trimmed Sector]],'3. Incentive Adjustment'!B:B,tbl_Data_old[[#This Row],[Trimmed Measure Name]])</f>
        <v>8.6864493556481861</v>
      </c>
      <c r="AU474" s="3">
        <f>IFERROR(VLOOKUP(tbl_Data_old[[#This Row],[All_Meas_Name_Append]],'IRA Tax Credits'!$A$3:$D$46,4,0),0)</f>
        <v>0</v>
      </c>
      <c r="AV474" s="4">
        <f>tbl_Data_old[[#This Row],[Adj. per unit Incentive ($)]]/tbl_Data_old[[#This Row],[kWh Savings]]*tbl_Data_old[[#This Row],[Sum of Annuals]]</f>
        <v>5.8635128567172102E-4</v>
      </c>
      <c r="AW474" s="4">
        <f>IFERROR(VLOOKUP(tbl_Data_old[[#This Row],[All_Programs]],'1. Set Program Names'!$B$2:$D$15,3,0)*tbl_Data_old[[#This Row],[Sum of Annuals]],"")</f>
        <v>1.2017178710467878E-3</v>
      </c>
      <c r="AX474" s="4">
        <f>tbl_Data_old[[#This Row],[per unit IRA tax ($)]]/tbl_Data_old[[#This Row],[kWh Savings]]*tbl_Data_old[[#This Row],[Sum of Annuals]]</f>
        <v>0</v>
      </c>
      <c r="AY474" s="4">
        <f>tbl_Data_old[[#This Row],[Avoided Costs ($/unit)]]/tbl_Data_old[[#This Row],[kWh Savings]]*tbl_Data_old[[#This Row],[Sum of Annuals]]</f>
        <v>1.8588225800192149E-2</v>
      </c>
      <c r="AZ474" s="4">
        <f>tbl_Data_old[[#This Row],[Lost Revenue ($/unit)]]/tbl_Data_old[[#This Row],[kWh Savings]]*tbl_Data_old[[#This Row],[Sum of Annuals]]</f>
        <v>4.1241209810913546E-2</v>
      </c>
      <c r="BA474" s="4">
        <f>tbl_Data_old[[#This Row],[Incremental Cost ($/unit)]]/tbl_Data_old[[#This Row],[kWh Savings]]*tbl_Data_old[[#This Row],[Sum of Annuals]]</f>
        <v>1.1407810397707253E-2</v>
      </c>
      <c r="BB474">
        <f>ROUNDUP(tbl_Data_old[[#This Row],[Adjusted 2025]]/$L474,0)</f>
        <v>1</v>
      </c>
      <c r="BC474">
        <f>ROUNDUP(tbl_Data_old[[#This Row],[Adjusted 2026]]/$L474,0)</f>
        <v>1</v>
      </c>
      <c r="BD474">
        <f>ROUNDUP(tbl_Data_old[[#This Row],[Adjusted 2027]]/$L474,0)</f>
        <v>1</v>
      </c>
      <c r="BE474">
        <f>ROUNDUP(tbl_Data_old[[#This Row],[Adjusted 2028]]/$L474,0)</f>
        <v>1</v>
      </c>
      <c r="BF474">
        <f>ROUNDUP(tbl_Data_old[[#This Row],[Adjusted 2029]]/$L474,0)</f>
        <v>1</v>
      </c>
      <c r="BG474">
        <f>ROUNDUP(tbl_Data_old[[#This Row],[Adjusted 2030]]/$L474,0)</f>
        <v>1</v>
      </c>
      <c r="BH474">
        <f>ROUNDUP(tbl_Data_old[[#This Row],[Adjusted 2031]]/$L474,0)</f>
        <v>1</v>
      </c>
      <c r="BI474">
        <f>ROUNDUP(tbl_Data_old[[#This Row],[Adjusted 2032]]/$L474,0)</f>
        <v>1</v>
      </c>
      <c r="BJ474">
        <f>ROUNDUP(tbl_Data_old[[#This Row],[Adjusted 2033]]/$L474,0)</f>
        <v>1</v>
      </c>
      <c r="BK474">
        <f>ROUNDUP(tbl_Data_old[[#This Row],[Adjusted 2034]]/$L474,0)</f>
        <v>1</v>
      </c>
      <c r="BL474" s="3">
        <f t="shared" si="32"/>
        <v>5.8292241102967659E-5</v>
      </c>
      <c r="BM474" s="3">
        <f t="shared" si="32"/>
        <v>6.3492450463743978E-5</v>
      </c>
      <c r="BN474" s="3">
        <f t="shared" si="32"/>
        <v>6.7598903125540172E-5</v>
      </c>
      <c r="BO474" s="3">
        <f t="shared" si="32"/>
        <v>7.1037365533255497E-5</v>
      </c>
      <c r="BP474" s="3">
        <f t="shared" si="32"/>
        <v>7.3823315311729459E-5</v>
      </c>
      <c r="BQ474" s="3">
        <f t="shared" si="31"/>
        <v>7.5963780201784476E-5</v>
      </c>
      <c r="BR474" s="3">
        <f t="shared" si="31"/>
        <v>7.7555553608705575E-5</v>
      </c>
      <c r="BS474" s="3">
        <f t="shared" si="31"/>
        <v>7.883062800490634E-5</v>
      </c>
      <c r="BT474" s="3">
        <f t="shared" si="31"/>
        <v>7.9887689834254541E-5</v>
      </c>
      <c r="BU474" s="3">
        <f t="shared" si="31"/>
        <v>8.066086741285433E-5</v>
      </c>
      <c r="BV474">
        <f>VLOOKUP($H474,'1. Set Program Names'!$B$2:$D$15,3,0)*V474</f>
        <v>1.1946904456183547E-4</v>
      </c>
      <c r="BW474">
        <f>VLOOKUP($H474,'1. Set Program Names'!$B$2:$D$15,3,0)*W474</f>
        <v>1.3012679303913379E-4</v>
      </c>
      <c r="BX474">
        <f>VLOOKUP($H474,'1. Set Program Names'!$B$2:$D$15,3,0)*X474</f>
        <v>1.3854290411601983E-4</v>
      </c>
      <c r="BY474">
        <f>VLOOKUP($H474,'1. Set Program Names'!$B$2:$D$15,3,0)*Y474</f>
        <v>1.4558997952157711E-4</v>
      </c>
      <c r="BZ474">
        <f>VLOOKUP($H474,'1. Set Program Names'!$B$2:$D$15,3,0)*Z474</f>
        <v>1.5129974040799799E-4</v>
      </c>
      <c r="CA474">
        <f>VLOOKUP($H474,'1. Set Program Names'!$B$2:$D$15,3,0)*AA474</f>
        <v>1.5568659002116218E-4</v>
      </c>
      <c r="CB474">
        <f>VLOOKUP($H474,'1. Set Program Names'!$B$2:$D$15,3,0)*AB474</f>
        <v>1.5894890494482221E-4</v>
      </c>
      <c r="CC474">
        <f>VLOOKUP($H474,'1. Set Program Names'!$B$2:$D$15,3,0)*AC474</f>
        <v>1.6156215015511162E-4</v>
      </c>
      <c r="CD474">
        <f>VLOOKUP($H474,'1. Set Program Names'!$B$2:$D$15,3,0)*AD474</f>
        <v>1.637285819890146E-4</v>
      </c>
      <c r="CE474">
        <f>VLOOKUP($H474,'1. Set Program Names'!$B$2:$D$15,3,0)*AE474</f>
        <v>1.65313197451453E-4</v>
      </c>
    </row>
    <row r="475" spans="1:83" x14ac:dyDescent="0.25">
      <c r="A475" s="20" t="s">
        <v>116</v>
      </c>
      <c r="B475" s="20" t="s">
        <v>88</v>
      </c>
      <c r="C475" s="20" t="s">
        <v>122</v>
      </c>
      <c r="D475" s="20" t="s">
        <v>90</v>
      </c>
      <c r="E475" s="20" t="s">
        <v>91</v>
      </c>
      <c r="F475" s="20" t="s">
        <v>90</v>
      </c>
      <c r="G475" s="20" t="s">
        <v>92</v>
      </c>
      <c r="H475" s="20" t="s">
        <v>18</v>
      </c>
      <c r="I475" s="20" t="s">
        <v>160</v>
      </c>
      <c r="J475" s="20" t="s">
        <v>161</v>
      </c>
      <c r="K475" s="20" t="s">
        <v>159</v>
      </c>
      <c r="L475" s="20">
        <v>698.53499999999997</v>
      </c>
      <c r="M475" s="20">
        <v>9.14911955902553E-2</v>
      </c>
      <c r="N475" s="20">
        <v>9.6647765821509996E-2</v>
      </c>
      <c r="O475" s="20">
        <v>179</v>
      </c>
      <c r="P475" s="20">
        <v>35.4245718525491</v>
      </c>
      <c r="Q475" s="20">
        <v>22.107372708620399</v>
      </c>
      <c r="R475" s="20">
        <v>291.28765455670799</v>
      </c>
      <c r="S475" s="20">
        <v>758.69288308917999</v>
      </c>
      <c r="T475" s="20">
        <v>15</v>
      </c>
      <c r="U475" s="20">
        <v>0.2</v>
      </c>
      <c r="V475" s="20">
        <v>0.455410511873589</v>
      </c>
      <c r="W475" s="20">
        <v>0.49569314679925602</v>
      </c>
      <c r="X475" s="20">
        <v>0.52765427345175797</v>
      </c>
      <c r="Y475" s="20">
        <v>0.55443253237482104</v>
      </c>
      <c r="Z475" s="20">
        <v>0.57605186596134295</v>
      </c>
      <c r="AA475" s="20">
        <v>0.59267096706594202</v>
      </c>
      <c r="AB475" s="20">
        <v>0.60494314729715704</v>
      </c>
      <c r="AC475" s="20">
        <v>0.61470053592755503</v>
      </c>
      <c r="AD475" s="20">
        <v>0.62284843853542005</v>
      </c>
      <c r="AE475" s="20">
        <v>0.62873395295579604</v>
      </c>
      <c r="AF475" t="str">
        <f t="shared" si="30"/>
        <v>NonResidential</v>
      </c>
      <c r="AG475" t="str">
        <f>tbl_Data_old[[#This Row],[All_Meas_Name_Append]]</f>
        <v>LED High Bay_HID Baseline</v>
      </c>
      <c r="AH475">
        <f>AVERAGEIFS('3. Incentive Adjustment'!G:G,'3. Incentive Adjustment'!A:A,tbl_Data_old[[#This Row],[Trimmed Sector]],'3. Incentive Adjustment'!B:B,tbl_Data_old[[#This Row],[Trimmed Measure Name]])</f>
        <v>1.0603846876879557</v>
      </c>
      <c r="AI475">
        <f>$AH475*tbl_Data_old[[#This Row],[2025 ]]</f>
        <v>0.48291033340288769</v>
      </c>
      <c r="AJ475">
        <f>$AH475*tbl_Data_old[[#This Row],[2026 ]]</f>
        <v>0.52562542265778911</v>
      </c>
      <c r="AK475">
        <f>$AH475*tbl_Data_old[[#This Row],[2027 ]]</f>
        <v>0.55951651196135754</v>
      </c>
      <c r="AL475">
        <f>$AH475*tbl_Data_old[[#This Row],[2028 ]]</f>
        <v>0.58791176768631703</v>
      </c>
      <c r="AM475">
        <f>$AH475*tbl_Data_old[[#This Row],[2029 ]]</f>
        <v>0.61083657797948276</v>
      </c>
      <c r="AN475">
        <f>$AH475*tbl_Data_old[[#This Row],[2030 ]]</f>
        <v>0.62845921831393758</v>
      </c>
      <c r="AO475">
        <f>$AH475*tbl_Data_old[[#This Row],[2031 ]]</f>
        <v>0.6414724503156648</v>
      </c>
      <c r="AP475">
        <f>$AH475*tbl_Data_old[[#This Row],[2032 ]]</f>
        <v>0.65181903581115941</v>
      </c>
      <c r="AQ475">
        <f>$AH475*tbl_Data_old[[#This Row],[2033 ]]</f>
        <v>0.6604589469733122</v>
      </c>
      <c r="AR475">
        <f>$AH475*tbl_Data_old[[#This Row],[2034 ]]</f>
        <v>0.66669985634384565</v>
      </c>
      <c r="AS475">
        <f>SUM(tbl_Data_old[[#This Row],[Adjusted 2025]:[Adjusted 2034]])</f>
        <v>6.0157101214457542</v>
      </c>
      <c r="AT475" s="3">
        <f>AVERAGEIFS('3. Incentive Adjustment'!F:F,'3. Incentive Adjustment'!A:A,tbl_Data_old[[#This Row],[Trimmed Sector]],'3. Incentive Adjustment'!B:B,tbl_Data_old[[#This Row],[Trimmed Measure Name]])</f>
        <v>28.590998621954778</v>
      </c>
      <c r="AU475" s="3">
        <f>IFERROR(VLOOKUP(tbl_Data_old[[#This Row],[All_Meas_Name_Append]],'IRA Tax Credits'!$A$3:$D$46,4,0),0)</f>
        <v>0</v>
      </c>
      <c r="AV475" s="4">
        <f>tbl_Data_old[[#This Row],[Adj. per unit Incentive ($)]]/tbl_Data_old[[#This Row],[kWh Savings]]*tbl_Data_old[[#This Row],[Sum of Annuals]]</f>
        <v>0.24622268002653405</v>
      </c>
      <c r="AW475" s="4">
        <f>IFERROR(VLOOKUP(tbl_Data_old[[#This Row],[All_Programs]],'1. Set Program Names'!$B$2:$D$15,3,0)*tbl_Data_old[[#This Row],[Sum of Annuals]],"")</f>
        <v>0.19038637399961589</v>
      </c>
      <c r="AX475" s="4">
        <f>tbl_Data_old[[#This Row],[per unit IRA tax ($)]]/tbl_Data_old[[#This Row],[kWh Savings]]*tbl_Data_old[[#This Row],[Sum of Annuals]]</f>
        <v>0</v>
      </c>
      <c r="AY475" s="4">
        <f>tbl_Data_old[[#This Row],[Avoided Costs ($/unit)]]/tbl_Data_old[[#This Row],[kWh Savings]]*tbl_Data_old[[#This Row],[Sum of Annuals]]</f>
        <v>2.5085387156963974</v>
      </c>
      <c r="AZ475" s="4">
        <f>tbl_Data_old[[#This Row],[Lost Revenue ($/unit)]]/tbl_Data_old[[#This Row],[kWh Savings]]*tbl_Data_old[[#This Row],[Sum of Annuals]]</f>
        <v>6.5337834981331513</v>
      </c>
      <c r="BA475" s="4">
        <f>tbl_Data_old[[#This Row],[Incremental Cost ($/unit)]]/tbl_Data_old[[#This Row],[kWh Savings]]*tbl_Data_old[[#This Row],[Sum of Annuals]]</f>
        <v>1.5415292172028461</v>
      </c>
      <c r="BB475">
        <f>ROUNDUP(tbl_Data_old[[#This Row],[Adjusted 2025]]/$L475,0)</f>
        <v>1</v>
      </c>
      <c r="BC475">
        <f>ROUNDUP(tbl_Data_old[[#This Row],[Adjusted 2026]]/$L475,0)</f>
        <v>1</v>
      </c>
      <c r="BD475">
        <f>ROUNDUP(tbl_Data_old[[#This Row],[Adjusted 2027]]/$L475,0)</f>
        <v>1</v>
      </c>
      <c r="BE475">
        <f>ROUNDUP(tbl_Data_old[[#This Row],[Adjusted 2028]]/$L475,0)</f>
        <v>1</v>
      </c>
      <c r="BF475">
        <f>ROUNDUP(tbl_Data_old[[#This Row],[Adjusted 2029]]/$L475,0)</f>
        <v>1</v>
      </c>
      <c r="BG475">
        <f>ROUNDUP(tbl_Data_old[[#This Row],[Adjusted 2030]]/$L475,0)</f>
        <v>1</v>
      </c>
      <c r="BH475">
        <f>ROUNDUP(tbl_Data_old[[#This Row],[Adjusted 2031]]/$L475,0)</f>
        <v>1</v>
      </c>
      <c r="BI475">
        <f>ROUNDUP(tbl_Data_old[[#This Row],[Adjusted 2032]]/$L475,0)</f>
        <v>1</v>
      </c>
      <c r="BJ475">
        <f>ROUNDUP(tbl_Data_old[[#This Row],[Adjusted 2033]]/$L475,0)</f>
        <v>1</v>
      </c>
      <c r="BK475">
        <f>ROUNDUP(tbl_Data_old[[#This Row],[Adjusted 2034]]/$L475,0)</f>
        <v>1</v>
      </c>
      <c r="BL475" s="3">
        <f t="shared" si="32"/>
        <v>1.8639926871812439E-2</v>
      </c>
      <c r="BM475" s="3">
        <f t="shared" si="32"/>
        <v>2.0288692874444309E-2</v>
      </c>
      <c r="BN475" s="3">
        <f t="shared" si="32"/>
        <v>2.1596860007197582E-2</v>
      </c>
      <c r="BO475" s="3">
        <f t="shared" si="32"/>
        <v>2.2692892652616415E-2</v>
      </c>
      <c r="BP475" s="3">
        <f t="shared" si="32"/>
        <v>2.3577770771507849E-2</v>
      </c>
      <c r="BQ475" s="3">
        <f t="shared" si="31"/>
        <v>2.425798965356776E-2</v>
      </c>
      <c r="BR475" s="3">
        <f t="shared" si="31"/>
        <v>2.4760289306525806E-2</v>
      </c>
      <c r="BS475" s="3">
        <f t="shared" si="31"/>
        <v>2.5159658679407029E-2</v>
      </c>
      <c r="BT475" s="3">
        <f t="shared" si="31"/>
        <v>2.5493151879079617E-2</v>
      </c>
      <c r="BU475" s="3">
        <f t="shared" si="31"/>
        <v>2.5734045656316928E-2</v>
      </c>
      <c r="BV475">
        <f>VLOOKUP($H475,'1. Set Program Names'!$B$2:$D$15,3,0)*V475</f>
        <v>1.4412921215705801E-2</v>
      </c>
      <c r="BW475">
        <f>VLOOKUP($H475,'1. Set Program Names'!$B$2:$D$15,3,0)*W475</f>
        <v>1.568779394790535E-2</v>
      </c>
      <c r="BX475">
        <f>VLOOKUP($H475,'1. Set Program Names'!$B$2:$D$15,3,0)*X475</f>
        <v>1.6699305953881118E-2</v>
      </c>
      <c r="BY475">
        <f>VLOOKUP($H475,'1. Set Program Names'!$B$2:$D$15,3,0)*Y475</f>
        <v>1.754678954525463E-2</v>
      </c>
      <c r="BZ475">
        <f>VLOOKUP($H475,'1. Set Program Names'!$B$2:$D$15,3,0)*Z475</f>
        <v>1.8231002455572992E-2</v>
      </c>
      <c r="CA475">
        <f>VLOOKUP($H475,'1. Set Program Names'!$B$2:$D$15,3,0)*AA475</f>
        <v>1.875696702742926E-2</v>
      </c>
      <c r="CB475">
        <f>VLOOKUP($H475,'1. Set Program Names'!$B$2:$D$15,3,0)*AB475</f>
        <v>1.9145359394767809E-2</v>
      </c>
      <c r="CC475">
        <f>VLOOKUP($H475,'1. Set Program Names'!$B$2:$D$15,3,0)*AC475</f>
        <v>1.9454163144207798E-2</v>
      </c>
      <c r="CD475">
        <f>VLOOKUP($H475,'1. Set Program Names'!$B$2:$D$15,3,0)*AD475</f>
        <v>1.9712029564280684E-2</v>
      </c>
      <c r="CE475">
        <f>VLOOKUP($H475,'1. Set Program Names'!$B$2:$D$15,3,0)*AE475</f>
        <v>1.9898295479192911E-2</v>
      </c>
    </row>
    <row r="476" spans="1:83" x14ac:dyDescent="0.25">
      <c r="A476" s="20" t="s">
        <v>116</v>
      </c>
      <c r="B476" s="20" t="s">
        <v>88</v>
      </c>
      <c r="C476" s="20" t="s">
        <v>122</v>
      </c>
      <c r="D476" s="20" t="s">
        <v>90</v>
      </c>
      <c r="E476" s="20" t="s">
        <v>91</v>
      </c>
      <c r="F476" s="20" t="s">
        <v>90</v>
      </c>
      <c r="G476" s="20" t="s">
        <v>92</v>
      </c>
      <c r="H476" s="20" t="s">
        <v>18</v>
      </c>
      <c r="I476" s="20" t="s">
        <v>162</v>
      </c>
      <c r="J476" s="20" t="s">
        <v>161</v>
      </c>
      <c r="K476" s="20" t="s">
        <v>159</v>
      </c>
      <c r="L476" s="20">
        <v>638.46285714285602</v>
      </c>
      <c r="M476" s="20">
        <v>7.6348348575361394E-2</v>
      </c>
      <c r="N476" s="20">
        <v>7.27444471789533E-2</v>
      </c>
      <c r="O476" s="20">
        <v>179</v>
      </c>
      <c r="P476" s="20">
        <v>51.129983050636802</v>
      </c>
      <c r="Q476" s="20">
        <v>20.206197747382401</v>
      </c>
      <c r="R476" s="20">
        <v>256.15438258671003</v>
      </c>
      <c r="S476" s="20">
        <v>693.44732308484095</v>
      </c>
      <c r="T476" s="20">
        <v>15</v>
      </c>
      <c r="U476" s="20">
        <v>0.2</v>
      </c>
      <c r="V476" s="20">
        <v>1.17177749657952</v>
      </c>
      <c r="W476" s="20">
        <v>1.27542526903569</v>
      </c>
      <c r="X476" s="20">
        <v>1.35766168651023</v>
      </c>
      <c r="Y476" s="20">
        <v>1.4265625141932301</v>
      </c>
      <c r="Z476" s="20">
        <v>1.48218935619015</v>
      </c>
      <c r="AA476" s="20">
        <v>1.52495053139367</v>
      </c>
      <c r="AB476" s="20">
        <v>1.55652701953784</v>
      </c>
      <c r="AC476" s="20">
        <v>1.5816329143829999</v>
      </c>
      <c r="AD476" s="20">
        <v>1.6025975796054599</v>
      </c>
      <c r="AE476" s="20">
        <v>1.6177410889751001</v>
      </c>
      <c r="AF476" t="str">
        <f t="shared" si="30"/>
        <v>NonResidential</v>
      </c>
      <c r="AG476" t="str">
        <f>tbl_Data_old[[#This Row],[All_Meas_Name_Append]]</f>
        <v>LED High Bay_LF Baseline</v>
      </c>
      <c r="AH476">
        <f>AVERAGEIFS('3. Incentive Adjustment'!G:G,'3. Incentive Adjustment'!A:A,tbl_Data_old[[#This Row],[Trimmed Sector]],'3. Incentive Adjustment'!B:B,tbl_Data_old[[#This Row],[Trimmed Measure Name]])</f>
        <v>0.93017466414143679</v>
      </c>
      <c r="AI476">
        <f>$AH476*tbl_Data_old[[#This Row],[2025 ]]</f>
        <v>1.0899577393293487</v>
      </c>
      <c r="AJ476">
        <f>$AH476*tbl_Data_old[[#This Row],[2026 ]]</f>
        <v>1.1863682712627746</v>
      </c>
      <c r="AK476">
        <f>$AH476*tbl_Data_old[[#This Row],[2027 ]]</f>
        <v>1.2628625032673499</v>
      </c>
      <c r="AL476">
        <f>$AH476*tbl_Data_old[[#This Row],[2028 ]]</f>
        <v>1.3269523075164515</v>
      </c>
      <c r="AM476">
        <f>$AH476*tbl_Data_old[[#This Row],[2029 ]]</f>
        <v>1.3786949865881852</v>
      </c>
      <c r="AN476">
        <f>$AH476*tbl_Data_old[[#This Row],[2030 ]]</f>
        <v>1.4184703483714125</v>
      </c>
      <c r="AO476">
        <f>$AH476*tbl_Data_old[[#This Row],[2031 ]]</f>
        <v>1.447841997625682</v>
      </c>
      <c r="AP476">
        <f>$AH476*tbl_Data_old[[#This Row],[2032 ]]</f>
        <v>1.4711948649312487</v>
      </c>
      <c r="AQ476">
        <f>$AH476*tbl_Data_old[[#This Row],[2033 ]]</f>
        <v>1.4906956653633883</v>
      </c>
      <c r="AR476">
        <f>$AH476*tbl_Data_old[[#This Row],[2034 ]]</f>
        <v>1.5047817741052159</v>
      </c>
      <c r="AS476">
        <f>SUM(tbl_Data_old[[#This Row],[Adjusted 2025]:[Adjusted 2034]])</f>
        <v>13.577820458361057</v>
      </c>
      <c r="AT476" s="3">
        <f>AVERAGEIFS('3. Incentive Adjustment'!F:F,'3. Incentive Adjustment'!A:A,tbl_Data_old[[#This Row],[Trimmed Sector]],'3. Incentive Adjustment'!B:B,tbl_Data_old[[#This Row],[Trimmed Measure Name]])</f>
        <v>23.858858929800434</v>
      </c>
      <c r="AU476" s="3">
        <f>IFERROR(VLOOKUP(tbl_Data_old[[#This Row],[All_Meas_Name_Append]],'IRA Tax Credits'!$A$3:$D$46,4,0),0)</f>
        <v>0</v>
      </c>
      <c r="AV476" s="4">
        <f>tbl_Data_old[[#This Row],[Adj. per unit Incentive ($)]]/tbl_Data_old[[#This Row],[kWh Savings]]*tbl_Data_old[[#This Row],[Sum of Annuals]]</f>
        <v>0.50739255896558855</v>
      </c>
      <c r="AW476" s="4">
        <f>IFERROR(VLOOKUP(tbl_Data_old[[#This Row],[All_Programs]],'1. Set Program Names'!$B$2:$D$15,3,0)*tbl_Data_old[[#This Row],[Sum of Annuals]],"")</f>
        <v>0.42971352536912205</v>
      </c>
      <c r="AX476" s="4">
        <f>tbl_Data_old[[#This Row],[per unit IRA tax ($)]]/tbl_Data_old[[#This Row],[kWh Savings]]*tbl_Data_old[[#This Row],[Sum of Annuals]]</f>
        <v>0</v>
      </c>
      <c r="AY476" s="4">
        <f>tbl_Data_old[[#This Row],[Avoided Costs ($/unit)]]/tbl_Data_old[[#This Row],[kWh Savings]]*tbl_Data_old[[#This Row],[Sum of Annuals]]</f>
        <v>5.4474871599405663</v>
      </c>
      <c r="AZ476" s="4">
        <f>tbl_Data_old[[#This Row],[Lost Revenue ($/unit)]]/tbl_Data_old[[#This Row],[kWh Savings]]*tbl_Data_old[[#This Row],[Sum of Annuals]]</f>
        <v>14.747143306521814</v>
      </c>
      <c r="BA476" s="4">
        <f>tbl_Data_old[[#This Row],[Incremental Cost ($/unit)]]/tbl_Data_old[[#This Row],[kWh Savings]]*tbl_Data_old[[#This Row],[Sum of Annuals]]</f>
        <v>3.8066895119363546</v>
      </c>
      <c r="BB476">
        <f>ROUNDUP(tbl_Data_old[[#This Row],[Adjusted 2025]]/$L476,0)</f>
        <v>1</v>
      </c>
      <c r="BC476">
        <f>ROUNDUP(tbl_Data_old[[#This Row],[Adjusted 2026]]/$L476,0)</f>
        <v>1</v>
      </c>
      <c r="BD476">
        <f>ROUNDUP(tbl_Data_old[[#This Row],[Adjusted 2027]]/$L476,0)</f>
        <v>1</v>
      </c>
      <c r="BE476">
        <f>ROUNDUP(tbl_Data_old[[#This Row],[Adjusted 2028]]/$L476,0)</f>
        <v>1</v>
      </c>
      <c r="BF476">
        <f>ROUNDUP(tbl_Data_old[[#This Row],[Adjusted 2029]]/$L476,0)</f>
        <v>1</v>
      </c>
      <c r="BG476">
        <f>ROUNDUP(tbl_Data_old[[#This Row],[Adjusted 2030]]/$L476,0)</f>
        <v>1</v>
      </c>
      <c r="BH476">
        <f>ROUNDUP(tbl_Data_old[[#This Row],[Adjusted 2031]]/$L476,0)</f>
        <v>1</v>
      </c>
      <c r="BI476">
        <f>ROUNDUP(tbl_Data_old[[#This Row],[Adjusted 2032]]/$L476,0)</f>
        <v>1</v>
      </c>
      <c r="BJ476">
        <f>ROUNDUP(tbl_Data_old[[#This Row],[Adjusted 2033]]/$L476,0)</f>
        <v>1</v>
      </c>
      <c r="BK476">
        <f>ROUNDUP(tbl_Data_old[[#This Row],[Adjusted 2034]]/$L476,0)</f>
        <v>1</v>
      </c>
      <c r="BL476" s="3">
        <f t="shared" si="32"/>
        <v>4.3788410986216601E-2</v>
      </c>
      <c r="BM476" s="3">
        <f t="shared" si="32"/>
        <v>4.7661647391050249E-2</v>
      </c>
      <c r="BN476" s="3">
        <f t="shared" si="32"/>
        <v>5.073475816243881E-2</v>
      </c>
      <c r="BO476" s="3">
        <f t="shared" si="32"/>
        <v>5.3309528345925561E-2</v>
      </c>
      <c r="BP476" s="3">
        <f t="shared" si="32"/>
        <v>5.5388260038876418E-2</v>
      </c>
      <c r="BQ476" s="3">
        <f t="shared" si="31"/>
        <v>5.6986211799796141E-2</v>
      </c>
      <c r="BR476" s="3">
        <f t="shared" si="31"/>
        <v>5.8166200530075089E-2</v>
      </c>
      <c r="BS476" s="3">
        <f t="shared" si="31"/>
        <v>5.9104388236244261E-2</v>
      </c>
      <c r="BT476" s="3">
        <f t="shared" si="31"/>
        <v>5.9887821421835588E-2</v>
      </c>
      <c r="BU476" s="3">
        <f t="shared" si="31"/>
        <v>6.0453722554078763E-2</v>
      </c>
      <c r="BV476">
        <f>VLOOKUP($H476,'1. Set Program Names'!$B$2:$D$15,3,0)*V476</f>
        <v>3.7084644074323658E-2</v>
      </c>
      <c r="BW476">
        <f>VLOOKUP($H476,'1. Set Program Names'!$B$2:$D$15,3,0)*W476</f>
        <v>4.036490910915632E-2</v>
      </c>
      <c r="BX476">
        <f>VLOOKUP($H476,'1. Set Program Names'!$B$2:$D$15,3,0)*X476</f>
        <v>4.296754338135652E-2</v>
      </c>
      <c r="BY476">
        <f>VLOOKUP($H476,'1. Set Program Names'!$B$2:$D$15,3,0)*Y476</f>
        <v>4.5148130291848498E-2</v>
      </c>
      <c r="BZ476">
        <f>VLOOKUP($H476,'1. Set Program Names'!$B$2:$D$15,3,0)*Z476</f>
        <v>4.6908619499446469E-2</v>
      </c>
      <c r="CA476">
        <f>VLOOKUP($H476,'1. Set Program Names'!$B$2:$D$15,3,0)*AA476</f>
        <v>4.8261933560564144E-2</v>
      </c>
      <c r="CB476">
        <f>VLOOKUP($H476,'1. Set Program Names'!$B$2:$D$15,3,0)*AB476</f>
        <v>4.9261272451575334E-2</v>
      </c>
      <c r="CC476">
        <f>VLOOKUP($H476,'1. Set Program Names'!$B$2:$D$15,3,0)*AC476</f>
        <v>5.0055828736550866E-2</v>
      </c>
      <c r="CD476">
        <f>VLOOKUP($H476,'1. Set Program Names'!$B$2:$D$15,3,0)*AD476</f>
        <v>5.0719322574059908E-2</v>
      </c>
      <c r="CE476">
        <f>VLOOKUP($H476,'1. Set Program Names'!$B$2:$D$15,3,0)*AE476</f>
        <v>5.1198587329227677E-2</v>
      </c>
    </row>
    <row r="477" spans="1:83" x14ac:dyDescent="0.25">
      <c r="A477" s="20" t="s">
        <v>116</v>
      </c>
      <c r="B477" s="20" t="s">
        <v>88</v>
      </c>
      <c r="C477" s="20" t="s">
        <v>122</v>
      </c>
      <c r="D477" s="20" t="s">
        <v>90</v>
      </c>
      <c r="E477" s="20" t="s">
        <v>91</v>
      </c>
      <c r="F477" s="20" t="s">
        <v>90</v>
      </c>
      <c r="G477" s="20" t="s">
        <v>92</v>
      </c>
      <c r="H477" s="20" t="s">
        <v>18</v>
      </c>
      <c r="I477" s="20" t="s">
        <v>163</v>
      </c>
      <c r="J477" s="20" t="s">
        <v>161</v>
      </c>
      <c r="K477" s="20" t="s">
        <v>159</v>
      </c>
      <c r="L477" s="20">
        <v>336.08</v>
      </c>
      <c r="M477" s="20">
        <v>5.3794325187228403E-2</v>
      </c>
      <c r="N477" s="20">
        <v>5.3413522005729602E-2</v>
      </c>
      <c r="O477" s="20">
        <v>109.08</v>
      </c>
      <c r="P477" s="20">
        <v>41.915763754167898</v>
      </c>
      <c r="Q477" s="20">
        <v>10.6363257673748</v>
      </c>
      <c r="R477" s="20">
        <v>148.30416484676499</v>
      </c>
      <c r="S477" s="20">
        <v>365.02323312162099</v>
      </c>
      <c r="T477" s="20">
        <v>15</v>
      </c>
      <c r="U477" s="20">
        <v>0.2</v>
      </c>
      <c r="V477" s="20">
        <v>1.9879525738244901</v>
      </c>
      <c r="W477" s="20">
        <v>2.0899266264784702</v>
      </c>
      <c r="X477" s="20">
        <v>2.1448443866067901</v>
      </c>
      <c r="Y477" s="20">
        <v>2.1784813281001401</v>
      </c>
      <c r="Z477" s="20">
        <v>2.1973947837541501</v>
      </c>
      <c r="AA477" s="20">
        <v>2.1998233551306798</v>
      </c>
      <c r="AB477" s="20">
        <v>2.1933789562016899</v>
      </c>
      <c r="AC477" s="20">
        <v>2.1843254521044799</v>
      </c>
      <c r="AD477" s="20">
        <v>2.1709821477804199</v>
      </c>
      <c r="AE477" s="20">
        <v>2.15604869920484</v>
      </c>
      <c r="AF477" t="str">
        <f t="shared" si="30"/>
        <v>NonResidential</v>
      </c>
      <c r="AG477" t="str">
        <f>tbl_Data_old[[#This Row],[All_Meas_Name_Append]]</f>
        <v>LED Linear - Fixture Replacement</v>
      </c>
      <c r="AH477">
        <f>AVERAGEIFS('3. Incentive Adjustment'!G:G,'3. Incentive Adjustment'!A:A,tbl_Data_old[[#This Row],[Trimmed Sector]],'3. Incentive Adjustment'!B:B,tbl_Data_old[[#This Row],[Trimmed Measure Name]])</f>
        <v>0.56055357916158088</v>
      </c>
      <c r="AI477">
        <f>$AH477*tbl_Data_old[[#This Row],[2025 ]]</f>
        <v>1.1143539304607948</v>
      </c>
      <c r="AJ477">
        <f>$AH477*tbl_Data_old[[#This Row],[2026 ]]</f>
        <v>1.1715158506575949</v>
      </c>
      <c r="AK477">
        <f>$AH477*tbl_Data_old[[#This Row],[2027 ]]</f>
        <v>1.2023001976570618</v>
      </c>
      <c r="AL477">
        <f>$AH477*tbl_Data_old[[#This Row],[2028 ]]</f>
        <v>1.2211555056032077</v>
      </c>
      <c r="AM477">
        <f>$AH477*tbl_Data_old[[#This Row],[2029 ]]</f>
        <v>1.2317575108643768</v>
      </c>
      <c r="AN477">
        <f>$AH477*tbl_Data_old[[#This Row],[2030 ]]</f>
        <v>1.23311885524174</v>
      </c>
      <c r="AO477">
        <f>$AH477*tbl_Data_old[[#This Row],[2031 ]]</f>
        <v>1.2295064243565497</v>
      </c>
      <c r="AP477">
        <f>$AH477*tbl_Data_old[[#This Row],[2032 ]]</f>
        <v>1.2244314502309046</v>
      </c>
      <c r="AQ477">
        <f>$AH477*tbl_Data_old[[#This Row],[2033 ]]</f>
        <v>1.2169518132342105</v>
      </c>
      <c r="AR477">
        <f>$AH477*tbl_Data_old[[#This Row],[2034 ]]</f>
        <v>1.2085808151859438</v>
      </c>
      <c r="AS477">
        <f>SUM(tbl_Data_old[[#This Row],[Adjusted 2025]:[Adjusted 2034]])</f>
        <v>12.053672353492383</v>
      </c>
      <c r="AT477" s="3">
        <f>AVERAGEIFS('3. Incentive Adjustment'!F:F,'3. Incentive Adjustment'!A:A,tbl_Data_old[[#This Row],[Trimmed Sector]],'3. Incentive Adjustment'!B:B,tbl_Data_old[[#This Row],[Trimmed Measure Name]])</f>
        <v>16.810726621008875</v>
      </c>
      <c r="AU477" s="3">
        <f>IFERROR(VLOOKUP(tbl_Data_old[[#This Row],[All_Meas_Name_Append]],'IRA Tax Credits'!$A$3:$D$46,4,0),0)</f>
        <v>0</v>
      </c>
      <c r="AV477" s="4">
        <f>tbl_Data_old[[#This Row],[Adj. per unit Incentive ($)]]/tbl_Data_old[[#This Row],[kWh Savings]]*tbl_Data_old[[#This Row],[Sum of Annuals]]</f>
        <v>0.60292487120260985</v>
      </c>
      <c r="AW477" s="4">
        <f>IFERROR(VLOOKUP(tbl_Data_old[[#This Row],[All_Programs]],'1. Set Program Names'!$B$2:$D$15,3,0)*tbl_Data_old[[#This Row],[Sum of Annuals]],"")</f>
        <v>0.38147698716062955</v>
      </c>
      <c r="AX477" s="4">
        <f>tbl_Data_old[[#This Row],[per unit IRA tax ($)]]/tbl_Data_old[[#This Row],[kWh Savings]]*tbl_Data_old[[#This Row],[Sum of Annuals]]</f>
        <v>0</v>
      </c>
      <c r="AY477" s="4">
        <f>tbl_Data_old[[#This Row],[Avoided Costs ($/unit)]]/tbl_Data_old[[#This Row],[kWh Savings]]*tbl_Data_old[[#This Row],[Sum of Annuals]]</f>
        <v>5.3190008680112717</v>
      </c>
      <c r="AZ477" s="4">
        <f>tbl_Data_old[[#This Row],[Lost Revenue ($/unit)]]/tbl_Data_old[[#This Row],[kWh Savings]]*tbl_Data_old[[#This Row],[Sum of Annuals]]</f>
        <v>13.091735460189502</v>
      </c>
      <c r="BA477" s="4">
        <f>tbl_Data_old[[#This Row],[Incremental Cost ($/unit)]]/tbl_Data_old[[#This Row],[kWh Savings]]*tbl_Data_old[[#This Row],[Sum of Annuals]]</f>
        <v>3.9122071540078229</v>
      </c>
      <c r="BB477">
        <f>ROUNDUP(tbl_Data_old[[#This Row],[Adjusted 2025]]/$L477,0)</f>
        <v>1</v>
      </c>
      <c r="BC477">
        <f>ROUNDUP(tbl_Data_old[[#This Row],[Adjusted 2026]]/$L477,0)</f>
        <v>1</v>
      </c>
      <c r="BD477">
        <f>ROUNDUP(tbl_Data_old[[#This Row],[Adjusted 2027]]/$L477,0)</f>
        <v>1</v>
      </c>
      <c r="BE477">
        <f>ROUNDUP(tbl_Data_old[[#This Row],[Adjusted 2028]]/$L477,0)</f>
        <v>1</v>
      </c>
      <c r="BF477">
        <f>ROUNDUP(tbl_Data_old[[#This Row],[Adjusted 2029]]/$L477,0)</f>
        <v>1</v>
      </c>
      <c r="BG477">
        <f>ROUNDUP(tbl_Data_old[[#This Row],[Adjusted 2030]]/$L477,0)</f>
        <v>1</v>
      </c>
      <c r="BH477">
        <f>ROUNDUP(tbl_Data_old[[#This Row],[Adjusted 2031]]/$L477,0)</f>
        <v>1</v>
      </c>
      <c r="BI477">
        <f>ROUNDUP(tbl_Data_old[[#This Row],[Adjusted 2032]]/$L477,0)</f>
        <v>1</v>
      </c>
      <c r="BJ477">
        <f>ROUNDUP(tbl_Data_old[[#This Row],[Adjusted 2033]]/$L477,0)</f>
        <v>1</v>
      </c>
      <c r="BK477">
        <f>ROUNDUP(tbl_Data_old[[#This Row],[Adjusted 2034]]/$L477,0)</f>
        <v>1</v>
      </c>
      <c r="BL477" s="3">
        <f t="shared" si="32"/>
        <v>9.9437417442556741E-2</v>
      </c>
      <c r="BM477" s="3">
        <f t="shared" si="32"/>
        <v>0.10453816107979319</v>
      </c>
      <c r="BN477" s="3">
        <f t="shared" si="32"/>
        <v>0.10728514826187878</v>
      </c>
      <c r="BO477" s="3">
        <f t="shared" si="32"/>
        <v>0.10896766857790942</v>
      </c>
      <c r="BP477" s="3">
        <f t="shared" si="32"/>
        <v>0.10991371991228854</v>
      </c>
      <c r="BQ477" s="3">
        <f t="shared" si="31"/>
        <v>0.11003519708882524</v>
      </c>
      <c r="BR477" s="3">
        <f t="shared" si="31"/>
        <v>0.10971284815811834</v>
      </c>
      <c r="BS477" s="3">
        <f t="shared" si="31"/>
        <v>0.10925999174791726</v>
      </c>
      <c r="BT477" s="3">
        <f t="shared" si="31"/>
        <v>0.10859255946627985</v>
      </c>
      <c r="BU477" s="3">
        <f t="shared" si="31"/>
        <v>0.10784558814542479</v>
      </c>
      <c r="BV477">
        <f>VLOOKUP($H477,'1. Set Program Names'!$B$2:$D$15,3,0)*V477</f>
        <v>6.2915113024543251E-2</v>
      </c>
      <c r="BW477">
        <f>VLOOKUP($H477,'1. Set Program Names'!$B$2:$D$15,3,0)*W477</f>
        <v>6.6142407846749754E-2</v>
      </c>
      <c r="BX477">
        <f>VLOOKUP($H477,'1. Set Program Names'!$B$2:$D$15,3,0)*X477</f>
        <v>6.788045589227272E-2</v>
      </c>
      <c r="BY477">
        <f>VLOOKUP($H477,'1. Set Program Names'!$B$2:$D$15,3,0)*Y477</f>
        <v>6.8945004415069067E-2</v>
      </c>
      <c r="BZ477">
        <f>VLOOKUP($H477,'1. Set Program Names'!$B$2:$D$15,3,0)*Z477</f>
        <v>6.9543581169778809E-2</v>
      </c>
      <c r="CA477">
        <f>VLOOKUP($H477,'1. Set Program Names'!$B$2:$D$15,3,0)*AA477</f>
        <v>6.9620441073105666E-2</v>
      </c>
      <c r="CB477">
        <f>VLOOKUP($H477,'1. Set Program Names'!$B$2:$D$15,3,0)*AB477</f>
        <v>6.9416487471630844E-2</v>
      </c>
      <c r="CC477">
        <f>VLOOKUP($H477,'1. Set Program Names'!$B$2:$D$15,3,0)*AC477</f>
        <v>6.9129960397975199E-2</v>
      </c>
      <c r="CD477">
        <f>VLOOKUP($H477,'1. Set Program Names'!$B$2:$D$15,3,0)*AD477</f>
        <v>6.8707668885228473E-2</v>
      </c>
      <c r="CE477">
        <f>VLOOKUP($H477,'1. Set Program Names'!$B$2:$D$15,3,0)*AE477</f>
        <v>6.8235052175277838E-2</v>
      </c>
    </row>
    <row r="478" spans="1:83" x14ac:dyDescent="0.25">
      <c r="A478" s="20" t="s">
        <v>116</v>
      </c>
      <c r="B478" s="20" t="s">
        <v>88</v>
      </c>
      <c r="C478" s="20" t="s">
        <v>122</v>
      </c>
      <c r="D478" s="20" t="s">
        <v>90</v>
      </c>
      <c r="E478" s="20" t="s">
        <v>91</v>
      </c>
      <c r="F478" s="20" t="s">
        <v>90</v>
      </c>
      <c r="G478" s="20" t="s">
        <v>92</v>
      </c>
      <c r="H478" s="20" t="s">
        <v>18</v>
      </c>
      <c r="I478" s="20" t="s">
        <v>164</v>
      </c>
      <c r="J478" s="20" t="s">
        <v>158</v>
      </c>
      <c r="K478" s="20" t="s">
        <v>159</v>
      </c>
      <c r="L478" s="20">
        <v>612.05999999999904</v>
      </c>
      <c r="M478" s="20">
        <v>0</v>
      </c>
      <c r="N478" s="20">
        <v>3.0244631686656E-2</v>
      </c>
      <c r="O478" s="20">
        <v>255</v>
      </c>
      <c r="P478" s="20">
        <v>129.095003330796</v>
      </c>
      <c r="Q478" s="20">
        <v>19.3705949451899</v>
      </c>
      <c r="R478" s="20">
        <v>299.625229349054</v>
      </c>
      <c r="S478" s="20">
        <v>664.77065003695395</v>
      </c>
      <c r="T478" s="20">
        <v>15</v>
      </c>
      <c r="U478" s="20">
        <v>0.2</v>
      </c>
      <c r="V478" s="20">
        <v>2.6542253011797898</v>
      </c>
      <c r="W478" s="20">
        <v>2.8838082933277698</v>
      </c>
      <c r="X478" s="20">
        <v>3.0682634729209299</v>
      </c>
      <c r="Y478" s="20">
        <v>3.22305238577382</v>
      </c>
      <c r="Z478" s="20">
        <v>3.3468516821146101</v>
      </c>
      <c r="AA478" s="20">
        <v>3.4421518928246799</v>
      </c>
      <c r="AB478" s="20">
        <v>3.5112085536147801</v>
      </c>
      <c r="AC478" s="20">
        <v>3.56499653730455</v>
      </c>
      <c r="AD478" s="20">
        <v>3.6108182579742198</v>
      </c>
      <c r="AE478" s="20">
        <v>3.6427825750526002</v>
      </c>
      <c r="AF478" t="str">
        <f t="shared" si="30"/>
        <v>NonResidential</v>
      </c>
      <c r="AG478" t="str">
        <f>tbl_Data_old[[#This Row],[All_Meas_Name_Append]]</f>
        <v>LED Parking Lighting</v>
      </c>
      <c r="AH478">
        <f>AVERAGEIFS('3. Incentive Adjustment'!G:G,'3. Incentive Adjustment'!A:A,tbl_Data_old[[#This Row],[Trimmed Sector]],'3. Incentive Adjustment'!B:B,tbl_Data_old[[#This Row],[Trimmed Measure Name]])</f>
        <v>0.59704067730377497</v>
      </c>
      <c r="AI478">
        <f>$AH478*tbl_Data_old[[#This Row],[2025 ]]</f>
        <v>1.5846804715331979</v>
      </c>
      <c r="AJ478">
        <f>$AH478*tbl_Data_old[[#This Row],[2026 ]]</f>
        <v>1.7217508566626549</v>
      </c>
      <c r="AK478">
        <f>$AH478*tbl_Data_old[[#This Row],[2027 ]]</f>
        <v>1.8318781020191448</v>
      </c>
      <c r="AL478">
        <f>$AH478*tbl_Data_old[[#This Row],[2028 ]]</f>
        <v>1.9242933793879493</v>
      </c>
      <c r="AM478">
        <f>$AH478*tbl_Data_old[[#This Row],[2029 ]]</f>
        <v>1.9982065951249854</v>
      </c>
      <c r="AN478">
        <f>$AH478*tbl_Data_old[[#This Row],[2030 ]]</f>
        <v>2.0551046974745177</v>
      </c>
      <c r="AO478">
        <f>$AH478*tbl_Data_old[[#This Row],[2031 ]]</f>
        <v>2.0963343330049762</v>
      </c>
      <c r="AP478">
        <f>$AH478*tbl_Data_old[[#This Row],[2032 ]]</f>
        <v>2.128447947217921</v>
      </c>
      <c r="AQ478">
        <f>$AH478*tbl_Data_old[[#This Row],[2033 ]]</f>
        <v>2.155805378361765</v>
      </c>
      <c r="AR478">
        <f>$AH478*tbl_Data_old[[#This Row],[2034 ]]</f>
        <v>2.1748893758797938</v>
      </c>
      <c r="AS478">
        <f>SUM(tbl_Data_old[[#This Row],[Adjusted 2025]:[Adjusted 2034]])</f>
        <v>19.671391136666905</v>
      </c>
      <c r="AT478" s="3">
        <f>AVERAGEIFS('3. Incentive Adjustment'!F:F,'3. Incentive Adjustment'!A:A,tbl_Data_old[[#This Row],[Trimmed Sector]],'3. Incentive Adjustment'!B:B,tbl_Data_old[[#This Row],[Trimmed Measure Name]])</f>
        <v>9.4514474020799994</v>
      </c>
      <c r="AU478" s="3">
        <f>IFERROR(VLOOKUP(tbl_Data_old[[#This Row],[All_Meas_Name_Append]],'IRA Tax Credits'!$A$3:$D$46,4,0),0)</f>
        <v>0</v>
      </c>
      <c r="AV478" s="4">
        <f>tbl_Data_old[[#This Row],[Adj. per unit Incentive ($)]]/tbl_Data_old[[#This Row],[kWh Savings]]*tbl_Data_old[[#This Row],[Sum of Annuals]]</f>
        <v>0.30376616451646937</v>
      </c>
      <c r="AW478" s="4">
        <f>IFERROR(VLOOKUP(tbl_Data_old[[#This Row],[All_Programs]],'1. Set Program Names'!$B$2:$D$15,3,0)*tbl_Data_old[[#This Row],[Sum of Annuals]],"")</f>
        <v>0.62256404554581835</v>
      </c>
      <c r="AX478" s="4">
        <f>tbl_Data_old[[#This Row],[per unit IRA tax ($)]]/tbl_Data_old[[#This Row],[kWh Savings]]*tbl_Data_old[[#This Row],[Sum of Annuals]]</f>
        <v>0</v>
      </c>
      <c r="AY478" s="4">
        <f>tbl_Data_old[[#This Row],[Avoided Costs ($/unit)]]/tbl_Data_old[[#This Row],[kWh Savings]]*tbl_Data_old[[#This Row],[Sum of Annuals]]</f>
        <v>9.6298485131176346</v>
      </c>
      <c r="AZ478" s="4">
        <f>tbl_Data_old[[#This Row],[Lost Revenue ($/unit)]]/tbl_Data_old[[#This Row],[kWh Savings]]*tbl_Data_old[[#This Row],[Sum of Annuals]]</f>
        <v>21.365492718121189</v>
      </c>
      <c r="BA478" s="4">
        <f>tbl_Data_old[[#This Row],[Incremental Cost ($/unit)]]/tbl_Data_old[[#This Row],[kWh Savings]]*tbl_Data_old[[#This Row],[Sum of Annuals]]</f>
        <v>8.195609482485489</v>
      </c>
      <c r="BB478">
        <f>ROUNDUP(tbl_Data_old[[#This Row],[Adjusted 2025]]/$L478,0)</f>
        <v>1</v>
      </c>
      <c r="BC478">
        <f>ROUNDUP(tbl_Data_old[[#This Row],[Adjusted 2026]]/$L478,0)</f>
        <v>1</v>
      </c>
      <c r="BD478">
        <f>ROUNDUP(tbl_Data_old[[#This Row],[Adjusted 2027]]/$L478,0)</f>
        <v>1</v>
      </c>
      <c r="BE478">
        <f>ROUNDUP(tbl_Data_old[[#This Row],[Adjusted 2028]]/$L478,0)</f>
        <v>1</v>
      </c>
      <c r="BF478">
        <f>ROUNDUP(tbl_Data_old[[#This Row],[Adjusted 2029]]/$L478,0)</f>
        <v>1</v>
      </c>
      <c r="BG478">
        <f>ROUNDUP(tbl_Data_old[[#This Row],[Adjusted 2030]]/$L478,0)</f>
        <v>1</v>
      </c>
      <c r="BH478">
        <f>ROUNDUP(tbl_Data_old[[#This Row],[Adjusted 2031]]/$L478,0)</f>
        <v>1</v>
      </c>
      <c r="BI478">
        <f>ROUNDUP(tbl_Data_old[[#This Row],[Adjusted 2032]]/$L478,0)</f>
        <v>1</v>
      </c>
      <c r="BJ478">
        <f>ROUNDUP(tbl_Data_old[[#This Row],[Adjusted 2033]]/$L478,0)</f>
        <v>1</v>
      </c>
      <c r="BK478">
        <f>ROUNDUP(tbl_Data_old[[#This Row],[Adjusted 2034]]/$L478,0)</f>
        <v>1</v>
      </c>
      <c r="BL478" s="3">
        <f t="shared" si="32"/>
        <v>4.0986620310706087E-2</v>
      </c>
      <c r="BM478" s="3">
        <f t="shared" si="32"/>
        <v>4.4531847207903714E-2</v>
      </c>
      <c r="BN478" s="3">
        <f t="shared" si="32"/>
        <v>4.7380209178896716E-2</v>
      </c>
      <c r="BO478" s="3">
        <f t="shared" si="32"/>
        <v>4.9770463840619811E-2</v>
      </c>
      <c r="BP478" s="3">
        <f t="shared" si="32"/>
        <v>5.168217598939525E-2</v>
      </c>
      <c r="BQ478" s="3">
        <f t="shared" si="31"/>
        <v>5.3153804471788101E-2</v>
      </c>
      <c r="BR478" s="3">
        <f t="shared" si="31"/>
        <v>5.4220179332456847E-2</v>
      </c>
      <c r="BS478" s="3">
        <f t="shared" si="31"/>
        <v>5.5050774860195627E-2</v>
      </c>
      <c r="BT478" s="3">
        <f t="shared" si="31"/>
        <v>5.5758355134649419E-2</v>
      </c>
      <c r="BU478" s="3">
        <f t="shared" si="31"/>
        <v>5.6251949000626154E-2</v>
      </c>
      <c r="BV478">
        <f>VLOOKUP($H478,'1. Set Program Names'!$B$2:$D$15,3,0)*V478</f>
        <v>8.4001442999752318E-2</v>
      </c>
      <c r="BW478">
        <f>VLOOKUP($H478,'1. Set Program Names'!$B$2:$D$15,3,0)*W478</f>
        <v>9.126733057156429E-2</v>
      </c>
      <c r="BX478">
        <f>VLOOKUP($H478,'1. Set Program Names'!$B$2:$D$15,3,0)*X478</f>
        <v>9.7105004279111534E-2</v>
      </c>
      <c r="BY478">
        <f>VLOOKUP($H478,'1. Set Program Names'!$B$2:$D$15,3,0)*Y478</f>
        <v>0.10200379415735816</v>
      </c>
      <c r="BZ478">
        <f>VLOOKUP($H478,'1. Set Program Names'!$B$2:$D$15,3,0)*Z478</f>
        <v>0.10592181857312946</v>
      </c>
      <c r="CA478">
        <f>VLOOKUP($H478,'1. Set Program Names'!$B$2:$D$15,3,0)*AA478</f>
        <v>0.10893789833631609</v>
      </c>
      <c r="CB478">
        <f>VLOOKUP($H478,'1. Set Program Names'!$B$2:$D$15,3,0)*AB478</f>
        <v>0.1111234170835507</v>
      </c>
      <c r="CC478">
        <f>VLOOKUP($H478,'1. Set Program Names'!$B$2:$D$15,3,0)*AC478</f>
        <v>0.11282570974272302</v>
      </c>
      <c r="CD478">
        <f>VLOOKUP($H478,'1. Set Program Names'!$B$2:$D$15,3,0)*AD478</f>
        <v>0.1142758845471275</v>
      </c>
      <c r="CE478">
        <f>VLOOKUP($H478,'1. Set Program Names'!$B$2:$D$15,3,0)*AE478</f>
        <v>0.11528749752432732</v>
      </c>
    </row>
    <row r="479" spans="1:83" x14ac:dyDescent="0.25">
      <c r="A479" s="20" t="s">
        <v>116</v>
      </c>
      <c r="B479" s="20" t="s">
        <v>88</v>
      </c>
      <c r="C479" s="20" t="s">
        <v>122</v>
      </c>
      <c r="D479" s="20" t="s">
        <v>90</v>
      </c>
      <c r="E479" s="20" t="s">
        <v>91</v>
      </c>
      <c r="F479" s="20" t="s">
        <v>90</v>
      </c>
      <c r="G479" s="20" t="s">
        <v>92</v>
      </c>
      <c r="H479" s="20" t="s">
        <v>18</v>
      </c>
      <c r="I479" s="20" t="s">
        <v>165</v>
      </c>
      <c r="J479" s="20" t="s">
        <v>161</v>
      </c>
      <c r="K479" s="20" t="s">
        <v>166</v>
      </c>
      <c r="L479" s="20">
        <v>510.6</v>
      </c>
      <c r="M479" s="20">
        <v>6.2552429943266097E-2</v>
      </c>
      <c r="N479" s="20">
        <v>6.4361142955417797E-2</v>
      </c>
      <c r="O479" s="20">
        <v>129</v>
      </c>
      <c r="P479" s="20">
        <v>26.468747947944401</v>
      </c>
      <c r="Q479" s="20">
        <v>16.159568962215999</v>
      </c>
      <c r="R479" s="20">
        <v>174.74401692254699</v>
      </c>
      <c r="S479" s="20">
        <v>419.99719394182398</v>
      </c>
      <c r="T479" s="20">
        <v>10</v>
      </c>
      <c r="U479" s="20">
        <v>0.2</v>
      </c>
      <c r="V479" s="20">
        <v>1.01031225358409</v>
      </c>
      <c r="W479" s="20">
        <v>1.3855865284019699</v>
      </c>
      <c r="X479" s="20">
        <v>1.8431301959813899</v>
      </c>
      <c r="Y479" s="20">
        <v>2.37730749924091</v>
      </c>
      <c r="Z479" s="20">
        <v>2.9446264743708599</v>
      </c>
      <c r="AA479" s="20">
        <v>3.4571214324950601</v>
      </c>
      <c r="AB479" s="20">
        <v>3.8001953692236401</v>
      </c>
      <c r="AC479" s="20">
        <v>3.8659605248708302</v>
      </c>
      <c r="AD479" s="20">
        <v>3.5990904448874499</v>
      </c>
      <c r="AE479" s="20">
        <v>3.0529041981390601</v>
      </c>
      <c r="AF479" t="str">
        <f t="shared" si="30"/>
        <v>NonResidential</v>
      </c>
      <c r="AG479" t="str">
        <f>tbl_Data_old[[#This Row],[All_Meas_Name_Append]]</f>
        <v>Occupancy Sensors_ Ceiling Mounted</v>
      </c>
      <c r="AH479">
        <f>AVERAGEIFS('3. Incentive Adjustment'!G:G,'3. Incentive Adjustment'!A:A,tbl_Data_old[[#This Row],[Trimmed Sector]],'3. Incentive Adjustment'!B:B,tbl_Data_old[[#This Row],[Trimmed Measure Name]])</f>
        <v>0.99348124042467356</v>
      </c>
      <c r="AI479">
        <f>$AH479*tbl_Data_old[[#This Row],[2025 ]]</f>
        <v>1.0037262709069692</v>
      </c>
      <c r="AJ479">
        <f>$AH479*tbl_Data_old[[#This Row],[2026 ]]</f>
        <v>1.3765542229525063</v>
      </c>
      <c r="AK479">
        <f>$AH479*tbl_Data_old[[#This Row],[2027 ]]</f>
        <v>1.8311152733677629</v>
      </c>
      <c r="AL479">
        <f>$AH479*tbl_Data_old[[#This Row],[2028 ]]</f>
        <v>2.361810403216738</v>
      </c>
      <c r="AM479">
        <f>$AH479*tbl_Data_old[[#This Row],[2029 ]]</f>
        <v>2.9254311623452951</v>
      </c>
      <c r="AN479">
        <f>$AH479*tbl_Data_old[[#This Row],[2030 ]]</f>
        <v>3.4345852890539166</v>
      </c>
      <c r="AO479">
        <f>$AH479*tbl_Data_old[[#This Row],[2031 ]]</f>
        <v>3.7754228092724023</v>
      </c>
      <c r="AP479">
        <f>$AH479*tbl_Data_old[[#This Row],[2032 ]]</f>
        <v>3.8407592576814946</v>
      </c>
      <c r="AQ479">
        <f>$AH479*tbl_Data_old[[#This Row],[2033 ]]</f>
        <v>3.5756288395873739</v>
      </c>
      <c r="AR479">
        <f>$AH479*tbl_Data_old[[#This Row],[2034 ]]</f>
        <v>3.0330030496648868</v>
      </c>
      <c r="AS479">
        <f>SUM(tbl_Data_old[[#This Row],[Adjusted 2025]:[Adjusted 2034]])</f>
        <v>27.158036578049348</v>
      </c>
      <c r="AT479" s="3">
        <f>AVERAGEIFS('3. Incentive Adjustment'!F:F,'3. Incentive Adjustment'!A:A,tbl_Data_old[[#This Row],[Trimmed Sector]],'3. Incentive Adjustment'!B:B,tbl_Data_old[[#This Row],[Trimmed Measure Name]])</f>
        <v>19.547634357270656</v>
      </c>
      <c r="AU479" s="3">
        <f>IFERROR(VLOOKUP(tbl_Data_old[[#This Row],[All_Meas_Name_Append]],'IRA Tax Credits'!$A$3:$D$46,4,0),0)</f>
        <v>0</v>
      </c>
      <c r="AV479" s="4">
        <f>tbl_Data_old[[#This Row],[Adj. per unit Incentive ($)]]/tbl_Data_old[[#This Row],[kWh Savings]]*tbl_Data_old[[#This Row],[Sum of Annuals]]</f>
        <v>1.0397089089093041</v>
      </c>
      <c r="AW479" s="4">
        <f>IFERROR(VLOOKUP(tbl_Data_old[[#This Row],[All_Programs]],'1. Set Program Names'!$B$2:$D$15,3,0)*tbl_Data_old[[#This Row],[Sum of Annuals]],"")</f>
        <v>0.85950286909787499</v>
      </c>
      <c r="AX479" s="4">
        <f>tbl_Data_old[[#This Row],[per unit IRA tax ($)]]/tbl_Data_old[[#This Row],[kWh Savings]]*tbl_Data_old[[#This Row],[Sum of Annuals]]</f>
        <v>0</v>
      </c>
      <c r="AY479" s="4">
        <f>tbl_Data_old[[#This Row],[Avoided Costs ($/unit)]]/tbl_Data_old[[#This Row],[kWh Savings]]*tbl_Data_old[[#This Row],[Sum of Annuals]]</f>
        <v>9.2943682008966029</v>
      </c>
      <c r="AZ479" s="4">
        <f>tbl_Data_old[[#This Row],[Lost Revenue ($/unit)]]/tbl_Data_old[[#This Row],[kWh Savings]]*tbl_Data_old[[#This Row],[Sum of Annuals]]</f>
        <v>22.339011272522797</v>
      </c>
      <c r="BA479" s="4">
        <f>tbl_Data_old[[#This Row],[Incremental Cost ($/unit)]]/tbl_Data_old[[#This Row],[kWh Savings]]*tbl_Data_old[[#This Row],[Sum of Annuals]]</f>
        <v>6.861313589048895</v>
      </c>
      <c r="BB479">
        <f>ROUNDUP(tbl_Data_old[[#This Row],[Adjusted 2025]]/$L479,0)</f>
        <v>1</v>
      </c>
      <c r="BC479">
        <f>ROUNDUP(tbl_Data_old[[#This Row],[Adjusted 2026]]/$L479,0)</f>
        <v>1</v>
      </c>
      <c r="BD479">
        <f>ROUNDUP(tbl_Data_old[[#This Row],[Adjusted 2027]]/$L479,0)</f>
        <v>1</v>
      </c>
      <c r="BE479">
        <f>ROUNDUP(tbl_Data_old[[#This Row],[Adjusted 2028]]/$L479,0)</f>
        <v>1</v>
      </c>
      <c r="BF479">
        <f>ROUNDUP(tbl_Data_old[[#This Row],[Adjusted 2029]]/$L479,0)</f>
        <v>1</v>
      </c>
      <c r="BG479">
        <f>ROUNDUP(tbl_Data_old[[#This Row],[Adjusted 2030]]/$L479,0)</f>
        <v>1</v>
      </c>
      <c r="BH479">
        <f>ROUNDUP(tbl_Data_old[[#This Row],[Adjusted 2031]]/$L479,0)</f>
        <v>1</v>
      </c>
      <c r="BI479">
        <f>ROUNDUP(tbl_Data_old[[#This Row],[Adjusted 2032]]/$L479,0)</f>
        <v>1</v>
      </c>
      <c r="BJ479">
        <f>ROUNDUP(tbl_Data_old[[#This Row],[Adjusted 2033]]/$L479,0)</f>
        <v>1</v>
      </c>
      <c r="BK479">
        <f>ROUNDUP(tbl_Data_old[[#This Row],[Adjusted 2034]]/$L479,0)</f>
        <v>1</v>
      </c>
      <c r="BL479" s="3">
        <f t="shared" si="32"/>
        <v>3.8678445984590484E-2</v>
      </c>
      <c r="BM479" s="3">
        <f t="shared" si="32"/>
        <v>5.3045316936078578E-2</v>
      </c>
      <c r="BN479" s="3">
        <f t="shared" si="32"/>
        <v>7.0561760955520594E-2</v>
      </c>
      <c r="BO479" s="3">
        <f t="shared" si="32"/>
        <v>9.1012020661885615E-2</v>
      </c>
      <c r="BP479" s="3">
        <f t="shared" si="32"/>
        <v>0.11273106470767838</v>
      </c>
      <c r="BQ479" s="3">
        <f t="shared" si="31"/>
        <v>0.13235124498843945</v>
      </c>
      <c r="BR479" s="3">
        <f t="shared" si="31"/>
        <v>0.14548536929842709</v>
      </c>
      <c r="BS479" s="3">
        <f t="shared" si="31"/>
        <v>0.14800309984296345</v>
      </c>
      <c r="BT479" s="3">
        <f t="shared" si="31"/>
        <v>0.13778633771133264</v>
      </c>
      <c r="BU479" s="3">
        <f t="shared" si="31"/>
        <v>0.11687633175283767</v>
      </c>
      <c r="BV479">
        <f>VLOOKUP($H479,'1. Set Program Names'!$B$2:$D$15,3,0)*V479</f>
        <v>3.1974560390058818E-2</v>
      </c>
      <c r="BW479">
        <f>VLOOKUP($H479,'1. Set Program Names'!$B$2:$D$15,3,0)*W479</f>
        <v>4.3851314255442989E-2</v>
      </c>
      <c r="BX479">
        <f>VLOOKUP($H479,'1. Set Program Names'!$B$2:$D$15,3,0)*X479</f>
        <v>5.8331746001378949E-2</v>
      </c>
      <c r="BY479">
        <f>VLOOKUP($H479,'1. Set Program Names'!$B$2:$D$15,3,0)*Y479</f>
        <v>7.5237494082210962E-2</v>
      </c>
      <c r="BZ479">
        <f>VLOOKUP($H479,'1. Set Program Names'!$B$2:$D$15,3,0)*Z479</f>
        <v>9.3192116295658212E-2</v>
      </c>
      <c r="CA479">
        <f>VLOOKUP($H479,'1. Set Program Names'!$B$2:$D$15,3,0)*AA479</f>
        <v>0.10941165726431479</v>
      </c>
      <c r="CB479">
        <f>VLOOKUP($H479,'1. Set Program Names'!$B$2:$D$15,3,0)*AB479</f>
        <v>0.12026932851324633</v>
      </c>
      <c r="CC479">
        <f>VLOOKUP($H479,'1. Set Program Names'!$B$2:$D$15,3,0)*AC479</f>
        <v>0.12235067706003763</v>
      </c>
      <c r="CD479">
        <f>VLOOKUP($H479,'1. Set Program Names'!$B$2:$D$15,3,0)*AD479</f>
        <v>0.11390472041796253</v>
      </c>
      <c r="CE479">
        <f>VLOOKUP($H479,'1. Set Program Names'!$B$2:$D$15,3,0)*AE479</f>
        <v>9.6618910937851743E-2</v>
      </c>
    </row>
    <row r="480" spans="1:83" x14ac:dyDescent="0.25">
      <c r="A480" s="20" t="s">
        <v>116</v>
      </c>
      <c r="B480" s="20" t="s">
        <v>88</v>
      </c>
      <c r="C480" s="20" t="s">
        <v>122</v>
      </c>
      <c r="D480" s="20" t="s">
        <v>90</v>
      </c>
      <c r="E480" s="20" t="s">
        <v>91</v>
      </c>
      <c r="F480" s="20" t="s">
        <v>90</v>
      </c>
      <c r="G480" s="20" t="s">
        <v>92</v>
      </c>
      <c r="H480" s="20" t="s">
        <v>18</v>
      </c>
      <c r="I480" s="20" t="s">
        <v>167</v>
      </c>
      <c r="J480" s="20" t="s">
        <v>124</v>
      </c>
      <c r="K480" s="20" t="s">
        <v>98</v>
      </c>
      <c r="L480" s="20">
        <v>151.66</v>
      </c>
      <c r="M480" s="20">
        <v>2.2013191527321101E-2</v>
      </c>
      <c r="N480" s="20">
        <v>1.95296013954902E-2</v>
      </c>
      <c r="O480" s="20">
        <v>56.6</v>
      </c>
      <c r="P480" s="20">
        <v>25.402483751835899</v>
      </c>
      <c r="Q480" s="20">
        <v>4.7997654304929203</v>
      </c>
      <c r="R480" s="20">
        <v>70.564478576335205</v>
      </c>
      <c r="S480" s="20">
        <v>171.417444155428</v>
      </c>
      <c r="T480" s="20">
        <v>16</v>
      </c>
      <c r="U480" s="20">
        <v>0.2</v>
      </c>
      <c r="V480" s="20">
        <v>0.128353484704023</v>
      </c>
      <c r="W480" s="20">
        <v>0.17456523312587499</v>
      </c>
      <c r="X480" s="20">
        <v>0.22551955442037699</v>
      </c>
      <c r="Y480" s="20">
        <v>0.278436278507108</v>
      </c>
      <c r="Z480" s="20">
        <v>0.32870596309164901</v>
      </c>
      <c r="AA480" s="20">
        <v>0.37272217935535901</v>
      </c>
      <c r="AB480" s="20">
        <v>0.40794987529922</v>
      </c>
      <c r="AC480" s="20">
        <v>0.43512111331179598</v>
      </c>
      <c r="AD480" s="20">
        <v>0.45645664563352001</v>
      </c>
      <c r="AE480" s="20">
        <v>0.47237189460489698</v>
      </c>
      <c r="AF480" t="str">
        <f t="shared" si="30"/>
        <v>NonResidential</v>
      </c>
      <c r="AG480" t="str">
        <f>tbl_Data_old[[#This Row],[All_Meas_Name_Append]]</f>
        <v>Refrigerated Display Case LED Lighting</v>
      </c>
      <c r="AH480">
        <f>AVERAGEIFS('3. Incentive Adjustment'!G:G,'3. Incentive Adjustment'!A:A,tbl_Data_old[[#This Row],[Trimmed Sector]],'3. Incentive Adjustment'!B:B,tbl_Data_old[[#This Row],[Trimmed Measure Name]])</f>
        <v>0.72450810749703154</v>
      </c>
      <c r="AI480">
        <f>$AH480*tbl_Data_old[[#This Row],[2025 ]]</f>
        <v>9.2993140293560886E-2</v>
      </c>
      <c r="AJ480">
        <f>$AH480*tbl_Data_old[[#This Row],[2026 ]]</f>
        <v>0.12647392668680582</v>
      </c>
      <c r="AK480">
        <f>$AH480*tbl_Data_old[[#This Row],[2027 ]]</f>
        <v>0.16339074557668115</v>
      </c>
      <c r="AL480">
        <f>$AH480*tbl_Data_old[[#This Row],[2028 ]]</f>
        <v>0.20172934119970121</v>
      </c>
      <c r="AM480">
        <f>$AH480*tbl_Data_old[[#This Row],[2029 ]]</f>
        <v>0.23815013524251971</v>
      </c>
      <c r="AN480">
        <f>$AH480*tbl_Data_old[[#This Row],[2030 ]]</f>
        <v>0.27004024078692029</v>
      </c>
      <c r="AO480">
        <f>$AH480*tbl_Data_old[[#This Row],[2031 ]]</f>
        <v>0.29556299210668791</v>
      </c>
      <c r="AP480">
        <f>$AH480*tbl_Data_old[[#This Row],[2032 ]]</f>
        <v>0.31524877433753073</v>
      </c>
      <c r="AQ480">
        <f>$AH480*tbl_Data_old[[#This Row],[2033 ]]</f>
        <v>0.33070654048238474</v>
      </c>
      <c r="AR480">
        <f>$AH480*tbl_Data_old[[#This Row],[2034 ]]</f>
        <v>0.34223726739498117</v>
      </c>
      <c r="AS480">
        <f>SUM(tbl_Data_old[[#This Row],[Adjusted 2025]:[Adjusted 2034]])</f>
        <v>2.3765331041077733</v>
      </c>
      <c r="AT480" s="3">
        <f>AVERAGEIFS('3. Incentive Adjustment'!F:F,'3. Incentive Adjustment'!A:A,tbl_Data_old[[#This Row],[Trimmed Sector]],'3. Incentive Adjustment'!B:B,tbl_Data_old[[#This Row],[Trimmed Measure Name]])</f>
        <v>6.879122352287844</v>
      </c>
      <c r="AU480" s="3">
        <f>IFERROR(VLOOKUP(tbl_Data_old[[#This Row],[All_Meas_Name_Append]],'IRA Tax Credits'!$A$3:$D$46,4,0),0)</f>
        <v>0</v>
      </c>
      <c r="AV480" s="4">
        <f>tbl_Data_old[[#This Row],[Adj. per unit Incentive ($)]]/tbl_Data_old[[#This Row],[kWh Savings]]*tbl_Data_old[[#This Row],[Sum of Annuals]]</f>
        <v>0.10779679544652379</v>
      </c>
      <c r="AW480" s="4">
        <f>IFERROR(VLOOKUP(tbl_Data_old[[#This Row],[All_Programs]],'1. Set Program Names'!$B$2:$D$15,3,0)*tbl_Data_old[[#This Row],[Sum of Annuals]],"")</f>
        <v>7.5212985873127663E-2</v>
      </c>
      <c r="AX480" s="4">
        <f>tbl_Data_old[[#This Row],[per unit IRA tax ($)]]/tbl_Data_old[[#This Row],[kWh Savings]]*tbl_Data_old[[#This Row],[Sum of Annuals]]</f>
        <v>0</v>
      </c>
      <c r="AY480" s="4">
        <f>tbl_Data_old[[#This Row],[Avoided Costs ($/unit)]]/tbl_Data_old[[#This Row],[kWh Savings]]*tbl_Data_old[[#This Row],[Sum of Annuals]]</f>
        <v>1.1057551055701198</v>
      </c>
      <c r="AZ480" s="4">
        <f>tbl_Data_old[[#This Row],[Lost Revenue ($/unit)]]/tbl_Data_old[[#This Row],[kWh Savings]]*tbl_Data_old[[#This Row],[Sum of Annuals]]</f>
        <v>2.6861349772973768</v>
      </c>
      <c r="BA480" s="4">
        <f>tbl_Data_old[[#This Row],[Incremental Cost ($/unit)]]/tbl_Data_old[[#This Row],[kWh Savings]]*tbl_Data_old[[#This Row],[Sum of Annuals]]</f>
        <v>0.88692980148028466</v>
      </c>
      <c r="BB480">
        <f>ROUNDUP(tbl_Data_old[[#This Row],[Adjusted 2025]]/$L480,0)</f>
        <v>1</v>
      </c>
      <c r="BC480">
        <f>ROUNDUP(tbl_Data_old[[#This Row],[Adjusted 2026]]/$L480,0)</f>
        <v>1</v>
      </c>
      <c r="BD480">
        <f>ROUNDUP(tbl_Data_old[[#This Row],[Adjusted 2027]]/$L480,0)</f>
        <v>1</v>
      </c>
      <c r="BE480">
        <f>ROUNDUP(tbl_Data_old[[#This Row],[Adjusted 2028]]/$L480,0)</f>
        <v>1</v>
      </c>
      <c r="BF480">
        <f>ROUNDUP(tbl_Data_old[[#This Row],[Adjusted 2029]]/$L480,0)</f>
        <v>1</v>
      </c>
      <c r="BG480">
        <f>ROUNDUP(tbl_Data_old[[#This Row],[Adjusted 2030]]/$L480,0)</f>
        <v>1</v>
      </c>
      <c r="BH480">
        <f>ROUNDUP(tbl_Data_old[[#This Row],[Adjusted 2031]]/$L480,0)</f>
        <v>1</v>
      </c>
      <c r="BI480">
        <f>ROUNDUP(tbl_Data_old[[#This Row],[Adjusted 2032]]/$L480,0)</f>
        <v>1</v>
      </c>
      <c r="BJ480">
        <f>ROUNDUP(tbl_Data_old[[#This Row],[Adjusted 2033]]/$L480,0)</f>
        <v>1</v>
      </c>
      <c r="BK480">
        <f>ROUNDUP(tbl_Data_old[[#This Row],[Adjusted 2034]]/$L480,0)</f>
        <v>1</v>
      </c>
      <c r="BL480" s="3">
        <f t="shared" si="32"/>
        <v>5.8219657498449198E-3</v>
      </c>
      <c r="BM480" s="3">
        <f t="shared" si="32"/>
        <v>7.9180772591886141E-3</v>
      </c>
      <c r="BN480" s="3">
        <f t="shared" si="32"/>
        <v>1.0229306393849467E-2</v>
      </c>
      <c r="BO480" s="3">
        <f t="shared" si="32"/>
        <v>1.2629547851550113E-2</v>
      </c>
      <c r="BP480" s="3">
        <f t="shared" si="32"/>
        <v>1.4909722656165541E-2</v>
      </c>
      <c r="BQ480" s="3">
        <f t="shared" si="31"/>
        <v>1.6906247363819658E-2</v>
      </c>
      <c r="BR480" s="3">
        <f t="shared" si="31"/>
        <v>1.850413494516618E-2</v>
      </c>
      <c r="BS480" s="3">
        <f t="shared" si="31"/>
        <v>1.9736590904230172E-2</v>
      </c>
      <c r="BT480" s="3">
        <f t="shared" si="31"/>
        <v>2.0704345996491357E-2</v>
      </c>
      <c r="BU480" s="3">
        <f t="shared" si="31"/>
        <v>2.1426243299281975E-2</v>
      </c>
      <c r="BV480">
        <f>VLOOKUP($H480,'1. Set Program Names'!$B$2:$D$15,3,0)*V480</f>
        <v>4.0621562624665198E-3</v>
      </c>
      <c r="BW480">
        <f>VLOOKUP($H480,'1. Set Program Names'!$B$2:$D$15,3,0)*W480</f>
        <v>5.524674741682143E-3</v>
      </c>
      <c r="BX480">
        <f>VLOOKUP($H480,'1. Set Program Names'!$B$2:$D$15,3,0)*X480</f>
        <v>7.1372870975016101E-3</v>
      </c>
      <c r="BY480">
        <f>VLOOKUP($H480,'1. Set Program Names'!$B$2:$D$15,3,0)*Y480</f>
        <v>8.8120059618456946E-3</v>
      </c>
      <c r="BZ480">
        <f>VLOOKUP($H480,'1. Set Program Names'!$B$2:$D$15,3,0)*Z480</f>
        <v>1.0402950800766064E-2</v>
      </c>
      <c r="CA480">
        <f>VLOOKUP($H480,'1. Set Program Names'!$B$2:$D$15,3,0)*AA480</f>
        <v>1.1795984647552665E-2</v>
      </c>
      <c r="CB480">
        <f>VLOOKUP($H480,'1. Set Program Names'!$B$2:$D$15,3,0)*AB480</f>
        <v>1.2910877679250279E-2</v>
      </c>
      <c r="CC480">
        <f>VLOOKUP($H480,'1. Set Program Names'!$B$2:$D$15,3,0)*AC480</f>
        <v>1.377079834993772E-2</v>
      </c>
      <c r="CD480">
        <f>VLOOKUP($H480,'1. Set Program Names'!$B$2:$D$15,3,0)*AD480</f>
        <v>1.4446029462155679E-2</v>
      </c>
      <c r="CE480">
        <f>VLOOKUP($H480,'1. Set Program Names'!$B$2:$D$15,3,0)*AE480</f>
        <v>1.4949718383628073E-2</v>
      </c>
    </row>
    <row r="481" spans="1:83" x14ac:dyDescent="0.25">
      <c r="A481" s="20" t="s">
        <v>117</v>
      </c>
      <c r="B481" s="20" t="s">
        <v>88</v>
      </c>
      <c r="C481" s="20" t="s">
        <v>122</v>
      </c>
      <c r="D481" s="20" t="s">
        <v>90</v>
      </c>
      <c r="E481" s="20" t="s">
        <v>91</v>
      </c>
      <c r="F481" s="20" t="s">
        <v>90</v>
      </c>
      <c r="G481" s="20" t="s">
        <v>92</v>
      </c>
      <c r="H481" s="20" t="s">
        <v>18</v>
      </c>
      <c r="I481" s="20" t="s">
        <v>168</v>
      </c>
      <c r="J481" s="20" t="s">
        <v>129</v>
      </c>
      <c r="K481" s="20" t="s">
        <v>102</v>
      </c>
      <c r="L481" s="20">
        <v>3050.4666666666599</v>
      </c>
      <c r="M481" s="20">
        <v>1.01361966409546</v>
      </c>
      <c r="N481" s="20">
        <v>0</v>
      </c>
      <c r="O481" s="20">
        <v>742</v>
      </c>
      <c r="P481" s="20">
        <v>130.44720079847701</v>
      </c>
      <c r="Q481" s="20">
        <v>96.541767463653102</v>
      </c>
      <c r="R481" s="20">
        <v>1331.93833936435</v>
      </c>
      <c r="S481" s="20">
        <v>2509.1802589366698</v>
      </c>
      <c r="T481" s="20">
        <v>10</v>
      </c>
      <c r="U481" s="20">
        <v>1</v>
      </c>
      <c r="V481" s="20">
        <v>0</v>
      </c>
      <c r="W481" s="20">
        <v>0</v>
      </c>
      <c r="X481" s="20">
        <v>0</v>
      </c>
      <c r="Y481" s="20">
        <v>0</v>
      </c>
      <c r="Z481" s="20">
        <v>0</v>
      </c>
      <c r="AA481" s="20">
        <v>0</v>
      </c>
      <c r="AB481" s="20">
        <v>0</v>
      </c>
      <c r="AC481" s="20">
        <v>0</v>
      </c>
      <c r="AD481" s="20">
        <v>0</v>
      </c>
      <c r="AE481" s="20">
        <v>0</v>
      </c>
      <c r="AF481" t="str">
        <f t="shared" si="30"/>
        <v>NonResidential</v>
      </c>
      <c r="AG481" t="str">
        <f>tbl_Data_old[[#This Row],[All_Meas_Name_Append]]</f>
        <v>Chilled Water Reset</v>
      </c>
      <c r="AH481">
        <f>AVERAGEIFS('3. Incentive Adjustment'!G:G,'3. Incentive Adjustment'!A:A,tbl_Data_old[[#This Row],[Trimmed Sector]],'3. Incentive Adjustment'!B:B,tbl_Data_old[[#This Row],[Trimmed Measure Name]])</f>
        <v>1.6724428329362533</v>
      </c>
      <c r="AI481">
        <f>$AH481*tbl_Data_old[[#This Row],[2025 ]]</f>
        <v>0</v>
      </c>
      <c r="AJ481">
        <f>$AH481*tbl_Data_old[[#This Row],[2026 ]]</f>
        <v>0</v>
      </c>
      <c r="AK481">
        <f>$AH481*tbl_Data_old[[#This Row],[2027 ]]</f>
        <v>0</v>
      </c>
      <c r="AL481">
        <f>$AH481*tbl_Data_old[[#This Row],[2028 ]]</f>
        <v>0</v>
      </c>
      <c r="AM481">
        <f>$AH481*tbl_Data_old[[#This Row],[2029 ]]</f>
        <v>0</v>
      </c>
      <c r="AN481">
        <f>$AH481*tbl_Data_old[[#This Row],[2030 ]]</f>
        <v>0</v>
      </c>
      <c r="AO481">
        <f>$AH481*tbl_Data_old[[#This Row],[2031 ]]</f>
        <v>0</v>
      </c>
      <c r="AP481">
        <f>$AH481*tbl_Data_old[[#This Row],[2032 ]]</f>
        <v>0</v>
      </c>
      <c r="AQ481">
        <f>$AH481*tbl_Data_old[[#This Row],[2033 ]]</f>
        <v>0</v>
      </c>
      <c r="AR481">
        <f>$AH481*tbl_Data_old[[#This Row],[2034 ]]</f>
        <v>0</v>
      </c>
      <c r="AS481">
        <f>SUM(tbl_Data_old[[#This Row],[Adjusted 2025]:[Adjusted 2034]])</f>
        <v>0</v>
      </c>
      <c r="AT481" s="3">
        <f>AVERAGEIFS('3. Incentive Adjustment'!F:F,'3. Incentive Adjustment'!A:A,tbl_Data_old[[#This Row],[Trimmed Sector]],'3. Incentive Adjustment'!B:B,tbl_Data_old[[#This Row],[Trimmed Measure Name]])</f>
        <v>725.0262900596623</v>
      </c>
      <c r="AU481" s="3">
        <f>IFERROR(VLOOKUP(tbl_Data_old[[#This Row],[All_Meas_Name_Append]],'IRA Tax Credits'!$A$3:$D$46,4,0),0)</f>
        <v>0</v>
      </c>
      <c r="AV481" s="4">
        <f>tbl_Data_old[[#This Row],[Adj. per unit Incentive ($)]]/tbl_Data_old[[#This Row],[kWh Savings]]*tbl_Data_old[[#This Row],[Sum of Annuals]]</f>
        <v>0</v>
      </c>
      <c r="AW481" s="4">
        <f>IFERROR(VLOOKUP(tbl_Data_old[[#This Row],[All_Programs]],'1. Set Program Names'!$B$2:$D$15,3,0)*tbl_Data_old[[#This Row],[Sum of Annuals]],"")</f>
        <v>0</v>
      </c>
      <c r="AX481" s="4">
        <f>tbl_Data_old[[#This Row],[per unit IRA tax ($)]]/tbl_Data_old[[#This Row],[kWh Savings]]*tbl_Data_old[[#This Row],[Sum of Annuals]]</f>
        <v>0</v>
      </c>
      <c r="AY481" s="4">
        <f>tbl_Data_old[[#This Row],[Avoided Costs ($/unit)]]/tbl_Data_old[[#This Row],[kWh Savings]]*tbl_Data_old[[#This Row],[Sum of Annuals]]</f>
        <v>0</v>
      </c>
      <c r="AZ481" s="4">
        <f>tbl_Data_old[[#This Row],[Lost Revenue ($/unit)]]/tbl_Data_old[[#This Row],[kWh Savings]]*tbl_Data_old[[#This Row],[Sum of Annuals]]</f>
        <v>0</v>
      </c>
      <c r="BA481" s="4">
        <f>tbl_Data_old[[#This Row],[Incremental Cost ($/unit)]]/tbl_Data_old[[#This Row],[kWh Savings]]*tbl_Data_old[[#This Row],[Sum of Annuals]]</f>
        <v>0</v>
      </c>
      <c r="BB481">
        <f>ROUNDUP(tbl_Data_old[[#This Row],[Adjusted 2025]]/$L481,0)</f>
        <v>0</v>
      </c>
      <c r="BC481">
        <f>ROUNDUP(tbl_Data_old[[#This Row],[Adjusted 2026]]/$L481,0)</f>
        <v>0</v>
      </c>
      <c r="BD481">
        <f>ROUNDUP(tbl_Data_old[[#This Row],[Adjusted 2027]]/$L481,0)</f>
        <v>0</v>
      </c>
      <c r="BE481">
        <f>ROUNDUP(tbl_Data_old[[#This Row],[Adjusted 2028]]/$L481,0)</f>
        <v>0</v>
      </c>
      <c r="BF481">
        <f>ROUNDUP(tbl_Data_old[[#This Row],[Adjusted 2029]]/$L481,0)</f>
        <v>0</v>
      </c>
      <c r="BG481">
        <f>ROUNDUP(tbl_Data_old[[#This Row],[Adjusted 2030]]/$L481,0)</f>
        <v>0</v>
      </c>
      <c r="BH481">
        <f>ROUNDUP(tbl_Data_old[[#This Row],[Adjusted 2031]]/$L481,0)</f>
        <v>0</v>
      </c>
      <c r="BI481">
        <f>ROUNDUP(tbl_Data_old[[#This Row],[Adjusted 2032]]/$L481,0)</f>
        <v>0</v>
      </c>
      <c r="BJ481">
        <f>ROUNDUP(tbl_Data_old[[#This Row],[Adjusted 2033]]/$L481,0)</f>
        <v>0</v>
      </c>
      <c r="BK481">
        <f>ROUNDUP(tbl_Data_old[[#This Row],[Adjusted 2034]]/$L481,0)</f>
        <v>0</v>
      </c>
      <c r="BL481" s="3">
        <f t="shared" si="32"/>
        <v>0</v>
      </c>
      <c r="BM481" s="3">
        <f t="shared" si="32"/>
        <v>0</v>
      </c>
      <c r="BN481" s="3">
        <f t="shared" si="32"/>
        <v>0</v>
      </c>
      <c r="BO481" s="3">
        <f t="shared" si="32"/>
        <v>0</v>
      </c>
      <c r="BP481" s="3">
        <f t="shared" si="32"/>
        <v>0</v>
      </c>
      <c r="BQ481" s="3">
        <f t="shared" si="31"/>
        <v>0</v>
      </c>
      <c r="BR481" s="3">
        <f t="shared" si="31"/>
        <v>0</v>
      </c>
      <c r="BS481" s="3">
        <f t="shared" si="31"/>
        <v>0</v>
      </c>
      <c r="BT481" s="3">
        <f t="shared" si="31"/>
        <v>0</v>
      </c>
      <c r="BU481" s="3">
        <f t="shared" si="31"/>
        <v>0</v>
      </c>
      <c r="BV481">
        <f>VLOOKUP($H481,'1. Set Program Names'!$B$2:$D$15,3,0)*V481</f>
        <v>0</v>
      </c>
      <c r="BW481">
        <f>VLOOKUP($H481,'1. Set Program Names'!$B$2:$D$15,3,0)*W481</f>
        <v>0</v>
      </c>
      <c r="BX481">
        <f>VLOOKUP($H481,'1. Set Program Names'!$B$2:$D$15,3,0)*X481</f>
        <v>0</v>
      </c>
      <c r="BY481">
        <f>VLOOKUP($H481,'1. Set Program Names'!$B$2:$D$15,3,0)*Y481</f>
        <v>0</v>
      </c>
      <c r="BZ481">
        <f>VLOOKUP($H481,'1. Set Program Names'!$B$2:$D$15,3,0)*Z481</f>
        <v>0</v>
      </c>
      <c r="CA481">
        <f>VLOOKUP($H481,'1. Set Program Names'!$B$2:$D$15,3,0)*AA481</f>
        <v>0</v>
      </c>
      <c r="CB481">
        <f>VLOOKUP($H481,'1. Set Program Names'!$B$2:$D$15,3,0)*AB481</f>
        <v>0</v>
      </c>
      <c r="CC481">
        <f>VLOOKUP($H481,'1. Set Program Names'!$B$2:$D$15,3,0)*AC481</f>
        <v>0</v>
      </c>
      <c r="CD481">
        <f>VLOOKUP($H481,'1. Set Program Names'!$B$2:$D$15,3,0)*AD481</f>
        <v>0</v>
      </c>
      <c r="CE481">
        <f>VLOOKUP($H481,'1. Set Program Names'!$B$2:$D$15,3,0)*AE481</f>
        <v>0</v>
      </c>
    </row>
    <row r="482" spans="1:83" x14ac:dyDescent="0.25">
      <c r="A482" s="20" t="s">
        <v>117</v>
      </c>
      <c r="B482" s="20" t="s">
        <v>88</v>
      </c>
      <c r="C482" s="20" t="s">
        <v>122</v>
      </c>
      <c r="D482" s="20" t="s">
        <v>90</v>
      </c>
      <c r="E482" s="20" t="s">
        <v>91</v>
      </c>
      <c r="F482" s="20" t="s">
        <v>90</v>
      </c>
      <c r="G482" s="20" t="s">
        <v>92</v>
      </c>
      <c r="H482" s="20" t="s">
        <v>18</v>
      </c>
      <c r="I482" s="20" t="s">
        <v>169</v>
      </c>
      <c r="J482" s="20" t="s">
        <v>129</v>
      </c>
      <c r="K482" s="20" t="s">
        <v>102</v>
      </c>
      <c r="L482" s="20">
        <v>12279.148571428501</v>
      </c>
      <c r="M482" s="20">
        <v>2.3939185148112898</v>
      </c>
      <c r="N482" s="20">
        <v>0.409805025192993</v>
      </c>
      <c r="O482" s="20">
        <v>4666.07785714284</v>
      </c>
      <c r="P482" s="20">
        <v>2140.17810945783</v>
      </c>
      <c r="Q482" s="20">
        <v>388.61290273657698</v>
      </c>
      <c r="R482" s="20">
        <v>6035.2668545830202</v>
      </c>
      <c r="S482" s="20">
        <v>13336.629705795</v>
      </c>
      <c r="T482" s="20">
        <v>15</v>
      </c>
      <c r="U482" s="20">
        <v>1</v>
      </c>
      <c r="V482" s="20">
        <v>6.8274033608015898</v>
      </c>
      <c r="W482" s="20">
        <v>14.357188461602499</v>
      </c>
      <c r="X482" s="20">
        <v>22.478151636052999</v>
      </c>
      <c r="Y482" s="20">
        <v>31.123873804351099</v>
      </c>
      <c r="Z482" s="20">
        <v>40.225705834576203</v>
      </c>
      <c r="AA482" s="20">
        <v>49.714252334997497</v>
      </c>
      <c r="AB482" s="20">
        <v>59.5280563862351</v>
      </c>
      <c r="AC482" s="20">
        <v>69.633073307044498</v>
      </c>
      <c r="AD482" s="20">
        <v>80.008390105881105</v>
      </c>
      <c r="AE482" s="20">
        <v>90.6215456882843</v>
      </c>
      <c r="AF482" t="str">
        <f t="shared" si="30"/>
        <v>NonResidential</v>
      </c>
      <c r="AG482" t="str">
        <f>tbl_Data_old[[#This Row],[All_Meas_Name_Append]]</f>
        <v>Custom measure - Non-lighting_69</v>
      </c>
      <c r="AH482">
        <f>AVERAGEIFS('3. Incentive Adjustment'!G:G,'3. Incentive Adjustment'!A:A,tbl_Data_old[[#This Row],[Trimmed Sector]],'3. Incentive Adjustment'!B:B,tbl_Data_old[[#This Row],[Trimmed Measure Name]])</f>
        <v>0.94249803878007732</v>
      </c>
      <c r="AI482">
        <f>$AH482*tbl_Data_old[[#This Row],[2025 ]]</f>
        <v>6.4348142775160069</v>
      </c>
      <c r="AJ482">
        <f>$AH482*tbl_Data_old[[#This Row],[2026 ]]</f>
        <v>13.53162196745631</v>
      </c>
      <c r="AK482">
        <f>$AH482*tbl_Data_old[[#This Row],[2027 ]]</f>
        <v>21.185613832381136</v>
      </c>
      <c r="AL482">
        <f>$AH482*tbl_Data_old[[#This Row],[2028 ]]</f>
        <v>29.334190019839536</v>
      </c>
      <c r="AM482">
        <f>$AH482*tbl_Data_old[[#This Row],[2029 ]]</f>
        <v>37.912648857632384</v>
      </c>
      <c r="AN482">
        <f>$AH482*tbl_Data_old[[#This Row],[2030 ]]</f>
        <v>46.855585325153022</v>
      </c>
      <c r="AO482">
        <f>$AH482*tbl_Data_old[[#This Row],[2031 ]]</f>
        <v>56.105076396416436</v>
      </c>
      <c r="AP482">
        <f>$AH482*tbl_Data_old[[#This Row],[2032 ]]</f>
        <v>65.629035026118785</v>
      </c>
      <c r="AQ482">
        <f>$AH482*tbl_Data_old[[#This Row],[2033 ]]</f>
        <v>75.407750760744278</v>
      </c>
      <c r="AR482">
        <f>$AH482*tbl_Data_old[[#This Row],[2034 ]]</f>
        <v>85.410629082427121</v>
      </c>
      <c r="AS482">
        <f>SUM(tbl_Data_old[[#This Row],[Adjusted 2025]:[Adjusted 2034]])</f>
        <v>437.80696554568499</v>
      </c>
      <c r="AT482" s="3">
        <f>AVERAGEIFS('3. Incentive Adjustment'!F:F,'3. Incentive Adjustment'!A:A,tbl_Data_old[[#This Row],[Trimmed Sector]],'3. Incentive Adjustment'!B:B,tbl_Data_old[[#This Row],[Trimmed Measure Name]])</f>
        <v>1864.5735288999113</v>
      </c>
      <c r="AU482" s="3">
        <f>IFERROR(VLOOKUP(tbl_Data_old[[#This Row],[All_Meas_Name_Append]],'IRA Tax Credits'!$A$3:$D$46,4,0),0)</f>
        <v>0</v>
      </c>
      <c r="AV482" s="4">
        <f>tbl_Data_old[[#This Row],[Adj. per unit Incentive ($)]]/tbl_Data_old[[#This Row],[kWh Savings]]*tbl_Data_old[[#This Row],[Sum of Annuals]]</f>
        <v>66.480446423127873</v>
      </c>
      <c r="AW482" s="4">
        <f>IFERROR(VLOOKUP(tbl_Data_old[[#This Row],[All_Programs]],'1. Set Program Names'!$B$2:$D$15,3,0)*tbl_Data_old[[#This Row],[Sum of Annuals]],"")</f>
        <v>13.855800728307974</v>
      </c>
      <c r="AX482" s="4">
        <f>tbl_Data_old[[#This Row],[per unit IRA tax ($)]]/tbl_Data_old[[#This Row],[kWh Savings]]*tbl_Data_old[[#This Row],[Sum of Annuals]]</f>
        <v>0</v>
      </c>
      <c r="AY482" s="4">
        <f>tbl_Data_old[[#This Row],[Avoided Costs ($/unit)]]/tbl_Data_old[[#This Row],[kWh Savings]]*tbl_Data_old[[#This Row],[Sum of Annuals]]</f>
        <v>215.18445293605987</v>
      </c>
      <c r="AZ482" s="4">
        <f>tbl_Data_old[[#This Row],[Lost Revenue ($/unit)]]/tbl_Data_old[[#This Row],[kWh Savings]]*tbl_Data_old[[#This Row],[Sum of Annuals]]</f>
        <v>475.51093205978555</v>
      </c>
      <c r="BA482" s="4">
        <f>tbl_Data_old[[#This Row],[Incremental Cost ($/unit)]]/tbl_Data_old[[#This Row],[kWh Savings]]*tbl_Data_old[[#This Row],[Sum of Annuals]]</f>
        <v>166.36669682366781</v>
      </c>
      <c r="BB482">
        <f>ROUNDUP(tbl_Data_old[[#This Row],[Adjusted 2025]]/$L482,0)</f>
        <v>1</v>
      </c>
      <c r="BC482">
        <f>ROUNDUP(tbl_Data_old[[#This Row],[Adjusted 2026]]/$L482,0)</f>
        <v>1</v>
      </c>
      <c r="BD482">
        <f>ROUNDUP(tbl_Data_old[[#This Row],[Adjusted 2027]]/$L482,0)</f>
        <v>1</v>
      </c>
      <c r="BE482">
        <f>ROUNDUP(tbl_Data_old[[#This Row],[Adjusted 2028]]/$L482,0)</f>
        <v>1</v>
      </c>
      <c r="BF482">
        <f>ROUNDUP(tbl_Data_old[[#This Row],[Adjusted 2029]]/$L482,0)</f>
        <v>1</v>
      </c>
      <c r="BG482">
        <f>ROUNDUP(tbl_Data_old[[#This Row],[Adjusted 2030]]/$L482,0)</f>
        <v>1</v>
      </c>
      <c r="BH482">
        <f>ROUNDUP(tbl_Data_old[[#This Row],[Adjusted 2031]]/$L482,0)</f>
        <v>1</v>
      </c>
      <c r="BI482">
        <f>ROUNDUP(tbl_Data_old[[#This Row],[Adjusted 2032]]/$L482,0)</f>
        <v>1</v>
      </c>
      <c r="BJ482">
        <f>ROUNDUP(tbl_Data_old[[#This Row],[Adjusted 2033]]/$L482,0)</f>
        <v>1</v>
      </c>
      <c r="BK482">
        <f>ROUNDUP(tbl_Data_old[[#This Row],[Adjusted 2034]]/$L482,0)</f>
        <v>1</v>
      </c>
      <c r="BL482" s="3">
        <f t="shared" si="32"/>
        <v>1.0367327590850999</v>
      </c>
      <c r="BM482" s="3">
        <f t="shared" si="32"/>
        <v>2.1801213169796312</v>
      </c>
      <c r="BN482" s="3">
        <f t="shared" si="32"/>
        <v>3.4132795344381748</v>
      </c>
      <c r="BO482" s="3">
        <f t="shared" si="32"/>
        <v>4.7261217563119002</v>
      </c>
      <c r="BP482" s="3">
        <f t="shared" si="32"/>
        <v>6.1082236967949557</v>
      </c>
      <c r="BQ482" s="3">
        <f t="shared" si="31"/>
        <v>7.5490477514519645</v>
      </c>
      <c r="BR482" s="3">
        <f t="shared" si="31"/>
        <v>9.0392617630590877</v>
      </c>
      <c r="BS482" s="3">
        <f t="shared" si="31"/>
        <v>10.573696088861446</v>
      </c>
      <c r="BT482" s="3">
        <f t="shared" si="31"/>
        <v>12.149175116949364</v>
      </c>
      <c r="BU482" s="3">
        <f t="shared" si="31"/>
        <v>13.760769670263182</v>
      </c>
      <c r="BV482">
        <f>VLOOKUP($H482,'1. Set Program Names'!$B$2:$D$15,3,0)*V482</f>
        <v>0.2160750008651372</v>
      </c>
      <c r="BW482">
        <f>VLOOKUP($H482,'1. Set Program Names'!$B$2:$D$15,3,0)*W482</f>
        <v>0.45437911682099186</v>
      </c>
      <c r="BX482">
        <f>VLOOKUP($H482,'1. Set Program Names'!$B$2:$D$15,3,0)*X482</f>
        <v>0.71139295242058054</v>
      </c>
      <c r="BY482">
        <f>VLOOKUP($H482,'1. Set Program Names'!$B$2:$D$15,3,0)*Y482</f>
        <v>0.98501446359718337</v>
      </c>
      <c r="BZ482">
        <f>VLOOKUP($H482,'1. Set Program Names'!$B$2:$D$15,3,0)*Z482</f>
        <v>1.273071029157171</v>
      </c>
      <c r="CA482">
        <f>VLOOKUP($H482,'1. Set Program Names'!$B$2:$D$15,3,0)*AA482</f>
        <v>1.5733664101300497</v>
      </c>
      <c r="CB482">
        <f>VLOOKUP($H482,'1. Set Program Names'!$B$2:$D$15,3,0)*AB482</f>
        <v>1.8839556058755442</v>
      </c>
      <c r="CC482">
        <f>VLOOKUP($H482,'1. Set Program Names'!$B$2:$D$15,3,0)*AC482</f>
        <v>2.2037611636432288</v>
      </c>
      <c r="CD482">
        <f>VLOOKUP($H482,'1. Set Program Names'!$B$2:$D$15,3,0)*AD482</f>
        <v>2.5321212249742886</v>
      </c>
      <c r="CE482">
        <f>VLOOKUP($H482,'1. Set Program Names'!$B$2:$D$15,3,0)*AE482</f>
        <v>2.8680084547834794</v>
      </c>
    </row>
    <row r="483" spans="1:83" x14ac:dyDescent="0.25">
      <c r="A483" s="20" t="s">
        <v>117</v>
      </c>
      <c r="B483" s="20" t="s">
        <v>88</v>
      </c>
      <c r="C483" s="20" t="s">
        <v>122</v>
      </c>
      <c r="D483" s="20" t="s">
        <v>90</v>
      </c>
      <c r="E483" s="20" t="s">
        <v>91</v>
      </c>
      <c r="F483" s="20" t="s">
        <v>90</v>
      </c>
      <c r="G483" s="20" t="s">
        <v>92</v>
      </c>
      <c r="H483" s="20" t="s">
        <v>18</v>
      </c>
      <c r="I483" s="20" t="s">
        <v>170</v>
      </c>
      <c r="J483" s="20" t="s">
        <v>144</v>
      </c>
      <c r="K483" s="20" t="s">
        <v>171</v>
      </c>
      <c r="L483" s="20">
        <v>5592.79</v>
      </c>
      <c r="M483" s="20">
        <v>0.87755365852981304</v>
      </c>
      <c r="N483" s="20">
        <v>1.3078150987013399</v>
      </c>
      <c r="O483" s="20">
        <v>2274</v>
      </c>
      <c r="P483" s="20">
        <v>1123.5242193223601</v>
      </c>
      <c r="Q483" s="20">
        <v>177.00171503367099</v>
      </c>
      <c r="R483" s="20">
        <v>3205.1805113222799</v>
      </c>
      <c r="S483" s="20">
        <v>7177.7771935445198</v>
      </c>
      <c r="T483" s="20">
        <v>20</v>
      </c>
      <c r="U483" s="20">
        <v>1</v>
      </c>
      <c r="V483" s="20">
        <v>0.37441444939401902</v>
      </c>
      <c r="W483" s="20">
        <v>0.85622296178518098</v>
      </c>
      <c r="X483" s="20">
        <v>1.46147004346422</v>
      </c>
      <c r="Y483" s="20">
        <v>2.2055497628311702</v>
      </c>
      <c r="Z483" s="20">
        <v>3.09637824871615</v>
      </c>
      <c r="AA483" s="20">
        <v>4.1292910665071796</v>
      </c>
      <c r="AB483" s="20">
        <v>5.2845804382506598</v>
      </c>
      <c r="AC483" s="20">
        <v>6.5277419507673198</v>
      </c>
      <c r="AD483" s="20">
        <v>7.8088849431389402</v>
      </c>
      <c r="AE483" s="20">
        <v>9.06715578864506</v>
      </c>
      <c r="AF483" t="str">
        <f t="shared" si="30"/>
        <v>NonResidential</v>
      </c>
      <c r="AG483" t="str">
        <f>tbl_Data_old[[#This Row],[All_Meas_Name_Append]]</f>
        <v>Demand Controlled Circulating Systems</v>
      </c>
      <c r="AH483">
        <f>AVERAGEIFS('3. Incentive Adjustment'!G:G,'3. Incentive Adjustment'!A:A,tbl_Data_old[[#This Row],[Trimmed Sector]],'3. Incentive Adjustment'!B:B,tbl_Data_old[[#This Row],[Trimmed Measure Name]])</f>
        <v>0.82519266246945677</v>
      </c>
      <c r="AI483">
        <f>$AH483*tbl_Data_old[[#This Row],[2025 ]]</f>
        <v>0.30896405636248625</v>
      </c>
      <c r="AJ483">
        <f>$AH483*tbl_Data_old[[#This Row],[2026 ]]</f>
        <v>0.70654890550299743</v>
      </c>
      <c r="AK483">
        <f>$AH483*tbl_Data_old[[#This Row],[2027 ]]</f>
        <v>1.2059943562855924</v>
      </c>
      <c r="AL483">
        <f>$AH483*tbl_Data_old[[#This Row],[2028 ]]</f>
        <v>1.8200034809995322</v>
      </c>
      <c r="AM483">
        <f>$AH483*tbl_Data_old[[#This Row],[2029 ]]</f>
        <v>2.5551086110705938</v>
      </c>
      <c r="AN483">
        <f>$AH483*tbl_Data_old[[#This Row],[2030 ]]</f>
        <v>3.4074606892824022</v>
      </c>
      <c r="AO483">
        <f>$AH483*tbl_Data_old[[#This Row],[2031 ]]</f>
        <v>4.3607970018740705</v>
      </c>
      <c r="AP483">
        <f>$AH483*tbl_Data_old[[#This Row],[2032 ]]</f>
        <v>5.3866447602672505</v>
      </c>
      <c r="AQ483">
        <f>$AH483*tbl_Data_old[[#This Row],[2033 ]]</f>
        <v>6.4438345571464746</v>
      </c>
      <c r="AR483">
        <f>$AH483*tbl_Data_old[[#This Row],[2034 ]]</f>
        <v>7.4821504262573644</v>
      </c>
      <c r="AS483">
        <f>SUM(tbl_Data_old[[#This Row],[Adjusted 2025]:[Adjusted 2034]])</f>
        <v>33.677506845048761</v>
      </c>
      <c r="AT483" s="3">
        <f>AVERAGEIFS('3. Incentive Adjustment'!F:F,'3. Incentive Adjustment'!A:A,tbl_Data_old[[#This Row],[Trimmed Sector]],'3. Incentive Adjustment'!B:B,tbl_Data_old[[#This Row],[Trimmed Measure Name]])</f>
        <v>716.2547365811331</v>
      </c>
      <c r="AU483" s="3">
        <f>IFERROR(VLOOKUP(tbl_Data_old[[#This Row],[All_Meas_Name_Append]],'IRA Tax Credits'!$A$3:$D$46,4,0),0)</f>
        <v>0</v>
      </c>
      <c r="AV483" s="4">
        <f>tbl_Data_old[[#This Row],[Adj. per unit Incentive ($)]]/tbl_Data_old[[#This Row],[kWh Savings]]*tbl_Data_old[[#This Row],[Sum of Annuals]]</f>
        <v>4.3129947296447222</v>
      </c>
      <c r="AW483" s="4">
        <f>IFERROR(VLOOKUP(tbl_Data_old[[#This Row],[All_Programs]],'1. Set Program Names'!$B$2:$D$15,3,0)*tbl_Data_old[[#This Row],[Sum of Annuals]],"")</f>
        <v>1.0658323430044443</v>
      </c>
      <c r="AX483" s="4">
        <f>tbl_Data_old[[#This Row],[per unit IRA tax ($)]]/tbl_Data_old[[#This Row],[kWh Savings]]*tbl_Data_old[[#This Row],[Sum of Annuals]]</f>
        <v>0</v>
      </c>
      <c r="AY483" s="4">
        <f>tbl_Data_old[[#This Row],[Avoided Costs ($/unit)]]/tbl_Data_old[[#This Row],[kWh Savings]]*tbl_Data_old[[#This Row],[Sum of Annuals]]</f>
        <v>19.300293522494673</v>
      </c>
      <c r="AZ483" s="4">
        <f>tbl_Data_old[[#This Row],[Lost Revenue ($/unit)]]/tbl_Data_old[[#This Row],[kWh Savings]]*tbl_Data_old[[#This Row],[Sum of Annuals]]</f>
        <v>43.221655125229169</v>
      </c>
      <c r="BA483" s="4">
        <f>tbl_Data_old[[#This Row],[Incremental Cost ($/unit)]]/tbl_Data_old[[#This Row],[kWh Savings]]*tbl_Data_old[[#This Row],[Sum of Annuals]]</f>
        <v>13.693103185644532</v>
      </c>
      <c r="BB483">
        <f>ROUNDUP(tbl_Data_old[[#This Row],[Adjusted 2025]]/$L483,0)</f>
        <v>1</v>
      </c>
      <c r="BC483">
        <f>ROUNDUP(tbl_Data_old[[#This Row],[Adjusted 2026]]/$L483,0)</f>
        <v>1</v>
      </c>
      <c r="BD483">
        <f>ROUNDUP(tbl_Data_old[[#This Row],[Adjusted 2027]]/$L483,0)</f>
        <v>1</v>
      </c>
      <c r="BE483">
        <f>ROUNDUP(tbl_Data_old[[#This Row],[Adjusted 2028]]/$L483,0)</f>
        <v>1</v>
      </c>
      <c r="BF483">
        <f>ROUNDUP(tbl_Data_old[[#This Row],[Adjusted 2029]]/$L483,0)</f>
        <v>1</v>
      </c>
      <c r="BG483">
        <f>ROUNDUP(tbl_Data_old[[#This Row],[Adjusted 2030]]/$L483,0)</f>
        <v>1</v>
      </c>
      <c r="BH483">
        <f>ROUNDUP(tbl_Data_old[[#This Row],[Adjusted 2031]]/$L483,0)</f>
        <v>1</v>
      </c>
      <c r="BI483">
        <f>ROUNDUP(tbl_Data_old[[#This Row],[Adjusted 2032]]/$L483,0)</f>
        <v>1</v>
      </c>
      <c r="BJ483">
        <f>ROUNDUP(tbl_Data_old[[#This Row],[Adjusted 2033]]/$L483,0)</f>
        <v>1</v>
      </c>
      <c r="BK483">
        <f>ROUNDUP(tbl_Data_old[[#This Row],[Adjusted 2034]]/$L483,0)</f>
        <v>1</v>
      </c>
      <c r="BL483" s="3">
        <f t="shared" si="32"/>
        <v>4.7950329410344945E-2</v>
      </c>
      <c r="BM483" s="3">
        <f t="shared" si="32"/>
        <v>0.10965434996632493</v>
      </c>
      <c r="BN483" s="3">
        <f t="shared" si="32"/>
        <v>0.18716684177354811</v>
      </c>
      <c r="BO483" s="3">
        <f t="shared" si="32"/>
        <v>0.28245928497104672</v>
      </c>
      <c r="BP483" s="3">
        <f t="shared" si="32"/>
        <v>0.39654547853392247</v>
      </c>
      <c r="BQ483" s="3">
        <f t="shared" si="32"/>
        <v>0.52882805989638915</v>
      </c>
      <c r="BR483" s="3">
        <f t="shared" si="32"/>
        <v>0.67678310284152188</v>
      </c>
      <c r="BS483" s="3">
        <f t="shared" si="32"/>
        <v>0.83599171279745155</v>
      </c>
      <c r="BT483" s="3">
        <f t="shared" si="32"/>
        <v>1.0000645166259341</v>
      </c>
      <c r="BU483" s="3">
        <f t="shared" si="32"/>
        <v>1.1612081413634454</v>
      </c>
      <c r="BV483">
        <f>VLOOKUP($H483,'1. Set Program Names'!$B$2:$D$15,3,0)*V483</f>
        <v>1.1849541941701546E-2</v>
      </c>
      <c r="BW483">
        <f>VLOOKUP($H483,'1. Set Program Names'!$B$2:$D$15,3,0)*W483</f>
        <v>2.7097912256170247E-2</v>
      </c>
      <c r="BX483">
        <f>VLOOKUP($H483,'1. Set Program Names'!$B$2:$D$15,3,0)*X483</f>
        <v>4.6252890625877362E-2</v>
      </c>
      <c r="BY483">
        <f>VLOOKUP($H483,'1. Set Program Names'!$B$2:$D$15,3,0)*Y483</f>
        <v>6.9801671547335672E-2</v>
      </c>
      <c r="BZ483">
        <f>VLOOKUP($H483,'1. Set Program Names'!$B$2:$D$15,3,0)*Z483</f>
        <v>9.7994786218633861E-2</v>
      </c>
      <c r="CA483">
        <f>VLOOKUP($H483,'1. Set Program Names'!$B$2:$D$15,3,0)*AA483</f>
        <v>0.13068461369816983</v>
      </c>
      <c r="CB483">
        <f>VLOOKUP($H483,'1. Set Program Names'!$B$2:$D$15,3,0)*AB483</f>
        <v>0.16724743836327763</v>
      </c>
      <c r="CC483">
        <f>VLOOKUP($H483,'1. Set Program Names'!$B$2:$D$15,3,0)*AC483</f>
        <v>0.20659125777707671</v>
      </c>
      <c r="CD483">
        <f>VLOOKUP($H483,'1. Set Program Names'!$B$2:$D$15,3,0)*AD483</f>
        <v>0.24713712251598985</v>
      </c>
      <c r="CE483">
        <f>VLOOKUP($H483,'1. Set Program Names'!$B$2:$D$15,3,0)*AE483</f>
        <v>0.28695912506417254</v>
      </c>
    </row>
    <row r="484" spans="1:83" x14ac:dyDescent="0.25">
      <c r="A484" s="20" t="s">
        <v>117</v>
      </c>
      <c r="B484" s="20" t="s">
        <v>88</v>
      </c>
      <c r="C484" s="20" t="s">
        <v>122</v>
      </c>
      <c r="D484" s="20" t="s">
        <v>90</v>
      </c>
      <c r="E484" s="20" t="s">
        <v>91</v>
      </c>
      <c r="F484" s="20" t="s">
        <v>90</v>
      </c>
      <c r="G484" s="20" t="s">
        <v>92</v>
      </c>
      <c r="H484" s="20" t="s">
        <v>18</v>
      </c>
      <c r="I484" s="20" t="s">
        <v>172</v>
      </c>
      <c r="J484" s="20" t="s">
        <v>144</v>
      </c>
      <c r="K484" s="20" t="s">
        <v>102</v>
      </c>
      <c r="L484" s="20">
        <v>18085.229999999901</v>
      </c>
      <c r="M484" s="20">
        <v>0.84213537152598805</v>
      </c>
      <c r="N484" s="20">
        <v>1.2419142635526399</v>
      </c>
      <c r="O484" s="20">
        <v>5343.87</v>
      </c>
      <c r="P484" s="20">
        <v>2505.3610009054501</v>
      </c>
      <c r="Q484" s="20">
        <v>572.36490674214201</v>
      </c>
      <c r="R484" s="20">
        <v>7297.3054636159204</v>
      </c>
      <c r="S484" s="20">
        <v>27879.9715993795</v>
      </c>
      <c r="T484" s="20">
        <v>30</v>
      </c>
      <c r="U484" s="20">
        <v>1</v>
      </c>
      <c r="V484" s="20">
        <v>6.91492758908133</v>
      </c>
      <c r="W484" s="20">
        <v>16.437078435759201</v>
      </c>
      <c r="X484" s="20">
        <v>29.148741212244001</v>
      </c>
      <c r="Y484" s="20">
        <v>45.607506807301498</v>
      </c>
      <c r="Z484" s="20">
        <v>66.074868888534695</v>
      </c>
      <c r="AA484" s="20">
        <v>90.171677822979504</v>
      </c>
      <c r="AB484" s="20">
        <v>116.69752744827299</v>
      </c>
      <c r="AC484" s="20">
        <v>143.659824925077</v>
      </c>
      <c r="AD484" s="20">
        <v>168.6438085691</v>
      </c>
      <c r="AE484" s="20">
        <v>189.64004223977599</v>
      </c>
      <c r="AF484" t="str">
        <f t="shared" si="30"/>
        <v>NonResidential</v>
      </c>
      <c r="AG484" t="str">
        <f>tbl_Data_old[[#This Row],[All_Meas_Name_Append]]</f>
        <v>Drain water heat recovery</v>
      </c>
      <c r="AH484">
        <f>AVERAGEIFS('3. Incentive Adjustment'!G:G,'3. Incentive Adjustment'!A:A,tbl_Data_old[[#This Row],[Trimmed Sector]],'3. Incentive Adjustment'!B:B,tbl_Data_old[[#This Row],[Trimmed Measure Name]])</f>
        <v>0.69383814414313949</v>
      </c>
      <c r="AI484">
        <f>$AH484*tbl_Data_old[[#This Row],[2025 ]]</f>
        <v>4.7978405252923837</v>
      </c>
      <c r="AJ484">
        <f>$AH484*tbl_Data_old[[#This Row],[2026 ]]</f>
        <v>11.404671997002382</v>
      </c>
      <c r="AK484">
        <f>$AH484*tbl_Data_old[[#This Row],[2027 ]]</f>
        <v>20.224508506812025</v>
      </c>
      <c r="AL484">
        <f>$AH484*tbl_Data_old[[#This Row],[2028 ]]</f>
        <v>31.644227882173674</v>
      </c>
      <c r="AM484">
        <f>$AH484*tbl_Data_old[[#This Row],[2029 ]]</f>
        <v>45.845264404122176</v>
      </c>
      <c r="AN484">
        <f>$AH484*tbl_Data_old[[#This Row],[2030 ]]</f>
        <v>62.564549594969186</v>
      </c>
      <c r="AO484">
        <f>$AH484*tbl_Data_old[[#This Row],[2031 ]]</f>
        <v>80.969195870802821</v>
      </c>
      <c r="AP484">
        <f>$AH484*tbl_Data_old[[#This Row],[2032 ]]</f>
        <v>99.676666313943755</v>
      </c>
      <c r="AQ484">
        <f>$AH484*tbl_Data_old[[#This Row],[2033 ]]</f>
        <v>117.01150715881523</v>
      </c>
      <c r="AR484">
        <f>$AH484*tbl_Data_old[[#This Row],[2034 ]]</f>
        <v>131.57949496287276</v>
      </c>
      <c r="AS484">
        <f>SUM(tbl_Data_old[[#This Row],[Adjusted 2025]:[Adjusted 2034]])</f>
        <v>605.7179272168064</v>
      </c>
      <c r="AT484" s="3">
        <f>AVERAGEIFS('3. Incentive Adjustment'!F:F,'3. Incentive Adjustment'!A:A,tbl_Data_old[[#This Row],[Trimmed Sector]],'3. Incentive Adjustment'!B:B,tbl_Data_old[[#This Row],[Trimmed Measure Name]])</f>
        <v>0</v>
      </c>
      <c r="AU484" s="3">
        <f>IFERROR(VLOOKUP(tbl_Data_old[[#This Row],[All_Meas_Name_Append]],'IRA Tax Credits'!$A$3:$D$46,4,0),0)</f>
        <v>0</v>
      </c>
      <c r="AV484" s="4">
        <f>tbl_Data_old[[#This Row],[Adj. per unit Incentive ($)]]/tbl_Data_old[[#This Row],[kWh Savings]]*tbl_Data_old[[#This Row],[Sum of Annuals]]</f>
        <v>0</v>
      </c>
      <c r="AW484" s="4">
        <f>IFERROR(VLOOKUP(tbl_Data_old[[#This Row],[All_Programs]],'1. Set Program Names'!$B$2:$D$15,3,0)*tbl_Data_old[[#This Row],[Sum of Annuals]],"")</f>
        <v>19.169879781650131</v>
      </c>
      <c r="AX484" s="4">
        <f>tbl_Data_old[[#This Row],[per unit IRA tax ($)]]/tbl_Data_old[[#This Row],[kWh Savings]]*tbl_Data_old[[#This Row],[Sum of Annuals]]</f>
        <v>0</v>
      </c>
      <c r="AY484" s="4">
        <f>tbl_Data_old[[#This Row],[Avoided Costs ($/unit)]]/tbl_Data_old[[#This Row],[kWh Savings]]*tbl_Data_old[[#This Row],[Sum of Annuals]]</f>
        <v>244.40434208961321</v>
      </c>
      <c r="AZ484" s="4">
        <f>tbl_Data_old[[#This Row],[Lost Revenue ($/unit)]]/tbl_Data_old[[#This Row],[kWh Savings]]*tbl_Data_old[[#This Row],[Sum of Annuals]]</f>
        <v>933.76742281075076</v>
      </c>
      <c r="BA484" s="4">
        <f>tbl_Data_old[[#This Row],[Incremental Cost ($/unit)]]/tbl_Data_old[[#This Row],[kWh Savings]]*tbl_Data_old[[#This Row],[Sum of Annuals]]</f>
        <v>178.97908180963651</v>
      </c>
      <c r="BB484">
        <f>ROUNDUP(tbl_Data_old[[#This Row],[Adjusted 2025]]/$L484,0)</f>
        <v>1</v>
      </c>
      <c r="BC484">
        <f>ROUNDUP(tbl_Data_old[[#This Row],[Adjusted 2026]]/$L484,0)</f>
        <v>1</v>
      </c>
      <c r="BD484">
        <f>ROUNDUP(tbl_Data_old[[#This Row],[Adjusted 2027]]/$L484,0)</f>
        <v>1</v>
      </c>
      <c r="BE484">
        <f>ROUNDUP(tbl_Data_old[[#This Row],[Adjusted 2028]]/$L484,0)</f>
        <v>1</v>
      </c>
      <c r="BF484">
        <f>ROUNDUP(tbl_Data_old[[#This Row],[Adjusted 2029]]/$L484,0)</f>
        <v>1</v>
      </c>
      <c r="BG484">
        <f>ROUNDUP(tbl_Data_old[[#This Row],[Adjusted 2030]]/$L484,0)</f>
        <v>1</v>
      </c>
      <c r="BH484">
        <f>ROUNDUP(tbl_Data_old[[#This Row],[Adjusted 2031]]/$L484,0)</f>
        <v>1</v>
      </c>
      <c r="BI484">
        <f>ROUNDUP(tbl_Data_old[[#This Row],[Adjusted 2032]]/$L484,0)</f>
        <v>1</v>
      </c>
      <c r="BJ484">
        <f>ROUNDUP(tbl_Data_old[[#This Row],[Adjusted 2033]]/$L484,0)</f>
        <v>1</v>
      </c>
      <c r="BK484">
        <f>ROUNDUP(tbl_Data_old[[#This Row],[Adjusted 2034]]/$L484,0)</f>
        <v>1</v>
      </c>
      <c r="BL484" s="3">
        <f t="shared" ref="BL484:BU501" si="33">$AT484/$L484*V484</f>
        <v>0</v>
      </c>
      <c r="BM484" s="3">
        <f t="shared" si="33"/>
        <v>0</v>
      </c>
      <c r="BN484" s="3">
        <f t="shared" si="33"/>
        <v>0</v>
      </c>
      <c r="BO484" s="3">
        <f t="shared" si="33"/>
        <v>0</v>
      </c>
      <c r="BP484" s="3">
        <f t="shared" si="33"/>
        <v>0</v>
      </c>
      <c r="BQ484" s="3">
        <f t="shared" si="33"/>
        <v>0</v>
      </c>
      <c r="BR484" s="3">
        <f t="shared" si="33"/>
        <v>0</v>
      </c>
      <c r="BS484" s="3">
        <f t="shared" si="33"/>
        <v>0</v>
      </c>
      <c r="BT484" s="3">
        <f t="shared" si="33"/>
        <v>0</v>
      </c>
      <c r="BU484" s="3">
        <f t="shared" si="33"/>
        <v>0</v>
      </c>
      <c r="BV484">
        <f>VLOOKUP($H484,'1. Set Program Names'!$B$2:$D$15,3,0)*V484</f>
        <v>0.21884498481098758</v>
      </c>
      <c r="BW484">
        <f>VLOOKUP($H484,'1. Set Program Names'!$B$2:$D$15,3,0)*W484</f>
        <v>0.52020388272621521</v>
      </c>
      <c r="BX484">
        <f>VLOOKUP($H484,'1. Set Program Names'!$B$2:$D$15,3,0)*X484</f>
        <v>0.92250507986887309</v>
      </c>
      <c r="BY484">
        <f>VLOOKUP($H484,'1. Set Program Names'!$B$2:$D$15,3,0)*Y484</f>
        <v>1.4433953220668378</v>
      </c>
      <c r="BZ484">
        <f>VLOOKUP($H484,'1. Set Program Names'!$B$2:$D$15,3,0)*Z484</f>
        <v>2.0911504122085027</v>
      </c>
      <c r="CA484">
        <f>VLOOKUP($H484,'1. Set Program Names'!$B$2:$D$15,3,0)*AA484</f>
        <v>2.85377094833366</v>
      </c>
      <c r="CB484">
        <f>VLOOKUP($H484,'1. Set Program Names'!$B$2:$D$15,3,0)*AB484</f>
        <v>3.6932662407373096</v>
      </c>
      <c r="CC484">
        <f>VLOOKUP($H484,'1. Set Program Names'!$B$2:$D$15,3,0)*AC484</f>
        <v>4.5465743203616702</v>
      </c>
      <c r="CD484">
        <f>VLOOKUP($H484,'1. Set Program Names'!$B$2:$D$15,3,0)*AD484</f>
        <v>5.337272335728823</v>
      </c>
      <c r="CE484">
        <f>VLOOKUP($H484,'1. Set Program Names'!$B$2:$D$15,3,0)*AE484</f>
        <v>6.001765257679649</v>
      </c>
    </row>
    <row r="485" spans="1:83" x14ac:dyDescent="0.25">
      <c r="A485" s="20" t="s">
        <v>117</v>
      </c>
      <c r="B485" s="20" t="s">
        <v>88</v>
      </c>
      <c r="C485" s="20" t="s">
        <v>122</v>
      </c>
      <c r="D485" s="20" t="s">
        <v>90</v>
      </c>
      <c r="E485" s="20" t="s">
        <v>91</v>
      </c>
      <c r="F485" s="20" t="s">
        <v>90</v>
      </c>
      <c r="G485" s="20" t="s">
        <v>92</v>
      </c>
      <c r="H485" s="20" t="s">
        <v>18</v>
      </c>
      <c r="I485" s="20" t="s">
        <v>133</v>
      </c>
      <c r="J485" s="20" t="s">
        <v>134</v>
      </c>
      <c r="K485" s="20" t="s">
        <v>98</v>
      </c>
      <c r="L485" s="20">
        <v>4486</v>
      </c>
      <c r="M485" s="20">
        <v>0.89185722946849999</v>
      </c>
      <c r="N485" s="20">
        <v>0.84310494165890204</v>
      </c>
      <c r="O485" s="20">
        <v>2050</v>
      </c>
      <c r="P485" s="20">
        <v>1127.1986160539</v>
      </c>
      <c r="Q485" s="20">
        <v>141.97380799941499</v>
      </c>
      <c r="R485" s="20">
        <v>2297.8137992477</v>
      </c>
      <c r="S485" s="20">
        <v>5757.3247860621796</v>
      </c>
      <c r="T485" s="20">
        <v>20</v>
      </c>
      <c r="U485" s="20">
        <v>1</v>
      </c>
      <c r="V485" s="20">
        <v>9.5161431467346898</v>
      </c>
      <c r="W485" s="20">
        <v>21.822369786062499</v>
      </c>
      <c r="X485" s="20">
        <v>37.389592365835902</v>
      </c>
      <c r="Y485" s="20">
        <v>56.700100498064302</v>
      </c>
      <c r="Z485" s="20">
        <v>80.072675962800403</v>
      </c>
      <c r="AA485" s="20">
        <v>107.523656203778</v>
      </c>
      <c r="AB485" s="20">
        <v>138.67943452665199</v>
      </c>
      <c r="AC485" s="20">
        <v>172.75180775789701</v>
      </c>
      <c r="AD485" s="20">
        <v>208.483785271919</v>
      </c>
      <c r="AE485" s="20">
        <v>244.23010678277399</v>
      </c>
      <c r="AF485" t="str">
        <f t="shared" si="30"/>
        <v>NonResidential</v>
      </c>
      <c r="AG485" t="str">
        <f>tbl_Data_old[[#This Row],[All_Meas_Name_Append]]</f>
        <v>Efficient Exhaust Hood</v>
      </c>
      <c r="AH485">
        <f>AVERAGEIFS('3. Incentive Adjustment'!G:G,'3. Incentive Adjustment'!A:A,tbl_Data_old[[#This Row],[Trimmed Sector]],'3. Incentive Adjustment'!B:B,tbl_Data_old[[#This Row],[Trimmed Measure Name]])</f>
        <v>0.51531219842413434</v>
      </c>
      <c r="AI485">
        <f>$AH485*tbl_Data_old[[#This Row],[2025 ]]</f>
        <v>4.9037846454626122</v>
      </c>
      <c r="AJ485">
        <f>$AH485*tbl_Data_old[[#This Row],[2026 ]]</f>
        <v>11.245333349280273</v>
      </c>
      <c r="AK485">
        <f>$AH485*tbl_Data_old[[#This Row],[2027 ]]</f>
        <v>19.267313040221129</v>
      </c>
      <c r="AL485">
        <f>$AH485*tbl_Data_old[[#This Row],[2028 ]]</f>
        <v>29.218253438526869</v>
      </c>
      <c r="AM485">
        <f>$AH485*tbl_Data_old[[#This Row],[2029 ]]</f>
        <v>41.262426684094017</v>
      </c>
      <c r="AN485">
        <f>$AH485*tbl_Data_old[[#This Row],[2030 ]]</f>
        <v>55.408251660969654</v>
      </c>
      <c r="AO485">
        <f>$AH485*tbl_Data_old[[#This Row],[2031 ]]</f>
        <v>71.463204282144829</v>
      </c>
      <c r="AP485">
        <f>$AH485*tbl_Data_old[[#This Row],[2032 ]]</f>
        <v>89.021113837465336</v>
      </c>
      <c r="AQ485">
        <f>$AH485*tbl_Data_old[[#This Row],[2033 ]]</f>
        <v>107.43423772425774</v>
      </c>
      <c r="AR485">
        <f>$AH485*tbl_Data_old[[#This Row],[2034 ]]</f>
        <v>125.85475324759234</v>
      </c>
      <c r="AS485">
        <f>SUM(tbl_Data_old[[#This Row],[Adjusted 2025]:[Adjusted 2034]])</f>
        <v>555.0786719100148</v>
      </c>
      <c r="AT485" s="3">
        <f>AVERAGEIFS('3. Incentive Adjustment'!F:F,'3. Incentive Adjustment'!A:A,tbl_Data_old[[#This Row],[Trimmed Sector]],'3. Incentive Adjustment'!B:B,tbl_Data_old[[#This Row],[Trimmed Measure Name]])</f>
        <v>0</v>
      </c>
      <c r="AU485" s="3">
        <f>IFERROR(VLOOKUP(tbl_Data_old[[#This Row],[All_Meas_Name_Append]],'IRA Tax Credits'!$A$3:$D$46,4,0),0)</f>
        <v>0</v>
      </c>
      <c r="AV485" s="4">
        <f>tbl_Data_old[[#This Row],[Adj. per unit Incentive ($)]]/tbl_Data_old[[#This Row],[kWh Savings]]*tbl_Data_old[[#This Row],[Sum of Annuals]]</f>
        <v>0</v>
      </c>
      <c r="AW485" s="4">
        <f>IFERROR(VLOOKUP(tbl_Data_old[[#This Row],[All_Programs]],'1. Set Program Names'!$B$2:$D$15,3,0)*tbl_Data_old[[#This Row],[Sum of Annuals]],"")</f>
        <v>17.567238696014869</v>
      </c>
      <c r="AX485" s="4">
        <f>tbl_Data_old[[#This Row],[per unit IRA tax ($)]]/tbl_Data_old[[#This Row],[kWh Savings]]*tbl_Data_old[[#This Row],[Sum of Annuals]]</f>
        <v>0</v>
      </c>
      <c r="AY485" s="4">
        <f>tbl_Data_old[[#This Row],[Avoided Costs ($/unit)]]/tbl_Data_old[[#This Row],[kWh Savings]]*tbl_Data_old[[#This Row],[Sum of Annuals]]</f>
        <v>284.32176370551019</v>
      </c>
      <c r="AZ485" s="4">
        <f>tbl_Data_old[[#This Row],[Lost Revenue ($/unit)]]/tbl_Data_old[[#This Row],[kWh Savings]]*tbl_Data_old[[#This Row],[Sum of Annuals]]</f>
        <v>712.38702541284101</v>
      </c>
      <c r="BA485" s="4">
        <f>tbl_Data_old[[#This Row],[Incremental Cost ($/unit)]]/tbl_Data_old[[#This Row],[kWh Savings]]*tbl_Data_old[[#This Row],[Sum of Annuals]]</f>
        <v>253.65833201416191</v>
      </c>
      <c r="BB485">
        <f>ROUNDUP(tbl_Data_old[[#This Row],[Adjusted 2025]]/$L485,0)</f>
        <v>1</v>
      </c>
      <c r="BC485">
        <f>ROUNDUP(tbl_Data_old[[#This Row],[Adjusted 2026]]/$L485,0)</f>
        <v>1</v>
      </c>
      <c r="BD485">
        <f>ROUNDUP(tbl_Data_old[[#This Row],[Adjusted 2027]]/$L485,0)</f>
        <v>1</v>
      </c>
      <c r="BE485">
        <f>ROUNDUP(tbl_Data_old[[#This Row],[Adjusted 2028]]/$L485,0)</f>
        <v>1</v>
      </c>
      <c r="BF485">
        <f>ROUNDUP(tbl_Data_old[[#This Row],[Adjusted 2029]]/$L485,0)</f>
        <v>1</v>
      </c>
      <c r="BG485">
        <f>ROUNDUP(tbl_Data_old[[#This Row],[Adjusted 2030]]/$L485,0)</f>
        <v>1</v>
      </c>
      <c r="BH485">
        <f>ROUNDUP(tbl_Data_old[[#This Row],[Adjusted 2031]]/$L485,0)</f>
        <v>1</v>
      </c>
      <c r="BI485">
        <f>ROUNDUP(tbl_Data_old[[#This Row],[Adjusted 2032]]/$L485,0)</f>
        <v>1</v>
      </c>
      <c r="BJ485">
        <f>ROUNDUP(tbl_Data_old[[#This Row],[Adjusted 2033]]/$L485,0)</f>
        <v>1</v>
      </c>
      <c r="BK485">
        <f>ROUNDUP(tbl_Data_old[[#This Row],[Adjusted 2034]]/$L485,0)</f>
        <v>1</v>
      </c>
      <c r="BL485" s="3">
        <f t="shared" si="33"/>
        <v>0</v>
      </c>
      <c r="BM485" s="3">
        <f t="shared" si="33"/>
        <v>0</v>
      </c>
      <c r="BN485" s="3">
        <f t="shared" si="33"/>
        <v>0</v>
      </c>
      <c r="BO485" s="3">
        <f t="shared" si="33"/>
        <v>0</v>
      </c>
      <c r="BP485" s="3">
        <f t="shared" si="33"/>
        <v>0</v>
      </c>
      <c r="BQ485" s="3">
        <f t="shared" si="33"/>
        <v>0</v>
      </c>
      <c r="BR485" s="3">
        <f t="shared" si="33"/>
        <v>0</v>
      </c>
      <c r="BS485" s="3">
        <f t="shared" si="33"/>
        <v>0</v>
      </c>
      <c r="BT485" s="3">
        <f t="shared" si="33"/>
        <v>0</v>
      </c>
      <c r="BU485" s="3">
        <f t="shared" si="33"/>
        <v>0</v>
      </c>
      <c r="BV485">
        <f>VLOOKUP($H485,'1. Set Program Names'!$B$2:$D$15,3,0)*V485</f>
        <v>0.30116876504892098</v>
      </c>
      <c r="BW485">
        <f>VLOOKUP($H485,'1. Set Program Names'!$B$2:$D$15,3,0)*W485</f>
        <v>0.69063863979016316</v>
      </c>
      <c r="BX485">
        <f>VLOOKUP($H485,'1. Set Program Names'!$B$2:$D$15,3,0)*X485</f>
        <v>1.1833131537502404</v>
      </c>
      <c r="BY485">
        <f>VLOOKUP($H485,'1. Set Program Names'!$B$2:$D$15,3,0)*Y485</f>
        <v>1.7944559031787148</v>
      </c>
      <c r="BZ485">
        <f>VLOOKUP($H485,'1. Set Program Names'!$B$2:$D$15,3,0)*Z485</f>
        <v>2.5341557563847519</v>
      </c>
      <c r="CA485">
        <f>VLOOKUP($H485,'1. Set Program Names'!$B$2:$D$15,3,0)*AA485</f>
        <v>3.4029297639924843</v>
      </c>
      <c r="CB485">
        <f>VLOOKUP($H485,'1. Set Program Names'!$B$2:$D$15,3,0)*AB485</f>
        <v>4.3889539480504531</v>
      </c>
      <c r="CC485">
        <f>VLOOKUP($H485,'1. Set Program Names'!$B$2:$D$15,3,0)*AC485</f>
        <v>5.4672830999044848</v>
      </c>
      <c r="CD485">
        <f>VLOOKUP($H485,'1. Set Program Names'!$B$2:$D$15,3,0)*AD485</f>
        <v>6.5981357336573092</v>
      </c>
      <c r="CE485">
        <f>VLOOKUP($H485,'1. Set Program Names'!$B$2:$D$15,3,0)*AE485</f>
        <v>7.7294423290357051</v>
      </c>
    </row>
    <row r="486" spans="1:83" x14ac:dyDescent="0.25">
      <c r="A486" s="20" t="s">
        <v>117</v>
      </c>
      <c r="B486" s="20" t="s">
        <v>88</v>
      </c>
      <c r="C486" s="20" t="s">
        <v>122</v>
      </c>
      <c r="D486" s="20" t="s">
        <v>90</v>
      </c>
      <c r="E486" s="20" t="s">
        <v>91</v>
      </c>
      <c r="F486" s="20" t="s">
        <v>90</v>
      </c>
      <c r="G486" s="20" t="s">
        <v>92</v>
      </c>
      <c r="H486" s="20" t="s">
        <v>18</v>
      </c>
      <c r="I486" s="20" t="s">
        <v>173</v>
      </c>
      <c r="J486" s="20" t="s">
        <v>129</v>
      </c>
      <c r="K486" s="20" t="s">
        <v>130</v>
      </c>
      <c r="L486" s="20">
        <v>142641.03499999901</v>
      </c>
      <c r="M486" s="20">
        <v>27.8398087391258</v>
      </c>
      <c r="N486" s="20">
        <v>0</v>
      </c>
      <c r="O486" s="20">
        <v>59303.302436563899</v>
      </c>
      <c r="P486" s="20">
        <v>29333.7078862829</v>
      </c>
      <c r="Q486" s="20">
        <v>4514.3314569611503</v>
      </c>
      <c r="R486" s="20">
        <v>66617.989682832806</v>
      </c>
      <c r="S486" s="20">
        <v>154925.29091738301</v>
      </c>
      <c r="T486" s="20">
        <v>15</v>
      </c>
      <c r="U486" s="20">
        <v>1</v>
      </c>
      <c r="V486" s="20">
        <v>0</v>
      </c>
      <c r="W486" s="20">
        <v>0</v>
      </c>
      <c r="X486" s="20">
        <v>0</v>
      </c>
      <c r="Y486" s="20">
        <v>0</v>
      </c>
      <c r="Z486" s="20">
        <v>0</v>
      </c>
      <c r="AA486" s="20">
        <v>0</v>
      </c>
      <c r="AB486" s="20">
        <v>0</v>
      </c>
      <c r="AC486" s="20">
        <v>0</v>
      </c>
      <c r="AD486" s="20">
        <v>0</v>
      </c>
      <c r="AE486" s="20">
        <v>0</v>
      </c>
      <c r="AF486" t="str">
        <f t="shared" si="30"/>
        <v>NonResidential</v>
      </c>
      <c r="AG486" t="str">
        <f>tbl_Data_old[[#This Row],[All_Meas_Name_Append]]</f>
        <v>Facility Energy Management System_SC</v>
      </c>
      <c r="AH486">
        <f>AVERAGEIFS('3. Incentive Adjustment'!G:G,'3. Incentive Adjustment'!A:A,tbl_Data_old[[#This Row],[Trimmed Sector]],'3. Incentive Adjustment'!B:B,tbl_Data_old[[#This Row],[Trimmed Measure Name]])</f>
        <v>0.86797534995247072</v>
      </c>
      <c r="AI486">
        <f>$AH486*tbl_Data_old[[#This Row],[2025 ]]</f>
        <v>0</v>
      </c>
      <c r="AJ486">
        <f>$AH486*tbl_Data_old[[#This Row],[2026 ]]</f>
        <v>0</v>
      </c>
      <c r="AK486">
        <f>$AH486*tbl_Data_old[[#This Row],[2027 ]]</f>
        <v>0</v>
      </c>
      <c r="AL486">
        <f>$AH486*tbl_Data_old[[#This Row],[2028 ]]</f>
        <v>0</v>
      </c>
      <c r="AM486">
        <f>$AH486*tbl_Data_old[[#This Row],[2029 ]]</f>
        <v>0</v>
      </c>
      <c r="AN486">
        <f>$AH486*tbl_Data_old[[#This Row],[2030 ]]</f>
        <v>0</v>
      </c>
      <c r="AO486">
        <f>$AH486*tbl_Data_old[[#This Row],[2031 ]]</f>
        <v>0</v>
      </c>
      <c r="AP486">
        <f>$AH486*tbl_Data_old[[#This Row],[2032 ]]</f>
        <v>0</v>
      </c>
      <c r="AQ486">
        <f>$AH486*tbl_Data_old[[#This Row],[2033 ]]</f>
        <v>0</v>
      </c>
      <c r="AR486">
        <f>$AH486*tbl_Data_old[[#This Row],[2034 ]]</f>
        <v>0</v>
      </c>
      <c r="AS486">
        <f>SUM(tbl_Data_old[[#This Row],[Adjusted 2025]:[Adjusted 2034]])</f>
        <v>0</v>
      </c>
      <c r="AT486" s="3">
        <f>AVERAGEIFS('3. Incentive Adjustment'!F:F,'3. Incentive Adjustment'!A:A,tbl_Data_old[[#This Row],[Trimmed Sector]],'3. Incentive Adjustment'!B:B,tbl_Data_old[[#This Row],[Trimmed Measure Name]])</f>
        <v>21679.111511953593</v>
      </c>
      <c r="AU486" s="3">
        <f>IFERROR(VLOOKUP(tbl_Data_old[[#This Row],[All_Meas_Name_Append]],'IRA Tax Credits'!$A$3:$D$46,4,0),0)</f>
        <v>0</v>
      </c>
      <c r="AV486" s="4">
        <f>tbl_Data_old[[#This Row],[Adj. per unit Incentive ($)]]/tbl_Data_old[[#This Row],[kWh Savings]]*tbl_Data_old[[#This Row],[Sum of Annuals]]</f>
        <v>0</v>
      </c>
      <c r="AW486" s="4">
        <f>IFERROR(VLOOKUP(tbl_Data_old[[#This Row],[All_Programs]],'1. Set Program Names'!$B$2:$D$15,3,0)*tbl_Data_old[[#This Row],[Sum of Annuals]],"")</f>
        <v>0</v>
      </c>
      <c r="AX486" s="4">
        <f>tbl_Data_old[[#This Row],[per unit IRA tax ($)]]/tbl_Data_old[[#This Row],[kWh Savings]]*tbl_Data_old[[#This Row],[Sum of Annuals]]</f>
        <v>0</v>
      </c>
      <c r="AY486" s="4">
        <f>tbl_Data_old[[#This Row],[Avoided Costs ($/unit)]]/tbl_Data_old[[#This Row],[kWh Savings]]*tbl_Data_old[[#This Row],[Sum of Annuals]]</f>
        <v>0</v>
      </c>
      <c r="AZ486" s="4">
        <f>tbl_Data_old[[#This Row],[Lost Revenue ($/unit)]]/tbl_Data_old[[#This Row],[kWh Savings]]*tbl_Data_old[[#This Row],[Sum of Annuals]]</f>
        <v>0</v>
      </c>
      <c r="BA486" s="4">
        <f>tbl_Data_old[[#This Row],[Incremental Cost ($/unit)]]/tbl_Data_old[[#This Row],[kWh Savings]]*tbl_Data_old[[#This Row],[Sum of Annuals]]</f>
        <v>0</v>
      </c>
      <c r="BB486">
        <f>ROUNDUP(tbl_Data_old[[#This Row],[Adjusted 2025]]/$L486,0)</f>
        <v>0</v>
      </c>
      <c r="BC486">
        <f>ROUNDUP(tbl_Data_old[[#This Row],[Adjusted 2026]]/$L486,0)</f>
        <v>0</v>
      </c>
      <c r="BD486">
        <f>ROUNDUP(tbl_Data_old[[#This Row],[Adjusted 2027]]/$L486,0)</f>
        <v>0</v>
      </c>
      <c r="BE486">
        <f>ROUNDUP(tbl_Data_old[[#This Row],[Adjusted 2028]]/$L486,0)</f>
        <v>0</v>
      </c>
      <c r="BF486">
        <f>ROUNDUP(tbl_Data_old[[#This Row],[Adjusted 2029]]/$L486,0)</f>
        <v>0</v>
      </c>
      <c r="BG486">
        <f>ROUNDUP(tbl_Data_old[[#This Row],[Adjusted 2030]]/$L486,0)</f>
        <v>0</v>
      </c>
      <c r="BH486">
        <f>ROUNDUP(tbl_Data_old[[#This Row],[Adjusted 2031]]/$L486,0)</f>
        <v>0</v>
      </c>
      <c r="BI486">
        <f>ROUNDUP(tbl_Data_old[[#This Row],[Adjusted 2032]]/$L486,0)</f>
        <v>0</v>
      </c>
      <c r="BJ486">
        <f>ROUNDUP(tbl_Data_old[[#This Row],[Adjusted 2033]]/$L486,0)</f>
        <v>0</v>
      </c>
      <c r="BK486">
        <f>ROUNDUP(tbl_Data_old[[#This Row],[Adjusted 2034]]/$L486,0)</f>
        <v>0</v>
      </c>
      <c r="BL486" s="3">
        <f t="shared" si="33"/>
        <v>0</v>
      </c>
      <c r="BM486" s="3">
        <f t="shared" si="33"/>
        <v>0</v>
      </c>
      <c r="BN486" s="3">
        <f t="shared" si="33"/>
        <v>0</v>
      </c>
      <c r="BO486" s="3">
        <f t="shared" si="33"/>
        <v>0</v>
      </c>
      <c r="BP486" s="3">
        <f t="shared" si="33"/>
        <v>0</v>
      </c>
      <c r="BQ486" s="3">
        <f t="shared" si="33"/>
        <v>0</v>
      </c>
      <c r="BR486" s="3">
        <f t="shared" si="33"/>
        <v>0</v>
      </c>
      <c r="BS486" s="3">
        <f t="shared" si="33"/>
        <v>0</v>
      </c>
      <c r="BT486" s="3">
        <f t="shared" si="33"/>
        <v>0</v>
      </c>
      <c r="BU486" s="3">
        <f t="shared" si="33"/>
        <v>0</v>
      </c>
      <c r="BV486">
        <f>VLOOKUP($H486,'1. Set Program Names'!$B$2:$D$15,3,0)*V486</f>
        <v>0</v>
      </c>
      <c r="BW486">
        <f>VLOOKUP($H486,'1. Set Program Names'!$B$2:$D$15,3,0)*W486</f>
        <v>0</v>
      </c>
      <c r="BX486">
        <f>VLOOKUP($H486,'1. Set Program Names'!$B$2:$D$15,3,0)*X486</f>
        <v>0</v>
      </c>
      <c r="BY486">
        <f>VLOOKUP($H486,'1. Set Program Names'!$B$2:$D$15,3,0)*Y486</f>
        <v>0</v>
      </c>
      <c r="BZ486">
        <f>VLOOKUP($H486,'1. Set Program Names'!$B$2:$D$15,3,0)*Z486</f>
        <v>0</v>
      </c>
      <c r="CA486">
        <f>VLOOKUP($H486,'1. Set Program Names'!$B$2:$D$15,3,0)*AA486</f>
        <v>0</v>
      </c>
      <c r="CB486">
        <f>VLOOKUP($H486,'1. Set Program Names'!$B$2:$D$15,3,0)*AB486</f>
        <v>0</v>
      </c>
      <c r="CC486">
        <f>VLOOKUP($H486,'1. Set Program Names'!$B$2:$D$15,3,0)*AC486</f>
        <v>0</v>
      </c>
      <c r="CD486">
        <f>VLOOKUP($H486,'1. Set Program Names'!$B$2:$D$15,3,0)*AD486</f>
        <v>0</v>
      </c>
      <c r="CE486">
        <f>VLOOKUP($H486,'1. Set Program Names'!$B$2:$D$15,3,0)*AE486</f>
        <v>0</v>
      </c>
    </row>
    <row r="487" spans="1:83" x14ac:dyDescent="0.25">
      <c r="A487" s="20" t="s">
        <v>117</v>
      </c>
      <c r="B487" s="20" t="s">
        <v>88</v>
      </c>
      <c r="C487" s="20" t="s">
        <v>122</v>
      </c>
      <c r="D487" s="20" t="s">
        <v>90</v>
      </c>
      <c r="E487" s="20" t="s">
        <v>91</v>
      </c>
      <c r="F487" s="20" t="s">
        <v>90</v>
      </c>
      <c r="G487" s="20" t="s">
        <v>92</v>
      </c>
      <c r="H487" s="20" t="s">
        <v>18</v>
      </c>
      <c r="I487" s="20" t="s">
        <v>174</v>
      </c>
      <c r="J487" s="20" t="s">
        <v>132</v>
      </c>
      <c r="K487" s="20" t="s">
        <v>130</v>
      </c>
      <c r="L487" s="20">
        <v>2657.18</v>
      </c>
      <c r="M487" s="20">
        <v>0</v>
      </c>
      <c r="N487" s="20">
        <v>0.57468805905447795</v>
      </c>
      <c r="O487" s="20">
        <v>1080.72711480357</v>
      </c>
      <c r="P487" s="20">
        <v>534.12671770284101</v>
      </c>
      <c r="Q487" s="20">
        <v>84.094953887624897</v>
      </c>
      <c r="R487" s="20">
        <v>1466.48739383472</v>
      </c>
      <c r="S487" s="20">
        <v>2886.0165275711402</v>
      </c>
      <c r="T487" s="20">
        <v>15</v>
      </c>
      <c r="U487" s="20">
        <v>1</v>
      </c>
      <c r="V487" s="20">
        <v>1.41064074809628E-2</v>
      </c>
      <c r="W487" s="20">
        <v>3.3056004140125203E-2</v>
      </c>
      <c r="X487" s="20">
        <v>5.7814680139095798E-2</v>
      </c>
      <c r="Y487" s="20">
        <v>8.9087037415269299E-2</v>
      </c>
      <c r="Z487" s="20">
        <v>0.12692731855565101</v>
      </c>
      <c r="AA487" s="20">
        <v>0.17065356708063101</v>
      </c>
      <c r="AB487" s="20">
        <v>0.21843112998848799</v>
      </c>
      <c r="AC487" s="20">
        <v>0.26761780865219498</v>
      </c>
      <c r="AD487" s="20">
        <v>0.31541578530577202</v>
      </c>
      <c r="AE487" s="20">
        <v>0.35922303934257199</v>
      </c>
      <c r="AF487" t="str">
        <f t="shared" si="30"/>
        <v>NonResidential</v>
      </c>
      <c r="AG487" t="str">
        <f>tbl_Data_old[[#This Row],[All_Meas_Name_Append]]</f>
        <v>Facility Energy Management System_SH</v>
      </c>
      <c r="AH487">
        <f>AVERAGEIFS('3. Incentive Adjustment'!G:G,'3. Incentive Adjustment'!A:A,tbl_Data_old[[#This Row],[Trimmed Sector]],'3. Incentive Adjustment'!B:B,tbl_Data_old[[#This Row],[Trimmed Measure Name]])</f>
        <v>0.63685031373688805</v>
      </c>
      <c r="AI487">
        <f>$AH487*tbl_Data_old[[#This Row],[2025 ]]</f>
        <v>8.9836700299515439E-3</v>
      </c>
      <c r="AJ487">
        <f>$AH487*tbl_Data_old[[#This Row],[2026 ]]</f>
        <v>2.1051726607526605E-2</v>
      </c>
      <c r="AK487">
        <f>$AH487*tbl_Data_old[[#This Row],[2027 ]]</f>
        <v>3.6819297185180989E-2</v>
      </c>
      <c r="AL487">
        <f>$AH487*tbl_Data_old[[#This Row],[2028 ]]</f>
        <v>5.6735107727804136E-2</v>
      </c>
      <c r="AM487">
        <f>$AH487*tbl_Data_old[[#This Row],[2029 ]]</f>
        <v>8.0833702643948277E-2</v>
      </c>
      <c r="AN487">
        <f>$AH487*tbl_Data_old[[#This Row],[2030 ]]</f>
        <v>0.10868077773561893</v>
      </c>
      <c r="AO487">
        <f>$AH487*tbl_Data_old[[#This Row],[2031 ]]</f>
        <v>0.13910793366307156</v>
      </c>
      <c r="AP487">
        <f>$AH487*tbl_Data_old[[#This Row],[2032 ]]</f>
        <v>0.17043248540172884</v>
      </c>
      <c r="AQ487">
        <f>$AH487*tbl_Data_old[[#This Row],[2033 ]]</f>
        <v>0.20087264182954784</v>
      </c>
      <c r="AR487">
        <f>$AH487*tbl_Data_old[[#This Row],[2034 ]]</f>
        <v>0.22877130530683545</v>
      </c>
      <c r="AS487">
        <f>SUM(tbl_Data_old[[#This Row],[Adjusted 2025]:[Adjusted 2034]])</f>
        <v>1.0522886481312141</v>
      </c>
      <c r="AT487" s="3">
        <f>AVERAGEIFS('3. Incentive Adjustment'!F:F,'3. Incentive Adjustment'!A:A,tbl_Data_old[[#This Row],[Trimmed Sector]],'3. Incentive Adjustment'!B:B,tbl_Data_old[[#This Row],[Trimmed Measure Name]])</f>
        <v>79.715399999999988</v>
      </c>
      <c r="AU487" s="3">
        <f>IFERROR(VLOOKUP(tbl_Data_old[[#This Row],[All_Meas_Name_Append]],'IRA Tax Credits'!$A$3:$D$46,4,0),0)</f>
        <v>0</v>
      </c>
      <c r="AV487" s="4">
        <f>tbl_Data_old[[#This Row],[Adj. per unit Incentive ($)]]/tbl_Data_old[[#This Row],[kWh Savings]]*tbl_Data_old[[#This Row],[Sum of Annuals]]</f>
        <v>3.1568659443936421E-2</v>
      </c>
      <c r="AW487" s="4">
        <f>IFERROR(VLOOKUP(tbl_Data_old[[#This Row],[All_Programs]],'1. Set Program Names'!$B$2:$D$15,3,0)*tbl_Data_old[[#This Row],[Sum of Annuals]],"")</f>
        <v>3.3303037559015813E-2</v>
      </c>
      <c r="AX487" s="4">
        <f>tbl_Data_old[[#This Row],[per unit IRA tax ($)]]/tbl_Data_old[[#This Row],[kWh Savings]]*tbl_Data_old[[#This Row],[Sum of Annuals]]</f>
        <v>0</v>
      </c>
      <c r="AY487" s="4">
        <f>tbl_Data_old[[#This Row],[Avoided Costs ($/unit)]]/tbl_Data_old[[#This Row],[kWh Savings]]*tbl_Data_old[[#This Row],[Sum of Annuals]]</f>
        <v>0.58075404645519124</v>
      </c>
      <c r="AZ487" s="4">
        <f>tbl_Data_old[[#This Row],[Lost Revenue ($/unit)]]/tbl_Data_old[[#This Row],[kWh Savings]]*tbl_Data_old[[#This Row],[Sum of Annuals]]</f>
        <v>1.1429118201560211</v>
      </c>
      <c r="BA487" s="4">
        <f>tbl_Data_old[[#This Row],[Incremental Cost ($/unit)]]/tbl_Data_old[[#This Row],[kWh Savings]]*tbl_Data_old[[#This Row],[Sum of Annuals]]</f>
        <v>0.4279863895691659</v>
      </c>
      <c r="BB487">
        <f>ROUNDUP(tbl_Data_old[[#This Row],[Adjusted 2025]]/$L487,0)</f>
        <v>1</v>
      </c>
      <c r="BC487">
        <f>ROUNDUP(tbl_Data_old[[#This Row],[Adjusted 2026]]/$L487,0)</f>
        <v>1</v>
      </c>
      <c r="BD487">
        <f>ROUNDUP(tbl_Data_old[[#This Row],[Adjusted 2027]]/$L487,0)</f>
        <v>1</v>
      </c>
      <c r="BE487">
        <f>ROUNDUP(tbl_Data_old[[#This Row],[Adjusted 2028]]/$L487,0)</f>
        <v>1</v>
      </c>
      <c r="BF487">
        <f>ROUNDUP(tbl_Data_old[[#This Row],[Adjusted 2029]]/$L487,0)</f>
        <v>1</v>
      </c>
      <c r="BG487">
        <f>ROUNDUP(tbl_Data_old[[#This Row],[Adjusted 2030]]/$L487,0)</f>
        <v>1</v>
      </c>
      <c r="BH487">
        <f>ROUNDUP(tbl_Data_old[[#This Row],[Adjusted 2031]]/$L487,0)</f>
        <v>1</v>
      </c>
      <c r="BI487">
        <f>ROUNDUP(tbl_Data_old[[#This Row],[Adjusted 2032]]/$L487,0)</f>
        <v>1</v>
      </c>
      <c r="BJ487">
        <f>ROUNDUP(tbl_Data_old[[#This Row],[Adjusted 2033]]/$L487,0)</f>
        <v>1</v>
      </c>
      <c r="BK487">
        <f>ROUNDUP(tbl_Data_old[[#This Row],[Adjusted 2034]]/$L487,0)</f>
        <v>1</v>
      </c>
      <c r="BL487" s="3">
        <f t="shared" si="33"/>
        <v>4.2319222442888397E-4</v>
      </c>
      <c r="BM487" s="3">
        <f t="shared" si="33"/>
        <v>9.91680124203756E-4</v>
      </c>
      <c r="BN487" s="3">
        <f t="shared" si="33"/>
        <v>1.7344404041728738E-3</v>
      </c>
      <c r="BO487" s="3">
        <f t="shared" si="33"/>
        <v>2.6726111224580789E-3</v>
      </c>
      <c r="BP487" s="3">
        <f t="shared" si="33"/>
        <v>3.80781955666953E-3</v>
      </c>
      <c r="BQ487" s="3">
        <f t="shared" si="33"/>
        <v>5.1196070124189304E-3</v>
      </c>
      <c r="BR487" s="3">
        <f t="shared" si="33"/>
        <v>6.5529338996546393E-3</v>
      </c>
      <c r="BS487" s="3">
        <f t="shared" si="33"/>
        <v>8.0285342595658483E-3</v>
      </c>
      <c r="BT487" s="3">
        <f t="shared" si="33"/>
        <v>9.4624735591731599E-3</v>
      </c>
      <c r="BU487" s="3">
        <f t="shared" si="33"/>
        <v>1.0776691180277159E-2</v>
      </c>
      <c r="BV487">
        <f>VLOOKUP($H487,'1. Set Program Names'!$B$2:$D$15,3,0)*V487</f>
        <v>4.464423511510753E-4</v>
      </c>
      <c r="BW487">
        <f>VLOOKUP($H487,'1. Set Program Names'!$B$2:$D$15,3,0)*W487</f>
        <v>1.0461629034814986E-3</v>
      </c>
      <c r="BX487">
        <f>VLOOKUP($H487,'1. Set Program Names'!$B$2:$D$15,3,0)*X487</f>
        <v>1.8297303383003963E-3</v>
      </c>
      <c r="BY487">
        <f>VLOOKUP($H487,'1. Set Program Names'!$B$2:$D$15,3,0)*Y487</f>
        <v>2.8194440359411818E-3</v>
      </c>
      <c r="BZ487">
        <f>VLOOKUP($H487,'1. Set Program Names'!$B$2:$D$15,3,0)*Z487</f>
        <v>4.0170206764379357E-3</v>
      </c>
      <c r="CA487">
        <f>VLOOKUP($H487,'1. Set Program Names'!$B$2:$D$15,3,0)*AA487</f>
        <v>5.400877567347479E-3</v>
      </c>
      <c r="CB487">
        <f>VLOOKUP($H487,'1. Set Program Names'!$B$2:$D$15,3,0)*AB487</f>
        <v>6.9129512505753119E-3</v>
      </c>
      <c r="CC487">
        <f>VLOOKUP($H487,'1. Set Program Names'!$B$2:$D$15,3,0)*AC487</f>
        <v>8.4696209056644919E-3</v>
      </c>
      <c r="CD487">
        <f>VLOOKUP($H487,'1. Set Program Names'!$B$2:$D$15,3,0)*AD487</f>
        <v>9.9823406471213506E-3</v>
      </c>
      <c r="CE487">
        <f>VLOOKUP($H487,'1. Set Program Names'!$B$2:$D$15,3,0)*AE487</f>
        <v>1.1368761216359477E-2</v>
      </c>
    </row>
    <row r="488" spans="1:83" x14ac:dyDescent="0.25">
      <c r="A488" s="20" t="s">
        <v>117</v>
      </c>
      <c r="B488" s="20" t="s">
        <v>88</v>
      </c>
      <c r="C488" s="20" t="s">
        <v>122</v>
      </c>
      <c r="D488" s="20" t="s">
        <v>90</v>
      </c>
      <c r="E488" s="20" t="s">
        <v>91</v>
      </c>
      <c r="F488" s="20" t="s">
        <v>90</v>
      </c>
      <c r="G488" s="20" t="s">
        <v>92</v>
      </c>
      <c r="H488" s="20" t="s">
        <v>18</v>
      </c>
      <c r="I488" s="20" t="s">
        <v>145</v>
      </c>
      <c r="J488" s="20" t="s">
        <v>129</v>
      </c>
      <c r="K488" s="20" t="s">
        <v>98</v>
      </c>
      <c r="L488" s="20">
        <v>1452.1399999999801</v>
      </c>
      <c r="M488" s="20">
        <v>0.33467704377742202</v>
      </c>
      <c r="N488" s="20">
        <v>4.3977319526113799E-2</v>
      </c>
      <c r="O488" s="20">
        <v>654.99999999999898</v>
      </c>
      <c r="P488" s="20">
        <v>358.56061649158102</v>
      </c>
      <c r="Q488" s="20">
        <v>45.957611580086699</v>
      </c>
      <c r="R488" s="20">
        <v>761.15206993055403</v>
      </c>
      <c r="S488" s="20">
        <v>1577.19839843259</v>
      </c>
      <c r="T488" s="20">
        <v>15</v>
      </c>
      <c r="U488" s="20">
        <v>0.94999999999999896</v>
      </c>
      <c r="V488" s="20">
        <v>4.8572910833813203E-2</v>
      </c>
      <c r="W488" s="20">
        <v>0.102159086235834</v>
      </c>
      <c r="X488" s="20">
        <v>0.159968155557487</v>
      </c>
      <c r="Y488" s="20">
        <v>0.22152772577035401</v>
      </c>
      <c r="Z488" s="20">
        <v>0.28634900276883501</v>
      </c>
      <c r="AA488" s="20">
        <v>0.35393745355190198</v>
      </c>
      <c r="AB488" s="20">
        <v>0.4238547691915</v>
      </c>
      <c r="AC488" s="20">
        <v>0.49585773884295198</v>
      </c>
      <c r="AD488" s="20">
        <v>0.56979664619214399</v>
      </c>
      <c r="AE488" s="20">
        <v>0.64543944560919997</v>
      </c>
      <c r="AF488" t="str">
        <f t="shared" si="30"/>
        <v>NonResidential</v>
      </c>
      <c r="AG488" t="str">
        <f>tbl_Data_old[[#This Row],[All_Meas_Name_Append]]</f>
        <v>HE DX Less than 5.4 Tons Elect Heat</v>
      </c>
      <c r="AH488">
        <f>AVERAGEIFS('3. Incentive Adjustment'!G:G,'3. Incentive Adjustment'!A:A,tbl_Data_old[[#This Row],[Trimmed Sector]],'3. Incentive Adjustment'!B:B,tbl_Data_old[[#This Row],[Trimmed Measure Name]])</f>
        <v>0.74493198517309978</v>
      </c>
      <c r="AI488">
        <f>$AH488*tbl_Data_old[[#This Row],[2025 ]]</f>
        <v>3.6183514893068432E-2</v>
      </c>
      <c r="AJ488">
        <f>$AH488*tbl_Data_old[[#This Row],[2026 ]]</f>
        <v>7.6101570913129718E-2</v>
      </c>
      <c r="AK488">
        <f>$AH488*tbl_Data_old[[#This Row],[2027 ]]</f>
        <v>0.11916539568391803</v>
      </c>
      <c r="AL488">
        <f>$AH488*tbl_Data_old[[#This Row],[2028 ]]</f>
        <v>0.16502308852899186</v>
      </c>
      <c r="AM488">
        <f>$AH488*tbl_Data_old[[#This Row],[2029 ]]</f>
        <v>0.2133105310849257</v>
      </c>
      <c r="AN488">
        <f>$AH488*tbl_Data_old[[#This Row],[2030 ]]</f>
        <v>0.26365932990153013</v>
      </c>
      <c r="AO488">
        <f>$AH488*tbl_Data_old[[#This Row],[2031 ]]</f>
        <v>0.3157429746389101</v>
      </c>
      <c r="AP488">
        <f>$AH488*tbl_Data_old[[#This Row],[2032 ]]</f>
        <v>0.3693802897597247</v>
      </c>
      <c r="AQ488">
        <f>$AH488*tbl_Data_old[[#This Row],[2033 ]]</f>
        <v>0.42445974679288817</v>
      </c>
      <c r="AR488">
        <f>$AH488*tbl_Data_old[[#This Row],[2034 ]]</f>
        <v>0.48080848752668631</v>
      </c>
      <c r="AS488">
        <f>SUM(tbl_Data_old[[#This Row],[Adjusted 2025]:[Adjusted 2034]])</f>
        <v>2.4638349297237729</v>
      </c>
      <c r="AT488" s="3">
        <f>AVERAGEIFS('3. Incentive Adjustment'!F:F,'3. Incentive Adjustment'!A:A,tbl_Data_old[[#This Row],[Trimmed Sector]],'3. Incentive Adjustment'!B:B,tbl_Data_old[[#This Row],[Trimmed Measure Name]])</f>
        <v>196.49999999999969</v>
      </c>
      <c r="AU488" s="3">
        <f>IFERROR(VLOOKUP(tbl_Data_old[[#This Row],[All_Meas_Name_Append]],'IRA Tax Credits'!$A$3:$D$46,4,0),0)</f>
        <v>0</v>
      </c>
      <c r="AV488" s="4">
        <f>tbl_Data_old[[#This Row],[Adj. per unit Incentive ($)]]/tbl_Data_old[[#This Row],[kWh Savings]]*tbl_Data_old[[#This Row],[Sum of Annuals]]</f>
        <v>0.33340006038724035</v>
      </c>
      <c r="AW488" s="4">
        <f>IFERROR(VLOOKUP(tbl_Data_old[[#This Row],[All_Programs]],'1. Set Program Names'!$B$2:$D$15,3,0)*tbl_Data_old[[#This Row],[Sum of Annuals]],"")</f>
        <v>7.7975931175848209E-2</v>
      </c>
      <c r="AX488" s="4">
        <f>tbl_Data_old[[#This Row],[per unit IRA tax ($)]]/tbl_Data_old[[#This Row],[kWh Savings]]*tbl_Data_old[[#This Row],[Sum of Annuals]]</f>
        <v>0</v>
      </c>
      <c r="AY488" s="4">
        <f>tbl_Data_old[[#This Row],[Avoided Costs ($/unit)]]/tbl_Data_old[[#This Row],[kWh Savings]]*tbl_Data_old[[#This Row],[Sum of Annuals]]</f>
        <v>1.2914409469654968</v>
      </c>
      <c r="AZ488" s="4">
        <f>tbl_Data_old[[#This Row],[Lost Revenue ($/unit)]]/tbl_Data_old[[#This Row],[kWh Savings]]*tbl_Data_old[[#This Row],[Sum of Annuals]]</f>
        <v>2.676020566310866</v>
      </c>
      <c r="BA488" s="4">
        <f>tbl_Data_old[[#This Row],[Incremental Cost ($/unit)]]/tbl_Data_old[[#This Row],[kWh Savings]]*tbl_Data_old[[#This Row],[Sum of Annuals]]</f>
        <v>1.1113335346241346</v>
      </c>
      <c r="BB488">
        <f>ROUNDUP(tbl_Data_old[[#This Row],[Adjusted 2025]]/$L488,0)</f>
        <v>1</v>
      </c>
      <c r="BC488">
        <f>ROUNDUP(tbl_Data_old[[#This Row],[Adjusted 2026]]/$L488,0)</f>
        <v>1</v>
      </c>
      <c r="BD488">
        <f>ROUNDUP(tbl_Data_old[[#This Row],[Adjusted 2027]]/$L488,0)</f>
        <v>1</v>
      </c>
      <c r="BE488">
        <f>ROUNDUP(tbl_Data_old[[#This Row],[Adjusted 2028]]/$L488,0)</f>
        <v>1</v>
      </c>
      <c r="BF488">
        <f>ROUNDUP(tbl_Data_old[[#This Row],[Adjusted 2029]]/$L488,0)</f>
        <v>1</v>
      </c>
      <c r="BG488">
        <f>ROUNDUP(tbl_Data_old[[#This Row],[Adjusted 2030]]/$L488,0)</f>
        <v>1</v>
      </c>
      <c r="BH488">
        <f>ROUNDUP(tbl_Data_old[[#This Row],[Adjusted 2031]]/$L488,0)</f>
        <v>1</v>
      </c>
      <c r="BI488">
        <f>ROUNDUP(tbl_Data_old[[#This Row],[Adjusted 2032]]/$L488,0)</f>
        <v>1</v>
      </c>
      <c r="BJ488">
        <f>ROUNDUP(tbl_Data_old[[#This Row],[Adjusted 2033]]/$L488,0)</f>
        <v>1</v>
      </c>
      <c r="BK488">
        <f>ROUNDUP(tbl_Data_old[[#This Row],[Adjusted 2034]]/$L488,0)</f>
        <v>1</v>
      </c>
      <c r="BL488" s="3">
        <f t="shared" si="33"/>
        <v>6.5727663853653298E-3</v>
      </c>
      <c r="BM488" s="3">
        <f t="shared" si="33"/>
        <v>1.382391535619267E-2</v>
      </c>
      <c r="BN488" s="3">
        <f t="shared" si="33"/>
        <v>2.1646495907451466E-2</v>
      </c>
      <c r="BO488" s="3">
        <f t="shared" si="33"/>
        <v>2.9976584980700959E-2</v>
      </c>
      <c r="BP488" s="3">
        <f t="shared" si="33"/>
        <v>3.8748040164224361E-2</v>
      </c>
      <c r="BQ488" s="3">
        <f t="shared" si="33"/>
        <v>4.7893942473142798E-2</v>
      </c>
      <c r="BR488" s="3">
        <f t="shared" si="33"/>
        <v>5.7354981025335545E-2</v>
      </c>
      <c r="BS488" s="3">
        <f t="shared" si="33"/>
        <v>6.7098245129699086E-2</v>
      </c>
      <c r="BT488" s="3">
        <f t="shared" si="33"/>
        <v>7.7103475544202105E-2</v>
      </c>
      <c r="BU488" s="3">
        <f t="shared" si="33"/>
        <v>8.7339272427045131E-2</v>
      </c>
      <c r="BV488">
        <f>VLOOKUP($H488,'1. Set Program Names'!$B$2:$D$15,3,0)*V488</f>
        <v>1.5372450104084931E-3</v>
      </c>
      <c r="BW488">
        <f>VLOOKUP($H488,'1. Set Program Names'!$B$2:$D$15,3,0)*W488</f>
        <v>3.2331508013022682E-3</v>
      </c>
      <c r="BX488">
        <f>VLOOKUP($H488,'1. Set Program Names'!$B$2:$D$15,3,0)*X488</f>
        <v>5.062703567351585E-3</v>
      </c>
      <c r="BY488">
        <f>VLOOKUP($H488,'1. Set Program Names'!$B$2:$D$15,3,0)*Y488</f>
        <v>7.0109529213257457E-3</v>
      </c>
      <c r="BZ488">
        <f>VLOOKUP($H488,'1. Set Program Names'!$B$2:$D$15,3,0)*Z488</f>
        <v>9.0624294114860747E-3</v>
      </c>
      <c r="CA488">
        <f>VLOOKUP($H488,'1. Set Program Names'!$B$2:$D$15,3,0)*AA488</f>
        <v>1.1201481960405615E-2</v>
      </c>
      <c r="CB488">
        <f>VLOOKUP($H488,'1. Set Program Names'!$B$2:$D$15,3,0)*AB488</f>
        <v>1.3414238881148099E-2</v>
      </c>
      <c r="CC488">
        <f>VLOOKUP($H488,'1. Set Program Names'!$B$2:$D$15,3,0)*AC488</f>
        <v>1.5693002989191556E-2</v>
      </c>
      <c r="CD488">
        <f>VLOOKUP($H488,'1. Set Program Names'!$B$2:$D$15,3,0)*AD488</f>
        <v>1.8033036033257701E-2</v>
      </c>
      <c r="CE488">
        <f>VLOOKUP($H488,'1. Set Program Names'!$B$2:$D$15,3,0)*AE488</f>
        <v>2.0426994187732816E-2</v>
      </c>
    </row>
    <row r="489" spans="1:83" x14ac:dyDescent="0.25">
      <c r="A489" s="20" t="s">
        <v>117</v>
      </c>
      <c r="B489" s="20" t="s">
        <v>88</v>
      </c>
      <c r="C489" s="20" t="s">
        <v>122</v>
      </c>
      <c r="D489" s="20" t="s">
        <v>90</v>
      </c>
      <c r="E489" s="20" t="s">
        <v>91</v>
      </c>
      <c r="F489" s="20" t="s">
        <v>90</v>
      </c>
      <c r="G489" s="20" t="s">
        <v>92</v>
      </c>
      <c r="H489" s="20" t="s">
        <v>18</v>
      </c>
      <c r="I489" s="20" t="s">
        <v>146</v>
      </c>
      <c r="J489" s="20" t="s">
        <v>129</v>
      </c>
      <c r="K489" s="20" t="s">
        <v>98</v>
      </c>
      <c r="L489" s="20">
        <v>23719.439999999999</v>
      </c>
      <c r="M489" s="20">
        <v>5.4597690026648404</v>
      </c>
      <c r="N489" s="20">
        <v>0</v>
      </c>
      <c r="O489" s="20">
        <v>11386</v>
      </c>
      <c r="P489" s="20">
        <v>6681.8656442185202</v>
      </c>
      <c r="Q489" s="20">
        <v>750.67749006099905</v>
      </c>
      <c r="R489" s="20">
        <v>13758.6347393458</v>
      </c>
      <c r="S489" s="20">
        <v>32663.358650317699</v>
      </c>
      <c r="T489" s="20">
        <v>23</v>
      </c>
      <c r="U489" s="20">
        <v>1</v>
      </c>
      <c r="V489" s="20">
        <v>0</v>
      </c>
      <c r="W489" s="20">
        <v>0</v>
      </c>
      <c r="X489" s="20">
        <v>0</v>
      </c>
      <c r="Y489" s="20">
        <v>0</v>
      </c>
      <c r="Z489" s="20">
        <v>0</v>
      </c>
      <c r="AA489" s="20">
        <v>0</v>
      </c>
      <c r="AB489" s="20">
        <v>0</v>
      </c>
      <c r="AC489" s="20">
        <v>0</v>
      </c>
      <c r="AD489" s="20">
        <v>0</v>
      </c>
      <c r="AE489" s="20">
        <v>0</v>
      </c>
      <c r="AF489" t="str">
        <f t="shared" si="30"/>
        <v>NonResidential</v>
      </c>
      <c r="AG489" t="str">
        <f>tbl_Data_old[[#This Row],[All_Meas_Name_Append]]</f>
        <v>HE Water Cooled Chiller - Centrifugal Compressor - 200 Tons</v>
      </c>
      <c r="AH489">
        <f>AVERAGEIFS('3. Incentive Adjustment'!G:G,'3. Incentive Adjustment'!A:A,tbl_Data_old[[#This Row],[Trimmed Sector]],'3. Incentive Adjustment'!B:B,tbl_Data_old[[#This Row],[Trimmed Measure Name]])</f>
        <v>0.69536855707903378</v>
      </c>
      <c r="AI489">
        <f>$AH489*tbl_Data_old[[#This Row],[2025 ]]</f>
        <v>0</v>
      </c>
      <c r="AJ489">
        <f>$AH489*tbl_Data_old[[#This Row],[2026 ]]</f>
        <v>0</v>
      </c>
      <c r="AK489">
        <f>$AH489*tbl_Data_old[[#This Row],[2027 ]]</f>
        <v>0</v>
      </c>
      <c r="AL489">
        <f>$AH489*tbl_Data_old[[#This Row],[2028 ]]</f>
        <v>0</v>
      </c>
      <c r="AM489">
        <f>$AH489*tbl_Data_old[[#This Row],[2029 ]]</f>
        <v>0</v>
      </c>
      <c r="AN489">
        <f>$AH489*tbl_Data_old[[#This Row],[2030 ]]</f>
        <v>0</v>
      </c>
      <c r="AO489">
        <f>$AH489*tbl_Data_old[[#This Row],[2031 ]]</f>
        <v>0</v>
      </c>
      <c r="AP489">
        <f>$AH489*tbl_Data_old[[#This Row],[2032 ]]</f>
        <v>0</v>
      </c>
      <c r="AQ489">
        <f>$AH489*tbl_Data_old[[#This Row],[2033 ]]</f>
        <v>0</v>
      </c>
      <c r="AR489">
        <f>$AH489*tbl_Data_old[[#This Row],[2034 ]]</f>
        <v>0</v>
      </c>
      <c r="AS489">
        <f>SUM(tbl_Data_old[[#This Row],[Adjusted 2025]:[Adjusted 2034]])</f>
        <v>0</v>
      </c>
      <c r="AT489" s="3">
        <f>AVERAGEIFS('3. Incentive Adjustment'!F:F,'3. Incentive Adjustment'!A:A,tbl_Data_old[[#This Row],[Trimmed Sector]],'3. Incentive Adjustment'!B:B,tbl_Data_old[[#This Row],[Trimmed Measure Name]])</f>
        <v>3415.7999999999997</v>
      </c>
      <c r="AU489" s="3">
        <f>IFERROR(VLOOKUP(tbl_Data_old[[#This Row],[All_Meas_Name_Append]],'IRA Tax Credits'!$A$3:$D$46,4,0),0)</f>
        <v>0</v>
      </c>
      <c r="AV489" s="4">
        <f>tbl_Data_old[[#This Row],[Adj. per unit Incentive ($)]]/tbl_Data_old[[#This Row],[kWh Savings]]*tbl_Data_old[[#This Row],[Sum of Annuals]]</f>
        <v>0</v>
      </c>
      <c r="AW489" s="4">
        <f>IFERROR(VLOOKUP(tbl_Data_old[[#This Row],[All_Programs]],'1. Set Program Names'!$B$2:$D$15,3,0)*tbl_Data_old[[#This Row],[Sum of Annuals]],"")</f>
        <v>0</v>
      </c>
      <c r="AX489" s="4">
        <f>tbl_Data_old[[#This Row],[per unit IRA tax ($)]]/tbl_Data_old[[#This Row],[kWh Savings]]*tbl_Data_old[[#This Row],[Sum of Annuals]]</f>
        <v>0</v>
      </c>
      <c r="AY489" s="4">
        <f>tbl_Data_old[[#This Row],[Avoided Costs ($/unit)]]/tbl_Data_old[[#This Row],[kWh Savings]]*tbl_Data_old[[#This Row],[Sum of Annuals]]</f>
        <v>0</v>
      </c>
      <c r="AZ489" s="4">
        <f>tbl_Data_old[[#This Row],[Lost Revenue ($/unit)]]/tbl_Data_old[[#This Row],[kWh Savings]]*tbl_Data_old[[#This Row],[Sum of Annuals]]</f>
        <v>0</v>
      </c>
      <c r="BA489" s="4">
        <f>tbl_Data_old[[#This Row],[Incremental Cost ($/unit)]]/tbl_Data_old[[#This Row],[kWh Savings]]*tbl_Data_old[[#This Row],[Sum of Annuals]]</f>
        <v>0</v>
      </c>
      <c r="BB489">
        <f>ROUNDUP(tbl_Data_old[[#This Row],[Adjusted 2025]]/$L489,0)</f>
        <v>0</v>
      </c>
      <c r="BC489">
        <f>ROUNDUP(tbl_Data_old[[#This Row],[Adjusted 2026]]/$L489,0)</f>
        <v>0</v>
      </c>
      <c r="BD489">
        <f>ROUNDUP(tbl_Data_old[[#This Row],[Adjusted 2027]]/$L489,0)</f>
        <v>0</v>
      </c>
      <c r="BE489">
        <f>ROUNDUP(tbl_Data_old[[#This Row],[Adjusted 2028]]/$L489,0)</f>
        <v>0</v>
      </c>
      <c r="BF489">
        <f>ROUNDUP(tbl_Data_old[[#This Row],[Adjusted 2029]]/$L489,0)</f>
        <v>0</v>
      </c>
      <c r="BG489">
        <f>ROUNDUP(tbl_Data_old[[#This Row],[Adjusted 2030]]/$L489,0)</f>
        <v>0</v>
      </c>
      <c r="BH489">
        <f>ROUNDUP(tbl_Data_old[[#This Row],[Adjusted 2031]]/$L489,0)</f>
        <v>0</v>
      </c>
      <c r="BI489">
        <f>ROUNDUP(tbl_Data_old[[#This Row],[Adjusted 2032]]/$L489,0)</f>
        <v>0</v>
      </c>
      <c r="BJ489">
        <f>ROUNDUP(tbl_Data_old[[#This Row],[Adjusted 2033]]/$L489,0)</f>
        <v>0</v>
      </c>
      <c r="BK489">
        <f>ROUNDUP(tbl_Data_old[[#This Row],[Adjusted 2034]]/$L489,0)</f>
        <v>0</v>
      </c>
      <c r="BL489" s="3">
        <f t="shared" si="33"/>
        <v>0</v>
      </c>
      <c r="BM489" s="3">
        <f t="shared" si="33"/>
        <v>0</v>
      </c>
      <c r="BN489" s="3">
        <f t="shared" si="33"/>
        <v>0</v>
      </c>
      <c r="BO489" s="3">
        <f t="shared" si="33"/>
        <v>0</v>
      </c>
      <c r="BP489" s="3">
        <f t="shared" si="33"/>
        <v>0</v>
      </c>
      <c r="BQ489" s="3">
        <f t="shared" si="33"/>
        <v>0</v>
      </c>
      <c r="BR489" s="3">
        <f t="shared" si="33"/>
        <v>0</v>
      </c>
      <c r="BS489" s="3">
        <f t="shared" si="33"/>
        <v>0</v>
      </c>
      <c r="BT489" s="3">
        <f t="shared" si="33"/>
        <v>0</v>
      </c>
      <c r="BU489" s="3">
        <f t="shared" si="33"/>
        <v>0</v>
      </c>
      <c r="BV489">
        <f>VLOOKUP($H489,'1. Set Program Names'!$B$2:$D$15,3,0)*V489</f>
        <v>0</v>
      </c>
      <c r="BW489">
        <f>VLOOKUP($H489,'1. Set Program Names'!$B$2:$D$15,3,0)*W489</f>
        <v>0</v>
      </c>
      <c r="BX489">
        <f>VLOOKUP($H489,'1. Set Program Names'!$B$2:$D$15,3,0)*X489</f>
        <v>0</v>
      </c>
      <c r="BY489">
        <f>VLOOKUP($H489,'1. Set Program Names'!$B$2:$D$15,3,0)*Y489</f>
        <v>0</v>
      </c>
      <c r="BZ489">
        <f>VLOOKUP($H489,'1. Set Program Names'!$B$2:$D$15,3,0)*Z489</f>
        <v>0</v>
      </c>
      <c r="CA489">
        <f>VLOOKUP($H489,'1. Set Program Names'!$B$2:$D$15,3,0)*AA489</f>
        <v>0</v>
      </c>
      <c r="CB489">
        <f>VLOOKUP($H489,'1. Set Program Names'!$B$2:$D$15,3,0)*AB489</f>
        <v>0</v>
      </c>
      <c r="CC489">
        <f>VLOOKUP($H489,'1. Set Program Names'!$B$2:$D$15,3,0)*AC489</f>
        <v>0</v>
      </c>
      <c r="CD489">
        <f>VLOOKUP($H489,'1. Set Program Names'!$B$2:$D$15,3,0)*AD489</f>
        <v>0</v>
      </c>
      <c r="CE489">
        <f>VLOOKUP($H489,'1. Set Program Names'!$B$2:$D$15,3,0)*AE489</f>
        <v>0</v>
      </c>
    </row>
    <row r="490" spans="1:83" x14ac:dyDescent="0.25">
      <c r="A490" s="20" t="s">
        <v>117</v>
      </c>
      <c r="B490" s="20" t="s">
        <v>88</v>
      </c>
      <c r="C490" s="20" t="s">
        <v>122</v>
      </c>
      <c r="D490" s="20" t="s">
        <v>90</v>
      </c>
      <c r="E490" s="20" t="s">
        <v>91</v>
      </c>
      <c r="F490" s="20" t="s">
        <v>90</v>
      </c>
      <c r="G490" s="20" t="s">
        <v>92</v>
      </c>
      <c r="H490" s="20" t="s">
        <v>18</v>
      </c>
      <c r="I490" s="20" t="s">
        <v>147</v>
      </c>
      <c r="J490" s="20" t="s">
        <v>129</v>
      </c>
      <c r="K490" s="20" t="s">
        <v>98</v>
      </c>
      <c r="L490" s="20">
        <v>51564</v>
      </c>
      <c r="M490" s="20">
        <v>11.869063049271301</v>
      </c>
      <c r="N490" s="20">
        <v>0</v>
      </c>
      <c r="O490" s="20">
        <v>19806</v>
      </c>
      <c r="P490" s="20">
        <v>9503.5476574024997</v>
      </c>
      <c r="Q490" s="20">
        <v>1631.9075870891199</v>
      </c>
      <c r="R490" s="20">
        <v>29910.075520317099</v>
      </c>
      <c r="S490" s="20">
        <v>71007.301413734196</v>
      </c>
      <c r="T490" s="20">
        <v>23</v>
      </c>
      <c r="U490" s="20">
        <v>1</v>
      </c>
      <c r="V490" s="20">
        <v>0</v>
      </c>
      <c r="W490" s="20">
        <v>0</v>
      </c>
      <c r="X490" s="20">
        <v>0</v>
      </c>
      <c r="Y490" s="20">
        <v>0</v>
      </c>
      <c r="Z490" s="20">
        <v>0</v>
      </c>
      <c r="AA490" s="20">
        <v>0</v>
      </c>
      <c r="AB490" s="20">
        <v>0</v>
      </c>
      <c r="AC490" s="20">
        <v>0</v>
      </c>
      <c r="AD490" s="20">
        <v>0</v>
      </c>
      <c r="AE490" s="20">
        <v>0</v>
      </c>
      <c r="AF490" t="str">
        <f t="shared" si="30"/>
        <v>NonResidential</v>
      </c>
      <c r="AG490" t="str">
        <f>tbl_Data_old[[#This Row],[All_Meas_Name_Append]]</f>
        <v>HE Water Cooled Chiller - Centrifugal Compressor - 500 Tons</v>
      </c>
      <c r="AH490">
        <f>AVERAGEIFS('3. Incentive Adjustment'!G:G,'3. Incentive Adjustment'!A:A,tbl_Data_old[[#This Row],[Trimmed Sector]],'3. Incentive Adjustment'!B:B,tbl_Data_old[[#This Row],[Trimmed Measure Name]])</f>
        <v>0.83338953851620801</v>
      </c>
      <c r="AI490">
        <f>$AH490*tbl_Data_old[[#This Row],[2025 ]]</f>
        <v>0</v>
      </c>
      <c r="AJ490">
        <f>$AH490*tbl_Data_old[[#This Row],[2026 ]]</f>
        <v>0</v>
      </c>
      <c r="AK490">
        <f>$AH490*tbl_Data_old[[#This Row],[2027 ]]</f>
        <v>0</v>
      </c>
      <c r="AL490">
        <f>$AH490*tbl_Data_old[[#This Row],[2028 ]]</f>
        <v>0</v>
      </c>
      <c r="AM490">
        <f>$AH490*tbl_Data_old[[#This Row],[2029 ]]</f>
        <v>0</v>
      </c>
      <c r="AN490">
        <f>$AH490*tbl_Data_old[[#This Row],[2030 ]]</f>
        <v>0</v>
      </c>
      <c r="AO490">
        <f>$AH490*tbl_Data_old[[#This Row],[2031 ]]</f>
        <v>0</v>
      </c>
      <c r="AP490">
        <f>$AH490*tbl_Data_old[[#This Row],[2032 ]]</f>
        <v>0</v>
      </c>
      <c r="AQ490">
        <f>$AH490*tbl_Data_old[[#This Row],[2033 ]]</f>
        <v>0</v>
      </c>
      <c r="AR490">
        <f>$AH490*tbl_Data_old[[#This Row],[2034 ]]</f>
        <v>0</v>
      </c>
      <c r="AS490">
        <f>SUM(tbl_Data_old[[#This Row],[Adjusted 2025]:[Adjusted 2034]])</f>
        <v>0</v>
      </c>
      <c r="AT490" s="3">
        <f>AVERAGEIFS('3. Incentive Adjustment'!F:F,'3. Incentive Adjustment'!A:A,tbl_Data_old[[#This Row],[Trimmed Sector]],'3. Incentive Adjustment'!B:B,tbl_Data_old[[#This Row],[Trimmed Measure Name]])</f>
        <v>5941.8</v>
      </c>
      <c r="AU490" s="3">
        <f>IFERROR(VLOOKUP(tbl_Data_old[[#This Row],[All_Meas_Name_Append]],'IRA Tax Credits'!$A$3:$D$46,4,0),0)</f>
        <v>0</v>
      </c>
      <c r="AV490" s="4">
        <f>tbl_Data_old[[#This Row],[Adj. per unit Incentive ($)]]/tbl_Data_old[[#This Row],[kWh Savings]]*tbl_Data_old[[#This Row],[Sum of Annuals]]</f>
        <v>0</v>
      </c>
      <c r="AW490" s="4">
        <f>IFERROR(VLOOKUP(tbl_Data_old[[#This Row],[All_Programs]],'1. Set Program Names'!$B$2:$D$15,3,0)*tbl_Data_old[[#This Row],[Sum of Annuals]],"")</f>
        <v>0</v>
      </c>
      <c r="AX490" s="4">
        <f>tbl_Data_old[[#This Row],[per unit IRA tax ($)]]/tbl_Data_old[[#This Row],[kWh Savings]]*tbl_Data_old[[#This Row],[Sum of Annuals]]</f>
        <v>0</v>
      </c>
      <c r="AY490" s="4">
        <f>tbl_Data_old[[#This Row],[Avoided Costs ($/unit)]]/tbl_Data_old[[#This Row],[kWh Savings]]*tbl_Data_old[[#This Row],[Sum of Annuals]]</f>
        <v>0</v>
      </c>
      <c r="AZ490" s="4">
        <f>tbl_Data_old[[#This Row],[Lost Revenue ($/unit)]]/tbl_Data_old[[#This Row],[kWh Savings]]*tbl_Data_old[[#This Row],[Sum of Annuals]]</f>
        <v>0</v>
      </c>
      <c r="BA490" s="4">
        <f>tbl_Data_old[[#This Row],[Incremental Cost ($/unit)]]/tbl_Data_old[[#This Row],[kWh Savings]]*tbl_Data_old[[#This Row],[Sum of Annuals]]</f>
        <v>0</v>
      </c>
      <c r="BB490">
        <f>ROUNDUP(tbl_Data_old[[#This Row],[Adjusted 2025]]/$L490,0)</f>
        <v>0</v>
      </c>
      <c r="BC490">
        <f>ROUNDUP(tbl_Data_old[[#This Row],[Adjusted 2026]]/$L490,0)</f>
        <v>0</v>
      </c>
      <c r="BD490">
        <f>ROUNDUP(tbl_Data_old[[#This Row],[Adjusted 2027]]/$L490,0)</f>
        <v>0</v>
      </c>
      <c r="BE490">
        <f>ROUNDUP(tbl_Data_old[[#This Row],[Adjusted 2028]]/$L490,0)</f>
        <v>0</v>
      </c>
      <c r="BF490">
        <f>ROUNDUP(tbl_Data_old[[#This Row],[Adjusted 2029]]/$L490,0)</f>
        <v>0</v>
      </c>
      <c r="BG490">
        <f>ROUNDUP(tbl_Data_old[[#This Row],[Adjusted 2030]]/$L490,0)</f>
        <v>0</v>
      </c>
      <c r="BH490">
        <f>ROUNDUP(tbl_Data_old[[#This Row],[Adjusted 2031]]/$L490,0)</f>
        <v>0</v>
      </c>
      <c r="BI490">
        <f>ROUNDUP(tbl_Data_old[[#This Row],[Adjusted 2032]]/$L490,0)</f>
        <v>0</v>
      </c>
      <c r="BJ490">
        <f>ROUNDUP(tbl_Data_old[[#This Row],[Adjusted 2033]]/$L490,0)</f>
        <v>0</v>
      </c>
      <c r="BK490">
        <f>ROUNDUP(tbl_Data_old[[#This Row],[Adjusted 2034]]/$L490,0)</f>
        <v>0</v>
      </c>
      <c r="BL490" s="3">
        <f t="shared" si="33"/>
        <v>0</v>
      </c>
      <c r="BM490" s="3">
        <f t="shared" si="33"/>
        <v>0</v>
      </c>
      <c r="BN490" s="3">
        <f t="shared" si="33"/>
        <v>0</v>
      </c>
      <c r="BO490" s="3">
        <f t="shared" si="33"/>
        <v>0</v>
      </c>
      <c r="BP490" s="3">
        <f t="shared" si="33"/>
        <v>0</v>
      </c>
      <c r="BQ490" s="3">
        <f t="shared" si="33"/>
        <v>0</v>
      </c>
      <c r="BR490" s="3">
        <f t="shared" si="33"/>
        <v>0</v>
      </c>
      <c r="BS490" s="3">
        <f t="shared" si="33"/>
        <v>0</v>
      </c>
      <c r="BT490" s="3">
        <f t="shared" si="33"/>
        <v>0</v>
      </c>
      <c r="BU490" s="3">
        <f t="shared" si="33"/>
        <v>0</v>
      </c>
      <c r="BV490">
        <f>VLOOKUP($H490,'1. Set Program Names'!$B$2:$D$15,3,0)*V490</f>
        <v>0</v>
      </c>
      <c r="BW490">
        <f>VLOOKUP($H490,'1. Set Program Names'!$B$2:$D$15,3,0)*W490</f>
        <v>0</v>
      </c>
      <c r="BX490">
        <f>VLOOKUP($H490,'1. Set Program Names'!$B$2:$D$15,3,0)*X490</f>
        <v>0</v>
      </c>
      <c r="BY490">
        <f>VLOOKUP($H490,'1. Set Program Names'!$B$2:$D$15,3,0)*Y490</f>
        <v>0</v>
      </c>
      <c r="BZ490">
        <f>VLOOKUP($H490,'1. Set Program Names'!$B$2:$D$15,3,0)*Z490</f>
        <v>0</v>
      </c>
      <c r="CA490">
        <f>VLOOKUP($H490,'1. Set Program Names'!$B$2:$D$15,3,0)*AA490</f>
        <v>0</v>
      </c>
      <c r="CB490">
        <f>VLOOKUP($H490,'1. Set Program Names'!$B$2:$D$15,3,0)*AB490</f>
        <v>0</v>
      </c>
      <c r="CC490">
        <f>VLOOKUP($H490,'1. Set Program Names'!$B$2:$D$15,3,0)*AC490</f>
        <v>0</v>
      </c>
      <c r="CD490">
        <f>VLOOKUP($H490,'1. Set Program Names'!$B$2:$D$15,3,0)*AD490</f>
        <v>0</v>
      </c>
      <c r="CE490">
        <f>VLOOKUP($H490,'1. Set Program Names'!$B$2:$D$15,3,0)*AE490</f>
        <v>0</v>
      </c>
    </row>
    <row r="491" spans="1:83" x14ac:dyDescent="0.25">
      <c r="A491" s="20" t="s">
        <v>117</v>
      </c>
      <c r="B491" s="20" t="s">
        <v>88</v>
      </c>
      <c r="C491" s="20" t="s">
        <v>122</v>
      </c>
      <c r="D491" s="20" t="s">
        <v>90</v>
      </c>
      <c r="E491" s="20" t="s">
        <v>91</v>
      </c>
      <c r="F491" s="20" t="s">
        <v>90</v>
      </c>
      <c r="G491" s="20" t="s">
        <v>92</v>
      </c>
      <c r="H491" s="20" t="s">
        <v>18</v>
      </c>
      <c r="I491" s="20" t="s">
        <v>148</v>
      </c>
      <c r="J491" s="20" t="s">
        <v>129</v>
      </c>
      <c r="K491" s="20" t="s">
        <v>98</v>
      </c>
      <c r="L491" s="20">
        <v>552.51399999999899</v>
      </c>
      <c r="M491" s="20">
        <v>0.19160575593909501</v>
      </c>
      <c r="N491" s="20">
        <v>0</v>
      </c>
      <c r="O491" s="20">
        <v>129</v>
      </c>
      <c r="P491" s="20">
        <v>16.0943430226503</v>
      </c>
      <c r="Q491" s="20">
        <v>17.486071456306</v>
      </c>
      <c r="R491" s="20">
        <v>212.35909497904299</v>
      </c>
      <c r="S491" s="20">
        <v>383.33946557666002</v>
      </c>
      <c r="T491" s="20">
        <v>8</v>
      </c>
      <c r="U491" s="20">
        <v>1</v>
      </c>
      <c r="V491" s="20">
        <v>0</v>
      </c>
      <c r="W491" s="20">
        <v>0</v>
      </c>
      <c r="X491" s="20">
        <v>0</v>
      </c>
      <c r="Y491" s="20">
        <v>0</v>
      </c>
      <c r="Z491" s="20">
        <v>0</v>
      </c>
      <c r="AA491" s="20">
        <v>0</v>
      </c>
      <c r="AB491" s="20">
        <v>0</v>
      </c>
      <c r="AC491" s="20">
        <v>0</v>
      </c>
      <c r="AD491" s="20">
        <v>0</v>
      </c>
      <c r="AE491" s="20">
        <v>0</v>
      </c>
      <c r="AF491" t="str">
        <f t="shared" si="30"/>
        <v>NonResidential</v>
      </c>
      <c r="AG491" t="str">
        <f>tbl_Data_old[[#This Row],[All_Meas_Name_Append]]</f>
        <v>High Efficiency PTAC</v>
      </c>
      <c r="AH491">
        <f>AVERAGEIFS('3. Incentive Adjustment'!G:G,'3. Incentive Adjustment'!A:A,tbl_Data_old[[#This Row],[Trimmed Sector]],'3. Incentive Adjustment'!B:B,tbl_Data_old[[#This Row],[Trimmed Measure Name]])</f>
        <v>1.1757614296438725</v>
      </c>
      <c r="AI491">
        <f>$AH491*tbl_Data_old[[#This Row],[2025 ]]</f>
        <v>0</v>
      </c>
      <c r="AJ491">
        <f>$AH491*tbl_Data_old[[#This Row],[2026 ]]</f>
        <v>0</v>
      </c>
      <c r="AK491">
        <f>$AH491*tbl_Data_old[[#This Row],[2027 ]]</f>
        <v>0</v>
      </c>
      <c r="AL491">
        <f>$AH491*tbl_Data_old[[#This Row],[2028 ]]</f>
        <v>0</v>
      </c>
      <c r="AM491">
        <f>$AH491*tbl_Data_old[[#This Row],[2029 ]]</f>
        <v>0</v>
      </c>
      <c r="AN491">
        <f>$AH491*tbl_Data_old[[#This Row],[2030 ]]</f>
        <v>0</v>
      </c>
      <c r="AO491">
        <f>$AH491*tbl_Data_old[[#This Row],[2031 ]]</f>
        <v>0</v>
      </c>
      <c r="AP491">
        <f>$AH491*tbl_Data_old[[#This Row],[2032 ]]</f>
        <v>0</v>
      </c>
      <c r="AQ491">
        <f>$AH491*tbl_Data_old[[#This Row],[2033 ]]</f>
        <v>0</v>
      </c>
      <c r="AR491">
        <f>$AH491*tbl_Data_old[[#This Row],[2034 ]]</f>
        <v>0</v>
      </c>
      <c r="AS491">
        <f>SUM(tbl_Data_old[[#This Row],[Adjusted 2025]:[Adjusted 2034]])</f>
        <v>0</v>
      </c>
      <c r="AT491" s="3">
        <f>AVERAGEIFS('3. Incentive Adjustment'!F:F,'3. Incentive Adjustment'!A:A,tbl_Data_old[[#This Row],[Trimmed Sector]],'3. Incentive Adjustment'!B:B,tbl_Data_old[[#This Row],[Trimmed Measure Name]])</f>
        <v>50</v>
      </c>
      <c r="AU491" s="3">
        <f>IFERROR(VLOOKUP(tbl_Data_old[[#This Row],[All_Meas_Name_Append]],'IRA Tax Credits'!$A$3:$D$46,4,0),0)</f>
        <v>0</v>
      </c>
      <c r="AV491" s="4">
        <f>tbl_Data_old[[#This Row],[Adj. per unit Incentive ($)]]/tbl_Data_old[[#This Row],[kWh Savings]]*tbl_Data_old[[#This Row],[Sum of Annuals]]</f>
        <v>0</v>
      </c>
      <c r="AW491" s="4">
        <f>IFERROR(VLOOKUP(tbl_Data_old[[#This Row],[All_Programs]],'1. Set Program Names'!$B$2:$D$15,3,0)*tbl_Data_old[[#This Row],[Sum of Annuals]],"")</f>
        <v>0</v>
      </c>
      <c r="AX491" s="4">
        <f>tbl_Data_old[[#This Row],[per unit IRA tax ($)]]/tbl_Data_old[[#This Row],[kWh Savings]]*tbl_Data_old[[#This Row],[Sum of Annuals]]</f>
        <v>0</v>
      </c>
      <c r="AY491" s="4">
        <f>tbl_Data_old[[#This Row],[Avoided Costs ($/unit)]]/tbl_Data_old[[#This Row],[kWh Savings]]*tbl_Data_old[[#This Row],[Sum of Annuals]]</f>
        <v>0</v>
      </c>
      <c r="AZ491" s="4">
        <f>tbl_Data_old[[#This Row],[Lost Revenue ($/unit)]]/tbl_Data_old[[#This Row],[kWh Savings]]*tbl_Data_old[[#This Row],[Sum of Annuals]]</f>
        <v>0</v>
      </c>
      <c r="BA491" s="4">
        <f>tbl_Data_old[[#This Row],[Incremental Cost ($/unit)]]/tbl_Data_old[[#This Row],[kWh Savings]]*tbl_Data_old[[#This Row],[Sum of Annuals]]</f>
        <v>0</v>
      </c>
      <c r="BB491">
        <f>ROUNDUP(tbl_Data_old[[#This Row],[Adjusted 2025]]/$L491,0)</f>
        <v>0</v>
      </c>
      <c r="BC491">
        <f>ROUNDUP(tbl_Data_old[[#This Row],[Adjusted 2026]]/$L491,0)</f>
        <v>0</v>
      </c>
      <c r="BD491">
        <f>ROUNDUP(tbl_Data_old[[#This Row],[Adjusted 2027]]/$L491,0)</f>
        <v>0</v>
      </c>
      <c r="BE491">
        <f>ROUNDUP(tbl_Data_old[[#This Row],[Adjusted 2028]]/$L491,0)</f>
        <v>0</v>
      </c>
      <c r="BF491">
        <f>ROUNDUP(tbl_Data_old[[#This Row],[Adjusted 2029]]/$L491,0)</f>
        <v>0</v>
      </c>
      <c r="BG491">
        <f>ROUNDUP(tbl_Data_old[[#This Row],[Adjusted 2030]]/$L491,0)</f>
        <v>0</v>
      </c>
      <c r="BH491">
        <f>ROUNDUP(tbl_Data_old[[#This Row],[Adjusted 2031]]/$L491,0)</f>
        <v>0</v>
      </c>
      <c r="BI491">
        <f>ROUNDUP(tbl_Data_old[[#This Row],[Adjusted 2032]]/$L491,0)</f>
        <v>0</v>
      </c>
      <c r="BJ491">
        <f>ROUNDUP(tbl_Data_old[[#This Row],[Adjusted 2033]]/$L491,0)</f>
        <v>0</v>
      </c>
      <c r="BK491">
        <f>ROUNDUP(tbl_Data_old[[#This Row],[Adjusted 2034]]/$L491,0)</f>
        <v>0</v>
      </c>
      <c r="BL491" s="3">
        <f t="shared" si="33"/>
        <v>0</v>
      </c>
      <c r="BM491" s="3">
        <f t="shared" si="33"/>
        <v>0</v>
      </c>
      <c r="BN491" s="3">
        <f t="shared" si="33"/>
        <v>0</v>
      </c>
      <c r="BO491" s="3">
        <f t="shared" si="33"/>
        <v>0</v>
      </c>
      <c r="BP491" s="3">
        <f t="shared" si="33"/>
        <v>0</v>
      </c>
      <c r="BQ491" s="3">
        <f t="shared" si="33"/>
        <v>0</v>
      </c>
      <c r="BR491" s="3">
        <f t="shared" si="33"/>
        <v>0</v>
      </c>
      <c r="BS491" s="3">
        <f t="shared" si="33"/>
        <v>0</v>
      </c>
      <c r="BT491" s="3">
        <f t="shared" si="33"/>
        <v>0</v>
      </c>
      <c r="BU491" s="3">
        <f t="shared" si="33"/>
        <v>0</v>
      </c>
      <c r="BV491">
        <f>VLOOKUP($H491,'1. Set Program Names'!$B$2:$D$15,3,0)*V491</f>
        <v>0</v>
      </c>
      <c r="BW491">
        <f>VLOOKUP($H491,'1. Set Program Names'!$B$2:$D$15,3,0)*W491</f>
        <v>0</v>
      </c>
      <c r="BX491">
        <f>VLOOKUP($H491,'1. Set Program Names'!$B$2:$D$15,3,0)*X491</f>
        <v>0</v>
      </c>
      <c r="BY491">
        <f>VLOOKUP($H491,'1. Set Program Names'!$B$2:$D$15,3,0)*Y491</f>
        <v>0</v>
      </c>
      <c r="BZ491">
        <f>VLOOKUP($H491,'1. Set Program Names'!$B$2:$D$15,3,0)*Z491</f>
        <v>0</v>
      </c>
      <c r="CA491">
        <f>VLOOKUP($H491,'1. Set Program Names'!$B$2:$D$15,3,0)*AA491</f>
        <v>0</v>
      </c>
      <c r="CB491">
        <f>VLOOKUP($H491,'1. Set Program Names'!$B$2:$D$15,3,0)*AB491</f>
        <v>0</v>
      </c>
      <c r="CC491">
        <f>VLOOKUP($H491,'1. Set Program Names'!$B$2:$D$15,3,0)*AC491</f>
        <v>0</v>
      </c>
      <c r="CD491">
        <f>VLOOKUP($H491,'1. Set Program Names'!$B$2:$D$15,3,0)*AD491</f>
        <v>0</v>
      </c>
      <c r="CE491">
        <f>VLOOKUP($H491,'1. Set Program Names'!$B$2:$D$15,3,0)*AE491</f>
        <v>0</v>
      </c>
    </row>
    <row r="492" spans="1:83" x14ac:dyDescent="0.25">
      <c r="A492" s="20" t="s">
        <v>117</v>
      </c>
      <c r="B492" s="20" t="s">
        <v>88</v>
      </c>
      <c r="C492" s="20" t="s">
        <v>122</v>
      </c>
      <c r="D492" s="20" t="s">
        <v>90</v>
      </c>
      <c r="E492" s="20" t="s">
        <v>91</v>
      </c>
      <c r="F492" s="20" t="s">
        <v>90</v>
      </c>
      <c r="G492" s="20" t="s">
        <v>92</v>
      </c>
      <c r="H492" s="20" t="s">
        <v>18</v>
      </c>
      <c r="I492" s="20" t="s">
        <v>149</v>
      </c>
      <c r="J492" s="20" t="s">
        <v>129</v>
      </c>
      <c r="K492" s="20" t="s">
        <v>98</v>
      </c>
      <c r="L492" s="20">
        <v>540.79749999999899</v>
      </c>
      <c r="M492" s="20">
        <v>0.159555976068885</v>
      </c>
      <c r="N492" s="20">
        <v>1.50169234953632E-2</v>
      </c>
      <c r="O492" s="20">
        <v>128.99999999999901</v>
      </c>
      <c r="P492" s="20">
        <v>23.4690947103329</v>
      </c>
      <c r="Q492" s="20">
        <v>17.115265365930298</v>
      </c>
      <c r="R492" s="20">
        <v>204.24936172330499</v>
      </c>
      <c r="S492" s="20">
        <v>375.21044649582399</v>
      </c>
      <c r="T492" s="20">
        <v>8</v>
      </c>
      <c r="U492" s="20">
        <v>1</v>
      </c>
      <c r="V492" s="20">
        <v>7.8207077508097598</v>
      </c>
      <c r="W492" s="20">
        <v>16.4418003978058</v>
      </c>
      <c r="X492" s="20">
        <v>25.739081653479399</v>
      </c>
      <c r="Y492" s="20">
        <v>35.636896735167298</v>
      </c>
      <c r="Z492" s="20">
        <v>46.055598271666703</v>
      </c>
      <c r="AA492" s="20">
        <v>56.916177486826797</v>
      </c>
      <c r="AB492" s="20">
        <v>68.147210392913905</v>
      </c>
      <c r="AC492" s="20">
        <v>79.708962668556595</v>
      </c>
      <c r="AD492" s="20">
        <v>83.758021401160306</v>
      </c>
      <c r="AE492" s="20">
        <v>87.276741240626393</v>
      </c>
      <c r="AF492" t="str">
        <f t="shared" si="30"/>
        <v>NonResidential</v>
      </c>
      <c r="AG492" t="str">
        <f>tbl_Data_old[[#This Row],[All_Meas_Name_Append]]</f>
        <v>High Efficiency PTHP</v>
      </c>
      <c r="AH492">
        <f>AVERAGEIFS('3. Incentive Adjustment'!G:G,'3. Incentive Adjustment'!A:A,tbl_Data_old[[#This Row],[Trimmed Sector]],'3. Incentive Adjustment'!B:B,tbl_Data_old[[#This Row],[Trimmed Measure Name]])</f>
        <v>1.138194101705527</v>
      </c>
      <c r="AI492">
        <f>$AH492*tbl_Data_old[[#This Row],[2025 ]]</f>
        <v>8.9014834331343682</v>
      </c>
      <c r="AJ492">
        <f>$AH492*tbl_Data_old[[#This Row],[2026 ]]</f>
        <v>18.713960234202148</v>
      </c>
      <c r="AK492">
        <f>$AH492*tbl_Data_old[[#This Row],[2027 ]]</f>
        <v>29.296070921307198</v>
      </c>
      <c r="AL492">
        <f>$AH492*tbl_Data_old[[#This Row],[2028 ]]</f>
        <v>40.561705667056373</v>
      </c>
      <c r="AM492">
        <f>$AH492*tbl_Data_old[[#This Row],[2029 ]]</f>
        <v>52.420210303330308</v>
      </c>
      <c r="AN492">
        <f>$AH492*tbl_Data_old[[#This Row],[2030 ]]</f>
        <v>64.781657507131172</v>
      </c>
      <c r="AO492">
        <f>$AH492*tbl_Data_old[[#This Row],[2031 ]]</f>
        <v>77.564752916900204</v>
      </c>
      <c r="AP492">
        <f>$AH492*tbl_Data_old[[#This Row],[2032 ]]</f>
        <v>90.724271162417168</v>
      </c>
      <c r="AQ492">
        <f>$AH492*tbl_Data_old[[#This Row],[2033 ]]</f>
        <v>95.332885929325968</v>
      </c>
      <c r="AR492">
        <f>$AH492*tbl_Data_old[[#This Row],[2034 ]]</f>
        <v>99.337872096160481</v>
      </c>
      <c r="AS492">
        <f>SUM(tbl_Data_old[[#This Row],[Adjusted 2025]:[Adjusted 2034]])</f>
        <v>577.63487017096531</v>
      </c>
      <c r="AT492" s="3">
        <f>AVERAGEIFS('3. Incentive Adjustment'!F:F,'3. Incentive Adjustment'!A:A,tbl_Data_old[[#This Row],[Trimmed Sector]],'3. Incentive Adjustment'!B:B,tbl_Data_old[[#This Row],[Trimmed Measure Name]])</f>
        <v>50</v>
      </c>
      <c r="AU492" s="3">
        <f>IFERROR(VLOOKUP(tbl_Data_old[[#This Row],[All_Meas_Name_Append]],'IRA Tax Credits'!$A$3:$D$46,4,0),0)</f>
        <v>0</v>
      </c>
      <c r="AV492" s="4">
        <f>tbl_Data_old[[#This Row],[Adj. per unit Incentive ($)]]/tbl_Data_old[[#This Row],[kWh Savings]]*tbl_Data_old[[#This Row],[Sum of Annuals]]</f>
        <v>53.405837690722166</v>
      </c>
      <c r="AW492" s="4">
        <f>IFERROR(VLOOKUP(tbl_Data_old[[#This Row],[All_Programs]],'1. Set Program Names'!$B$2:$D$15,3,0)*tbl_Data_old[[#This Row],[Sum of Annuals]],"")</f>
        <v>18.281101683330281</v>
      </c>
      <c r="AX492" s="4">
        <f>tbl_Data_old[[#This Row],[per unit IRA tax ($)]]/tbl_Data_old[[#This Row],[kWh Savings]]*tbl_Data_old[[#This Row],[Sum of Annuals]]</f>
        <v>0</v>
      </c>
      <c r="AY492" s="4">
        <f>tbl_Data_old[[#This Row],[Avoided Costs ($/unit)]]/tbl_Data_old[[#This Row],[kWh Savings]]*tbl_Data_old[[#This Row],[Sum of Annuals]]</f>
        <v>218.16216521256851</v>
      </c>
      <c r="AZ492" s="4">
        <f>tbl_Data_old[[#This Row],[Lost Revenue ($/unit)]]/tbl_Data_old[[#This Row],[kWh Savings]]*tbl_Data_old[[#This Row],[Sum of Annuals]]</f>
        <v>400.76856410838735</v>
      </c>
      <c r="BA492" s="4">
        <f>tbl_Data_old[[#This Row],[Incremental Cost ($/unit)]]/tbl_Data_old[[#This Row],[kWh Savings]]*tbl_Data_old[[#This Row],[Sum of Annuals]]</f>
        <v>137.78706124206212</v>
      </c>
      <c r="BB492">
        <f>ROUNDUP(tbl_Data_old[[#This Row],[Adjusted 2025]]/$L492,0)</f>
        <v>1</v>
      </c>
      <c r="BC492">
        <f>ROUNDUP(tbl_Data_old[[#This Row],[Adjusted 2026]]/$L492,0)</f>
        <v>1</v>
      </c>
      <c r="BD492">
        <f>ROUNDUP(tbl_Data_old[[#This Row],[Adjusted 2027]]/$L492,0)</f>
        <v>1</v>
      </c>
      <c r="BE492">
        <f>ROUNDUP(tbl_Data_old[[#This Row],[Adjusted 2028]]/$L492,0)</f>
        <v>1</v>
      </c>
      <c r="BF492">
        <f>ROUNDUP(tbl_Data_old[[#This Row],[Adjusted 2029]]/$L492,0)</f>
        <v>1</v>
      </c>
      <c r="BG492">
        <f>ROUNDUP(tbl_Data_old[[#This Row],[Adjusted 2030]]/$L492,0)</f>
        <v>1</v>
      </c>
      <c r="BH492">
        <f>ROUNDUP(tbl_Data_old[[#This Row],[Adjusted 2031]]/$L492,0)</f>
        <v>1</v>
      </c>
      <c r="BI492">
        <f>ROUNDUP(tbl_Data_old[[#This Row],[Adjusted 2032]]/$L492,0)</f>
        <v>1</v>
      </c>
      <c r="BJ492">
        <f>ROUNDUP(tbl_Data_old[[#This Row],[Adjusted 2033]]/$L492,0)</f>
        <v>1</v>
      </c>
      <c r="BK492">
        <f>ROUNDUP(tbl_Data_old[[#This Row],[Adjusted 2034]]/$L492,0)</f>
        <v>1</v>
      </c>
      <c r="BL492" s="3">
        <f t="shared" si="33"/>
        <v>0.72307173672305936</v>
      </c>
      <c r="BM492" s="3">
        <f t="shared" si="33"/>
        <v>1.5201438983913416</v>
      </c>
      <c r="BN492" s="3">
        <f t="shared" si="33"/>
        <v>2.3797337869978548</v>
      </c>
      <c r="BO492" s="3">
        <f t="shared" si="33"/>
        <v>3.2948466602718542</v>
      </c>
      <c r="BP492" s="3">
        <f t="shared" si="33"/>
        <v>4.2581186369821227</v>
      </c>
      <c r="BQ492" s="3">
        <f t="shared" si="33"/>
        <v>5.2622448778726696</v>
      </c>
      <c r="BR492" s="3">
        <f t="shared" si="33"/>
        <v>6.3006218032548258</v>
      </c>
      <c r="BS492" s="3">
        <f t="shared" si="33"/>
        <v>7.3695757347765793</v>
      </c>
      <c r="BT492" s="3">
        <f t="shared" si="33"/>
        <v>7.7439357061710217</v>
      </c>
      <c r="BU492" s="3">
        <f t="shared" si="33"/>
        <v>8.0692626390309279</v>
      </c>
      <c r="BV492">
        <f>VLOOKUP($H492,'1. Set Program Names'!$B$2:$D$15,3,0)*V492</f>
        <v>0.24751129305238553</v>
      </c>
      <c r="BW492">
        <f>VLOOKUP($H492,'1. Set Program Names'!$B$2:$D$15,3,0)*W492</f>
        <v>0.52035332430735304</v>
      </c>
      <c r="BX492">
        <f>VLOOKUP($H492,'1. Set Program Names'!$B$2:$D$15,3,0)*X492</f>
        <v>0.81459550529477243</v>
      </c>
      <c r="BY492">
        <f>VLOOKUP($H492,'1. Set Program Names'!$B$2:$D$15,3,0)*Y492</f>
        <v>1.127843498612042</v>
      </c>
      <c r="BZ492">
        <f>VLOOKUP($H492,'1. Set Program Names'!$B$2:$D$15,3,0)*Z492</f>
        <v>1.4575766086312523</v>
      </c>
      <c r="CA492">
        <f>VLOOKUP($H492,'1. Set Program Names'!$B$2:$D$15,3,0)*AA492</f>
        <v>1.8012943501059682</v>
      </c>
      <c r="CB492">
        <f>VLOOKUP($H492,'1. Set Program Names'!$B$2:$D$15,3,0)*AB492</f>
        <v>2.1567362826614569</v>
      </c>
      <c r="CC492">
        <f>VLOOKUP($H492,'1. Set Program Names'!$B$2:$D$15,3,0)*AC492</f>
        <v>2.5226448867004438</v>
      </c>
      <c r="CD492">
        <f>VLOOKUP($H492,'1. Set Program Names'!$B$2:$D$15,3,0)*AD492</f>
        <v>2.6507902917564032</v>
      </c>
      <c r="CE492">
        <f>VLOOKUP($H492,'1. Set Program Names'!$B$2:$D$15,3,0)*AE492</f>
        <v>2.7621514274880328</v>
      </c>
    </row>
    <row r="493" spans="1:83" x14ac:dyDescent="0.25">
      <c r="A493" s="20" t="s">
        <v>117</v>
      </c>
      <c r="B493" s="20" t="s">
        <v>88</v>
      </c>
      <c r="C493" s="20" t="s">
        <v>122</v>
      </c>
      <c r="D493" s="20" t="s">
        <v>90</v>
      </c>
      <c r="E493" s="20" t="s">
        <v>91</v>
      </c>
      <c r="F493" s="20" t="s">
        <v>90</v>
      </c>
      <c r="G493" s="20" t="s">
        <v>92</v>
      </c>
      <c r="H493" s="20" t="s">
        <v>18</v>
      </c>
      <c r="I493" s="20" t="s">
        <v>157</v>
      </c>
      <c r="J493" s="20" t="s">
        <v>158</v>
      </c>
      <c r="K493" s="20" t="s">
        <v>159</v>
      </c>
      <c r="L493" s="20">
        <v>562.52</v>
      </c>
      <c r="M493" s="20">
        <v>0</v>
      </c>
      <c r="N493" s="20">
        <v>2.7796637938074201E-2</v>
      </c>
      <c r="O493" s="20">
        <v>169</v>
      </c>
      <c r="P493" s="20">
        <v>53.285725702774101</v>
      </c>
      <c r="Q493" s="20">
        <v>17.802743307140201</v>
      </c>
      <c r="R493" s="20">
        <v>275.373630058213</v>
      </c>
      <c r="S493" s="20">
        <v>610.96426176974103</v>
      </c>
      <c r="T493" s="20">
        <v>15</v>
      </c>
      <c r="U493" s="20">
        <v>0.2</v>
      </c>
      <c r="V493" s="20">
        <v>3.7749084951401901E-3</v>
      </c>
      <c r="W493" s="20">
        <v>7.8865738917319392E-3</v>
      </c>
      <c r="X493" s="20">
        <v>1.2264166326718401E-2</v>
      </c>
      <c r="Y493" s="20">
        <v>1.6864427863244099E-2</v>
      </c>
      <c r="Z493" s="20">
        <v>2.1645102869672601E-2</v>
      </c>
      <c r="AA493" s="20">
        <v>2.6564390819164001E-2</v>
      </c>
      <c r="AB493" s="20">
        <v>3.1586759364673603E-2</v>
      </c>
      <c r="AC493" s="20">
        <v>3.6691699605473603E-2</v>
      </c>
      <c r="AD493" s="20">
        <v>4.1865093410658798E-2</v>
      </c>
      <c r="AE493" s="20">
        <v>4.7088556908730698E-2</v>
      </c>
      <c r="AF493" t="str">
        <f t="shared" si="30"/>
        <v>NonResidential</v>
      </c>
      <c r="AG493" t="str">
        <f>tbl_Data_old[[#This Row],[All_Meas_Name_Append]]</f>
        <v>LED Exterior Wall Packs</v>
      </c>
      <c r="AH493">
        <f>AVERAGEIFS('3. Incentive Adjustment'!G:G,'3. Incentive Adjustment'!A:A,tbl_Data_old[[#This Row],[Trimmed Sector]],'3. Incentive Adjustment'!B:B,tbl_Data_old[[#This Row],[Trimmed Measure Name]])</f>
        <v>0.80637708305213962</v>
      </c>
      <c r="AI493">
        <f>$AH493*tbl_Data_old[[#This Row],[2025 ]]</f>
        <v>3.0439997010998886E-3</v>
      </c>
      <c r="AJ493">
        <f>$AH493*tbl_Data_old[[#This Row],[2026 ]]</f>
        <v>6.3595524500899619E-3</v>
      </c>
      <c r="AK493">
        <f>$AH493*tbl_Data_old[[#This Row],[2027 ]]</f>
        <v>9.8895426686054586E-3</v>
      </c>
      <c r="AL493">
        <f>$AH493*tbl_Data_old[[#This Row],[2028 ]]</f>
        <v>1.3599088147706004E-2</v>
      </c>
      <c r="AM493">
        <f>$AH493*tbl_Data_old[[#This Row],[2029 ]]</f>
        <v>1.7454114914410089E-2</v>
      </c>
      <c r="AN493">
        <f>$AH493*tbl_Data_old[[#This Row],[2030 ]]</f>
        <v>2.1420915981814503E-2</v>
      </c>
      <c r="AO493">
        <f>$AH493*tbl_Data_old[[#This Row],[2031 ]]</f>
        <v>2.5470838879555355E-2</v>
      </c>
      <c r="AP493">
        <f>$AH493*tbl_Data_old[[#This Row],[2032 ]]</f>
        <v>2.9587345700087146E-2</v>
      </c>
      <c r="AQ493">
        <f>$AH493*tbl_Data_old[[#This Row],[2033 ]]</f>
        <v>3.375905190619239E-2</v>
      </c>
      <c r="AR493">
        <f>$AH493*tbl_Data_old[[#This Row],[2034 ]]</f>
        <v>3.7971133165196937E-2</v>
      </c>
      <c r="AS493">
        <f>SUM(tbl_Data_old[[#This Row],[Adjusted 2025]:[Adjusted 2034]])</f>
        <v>0.19855558351475772</v>
      </c>
      <c r="AT493" s="3">
        <f>AVERAGEIFS('3. Incentive Adjustment'!F:F,'3. Incentive Adjustment'!A:A,tbl_Data_old[[#This Row],[Trimmed Sector]],'3. Incentive Adjustment'!B:B,tbl_Data_old[[#This Row],[Trimmed Measure Name]])</f>
        <v>8.6864493556481861</v>
      </c>
      <c r="AU493" s="3">
        <f>IFERROR(VLOOKUP(tbl_Data_old[[#This Row],[All_Meas_Name_Append]],'IRA Tax Credits'!$A$3:$D$46,4,0),0)</f>
        <v>0</v>
      </c>
      <c r="AV493" s="4">
        <f>tbl_Data_old[[#This Row],[Adj. per unit Incentive ($)]]/tbl_Data_old[[#This Row],[kWh Savings]]*tbl_Data_old[[#This Row],[Sum of Annuals]]</f>
        <v>3.0661007972731932E-3</v>
      </c>
      <c r="AW493" s="4">
        <f>IFERROR(VLOOKUP(tbl_Data_old[[#This Row],[All_Programs]],'1. Set Program Names'!$B$2:$D$15,3,0)*tbl_Data_old[[#This Row],[Sum of Annuals]],"")</f>
        <v>6.2839260568738342E-3</v>
      </c>
      <c r="AX493" s="4">
        <f>tbl_Data_old[[#This Row],[per unit IRA tax ($)]]/tbl_Data_old[[#This Row],[kWh Savings]]*tbl_Data_old[[#This Row],[Sum of Annuals]]</f>
        <v>0</v>
      </c>
      <c r="AY493" s="4">
        <f>tbl_Data_old[[#This Row],[Avoided Costs ($/unit)]]/tbl_Data_old[[#This Row],[kWh Savings]]*tbl_Data_old[[#This Row],[Sum of Annuals]]</f>
        <v>9.7200049421861459E-2</v>
      </c>
      <c r="AZ493" s="4">
        <f>tbl_Data_old[[#This Row],[Lost Revenue ($/unit)]]/tbl_Data_old[[#This Row],[kWh Savings]]*tbl_Data_old[[#This Row],[Sum of Annuals]]</f>
        <v>0.21565520426358906</v>
      </c>
      <c r="BA493" s="4">
        <f>tbl_Data_old[[#This Row],[Incremental Cost ($/unit)]]/tbl_Data_old[[#This Row],[kWh Savings]]*tbl_Data_old[[#This Row],[Sum of Annuals]]</f>
        <v>5.9652800991954157E-2</v>
      </c>
      <c r="BB493">
        <f>ROUNDUP(tbl_Data_old[[#This Row],[Adjusted 2025]]/$L493,0)</f>
        <v>1</v>
      </c>
      <c r="BC493">
        <f>ROUNDUP(tbl_Data_old[[#This Row],[Adjusted 2026]]/$L493,0)</f>
        <v>1</v>
      </c>
      <c r="BD493">
        <f>ROUNDUP(tbl_Data_old[[#This Row],[Adjusted 2027]]/$L493,0)</f>
        <v>1</v>
      </c>
      <c r="BE493">
        <f>ROUNDUP(tbl_Data_old[[#This Row],[Adjusted 2028]]/$L493,0)</f>
        <v>1</v>
      </c>
      <c r="BF493">
        <f>ROUNDUP(tbl_Data_old[[#This Row],[Adjusted 2029]]/$L493,0)</f>
        <v>1</v>
      </c>
      <c r="BG493">
        <f>ROUNDUP(tbl_Data_old[[#This Row],[Adjusted 2030]]/$L493,0)</f>
        <v>1</v>
      </c>
      <c r="BH493">
        <f>ROUNDUP(tbl_Data_old[[#This Row],[Adjusted 2031]]/$L493,0)</f>
        <v>1</v>
      </c>
      <c r="BI493">
        <f>ROUNDUP(tbl_Data_old[[#This Row],[Adjusted 2032]]/$L493,0)</f>
        <v>1</v>
      </c>
      <c r="BJ493">
        <f>ROUNDUP(tbl_Data_old[[#This Row],[Adjusted 2033]]/$L493,0)</f>
        <v>1</v>
      </c>
      <c r="BK493">
        <f>ROUNDUP(tbl_Data_old[[#This Row],[Adjusted 2034]]/$L493,0)</f>
        <v>1</v>
      </c>
      <c r="BL493" s="3">
        <f t="shared" si="33"/>
        <v>5.8292241102967659E-5</v>
      </c>
      <c r="BM493" s="3">
        <f t="shared" si="33"/>
        <v>1.2178469156671177E-4</v>
      </c>
      <c r="BN493" s="3">
        <f t="shared" si="33"/>
        <v>1.8938359469225136E-4</v>
      </c>
      <c r="BO493" s="3">
        <f t="shared" si="33"/>
        <v>2.6042096022550667E-4</v>
      </c>
      <c r="BP493" s="3">
        <f t="shared" si="33"/>
        <v>3.3424427553723645E-4</v>
      </c>
      <c r="BQ493" s="3">
        <f t="shared" si="33"/>
        <v>4.1020805573902035E-4</v>
      </c>
      <c r="BR493" s="3">
        <f t="shared" si="33"/>
        <v>4.877636093477269E-4</v>
      </c>
      <c r="BS493" s="3">
        <f t="shared" si="33"/>
        <v>5.6659423735263279E-4</v>
      </c>
      <c r="BT493" s="3">
        <f t="shared" si="33"/>
        <v>6.46481927186888E-4</v>
      </c>
      <c r="BU493" s="3">
        <f t="shared" si="33"/>
        <v>7.2714279459974176E-4</v>
      </c>
      <c r="BV493">
        <f>VLOOKUP($H493,'1. Set Program Names'!$B$2:$D$15,3,0)*V493</f>
        <v>1.1946904456183547E-4</v>
      </c>
      <c r="BW493">
        <f>VLOOKUP($H493,'1. Set Program Names'!$B$2:$D$15,3,0)*W493</f>
        <v>2.4959583760096957E-4</v>
      </c>
      <c r="BX493">
        <f>VLOOKUP($H493,'1. Set Program Names'!$B$2:$D$15,3,0)*X493</f>
        <v>3.8813874171698812E-4</v>
      </c>
      <c r="BY493">
        <f>VLOOKUP($H493,'1. Set Program Names'!$B$2:$D$15,3,0)*Y493</f>
        <v>5.3372872123856488E-4</v>
      </c>
      <c r="BZ493">
        <f>VLOOKUP($H493,'1. Set Program Names'!$B$2:$D$15,3,0)*Z493</f>
        <v>6.850284616465636E-4</v>
      </c>
      <c r="CA493">
        <f>VLOOKUP($H493,'1. Set Program Names'!$B$2:$D$15,3,0)*AA493</f>
        <v>8.4071505166772448E-4</v>
      </c>
      <c r="CB493">
        <f>VLOOKUP($H493,'1. Set Program Names'!$B$2:$D$15,3,0)*AB493</f>
        <v>9.9966395661254875E-4</v>
      </c>
      <c r="CC493">
        <f>VLOOKUP($H493,'1. Set Program Names'!$B$2:$D$15,3,0)*AC493</f>
        <v>1.1612261067676594E-3</v>
      </c>
      <c r="CD493">
        <f>VLOOKUP($H493,'1. Set Program Names'!$B$2:$D$15,3,0)*AD493</f>
        <v>1.3249546887566753E-3</v>
      </c>
      <c r="CE493">
        <f>VLOOKUP($H493,'1. Set Program Names'!$B$2:$D$15,3,0)*AE493</f>
        <v>1.490267886208127E-3</v>
      </c>
    </row>
    <row r="494" spans="1:83" x14ac:dyDescent="0.25">
      <c r="A494" s="20" t="s">
        <v>117</v>
      </c>
      <c r="B494" s="20" t="s">
        <v>88</v>
      </c>
      <c r="C494" s="20" t="s">
        <v>122</v>
      </c>
      <c r="D494" s="20" t="s">
        <v>90</v>
      </c>
      <c r="E494" s="20" t="s">
        <v>91</v>
      </c>
      <c r="F494" s="20" t="s">
        <v>90</v>
      </c>
      <c r="G494" s="20" t="s">
        <v>92</v>
      </c>
      <c r="H494" s="20" t="s">
        <v>18</v>
      </c>
      <c r="I494" s="20" t="s">
        <v>160</v>
      </c>
      <c r="J494" s="20" t="s">
        <v>161</v>
      </c>
      <c r="K494" s="20" t="s">
        <v>159</v>
      </c>
      <c r="L494" s="20">
        <v>698.53499999999997</v>
      </c>
      <c r="M494" s="20">
        <v>9.14911955902553E-2</v>
      </c>
      <c r="N494" s="20">
        <v>9.6647765821509996E-2</v>
      </c>
      <c r="O494" s="20">
        <v>179</v>
      </c>
      <c r="P494" s="20">
        <v>35.4245718525491</v>
      </c>
      <c r="Q494" s="20">
        <v>22.107372708620399</v>
      </c>
      <c r="R494" s="20">
        <v>291.28765455670799</v>
      </c>
      <c r="S494" s="20">
        <v>758.69288308917999</v>
      </c>
      <c r="T494" s="20">
        <v>15</v>
      </c>
      <c r="U494" s="20">
        <v>0.2</v>
      </c>
      <c r="V494" s="20">
        <v>0.455410511873589</v>
      </c>
      <c r="W494" s="20">
        <v>0.95110365867284596</v>
      </c>
      <c r="X494" s="20">
        <v>1.4787579321246</v>
      </c>
      <c r="Y494" s="20">
        <v>2.0331904644994201</v>
      </c>
      <c r="Z494" s="20">
        <v>2.6092423304607602</v>
      </c>
      <c r="AA494" s="20">
        <v>3.2019132975267102</v>
      </c>
      <c r="AB494" s="20">
        <v>3.8068564448238602</v>
      </c>
      <c r="AC494" s="20">
        <v>4.4215569807514203</v>
      </c>
      <c r="AD494" s="20">
        <v>5.0444054192868402</v>
      </c>
      <c r="AE494" s="20">
        <v>5.6731393722426402</v>
      </c>
      <c r="AF494" t="str">
        <f t="shared" si="30"/>
        <v>NonResidential</v>
      </c>
      <c r="AG494" t="str">
        <f>tbl_Data_old[[#This Row],[All_Meas_Name_Append]]</f>
        <v>LED High Bay_HID Baseline</v>
      </c>
      <c r="AH494">
        <f>AVERAGEIFS('3. Incentive Adjustment'!G:G,'3. Incentive Adjustment'!A:A,tbl_Data_old[[#This Row],[Trimmed Sector]],'3. Incentive Adjustment'!B:B,tbl_Data_old[[#This Row],[Trimmed Measure Name]])</f>
        <v>1.0603846876879557</v>
      </c>
      <c r="AI494">
        <f>$AH494*tbl_Data_old[[#This Row],[2025 ]]</f>
        <v>0.48291033340288769</v>
      </c>
      <c r="AJ494">
        <f>$AH494*tbl_Data_old[[#This Row],[2026 ]]</f>
        <v>1.0085357560606778</v>
      </c>
      <c r="AK494">
        <f>$AH494*tbl_Data_old[[#This Row],[2027 ]]</f>
        <v>1.5680522680220312</v>
      </c>
      <c r="AL494">
        <f>$AH494*tbl_Data_old[[#This Row],[2028 ]]</f>
        <v>2.1559640357083469</v>
      </c>
      <c r="AM494">
        <f>$AH494*tbl_Data_old[[#This Row],[2029 ]]</f>
        <v>2.7668006136878267</v>
      </c>
      <c r="AN494">
        <f>$AH494*tbl_Data_old[[#This Row],[2030 ]]</f>
        <v>3.3952598320017731</v>
      </c>
      <c r="AO494">
        <f>$AH494*tbl_Data_old[[#This Row],[2031 ]]</f>
        <v>4.0367322823174305</v>
      </c>
      <c r="AP494">
        <f>$AH494*tbl_Data_old[[#This Row],[2032 ]]</f>
        <v>4.6885513181285949</v>
      </c>
      <c r="AQ494">
        <f>$AH494*tbl_Data_old[[#This Row],[2033 ]]</f>
        <v>5.3490102651019074</v>
      </c>
      <c r="AR494">
        <f>$AH494*tbl_Data_old[[#This Row],[2034 ]]</f>
        <v>6.0157101214457569</v>
      </c>
      <c r="AS494">
        <f>SUM(tbl_Data_old[[#This Row],[Adjusted 2025]:[Adjusted 2034]])</f>
        <v>31.467526825877233</v>
      </c>
      <c r="AT494" s="3">
        <f>AVERAGEIFS('3. Incentive Adjustment'!F:F,'3. Incentive Adjustment'!A:A,tbl_Data_old[[#This Row],[Trimmed Sector]],'3. Incentive Adjustment'!B:B,tbl_Data_old[[#This Row],[Trimmed Measure Name]])</f>
        <v>28.590998621954778</v>
      </c>
      <c r="AU494" s="3">
        <f>IFERROR(VLOOKUP(tbl_Data_old[[#This Row],[All_Meas_Name_Append]],'IRA Tax Credits'!$A$3:$D$46,4,0),0)</f>
        <v>0</v>
      </c>
      <c r="AV494" s="4">
        <f>tbl_Data_old[[#This Row],[Adj. per unit Incentive ($)]]/tbl_Data_old[[#This Row],[kWh Savings]]*tbl_Data_old[[#This Row],[Sum of Annuals]]</f>
        <v>1.2879641193569127</v>
      </c>
      <c r="AW494" s="4">
        <f>IFERROR(VLOOKUP(tbl_Data_old[[#This Row],[All_Programs]],'1. Set Program Names'!$B$2:$D$15,3,0)*tbl_Data_old[[#This Row],[Sum of Annuals]],"")</f>
        <v>0.99589046183538443</v>
      </c>
      <c r="AX494" s="4">
        <f>tbl_Data_old[[#This Row],[per unit IRA tax ($)]]/tbl_Data_old[[#This Row],[kWh Savings]]*tbl_Data_old[[#This Row],[Sum of Annuals]]</f>
        <v>0</v>
      </c>
      <c r="AY494" s="4">
        <f>tbl_Data_old[[#This Row],[Avoided Costs ($/unit)]]/tbl_Data_old[[#This Row],[kWh Savings]]*tbl_Data_old[[#This Row],[Sum of Annuals]]</f>
        <v>13.121893797461931</v>
      </c>
      <c r="AZ494" s="4">
        <f>tbl_Data_old[[#This Row],[Lost Revenue ($/unit)]]/tbl_Data_old[[#This Row],[kWh Savings]]*tbl_Data_old[[#This Row],[Sum of Annuals]]</f>
        <v>34.177512438476114</v>
      </c>
      <c r="BA494" s="4">
        <f>tbl_Data_old[[#This Row],[Incremental Cost ($/unit)]]/tbl_Data_old[[#This Row],[kWh Savings]]*tbl_Data_old[[#This Row],[Sum of Annuals]]</f>
        <v>8.0635720498357646</v>
      </c>
      <c r="BB494">
        <f>ROUNDUP(tbl_Data_old[[#This Row],[Adjusted 2025]]/$L494,0)</f>
        <v>1</v>
      </c>
      <c r="BC494">
        <f>ROUNDUP(tbl_Data_old[[#This Row],[Adjusted 2026]]/$L494,0)</f>
        <v>1</v>
      </c>
      <c r="BD494">
        <f>ROUNDUP(tbl_Data_old[[#This Row],[Adjusted 2027]]/$L494,0)</f>
        <v>1</v>
      </c>
      <c r="BE494">
        <f>ROUNDUP(tbl_Data_old[[#This Row],[Adjusted 2028]]/$L494,0)</f>
        <v>1</v>
      </c>
      <c r="BF494">
        <f>ROUNDUP(tbl_Data_old[[#This Row],[Adjusted 2029]]/$L494,0)</f>
        <v>1</v>
      </c>
      <c r="BG494">
        <f>ROUNDUP(tbl_Data_old[[#This Row],[Adjusted 2030]]/$L494,0)</f>
        <v>1</v>
      </c>
      <c r="BH494">
        <f>ROUNDUP(tbl_Data_old[[#This Row],[Adjusted 2031]]/$L494,0)</f>
        <v>1</v>
      </c>
      <c r="BI494">
        <f>ROUNDUP(tbl_Data_old[[#This Row],[Adjusted 2032]]/$L494,0)</f>
        <v>1</v>
      </c>
      <c r="BJ494">
        <f>ROUNDUP(tbl_Data_old[[#This Row],[Adjusted 2033]]/$L494,0)</f>
        <v>1</v>
      </c>
      <c r="BK494">
        <f>ROUNDUP(tbl_Data_old[[#This Row],[Adjusted 2034]]/$L494,0)</f>
        <v>1</v>
      </c>
      <c r="BL494" s="3">
        <f t="shared" si="33"/>
        <v>1.8639926871812439E-2</v>
      </c>
      <c r="BM494" s="3">
        <f t="shared" si="33"/>
        <v>3.892861974625679E-2</v>
      </c>
      <c r="BN494" s="3">
        <f t="shared" si="33"/>
        <v>6.0525479753454209E-2</v>
      </c>
      <c r="BO494" s="3">
        <f t="shared" si="33"/>
        <v>8.3218372406070579E-2</v>
      </c>
      <c r="BP494" s="3">
        <f t="shared" si="33"/>
        <v>0.10679614317757831</v>
      </c>
      <c r="BQ494" s="3">
        <f t="shared" si="33"/>
        <v>0.13105413283114639</v>
      </c>
      <c r="BR494" s="3">
        <f t="shared" si="33"/>
        <v>0.15581442213767191</v>
      </c>
      <c r="BS494" s="3">
        <f t="shared" si="33"/>
        <v>0.18097408081707916</v>
      </c>
      <c r="BT494" s="3">
        <f t="shared" si="33"/>
        <v>0.20646723269615877</v>
      </c>
      <c r="BU494" s="3">
        <f t="shared" si="33"/>
        <v>0.23220127835247587</v>
      </c>
      <c r="BV494">
        <f>VLOOKUP($H494,'1. Set Program Names'!$B$2:$D$15,3,0)*V494</f>
        <v>1.4412921215705801E-2</v>
      </c>
      <c r="BW494">
        <f>VLOOKUP($H494,'1. Set Program Names'!$B$2:$D$15,3,0)*W494</f>
        <v>3.010071516361118E-2</v>
      </c>
      <c r="BX494">
        <f>VLOOKUP($H494,'1. Set Program Names'!$B$2:$D$15,3,0)*X494</f>
        <v>4.680002111749218E-2</v>
      </c>
      <c r="BY494">
        <f>VLOOKUP($H494,'1. Set Program Names'!$B$2:$D$15,3,0)*Y494</f>
        <v>6.4346810662746778E-2</v>
      </c>
      <c r="BZ494">
        <f>VLOOKUP($H494,'1. Set Program Names'!$B$2:$D$15,3,0)*Z494</f>
        <v>8.2577813118319673E-2</v>
      </c>
      <c r="CA494">
        <f>VLOOKUP($H494,'1. Set Program Names'!$B$2:$D$15,3,0)*AA494</f>
        <v>0.10133478014574919</v>
      </c>
      <c r="CB494">
        <f>VLOOKUP($H494,'1. Set Program Names'!$B$2:$D$15,3,0)*AB494</f>
        <v>0.12048013954051678</v>
      </c>
      <c r="CC494">
        <f>VLOOKUP($H494,'1. Set Program Names'!$B$2:$D$15,3,0)*AC494</f>
        <v>0.13993430268472473</v>
      </c>
      <c r="CD494">
        <f>VLOOKUP($H494,'1. Set Program Names'!$B$2:$D$15,3,0)*AD494</f>
        <v>0.15964633224900543</v>
      </c>
      <c r="CE494">
        <f>VLOOKUP($H494,'1. Set Program Names'!$B$2:$D$15,3,0)*AE494</f>
        <v>0.17954462772819846</v>
      </c>
    </row>
    <row r="495" spans="1:83" x14ac:dyDescent="0.25">
      <c r="A495" s="20" t="s">
        <v>117</v>
      </c>
      <c r="B495" s="20" t="s">
        <v>88</v>
      </c>
      <c r="C495" s="20" t="s">
        <v>122</v>
      </c>
      <c r="D495" s="20" t="s">
        <v>90</v>
      </c>
      <c r="E495" s="20" t="s">
        <v>91</v>
      </c>
      <c r="F495" s="20" t="s">
        <v>90</v>
      </c>
      <c r="G495" s="20" t="s">
        <v>92</v>
      </c>
      <c r="H495" s="20" t="s">
        <v>18</v>
      </c>
      <c r="I495" s="20" t="s">
        <v>162</v>
      </c>
      <c r="J495" s="20" t="s">
        <v>161</v>
      </c>
      <c r="K495" s="20" t="s">
        <v>159</v>
      </c>
      <c r="L495" s="20">
        <v>638.46285714285602</v>
      </c>
      <c r="M495" s="20">
        <v>7.6348348575361394E-2</v>
      </c>
      <c r="N495" s="20">
        <v>7.27444471789533E-2</v>
      </c>
      <c r="O495" s="20">
        <v>179</v>
      </c>
      <c r="P495" s="20">
        <v>51.129983050636802</v>
      </c>
      <c r="Q495" s="20">
        <v>20.206197747382401</v>
      </c>
      <c r="R495" s="20">
        <v>256.15438258671003</v>
      </c>
      <c r="S495" s="20">
        <v>693.44732308484095</v>
      </c>
      <c r="T495" s="20">
        <v>15</v>
      </c>
      <c r="U495" s="20">
        <v>0.2</v>
      </c>
      <c r="V495" s="20">
        <v>1.17177749657952</v>
      </c>
      <c r="W495" s="20">
        <v>2.44720276561522</v>
      </c>
      <c r="X495" s="20">
        <v>3.80486445212546</v>
      </c>
      <c r="Y495" s="20">
        <v>5.2314269663186899</v>
      </c>
      <c r="Z495" s="20">
        <v>6.7136163225088499</v>
      </c>
      <c r="AA495" s="20">
        <v>8.2385668539025207</v>
      </c>
      <c r="AB495" s="20">
        <v>9.7950938734403703</v>
      </c>
      <c r="AC495" s="20">
        <v>11.3767267878233</v>
      </c>
      <c r="AD495" s="20">
        <v>12.9793243674288</v>
      </c>
      <c r="AE495" s="20">
        <v>14.5970654564039</v>
      </c>
      <c r="AF495" t="str">
        <f t="shared" si="30"/>
        <v>NonResidential</v>
      </c>
      <c r="AG495" t="str">
        <f>tbl_Data_old[[#This Row],[All_Meas_Name_Append]]</f>
        <v>LED High Bay_LF Baseline</v>
      </c>
      <c r="AH495">
        <f>AVERAGEIFS('3. Incentive Adjustment'!G:G,'3. Incentive Adjustment'!A:A,tbl_Data_old[[#This Row],[Trimmed Sector]],'3. Incentive Adjustment'!B:B,tbl_Data_old[[#This Row],[Trimmed Measure Name]])</f>
        <v>0.93017466414143679</v>
      </c>
      <c r="AI495">
        <f>$AH495*tbl_Data_old[[#This Row],[2025 ]]</f>
        <v>1.0899577393293487</v>
      </c>
      <c r="AJ495">
        <f>$AH495*tbl_Data_old[[#This Row],[2026 ]]</f>
        <v>2.2763260105921326</v>
      </c>
      <c r="AK495">
        <f>$AH495*tbl_Data_old[[#This Row],[2027 ]]</f>
        <v>3.5391885138594916</v>
      </c>
      <c r="AL495">
        <f>$AH495*tbl_Data_old[[#This Row],[2028 ]]</f>
        <v>4.8661408213759429</v>
      </c>
      <c r="AM495">
        <f>$AH495*tbl_Data_old[[#This Row],[2029 ]]</f>
        <v>6.2448358079641375</v>
      </c>
      <c r="AN495">
        <f>$AH495*tbl_Data_old[[#This Row],[2030 ]]</f>
        <v>7.6633061563355511</v>
      </c>
      <c r="AO495">
        <f>$AH495*tbl_Data_old[[#This Row],[2031 ]]</f>
        <v>9.111148153961242</v>
      </c>
      <c r="AP495">
        <f>$AH495*tbl_Data_old[[#This Row],[2032 ]]</f>
        <v>10.582343018892425</v>
      </c>
      <c r="AQ495">
        <f>$AH495*tbl_Data_old[[#This Row],[2033 ]]</f>
        <v>12.073038684255851</v>
      </c>
      <c r="AR495">
        <f>$AH495*tbl_Data_old[[#This Row],[2034 ]]</f>
        <v>13.577820458361067</v>
      </c>
      <c r="AS495">
        <f>SUM(tbl_Data_old[[#This Row],[Adjusted 2025]:[Adjusted 2034]])</f>
        <v>71.024105364927181</v>
      </c>
      <c r="AT495" s="3">
        <f>AVERAGEIFS('3. Incentive Adjustment'!F:F,'3. Incentive Adjustment'!A:A,tbl_Data_old[[#This Row],[Trimmed Sector]],'3. Incentive Adjustment'!B:B,tbl_Data_old[[#This Row],[Trimmed Measure Name]])</f>
        <v>23.858858929800434</v>
      </c>
      <c r="AU495" s="3">
        <f>IFERROR(VLOOKUP(tbl_Data_old[[#This Row],[All_Meas_Name_Append]],'IRA Tax Credits'!$A$3:$D$46,4,0),0)</f>
        <v>0</v>
      </c>
      <c r="AV495" s="4">
        <f>tbl_Data_old[[#This Row],[Adj. per unit Incentive ($)]]/tbl_Data_old[[#This Row],[kWh Savings]]*tbl_Data_old[[#This Row],[Sum of Annuals]]</f>
        <v>2.6541154141687575</v>
      </c>
      <c r="AW495" s="4">
        <f>IFERROR(VLOOKUP(tbl_Data_old[[#This Row],[All_Programs]],'1. Set Program Names'!$B$2:$D$15,3,0)*tbl_Data_old[[#This Row],[Sum of Annuals]],"")</f>
        <v>2.2477848190839036</v>
      </c>
      <c r="AX495" s="4">
        <f>tbl_Data_old[[#This Row],[per unit IRA tax ($)]]/tbl_Data_old[[#This Row],[kWh Savings]]*tbl_Data_old[[#This Row],[Sum of Annuals]]</f>
        <v>0</v>
      </c>
      <c r="AY495" s="4">
        <f>tbl_Data_old[[#This Row],[Avoided Costs ($/unit)]]/tbl_Data_old[[#This Row],[kWh Savings]]*tbl_Data_old[[#This Row],[Sum of Annuals]]</f>
        <v>28.495214177284002</v>
      </c>
      <c r="AZ495" s="4">
        <f>tbl_Data_old[[#This Row],[Lost Revenue ($/unit)]]/tbl_Data_old[[#This Row],[kWh Savings]]*tbl_Data_old[[#This Row],[Sum of Annuals]]</f>
        <v>77.140706289801329</v>
      </c>
      <c r="BA495" s="4">
        <f>tbl_Data_old[[#This Row],[Incremental Cost ($/unit)]]/tbl_Data_old[[#This Row],[kWh Savings]]*tbl_Data_old[[#This Row],[Sum of Annuals]]</f>
        <v>19.912379738446337</v>
      </c>
      <c r="BB495">
        <f>ROUNDUP(tbl_Data_old[[#This Row],[Adjusted 2025]]/$L495,0)</f>
        <v>1</v>
      </c>
      <c r="BC495">
        <f>ROUNDUP(tbl_Data_old[[#This Row],[Adjusted 2026]]/$L495,0)</f>
        <v>1</v>
      </c>
      <c r="BD495">
        <f>ROUNDUP(tbl_Data_old[[#This Row],[Adjusted 2027]]/$L495,0)</f>
        <v>1</v>
      </c>
      <c r="BE495">
        <f>ROUNDUP(tbl_Data_old[[#This Row],[Adjusted 2028]]/$L495,0)</f>
        <v>1</v>
      </c>
      <c r="BF495">
        <f>ROUNDUP(tbl_Data_old[[#This Row],[Adjusted 2029]]/$L495,0)</f>
        <v>1</v>
      </c>
      <c r="BG495">
        <f>ROUNDUP(tbl_Data_old[[#This Row],[Adjusted 2030]]/$L495,0)</f>
        <v>1</v>
      </c>
      <c r="BH495">
        <f>ROUNDUP(tbl_Data_old[[#This Row],[Adjusted 2031]]/$L495,0)</f>
        <v>1</v>
      </c>
      <c r="BI495">
        <f>ROUNDUP(tbl_Data_old[[#This Row],[Adjusted 2032]]/$L495,0)</f>
        <v>1</v>
      </c>
      <c r="BJ495">
        <f>ROUNDUP(tbl_Data_old[[#This Row],[Adjusted 2033]]/$L495,0)</f>
        <v>1</v>
      </c>
      <c r="BK495">
        <f>ROUNDUP(tbl_Data_old[[#This Row],[Adjusted 2034]]/$L495,0)</f>
        <v>1</v>
      </c>
      <c r="BL495" s="3">
        <f t="shared" si="33"/>
        <v>4.3788410986216601E-2</v>
      </c>
      <c r="BM495" s="3">
        <f t="shared" si="33"/>
        <v>9.1450058377267218E-2</v>
      </c>
      <c r="BN495" s="3">
        <f t="shared" si="33"/>
        <v>0.14218481653970641</v>
      </c>
      <c r="BO495" s="3">
        <f t="shared" si="33"/>
        <v>0.19549434488563197</v>
      </c>
      <c r="BP495" s="3">
        <f t="shared" si="33"/>
        <v>0.25088260492450876</v>
      </c>
      <c r="BQ495" s="3">
        <f t="shared" si="33"/>
        <v>0.30786881672430494</v>
      </c>
      <c r="BR495" s="3">
        <f t="shared" si="33"/>
        <v>0.36603501725438037</v>
      </c>
      <c r="BS495" s="3">
        <f t="shared" si="33"/>
        <v>0.42513940549062201</v>
      </c>
      <c r="BT495" s="3">
        <f t="shared" si="33"/>
        <v>0.48502722691245909</v>
      </c>
      <c r="BU495" s="3">
        <f t="shared" si="33"/>
        <v>0.54548094946653791</v>
      </c>
      <c r="BV495">
        <f>VLOOKUP($H495,'1. Set Program Names'!$B$2:$D$15,3,0)*V495</f>
        <v>3.7084644074323658E-2</v>
      </c>
      <c r="BW495">
        <f>VLOOKUP($H495,'1. Set Program Names'!$B$2:$D$15,3,0)*W495</f>
        <v>7.7449553183480291E-2</v>
      </c>
      <c r="BX495">
        <f>VLOOKUP($H495,'1. Set Program Names'!$B$2:$D$15,3,0)*X495</f>
        <v>0.12041709656483712</v>
      </c>
      <c r="BY495">
        <f>VLOOKUP($H495,'1. Set Program Names'!$B$2:$D$15,3,0)*Y495</f>
        <v>0.16556522685668562</v>
      </c>
      <c r="BZ495">
        <f>VLOOKUP($H495,'1. Set Program Names'!$B$2:$D$15,3,0)*Z495</f>
        <v>0.2124738463561324</v>
      </c>
      <c r="CA495">
        <f>VLOOKUP($H495,'1. Set Program Names'!$B$2:$D$15,3,0)*AA495</f>
        <v>0.26073577991669661</v>
      </c>
      <c r="CB495">
        <f>VLOOKUP($H495,'1. Set Program Names'!$B$2:$D$15,3,0)*AB495</f>
        <v>0.30999705236827224</v>
      </c>
      <c r="CC495">
        <f>VLOOKUP($H495,'1. Set Program Names'!$B$2:$D$15,3,0)*AC495</f>
        <v>0.36005288110482087</v>
      </c>
      <c r="CD495">
        <f>VLOOKUP($H495,'1. Set Program Names'!$B$2:$D$15,3,0)*AD495</f>
        <v>0.41077220367888206</v>
      </c>
      <c r="CE495">
        <f>VLOOKUP($H495,'1. Set Program Names'!$B$2:$D$15,3,0)*AE495</f>
        <v>0.46197079100810973</v>
      </c>
    </row>
    <row r="496" spans="1:83" x14ac:dyDescent="0.25">
      <c r="A496" s="20" t="s">
        <v>117</v>
      </c>
      <c r="B496" s="20" t="s">
        <v>88</v>
      </c>
      <c r="C496" s="20" t="s">
        <v>122</v>
      </c>
      <c r="D496" s="20" t="s">
        <v>90</v>
      </c>
      <c r="E496" s="20" t="s">
        <v>91</v>
      </c>
      <c r="F496" s="20" t="s">
        <v>90</v>
      </c>
      <c r="G496" s="20" t="s">
        <v>92</v>
      </c>
      <c r="H496" s="20" t="s">
        <v>18</v>
      </c>
      <c r="I496" s="20" t="s">
        <v>163</v>
      </c>
      <c r="J496" s="20" t="s">
        <v>161</v>
      </c>
      <c r="K496" s="20" t="s">
        <v>159</v>
      </c>
      <c r="L496" s="20">
        <v>336.08</v>
      </c>
      <c r="M496" s="20">
        <v>5.3794325187228403E-2</v>
      </c>
      <c r="N496" s="20">
        <v>5.3413522005729602E-2</v>
      </c>
      <c r="O496" s="20">
        <v>109.08</v>
      </c>
      <c r="P496" s="20">
        <v>41.915763754167898</v>
      </c>
      <c r="Q496" s="20">
        <v>10.6363257673748</v>
      </c>
      <c r="R496" s="20">
        <v>148.30416484676499</v>
      </c>
      <c r="S496" s="20">
        <v>365.02323312162099</v>
      </c>
      <c r="T496" s="20">
        <v>15</v>
      </c>
      <c r="U496" s="20">
        <v>0.2</v>
      </c>
      <c r="V496" s="20">
        <v>1.9879525738244901</v>
      </c>
      <c r="W496" s="20">
        <v>4.07787920030297</v>
      </c>
      <c r="X496" s="20">
        <v>6.2227235869097601</v>
      </c>
      <c r="Y496" s="20">
        <v>8.4012049150099006</v>
      </c>
      <c r="Z496" s="20">
        <v>10.598599698764</v>
      </c>
      <c r="AA496" s="20">
        <v>12.7984230538947</v>
      </c>
      <c r="AB496" s="20">
        <v>14.9918020100964</v>
      </c>
      <c r="AC496" s="20">
        <v>17.176127462200899</v>
      </c>
      <c r="AD496" s="20">
        <v>19.347109609981299</v>
      </c>
      <c r="AE496" s="20">
        <v>21.503158309186102</v>
      </c>
      <c r="AF496" t="str">
        <f t="shared" si="30"/>
        <v>NonResidential</v>
      </c>
      <c r="AG496" t="str">
        <f>tbl_Data_old[[#This Row],[All_Meas_Name_Append]]</f>
        <v>LED Linear - Fixture Replacement</v>
      </c>
      <c r="AH496">
        <f>AVERAGEIFS('3. Incentive Adjustment'!G:G,'3. Incentive Adjustment'!A:A,tbl_Data_old[[#This Row],[Trimmed Sector]],'3. Incentive Adjustment'!B:B,tbl_Data_old[[#This Row],[Trimmed Measure Name]])</f>
        <v>0.56055357916158088</v>
      </c>
      <c r="AI496">
        <f>$AH496*tbl_Data_old[[#This Row],[2025 ]]</f>
        <v>1.1143539304607948</v>
      </c>
      <c r="AJ496">
        <f>$AH496*tbl_Data_old[[#This Row],[2026 ]]</f>
        <v>2.2858697811183952</v>
      </c>
      <c r="AK496">
        <f>$AH496*tbl_Data_old[[#This Row],[2027 ]]</f>
        <v>3.4881699787754568</v>
      </c>
      <c r="AL496">
        <f>$AH496*tbl_Data_old[[#This Row],[2028 ]]</f>
        <v>4.7093254843786649</v>
      </c>
      <c r="AM496">
        <f>$AH496*tbl_Data_old[[#This Row],[2029 ]]</f>
        <v>5.9410829952430131</v>
      </c>
      <c r="AN496">
        <f>$AH496*tbl_Data_old[[#This Row],[2030 ]]</f>
        <v>7.1742018504847644</v>
      </c>
      <c r="AO496">
        <f>$AH496*tbl_Data_old[[#This Row],[2031 ]]</f>
        <v>8.4037082748413194</v>
      </c>
      <c r="AP496">
        <f>$AH496*tbl_Data_old[[#This Row],[2032 ]]</f>
        <v>9.6281397250722343</v>
      </c>
      <c r="AQ496">
        <f>$AH496*tbl_Data_old[[#This Row],[2033 ]]</f>
        <v>10.845091538306434</v>
      </c>
      <c r="AR496">
        <f>$AH496*tbl_Data_old[[#This Row],[2034 ]]</f>
        <v>12.053672353492358</v>
      </c>
      <c r="AS496">
        <f>SUM(tbl_Data_old[[#This Row],[Adjusted 2025]:[Adjusted 2034]])</f>
        <v>65.643615912173431</v>
      </c>
      <c r="AT496" s="3">
        <f>AVERAGEIFS('3. Incentive Adjustment'!F:F,'3. Incentive Adjustment'!A:A,tbl_Data_old[[#This Row],[Trimmed Sector]],'3. Incentive Adjustment'!B:B,tbl_Data_old[[#This Row],[Trimmed Measure Name]])</f>
        <v>16.810726621008875</v>
      </c>
      <c r="AU496" s="3">
        <f>IFERROR(VLOOKUP(tbl_Data_old[[#This Row],[All_Meas_Name_Append]],'IRA Tax Credits'!$A$3:$D$46,4,0),0)</f>
        <v>0</v>
      </c>
      <c r="AV496" s="4">
        <f>tbl_Data_old[[#This Row],[Adj. per unit Incentive ($)]]/tbl_Data_old[[#This Row],[kWh Savings]]*tbl_Data_old[[#This Row],[Sum of Annuals]]</f>
        <v>3.2834946486373955</v>
      </c>
      <c r="AW496" s="4">
        <f>IFERROR(VLOOKUP(tbl_Data_old[[#This Row],[All_Programs]],'1. Set Program Names'!$B$2:$D$15,3,0)*tbl_Data_old[[#This Row],[Sum of Annuals]],"")</f>
        <v>2.0775020334155712</v>
      </c>
      <c r="AX496" s="4">
        <f>tbl_Data_old[[#This Row],[per unit IRA tax ($)]]/tbl_Data_old[[#This Row],[kWh Savings]]*tbl_Data_old[[#This Row],[Sum of Annuals]]</f>
        <v>0</v>
      </c>
      <c r="AY496" s="4">
        <f>tbl_Data_old[[#This Row],[Avoided Costs ($/unit)]]/tbl_Data_old[[#This Row],[kWh Savings]]*tbl_Data_old[[#This Row],[Sum of Annuals]]</f>
        <v>28.966977015522179</v>
      </c>
      <c r="AZ496" s="4">
        <f>tbl_Data_old[[#This Row],[Lost Revenue ($/unit)]]/tbl_Data_old[[#This Row],[kWh Savings]]*tbl_Data_old[[#This Row],[Sum of Annuals]]</f>
        <v>71.29684870880574</v>
      </c>
      <c r="BA496" s="4">
        <f>tbl_Data_old[[#This Row],[Incremental Cost ($/unit)]]/tbl_Data_old[[#This Row],[kWh Savings]]*tbl_Data_old[[#This Row],[Sum of Annuals]]</f>
        <v>21.305658247143175</v>
      </c>
      <c r="BB496">
        <f>ROUNDUP(tbl_Data_old[[#This Row],[Adjusted 2025]]/$L496,0)</f>
        <v>1</v>
      </c>
      <c r="BC496">
        <f>ROUNDUP(tbl_Data_old[[#This Row],[Adjusted 2026]]/$L496,0)</f>
        <v>1</v>
      </c>
      <c r="BD496">
        <f>ROUNDUP(tbl_Data_old[[#This Row],[Adjusted 2027]]/$L496,0)</f>
        <v>1</v>
      </c>
      <c r="BE496">
        <f>ROUNDUP(tbl_Data_old[[#This Row],[Adjusted 2028]]/$L496,0)</f>
        <v>1</v>
      </c>
      <c r="BF496">
        <f>ROUNDUP(tbl_Data_old[[#This Row],[Adjusted 2029]]/$L496,0)</f>
        <v>1</v>
      </c>
      <c r="BG496">
        <f>ROUNDUP(tbl_Data_old[[#This Row],[Adjusted 2030]]/$L496,0)</f>
        <v>1</v>
      </c>
      <c r="BH496">
        <f>ROUNDUP(tbl_Data_old[[#This Row],[Adjusted 2031]]/$L496,0)</f>
        <v>1</v>
      </c>
      <c r="BI496">
        <f>ROUNDUP(tbl_Data_old[[#This Row],[Adjusted 2032]]/$L496,0)</f>
        <v>1</v>
      </c>
      <c r="BJ496">
        <f>ROUNDUP(tbl_Data_old[[#This Row],[Adjusted 2033]]/$L496,0)</f>
        <v>1</v>
      </c>
      <c r="BK496">
        <f>ROUNDUP(tbl_Data_old[[#This Row],[Adjusted 2034]]/$L496,0)</f>
        <v>1</v>
      </c>
      <c r="BL496" s="3">
        <f t="shared" si="33"/>
        <v>9.9437417442556741E-2</v>
      </c>
      <c r="BM496" s="3">
        <f t="shared" si="33"/>
        <v>0.20397557852235043</v>
      </c>
      <c r="BN496" s="3">
        <f t="shared" si="33"/>
        <v>0.31126072678422922</v>
      </c>
      <c r="BO496" s="3">
        <f t="shared" si="33"/>
        <v>0.42022839536213863</v>
      </c>
      <c r="BP496" s="3">
        <f t="shared" si="33"/>
        <v>0.53014211527442467</v>
      </c>
      <c r="BQ496" s="3">
        <f t="shared" si="33"/>
        <v>0.64017731236325093</v>
      </c>
      <c r="BR496" s="3">
        <f t="shared" si="33"/>
        <v>0.7498901605213697</v>
      </c>
      <c r="BS496" s="3">
        <f t="shared" si="33"/>
        <v>0.85915015226928793</v>
      </c>
      <c r="BT496" s="3">
        <f t="shared" si="33"/>
        <v>0.96774271173556681</v>
      </c>
      <c r="BU496" s="3">
        <f t="shared" si="33"/>
        <v>1.0755882998809898</v>
      </c>
      <c r="BV496">
        <f>VLOOKUP($H496,'1. Set Program Names'!$B$2:$D$15,3,0)*V496</f>
        <v>6.2915113024543251E-2</v>
      </c>
      <c r="BW496">
        <f>VLOOKUP($H496,'1. Set Program Names'!$B$2:$D$15,3,0)*W496</f>
        <v>0.12905752087129332</v>
      </c>
      <c r="BX496">
        <f>VLOOKUP($H496,'1. Set Program Names'!$B$2:$D$15,3,0)*X496</f>
        <v>0.19693797676356603</v>
      </c>
      <c r="BY496">
        <f>VLOOKUP($H496,'1. Set Program Names'!$B$2:$D$15,3,0)*Y496</f>
        <v>0.26588298117863512</v>
      </c>
      <c r="BZ496">
        <f>VLOOKUP($H496,'1. Set Program Names'!$B$2:$D$15,3,0)*Z496</f>
        <v>0.33542656234841228</v>
      </c>
      <c r="CA496">
        <f>VLOOKUP($H496,'1. Set Program Names'!$B$2:$D$15,3,0)*AA496</f>
        <v>0.40504700342151861</v>
      </c>
      <c r="CB496">
        <f>VLOOKUP($H496,'1. Set Program Names'!$B$2:$D$15,3,0)*AB496</f>
        <v>0.47446349089314976</v>
      </c>
      <c r="CC496">
        <f>VLOOKUP($H496,'1. Set Program Names'!$B$2:$D$15,3,0)*AC496</f>
        <v>0.54359345129112557</v>
      </c>
      <c r="CD496">
        <f>VLOOKUP($H496,'1. Set Program Names'!$B$2:$D$15,3,0)*AD496</f>
        <v>0.61230112017635341</v>
      </c>
      <c r="CE496">
        <f>VLOOKUP($H496,'1. Set Program Names'!$B$2:$D$15,3,0)*AE496</f>
        <v>0.68053617235163011</v>
      </c>
    </row>
    <row r="497" spans="1:83" x14ac:dyDescent="0.25">
      <c r="A497" s="20" t="s">
        <v>117</v>
      </c>
      <c r="B497" s="20" t="s">
        <v>88</v>
      </c>
      <c r="C497" s="20" t="s">
        <v>122</v>
      </c>
      <c r="D497" s="20" t="s">
        <v>90</v>
      </c>
      <c r="E497" s="20" t="s">
        <v>91</v>
      </c>
      <c r="F497" s="20" t="s">
        <v>90</v>
      </c>
      <c r="G497" s="20" t="s">
        <v>92</v>
      </c>
      <c r="H497" s="20" t="s">
        <v>18</v>
      </c>
      <c r="I497" s="20" t="s">
        <v>164</v>
      </c>
      <c r="J497" s="20" t="s">
        <v>158</v>
      </c>
      <c r="K497" s="20" t="s">
        <v>159</v>
      </c>
      <c r="L497" s="20">
        <v>612.05999999999904</v>
      </c>
      <c r="M497" s="20">
        <v>0</v>
      </c>
      <c r="N497" s="20">
        <v>3.0244631686656E-2</v>
      </c>
      <c r="O497" s="20">
        <v>255</v>
      </c>
      <c r="P497" s="20">
        <v>129.095003330796</v>
      </c>
      <c r="Q497" s="20">
        <v>19.3705949451899</v>
      </c>
      <c r="R497" s="20">
        <v>299.625229349054</v>
      </c>
      <c r="S497" s="20">
        <v>664.77065003695395</v>
      </c>
      <c r="T497" s="20">
        <v>15</v>
      </c>
      <c r="U497" s="20">
        <v>0.2</v>
      </c>
      <c r="V497" s="20">
        <v>2.6542253011797898</v>
      </c>
      <c r="W497" s="20">
        <v>5.5380335945075698</v>
      </c>
      <c r="X497" s="20">
        <v>8.6062970674285104</v>
      </c>
      <c r="Y497" s="20">
        <v>11.829349453202299</v>
      </c>
      <c r="Z497" s="20">
        <v>15.1762011353169</v>
      </c>
      <c r="AA497" s="20">
        <v>18.618353028141598</v>
      </c>
      <c r="AB497" s="20">
        <v>22.129561581756398</v>
      </c>
      <c r="AC497" s="20">
        <v>25.6945581190609</v>
      </c>
      <c r="AD497" s="20">
        <v>29.305376377035099</v>
      </c>
      <c r="AE497" s="20">
        <v>32.948158952087802</v>
      </c>
      <c r="AF497" t="str">
        <f t="shared" si="30"/>
        <v>NonResidential</v>
      </c>
      <c r="AG497" t="str">
        <f>tbl_Data_old[[#This Row],[All_Meas_Name_Append]]</f>
        <v>LED Parking Lighting</v>
      </c>
      <c r="AH497">
        <f>AVERAGEIFS('3. Incentive Adjustment'!G:G,'3. Incentive Adjustment'!A:A,tbl_Data_old[[#This Row],[Trimmed Sector]],'3. Incentive Adjustment'!B:B,tbl_Data_old[[#This Row],[Trimmed Measure Name]])</f>
        <v>0.59704067730377497</v>
      </c>
      <c r="AI497">
        <f>$AH497*tbl_Data_old[[#This Row],[2025 ]]</f>
        <v>1.5846804715331979</v>
      </c>
      <c r="AJ497">
        <f>$AH497*tbl_Data_old[[#This Row],[2026 ]]</f>
        <v>3.3064313281958588</v>
      </c>
      <c r="AK497">
        <f>$AH497*tbl_Data_old[[#This Row],[2027 ]]</f>
        <v>5.1383094302150099</v>
      </c>
      <c r="AL497">
        <f>$AH497*tbl_Data_old[[#This Row],[2028 ]]</f>
        <v>7.0626028096029412</v>
      </c>
      <c r="AM497">
        <f>$AH497*tbl_Data_old[[#This Row],[2029 ]]</f>
        <v>9.0608094047279213</v>
      </c>
      <c r="AN497">
        <f>$AH497*tbl_Data_old[[#This Row],[2030 ]]</f>
        <v>11.115914102202449</v>
      </c>
      <c r="AO497">
        <f>$AH497*tbl_Data_old[[#This Row],[2031 ]]</f>
        <v>13.212248435207437</v>
      </c>
      <c r="AP497">
        <f>$AH497*tbl_Data_old[[#This Row],[2032 ]]</f>
        <v>15.34069638242533</v>
      </c>
      <c r="AQ497">
        <f>$AH497*tbl_Data_old[[#This Row],[2033 ]]</f>
        <v>17.496501760787083</v>
      </c>
      <c r="AR497">
        <f>$AH497*tbl_Data_old[[#This Row],[2034 ]]</f>
        <v>19.671391136666937</v>
      </c>
      <c r="AS497">
        <f>SUM(tbl_Data_old[[#This Row],[Adjusted 2025]:[Adjusted 2034]])</f>
        <v>102.98958526156416</v>
      </c>
      <c r="AT497" s="3">
        <f>AVERAGEIFS('3. Incentive Adjustment'!F:F,'3. Incentive Adjustment'!A:A,tbl_Data_old[[#This Row],[Trimmed Sector]],'3. Incentive Adjustment'!B:B,tbl_Data_old[[#This Row],[Trimmed Measure Name]])</f>
        <v>9.4514474020799994</v>
      </c>
      <c r="AU497" s="3">
        <f>IFERROR(VLOOKUP(tbl_Data_old[[#This Row],[All_Meas_Name_Append]],'IRA Tax Credits'!$A$3:$D$46,4,0),0)</f>
        <v>0</v>
      </c>
      <c r="AV497" s="4">
        <f>tbl_Data_old[[#This Row],[Adj. per unit Incentive ($)]]/tbl_Data_old[[#This Row],[kWh Savings]]*tbl_Data_old[[#This Row],[Sum of Annuals]]</f>
        <v>1.5903680163083826</v>
      </c>
      <c r="AW497" s="4">
        <f>IFERROR(VLOOKUP(tbl_Data_old[[#This Row],[All_Programs]],'1. Set Program Names'!$B$2:$D$15,3,0)*tbl_Data_old[[#This Row],[Sum of Annuals]],"")</f>
        <v>3.2594345973840144</v>
      </c>
      <c r="AX497" s="4">
        <f>tbl_Data_old[[#This Row],[per unit IRA tax ($)]]/tbl_Data_old[[#This Row],[kWh Savings]]*tbl_Data_old[[#This Row],[Sum of Annuals]]</f>
        <v>0</v>
      </c>
      <c r="AY497" s="4">
        <f>tbl_Data_old[[#This Row],[Avoided Costs ($/unit)]]/tbl_Data_old[[#This Row],[kWh Savings]]*tbl_Data_old[[#This Row],[Sum of Annuals]]</f>
        <v>50.417080195667353</v>
      </c>
      <c r="AZ497" s="4">
        <f>tbl_Data_old[[#This Row],[Lost Revenue ($/unit)]]/tbl_Data_old[[#This Row],[kWh Savings]]*tbl_Data_old[[#This Row],[Sum of Annuals]]</f>
        <v>111.85905555234194</v>
      </c>
      <c r="BA497" s="4">
        <f>tbl_Data_old[[#This Row],[Incremental Cost ($/unit)]]/tbl_Data_old[[#This Row],[kWh Savings]]*tbl_Data_old[[#This Row],[Sum of Annuals]]</f>
        <v>42.908120513836721</v>
      </c>
      <c r="BB497">
        <f>ROUNDUP(tbl_Data_old[[#This Row],[Adjusted 2025]]/$L497,0)</f>
        <v>1</v>
      </c>
      <c r="BC497">
        <f>ROUNDUP(tbl_Data_old[[#This Row],[Adjusted 2026]]/$L497,0)</f>
        <v>1</v>
      </c>
      <c r="BD497">
        <f>ROUNDUP(tbl_Data_old[[#This Row],[Adjusted 2027]]/$L497,0)</f>
        <v>1</v>
      </c>
      <c r="BE497">
        <f>ROUNDUP(tbl_Data_old[[#This Row],[Adjusted 2028]]/$L497,0)</f>
        <v>1</v>
      </c>
      <c r="BF497">
        <f>ROUNDUP(tbl_Data_old[[#This Row],[Adjusted 2029]]/$L497,0)</f>
        <v>1</v>
      </c>
      <c r="BG497">
        <f>ROUNDUP(tbl_Data_old[[#This Row],[Adjusted 2030]]/$L497,0)</f>
        <v>1</v>
      </c>
      <c r="BH497">
        <f>ROUNDUP(tbl_Data_old[[#This Row],[Adjusted 2031]]/$L497,0)</f>
        <v>1</v>
      </c>
      <c r="BI497">
        <f>ROUNDUP(tbl_Data_old[[#This Row],[Adjusted 2032]]/$L497,0)</f>
        <v>1</v>
      </c>
      <c r="BJ497">
        <f>ROUNDUP(tbl_Data_old[[#This Row],[Adjusted 2033]]/$L497,0)</f>
        <v>1</v>
      </c>
      <c r="BK497">
        <f>ROUNDUP(tbl_Data_old[[#This Row],[Adjusted 2034]]/$L497,0)</f>
        <v>1</v>
      </c>
      <c r="BL497" s="3">
        <f t="shared" si="33"/>
        <v>4.0986620310706087E-2</v>
      </c>
      <c r="BM497" s="3">
        <f t="shared" si="33"/>
        <v>8.5518467518609961E-2</v>
      </c>
      <c r="BN497" s="3">
        <f t="shared" si="33"/>
        <v>0.13289867669750685</v>
      </c>
      <c r="BO497" s="3">
        <f t="shared" si="33"/>
        <v>0.18266914053812619</v>
      </c>
      <c r="BP497" s="3">
        <f t="shared" si="33"/>
        <v>0.23435131652752128</v>
      </c>
      <c r="BQ497" s="3">
        <f t="shared" si="33"/>
        <v>0.28750512099930969</v>
      </c>
      <c r="BR497" s="3">
        <f t="shared" si="33"/>
        <v>0.34172530033176685</v>
      </c>
      <c r="BS497" s="3">
        <f t="shared" si="33"/>
        <v>0.39677607519196173</v>
      </c>
      <c r="BT497" s="3">
        <f t="shared" si="33"/>
        <v>0.45253443032661078</v>
      </c>
      <c r="BU497" s="3">
        <f t="shared" si="33"/>
        <v>0.50878637932723858</v>
      </c>
      <c r="BV497">
        <f>VLOOKUP($H497,'1. Set Program Names'!$B$2:$D$15,3,0)*V497</f>
        <v>8.4001442999752318E-2</v>
      </c>
      <c r="BW497">
        <f>VLOOKUP($H497,'1. Set Program Names'!$B$2:$D$15,3,0)*W497</f>
        <v>0.17526877357131693</v>
      </c>
      <c r="BX497">
        <f>VLOOKUP($H497,'1. Set Program Names'!$B$2:$D$15,3,0)*X497</f>
        <v>0.27237377785042882</v>
      </c>
      <c r="BY497">
        <f>VLOOKUP($H497,'1. Set Program Names'!$B$2:$D$15,3,0)*Y497</f>
        <v>0.37437757200778599</v>
      </c>
      <c r="BZ497">
        <f>VLOOKUP($H497,'1. Set Program Names'!$B$2:$D$15,3,0)*Z497</f>
        <v>0.48029939058091514</v>
      </c>
      <c r="CA497">
        <f>VLOOKUP($H497,'1. Set Program Names'!$B$2:$D$15,3,0)*AA497</f>
        <v>0.58923728891723182</v>
      </c>
      <c r="CB497">
        <f>VLOOKUP($H497,'1. Set Program Names'!$B$2:$D$15,3,0)*AB497</f>
        <v>0.70036070600078315</v>
      </c>
      <c r="CC497">
        <f>VLOOKUP($H497,'1. Set Program Names'!$B$2:$D$15,3,0)*AC497</f>
        <v>0.81318641574350459</v>
      </c>
      <c r="CD497">
        <f>VLOOKUP($H497,'1. Set Program Names'!$B$2:$D$15,3,0)*AD497</f>
        <v>0.92746230029063148</v>
      </c>
      <c r="CE497">
        <f>VLOOKUP($H497,'1. Set Program Names'!$B$2:$D$15,3,0)*AE497</f>
        <v>1.042749797814962</v>
      </c>
    </row>
    <row r="498" spans="1:83" x14ac:dyDescent="0.25">
      <c r="A498" s="20" t="s">
        <v>117</v>
      </c>
      <c r="B498" s="20" t="s">
        <v>88</v>
      </c>
      <c r="C498" s="20" t="s">
        <v>122</v>
      </c>
      <c r="D498" s="20" t="s">
        <v>90</v>
      </c>
      <c r="E498" s="20" t="s">
        <v>91</v>
      </c>
      <c r="F498" s="20" t="s">
        <v>90</v>
      </c>
      <c r="G498" s="20" t="s">
        <v>92</v>
      </c>
      <c r="H498" s="20" t="s">
        <v>18</v>
      </c>
      <c r="I498" s="20" t="s">
        <v>165</v>
      </c>
      <c r="J498" s="20" t="s">
        <v>161</v>
      </c>
      <c r="K498" s="20" t="s">
        <v>166</v>
      </c>
      <c r="L498" s="20">
        <v>510.6</v>
      </c>
      <c r="M498" s="20">
        <v>6.2552429943266097E-2</v>
      </c>
      <c r="N498" s="20">
        <v>6.4361142955417797E-2</v>
      </c>
      <c r="O498" s="20">
        <v>129</v>
      </c>
      <c r="P498" s="20">
        <v>26.468747947944401</v>
      </c>
      <c r="Q498" s="20">
        <v>16.159568962215999</v>
      </c>
      <c r="R498" s="20">
        <v>174.74401692254699</v>
      </c>
      <c r="S498" s="20">
        <v>419.99719394182398</v>
      </c>
      <c r="T498" s="20">
        <v>10</v>
      </c>
      <c r="U498" s="20">
        <v>0.2</v>
      </c>
      <c r="V498" s="20">
        <v>1.01031225358409</v>
      </c>
      <c r="W498" s="20">
        <v>2.3958987819860602</v>
      </c>
      <c r="X498" s="20">
        <v>4.2390289779674504</v>
      </c>
      <c r="Y498" s="20">
        <v>6.6163364772083701</v>
      </c>
      <c r="Z498" s="20">
        <v>9.5609629515792296</v>
      </c>
      <c r="AA498" s="20">
        <v>13.0180843840742</v>
      </c>
      <c r="AB498" s="20">
        <v>16.818279753297901</v>
      </c>
      <c r="AC498" s="20">
        <v>20.684240278168701</v>
      </c>
      <c r="AD498" s="20">
        <v>24.283330723056199</v>
      </c>
      <c r="AE498" s="20">
        <v>27.336234921195199</v>
      </c>
      <c r="AF498" t="str">
        <f t="shared" si="30"/>
        <v>NonResidential</v>
      </c>
      <c r="AG498" t="str">
        <f>tbl_Data_old[[#This Row],[All_Meas_Name_Append]]</f>
        <v>Occupancy Sensors_ Ceiling Mounted</v>
      </c>
      <c r="AH498">
        <f>AVERAGEIFS('3. Incentive Adjustment'!G:G,'3. Incentive Adjustment'!A:A,tbl_Data_old[[#This Row],[Trimmed Sector]],'3. Incentive Adjustment'!B:B,tbl_Data_old[[#This Row],[Trimmed Measure Name]])</f>
        <v>0.99348124042467356</v>
      </c>
      <c r="AI498">
        <f>$AH498*tbl_Data_old[[#This Row],[2025 ]]</f>
        <v>1.0037262709069692</v>
      </c>
      <c r="AJ498">
        <f>$AH498*tbl_Data_old[[#This Row],[2026 ]]</f>
        <v>2.3802804938594755</v>
      </c>
      <c r="AK498">
        <f>$AH498*tbl_Data_old[[#This Row],[2027 ]]</f>
        <v>4.2113957672272386</v>
      </c>
      <c r="AL498">
        <f>$AH498*tbl_Data_old[[#This Row],[2028 ]]</f>
        <v>6.5732061704439868</v>
      </c>
      <c r="AM498">
        <f>$AH498*tbl_Data_old[[#This Row],[2029 ]]</f>
        <v>9.498637332789281</v>
      </c>
      <c r="AN498">
        <f>$AH498*tbl_Data_old[[#This Row],[2030 ]]</f>
        <v>12.933222621843109</v>
      </c>
      <c r="AO498">
        <f>$AH498*tbl_Data_old[[#This Row],[2031 ]]</f>
        <v>16.708645431115571</v>
      </c>
      <c r="AP498">
        <f>$AH498*tbl_Data_old[[#This Row],[2032 ]]</f>
        <v>20.549404688797036</v>
      </c>
      <c r="AQ498">
        <f>$AH498*tbl_Data_old[[#This Row],[2033 ]]</f>
        <v>24.125033528384456</v>
      </c>
      <c r="AR498">
        <f>$AH498*tbl_Data_old[[#This Row],[2034 ]]</f>
        <v>27.158036578049284</v>
      </c>
      <c r="AS498">
        <f>SUM(tbl_Data_old[[#This Row],[Adjusted 2025]:[Adjusted 2034]])</f>
        <v>125.1415888834164</v>
      </c>
      <c r="AT498" s="3">
        <f>AVERAGEIFS('3. Incentive Adjustment'!F:F,'3. Incentive Adjustment'!A:A,tbl_Data_old[[#This Row],[Trimmed Sector]],'3. Incentive Adjustment'!B:B,tbl_Data_old[[#This Row],[Trimmed Measure Name]])</f>
        <v>19.547634357270656</v>
      </c>
      <c r="AU498" s="3">
        <f>IFERROR(VLOOKUP(tbl_Data_old[[#This Row],[All_Meas_Name_Append]],'IRA Tax Credits'!$A$3:$D$46,4,0),0)</f>
        <v>0</v>
      </c>
      <c r="AV498" s="4">
        <f>tbl_Data_old[[#This Row],[Adj. per unit Incentive ($)]]/tbl_Data_old[[#This Row],[kWh Savings]]*tbl_Data_old[[#This Row],[Sum of Annuals]]</f>
        <v>4.7908774429708387</v>
      </c>
      <c r="AW498" s="4">
        <f>IFERROR(VLOOKUP(tbl_Data_old[[#This Row],[All_Programs]],'1. Set Program Names'!$B$2:$D$15,3,0)*tbl_Data_old[[#This Row],[Sum of Annuals]],"")</f>
        <v>3.9605055534721099</v>
      </c>
      <c r="AX498" s="4">
        <f>tbl_Data_old[[#This Row],[per unit IRA tax ($)]]/tbl_Data_old[[#This Row],[kWh Savings]]*tbl_Data_old[[#This Row],[Sum of Annuals]]</f>
        <v>0</v>
      </c>
      <c r="AY498" s="4">
        <f>tbl_Data_old[[#This Row],[Avoided Costs ($/unit)]]/tbl_Data_old[[#This Row],[kWh Savings]]*tbl_Data_old[[#This Row],[Sum of Annuals]]</f>
        <v>42.827543920012012</v>
      </c>
      <c r="AZ498" s="4">
        <f>tbl_Data_old[[#This Row],[Lost Revenue ($/unit)]]/tbl_Data_old[[#This Row],[kWh Savings]]*tbl_Data_old[[#This Row],[Sum of Annuals]]</f>
        <v>102.93598937809682</v>
      </c>
      <c r="BA498" s="4">
        <f>tbl_Data_old[[#This Row],[Incremental Cost ($/unit)]]/tbl_Data_old[[#This Row],[kWh Savings]]*tbl_Data_old[[#This Row],[Sum of Annuals]]</f>
        <v>31.616265111556434</v>
      </c>
      <c r="BB498">
        <f>ROUNDUP(tbl_Data_old[[#This Row],[Adjusted 2025]]/$L498,0)</f>
        <v>1</v>
      </c>
      <c r="BC498">
        <f>ROUNDUP(tbl_Data_old[[#This Row],[Adjusted 2026]]/$L498,0)</f>
        <v>1</v>
      </c>
      <c r="BD498">
        <f>ROUNDUP(tbl_Data_old[[#This Row],[Adjusted 2027]]/$L498,0)</f>
        <v>1</v>
      </c>
      <c r="BE498">
        <f>ROUNDUP(tbl_Data_old[[#This Row],[Adjusted 2028]]/$L498,0)</f>
        <v>1</v>
      </c>
      <c r="BF498">
        <f>ROUNDUP(tbl_Data_old[[#This Row],[Adjusted 2029]]/$L498,0)</f>
        <v>1</v>
      </c>
      <c r="BG498">
        <f>ROUNDUP(tbl_Data_old[[#This Row],[Adjusted 2030]]/$L498,0)</f>
        <v>1</v>
      </c>
      <c r="BH498">
        <f>ROUNDUP(tbl_Data_old[[#This Row],[Adjusted 2031]]/$L498,0)</f>
        <v>1</v>
      </c>
      <c r="BI498">
        <f>ROUNDUP(tbl_Data_old[[#This Row],[Adjusted 2032]]/$L498,0)</f>
        <v>1</v>
      </c>
      <c r="BJ498">
        <f>ROUNDUP(tbl_Data_old[[#This Row],[Adjusted 2033]]/$L498,0)</f>
        <v>1</v>
      </c>
      <c r="BK498">
        <f>ROUNDUP(tbl_Data_old[[#This Row],[Adjusted 2034]]/$L498,0)</f>
        <v>1</v>
      </c>
      <c r="BL498" s="3">
        <f t="shared" si="33"/>
        <v>3.8678445984590484E-2</v>
      </c>
      <c r="BM498" s="3">
        <f t="shared" si="33"/>
        <v>9.1723762920669069E-2</v>
      </c>
      <c r="BN498" s="3">
        <f t="shared" si="33"/>
        <v>0.16228552387618969</v>
      </c>
      <c r="BO498" s="3">
        <f t="shared" si="33"/>
        <v>0.25329754453807568</v>
      </c>
      <c r="BP498" s="3">
        <f t="shared" si="33"/>
        <v>0.36602860924575403</v>
      </c>
      <c r="BQ498" s="3">
        <f t="shared" si="33"/>
        <v>0.49837985423419007</v>
      </c>
      <c r="BR498" s="3">
        <f t="shared" si="33"/>
        <v>0.64386522353261955</v>
      </c>
      <c r="BS498" s="3">
        <f t="shared" si="33"/>
        <v>0.79186832337558177</v>
      </c>
      <c r="BT498" s="3">
        <f t="shared" si="33"/>
        <v>0.9296546610869163</v>
      </c>
      <c r="BU498" s="3">
        <f t="shared" si="33"/>
        <v>1.0465309928397517</v>
      </c>
      <c r="BV498">
        <f>VLOOKUP($H498,'1. Set Program Names'!$B$2:$D$15,3,0)*V498</f>
        <v>3.1974560390058818E-2</v>
      </c>
      <c r="BW498">
        <f>VLOOKUP($H498,'1. Set Program Names'!$B$2:$D$15,3,0)*W498</f>
        <v>7.582587464550182E-2</v>
      </c>
      <c r="BX498">
        <f>VLOOKUP($H498,'1. Set Program Names'!$B$2:$D$15,3,0)*X498</f>
        <v>0.13415762064688078</v>
      </c>
      <c r="BY498">
        <f>VLOOKUP($H498,'1. Set Program Names'!$B$2:$D$15,3,0)*Y498</f>
        <v>0.20939511472909203</v>
      </c>
      <c r="BZ498">
        <f>VLOOKUP($H498,'1. Set Program Names'!$B$2:$D$15,3,0)*Z498</f>
        <v>0.30258723102475021</v>
      </c>
      <c r="CA498">
        <f>VLOOKUP($H498,'1. Set Program Names'!$B$2:$D$15,3,0)*AA498</f>
        <v>0.41199888828906217</v>
      </c>
      <c r="CB498">
        <f>VLOOKUP($H498,'1. Set Program Names'!$B$2:$D$15,3,0)*AB498</f>
        <v>0.5322682168023104</v>
      </c>
      <c r="CC498">
        <f>VLOOKUP($H498,'1. Set Program Names'!$B$2:$D$15,3,0)*AC498</f>
        <v>0.65461889386234717</v>
      </c>
      <c r="CD498">
        <f>VLOOKUP($H498,'1. Set Program Names'!$B$2:$D$15,3,0)*AD498</f>
        <v>0.76852361428031113</v>
      </c>
      <c r="CE498">
        <f>VLOOKUP($H498,'1. Set Program Names'!$B$2:$D$15,3,0)*AE498</f>
        <v>0.86514252521816104</v>
      </c>
    </row>
    <row r="499" spans="1:83" x14ac:dyDescent="0.25">
      <c r="A499" s="20" t="s">
        <v>117</v>
      </c>
      <c r="B499" s="20" t="s">
        <v>88</v>
      </c>
      <c r="C499" s="20" t="s">
        <v>122</v>
      </c>
      <c r="D499" s="20" t="s">
        <v>90</v>
      </c>
      <c r="E499" s="20" t="s">
        <v>91</v>
      </c>
      <c r="F499" s="20" t="s">
        <v>90</v>
      </c>
      <c r="G499" s="20" t="s">
        <v>92</v>
      </c>
      <c r="H499" s="20" t="s">
        <v>18</v>
      </c>
      <c r="I499" s="20" t="s">
        <v>167</v>
      </c>
      <c r="J499" s="20" t="s">
        <v>124</v>
      </c>
      <c r="K499" s="20" t="s">
        <v>98</v>
      </c>
      <c r="L499" s="20">
        <v>151.66</v>
      </c>
      <c r="M499" s="20">
        <v>2.2013191527321101E-2</v>
      </c>
      <c r="N499" s="20">
        <v>1.95296013954902E-2</v>
      </c>
      <c r="O499" s="20">
        <v>56.6</v>
      </c>
      <c r="P499" s="20">
        <v>25.402483751835899</v>
      </c>
      <c r="Q499" s="20">
        <v>4.7997654304929203</v>
      </c>
      <c r="R499" s="20">
        <v>70.564478576335205</v>
      </c>
      <c r="S499" s="20">
        <v>171.417444155428</v>
      </c>
      <c r="T499" s="20">
        <v>16</v>
      </c>
      <c r="U499" s="20">
        <v>0.2</v>
      </c>
      <c r="V499" s="20">
        <v>0.128353484704023</v>
      </c>
      <c r="W499" s="20">
        <v>0.30291871782989899</v>
      </c>
      <c r="X499" s="20">
        <v>0.52843827225027595</v>
      </c>
      <c r="Y499" s="20">
        <v>0.80687455075738501</v>
      </c>
      <c r="Z499" s="20">
        <v>1.13558051384903</v>
      </c>
      <c r="AA499" s="20">
        <v>1.5083026932043899</v>
      </c>
      <c r="AB499" s="20">
        <v>1.91625256850361</v>
      </c>
      <c r="AC499" s="20">
        <v>2.3513736818154101</v>
      </c>
      <c r="AD499" s="20">
        <v>2.8078303274489298</v>
      </c>
      <c r="AE499" s="20">
        <v>3.2802022220538198</v>
      </c>
      <c r="AF499" t="str">
        <f t="shared" si="30"/>
        <v>NonResidential</v>
      </c>
      <c r="AG499" t="str">
        <f>tbl_Data_old[[#This Row],[All_Meas_Name_Append]]</f>
        <v>Refrigerated Display Case LED Lighting</v>
      </c>
      <c r="AH499">
        <f>AVERAGEIFS('3. Incentive Adjustment'!G:G,'3. Incentive Adjustment'!A:A,tbl_Data_old[[#This Row],[Trimmed Sector]],'3. Incentive Adjustment'!B:B,tbl_Data_old[[#This Row],[Trimmed Measure Name]])</f>
        <v>0.72450810749703154</v>
      </c>
      <c r="AI499">
        <f>$AH499*tbl_Data_old[[#This Row],[2025 ]]</f>
        <v>9.2993140293560886E-2</v>
      </c>
      <c r="AJ499">
        <f>$AH499*tbl_Data_old[[#This Row],[2026 ]]</f>
        <v>0.21946706698036741</v>
      </c>
      <c r="AK499">
        <f>$AH499*tbl_Data_old[[#This Row],[2027 ]]</f>
        <v>0.38285781255704854</v>
      </c>
      <c r="AL499">
        <f>$AH499*tbl_Data_old[[#This Row],[2028 ]]</f>
        <v>0.58458715375675052</v>
      </c>
      <c r="AM499">
        <f>$AH499*tbl_Data_old[[#This Row],[2029 ]]</f>
        <v>0.82273728899926735</v>
      </c>
      <c r="AN499">
        <f>$AH499*tbl_Data_old[[#This Row],[2030 ]]</f>
        <v>1.0927775297861884</v>
      </c>
      <c r="AO499">
        <f>$AH499*tbl_Data_old[[#This Row],[2031 ]]</f>
        <v>1.3883405218928764</v>
      </c>
      <c r="AP499">
        <f>$AH499*tbl_Data_old[[#This Row],[2032 ]]</f>
        <v>1.70358929623041</v>
      </c>
      <c r="AQ499">
        <f>$AH499*tbl_Data_old[[#This Row],[2033 ]]</f>
        <v>2.0342958367127943</v>
      </c>
      <c r="AR499">
        <f>$AH499*tbl_Data_old[[#This Row],[2034 ]]</f>
        <v>2.3765331041077706</v>
      </c>
      <c r="AS499">
        <f>SUM(tbl_Data_old[[#This Row],[Adjusted 2025]:[Adjusted 2034]])</f>
        <v>10.698178751317034</v>
      </c>
      <c r="AT499" s="3">
        <f>AVERAGEIFS('3. Incentive Adjustment'!F:F,'3. Incentive Adjustment'!A:A,tbl_Data_old[[#This Row],[Trimmed Sector]],'3. Incentive Adjustment'!B:B,tbl_Data_old[[#This Row],[Trimmed Measure Name]])</f>
        <v>6.879122352287844</v>
      </c>
      <c r="AU499" s="3">
        <f>IFERROR(VLOOKUP(tbl_Data_old[[#This Row],[All_Meas_Name_Append]],'IRA Tax Credits'!$A$3:$D$46,4,0),0)</f>
        <v>0</v>
      </c>
      <c r="AV499" s="4">
        <f>tbl_Data_old[[#This Row],[Adj. per unit Incentive ($)]]/tbl_Data_old[[#This Row],[kWh Savings]]*tbl_Data_old[[#This Row],[Sum of Annuals]]</f>
        <v>0.48525702609096577</v>
      </c>
      <c r="AW499" s="4">
        <f>IFERROR(VLOOKUP(tbl_Data_old[[#This Row],[All_Programs]],'1. Set Program Names'!$B$2:$D$15,3,0)*tbl_Data_old[[#This Row],[Sum of Annuals]],"")</f>
        <v>0.33857805973760718</v>
      </c>
      <c r="AX499" s="4">
        <f>tbl_Data_old[[#This Row],[per unit IRA tax ($)]]/tbl_Data_old[[#This Row],[kWh Savings]]*tbl_Data_old[[#This Row],[Sum of Annuals]]</f>
        <v>0</v>
      </c>
      <c r="AY499" s="4">
        <f>tbl_Data_old[[#This Row],[Avoided Costs ($/unit)]]/tbl_Data_old[[#This Row],[kWh Savings]]*tbl_Data_old[[#This Row],[Sum of Annuals]]</f>
        <v>4.9776566352572553</v>
      </c>
      <c r="AZ499" s="4">
        <f>tbl_Data_old[[#This Row],[Lost Revenue ($/unit)]]/tbl_Data_old[[#This Row],[kWh Savings]]*tbl_Data_old[[#This Row],[Sum of Annuals]]</f>
        <v>12.091879590324899</v>
      </c>
      <c r="BA499" s="4">
        <f>tbl_Data_old[[#This Row],[Incremental Cost ($/unit)]]/tbl_Data_old[[#This Row],[kWh Savings]]*tbl_Data_old[[#This Row],[Sum of Annuals]]</f>
        <v>3.9925947337765009</v>
      </c>
      <c r="BB499">
        <f>ROUNDUP(tbl_Data_old[[#This Row],[Adjusted 2025]]/$L499,0)</f>
        <v>1</v>
      </c>
      <c r="BC499">
        <f>ROUNDUP(tbl_Data_old[[#This Row],[Adjusted 2026]]/$L499,0)</f>
        <v>1</v>
      </c>
      <c r="BD499">
        <f>ROUNDUP(tbl_Data_old[[#This Row],[Adjusted 2027]]/$L499,0)</f>
        <v>1</v>
      </c>
      <c r="BE499">
        <f>ROUNDUP(tbl_Data_old[[#This Row],[Adjusted 2028]]/$L499,0)</f>
        <v>1</v>
      </c>
      <c r="BF499">
        <f>ROUNDUP(tbl_Data_old[[#This Row],[Adjusted 2029]]/$L499,0)</f>
        <v>1</v>
      </c>
      <c r="BG499">
        <f>ROUNDUP(tbl_Data_old[[#This Row],[Adjusted 2030]]/$L499,0)</f>
        <v>1</v>
      </c>
      <c r="BH499">
        <f>ROUNDUP(tbl_Data_old[[#This Row],[Adjusted 2031]]/$L499,0)</f>
        <v>1</v>
      </c>
      <c r="BI499">
        <f>ROUNDUP(tbl_Data_old[[#This Row],[Adjusted 2032]]/$L499,0)</f>
        <v>1</v>
      </c>
      <c r="BJ499">
        <f>ROUNDUP(tbl_Data_old[[#This Row],[Adjusted 2033]]/$L499,0)</f>
        <v>1</v>
      </c>
      <c r="BK499">
        <f>ROUNDUP(tbl_Data_old[[#This Row],[Adjusted 2034]]/$L499,0)</f>
        <v>1</v>
      </c>
      <c r="BL499" s="3">
        <f t="shared" si="33"/>
        <v>5.8219657498449198E-3</v>
      </c>
      <c r="BM499" s="3">
        <f t="shared" si="33"/>
        <v>1.3740043009033578E-2</v>
      </c>
      <c r="BN499" s="3">
        <f t="shared" si="33"/>
        <v>2.3969349402883044E-2</v>
      </c>
      <c r="BO499" s="3">
        <f t="shared" si="33"/>
        <v>3.6598897254433209E-2</v>
      </c>
      <c r="BP499" s="3">
        <f t="shared" si="33"/>
        <v>5.1508619910598567E-2</v>
      </c>
      <c r="BQ499" s="3">
        <f t="shared" si="33"/>
        <v>6.8414867274418256E-2</v>
      </c>
      <c r="BR499" s="3">
        <f t="shared" si="33"/>
        <v>8.6919002219584443E-2</v>
      </c>
      <c r="BS499" s="3">
        <f t="shared" si="33"/>
        <v>0.1066555931238148</v>
      </c>
      <c r="BT499" s="3">
        <f t="shared" si="33"/>
        <v>0.12735993912030616</v>
      </c>
      <c r="BU499" s="3">
        <f t="shared" si="33"/>
        <v>0.1487861824195878</v>
      </c>
      <c r="BV499">
        <f>VLOOKUP($H499,'1. Set Program Names'!$B$2:$D$15,3,0)*V499</f>
        <v>4.0621562624665198E-3</v>
      </c>
      <c r="BW499">
        <f>VLOOKUP($H499,'1. Set Program Names'!$B$2:$D$15,3,0)*W499</f>
        <v>9.5868310041486941E-3</v>
      </c>
      <c r="BX499">
        <f>VLOOKUP($H499,'1. Set Program Names'!$B$2:$D$15,3,0)*X499</f>
        <v>1.6724118101650302E-2</v>
      </c>
      <c r="BY499">
        <f>VLOOKUP($H499,'1. Set Program Names'!$B$2:$D$15,3,0)*Y499</f>
        <v>2.5536124063496032E-2</v>
      </c>
      <c r="BZ499">
        <f>VLOOKUP($H499,'1. Set Program Names'!$B$2:$D$15,3,0)*Z499</f>
        <v>3.5939074864261969E-2</v>
      </c>
      <c r="CA499">
        <f>VLOOKUP($H499,'1. Set Program Names'!$B$2:$D$15,3,0)*AA499</f>
        <v>4.7735059511814663E-2</v>
      </c>
      <c r="CB499">
        <f>VLOOKUP($H499,'1. Set Program Names'!$B$2:$D$15,3,0)*AB499</f>
        <v>6.0645937191064946E-2</v>
      </c>
      <c r="CC499">
        <f>VLOOKUP($H499,'1. Set Program Names'!$B$2:$D$15,3,0)*AC499</f>
        <v>7.4416735541002796E-2</v>
      </c>
      <c r="CD499">
        <f>VLOOKUP($H499,'1. Set Program Names'!$B$2:$D$15,3,0)*AD499</f>
        <v>8.886276500315847E-2</v>
      </c>
      <c r="CE499">
        <f>VLOOKUP($H499,'1. Set Program Names'!$B$2:$D$15,3,0)*AE499</f>
        <v>0.10381248338678632</v>
      </c>
    </row>
    <row r="500" spans="1:83" x14ac:dyDescent="0.25">
      <c r="A500" s="20" t="s">
        <v>87</v>
      </c>
      <c r="B500" s="20" t="s">
        <v>88</v>
      </c>
      <c r="C500" s="20" t="s">
        <v>122</v>
      </c>
      <c r="D500" s="20" t="s">
        <v>90</v>
      </c>
      <c r="E500" s="20" t="s">
        <v>91</v>
      </c>
      <c r="F500" s="20" t="s">
        <v>90</v>
      </c>
      <c r="G500" s="20" t="s">
        <v>92</v>
      </c>
      <c r="H500" s="20" t="s">
        <v>20</v>
      </c>
      <c r="I500" s="20" t="s">
        <v>237</v>
      </c>
      <c r="J500" s="20" t="s">
        <v>129</v>
      </c>
      <c r="K500" s="20" t="s">
        <v>102</v>
      </c>
      <c r="L500" s="20">
        <v>2568.1199999999699</v>
      </c>
      <c r="M500" s="20">
        <v>0.53641456399840104</v>
      </c>
      <c r="N500" s="20">
        <v>2.1892485513222901E-2</v>
      </c>
      <c r="O500" s="53">
        <f>9025.1/929.29*tbl_Data_old[[#This Row],[kWh Savings]]</f>
        <v>24941.126894725789</v>
      </c>
      <c r="P500" s="20">
        <v>35498.089296558101</v>
      </c>
      <c r="Q500" s="20">
        <v>154.08719999999801</v>
      </c>
      <c r="R500" s="20">
        <v>1534.4473108970501</v>
      </c>
      <c r="S500" s="20">
        <v>3958.9826982459099</v>
      </c>
      <c r="T500" s="20">
        <v>30</v>
      </c>
      <c r="U500" s="20">
        <v>0.05</v>
      </c>
      <c r="V500" s="20">
        <v>69.379738582172294</v>
      </c>
      <c r="W500" s="20">
        <v>77.495616416935803</v>
      </c>
      <c r="X500" s="20">
        <v>86.272403426245404</v>
      </c>
      <c r="Y500" s="20">
        <v>95.881595744769896</v>
      </c>
      <c r="Z500" s="20">
        <v>106.01241337774201</v>
      </c>
      <c r="AA500" s="20">
        <v>116.64623256176399</v>
      </c>
      <c r="AB500" s="20">
        <v>127.486748581806</v>
      </c>
      <c r="AC500" s="20">
        <v>138.70866603086</v>
      </c>
      <c r="AD500" s="20">
        <v>150.658394876611</v>
      </c>
      <c r="AE500" s="20">
        <v>162.682314039472</v>
      </c>
      <c r="AF500" t="str">
        <f t="shared" si="30"/>
        <v>NonResidential</v>
      </c>
      <c r="AG500" t="str">
        <f>tbl_Data_old[[#This Row],[All_Meas_Name_Append]]</f>
        <v>Ceiling Insulation(R19 to R38)</v>
      </c>
      <c r="AH500">
        <f>AVERAGEIFS('3. Incentive Adjustment'!G:G,'3. Incentive Adjustment'!A:A,tbl_Data_old[[#This Row],[Trimmed Sector]],'3. Incentive Adjustment'!B:B,tbl_Data_old[[#This Row],[Trimmed Measure Name]])</f>
        <v>3.9688771318830651E-15</v>
      </c>
      <c r="AI500">
        <f>$AH500*tbl_Data_old[[#This Row],[2025 ]]</f>
        <v>2.7535965787480881E-13</v>
      </c>
      <c r="AJ500">
        <f>$AH500*tbl_Data_old[[#This Row],[2026 ]]</f>
        <v>3.0757057981835832E-13</v>
      </c>
      <c r="AK500">
        <f>$AH500*tbl_Data_old[[#This Row],[2027 ]]</f>
        <v>3.424045690710156E-13</v>
      </c>
      <c r="AL500">
        <f>$AH500*tbl_Data_old[[#This Row],[2028 ]]</f>
        <v>3.8054227271987383E-13</v>
      </c>
      <c r="AM500">
        <f>$AH500*tbl_Data_old[[#This Row],[2029 ]]</f>
        <v>4.2075024315065457E-13</v>
      </c>
      <c r="AN500">
        <f>$AH500*tbl_Data_old[[#This Row],[2030 ]]</f>
        <v>4.6295456493469887E-13</v>
      </c>
      <c r="AO500">
        <f>$AH500*tbl_Data_old[[#This Row],[2031 ]]</f>
        <v>5.0597924106445555E-13</v>
      </c>
      <c r="AP500">
        <f>$AH500*tbl_Data_old[[#This Row],[2032 ]]</f>
        <v>5.5051765260388562E-13</v>
      </c>
      <c r="AQ500">
        <f>$AH500*tbl_Data_old[[#This Row],[2033 ]]</f>
        <v>5.9794465815199008E-13</v>
      </c>
      <c r="AR500">
        <f>$AH500*tbl_Data_old[[#This Row],[2034 ]]</f>
        <v>6.456661159530797E-13</v>
      </c>
      <c r="AS500">
        <f>SUM(tbl_Data_old[[#This Row],[Adjusted 2025]:[Adjusted 2034]])</f>
        <v>4.4896895553428199E-12</v>
      </c>
      <c r="AT500" s="3">
        <f>AVERAGEIFS('3. Incentive Adjustment'!F:F,'3. Incentive Adjustment'!A:A,tbl_Data_old[[#This Row],[Trimmed Sector]],'3. Incentive Adjustment'!B:B,tbl_Data_old[[#This Row],[Trimmed Measure Name]])</f>
        <v>3222.5963039661074</v>
      </c>
      <c r="AU500" s="3">
        <f>IFERROR(VLOOKUP(tbl_Data_old[[#This Row],[All_Meas_Name_Append]],'IRA Tax Credits'!$A$3:$D$46,4,0),0)</f>
        <v>0</v>
      </c>
      <c r="AV500" s="4">
        <f>tbl_Data_old[[#This Row],[Adj. per unit Incentive ($)]]/tbl_Data_old[[#This Row],[kWh Savings]]*tbl_Data_old[[#This Row],[Sum of Annuals]]</f>
        <v>5.633871067941988E-12</v>
      </c>
      <c r="AW500" s="4" t="str">
        <f>IFERROR(VLOOKUP(tbl_Data_old[[#This Row],[All_Programs]],'1. Set Program Names'!$B$2:$D$15,3,0)*tbl_Data_old[[#This Row],[Sum of Annuals]],"")</f>
        <v/>
      </c>
      <c r="AX500" s="4">
        <f>tbl_Data_old[[#This Row],[per unit IRA tax ($)]]/tbl_Data_old[[#This Row],[kWh Savings]]*tbl_Data_old[[#This Row],[Sum of Annuals]]</f>
        <v>0</v>
      </c>
      <c r="AY500" s="4">
        <f>tbl_Data_old[[#This Row],[Avoided Costs ($/unit)]]/tbl_Data_old[[#This Row],[kWh Savings]]*tbl_Data_old[[#This Row],[Sum of Annuals]]</f>
        <v>2.6825818361129711E-12</v>
      </c>
      <c r="AZ500" s="4">
        <f>tbl_Data_old[[#This Row],[Lost Revenue ($/unit)]]/tbl_Data_old[[#This Row],[kWh Savings]]*tbl_Data_old[[#This Row],[Sum of Annuals]]</f>
        <v>6.9212510591786227E-12</v>
      </c>
      <c r="BA500" s="4">
        <f>tbl_Data_old[[#This Row],[Incremental Cost ($/unit)]]/tbl_Data_old[[#This Row],[kWh Savings]]*tbl_Data_old[[#This Row],[Sum of Annuals]]</f>
        <v>4.3603070307357754E-11</v>
      </c>
      <c r="BB500">
        <f>ROUNDUP(tbl_Data_old[[#This Row],[Adjusted 2025]]/$L500,0)</f>
        <v>1</v>
      </c>
      <c r="BC500">
        <f>ROUNDUP(tbl_Data_old[[#This Row],[Adjusted 2026]]/$L500,0)</f>
        <v>1</v>
      </c>
      <c r="BD500">
        <f>ROUNDUP(tbl_Data_old[[#This Row],[Adjusted 2027]]/$L500,0)</f>
        <v>1</v>
      </c>
      <c r="BE500">
        <f>ROUNDUP(tbl_Data_old[[#This Row],[Adjusted 2028]]/$L500,0)</f>
        <v>1</v>
      </c>
      <c r="BF500">
        <f>ROUNDUP(tbl_Data_old[[#This Row],[Adjusted 2029]]/$L500,0)</f>
        <v>1</v>
      </c>
      <c r="BG500">
        <f>ROUNDUP(tbl_Data_old[[#This Row],[Adjusted 2030]]/$L500,0)</f>
        <v>1</v>
      </c>
      <c r="BH500">
        <f>ROUNDUP(tbl_Data_old[[#This Row],[Adjusted 2031]]/$L500,0)</f>
        <v>1</v>
      </c>
      <c r="BI500">
        <f>ROUNDUP(tbl_Data_old[[#This Row],[Adjusted 2032]]/$L500,0)</f>
        <v>1</v>
      </c>
      <c r="BJ500">
        <f>ROUNDUP(tbl_Data_old[[#This Row],[Adjusted 2033]]/$L500,0)</f>
        <v>1</v>
      </c>
      <c r="BK500">
        <f>ROUNDUP(tbl_Data_old[[#This Row],[Adjusted 2034]]/$L500,0)</f>
        <v>1</v>
      </c>
      <c r="BL500" s="3">
        <f t="shared" si="33"/>
        <v>87.060919709766608</v>
      </c>
      <c r="BM500" s="3">
        <f t="shared" si="33"/>
        <v>97.245100321945799</v>
      </c>
      <c r="BN500" s="3">
        <f t="shared" si="33"/>
        <v>108.25862047555981</v>
      </c>
      <c r="BO500" s="3">
        <f t="shared" si="33"/>
        <v>120.31668148897698</v>
      </c>
      <c r="BP500" s="3">
        <f t="shared" si="33"/>
        <v>133.02930218433818</v>
      </c>
      <c r="BQ500" s="3">
        <f t="shared" si="33"/>
        <v>146.37311259797676</v>
      </c>
      <c r="BR500" s="3">
        <f t="shared" si="33"/>
        <v>159.97629580564353</v>
      </c>
      <c r="BS500" s="3">
        <f t="shared" si="33"/>
        <v>174.05807924829207</v>
      </c>
      <c r="BT500" s="3">
        <f t="shared" si="33"/>
        <v>189.05315424934921</v>
      </c>
      <c r="BU500" s="3">
        <f t="shared" si="33"/>
        <v>204.14132670757684</v>
      </c>
      <c r="BV500" t="e">
        <f>VLOOKUP($H500,'1. Set Program Names'!$B$2:$D$15,3,0)*V500</f>
        <v>#N/A</v>
      </c>
      <c r="BW500" t="e">
        <f>VLOOKUP($H500,'1. Set Program Names'!$B$2:$D$15,3,0)*W500</f>
        <v>#N/A</v>
      </c>
      <c r="BX500" t="e">
        <f>VLOOKUP($H500,'1. Set Program Names'!$B$2:$D$15,3,0)*X500</f>
        <v>#N/A</v>
      </c>
      <c r="BY500" t="e">
        <f>VLOOKUP($H500,'1. Set Program Names'!$B$2:$D$15,3,0)*Y500</f>
        <v>#N/A</v>
      </c>
      <c r="BZ500" t="e">
        <f>VLOOKUP($H500,'1. Set Program Names'!$B$2:$D$15,3,0)*Z500</f>
        <v>#N/A</v>
      </c>
      <c r="CA500" t="e">
        <f>VLOOKUP($H500,'1. Set Program Names'!$B$2:$D$15,3,0)*AA500</f>
        <v>#N/A</v>
      </c>
      <c r="CB500" t="e">
        <f>VLOOKUP($H500,'1. Set Program Names'!$B$2:$D$15,3,0)*AB500</f>
        <v>#N/A</v>
      </c>
      <c r="CC500" t="e">
        <f>VLOOKUP($H500,'1. Set Program Names'!$B$2:$D$15,3,0)*AC500</f>
        <v>#N/A</v>
      </c>
      <c r="CD500" t="e">
        <f>VLOOKUP($H500,'1. Set Program Names'!$B$2:$D$15,3,0)*AD500</f>
        <v>#N/A</v>
      </c>
      <c r="CE500" t="e">
        <f>VLOOKUP($H500,'1. Set Program Names'!$B$2:$D$15,3,0)*AE500</f>
        <v>#N/A</v>
      </c>
    </row>
    <row r="501" spans="1:83" x14ac:dyDescent="0.25">
      <c r="A501" s="20" t="s">
        <v>87</v>
      </c>
      <c r="B501" s="20" t="s">
        <v>88</v>
      </c>
      <c r="C501" s="20" t="s">
        <v>122</v>
      </c>
      <c r="D501" s="20" t="s">
        <v>90</v>
      </c>
      <c r="E501" s="20" t="s">
        <v>91</v>
      </c>
      <c r="F501" s="20" t="s">
        <v>90</v>
      </c>
      <c r="G501" s="20" t="s">
        <v>92</v>
      </c>
      <c r="H501" s="20" t="s">
        <v>20</v>
      </c>
      <c r="I501" s="20" t="s">
        <v>238</v>
      </c>
      <c r="J501" s="20" t="s">
        <v>129</v>
      </c>
      <c r="K501" s="20" t="s">
        <v>102</v>
      </c>
      <c r="L501" s="20">
        <v>4477.6116666666303</v>
      </c>
      <c r="M501" s="20">
        <v>0.90610878358590996</v>
      </c>
      <c r="N501" s="20">
        <v>4.9616670393602701E-2</v>
      </c>
      <c r="O501" s="53">
        <f>9351.31/1137.9*tbl_Data_old[[#This Row],[kWh Savings]]</f>
        <v>36797.200768623181</v>
      </c>
      <c r="P501" s="20">
        <v>44221.719775682497</v>
      </c>
      <c r="Q501" s="20">
        <v>268.65669999999699</v>
      </c>
      <c r="R501" s="20">
        <v>2670.7044942461998</v>
      </c>
      <c r="S501" s="20">
        <v>6902.6319322295803</v>
      </c>
      <c r="T501" s="20">
        <v>30</v>
      </c>
      <c r="U501" s="20">
        <v>0.05</v>
      </c>
      <c r="V501" s="20">
        <v>54.686713280527698</v>
      </c>
      <c r="W501" s="20">
        <v>60.965334544945001</v>
      </c>
      <c r="X501" s="20">
        <v>67.711076520924706</v>
      </c>
      <c r="Y501" s="20">
        <v>75.060275405222498</v>
      </c>
      <c r="Z501" s="20">
        <v>82.771715555086402</v>
      </c>
      <c r="AA501" s="20">
        <v>90.822656646599995</v>
      </c>
      <c r="AB501" s="20">
        <v>98.989293613397706</v>
      </c>
      <c r="AC501" s="20">
        <v>107.407018326657</v>
      </c>
      <c r="AD501" s="20">
        <v>116.32869759108</v>
      </c>
      <c r="AE501" s="20">
        <v>125.26073147696501</v>
      </c>
      <c r="AF501" t="str">
        <f t="shared" si="30"/>
        <v>NonResidential</v>
      </c>
      <c r="AG501" t="str">
        <f>tbl_Data_old[[#This Row],[All_Meas_Name_Append]]</f>
        <v>Ceiling Insulation(R19 to R49)</v>
      </c>
      <c r="AH501">
        <f>AVERAGEIFS('3. Incentive Adjustment'!G:G,'3. Incentive Adjustment'!A:A,tbl_Data_old[[#This Row],[Trimmed Sector]],'3. Incentive Adjustment'!B:B,tbl_Data_old[[#This Row],[Trimmed Measure Name]])</f>
        <v>7.9373870200739678E-11</v>
      </c>
      <c r="AI501">
        <f>$AH501*tbl_Data_old[[#This Row],[2025 ]]</f>
        <v>4.3406960816336726E-9</v>
      </c>
      <c r="AJ501">
        <f>$AH501*tbl_Data_old[[#This Row],[2026 ]]</f>
        <v>4.8390545509151351E-9</v>
      </c>
      <c r="AK501">
        <f>$AH501*tbl_Data_old[[#This Row],[2027 ]]</f>
        <v>5.3744901989242299E-9</v>
      </c>
      <c r="AL501">
        <f>$AH501*tbl_Data_old[[#This Row],[2028 ]]</f>
        <v>5.9578245572459034E-9</v>
      </c>
      <c r="AM501">
        <f>$AH501*tbl_Data_old[[#This Row],[2029 ]]</f>
        <v>6.5699114067619734E-9</v>
      </c>
      <c r="AN501">
        <f>$AH501*tbl_Data_old[[#This Row],[2030 ]]</f>
        <v>7.2089457599535746E-9</v>
      </c>
      <c r="AO501">
        <f>$AH501*tbl_Data_old[[#This Row],[2031 ]]</f>
        <v>7.8571633425327383E-9</v>
      </c>
      <c r="AP501">
        <f>$AH501*tbl_Data_old[[#This Row],[2032 ]]</f>
        <v>8.5253107313085397E-9</v>
      </c>
      <c r="AQ501">
        <f>$AH501*tbl_Data_old[[#This Row],[2033 ]]</f>
        <v>9.2334589432154817E-9</v>
      </c>
      <c r="AR501">
        <f>$AH501*tbl_Data_old[[#This Row],[2034 ]]</f>
        <v>9.9424290415023265E-9</v>
      </c>
      <c r="AS501">
        <f>SUM(tbl_Data_old[[#This Row],[Adjusted 2025]:[Adjusted 2034]])</f>
        <v>6.984928461399358E-8</v>
      </c>
      <c r="AT501" s="3">
        <f>AVERAGEIFS('3. Incentive Adjustment'!F:F,'3. Incentive Adjustment'!A:A,tbl_Data_old[[#This Row],[Trimmed Sector]],'3. Incentive Adjustment'!B:B,tbl_Data_old[[#This Row],[Trimmed Measure Name]])</f>
        <v>4754.4974087894998</v>
      </c>
      <c r="AU501" s="3">
        <f>IFERROR(VLOOKUP(tbl_Data_old[[#This Row],[All_Meas_Name_Append]],'IRA Tax Credits'!$A$3:$D$46,4,0),0)</f>
        <v>500</v>
      </c>
      <c r="AV501" s="4">
        <f>tbl_Data_old[[#This Row],[Adj. per unit Incentive ($)]]/tbl_Data_old[[#This Row],[kWh Savings]]*tbl_Data_old[[#This Row],[Sum of Annuals]]</f>
        <v>7.4168612069537556E-8</v>
      </c>
      <c r="AW501" s="4" t="str">
        <f>IFERROR(VLOOKUP(tbl_Data_old[[#This Row],[All_Programs]],'1. Set Program Names'!$B$2:$D$15,3,0)*tbl_Data_old[[#This Row],[Sum of Annuals]],"")</f>
        <v/>
      </c>
      <c r="AX501" s="4">
        <f>tbl_Data_old[[#This Row],[per unit IRA tax ($)]]/tbl_Data_old[[#This Row],[kWh Savings]]*tbl_Data_old[[#This Row],[Sum of Annuals]]</f>
        <v>7.7998372585527338E-9</v>
      </c>
      <c r="AY501" s="4">
        <f>tbl_Data_old[[#This Row],[Avoided Costs ($/unit)]]/tbl_Data_old[[#This Row],[kWh Savings]]*tbl_Data_old[[#This Row],[Sum of Annuals]]</f>
        <v>4.1662120841611491E-8</v>
      </c>
      <c r="AZ501" s="4">
        <f>tbl_Data_old[[#This Row],[Lost Revenue ($/unit)]]/tbl_Data_old[[#This Row],[kWh Savings]]*tbl_Data_old[[#This Row],[Sum of Annuals]]</f>
        <v>1.0767881145416027E-7</v>
      </c>
      <c r="BA501" s="4">
        <f>tbl_Data_old[[#This Row],[Incremental Cost ($/unit)]]/tbl_Data_old[[#This Row],[kWh Savings]]*tbl_Data_old[[#This Row],[Sum of Annuals]]</f>
        <v>5.7402435513110479E-7</v>
      </c>
      <c r="BB501">
        <f>ROUNDUP(tbl_Data_old[[#This Row],[Adjusted 2025]]/$L501,0)</f>
        <v>1</v>
      </c>
      <c r="BC501">
        <f>ROUNDUP(tbl_Data_old[[#This Row],[Adjusted 2026]]/$L501,0)</f>
        <v>1</v>
      </c>
      <c r="BD501">
        <f>ROUNDUP(tbl_Data_old[[#This Row],[Adjusted 2027]]/$L501,0)</f>
        <v>1</v>
      </c>
      <c r="BE501">
        <f>ROUNDUP(tbl_Data_old[[#This Row],[Adjusted 2028]]/$L501,0)</f>
        <v>1</v>
      </c>
      <c r="BF501">
        <f>ROUNDUP(tbl_Data_old[[#This Row],[Adjusted 2029]]/$L501,0)</f>
        <v>1</v>
      </c>
      <c r="BG501">
        <f>ROUNDUP(tbl_Data_old[[#This Row],[Adjusted 2030]]/$L501,0)</f>
        <v>1</v>
      </c>
      <c r="BH501">
        <f>ROUNDUP(tbl_Data_old[[#This Row],[Adjusted 2031]]/$L501,0)</f>
        <v>1</v>
      </c>
      <c r="BI501">
        <f>ROUNDUP(tbl_Data_old[[#This Row],[Adjusted 2032]]/$L501,0)</f>
        <v>1</v>
      </c>
      <c r="BJ501">
        <f>ROUNDUP(tbl_Data_old[[#This Row],[Adjusted 2033]]/$L501,0)</f>
        <v>1</v>
      </c>
      <c r="BK501">
        <f>ROUNDUP(tbl_Data_old[[#This Row],[Adjusted 2034]]/$L501,0)</f>
        <v>1</v>
      </c>
      <c r="BL501" s="3">
        <f t="shared" si="33"/>
        <v>58.068420386497429</v>
      </c>
      <c r="BM501" s="3">
        <f t="shared" si="33"/>
        <v>64.735297899496658</v>
      </c>
      <c r="BN501" s="3">
        <f t="shared" si="33"/>
        <v>71.898181850313804</v>
      </c>
      <c r="BO501" s="3">
        <f t="shared" si="33"/>
        <v>79.701839168833573</v>
      </c>
      <c r="BP501" s="3">
        <f t="shared" si="33"/>
        <v>87.89013796292214</v>
      </c>
      <c r="BQ501" s="3">
        <f t="shared" si="33"/>
        <v>96.438931696616905</v>
      </c>
      <c r="BR501" s="3">
        <f t="shared" si="33"/>
        <v>105.1105756862508</v>
      </c>
      <c r="BS501" s="3">
        <f t="shared" si="33"/>
        <v>114.04883414109558</v>
      </c>
      <c r="BT501" s="3">
        <f t="shared" si="33"/>
        <v>123.52221059768509</v>
      </c>
      <c r="BU501" s="3">
        <f t="shared" si="33"/>
        <v>133.00658198294977</v>
      </c>
      <c r="BV501" t="e">
        <f>VLOOKUP($H501,'1. Set Program Names'!$B$2:$D$15,3,0)*V501</f>
        <v>#N/A</v>
      </c>
      <c r="BW501" t="e">
        <f>VLOOKUP($H501,'1. Set Program Names'!$B$2:$D$15,3,0)*W501</f>
        <v>#N/A</v>
      </c>
      <c r="BX501" t="e">
        <f>VLOOKUP($H501,'1. Set Program Names'!$B$2:$D$15,3,0)*X501</f>
        <v>#N/A</v>
      </c>
      <c r="BY501" t="e">
        <f>VLOOKUP($H501,'1. Set Program Names'!$B$2:$D$15,3,0)*Y501</f>
        <v>#N/A</v>
      </c>
      <c r="BZ501" t="e">
        <f>VLOOKUP($H501,'1. Set Program Names'!$B$2:$D$15,3,0)*Z501</f>
        <v>#N/A</v>
      </c>
      <c r="CA501" t="e">
        <f>VLOOKUP($H501,'1. Set Program Names'!$B$2:$D$15,3,0)*AA501</f>
        <v>#N/A</v>
      </c>
      <c r="CB501" t="e">
        <f>VLOOKUP($H501,'1. Set Program Names'!$B$2:$D$15,3,0)*AB501</f>
        <v>#N/A</v>
      </c>
      <c r="CC501" t="e">
        <f>VLOOKUP($H501,'1. Set Program Names'!$B$2:$D$15,3,0)*AC501</f>
        <v>#N/A</v>
      </c>
      <c r="CD501" t="e">
        <f>VLOOKUP($H501,'1. Set Program Names'!$B$2:$D$15,3,0)*AD501</f>
        <v>#N/A</v>
      </c>
      <c r="CE501" t="e">
        <f>VLOOKUP($H501,'1. Set Program Names'!$B$2:$D$15,3,0)*AE501</f>
        <v>#N/A</v>
      </c>
    </row>
    <row r="502" spans="1:83" x14ac:dyDescent="0.25">
      <c r="A502" s="20" t="s">
        <v>87</v>
      </c>
      <c r="B502" s="20" t="s">
        <v>88</v>
      </c>
      <c r="C502" s="20" t="s">
        <v>122</v>
      </c>
      <c r="D502" s="20" t="s">
        <v>90</v>
      </c>
      <c r="E502" s="20" t="s">
        <v>91</v>
      </c>
      <c r="F502" s="20" t="s">
        <v>90</v>
      </c>
      <c r="G502" s="20" t="s">
        <v>92</v>
      </c>
      <c r="H502" s="20" t="s">
        <v>20</v>
      </c>
      <c r="I502" s="20" t="s">
        <v>240</v>
      </c>
      <c r="J502" s="20" t="s">
        <v>129</v>
      </c>
      <c r="K502" s="20" t="s">
        <v>102</v>
      </c>
      <c r="L502" s="20">
        <v>18717.787499999999</v>
      </c>
      <c r="M502" s="20">
        <v>3.6380387810097399</v>
      </c>
      <c r="N502" s="20">
        <v>0.14255501576814</v>
      </c>
      <c r="O502" s="53">
        <f>11091.09/6133.31*tbl_Data_old[[#This Row],[kWh Savings]]</f>
        <v>33848.063405139306</v>
      </c>
      <c r="P502" s="20">
        <v>45532.278837645601</v>
      </c>
      <c r="Q502" s="20">
        <v>1123.0672500000001</v>
      </c>
      <c r="R502" s="20">
        <v>11042.715256281999</v>
      </c>
      <c r="S502" s="20">
        <v>28855.114582630202</v>
      </c>
      <c r="T502" s="20">
        <v>30</v>
      </c>
      <c r="U502" s="20">
        <v>0.05</v>
      </c>
      <c r="V502" s="20">
        <v>80.117052851536798</v>
      </c>
      <c r="W502" s="20">
        <v>78.607729730981106</v>
      </c>
      <c r="X502" s="20">
        <v>76.427924053409797</v>
      </c>
      <c r="Y502" s="20">
        <v>74.303131803533503</v>
      </c>
      <c r="Z502" s="20">
        <v>72.254346669094602</v>
      </c>
      <c r="AA502" s="20">
        <v>70.080598713955695</v>
      </c>
      <c r="AB502" s="20">
        <v>67.927587218511704</v>
      </c>
      <c r="AC502" s="20">
        <v>65.909057019983905</v>
      </c>
      <c r="AD502" s="20">
        <v>63.9126694462079</v>
      </c>
      <c r="AE502" s="20">
        <v>61.976461663354598</v>
      </c>
      <c r="AF502" t="str">
        <f t="shared" si="30"/>
        <v>NonResidential</v>
      </c>
      <c r="AG502" t="str">
        <f>tbl_Data_old[[#This Row],[All_Meas_Name_Append]]</f>
        <v>Ceiling Insulation(R2 to R38)</v>
      </c>
      <c r="AH502">
        <f>AVERAGEIFS('3. Incentive Adjustment'!G:G,'3. Incentive Adjustment'!A:A,tbl_Data_old[[#This Row],[Trimmed Sector]],'3. Incentive Adjustment'!B:B,tbl_Data_old[[#This Row],[Trimmed Measure Name]])</f>
        <v>3.0218441517909909E-3</v>
      </c>
      <c r="AI502">
        <f>$AH502*tbl_Data_old[[#This Row],[2025 ]]</f>
        <v>0.24210124761814619</v>
      </c>
      <c r="AJ502">
        <f>$AH502*tbl_Data_old[[#This Row],[2026 ]]</f>
        <v>0.23754030837313206</v>
      </c>
      <c r="AK502">
        <f>$AH502*tbl_Data_old[[#This Row],[2027 ]]</f>
        <v>0.23095327533432239</v>
      </c>
      <c r="AL502">
        <f>$AH502*tbl_Data_old[[#This Row],[2028 ]]</f>
        <v>0.2245324843002629</v>
      </c>
      <c r="AM502">
        <f>$AH502*tbl_Data_old[[#This Row],[2029 ]]</f>
        <v>0.21834137492348238</v>
      </c>
      <c r="AN502">
        <f>$AH502*tbl_Data_old[[#This Row],[2030 ]]</f>
        <v>0.21177264737777826</v>
      </c>
      <c r="AO502">
        <f>$AH502*tbl_Data_old[[#This Row],[2031 ]]</f>
        <v>0.20526658218153204</v>
      </c>
      <c r="AP502">
        <f>$AH502*tbl_Data_old[[#This Row],[2032 ]]</f>
        <v>0.19916689850589731</v>
      </c>
      <c r="AQ502">
        <f>$AH502*tbl_Data_old[[#This Row],[2033 ]]</f>
        <v>0.19313412639137409</v>
      </c>
      <c r="AR502">
        <f>$AH502*tbl_Data_old[[#This Row],[2034 ]]</f>
        <v>0.18728320822610664</v>
      </c>
      <c r="AS502">
        <f>SUM(tbl_Data_old[[#This Row],[Adjusted 2025]:[Adjusted 2034]])</f>
        <v>2.1500921532320345</v>
      </c>
      <c r="AT502" s="3">
        <f>AVERAGEIFS('3. Incentive Adjustment'!F:F,'3. Incentive Adjustment'!A:A,tbl_Data_old[[#This Row],[Trimmed Sector]],'3. Incentive Adjustment'!B:B,tbl_Data_old[[#This Row],[Trimmed Measure Name]])</f>
        <v>4373.4448922946976</v>
      </c>
      <c r="AU502" s="3">
        <f>IFERROR(VLOOKUP(tbl_Data_old[[#This Row],[All_Meas_Name_Append]],'IRA Tax Credits'!$A$3:$D$46,4,0),0)</f>
        <v>0</v>
      </c>
      <c r="AV502" s="4">
        <f>tbl_Data_old[[#This Row],[Adj. per unit Incentive ($)]]/tbl_Data_old[[#This Row],[kWh Savings]]*tbl_Data_old[[#This Row],[Sum of Annuals]]</f>
        <v>0.50237291910251414</v>
      </c>
      <c r="AW502" s="4" t="str">
        <f>IFERROR(VLOOKUP(tbl_Data_old[[#This Row],[All_Programs]],'1. Set Program Names'!$B$2:$D$15,3,0)*tbl_Data_old[[#This Row],[Sum of Annuals]],"")</f>
        <v/>
      </c>
      <c r="AX502" s="4">
        <f>tbl_Data_old[[#This Row],[per unit IRA tax ($)]]/tbl_Data_old[[#This Row],[kWh Savings]]*tbl_Data_old[[#This Row],[Sum of Annuals]]</f>
        <v>0</v>
      </c>
      <c r="AY502" s="4">
        <f>tbl_Data_old[[#This Row],[Avoided Costs ($/unit)]]/tbl_Data_old[[#This Row],[kWh Savings]]*tbl_Data_old[[#This Row],[Sum of Annuals]]</f>
        <v>1.2684648451590554</v>
      </c>
      <c r="AZ502" s="4">
        <f>tbl_Data_old[[#This Row],[Lost Revenue ($/unit)]]/tbl_Data_old[[#This Row],[kWh Savings]]*tbl_Data_old[[#This Row],[Sum of Annuals]]</f>
        <v>3.314556030979861</v>
      </c>
      <c r="BA502" s="4">
        <f>tbl_Data_old[[#This Row],[Incremental Cost ($/unit)]]/tbl_Data_old[[#This Row],[kWh Savings]]*tbl_Data_old[[#This Row],[Sum of Annuals]]</f>
        <v>3.8880907013978234</v>
      </c>
      <c r="BB502">
        <f>ROUNDUP(tbl_Data_old[[#This Row],[Adjusted 2025]]/$L502,0)</f>
        <v>1</v>
      </c>
      <c r="BC502">
        <f>ROUNDUP(tbl_Data_old[[#This Row],[Adjusted 2026]]/$L502,0)</f>
        <v>1</v>
      </c>
      <c r="BD502">
        <f>ROUNDUP(tbl_Data_old[[#This Row],[Adjusted 2027]]/$L502,0)</f>
        <v>1</v>
      </c>
      <c r="BE502">
        <f>ROUNDUP(tbl_Data_old[[#This Row],[Adjusted 2028]]/$L502,0)</f>
        <v>1</v>
      </c>
      <c r="BF502">
        <f>ROUNDUP(tbl_Data_old[[#This Row],[Adjusted 2029]]/$L502,0)</f>
        <v>1</v>
      </c>
      <c r="BG502">
        <f>ROUNDUP(tbl_Data_old[[#This Row],[Adjusted 2030]]/$L502,0)</f>
        <v>1</v>
      </c>
      <c r="BH502">
        <f>ROUNDUP(tbl_Data_old[[#This Row],[Adjusted 2031]]/$L502,0)</f>
        <v>1</v>
      </c>
      <c r="BI502">
        <f>ROUNDUP(tbl_Data_old[[#This Row],[Adjusted 2032]]/$L502,0)</f>
        <v>1</v>
      </c>
      <c r="BJ502">
        <f>ROUNDUP(tbl_Data_old[[#This Row],[Adjusted 2033]]/$L502,0)</f>
        <v>1</v>
      </c>
      <c r="BK502">
        <f>ROUNDUP(tbl_Data_old[[#This Row],[Adjusted 2034]]/$L502,0)</f>
        <v>1</v>
      </c>
      <c r="BL502" s="3">
        <f t="shared" ref="BL502:BU527" si="34">$AT502/$L502*V502</f>
        <v>18.719494255357798</v>
      </c>
      <c r="BM502" s="3">
        <f t="shared" si="34"/>
        <v>18.36683817929023</v>
      </c>
      <c r="BN502" s="3">
        <f t="shared" si="34"/>
        <v>17.857522641501951</v>
      </c>
      <c r="BO502" s="3">
        <f t="shared" si="34"/>
        <v>17.361061090562298</v>
      </c>
      <c r="BP502" s="3">
        <f t="shared" si="34"/>
        <v>16.882358739570169</v>
      </c>
      <c r="BQ502" s="3">
        <f t="shared" si="34"/>
        <v>16.374458599580958</v>
      </c>
      <c r="BR502" s="3">
        <f t="shared" si="34"/>
        <v>15.871403570892268</v>
      </c>
      <c r="BS502" s="3">
        <f t="shared" si="34"/>
        <v>15.399770340378565</v>
      </c>
      <c r="BT502" s="3">
        <f t="shared" si="34"/>
        <v>14.933310774173355</v>
      </c>
      <c r="BU502" s="3">
        <f t="shared" si="34"/>
        <v>14.480912324926027</v>
      </c>
      <c r="BV502" t="e">
        <f>VLOOKUP($H502,'1. Set Program Names'!$B$2:$D$15,3,0)*V502</f>
        <v>#N/A</v>
      </c>
      <c r="BW502" t="e">
        <f>VLOOKUP($H502,'1. Set Program Names'!$B$2:$D$15,3,0)*W502</f>
        <v>#N/A</v>
      </c>
      <c r="BX502" t="e">
        <f>VLOOKUP($H502,'1. Set Program Names'!$B$2:$D$15,3,0)*X502</f>
        <v>#N/A</v>
      </c>
      <c r="BY502" t="e">
        <f>VLOOKUP($H502,'1. Set Program Names'!$B$2:$D$15,3,0)*Y502</f>
        <v>#N/A</v>
      </c>
      <c r="BZ502" t="e">
        <f>VLOOKUP($H502,'1. Set Program Names'!$B$2:$D$15,3,0)*Z502</f>
        <v>#N/A</v>
      </c>
      <c r="CA502" t="e">
        <f>VLOOKUP($H502,'1. Set Program Names'!$B$2:$D$15,3,0)*AA502</f>
        <v>#N/A</v>
      </c>
      <c r="CB502" t="e">
        <f>VLOOKUP($H502,'1. Set Program Names'!$B$2:$D$15,3,0)*AB502</f>
        <v>#N/A</v>
      </c>
      <c r="CC502" t="e">
        <f>VLOOKUP($H502,'1. Set Program Names'!$B$2:$D$15,3,0)*AC502</f>
        <v>#N/A</v>
      </c>
      <c r="CD502" t="e">
        <f>VLOOKUP($H502,'1. Set Program Names'!$B$2:$D$15,3,0)*AD502</f>
        <v>#N/A</v>
      </c>
      <c r="CE502" t="e">
        <f>VLOOKUP($H502,'1. Set Program Names'!$B$2:$D$15,3,0)*AE502</f>
        <v>#N/A</v>
      </c>
    </row>
    <row r="503" spans="1:83" x14ac:dyDescent="0.25">
      <c r="A503" s="20" t="s">
        <v>87</v>
      </c>
      <c r="B503" s="20" t="s">
        <v>88</v>
      </c>
      <c r="C503" s="20" t="s">
        <v>122</v>
      </c>
      <c r="D503" s="20" t="s">
        <v>90</v>
      </c>
      <c r="E503" s="20" t="s">
        <v>91</v>
      </c>
      <c r="F503" s="20" t="s">
        <v>90</v>
      </c>
      <c r="G503" s="20" t="s">
        <v>92</v>
      </c>
      <c r="H503" s="20" t="s">
        <v>20</v>
      </c>
      <c r="I503" s="20" t="s">
        <v>241</v>
      </c>
      <c r="J503" s="20" t="s">
        <v>129</v>
      </c>
      <c r="K503" s="20" t="s">
        <v>102</v>
      </c>
      <c r="L503" s="20">
        <v>19185.113333333298</v>
      </c>
      <c r="M503" s="20">
        <v>4.6125790568704801</v>
      </c>
      <c r="N503" s="20">
        <v>0.25911922024205197</v>
      </c>
      <c r="O503" s="53">
        <f>11417.3/6341.92*tbl_Data_old[[#This Row],[kWh Savings]]</f>
        <v>34538.782334161617</v>
      </c>
      <c r="P503" s="20">
        <v>25197.386166847798</v>
      </c>
      <c r="Q503" s="20">
        <v>1151.1068</v>
      </c>
      <c r="R503" s="20">
        <v>12014.6297388403</v>
      </c>
      <c r="S503" s="20">
        <v>29575.538429105502</v>
      </c>
      <c r="T503" s="20">
        <v>30</v>
      </c>
      <c r="U503" s="20">
        <v>0.05</v>
      </c>
      <c r="V503" s="20">
        <v>85.3630252876914</v>
      </c>
      <c r="W503" s="20">
        <v>83.640308867915707</v>
      </c>
      <c r="X503" s="20">
        <v>81.196634216546798</v>
      </c>
      <c r="Y503" s="20">
        <v>78.806436218771395</v>
      </c>
      <c r="Z503" s="20">
        <v>76.493122214948102</v>
      </c>
      <c r="AA503" s="20">
        <v>74.045303338746805</v>
      </c>
      <c r="AB503" s="20">
        <v>71.6186197416867</v>
      </c>
      <c r="AC503" s="20">
        <v>69.333838613102102</v>
      </c>
      <c r="AD503" s="20">
        <v>67.073201214794906</v>
      </c>
      <c r="AE503" s="20">
        <v>64.877193134792506</v>
      </c>
      <c r="AF503" t="str">
        <f t="shared" si="30"/>
        <v>NonResidential</v>
      </c>
      <c r="AG503" t="str">
        <f>tbl_Data_old[[#This Row],[All_Meas_Name_Append]]</f>
        <v>Ceiling Insulation(R2 to R49)</v>
      </c>
      <c r="AH503">
        <f>AVERAGEIFS('3. Incentive Adjustment'!G:G,'3. Incentive Adjustment'!A:A,tbl_Data_old[[#This Row],[Trimmed Sector]],'3. Incentive Adjustment'!B:B,tbl_Data_old[[#This Row],[Trimmed Measure Name]])</f>
        <v>5.674595082038876E-2</v>
      </c>
      <c r="AI503">
        <f>$AH503*tbl_Data_old[[#This Row],[2025 ]]</f>
        <v>4.8440060348549379</v>
      </c>
      <c r="AJ503">
        <f>$AH503*tbl_Data_old[[#This Row],[2026 ]]</f>
        <v>4.7462488536208705</v>
      </c>
      <c r="AK503">
        <f>$AH503*tbl_Data_old[[#This Row],[2027 ]]</f>
        <v>4.6075802120332598</v>
      </c>
      <c r="AL503">
        <f>$AH503*tbl_Data_old[[#This Row],[2028 ]]</f>
        <v>4.4719461540005048</v>
      </c>
      <c r="AM503">
        <f>$AH503*tbl_Data_old[[#This Row],[2029 ]]</f>
        <v>4.3406749513074319</v>
      </c>
      <c r="AN503">
        <f>$AH503*tbl_Data_old[[#This Row],[2030 ]]</f>
        <v>4.2017711417412942</v>
      </c>
      <c r="AO503">
        <f>$AH503*tbl_Data_old[[#This Row],[2031 ]]</f>
        <v>4.0640666736858773</v>
      </c>
      <c r="AP503">
        <f>$AH503*tbl_Data_old[[#This Row],[2032 ]]</f>
        <v>3.9344145961278634</v>
      </c>
      <c r="AQ503">
        <f>$AH503*tbl_Data_old[[#This Row],[2033 ]]</f>
        <v>3.8061325775007915</v>
      </c>
      <c r="AR503">
        <f>$AH503*tbl_Data_old[[#This Row],[2034 ]]</f>
        <v>3.6815180109917987</v>
      </c>
      <c r="AS503">
        <f>SUM(tbl_Data_old[[#This Row],[Adjusted 2025]:[Adjusted 2034]])</f>
        <v>42.698359205864634</v>
      </c>
      <c r="AT503" s="3">
        <f>AVERAGEIFS('3. Incentive Adjustment'!F:F,'3. Incentive Adjustment'!A:A,tbl_Data_old[[#This Row],[Trimmed Sector]],'3. Incentive Adjustment'!B:B,tbl_Data_old[[#This Row],[Trimmed Measure Name]])</f>
        <v>4335.1908026959672</v>
      </c>
      <c r="AU503" s="3">
        <f>IFERROR(VLOOKUP(tbl_Data_old[[#This Row],[All_Meas_Name_Append]],'IRA Tax Credits'!$A$3:$D$46,4,0),0)</f>
        <v>500</v>
      </c>
      <c r="AV503" s="4">
        <f>tbl_Data_old[[#This Row],[Adj. per unit Incentive ($)]]/tbl_Data_old[[#This Row],[kWh Savings]]*tbl_Data_old[[#This Row],[Sum of Annuals]]</f>
        <v>9.6483940909465584</v>
      </c>
      <c r="AW503" s="4" t="str">
        <f>IFERROR(VLOOKUP(tbl_Data_old[[#This Row],[All_Programs]],'1. Set Program Names'!$B$2:$D$15,3,0)*tbl_Data_old[[#This Row],[Sum of Annuals]],"")</f>
        <v/>
      </c>
      <c r="AX503" s="4">
        <f>tbl_Data_old[[#This Row],[per unit IRA tax ($)]]/tbl_Data_old[[#This Row],[kWh Savings]]*tbl_Data_old[[#This Row],[Sum of Annuals]]</f>
        <v>1.1127992434550307</v>
      </c>
      <c r="AY503" s="4">
        <f>tbl_Data_old[[#This Row],[Avoided Costs ($/unit)]]/tbl_Data_old[[#This Row],[kWh Savings]]*tbl_Data_old[[#This Row],[Sum of Annuals]]</f>
        <v>26.739741767547596</v>
      </c>
      <c r="AZ503" s="4">
        <f>tbl_Data_old[[#This Row],[Lost Revenue ($/unit)]]/tbl_Data_old[[#This Row],[kWh Savings]]*tbl_Data_old[[#This Row],[Sum of Annuals]]</f>
        <v>65.823273577367573</v>
      </c>
      <c r="BA503" s="4">
        <f>tbl_Data_old[[#This Row],[Incremental Cost ($/unit)]]/tbl_Data_old[[#This Row],[kWh Savings]]*tbl_Data_old[[#This Row],[Sum of Annuals]]</f>
        <v>76.869461702626054</v>
      </c>
      <c r="BB503">
        <f>ROUNDUP(tbl_Data_old[[#This Row],[Adjusted 2025]]/$L503,0)</f>
        <v>1</v>
      </c>
      <c r="BC503">
        <f>ROUNDUP(tbl_Data_old[[#This Row],[Adjusted 2026]]/$L503,0)</f>
        <v>1</v>
      </c>
      <c r="BD503">
        <f>ROUNDUP(tbl_Data_old[[#This Row],[Adjusted 2027]]/$L503,0)</f>
        <v>1</v>
      </c>
      <c r="BE503">
        <f>ROUNDUP(tbl_Data_old[[#This Row],[Adjusted 2028]]/$L503,0)</f>
        <v>1</v>
      </c>
      <c r="BF503">
        <f>ROUNDUP(tbl_Data_old[[#This Row],[Adjusted 2029]]/$L503,0)</f>
        <v>1</v>
      </c>
      <c r="BG503">
        <f>ROUNDUP(tbl_Data_old[[#This Row],[Adjusted 2030]]/$L503,0)</f>
        <v>1</v>
      </c>
      <c r="BH503">
        <f>ROUNDUP(tbl_Data_old[[#This Row],[Adjusted 2031]]/$L503,0)</f>
        <v>1</v>
      </c>
      <c r="BI503">
        <f>ROUNDUP(tbl_Data_old[[#This Row],[Adjusted 2032]]/$L503,0)</f>
        <v>1</v>
      </c>
      <c r="BJ503">
        <f>ROUNDUP(tbl_Data_old[[#This Row],[Adjusted 2033]]/$L503,0)</f>
        <v>1</v>
      </c>
      <c r="BK503">
        <f>ROUNDUP(tbl_Data_old[[#This Row],[Adjusted 2034]]/$L503,0)</f>
        <v>1</v>
      </c>
      <c r="BL503" s="3">
        <f t="shared" si="34"/>
        <v>19.289174668284666</v>
      </c>
      <c r="BM503" s="3">
        <f t="shared" si="34"/>
        <v>18.899898657822476</v>
      </c>
      <c r="BN503" s="3">
        <f t="shared" si="34"/>
        <v>18.347710318387989</v>
      </c>
      <c r="BO503" s="3">
        <f t="shared" si="34"/>
        <v>17.807605905318155</v>
      </c>
      <c r="BP503" s="3">
        <f t="shared" si="34"/>
        <v>17.284874690814554</v>
      </c>
      <c r="BQ503" s="3">
        <f t="shared" si="34"/>
        <v>16.731749895855124</v>
      </c>
      <c r="BR503" s="3">
        <f t="shared" si="34"/>
        <v>16.183400963625996</v>
      </c>
      <c r="BS503" s="3">
        <f t="shared" si="34"/>
        <v>15.667117219937921</v>
      </c>
      <c r="BT503" s="3">
        <f t="shared" si="34"/>
        <v>15.156289147823054</v>
      </c>
      <c r="BU503" s="3">
        <f t="shared" si="34"/>
        <v>14.660065129457124</v>
      </c>
      <c r="BV503" t="e">
        <f>VLOOKUP($H503,'1. Set Program Names'!$B$2:$D$15,3,0)*V503</f>
        <v>#N/A</v>
      </c>
      <c r="BW503" t="e">
        <f>VLOOKUP($H503,'1. Set Program Names'!$B$2:$D$15,3,0)*W503</f>
        <v>#N/A</v>
      </c>
      <c r="BX503" t="e">
        <f>VLOOKUP($H503,'1. Set Program Names'!$B$2:$D$15,3,0)*X503</f>
        <v>#N/A</v>
      </c>
      <c r="BY503" t="e">
        <f>VLOOKUP($H503,'1. Set Program Names'!$B$2:$D$15,3,0)*Y503</f>
        <v>#N/A</v>
      </c>
      <c r="BZ503" t="e">
        <f>VLOOKUP($H503,'1. Set Program Names'!$B$2:$D$15,3,0)*Z503</f>
        <v>#N/A</v>
      </c>
      <c r="CA503" t="e">
        <f>VLOOKUP($H503,'1. Set Program Names'!$B$2:$D$15,3,0)*AA503</f>
        <v>#N/A</v>
      </c>
      <c r="CB503" t="e">
        <f>VLOOKUP($H503,'1. Set Program Names'!$B$2:$D$15,3,0)*AB503</f>
        <v>#N/A</v>
      </c>
      <c r="CC503" t="e">
        <f>VLOOKUP($H503,'1. Set Program Names'!$B$2:$D$15,3,0)*AC503</f>
        <v>#N/A</v>
      </c>
      <c r="CD503" t="e">
        <f>VLOOKUP($H503,'1. Set Program Names'!$B$2:$D$15,3,0)*AD503</f>
        <v>#N/A</v>
      </c>
      <c r="CE503" t="e">
        <f>VLOOKUP($H503,'1. Set Program Names'!$B$2:$D$15,3,0)*AE503</f>
        <v>#N/A</v>
      </c>
    </row>
    <row r="504" spans="1:83" x14ac:dyDescent="0.25">
      <c r="A504" s="20" t="s">
        <v>87</v>
      </c>
      <c r="B504" s="20" t="s">
        <v>88</v>
      </c>
      <c r="C504" s="20" t="s">
        <v>122</v>
      </c>
      <c r="D504" s="20" t="s">
        <v>90</v>
      </c>
      <c r="E504" s="20" t="s">
        <v>91</v>
      </c>
      <c r="F504" s="20" t="s">
        <v>90</v>
      </c>
      <c r="G504" s="20" t="s">
        <v>92</v>
      </c>
      <c r="H504" s="20" t="s">
        <v>20</v>
      </c>
      <c r="I504" s="20" t="s">
        <v>128</v>
      </c>
      <c r="J504" s="20" t="s">
        <v>129</v>
      </c>
      <c r="K504" s="20" t="s">
        <v>130</v>
      </c>
      <c r="L504" s="53">
        <v>2045.1799999999989</v>
      </c>
      <c r="M504" s="53">
        <v>0.47104509500000002</v>
      </c>
      <c r="N504" s="53">
        <v>0.17900382200000001</v>
      </c>
      <c r="O504" s="53">
        <f>19591.5999999999/60160.456*2045.18</f>
        <v>666.02468053100858</v>
      </c>
      <c r="P504" s="53">
        <f>11310.7385995848/60160.456*2045.18</f>
        <v>384.51331501042552</v>
      </c>
      <c r="Q504" s="53">
        <f>2141.69388188172/60160.456*2045.18</f>
        <v>72.807784125619918</v>
      </c>
      <c r="R504" s="53">
        <f>32581.871747558/60160.456*2045.18</f>
        <v>1107.6344311730397</v>
      </c>
      <c r="S504" s="53">
        <f>77209.8271220691/60160.456*2045.18</f>
        <v>2624.780540784353</v>
      </c>
      <c r="T504" s="20">
        <v>20</v>
      </c>
      <c r="U504" s="20">
        <v>4.9999999999999899E-2</v>
      </c>
      <c r="V504" s="20">
        <v>3764.8641025421398</v>
      </c>
      <c r="W504" s="20">
        <v>3713.1851553091501</v>
      </c>
      <c r="X504" s="20">
        <v>3642.28716188012</v>
      </c>
      <c r="Y504" s="20">
        <v>3572.9760298788701</v>
      </c>
      <c r="Z504" s="20">
        <v>3499.9925602841299</v>
      </c>
      <c r="AA504" s="20">
        <v>3421.0695688943301</v>
      </c>
      <c r="AB504" s="20">
        <v>3336.3586010957101</v>
      </c>
      <c r="AC504" s="20">
        <v>3253.1431365257899</v>
      </c>
      <c r="AD504" s="20">
        <v>3175.8743269494998</v>
      </c>
      <c r="AE504" s="20">
        <v>3096.6603609428598</v>
      </c>
      <c r="AF504" t="str">
        <f t="shared" si="30"/>
        <v>NonResidential</v>
      </c>
      <c r="AG504" t="str">
        <f>tbl_Data_old[[#This Row],[All_Meas_Name_Append]]</f>
        <v>Commercial Duct Sealing</v>
      </c>
      <c r="AH504">
        <f>AVERAGEIFS('3. Incentive Adjustment'!G:G,'3. Incentive Adjustment'!A:A,tbl_Data_old[[#This Row],[Trimmed Sector]],'3. Incentive Adjustment'!B:B,tbl_Data_old[[#This Row],[Trimmed Measure Name]])</f>
        <v>0.69277112909915817</v>
      </c>
      <c r="AI504">
        <f>$AH504*tbl_Data_old[[#This Row],[2025 ]]</f>
        <v>2608.1891552230068</v>
      </c>
      <c r="AJ504">
        <f>$AH504*tbl_Data_old[[#This Row],[2026 ]]</f>
        <v>2572.387472597753</v>
      </c>
      <c r="AK504">
        <f>$AH504*tbl_Data_old[[#This Row],[2027 ]]</f>
        <v>2523.2713896390592</v>
      </c>
      <c r="AL504">
        <f>$AH504*tbl_Data_old[[#This Row],[2028 ]]</f>
        <v>2475.2546384634124</v>
      </c>
      <c r="AM504">
        <f>$AH504*tbl_Data_old[[#This Row],[2029 ]]</f>
        <v>2424.6937978266901</v>
      </c>
      <c r="AN504">
        <f>$AH504*tbl_Data_old[[#This Row],[2030 ]]</f>
        <v>2370.0182279696955</v>
      </c>
      <c r="AO504">
        <f>$AH504*tbl_Data_old[[#This Row],[2031 ]]</f>
        <v>2311.3329151607632</v>
      </c>
      <c r="AP504">
        <f>$AH504*tbl_Data_old[[#This Row],[2032 ]]</f>
        <v>2253.6836438121481</v>
      </c>
      <c r="AQ504">
        <f>$AH504*tbl_Data_old[[#This Row],[2033 ]]</f>
        <v>2200.1540433578339</v>
      </c>
      <c r="AR504">
        <f>$AH504*tbl_Data_old[[#This Row],[2034 ]]</f>
        <v>2145.2768946869915</v>
      </c>
      <c r="AS504">
        <f>SUM(tbl_Data_old[[#This Row],[Adjusted 2025]:[Adjusted 2034]])</f>
        <v>23884.26217873735</v>
      </c>
      <c r="AT504" s="3">
        <f>AVERAGEIFS('3. Incentive Adjustment'!F:F,'3. Incentive Adjustment'!A:A,tbl_Data_old[[#This Row],[Trimmed Sector]],'3. Incentive Adjustment'!B:B,tbl_Data_old[[#This Row],[Trimmed Measure Name]])</f>
        <v>100</v>
      </c>
      <c r="AU504" s="3">
        <f>IFERROR(VLOOKUP(tbl_Data_old[[#This Row],[All_Meas_Name_Append]],'IRA Tax Credits'!$A$3:$D$46,4,0),0)</f>
        <v>0</v>
      </c>
      <c r="AV504" s="4">
        <f>tbl_Data_old[[#This Row],[Adj. per unit Incentive ($)]]/tbl_Data_old[[#This Row],[kWh Savings]]*tbl_Data_old[[#This Row],[Sum of Annuals]]</f>
        <v>1167.8317888272604</v>
      </c>
      <c r="AW504" s="4" t="str">
        <f>IFERROR(VLOOKUP(tbl_Data_old[[#This Row],[All_Programs]],'1. Set Program Names'!$B$2:$D$15,3,0)*tbl_Data_old[[#This Row],[Sum of Annuals]],"")</f>
        <v/>
      </c>
      <c r="AX504" s="4">
        <f>tbl_Data_old[[#This Row],[per unit IRA tax ($)]]/tbl_Data_old[[#This Row],[kWh Savings]]*tbl_Data_old[[#This Row],[Sum of Annuals]]</f>
        <v>0</v>
      </c>
      <c r="AY504" s="4">
        <f>tbl_Data_old[[#This Row],[Avoided Costs ($/unit)]]/tbl_Data_old[[#This Row],[kWh Savings]]*tbl_Data_old[[#This Row],[Sum of Annuals]]</f>
        <v>12935.30699123476</v>
      </c>
      <c r="AZ504" s="4">
        <f>tbl_Data_old[[#This Row],[Lost Revenue ($/unit)]]/tbl_Data_old[[#This Row],[kWh Savings]]*tbl_Data_old[[#This Row],[Sum of Annuals]]</f>
        <v>30653.021542231745</v>
      </c>
      <c r="BA504" s="4">
        <f>tbl_Data_old[[#This Row],[Incremental Cost ($/unit)]]/tbl_Data_old[[#This Row],[kWh Savings]]*tbl_Data_old[[#This Row],[Sum of Annuals]]</f>
        <v>7778.0479406763234</v>
      </c>
      <c r="BB504">
        <f>ROUNDUP(tbl_Data_old[[#This Row],[Adjusted 2025]]/$L504,0)</f>
        <v>2</v>
      </c>
      <c r="BC504">
        <f>ROUNDUP(tbl_Data_old[[#This Row],[Adjusted 2026]]/$L504,0)</f>
        <v>2</v>
      </c>
      <c r="BD504">
        <f>ROUNDUP(tbl_Data_old[[#This Row],[Adjusted 2027]]/$L504,0)</f>
        <v>2</v>
      </c>
      <c r="BE504">
        <f>ROUNDUP(tbl_Data_old[[#This Row],[Adjusted 2028]]/$L504,0)</f>
        <v>2</v>
      </c>
      <c r="BF504">
        <f>ROUNDUP(tbl_Data_old[[#This Row],[Adjusted 2029]]/$L504,0)</f>
        <v>2</v>
      </c>
      <c r="BG504">
        <f>ROUNDUP(tbl_Data_old[[#This Row],[Adjusted 2030]]/$L504,0)</f>
        <v>2</v>
      </c>
      <c r="BH504">
        <f>ROUNDUP(tbl_Data_old[[#This Row],[Adjusted 2031]]/$L504,0)</f>
        <v>2</v>
      </c>
      <c r="BI504">
        <f>ROUNDUP(tbl_Data_old[[#This Row],[Adjusted 2032]]/$L504,0)</f>
        <v>2</v>
      </c>
      <c r="BJ504">
        <f>ROUNDUP(tbl_Data_old[[#This Row],[Adjusted 2033]]/$L504,0)</f>
        <v>2</v>
      </c>
      <c r="BK504">
        <f>ROUNDUP(tbl_Data_old[[#This Row],[Adjusted 2034]]/$L504,0)</f>
        <v>2</v>
      </c>
      <c r="BL504" s="3">
        <f t="shared" si="34"/>
        <v>184.08473105262823</v>
      </c>
      <c r="BM504" s="3">
        <f t="shared" si="34"/>
        <v>181.5578655819611</v>
      </c>
      <c r="BN504" s="3">
        <f t="shared" si="34"/>
        <v>178.09127616542906</v>
      </c>
      <c r="BO504" s="3">
        <f t="shared" si="34"/>
        <v>174.70227705526517</v>
      </c>
      <c r="BP504" s="3">
        <f t="shared" si="34"/>
        <v>171.13371733950711</v>
      </c>
      <c r="BQ504" s="3">
        <f t="shared" si="34"/>
        <v>167.2747420224299</v>
      </c>
      <c r="BR504" s="3">
        <f t="shared" si="34"/>
        <v>163.13276098415358</v>
      </c>
      <c r="BS504" s="3">
        <f t="shared" si="34"/>
        <v>159.06390325183074</v>
      </c>
      <c r="BT504" s="3">
        <f t="shared" si="34"/>
        <v>155.28580990179356</v>
      </c>
      <c r="BU504" s="3">
        <f t="shared" si="34"/>
        <v>151.41260724937959</v>
      </c>
      <c r="BV504" t="e">
        <f>VLOOKUP($H504,'1. Set Program Names'!$B$2:$D$15,3,0)*V504</f>
        <v>#N/A</v>
      </c>
      <c r="BW504" t="e">
        <f>VLOOKUP($H504,'1. Set Program Names'!$B$2:$D$15,3,0)*W504</f>
        <v>#N/A</v>
      </c>
      <c r="BX504" t="e">
        <f>VLOOKUP($H504,'1. Set Program Names'!$B$2:$D$15,3,0)*X504</f>
        <v>#N/A</v>
      </c>
      <c r="BY504" t="e">
        <f>VLOOKUP($H504,'1. Set Program Names'!$B$2:$D$15,3,0)*Y504</f>
        <v>#N/A</v>
      </c>
      <c r="BZ504" t="e">
        <f>VLOOKUP($H504,'1. Set Program Names'!$B$2:$D$15,3,0)*Z504</f>
        <v>#N/A</v>
      </c>
      <c r="CA504" t="e">
        <f>VLOOKUP($H504,'1. Set Program Names'!$B$2:$D$15,3,0)*AA504</f>
        <v>#N/A</v>
      </c>
      <c r="CB504" t="e">
        <f>VLOOKUP($H504,'1. Set Program Names'!$B$2:$D$15,3,0)*AB504</f>
        <v>#N/A</v>
      </c>
      <c r="CC504" t="e">
        <f>VLOOKUP($H504,'1. Set Program Names'!$B$2:$D$15,3,0)*AC504</f>
        <v>#N/A</v>
      </c>
      <c r="CD504" t="e">
        <f>VLOOKUP($H504,'1. Set Program Names'!$B$2:$D$15,3,0)*AD504</f>
        <v>#N/A</v>
      </c>
      <c r="CE504" t="e">
        <f>VLOOKUP($H504,'1. Set Program Names'!$B$2:$D$15,3,0)*AE504</f>
        <v>#N/A</v>
      </c>
    </row>
    <row r="505" spans="1:83" x14ac:dyDescent="0.25">
      <c r="A505" s="20" t="s">
        <v>87</v>
      </c>
      <c r="B505" s="20" t="s">
        <v>88</v>
      </c>
      <c r="C505" s="20" t="s">
        <v>122</v>
      </c>
      <c r="D505" s="20" t="s">
        <v>90</v>
      </c>
      <c r="E505" s="20" t="s">
        <v>91</v>
      </c>
      <c r="F505" s="20" t="s">
        <v>90</v>
      </c>
      <c r="G505" s="20" t="s">
        <v>92</v>
      </c>
      <c r="H505" s="20" t="s">
        <v>20</v>
      </c>
      <c r="I505" s="20" t="s">
        <v>303</v>
      </c>
      <c r="J505" s="20" t="s">
        <v>129</v>
      </c>
      <c r="K505" s="20" t="s">
        <v>298</v>
      </c>
      <c r="L505" s="20">
        <v>2407.8671428571402</v>
      </c>
      <c r="M505" s="20">
        <v>0.43509988390469401</v>
      </c>
      <c r="N505" s="20">
        <v>0.148929049658067</v>
      </c>
      <c r="O505" s="20">
        <v>1278.9912095238201</v>
      </c>
      <c r="P505" s="20">
        <v>9094.9443435978392</v>
      </c>
      <c r="Q505" s="20">
        <v>144.47202857142801</v>
      </c>
      <c r="R505" s="20">
        <v>1364.7105452988201</v>
      </c>
      <c r="S505" s="20">
        <v>3090.2526043504499</v>
      </c>
      <c r="T505" s="20">
        <v>20</v>
      </c>
      <c r="U505" s="20">
        <v>4.9999999999999899E-2</v>
      </c>
      <c r="V505" s="20">
        <v>1477.48685112674</v>
      </c>
      <c r="W505" s="20">
        <v>1403.48675011817</v>
      </c>
      <c r="X505" s="20">
        <v>1317.2546859000299</v>
      </c>
      <c r="Y505" s="20">
        <v>1231.37763720724</v>
      </c>
      <c r="Z505" s="20">
        <v>1146.28165916324</v>
      </c>
      <c r="AA505" s="20">
        <v>1061.5085788865999</v>
      </c>
      <c r="AB505" s="20">
        <v>978.99379928343603</v>
      </c>
      <c r="AC505" s="20">
        <v>901.327849987729</v>
      </c>
      <c r="AD505" s="20">
        <v>829.33787367548996</v>
      </c>
      <c r="AE505" s="20">
        <v>761.74948792982502</v>
      </c>
      <c r="AF505" t="str">
        <f t="shared" si="30"/>
        <v>NonResidential</v>
      </c>
      <c r="AG505" t="str">
        <f>tbl_Data_old[[#This Row],[All_Meas_Name_Append]]</f>
        <v>Energy Star windows</v>
      </c>
      <c r="AH505">
        <f>AVERAGEIFS('3. Incentive Adjustment'!G:G,'3. Incentive Adjustment'!A:A,tbl_Data_old[[#This Row],[Trimmed Sector]],'3. Incentive Adjustment'!B:B,tbl_Data_old[[#This Row],[Trimmed Measure Name]])</f>
        <v>1.8374525511831319E-4</v>
      </c>
      <c r="AI505">
        <f>$AH505*tbl_Data_old[[#This Row],[2025 ]]</f>
        <v>0.27148119839423607</v>
      </c>
      <c r="AJ505">
        <f>$AH505*tbl_Data_old[[#This Row],[2026 ]]</f>
        <v>0.25788403095563545</v>
      </c>
      <c r="AK505">
        <f>$AH505*tbl_Data_old[[#This Row],[2027 ]]</f>
        <v>0.24203929831649451</v>
      </c>
      <c r="AL505">
        <f>$AH505*tbl_Data_old[[#This Row],[2028 ]]</f>
        <v>0.22625979809563002</v>
      </c>
      <c r="AM505">
        <f>$AH505*tbl_Data_old[[#This Row],[2029 ]]</f>
        <v>0.21062381590039286</v>
      </c>
      <c r="AN505">
        <f>$AH505*tbl_Data_old[[#This Row],[2030 ]]</f>
        <v>0.19504716463779639</v>
      </c>
      <c r="AO505">
        <f>$AH505*tbl_Data_old[[#This Row],[2031 ]]</f>
        <v>0.17988546540858166</v>
      </c>
      <c r="AP505">
        <f>$AH505*tbl_Data_old[[#This Row],[2032 ]]</f>
        <v>0.16561471574123598</v>
      </c>
      <c r="AQ505">
        <f>$AH505*tbl_Data_old[[#This Row],[2033 ]]</f>
        <v>0.15238689917778231</v>
      </c>
      <c r="AR505">
        <f>$AH505*tbl_Data_old[[#This Row],[2034 ]]</f>
        <v>0.13996785399591014</v>
      </c>
      <c r="AS505">
        <f>SUM(tbl_Data_old[[#This Row],[Adjusted 2025]:[Adjusted 2034]])</f>
        <v>2.0411902406236955</v>
      </c>
      <c r="AT505" s="3">
        <f>AVERAGEIFS('3. Incentive Adjustment'!F:F,'3. Incentive Adjustment'!A:A,tbl_Data_old[[#This Row],[Trimmed Sector]],'3. Incentive Adjustment'!B:B,tbl_Data_old[[#This Row],[Trimmed Measure Name]])</f>
        <v>1244.9532966663394</v>
      </c>
      <c r="AU505" s="3">
        <f>IFERROR(VLOOKUP(tbl_Data_old[[#This Row],[All_Meas_Name_Append]],'IRA Tax Credits'!$A$3:$D$46,4,0),0)</f>
        <v>250</v>
      </c>
      <c r="AV505" s="4">
        <f>tbl_Data_old[[#This Row],[Adj. per unit Incentive ($)]]/tbl_Data_old[[#This Row],[kWh Savings]]*tbl_Data_old[[#This Row],[Sum of Annuals]]</f>
        <v>1.0553682443510124</v>
      </c>
      <c r="AW505" s="4" t="str">
        <f>IFERROR(VLOOKUP(tbl_Data_old[[#This Row],[All_Programs]],'1. Set Program Names'!$B$2:$D$15,3,0)*tbl_Data_old[[#This Row],[Sum of Annuals]],"")</f>
        <v/>
      </c>
      <c r="AX505" s="4">
        <f>tbl_Data_old[[#This Row],[per unit IRA tax ($)]]/tbl_Data_old[[#This Row],[kWh Savings]]*tbl_Data_old[[#This Row],[Sum of Annuals]]</f>
        <v>0.21192928425046417</v>
      </c>
      <c r="AY505" s="4">
        <f>tbl_Data_old[[#This Row],[Avoided Costs ($/unit)]]/tbl_Data_old[[#This Row],[kWh Savings]]*tbl_Data_old[[#This Row],[Sum of Annuals]]</f>
        <v>1.1568885162969582</v>
      </c>
      <c r="AZ505" s="4">
        <f>tbl_Data_old[[#This Row],[Lost Revenue ($/unit)]]/tbl_Data_old[[#This Row],[kWh Savings]]*tbl_Data_old[[#This Row],[Sum of Annuals]]</f>
        <v>2.6196600903724949</v>
      </c>
      <c r="BA505" s="4">
        <f>tbl_Data_old[[#This Row],[Incremental Cost ($/unit)]]/tbl_Data_old[[#This Row],[kWh Savings]]*tbl_Data_old[[#This Row],[Sum of Annuals]]</f>
        <v>1.0842227663880746</v>
      </c>
      <c r="BB505">
        <f>ROUNDUP(tbl_Data_old[[#This Row],[Adjusted 2025]]/$L505,0)</f>
        <v>1</v>
      </c>
      <c r="BC505">
        <f>ROUNDUP(tbl_Data_old[[#This Row],[Adjusted 2026]]/$L505,0)</f>
        <v>1</v>
      </c>
      <c r="BD505">
        <f>ROUNDUP(tbl_Data_old[[#This Row],[Adjusted 2027]]/$L505,0)</f>
        <v>1</v>
      </c>
      <c r="BE505">
        <f>ROUNDUP(tbl_Data_old[[#This Row],[Adjusted 2028]]/$L505,0)</f>
        <v>1</v>
      </c>
      <c r="BF505">
        <f>ROUNDUP(tbl_Data_old[[#This Row],[Adjusted 2029]]/$L505,0)</f>
        <v>1</v>
      </c>
      <c r="BG505">
        <f>ROUNDUP(tbl_Data_old[[#This Row],[Adjusted 2030]]/$L505,0)</f>
        <v>1</v>
      </c>
      <c r="BH505">
        <f>ROUNDUP(tbl_Data_old[[#This Row],[Adjusted 2031]]/$L505,0)</f>
        <v>1</v>
      </c>
      <c r="BI505">
        <f>ROUNDUP(tbl_Data_old[[#This Row],[Adjusted 2032]]/$L505,0)</f>
        <v>1</v>
      </c>
      <c r="BJ505">
        <f>ROUNDUP(tbl_Data_old[[#This Row],[Adjusted 2033]]/$L505,0)</f>
        <v>1</v>
      </c>
      <c r="BK505">
        <f>ROUNDUP(tbl_Data_old[[#This Row],[Adjusted 2034]]/$L505,0)</f>
        <v>1</v>
      </c>
      <c r="BL505" s="3">
        <f t="shared" si="34"/>
        <v>763.91346239676511</v>
      </c>
      <c r="BM505" s="3">
        <f t="shared" si="34"/>
        <v>725.65276766634679</v>
      </c>
      <c r="BN505" s="3">
        <f t="shared" si="34"/>
        <v>681.06771115889717</v>
      </c>
      <c r="BO505" s="3">
        <f t="shared" si="34"/>
        <v>636.6662103554919</v>
      </c>
      <c r="BP505" s="3">
        <f t="shared" si="34"/>
        <v>592.66855096917834</v>
      </c>
      <c r="BQ505" s="3">
        <f t="shared" si="34"/>
        <v>548.83784125911825</v>
      </c>
      <c r="BR505" s="3">
        <f t="shared" si="34"/>
        <v>506.17475364010579</v>
      </c>
      <c r="BS505" s="3">
        <f t="shared" si="34"/>
        <v>466.01868443951037</v>
      </c>
      <c r="BT505" s="3">
        <f t="shared" si="34"/>
        <v>428.79729595770777</v>
      </c>
      <c r="BU505" s="3">
        <f t="shared" si="34"/>
        <v>393.85168697756393</v>
      </c>
      <c r="BV505" t="e">
        <f>VLOOKUP($H505,'1. Set Program Names'!$B$2:$D$15,3,0)*V505</f>
        <v>#N/A</v>
      </c>
      <c r="BW505" t="e">
        <f>VLOOKUP($H505,'1. Set Program Names'!$B$2:$D$15,3,0)*W505</f>
        <v>#N/A</v>
      </c>
      <c r="BX505" t="e">
        <f>VLOOKUP($H505,'1. Set Program Names'!$B$2:$D$15,3,0)*X505</f>
        <v>#N/A</v>
      </c>
      <c r="BY505" t="e">
        <f>VLOOKUP($H505,'1. Set Program Names'!$B$2:$D$15,3,0)*Y505</f>
        <v>#N/A</v>
      </c>
      <c r="BZ505" t="e">
        <f>VLOOKUP($H505,'1. Set Program Names'!$B$2:$D$15,3,0)*Z505</f>
        <v>#N/A</v>
      </c>
      <c r="CA505" t="e">
        <f>VLOOKUP($H505,'1. Set Program Names'!$B$2:$D$15,3,0)*AA505</f>
        <v>#N/A</v>
      </c>
      <c r="CB505" t="e">
        <f>VLOOKUP($H505,'1. Set Program Names'!$B$2:$D$15,3,0)*AB505</f>
        <v>#N/A</v>
      </c>
      <c r="CC505" t="e">
        <f>VLOOKUP($H505,'1. Set Program Names'!$B$2:$D$15,3,0)*AC505</f>
        <v>#N/A</v>
      </c>
      <c r="CD505" t="e">
        <f>VLOOKUP($H505,'1. Set Program Names'!$B$2:$D$15,3,0)*AD505</f>
        <v>#N/A</v>
      </c>
      <c r="CE505" t="e">
        <f>VLOOKUP($H505,'1. Set Program Names'!$B$2:$D$15,3,0)*AE505</f>
        <v>#N/A</v>
      </c>
    </row>
    <row r="506" spans="1:83" x14ac:dyDescent="0.25">
      <c r="A506" s="20" t="s">
        <v>87</v>
      </c>
      <c r="B506" s="20" t="s">
        <v>88</v>
      </c>
      <c r="C506" s="20" t="s">
        <v>122</v>
      </c>
      <c r="D506" s="20" t="s">
        <v>90</v>
      </c>
      <c r="E506" s="20" t="s">
        <v>91</v>
      </c>
      <c r="F506" s="20" t="s">
        <v>90</v>
      </c>
      <c r="G506" s="20" t="s">
        <v>92</v>
      </c>
      <c r="H506" s="20" t="s">
        <v>20</v>
      </c>
      <c r="I506" s="20" t="s">
        <v>143</v>
      </c>
      <c r="J506" s="20" t="s">
        <v>144</v>
      </c>
      <c r="K506" s="20" t="s">
        <v>108</v>
      </c>
      <c r="L506" s="20">
        <v>6670.6049999999896</v>
      </c>
      <c r="M506" s="20">
        <v>1.04667148638823</v>
      </c>
      <c r="N506" s="20">
        <v>1.5598507965563999</v>
      </c>
      <c r="O506" s="20">
        <v>2431.625</v>
      </c>
      <c r="P506" s="20">
        <v>977.24379425036398</v>
      </c>
      <c r="Q506" s="20">
        <v>400.23629999999901</v>
      </c>
      <c r="R506" s="20">
        <v>3400.8076679878</v>
      </c>
      <c r="S506" s="20">
        <v>7245.0779694633802</v>
      </c>
      <c r="T506" s="20">
        <v>15</v>
      </c>
      <c r="U506" s="20">
        <v>0.05</v>
      </c>
      <c r="V506" s="20">
        <v>1692.8438372017399</v>
      </c>
      <c r="W506" s="20">
        <v>1861.5733456609701</v>
      </c>
      <c r="X506" s="20">
        <v>1999.43667660807</v>
      </c>
      <c r="Y506" s="20">
        <v>2119.3851893855099</v>
      </c>
      <c r="Z506" s="20">
        <v>2222.02259431111</v>
      </c>
      <c r="AA506" s="20">
        <v>2306.5264628362602</v>
      </c>
      <c r="AB506" s="20">
        <v>2376.0439456511699</v>
      </c>
      <c r="AC506" s="20">
        <v>2437.22027767905</v>
      </c>
      <c r="AD506" s="20">
        <v>2492.02684517443</v>
      </c>
      <c r="AE506" s="20">
        <v>2539.0823995512701</v>
      </c>
      <c r="AF506" t="str">
        <f t="shared" si="30"/>
        <v>NonResidential</v>
      </c>
      <c r="AG506" t="str">
        <f>tbl_Data_old[[#This Row],[All_Meas_Name_Append]]</f>
        <v>Heat Pump Water Heater</v>
      </c>
      <c r="AH506">
        <f>AVERAGEIFS('3. Incentive Adjustment'!G:G,'3. Incentive Adjustment'!A:A,tbl_Data_old[[#This Row],[Trimmed Sector]],'3. Incentive Adjustment'!B:B,tbl_Data_old[[#This Row],[Trimmed Measure Name]])</f>
        <v>0.82797588322898052</v>
      </c>
      <c r="AI506">
        <f>$AH506*tbl_Data_old[[#This Row],[2025 ]]</f>
        <v>1401.633871275847</v>
      </c>
      <c r="AJ506">
        <f>$AH506*tbl_Data_old[[#This Row],[2026 ]]</f>
        <v>1541.3378350691698</v>
      </c>
      <c r="AK506">
        <f>$AH506*tbl_Data_old[[#This Row],[2027 ]]</f>
        <v>1655.4853482749843</v>
      </c>
      <c r="AL506">
        <f>$AH506*tbl_Data_old[[#This Row],[2028 ]]</f>
        <v>1754.7998240838876</v>
      </c>
      <c r="AM506">
        <f>$AH506*tbl_Data_old[[#This Row],[2029 ]]</f>
        <v>1839.781120079492</v>
      </c>
      <c r="AN506">
        <f>$AH506*tbl_Data_old[[#This Row],[2030 ]]</f>
        <v>1909.7482852578689</v>
      </c>
      <c r="AO506">
        <f>$AH506*tbl_Data_old[[#This Row],[2031 ]]</f>
        <v>1967.3070844913991</v>
      </c>
      <c r="AP506">
        <f>$AH506*tbl_Data_old[[#This Row],[2032 ]]</f>
        <v>2017.9596120348926</v>
      </c>
      <c r="AQ506">
        <f>$AH506*tbl_Data_old[[#This Row],[2033 ]]</f>
        <v>2063.3381281636284</v>
      </c>
      <c r="AR506">
        <f>$AH506*tbl_Data_old[[#This Row],[2034 ]]</f>
        <v>2102.2989923596219</v>
      </c>
      <c r="AS506">
        <f>SUM(tbl_Data_old[[#This Row],[Adjusted 2025]:[Adjusted 2034]])</f>
        <v>18253.690101090793</v>
      </c>
      <c r="AT506" s="3">
        <f>AVERAGEIFS('3. Incentive Adjustment'!F:F,'3. Incentive Adjustment'!A:A,tbl_Data_old[[#This Row],[Trimmed Sector]],'3. Incentive Adjustment'!B:B,tbl_Data_old[[#This Row],[Trimmed Measure Name]])</f>
        <v>500</v>
      </c>
      <c r="AU506" s="3">
        <f>IFERROR(VLOOKUP(tbl_Data_old[[#This Row],[All_Meas_Name_Append]],'IRA Tax Credits'!$A$3:$D$46,4,0),0)</f>
        <v>0</v>
      </c>
      <c r="AV506" s="4">
        <f>tbl_Data_old[[#This Row],[Adj. per unit Incentive ($)]]/tbl_Data_old[[#This Row],[kWh Savings]]*tbl_Data_old[[#This Row],[Sum of Annuals]]</f>
        <v>1368.218482513267</v>
      </c>
      <c r="AW506" s="4" t="str">
        <f>IFERROR(VLOOKUP(tbl_Data_old[[#This Row],[All_Programs]],'1. Set Program Names'!$B$2:$D$15,3,0)*tbl_Data_old[[#This Row],[Sum of Annuals]],"")</f>
        <v/>
      </c>
      <c r="AX506" s="4">
        <f>tbl_Data_old[[#This Row],[per unit IRA tax ($)]]/tbl_Data_old[[#This Row],[kWh Savings]]*tbl_Data_old[[#This Row],[Sum of Annuals]]</f>
        <v>0</v>
      </c>
      <c r="AY506" s="4">
        <f>tbl_Data_old[[#This Row],[Avoided Costs ($/unit)]]/tbl_Data_old[[#This Row],[kWh Savings]]*tbl_Data_old[[#This Row],[Sum of Annuals]]</f>
        <v>9306.0958136275003</v>
      </c>
      <c r="AZ506" s="4">
        <f>tbl_Data_old[[#This Row],[Lost Revenue ($/unit)]]/tbl_Data_old[[#This Row],[kWh Savings]]*tbl_Data_old[[#This Row],[Sum of Annuals]]</f>
        <v>19825.699170138974</v>
      </c>
      <c r="BA506" s="4">
        <f>tbl_Data_old[[#This Row],[Incremental Cost ($/unit)]]/tbl_Data_old[[#This Row],[kWh Savings]]*tbl_Data_old[[#This Row],[Sum of Annuals]]</f>
        <v>6653.9885350826462</v>
      </c>
      <c r="BB506">
        <f>ROUNDUP(tbl_Data_old[[#This Row],[Adjusted 2025]]/$L506,0)</f>
        <v>1</v>
      </c>
      <c r="BC506">
        <f>ROUNDUP(tbl_Data_old[[#This Row],[Adjusted 2026]]/$L506,0)</f>
        <v>1</v>
      </c>
      <c r="BD506">
        <f>ROUNDUP(tbl_Data_old[[#This Row],[Adjusted 2027]]/$L506,0)</f>
        <v>1</v>
      </c>
      <c r="BE506">
        <f>ROUNDUP(tbl_Data_old[[#This Row],[Adjusted 2028]]/$L506,0)</f>
        <v>1</v>
      </c>
      <c r="BF506">
        <f>ROUNDUP(tbl_Data_old[[#This Row],[Adjusted 2029]]/$L506,0)</f>
        <v>1</v>
      </c>
      <c r="BG506">
        <f>ROUNDUP(tbl_Data_old[[#This Row],[Adjusted 2030]]/$L506,0)</f>
        <v>1</v>
      </c>
      <c r="BH506">
        <f>ROUNDUP(tbl_Data_old[[#This Row],[Adjusted 2031]]/$L506,0)</f>
        <v>1</v>
      </c>
      <c r="BI506">
        <f>ROUNDUP(tbl_Data_old[[#This Row],[Adjusted 2032]]/$L506,0)</f>
        <v>1</v>
      </c>
      <c r="BJ506">
        <f>ROUNDUP(tbl_Data_old[[#This Row],[Adjusted 2033]]/$L506,0)</f>
        <v>1</v>
      </c>
      <c r="BK506">
        <f>ROUNDUP(tbl_Data_old[[#This Row],[Adjusted 2034]]/$L506,0)</f>
        <v>1</v>
      </c>
      <c r="BL506" s="3">
        <f t="shared" si="34"/>
        <v>126.88832851006337</v>
      </c>
      <c r="BM506" s="3">
        <f t="shared" si="34"/>
        <v>139.53557028642626</v>
      </c>
      <c r="BN506" s="3">
        <f t="shared" si="34"/>
        <v>149.869215506545</v>
      </c>
      <c r="BO506" s="3">
        <f t="shared" si="34"/>
        <v>158.86004263372763</v>
      </c>
      <c r="BP506" s="3">
        <f t="shared" si="34"/>
        <v>166.55330320946254</v>
      </c>
      <c r="BQ506" s="3">
        <f t="shared" si="34"/>
        <v>172.88735150981537</v>
      </c>
      <c r="BR506" s="3">
        <f t="shared" si="34"/>
        <v>178.09808448043123</v>
      </c>
      <c r="BS506" s="3">
        <f t="shared" si="34"/>
        <v>182.68360048894021</v>
      </c>
      <c r="BT506" s="3">
        <f t="shared" si="34"/>
        <v>186.79166621126825</v>
      </c>
      <c r="BU506" s="3">
        <f t="shared" si="34"/>
        <v>190.31874916527619</v>
      </c>
      <c r="BV506" t="e">
        <f>VLOOKUP($H506,'1. Set Program Names'!$B$2:$D$15,3,0)*V506</f>
        <v>#N/A</v>
      </c>
      <c r="BW506" t="e">
        <f>VLOOKUP($H506,'1. Set Program Names'!$B$2:$D$15,3,0)*W506</f>
        <v>#N/A</v>
      </c>
      <c r="BX506" t="e">
        <f>VLOOKUP($H506,'1. Set Program Names'!$B$2:$D$15,3,0)*X506</f>
        <v>#N/A</v>
      </c>
      <c r="BY506" t="e">
        <f>VLOOKUP($H506,'1. Set Program Names'!$B$2:$D$15,3,0)*Y506</f>
        <v>#N/A</v>
      </c>
      <c r="BZ506" t="e">
        <f>VLOOKUP($H506,'1. Set Program Names'!$B$2:$D$15,3,0)*Z506</f>
        <v>#N/A</v>
      </c>
      <c r="CA506" t="e">
        <f>VLOOKUP($H506,'1. Set Program Names'!$B$2:$D$15,3,0)*AA506</f>
        <v>#N/A</v>
      </c>
      <c r="CB506" t="e">
        <f>VLOOKUP($H506,'1. Set Program Names'!$B$2:$D$15,3,0)*AB506</f>
        <v>#N/A</v>
      </c>
      <c r="CC506" t="e">
        <f>VLOOKUP($H506,'1. Set Program Names'!$B$2:$D$15,3,0)*AC506</f>
        <v>#N/A</v>
      </c>
      <c r="CD506" t="e">
        <f>VLOOKUP($H506,'1. Set Program Names'!$B$2:$D$15,3,0)*AD506</f>
        <v>#N/A</v>
      </c>
      <c r="CE506" t="e">
        <f>VLOOKUP($H506,'1. Set Program Names'!$B$2:$D$15,3,0)*AE506</f>
        <v>#N/A</v>
      </c>
    </row>
    <row r="507" spans="1:83" x14ac:dyDescent="0.25">
      <c r="A507" s="20" t="s">
        <v>87</v>
      </c>
      <c r="B507" s="20" t="s">
        <v>88</v>
      </c>
      <c r="C507" s="20" t="s">
        <v>122</v>
      </c>
      <c r="D507" s="20" t="s">
        <v>90</v>
      </c>
      <c r="E507" s="20" t="s">
        <v>91</v>
      </c>
      <c r="F507" s="20" t="s">
        <v>90</v>
      </c>
      <c r="G507" s="20" t="s">
        <v>92</v>
      </c>
      <c r="H507" s="20" t="s">
        <v>20</v>
      </c>
      <c r="I507" s="20" t="s">
        <v>145</v>
      </c>
      <c r="J507" s="20" t="s">
        <v>129</v>
      </c>
      <c r="K507" s="20" t="s">
        <v>98</v>
      </c>
      <c r="L507" s="20">
        <v>1452.1399999999801</v>
      </c>
      <c r="M507" s="20">
        <v>0.33467704377742202</v>
      </c>
      <c r="N507" s="20">
        <v>4.3977319526113799E-2</v>
      </c>
      <c r="O507" s="20">
        <v>654.99999999999898</v>
      </c>
      <c r="P507" s="20">
        <v>358.56061649158102</v>
      </c>
      <c r="Q507" s="20">
        <v>87.128399999999303</v>
      </c>
      <c r="R507" s="20">
        <v>761.15206993055403</v>
      </c>
      <c r="S507" s="20">
        <v>1577.19839843259</v>
      </c>
      <c r="T507" s="20">
        <v>15</v>
      </c>
      <c r="U507" s="20">
        <v>0.05</v>
      </c>
      <c r="V507" s="20">
        <v>521.84423770522801</v>
      </c>
      <c r="W507" s="20">
        <v>584.075436237139</v>
      </c>
      <c r="X507" s="20">
        <v>639.45564585930504</v>
      </c>
      <c r="Y507" s="20">
        <v>691.29675895867797</v>
      </c>
      <c r="Z507" s="20">
        <v>739.27489648977496</v>
      </c>
      <c r="AA507" s="20">
        <v>783.09436898384104</v>
      </c>
      <c r="AB507" s="20">
        <v>823.23393641498797</v>
      </c>
      <c r="AC507" s="20">
        <v>861.81606640575296</v>
      </c>
      <c r="AD507" s="20">
        <v>899.81276913963404</v>
      </c>
      <c r="AE507" s="20">
        <v>936.20250421979699</v>
      </c>
      <c r="AF507" t="str">
        <f t="shared" si="30"/>
        <v>NonResidential</v>
      </c>
      <c r="AG507" t="str">
        <f>tbl_Data_old[[#This Row],[All_Meas_Name_Append]]</f>
        <v>HE DX Less than 5.4 Tons Elect Heat</v>
      </c>
      <c r="AH507">
        <f>AVERAGEIFS('3. Incentive Adjustment'!G:G,'3. Incentive Adjustment'!A:A,tbl_Data_old[[#This Row],[Trimmed Sector]],'3. Incentive Adjustment'!B:B,tbl_Data_old[[#This Row],[Trimmed Measure Name]])</f>
        <v>0.74493198517309978</v>
      </c>
      <c r="AI507">
        <f>$AH507*tbl_Data_old[[#This Row],[2025 ]]</f>
        <v>388.73846394489846</v>
      </c>
      <c r="AJ507">
        <f>$AH507*tbl_Data_old[[#This Row],[2026 ]]</f>
        <v>435.09647420697621</v>
      </c>
      <c r="AK507">
        <f>$AH507*tbl_Data_old[[#This Row],[2027 ]]</f>
        <v>476.35096370011877</v>
      </c>
      <c r="AL507">
        <f>$AH507*tbl_Data_old[[#This Row],[2028 ]]</f>
        <v>514.96906699481781</v>
      </c>
      <c r="AM507">
        <f>$AH507*tbl_Data_old[[#This Row],[2029 ]]</f>
        <v>550.70951623076587</v>
      </c>
      <c r="AN507">
        <f>$AH507*tbl_Data_old[[#This Row],[2030 ]]</f>
        <v>583.35204286500857</v>
      </c>
      <c r="AO507">
        <f>$AH507*tbl_Data_old[[#This Row],[2031 ]]</f>
        <v>613.25329051548238</v>
      </c>
      <c r="AP507">
        <f>$AH507*tbl_Data_old[[#This Row],[2032 ]]</f>
        <v>641.99435320170949</v>
      </c>
      <c r="AQ507">
        <f>$AH507*tbl_Data_old[[#This Row],[2033 ]]</f>
        <v>670.29931239929169</v>
      </c>
      <c r="AR507">
        <f>$AH507*tbl_Data_old[[#This Row],[2034 ]]</f>
        <v>697.40718999248065</v>
      </c>
      <c r="AS507">
        <f>SUM(tbl_Data_old[[#This Row],[Adjusted 2025]:[Adjusted 2034]])</f>
        <v>5572.170674051551</v>
      </c>
      <c r="AT507" s="3">
        <f>AVERAGEIFS('3. Incentive Adjustment'!F:F,'3. Incentive Adjustment'!A:A,tbl_Data_old[[#This Row],[Trimmed Sector]],'3. Incentive Adjustment'!B:B,tbl_Data_old[[#This Row],[Trimmed Measure Name]])</f>
        <v>196.49999999999969</v>
      </c>
      <c r="AU507" s="3">
        <f>IFERROR(VLOOKUP(tbl_Data_old[[#This Row],[All_Meas_Name_Append]],'IRA Tax Credits'!$A$3:$D$46,4,0),0)</f>
        <v>0</v>
      </c>
      <c r="AV507" s="4">
        <f>tbl_Data_old[[#This Row],[Adj. per unit Incentive ($)]]/tbl_Data_old[[#This Row],[kWh Savings]]*tbl_Data_old[[#This Row],[Sum of Annuals]]</f>
        <v>754.01237997103794</v>
      </c>
      <c r="AW507" s="4" t="str">
        <f>IFERROR(VLOOKUP(tbl_Data_old[[#This Row],[All_Programs]],'1. Set Program Names'!$B$2:$D$15,3,0)*tbl_Data_old[[#This Row],[Sum of Annuals]],"")</f>
        <v/>
      </c>
      <c r="AX507" s="4">
        <f>tbl_Data_old[[#This Row],[per unit IRA tax ($)]]/tbl_Data_old[[#This Row],[kWh Savings]]*tbl_Data_old[[#This Row],[Sum of Annuals]]</f>
        <v>0</v>
      </c>
      <c r="AY507" s="4">
        <f>tbl_Data_old[[#This Row],[Avoided Costs ($/unit)]]/tbl_Data_old[[#This Row],[kWh Savings]]*tbl_Data_old[[#This Row],[Sum of Annuals]]</f>
        <v>2920.7027163777093</v>
      </c>
      <c r="AZ507" s="4">
        <f>tbl_Data_old[[#This Row],[Lost Revenue ($/unit)]]/tbl_Data_old[[#This Row],[kWh Savings]]*tbl_Data_old[[#This Row],[Sum of Annuals]]</f>
        <v>6052.0464024868625</v>
      </c>
      <c r="BA507" s="4">
        <f>tbl_Data_old[[#This Row],[Incremental Cost ($/unit)]]/tbl_Data_old[[#This Row],[kWh Savings]]*tbl_Data_old[[#This Row],[Sum of Annuals]]</f>
        <v>2513.37459990346</v>
      </c>
      <c r="BB507">
        <f>ROUNDUP(tbl_Data_old[[#This Row],[Adjusted 2025]]/$L507,0)</f>
        <v>1</v>
      </c>
      <c r="BC507">
        <f>ROUNDUP(tbl_Data_old[[#This Row],[Adjusted 2026]]/$L507,0)</f>
        <v>1</v>
      </c>
      <c r="BD507">
        <f>ROUNDUP(tbl_Data_old[[#This Row],[Adjusted 2027]]/$L507,0)</f>
        <v>1</v>
      </c>
      <c r="BE507">
        <f>ROUNDUP(tbl_Data_old[[#This Row],[Adjusted 2028]]/$L507,0)</f>
        <v>1</v>
      </c>
      <c r="BF507">
        <f>ROUNDUP(tbl_Data_old[[#This Row],[Adjusted 2029]]/$L507,0)</f>
        <v>1</v>
      </c>
      <c r="BG507">
        <f>ROUNDUP(tbl_Data_old[[#This Row],[Adjusted 2030]]/$L507,0)</f>
        <v>1</v>
      </c>
      <c r="BH507">
        <f>ROUNDUP(tbl_Data_old[[#This Row],[Adjusted 2031]]/$L507,0)</f>
        <v>1</v>
      </c>
      <c r="BI507">
        <f>ROUNDUP(tbl_Data_old[[#This Row],[Adjusted 2032]]/$L507,0)</f>
        <v>1</v>
      </c>
      <c r="BJ507">
        <f>ROUNDUP(tbl_Data_old[[#This Row],[Adjusted 2033]]/$L507,0)</f>
        <v>1</v>
      </c>
      <c r="BK507">
        <f>ROUNDUP(tbl_Data_old[[#This Row],[Adjusted 2034]]/$L507,0)</f>
        <v>1</v>
      </c>
      <c r="BL507" s="3">
        <f t="shared" si="34"/>
        <v>70.61467400462665</v>
      </c>
      <c r="BM507" s="3">
        <f t="shared" si="34"/>
        <v>79.035646164005669</v>
      </c>
      <c r="BN507" s="3">
        <f t="shared" si="34"/>
        <v>86.529559416691882</v>
      </c>
      <c r="BO507" s="3">
        <f t="shared" si="34"/>
        <v>93.544570864642424</v>
      </c>
      <c r="BP507" s="3">
        <f t="shared" si="34"/>
        <v>100.03685399496091</v>
      </c>
      <c r="BQ507" s="3">
        <f t="shared" si="34"/>
        <v>105.96639683868402</v>
      </c>
      <c r="BR507" s="3">
        <f t="shared" si="34"/>
        <v>111.39798401362616</v>
      </c>
      <c r="BS507" s="3">
        <f t="shared" si="34"/>
        <v>116.61882259887648</v>
      </c>
      <c r="BT507" s="3">
        <f t="shared" si="34"/>
        <v>121.76044261293004</v>
      </c>
      <c r="BU507" s="3">
        <f t="shared" si="34"/>
        <v>126.68461173109502</v>
      </c>
      <c r="BV507" t="e">
        <f>VLOOKUP($H507,'1. Set Program Names'!$B$2:$D$15,3,0)*V507</f>
        <v>#N/A</v>
      </c>
      <c r="BW507" t="e">
        <f>VLOOKUP($H507,'1. Set Program Names'!$B$2:$D$15,3,0)*W507</f>
        <v>#N/A</v>
      </c>
      <c r="BX507" t="e">
        <f>VLOOKUP($H507,'1. Set Program Names'!$B$2:$D$15,3,0)*X507</f>
        <v>#N/A</v>
      </c>
      <c r="BY507" t="e">
        <f>VLOOKUP($H507,'1. Set Program Names'!$B$2:$D$15,3,0)*Y507</f>
        <v>#N/A</v>
      </c>
      <c r="BZ507" t="e">
        <f>VLOOKUP($H507,'1. Set Program Names'!$B$2:$D$15,3,0)*Z507</f>
        <v>#N/A</v>
      </c>
      <c r="CA507" t="e">
        <f>VLOOKUP($H507,'1. Set Program Names'!$B$2:$D$15,3,0)*AA507</f>
        <v>#N/A</v>
      </c>
      <c r="CB507" t="e">
        <f>VLOOKUP($H507,'1. Set Program Names'!$B$2:$D$15,3,0)*AB507</f>
        <v>#N/A</v>
      </c>
      <c r="CC507" t="e">
        <f>VLOOKUP($H507,'1. Set Program Names'!$B$2:$D$15,3,0)*AC507</f>
        <v>#N/A</v>
      </c>
      <c r="CD507" t="e">
        <f>VLOOKUP($H507,'1. Set Program Names'!$B$2:$D$15,3,0)*AD507</f>
        <v>#N/A</v>
      </c>
      <c r="CE507" t="e">
        <f>VLOOKUP($H507,'1. Set Program Names'!$B$2:$D$15,3,0)*AE507</f>
        <v>#N/A</v>
      </c>
    </row>
    <row r="508" spans="1:83" x14ac:dyDescent="0.25">
      <c r="A508" s="20" t="s">
        <v>87</v>
      </c>
      <c r="B508" s="20" t="s">
        <v>88</v>
      </c>
      <c r="C508" s="20" t="s">
        <v>122</v>
      </c>
      <c r="D508" s="20" t="s">
        <v>90</v>
      </c>
      <c r="E508" s="20" t="s">
        <v>91</v>
      </c>
      <c r="F508" s="20" t="s">
        <v>90</v>
      </c>
      <c r="G508" s="20" t="s">
        <v>92</v>
      </c>
      <c r="H508" s="20" t="s">
        <v>20</v>
      </c>
      <c r="I508" s="20" t="s">
        <v>154</v>
      </c>
      <c r="J508" s="20" t="s">
        <v>129</v>
      </c>
      <c r="K508" s="20" t="s">
        <v>102</v>
      </c>
      <c r="L508" s="20">
        <v>111105.09249999899</v>
      </c>
      <c r="M508" s="20">
        <v>30.6532165911823</v>
      </c>
      <c r="N508" s="20">
        <v>0</v>
      </c>
      <c r="O508" s="20">
        <v>40257.675000000003</v>
      </c>
      <c r="P508" s="20">
        <v>17605.607636663401</v>
      </c>
      <c r="Q508" s="20">
        <v>6666.30554999998</v>
      </c>
      <c r="R508" s="20">
        <v>56706.982631731698</v>
      </c>
      <c r="S508" s="20">
        <v>120673.47084214</v>
      </c>
      <c r="T508" s="20">
        <v>15</v>
      </c>
      <c r="U508" s="20">
        <v>0.05</v>
      </c>
      <c r="V508" s="20">
        <v>7.4716635380663696</v>
      </c>
      <c r="W508" s="20">
        <v>7.49847816933117</v>
      </c>
      <c r="X508" s="20">
        <v>7.5530280313722296</v>
      </c>
      <c r="Y508" s="20">
        <v>7.6228358957210203</v>
      </c>
      <c r="Z508" s="20">
        <v>7.6696610929655398</v>
      </c>
      <c r="AA508" s="20">
        <v>7.7153548969551498</v>
      </c>
      <c r="AB508" s="20">
        <v>7.7302925601724102</v>
      </c>
      <c r="AC508" s="20">
        <v>7.7355881521616396</v>
      </c>
      <c r="AD508" s="20">
        <v>7.7805122680407504</v>
      </c>
      <c r="AE508" s="20">
        <v>7.8062541978031197</v>
      </c>
      <c r="AF508" t="str">
        <f t="shared" si="30"/>
        <v>NonResidential</v>
      </c>
      <c r="AG508" t="str">
        <f>tbl_Data_old[[#This Row],[All_Meas_Name_Append]]</f>
        <v>Reflective Roof Treatment</v>
      </c>
      <c r="AH508">
        <f>AVERAGEIFS('3. Incentive Adjustment'!G:G,'3. Incentive Adjustment'!A:A,tbl_Data_old[[#This Row],[Trimmed Sector]],'3. Incentive Adjustment'!B:B,tbl_Data_old[[#This Row],[Trimmed Measure Name]])</f>
        <v>0.87696681614875649</v>
      </c>
      <c r="AI508">
        <f>$AH508*tbl_Data_old[[#This Row],[2025 ]]</f>
        <v>6.5524009843128175</v>
      </c>
      <c r="AJ508">
        <f>$AH508*tbl_Data_old[[#This Row],[2026 ]]</f>
        <v>6.575916526119312</v>
      </c>
      <c r="AK508">
        <f>$AH508*tbl_Data_old[[#This Row],[2027 ]]</f>
        <v>6.6237549449548139</v>
      </c>
      <c r="AL508">
        <f>$AH508*tbl_Data_old[[#This Row],[2028 ]]</f>
        <v>6.6849741254949171</v>
      </c>
      <c r="AM508">
        <f>$AH508*tbl_Data_old[[#This Row],[2029 ]]</f>
        <v>6.7260382696379812</v>
      </c>
      <c r="AN508">
        <f>$AH508*tbl_Data_old[[#This Row],[2030 ]]</f>
        <v>6.766110219440475</v>
      </c>
      <c r="AO508">
        <f>$AH508*tbl_Data_old[[#This Row],[2031 ]]</f>
        <v>6.7792100543928182</v>
      </c>
      <c r="AP508">
        <f>$AH508*tbl_Data_old[[#This Row],[2032 ]]</f>
        <v>6.7838541128392356</v>
      </c>
      <c r="AQ508">
        <f>$AH508*tbl_Data_old[[#This Row],[2033 ]]</f>
        <v>6.823251071710037</v>
      </c>
      <c r="AR508">
        <f>$AH508*tbl_Data_old[[#This Row],[2034 ]]</f>
        <v>6.8458258898952673</v>
      </c>
      <c r="AS508">
        <f>SUM(tbl_Data_old[[#This Row],[Adjusted 2025]:[Adjusted 2034]])</f>
        <v>67.161336198797684</v>
      </c>
      <c r="AT508" s="3">
        <f>AVERAGEIFS('3. Incentive Adjustment'!F:F,'3. Incentive Adjustment'!A:A,tbl_Data_old[[#This Row],[Trimmed Sector]],'3. Incentive Adjustment'!B:B,tbl_Data_old[[#This Row],[Trimmed Measure Name]])</f>
        <v>12077.302499999998</v>
      </c>
      <c r="AU508" s="3">
        <f>IFERROR(VLOOKUP(tbl_Data_old[[#This Row],[All_Meas_Name_Append]],'IRA Tax Credits'!$A$3:$D$46,4,0),0)</f>
        <v>0</v>
      </c>
      <c r="AV508" s="4">
        <f>tbl_Data_old[[#This Row],[Adj. per unit Incentive ($)]]/tbl_Data_old[[#This Row],[kWh Savings]]*tbl_Data_old[[#This Row],[Sum of Annuals]]</f>
        <v>7.3005454144875221</v>
      </c>
      <c r="AW508" s="4" t="str">
        <f>IFERROR(VLOOKUP(tbl_Data_old[[#This Row],[All_Programs]],'1. Set Program Names'!$B$2:$D$15,3,0)*tbl_Data_old[[#This Row],[Sum of Annuals]],"")</f>
        <v/>
      </c>
      <c r="AX508" s="4">
        <f>tbl_Data_old[[#This Row],[per unit IRA tax ($)]]/tbl_Data_old[[#This Row],[kWh Savings]]*tbl_Data_old[[#This Row],[Sum of Annuals]]</f>
        <v>0</v>
      </c>
      <c r="AY508" s="4">
        <f>tbl_Data_old[[#This Row],[Avoided Costs ($/unit)]]/tbl_Data_old[[#This Row],[kWh Savings]]*tbl_Data_old[[#This Row],[Sum of Annuals]]</f>
        <v>34.278507309187006</v>
      </c>
      <c r="AZ508" s="4">
        <f>tbl_Data_old[[#This Row],[Lost Revenue ($/unit)]]/tbl_Data_old[[#This Row],[kWh Savings]]*tbl_Data_old[[#This Row],[Sum of Annuals]]</f>
        <v>72.945275172736544</v>
      </c>
      <c r="BA508" s="4">
        <f>tbl_Data_old[[#This Row],[Incremental Cost ($/unit)]]/tbl_Data_old[[#This Row],[kWh Savings]]*tbl_Data_old[[#This Row],[Sum of Annuals]]</f>
        <v>24.335151381625082</v>
      </c>
      <c r="BB508">
        <f>ROUNDUP(tbl_Data_old[[#This Row],[Adjusted 2025]]/$L508,0)</f>
        <v>1</v>
      </c>
      <c r="BC508">
        <f>ROUNDUP(tbl_Data_old[[#This Row],[Adjusted 2026]]/$L508,0)</f>
        <v>1</v>
      </c>
      <c r="BD508">
        <f>ROUNDUP(tbl_Data_old[[#This Row],[Adjusted 2027]]/$L508,0)</f>
        <v>1</v>
      </c>
      <c r="BE508">
        <f>ROUNDUP(tbl_Data_old[[#This Row],[Adjusted 2028]]/$L508,0)</f>
        <v>1</v>
      </c>
      <c r="BF508">
        <f>ROUNDUP(tbl_Data_old[[#This Row],[Adjusted 2029]]/$L508,0)</f>
        <v>1</v>
      </c>
      <c r="BG508">
        <f>ROUNDUP(tbl_Data_old[[#This Row],[Adjusted 2030]]/$L508,0)</f>
        <v>1</v>
      </c>
      <c r="BH508">
        <f>ROUNDUP(tbl_Data_old[[#This Row],[Adjusted 2031]]/$L508,0)</f>
        <v>1</v>
      </c>
      <c r="BI508">
        <f>ROUNDUP(tbl_Data_old[[#This Row],[Adjusted 2032]]/$L508,0)</f>
        <v>1</v>
      </c>
      <c r="BJ508">
        <f>ROUNDUP(tbl_Data_old[[#This Row],[Adjusted 2033]]/$L508,0)</f>
        <v>1</v>
      </c>
      <c r="BK508">
        <f>ROUNDUP(tbl_Data_old[[#This Row],[Adjusted 2034]]/$L508,0)</f>
        <v>1</v>
      </c>
      <c r="BL508" s="3">
        <f t="shared" si="34"/>
        <v>0.81218186040796125</v>
      </c>
      <c r="BM508" s="3">
        <f t="shared" si="34"/>
        <v>0.81509665401394249</v>
      </c>
      <c r="BN508" s="3">
        <f t="shared" si="34"/>
        <v>0.821026311875513</v>
      </c>
      <c r="BO508" s="3">
        <f t="shared" si="34"/>
        <v>0.82861453916238847</v>
      </c>
      <c r="BP508" s="3">
        <f t="shared" si="34"/>
        <v>0.83370451351927255</v>
      </c>
      <c r="BQ508" s="3">
        <f t="shared" si="34"/>
        <v>0.83867150360713216</v>
      </c>
      <c r="BR508" s="3">
        <f t="shared" si="34"/>
        <v>0.84029525165736652</v>
      </c>
      <c r="BS508" s="3">
        <f t="shared" si="34"/>
        <v>0.84087089103564705</v>
      </c>
      <c r="BT508" s="3">
        <f t="shared" si="34"/>
        <v>0.84575421478624002</v>
      </c>
      <c r="BU508" s="3">
        <f t="shared" si="34"/>
        <v>0.8485524040112199</v>
      </c>
      <c r="BV508" t="e">
        <f>VLOOKUP($H508,'1. Set Program Names'!$B$2:$D$15,3,0)*V508</f>
        <v>#N/A</v>
      </c>
      <c r="BW508" t="e">
        <f>VLOOKUP($H508,'1. Set Program Names'!$B$2:$D$15,3,0)*W508</f>
        <v>#N/A</v>
      </c>
      <c r="BX508" t="e">
        <f>VLOOKUP($H508,'1. Set Program Names'!$B$2:$D$15,3,0)*X508</f>
        <v>#N/A</v>
      </c>
      <c r="BY508" t="e">
        <f>VLOOKUP($H508,'1. Set Program Names'!$B$2:$D$15,3,0)*Y508</f>
        <v>#N/A</v>
      </c>
      <c r="BZ508" t="e">
        <f>VLOOKUP($H508,'1. Set Program Names'!$B$2:$D$15,3,0)*Z508</f>
        <v>#N/A</v>
      </c>
      <c r="CA508" t="e">
        <f>VLOOKUP($H508,'1. Set Program Names'!$B$2:$D$15,3,0)*AA508</f>
        <v>#N/A</v>
      </c>
      <c r="CB508" t="e">
        <f>VLOOKUP($H508,'1. Set Program Names'!$B$2:$D$15,3,0)*AB508</f>
        <v>#N/A</v>
      </c>
      <c r="CC508" t="e">
        <f>VLOOKUP($H508,'1. Set Program Names'!$B$2:$D$15,3,0)*AC508</f>
        <v>#N/A</v>
      </c>
      <c r="CD508" t="e">
        <f>VLOOKUP($H508,'1. Set Program Names'!$B$2:$D$15,3,0)*AD508</f>
        <v>#N/A</v>
      </c>
      <c r="CE508" t="e">
        <f>VLOOKUP($H508,'1. Set Program Names'!$B$2:$D$15,3,0)*AE508</f>
        <v>#N/A</v>
      </c>
    </row>
    <row r="509" spans="1:83" x14ac:dyDescent="0.25">
      <c r="A509" s="20" t="s">
        <v>87</v>
      </c>
      <c r="B509" s="20" t="s">
        <v>88</v>
      </c>
      <c r="C509" s="20" t="s">
        <v>122</v>
      </c>
      <c r="D509" s="20" t="s">
        <v>90</v>
      </c>
      <c r="E509" s="20" t="s">
        <v>91</v>
      </c>
      <c r="F509" s="20" t="s">
        <v>90</v>
      </c>
      <c r="G509" s="20" t="s">
        <v>92</v>
      </c>
      <c r="H509" s="20" t="s">
        <v>20</v>
      </c>
      <c r="I509" s="20" t="s">
        <v>155</v>
      </c>
      <c r="J509" s="20" t="s">
        <v>129</v>
      </c>
      <c r="K509" s="20" t="s">
        <v>102</v>
      </c>
      <c r="L509" s="53">
        <v>1193.02</v>
      </c>
      <c r="M509" s="53">
        <v>0.274776433335365</v>
      </c>
      <c r="N509" s="53">
        <v>0.10441874276921487</v>
      </c>
      <c r="O509" s="53">
        <f>8423.99999999998/36663.4359999998*1193.02</f>
        <v>274.11507421181233</v>
      </c>
      <c r="P509" s="53">
        <f>3224.30667036527/36663.4359999998*1193.02</f>
        <v>104.91821726363004</v>
      </c>
      <c r="Q509" s="53">
        <f>1305.20713755829/36663.4359999998*1193.02</f>
        <v>42.471148073786637</v>
      </c>
      <c r="R509" s="53">
        <f>14915.0733686122/36663.4359999998*1193.02</f>
        <v>485.33314854128304</v>
      </c>
      <c r="S509" s="53">
        <f>32320.5298576745/36663.4359999998*1193.02</f>
        <v>1051.702806327346</v>
      </c>
      <c r="T509" s="20">
        <v>11</v>
      </c>
      <c r="U509" s="20">
        <v>0.05</v>
      </c>
      <c r="V509" s="20">
        <v>6991.8124319508197</v>
      </c>
      <c r="W509" s="20">
        <v>5823.91295079876</v>
      </c>
      <c r="X509" s="20">
        <v>4810.9652537072898</v>
      </c>
      <c r="Y509" s="20">
        <v>3978.6395580765902</v>
      </c>
      <c r="Z509" s="20">
        <v>3296.2056298477701</v>
      </c>
      <c r="AA509" s="20">
        <v>2735.28583350398</v>
      </c>
      <c r="AB509" s="20">
        <v>2277.3373682188299</v>
      </c>
      <c r="AC509" s="20">
        <v>1907.9030859500299</v>
      </c>
      <c r="AD509" s="20">
        <v>1612.93986328804</v>
      </c>
      <c r="AE509" s="20">
        <v>1374.05208127026</v>
      </c>
      <c r="AF509" t="str">
        <f t="shared" si="30"/>
        <v>NonResidential</v>
      </c>
      <c r="AG509" t="str">
        <f>tbl_Data_old[[#This Row],[All_Meas_Name_Append]]</f>
        <v>Smart thermostat</v>
      </c>
      <c r="AH509">
        <f>AVERAGEIFS('3. Incentive Adjustment'!G:G,'3. Incentive Adjustment'!A:A,tbl_Data_old[[#This Row],[Trimmed Sector]],'3. Incentive Adjustment'!B:B,tbl_Data_old[[#This Row],[Trimmed Measure Name]])</f>
        <v>0.87546479230069263</v>
      </c>
      <c r="AI509">
        <f>$AH509*tbl_Data_old[[#This Row],[2025 ]]</f>
        <v>6121.0856185432249</v>
      </c>
      <c r="AJ509">
        <f>$AH509*tbl_Data_old[[#This Row],[2026 ]]</f>
        <v>5098.6307418483502</v>
      </c>
      <c r="AK509">
        <f>$AH509*tbl_Data_old[[#This Row],[2027 ]]</f>
        <v>4211.8306966027012</v>
      </c>
      <c r="AL509">
        <f>$AH509*tbl_Data_old[[#This Row],[2028 ]]</f>
        <v>3483.1588543508415</v>
      </c>
      <c r="AM509">
        <f>$AH509*tbl_Data_old[[#This Row],[2029 ]]</f>
        <v>2885.7119771150519</v>
      </c>
      <c r="AN509">
        <f>$AH509*tbl_Data_old[[#This Row],[2030 ]]</f>
        <v>2394.6464441115886</v>
      </c>
      <c r="AO509">
        <f>$AH509*tbl_Data_old[[#This Row],[2031 ]]</f>
        <v>1993.7286860663039</v>
      </c>
      <c r="AP509">
        <f>$AH509*tbl_Data_old[[#This Row],[2032 ]]</f>
        <v>1670.3019788710935</v>
      </c>
      <c r="AQ509">
        <f>$AH509*tbl_Data_old[[#This Row],[2033 ]]</f>
        <v>1412.0720624069716</v>
      </c>
      <c r="AR509">
        <f>$AH509*tbl_Data_old[[#This Row],[2034 ]]</f>
        <v>1202.9342199396026</v>
      </c>
      <c r="AS509">
        <f>SUM(tbl_Data_old[[#This Row],[Adjusted 2025]:[Adjusted 2034]])</f>
        <v>30474.101279855731</v>
      </c>
      <c r="AT509" s="3">
        <f>AVERAGEIFS('3. Incentive Adjustment'!F:F,'3. Incentive Adjustment'!A:A,tbl_Data_old[[#This Row],[Trimmed Sector]],'3. Incentive Adjustment'!B:B,tbl_Data_old[[#This Row],[Trimmed Measure Name]])</f>
        <v>50</v>
      </c>
      <c r="AU509" s="3">
        <f>IFERROR(VLOOKUP(tbl_Data_old[[#This Row],[All_Meas_Name_Append]],'IRA Tax Credits'!$A$3:$D$46,4,0),0)</f>
        <v>0</v>
      </c>
      <c r="AV509" s="4">
        <f>tbl_Data_old[[#This Row],[Adj. per unit Incentive ($)]]/tbl_Data_old[[#This Row],[kWh Savings]]*tbl_Data_old[[#This Row],[Sum of Annuals]]</f>
        <v>1277.1831687589365</v>
      </c>
      <c r="AW509" s="4" t="str">
        <f>IFERROR(VLOOKUP(tbl_Data_old[[#This Row],[All_Programs]],'1. Set Program Names'!$B$2:$D$15,3,0)*tbl_Data_old[[#This Row],[Sum of Annuals]],"")</f>
        <v/>
      </c>
      <c r="AX509" s="4">
        <f>tbl_Data_old[[#This Row],[per unit IRA tax ($)]]/tbl_Data_old[[#This Row],[kWh Savings]]*tbl_Data_old[[#This Row],[Sum of Annuals]]</f>
        <v>0</v>
      </c>
      <c r="AY509" s="4">
        <f>tbl_Data_old[[#This Row],[Avoided Costs ($/unit)]]/tbl_Data_old[[#This Row],[kWh Savings]]*tbl_Data_old[[#This Row],[Sum of Annuals]]</f>
        <v>12397.186571154152</v>
      </c>
      <c r="AZ509" s="4">
        <f>tbl_Data_old[[#This Row],[Lost Revenue ($/unit)]]/tbl_Data_old[[#This Row],[kWh Savings]]*tbl_Data_old[[#This Row],[Sum of Annuals]]</f>
        <v>26864.342455556522</v>
      </c>
      <c r="BA509" s="4">
        <f>tbl_Data_old[[#This Row],[Incremental Cost ($/unit)]]/tbl_Data_old[[#This Row],[kWh Savings]]*tbl_Data_old[[#This Row],[Sum of Annuals]]</f>
        <v>7001.9031817286714</v>
      </c>
      <c r="BB509">
        <f>ROUNDUP(tbl_Data_old[[#This Row],[Adjusted 2025]]/$L509,0)</f>
        <v>6</v>
      </c>
      <c r="BC509">
        <f>ROUNDUP(tbl_Data_old[[#This Row],[Adjusted 2026]]/$L509,0)</f>
        <v>5</v>
      </c>
      <c r="BD509">
        <f>ROUNDUP(tbl_Data_old[[#This Row],[Adjusted 2027]]/$L509,0)</f>
        <v>4</v>
      </c>
      <c r="BE509">
        <f>ROUNDUP(tbl_Data_old[[#This Row],[Adjusted 2028]]/$L509,0)</f>
        <v>3</v>
      </c>
      <c r="BF509">
        <f>ROUNDUP(tbl_Data_old[[#This Row],[Adjusted 2029]]/$L509,0)</f>
        <v>3</v>
      </c>
      <c r="BG509">
        <f>ROUNDUP(tbl_Data_old[[#This Row],[Adjusted 2030]]/$L509,0)</f>
        <v>3</v>
      </c>
      <c r="BH509">
        <f>ROUNDUP(tbl_Data_old[[#This Row],[Adjusted 2031]]/$L509,0)</f>
        <v>2</v>
      </c>
      <c r="BI509">
        <f>ROUNDUP(tbl_Data_old[[#This Row],[Adjusted 2032]]/$L509,0)</f>
        <v>2</v>
      </c>
      <c r="BJ509">
        <f>ROUNDUP(tbl_Data_old[[#This Row],[Adjusted 2033]]/$L509,0)</f>
        <v>2</v>
      </c>
      <c r="BK509">
        <f>ROUNDUP(tbl_Data_old[[#This Row],[Adjusted 2034]]/$L509,0)</f>
        <v>2</v>
      </c>
      <c r="BL509" s="3">
        <f t="shared" si="34"/>
        <v>293.0299756898803</v>
      </c>
      <c r="BM509" s="3">
        <f t="shared" si="34"/>
        <v>244.08278783250742</v>
      </c>
      <c r="BN509" s="3">
        <f t="shared" si="34"/>
        <v>201.62969831634382</v>
      </c>
      <c r="BO509" s="3">
        <f t="shared" si="34"/>
        <v>166.74655739537437</v>
      </c>
      <c r="BP509" s="3">
        <f t="shared" si="34"/>
        <v>138.14544726189712</v>
      </c>
      <c r="BQ509" s="3">
        <f t="shared" si="34"/>
        <v>114.63704856180031</v>
      </c>
      <c r="BR509" s="3">
        <f t="shared" si="34"/>
        <v>95.444224246820255</v>
      </c>
      <c r="BS509" s="3">
        <f t="shared" si="34"/>
        <v>79.961068798093493</v>
      </c>
      <c r="BT509" s="3">
        <f t="shared" si="34"/>
        <v>67.599028653670516</v>
      </c>
      <c r="BU509" s="3">
        <f t="shared" si="34"/>
        <v>57.587135222806829</v>
      </c>
      <c r="BV509" t="e">
        <f>VLOOKUP($H509,'1. Set Program Names'!$B$2:$D$15,3,0)*V509</f>
        <v>#N/A</v>
      </c>
      <c r="BW509" t="e">
        <f>VLOOKUP($H509,'1. Set Program Names'!$B$2:$D$15,3,0)*W509</f>
        <v>#N/A</v>
      </c>
      <c r="BX509" t="e">
        <f>VLOOKUP($H509,'1. Set Program Names'!$B$2:$D$15,3,0)*X509</f>
        <v>#N/A</v>
      </c>
      <c r="BY509" t="e">
        <f>VLOOKUP($H509,'1. Set Program Names'!$B$2:$D$15,3,0)*Y509</f>
        <v>#N/A</v>
      </c>
      <c r="BZ509" t="e">
        <f>VLOOKUP($H509,'1. Set Program Names'!$B$2:$D$15,3,0)*Z509</f>
        <v>#N/A</v>
      </c>
      <c r="CA509" t="e">
        <f>VLOOKUP($H509,'1. Set Program Names'!$B$2:$D$15,3,0)*AA509</f>
        <v>#N/A</v>
      </c>
      <c r="CB509" t="e">
        <f>VLOOKUP($H509,'1. Set Program Names'!$B$2:$D$15,3,0)*AB509</f>
        <v>#N/A</v>
      </c>
      <c r="CC509" t="e">
        <f>VLOOKUP($H509,'1. Set Program Names'!$B$2:$D$15,3,0)*AC509</f>
        <v>#N/A</v>
      </c>
      <c r="CD509" t="e">
        <f>VLOOKUP($H509,'1. Set Program Names'!$B$2:$D$15,3,0)*AD509</f>
        <v>#N/A</v>
      </c>
      <c r="CE509" t="e">
        <f>VLOOKUP($H509,'1. Set Program Names'!$B$2:$D$15,3,0)*AE509</f>
        <v>#N/A</v>
      </c>
    </row>
    <row r="510" spans="1:83" x14ac:dyDescent="0.25">
      <c r="A510" s="20" t="s">
        <v>87</v>
      </c>
      <c r="B510" s="20" t="s">
        <v>88</v>
      </c>
      <c r="C510" s="20" t="s">
        <v>122</v>
      </c>
      <c r="D510" s="20" t="s">
        <v>90</v>
      </c>
      <c r="E510" s="20" t="s">
        <v>91</v>
      </c>
      <c r="F510" s="20" t="s">
        <v>90</v>
      </c>
      <c r="G510" s="20" t="s">
        <v>92</v>
      </c>
      <c r="H510" s="20" t="s">
        <v>20</v>
      </c>
      <c r="I510" s="20" t="s">
        <v>305</v>
      </c>
      <c r="J510" s="20" t="s">
        <v>129</v>
      </c>
      <c r="K510" s="20" t="s">
        <v>306</v>
      </c>
      <c r="L510" s="20">
        <v>1181.58666666666</v>
      </c>
      <c r="M510" s="20">
        <v>0.32580149205424902</v>
      </c>
      <c r="N510" s="20">
        <v>0</v>
      </c>
      <c r="O510" s="20">
        <v>442.61899981344197</v>
      </c>
      <c r="P510" s="20">
        <v>13015.025349926</v>
      </c>
      <c r="Q510" s="20">
        <v>70.895199999999903</v>
      </c>
      <c r="R510" s="20">
        <v>484.68312470825703</v>
      </c>
      <c r="S510" s="20">
        <v>971.92143438909795</v>
      </c>
      <c r="T510" s="20">
        <v>10</v>
      </c>
      <c r="U510" s="20">
        <v>0.05</v>
      </c>
      <c r="V510" s="20">
        <v>312.67497149635398</v>
      </c>
      <c r="W510" s="20">
        <v>262.73234084633998</v>
      </c>
      <c r="X510" s="20">
        <v>219.77950987116199</v>
      </c>
      <c r="Y510" s="20">
        <v>184.66564883957599</v>
      </c>
      <c r="Z510" s="20">
        <v>155.883022246492</v>
      </c>
      <c r="AA510" s="20">
        <v>132.299380131145</v>
      </c>
      <c r="AB510" s="20">
        <v>112.983196065455</v>
      </c>
      <c r="AC510" s="20">
        <v>97.370513785375195</v>
      </c>
      <c r="AD510" s="20">
        <v>85.048436557023606</v>
      </c>
      <c r="AE510" s="20">
        <v>75.030857496795207</v>
      </c>
      <c r="AF510" t="str">
        <f t="shared" si="30"/>
        <v>NonResidential</v>
      </c>
      <c r="AG510" t="str">
        <f>tbl_Data_old[[#This Row],[All_Meas_Name_Append]]</f>
        <v>Window shade film</v>
      </c>
      <c r="AH510">
        <f>AVERAGEIFS('3. Incentive Adjustment'!G:G,'3. Incentive Adjustment'!A:A,tbl_Data_old[[#This Row],[Trimmed Sector]],'3. Incentive Adjustment'!B:B,tbl_Data_old[[#This Row],[Trimmed Measure Name]])</f>
        <v>3.2127764592544555E-13</v>
      </c>
      <c r="AI510">
        <f>$AH510*tbl_Data_old[[#This Row],[2025 ]]</f>
        <v>1.0045547878215439E-10</v>
      </c>
      <c r="AJ510">
        <f>$AH510*tbl_Data_old[[#This Row],[2026 ]]</f>
        <v>8.4410027975593893E-11</v>
      </c>
      <c r="AK510">
        <f>$AH510*tbl_Data_old[[#This Row],[2027 ]]</f>
        <v>7.0610243554055145E-11</v>
      </c>
      <c r="AL510">
        <f>$AH510*tbl_Data_old[[#This Row],[2028 ]]</f>
        <v>5.9328944942473965E-11</v>
      </c>
      <c r="AM510">
        <f>$AH510*tbl_Data_old[[#This Row],[2029 ]]</f>
        <v>5.0081730427096809E-11</v>
      </c>
      <c r="AN510">
        <f>$AH510*tbl_Data_old[[#This Row],[2030 ]]</f>
        <v>4.2504833405929929E-11</v>
      </c>
      <c r="AO510">
        <f>$AH510*tbl_Data_old[[#This Row],[2031 ]]</f>
        <v>3.6298975261042449E-11</v>
      </c>
      <c r="AP510">
        <f>$AH510*tbl_Data_old[[#This Row],[2032 ]]</f>
        <v>3.1282969451516488E-11</v>
      </c>
      <c r="AQ510">
        <f>$AH510*tbl_Data_old[[#This Row],[2033 ]]</f>
        <v>2.732416148668015E-11</v>
      </c>
      <c r="AR510">
        <f>$AH510*tbl_Data_old[[#This Row],[2034 ]]</f>
        <v>2.4105737268337933E-11</v>
      </c>
      <c r="AS510">
        <f>SUM(tbl_Data_old[[#This Row],[Adjusted 2025]:[Adjusted 2034]])</f>
        <v>5.2640310255488114E-10</v>
      </c>
      <c r="AT510" s="3">
        <f>AVERAGEIFS('3. Incentive Adjustment'!F:F,'3. Incentive Adjustment'!A:A,tbl_Data_old[[#This Row],[Trimmed Sector]],'3. Incentive Adjustment'!B:B,tbl_Data_old[[#This Row],[Trimmed Measure Name]])</f>
        <v>132.78569994403261</v>
      </c>
      <c r="AU510" s="3">
        <f>IFERROR(VLOOKUP(tbl_Data_old[[#This Row],[All_Meas_Name_Append]],'IRA Tax Credits'!$A$3:$D$46,4,0),0)</f>
        <v>0</v>
      </c>
      <c r="AV510" s="4">
        <f>tbl_Data_old[[#This Row],[Adj. per unit Incentive ($)]]/tbl_Data_old[[#This Row],[kWh Savings]]*tbl_Data_old[[#This Row],[Sum of Annuals]]</f>
        <v>5.9156730858050197E-11</v>
      </c>
      <c r="AW510" s="4" t="str">
        <f>IFERROR(VLOOKUP(tbl_Data_old[[#This Row],[All_Programs]],'1. Set Program Names'!$B$2:$D$15,3,0)*tbl_Data_old[[#This Row],[Sum of Annuals]],"")</f>
        <v/>
      </c>
      <c r="AX510" s="4">
        <f>tbl_Data_old[[#This Row],[per unit IRA tax ($)]]/tbl_Data_old[[#This Row],[kWh Savings]]*tbl_Data_old[[#This Row],[Sum of Annuals]]</f>
        <v>0</v>
      </c>
      <c r="AY510" s="4">
        <f>tbl_Data_old[[#This Row],[Avoided Costs ($/unit)]]/tbl_Data_old[[#This Row],[kWh Savings]]*tbl_Data_old[[#This Row],[Sum of Annuals]]</f>
        <v>2.1592889273385699E-10</v>
      </c>
      <c r="AZ510" s="4">
        <f>tbl_Data_old[[#This Row],[Lost Revenue ($/unit)]]/tbl_Data_old[[#This Row],[kWh Savings]]*tbl_Data_old[[#This Row],[Sum of Annuals]]</f>
        <v>4.3299613387254518E-10</v>
      </c>
      <c r="BA510" s="4">
        <f>tbl_Data_old[[#This Row],[Incremental Cost ($/unit)]]/tbl_Data_old[[#This Row],[kWh Savings]]*tbl_Data_old[[#This Row],[Sum of Annuals]]</f>
        <v>1.9718910286016729E-10</v>
      </c>
      <c r="BB510">
        <f>ROUNDUP(tbl_Data_old[[#This Row],[Adjusted 2025]]/$L510,0)</f>
        <v>1</v>
      </c>
      <c r="BC510">
        <f>ROUNDUP(tbl_Data_old[[#This Row],[Adjusted 2026]]/$L510,0)</f>
        <v>1</v>
      </c>
      <c r="BD510">
        <f>ROUNDUP(tbl_Data_old[[#This Row],[Adjusted 2027]]/$L510,0)</f>
        <v>1</v>
      </c>
      <c r="BE510">
        <f>ROUNDUP(tbl_Data_old[[#This Row],[Adjusted 2028]]/$L510,0)</f>
        <v>1</v>
      </c>
      <c r="BF510">
        <f>ROUNDUP(tbl_Data_old[[#This Row],[Adjusted 2029]]/$L510,0)</f>
        <v>1</v>
      </c>
      <c r="BG510">
        <f>ROUNDUP(tbl_Data_old[[#This Row],[Adjusted 2030]]/$L510,0)</f>
        <v>1</v>
      </c>
      <c r="BH510">
        <f>ROUNDUP(tbl_Data_old[[#This Row],[Adjusted 2031]]/$L510,0)</f>
        <v>1</v>
      </c>
      <c r="BI510">
        <f>ROUNDUP(tbl_Data_old[[#This Row],[Adjusted 2032]]/$L510,0)</f>
        <v>1</v>
      </c>
      <c r="BJ510">
        <f>ROUNDUP(tbl_Data_old[[#This Row],[Adjusted 2033]]/$L510,0)</f>
        <v>1</v>
      </c>
      <c r="BK510">
        <f>ROUNDUP(tbl_Data_old[[#This Row],[Adjusted 2034]]/$L510,0)</f>
        <v>1</v>
      </c>
      <c r="BL510" s="3">
        <f t="shared" si="34"/>
        <v>35.138146118601014</v>
      </c>
      <c r="BM510" s="3">
        <f t="shared" si="34"/>
        <v>29.525635961714418</v>
      </c>
      <c r="BN510" s="3">
        <f t="shared" si="34"/>
        <v>24.698633519560282</v>
      </c>
      <c r="BO510" s="3">
        <f t="shared" si="34"/>
        <v>20.752567821332477</v>
      </c>
      <c r="BP510" s="3">
        <f t="shared" si="34"/>
        <v>17.518000839316425</v>
      </c>
      <c r="BQ510" s="3">
        <f t="shared" si="34"/>
        <v>14.867691290419517</v>
      </c>
      <c r="BR510" s="3">
        <f t="shared" si="34"/>
        <v>12.696955030635698</v>
      </c>
      <c r="BS510" s="3">
        <f t="shared" si="34"/>
        <v>10.942415136907318</v>
      </c>
      <c r="BT510" s="3">
        <f t="shared" si="34"/>
        <v>9.5576706270975418</v>
      </c>
      <c r="BU510" s="3">
        <f t="shared" si="34"/>
        <v>8.431903652246957</v>
      </c>
      <c r="BV510" t="e">
        <f>VLOOKUP($H510,'1. Set Program Names'!$B$2:$D$15,3,0)*V510</f>
        <v>#N/A</v>
      </c>
      <c r="BW510" t="e">
        <f>VLOOKUP($H510,'1. Set Program Names'!$B$2:$D$15,3,0)*W510</f>
        <v>#N/A</v>
      </c>
      <c r="BX510" t="e">
        <f>VLOOKUP($H510,'1. Set Program Names'!$B$2:$D$15,3,0)*X510</f>
        <v>#N/A</v>
      </c>
      <c r="BY510" t="e">
        <f>VLOOKUP($H510,'1. Set Program Names'!$B$2:$D$15,3,0)*Y510</f>
        <v>#N/A</v>
      </c>
      <c r="BZ510" t="e">
        <f>VLOOKUP($H510,'1. Set Program Names'!$B$2:$D$15,3,0)*Z510</f>
        <v>#N/A</v>
      </c>
      <c r="CA510" t="e">
        <f>VLOOKUP($H510,'1. Set Program Names'!$B$2:$D$15,3,0)*AA510</f>
        <v>#N/A</v>
      </c>
      <c r="CB510" t="e">
        <f>VLOOKUP($H510,'1. Set Program Names'!$B$2:$D$15,3,0)*AB510</f>
        <v>#N/A</v>
      </c>
      <c r="CC510" t="e">
        <f>VLOOKUP($H510,'1. Set Program Names'!$B$2:$D$15,3,0)*AC510</f>
        <v>#N/A</v>
      </c>
      <c r="CD510" t="e">
        <f>VLOOKUP($H510,'1. Set Program Names'!$B$2:$D$15,3,0)*AD510</f>
        <v>#N/A</v>
      </c>
      <c r="CE510" t="e">
        <f>VLOOKUP($H510,'1. Set Program Names'!$B$2:$D$15,3,0)*AE510</f>
        <v>#N/A</v>
      </c>
    </row>
    <row r="511" spans="1:83" x14ac:dyDescent="0.25">
      <c r="A511" s="20" t="s">
        <v>113</v>
      </c>
      <c r="B511" s="20" t="s">
        <v>88</v>
      </c>
      <c r="C511" s="20" t="s">
        <v>122</v>
      </c>
      <c r="D511" s="20" t="s">
        <v>90</v>
      </c>
      <c r="E511" s="20" t="s">
        <v>91</v>
      </c>
      <c r="F511" s="20" t="s">
        <v>90</v>
      </c>
      <c r="G511" s="20" t="s">
        <v>92</v>
      </c>
      <c r="H511" s="20" t="s">
        <v>20</v>
      </c>
      <c r="I511" s="20" t="s">
        <v>237</v>
      </c>
      <c r="J511" s="20" t="s">
        <v>129</v>
      </c>
      <c r="K511" s="20" t="s">
        <v>102</v>
      </c>
      <c r="L511" s="20">
        <v>2568.1199999999699</v>
      </c>
      <c r="M511" s="20">
        <v>0.53641456399840104</v>
      </c>
      <c r="N511" s="20">
        <v>2.1892485513222901E-2</v>
      </c>
      <c r="O511" s="53">
        <f>9025.1/929.29*tbl_Data_old[[#This Row],[kWh Savings]]</f>
        <v>24941.126894725789</v>
      </c>
      <c r="P511" s="20">
        <v>35498.089296558101</v>
      </c>
      <c r="Q511" s="20">
        <v>154.08719999999801</v>
      </c>
      <c r="R511" s="20">
        <v>1534.4473108970501</v>
      </c>
      <c r="S511" s="20">
        <v>3958.9826982459099</v>
      </c>
      <c r="T511" s="20">
        <v>30</v>
      </c>
      <c r="U511" s="20">
        <v>0.05</v>
      </c>
      <c r="V511" s="20">
        <v>69.379738582172294</v>
      </c>
      <c r="W511" s="20">
        <v>146.875354999108</v>
      </c>
      <c r="X511" s="20">
        <v>233.147758425353</v>
      </c>
      <c r="Y511" s="20">
        <v>329.02935417012299</v>
      </c>
      <c r="Z511" s="20">
        <v>435.04176754786499</v>
      </c>
      <c r="AA511" s="20">
        <v>551.68800010963002</v>
      </c>
      <c r="AB511" s="20">
        <v>679.174748691437</v>
      </c>
      <c r="AC511" s="20">
        <v>817.88341472229695</v>
      </c>
      <c r="AD511" s="20">
        <v>968.541809598908</v>
      </c>
      <c r="AE511" s="20">
        <v>1131.22412363838</v>
      </c>
      <c r="AF511" t="str">
        <f t="shared" si="30"/>
        <v>NonResidential</v>
      </c>
      <c r="AG511" t="str">
        <f>tbl_Data_old[[#This Row],[All_Meas_Name_Append]]</f>
        <v>Ceiling Insulation(R19 to R38)</v>
      </c>
      <c r="AH511">
        <f>AVERAGEIFS('3. Incentive Adjustment'!G:G,'3. Incentive Adjustment'!A:A,tbl_Data_old[[#This Row],[Trimmed Sector]],'3. Incentive Adjustment'!B:B,tbl_Data_old[[#This Row],[Trimmed Measure Name]])</f>
        <v>3.9688771318830651E-15</v>
      </c>
      <c r="AI511">
        <f>$AH511*tbl_Data_old[[#This Row],[2025 ]]</f>
        <v>2.7535965787480881E-13</v>
      </c>
      <c r="AJ511">
        <f>$AH511*tbl_Data_old[[#This Row],[2026 ]]</f>
        <v>5.8293023769316672E-13</v>
      </c>
      <c r="AK511">
        <f>$AH511*tbl_Data_old[[#This Row],[2027 ]]</f>
        <v>9.253348067641808E-13</v>
      </c>
      <c r="AL511">
        <f>$AH511*tbl_Data_old[[#This Row],[2028 ]]</f>
        <v>1.3058770794840548E-12</v>
      </c>
      <c r="AM511">
        <f>$AH511*tbl_Data_old[[#This Row],[2029 ]]</f>
        <v>1.7266273226347095E-12</v>
      </c>
      <c r="AN511">
        <f>$AH511*tbl_Data_old[[#This Row],[2030 ]]</f>
        <v>2.1895818875694124E-12</v>
      </c>
      <c r="AO511">
        <f>$AH511*tbl_Data_old[[#This Row],[2031 ]]</f>
        <v>2.695561128633872E-12</v>
      </c>
      <c r="AP511">
        <f>$AH511*tbl_Data_old[[#This Row],[2032 ]]</f>
        <v>3.2460787812377572E-12</v>
      </c>
      <c r="AQ511">
        <f>$AH511*tbl_Data_old[[#This Row],[2033 ]]</f>
        <v>3.8440234393897478E-12</v>
      </c>
      <c r="AR511">
        <f>$AH511*tbl_Data_old[[#This Row],[2034 ]]</f>
        <v>4.4896895553428272E-12</v>
      </c>
      <c r="AS511">
        <f>SUM(tbl_Data_old[[#This Row],[Adjusted 2025]:[Adjusted 2034]])</f>
        <v>2.1281063896624538E-11</v>
      </c>
      <c r="AT511" s="3">
        <f>AVERAGEIFS('3. Incentive Adjustment'!F:F,'3. Incentive Adjustment'!A:A,tbl_Data_old[[#This Row],[Trimmed Sector]],'3. Incentive Adjustment'!B:B,tbl_Data_old[[#This Row],[Trimmed Measure Name]])</f>
        <v>3222.5963039661074</v>
      </c>
      <c r="AU511" s="3">
        <f>IFERROR(VLOOKUP(tbl_Data_old[[#This Row],[All_Meas_Name_Append]],'IRA Tax Credits'!$A$3:$D$46,4,0),0)</f>
        <v>0</v>
      </c>
      <c r="AV511" s="4">
        <f>tbl_Data_old[[#This Row],[Adj. per unit Incentive ($)]]/tbl_Data_old[[#This Row],[kWh Savings]]*tbl_Data_old[[#This Row],[Sum of Annuals]]</f>
        <v>2.6704467804358679E-11</v>
      </c>
      <c r="AW511" s="4" t="str">
        <f>IFERROR(VLOOKUP(tbl_Data_old[[#This Row],[All_Programs]],'1. Set Program Names'!$B$2:$D$15,3,0)*tbl_Data_old[[#This Row],[Sum of Annuals]],"")</f>
        <v/>
      </c>
      <c r="AX511" s="4">
        <f>tbl_Data_old[[#This Row],[per unit IRA tax ($)]]/tbl_Data_old[[#This Row],[kWh Savings]]*tbl_Data_old[[#This Row],[Sum of Annuals]]</f>
        <v>0</v>
      </c>
      <c r="AY511" s="4">
        <f>tbl_Data_old[[#This Row],[Avoided Costs ($/unit)]]/tbl_Data_old[[#This Row],[kWh Savings]]*tbl_Data_old[[#This Row],[Sum of Annuals]]</f>
        <v>1.2715399307354876E-11</v>
      </c>
      <c r="AZ511" s="4">
        <f>tbl_Data_old[[#This Row],[Lost Revenue ($/unit)]]/tbl_Data_old[[#This Row],[kWh Savings]]*tbl_Data_old[[#This Row],[Sum of Annuals]]</f>
        <v>3.280663044055699E-11</v>
      </c>
      <c r="BA511" s="4">
        <f>tbl_Data_old[[#This Row],[Incremental Cost ($/unit)]]/tbl_Data_old[[#This Row],[kWh Savings]]*tbl_Data_old[[#This Row],[Sum of Annuals]]</f>
        <v>2.0667792591486632E-10</v>
      </c>
      <c r="BB511">
        <f>ROUNDUP(tbl_Data_old[[#This Row],[Adjusted 2025]]/$L511,0)</f>
        <v>1</v>
      </c>
      <c r="BC511">
        <f>ROUNDUP(tbl_Data_old[[#This Row],[Adjusted 2026]]/$L511,0)</f>
        <v>1</v>
      </c>
      <c r="BD511">
        <f>ROUNDUP(tbl_Data_old[[#This Row],[Adjusted 2027]]/$L511,0)</f>
        <v>1</v>
      </c>
      <c r="BE511">
        <f>ROUNDUP(tbl_Data_old[[#This Row],[Adjusted 2028]]/$L511,0)</f>
        <v>1</v>
      </c>
      <c r="BF511">
        <f>ROUNDUP(tbl_Data_old[[#This Row],[Adjusted 2029]]/$L511,0)</f>
        <v>1</v>
      </c>
      <c r="BG511">
        <f>ROUNDUP(tbl_Data_old[[#This Row],[Adjusted 2030]]/$L511,0)</f>
        <v>1</v>
      </c>
      <c r="BH511">
        <f>ROUNDUP(tbl_Data_old[[#This Row],[Adjusted 2031]]/$L511,0)</f>
        <v>1</v>
      </c>
      <c r="BI511">
        <f>ROUNDUP(tbl_Data_old[[#This Row],[Adjusted 2032]]/$L511,0)</f>
        <v>1</v>
      </c>
      <c r="BJ511">
        <f>ROUNDUP(tbl_Data_old[[#This Row],[Adjusted 2033]]/$L511,0)</f>
        <v>1</v>
      </c>
      <c r="BK511">
        <f>ROUNDUP(tbl_Data_old[[#This Row],[Adjusted 2034]]/$L511,0)</f>
        <v>1</v>
      </c>
      <c r="BL511" s="3">
        <f t="shared" si="34"/>
        <v>87.060919709766608</v>
      </c>
      <c r="BM511" s="3">
        <f t="shared" si="34"/>
        <v>184.30602003171228</v>
      </c>
      <c r="BN511" s="3">
        <f t="shared" si="34"/>
        <v>292.56464050727158</v>
      </c>
      <c r="BO511" s="3">
        <f t="shared" si="34"/>
        <v>412.88132199624869</v>
      </c>
      <c r="BP511" s="3">
        <f t="shared" si="34"/>
        <v>545.91062418058686</v>
      </c>
      <c r="BQ511" s="3">
        <f t="shared" si="34"/>
        <v>692.28373677856496</v>
      </c>
      <c r="BR511" s="3">
        <f t="shared" si="34"/>
        <v>852.26003258420963</v>
      </c>
      <c r="BS511" s="3">
        <f t="shared" si="34"/>
        <v>1026.3181118325017</v>
      </c>
      <c r="BT511" s="3">
        <f t="shared" si="34"/>
        <v>1215.371266081851</v>
      </c>
      <c r="BU511" s="3">
        <f t="shared" si="34"/>
        <v>1419.5125927894278</v>
      </c>
      <c r="BV511" t="e">
        <f>VLOOKUP($H511,'1. Set Program Names'!$B$2:$D$15,3,0)*V511</f>
        <v>#N/A</v>
      </c>
      <c r="BW511" t="e">
        <f>VLOOKUP($H511,'1. Set Program Names'!$B$2:$D$15,3,0)*W511</f>
        <v>#N/A</v>
      </c>
      <c r="BX511" t="e">
        <f>VLOOKUP($H511,'1. Set Program Names'!$B$2:$D$15,3,0)*X511</f>
        <v>#N/A</v>
      </c>
      <c r="BY511" t="e">
        <f>VLOOKUP($H511,'1. Set Program Names'!$B$2:$D$15,3,0)*Y511</f>
        <v>#N/A</v>
      </c>
      <c r="BZ511" t="e">
        <f>VLOOKUP($H511,'1. Set Program Names'!$B$2:$D$15,3,0)*Z511</f>
        <v>#N/A</v>
      </c>
      <c r="CA511" t="e">
        <f>VLOOKUP($H511,'1. Set Program Names'!$B$2:$D$15,3,0)*AA511</f>
        <v>#N/A</v>
      </c>
      <c r="CB511" t="e">
        <f>VLOOKUP($H511,'1. Set Program Names'!$B$2:$D$15,3,0)*AB511</f>
        <v>#N/A</v>
      </c>
      <c r="CC511" t="e">
        <f>VLOOKUP($H511,'1. Set Program Names'!$B$2:$D$15,3,0)*AC511</f>
        <v>#N/A</v>
      </c>
      <c r="CD511" t="e">
        <f>VLOOKUP($H511,'1. Set Program Names'!$B$2:$D$15,3,0)*AD511</f>
        <v>#N/A</v>
      </c>
      <c r="CE511" t="e">
        <f>VLOOKUP($H511,'1. Set Program Names'!$B$2:$D$15,3,0)*AE511</f>
        <v>#N/A</v>
      </c>
    </row>
    <row r="512" spans="1:83" x14ac:dyDescent="0.25">
      <c r="A512" s="20" t="s">
        <v>113</v>
      </c>
      <c r="B512" s="20" t="s">
        <v>88</v>
      </c>
      <c r="C512" s="20" t="s">
        <v>122</v>
      </c>
      <c r="D512" s="20" t="s">
        <v>90</v>
      </c>
      <c r="E512" s="20" t="s">
        <v>91</v>
      </c>
      <c r="F512" s="20" t="s">
        <v>90</v>
      </c>
      <c r="G512" s="20" t="s">
        <v>92</v>
      </c>
      <c r="H512" s="20" t="s">
        <v>20</v>
      </c>
      <c r="I512" s="20" t="s">
        <v>238</v>
      </c>
      <c r="J512" s="20" t="s">
        <v>129</v>
      </c>
      <c r="K512" s="20" t="s">
        <v>102</v>
      </c>
      <c r="L512" s="20">
        <v>4477.6116666666303</v>
      </c>
      <c r="M512" s="20">
        <v>0.90610878358590996</v>
      </c>
      <c r="N512" s="20">
        <v>4.9616670393602701E-2</v>
      </c>
      <c r="O512" s="53">
        <f>9351.31/1137.9*tbl_Data_old[[#This Row],[kWh Savings]]</f>
        <v>36797.200768623181</v>
      </c>
      <c r="P512" s="20">
        <v>44221.719775682497</v>
      </c>
      <c r="Q512" s="20">
        <v>268.65669999999699</v>
      </c>
      <c r="R512" s="20">
        <v>2670.7044942461998</v>
      </c>
      <c r="S512" s="20">
        <v>6902.6319322295803</v>
      </c>
      <c r="T512" s="20">
        <v>30</v>
      </c>
      <c r="U512" s="20">
        <v>0.05</v>
      </c>
      <c r="V512" s="20">
        <v>54.686713280527698</v>
      </c>
      <c r="W512" s="20">
        <v>115.652047825472</v>
      </c>
      <c r="X512" s="20">
        <v>183.363124346397</v>
      </c>
      <c r="Y512" s="20">
        <v>258.42339975162002</v>
      </c>
      <c r="Z512" s="20">
        <v>341.19511530670599</v>
      </c>
      <c r="AA512" s="20">
        <v>432.01777195330601</v>
      </c>
      <c r="AB512" s="20">
        <v>531.007065566704</v>
      </c>
      <c r="AC512" s="20">
        <v>638.41408389336095</v>
      </c>
      <c r="AD512" s="20">
        <v>754.74278148444205</v>
      </c>
      <c r="AE512" s="20">
        <v>880.00351296140798</v>
      </c>
      <c r="AF512" t="str">
        <f t="shared" si="30"/>
        <v>NonResidential</v>
      </c>
      <c r="AG512" t="str">
        <f>tbl_Data_old[[#This Row],[All_Meas_Name_Append]]</f>
        <v>Ceiling Insulation(R19 to R49)</v>
      </c>
      <c r="AH512">
        <f>AVERAGEIFS('3. Incentive Adjustment'!G:G,'3. Incentive Adjustment'!A:A,tbl_Data_old[[#This Row],[Trimmed Sector]],'3. Incentive Adjustment'!B:B,tbl_Data_old[[#This Row],[Trimmed Measure Name]])</f>
        <v>7.9373870200739678E-11</v>
      </c>
      <c r="AI512">
        <f>$AH512*tbl_Data_old[[#This Row],[2025 ]]</f>
        <v>4.3406960816336726E-9</v>
      </c>
      <c r="AJ512">
        <f>$AH512*tbl_Data_old[[#This Row],[2026 ]]</f>
        <v>9.1797506325487515E-9</v>
      </c>
      <c r="AK512">
        <f>$AH512*tbl_Data_old[[#This Row],[2027 ]]</f>
        <v>1.4554240831473005E-8</v>
      </c>
      <c r="AL512">
        <f>$AH512*tbl_Data_old[[#This Row],[2028 ]]</f>
        <v>2.051206538871895E-8</v>
      </c>
      <c r="AM512">
        <f>$AH512*tbl_Data_old[[#This Row],[2029 ]]</f>
        <v>2.7081976795480887E-8</v>
      </c>
      <c r="AN512">
        <f>$AH512*tbl_Data_old[[#This Row],[2030 ]]</f>
        <v>3.4290922555434464E-8</v>
      </c>
      <c r="AO512">
        <f>$AH512*tbl_Data_old[[#This Row],[2031 ]]</f>
        <v>4.2148085897967227E-8</v>
      </c>
      <c r="AP512">
        <f>$AH512*tbl_Data_old[[#This Row],[2032 ]]</f>
        <v>5.0673396629275765E-8</v>
      </c>
      <c r="AQ512">
        <f>$AH512*tbl_Data_old[[#This Row],[2033 ]]</f>
        <v>5.990685557249133E-8</v>
      </c>
      <c r="AR512">
        <f>$AH512*tbl_Data_old[[#This Row],[2034 ]]</f>
        <v>6.9849284613993739E-8</v>
      </c>
      <c r="AS512">
        <f>SUM(tbl_Data_old[[#This Row],[Adjusted 2025]:[Adjusted 2034]])</f>
        <v>3.3253727499901781E-7</v>
      </c>
      <c r="AT512" s="3">
        <f>AVERAGEIFS('3. Incentive Adjustment'!F:F,'3. Incentive Adjustment'!A:A,tbl_Data_old[[#This Row],[Trimmed Sector]],'3. Incentive Adjustment'!B:B,tbl_Data_old[[#This Row],[Trimmed Measure Name]])</f>
        <v>4754.4974087894998</v>
      </c>
      <c r="AU512" s="3">
        <f>IFERROR(VLOOKUP(tbl_Data_old[[#This Row],[All_Meas_Name_Append]],'IRA Tax Credits'!$A$3:$D$46,4,0),0)</f>
        <v>500</v>
      </c>
      <c r="AV512" s="4">
        <f>tbl_Data_old[[#This Row],[Adj. per unit Incentive ($)]]/tbl_Data_old[[#This Row],[kWh Savings]]*tbl_Data_old[[#This Row],[Sum of Annuals]]</f>
        <v>3.5310065499399745E-7</v>
      </c>
      <c r="AW512" s="4" t="str">
        <f>IFERROR(VLOOKUP(tbl_Data_old[[#This Row],[All_Programs]],'1. Set Program Names'!$B$2:$D$15,3,0)*tbl_Data_old[[#This Row],[Sum of Annuals]],"")</f>
        <v/>
      </c>
      <c r="AX512" s="4">
        <f>tbl_Data_old[[#This Row],[per unit IRA tax ($)]]/tbl_Data_old[[#This Row],[kWh Savings]]*tbl_Data_old[[#This Row],[Sum of Annuals]]</f>
        <v>3.7133331310816426E-8</v>
      </c>
      <c r="AY512" s="4">
        <f>tbl_Data_old[[#This Row],[Avoided Costs ($/unit)]]/tbl_Data_old[[#This Row],[kWh Savings]]*tbl_Data_old[[#This Row],[Sum of Annuals]]</f>
        <v>1.9834430963626111E-7</v>
      </c>
      <c r="AZ512" s="4">
        <f>tbl_Data_old[[#This Row],[Lost Revenue ($/unit)]]/tbl_Data_old[[#This Row],[kWh Savings]]*tbl_Data_old[[#This Row],[Sum of Annuals]]</f>
        <v>5.1263543691220396E-7</v>
      </c>
      <c r="BA512" s="4">
        <f>tbl_Data_old[[#This Row],[Incremental Cost ($/unit)]]/tbl_Data_old[[#This Row],[kWh Savings]]*tbl_Data_old[[#This Row],[Sum of Annuals]]</f>
        <v>2.7328052949038268E-6</v>
      </c>
      <c r="BB512">
        <f>ROUNDUP(tbl_Data_old[[#This Row],[Adjusted 2025]]/$L512,0)</f>
        <v>1</v>
      </c>
      <c r="BC512">
        <f>ROUNDUP(tbl_Data_old[[#This Row],[Adjusted 2026]]/$L512,0)</f>
        <v>1</v>
      </c>
      <c r="BD512">
        <f>ROUNDUP(tbl_Data_old[[#This Row],[Adjusted 2027]]/$L512,0)</f>
        <v>1</v>
      </c>
      <c r="BE512">
        <f>ROUNDUP(tbl_Data_old[[#This Row],[Adjusted 2028]]/$L512,0)</f>
        <v>1</v>
      </c>
      <c r="BF512">
        <f>ROUNDUP(tbl_Data_old[[#This Row],[Adjusted 2029]]/$L512,0)</f>
        <v>1</v>
      </c>
      <c r="BG512">
        <f>ROUNDUP(tbl_Data_old[[#This Row],[Adjusted 2030]]/$L512,0)</f>
        <v>1</v>
      </c>
      <c r="BH512">
        <f>ROUNDUP(tbl_Data_old[[#This Row],[Adjusted 2031]]/$L512,0)</f>
        <v>1</v>
      </c>
      <c r="BI512">
        <f>ROUNDUP(tbl_Data_old[[#This Row],[Adjusted 2032]]/$L512,0)</f>
        <v>1</v>
      </c>
      <c r="BJ512">
        <f>ROUNDUP(tbl_Data_old[[#This Row],[Adjusted 2033]]/$L512,0)</f>
        <v>1</v>
      </c>
      <c r="BK512">
        <f>ROUNDUP(tbl_Data_old[[#This Row],[Adjusted 2034]]/$L512,0)</f>
        <v>1</v>
      </c>
      <c r="BL512" s="3">
        <f t="shared" si="34"/>
        <v>58.068420386497429</v>
      </c>
      <c r="BM512" s="3">
        <f t="shared" si="34"/>
        <v>122.80371828599334</v>
      </c>
      <c r="BN512" s="3">
        <f t="shared" si="34"/>
        <v>194.70190013630747</v>
      </c>
      <c r="BO512" s="3">
        <f t="shared" si="34"/>
        <v>274.40373930514158</v>
      </c>
      <c r="BP512" s="3">
        <f t="shared" si="34"/>
        <v>362.29387726806328</v>
      </c>
      <c r="BQ512" s="3">
        <f t="shared" si="34"/>
        <v>458.7328089646802</v>
      </c>
      <c r="BR512" s="3">
        <f t="shared" si="34"/>
        <v>563.84338465093128</v>
      </c>
      <c r="BS512" s="3">
        <f t="shared" si="34"/>
        <v>677.89221879202682</v>
      </c>
      <c r="BT512" s="3">
        <f t="shared" si="34"/>
        <v>801.41442938971306</v>
      </c>
      <c r="BU512" s="3">
        <f t="shared" si="34"/>
        <v>934.42101137266388</v>
      </c>
      <c r="BV512" t="e">
        <f>VLOOKUP($H512,'1. Set Program Names'!$B$2:$D$15,3,0)*V512</f>
        <v>#N/A</v>
      </c>
      <c r="BW512" t="e">
        <f>VLOOKUP($H512,'1. Set Program Names'!$B$2:$D$15,3,0)*W512</f>
        <v>#N/A</v>
      </c>
      <c r="BX512" t="e">
        <f>VLOOKUP($H512,'1. Set Program Names'!$B$2:$D$15,3,0)*X512</f>
        <v>#N/A</v>
      </c>
      <c r="BY512" t="e">
        <f>VLOOKUP($H512,'1. Set Program Names'!$B$2:$D$15,3,0)*Y512</f>
        <v>#N/A</v>
      </c>
      <c r="BZ512" t="e">
        <f>VLOOKUP($H512,'1. Set Program Names'!$B$2:$D$15,3,0)*Z512</f>
        <v>#N/A</v>
      </c>
      <c r="CA512" t="e">
        <f>VLOOKUP($H512,'1. Set Program Names'!$B$2:$D$15,3,0)*AA512</f>
        <v>#N/A</v>
      </c>
      <c r="CB512" t="e">
        <f>VLOOKUP($H512,'1. Set Program Names'!$B$2:$D$15,3,0)*AB512</f>
        <v>#N/A</v>
      </c>
      <c r="CC512" t="e">
        <f>VLOOKUP($H512,'1. Set Program Names'!$B$2:$D$15,3,0)*AC512</f>
        <v>#N/A</v>
      </c>
      <c r="CD512" t="e">
        <f>VLOOKUP($H512,'1. Set Program Names'!$B$2:$D$15,3,0)*AD512</f>
        <v>#N/A</v>
      </c>
      <c r="CE512" t="e">
        <f>VLOOKUP($H512,'1. Set Program Names'!$B$2:$D$15,3,0)*AE512</f>
        <v>#N/A</v>
      </c>
    </row>
    <row r="513" spans="1:83" x14ac:dyDescent="0.25">
      <c r="A513" s="20" t="s">
        <v>113</v>
      </c>
      <c r="B513" s="20" t="s">
        <v>88</v>
      </c>
      <c r="C513" s="20" t="s">
        <v>122</v>
      </c>
      <c r="D513" s="20" t="s">
        <v>90</v>
      </c>
      <c r="E513" s="20" t="s">
        <v>91</v>
      </c>
      <c r="F513" s="20" t="s">
        <v>90</v>
      </c>
      <c r="G513" s="20" t="s">
        <v>92</v>
      </c>
      <c r="H513" s="20" t="s">
        <v>20</v>
      </c>
      <c r="I513" s="20" t="s">
        <v>240</v>
      </c>
      <c r="J513" s="20" t="s">
        <v>129</v>
      </c>
      <c r="K513" s="20" t="s">
        <v>102</v>
      </c>
      <c r="L513" s="20">
        <v>18717.787499999999</v>
      </c>
      <c r="M513" s="20">
        <v>3.6380387810097399</v>
      </c>
      <c r="N513" s="20">
        <v>0.14255501576814</v>
      </c>
      <c r="O513" s="53">
        <f>11091.09/6133.31*tbl_Data_old[[#This Row],[kWh Savings]]</f>
        <v>33848.063405139306</v>
      </c>
      <c r="P513" s="20">
        <v>45532.278837645601</v>
      </c>
      <c r="Q513" s="20">
        <v>1123.0672500000001</v>
      </c>
      <c r="R513" s="20">
        <v>11042.715256281999</v>
      </c>
      <c r="S513" s="20">
        <v>28855.114582630202</v>
      </c>
      <c r="T513" s="20">
        <v>30</v>
      </c>
      <c r="U513" s="20">
        <v>0.05</v>
      </c>
      <c r="V513" s="20">
        <v>80.117052851536798</v>
      </c>
      <c r="W513" s="20">
        <v>158.72478258251701</v>
      </c>
      <c r="X513" s="20">
        <v>235.15270663592699</v>
      </c>
      <c r="Y513" s="20">
        <v>309.45583843946099</v>
      </c>
      <c r="Z513" s="20">
        <v>381.71018510855498</v>
      </c>
      <c r="AA513" s="20">
        <v>451.790783822511</v>
      </c>
      <c r="AB513" s="20">
        <v>519.71837104102303</v>
      </c>
      <c r="AC513" s="20">
        <v>585.62742806100698</v>
      </c>
      <c r="AD513" s="20">
        <v>649.54009750721502</v>
      </c>
      <c r="AE513" s="20">
        <v>711.51655917056996</v>
      </c>
      <c r="AF513" t="str">
        <f t="shared" si="30"/>
        <v>NonResidential</v>
      </c>
      <c r="AG513" t="str">
        <f>tbl_Data_old[[#This Row],[All_Meas_Name_Append]]</f>
        <v>Ceiling Insulation(R2 to R38)</v>
      </c>
      <c r="AH513">
        <f>AVERAGEIFS('3. Incentive Adjustment'!G:G,'3. Incentive Adjustment'!A:A,tbl_Data_old[[#This Row],[Trimmed Sector]],'3. Incentive Adjustment'!B:B,tbl_Data_old[[#This Row],[Trimmed Measure Name]])</f>
        <v>3.0218441517909909E-3</v>
      </c>
      <c r="AI513">
        <f>$AH513*tbl_Data_old[[#This Row],[2025 ]]</f>
        <v>0.24210124761814619</v>
      </c>
      <c r="AJ513">
        <f>$AH513*tbl_Data_old[[#This Row],[2026 ]]</f>
        <v>0.47964155599127556</v>
      </c>
      <c r="AK513">
        <f>$AH513*tbl_Data_old[[#This Row],[2027 ]]</f>
        <v>0.71059483132559853</v>
      </c>
      <c r="AL513">
        <f>$AH513*tbl_Data_old[[#This Row],[2028 ]]</f>
        <v>0.93512731562586293</v>
      </c>
      <c r="AM513">
        <f>$AH513*tbl_Data_old[[#This Row],[2029 ]]</f>
        <v>1.1534686905493434</v>
      </c>
      <c r="AN513">
        <f>$AH513*tbl_Data_old[[#This Row],[2030 ]]</f>
        <v>1.3652413379271227</v>
      </c>
      <c r="AO513">
        <f>$AH513*tbl_Data_old[[#This Row],[2031 ]]</f>
        <v>1.5705079201086558</v>
      </c>
      <c r="AP513">
        <f>$AH513*tbl_Data_old[[#This Row],[2032 ]]</f>
        <v>1.7696748186145532</v>
      </c>
      <c r="AQ513">
        <f>$AH513*tbl_Data_old[[#This Row],[2033 ]]</f>
        <v>1.9628089450059276</v>
      </c>
      <c r="AR513">
        <f>$AH513*tbl_Data_old[[#This Row],[2034 ]]</f>
        <v>2.1500921532320354</v>
      </c>
      <c r="AS513">
        <f>SUM(tbl_Data_old[[#This Row],[Adjusted 2025]:[Adjusted 2034]])</f>
        <v>12.339258815998521</v>
      </c>
      <c r="AT513" s="3">
        <f>AVERAGEIFS('3. Incentive Adjustment'!F:F,'3. Incentive Adjustment'!A:A,tbl_Data_old[[#This Row],[Trimmed Sector]],'3. Incentive Adjustment'!B:B,tbl_Data_old[[#This Row],[Trimmed Measure Name]])</f>
        <v>4373.4448922946976</v>
      </c>
      <c r="AU513" s="3">
        <f>IFERROR(VLOOKUP(tbl_Data_old[[#This Row],[All_Meas_Name_Append]],'IRA Tax Credits'!$A$3:$D$46,4,0),0)</f>
        <v>0</v>
      </c>
      <c r="AV513" s="4">
        <f>tbl_Data_old[[#This Row],[Adj. per unit Incentive ($)]]/tbl_Data_old[[#This Row],[kWh Savings]]*tbl_Data_old[[#This Row],[Sum of Annuals]]</f>
        <v>2.8830901325026295</v>
      </c>
      <c r="AW513" s="4" t="str">
        <f>IFERROR(VLOOKUP(tbl_Data_old[[#This Row],[All_Programs]],'1. Set Program Names'!$B$2:$D$15,3,0)*tbl_Data_old[[#This Row],[Sum of Annuals]],"")</f>
        <v/>
      </c>
      <c r="AX513" s="4">
        <f>tbl_Data_old[[#This Row],[per unit IRA tax ($)]]/tbl_Data_old[[#This Row],[kWh Savings]]*tbl_Data_old[[#This Row],[Sum of Annuals]]</f>
        <v>0</v>
      </c>
      <c r="AY513" s="4">
        <f>tbl_Data_old[[#This Row],[Avoided Costs ($/unit)]]/tbl_Data_old[[#This Row],[kWh Savings]]*tbl_Data_old[[#This Row],[Sum of Annuals]]</f>
        <v>7.2796489210404296</v>
      </c>
      <c r="AZ513" s="4">
        <f>tbl_Data_old[[#This Row],[Lost Revenue ($/unit)]]/tbl_Data_old[[#This Row],[kWh Savings]]*tbl_Data_old[[#This Row],[Sum of Annuals]]</f>
        <v>19.022051992008524</v>
      </c>
      <c r="BA513" s="4">
        <f>tbl_Data_old[[#This Row],[Incremental Cost ($/unit)]]/tbl_Data_old[[#This Row],[kWh Savings]]*tbl_Data_old[[#This Row],[Sum of Annuals]]</f>
        <v>22.31353544196087</v>
      </c>
      <c r="BB513">
        <f>ROUNDUP(tbl_Data_old[[#This Row],[Adjusted 2025]]/$L513,0)</f>
        <v>1</v>
      </c>
      <c r="BC513">
        <f>ROUNDUP(tbl_Data_old[[#This Row],[Adjusted 2026]]/$L513,0)</f>
        <v>1</v>
      </c>
      <c r="BD513">
        <f>ROUNDUP(tbl_Data_old[[#This Row],[Adjusted 2027]]/$L513,0)</f>
        <v>1</v>
      </c>
      <c r="BE513">
        <f>ROUNDUP(tbl_Data_old[[#This Row],[Adjusted 2028]]/$L513,0)</f>
        <v>1</v>
      </c>
      <c r="BF513">
        <f>ROUNDUP(tbl_Data_old[[#This Row],[Adjusted 2029]]/$L513,0)</f>
        <v>1</v>
      </c>
      <c r="BG513">
        <f>ROUNDUP(tbl_Data_old[[#This Row],[Adjusted 2030]]/$L513,0)</f>
        <v>1</v>
      </c>
      <c r="BH513">
        <f>ROUNDUP(tbl_Data_old[[#This Row],[Adjusted 2031]]/$L513,0)</f>
        <v>1</v>
      </c>
      <c r="BI513">
        <f>ROUNDUP(tbl_Data_old[[#This Row],[Adjusted 2032]]/$L513,0)</f>
        <v>1</v>
      </c>
      <c r="BJ513">
        <f>ROUNDUP(tbl_Data_old[[#This Row],[Adjusted 2033]]/$L513,0)</f>
        <v>1</v>
      </c>
      <c r="BK513">
        <f>ROUNDUP(tbl_Data_old[[#This Row],[Adjusted 2034]]/$L513,0)</f>
        <v>1</v>
      </c>
      <c r="BL513" s="3">
        <f t="shared" si="34"/>
        <v>18.719494255357798</v>
      </c>
      <c r="BM513" s="3">
        <f t="shared" si="34"/>
        <v>37.086332434647815</v>
      </c>
      <c r="BN513" s="3">
        <f t="shared" si="34"/>
        <v>54.943855076149809</v>
      </c>
      <c r="BO513" s="3">
        <f t="shared" si="34"/>
        <v>72.304916166712218</v>
      </c>
      <c r="BP513" s="3">
        <f t="shared" si="34"/>
        <v>89.187274906282255</v>
      </c>
      <c r="BQ513" s="3">
        <f t="shared" si="34"/>
        <v>105.56173350586329</v>
      </c>
      <c r="BR513" s="3">
        <f t="shared" si="34"/>
        <v>121.43313707675563</v>
      </c>
      <c r="BS513" s="3">
        <f t="shared" si="34"/>
        <v>136.83290741713421</v>
      </c>
      <c r="BT513" s="3">
        <f t="shared" si="34"/>
        <v>151.76621819130759</v>
      </c>
      <c r="BU513" s="3">
        <f t="shared" si="34"/>
        <v>166.24713051623368</v>
      </c>
      <c r="BV513" t="e">
        <f>VLOOKUP($H513,'1. Set Program Names'!$B$2:$D$15,3,0)*V513</f>
        <v>#N/A</v>
      </c>
      <c r="BW513" t="e">
        <f>VLOOKUP($H513,'1. Set Program Names'!$B$2:$D$15,3,0)*W513</f>
        <v>#N/A</v>
      </c>
      <c r="BX513" t="e">
        <f>VLOOKUP($H513,'1. Set Program Names'!$B$2:$D$15,3,0)*X513</f>
        <v>#N/A</v>
      </c>
      <c r="BY513" t="e">
        <f>VLOOKUP($H513,'1. Set Program Names'!$B$2:$D$15,3,0)*Y513</f>
        <v>#N/A</v>
      </c>
      <c r="BZ513" t="e">
        <f>VLOOKUP($H513,'1. Set Program Names'!$B$2:$D$15,3,0)*Z513</f>
        <v>#N/A</v>
      </c>
      <c r="CA513" t="e">
        <f>VLOOKUP($H513,'1. Set Program Names'!$B$2:$D$15,3,0)*AA513</f>
        <v>#N/A</v>
      </c>
      <c r="CB513" t="e">
        <f>VLOOKUP($H513,'1. Set Program Names'!$B$2:$D$15,3,0)*AB513</f>
        <v>#N/A</v>
      </c>
      <c r="CC513" t="e">
        <f>VLOOKUP($H513,'1. Set Program Names'!$B$2:$D$15,3,0)*AC513</f>
        <v>#N/A</v>
      </c>
      <c r="CD513" t="e">
        <f>VLOOKUP($H513,'1. Set Program Names'!$B$2:$D$15,3,0)*AD513</f>
        <v>#N/A</v>
      </c>
      <c r="CE513" t="e">
        <f>VLOOKUP($H513,'1. Set Program Names'!$B$2:$D$15,3,0)*AE513</f>
        <v>#N/A</v>
      </c>
    </row>
    <row r="514" spans="1:83" x14ac:dyDescent="0.25">
      <c r="A514" s="20" t="s">
        <v>113</v>
      </c>
      <c r="B514" s="20" t="s">
        <v>88</v>
      </c>
      <c r="C514" s="20" t="s">
        <v>122</v>
      </c>
      <c r="D514" s="20" t="s">
        <v>90</v>
      </c>
      <c r="E514" s="20" t="s">
        <v>91</v>
      </c>
      <c r="F514" s="20" t="s">
        <v>90</v>
      </c>
      <c r="G514" s="20" t="s">
        <v>92</v>
      </c>
      <c r="H514" s="20" t="s">
        <v>20</v>
      </c>
      <c r="I514" s="20" t="s">
        <v>241</v>
      </c>
      <c r="J514" s="20" t="s">
        <v>129</v>
      </c>
      <c r="K514" s="20" t="s">
        <v>102</v>
      </c>
      <c r="L514" s="20">
        <v>19185.113333333298</v>
      </c>
      <c r="M514" s="20">
        <v>4.6125790568704801</v>
      </c>
      <c r="N514" s="20">
        <v>0.25911922024205197</v>
      </c>
      <c r="O514" s="53">
        <f>11417.3/6341.92*tbl_Data_old[[#This Row],[kWh Savings]]</f>
        <v>34538.782334161617</v>
      </c>
      <c r="P514" s="20">
        <v>25197.386166847798</v>
      </c>
      <c r="Q514" s="20">
        <v>1151.1068</v>
      </c>
      <c r="R514" s="20">
        <v>12014.6297388403</v>
      </c>
      <c r="S514" s="20">
        <v>29575.538429105502</v>
      </c>
      <c r="T514" s="20">
        <v>30</v>
      </c>
      <c r="U514" s="20">
        <v>0.05</v>
      </c>
      <c r="V514" s="20">
        <v>85.3630252876914</v>
      </c>
      <c r="W514" s="20">
        <v>169.00333415560701</v>
      </c>
      <c r="X514" s="20">
        <v>250.19996837215399</v>
      </c>
      <c r="Y514" s="20">
        <v>329.006404590925</v>
      </c>
      <c r="Z514" s="20">
        <v>405.49952680587302</v>
      </c>
      <c r="AA514" s="20">
        <v>479.54483014461999</v>
      </c>
      <c r="AB514" s="20">
        <v>551.16344988630703</v>
      </c>
      <c r="AC514" s="20">
        <v>620.49728849940902</v>
      </c>
      <c r="AD514" s="20">
        <v>687.57048971420397</v>
      </c>
      <c r="AE514" s="20">
        <v>752.44768284899601</v>
      </c>
      <c r="AF514" t="str">
        <f t="shared" ref="AF514:AF577" si="35">IF(C514="Residential","Residential","NonResidential")</f>
        <v>NonResidential</v>
      </c>
      <c r="AG514" t="str">
        <f>tbl_Data_old[[#This Row],[All_Meas_Name_Append]]</f>
        <v>Ceiling Insulation(R2 to R49)</v>
      </c>
      <c r="AH514">
        <f>AVERAGEIFS('3. Incentive Adjustment'!G:G,'3. Incentive Adjustment'!A:A,tbl_Data_old[[#This Row],[Trimmed Sector]],'3. Incentive Adjustment'!B:B,tbl_Data_old[[#This Row],[Trimmed Measure Name]])</f>
        <v>5.674595082038876E-2</v>
      </c>
      <c r="AI514">
        <f>$AH514*tbl_Data_old[[#This Row],[2025 ]]</f>
        <v>4.8440060348549379</v>
      </c>
      <c r="AJ514">
        <f>$AH514*tbl_Data_old[[#This Row],[2026 ]]</f>
        <v>9.590254888475803</v>
      </c>
      <c r="AK514">
        <f>$AH514*tbl_Data_old[[#This Row],[2027 ]]</f>
        <v>14.197835100509074</v>
      </c>
      <c r="AL514">
        <f>$AH514*tbl_Data_old[[#This Row],[2028 ]]</f>
        <v>18.669781254509559</v>
      </c>
      <c r="AM514">
        <f>$AH514*tbl_Data_old[[#This Row],[2029 ]]</f>
        <v>23.010456205816983</v>
      </c>
      <c r="AN514">
        <f>$AH514*tbl_Data_old[[#This Row],[2030 ]]</f>
        <v>27.212227347558287</v>
      </c>
      <c r="AO514">
        <f>$AH514*tbl_Data_old[[#This Row],[2031 ]]</f>
        <v>31.276294021244183</v>
      </c>
      <c r="AP514">
        <f>$AH514*tbl_Data_old[[#This Row],[2032 ]]</f>
        <v>35.210708617372042</v>
      </c>
      <c r="AQ514">
        <f>$AH514*tbl_Data_old[[#This Row],[2033 ]]</f>
        <v>39.016841194872832</v>
      </c>
      <c r="AR514">
        <f>$AH514*tbl_Data_old[[#This Row],[2034 ]]</f>
        <v>42.698359205864605</v>
      </c>
      <c r="AS514">
        <f>SUM(tbl_Data_old[[#This Row],[Adjusted 2025]:[Adjusted 2034]])</f>
        <v>245.72676387107828</v>
      </c>
      <c r="AT514" s="3">
        <f>AVERAGEIFS('3. Incentive Adjustment'!F:F,'3. Incentive Adjustment'!A:A,tbl_Data_old[[#This Row],[Trimmed Sector]],'3. Incentive Adjustment'!B:B,tbl_Data_old[[#This Row],[Trimmed Measure Name]])</f>
        <v>4335.1908026959672</v>
      </c>
      <c r="AU514" s="3">
        <f>IFERROR(VLOOKUP(tbl_Data_old[[#This Row],[All_Meas_Name_Append]],'IRA Tax Credits'!$A$3:$D$46,4,0),0)</f>
        <v>500</v>
      </c>
      <c r="AV514" s="4">
        <f>tbl_Data_old[[#This Row],[Adj. per unit Incentive ($)]]/tbl_Data_old[[#This Row],[kWh Savings]]*tbl_Data_old[[#This Row],[Sum of Annuals]]</f>
        <v>55.52598977141708</v>
      </c>
      <c r="AW514" s="4" t="str">
        <f>IFERROR(VLOOKUP(tbl_Data_old[[#This Row],[All_Programs]],'1. Set Program Names'!$B$2:$D$15,3,0)*tbl_Data_old[[#This Row],[Sum of Annuals]],"")</f>
        <v/>
      </c>
      <c r="AX514" s="4">
        <f>tbl_Data_old[[#This Row],[per unit IRA tax ($)]]/tbl_Data_old[[#This Row],[kWh Savings]]*tbl_Data_old[[#This Row],[Sum of Annuals]]</f>
        <v>6.4040998768596982</v>
      </c>
      <c r="AY514" s="4">
        <f>tbl_Data_old[[#This Row],[Avoided Costs ($/unit)]]/tbl_Data_old[[#This Row],[kWh Savings]]*tbl_Data_old[[#This Row],[Sum of Annuals]]</f>
        <v>153.88577766204406</v>
      </c>
      <c r="AZ514" s="4">
        <f>tbl_Data_old[[#This Row],[Lost Revenue ($/unit)]]/tbl_Data_old[[#This Row],[kWh Savings]]*tbl_Data_old[[#This Row],[Sum of Annuals]]</f>
        <v>378.80940402378764</v>
      </c>
      <c r="BA514" s="4">
        <f>tbl_Data_old[[#This Row],[Incremental Cost ($/unit)]]/tbl_Data_old[[#This Row],[kWh Savings]]*tbl_Data_old[[#This Row],[Sum of Annuals]]</f>
        <v>442.37962338617666</v>
      </c>
      <c r="BB514">
        <f>ROUNDUP(tbl_Data_old[[#This Row],[Adjusted 2025]]/$L514,0)</f>
        <v>1</v>
      </c>
      <c r="BC514">
        <f>ROUNDUP(tbl_Data_old[[#This Row],[Adjusted 2026]]/$L514,0)</f>
        <v>1</v>
      </c>
      <c r="BD514">
        <f>ROUNDUP(tbl_Data_old[[#This Row],[Adjusted 2027]]/$L514,0)</f>
        <v>1</v>
      </c>
      <c r="BE514">
        <f>ROUNDUP(tbl_Data_old[[#This Row],[Adjusted 2028]]/$L514,0)</f>
        <v>1</v>
      </c>
      <c r="BF514">
        <f>ROUNDUP(tbl_Data_old[[#This Row],[Adjusted 2029]]/$L514,0)</f>
        <v>1</v>
      </c>
      <c r="BG514">
        <f>ROUNDUP(tbl_Data_old[[#This Row],[Adjusted 2030]]/$L514,0)</f>
        <v>1</v>
      </c>
      <c r="BH514">
        <f>ROUNDUP(tbl_Data_old[[#This Row],[Adjusted 2031]]/$L514,0)</f>
        <v>1</v>
      </c>
      <c r="BI514">
        <f>ROUNDUP(tbl_Data_old[[#This Row],[Adjusted 2032]]/$L514,0)</f>
        <v>1</v>
      </c>
      <c r="BJ514">
        <f>ROUNDUP(tbl_Data_old[[#This Row],[Adjusted 2033]]/$L514,0)</f>
        <v>1</v>
      </c>
      <c r="BK514">
        <f>ROUNDUP(tbl_Data_old[[#This Row],[Adjusted 2034]]/$L514,0)</f>
        <v>1</v>
      </c>
      <c r="BL514" s="3">
        <f t="shared" si="34"/>
        <v>19.289174668284666</v>
      </c>
      <c r="BM514" s="3">
        <f t="shared" si="34"/>
        <v>38.18907332610712</v>
      </c>
      <c r="BN514" s="3">
        <f t="shared" si="34"/>
        <v>56.536783644495152</v>
      </c>
      <c r="BO514" s="3">
        <f t="shared" si="34"/>
        <v>74.344389549813215</v>
      </c>
      <c r="BP514" s="3">
        <f t="shared" si="34"/>
        <v>91.629264240627748</v>
      </c>
      <c r="BQ514" s="3">
        <f t="shared" si="34"/>
        <v>108.36101413648292</v>
      </c>
      <c r="BR514" s="3">
        <f t="shared" si="34"/>
        <v>124.54441510010899</v>
      </c>
      <c r="BS514" s="3">
        <f t="shared" si="34"/>
        <v>140.21153232004687</v>
      </c>
      <c r="BT514" s="3">
        <f t="shared" si="34"/>
        <v>155.36782146786996</v>
      </c>
      <c r="BU514" s="3">
        <f t="shared" si="34"/>
        <v>170.02788659732695</v>
      </c>
      <c r="BV514" t="e">
        <f>VLOOKUP($H514,'1. Set Program Names'!$B$2:$D$15,3,0)*V514</f>
        <v>#N/A</v>
      </c>
      <c r="BW514" t="e">
        <f>VLOOKUP($H514,'1. Set Program Names'!$B$2:$D$15,3,0)*W514</f>
        <v>#N/A</v>
      </c>
      <c r="BX514" t="e">
        <f>VLOOKUP($H514,'1. Set Program Names'!$B$2:$D$15,3,0)*X514</f>
        <v>#N/A</v>
      </c>
      <c r="BY514" t="e">
        <f>VLOOKUP($H514,'1. Set Program Names'!$B$2:$D$15,3,0)*Y514</f>
        <v>#N/A</v>
      </c>
      <c r="BZ514" t="e">
        <f>VLOOKUP($H514,'1. Set Program Names'!$B$2:$D$15,3,0)*Z514</f>
        <v>#N/A</v>
      </c>
      <c r="CA514" t="e">
        <f>VLOOKUP($H514,'1. Set Program Names'!$B$2:$D$15,3,0)*AA514</f>
        <v>#N/A</v>
      </c>
      <c r="CB514" t="e">
        <f>VLOOKUP($H514,'1. Set Program Names'!$B$2:$D$15,3,0)*AB514</f>
        <v>#N/A</v>
      </c>
      <c r="CC514" t="e">
        <f>VLOOKUP($H514,'1. Set Program Names'!$B$2:$D$15,3,0)*AC514</f>
        <v>#N/A</v>
      </c>
      <c r="CD514" t="e">
        <f>VLOOKUP($H514,'1. Set Program Names'!$B$2:$D$15,3,0)*AD514</f>
        <v>#N/A</v>
      </c>
      <c r="CE514" t="e">
        <f>VLOOKUP($H514,'1. Set Program Names'!$B$2:$D$15,3,0)*AE514</f>
        <v>#N/A</v>
      </c>
    </row>
    <row r="515" spans="1:83" x14ac:dyDescent="0.25">
      <c r="A515" s="20" t="s">
        <v>113</v>
      </c>
      <c r="B515" s="20" t="s">
        <v>88</v>
      </c>
      <c r="C515" s="20" t="s">
        <v>122</v>
      </c>
      <c r="D515" s="20" t="s">
        <v>90</v>
      </c>
      <c r="E515" s="20" t="s">
        <v>91</v>
      </c>
      <c r="F515" s="20" t="s">
        <v>90</v>
      </c>
      <c r="G515" s="20" t="s">
        <v>92</v>
      </c>
      <c r="H515" s="20" t="s">
        <v>20</v>
      </c>
      <c r="I515" s="20" t="s">
        <v>128</v>
      </c>
      <c r="J515" s="20" t="s">
        <v>129</v>
      </c>
      <c r="K515" s="20" t="s">
        <v>130</v>
      </c>
      <c r="L515" s="53">
        <v>2045.1799999999989</v>
      </c>
      <c r="M515" s="53">
        <v>0.47104509500000002</v>
      </c>
      <c r="N515" s="53">
        <v>0.17900382200000001</v>
      </c>
      <c r="O515" s="53">
        <f>19591.5999999999/60160.456*2045.18</f>
        <v>666.02468053100858</v>
      </c>
      <c r="P515" s="53">
        <f>11310.7385995848/60160.456*2045.18</f>
        <v>384.51331501042552</v>
      </c>
      <c r="Q515" s="53">
        <f>2141.69388188172/60160.456*2045.18</f>
        <v>72.807784125619918</v>
      </c>
      <c r="R515" s="53">
        <f>32581.871747558/60160.456*2045.18</f>
        <v>1107.6344311730397</v>
      </c>
      <c r="S515" s="53">
        <f>77209.8271220691/60160.456*2045.18</f>
        <v>2624.780540784353</v>
      </c>
      <c r="T515" s="20">
        <v>20</v>
      </c>
      <c r="U515" s="20">
        <v>4.9999999999999899E-2</v>
      </c>
      <c r="V515" s="20">
        <v>3764.8641025421398</v>
      </c>
      <c r="W515" s="20">
        <v>7478.0492578512903</v>
      </c>
      <c r="X515" s="20">
        <v>11120.3364197314</v>
      </c>
      <c r="Y515" s="20">
        <v>14693.312449610199</v>
      </c>
      <c r="Z515" s="20">
        <v>18193.3050098944</v>
      </c>
      <c r="AA515" s="20">
        <v>21614.374578788698</v>
      </c>
      <c r="AB515" s="20">
        <v>24950.733179884399</v>
      </c>
      <c r="AC515" s="20">
        <v>28203.876316410198</v>
      </c>
      <c r="AD515" s="20">
        <v>31379.750643359701</v>
      </c>
      <c r="AE515" s="20">
        <v>34476.411004302601</v>
      </c>
      <c r="AF515" t="str">
        <f t="shared" si="35"/>
        <v>NonResidential</v>
      </c>
      <c r="AG515" t="str">
        <f>tbl_Data_old[[#This Row],[All_Meas_Name_Append]]</f>
        <v>Commercial Duct Sealing</v>
      </c>
      <c r="AH515">
        <f>AVERAGEIFS('3. Incentive Adjustment'!G:G,'3. Incentive Adjustment'!A:A,tbl_Data_old[[#This Row],[Trimmed Sector]],'3. Incentive Adjustment'!B:B,tbl_Data_old[[#This Row],[Trimmed Measure Name]])</f>
        <v>0.69277112909915817</v>
      </c>
      <c r="AI515">
        <f>$AH515*tbl_Data_old[[#This Row],[2025 ]]</f>
        <v>2608.1891552230068</v>
      </c>
      <c r="AJ515">
        <f>$AH515*tbl_Data_old[[#This Row],[2026 ]]</f>
        <v>5180.5766278207602</v>
      </c>
      <c r="AK515">
        <f>$AH515*tbl_Data_old[[#This Row],[2027 ]]</f>
        <v>7703.8480174598126</v>
      </c>
      <c r="AL515">
        <f>$AH515*tbl_Data_old[[#This Row],[2028 ]]</f>
        <v>10179.102655923176</v>
      </c>
      <c r="AM515">
        <f>$AH515*tbl_Data_old[[#This Row],[2029 ]]</f>
        <v>12603.796453749916</v>
      </c>
      <c r="AN515">
        <f>$AH515*tbl_Data_old[[#This Row],[2030 ]]</f>
        <v>14973.814681719588</v>
      </c>
      <c r="AO515">
        <f>$AH515*tbl_Data_old[[#This Row],[2031 ]]</f>
        <v>17285.147596880342</v>
      </c>
      <c r="AP515">
        <f>$AH515*tbl_Data_old[[#This Row],[2032 ]]</f>
        <v>19538.8312406925</v>
      </c>
      <c r="AQ515">
        <f>$AH515*tbl_Data_old[[#This Row],[2033 ]]</f>
        <v>21738.985284050334</v>
      </c>
      <c r="AR515">
        <f>$AH515*tbl_Data_old[[#This Row],[2034 ]]</f>
        <v>23884.262178737354</v>
      </c>
      <c r="AS515">
        <f>SUM(tbl_Data_old[[#This Row],[Adjusted 2025]:[Adjusted 2034]])</f>
        <v>135696.55389225678</v>
      </c>
      <c r="AT515" s="3">
        <f>AVERAGEIFS('3. Incentive Adjustment'!F:F,'3. Incentive Adjustment'!A:A,tbl_Data_old[[#This Row],[Trimmed Sector]],'3. Incentive Adjustment'!B:B,tbl_Data_old[[#This Row],[Trimmed Measure Name]])</f>
        <v>100</v>
      </c>
      <c r="AU515" s="3">
        <f>IFERROR(VLOOKUP(tbl_Data_old[[#This Row],[All_Meas_Name_Append]],'IRA Tax Credits'!$A$3:$D$46,4,0),0)</f>
        <v>0</v>
      </c>
      <c r="AV515" s="4">
        <f>tbl_Data_old[[#This Row],[Adj. per unit Incentive ($)]]/tbl_Data_old[[#This Row],[kWh Savings]]*tbl_Data_old[[#This Row],[Sum of Annuals]]</f>
        <v>6634.9443028123123</v>
      </c>
      <c r="AW515" s="4" t="str">
        <f>IFERROR(VLOOKUP(tbl_Data_old[[#This Row],[All_Programs]],'1. Set Program Names'!$B$2:$D$15,3,0)*tbl_Data_old[[#This Row],[Sum of Annuals]],"")</f>
        <v/>
      </c>
      <c r="AX515" s="4">
        <f>tbl_Data_old[[#This Row],[per unit IRA tax ($)]]/tbl_Data_old[[#This Row],[kWh Savings]]*tbl_Data_old[[#This Row],[Sum of Annuals]]</f>
        <v>0</v>
      </c>
      <c r="AY515" s="4">
        <f>tbl_Data_old[[#This Row],[Avoided Costs ($/unit)]]/tbl_Data_old[[#This Row],[kWh Savings]]*tbl_Data_old[[#This Row],[Sum of Annuals]]</f>
        <v>73490.927587103171</v>
      </c>
      <c r="AZ515" s="4">
        <f>tbl_Data_old[[#This Row],[Lost Revenue ($/unit)]]/tbl_Data_old[[#This Row],[kWh Savings]]*tbl_Data_old[[#This Row],[Sum of Annuals]]</f>
        <v>174152.72695209764</v>
      </c>
      <c r="BA515" s="4">
        <f>tbl_Data_old[[#This Row],[Incremental Cost ($/unit)]]/tbl_Data_old[[#This Row],[kWh Savings]]*tbl_Data_old[[#This Row],[Sum of Annuals]]</f>
        <v>44190.366596216059</v>
      </c>
      <c r="BB515">
        <f>ROUNDUP(tbl_Data_old[[#This Row],[Adjusted 2025]]/$L515,0)</f>
        <v>2</v>
      </c>
      <c r="BC515">
        <f>ROUNDUP(tbl_Data_old[[#This Row],[Adjusted 2026]]/$L515,0)</f>
        <v>3</v>
      </c>
      <c r="BD515">
        <f>ROUNDUP(tbl_Data_old[[#This Row],[Adjusted 2027]]/$L515,0)</f>
        <v>4</v>
      </c>
      <c r="BE515">
        <f>ROUNDUP(tbl_Data_old[[#This Row],[Adjusted 2028]]/$L515,0)</f>
        <v>5</v>
      </c>
      <c r="BF515">
        <f>ROUNDUP(tbl_Data_old[[#This Row],[Adjusted 2029]]/$L515,0)</f>
        <v>7</v>
      </c>
      <c r="BG515">
        <f>ROUNDUP(tbl_Data_old[[#This Row],[Adjusted 2030]]/$L515,0)</f>
        <v>8</v>
      </c>
      <c r="BH515">
        <f>ROUNDUP(tbl_Data_old[[#This Row],[Adjusted 2031]]/$L515,0)</f>
        <v>9</v>
      </c>
      <c r="BI515">
        <f>ROUNDUP(tbl_Data_old[[#This Row],[Adjusted 2032]]/$L515,0)</f>
        <v>10</v>
      </c>
      <c r="BJ515">
        <f>ROUNDUP(tbl_Data_old[[#This Row],[Adjusted 2033]]/$L515,0)</f>
        <v>11</v>
      </c>
      <c r="BK515">
        <f>ROUNDUP(tbl_Data_old[[#This Row],[Adjusted 2034]]/$L515,0)</f>
        <v>12</v>
      </c>
      <c r="BL515" s="3">
        <f t="shared" si="34"/>
        <v>184.08473105262823</v>
      </c>
      <c r="BM515" s="3">
        <f t="shared" si="34"/>
        <v>365.64259663458932</v>
      </c>
      <c r="BN515" s="3">
        <f t="shared" si="34"/>
        <v>543.73387280001793</v>
      </c>
      <c r="BO515" s="3">
        <f t="shared" si="34"/>
        <v>718.43614985527961</v>
      </c>
      <c r="BP515" s="3">
        <f t="shared" si="34"/>
        <v>889.56986719479016</v>
      </c>
      <c r="BQ515" s="3">
        <f t="shared" si="34"/>
        <v>1056.8446092172185</v>
      </c>
      <c r="BR515" s="3">
        <f t="shared" si="34"/>
        <v>1219.9773702013717</v>
      </c>
      <c r="BS515" s="3">
        <f t="shared" si="34"/>
        <v>1379.0412734532028</v>
      </c>
      <c r="BT515" s="3">
        <f t="shared" si="34"/>
        <v>1534.3270833549966</v>
      </c>
      <c r="BU515" s="3">
        <f t="shared" si="34"/>
        <v>1685.7396906043782</v>
      </c>
      <c r="BV515" t="e">
        <f>VLOOKUP($H515,'1. Set Program Names'!$B$2:$D$15,3,0)*V515</f>
        <v>#N/A</v>
      </c>
      <c r="BW515" t="e">
        <f>VLOOKUP($H515,'1. Set Program Names'!$B$2:$D$15,3,0)*W515</f>
        <v>#N/A</v>
      </c>
      <c r="BX515" t="e">
        <f>VLOOKUP($H515,'1. Set Program Names'!$B$2:$D$15,3,0)*X515</f>
        <v>#N/A</v>
      </c>
      <c r="BY515" t="e">
        <f>VLOOKUP($H515,'1. Set Program Names'!$B$2:$D$15,3,0)*Y515</f>
        <v>#N/A</v>
      </c>
      <c r="BZ515" t="e">
        <f>VLOOKUP($H515,'1. Set Program Names'!$B$2:$D$15,3,0)*Z515</f>
        <v>#N/A</v>
      </c>
      <c r="CA515" t="e">
        <f>VLOOKUP($H515,'1. Set Program Names'!$B$2:$D$15,3,0)*AA515</f>
        <v>#N/A</v>
      </c>
      <c r="CB515" t="e">
        <f>VLOOKUP($H515,'1. Set Program Names'!$B$2:$D$15,3,0)*AB515</f>
        <v>#N/A</v>
      </c>
      <c r="CC515" t="e">
        <f>VLOOKUP($H515,'1. Set Program Names'!$B$2:$D$15,3,0)*AC515</f>
        <v>#N/A</v>
      </c>
      <c r="CD515" t="e">
        <f>VLOOKUP($H515,'1. Set Program Names'!$B$2:$D$15,3,0)*AD515</f>
        <v>#N/A</v>
      </c>
      <c r="CE515" t="e">
        <f>VLOOKUP($H515,'1. Set Program Names'!$B$2:$D$15,3,0)*AE515</f>
        <v>#N/A</v>
      </c>
    </row>
    <row r="516" spans="1:83" x14ac:dyDescent="0.25">
      <c r="A516" s="20" t="s">
        <v>113</v>
      </c>
      <c r="B516" s="20" t="s">
        <v>88</v>
      </c>
      <c r="C516" s="20" t="s">
        <v>122</v>
      </c>
      <c r="D516" s="20" t="s">
        <v>90</v>
      </c>
      <c r="E516" s="20" t="s">
        <v>91</v>
      </c>
      <c r="F516" s="20" t="s">
        <v>90</v>
      </c>
      <c r="G516" s="20" t="s">
        <v>92</v>
      </c>
      <c r="H516" s="20" t="s">
        <v>20</v>
      </c>
      <c r="I516" s="20" t="s">
        <v>303</v>
      </c>
      <c r="J516" s="20" t="s">
        <v>129</v>
      </c>
      <c r="K516" s="20" t="s">
        <v>298</v>
      </c>
      <c r="L516" s="20">
        <v>2407.8671428571402</v>
      </c>
      <c r="M516" s="20">
        <v>0.43509988390469401</v>
      </c>
      <c r="N516" s="20">
        <v>0.148929049658067</v>
      </c>
      <c r="O516" s="20">
        <v>1278.9912095238201</v>
      </c>
      <c r="P516" s="20">
        <v>9094.9443435978392</v>
      </c>
      <c r="Q516" s="20">
        <v>144.47202857142801</v>
      </c>
      <c r="R516" s="20">
        <v>1364.7105452988201</v>
      </c>
      <c r="S516" s="20">
        <v>3090.2526043504499</v>
      </c>
      <c r="T516" s="20">
        <v>20</v>
      </c>
      <c r="U516" s="20">
        <v>4.9999999999999899E-2</v>
      </c>
      <c r="V516" s="20">
        <v>1477.48685112674</v>
      </c>
      <c r="W516" s="20">
        <v>2880.9736012449198</v>
      </c>
      <c r="X516" s="20">
        <v>4198.2282871449497</v>
      </c>
      <c r="Y516" s="20">
        <v>5429.6059243522004</v>
      </c>
      <c r="Z516" s="20">
        <v>6575.8875835154504</v>
      </c>
      <c r="AA516" s="20">
        <v>7637.3961624020503</v>
      </c>
      <c r="AB516" s="20">
        <v>8616.3899616854906</v>
      </c>
      <c r="AC516" s="20">
        <v>9517.7178116732193</v>
      </c>
      <c r="AD516" s="20">
        <v>10347.0556853487</v>
      </c>
      <c r="AE516" s="20">
        <v>11108.805173278501</v>
      </c>
      <c r="AF516" t="str">
        <f t="shared" si="35"/>
        <v>NonResidential</v>
      </c>
      <c r="AG516" t="str">
        <f>tbl_Data_old[[#This Row],[All_Meas_Name_Append]]</f>
        <v>Energy Star windows</v>
      </c>
      <c r="AH516">
        <f>AVERAGEIFS('3. Incentive Adjustment'!G:G,'3. Incentive Adjustment'!A:A,tbl_Data_old[[#This Row],[Trimmed Sector]],'3. Incentive Adjustment'!B:B,tbl_Data_old[[#This Row],[Trimmed Measure Name]])</f>
        <v>1.8374525511831319E-4</v>
      </c>
      <c r="AI516">
        <f>$AH516*tbl_Data_old[[#This Row],[2025 ]]</f>
        <v>0.27148119839423607</v>
      </c>
      <c r="AJ516">
        <f>$AH516*tbl_Data_old[[#This Row],[2026 ]]</f>
        <v>0.52936522934987329</v>
      </c>
      <c r="AK516">
        <f>$AH516*tbl_Data_old[[#This Row],[2027 ]]</f>
        <v>0.7714045276663678</v>
      </c>
      <c r="AL516">
        <f>$AH516*tbl_Data_old[[#This Row],[2028 ]]</f>
        <v>0.99766432576199982</v>
      </c>
      <c r="AM516">
        <f>$AH516*tbl_Data_old[[#This Row],[2029 ]]</f>
        <v>1.2082881416623945</v>
      </c>
      <c r="AN516">
        <f>$AH516*tbl_Data_old[[#This Row],[2030 ]]</f>
        <v>1.4033353063001908</v>
      </c>
      <c r="AO516">
        <f>$AH516*tbl_Data_old[[#This Row],[2031 ]]</f>
        <v>1.5832207717087732</v>
      </c>
      <c r="AP516">
        <f>$AH516*tbl_Data_old[[#This Row],[2032 ]]</f>
        <v>1.7488354874500092</v>
      </c>
      <c r="AQ516">
        <f>$AH516*tbl_Data_old[[#This Row],[2033 ]]</f>
        <v>1.9012223866277898</v>
      </c>
      <c r="AR516">
        <f>$AH516*tbl_Data_old[[#This Row],[2034 ]]</f>
        <v>2.0411902406236955</v>
      </c>
      <c r="AS516">
        <f>SUM(tbl_Data_old[[#This Row],[Adjusted 2025]:[Adjusted 2034]])</f>
        <v>12.45600761554533</v>
      </c>
      <c r="AT516" s="3">
        <f>AVERAGEIFS('3. Incentive Adjustment'!F:F,'3. Incentive Adjustment'!A:A,tbl_Data_old[[#This Row],[Trimmed Sector]],'3. Incentive Adjustment'!B:B,tbl_Data_old[[#This Row],[Trimmed Measure Name]])</f>
        <v>1244.9532966663394</v>
      </c>
      <c r="AU516" s="3">
        <f>IFERROR(VLOOKUP(tbl_Data_old[[#This Row],[All_Meas_Name_Append]],'IRA Tax Credits'!$A$3:$D$46,4,0),0)</f>
        <v>250</v>
      </c>
      <c r="AV516" s="4">
        <f>tbl_Data_old[[#This Row],[Adj. per unit Incentive ($)]]/tbl_Data_old[[#This Row],[kWh Savings]]*tbl_Data_old[[#This Row],[Sum of Annuals]]</f>
        <v>6.4402007354415876</v>
      </c>
      <c r="AW516" s="4" t="str">
        <f>IFERROR(VLOOKUP(tbl_Data_old[[#This Row],[All_Programs]],'1. Set Program Names'!$B$2:$D$15,3,0)*tbl_Data_old[[#This Row],[Sum of Annuals]],"")</f>
        <v/>
      </c>
      <c r="AX516" s="4">
        <f>tbl_Data_old[[#This Row],[per unit IRA tax ($)]]/tbl_Data_old[[#This Row],[kWh Savings]]*tbl_Data_old[[#This Row],[Sum of Annuals]]</f>
        <v>1.2932615128388283</v>
      </c>
      <c r="AY516" s="4">
        <f>tbl_Data_old[[#This Row],[Avoided Costs ($/unit)]]/tbl_Data_old[[#This Row],[kWh Savings]]*tbl_Data_old[[#This Row],[Sum of Annuals]]</f>
        <v>7.0597104976010172</v>
      </c>
      <c r="AZ516" s="4">
        <f>tbl_Data_old[[#This Row],[Lost Revenue ($/unit)]]/tbl_Data_old[[#This Row],[kWh Savings]]*tbl_Data_old[[#This Row],[Sum of Annuals]]</f>
        <v>15.98601903262557</v>
      </c>
      <c r="BA516" s="4">
        <f>tbl_Data_old[[#This Row],[Incremental Cost ($/unit)]]/tbl_Data_old[[#This Row],[kWh Savings]]*tbl_Data_old[[#This Row],[Sum of Annuals]]</f>
        <v>6.6162804261453543</v>
      </c>
      <c r="BB516">
        <f>ROUNDUP(tbl_Data_old[[#This Row],[Adjusted 2025]]/$L516,0)</f>
        <v>1</v>
      </c>
      <c r="BC516">
        <f>ROUNDUP(tbl_Data_old[[#This Row],[Adjusted 2026]]/$L516,0)</f>
        <v>1</v>
      </c>
      <c r="BD516">
        <f>ROUNDUP(tbl_Data_old[[#This Row],[Adjusted 2027]]/$L516,0)</f>
        <v>1</v>
      </c>
      <c r="BE516">
        <f>ROUNDUP(tbl_Data_old[[#This Row],[Adjusted 2028]]/$L516,0)</f>
        <v>1</v>
      </c>
      <c r="BF516">
        <f>ROUNDUP(tbl_Data_old[[#This Row],[Adjusted 2029]]/$L516,0)</f>
        <v>1</v>
      </c>
      <c r="BG516">
        <f>ROUNDUP(tbl_Data_old[[#This Row],[Adjusted 2030]]/$L516,0)</f>
        <v>1</v>
      </c>
      <c r="BH516">
        <f>ROUNDUP(tbl_Data_old[[#This Row],[Adjusted 2031]]/$L516,0)</f>
        <v>1</v>
      </c>
      <c r="BI516">
        <f>ROUNDUP(tbl_Data_old[[#This Row],[Adjusted 2032]]/$L516,0)</f>
        <v>1</v>
      </c>
      <c r="BJ516">
        <f>ROUNDUP(tbl_Data_old[[#This Row],[Adjusted 2033]]/$L516,0)</f>
        <v>1</v>
      </c>
      <c r="BK516">
        <f>ROUNDUP(tbl_Data_old[[#This Row],[Adjusted 2034]]/$L516,0)</f>
        <v>1</v>
      </c>
      <c r="BL516" s="3">
        <f t="shared" si="34"/>
        <v>763.91346239676511</v>
      </c>
      <c r="BM516" s="3">
        <f t="shared" si="34"/>
        <v>1489.566230063117</v>
      </c>
      <c r="BN516" s="3">
        <f t="shared" si="34"/>
        <v>2170.6339412220141</v>
      </c>
      <c r="BO516" s="3">
        <f t="shared" si="34"/>
        <v>2807.3001515775113</v>
      </c>
      <c r="BP516" s="3">
        <f t="shared" si="34"/>
        <v>3399.9687025466951</v>
      </c>
      <c r="BQ516" s="3">
        <f t="shared" si="34"/>
        <v>3948.8065438058134</v>
      </c>
      <c r="BR516" s="3">
        <f t="shared" si="34"/>
        <v>4454.981297445921</v>
      </c>
      <c r="BS516" s="3">
        <f t="shared" si="34"/>
        <v>4920.9999818854312</v>
      </c>
      <c r="BT516" s="3">
        <f t="shared" si="34"/>
        <v>5349.797277843134</v>
      </c>
      <c r="BU516" s="3">
        <f t="shared" si="34"/>
        <v>5743.6489648206862</v>
      </c>
      <c r="BV516" t="e">
        <f>VLOOKUP($H516,'1. Set Program Names'!$B$2:$D$15,3,0)*V516</f>
        <v>#N/A</v>
      </c>
      <c r="BW516" t="e">
        <f>VLOOKUP($H516,'1. Set Program Names'!$B$2:$D$15,3,0)*W516</f>
        <v>#N/A</v>
      </c>
      <c r="BX516" t="e">
        <f>VLOOKUP($H516,'1. Set Program Names'!$B$2:$D$15,3,0)*X516</f>
        <v>#N/A</v>
      </c>
      <c r="BY516" t="e">
        <f>VLOOKUP($H516,'1. Set Program Names'!$B$2:$D$15,3,0)*Y516</f>
        <v>#N/A</v>
      </c>
      <c r="BZ516" t="e">
        <f>VLOOKUP($H516,'1. Set Program Names'!$B$2:$D$15,3,0)*Z516</f>
        <v>#N/A</v>
      </c>
      <c r="CA516" t="e">
        <f>VLOOKUP($H516,'1. Set Program Names'!$B$2:$D$15,3,0)*AA516</f>
        <v>#N/A</v>
      </c>
      <c r="CB516" t="e">
        <f>VLOOKUP($H516,'1. Set Program Names'!$B$2:$D$15,3,0)*AB516</f>
        <v>#N/A</v>
      </c>
      <c r="CC516" t="e">
        <f>VLOOKUP($H516,'1. Set Program Names'!$B$2:$D$15,3,0)*AC516</f>
        <v>#N/A</v>
      </c>
      <c r="CD516" t="e">
        <f>VLOOKUP($H516,'1. Set Program Names'!$B$2:$D$15,3,0)*AD516</f>
        <v>#N/A</v>
      </c>
      <c r="CE516" t="e">
        <f>VLOOKUP($H516,'1. Set Program Names'!$B$2:$D$15,3,0)*AE516</f>
        <v>#N/A</v>
      </c>
    </row>
    <row r="517" spans="1:83" x14ac:dyDescent="0.25">
      <c r="A517" s="20" t="s">
        <v>113</v>
      </c>
      <c r="B517" s="20" t="s">
        <v>88</v>
      </c>
      <c r="C517" s="20" t="s">
        <v>122</v>
      </c>
      <c r="D517" s="20" t="s">
        <v>90</v>
      </c>
      <c r="E517" s="20" t="s">
        <v>91</v>
      </c>
      <c r="F517" s="20" t="s">
        <v>90</v>
      </c>
      <c r="G517" s="20" t="s">
        <v>92</v>
      </c>
      <c r="H517" s="20" t="s">
        <v>20</v>
      </c>
      <c r="I517" s="20" t="s">
        <v>143</v>
      </c>
      <c r="J517" s="20" t="s">
        <v>144</v>
      </c>
      <c r="K517" s="20" t="s">
        <v>108</v>
      </c>
      <c r="L517" s="20">
        <v>6670.6049999999896</v>
      </c>
      <c r="M517" s="20">
        <v>1.04667148638823</v>
      </c>
      <c r="N517" s="20">
        <v>1.5598507965563999</v>
      </c>
      <c r="O517" s="20">
        <v>2431.625</v>
      </c>
      <c r="P517" s="20">
        <v>977.24379425036398</v>
      </c>
      <c r="Q517" s="20">
        <v>400.23629999999901</v>
      </c>
      <c r="R517" s="20">
        <v>3400.8076679878</v>
      </c>
      <c r="S517" s="20">
        <v>7245.0779694633802</v>
      </c>
      <c r="T517" s="20">
        <v>15</v>
      </c>
      <c r="U517" s="20">
        <v>0.05</v>
      </c>
      <c r="V517" s="20">
        <v>1692.8438372017399</v>
      </c>
      <c r="W517" s="20">
        <v>3554.41718286272</v>
      </c>
      <c r="X517" s="20">
        <v>5553.8538594707998</v>
      </c>
      <c r="Y517" s="20">
        <v>7673.2390488563096</v>
      </c>
      <c r="Z517" s="20">
        <v>9895.2616431674305</v>
      </c>
      <c r="AA517" s="20">
        <v>12201.7881060036</v>
      </c>
      <c r="AB517" s="20">
        <v>14577.832051654799</v>
      </c>
      <c r="AC517" s="20">
        <v>17015.052329333899</v>
      </c>
      <c r="AD517" s="20">
        <v>19507.079174508301</v>
      </c>
      <c r="AE517" s="20">
        <v>22046.161574059599</v>
      </c>
      <c r="AF517" t="str">
        <f t="shared" si="35"/>
        <v>NonResidential</v>
      </c>
      <c r="AG517" t="str">
        <f>tbl_Data_old[[#This Row],[All_Meas_Name_Append]]</f>
        <v>Heat Pump Water Heater</v>
      </c>
      <c r="AH517">
        <f>AVERAGEIFS('3. Incentive Adjustment'!G:G,'3. Incentive Adjustment'!A:A,tbl_Data_old[[#This Row],[Trimmed Sector]],'3. Incentive Adjustment'!B:B,tbl_Data_old[[#This Row],[Trimmed Measure Name]])</f>
        <v>0.82797588322898052</v>
      </c>
      <c r="AI517">
        <f>$AH517*tbl_Data_old[[#This Row],[2025 ]]</f>
        <v>1401.633871275847</v>
      </c>
      <c r="AJ517">
        <f>$AH517*tbl_Data_old[[#This Row],[2026 ]]</f>
        <v>2942.9717063450253</v>
      </c>
      <c r="AK517">
        <f>$AH517*tbl_Data_old[[#This Row],[2027 ]]</f>
        <v>4598.4570546200175</v>
      </c>
      <c r="AL517">
        <f>$AH517*tbl_Data_old[[#This Row],[2028 ]]</f>
        <v>6353.2568787039054</v>
      </c>
      <c r="AM517">
        <f>$AH517*tbl_Data_old[[#This Row],[2029 ]]</f>
        <v>8193.0379987834058</v>
      </c>
      <c r="AN517">
        <f>$AH517*tbl_Data_old[[#This Row],[2030 ]]</f>
        <v>10102.7862840412</v>
      </c>
      <c r="AO517">
        <f>$AH517*tbl_Data_old[[#This Row],[2031 ]]</f>
        <v>12070.093368532624</v>
      </c>
      <c r="AP517">
        <f>$AH517*tbl_Data_old[[#This Row],[2032 ]]</f>
        <v>14088.052980567558</v>
      </c>
      <c r="AQ517">
        <f>$AH517*tbl_Data_old[[#This Row],[2033 ]]</f>
        <v>16151.391108731163</v>
      </c>
      <c r="AR517">
        <f>$AH517*tbl_Data_old[[#This Row],[2034 ]]</f>
        <v>18253.690101090808</v>
      </c>
      <c r="AS517">
        <f>SUM(tbl_Data_old[[#This Row],[Adjusted 2025]:[Adjusted 2034]])</f>
        <v>94155.371352691538</v>
      </c>
      <c r="AT517" s="3">
        <f>AVERAGEIFS('3. Incentive Adjustment'!F:F,'3. Incentive Adjustment'!A:A,tbl_Data_old[[#This Row],[Trimmed Sector]],'3. Incentive Adjustment'!B:B,tbl_Data_old[[#This Row],[Trimmed Measure Name]])</f>
        <v>500</v>
      </c>
      <c r="AU517" s="3">
        <f>IFERROR(VLOOKUP(tbl_Data_old[[#This Row],[All_Meas_Name_Append]],'IRA Tax Credits'!$A$3:$D$46,4,0),0)</f>
        <v>0</v>
      </c>
      <c r="AV517" s="4">
        <f>tbl_Data_old[[#This Row],[Adj. per unit Incentive ($)]]/tbl_Data_old[[#This Row],[kWh Savings]]*tbl_Data_old[[#This Row],[Sum of Annuals]]</f>
        <v>7057.4836429897805</v>
      </c>
      <c r="AW517" s="4" t="str">
        <f>IFERROR(VLOOKUP(tbl_Data_old[[#This Row],[All_Programs]],'1. Set Program Names'!$B$2:$D$15,3,0)*tbl_Data_old[[#This Row],[Sum of Annuals]],"")</f>
        <v/>
      </c>
      <c r="AX517" s="4">
        <f>tbl_Data_old[[#This Row],[per unit IRA tax ($)]]/tbl_Data_old[[#This Row],[kWh Savings]]*tbl_Data_old[[#This Row],[Sum of Annuals]]</f>
        <v>0</v>
      </c>
      <c r="AY517" s="4">
        <f>tbl_Data_old[[#This Row],[Avoided Costs ($/unit)]]/tbl_Data_old[[#This Row],[kWh Savings]]*tbl_Data_old[[#This Row],[Sum of Annuals]]</f>
        <v>48002.288979556237</v>
      </c>
      <c r="AZ517" s="4">
        <f>tbl_Data_old[[#This Row],[Lost Revenue ($/unit)]]/tbl_Data_old[[#This Row],[kWh Savings]]*tbl_Data_old[[#This Row],[Sum of Annuals]]</f>
        <v>102264.03852334684</v>
      </c>
      <c r="BA517" s="4">
        <f>tbl_Data_old[[#This Row],[Incremental Cost ($/unit)]]/tbl_Data_old[[#This Row],[kWh Savings]]*tbl_Data_old[[#This Row],[Sum of Annuals]]</f>
        <v>34322.307326770053</v>
      </c>
      <c r="BB517">
        <f>ROUNDUP(tbl_Data_old[[#This Row],[Adjusted 2025]]/$L517,0)</f>
        <v>1</v>
      </c>
      <c r="BC517">
        <f>ROUNDUP(tbl_Data_old[[#This Row],[Adjusted 2026]]/$L517,0)</f>
        <v>1</v>
      </c>
      <c r="BD517">
        <f>ROUNDUP(tbl_Data_old[[#This Row],[Adjusted 2027]]/$L517,0)</f>
        <v>1</v>
      </c>
      <c r="BE517">
        <f>ROUNDUP(tbl_Data_old[[#This Row],[Adjusted 2028]]/$L517,0)</f>
        <v>1</v>
      </c>
      <c r="BF517">
        <f>ROUNDUP(tbl_Data_old[[#This Row],[Adjusted 2029]]/$L517,0)</f>
        <v>2</v>
      </c>
      <c r="BG517">
        <f>ROUNDUP(tbl_Data_old[[#This Row],[Adjusted 2030]]/$L517,0)</f>
        <v>2</v>
      </c>
      <c r="BH517">
        <f>ROUNDUP(tbl_Data_old[[#This Row],[Adjusted 2031]]/$L517,0)</f>
        <v>2</v>
      </c>
      <c r="BI517">
        <f>ROUNDUP(tbl_Data_old[[#This Row],[Adjusted 2032]]/$L517,0)</f>
        <v>3</v>
      </c>
      <c r="BJ517">
        <f>ROUNDUP(tbl_Data_old[[#This Row],[Adjusted 2033]]/$L517,0)</f>
        <v>3</v>
      </c>
      <c r="BK517">
        <f>ROUNDUP(tbl_Data_old[[#This Row],[Adjusted 2034]]/$L517,0)</f>
        <v>3</v>
      </c>
      <c r="BL517" s="3">
        <f t="shared" si="34"/>
        <v>126.88832851006337</v>
      </c>
      <c r="BM517" s="3">
        <f t="shared" si="34"/>
        <v>266.42389879649039</v>
      </c>
      <c r="BN517" s="3">
        <f t="shared" si="34"/>
        <v>416.29311430303613</v>
      </c>
      <c r="BO517" s="3">
        <f t="shared" si="34"/>
        <v>575.15315693676382</v>
      </c>
      <c r="BP517" s="3">
        <f t="shared" si="34"/>
        <v>741.70646014622707</v>
      </c>
      <c r="BQ517" s="3">
        <f t="shared" si="34"/>
        <v>914.59381165603565</v>
      </c>
      <c r="BR517" s="3">
        <f t="shared" si="34"/>
        <v>1092.691896136469</v>
      </c>
      <c r="BS517" s="3">
        <f t="shared" si="34"/>
        <v>1275.375496625413</v>
      </c>
      <c r="BT517" s="3">
        <f t="shared" si="34"/>
        <v>1462.1671628366792</v>
      </c>
      <c r="BU517" s="3">
        <f t="shared" si="34"/>
        <v>1652.4859120019576</v>
      </c>
      <c r="BV517" t="e">
        <f>VLOOKUP($H517,'1. Set Program Names'!$B$2:$D$15,3,0)*V517</f>
        <v>#N/A</v>
      </c>
      <c r="BW517" t="e">
        <f>VLOOKUP($H517,'1. Set Program Names'!$B$2:$D$15,3,0)*W517</f>
        <v>#N/A</v>
      </c>
      <c r="BX517" t="e">
        <f>VLOOKUP($H517,'1. Set Program Names'!$B$2:$D$15,3,0)*X517</f>
        <v>#N/A</v>
      </c>
      <c r="BY517" t="e">
        <f>VLOOKUP($H517,'1. Set Program Names'!$B$2:$D$15,3,0)*Y517</f>
        <v>#N/A</v>
      </c>
      <c r="BZ517" t="e">
        <f>VLOOKUP($H517,'1. Set Program Names'!$B$2:$D$15,3,0)*Z517</f>
        <v>#N/A</v>
      </c>
      <c r="CA517" t="e">
        <f>VLOOKUP($H517,'1. Set Program Names'!$B$2:$D$15,3,0)*AA517</f>
        <v>#N/A</v>
      </c>
      <c r="CB517" t="e">
        <f>VLOOKUP($H517,'1. Set Program Names'!$B$2:$D$15,3,0)*AB517</f>
        <v>#N/A</v>
      </c>
      <c r="CC517" t="e">
        <f>VLOOKUP($H517,'1. Set Program Names'!$B$2:$D$15,3,0)*AC517</f>
        <v>#N/A</v>
      </c>
      <c r="CD517" t="e">
        <f>VLOOKUP($H517,'1. Set Program Names'!$B$2:$D$15,3,0)*AD517</f>
        <v>#N/A</v>
      </c>
      <c r="CE517" t="e">
        <f>VLOOKUP($H517,'1. Set Program Names'!$B$2:$D$15,3,0)*AE517</f>
        <v>#N/A</v>
      </c>
    </row>
    <row r="518" spans="1:83" x14ac:dyDescent="0.25">
      <c r="A518" s="20" t="s">
        <v>113</v>
      </c>
      <c r="B518" s="20" t="s">
        <v>88</v>
      </c>
      <c r="C518" s="20" t="s">
        <v>122</v>
      </c>
      <c r="D518" s="20" t="s">
        <v>90</v>
      </c>
      <c r="E518" s="20" t="s">
        <v>91</v>
      </c>
      <c r="F518" s="20" t="s">
        <v>90</v>
      </c>
      <c r="G518" s="20" t="s">
        <v>92</v>
      </c>
      <c r="H518" s="20" t="s">
        <v>20</v>
      </c>
      <c r="I518" s="20" t="s">
        <v>145</v>
      </c>
      <c r="J518" s="20" t="s">
        <v>129</v>
      </c>
      <c r="K518" s="20" t="s">
        <v>98</v>
      </c>
      <c r="L518" s="20">
        <v>1452.1399999999801</v>
      </c>
      <c r="M518" s="20">
        <v>0.33467704377742202</v>
      </c>
      <c r="N518" s="20">
        <v>4.3977319526113799E-2</v>
      </c>
      <c r="O518" s="20">
        <v>654.99999999999898</v>
      </c>
      <c r="P518" s="20">
        <v>358.56061649158102</v>
      </c>
      <c r="Q518" s="20">
        <v>87.128399999999303</v>
      </c>
      <c r="R518" s="20">
        <v>761.15206993055403</v>
      </c>
      <c r="S518" s="20">
        <v>1577.19839843259</v>
      </c>
      <c r="T518" s="20">
        <v>15</v>
      </c>
      <c r="U518" s="20">
        <v>0.05</v>
      </c>
      <c r="V518" s="20">
        <v>521.84423770522801</v>
      </c>
      <c r="W518" s="20">
        <v>1105.9196739423601</v>
      </c>
      <c r="X518" s="20">
        <v>1745.37531980167</v>
      </c>
      <c r="Y518" s="20">
        <v>2436.6720787603499</v>
      </c>
      <c r="Z518" s="20">
        <v>3175.94697525012</v>
      </c>
      <c r="AA518" s="20">
        <v>3959.04134423396</v>
      </c>
      <c r="AB518" s="20">
        <v>4782.2752806489498</v>
      </c>
      <c r="AC518" s="20">
        <v>5644.0913470547002</v>
      </c>
      <c r="AD518" s="20">
        <v>6543.9041161943396</v>
      </c>
      <c r="AE518" s="20">
        <v>7480.1066204141398</v>
      </c>
      <c r="AF518" t="str">
        <f t="shared" si="35"/>
        <v>NonResidential</v>
      </c>
      <c r="AG518" t="str">
        <f>tbl_Data_old[[#This Row],[All_Meas_Name_Append]]</f>
        <v>HE DX Less than 5.4 Tons Elect Heat</v>
      </c>
      <c r="AH518">
        <f>AVERAGEIFS('3. Incentive Adjustment'!G:G,'3. Incentive Adjustment'!A:A,tbl_Data_old[[#This Row],[Trimmed Sector]],'3. Incentive Adjustment'!B:B,tbl_Data_old[[#This Row],[Trimmed Measure Name]])</f>
        <v>0.74493198517309978</v>
      </c>
      <c r="AI518">
        <f>$AH518*tbl_Data_old[[#This Row],[2025 ]]</f>
        <v>388.73846394489846</v>
      </c>
      <c r="AJ518">
        <f>$AH518*tbl_Data_old[[#This Row],[2026 ]]</f>
        <v>823.83493815186955</v>
      </c>
      <c r="AK518">
        <f>$AH518*tbl_Data_old[[#This Row],[2027 ]]</f>
        <v>1300.185901851992</v>
      </c>
      <c r="AL518">
        <f>$AH518*tbl_Data_old[[#This Row],[2028 ]]</f>
        <v>1815.1549688468112</v>
      </c>
      <c r="AM518">
        <f>$AH518*tbl_Data_old[[#This Row],[2029 ]]</f>
        <v>2365.8644850775736</v>
      </c>
      <c r="AN518">
        <f>$AH518*tbl_Data_old[[#This Row],[2030 ]]</f>
        <v>2949.2165279425813</v>
      </c>
      <c r="AO518">
        <f>$AH518*tbl_Data_old[[#This Row],[2031 ]]</f>
        <v>3562.4698184580652</v>
      </c>
      <c r="AP518">
        <f>$AH518*tbl_Data_old[[#This Row],[2032 ]]</f>
        <v>4204.4641716597725</v>
      </c>
      <c r="AQ518">
        <f>$AH518*tbl_Data_old[[#This Row],[2033 ]]</f>
        <v>4874.7634840590681</v>
      </c>
      <c r="AR518">
        <f>$AH518*tbl_Data_old[[#This Row],[2034 ]]</f>
        <v>5572.170674051551</v>
      </c>
      <c r="AS518">
        <f>SUM(tbl_Data_old[[#This Row],[Adjusted 2025]:[Adjusted 2034]])</f>
        <v>27856.863434044186</v>
      </c>
      <c r="AT518" s="3">
        <f>AVERAGEIFS('3. Incentive Adjustment'!F:F,'3. Incentive Adjustment'!A:A,tbl_Data_old[[#This Row],[Trimmed Sector]],'3. Incentive Adjustment'!B:B,tbl_Data_old[[#This Row],[Trimmed Measure Name]])</f>
        <v>196.49999999999969</v>
      </c>
      <c r="AU518" s="3">
        <f>IFERROR(VLOOKUP(tbl_Data_old[[#This Row],[All_Meas_Name_Append]],'IRA Tax Credits'!$A$3:$D$46,4,0),0)</f>
        <v>0</v>
      </c>
      <c r="AV518" s="4">
        <f>tbl_Data_old[[#This Row],[Adj. per unit Incentive ($)]]/tbl_Data_old[[#This Row],[kWh Savings]]*tbl_Data_old[[#This Row],[Sum of Annuals]]</f>
        <v>3769.5219915364555</v>
      </c>
      <c r="AW518" s="4" t="str">
        <f>IFERROR(VLOOKUP(tbl_Data_old[[#This Row],[All_Programs]],'1. Set Program Names'!$B$2:$D$15,3,0)*tbl_Data_old[[#This Row],[Sum of Annuals]],"")</f>
        <v/>
      </c>
      <c r="AX518" s="4">
        <f>tbl_Data_old[[#This Row],[per unit IRA tax ($)]]/tbl_Data_old[[#This Row],[kWh Savings]]*tbl_Data_old[[#This Row],[Sum of Annuals]]</f>
        <v>0</v>
      </c>
      <c r="AY518" s="4">
        <f>tbl_Data_old[[#This Row],[Avoided Costs ($/unit)]]/tbl_Data_old[[#This Row],[kWh Savings]]*tbl_Data_old[[#This Row],[Sum of Annuals]]</f>
        <v>14601.422221408257</v>
      </c>
      <c r="AZ518" s="4">
        <f>tbl_Data_old[[#This Row],[Lost Revenue ($/unit)]]/tbl_Data_old[[#This Row],[kWh Savings]]*tbl_Data_old[[#This Row],[Sum of Annuals]]</f>
        <v>30255.898462634781</v>
      </c>
      <c r="BA518" s="4">
        <f>tbl_Data_old[[#This Row],[Incremental Cost ($/unit)]]/tbl_Data_old[[#This Row],[kWh Savings]]*tbl_Data_old[[#This Row],[Sum of Annuals]]</f>
        <v>12565.073305121519</v>
      </c>
      <c r="BB518">
        <f>ROUNDUP(tbl_Data_old[[#This Row],[Adjusted 2025]]/$L518,0)</f>
        <v>1</v>
      </c>
      <c r="BC518">
        <f>ROUNDUP(tbl_Data_old[[#This Row],[Adjusted 2026]]/$L518,0)</f>
        <v>1</v>
      </c>
      <c r="BD518">
        <f>ROUNDUP(tbl_Data_old[[#This Row],[Adjusted 2027]]/$L518,0)</f>
        <v>1</v>
      </c>
      <c r="BE518">
        <f>ROUNDUP(tbl_Data_old[[#This Row],[Adjusted 2028]]/$L518,0)</f>
        <v>2</v>
      </c>
      <c r="BF518">
        <f>ROUNDUP(tbl_Data_old[[#This Row],[Adjusted 2029]]/$L518,0)</f>
        <v>2</v>
      </c>
      <c r="BG518">
        <f>ROUNDUP(tbl_Data_old[[#This Row],[Adjusted 2030]]/$L518,0)</f>
        <v>3</v>
      </c>
      <c r="BH518">
        <f>ROUNDUP(tbl_Data_old[[#This Row],[Adjusted 2031]]/$L518,0)</f>
        <v>3</v>
      </c>
      <c r="BI518">
        <f>ROUNDUP(tbl_Data_old[[#This Row],[Adjusted 2032]]/$L518,0)</f>
        <v>3</v>
      </c>
      <c r="BJ518">
        <f>ROUNDUP(tbl_Data_old[[#This Row],[Adjusted 2033]]/$L518,0)</f>
        <v>4</v>
      </c>
      <c r="BK518">
        <f>ROUNDUP(tbl_Data_old[[#This Row],[Adjusted 2034]]/$L518,0)</f>
        <v>4</v>
      </c>
      <c r="BL518" s="3">
        <f t="shared" si="34"/>
        <v>70.61467400462665</v>
      </c>
      <c r="BM518" s="3">
        <f t="shared" si="34"/>
        <v>149.65032016863137</v>
      </c>
      <c r="BN518" s="3">
        <f t="shared" si="34"/>
        <v>236.17987958532393</v>
      </c>
      <c r="BO518" s="3">
        <f t="shared" si="34"/>
        <v>329.72445044996664</v>
      </c>
      <c r="BP518" s="3">
        <f t="shared" si="34"/>
        <v>429.76130444492685</v>
      </c>
      <c r="BQ518" s="3">
        <f t="shared" si="34"/>
        <v>535.72770128361071</v>
      </c>
      <c r="BR518" s="3">
        <f t="shared" si="34"/>
        <v>647.12568529723717</v>
      </c>
      <c r="BS518" s="3">
        <f t="shared" si="34"/>
        <v>763.7445078961133</v>
      </c>
      <c r="BT518" s="3">
        <f t="shared" si="34"/>
        <v>885.50495050904408</v>
      </c>
      <c r="BU518" s="3">
        <f t="shared" si="34"/>
        <v>1012.1895622401395</v>
      </c>
      <c r="BV518" t="e">
        <f>VLOOKUP($H518,'1. Set Program Names'!$B$2:$D$15,3,0)*V518</f>
        <v>#N/A</v>
      </c>
      <c r="BW518" t="e">
        <f>VLOOKUP($H518,'1. Set Program Names'!$B$2:$D$15,3,0)*W518</f>
        <v>#N/A</v>
      </c>
      <c r="BX518" t="e">
        <f>VLOOKUP($H518,'1. Set Program Names'!$B$2:$D$15,3,0)*X518</f>
        <v>#N/A</v>
      </c>
      <c r="BY518" t="e">
        <f>VLOOKUP($H518,'1. Set Program Names'!$B$2:$D$15,3,0)*Y518</f>
        <v>#N/A</v>
      </c>
      <c r="BZ518" t="e">
        <f>VLOOKUP($H518,'1. Set Program Names'!$B$2:$D$15,3,0)*Z518</f>
        <v>#N/A</v>
      </c>
      <c r="CA518" t="e">
        <f>VLOOKUP($H518,'1. Set Program Names'!$B$2:$D$15,3,0)*AA518</f>
        <v>#N/A</v>
      </c>
      <c r="CB518" t="e">
        <f>VLOOKUP($H518,'1. Set Program Names'!$B$2:$D$15,3,0)*AB518</f>
        <v>#N/A</v>
      </c>
      <c r="CC518" t="e">
        <f>VLOOKUP($H518,'1. Set Program Names'!$B$2:$D$15,3,0)*AC518</f>
        <v>#N/A</v>
      </c>
      <c r="CD518" t="e">
        <f>VLOOKUP($H518,'1. Set Program Names'!$B$2:$D$15,3,0)*AD518</f>
        <v>#N/A</v>
      </c>
      <c r="CE518" t="e">
        <f>VLOOKUP($H518,'1. Set Program Names'!$B$2:$D$15,3,0)*AE518</f>
        <v>#N/A</v>
      </c>
    </row>
    <row r="519" spans="1:83" x14ac:dyDescent="0.25">
      <c r="A519" s="20" t="s">
        <v>113</v>
      </c>
      <c r="B519" s="20" t="s">
        <v>88</v>
      </c>
      <c r="C519" s="20" t="s">
        <v>122</v>
      </c>
      <c r="D519" s="20" t="s">
        <v>90</v>
      </c>
      <c r="E519" s="20" t="s">
        <v>91</v>
      </c>
      <c r="F519" s="20" t="s">
        <v>90</v>
      </c>
      <c r="G519" s="20" t="s">
        <v>92</v>
      </c>
      <c r="H519" s="20" t="s">
        <v>20</v>
      </c>
      <c r="I519" s="20" t="s">
        <v>154</v>
      </c>
      <c r="J519" s="20" t="s">
        <v>129</v>
      </c>
      <c r="K519" s="20" t="s">
        <v>102</v>
      </c>
      <c r="L519" s="20">
        <v>111105.09249999899</v>
      </c>
      <c r="M519" s="20">
        <v>30.6532165911823</v>
      </c>
      <c r="N519" s="20">
        <v>0</v>
      </c>
      <c r="O519" s="20">
        <v>40257.675000000003</v>
      </c>
      <c r="P519" s="20">
        <v>17605.607636663401</v>
      </c>
      <c r="Q519" s="20">
        <v>6666.30554999998</v>
      </c>
      <c r="R519" s="20">
        <v>56706.982631731698</v>
      </c>
      <c r="S519" s="20">
        <v>120673.47084214</v>
      </c>
      <c r="T519" s="20">
        <v>15</v>
      </c>
      <c r="U519" s="20">
        <v>0.05</v>
      </c>
      <c r="V519" s="20">
        <v>7.4716635380663696</v>
      </c>
      <c r="W519" s="20">
        <v>14.9701417073975</v>
      </c>
      <c r="X519" s="20">
        <v>22.523169738769699</v>
      </c>
      <c r="Y519" s="20">
        <v>30.146005634490798</v>
      </c>
      <c r="Z519" s="20">
        <v>37.815666727456303</v>
      </c>
      <c r="AA519" s="20">
        <v>45.531021624411501</v>
      </c>
      <c r="AB519" s="20">
        <v>53.261314184583902</v>
      </c>
      <c r="AC519" s="20">
        <v>60.996902336745499</v>
      </c>
      <c r="AD519" s="20">
        <v>68.777414604786301</v>
      </c>
      <c r="AE519" s="20">
        <v>76.583668802589401</v>
      </c>
      <c r="AF519" t="str">
        <f t="shared" si="35"/>
        <v>NonResidential</v>
      </c>
      <c r="AG519" t="str">
        <f>tbl_Data_old[[#This Row],[All_Meas_Name_Append]]</f>
        <v>Reflective Roof Treatment</v>
      </c>
      <c r="AH519">
        <f>AVERAGEIFS('3. Incentive Adjustment'!G:G,'3. Incentive Adjustment'!A:A,tbl_Data_old[[#This Row],[Trimmed Sector]],'3. Incentive Adjustment'!B:B,tbl_Data_old[[#This Row],[Trimmed Measure Name]])</f>
        <v>0.87696681614875649</v>
      </c>
      <c r="AI519">
        <f>$AH519*tbl_Data_old[[#This Row],[2025 ]]</f>
        <v>6.5524009843128175</v>
      </c>
      <c r="AJ519">
        <f>$AH519*tbl_Data_old[[#This Row],[2026 ]]</f>
        <v>13.128317510432096</v>
      </c>
      <c r="AK519">
        <f>$AH519*tbl_Data_old[[#This Row],[2027 ]]</f>
        <v>19.752072455386884</v>
      </c>
      <c r="AL519">
        <f>$AH519*tbl_Data_old[[#This Row],[2028 ]]</f>
        <v>26.437046580881869</v>
      </c>
      <c r="AM519">
        <f>$AH519*tbl_Data_old[[#This Row],[2029 ]]</f>
        <v>33.163084850519823</v>
      </c>
      <c r="AN519">
        <f>$AH519*tbl_Data_old[[#This Row],[2030 ]]</f>
        <v>39.929195069960336</v>
      </c>
      <c r="AO519">
        <f>$AH519*tbl_Data_old[[#This Row],[2031 ]]</f>
        <v>46.708405124353149</v>
      </c>
      <c r="AP519">
        <f>$AH519*tbl_Data_old[[#This Row],[2032 ]]</f>
        <v>53.492259237192343</v>
      </c>
      <c r="AQ519">
        <f>$AH519*tbl_Data_old[[#This Row],[2033 ]]</f>
        <v>60.315510308902425</v>
      </c>
      <c r="AR519">
        <f>$AH519*tbl_Data_old[[#This Row],[2034 ]]</f>
        <v>67.16133619879767</v>
      </c>
      <c r="AS519">
        <f>SUM(tbl_Data_old[[#This Row],[Adjusted 2025]:[Adjusted 2034]])</f>
        <v>366.63962832073946</v>
      </c>
      <c r="AT519" s="3">
        <f>AVERAGEIFS('3. Incentive Adjustment'!F:F,'3. Incentive Adjustment'!A:A,tbl_Data_old[[#This Row],[Trimmed Sector]],'3. Incentive Adjustment'!B:B,tbl_Data_old[[#This Row],[Trimmed Measure Name]])</f>
        <v>12077.302499999998</v>
      </c>
      <c r="AU519" s="3">
        <f>IFERROR(VLOOKUP(tbl_Data_old[[#This Row],[All_Meas_Name_Append]],'IRA Tax Credits'!$A$3:$D$46,4,0),0)</f>
        <v>0</v>
      </c>
      <c r="AV519" s="4">
        <f>tbl_Data_old[[#This Row],[Adj. per unit Incentive ($)]]/tbl_Data_old[[#This Row],[kWh Savings]]*tbl_Data_old[[#This Row],[Sum of Annuals]]</f>
        <v>39.854318106230615</v>
      </c>
      <c r="AW519" s="4" t="str">
        <f>IFERROR(VLOOKUP(tbl_Data_old[[#This Row],[All_Programs]],'1. Set Program Names'!$B$2:$D$15,3,0)*tbl_Data_old[[#This Row],[Sum of Annuals]],"")</f>
        <v/>
      </c>
      <c r="AX519" s="4">
        <f>tbl_Data_old[[#This Row],[per unit IRA tax ($)]]/tbl_Data_old[[#This Row],[kWh Savings]]*tbl_Data_old[[#This Row],[Sum of Annuals]]</f>
        <v>0</v>
      </c>
      <c r="AY519" s="4">
        <f>tbl_Data_old[[#This Row],[Avoided Costs ($/unit)]]/tbl_Data_old[[#This Row],[kWh Savings]]*tbl_Data_old[[#This Row],[Sum of Annuals]]</f>
        <v>187.12937964827242</v>
      </c>
      <c r="AZ519" s="4">
        <f>tbl_Data_old[[#This Row],[Lost Revenue ($/unit)]]/tbl_Data_old[[#This Row],[kWh Savings]]*tbl_Data_old[[#This Row],[Sum of Annuals]]</f>
        <v>398.21465877215479</v>
      </c>
      <c r="BA519" s="4">
        <f>tbl_Data_old[[#This Row],[Incremental Cost ($/unit)]]/tbl_Data_old[[#This Row],[kWh Savings]]*tbl_Data_old[[#This Row],[Sum of Annuals]]</f>
        <v>132.84772702076873</v>
      </c>
      <c r="BB519">
        <f>ROUNDUP(tbl_Data_old[[#This Row],[Adjusted 2025]]/$L519,0)</f>
        <v>1</v>
      </c>
      <c r="BC519">
        <f>ROUNDUP(tbl_Data_old[[#This Row],[Adjusted 2026]]/$L519,0)</f>
        <v>1</v>
      </c>
      <c r="BD519">
        <f>ROUNDUP(tbl_Data_old[[#This Row],[Adjusted 2027]]/$L519,0)</f>
        <v>1</v>
      </c>
      <c r="BE519">
        <f>ROUNDUP(tbl_Data_old[[#This Row],[Adjusted 2028]]/$L519,0)</f>
        <v>1</v>
      </c>
      <c r="BF519">
        <f>ROUNDUP(tbl_Data_old[[#This Row],[Adjusted 2029]]/$L519,0)</f>
        <v>1</v>
      </c>
      <c r="BG519">
        <f>ROUNDUP(tbl_Data_old[[#This Row],[Adjusted 2030]]/$L519,0)</f>
        <v>1</v>
      </c>
      <c r="BH519">
        <f>ROUNDUP(tbl_Data_old[[#This Row],[Adjusted 2031]]/$L519,0)</f>
        <v>1</v>
      </c>
      <c r="BI519">
        <f>ROUNDUP(tbl_Data_old[[#This Row],[Adjusted 2032]]/$L519,0)</f>
        <v>1</v>
      </c>
      <c r="BJ519">
        <f>ROUNDUP(tbl_Data_old[[#This Row],[Adjusted 2033]]/$L519,0)</f>
        <v>1</v>
      </c>
      <c r="BK519">
        <f>ROUNDUP(tbl_Data_old[[#This Row],[Adjusted 2034]]/$L519,0)</f>
        <v>1</v>
      </c>
      <c r="BL519" s="3">
        <f t="shared" si="34"/>
        <v>0.81218186040796125</v>
      </c>
      <c r="BM519" s="3">
        <f t="shared" si="34"/>
        <v>1.6272785144218993</v>
      </c>
      <c r="BN519" s="3">
        <f t="shared" si="34"/>
        <v>2.448304826297409</v>
      </c>
      <c r="BO519" s="3">
        <f t="shared" si="34"/>
        <v>3.2769193654598059</v>
      </c>
      <c r="BP519" s="3">
        <f t="shared" si="34"/>
        <v>4.1106238789790748</v>
      </c>
      <c r="BQ519" s="3">
        <f t="shared" si="34"/>
        <v>4.9492953825862118</v>
      </c>
      <c r="BR519" s="3">
        <f t="shared" si="34"/>
        <v>5.7895906342435781</v>
      </c>
      <c r="BS519" s="3">
        <f t="shared" si="34"/>
        <v>6.6304615252792205</v>
      </c>
      <c r="BT519" s="3">
        <f t="shared" si="34"/>
        <v>7.4762157400654656</v>
      </c>
      <c r="BU519" s="3">
        <f t="shared" si="34"/>
        <v>8.3247681440766836</v>
      </c>
      <c r="BV519" t="e">
        <f>VLOOKUP($H519,'1. Set Program Names'!$B$2:$D$15,3,0)*V519</f>
        <v>#N/A</v>
      </c>
      <c r="BW519" t="e">
        <f>VLOOKUP($H519,'1. Set Program Names'!$B$2:$D$15,3,0)*W519</f>
        <v>#N/A</v>
      </c>
      <c r="BX519" t="e">
        <f>VLOOKUP($H519,'1. Set Program Names'!$B$2:$D$15,3,0)*X519</f>
        <v>#N/A</v>
      </c>
      <c r="BY519" t="e">
        <f>VLOOKUP($H519,'1. Set Program Names'!$B$2:$D$15,3,0)*Y519</f>
        <v>#N/A</v>
      </c>
      <c r="BZ519" t="e">
        <f>VLOOKUP($H519,'1. Set Program Names'!$B$2:$D$15,3,0)*Z519</f>
        <v>#N/A</v>
      </c>
      <c r="CA519" t="e">
        <f>VLOOKUP($H519,'1. Set Program Names'!$B$2:$D$15,3,0)*AA519</f>
        <v>#N/A</v>
      </c>
      <c r="CB519" t="e">
        <f>VLOOKUP($H519,'1. Set Program Names'!$B$2:$D$15,3,0)*AB519</f>
        <v>#N/A</v>
      </c>
      <c r="CC519" t="e">
        <f>VLOOKUP($H519,'1. Set Program Names'!$B$2:$D$15,3,0)*AC519</f>
        <v>#N/A</v>
      </c>
      <c r="CD519" t="e">
        <f>VLOOKUP($H519,'1. Set Program Names'!$B$2:$D$15,3,0)*AD519</f>
        <v>#N/A</v>
      </c>
      <c r="CE519" t="e">
        <f>VLOOKUP($H519,'1. Set Program Names'!$B$2:$D$15,3,0)*AE519</f>
        <v>#N/A</v>
      </c>
    </row>
    <row r="520" spans="1:83" x14ac:dyDescent="0.25">
      <c r="A520" s="20" t="s">
        <v>113</v>
      </c>
      <c r="B520" s="20" t="s">
        <v>88</v>
      </c>
      <c r="C520" s="20" t="s">
        <v>122</v>
      </c>
      <c r="D520" s="20" t="s">
        <v>90</v>
      </c>
      <c r="E520" s="20" t="s">
        <v>91</v>
      </c>
      <c r="F520" s="20" t="s">
        <v>90</v>
      </c>
      <c r="G520" s="20" t="s">
        <v>92</v>
      </c>
      <c r="H520" s="20" t="s">
        <v>20</v>
      </c>
      <c r="I520" s="20" t="s">
        <v>155</v>
      </c>
      <c r="J520" s="20" t="s">
        <v>129</v>
      </c>
      <c r="K520" s="20" t="s">
        <v>102</v>
      </c>
      <c r="L520" s="53">
        <v>1193.02</v>
      </c>
      <c r="M520" s="53">
        <v>0.274776433335365</v>
      </c>
      <c r="N520" s="53">
        <v>0.10441874276921487</v>
      </c>
      <c r="O520" s="53">
        <f>8423.99999999998/36663.4359999998*1193.02</f>
        <v>274.11507421181233</v>
      </c>
      <c r="P520" s="53">
        <f>3224.30667036527/36663.4359999998*1193.02</f>
        <v>104.91821726363004</v>
      </c>
      <c r="Q520" s="53">
        <f>1305.20713755829/36663.4359999998*1193.02</f>
        <v>42.471148073786637</v>
      </c>
      <c r="R520" s="53">
        <f>14915.0733686122/36663.4359999998*1193.02</f>
        <v>485.33314854128304</v>
      </c>
      <c r="S520" s="53">
        <f>32320.5298576745/36663.4359999998*1193.02</f>
        <v>1051.702806327346</v>
      </c>
      <c r="T520" s="20">
        <v>11</v>
      </c>
      <c r="U520" s="20">
        <v>0.05</v>
      </c>
      <c r="V520" s="20">
        <v>6991.8124319508197</v>
      </c>
      <c r="W520" s="20">
        <v>12815.725382749501</v>
      </c>
      <c r="X520" s="20">
        <v>17626.690636456799</v>
      </c>
      <c r="Y520" s="20">
        <v>21605.330194533399</v>
      </c>
      <c r="Z520" s="20">
        <v>24901.535824381201</v>
      </c>
      <c r="AA520" s="20">
        <v>27636.821657885201</v>
      </c>
      <c r="AB520" s="20">
        <v>29914.159026104</v>
      </c>
      <c r="AC520" s="20">
        <v>31822.0621120541</v>
      </c>
      <c r="AD520" s="20">
        <v>33435.0019753421</v>
      </c>
      <c r="AE520" s="20">
        <v>34809.054056612396</v>
      </c>
      <c r="AF520" t="str">
        <f t="shared" si="35"/>
        <v>NonResidential</v>
      </c>
      <c r="AG520" t="str">
        <f>tbl_Data_old[[#This Row],[All_Meas_Name_Append]]</f>
        <v>Smart thermostat</v>
      </c>
      <c r="AH520">
        <f>AVERAGEIFS('3. Incentive Adjustment'!G:G,'3. Incentive Adjustment'!A:A,tbl_Data_old[[#This Row],[Trimmed Sector]],'3. Incentive Adjustment'!B:B,tbl_Data_old[[#This Row],[Trimmed Measure Name]])</f>
        <v>0.87546479230069263</v>
      </c>
      <c r="AI520">
        <f>$AH520*tbl_Data_old[[#This Row],[2025 ]]</f>
        <v>6121.0856185432249</v>
      </c>
      <c r="AJ520">
        <f>$AH520*tbl_Data_old[[#This Row],[2026 ]]</f>
        <v>11219.716360391507</v>
      </c>
      <c r="AK520">
        <f>$AH520*tbl_Data_old[[#This Row],[2027 ]]</f>
        <v>15431.547056994215</v>
      </c>
      <c r="AL520">
        <f>$AH520*tbl_Data_old[[#This Row],[2028 ]]</f>
        <v>18914.705911345063</v>
      </c>
      <c r="AM520">
        <f>$AH520*tbl_Data_old[[#This Row],[2029 ]]</f>
        <v>21800.417888460146</v>
      </c>
      <c r="AN520">
        <f>$AH520*tbl_Data_old[[#This Row],[2030 ]]</f>
        <v>24195.06433257175</v>
      </c>
      <c r="AO520">
        <f>$AH520*tbl_Data_old[[#This Row],[2031 ]]</f>
        <v>26188.793018638029</v>
      </c>
      <c r="AP520">
        <f>$AH520*tbl_Data_old[[#This Row],[2032 ]]</f>
        <v>27859.094997509183</v>
      </c>
      <c r="AQ520">
        <f>$AH520*tbl_Data_old[[#This Row],[2033 ]]</f>
        <v>29271.167059916119</v>
      </c>
      <c r="AR520">
        <f>$AH520*tbl_Data_old[[#This Row],[2034 ]]</f>
        <v>30474.101279855753</v>
      </c>
      <c r="AS520">
        <f>SUM(tbl_Data_old[[#This Row],[Adjusted 2025]:[Adjusted 2034]])</f>
        <v>211475.693524225</v>
      </c>
      <c r="AT520" s="3">
        <f>AVERAGEIFS('3. Incentive Adjustment'!F:F,'3. Incentive Adjustment'!A:A,tbl_Data_old[[#This Row],[Trimmed Sector]],'3. Incentive Adjustment'!B:B,tbl_Data_old[[#This Row],[Trimmed Measure Name]])</f>
        <v>50</v>
      </c>
      <c r="AU520" s="3">
        <f>IFERROR(VLOOKUP(tbl_Data_old[[#This Row],[All_Meas_Name_Append]],'IRA Tax Credits'!$A$3:$D$46,4,0),0)</f>
        <v>0</v>
      </c>
      <c r="AV520" s="4">
        <f>tbl_Data_old[[#This Row],[Adj. per unit Incentive ($)]]/tbl_Data_old[[#This Row],[kWh Savings]]*tbl_Data_old[[#This Row],[Sum of Annuals]]</f>
        <v>8863.0405828999101</v>
      </c>
      <c r="AW520" s="4" t="str">
        <f>IFERROR(VLOOKUP(tbl_Data_old[[#This Row],[All_Programs]],'1. Set Program Names'!$B$2:$D$15,3,0)*tbl_Data_old[[#This Row],[Sum of Annuals]],"")</f>
        <v/>
      </c>
      <c r="AX520" s="4">
        <f>tbl_Data_old[[#This Row],[per unit IRA tax ($)]]/tbl_Data_old[[#This Row],[kWh Savings]]*tbl_Data_old[[#This Row],[Sum of Annuals]]</f>
        <v>0</v>
      </c>
      <c r="AY520" s="4">
        <f>tbl_Data_old[[#This Row],[Avoided Costs ($/unit)]]/tbl_Data_old[[#This Row],[kWh Savings]]*tbl_Data_old[[#This Row],[Sum of Annuals]]</f>
        <v>86030.547834959638</v>
      </c>
      <c r="AZ520" s="4">
        <f>tbl_Data_old[[#This Row],[Lost Revenue ($/unit)]]/tbl_Data_old[[#This Row],[kWh Savings]]*tbl_Data_old[[#This Row],[Sum of Annuals]]</f>
        <v>186425.69307257983</v>
      </c>
      <c r="BA520" s="4">
        <f>tbl_Data_old[[#This Row],[Incremental Cost ($/unit)]]/tbl_Data_old[[#This Row],[kWh Savings]]*tbl_Data_old[[#This Row],[Sum of Annuals]]</f>
        <v>48589.860542478265</v>
      </c>
      <c r="BB520">
        <f>ROUNDUP(tbl_Data_old[[#This Row],[Adjusted 2025]]/$L520,0)</f>
        <v>6</v>
      </c>
      <c r="BC520">
        <f>ROUNDUP(tbl_Data_old[[#This Row],[Adjusted 2026]]/$L520,0)</f>
        <v>10</v>
      </c>
      <c r="BD520">
        <f>ROUNDUP(tbl_Data_old[[#This Row],[Adjusted 2027]]/$L520,0)</f>
        <v>13</v>
      </c>
      <c r="BE520">
        <f>ROUNDUP(tbl_Data_old[[#This Row],[Adjusted 2028]]/$L520,0)</f>
        <v>16</v>
      </c>
      <c r="BF520">
        <f>ROUNDUP(tbl_Data_old[[#This Row],[Adjusted 2029]]/$L520,0)</f>
        <v>19</v>
      </c>
      <c r="BG520">
        <f>ROUNDUP(tbl_Data_old[[#This Row],[Adjusted 2030]]/$L520,0)</f>
        <v>21</v>
      </c>
      <c r="BH520">
        <f>ROUNDUP(tbl_Data_old[[#This Row],[Adjusted 2031]]/$L520,0)</f>
        <v>22</v>
      </c>
      <c r="BI520">
        <f>ROUNDUP(tbl_Data_old[[#This Row],[Adjusted 2032]]/$L520,0)</f>
        <v>24</v>
      </c>
      <c r="BJ520">
        <f>ROUNDUP(tbl_Data_old[[#This Row],[Adjusted 2033]]/$L520,0)</f>
        <v>25</v>
      </c>
      <c r="BK520">
        <f>ROUNDUP(tbl_Data_old[[#This Row],[Adjusted 2034]]/$L520,0)</f>
        <v>26</v>
      </c>
      <c r="BL520" s="3">
        <f t="shared" si="34"/>
        <v>293.0299756898803</v>
      </c>
      <c r="BM520" s="3">
        <f t="shared" si="34"/>
        <v>537.1127635223844</v>
      </c>
      <c r="BN520" s="3">
        <f t="shared" si="34"/>
        <v>738.74246183872856</v>
      </c>
      <c r="BO520" s="3">
        <f t="shared" si="34"/>
        <v>905.48901923410335</v>
      </c>
      <c r="BP520" s="3">
        <f t="shared" si="34"/>
        <v>1043.6344664960018</v>
      </c>
      <c r="BQ520" s="3">
        <f t="shared" si="34"/>
        <v>1158.2715150578028</v>
      </c>
      <c r="BR520" s="3">
        <f t="shared" si="34"/>
        <v>1253.7157393046218</v>
      </c>
      <c r="BS520" s="3">
        <f t="shared" si="34"/>
        <v>1333.6768081027183</v>
      </c>
      <c r="BT520" s="3">
        <f t="shared" si="34"/>
        <v>1401.2758367563872</v>
      </c>
      <c r="BU520" s="3">
        <f t="shared" si="34"/>
        <v>1458.8629719791954</v>
      </c>
      <c r="BV520" t="e">
        <f>VLOOKUP($H520,'1. Set Program Names'!$B$2:$D$15,3,0)*V520</f>
        <v>#N/A</v>
      </c>
      <c r="BW520" t="e">
        <f>VLOOKUP($H520,'1. Set Program Names'!$B$2:$D$15,3,0)*W520</f>
        <v>#N/A</v>
      </c>
      <c r="BX520" t="e">
        <f>VLOOKUP($H520,'1. Set Program Names'!$B$2:$D$15,3,0)*X520</f>
        <v>#N/A</v>
      </c>
      <c r="BY520" t="e">
        <f>VLOOKUP($H520,'1. Set Program Names'!$B$2:$D$15,3,0)*Y520</f>
        <v>#N/A</v>
      </c>
      <c r="BZ520" t="e">
        <f>VLOOKUP($H520,'1. Set Program Names'!$B$2:$D$15,3,0)*Z520</f>
        <v>#N/A</v>
      </c>
      <c r="CA520" t="e">
        <f>VLOOKUP($H520,'1. Set Program Names'!$B$2:$D$15,3,0)*AA520</f>
        <v>#N/A</v>
      </c>
      <c r="CB520" t="e">
        <f>VLOOKUP($H520,'1. Set Program Names'!$B$2:$D$15,3,0)*AB520</f>
        <v>#N/A</v>
      </c>
      <c r="CC520" t="e">
        <f>VLOOKUP($H520,'1. Set Program Names'!$B$2:$D$15,3,0)*AC520</f>
        <v>#N/A</v>
      </c>
      <c r="CD520" t="e">
        <f>VLOOKUP($H520,'1. Set Program Names'!$B$2:$D$15,3,0)*AD520</f>
        <v>#N/A</v>
      </c>
      <c r="CE520" t="e">
        <f>VLOOKUP($H520,'1. Set Program Names'!$B$2:$D$15,3,0)*AE520</f>
        <v>#N/A</v>
      </c>
    </row>
    <row r="521" spans="1:83" x14ac:dyDescent="0.25">
      <c r="A521" s="20" t="s">
        <v>113</v>
      </c>
      <c r="B521" s="20" t="s">
        <v>88</v>
      </c>
      <c r="C521" s="20" t="s">
        <v>122</v>
      </c>
      <c r="D521" s="20" t="s">
        <v>90</v>
      </c>
      <c r="E521" s="20" t="s">
        <v>91</v>
      </c>
      <c r="F521" s="20" t="s">
        <v>90</v>
      </c>
      <c r="G521" s="20" t="s">
        <v>92</v>
      </c>
      <c r="H521" s="20" t="s">
        <v>20</v>
      </c>
      <c r="I521" s="20" t="s">
        <v>305</v>
      </c>
      <c r="J521" s="20" t="s">
        <v>129</v>
      </c>
      <c r="K521" s="20" t="s">
        <v>306</v>
      </c>
      <c r="L521" s="20">
        <v>1181.58666666666</v>
      </c>
      <c r="M521" s="20">
        <v>0.32580149205424902</v>
      </c>
      <c r="N521" s="20">
        <v>0</v>
      </c>
      <c r="O521" s="20">
        <v>442.61899981344197</v>
      </c>
      <c r="P521" s="20">
        <v>13015.025349926</v>
      </c>
      <c r="Q521" s="20">
        <v>70.895199999999903</v>
      </c>
      <c r="R521" s="20">
        <v>484.68312470825703</v>
      </c>
      <c r="S521" s="20">
        <v>971.92143438909795</v>
      </c>
      <c r="T521" s="20">
        <v>10</v>
      </c>
      <c r="U521" s="20">
        <v>0.05</v>
      </c>
      <c r="V521" s="20">
        <v>312.67497149635398</v>
      </c>
      <c r="W521" s="20">
        <v>575.40731234269401</v>
      </c>
      <c r="X521" s="20">
        <v>795.186822213857</v>
      </c>
      <c r="Y521" s="20">
        <v>979.85247105343296</v>
      </c>
      <c r="Z521" s="20">
        <v>1135.7354932999201</v>
      </c>
      <c r="AA521" s="20">
        <v>1268.0348734310701</v>
      </c>
      <c r="AB521" s="20">
        <v>1381.01806949652</v>
      </c>
      <c r="AC521" s="20">
        <v>1478.3885832819001</v>
      </c>
      <c r="AD521" s="20">
        <v>1563.4370198389199</v>
      </c>
      <c r="AE521" s="20">
        <v>1638.46787733572</v>
      </c>
      <c r="AF521" t="str">
        <f t="shared" si="35"/>
        <v>NonResidential</v>
      </c>
      <c r="AG521" t="str">
        <f>tbl_Data_old[[#This Row],[All_Meas_Name_Append]]</f>
        <v>Window shade film</v>
      </c>
      <c r="AH521">
        <f>AVERAGEIFS('3. Incentive Adjustment'!G:G,'3. Incentive Adjustment'!A:A,tbl_Data_old[[#This Row],[Trimmed Sector]],'3. Incentive Adjustment'!B:B,tbl_Data_old[[#This Row],[Trimmed Measure Name]])</f>
        <v>3.2127764592544555E-13</v>
      </c>
      <c r="AI521">
        <f>$AH521*tbl_Data_old[[#This Row],[2025 ]]</f>
        <v>1.0045547878215439E-10</v>
      </c>
      <c r="AJ521">
        <f>$AH521*tbl_Data_old[[#This Row],[2026 ]]</f>
        <v>1.8486550675774829E-10</v>
      </c>
      <c r="AK521">
        <f>$AH521*tbl_Data_old[[#This Row],[2027 ]]</f>
        <v>2.5547575031180379E-10</v>
      </c>
      <c r="AL521">
        <f>$AH521*tbl_Data_old[[#This Row],[2028 ]]</f>
        <v>3.1480469525427772E-10</v>
      </c>
      <c r="AM521">
        <f>$AH521*tbl_Data_old[[#This Row],[2029 ]]</f>
        <v>3.6488642568137299E-10</v>
      </c>
      <c r="AN521">
        <f>$AH521*tbl_Data_old[[#This Row],[2030 ]]</f>
        <v>4.0739125908730448E-10</v>
      </c>
      <c r="AO521">
        <f>$AH521*tbl_Data_old[[#This Row],[2031 ]]</f>
        <v>4.4369023434834531E-10</v>
      </c>
      <c r="AP521">
        <f>$AH521*tbl_Data_old[[#This Row],[2032 ]]</f>
        <v>4.7497320379986337E-10</v>
      </c>
      <c r="AQ521">
        <f>$AH521*tbl_Data_old[[#This Row],[2033 ]]</f>
        <v>5.0229736528654235E-10</v>
      </c>
      <c r="AR521">
        <f>$AH521*tbl_Data_old[[#This Row],[2034 ]]</f>
        <v>5.2640310255488186E-10</v>
      </c>
      <c r="AS521">
        <f>SUM(tbl_Data_old[[#This Row],[Adjusted 2025]:[Adjusted 2034]])</f>
        <v>3.5752430218642947E-9</v>
      </c>
      <c r="AT521" s="3">
        <f>AVERAGEIFS('3. Incentive Adjustment'!F:F,'3. Incentive Adjustment'!A:A,tbl_Data_old[[#This Row],[Trimmed Sector]],'3. Incentive Adjustment'!B:B,tbl_Data_old[[#This Row],[Trimmed Measure Name]])</f>
        <v>132.78569994403261</v>
      </c>
      <c r="AU521" s="3">
        <f>IFERROR(VLOOKUP(tbl_Data_old[[#This Row],[All_Meas_Name_Append]],'IRA Tax Credits'!$A$3:$D$46,4,0),0)</f>
        <v>0</v>
      </c>
      <c r="AV521" s="4">
        <f>tbl_Data_old[[#This Row],[Adj. per unit Incentive ($)]]/tbl_Data_old[[#This Row],[kWh Savings]]*tbl_Data_old[[#This Row],[Sum of Annuals]]</f>
        <v>4.017827557817212E-10</v>
      </c>
      <c r="AW521" s="4" t="str">
        <f>IFERROR(VLOOKUP(tbl_Data_old[[#This Row],[All_Programs]],'1. Set Program Names'!$B$2:$D$15,3,0)*tbl_Data_old[[#This Row],[Sum of Annuals]],"")</f>
        <v/>
      </c>
      <c r="AX521" s="4">
        <f>tbl_Data_old[[#This Row],[per unit IRA tax ($)]]/tbl_Data_old[[#This Row],[kWh Savings]]*tbl_Data_old[[#This Row],[Sum of Annuals]]</f>
        <v>0</v>
      </c>
      <c r="AY521" s="4">
        <f>tbl_Data_old[[#This Row],[Avoided Costs ($/unit)]]/tbl_Data_old[[#This Row],[kWh Savings]]*tbl_Data_old[[#This Row],[Sum of Annuals]]</f>
        <v>1.466553413569822E-9</v>
      </c>
      <c r="AZ521" s="4">
        <f>tbl_Data_old[[#This Row],[Lost Revenue ($/unit)]]/tbl_Data_old[[#This Row],[kWh Savings]]*tbl_Data_old[[#This Row],[Sum of Annuals]]</f>
        <v>2.9408383016903637E-9</v>
      </c>
      <c r="BA521" s="4">
        <f>tbl_Data_old[[#This Row],[Incremental Cost ($/unit)]]/tbl_Data_old[[#This Row],[kWh Savings]]*tbl_Data_old[[#This Row],[Sum of Annuals]]</f>
        <v>1.3392758526057371E-9</v>
      </c>
      <c r="BB521">
        <f>ROUNDUP(tbl_Data_old[[#This Row],[Adjusted 2025]]/$L521,0)</f>
        <v>1</v>
      </c>
      <c r="BC521">
        <f>ROUNDUP(tbl_Data_old[[#This Row],[Adjusted 2026]]/$L521,0)</f>
        <v>1</v>
      </c>
      <c r="BD521">
        <f>ROUNDUP(tbl_Data_old[[#This Row],[Adjusted 2027]]/$L521,0)</f>
        <v>1</v>
      </c>
      <c r="BE521">
        <f>ROUNDUP(tbl_Data_old[[#This Row],[Adjusted 2028]]/$L521,0)</f>
        <v>1</v>
      </c>
      <c r="BF521">
        <f>ROUNDUP(tbl_Data_old[[#This Row],[Adjusted 2029]]/$L521,0)</f>
        <v>1</v>
      </c>
      <c r="BG521">
        <f>ROUNDUP(tbl_Data_old[[#This Row],[Adjusted 2030]]/$L521,0)</f>
        <v>1</v>
      </c>
      <c r="BH521">
        <f>ROUNDUP(tbl_Data_old[[#This Row],[Adjusted 2031]]/$L521,0)</f>
        <v>1</v>
      </c>
      <c r="BI521">
        <f>ROUNDUP(tbl_Data_old[[#This Row],[Adjusted 2032]]/$L521,0)</f>
        <v>1</v>
      </c>
      <c r="BJ521">
        <f>ROUNDUP(tbl_Data_old[[#This Row],[Adjusted 2033]]/$L521,0)</f>
        <v>1</v>
      </c>
      <c r="BK521">
        <f>ROUNDUP(tbl_Data_old[[#This Row],[Adjusted 2034]]/$L521,0)</f>
        <v>1</v>
      </c>
      <c r="BL521" s="3">
        <f t="shared" si="34"/>
        <v>35.138146118601014</v>
      </c>
      <c r="BM521" s="3">
        <f t="shared" si="34"/>
        <v>64.663782080315443</v>
      </c>
      <c r="BN521" s="3">
        <f t="shared" si="34"/>
        <v>89.362415599875831</v>
      </c>
      <c r="BO521" s="3">
        <f t="shared" si="34"/>
        <v>110.11498342120831</v>
      </c>
      <c r="BP521" s="3">
        <f t="shared" si="34"/>
        <v>127.63298426052418</v>
      </c>
      <c r="BQ521" s="3">
        <f t="shared" si="34"/>
        <v>142.50067555094427</v>
      </c>
      <c r="BR521" s="3">
        <f t="shared" si="34"/>
        <v>155.19763058157938</v>
      </c>
      <c r="BS521" s="3">
        <f t="shared" si="34"/>
        <v>166.14004571848724</v>
      </c>
      <c r="BT521" s="3">
        <f t="shared" si="34"/>
        <v>175.69771634558438</v>
      </c>
      <c r="BU521" s="3">
        <f t="shared" si="34"/>
        <v>184.12961999783187</v>
      </c>
      <c r="BV521" t="e">
        <f>VLOOKUP($H521,'1. Set Program Names'!$B$2:$D$15,3,0)*V521</f>
        <v>#N/A</v>
      </c>
      <c r="BW521" t="e">
        <f>VLOOKUP($H521,'1. Set Program Names'!$B$2:$D$15,3,0)*W521</f>
        <v>#N/A</v>
      </c>
      <c r="BX521" t="e">
        <f>VLOOKUP($H521,'1. Set Program Names'!$B$2:$D$15,3,0)*X521</f>
        <v>#N/A</v>
      </c>
      <c r="BY521" t="e">
        <f>VLOOKUP($H521,'1. Set Program Names'!$B$2:$D$15,3,0)*Y521</f>
        <v>#N/A</v>
      </c>
      <c r="BZ521" t="e">
        <f>VLOOKUP($H521,'1. Set Program Names'!$B$2:$D$15,3,0)*Z521</f>
        <v>#N/A</v>
      </c>
      <c r="CA521" t="e">
        <f>VLOOKUP($H521,'1. Set Program Names'!$B$2:$D$15,3,0)*AA521</f>
        <v>#N/A</v>
      </c>
      <c r="CB521" t="e">
        <f>VLOOKUP($H521,'1. Set Program Names'!$B$2:$D$15,3,0)*AB521</f>
        <v>#N/A</v>
      </c>
      <c r="CC521" t="e">
        <f>VLOOKUP($H521,'1. Set Program Names'!$B$2:$D$15,3,0)*AC521</f>
        <v>#N/A</v>
      </c>
      <c r="CD521" t="e">
        <f>VLOOKUP($H521,'1. Set Program Names'!$B$2:$D$15,3,0)*AD521</f>
        <v>#N/A</v>
      </c>
      <c r="CE521" t="e">
        <f>VLOOKUP($H521,'1. Set Program Names'!$B$2:$D$15,3,0)*AE521</f>
        <v>#N/A</v>
      </c>
    </row>
    <row r="522" spans="1:83" x14ac:dyDescent="0.25">
      <c r="A522" s="20" t="s">
        <v>114</v>
      </c>
      <c r="B522" s="20" t="s">
        <v>88</v>
      </c>
      <c r="C522" s="20" t="s">
        <v>122</v>
      </c>
      <c r="D522" s="20" t="s">
        <v>90</v>
      </c>
      <c r="E522" s="20" t="s">
        <v>91</v>
      </c>
      <c r="F522" s="20" t="s">
        <v>90</v>
      </c>
      <c r="G522" s="20" t="s">
        <v>92</v>
      </c>
      <c r="H522" s="20" t="s">
        <v>20</v>
      </c>
      <c r="I522" s="20" t="s">
        <v>237</v>
      </c>
      <c r="J522" s="20" t="s">
        <v>129</v>
      </c>
      <c r="K522" s="20" t="s">
        <v>102</v>
      </c>
      <c r="L522" s="20">
        <v>2568.1199999999699</v>
      </c>
      <c r="M522" s="20">
        <v>0.53641456399840104</v>
      </c>
      <c r="N522" s="20">
        <v>2.1892485513222901E-2</v>
      </c>
      <c r="O522" s="53">
        <f>9025.1/929.29*tbl_Data_old[[#This Row],[kWh Savings]]</f>
        <v>24941.126894725789</v>
      </c>
      <c r="P522" s="20">
        <v>35498.089296558101</v>
      </c>
      <c r="Q522" s="20">
        <v>154.08719999999801</v>
      </c>
      <c r="R522" s="20">
        <v>1534.4473108970501</v>
      </c>
      <c r="S522" s="20">
        <v>3958.9826982459099</v>
      </c>
      <c r="T522" s="20">
        <v>30</v>
      </c>
      <c r="U522" s="20">
        <v>0.05</v>
      </c>
      <c r="V522" s="20">
        <v>1.81257838799656E-2</v>
      </c>
      <c r="W522" s="20">
        <v>2.0250417388917301E-2</v>
      </c>
      <c r="X522" s="20">
        <v>2.2554636980950501E-2</v>
      </c>
      <c r="Y522" s="20">
        <v>2.5084692280651001E-2</v>
      </c>
      <c r="Z522" s="20">
        <v>2.7760385244358501E-2</v>
      </c>
      <c r="AA522" s="20">
        <v>3.0578318461102701E-2</v>
      </c>
      <c r="AB522" s="20">
        <v>3.3461505838433402E-2</v>
      </c>
      <c r="AC522" s="20">
        <v>3.6456714346071402E-2</v>
      </c>
      <c r="AD522" s="20">
        <v>3.96571489331193E-2</v>
      </c>
      <c r="AE522" s="20">
        <v>4.2891273963072102E-2</v>
      </c>
      <c r="AF522" t="str">
        <f t="shared" si="35"/>
        <v>NonResidential</v>
      </c>
      <c r="AG522" t="str">
        <f>tbl_Data_old[[#This Row],[All_Meas_Name_Append]]</f>
        <v>Ceiling Insulation(R19 to R38)</v>
      </c>
      <c r="AH522">
        <f>AVERAGEIFS('3. Incentive Adjustment'!G:G,'3. Incentive Adjustment'!A:A,tbl_Data_old[[#This Row],[Trimmed Sector]],'3. Incentive Adjustment'!B:B,tbl_Data_old[[#This Row],[Trimmed Measure Name]])</f>
        <v>3.9688771318830651E-15</v>
      </c>
      <c r="AI522">
        <f>$AH522*tbl_Data_old[[#This Row],[2025 ]]</f>
        <v>7.193900913865017E-17</v>
      </c>
      <c r="AJ522">
        <f>$AH522*tbl_Data_old[[#This Row],[2026 ]]</f>
        <v>8.0371418485961048E-17</v>
      </c>
      <c r="AK522">
        <f>$AH522*tbl_Data_old[[#This Row],[2027 ]]</f>
        <v>8.9516582931618536E-17</v>
      </c>
      <c r="AL522">
        <f>$AH522*tbl_Data_old[[#This Row],[2028 ]]</f>
        <v>9.9558061552999404E-17</v>
      </c>
      <c r="AM522">
        <f>$AH522*tbl_Data_old[[#This Row],[2029 ]]</f>
        <v>1.1017755816859852E-16</v>
      </c>
      <c r="AN522">
        <f>$AH522*tbl_Data_old[[#This Row],[2030 ]]</f>
        <v>1.2136158887170827E-16</v>
      </c>
      <c r="AO522">
        <f>$AH522*tbl_Data_old[[#This Row],[2031 ]]</f>
        <v>1.3280460532053001E-16</v>
      </c>
      <c r="AP522">
        <f>$AH522*tbl_Data_old[[#This Row],[2032 ]]</f>
        <v>1.4469221987171607E-16</v>
      </c>
      <c r="AQ522">
        <f>$AH522*tbl_Data_old[[#This Row],[2033 ]]</f>
        <v>1.5739435151633809E-16</v>
      </c>
      <c r="AR522">
        <f>$AH522*tbl_Data_old[[#This Row],[2034 ]]</f>
        <v>1.702301963893684E-16</v>
      </c>
      <c r="AS522">
        <f>SUM(tbl_Data_old[[#This Row],[Adjusted 2025]:[Adjusted 2034]])</f>
        <v>1.1780455922474887E-15</v>
      </c>
      <c r="AT522" s="3">
        <f>AVERAGEIFS('3. Incentive Adjustment'!F:F,'3. Incentive Adjustment'!A:A,tbl_Data_old[[#This Row],[Trimmed Sector]],'3. Incentive Adjustment'!B:B,tbl_Data_old[[#This Row],[Trimmed Measure Name]])</f>
        <v>3222.5963039661074</v>
      </c>
      <c r="AU522" s="3">
        <f>IFERROR(VLOOKUP(tbl_Data_old[[#This Row],[All_Meas_Name_Append]],'IRA Tax Credits'!$A$3:$D$46,4,0),0)</f>
        <v>0</v>
      </c>
      <c r="AV522" s="4">
        <f>tbl_Data_old[[#This Row],[Adj. per unit Incentive ($)]]/tbl_Data_old[[#This Row],[kWh Savings]]*tbl_Data_old[[#This Row],[Sum of Annuals]]</f>
        <v>1.4782663471646051E-15</v>
      </c>
      <c r="AW522" s="4" t="str">
        <f>IFERROR(VLOOKUP(tbl_Data_old[[#This Row],[All_Programs]],'1. Set Program Names'!$B$2:$D$15,3,0)*tbl_Data_old[[#This Row],[Sum of Annuals]],"")</f>
        <v/>
      </c>
      <c r="AX522" s="4">
        <f>tbl_Data_old[[#This Row],[per unit IRA tax ($)]]/tbl_Data_old[[#This Row],[kWh Savings]]*tbl_Data_old[[#This Row],[Sum of Annuals]]</f>
        <v>0</v>
      </c>
      <c r="AY522" s="4">
        <f>tbl_Data_old[[#This Row],[Avoided Costs ($/unit)]]/tbl_Data_old[[#This Row],[kWh Savings]]*tbl_Data_old[[#This Row],[Sum of Annuals]]</f>
        <v>7.0388022800270355E-16</v>
      </c>
      <c r="AZ522" s="4">
        <f>tbl_Data_old[[#This Row],[Lost Revenue ($/unit)]]/tbl_Data_old[[#This Row],[kWh Savings]]*tbl_Data_old[[#This Row],[Sum of Annuals]]</f>
        <v>1.8160608217111032E-15</v>
      </c>
      <c r="BA522" s="4">
        <f>tbl_Data_old[[#This Row],[Incremental Cost ($/unit)]]/tbl_Data_old[[#This Row],[kWh Savings]]*tbl_Data_old[[#This Row],[Sum of Annuals]]</f>
        <v>1.1440970283326852E-14</v>
      </c>
      <c r="BB522">
        <f>ROUNDUP(tbl_Data_old[[#This Row],[Adjusted 2025]]/$L522,0)</f>
        <v>1</v>
      </c>
      <c r="BC522">
        <f>ROUNDUP(tbl_Data_old[[#This Row],[Adjusted 2026]]/$L522,0)</f>
        <v>1</v>
      </c>
      <c r="BD522">
        <f>ROUNDUP(tbl_Data_old[[#This Row],[Adjusted 2027]]/$L522,0)</f>
        <v>1</v>
      </c>
      <c r="BE522">
        <f>ROUNDUP(tbl_Data_old[[#This Row],[Adjusted 2028]]/$L522,0)</f>
        <v>1</v>
      </c>
      <c r="BF522">
        <f>ROUNDUP(tbl_Data_old[[#This Row],[Adjusted 2029]]/$L522,0)</f>
        <v>1</v>
      </c>
      <c r="BG522">
        <f>ROUNDUP(tbl_Data_old[[#This Row],[Adjusted 2030]]/$L522,0)</f>
        <v>1</v>
      </c>
      <c r="BH522">
        <f>ROUNDUP(tbl_Data_old[[#This Row],[Adjusted 2031]]/$L522,0)</f>
        <v>1</v>
      </c>
      <c r="BI522">
        <f>ROUNDUP(tbl_Data_old[[#This Row],[Adjusted 2032]]/$L522,0)</f>
        <v>1</v>
      </c>
      <c r="BJ522">
        <f>ROUNDUP(tbl_Data_old[[#This Row],[Adjusted 2033]]/$L522,0)</f>
        <v>1</v>
      </c>
      <c r="BK522">
        <f>ROUNDUP(tbl_Data_old[[#This Row],[Adjusted 2034]]/$L522,0)</f>
        <v>1</v>
      </c>
      <c r="BL522" s="3">
        <f t="shared" si="34"/>
        <v>2.2745075829036916E-2</v>
      </c>
      <c r="BM522" s="3">
        <f t="shared" si="34"/>
        <v>2.5411164677389162E-2</v>
      </c>
      <c r="BN522" s="3">
        <f t="shared" si="34"/>
        <v>2.830260648727833E-2</v>
      </c>
      <c r="BO522" s="3">
        <f t="shared" si="34"/>
        <v>3.1477437436628355E-2</v>
      </c>
      <c r="BP522" s="3">
        <f t="shared" si="34"/>
        <v>3.4835021293843756E-2</v>
      </c>
      <c r="BQ522" s="3">
        <f t="shared" si="34"/>
        <v>3.8371094829777935E-2</v>
      </c>
      <c r="BR522" s="3">
        <f t="shared" si="34"/>
        <v>4.1989052318457502E-2</v>
      </c>
      <c r="BS522" s="3">
        <f t="shared" si="34"/>
        <v>4.5747579126520277E-2</v>
      </c>
      <c r="BT522" s="3">
        <f t="shared" si="34"/>
        <v>4.9763633154877973E-2</v>
      </c>
      <c r="BU522" s="3">
        <f t="shared" si="34"/>
        <v>5.3821963516422724E-2</v>
      </c>
      <c r="BV522" t="e">
        <f>VLOOKUP($H522,'1. Set Program Names'!$B$2:$D$15,3,0)*V522</f>
        <v>#N/A</v>
      </c>
      <c r="BW522" t="e">
        <f>VLOOKUP($H522,'1. Set Program Names'!$B$2:$D$15,3,0)*W522</f>
        <v>#N/A</v>
      </c>
      <c r="BX522" t="e">
        <f>VLOOKUP($H522,'1. Set Program Names'!$B$2:$D$15,3,0)*X522</f>
        <v>#N/A</v>
      </c>
      <c r="BY522" t="e">
        <f>VLOOKUP($H522,'1. Set Program Names'!$B$2:$D$15,3,0)*Y522</f>
        <v>#N/A</v>
      </c>
      <c r="BZ522" t="e">
        <f>VLOOKUP($H522,'1. Set Program Names'!$B$2:$D$15,3,0)*Z522</f>
        <v>#N/A</v>
      </c>
      <c r="CA522" t="e">
        <f>VLOOKUP($H522,'1. Set Program Names'!$B$2:$D$15,3,0)*AA522</f>
        <v>#N/A</v>
      </c>
      <c r="CB522" t="e">
        <f>VLOOKUP($H522,'1. Set Program Names'!$B$2:$D$15,3,0)*AB522</f>
        <v>#N/A</v>
      </c>
      <c r="CC522" t="e">
        <f>VLOOKUP($H522,'1. Set Program Names'!$B$2:$D$15,3,0)*AC522</f>
        <v>#N/A</v>
      </c>
      <c r="CD522" t="e">
        <f>VLOOKUP($H522,'1. Set Program Names'!$B$2:$D$15,3,0)*AD522</f>
        <v>#N/A</v>
      </c>
      <c r="CE522" t="e">
        <f>VLOOKUP($H522,'1. Set Program Names'!$B$2:$D$15,3,0)*AE522</f>
        <v>#N/A</v>
      </c>
    </row>
    <row r="523" spans="1:83" x14ac:dyDescent="0.25">
      <c r="A523" s="20" t="s">
        <v>114</v>
      </c>
      <c r="B523" s="20" t="s">
        <v>88</v>
      </c>
      <c r="C523" s="20" t="s">
        <v>122</v>
      </c>
      <c r="D523" s="20" t="s">
        <v>90</v>
      </c>
      <c r="E523" s="20" t="s">
        <v>91</v>
      </c>
      <c r="F523" s="20" t="s">
        <v>90</v>
      </c>
      <c r="G523" s="20" t="s">
        <v>92</v>
      </c>
      <c r="H523" s="20" t="s">
        <v>20</v>
      </c>
      <c r="I523" s="20" t="s">
        <v>238</v>
      </c>
      <c r="J523" s="20" t="s">
        <v>129</v>
      </c>
      <c r="K523" s="20" t="s">
        <v>102</v>
      </c>
      <c r="L523" s="20">
        <v>4477.6116666666303</v>
      </c>
      <c r="M523" s="20">
        <v>0.90610878358590996</v>
      </c>
      <c r="N523" s="20">
        <v>4.9616670393602701E-2</v>
      </c>
      <c r="O523" s="53">
        <f>9351.31/1137.9*tbl_Data_old[[#This Row],[kWh Savings]]</f>
        <v>36797.200768623181</v>
      </c>
      <c r="P523" s="20">
        <v>44221.719775682497</v>
      </c>
      <c r="Q523" s="20">
        <v>268.65669999999699</v>
      </c>
      <c r="R523" s="20">
        <v>2670.7044942461998</v>
      </c>
      <c r="S523" s="20">
        <v>6902.6319322295803</v>
      </c>
      <c r="T523" s="20">
        <v>30</v>
      </c>
      <c r="U523" s="20">
        <v>0.05</v>
      </c>
      <c r="V523" s="20">
        <v>1.1459983861124999E-2</v>
      </c>
      <c r="W523" s="20">
        <v>1.2786406613651E-2</v>
      </c>
      <c r="X523" s="20">
        <v>1.42170706971468E-2</v>
      </c>
      <c r="Y523" s="20">
        <v>1.5783581329116302E-2</v>
      </c>
      <c r="Z523" s="20">
        <v>1.7437469525198999E-2</v>
      </c>
      <c r="AA523" s="20">
        <v>1.9175003427041499E-2</v>
      </c>
      <c r="AB523" s="20">
        <v>2.0950882752557399E-2</v>
      </c>
      <c r="AC523" s="20">
        <v>2.27949106244568E-2</v>
      </c>
      <c r="AD523" s="20">
        <v>2.4761997617404299E-2</v>
      </c>
      <c r="AE523" s="20">
        <v>2.67493353139544E-2</v>
      </c>
      <c r="AF523" t="str">
        <f t="shared" si="35"/>
        <v>NonResidential</v>
      </c>
      <c r="AG523" t="str">
        <f>tbl_Data_old[[#This Row],[All_Meas_Name_Append]]</f>
        <v>Ceiling Insulation(R19 to R49)</v>
      </c>
      <c r="AH523">
        <f>AVERAGEIFS('3. Incentive Adjustment'!G:G,'3. Incentive Adjustment'!A:A,tbl_Data_old[[#This Row],[Trimmed Sector]],'3. Incentive Adjustment'!B:B,tbl_Data_old[[#This Row],[Trimmed Measure Name]])</f>
        <v>7.9373870200739678E-11</v>
      </c>
      <c r="AI523">
        <f>$AH523*tbl_Data_old[[#This Row],[2025 ]]</f>
        <v>9.0962327149550715E-13</v>
      </c>
      <c r="AJ523">
        <f>$AH523*tbl_Data_old[[#This Row],[2026 ]]</f>
        <v>1.0149065788858138E-12</v>
      </c>
      <c r="AK523">
        <f>$AH523*tbl_Data_old[[#This Row],[2027 ]]</f>
        <v>1.1284639241500698E-12</v>
      </c>
      <c r="AL523">
        <f>$AH523*tbl_Data_old[[#This Row],[2028 ]]</f>
        <v>1.2528039357200957E-12</v>
      </c>
      <c r="AM523">
        <f>$AH523*tbl_Data_old[[#This Row],[2029 ]]</f>
        <v>1.3840794427224991E-12</v>
      </c>
      <c r="AN523">
        <f>$AH523*tbl_Data_old[[#This Row],[2030 ]]</f>
        <v>1.5219942331167304E-12</v>
      </c>
      <c r="AO523">
        <f>$AH523*tbl_Data_old[[#This Row],[2031 ]]</f>
        <v>1.6629526481924066E-12</v>
      </c>
      <c r="AP523">
        <f>$AH523*tbl_Data_old[[#This Row],[2032 ]]</f>
        <v>1.8093202771430959E-12</v>
      </c>
      <c r="AQ523">
        <f>$AH523*tbl_Data_old[[#This Row],[2033 ]]</f>
        <v>1.9654555847948741E-12</v>
      </c>
      <c r="AR523">
        <f>$AH523*tbl_Data_old[[#This Row],[2034 ]]</f>
        <v>2.1231982691658789E-12</v>
      </c>
      <c r="AS523">
        <f>SUM(tbl_Data_old[[#This Row],[Adjusted 2025]:[Adjusted 2034]])</f>
        <v>1.4772798165386971E-11</v>
      </c>
      <c r="AT523" s="3">
        <f>AVERAGEIFS('3. Incentive Adjustment'!F:F,'3. Incentive Adjustment'!A:A,tbl_Data_old[[#This Row],[Trimmed Sector]],'3. Incentive Adjustment'!B:B,tbl_Data_old[[#This Row],[Trimmed Measure Name]])</f>
        <v>4754.4974087894998</v>
      </c>
      <c r="AU523" s="3">
        <f>IFERROR(VLOOKUP(tbl_Data_old[[#This Row],[All_Meas_Name_Append]],'IRA Tax Credits'!$A$3:$D$46,4,0),0)</f>
        <v>500</v>
      </c>
      <c r="AV523" s="4">
        <f>tbl_Data_old[[#This Row],[Adj. per unit Incentive ($)]]/tbl_Data_old[[#This Row],[kWh Savings]]*tbl_Data_old[[#This Row],[Sum of Annuals]]</f>
        <v>1.5686315792139903E-11</v>
      </c>
      <c r="AW523" s="4" t="str">
        <f>IFERROR(VLOOKUP(tbl_Data_old[[#This Row],[All_Programs]],'1. Set Program Names'!$B$2:$D$15,3,0)*tbl_Data_old[[#This Row],[Sum of Annuals]],"")</f>
        <v/>
      </c>
      <c r="AX523" s="4">
        <f>tbl_Data_old[[#This Row],[per unit IRA tax ($)]]/tbl_Data_old[[#This Row],[kWh Savings]]*tbl_Data_old[[#This Row],[Sum of Annuals]]</f>
        <v>1.6496292292789002E-12</v>
      </c>
      <c r="AY523" s="4">
        <f>tbl_Data_old[[#This Row],[Avoided Costs ($/unit)]]/tbl_Data_old[[#This Row],[kWh Savings]]*tbl_Data_old[[#This Row],[Sum of Annuals]]</f>
        <v>8.8113443929501065E-12</v>
      </c>
      <c r="AZ523" s="4">
        <f>tbl_Data_old[[#This Row],[Lost Revenue ($/unit)]]/tbl_Data_old[[#This Row],[kWh Savings]]*tbl_Data_old[[#This Row],[Sum of Annuals]]</f>
        <v>2.2773566788719615E-11</v>
      </c>
      <c r="BA523" s="4">
        <f>tbl_Data_old[[#This Row],[Incremental Cost ($/unit)]]/tbl_Data_old[[#This Row],[kWh Savings]]*tbl_Data_old[[#This Row],[Sum of Annuals]]</f>
        <v>1.2140347588712963E-10</v>
      </c>
      <c r="BB523">
        <f>ROUNDUP(tbl_Data_old[[#This Row],[Adjusted 2025]]/$L523,0)</f>
        <v>1</v>
      </c>
      <c r="BC523">
        <f>ROUNDUP(tbl_Data_old[[#This Row],[Adjusted 2026]]/$L523,0)</f>
        <v>1</v>
      </c>
      <c r="BD523">
        <f>ROUNDUP(tbl_Data_old[[#This Row],[Adjusted 2027]]/$L523,0)</f>
        <v>1</v>
      </c>
      <c r="BE523">
        <f>ROUNDUP(tbl_Data_old[[#This Row],[Adjusted 2028]]/$L523,0)</f>
        <v>1</v>
      </c>
      <c r="BF523">
        <f>ROUNDUP(tbl_Data_old[[#This Row],[Adjusted 2029]]/$L523,0)</f>
        <v>1</v>
      </c>
      <c r="BG523">
        <f>ROUNDUP(tbl_Data_old[[#This Row],[Adjusted 2030]]/$L523,0)</f>
        <v>1</v>
      </c>
      <c r="BH523">
        <f>ROUNDUP(tbl_Data_old[[#This Row],[Adjusted 2031]]/$L523,0)</f>
        <v>1</v>
      </c>
      <c r="BI523">
        <f>ROUNDUP(tbl_Data_old[[#This Row],[Adjusted 2032]]/$L523,0)</f>
        <v>1</v>
      </c>
      <c r="BJ523">
        <f>ROUNDUP(tbl_Data_old[[#This Row],[Adjusted 2033]]/$L523,0)</f>
        <v>1</v>
      </c>
      <c r="BK523">
        <f>ROUNDUP(tbl_Data_old[[#This Row],[Adjusted 2034]]/$L523,0)</f>
        <v>1</v>
      </c>
      <c r="BL523" s="3">
        <f t="shared" si="34"/>
        <v>1.2168644274828526E-2</v>
      </c>
      <c r="BM523" s="3">
        <f t="shared" si="34"/>
        <v>1.3577090118132122E-2</v>
      </c>
      <c r="BN523" s="3">
        <f t="shared" si="34"/>
        <v>1.5096223349016528E-2</v>
      </c>
      <c r="BO523" s="3">
        <f t="shared" si="34"/>
        <v>1.6759603582721532E-2</v>
      </c>
      <c r="BP523" s="3">
        <f t="shared" si="34"/>
        <v>1.8515764618579442E-2</v>
      </c>
      <c r="BQ523" s="3">
        <f t="shared" si="34"/>
        <v>2.0360743828253529E-2</v>
      </c>
      <c r="BR523" s="3">
        <f t="shared" si="34"/>
        <v>2.2246439658989543E-2</v>
      </c>
      <c r="BS523" s="3">
        <f t="shared" si="34"/>
        <v>2.4204498193620853E-2</v>
      </c>
      <c r="BT523" s="3">
        <f t="shared" si="34"/>
        <v>2.629322555701789E-2</v>
      </c>
      <c r="BU523" s="3">
        <f t="shared" si="34"/>
        <v>2.8403455883372057E-2</v>
      </c>
      <c r="BV523" t="e">
        <f>VLOOKUP($H523,'1. Set Program Names'!$B$2:$D$15,3,0)*V523</f>
        <v>#N/A</v>
      </c>
      <c r="BW523" t="e">
        <f>VLOOKUP($H523,'1. Set Program Names'!$B$2:$D$15,3,0)*W523</f>
        <v>#N/A</v>
      </c>
      <c r="BX523" t="e">
        <f>VLOOKUP($H523,'1. Set Program Names'!$B$2:$D$15,3,0)*X523</f>
        <v>#N/A</v>
      </c>
      <c r="BY523" t="e">
        <f>VLOOKUP($H523,'1. Set Program Names'!$B$2:$D$15,3,0)*Y523</f>
        <v>#N/A</v>
      </c>
      <c r="BZ523" t="e">
        <f>VLOOKUP($H523,'1. Set Program Names'!$B$2:$D$15,3,0)*Z523</f>
        <v>#N/A</v>
      </c>
      <c r="CA523" t="e">
        <f>VLOOKUP($H523,'1. Set Program Names'!$B$2:$D$15,3,0)*AA523</f>
        <v>#N/A</v>
      </c>
      <c r="CB523" t="e">
        <f>VLOOKUP($H523,'1. Set Program Names'!$B$2:$D$15,3,0)*AB523</f>
        <v>#N/A</v>
      </c>
      <c r="CC523" t="e">
        <f>VLOOKUP($H523,'1. Set Program Names'!$B$2:$D$15,3,0)*AC523</f>
        <v>#N/A</v>
      </c>
      <c r="CD523" t="e">
        <f>VLOOKUP($H523,'1. Set Program Names'!$B$2:$D$15,3,0)*AD523</f>
        <v>#N/A</v>
      </c>
      <c r="CE523" t="e">
        <f>VLOOKUP($H523,'1. Set Program Names'!$B$2:$D$15,3,0)*AE523</f>
        <v>#N/A</v>
      </c>
    </row>
    <row r="524" spans="1:83" x14ac:dyDescent="0.25">
      <c r="A524" s="20" t="s">
        <v>114</v>
      </c>
      <c r="B524" s="20" t="s">
        <v>88</v>
      </c>
      <c r="C524" s="20" t="s">
        <v>122</v>
      </c>
      <c r="D524" s="20" t="s">
        <v>90</v>
      </c>
      <c r="E524" s="20" t="s">
        <v>91</v>
      </c>
      <c r="F524" s="20" t="s">
        <v>90</v>
      </c>
      <c r="G524" s="20" t="s">
        <v>92</v>
      </c>
      <c r="H524" s="20" t="s">
        <v>20</v>
      </c>
      <c r="I524" s="20" t="s">
        <v>240</v>
      </c>
      <c r="J524" s="20" t="s">
        <v>129</v>
      </c>
      <c r="K524" s="20" t="s">
        <v>102</v>
      </c>
      <c r="L524" s="20">
        <v>18717.787499999999</v>
      </c>
      <c r="M524" s="20">
        <v>3.6380387810097399</v>
      </c>
      <c r="N524" s="20">
        <v>0.14255501576814</v>
      </c>
      <c r="O524" s="53">
        <f>11091.09/6133.31*tbl_Data_old[[#This Row],[kWh Savings]]</f>
        <v>33848.063405139306</v>
      </c>
      <c r="P524" s="20">
        <v>45532.278837645601</v>
      </c>
      <c r="Q524" s="20">
        <v>1123.0672500000001</v>
      </c>
      <c r="R524" s="20">
        <v>11042.715256281999</v>
      </c>
      <c r="S524" s="20">
        <v>28855.114582630202</v>
      </c>
      <c r="T524" s="20">
        <v>30</v>
      </c>
      <c r="U524" s="20">
        <v>0.05</v>
      </c>
      <c r="V524" s="20">
        <v>2.0666208746619601E-2</v>
      </c>
      <c r="W524" s="20">
        <v>2.0271851177313002E-2</v>
      </c>
      <c r="X524" s="20">
        <v>1.9709828382717801E-2</v>
      </c>
      <c r="Y524" s="20">
        <v>1.91664563938805E-2</v>
      </c>
      <c r="Z524" s="20">
        <v>1.8646453639380799E-2</v>
      </c>
      <c r="AA524" s="20">
        <v>1.8097321843546E-2</v>
      </c>
      <c r="AB524" s="20">
        <v>1.75561010778485E-2</v>
      </c>
      <c r="AC524" s="20">
        <v>1.7051723168461399E-2</v>
      </c>
      <c r="AD524" s="20">
        <v>1.6554761531038801E-2</v>
      </c>
      <c r="AE524" s="20">
        <v>1.6074749684717799E-2</v>
      </c>
      <c r="AF524" t="str">
        <f t="shared" si="35"/>
        <v>NonResidential</v>
      </c>
      <c r="AG524" t="str">
        <f>tbl_Data_old[[#This Row],[All_Meas_Name_Append]]</f>
        <v>Ceiling Insulation(R2 to R38)</v>
      </c>
      <c r="AH524">
        <f>AVERAGEIFS('3. Incentive Adjustment'!G:G,'3. Incentive Adjustment'!A:A,tbl_Data_old[[#This Row],[Trimmed Sector]],'3. Incentive Adjustment'!B:B,tbl_Data_old[[#This Row],[Trimmed Measure Name]])</f>
        <v>3.0218441517909909E-3</v>
      </c>
      <c r="AI524">
        <f>$AH524*tbl_Data_old[[#This Row],[2025 ]]</f>
        <v>6.2450062040664273E-5</v>
      </c>
      <c r="AJ524">
        <f>$AH524*tbl_Data_old[[#This Row],[2026 ]]</f>
        <v>6.1258374926140605E-5</v>
      </c>
      <c r="AK524">
        <f>$AH524*tbl_Data_old[[#This Row],[2027 ]]</f>
        <v>5.956002963111987E-5</v>
      </c>
      <c r="AL524">
        <f>$AH524*tbl_Data_old[[#This Row],[2028 ]]</f>
        <v>5.791804416440483E-5</v>
      </c>
      <c r="AM524">
        <f>$AH524*tbl_Data_old[[#This Row],[2029 ]]</f>
        <v>5.6346676881804702E-5</v>
      </c>
      <c r="AN524">
        <f>$AH524*tbl_Data_old[[#This Row],[2030 ]]</f>
        <v>5.4687286175998832E-5</v>
      </c>
      <c r="AO524">
        <f>$AH524*tbl_Data_old[[#This Row],[2031 ]]</f>
        <v>5.3051801370348001E-5</v>
      </c>
      <c r="AP524">
        <f>$AH524*tbl_Data_old[[#This Row],[2032 ]]</f>
        <v>5.1527649934574024E-5</v>
      </c>
      <c r="AQ524">
        <f>$AH524*tbl_Data_old[[#This Row],[2033 ]]</f>
        <v>5.0025909316864071E-5</v>
      </c>
      <c r="AR524">
        <f>$AH524*tbl_Data_old[[#This Row],[2034 ]]</f>
        <v>4.8575388326268556E-5</v>
      </c>
      <c r="AS524">
        <f>SUM(tbl_Data_old[[#This Row],[Adjusted 2025]:[Adjusted 2034]])</f>
        <v>5.5540122276818776E-4</v>
      </c>
      <c r="AT524" s="3">
        <f>AVERAGEIFS('3. Incentive Adjustment'!F:F,'3. Incentive Adjustment'!A:A,tbl_Data_old[[#This Row],[Trimmed Sector]],'3. Incentive Adjustment'!B:B,tbl_Data_old[[#This Row],[Trimmed Measure Name]])</f>
        <v>4373.4448922946976</v>
      </c>
      <c r="AU524" s="3">
        <f>IFERROR(VLOOKUP(tbl_Data_old[[#This Row],[All_Meas_Name_Append]],'IRA Tax Credits'!$A$3:$D$46,4,0),0)</f>
        <v>0</v>
      </c>
      <c r="AV524" s="4">
        <f>tbl_Data_old[[#This Row],[Adj. per unit Incentive ($)]]/tbl_Data_old[[#This Row],[kWh Savings]]*tbl_Data_old[[#This Row],[Sum of Annuals]]</f>
        <v>1.2977049989961476E-4</v>
      </c>
      <c r="AW524" s="4" t="str">
        <f>IFERROR(VLOOKUP(tbl_Data_old[[#This Row],[All_Programs]],'1. Set Program Names'!$B$2:$D$15,3,0)*tbl_Data_old[[#This Row],[Sum of Annuals]],"")</f>
        <v/>
      </c>
      <c r="AX524" s="4">
        <f>tbl_Data_old[[#This Row],[per unit IRA tax ($)]]/tbl_Data_old[[#This Row],[kWh Savings]]*tbl_Data_old[[#This Row],[Sum of Annuals]]</f>
        <v>0</v>
      </c>
      <c r="AY524" s="4">
        <f>tbl_Data_old[[#This Row],[Avoided Costs ($/unit)]]/tbl_Data_old[[#This Row],[kWh Savings]]*tbl_Data_old[[#This Row],[Sum of Annuals]]</f>
        <v>3.2766359571182997E-4</v>
      </c>
      <c r="AZ524" s="4">
        <f>tbl_Data_old[[#This Row],[Lost Revenue ($/unit)]]/tbl_Data_old[[#This Row],[kWh Savings]]*tbl_Data_old[[#This Row],[Sum of Annuals]]</f>
        <v>8.5619980044698027E-4</v>
      </c>
      <c r="BA524" s="4">
        <f>tbl_Data_old[[#This Row],[Incremental Cost ($/unit)]]/tbl_Data_old[[#This Row],[kWh Savings]]*tbl_Data_old[[#This Row],[Sum of Annuals]]</f>
        <v>1.0043524537047726E-3</v>
      </c>
      <c r="BB524">
        <f>ROUNDUP(tbl_Data_old[[#This Row],[Adjusted 2025]]/$L524,0)</f>
        <v>1</v>
      </c>
      <c r="BC524">
        <f>ROUNDUP(tbl_Data_old[[#This Row],[Adjusted 2026]]/$L524,0)</f>
        <v>1</v>
      </c>
      <c r="BD524">
        <f>ROUNDUP(tbl_Data_old[[#This Row],[Adjusted 2027]]/$L524,0)</f>
        <v>1</v>
      </c>
      <c r="BE524">
        <f>ROUNDUP(tbl_Data_old[[#This Row],[Adjusted 2028]]/$L524,0)</f>
        <v>1</v>
      </c>
      <c r="BF524">
        <f>ROUNDUP(tbl_Data_old[[#This Row],[Adjusted 2029]]/$L524,0)</f>
        <v>1</v>
      </c>
      <c r="BG524">
        <f>ROUNDUP(tbl_Data_old[[#This Row],[Adjusted 2030]]/$L524,0)</f>
        <v>1</v>
      </c>
      <c r="BH524">
        <f>ROUNDUP(tbl_Data_old[[#This Row],[Adjusted 2031]]/$L524,0)</f>
        <v>1</v>
      </c>
      <c r="BI524">
        <f>ROUNDUP(tbl_Data_old[[#This Row],[Adjusted 2032]]/$L524,0)</f>
        <v>1</v>
      </c>
      <c r="BJ524">
        <f>ROUNDUP(tbl_Data_old[[#This Row],[Adjusted 2033]]/$L524,0)</f>
        <v>1</v>
      </c>
      <c r="BK524">
        <f>ROUNDUP(tbl_Data_old[[#This Row],[Adjusted 2034]]/$L524,0)</f>
        <v>1</v>
      </c>
      <c r="BL524" s="3">
        <f t="shared" si="34"/>
        <v>4.8286970394337209E-3</v>
      </c>
      <c r="BM524" s="3">
        <f t="shared" si="34"/>
        <v>4.7365546803423116E-3</v>
      </c>
      <c r="BN524" s="3">
        <f t="shared" si="34"/>
        <v>4.6052370382131027E-3</v>
      </c>
      <c r="BO524" s="3">
        <f t="shared" si="34"/>
        <v>4.47827719057104E-3</v>
      </c>
      <c r="BP524" s="3">
        <f t="shared" si="34"/>
        <v>4.3567776067849817E-3</v>
      </c>
      <c r="BQ524" s="3">
        <f t="shared" si="34"/>
        <v>4.2284719698238655E-3</v>
      </c>
      <c r="BR524" s="3">
        <f t="shared" si="34"/>
        <v>4.1020147593579621E-3</v>
      </c>
      <c r="BS524" s="3">
        <f t="shared" si="34"/>
        <v>3.9841659488831505E-3</v>
      </c>
      <c r="BT524" s="3">
        <f t="shared" si="34"/>
        <v>3.8680499637619246E-3</v>
      </c>
      <c r="BU524" s="3">
        <f t="shared" si="34"/>
        <v>3.7558943279778589E-3</v>
      </c>
      <c r="BV524" t="e">
        <f>VLOOKUP($H524,'1. Set Program Names'!$B$2:$D$15,3,0)*V524</f>
        <v>#N/A</v>
      </c>
      <c r="BW524" t="e">
        <f>VLOOKUP($H524,'1. Set Program Names'!$B$2:$D$15,3,0)*W524</f>
        <v>#N/A</v>
      </c>
      <c r="BX524" t="e">
        <f>VLOOKUP($H524,'1. Set Program Names'!$B$2:$D$15,3,0)*X524</f>
        <v>#N/A</v>
      </c>
      <c r="BY524" t="e">
        <f>VLOOKUP($H524,'1. Set Program Names'!$B$2:$D$15,3,0)*Y524</f>
        <v>#N/A</v>
      </c>
      <c r="BZ524" t="e">
        <f>VLOOKUP($H524,'1. Set Program Names'!$B$2:$D$15,3,0)*Z524</f>
        <v>#N/A</v>
      </c>
      <c r="CA524" t="e">
        <f>VLOOKUP($H524,'1. Set Program Names'!$B$2:$D$15,3,0)*AA524</f>
        <v>#N/A</v>
      </c>
      <c r="CB524" t="e">
        <f>VLOOKUP($H524,'1. Set Program Names'!$B$2:$D$15,3,0)*AB524</f>
        <v>#N/A</v>
      </c>
      <c r="CC524" t="e">
        <f>VLOOKUP($H524,'1. Set Program Names'!$B$2:$D$15,3,0)*AC524</f>
        <v>#N/A</v>
      </c>
      <c r="CD524" t="e">
        <f>VLOOKUP($H524,'1. Set Program Names'!$B$2:$D$15,3,0)*AD524</f>
        <v>#N/A</v>
      </c>
      <c r="CE524" t="e">
        <f>VLOOKUP($H524,'1. Set Program Names'!$B$2:$D$15,3,0)*AE524</f>
        <v>#N/A</v>
      </c>
    </row>
    <row r="525" spans="1:83" x14ac:dyDescent="0.25">
      <c r="A525" s="20" t="s">
        <v>114</v>
      </c>
      <c r="B525" s="20" t="s">
        <v>88</v>
      </c>
      <c r="C525" s="20" t="s">
        <v>122</v>
      </c>
      <c r="D525" s="20" t="s">
        <v>90</v>
      </c>
      <c r="E525" s="20" t="s">
        <v>91</v>
      </c>
      <c r="F525" s="20" t="s">
        <v>90</v>
      </c>
      <c r="G525" s="20" t="s">
        <v>92</v>
      </c>
      <c r="H525" s="20" t="s">
        <v>20</v>
      </c>
      <c r="I525" s="20" t="s">
        <v>241</v>
      </c>
      <c r="J525" s="20" t="s">
        <v>129</v>
      </c>
      <c r="K525" s="20" t="s">
        <v>102</v>
      </c>
      <c r="L525" s="20">
        <v>19185.113333333298</v>
      </c>
      <c r="M525" s="20">
        <v>4.6125790568704801</v>
      </c>
      <c r="N525" s="20">
        <v>0.25911922024205197</v>
      </c>
      <c r="O525" s="53">
        <f>11417.3/6341.92*tbl_Data_old[[#This Row],[kWh Savings]]</f>
        <v>34538.782334161617</v>
      </c>
      <c r="P525" s="20">
        <v>25197.386166847798</v>
      </c>
      <c r="Q525" s="20">
        <v>1151.1068</v>
      </c>
      <c r="R525" s="20">
        <v>12014.6297388403</v>
      </c>
      <c r="S525" s="20">
        <v>29575.538429105502</v>
      </c>
      <c r="T525" s="20">
        <v>30</v>
      </c>
      <c r="U525" s="20">
        <v>0.05</v>
      </c>
      <c r="V525" s="20">
        <v>2.3157920587444501E-2</v>
      </c>
      <c r="W525" s="20">
        <v>2.27008904758337E-2</v>
      </c>
      <c r="X525" s="20">
        <v>2.20564582407657E-2</v>
      </c>
      <c r="Y525" s="20">
        <v>2.14336295595343E-2</v>
      </c>
      <c r="Z525" s="20">
        <v>2.0837833507445801E-2</v>
      </c>
      <c r="AA525" s="20">
        <v>2.0210529447635801E-2</v>
      </c>
      <c r="AB525" s="20">
        <v>1.9593213019887999E-2</v>
      </c>
      <c r="AC525" s="20">
        <v>1.9018188101370102E-2</v>
      </c>
      <c r="AD525" s="20">
        <v>1.8452600614607701E-2</v>
      </c>
      <c r="AE525" s="20">
        <v>1.7907056460870902E-2</v>
      </c>
      <c r="AF525" t="str">
        <f t="shared" si="35"/>
        <v>NonResidential</v>
      </c>
      <c r="AG525" t="str">
        <f>tbl_Data_old[[#This Row],[All_Meas_Name_Append]]</f>
        <v>Ceiling Insulation(R2 to R49)</v>
      </c>
      <c r="AH525">
        <f>AVERAGEIFS('3. Incentive Adjustment'!G:G,'3. Incentive Adjustment'!A:A,tbl_Data_old[[#This Row],[Trimmed Sector]],'3. Incentive Adjustment'!B:B,tbl_Data_old[[#This Row],[Trimmed Measure Name]])</f>
        <v>5.674595082038876E-2</v>
      </c>
      <c r="AI525">
        <f>$AH525*tbl_Data_old[[#This Row],[2025 ]]</f>
        <v>1.314118222757594E-3</v>
      </c>
      <c r="AJ525">
        <f>$AH525*tbl_Data_old[[#This Row],[2026 ]]</f>
        <v>1.2881836145206907E-3</v>
      </c>
      <c r="AK525">
        <f>$AH525*tbl_Data_old[[#This Row],[2027 ]]</f>
        <v>1.2516146946024488E-3</v>
      </c>
      <c r="AL525">
        <f>$AH525*tbl_Data_old[[#This Row],[2028 ]]</f>
        <v>1.2162716888877642E-3</v>
      </c>
      <c r="AM525">
        <f>$AH525*tbl_Data_old[[#This Row],[2029 ]]</f>
        <v>1.1824626754169685E-3</v>
      </c>
      <c r="AN525">
        <f>$AH525*tbl_Data_old[[#This Row],[2030 ]]</f>
        <v>1.14686571008956E-3</v>
      </c>
      <c r="AO525">
        <f>$AH525*tbl_Data_old[[#This Row],[2031 ]]</f>
        <v>1.1118355024399651E-3</v>
      </c>
      <c r="AP525">
        <f>$AH525*tbl_Data_old[[#This Row],[2032 ]]</f>
        <v>1.0792051666932505E-3</v>
      </c>
      <c r="AQ525">
        <f>$AH525*tbl_Data_old[[#This Row],[2033 ]]</f>
        <v>1.0471103669848041E-3</v>
      </c>
      <c r="AR525">
        <f>$AH525*tbl_Data_old[[#This Row],[2034 ]]</f>
        <v>1.016152945266505E-3</v>
      </c>
      <c r="AS525">
        <f>SUM(tbl_Data_old[[#This Row],[Adjusted 2025]:[Adjusted 2034]])</f>
        <v>1.165382058765955E-2</v>
      </c>
      <c r="AT525" s="3">
        <f>AVERAGEIFS('3. Incentive Adjustment'!F:F,'3. Incentive Adjustment'!A:A,tbl_Data_old[[#This Row],[Trimmed Sector]],'3. Incentive Adjustment'!B:B,tbl_Data_old[[#This Row],[Trimmed Measure Name]])</f>
        <v>4335.1908026959672</v>
      </c>
      <c r="AU525" s="3">
        <f>IFERROR(VLOOKUP(tbl_Data_old[[#This Row],[All_Meas_Name_Append]],'IRA Tax Credits'!$A$3:$D$46,4,0),0)</f>
        <v>500</v>
      </c>
      <c r="AV525" s="4">
        <f>tbl_Data_old[[#This Row],[Adj. per unit Incentive ($)]]/tbl_Data_old[[#This Row],[kWh Savings]]*tbl_Data_old[[#This Row],[Sum of Annuals]]</f>
        <v>2.6333717685217751E-3</v>
      </c>
      <c r="AW525" s="4" t="str">
        <f>IFERROR(VLOOKUP(tbl_Data_old[[#This Row],[All_Programs]],'1. Set Program Names'!$B$2:$D$15,3,0)*tbl_Data_old[[#This Row],[Sum of Annuals]],"")</f>
        <v/>
      </c>
      <c r="AX525" s="4">
        <f>tbl_Data_old[[#This Row],[per unit IRA tax ($)]]/tbl_Data_old[[#This Row],[kWh Savings]]*tbl_Data_old[[#This Row],[Sum of Annuals]]</f>
        <v>3.0372039990536685E-4</v>
      </c>
      <c r="AY525" s="4">
        <f>tbl_Data_old[[#This Row],[Avoided Costs ($/unit)]]/tbl_Data_old[[#This Row],[kWh Savings]]*tbl_Data_old[[#This Row],[Sum of Annuals]]</f>
        <v>7.2981762979909782E-3</v>
      </c>
      <c r="AZ525" s="4">
        <f>tbl_Data_old[[#This Row],[Lost Revenue ($/unit)]]/tbl_Data_old[[#This Row],[kWh Savings]]*tbl_Data_old[[#This Row],[Sum of Annuals]]</f>
        <v>1.7965388718208936E-2</v>
      </c>
      <c r="BA525" s="4">
        <f>tbl_Data_old[[#This Row],[Incremental Cost ($/unit)]]/tbl_Data_old[[#This Row],[kWh Savings]]*tbl_Data_old[[#This Row],[Sum of Annuals]]</f>
        <v>2.0980265565551971E-2</v>
      </c>
      <c r="BB525">
        <f>ROUNDUP(tbl_Data_old[[#This Row],[Adjusted 2025]]/$L525,0)</f>
        <v>1</v>
      </c>
      <c r="BC525">
        <f>ROUNDUP(tbl_Data_old[[#This Row],[Adjusted 2026]]/$L525,0)</f>
        <v>1</v>
      </c>
      <c r="BD525">
        <f>ROUNDUP(tbl_Data_old[[#This Row],[Adjusted 2027]]/$L525,0)</f>
        <v>1</v>
      </c>
      <c r="BE525">
        <f>ROUNDUP(tbl_Data_old[[#This Row],[Adjusted 2028]]/$L525,0)</f>
        <v>1</v>
      </c>
      <c r="BF525">
        <f>ROUNDUP(tbl_Data_old[[#This Row],[Adjusted 2029]]/$L525,0)</f>
        <v>1</v>
      </c>
      <c r="BG525">
        <f>ROUNDUP(tbl_Data_old[[#This Row],[Adjusted 2030]]/$L525,0)</f>
        <v>1</v>
      </c>
      <c r="BH525">
        <f>ROUNDUP(tbl_Data_old[[#This Row],[Adjusted 2031]]/$L525,0)</f>
        <v>1</v>
      </c>
      <c r="BI525">
        <f>ROUNDUP(tbl_Data_old[[#This Row],[Adjusted 2032]]/$L525,0)</f>
        <v>1</v>
      </c>
      <c r="BJ525">
        <f>ROUNDUP(tbl_Data_old[[#This Row],[Adjusted 2033]]/$L525,0)</f>
        <v>1</v>
      </c>
      <c r="BK525">
        <f>ROUNDUP(tbl_Data_old[[#This Row],[Adjusted 2034]]/$L525,0)</f>
        <v>1</v>
      </c>
      <c r="BL525" s="3">
        <f t="shared" si="34"/>
        <v>5.232911716284875E-3</v>
      </c>
      <c r="BM525" s="3">
        <f t="shared" si="34"/>
        <v>5.1296382718185448E-3</v>
      </c>
      <c r="BN525" s="3">
        <f t="shared" si="34"/>
        <v>4.9840182460262755E-3</v>
      </c>
      <c r="BO525" s="3">
        <f t="shared" si="34"/>
        <v>4.8432798973067842E-3</v>
      </c>
      <c r="BP525" s="3">
        <f t="shared" si="34"/>
        <v>4.7086500142083628E-3</v>
      </c>
      <c r="BQ525" s="3">
        <f t="shared" si="34"/>
        <v>4.5669003803473435E-3</v>
      </c>
      <c r="BR525" s="3">
        <f t="shared" si="34"/>
        <v>4.4274076156485993E-3</v>
      </c>
      <c r="BS525" s="3">
        <f t="shared" si="34"/>
        <v>4.2974713106204406E-3</v>
      </c>
      <c r="BT525" s="3">
        <f t="shared" si="34"/>
        <v>4.1696675479774457E-3</v>
      </c>
      <c r="BU525" s="3">
        <f t="shared" si="34"/>
        <v>4.0463929049428813E-3</v>
      </c>
      <c r="BV525" t="e">
        <f>VLOOKUP($H525,'1. Set Program Names'!$B$2:$D$15,3,0)*V525</f>
        <v>#N/A</v>
      </c>
      <c r="BW525" t="e">
        <f>VLOOKUP($H525,'1. Set Program Names'!$B$2:$D$15,3,0)*W525</f>
        <v>#N/A</v>
      </c>
      <c r="BX525" t="e">
        <f>VLOOKUP($H525,'1. Set Program Names'!$B$2:$D$15,3,0)*X525</f>
        <v>#N/A</v>
      </c>
      <c r="BY525" t="e">
        <f>VLOOKUP($H525,'1. Set Program Names'!$B$2:$D$15,3,0)*Y525</f>
        <v>#N/A</v>
      </c>
      <c r="BZ525" t="e">
        <f>VLOOKUP($H525,'1. Set Program Names'!$B$2:$D$15,3,0)*Z525</f>
        <v>#N/A</v>
      </c>
      <c r="CA525" t="e">
        <f>VLOOKUP($H525,'1. Set Program Names'!$B$2:$D$15,3,0)*AA525</f>
        <v>#N/A</v>
      </c>
      <c r="CB525" t="e">
        <f>VLOOKUP($H525,'1. Set Program Names'!$B$2:$D$15,3,0)*AB525</f>
        <v>#N/A</v>
      </c>
      <c r="CC525" t="e">
        <f>VLOOKUP($H525,'1. Set Program Names'!$B$2:$D$15,3,0)*AC525</f>
        <v>#N/A</v>
      </c>
      <c r="CD525" t="e">
        <f>VLOOKUP($H525,'1. Set Program Names'!$B$2:$D$15,3,0)*AD525</f>
        <v>#N/A</v>
      </c>
      <c r="CE525" t="e">
        <f>VLOOKUP($H525,'1. Set Program Names'!$B$2:$D$15,3,0)*AE525</f>
        <v>#N/A</v>
      </c>
    </row>
    <row r="526" spans="1:83" x14ac:dyDescent="0.25">
      <c r="A526" s="20" t="s">
        <v>114</v>
      </c>
      <c r="B526" s="20" t="s">
        <v>88</v>
      </c>
      <c r="C526" s="20" t="s">
        <v>122</v>
      </c>
      <c r="D526" s="20" t="s">
        <v>90</v>
      </c>
      <c r="E526" s="20" t="s">
        <v>91</v>
      </c>
      <c r="F526" s="20" t="s">
        <v>90</v>
      </c>
      <c r="G526" s="20" t="s">
        <v>92</v>
      </c>
      <c r="H526" s="20" t="s">
        <v>20</v>
      </c>
      <c r="I526" s="20" t="s">
        <v>128</v>
      </c>
      <c r="J526" s="20" t="s">
        <v>129</v>
      </c>
      <c r="K526" s="20" t="s">
        <v>130</v>
      </c>
      <c r="L526" s="53">
        <v>2045.1799999999989</v>
      </c>
      <c r="M526" s="53">
        <v>0.47104509500000002</v>
      </c>
      <c r="N526" s="53">
        <v>0.17900382200000001</v>
      </c>
      <c r="O526" s="53">
        <f>19591.5999999999/60160.456*2045.18</f>
        <v>666.02468053100858</v>
      </c>
      <c r="P526" s="53">
        <f>11310.7385995848/60160.456*2045.18</f>
        <v>384.51331501042552</v>
      </c>
      <c r="Q526" s="53">
        <f>2141.69388188172/60160.456*2045.18</f>
        <v>72.807784125619918</v>
      </c>
      <c r="R526" s="53">
        <f>32581.871747558/60160.456*2045.18</f>
        <v>1107.6344311730397</v>
      </c>
      <c r="S526" s="53">
        <f>77209.8271220691/60160.456*2045.18</f>
        <v>2624.780540784353</v>
      </c>
      <c r="T526" s="20">
        <v>20</v>
      </c>
      <c r="U526" s="20">
        <v>4.9999999999999899E-2</v>
      </c>
      <c r="V526" s="20">
        <v>0.58186735771724196</v>
      </c>
      <c r="W526" s="20">
        <v>0.57522662500264199</v>
      </c>
      <c r="X526" s="20">
        <v>0.56606990296051196</v>
      </c>
      <c r="Y526" s="20">
        <v>0.55757068583510405</v>
      </c>
      <c r="Z526" s="20">
        <v>0.54884246481216503</v>
      </c>
      <c r="AA526" s="20">
        <v>0.53950101432685504</v>
      </c>
      <c r="AB526" s="20">
        <v>0.52948207116282797</v>
      </c>
      <c r="AC526" s="20">
        <v>0.51989212204750102</v>
      </c>
      <c r="AD526" s="20">
        <v>0.51147504813982403</v>
      </c>
      <c r="AE526" s="20">
        <v>0.50288269489480797</v>
      </c>
      <c r="AF526" t="str">
        <f t="shared" si="35"/>
        <v>NonResidential</v>
      </c>
      <c r="AG526" t="str">
        <f>tbl_Data_old[[#This Row],[All_Meas_Name_Append]]</f>
        <v>Commercial Duct Sealing</v>
      </c>
      <c r="AH526">
        <f>AVERAGEIFS('3. Incentive Adjustment'!G:G,'3. Incentive Adjustment'!A:A,tbl_Data_old[[#This Row],[Trimmed Sector]],'3. Incentive Adjustment'!B:B,tbl_Data_old[[#This Row],[Trimmed Measure Name]])</f>
        <v>0.69277112909915817</v>
      </c>
      <c r="AI526">
        <f>$AH526*tbl_Data_old[[#This Row],[2025 ]]</f>
        <v>0.40310090639171747</v>
      </c>
      <c r="AJ526">
        <f>$AH526*tbl_Data_old[[#This Row],[2026 ]]</f>
        <v>0.39850039849097835</v>
      </c>
      <c r="AK526">
        <f>$AH526*tbl_Data_old[[#This Row],[2027 ]]</f>
        <v>0.39215688582300479</v>
      </c>
      <c r="AL526">
        <f>$AH526*tbl_Data_old[[#This Row],[2028 ]]</f>
        <v>0.38626887357857703</v>
      </c>
      <c r="AM526">
        <f>$AH526*tbl_Data_old[[#This Row],[2029 ]]</f>
        <v>0.38022221404548856</v>
      </c>
      <c r="AN526">
        <f>$AH526*tbl_Data_old[[#This Row],[2030 ]]</f>
        <v>0.37375072684535648</v>
      </c>
      <c r="AO526">
        <f>$AH526*tbl_Data_old[[#This Row],[2031 ]]</f>
        <v>0.36680989227723315</v>
      </c>
      <c r="AP526">
        <f>$AH526*tbl_Data_old[[#This Row],[2032 ]]</f>
        <v>0.36016625240060463</v>
      </c>
      <c r="AQ526">
        <f>$AH526*tbl_Data_old[[#This Row],[2033 ]]</f>
        <v>0.35433514660587218</v>
      </c>
      <c r="AR526">
        <f>$AH526*tbl_Data_old[[#This Row],[2034 ]]</f>
        <v>0.34838261234670359</v>
      </c>
      <c r="AS526">
        <f>SUM(tbl_Data_old[[#This Row],[Adjusted 2025]:[Adjusted 2034]])</f>
        <v>3.7636939088055361</v>
      </c>
      <c r="AT526" s="3">
        <f>AVERAGEIFS('3. Incentive Adjustment'!F:F,'3. Incentive Adjustment'!A:A,tbl_Data_old[[#This Row],[Trimmed Sector]],'3. Incentive Adjustment'!B:B,tbl_Data_old[[#This Row],[Trimmed Measure Name]])</f>
        <v>100</v>
      </c>
      <c r="AU526" s="3">
        <f>IFERROR(VLOOKUP(tbl_Data_old[[#This Row],[All_Meas_Name_Append]],'IRA Tax Credits'!$A$3:$D$46,4,0),0)</f>
        <v>0</v>
      </c>
      <c r="AV526" s="4">
        <f>tbl_Data_old[[#This Row],[Adj. per unit Incentive ($)]]/tbl_Data_old[[#This Row],[kWh Savings]]*tbl_Data_old[[#This Row],[Sum of Annuals]]</f>
        <v>0.18402751390124772</v>
      </c>
      <c r="AW526" s="4" t="str">
        <f>IFERROR(VLOOKUP(tbl_Data_old[[#This Row],[All_Programs]],'1. Set Program Names'!$B$2:$D$15,3,0)*tbl_Data_old[[#This Row],[Sum of Annuals]],"")</f>
        <v/>
      </c>
      <c r="AX526" s="4">
        <f>tbl_Data_old[[#This Row],[per unit IRA tax ($)]]/tbl_Data_old[[#This Row],[kWh Savings]]*tbl_Data_old[[#This Row],[Sum of Annuals]]</f>
        <v>0</v>
      </c>
      <c r="AY526" s="4">
        <f>tbl_Data_old[[#This Row],[Avoided Costs ($/unit)]]/tbl_Data_old[[#This Row],[kWh Savings]]*tbl_Data_old[[#This Row],[Sum of Annuals]]</f>
        <v>2.0383521068019719</v>
      </c>
      <c r="AZ526" s="4">
        <f>tbl_Data_old[[#This Row],[Lost Revenue ($/unit)]]/tbl_Data_old[[#This Row],[kWh Savings]]*tbl_Data_old[[#This Row],[Sum of Annuals]]</f>
        <v>4.8303183745691705</v>
      </c>
      <c r="BA526" s="4">
        <f>tbl_Data_old[[#This Row],[Incremental Cost ($/unit)]]/tbl_Data_old[[#This Row],[kWh Savings]]*tbl_Data_old[[#This Row],[Sum of Annuals]]</f>
        <v>1.2256686615499426</v>
      </c>
      <c r="BB526">
        <f>ROUNDUP(tbl_Data_old[[#This Row],[Adjusted 2025]]/$L526,0)</f>
        <v>1</v>
      </c>
      <c r="BC526">
        <f>ROUNDUP(tbl_Data_old[[#This Row],[Adjusted 2026]]/$L526,0)</f>
        <v>1</v>
      </c>
      <c r="BD526">
        <f>ROUNDUP(tbl_Data_old[[#This Row],[Adjusted 2027]]/$L526,0)</f>
        <v>1</v>
      </c>
      <c r="BE526">
        <f>ROUNDUP(tbl_Data_old[[#This Row],[Adjusted 2028]]/$L526,0)</f>
        <v>1</v>
      </c>
      <c r="BF526">
        <f>ROUNDUP(tbl_Data_old[[#This Row],[Adjusted 2029]]/$L526,0)</f>
        <v>1</v>
      </c>
      <c r="BG526">
        <f>ROUNDUP(tbl_Data_old[[#This Row],[Adjusted 2030]]/$L526,0)</f>
        <v>1</v>
      </c>
      <c r="BH526">
        <f>ROUNDUP(tbl_Data_old[[#This Row],[Adjusted 2031]]/$L526,0)</f>
        <v>1</v>
      </c>
      <c r="BI526">
        <f>ROUNDUP(tbl_Data_old[[#This Row],[Adjusted 2032]]/$L526,0)</f>
        <v>1</v>
      </c>
      <c r="BJ526">
        <f>ROUNDUP(tbl_Data_old[[#This Row],[Adjusted 2033]]/$L526,0)</f>
        <v>1</v>
      </c>
      <c r="BK526">
        <f>ROUNDUP(tbl_Data_old[[#This Row],[Adjusted 2034]]/$L526,0)</f>
        <v>1</v>
      </c>
      <c r="BL526" s="3">
        <f t="shared" si="34"/>
        <v>2.8450667311299849E-2</v>
      </c>
      <c r="BM526" s="3">
        <f t="shared" si="34"/>
        <v>2.8125965685301162E-2</v>
      </c>
      <c r="BN526" s="3">
        <f t="shared" si="34"/>
        <v>2.7678243624547096E-2</v>
      </c>
      <c r="BO526" s="3">
        <f t="shared" si="34"/>
        <v>2.7262670563720767E-2</v>
      </c>
      <c r="BP526" s="3">
        <f t="shared" si="34"/>
        <v>2.6835900253873269E-2</v>
      </c>
      <c r="BQ526" s="3">
        <f t="shared" si="34"/>
        <v>2.6379145812439754E-2</v>
      </c>
      <c r="BR526" s="3">
        <f t="shared" si="34"/>
        <v>2.5889265060426381E-2</v>
      </c>
      <c r="BS526" s="3">
        <f t="shared" si="34"/>
        <v>2.5420360166220152E-2</v>
      </c>
      <c r="BT526" s="3">
        <f t="shared" si="34"/>
        <v>2.500880353513257E-2</v>
      </c>
      <c r="BU526" s="3">
        <f t="shared" si="34"/>
        <v>2.4588676541664217E-2</v>
      </c>
      <c r="BV526" t="e">
        <f>VLOOKUP($H526,'1. Set Program Names'!$B$2:$D$15,3,0)*V526</f>
        <v>#N/A</v>
      </c>
      <c r="BW526" t="e">
        <f>VLOOKUP($H526,'1. Set Program Names'!$B$2:$D$15,3,0)*W526</f>
        <v>#N/A</v>
      </c>
      <c r="BX526" t="e">
        <f>VLOOKUP($H526,'1. Set Program Names'!$B$2:$D$15,3,0)*X526</f>
        <v>#N/A</v>
      </c>
      <c r="BY526" t="e">
        <f>VLOOKUP($H526,'1. Set Program Names'!$B$2:$D$15,3,0)*Y526</f>
        <v>#N/A</v>
      </c>
      <c r="BZ526" t="e">
        <f>VLOOKUP($H526,'1. Set Program Names'!$B$2:$D$15,3,0)*Z526</f>
        <v>#N/A</v>
      </c>
      <c r="CA526" t="e">
        <f>VLOOKUP($H526,'1. Set Program Names'!$B$2:$D$15,3,0)*AA526</f>
        <v>#N/A</v>
      </c>
      <c r="CB526" t="e">
        <f>VLOOKUP($H526,'1. Set Program Names'!$B$2:$D$15,3,0)*AB526</f>
        <v>#N/A</v>
      </c>
      <c r="CC526" t="e">
        <f>VLOOKUP($H526,'1. Set Program Names'!$B$2:$D$15,3,0)*AC526</f>
        <v>#N/A</v>
      </c>
      <c r="CD526" t="e">
        <f>VLOOKUP($H526,'1. Set Program Names'!$B$2:$D$15,3,0)*AD526</f>
        <v>#N/A</v>
      </c>
      <c r="CE526" t="e">
        <f>VLOOKUP($H526,'1. Set Program Names'!$B$2:$D$15,3,0)*AE526</f>
        <v>#N/A</v>
      </c>
    </row>
    <row r="527" spans="1:83" x14ac:dyDescent="0.25">
      <c r="A527" s="20" t="s">
        <v>114</v>
      </c>
      <c r="B527" s="20" t="s">
        <v>88</v>
      </c>
      <c r="C527" s="20" t="s">
        <v>122</v>
      </c>
      <c r="D527" s="20" t="s">
        <v>90</v>
      </c>
      <c r="E527" s="20" t="s">
        <v>91</v>
      </c>
      <c r="F527" s="20" t="s">
        <v>90</v>
      </c>
      <c r="G527" s="20" t="s">
        <v>92</v>
      </c>
      <c r="H527" s="20" t="s">
        <v>20</v>
      </c>
      <c r="I527" s="20" t="s">
        <v>303</v>
      </c>
      <c r="J527" s="20" t="s">
        <v>129</v>
      </c>
      <c r="K527" s="20" t="s">
        <v>298</v>
      </c>
      <c r="L527" s="20">
        <v>2407.8671428571402</v>
      </c>
      <c r="M527" s="20">
        <v>0.43509988390469401</v>
      </c>
      <c r="N527" s="20">
        <v>0.148929049658067</v>
      </c>
      <c r="O527" s="20">
        <v>1278.9912095238201</v>
      </c>
      <c r="P527" s="20">
        <v>9094.9443435978392</v>
      </c>
      <c r="Q527" s="20">
        <v>144.47202857142801</v>
      </c>
      <c r="R527" s="20">
        <v>1364.7105452988201</v>
      </c>
      <c r="S527" s="20">
        <v>3090.2526043504499</v>
      </c>
      <c r="T527" s="20">
        <v>20</v>
      </c>
      <c r="U527" s="20">
        <v>4.9999999999999899E-2</v>
      </c>
      <c r="V527" s="20">
        <v>0.12254273037515501</v>
      </c>
      <c r="W527" s="20">
        <v>0.116582360658835</v>
      </c>
      <c r="X527" s="20">
        <v>0.109720180122848</v>
      </c>
      <c r="Y527" s="20">
        <v>0.102975045757515</v>
      </c>
      <c r="Z527" s="20">
        <v>9.6354090758782901E-2</v>
      </c>
      <c r="AA527" s="20">
        <v>8.9791762659141905E-2</v>
      </c>
      <c r="AB527" s="20">
        <v>8.34264611486744E-2</v>
      </c>
      <c r="AC527" s="20">
        <v>7.7459517613733195E-2</v>
      </c>
      <c r="AD527" s="20">
        <v>7.19540758019864E-2</v>
      </c>
      <c r="AE527" s="20">
        <v>6.6788522795923705E-2</v>
      </c>
      <c r="AF527" t="str">
        <f t="shared" si="35"/>
        <v>NonResidential</v>
      </c>
      <c r="AG527" t="str">
        <f>tbl_Data_old[[#This Row],[All_Meas_Name_Append]]</f>
        <v>Energy Star windows</v>
      </c>
      <c r="AH527">
        <f>AVERAGEIFS('3. Incentive Adjustment'!G:G,'3. Incentive Adjustment'!A:A,tbl_Data_old[[#This Row],[Trimmed Sector]],'3. Incentive Adjustment'!B:B,tbl_Data_old[[#This Row],[Trimmed Measure Name]])</f>
        <v>1.8374525511831319E-4</v>
      </c>
      <c r="AI527">
        <f>$AH527*tbl_Data_old[[#This Row],[2025 ]]</f>
        <v>2.2516645255677522E-5</v>
      </c>
      <c r="AJ527">
        <f>$AH527*tbl_Data_old[[#This Row],[2026 ]]</f>
        <v>2.1421455601552836E-5</v>
      </c>
      <c r="AK527">
        <f>$AH527*tbl_Data_old[[#This Row],[2027 ]]</f>
        <v>2.016056248829998E-5</v>
      </c>
      <c r="AL527">
        <f>$AH527*tbl_Data_old[[#This Row],[2028 ]]</f>
        <v>1.8921176053534568E-5</v>
      </c>
      <c r="AM527">
        <f>$AH527*tbl_Data_old[[#This Row],[2029 ]]</f>
        <v>1.7704606988165668E-5</v>
      </c>
      <c r="AN527">
        <f>$AH527*tbl_Data_old[[#This Row],[2030 ]]</f>
        <v>1.6498810337327059E-5</v>
      </c>
      <c r="AO527">
        <f>$AH527*tbl_Data_old[[#This Row],[2031 ]]</f>
        <v>1.5329216387381221E-5</v>
      </c>
      <c r="AP527">
        <f>$AH527*tbl_Data_old[[#This Row],[2032 ]]</f>
        <v>1.423281882527688E-5</v>
      </c>
      <c r="AQ527">
        <f>$AH527*tbl_Data_old[[#This Row],[2033 ]]</f>
        <v>1.3221220015038438E-5</v>
      </c>
      <c r="AR527">
        <f>$AH527*tbl_Data_old[[#This Row],[2034 ]]</f>
        <v>1.2272074160112278E-5</v>
      </c>
      <c r="AS527">
        <f>SUM(tbl_Data_old[[#This Row],[Adjusted 2025]:[Adjusted 2034]])</f>
        <v>1.7227858611236648E-4</v>
      </c>
      <c r="AT527" s="3">
        <f>AVERAGEIFS('3. Incentive Adjustment'!F:F,'3. Incentive Adjustment'!A:A,tbl_Data_old[[#This Row],[Trimmed Sector]],'3. Incentive Adjustment'!B:B,tbl_Data_old[[#This Row],[Trimmed Measure Name]])</f>
        <v>1244.9532966663394</v>
      </c>
      <c r="AU527" s="3">
        <f>IFERROR(VLOOKUP(tbl_Data_old[[#This Row],[All_Meas_Name_Append]],'IRA Tax Credits'!$A$3:$D$46,4,0),0)</f>
        <v>250</v>
      </c>
      <c r="AV527" s="4">
        <f>tbl_Data_old[[#This Row],[Adj. per unit Incentive ($)]]/tbl_Data_old[[#This Row],[kWh Savings]]*tbl_Data_old[[#This Row],[Sum of Annuals]]</f>
        <v>8.9074181007806381E-5</v>
      </c>
      <c r="AW527" s="4" t="str">
        <f>IFERROR(VLOOKUP(tbl_Data_old[[#This Row],[All_Programs]],'1. Set Program Names'!$B$2:$D$15,3,0)*tbl_Data_old[[#This Row],[Sum of Annuals]],"")</f>
        <v/>
      </c>
      <c r="AX527" s="4">
        <f>tbl_Data_old[[#This Row],[per unit IRA tax ($)]]/tbl_Data_old[[#This Row],[kWh Savings]]*tbl_Data_old[[#This Row],[Sum of Annuals]]</f>
        <v>1.7887052720436147E-5</v>
      </c>
      <c r="AY527" s="4">
        <f>tbl_Data_old[[#This Row],[Avoided Costs ($/unit)]]/tbl_Data_old[[#This Row],[kWh Savings]]*tbl_Data_old[[#This Row],[Sum of Annuals]]</f>
        <v>9.7642597887580615E-5</v>
      </c>
      <c r="AZ527" s="4">
        <f>tbl_Data_old[[#This Row],[Lost Revenue ($/unit)]]/tbl_Data_old[[#This Row],[kWh Savings]]*tbl_Data_old[[#This Row],[Sum of Annuals]]</f>
        <v>2.2110204501392641E-4</v>
      </c>
      <c r="BA527" s="4">
        <f>tbl_Data_old[[#This Row],[Incremental Cost ($/unit)]]/tbl_Data_old[[#This Row],[kWh Savings]]*tbl_Data_old[[#This Row],[Sum of Annuals]]</f>
        <v>9.1509532774907844E-5</v>
      </c>
      <c r="BB527">
        <f>ROUNDUP(tbl_Data_old[[#This Row],[Adjusted 2025]]/$L527,0)</f>
        <v>1</v>
      </c>
      <c r="BC527">
        <f>ROUNDUP(tbl_Data_old[[#This Row],[Adjusted 2026]]/$L527,0)</f>
        <v>1</v>
      </c>
      <c r="BD527">
        <f>ROUNDUP(tbl_Data_old[[#This Row],[Adjusted 2027]]/$L527,0)</f>
        <v>1</v>
      </c>
      <c r="BE527">
        <f>ROUNDUP(tbl_Data_old[[#This Row],[Adjusted 2028]]/$L527,0)</f>
        <v>1</v>
      </c>
      <c r="BF527">
        <f>ROUNDUP(tbl_Data_old[[#This Row],[Adjusted 2029]]/$L527,0)</f>
        <v>1</v>
      </c>
      <c r="BG527">
        <f>ROUNDUP(tbl_Data_old[[#This Row],[Adjusted 2030]]/$L527,0)</f>
        <v>1</v>
      </c>
      <c r="BH527">
        <f>ROUNDUP(tbl_Data_old[[#This Row],[Adjusted 2031]]/$L527,0)</f>
        <v>1</v>
      </c>
      <c r="BI527">
        <f>ROUNDUP(tbl_Data_old[[#This Row],[Adjusted 2032]]/$L527,0)</f>
        <v>1</v>
      </c>
      <c r="BJ527">
        <f>ROUNDUP(tbl_Data_old[[#This Row],[Adjusted 2033]]/$L527,0)</f>
        <v>1</v>
      </c>
      <c r="BK527">
        <f>ROUNDUP(tbl_Data_old[[#This Row],[Adjusted 2034]]/$L527,0)</f>
        <v>1</v>
      </c>
      <c r="BL527" s="3">
        <f t="shared" si="34"/>
        <v>6.3358967547527623E-2</v>
      </c>
      <c r="BM527" s="3">
        <f t="shared" si="34"/>
        <v>6.027724356217605E-2</v>
      </c>
      <c r="BN527" s="3">
        <f t="shared" si="34"/>
        <v>5.6729251179814165E-2</v>
      </c>
      <c r="BO527" s="3">
        <f t="shared" si="34"/>
        <v>5.3241775847344394E-2</v>
      </c>
      <c r="BP527" s="3">
        <f t="shared" si="34"/>
        <v>4.9818505681794384E-2</v>
      </c>
      <c r="BQ527" s="3">
        <f t="shared" ref="BQ527:BU558" si="36">$AT527/$L527*AA527</f>
        <v>4.6425547716613606E-2</v>
      </c>
      <c r="BR527" s="3">
        <f t="shared" si="36"/>
        <v>4.3134459533762846E-2</v>
      </c>
      <c r="BS527" s="3">
        <f t="shared" si="36"/>
        <v>4.0049336649436128E-2</v>
      </c>
      <c r="BT527" s="3">
        <f t="shared" si="36"/>
        <v>3.720282663601155E-2</v>
      </c>
      <c r="BU527" s="3">
        <f t="shared" si="36"/>
        <v>3.4532051272395899E-2</v>
      </c>
      <c r="BV527" t="e">
        <f>VLOOKUP($H527,'1. Set Program Names'!$B$2:$D$15,3,0)*V527</f>
        <v>#N/A</v>
      </c>
      <c r="BW527" t="e">
        <f>VLOOKUP($H527,'1. Set Program Names'!$B$2:$D$15,3,0)*W527</f>
        <v>#N/A</v>
      </c>
      <c r="BX527" t="e">
        <f>VLOOKUP($H527,'1. Set Program Names'!$B$2:$D$15,3,0)*X527</f>
        <v>#N/A</v>
      </c>
      <c r="BY527" t="e">
        <f>VLOOKUP($H527,'1. Set Program Names'!$B$2:$D$15,3,0)*Y527</f>
        <v>#N/A</v>
      </c>
      <c r="BZ527" t="e">
        <f>VLOOKUP($H527,'1. Set Program Names'!$B$2:$D$15,3,0)*Z527</f>
        <v>#N/A</v>
      </c>
      <c r="CA527" t="e">
        <f>VLOOKUP($H527,'1. Set Program Names'!$B$2:$D$15,3,0)*AA527</f>
        <v>#N/A</v>
      </c>
      <c r="CB527" t="e">
        <f>VLOOKUP($H527,'1. Set Program Names'!$B$2:$D$15,3,0)*AB527</f>
        <v>#N/A</v>
      </c>
      <c r="CC527" t="e">
        <f>VLOOKUP($H527,'1. Set Program Names'!$B$2:$D$15,3,0)*AC527</f>
        <v>#N/A</v>
      </c>
      <c r="CD527" t="e">
        <f>VLOOKUP($H527,'1. Set Program Names'!$B$2:$D$15,3,0)*AD527</f>
        <v>#N/A</v>
      </c>
      <c r="CE527" t="e">
        <f>VLOOKUP($H527,'1. Set Program Names'!$B$2:$D$15,3,0)*AE527</f>
        <v>#N/A</v>
      </c>
    </row>
    <row r="528" spans="1:83" x14ac:dyDescent="0.25">
      <c r="A528" s="20" t="s">
        <v>114</v>
      </c>
      <c r="B528" s="20" t="s">
        <v>88</v>
      </c>
      <c r="C528" s="20" t="s">
        <v>122</v>
      </c>
      <c r="D528" s="20" t="s">
        <v>90</v>
      </c>
      <c r="E528" s="20" t="s">
        <v>91</v>
      </c>
      <c r="F528" s="20" t="s">
        <v>90</v>
      </c>
      <c r="G528" s="20" t="s">
        <v>92</v>
      </c>
      <c r="H528" s="20" t="s">
        <v>20</v>
      </c>
      <c r="I528" s="20" t="s">
        <v>143</v>
      </c>
      <c r="J528" s="20" t="s">
        <v>144</v>
      </c>
      <c r="K528" s="20" t="s">
        <v>108</v>
      </c>
      <c r="L528" s="20">
        <v>6670.6049999999896</v>
      </c>
      <c r="M528" s="20">
        <v>1.04667148638823</v>
      </c>
      <c r="N528" s="20">
        <v>1.5598507965563999</v>
      </c>
      <c r="O528" s="20">
        <v>2431.625</v>
      </c>
      <c r="P528" s="20">
        <v>977.24379425036398</v>
      </c>
      <c r="Q528" s="20">
        <v>400.23629999999901</v>
      </c>
      <c r="R528" s="20">
        <v>3400.8076679878</v>
      </c>
      <c r="S528" s="20">
        <v>7245.0779694633802</v>
      </c>
      <c r="T528" s="20">
        <v>15</v>
      </c>
      <c r="U528" s="20">
        <v>0.05</v>
      </c>
      <c r="V528" s="20">
        <v>0.265620790813894</v>
      </c>
      <c r="W528" s="20">
        <v>0.29209580551144798</v>
      </c>
      <c r="X528" s="20">
        <v>0.31372766911614802</v>
      </c>
      <c r="Y528" s="20">
        <v>0.33254855390228499</v>
      </c>
      <c r="Z528" s="20">
        <v>0.34865318686623697</v>
      </c>
      <c r="AA528" s="20">
        <v>0.36191252236500798</v>
      </c>
      <c r="AB528" s="20">
        <v>0.37282037361206</v>
      </c>
      <c r="AC528" s="20">
        <v>0.38241943132502798</v>
      </c>
      <c r="AD528" s="20">
        <v>0.39101902183656601</v>
      </c>
      <c r="AE528" s="20">
        <v>0.39840241615273803</v>
      </c>
      <c r="AF528" t="str">
        <f t="shared" si="35"/>
        <v>NonResidential</v>
      </c>
      <c r="AG528" t="str">
        <f>tbl_Data_old[[#This Row],[All_Meas_Name_Append]]</f>
        <v>Heat Pump Water Heater</v>
      </c>
      <c r="AH528">
        <f>AVERAGEIFS('3. Incentive Adjustment'!G:G,'3. Incentive Adjustment'!A:A,tbl_Data_old[[#This Row],[Trimmed Sector]],'3. Incentive Adjustment'!B:B,tbl_Data_old[[#This Row],[Trimmed Measure Name]])</f>
        <v>0.82797588322898052</v>
      </c>
      <c r="AI528">
        <f>$AH528*tbl_Data_old[[#This Row],[2025 ]]</f>
        <v>0.21992760887811416</v>
      </c>
      <c r="AJ528">
        <f>$AH528*tbl_Data_old[[#This Row],[2026 ]]</f>
        <v>0.24184828255582166</v>
      </c>
      <c r="AK528">
        <f>$AH528*tbl_Data_old[[#This Row],[2027 ]]</f>
        <v>0.25975894392981203</v>
      </c>
      <c r="AL528">
        <f>$AH528*tbl_Data_old[[#This Row],[2028 ]]</f>
        <v>0.27534218263376464</v>
      </c>
      <c r="AM528">
        <f>$AH528*tbl_Data_old[[#This Row],[2029 ]]</f>
        <v>0.28867643033617135</v>
      </c>
      <c r="AN528">
        <f>$AH528*tbl_Data_old[[#This Row],[2030 ]]</f>
        <v>0.29965484035679563</v>
      </c>
      <c r="AO528">
        <f>$AH528*tbl_Data_old[[#This Row],[2031 ]]</f>
        <v>0.30868627812720389</v>
      </c>
      <c r="AP528">
        <f>$AH528*tbl_Data_old[[#This Row],[2032 ]]</f>
        <v>0.31663406641526448</v>
      </c>
      <c r="AQ528">
        <f>$AH528*tbl_Data_old[[#This Row],[2033 ]]</f>
        <v>0.32375431996446274</v>
      </c>
      <c r="AR528">
        <f>$AH528*tbl_Data_old[[#This Row],[2034 ]]</f>
        <v>0.3298675923946231</v>
      </c>
      <c r="AS528">
        <f>SUM(tbl_Data_old[[#This Row],[Adjusted 2025]:[Adjusted 2034]])</f>
        <v>2.8641505455920337</v>
      </c>
      <c r="AT528" s="3">
        <f>AVERAGEIFS('3. Incentive Adjustment'!F:F,'3. Incentive Adjustment'!A:A,tbl_Data_old[[#This Row],[Trimmed Sector]],'3. Incentive Adjustment'!B:B,tbl_Data_old[[#This Row],[Trimmed Measure Name]])</f>
        <v>500</v>
      </c>
      <c r="AU528" s="3">
        <f>IFERROR(VLOOKUP(tbl_Data_old[[#This Row],[All_Meas_Name_Append]],'IRA Tax Credits'!$A$3:$D$46,4,0),0)</f>
        <v>0</v>
      </c>
      <c r="AV528" s="4">
        <f>tbl_Data_old[[#This Row],[Adj. per unit Incentive ($)]]/tbl_Data_old[[#This Row],[kWh Savings]]*tbl_Data_old[[#This Row],[Sum of Annuals]]</f>
        <v>0.21468446607107139</v>
      </c>
      <c r="AW528" s="4" t="str">
        <f>IFERROR(VLOOKUP(tbl_Data_old[[#This Row],[All_Programs]],'1. Set Program Names'!$B$2:$D$15,3,0)*tbl_Data_old[[#This Row],[Sum of Annuals]],"")</f>
        <v/>
      </c>
      <c r="AX528" s="4">
        <f>tbl_Data_old[[#This Row],[per unit IRA tax ($)]]/tbl_Data_old[[#This Row],[kWh Savings]]*tbl_Data_old[[#This Row],[Sum of Annuals]]</f>
        <v>0</v>
      </c>
      <c r="AY528" s="4">
        <f>tbl_Data_old[[#This Row],[Avoided Costs ($/unit)]]/tbl_Data_old[[#This Row],[kWh Savings]]*tbl_Data_old[[#This Row],[Sum of Annuals]]</f>
        <v>1.4602011568247326</v>
      </c>
      <c r="AZ528" s="4">
        <f>tbl_Data_old[[#This Row],[Lost Revenue ($/unit)]]/tbl_Data_old[[#This Row],[kWh Savings]]*tbl_Data_old[[#This Row],[Sum of Annuals]]</f>
        <v>3.1108113910350554</v>
      </c>
      <c r="BA528" s="4">
        <f>tbl_Data_old[[#This Row],[Incremental Cost ($/unit)]]/tbl_Data_old[[#This Row],[kWh Savings]]*tbl_Data_old[[#This Row],[Sum of Annuals]]</f>
        <v>1.0440642296201379</v>
      </c>
      <c r="BB528">
        <f>ROUNDUP(tbl_Data_old[[#This Row],[Adjusted 2025]]/$L528,0)</f>
        <v>1</v>
      </c>
      <c r="BC528">
        <f>ROUNDUP(tbl_Data_old[[#This Row],[Adjusted 2026]]/$L528,0)</f>
        <v>1</v>
      </c>
      <c r="BD528">
        <f>ROUNDUP(tbl_Data_old[[#This Row],[Adjusted 2027]]/$L528,0)</f>
        <v>1</v>
      </c>
      <c r="BE528">
        <f>ROUNDUP(tbl_Data_old[[#This Row],[Adjusted 2028]]/$L528,0)</f>
        <v>1</v>
      </c>
      <c r="BF528">
        <f>ROUNDUP(tbl_Data_old[[#This Row],[Adjusted 2029]]/$L528,0)</f>
        <v>1</v>
      </c>
      <c r="BG528">
        <f>ROUNDUP(tbl_Data_old[[#This Row],[Adjusted 2030]]/$L528,0)</f>
        <v>1</v>
      </c>
      <c r="BH528">
        <f>ROUNDUP(tbl_Data_old[[#This Row],[Adjusted 2031]]/$L528,0)</f>
        <v>1</v>
      </c>
      <c r="BI528">
        <f>ROUNDUP(tbl_Data_old[[#This Row],[Adjusted 2032]]/$L528,0)</f>
        <v>1</v>
      </c>
      <c r="BJ528">
        <f>ROUNDUP(tbl_Data_old[[#This Row],[Adjusted 2033]]/$L528,0)</f>
        <v>1</v>
      </c>
      <c r="BK528">
        <f>ROUNDUP(tbl_Data_old[[#This Row],[Adjusted 2034]]/$L528,0)</f>
        <v>1</v>
      </c>
      <c r="BL528" s="3">
        <f t="shared" ref="BL528:BU559" si="37">$AT528/$L528*V528</f>
        <v>1.9909797598110998E-2</v>
      </c>
      <c r="BM528" s="3">
        <f t="shared" si="37"/>
        <v>2.1894251384353327E-2</v>
      </c>
      <c r="BN528" s="3">
        <f t="shared" si="37"/>
        <v>2.3515683293805323E-2</v>
      </c>
      <c r="BO528" s="3">
        <f t="shared" si="37"/>
        <v>2.4926416262264481E-2</v>
      </c>
      <c r="BP528" s="3">
        <f t="shared" si="37"/>
        <v>2.6133550619939088E-2</v>
      </c>
      <c r="BQ528" s="3">
        <f t="shared" si="36"/>
        <v>2.7127413657757324E-2</v>
      </c>
      <c r="BR528" s="3">
        <f t="shared" si="36"/>
        <v>2.7945019500634546E-2</v>
      </c>
      <c r="BS528" s="3">
        <f t="shared" si="36"/>
        <v>2.8664523781952958E-2</v>
      </c>
      <c r="BT528" s="3">
        <f t="shared" si="36"/>
        <v>2.9309112279663287E-2</v>
      </c>
      <c r="BU528" s="3">
        <f t="shared" si="36"/>
        <v>2.9862539916000023E-2</v>
      </c>
      <c r="BV528" t="e">
        <f>VLOOKUP($H528,'1. Set Program Names'!$B$2:$D$15,3,0)*V528</f>
        <v>#N/A</v>
      </c>
      <c r="BW528" t="e">
        <f>VLOOKUP($H528,'1. Set Program Names'!$B$2:$D$15,3,0)*W528</f>
        <v>#N/A</v>
      </c>
      <c r="BX528" t="e">
        <f>VLOOKUP($H528,'1. Set Program Names'!$B$2:$D$15,3,0)*X528</f>
        <v>#N/A</v>
      </c>
      <c r="BY528" t="e">
        <f>VLOOKUP($H528,'1. Set Program Names'!$B$2:$D$15,3,0)*Y528</f>
        <v>#N/A</v>
      </c>
      <c r="BZ528" t="e">
        <f>VLOOKUP($H528,'1. Set Program Names'!$B$2:$D$15,3,0)*Z528</f>
        <v>#N/A</v>
      </c>
      <c r="CA528" t="e">
        <f>VLOOKUP($H528,'1. Set Program Names'!$B$2:$D$15,3,0)*AA528</f>
        <v>#N/A</v>
      </c>
      <c r="CB528" t="e">
        <f>VLOOKUP($H528,'1. Set Program Names'!$B$2:$D$15,3,0)*AB528</f>
        <v>#N/A</v>
      </c>
      <c r="CC528" t="e">
        <f>VLOOKUP($H528,'1. Set Program Names'!$B$2:$D$15,3,0)*AC528</f>
        <v>#N/A</v>
      </c>
      <c r="CD528" t="e">
        <f>VLOOKUP($H528,'1. Set Program Names'!$B$2:$D$15,3,0)*AD528</f>
        <v>#N/A</v>
      </c>
      <c r="CE528" t="e">
        <f>VLOOKUP($H528,'1. Set Program Names'!$B$2:$D$15,3,0)*AE528</f>
        <v>#N/A</v>
      </c>
    </row>
    <row r="529" spans="1:83" x14ac:dyDescent="0.25">
      <c r="A529" s="20" t="s">
        <v>114</v>
      </c>
      <c r="B529" s="20" t="s">
        <v>88</v>
      </c>
      <c r="C529" s="20" t="s">
        <v>122</v>
      </c>
      <c r="D529" s="20" t="s">
        <v>90</v>
      </c>
      <c r="E529" s="20" t="s">
        <v>91</v>
      </c>
      <c r="F529" s="20" t="s">
        <v>90</v>
      </c>
      <c r="G529" s="20" t="s">
        <v>92</v>
      </c>
      <c r="H529" s="20" t="s">
        <v>20</v>
      </c>
      <c r="I529" s="20" t="s">
        <v>145</v>
      </c>
      <c r="J529" s="20" t="s">
        <v>129</v>
      </c>
      <c r="K529" s="20" t="s">
        <v>98</v>
      </c>
      <c r="L529" s="20">
        <v>1452.1399999999801</v>
      </c>
      <c r="M529" s="20">
        <v>0.33467704377742202</v>
      </c>
      <c r="N529" s="20">
        <v>4.3977319526113799E-2</v>
      </c>
      <c r="O529" s="20">
        <v>654.99999999999898</v>
      </c>
      <c r="P529" s="20">
        <v>358.56061649158102</v>
      </c>
      <c r="Q529" s="20">
        <v>87.128399999999303</v>
      </c>
      <c r="R529" s="20">
        <v>761.15206993055403</v>
      </c>
      <c r="S529" s="20">
        <v>1577.19839843259</v>
      </c>
      <c r="T529" s="20">
        <v>15</v>
      </c>
      <c r="U529" s="20">
        <v>0.05</v>
      </c>
      <c r="V529" s="20">
        <v>0.15312881725684199</v>
      </c>
      <c r="W529" s="20">
        <v>0.17137310087511101</v>
      </c>
      <c r="X529" s="20">
        <v>0.187611079996026</v>
      </c>
      <c r="Y529" s="20">
        <v>0.202821298192257</v>
      </c>
      <c r="Z529" s="20">
        <v>0.21691354767783</v>
      </c>
      <c r="AA529" s="20">
        <v>0.22979922720753199</v>
      </c>
      <c r="AB529" s="20">
        <v>0.24162281521443599</v>
      </c>
      <c r="AC529" s="20">
        <v>0.25300691570206102</v>
      </c>
      <c r="AD529" s="20">
        <v>0.26423151557291102</v>
      </c>
      <c r="AE529" s="20">
        <v>0.27500179164111899</v>
      </c>
      <c r="AF529" t="str">
        <f t="shared" si="35"/>
        <v>NonResidential</v>
      </c>
      <c r="AG529" t="str">
        <f>tbl_Data_old[[#This Row],[All_Meas_Name_Append]]</f>
        <v>HE DX Less than 5.4 Tons Elect Heat</v>
      </c>
      <c r="AH529">
        <f>AVERAGEIFS('3. Incentive Adjustment'!G:G,'3. Incentive Adjustment'!A:A,tbl_Data_old[[#This Row],[Trimmed Sector]],'3. Incentive Adjustment'!B:B,tbl_Data_old[[#This Row],[Trimmed Measure Name]])</f>
        <v>0.74493198517309978</v>
      </c>
      <c r="AI529">
        <f>$AH529*tbl_Data_old[[#This Row],[2025 ]]</f>
        <v>0.11407055382634812</v>
      </c>
      <c r="AJ529">
        <f>$AH529*tbl_Data_old[[#This Row],[2026 ]]</f>
        <v>0.12766130424016633</v>
      </c>
      <c r="AK529">
        <f>$AH529*tbl_Data_old[[#This Row],[2027 ]]</f>
        <v>0.13975749426190887</v>
      </c>
      <c r="AL529">
        <f>$AH529*tbl_Data_old[[#This Row],[2028 ]]</f>
        <v>0.15108807229774324</v>
      </c>
      <c r="AM529">
        <f>$AH529*tbl_Data_old[[#This Row],[2029 ]]</f>
        <v>0.16158583968258572</v>
      </c>
      <c r="AN529">
        <f>$AH529*tbl_Data_old[[#This Row],[2030 ]]</f>
        <v>0.171184794514951</v>
      </c>
      <c r="AO529">
        <f>$AH529*tbl_Data_old[[#This Row],[2031 ]]</f>
        <v>0.17999256340080286</v>
      </c>
      <c r="AP529">
        <f>$AH529*tbl_Data_old[[#This Row],[2032 ]]</f>
        <v>0.18847294397645942</v>
      </c>
      <c r="AQ529">
        <f>$AH529*tbl_Data_old[[#This Row],[2033 ]]</f>
        <v>0.19683450744102543</v>
      </c>
      <c r="AR529">
        <f>$AH529*tbl_Data_old[[#This Row],[2034 ]]</f>
        <v>0.20485763057337791</v>
      </c>
      <c r="AS529">
        <f>SUM(tbl_Data_old[[#This Row],[Adjusted 2025]:[Adjusted 2034]])</f>
        <v>1.6355057042153689</v>
      </c>
      <c r="AT529" s="3">
        <f>AVERAGEIFS('3. Incentive Adjustment'!F:F,'3. Incentive Adjustment'!A:A,tbl_Data_old[[#This Row],[Trimmed Sector]],'3. Incentive Adjustment'!B:B,tbl_Data_old[[#This Row],[Trimmed Measure Name]])</f>
        <v>196.49999999999969</v>
      </c>
      <c r="AU529" s="3">
        <f>IFERROR(VLOOKUP(tbl_Data_old[[#This Row],[All_Meas_Name_Append]],'IRA Tax Credits'!$A$3:$D$46,4,0),0)</f>
        <v>0</v>
      </c>
      <c r="AV529" s="4">
        <f>tbl_Data_old[[#This Row],[Adj. per unit Incentive ($)]]/tbl_Data_old[[#This Row],[kWh Savings]]*tbl_Data_old[[#This Row],[Sum of Annuals]]</f>
        <v>0.22131259443188939</v>
      </c>
      <c r="AW529" s="4" t="str">
        <f>IFERROR(VLOOKUP(tbl_Data_old[[#This Row],[All_Programs]],'1. Set Program Names'!$B$2:$D$15,3,0)*tbl_Data_old[[#This Row],[Sum of Annuals]],"")</f>
        <v/>
      </c>
      <c r="AX529" s="4">
        <f>tbl_Data_old[[#This Row],[per unit IRA tax ($)]]/tbl_Data_old[[#This Row],[kWh Savings]]*tbl_Data_old[[#This Row],[Sum of Annuals]]</f>
        <v>0</v>
      </c>
      <c r="AY529" s="4">
        <f>tbl_Data_old[[#This Row],[Avoided Costs ($/unit)]]/tbl_Data_old[[#This Row],[kWh Savings]]*tbl_Data_old[[#This Row],[Sum of Annuals]]</f>
        <v>0.8572648313156952</v>
      </c>
      <c r="AZ529" s="4">
        <f>tbl_Data_old[[#This Row],[Lost Revenue ($/unit)]]/tbl_Data_old[[#This Row],[kWh Savings]]*tbl_Data_old[[#This Row],[Sum of Annuals]]</f>
        <v>1.776355569928437</v>
      </c>
      <c r="BA529" s="4">
        <f>tbl_Data_old[[#This Row],[Incremental Cost ($/unit)]]/tbl_Data_old[[#This Row],[kWh Savings]]*tbl_Data_old[[#This Row],[Sum of Annuals]]</f>
        <v>0.7377086481062981</v>
      </c>
      <c r="BB529">
        <f>ROUNDUP(tbl_Data_old[[#This Row],[Adjusted 2025]]/$L529,0)</f>
        <v>1</v>
      </c>
      <c r="BC529">
        <f>ROUNDUP(tbl_Data_old[[#This Row],[Adjusted 2026]]/$L529,0)</f>
        <v>1</v>
      </c>
      <c r="BD529">
        <f>ROUNDUP(tbl_Data_old[[#This Row],[Adjusted 2027]]/$L529,0)</f>
        <v>1</v>
      </c>
      <c r="BE529">
        <f>ROUNDUP(tbl_Data_old[[#This Row],[Adjusted 2028]]/$L529,0)</f>
        <v>1</v>
      </c>
      <c r="BF529">
        <f>ROUNDUP(tbl_Data_old[[#This Row],[Adjusted 2029]]/$L529,0)</f>
        <v>1</v>
      </c>
      <c r="BG529">
        <f>ROUNDUP(tbl_Data_old[[#This Row],[Adjusted 2030]]/$L529,0)</f>
        <v>1</v>
      </c>
      <c r="BH529">
        <f>ROUNDUP(tbl_Data_old[[#This Row],[Adjusted 2031]]/$L529,0)</f>
        <v>1</v>
      </c>
      <c r="BI529">
        <f>ROUNDUP(tbl_Data_old[[#This Row],[Adjusted 2032]]/$L529,0)</f>
        <v>1</v>
      </c>
      <c r="BJ529">
        <f>ROUNDUP(tbl_Data_old[[#This Row],[Adjusted 2033]]/$L529,0)</f>
        <v>1</v>
      </c>
      <c r="BK529">
        <f>ROUNDUP(tbl_Data_old[[#This Row],[Adjusted 2034]]/$L529,0)</f>
        <v>1</v>
      </c>
      <c r="BL529" s="3">
        <f t="shared" si="37"/>
        <v>2.0721013532420989E-2</v>
      </c>
      <c r="BM529" s="3">
        <f t="shared" si="37"/>
        <v>2.3189784953213683E-2</v>
      </c>
      <c r="BN529" s="3">
        <f t="shared" si="37"/>
        <v>2.5387068202252918E-2</v>
      </c>
      <c r="BO529" s="3">
        <f t="shared" si="37"/>
        <v>2.7445277380127937E-2</v>
      </c>
      <c r="BP529" s="3">
        <f t="shared" si="37"/>
        <v>2.9352205791930604E-2</v>
      </c>
      <c r="BQ529" s="3">
        <f t="shared" si="36"/>
        <v>3.1095864135882615E-2</v>
      </c>
      <c r="BR529" s="3">
        <f t="shared" si="36"/>
        <v>3.269580287688325E-2</v>
      </c>
      <c r="BS529" s="3">
        <f t="shared" si="36"/>
        <v>3.4236271251708229E-2</v>
      </c>
      <c r="BT529" s="3">
        <f t="shared" si="36"/>
        <v>3.5755156396819622E-2</v>
      </c>
      <c r="BU529" s="3">
        <f t="shared" si="36"/>
        <v>3.7212563566515991E-2</v>
      </c>
      <c r="BV529" t="e">
        <f>VLOOKUP($H529,'1. Set Program Names'!$B$2:$D$15,3,0)*V529</f>
        <v>#N/A</v>
      </c>
      <c r="BW529" t="e">
        <f>VLOOKUP($H529,'1. Set Program Names'!$B$2:$D$15,3,0)*W529</f>
        <v>#N/A</v>
      </c>
      <c r="BX529" t="e">
        <f>VLOOKUP($H529,'1. Set Program Names'!$B$2:$D$15,3,0)*X529</f>
        <v>#N/A</v>
      </c>
      <c r="BY529" t="e">
        <f>VLOOKUP($H529,'1. Set Program Names'!$B$2:$D$15,3,0)*Y529</f>
        <v>#N/A</v>
      </c>
      <c r="BZ529" t="e">
        <f>VLOOKUP($H529,'1. Set Program Names'!$B$2:$D$15,3,0)*Z529</f>
        <v>#N/A</v>
      </c>
      <c r="CA529" t="e">
        <f>VLOOKUP($H529,'1. Set Program Names'!$B$2:$D$15,3,0)*AA529</f>
        <v>#N/A</v>
      </c>
      <c r="CB529" t="e">
        <f>VLOOKUP($H529,'1. Set Program Names'!$B$2:$D$15,3,0)*AB529</f>
        <v>#N/A</v>
      </c>
      <c r="CC529" t="e">
        <f>VLOOKUP($H529,'1. Set Program Names'!$B$2:$D$15,3,0)*AC529</f>
        <v>#N/A</v>
      </c>
      <c r="CD529" t="e">
        <f>VLOOKUP($H529,'1. Set Program Names'!$B$2:$D$15,3,0)*AD529</f>
        <v>#N/A</v>
      </c>
      <c r="CE529" t="e">
        <f>VLOOKUP($H529,'1. Set Program Names'!$B$2:$D$15,3,0)*AE529</f>
        <v>#N/A</v>
      </c>
    </row>
    <row r="530" spans="1:83" x14ac:dyDescent="0.25">
      <c r="A530" s="20" t="s">
        <v>114</v>
      </c>
      <c r="B530" s="20" t="s">
        <v>88</v>
      </c>
      <c r="C530" s="20" t="s">
        <v>122</v>
      </c>
      <c r="D530" s="20" t="s">
        <v>90</v>
      </c>
      <c r="E530" s="20" t="s">
        <v>91</v>
      </c>
      <c r="F530" s="20" t="s">
        <v>90</v>
      </c>
      <c r="G530" s="20" t="s">
        <v>92</v>
      </c>
      <c r="H530" s="20" t="s">
        <v>20</v>
      </c>
      <c r="I530" s="20" t="s">
        <v>154</v>
      </c>
      <c r="J530" s="20" t="s">
        <v>129</v>
      </c>
      <c r="K530" s="20" t="s">
        <v>102</v>
      </c>
      <c r="L530" s="20">
        <v>111105.09249999899</v>
      </c>
      <c r="M530" s="20">
        <v>30.6532165911823</v>
      </c>
      <c r="N530" s="20">
        <v>0</v>
      </c>
      <c r="O530" s="20">
        <v>40257.675000000003</v>
      </c>
      <c r="P530" s="20">
        <v>17605.607636663401</v>
      </c>
      <c r="Q530" s="20">
        <v>6666.30554999998</v>
      </c>
      <c r="R530" s="20">
        <v>56706.982631731698</v>
      </c>
      <c r="S530" s="20">
        <v>120673.47084214</v>
      </c>
      <c r="T530" s="20">
        <v>15</v>
      </c>
      <c r="U530" s="20">
        <v>0.05</v>
      </c>
      <c r="V530" s="20">
        <v>2.8808343632543902E-3</v>
      </c>
      <c r="W530" s="20">
        <v>2.8911756372508599E-3</v>
      </c>
      <c r="X530" s="20">
        <v>2.9122107896764498E-3</v>
      </c>
      <c r="Y530" s="20">
        <v>2.93912885750012E-3</v>
      </c>
      <c r="Z530" s="20">
        <v>2.9571853531401402E-3</v>
      </c>
      <c r="AA530" s="20">
        <v>2.9748055371449202E-3</v>
      </c>
      <c r="AB530" s="20">
        <v>2.9805669221007101E-3</v>
      </c>
      <c r="AC530" s="20">
        <v>2.9826104628568198E-3</v>
      </c>
      <c r="AD530" s="20">
        <v>2.9999335486654601E-3</v>
      </c>
      <c r="AE530" s="20">
        <v>3.0098604236260401E-3</v>
      </c>
      <c r="AF530" t="str">
        <f t="shared" si="35"/>
        <v>NonResidential</v>
      </c>
      <c r="AG530" t="str">
        <f>tbl_Data_old[[#This Row],[All_Meas_Name_Append]]</f>
        <v>Reflective Roof Treatment</v>
      </c>
      <c r="AH530">
        <f>AVERAGEIFS('3. Incentive Adjustment'!G:G,'3. Incentive Adjustment'!A:A,tbl_Data_old[[#This Row],[Trimmed Sector]],'3. Incentive Adjustment'!B:B,tbl_Data_old[[#This Row],[Trimmed Measure Name]])</f>
        <v>0.87696681614875649</v>
      </c>
      <c r="AI530">
        <f>$AH530*tbl_Data_old[[#This Row],[2025 ]]</f>
        <v>2.5263961393951328E-3</v>
      </c>
      <c r="AJ530">
        <f>$AH530*tbl_Data_old[[#This Row],[2026 ]]</f>
        <v>2.5354650935267386E-3</v>
      </c>
      <c r="AK530">
        <f>$AH530*tbl_Data_old[[#This Row],[2027 ]]</f>
        <v>2.5539122241766119E-3</v>
      </c>
      <c r="AL530">
        <f>$AH530*tbl_Data_old[[#This Row],[2028 ]]</f>
        <v>2.5775184764128124E-3</v>
      </c>
      <c r="AM530">
        <f>$AH530*tbl_Data_old[[#This Row],[2029 ]]</f>
        <v>2.5933534239050448E-3</v>
      </c>
      <c r="AN530">
        <f>$AH530*tbl_Data_old[[#This Row],[2030 ]]</f>
        <v>2.6088057405716722E-3</v>
      </c>
      <c r="AO530">
        <f>$AH530*tbl_Data_old[[#This Row],[2031 ]]</f>
        <v>2.6138582839929582E-3</v>
      </c>
      <c r="AP530">
        <f>$AH530*tbl_Data_old[[#This Row],[2032 ]]</f>
        <v>2.6156504014235144E-3</v>
      </c>
      <c r="AQ530">
        <f>$AH530*tbl_Data_old[[#This Row],[2033 ]]</f>
        <v>2.6308421728309891E-3</v>
      </c>
      <c r="AR530">
        <f>$AH530*tbl_Data_old[[#This Row],[2034 ]]</f>
        <v>2.6395477127594759E-3</v>
      </c>
      <c r="AS530">
        <f>SUM(tbl_Data_old[[#This Row],[Adjusted 2025]:[Adjusted 2034]])</f>
        <v>2.5895349668994951E-2</v>
      </c>
      <c r="AT530" s="3">
        <f>AVERAGEIFS('3. Incentive Adjustment'!F:F,'3. Incentive Adjustment'!A:A,tbl_Data_old[[#This Row],[Trimmed Sector]],'3. Incentive Adjustment'!B:B,tbl_Data_old[[#This Row],[Trimmed Measure Name]])</f>
        <v>12077.302499999998</v>
      </c>
      <c r="AU530" s="3">
        <f>IFERROR(VLOOKUP(tbl_Data_old[[#This Row],[All_Meas_Name_Append]],'IRA Tax Credits'!$A$3:$D$46,4,0),0)</f>
        <v>0</v>
      </c>
      <c r="AV530" s="4">
        <f>tbl_Data_old[[#This Row],[Adj. per unit Incentive ($)]]/tbl_Data_old[[#This Row],[kWh Savings]]*tbl_Data_old[[#This Row],[Sum of Annuals]]</f>
        <v>2.8148662159273186E-3</v>
      </c>
      <c r="AW530" s="4" t="str">
        <f>IFERROR(VLOOKUP(tbl_Data_old[[#This Row],[All_Programs]],'1. Set Program Names'!$B$2:$D$15,3,0)*tbl_Data_old[[#This Row],[Sum of Annuals]],"")</f>
        <v/>
      </c>
      <c r="AX530" s="4">
        <f>tbl_Data_old[[#This Row],[per unit IRA tax ($)]]/tbl_Data_old[[#This Row],[kWh Savings]]*tbl_Data_old[[#This Row],[Sum of Annuals]]</f>
        <v>0</v>
      </c>
      <c r="AY530" s="4">
        <f>tbl_Data_old[[#This Row],[Avoided Costs ($/unit)]]/tbl_Data_old[[#This Row],[kWh Savings]]*tbl_Data_old[[#This Row],[Sum of Annuals]]</f>
        <v>1.3216740213076453E-2</v>
      </c>
      <c r="AZ530" s="4">
        <f>tbl_Data_old[[#This Row],[Lost Revenue ($/unit)]]/tbl_Data_old[[#This Row],[kWh Savings]]*tbl_Data_old[[#This Row],[Sum of Annuals]]</f>
        <v>2.8125458994856693E-2</v>
      </c>
      <c r="BA530" s="4">
        <f>tbl_Data_old[[#This Row],[Incremental Cost ($/unit)]]/tbl_Data_old[[#This Row],[kWh Savings]]*tbl_Data_old[[#This Row],[Sum of Annuals]]</f>
        <v>9.3828873864243972E-3</v>
      </c>
      <c r="BB530">
        <f>ROUNDUP(tbl_Data_old[[#This Row],[Adjusted 2025]]/$L530,0)</f>
        <v>1</v>
      </c>
      <c r="BC530">
        <f>ROUNDUP(tbl_Data_old[[#This Row],[Adjusted 2026]]/$L530,0)</f>
        <v>1</v>
      </c>
      <c r="BD530">
        <f>ROUNDUP(tbl_Data_old[[#This Row],[Adjusted 2027]]/$L530,0)</f>
        <v>1</v>
      </c>
      <c r="BE530">
        <f>ROUNDUP(tbl_Data_old[[#This Row],[Adjusted 2028]]/$L530,0)</f>
        <v>1</v>
      </c>
      <c r="BF530">
        <f>ROUNDUP(tbl_Data_old[[#This Row],[Adjusted 2029]]/$L530,0)</f>
        <v>1</v>
      </c>
      <c r="BG530">
        <f>ROUNDUP(tbl_Data_old[[#This Row],[Adjusted 2030]]/$L530,0)</f>
        <v>1</v>
      </c>
      <c r="BH530">
        <f>ROUNDUP(tbl_Data_old[[#This Row],[Adjusted 2031]]/$L530,0)</f>
        <v>1</v>
      </c>
      <c r="BI530">
        <f>ROUNDUP(tbl_Data_old[[#This Row],[Adjusted 2032]]/$L530,0)</f>
        <v>1</v>
      </c>
      <c r="BJ530">
        <f>ROUNDUP(tbl_Data_old[[#This Row],[Adjusted 2033]]/$L530,0)</f>
        <v>1</v>
      </c>
      <c r="BK530">
        <f>ROUNDUP(tbl_Data_old[[#This Row],[Adjusted 2034]]/$L530,0)</f>
        <v>1</v>
      </c>
      <c r="BL530" s="3">
        <f t="shared" si="37"/>
        <v>3.1315133514171246E-4</v>
      </c>
      <c r="BM530" s="3">
        <f t="shared" si="37"/>
        <v>3.1427544828072768E-4</v>
      </c>
      <c r="BN530" s="3">
        <f t="shared" si="37"/>
        <v>3.1656200322848995E-4</v>
      </c>
      <c r="BO530" s="3">
        <f t="shared" si="37"/>
        <v>3.1948804055501468E-4</v>
      </c>
      <c r="BP530" s="3">
        <f t="shared" si="37"/>
        <v>3.2145081071277733E-4</v>
      </c>
      <c r="BQ530" s="3">
        <f t="shared" si="36"/>
        <v>3.2336615309306823E-4</v>
      </c>
      <c r="BR530" s="3">
        <f t="shared" si="36"/>
        <v>3.2399242491701748E-4</v>
      </c>
      <c r="BS530" s="3">
        <f t="shared" si="36"/>
        <v>3.2421456108852213E-4</v>
      </c>
      <c r="BT530" s="3">
        <f t="shared" si="36"/>
        <v>3.2609760841638787E-4</v>
      </c>
      <c r="BU530" s="3">
        <f t="shared" si="36"/>
        <v>3.271766757127731E-4</v>
      </c>
      <c r="BV530" t="e">
        <f>VLOOKUP($H530,'1. Set Program Names'!$B$2:$D$15,3,0)*V530</f>
        <v>#N/A</v>
      </c>
      <c r="BW530" t="e">
        <f>VLOOKUP($H530,'1. Set Program Names'!$B$2:$D$15,3,0)*W530</f>
        <v>#N/A</v>
      </c>
      <c r="BX530" t="e">
        <f>VLOOKUP($H530,'1. Set Program Names'!$B$2:$D$15,3,0)*X530</f>
        <v>#N/A</v>
      </c>
      <c r="BY530" t="e">
        <f>VLOOKUP($H530,'1. Set Program Names'!$B$2:$D$15,3,0)*Y530</f>
        <v>#N/A</v>
      </c>
      <c r="BZ530" t="e">
        <f>VLOOKUP($H530,'1. Set Program Names'!$B$2:$D$15,3,0)*Z530</f>
        <v>#N/A</v>
      </c>
      <c r="CA530" t="e">
        <f>VLOOKUP($H530,'1. Set Program Names'!$B$2:$D$15,3,0)*AA530</f>
        <v>#N/A</v>
      </c>
      <c r="CB530" t="e">
        <f>VLOOKUP($H530,'1. Set Program Names'!$B$2:$D$15,3,0)*AB530</f>
        <v>#N/A</v>
      </c>
      <c r="CC530" t="e">
        <f>VLOOKUP($H530,'1. Set Program Names'!$B$2:$D$15,3,0)*AC530</f>
        <v>#N/A</v>
      </c>
      <c r="CD530" t="e">
        <f>VLOOKUP($H530,'1. Set Program Names'!$B$2:$D$15,3,0)*AD530</f>
        <v>#N/A</v>
      </c>
      <c r="CE530" t="e">
        <f>VLOOKUP($H530,'1. Set Program Names'!$B$2:$D$15,3,0)*AE530</f>
        <v>#N/A</v>
      </c>
    </row>
    <row r="531" spans="1:83" x14ac:dyDescent="0.25">
      <c r="A531" s="20" t="s">
        <v>114</v>
      </c>
      <c r="B531" s="20" t="s">
        <v>88</v>
      </c>
      <c r="C531" s="20" t="s">
        <v>122</v>
      </c>
      <c r="D531" s="20" t="s">
        <v>90</v>
      </c>
      <c r="E531" s="20" t="s">
        <v>91</v>
      </c>
      <c r="F531" s="20" t="s">
        <v>90</v>
      </c>
      <c r="G531" s="20" t="s">
        <v>92</v>
      </c>
      <c r="H531" s="20" t="s">
        <v>20</v>
      </c>
      <c r="I531" s="20" t="s">
        <v>155</v>
      </c>
      <c r="J531" s="20" t="s">
        <v>129</v>
      </c>
      <c r="K531" s="20" t="s">
        <v>102</v>
      </c>
      <c r="L531" s="53">
        <v>1193.02</v>
      </c>
      <c r="M531" s="53">
        <v>0.274776433335365</v>
      </c>
      <c r="N531" s="53">
        <v>0.10441874276921487</v>
      </c>
      <c r="O531" s="53">
        <f>8423.99999999998/36663.4359999998*1193.02</f>
        <v>274.11507421181233</v>
      </c>
      <c r="P531" s="53">
        <f>3224.30667036527/36663.4359999998*1193.02</f>
        <v>104.91821726363004</v>
      </c>
      <c r="Q531" s="53">
        <f>1305.20713755829/36663.4359999998*1193.02</f>
        <v>42.471148073786637</v>
      </c>
      <c r="R531" s="53">
        <f>14915.0733686122/36663.4359999998*1193.02</f>
        <v>485.33314854128304</v>
      </c>
      <c r="S531" s="53">
        <f>32320.5298576745/36663.4359999998*1193.02</f>
        <v>1051.702806327346</v>
      </c>
      <c r="T531" s="20">
        <v>11</v>
      </c>
      <c r="U531" s="20">
        <v>0.05</v>
      </c>
      <c r="V531" s="20">
        <v>1.2455682636757901</v>
      </c>
      <c r="W531" s="20">
        <v>1.0387532613530699</v>
      </c>
      <c r="X531" s="20">
        <v>0.859857069106848</v>
      </c>
      <c r="Y531" s="20">
        <v>0.71319976429841303</v>
      </c>
      <c r="Z531" s="20">
        <v>0.59314286623171097</v>
      </c>
      <c r="AA531" s="20">
        <v>0.49454720655957801</v>
      </c>
      <c r="AB531" s="20">
        <v>0.41407175258279799</v>
      </c>
      <c r="AC531" s="20">
        <v>0.349158078362522</v>
      </c>
      <c r="AD531" s="20">
        <v>0.29736730929889099</v>
      </c>
      <c r="AE531" s="20">
        <v>0.25540810496238198</v>
      </c>
      <c r="AF531" t="str">
        <f t="shared" si="35"/>
        <v>NonResidential</v>
      </c>
      <c r="AG531" t="str">
        <f>tbl_Data_old[[#This Row],[All_Meas_Name_Append]]</f>
        <v>Smart thermostat</v>
      </c>
      <c r="AH531">
        <f>AVERAGEIFS('3. Incentive Adjustment'!G:G,'3. Incentive Adjustment'!A:A,tbl_Data_old[[#This Row],[Trimmed Sector]],'3. Incentive Adjustment'!B:B,tbl_Data_old[[#This Row],[Trimmed Measure Name]])</f>
        <v>0.87546479230069263</v>
      </c>
      <c r="AI531">
        <f>$AH531*tbl_Data_old[[#This Row],[2025 ]]</f>
        <v>1.0904511612552599</v>
      </c>
      <c r="AJ531">
        <f>$AH531*tbl_Data_old[[#This Row],[2026 ]]</f>
        <v>0.90939190820213245</v>
      </c>
      <c r="AK531">
        <f>$AH531*tbl_Data_old[[#This Row],[2027 ]]</f>
        <v>0.75277459041390904</v>
      </c>
      <c r="AL531">
        <f>$AH531*tbl_Data_old[[#This Row],[2028 ]]</f>
        <v>0.62438128352041311</v>
      </c>
      <c r="AM531">
        <f>$AH531*tbl_Data_old[[#This Row],[2029 ]]</f>
        <v>0.51927569619018232</v>
      </c>
      <c r="AN531">
        <f>$AH531*tbl_Data_old[[#This Row],[2030 ]]</f>
        <v>0.4329586674735687</v>
      </c>
      <c r="AO531">
        <f>$AH531*tbl_Data_old[[#This Row],[2031 ]]</f>
        <v>0.36250524087248304</v>
      </c>
      <c r="AP531">
        <f>$AH531*tbl_Data_old[[#This Row],[2032 ]]</f>
        <v>0.30567560455375425</v>
      </c>
      <c r="AQ531">
        <f>$AH531*tbl_Data_old[[#This Row],[2033 ]]</f>
        <v>0.26033460967236943</v>
      </c>
      <c r="AR531">
        <f>$AH531*tbl_Data_old[[#This Row],[2034 ]]</f>
        <v>0.22360080356280523</v>
      </c>
      <c r="AS531">
        <f>SUM(tbl_Data_old[[#This Row],[Adjusted 2025]:[Adjusted 2034]])</f>
        <v>5.4813495657168785</v>
      </c>
      <c r="AT531" s="3">
        <f>AVERAGEIFS('3. Incentive Adjustment'!F:F,'3. Incentive Adjustment'!A:A,tbl_Data_old[[#This Row],[Trimmed Sector]],'3. Incentive Adjustment'!B:B,tbl_Data_old[[#This Row],[Trimmed Measure Name]])</f>
        <v>50</v>
      </c>
      <c r="AU531" s="3">
        <f>IFERROR(VLOOKUP(tbl_Data_old[[#This Row],[All_Meas_Name_Append]],'IRA Tax Credits'!$A$3:$D$46,4,0),0)</f>
        <v>0</v>
      </c>
      <c r="AV531" s="4">
        <f>tbl_Data_old[[#This Row],[Adj. per unit Incentive ($)]]/tbl_Data_old[[#This Row],[kWh Savings]]*tbl_Data_old[[#This Row],[Sum of Annuals]]</f>
        <v>0.22972580366284215</v>
      </c>
      <c r="AW531" s="4" t="str">
        <f>IFERROR(VLOOKUP(tbl_Data_old[[#This Row],[All_Programs]],'1. Set Program Names'!$B$2:$D$15,3,0)*tbl_Data_old[[#This Row],[Sum of Annuals]],"")</f>
        <v/>
      </c>
      <c r="AX531" s="4">
        <f>tbl_Data_old[[#This Row],[per unit IRA tax ($)]]/tbl_Data_old[[#This Row],[kWh Savings]]*tbl_Data_old[[#This Row],[Sum of Annuals]]</f>
        <v>0</v>
      </c>
      <c r="AY531" s="4">
        <f>tbl_Data_old[[#This Row],[Avoided Costs ($/unit)]]/tbl_Data_old[[#This Row],[kWh Savings]]*tbl_Data_old[[#This Row],[Sum of Annuals]]</f>
        <v>2.2298709518572757</v>
      </c>
      <c r="AZ531" s="4">
        <f>tbl_Data_old[[#This Row],[Lost Revenue ($/unit)]]/tbl_Data_old[[#This Row],[kWh Savings]]*tbl_Data_old[[#This Row],[Sum of Annuals]]</f>
        <v>4.8320654479603196</v>
      </c>
      <c r="BA531" s="4">
        <f>tbl_Data_old[[#This Row],[Incremental Cost ($/unit)]]/tbl_Data_old[[#This Row],[kWh Savings]]*tbl_Data_old[[#This Row],[Sum of Annuals]]</f>
        <v>1.259426114388164</v>
      </c>
      <c r="BB531">
        <f>ROUNDUP(tbl_Data_old[[#This Row],[Adjusted 2025]]/$L531,0)</f>
        <v>1</v>
      </c>
      <c r="BC531">
        <f>ROUNDUP(tbl_Data_old[[#This Row],[Adjusted 2026]]/$L531,0)</f>
        <v>1</v>
      </c>
      <c r="BD531">
        <f>ROUNDUP(tbl_Data_old[[#This Row],[Adjusted 2027]]/$L531,0)</f>
        <v>1</v>
      </c>
      <c r="BE531">
        <f>ROUNDUP(tbl_Data_old[[#This Row],[Adjusted 2028]]/$L531,0)</f>
        <v>1</v>
      </c>
      <c r="BF531">
        <f>ROUNDUP(tbl_Data_old[[#This Row],[Adjusted 2029]]/$L531,0)</f>
        <v>1</v>
      </c>
      <c r="BG531">
        <f>ROUNDUP(tbl_Data_old[[#This Row],[Adjusted 2030]]/$L531,0)</f>
        <v>1</v>
      </c>
      <c r="BH531">
        <f>ROUNDUP(tbl_Data_old[[#This Row],[Adjusted 2031]]/$L531,0)</f>
        <v>1</v>
      </c>
      <c r="BI531">
        <f>ROUNDUP(tbl_Data_old[[#This Row],[Adjusted 2032]]/$L531,0)</f>
        <v>1</v>
      </c>
      <c r="BJ531">
        <f>ROUNDUP(tbl_Data_old[[#This Row],[Adjusted 2033]]/$L531,0)</f>
        <v>1</v>
      </c>
      <c r="BK531">
        <f>ROUNDUP(tbl_Data_old[[#This Row],[Adjusted 2034]]/$L531,0)</f>
        <v>1</v>
      </c>
      <c r="BL531" s="3">
        <f t="shared" si="37"/>
        <v>5.2202321154540161E-2</v>
      </c>
      <c r="BM531" s="3">
        <f t="shared" si="37"/>
        <v>4.3534612217442703E-2</v>
      </c>
      <c r="BN531" s="3">
        <f t="shared" si="37"/>
        <v>3.6036993055726142E-2</v>
      </c>
      <c r="BO531" s="3">
        <f t="shared" si="37"/>
        <v>2.9890520037317608E-2</v>
      </c>
      <c r="BP531" s="3">
        <f t="shared" si="37"/>
        <v>2.4858881922839138E-2</v>
      </c>
      <c r="BQ531" s="3">
        <f t="shared" si="36"/>
        <v>2.072669387602798E-2</v>
      </c>
      <c r="BR531" s="3">
        <f t="shared" si="36"/>
        <v>1.7353931727162913E-2</v>
      </c>
      <c r="BS531" s="3">
        <f t="shared" si="36"/>
        <v>1.4633370704704112E-2</v>
      </c>
      <c r="BT531" s="3">
        <f t="shared" si="36"/>
        <v>1.2462796487019957E-2</v>
      </c>
      <c r="BU531" s="3">
        <f t="shared" si="36"/>
        <v>1.0704267529562873E-2</v>
      </c>
      <c r="BV531" t="e">
        <f>VLOOKUP($H531,'1. Set Program Names'!$B$2:$D$15,3,0)*V531</f>
        <v>#N/A</v>
      </c>
      <c r="BW531" t="e">
        <f>VLOOKUP($H531,'1. Set Program Names'!$B$2:$D$15,3,0)*W531</f>
        <v>#N/A</v>
      </c>
      <c r="BX531" t="e">
        <f>VLOOKUP($H531,'1. Set Program Names'!$B$2:$D$15,3,0)*X531</f>
        <v>#N/A</v>
      </c>
      <c r="BY531" t="e">
        <f>VLOOKUP($H531,'1. Set Program Names'!$B$2:$D$15,3,0)*Y531</f>
        <v>#N/A</v>
      </c>
      <c r="BZ531" t="e">
        <f>VLOOKUP($H531,'1. Set Program Names'!$B$2:$D$15,3,0)*Z531</f>
        <v>#N/A</v>
      </c>
      <c r="CA531" t="e">
        <f>VLOOKUP($H531,'1. Set Program Names'!$B$2:$D$15,3,0)*AA531</f>
        <v>#N/A</v>
      </c>
      <c r="CB531" t="e">
        <f>VLOOKUP($H531,'1. Set Program Names'!$B$2:$D$15,3,0)*AB531</f>
        <v>#N/A</v>
      </c>
      <c r="CC531" t="e">
        <f>VLOOKUP($H531,'1. Set Program Names'!$B$2:$D$15,3,0)*AC531</f>
        <v>#N/A</v>
      </c>
      <c r="CD531" t="e">
        <f>VLOOKUP($H531,'1. Set Program Names'!$B$2:$D$15,3,0)*AD531</f>
        <v>#N/A</v>
      </c>
      <c r="CE531" t="e">
        <f>VLOOKUP($H531,'1. Set Program Names'!$B$2:$D$15,3,0)*AE531</f>
        <v>#N/A</v>
      </c>
    </row>
    <row r="532" spans="1:83" x14ac:dyDescent="0.25">
      <c r="A532" s="20" t="s">
        <v>114</v>
      </c>
      <c r="B532" s="20" t="s">
        <v>88</v>
      </c>
      <c r="C532" s="20" t="s">
        <v>122</v>
      </c>
      <c r="D532" s="20" t="s">
        <v>90</v>
      </c>
      <c r="E532" s="20" t="s">
        <v>91</v>
      </c>
      <c r="F532" s="20" t="s">
        <v>90</v>
      </c>
      <c r="G532" s="20" t="s">
        <v>92</v>
      </c>
      <c r="H532" s="20" t="s">
        <v>20</v>
      </c>
      <c r="I532" s="20" t="s">
        <v>305</v>
      </c>
      <c r="J532" s="20" t="s">
        <v>129</v>
      </c>
      <c r="K532" s="20" t="s">
        <v>306</v>
      </c>
      <c r="L532" s="20">
        <v>1181.58666666666</v>
      </c>
      <c r="M532" s="20">
        <v>0.32580149205424902</v>
      </c>
      <c r="N532" s="20">
        <v>0</v>
      </c>
      <c r="O532" s="20">
        <v>442.61899981344197</v>
      </c>
      <c r="P532" s="20">
        <v>13015.025349926</v>
      </c>
      <c r="Q532" s="20">
        <v>70.895199999999903</v>
      </c>
      <c r="R532" s="20">
        <v>484.68312470825703</v>
      </c>
      <c r="S532" s="20">
        <v>971.92143438909795</v>
      </c>
      <c r="T532" s="20">
        <v>10</v>
      </c>
      <c r="U532" s="20">
        <v>0.05</v>
      </c>
      <c r="V532" s="20">
        <v>8.6503411363077598E-2</v>
      </c>
      <c r="W532" s="20">
        <v>7.2634506797353296E-2</v>
      </c>
      <c r="X532" s="20">
        <v>6.0717763291267997E-2</v>
      </c>
      <c r="Y532" s="20">
        <v>5.0982728415014597E-2</v>
      </c>
      <c r="Z532" s="20">
        <v>4.3008416379362799E-2</v>
      </c>
      <c r="AA532" s="20">
        <v>3.6477941564482003E-2</v>
      </c>
      <c r="AB532" s="20">
        <v>3.11321201697577E-2</v>
      </c>
      <c r="AC532" s="20">
        <v>2.68131424352645E-2</v>
      </c>
      <c r="AD532" s="20">
        <v>2.34047776424843E-2</v>
      </c>
      <c r="AE532" s="20">
        <v>2.0634848234088499E-2</v>
      </c>
      <c r="AF532" t="str">
        <f t="shared" si="35"/>
        <v>NonResidential</v>
      </c>
      <c r="AG532" t="str">
        <f>tbl_Data_old[[#This Row],[All_Meas_Name_Append]]</f>
        <v>Window shade film</v>
      </c>
      <c r="AH532">
        <f>AVERAGEIFS('3. Incentive Adjustment'!G:G,'3. Incentive Adjustment'!A:A,tbl_Data_old[[#This Row],[Trimmed Sector]],'3. Incentive Adjustment'!B:B,tbl_Data_old[[#This Row],[Trimmed Measure Name]])</f>
        <v>3.2127764592544555E-13</v>
      </c>
      <c r="AI532">
        <f>$AH532*tbl_Data_old[[#This Row],[2025 ]]</f>
        <v>2.7791612367250008E-14</v>
      </c>
      <c r="AJ532">
        <f>$AH532*tbl_Data_old[[#This Row],[2026 ]]</f>
        <v>2.3335843356809441E-14</v>
      </c>
      <c r="AK532">
        <f>$AH532*tbl_Data_old[[#This Row],[2027 ]]</f>
        <v>1.9507260056077015E-14</v>
      </c>
      <c r="AL532">
        <f>$AH532*tbl_Data_old[[#This Row],[2028 ]]</f>
        <v>1.6379610968032213E-14</v>
      </c>
      <c r="AM532">
        <f>$AH532*tbl_Data_old[[#This Row],[2029 ]]</f>
        <v>1.3817642769343054E-14</v>
      </c>
      <c r="AN532">
        <f>$AH532*tbl_Data_old[[#This Row],[2030 ]]</f>
        <v>1.1719547194042742E-14</v>
      </c>
      <c r="AO532">
        <f>$AH532*tbl_Data_old[[#This Row],[2031 ]]</f>
        <v>1.0002054280807837E-14</v>
      </c>
      <c r="AP532">
        <f>$AH532*tbl_Data_old[[#This Row],[2032 ]]</f>
        <v>8.6144632814654466E-15</v>
      </c>
      <c r="AQ532">
        <f>$AH532*tbl_Data_old[[#This Row],[2033 ]]</f>
        <v>7.5194318643858557E-15</v>
      </c>
      <c r="AR532">
        <f>$AH532*tbl_Data_old[[#This Row],[2034 ]]</f>
        <v>6.62951546467679E-15</v>
      </c>
      <c r="AS532">
        <f>SUM(tbl_Data_old[[#This Row],[Adjusted 2025]:[Adjusted 2034]])</f>
        <v>1.4531698160289043E-13</v>
      </c>
      <c r="AT532" s="3">
        <f>AVERAGEIFS('3. Incentive Adjustment'!F:F,'3. Incentive Adjustment'!A:A,tbl_Data_old[[#This Row],[Trimmed Sector]],'3. Incentive Adjustment'!B:B,tbl_Data_old[[#This Row],[Trimmed Measure Name]])</f>
        <v>132.78569994403261</v>
      </c>
      <c r="AU532" s="3">
        <f>IFERROR(VLOOKUP(tbl_Data_old[[#This Row],[All_Meas_Name_Append]],'IRA Tax Credits'!$A$3:$D$46,4,0),0)</f>
        <v>0</v>
      </c>
      <c r="AV532" s="4">
        <f>tbl_Data_old[[#This Row],[Adj. per unit Incentive ($)]]/tbl_Data_old[[#This Row],[kWh Savings]]*tbl_Data_old[[#This Row],[Sum of Annuals]]</f>
        <v>1.633059822038222E-14</v>
      </c>
      <c r="AW532" s="4" t="str">
        <f>IFERROR(VLOOKUP(tbl_Data_old[[#This Row],[All_Programs]],'1. Set Program Names'!$B$2:$D$15,3,0)*tbl_Data_old[[#This Row],[Sum of Annuals]],"")</f>
        <v/>
      </c>
      <c r="AX532" s="4">
        <f>tbl_Data_old[[#This Row],[per unit IRA tax ($)]]/tbl_Data_old[[#This Row],[kWh Savings]]*tbl_Data_old[[#This Row],[Sum of Annuals]]</f>
        <v>0</v>
      </c>
      <c r="AY532" s="4">
        <f>tbl_Data_old[[#This Row],[Avoided Costs ($/unit)]]/tbl_Data_old[[#This Row],[kWh Savings]]*tbl_Data_old[[#This Row],[Sum of Annuals]]</f>
        <v>5.9608567617944481E-14</v>
      </c>
      <c r="AZ532" s="4">
        <f>tbl_Data_old[[#This Row],[Lost Revenue ($/unit)]]/tbl_Data_old[[#This Row],[kWh Savings]]*tbl_Data_old[[#This Row],[Sum of Annuals]]</f>
        <v>1.1953138367667449E-13</v>
      </c>
      <c r="BA532" s="4">
        <f>tbl_Data_old[[#This Row],[Incremental Cost ($/unit)]]/tbl_Data_old[[#This Row],[kWh Savings]]*tbl_Data_old[[#This Row],[Sum of Annuals]]</f>
        <v>5.4435327401274056E-14</v>
      </c>
      <c r="BB532">
        <f>ROUNDUP(tbl_Data_old[[#This Row],[Adjusted 2025]]/$L532,0)</f>
        <v>1</v>
      </c>
      <c r="BC532">
        <f>ROUNDUP(tbl_Data_old[[#This Row],[Adjusted 2026]]/$L532,0)</f>
        <v>1</v>
      </c>
      <c r="BD532">
        <f>ROUNDUP(tbl_Data_old[[#This Row],[Adjusted 2027]]/$L532,0)</f>
        <v>1</v>
      </c>
      <c r="BE532">
        <f>ROUNDUP(tbl_Data_old[[#This Row],[Adjusted 2028]]/$L532,0)</f>
        <v>1</v>
      </c>
      <c r="BF532">
        <f>ROUNDUP(tbl_Data_old[[#This Row],[Adjusted 2029]]/$L532,0)</f>
        <v>1</v>
      </c>
      <c r="BG532">
        <f>ROUNDUP(tbl_Data_old[[#This Row],[Adjusted 2030]]/$L532,0)</f>
        <v>1</v>
      </c>
      <c r="BH532">
        <f>ROUNDUP(tbl_Data_old[[#This Row],[Adjusted 2031]]/$L532,0)</f>
        <v>1</v>
      </c>
      <c r="BI532">
        <f>ROUNDUP(tbl_Data_old[[#This Row],[Adjusted 2032]]/$L532,0)</f>
        <v>1</v>
      </c>
      <c r="BJ532">
        <f>ROUNDUP(tbl_Data_old[[#This Row],[Adjusted 2033]]/$L532,0)</f>
        <v>1</v>
      </c>
      <c r="BK532">
        <f>ROUNDUP(tbl_Data_old[[#This Row],[Adjusted 2034]]/$L532,0)</f>
        <v>1</v>
      </c>
      <c r="BL532" s="3">
        <f t="shared" si="37"/>
        <v>9.7211794525380348E-3</v>
      </c>
      <c r="BM532" s="3">
        <f t="shared" si="37"/>
        <v>8.1626038083053923E-3</v>
      </c>
      <c r="BN532" s="3">
        <f t="shared" si="37"/>
        <v>6.8234103558496113E-3</v>
      </c>
      <c r="BO532" s="3">
        <f t="shared" si="37"/>
        <v>5.7293954549624843E-3</v>
      </c>
      <c r="BP532" s="3">
        <f t="shared" si="37"/>
        <v>4.8332490823791612E-3</v>
      </c>
      <c r="BQ532" s="3">
        <f t="shared" si="36"/>
        <v>4.0993599029192015E-3</v>
      </c>
      <c r="BR532" s="3">
        <f t="shared" si="36"/>
        <v>3.4986010625399477E-3</v>
      </c>
      <c r="BS532" s="3">
        <f t="shared" si="36"/>
        <v>3.0132380352681084E-3</v>
      </c>
      <c r="BT532" s="3">
        <f t="shared" si="36"/>
        <v>2.6302089122748006E-3</v>
      </c>
      <c r="BU532" s="3">
        <f t="shared" si="36"/>
        <v>2.3189266122408928E-3</v>
      </c>
      <c r="BV532" t="e">
        <f>VLOOKUP($H532,'1. Set Program Names'!$B$2:$D$15,3,0)*V532</f>
        <v>#N/A</v>
      </c>
      <c r="BW532" t="e">
        <f>VLOOKUP($H532,'1. Set Program Names'!$B$2:$D$15,3,0)*W532</f>
        <v>#N/A</v>
      </c>
      <c r="BX532" t="e">
        <f>VLOOKUP($H532,'1. Set Program Names'!$B$2:$D$15,3,0)*X532</f>
        <v>#N/A</v>
      </c>
      <c r="BY532" t="e">
        <f>VLOOKUP($H532,'1. Set Program Names'!$B$2:$D$15,3,0)*Y532</f>
        <v>#N/A</v>
      </c>
      <c r="BZ532" t="e">
        <f>VLOOKUP($H532,'1. Set Program Names'!$B$2:$D$15,3,0)*Z532</f>
        <v>#N/A</v>
      </c>
      <c r="CA532" t="e">
        <f>VLOOKUP($H532,'1. Set Program Names'!$B$2:$D$15,3,0)*AA532</f>
        <v>#N/A</v>
      </c>
      <c r="CB532" t="e">
        <f>VLOOKUP($H532,'1. Set Program Names'!$B$2:$D$15,3,0)*AB532</f>
        <v>#N/A</v>
      </c>
      <c r="CC532" t="e">
        <f>VLOOKUP($H532,'1. Set Program Names'!$B$2:$D$15,3,0)*AC532</f>
        <v>#N/A</v>
      </c>
      <c r="CD532" t="e">
        <f>VLOOKUP($H532,'1. Set Program Names'!$B$2:$D$15,3,0)*AD532</f>
        <v>#N/A</v>
      </c>
      <c r="CE532" t="e">
        <f>VLOOKUP($H532,'1. Set Program Names'!$B$2:$D$15,3,0)*AE532</f>
        <v>#N/A</v>
      </c>
    </row>
    <row r="533" spans="1:83" x14ac:dyDescent="0.25">
      <c r="A533" s="20" t="s">
        <v>115</v>
      </c>
      <c r="B533" s="20" t="s">
        <v>88</v>
      </c>
      <c r="C533" s="20" t="s">
        <v>122</v>
      </c>
      <c r="D533" s="20" t="s">
        <v>90</v>
      </c>
      <c r="E533" s="20" t="s">
        <v>91</v>
      </c>
      <c r="F533" s="20" t="s">
        <v>90</v>
      </c>
      <c r="G533" s="20" t="s">
        <v>92</v>
      </c>
      <c r="H533" s="20" t="s">
        <v>20</v>
      </c>
      <c r="I533" s="20" t="s">
        <v>237</v>
      </c>
      <c r="J533" s="20" t="s">
        <v>129</v>
      </c>
      <c r="K533" s="20" t="s">
        <v>102</v>
      </c>
      <c r="L533" s="20">
        <v>2568.1199999999699</v>
      </c>
      <c r="M533" s="20">
        <v>0.53641456399840104</v>
      </c>
      <c r="N533" s="20">
        <v>2.1892485513222901E-2</v>
      </c>
      <c r="O533" s="53">
        <f>9025.1/929.29*tbl_Data_old[[#This Row],[kWh Savings]]</f>
        <v>24941.126894725789</v>
      </c>
      <c r="P533" s="20">
        <v>35498.089296558101</v>
      </c>
      <c r="Q533" s="20">
        <v>154.08719999999801</v>
      </c>
      <c r="R533" s="20">
        <v>1534.4473108970501</v>
      </c>
      <c r="S533" s="20">
        <v>3958.9826982459099</v>
      </c>
      <c r="T533" s="20">
        <v>30</v>
      </c>
      <c r="U533" s="20">
        <v>0.05</v>
      </c>
      <c r="V533" s="20">
        <v>1.81257838799656E-2</v>
      </c>
      <c r="W533" s="20">
        <v>3.8376201268882998E-2</v>
      </c>
      <c r="X533" s="20">
        <v>6.0930838249833599E-2</v>
      </c>
      <c r="Y533" s="20">
        <v>8.6015530530484594E-2</v>
      </c>
      <c r="Z533" s="20">
        <v>0.113775915774843</v>
      </c>
      <c r="AA533" s="20">
        <v>0.14435423423594501</v>
      </c>
      <c r="AB533" s="20">
        <v>0.177815740074379</v>
      </c>
      <c r="AC533" s="20">
        <v>0.21427245442045001</v>
      </c>
      <c r="AD533" s="20">
        <v>0.25392960335357001</v>
      </c>
      <c r="AE533" s="20">
        <v>0.29682087731664197</v>
      </c>
      <c r="AF533" t="str">
        <f t="shared" si="35"/>
        <v>NonResidential</v>
      </c>
      <c r="AG533" t="str">
        <f>tbl_Data_old[[#This Row],[All_Meas_Name_Append]]</f>
        <v>Ceiling Insulation(R19 to R38)</v>
      </c>
      <c r="AH533">
        <f>AVERAGEIFS('3. Incentive Adjustment'!G:G,'3. Incentive Adjustment'!A:A,tbl_Data_old[[#This Row],[Trimmed Sector]],'3. Incentive Adjustment'!B:B,tbl_Data_old[[#This Row],[Trimmed Measure Name]])</f>
        <v>3.9688771318830651E-15</v>
      </c>
      <c r="AI533">
        <f>$AH533*tbl_Data_old[[#This Row],[2025 ]]</f>
        <v>7.193900913865017E-17</v>
      </c>
      <c r="AJ533">
        <f>$AH533*tbl_Data_old[[#This Row],[2026 ]]</f>
        <v>1.523104276246116E-16</v>
      </c>
      <c r="AK533">
        <f>$AH533*tbl_Data_old[[#This Row],[2027 ]]</f>
        <v>2.4182701055623053E-16</v>
      </c>
      <c r="AL533">
        <f>$AH533*tbl_Data_old[[#This Row],[2028 ]]</f>
        <v>3.4138507210922992E-16</v>
      </c>
      <c r="AM533">
        <f>$AH533*tbl_Data_old[[#This Row],[2029 ]]</f>
        <v>4.5156263027782804E-16</v>
      </c>
      <c r="AN533">
        <f>$AH533*tbl_Data_old[[#This Row],[2030 ]]</f>
        <v>5.7292421914953357E-16</v>
      </c>
      <c r="AO533">
        <f>$AH533*tbl_Data_old[[#This Row],[2031 ]]</f>
        <v>7.0572882447006597E-16</v>
      </c>
      <c r="AP533">
        <f>$AH533*tbl_Data_old[[#This Row],[2032 ]]</f>
        <v>8.5042104434178041E-16</v>
      </c>
      <c r="AQ533">
        <f>$AH533*tbl_Data_old[[#This Row],[2033 ]]</f>
        <v>1.0078153958581212E-15</v>
      </c>
      <c r="AR533">
        <f>$AH533*tbl_Data_old[[#This Row],[2034 ]]</f>
        <v>1.1780455922474891E-15</v>
      </c>
      <c r="AS533">
        <f>SUM(tbl_Data_old[[#This Row],[Adjusted 2025]:[Adjusted 2034]])</f>
        <v>5.5739592257735409E-15</v>
      </c>
      <c r="AT533" s="3">
        <f>AVERAGEIFS('3. Incentive Adjustment'!F:F,'3. Incentive Adjustment'!A:A,tbl_Data_old[[#This Row],[Trimmed Sector]],'3. Incentive Adjustment'!B:B,tbl_Data_old[[#This Row],[Trimmed Measure Name]])</f>
        <v>3222.5963039661074</v>
      </c>
      <c r="AU533" s="3">
        <f>IFERROR(VLOOKUP(tbl_Data_old[[#This Row],[All_Meas_Name_Append]],'IRA Tax Credits'!$A$3:$D$46,4,0),0)</f>
        <v>0</v>
      </c>
      <c r="AV533" s="4">
        <f>tbl_Data_old[[#This Row],[Adj. per unit Incentive ($)]]/tbl_Data_old[[#This Row],[kWh Savings]]*tbl_Data_old[[#This Row],[Sum of Annuals]]</f>
        <v>6.9944630311028338E-15</v>
      </c>
      <c r="AW533" s="4" t="str">
        <f>IFERROR(VLOOKUP(tbl_Data_old[[#This Row],[All_Programs]],'1. Set Program Names'!$B$2:$D$15,3,0)*tbl_Data_old[[#This Row],[Sum of Annuals]],"")</f>
        <v/>
      </c>
      <c r="AX533" s="4">
        <f>tbl_Data_old[[#This Row],[per unit IRA tax ($)]]/tbl_Data_old[[#This Row],[kWh Savings]]*tbl_Data_old[[#This Row],[Sum of Annuals]]</f>
        <v>0</v>
      </c>
      <c r="AY533" s="4">
        <f>tbl_Data_old[[#This Row],[Avoided Costs ($/unit)]]/tbl_Data_old[[#This Row],[kWh Savings]]*tbl_Data_old[[#This Row],[Sum of Annuals]]</f>
        <v>3.3304311110999929E-15</v>
      </c>
      <c r="AZ533" s="4">
        <f>tbl_Data_old[[#This Row],[Lost Revenue ($/unit)]]/tbl_Data_old[[#This Row],[kWh Savings]]*tbl_Data_old[[#This Row],[Sum of Annuals]]</f>
        <v>8.5927480552177755E-15</v>
      </c>
      <c r="BA533" s="4">
        <f>tbl_Data_old[[#This Row],[Incremental Cost ($/unit)]]/tbl_Data_old[[#This Row],[kWh Savings]]*tbl_Data_old[[#This Row],[Sum of Annuals]]</f>
        <v>5.4133305435901372E-14</v>
      </c>
      <c r="BB533">
        <f>ROUNDUP(tbl_Data_old[[#This Row],[Adjusted 2025]]/$L533,0)</f>
        <v>1</v>
      </c>
      <c r="BC533">
        <f>ROUNDUP(tbl_Data_old[[#This Row],[Adjusted 2026]]/$L533,0)</f>
        <v>1</v>
      </c>
      <c r="BD533">
        <f>ROUNDUP(tbl_Data_old[[#This Row],[Adjusted 2027]]/$L533,0)</f>
        <v>1</v>
      </c>
      <c r="BE533">
        <f>ROUNDUP(tbl_Data_old[[#This Row],[Adjusted 2028]]/$L533,0)</f>
        <v>1</v>
      </c>
      <c r="BF533">
        <f>ROUNDUP(tbl_Data_old[[#This Row],[Adjusted 2029]]/$L533,0)</f>
        <v>1</v>
      </c>
      <c r="BG533">
        <f>ROUNDUP(tbl_Data_old[[#This Row],[Adjusted 2030]]/$L533,0)</f>
        <v>1</v>
      </c>
      <c r="BH533">
        <f>ROUNDUP(tbl_Data_old[[#This Row],[Adjusted 2031]]/$L533,0)</f>
        <v>1</v>
      </c>
      <c r="BI533">
        <f>ROUNDUP(tbl_Data_old[[#This Row],[Adjusted 2032]]/$L533,0)</f>
        <v>1</v>
      </c>
      <c r="BJ533">
        <f>ROUNDUP(tbl_Data_old[[#This Row],[Adjusted 2033]]/$L533,0)</f>
        <v>1</v>
      </c>
      <c r="BK533">
        <f>ROUNDUP(tbl_Data_old[[#This Row],[Adjusted 2034]]/$L533,0)</f>
        <v>1</v>
      </c>
      <c r="BL533" s="3">
        <f t="shared" si="37"/>
        <v>2.2745075829036916E-2</v>
      </c>
      <c r="BM533" s="3">
        <f t="shared" si="37"/>
        <v>4.8156240506426196E-2</v>
      </c>
      <c r="BN533" s="3">
        <f t="shared" si="37"/>
        <v>7.6458846993704657E-2</v>
      </c>
      <c r="BO533" s="3">
        <f t="shared" si="37"/>
        <v>0.107936284430333</v>
      </c>
      <c r="BP533" s="3">
        <f t="shared" si="37"/>
        <v>0.14277130572417665</v>
      </c>
      <c r="BQ533" s="3">
        <f t="shared" si="36"/>
        <v>0.1811424005539537</v>
      </c>
      <c r="BR533" s="3">
        <f t="shared" si="36"/>
        <v>0.22313145287241196</v>
      </c>
      <c r="BS533" s="3">
        <f t="shared" si="36"/>
        <v>0.26887903199893171</v>
      </c>
      <c r="BT533" s="3">
        <f t="shared" si="36"/>
        <v>0.31864266515381057</v>
      </c>
      <c r="BU533" s="3">
        <f t="shared" si="36"/>
        <v>0.37246462867023311</v>
      </c>
      <c r="BV533" t="e">
        <f>VLOOKUP($H533,'1. Set Program Names'!$B$2:$D$15,3,0)*V533</f>
        <v>#N/A</v>
      </c>
      <c r="BW533" t="e">
        <f>VLOOKUP($H533,'1. Set Program Names'!$B$2:$D$15,3,0)*W533</f>
        <v>#N/A</v>
      </c>
      <c r="BX533" t="e">
        <f>VLOOKUP($H533,'1. Set Program Names'!$B$2:$D$15,3,0)*X533</f>
        <v>#N/A</v>
      </c>
      <c r="BY533" t="e">
        <f>VLOOKUP($H533,'1. Set Program Names'!$B$2:$D$15,3,0)*Y533</f>
        <v>#N/A</v>
      </c>
      <c r="BZ533" t="e">
        <f>VLOOKUP($H533,'1. Set Program Names'!$B$2:$D$15,3,0)*Z533</f>
        <v>#N/A</v>
      </c>
      <c r="CA533" t="e">
        <f>VLOOKUP($H533,'1. Set Program Names'!$B$2:$D$15,3,0)*AA533</f>
        <v>#N/A</v>
      </c>
      <c r="CB533" t="e">
        <f>VLOOKUP($H533,'1. Set Program Names'!$B$2:$D$15,3,0)*AB533</f>
        <v>#N/A</v>
      </c>
      <c r="CC533" t="e">
        <f>VLOOKUP($H533,'1. Set Program Names'!$B$2:$D$15,3,0)*AC533</f>
        <v>#N/A</v>
      </c>
      <c r="CD533" t="e">
        <f>VLOOKUP($H533,'1. Set Program Names'!$B$2:$D$15,3,0)*AD533</f>
        <v>#N/A</v>
      </c>
      <c r="CE533" t="e">
        <f>VLOOKUP($H533,'1. Set Program Names'!$B$2:$D$15,3,0)*AE533</f>
        <v>#N/A</v>
      </c>
    </row>
    <row r="534" spans="1:83" x14ac:dyDescent="0.25">
      <c r="A534" s="20" t="s">
        <v>115</v>
      </c>
      <c r="B534" s="20" t="s">
        <v>88</v>
      </c>
      <c r="C534" s="20" t="s">
        <v>122</v>
      </c>
      <c r="D534" s="20" t="s">
        <v>90</v>
      </c>
      <c r="E534" s="20" t="s">
        <v>91</v>
      </c>
      <c r="F534" s="20" t="s">
        <v>90</v>
      </c>
      <c r="G534" s="20" t="s">
        <v>92</v>
      </c>
      <c r="H534" s="20" t="s">
        <v>20</v>
      </c>
      <c r="I534" s="20" t="s">
        <v>238</v>
      </c>
      <c r="J534" s="20" t="s">
        <v>129</v>
      </c>
      <c r="K534" s="20" t="s">
        <v>102</v>
      </c>
      <c r="L534" s="20">
        <v>4477.6116666666303</v>
      </c>
      <c r="M534" s="20">
        <v>0.90610878358590996</v>
      </c>
      <c r="N534" s="20">
        <v>4.9616670393602701E-2</v>
      </c>
      <c r="O534" s="53">
        <f>9351.31/1137.9*tbl_Data_old[[#This Row],[kWh Savings]]</f>
        <v>36797.200768623181</v>
      </c>
      <c r="P534" s="20">
        <v>44221.719775682497</v>
      </c>
      <c r="Q534" s="20">
        <v>268.65669999999699</v>
      </c>
      <c r="R534" s="20">
        <v>2670.7044942461998</v>
      </c>
      <c r="S534" s="20">
        <v>6902.6319322295803</v>
      </c>
      <c r="T534" s="20">
        <v>30</v>
      </c>
      <c r="U534" s="20">
        <v>0.05</v>
      </c>
      <c r="V534" s="20">
        <v>1.1459983861124999E-2</v>
      </c>
      <c r="W534" s="20">
        <v>2.4246390474775999E-2</v>
      </c>
      <c r="X534" s="20">
        <v>3.8463461171922897E-2</v>
      </c>
      <c r="Y534" s="20">
        <v>5.4247042501039199E-2</v>
      </c>
      <c r="Z534" s="20">
        <v>7.1684512026238198E-2</v>
      </c>
      <c r="AA534" s="20">
        <v>9.0859515453279804E-2</v>
      </c>
      <c r="AB534" s="20">
        <v>0.11181039820583701</v>
      </c>
      <c r="AC534" s="20">
        <v>0.13460530883029401</v>
      </c>
      <c r="AD534" s="20">
        <v>0.159367306447698</v>
      </c>
      <c r="AE534" s="20">
        <v>0.18611664176165199</v>
      </c>
      <c r="AF534" t="str">
        <f t="shared" si="35"/>
        <v>NonResidential</v>
      </c>
      <c r="AG534" t="str">
        <f>tbl_Data_old[[#This Row],[All_Meas_Name_Append]]</f>
        <v>Ceiling Insulation(R19 to R49)</v>
      </c>
      <c r="AH534">
        <f>AVERAGEIFS('3. Incentive Adjustment'!G:G,'3. Incentive Adjustment'!A:A,tbl_Data_old[[#This Row],[Trimmed Sector]],'3. Incentive Adjustment'!B:B,tbl_Data_old[[#This Row],[Trimmed Measure Name]])</f>
        <v>7.9373870200739678E-11</v>
      </c>
      <c r="AI534">
        <f>$AH534*tbl_Data_old[[#This Row],[2025 ]]</f>
        <v>9.0962327149550715E-13</v>
      </c>
      <c r="AJ534">
        <f>$AH534*tbl_Data_old[[#This Row],[2026 ]]</f>
        <v>1.924529850381321E-12</v>
      </c>
      <c r="AK534">
        <f>$AH534*tbl_Data_old[[#This Row],[2027 ]]</f>
        <v>3.0529937745313986E-12</v>
      </c>
      <c r="AL534">
        <f>$AH534*tbl_Data_old[[#This Row],[2028 ]]</f>
        <v>4.3057977102514941E-12</v>
      </c>
      <c r="AM534">
        <f>$AH534*tbl_Data_old[[#This Row],[2029 ]]</f>
        <v>5.6898771529739934E-12</v>
      </c>
      <c r="AN534">
        <f>$AH534*tbl_Data_old[[#This Row],[2030 ]]</f>
        <v>7.2118713860907323E-12</v>
      </c>
      <c r="AO534">
        <f>$AH534*tbl_Data_old[[#This Row],[2031 ]]</f>
        <v>8.8748240342831227E-12</v>
      </c>
      <c r="AP534">
        <f>$AH534*tbl_Data_old[[#This Row],[2032 ]]</f>
        <v>1.0684144311426235E-11</v>
      </c>
      <c r="AQ534">
        <f>$AH534*tbl_Data_old[[#This Row],[2033 ]]</f>
        <v>1.2649599896221085E-11</v>
      </c>
      <c r="AR534">
        <f>$AH534*tbl_Data_old[[#This Row],[2034 ]]</f>
        <v>1.4772798165386932E-11</v>
      </c>
      <c r="AS534">
        <f>SUM(tbl_Data_old[[#This Row],[Adjusted 2025]:[Adjusted 2034]])</f>
        <v>7.0076059553041815E-11</v>
      </c>
      <c r="AT534" s="3">
        <f>AVERAGEIFS('3. Incentive Adjustment'!F:F,'3. Incentive Adjustment'!A:A,tbl_Data_old[[#This Row],[Trimmed Sector]],'3. Incentive Adjustment'!B:B,tbl_Data_old[[#This Row],[Trimmed Measure Name]])</f>
        <v>4754.4974087894998</v>
      </c>
      <c r="AU534" s="3">
        <f>IFERROR(VLOOKUP(tbl_Data_old[[#This Row],[All_Meas_Name_Append]],'IRA Tax Credits'!$A$3:$D$46,4,0),0)</f>
        <v>500</v>
      </c>
      <c r="AV534" s="4">
        <f>tbl_Data_old[[#This Row],[Adj. per unit Incentive ($)]]/tbl_Data_old[[#This Row],[kWh Savings]]*tbl_Data_old[[#This Row],[Sum of Annuals]]</f>
        <v>7.4409410276338257E-11</v>
      </c>
      <c r="AW534" s="4" t="str">
        <f>IFERROR(VLOOKUP(tbl_Data_old[[#This Row],[All_Programs]],'1. Set Program Names'!$B$2:$D$15,3,0)*tbl_Data_old[[#This Row],[Sum of Annuals]],"")</f>
        <v/>
      </c>
      <c r="AX534" s="4">
        <f>tbl_Data_old[[#This Row],[per unit IRA tax ($)]]/tbl_Data_old[[#This Row],[kWh Savings]]*tbl_Data_old[[#This Row],[Sum of Annuals]]</f>
        <v>7.825160461627316E-12</v>
      </c>
      <c r="AY534" s="4">
        <f>tbl_Data_old[[#This Row],[Avoided Costs ($/unit)]]/tbl_Data_old[[#This Row],[kWh Savings]]*tbl_Data_old[[#This Row],[Sum of Annuals]]</f>
        <v>4.1797382426131484E-11</v>
      </c>
      <c r="AZ534" s="4">
        <f>tbl_Data_old[[#This Row],[Lost Revenue ($/unit)]]/tbl_Data_old[[#This Row],[kWh Savings]]*tbl_Data_old[[#This Row],[Sum of Annuals]]</f>
        <v>1.0802840495449816E-10</v>
      </c>
      <c r="BA534" s="4">
        <f>tbl_Data_old[[#This Row],[Incremental Cost ($/unit)]]/tbl_Data_old[[#This Row],[kWh Savings]]*tbl_Data_old[[#This Row],[Sum of Annuals]]</f>
        <v>5.7588800110638483E-10</v>
      </c>
      <c r="BB534">
        <f>ROUNDUP(tbl_Data_old[[#This Row],[Adjusted 2025]]/$L534,0)</f>
        <v>1</v>
      </c>
      <c r="BC534">
        <f>ROUNDUP(tbl_Data_old[[#This Row],[Adjusted 2026]]/$L534,0)</f>
        <v>1</v>
      </c>
      <c r="BD534">
        <f>ROUNDUP(tbl_Data_old[[#This Row],[Adjusted 2027]]/$L534,0)</f>
        <v>1</v>
      </c>
      <c r="BE534">
        <f>ROUNDUP(tbl_Data_old[[#This Row],[Adjusted 2028]]/$L534,0)</f>
        <v>1</v>
      </c>
      <c r="BF534">
        <f>ROUNDUP(tbl_Data_old[[#This Row],[Adjusted 2029]]/$L534,0)</f>
        <v>1</v>
      </c>
      <c r="BG534">
        <f>ROUNDUP(tbl_Data_old[[#This Row],[Adjusted 2030]]/$L534,0)</f>
        <v>1</v>
      </c>
      <c r="BH534">
        <f>ROUNDUP(tbl_Data_old[[#This Row],[Adjusted 2031]]/$L534,0)</f>
        <v>1</v>
      </c>
      <c r="BI534">
        <f>ROUNDUP(tbl_Data_old[[#This Row],[Adjusted 2032]]/$L534,0)</f>
        <v>1</v>
      </c>
      <c r="BJ534">
        <f>ROUNDUP(tbl_Data_old[[#This Row],[Adjusted 2033]]/$L534,0)</f>
        <v>1</v>
      </c>
      <c r="BK534">
        <f>ROUNDUP(tbl_Data_old[[#This Row],[Adjusted 2034]]/$L534,0)</f>
        <v>1</v>
      </c>
      <c r="BL534" s="3">
        <f t="shared" si="37"/>
        <v>1.2168644274828526E-2</v>
      </c>
      <c r="BM534" s="3">
        <f t="shared" si="37"/>
        <v>2.5745734392960646E-2</v>
      </c>
      <c r="BN534" s="3">
        <f t="shared" si="37"/>
        <v>4.0841957741977276E-2</v>
      </c>
      <c r="BO534" s="3">
        <f t="shared" si="37"/>
        <v>5.7601561324698812E-2</v>
      </c>
      <c r="BP534" s="3">
        <f t="shared" si="37"/>
        <v>7.6117325943278247E-2</v>
      </c>
      <c r="BQ534" s="3">
        <f t="shared" si="36"/>
        <v>9.6478069771531894E-2</v>
      </c>
      <c r="BR534" s="3">
        <f t="shared" si="36"/>
        <v>0.11872450943052124</v>
      </c>
      <c r="BS534" s="3">
        <f t="shared" si="36"/>
        <v>0.14292900762414229</v>
      </c>
      <c r="BT534" s="3">
        <f t="shared" si="36"/>
        <v>0.16922223318115986</v>
      </c>
      <c r="BU534" s="3">
        <f t="shared" si="36"/>
        <v>0.19762568906453148</v>
      </c>
      <c r="BV534" t="e">
        <f>VLOOKUP($H534,'1. Set Program Names'!$B$2:$D$15,3,0)*V534</f>
        <v>#N/A</v>
      </c>
      <c r="BW534" t="e">
        <f>VLOOKUP($H534,'1. Set Program Names'!$B$2:$D$15,3,0)*W534</f>
        <v>#N/A</v>
      </c>
      <c r="BX534" t="e">
        <f>VLOOKUP($H534,'1. Set Program Names'!$B$2:$D$15,3,0)*X534</f>
        <v>#N/A</v>
      </c>
      <c r="BY534" t="e">
        <f>VLOOKUP($H534,'1. Set Program Names'!$B$2:$D$15,3,0)*Y534</f>
        <v>#N/A</v>
      </c>
      <c r="BZ534" t="e">
        <f>VLOOKUP($H534,'1. Set Program Names'!$B$2:$D$15,3,0)*Z534</f>
        <v>#N/A</v>
      </c>
      <c r="CA534" t="e">
        <f>VLOOKUP($H534,'1. Set Program Names'!$B$2:$D$15,3,0)*AA534</f>
        <v>#N/A</v>
      </c>
      <c r="CB534" t="e">
        <f>VLOOKUP($H534,'1. Set Program Names'!$B$2:$D$15,3,0)*AB534</f>
        <v>#N/A</v>
      </c>
      <c r="CC534" t="e">
        <f>VLOOKUP($H534,'1. Set Program Names'!$B$2:$D$15,3,0)*AC534</f>
        <v>#N/A</v>
      </c>
      <c r="CD534" t="e">
        <f>VLOOKUP($H534,'1. Set Program Names'!$B$2:$D$15,3,0)*AD534</f>
        <v>#N/A</v>
      </c>
      <c r="CE534" t="e">
        <f>VLOOKUP($H534,'1. Set Program Names'!$B$2:$D$15,3,0)*AE534</f>
        <v>#N/A</v>
      </c>
    </row>
    <row r="535" spans="1:83" x14ac:dyDescent="0.25">
      <c r="A535" s="20" t="s">
        <v>115</v>
      </c>
      <c r="B535" s="20" t="s">
        <v>88</v>
      </c>
      <c r="C535" s="20" t="s">
        <v>122</v>
      </c>
      <c r="D535" s="20" t="s">
        <v>90</v>
      </c>
      <c r="E535" s="20" t="s">
        <v>91</v>
      </c>
      <c r="F535" s="20" t="s">
        <v>90</v>
      </c>
      <c r="G535" s="20" t="s">
        <v>92</v>
      </c>
      <c r="H535" s="20" t="s">
        <v>20</v>
      </c>
      <c r="I535" s="20" t="s">
        <v>240</v>
      </c>
      <c r="J535" s="20" t="s">
        <v>129</v>
      </c>
      <c r="K535" s="20" t="s">
        <v>102</v>
      </c>
      <c r="L535" s="20">
        <v>18717.787499999999</v>
      </c>
      <c r="M535" s="20">
        <v>3.6380387810097399</v>
      </c>
      <c r="N535" s="20">
        <v>0.14255501576814</v>
      </c>
      <c r="O535" s="53">
        <f>11091.09/6133.31*tbl_Data_old[[#This Row],[kWh Savings]]</f>
        <v>33848.063405139306</v>
      </c>
      <c r="P535" s="20">
        <v>45532.278837645601</v>
      </c>
      <c r="Q535" s="20">
        <v>1123.0672500000001</v>
      </c>
      <c r="R535" s="20">
        <v>11042.715256281999</v>
      </c>
      <c r="S535" s="20">
        <v>28855.114582630202</v>
      </c>
      <c r="T535" s="20">
        <v>30</v>
      </c>
      <c r="U535" s="20">
        <v>0.05</v>
      </c>
      <c r="V535" s="20">
        <v>2.0666208746619601E-2</v>
      </c>
      <c r="W535" s="20">
        <v>4.09380599239327E-2</v>
      </c>
      <c r="X535" s="20">
        <v>6.0647888306650501E-2</v>
      </c>
      <c r="Y535" s="20">
        <v>7.9814344700531004E-2</v>
      </c>
      <c r="Z535" s="20">
        <v>9.8460798339911906E-2</v>
      </c>
      <c r="AA535" s="20">
        <v>0.116558120183458</v>
      </c>
      <c r="AB535" s="20">
        <v>0.13411422126130601</v>
      </c>
      <c r="AC535" s="20">
        <v>0.151165944429768</v>
      </c>
      <c r="AD535" s="20">
        <v>0.16772070596080599</v>
      </c>
      <c r="AE535" s="20">
        <v>0.18379545564552399</v>
      </c>
      <c r="AF535" t="str">
        <f t="shared" si="35"/>
        <v>NonResidential</v>
      </c>
      <c r="AG535" t="str">
        <f>tbl_Data_old[[#This Row],[All_Meas_Name_Append]]</f>
        <v>Ceiling Insulation(R2 to R38)</v>
      </c>
      <c r="AH535">
        <f>AVERAGEIFS('3. Incentive Adjustment'!G:G,'3. Incentive Adjustment'!A:A,tbl_Data_old[[#This Row],[Trimmed Sector]],'3. Incentive Adjustment'!B:B,tbl_Data_old[[#This Row],[Trimmed Measure Name]])</f>
        <v>3.0218441517909909E-3</v>
      </c>
      <c r="AI535">
        <f>$AH535*tbl_Data_old[[#This Row],[2025 ]]</f>
        <v>6.2450062040664273E-5</v>
      </c>
      <c r="AJ535">
        <f>$AH535*tbl_Data_old[[#This Row],[2026 ]]</f>
        <v>1.2370843696680518E-4</v>
      </c>
      <c r="AK535">
        <f>$AH535*tbl_Data_old[[#This Row],[2027 ]]</f>
        <v>1.8326846659792503E-4</v>
      </c>
      <c r="AL535">
        <f>$AH535*tbl_Data_old[[#This Row],[2028 ]]</f>
        <v>2.4118651076232987E-4</v>
      </c>
      <c r="AM535">
        <f>$AH535*tbl_Data_old[[#This Row],[2029 ]]</f>
        <v>2.9753318764413488E-4</v>
      </c>
      <c r="AN535">
        <f>$AH535*tbl_Data_old[[#This Row],[2030 ]]</f>
        <v>3.5222047382013399E-4</v>
      </c>
      <c r="AO535">
        <f>$AH535*tbl_Data_old[[#This Row],[2031 ]]</f>
        <v>4.0527227519048052E-4</v>
      </c>
      <c r="AP535">
        <f>$AH535*tbl_Data_old[[#This Row],[2032 ]]</f>
        <v>4.5679992512505634E-4</v>
      </c>
      <c r="AQ535">
        <f>$AH535*tbl_Data_old[[#This Row],[2033 ]]</f>
        <v>5.0682583444191793E-4</v>
      </c>
      <c r="AR535">
        <f>$AH535*tbl_Data_old[[#This Row],[2034 ]]</f>
        <v>5.5540122276818711E-4</v>
      </c>
      <c r="AS535">
        <f>SUM(tbl_Data_old[[#This Row],[Adjusted 2025]:[Adjusted 2034]])</f>
        <v>3.1846663953576356E-3</v>
      </c>
      <c r="AT535" s="3">
        <f>AVERAGEIFS('3. Incentive Adjustment'!F:F,'3. Incentive Adjustment'!A:A,tbl_Data_old[[#This Row],[Trimmed Sector]],'3. Incentive Adjustment'!B:B,tbl_Data_old[[#This Row],[Trimmed Measure Name]])</f>
        <v>4373.4448922946976</v>
      </c>
      <c r="AU535" s="3">
        <f>IFERROR(VLOOKUP(tbl_Data_old[[#This Row],[All_Meas_Name_Append]],'IRA Tax Credits'!$A$3:$D$46,4,0),0)</f>
        <v>0</v>
      </c>
      <c r="AV535" s="4">
        <f>tbl_Data_old[[#This Row],[Adj. per unit Incentive ($)]]/tbl_Data_old[[#This Row],[kWh Savings]]*tbl_Data_old[[#This Row],[Sum of Annuals]]</f>
        <v>7.4410306134950076E-4</v>
      </c>
      <c r="AW535" s="4" t="str">
        <f>IFERROR(VLOOKUP(tbl_Data_old[[#This Row],[All_Programs]],'1. Set Program Names'!$B$2:$D$15,3,0)*tbl_Data_old[[#This Row],[Sum of Annuals]],"")</f>
        <v/>
      </c>
      <c r="AX535" s="4">
        <f>tbl_Data_old[[#This Row],[per unit IRA tax ($)]]/tbl_Data_old[[#This Row],[kWh Savings]]*tbl_Data_old[[#This Row],[Sum of Annuals]]</f>
        <v>0</v>
      </c>
      <c r="AY535" s="4">
        <f>tbl_Data_old[[#This Row],[Avoided Costs ($/unit)]]/tbl_Data_old[[#This Row],[kWh Savings]]*tbl_Data_old[[#This Row],[Sum of Annuals]]</f>
        <v>1.878820570550038E-3</v>
      </c>
      <c r="AZ535" s="4">
        <f>tbl_Data_old[[#This Row],[Lost Revenue ($/unit)]]/tbl_Data_old[[#This Row],[kWh Savings]]*tbl_Data_old[[#This Row],[Sum of Annuals]]</f>
        <v>4.9094431564359027E-3</v>
      </c>
      <c r="BA535" s="4">
        <f>tbl_Data_old[[#This Row],[Incremental Cost ($/unit)]]/tbl_Data_old[[#This Row],[kWh Savings]]*tbl_Data_old[[#This Row],[Sum of Annuals]]</f>
        <v>5.7589493456041054E-3</v>
      </c>
      <c r="BB535">
        <f>ROUNDUP(tbl_Data_old[[#This Row],[Adjusted 2025]]/$L535,0)</f>
        <v>1</v>
      </c>
      <c r="BC535">
        <f>ROUNDUP(tbl_Data_old[[#This Row],[Adjusted 2026]]/$L535,0)</f>
        <v>1</v>
      </c>
      <c r="BD535">
        <f>ROUNDUP(tbl_Data_old[[#This Row],[Adjusted 2027]]/$L535,0)</f>
        <v>1</v>
      </c>
      <c r="BE535">
        <f>ROUNDUP(tbl_Data_old[[#This Row],[Adjusted 2028]]/$L535,0)</f>
        <v>1</v>
      </c>
      <c r="BF535">
        <f>ROUNDUP(tbl_Data_old[[#This Row],[Adjusted 2029]]/$L535,0)</f>
        <v>1</v>
      </c>
      <c r="BG535">
        <f>ROUNDUP(tbl_Data_old[[#This Row],[Adjusted 2030]]/$L535,0)</f>
        <v>1</v>
      </c>
      <c r="BH535">
        <f>ROUNDUP(tbl_Data_old[[#This Row],[Adjusted 2031]]/$L535,0)</f>
        <v>1</v>
      </c>
      <c r="BI535">
        <f>ROUNDUP(tbl_Data_old[[#This Row],[Adjusted 2032]]/$L535,0)</f>
        <v>1</v>
      </c>
      <c r="BJ535">
        <f>ROUNDUP(tbl_Data_old[[#This Row],[Adjusted 2033]]/$L535,0)</f>
        <v>1</v>
      </c>
      <c r="BK535">
        <f>ROUNDUP(tbl_Data_old[[#This Row],[Adjusted 2034]]/$L535,0)</f>
        <v>1</v>
      </c>
      <c r="BL535" s="3">
        <f t="shared" si="37"/>
        <v>4.8286970394337209E-3</v>
      </c>
      <c r="BM535" s="3">
        <f t="shared" si="37"/>
        <v>9.565251719776055E-3</v>
      </c>
      <c r="BN535" s="3">
        <f t="shared" si="37"/>
        <v>1.4170488757989158E-2</v>
      </c>
      <c r="BO535" s="3">
        <f t="shared" si="37"/>
        <v>1.86487659485602E-2</v>
      </c>
      <c r="BP535" s="3">
        <f t="shared" si="37"/>
        <v>2.3005543555345204E-2</v>
      </c>
      <c r="BQ535" s="3">
        <f t="shared" si="36"/>
        <v>2.7234015525169093E-2</v>
      </c>
      <c r="BR535" s="3">
        <f t="shared" si="36"/>
        <v>3.1336030284526938E-2</v>
      </c>
      <c r="BS535" s="3">
        <f t="shared" si="36"/>
        <v>3.5320196233410227E-2</v>
      </c>
      <c r="BT535" s="3">
        <f t="shared" si="36"/>
        <v>3.9188246197171962E-2</v>
      </c>
      <c r="BU535" s="3">
        <f t="shared" si="36"/>
        <v>4.2944140525149867E-2</v>
      </c>
      <c r="BV535" t="e">
        <f>VLOOKUP($H535,'1. Set Program Names'!$B$2:$D$15,3,0)*V535</f>
        <v>#N/A</v>
      </c>
      <c r="BW535" t="e">
        <f>VLOOKUP($H535,'1. Set Program Names'!$B$2:$D$15,3,0)*W535</f>
        <v>#N/A</v>
      </c>
      <c r="BX535" t="e">
        <f>VLOOKUP($H535,'1. Set Program Names'!$B$2:$D$15,3,0)*X535</f>
        <v>#N/A</v>
      </c>
      <c r="BY535" t="e">
        <f>VLOOKUP($H535,'1. Set Program Names'!$B$2:$D$15,3,0)*Y535</f>
        <v>#N/A</v>
      </c>
      <c r="BZ535" t="e">
        <f>VLOOKUP($H535,'1. Set Program Names'!$B$2:$D$15,3,0)*Z535</f>
        <v>#N/A</v>
      </c>
      <c r="CA535" t="e">
        <f>VLOOKUP($H535,'1. Set Program Names'!$B$2:$D$15,3,0)*AA535</f>
        <v>#N/A</v>
      </c>
      <c r="CB535" t="e">
        <f>VLOOKUP($H535,'1. Set Program Names'!$B$2:$D$15,3,0)*AB535</f>
        <v>#N/A</v>
      </c>
      <c r="CC535" t="e">
        <f>VLOOKUP($H535,'1. Set Program Names'!$B$2:$D$15,3,0)*AC535</f>
        <v>#N/A</v>
      </c>
      <c r="CD535" t="e">
        <f>VLOOKUP($H535,'1. Set Program Names'!$B$2:$D$15,3,0)*AD535</f>
        <v>#N/A</v>
      </c>
      <c r="CE535" t="e">
        <f>VLOOKUP($H535,'1. Set Program Names'!$B$2:$D$15,3,0)*AE535</f>
        <v>#N/A</v>
      </c>
    </row>
    <row r="536" spans="1:83" x14ac:dyDescent="0.25">
      <c r="A536" s="20" t="s">
        <v>115</v>
      </c>
      <c r="B536" s="20" t="s">
        <v>88</v>
      </c>
      <c r="C536" s="20" t="s">
        <v>122</v>
      </c>
      <c r="D536" s="20" t="s">
        <v>90</v>
      </c>
      <c r="E536" s="20" t="s">
        <v>91</v>
      </c>
      <c r="F536" s="20" t="s">
        <v>90</v>
      </c>
      <c r="G536" s="20" t="s">
        <v>92</v>
      </c>
      <c r="H536" s="20" t="s">
        <v>20</v>
      </c>
      <c r="I536" s="20" t="s">
        <v>241</v>
      </c>
      <c r="J536" s="20" t="s">
        <v>129</v>
      </c>
      <c r="K536" s="20" t="s">
        <v>102</v>
      </c>
      <c r="L536" s="20">
        <v>19185.113333333298</v>
      </c>
      <c r="M536" s="20">
        <v>4.6125790568704801</v>
      </c>
      <c r="N536" s="20">
        <v>0.25911922024205197</v>
      </c>
      <c r="O536" s="53">
        <f>11417.3/6341.92*tbl_Data_old[[#This Row],[kWh Savings]]</f>
        <v>34538.782334161617</v>
      </c>
      <c r="P536" s="20">
        <v>25197.386166847798</v>
      </c>
      <c r="Q536" s="20">
        <v>1151.1068</v>
      </c>
      <c r="R536" s="20">
        <v>12014.6297388403</v>
      </c>
      <c r="S536" s="20">
        <v>29575.538429105502</v>
      </c>
      <c r="T536" s="20">
        <v>30</v>
      </c>
      <c r="U536" s="20">
        <v>0.05</v>
      </c>
      <c r="V536" s="20">
        <v>2.3157920587444501E-2</v>
      </c>
      <c r="W536" s="20">
        <v>4.5858811063278201E-2</v>
      </c>
      <c r="X536" s="20">
        <v>6.7915269304043901E-2</v>
      </c>
      <c r="Y536" s="20">
        <v>8.9348898863578302E-2</v>
      </c>
      <c r="Z536" s="20">
        <v>0.110186732371024</v>
      </c>
      <c r="AA536" s="20">
        <v>0.13039726181865999</v>
      </c>
      <c r="AB536" s="20">
        <v>0.14999047483854799</v>
      </c>
      <c r="AC536" s="20">
        <v>0.16900866293991801</v>
      </c>
      <c r="AD536" s="20">
        <v>0.187461263554525</v>
      </c>
      <c r="AE536" s="20">
        <v>0.20536832001539601</v>
      </c>
      <c r="AF536" t="str">
        <f t="shared" si="35"/>
        <v>NonResidential</v>
      </c>
      <c r="AG536" t="str">
        <f>tbl_Data_old[[#This Row],[All_Meas_Name_Append]]</f>
        <v>Ceiling Insulation(R2 to R49)</v>
      </c>
      <c r="AH536">
        <f>AVERAGEIFS('3. Incentive Adjustment'!G:G,'3. Incentive Adjustment'!A:A,tbl_Data_old[[#This Row],[Trimmed Sector]],'3. Incentive Adjustment'!B:B,tbl_Data_old[[#This Row],[Trimmed Measure Name]])</f>
        <v>5.674595082038876E-2</v>
      </c>
      <c r="AI536">
        <f>$AH536*tbl_Data_old[[#This Row],[2025 ]]</f>
        <v>1.314118222757594E-3</v>
      </c>
      <c r="AJ536">
        <f>$AH536*tbl_Data_old[[#This Row],[2026 ]]</f>
        <v>2.6023018372782849E-3</v>
      </c>
      <c r="AK536">
        <f>$AH536*tbl_Data_old[[#This Row],[2027 ]]</f>
        <v>3.8539165318807337E-3</v>
      </c>
      <c r="AL536">
        <f>$AH536*tbl_Data_old[[#This Row],[2028 ]]</f>
        <v>5.070188220768504E-3</v>
      </c>
      <c r="AM536">
        <f>$AH536*tbl_Data_old[[#This Row],[2029 ]]</f>
        <v>6.2526508961854663E-3</v>
      </c>
      <c r="AN536">
        <f>$AH536*tbl_Data_old[[#This Row],[2030 ]]</f>
        <v>7.3995166062750363E-3</v>
      </c>
      <c r="AO536">
        <f>$AH536*tbl_Data_old[[#This Row],[2031 ]]</f>
        <v>8.5113521087150021E-3</v>
      </c>
      <c r="AP536">
        <f>$AH536*tbl_Data_old[[#This Row],[2032 ]]</f>
        <v>9.5905572754082478E-3</v>
      </c>
      <c r="AQ536">
        <f>$AH536*tbl_Data_old[[#This Row],[2033 ]]</f>
        <v>1.0637667642393012E-2</v>
      </c>
      <c r="AR536">
        <f>$AH536*tbl_Data_old[[#This Row],[2034 ]]</f>
        <v>1.1653820587659522E-2</v>
      </c>
      <c r="AS536">
        <f>SUM(tbl_Data_old[[#This Row],[Adjusted 2025]:[Adjusted 2034]])</f>
        <v>6.6886089929321407E-2</v>
      </c>
      <c r="AT536" s="3">
        <f>AVERAGEIFS('3. Incentive Adjustment'!F:F,'3. Incentive Adjustment'!A:A,tbl_Data_old[[#This Row],[Trimmed Sector]],'3. Incentive Adjustment'!B:B,tbl_Data_old[[#This Row],[Trimmed Measure Name]])</f>
        <v>4335.1908026959672</v>
      </c>
      <c r="AU536" s="3">
        <f>IFERROR(VLOOKUP(tbl_Data_old[[#This Row],[All_Meas_Name_Append]],'IRA Tax Credits'!$A$3:$D$46,4,0),0)</f>
        <v>500</v>
      </c>
      <c r="AV536" s="4">
        <f>tbl_Data_old[[#This Row],[Adj. per unit Incentive ($)]]/tbl_Data_old[[#This Row],[kWh Savings]]*tbl_Data_old[[#This Row],[Sum of Annuals]]</f>
        <v>1.5114008286106383E-2</v>
      </c>
      <c r="AW536" s="4" t="str">
        <f>IFERROR(VLOOKUP(tbl_Data_old[[#This Row],[All_Programs]],'1. Set Program Names'!$B$2:$D$15,3,0)*tbl_Data_old[[#This Row],[Sum of Annuals]],"")</f>
        <v/>
      </c>
      <c r="AX536" s="4">
        <f>tbl_Data_old[[#This Row],[per unit IRA tax ($)]]/tbl_Data_old[[#This Row],[kWh Savings]]*tbl_Data_old[[#This Row],[Sum of Annuals]]</f>
        <v>1.7431768258858742E-3</v>
      </c>
      <c r="AY536" s="4">
        <f>tbl_Data_old[[#This Row],[Avoided Costs ($/unit)]]/tbl_Data_old[[#This Row],[kWh Savings]]*tbl_Data_old[[#This Row],[Sum of Annuals]]</f>
        <v>4.1887248264691326E-2</v>
      </c>
      <c r="AZ536" s="4">
        <f>tbl_Data_old[[#This Row],[Lost Revenue ($/unit)]]/tbl_Data_old[[#This Row],[kWh Savings]]*tbl_Data_old[[#This Row],[Sum of Annuals]]</f>
        <v>0.10311078640542765</v>
      </c>
      <c r="BA536" s="4">
        <f>tbl_Data_old[[#This Row],[Incremental Cost ($/unit)]]/tbl_Data_old[[#This Row],[kWh Savings]]*tbl_Data_old[[#This Row],[Sum of Annuals]]</f>
        <v>0.1204144099184539</v>
      </c>
      <c r="BB536">
        <f>ROUNDUP(tbl_Data_old[[#This Row],[Adjusted 2025]]/$L536,0)</f>
        <v>1</v>
      </c>
      <c r="BC536">
        <f>ROUNDUP(tbl_Data_old[[#This Row],[Adjusted 2026]]/$L536,0)</f>
        <v>1</v>
      </c>
      <c r="BD536">
        <f>ROUNDUP(tbl_Data_old[[#This Row],[Adjusted 2027]]/$L536,0)</f>
        <v>1</v>
      </c>
      <c r="BE536">
        <f>ROUNDUP(tbl_Data_old[[#This Row],[Adjusted 2028]]/$L536,0)</f>
        <v>1</v>
      </c>
      <c r="BF536">
        <f>ROUNDUP(tbl_Data_old[[#This Row],[Adjusted 2029]]/$L536,0)</f>
        <v>1</v>
      </c>
      <c r="BG536">
        <f>ROUNDUP(tbl_Data_old[[#This Row],[Adjusted 2030]]/$L536,0)</f>
        <v>1</v>
      </c>
      <c r="BH536">
        <f>ROUNDUP(tbl_Data_old[[#This Row],[Adjusted 2031]]/$L536,0)</f>
        <v>1</v>
      </c>
      <c r="BI536">
        <f>ROUNDUP(tbl_Data_old[[#This Row],[Adjusted 2032]]/$L536,0)</f>
        <v>1</v>
      </c>
      <c r="BJ536">
        <f>ROUNDUP(tbl_Data_old[[#This Row],[Adjusted 2033]]/$L536,0)</f>
        <v>1</v>
      </c>
      <c r="BK536">
        <f>ROUNDUP(tbl_Data_old[[#This Row],[Adjusted 2034]]/$L536,0)</f>
        <v>1</v>
      </c>
      <c r="BL536" s="3">
        <f t="shared" si="37"/>
        <v>5.232911716284875E-3</v>
      </c>
      <c r="BM536" s="3">
        <f t="shared" si="37"/>
        <v>1.0362549988103419E-2</v>
      </c>
      <c r="BN536" s="3">
        <f t="shared" si="37"/>
        <v>1.5346568234129694E-2</v>
      </c>
      <c r="BO536" s="3">
        <f t="shared" si="37"/>
        <v>2.01898481314365E-2</v>
      </c>
      <c r="BP536" s="3">
        <f t="shared" si="37"/>
        <v>2.4898498145644841E-2</v>
      </c>
      <c r="BQ536" s="3">
        <f t="shared" si="36"/>
        <v>2.9465398525992226E-2</v>
      </c>
      <c r="BR536" s="3">
        <f t="shared" si="36"/>
        <v>3.3892806141640829E-2</v>
      </c>
      <c r="BS536" s="3">
        <f t="shared" si="36"/>
        <v>3.8190277452261251E-2</v>
      </c>
      <c r="BT536" s="3">
        <f t="shared" si="36"/>
        <v>4.2359945000238534E-2</v>
      </c>
      <c r="BU536" s="3">
        <f t="shared" si="36"/>
        <v>4.6406337905181443E-2</v>
      </c>
      <c r="BV536" t="e">
        <f>VLOOKUP($H536,'1. Set Program Names'!$B$2:$D$15,3,0)*V536</f>
        <v>#N/A</v>
      </c>
      <c r="BW536" t="e">
        <f>VLOOKUP($H536,'1. Set Program Names'!$B$2:$D$15,3,0)*W536</f>
        <v>#N/A</v>
      </c>
      <c r="BX536" t="e">
        <f>VLOOKUP($H536,'1. Set Program Names'!$B$2:$D$15,3,0)*X536</f>
        <v>#N/A</v>
      </c>
      <c r="BY536" t="e">
        <f>VLOOKUP($H536,'1. Set Program Names'!$B$2:$D$15,3,0)*Y536</f>
        <v>#N/A</v>
      </c>
      <c r="BZ536" t="e">
        <f>VLOOKUP($H536,'1. Set Program Names'!$B$2:$D$15,3,0)*Z536</f>
        <v>#N/A</v>
      </c>
      <c r="CA536" t="e">
        <f>VLOOKUP($H536,'1. Set Program Names'!$B$2:$D$15,3,0)*AA536</f>
        <v>#N/A</v>
      </c>
      <c r="CB536" t="e">
        <f>VLOOKUP($H536,'1. Set Program Names'!$B$2:$D$15,3,0)*AB536</f>
        <v>#N/A</v>
      </c>
      <c r="CC536" t="e">
        <f>VLOOKUP($H536,'1. Set Program Names'!$B$2:$D$15,3,0)*AC536</f>
        <v>#N/A</v>
      </c>
      <c r="CD536" t="e">
        <f>VLOOKUP($H536,'1. Set Program Names'!$B$2:$D$15,3,0)*AD536</f>
        <v>#N/A</v>
      </c>
      <c r="CE536" t="e">
        <f>VLOOKUP($H536,'1. Set Program Names'!$B$2:$D$15,3,0)*AE536</f>
        <v>#N/A</v>
      </c>
    </row>
    <row r="537" spans="1:83" x14ac:dyDescent="0.25">
      <c r="A537" s="20" t="s">
        <v>115</v>
      </c>
      <c r="B537" s="20" t="s">
        <v>88</v>
      </c>
      <c r="C537" s="20" t="s">
        <v>122</v>
      </c>
      <c r="D537" s="20" t="s">
        <v>90</v>
      </c>
      <c r="E537" s="20" t="s">
        <v>91</v>
      </c>
      <c r="F537" s="20" t="s">
        <v>90</v>
      </c>
      <c r="G537" s="20" t="s">
        <v>92</v>
      </c>
      <c r="H537" s="20" t="s">
        <v>20</v>
      </c>
      <c r="I537" s="20" t="s">
        <v>128</v>
      </c>
      <c r="J537" s="20" t="s">
        <v>129</v>
      </c>
      <c r="K537" s="20" t="s">
        <v>130</v>
      </c>
      <c r="L537" s="53">
        <v>2045.1799999999989</v>
      </c>
      <c r="M537" s="53">
        <v>0.47104509500000002</v>
      </c>
      <c r="N537" s="53">
        <v>0.17900382200000001</v>
      </c>
      <c r="O537" s="53">
        <f>19591.5999999999/60160.456*2045.18</f>
        <v>666.02468053100858</v>
      </c>
      <c r="P537" s="53">
        <f>11310.7385995848/60160.456*2045.18</f>
        <v>384.51331501042552</v>
      </c>
      <c r="Q537" s="53">
        <f>2141.69388188172/60160.456*2045.18</f>
        <v>72.807784125619918</v>
      </c>
      <c r="R537" s="53">
        <f>32581.871747558/60160.456*2045.18</f>
        <v>1107.6344311730397</v>
      </c>
      <c r="S537" s="53">
        <f>77209.8271220691/60160.456*2045.18</f>
        <v>2624.780540784353</v>
      </c>
      <c r="T537" s="20">
        <v>20</v>
      </c>
      <c r="U537" s="20">
        <v>4.9999999999999899E-2</v>
      </c>
      <c r="V537" s="20">
        <v>0.58186735771724196</v>
      </c>
      <c r="W537" s="20">
        <v>1.1570939827198801</v>
      </c>
      <c r="X537" s="20">
        <v>1.7231638856803899</v>
      </c>
      <c r="Y537" s="20">
        <v>2.2807345715155001</v>
      </c>
      <c r="Z537" s="20">
        <v>2.82957703632766</v>
      </c>
      <c r="AA537" s="20">
        <v>3.3690780506545202</v>
      </c>
      <c r="AB537" s="20">
        <v>3.8985601218173498</v>
      </c>
      <c r="AC537" s="20">
        <v>4.4184522438648504</v>
      </c>
      <c r="AD537" s="20">
        <v>4.9299272920046704</v>
      </c>
      <c r="AE537" s="20">
        <v>5.4328099868994801</v>
      </c>
      <c r="AF537" t="str">
        <f t="shared" si="35"/>
        <v>NonResidential</v>
      </c>
      <c r="AG537" t="str">
        <f>tbl_Data_old[[#This Row],[All_Meas_Name_Append]]</f>
        <v>Commercial Duct Sealing</v>
      </c>
      <c r="AH537">
        <f>AVERAGEIFS('3. Incentive Adjustment'!G:G,'3. Incentive Adjustment'!A:A,tbl_Data_old[[#This Row],[Trimmed Sector]],'3. Incentive Adjustment'!B:B,tbl_Data_old[[#This Row],[Trimmed Measure Name]])</f>
        <v>0.69277112909915817</v>
      </c>
      <c r="AI537">
        <f>$AH537*tbl_Data_old[[#This Row],[2025 ]]</f>
        <v>0.40310090639171747</v>
      </c>
      <c r="AJ537">
        <f>$AH537*tbl_Data_old[[#This Row],[2026 ]]</f>
        <v>0.8016013048826931</v>
      </c>
      <c r="AK537">
        <f>$AH537*tbl_Data_old[[#This Row],[2027 ]]</f>
        <v>1.1937581907056964</v>
      </c>
      <c r="AL537">
        <f>$AH537*tbl_Data_old[[#This Row],[2028 ]]</f>
        <v>1.5800270642842777</v>
      </c>
      <c r="AM537">
        <f>$AH537*tbl_Data_old[[#This Row],[2029 ]]</f>
        <v>1.9602492783297627</v>
      </c>
      <c r="AN537">
        <f>$AH537*tbl_Data_old[[#This Row],[2030 ]]</f>
        <v>2.3340000051751226</v>
      </c>
      <c r="AO537">
        <f>$AH537*tbl_Data_old[[#This Row],[2031 ]]</f>
        <v>2.7008098974523569</v>
      </c>
      <c r="AP537">
        <f>$AH537*tbl_Data_old[[#This Row],[2032 ]]</f>
        <v>3.0609761498529613</v>
      </c>
      <c r="AQ537">
        <f>$AH537*tbl_Data_old[[#This Row],[2033 ]]</f>
        <v>3.4153112964588308</v>
      </c>
      <c r="AR537">
        <f>$AH537*tbl_Data_old[[#This Row],[2034 ]]</f>
        <v>3.7636939088055357</v>
      </c>
      <c r="AS537">
        <f>SUM(tbl_Data_old[[#This Row],[Adjusted 2025]:[Adjusted 2034]])</f>
        <v>21.213528002338958</v>
      </c>
      <c r="AT537" s="3">
        <f>AVERAGEIFS('3. Incentive Adjustment'!F:F,'3. Incentive Adjustment'!A:A,tbl_Data_old[[#This Row],[Trimmed Sector]],'3. Incentive Adjustment'!B:B,tbl_Data_old[[#This Row],[Trimmed Measure Name]])</f>
        <v>100</v>
      </c>
      <c r="AU537" s="3">
        <f>IFERROR(VLOOKUP(tbl_Data_old[[#This Row],[All_Meas_Name_Append]],'IRA Tax Credits'!$A$3:$D$46,4,0),0)</f>
        <v>0</v>
      </c>
      <c r="AV537" s="4">
        <f>tbl_Data_old[[#This Row],[Adj. per unit Incentive ($)]]/tbl_Data_old[[#This Row],[kWh Savings]]*tbl_Data_old[[#This Row],[Sum of Annuals]]</f>
        <v>1.0372450347812403</v>
      </c>
      <c r="AW537" s="4" t="str">
        <f>IFERROR(VLOOKUP(tbl_Data_old[[#This Row],[All_Programs]],'1. Set Program Names'!$B$2:$D$15,3,0)*tbl_Data_old[[#This Row],[Sum of Annuals]],"")</f>
        <v/>
      </c>
      <c r="AX537" s="4">
        <f>tbl_Data_old[[#This Row],[per unit IRA tax ($)]]/tbl_Data_old[[#This Row],[kWh Savings]]*tbl_Data_old[[#This Row],[Sum of Annuals]]</f>
        <v>0</v>
      </c>
      <c r="AY537" s="4">
        <f>tbl_Data_old[[#This Row],[Avoided Costs ($/unit)]]/tbl_Data_old[[#This Row],[kWh Savings]]*tbl_Data_old[[#This Row],[Sum of Annuals]]</f>
        <v>11.488883140869788</v>
      </c>
      <c r="AZ537" s="4">
        <f>tbl_Data_old[[#This Row],[Lost Revenue ($/unit)]]/tbl_Data_old[[#This Row],[kWh Savings]]*tbl_Data_old[[#This Row],[Sum of Annuals]]</f>
        <v>27.225405833189889</v>
      </c>
      <c r="BA537" s="4">
        <f>tbl_Data_old[[#This Row],[Incremental Cost ($/unit)]]/tbl_Data_old[[#This Row],[kWh Savings]]*tbl_Data_old[[#This Row],[Sum of Annuals]]</f>
        <v>6.9083079292255043</v>
      </c>
      <c r="BB537">
        <f>ROUNDUP(tbl_Data_old[[#This Row],[Adjusted 2025]]/$L537,0)</f>
        <v>1</v>
      </c>
      <c r="BC537">
        <f>ROUNDUP(tbl_Data_old[[#This Row],[Adjusted 2026]]/$L537,0)</f>
        <v>1</v>
      </c>
      <c r="BD537">
        <f>ROUNDUP(tbl_Data_old[[#This Row],[Adjusted 2027]]/$L537,0)</f>
        <v>1</v>
      </c>
      <c r="BE537">
        <f>ROUNDUP(tbl_Data_old[[#This Row],[Adjusted 2028]]/$L537,0)</f>
        <v>1</v>
      </c>
      <c r="BF537">
        <f>ROUNDUP(tbl_Data_old[[#This Row],[Adjusted 2029]]/$L537,0)</f>
        <v>1</v>
      </c>
      <c r="BG537">
        <f>ROUNDUP(tbl_Data_old[[#This Row],[Adjusted 2030]]/$L537,0)</f>
        <v>1</v>
      </c>
      <c r="BH537">
        <f>ROUNDUP(tbl_Data_old[[#This Row],[Adjusted 2031]]/$L537,0)</f>
        <v>1</v>
      </c>
      <c r="BI537">
        <f>ROUNDUP(tbl_Data_old[[#This Row],[Adjusted 2032]]/$L537,0)</f>
        <v>1</v>
      </c>
      <c r="BJ537">
        <f>ROUNDUP(tbl_Data_old[[#This Row],[Adjusted 2033]]/$L537,0)</f>
        <v>1</v>
      </c>
      <c r="BK537">
        <f>ROUNDUP(tbl_Data_old[[#This Row],[Adjusted 2034]]/$L537,0)</f>
        <v>1</v>
      </c>
      <c r="BL537" s="3">
        <f t="shared" si="37"/>
        <v>2.8450667311299849E-2</v>
      </c>
      <c r="BM537" s="3">
        <f t="shared" si="37"/>
        <v>5.6576632996600824E-2</v>
      </c>
      <c r="BN537" s="3">
        <f t="shared" si="37"/>
        <v>8.425487662114782E-2</v>
      </c>
      <c r="BO537" s="3">
        <f t="shared" si="37"/>
        <v>0.11151754718486888</v>
      </c>
      <c r="BP537" s="3">
        <f t="shared" si="37"/>
        <v>0.13835344743874189</v>
      </c>
      <c r="BQ537" s="3">
        <f t="shared" si="36"/>
        <v>0.16473259325118189</v>
      </c>
      <c r="BR537" s="3">
        <f t="shared" si="36"/>
        <v>0.19062185831160836</v>
      </c>
      <c r="BS537" s="3">
        <f t="shared" si="36"/>
        <v>0.21604221847782851</v>
      </c>
      <c r="BT537" s="3">
        <f t="shared" si="36"/>
        <v>0.24105102201296086</v>
      </c>
      <c r="BU537" s="3">
        <f t="shared" si="36"/>
        <v>0.26563969855462516</v>
      </c>
      <c r="BV537" t="e">
        <f>VLOOKUP($H537,'1. Set Program Names'!$B$2:$D$15,3,0)*V537</f>
        <v>#N/A</v>
      </c>
      <c r="BW537" t="e">
        <f>VLOOKUP($H537,'1. Set Program Names'!$B$2:$D$15,3,0)*W537</f>
        <v>#N/A</v>
      </c>
      <c r="BX537" t="e">
        <f>VLOOKUP($H537,'1. Set Program Names'!$B$2:$D$15,3,0)*X537</f>
        <v>#N/A</v>
      </c>
      <c r="BY537" t="e">
        <f>VLOOKUP($H537,'1. Set Program Names'!$B$2:$D$15,3,0)*Y537</f>
        <v>#N/A</v>
      </c>
      <c r="BZ537" t="e">
        <f>VLOOKUP($H537,'1. Set Program Names'!$B$2:$D$15,3,0)*Z537</f>
        <v>#N/A</v>
      </c>
      <c r="CA537" t="e">
        <f>VLOOKUP($H537,'1. Set Program Names'!$B$2:$D$15,3,0)*AA537</f>
        <v>#N/A</v>
      </c>
      <c r="CB537" t="e">
        <f>VLOOKUP($H537,'1. Set Program Names'!$B$2:$D$15,3,0)*AB537</f>
        <v>#N/A</v>
      </c>
      <c r="CC537" t="e">
        <f>VLOOKUP($H537,'1. Set Program Names'!$B$2:$D$15,3,0)*AC537</f>
        <v>#N/A</v>
      </c>
      <c r="CD537" t="e">
        <f>VLOOKUP($H537,'1. Set Program Names'!$B$2:$D$15,3,0)*AD537</f>
        <v>#N/A</v>
      </c>
      <c r="CE537" t="e">
        <f>VLOOKUP($H537,'1. Set Program Names'!$B$2:$D$15,3,0)*AE537</f>
        <v>#N/A</v>
      </c>
    </row>
    <row r="538" spans="1:83" x14ac:dyDescent="0.25">
      <c r="A538" s="20" t="s">
        <v>115</v>
      </c>
      <c r="B538" s="20" t="s">
        <v>88</v>
      </c>
      <c r="C538" s="20" t="s">
        <v>122</v>
      </c>
      <c r="D538" s="20" t="s">
        <v>90</v>
      </c>
      <c r="E538" s="20" t="s">
        <v>91</v>
      </c>
      <c r="F538" s="20" t="s">
        <v>90</v>
      </c>
      <c r="G538" s="20" t="s">
        <v>92</v>
      </c>
      <c r="H538" s="20" t="s">
        <v>20</v>
      </c>
      <c r="I538" s="20" t="s">
        <v>303</v>
      </c>
      <c r="J538" s="20" t="s">
        <v>129</v>
      </c>
      <c r="K538" s="20" t="s">
        <v>298</v>
      </c>
      <c r="L538" s="20">
        <v>2407.8671428571402</v>
      </c>
      <c r="M538" s="20">
        <v>0.43509988390469401</v>
      </c>
      <c r="N538" s="20">
        <v>0.148929049658067</v>
      </c>
      <c r="O538" s="20">
        <v>1278.9912095238201</v>
      </c>
      <c r="P538" s="20">
        <v>9094.9443435978392</v>
      </c>
      <c r="Q538" s="20">
        <v>144.47202857142801</v>
      </c>
      <c r="R538" s="20">
        <v>1364.7105452988201</v>
      </c>
      <c r="S538" s="20">
        <v>3090.2526043504499</v>
      </c>
      <c r="T538" s="20">
        <v>20</v>
      </c>
      <c r="U538" s="20">
        <v>4.9999999999999899E-2</v>
      </c>
      <c r="V538" s="20">
        <v>0.12254273037515501</v>
      </c>
      <c r="W538" s="20">
        <v>0.23912509103399099</v>
      </c>
      <c r="X538" s="20">
        <v>0.348845271156839</v>
      </c>
      <c r="Y538" s="20">
        <v>0.45182031691435398</v>
      </c>
      <c r="Z538" s="20">
        <v>0.54817440767313697</v>
      </c>
      <c r="AA538" s="20">
        <v>0.63796617033227898</v>
      </c>
      <c r="AB538" s="20">
        <v>0.72139263148095401</v>
      </c>
      <c r="AC538" s="20">
        <v>0.79885214909468705</v>
      </c>
      <c r="AD538" s="20">
        <v>0.87080622489667303</v>
      </c>
      <c r="AE538" s="20">
        <v>0.93759474769259699</v>
      </c>
      <c r="AF538" t="str">
        <f t="shared" si="35"/>
        <v>NonResidential</v>
      </c>
      <c r="AG538" t="str">
        <f>tbl_Data_old[[#This Row],[All_Meas_Name_Append]]</f>
        <v>Energy Star windows</v>
      </c>
      <c r="AH538">
        <f>AVERAGEIFS('3. Incentive Adjustment'!G:G,'3. Incentive Adjustment'!A:A,tbl_Data_old[[#This Row],[Trimmed Sector]],'3. Incentive Adjustment'!B:B,tbl_Data_old[[#This Row],[Trimmed Measure Name]])</f>
        <v>1.8374525511831319E-4</v>
      </c>
      <c r="AI538">
        <f>$AH538*tbl_Data_old[[#This Row],[2025 ]]</f>
        <v>2.2516645255677522E-5</v>
      </c>
      <c r="AJ538">
        <f>$AH538*tbl_Data_old[[#This Row],[2026 ]]</f>
        <v>4.3938100857230538E-5</v>
      </c>
      <c r="AK538">
        <f>$AH538*tbl_Data_old[[#This Row],[2027 ]]</f>
        <v>6.4098663345530518E-5</v>
      </c>
      <c r="AL538">
        <f>$AH538*tbl_Data_old[[#This Row],[2028 ]]</f>
        <v>8.3019839399065093E-5</v>
      </c>
      <c r="AM538">
        <f>$AH538*tbl_Data_old[[#This Row],[2029 ]]</f>
        <v>1.0072444638723077E-4</v>
      </c>
      <c r="AN538">
        <f>$AH538*tbl_Data_old[[#This Row],[2030 ]]</f>
        <v>1.1722325672455784E-4</v>
      </c>
      <c r="AO538">
        <f>$AH538*tbl_Data_old[[#This Row],[2031 ]]</f>
        <v>1.3255247311193919E-4</v>
      </c>
      <c r="AP538">
        <f>$AH538*tbl_Data_old[[#This Row],[2032 ]]</f>
        <v>1.4678529193721604E-4</v>
      </c>
      <c r="AQ538">
        <f>$AH538*tbl_Data_old[[#This Row],[2033 ]]</f>
        <v>1.6000651195225441E-4</v>
      </c>
      <c r="AR538">
        <f>$AH538*tbl_Data_old[[#This Row],[2034 ]]</f>
        <v>1.7227858611236672E-4</v>
      </c>
      <c r="AS538">
        <f>SUM(tbl_Data_old[[#This Row],[Adjusted 2025]:[Adjusted 2034]])</f>
        <v>1.0431438150830686E-3</v>
      </c>
      <c r="AT538" s="3">
        <f>AVERAGEIFS('3. Incentive Adjustment'!F:F,'3. Incentive Adjustment'!A:A,tbl_Data_old[[#This Row],[Trimmed Sector]],'3. Incentive Adjustment'!B:B,tbl_Data_old[[#This Row],[Trimmed Measure Name]])</f>
        <v>1244.9532966663394</v>
      </c>
      <c r="AU538" s="3">
        <f>IFERROR(VLOOKUP(tbl_Data_old[[#This Row],[All_Meas_Name_Append]],'IRA Tax Credits'!$A$3:$D$46,4,0),0)</f>
        <v>250</v>
      </c>
      <c r="AV538" s="4">
        <f>tbl_Data_old[[#This Row],[Adj. per unit Incentive ($)]]/tbl_Data_old[[#This Row],[kWh Savings]]*tbl_Data_old[[#This Row],[Sum of Annuals]]</f>
        <v>5.3934260257556871E-4</v>
      </c>
      <c r="AW538" s="4" t="str">
        <f>IFERROR(VLOOKUP(tbl_Data_old[[#This Row],[All_Programs]],'1. Set Program Names'!$B$2:$D$15,3,0)*tbl_Data_old[[#This Row],[Sum of Annuals]],"")</f>
        <v/>
      </c>
      <c r="AX538" s="4">
        <f>tbl_Data_old[[#This Row],[per unit IRA tax ($)]]/tbl_Data_old[[#This Row],[kWh Savings]]*tbl_Data_old[[#This Row],[Sum of Annuals]]</f>
        <v>1.0830579026935943E-4</v>
      </c>
      <c r="AY538" s="4">
        <f>tbl_Data_old[[#This Row],[Avoided Costs ($/unit)]]/tbl_Data_old[[#This Row],[kWh Savings]]*tbl_Data_old[[#This Row],[Sum of Annuals]]</f>
        <v>5.9122421639006852E-4</v>
      </c>
      <c r="AZ538" s="4">
        <f>tbl_Data_old[[#This Row],[Lost Revenue ($/unit)]]/tbl_Data_old[[#This Row],[kWh Savings]]*tbl_Data_old[[#This Row],[Sum of Annuals]]</f>
        <v>1.3387690017844865E-3</v>
      </c>
      <c r="BA538" s="4">
        <f>tbl_Data_old[[#This Row],[Incremental Cost ($/unit)]]/tbl_Data_old[[#This Row],[kWh Savings]]*tbl_Data_old[[#This Row],[Sum of Annuals]]</f>
        <v>5.5408861478016482E-4</v>
      </c>
      <c r="BB538">
        <f>ROUNDUP(tbl_Data_old[[#This Row],[Adjusted 2025]]/$L538,0)</f>
        <v>1</v>
      </c>
      <c r="BC538">
        <f>ROUNDUP(tbl_Data_old[[#This Row],[Adjusted 2026]]/$L538,0)</f>
        <v>1</v>
      </c>
      <c r="BD538">
        <f>ROUNDUP(tbl_Data_old[[#This Row],[Adjusted 2027]]/$L538,0)</f>
        <v>1</v>
      </c>
      <c r="BE538">
        <f>ROUNDUP(tbl_Data_old[[#This Row],[Adjusted 2028]]/$L538,0)</f>
        <v>1</v>
      </c>
      <c r="BF538">
        <f>ROUNDUP(tbl_Data_old[[#This Row],[Adjusted 2029]]/$L538,0)</f>
        <v>1</v>
      </c>
      <c r="BG538">
        <f>ROUNDUP(tbl_Data_old[[#This Row],[Adjusted 2030]]/$L538,0)</f>
        <v>1</v>
      </c>
      <c r="BH538">
        <f>ROUNDUP(tbl_Data_old[[#This Row],[Adjusted 2031]]/$L538,0)</f>
        <v>1</v>
      </c>
      <c r="BI538">
        <f>ROUNDUP(tbl_Data_old[[#This Row],[Adjusted 2032]]/$L538,0)</f>
        <v>1</v>
      </c>
      <c r="BJ538">
        <f>ROUNDUP(tbl_Data_old[[#This Row],[Adjusted 2033]]/$L538,0)</f>
        <v>1</v>
      </c>
      <c r="BK538">
        <f>ROUNDUP(tbl_Data_old[[#This Row],[Adjusted 2034]]/$L538,0)</f>
        <v>1</v>
      </c>
      <c r="BL538" s="3">
        <f t="shared" si="37"/>
        <v>6.3358967547527623E-2</v>
      </c>
      <c r="BM538" s="3">
        <f t="shared" si="37"/>
        <v>0.12363621110970417</v>
      </c>
      <c r="BN538" s="3">
        <f t="shared" si="37"/>
        <v>0.18036546228951836</v>
      </c>
      <c r="BO538" s="3">
        <f t="shared" si="37"/>
        <v>0.23360723813686274</v>
      </c>
      <c r="BP538" s="3">
        <f t="shared" si="37"/>
        <v>0.28342574381865715</v>
      </c>
      <c r="BQ538" s="3">
        <f t="shared" si="36"/>
        <v>0.32985129153527082</v>
      </c>
      <c r="BR538" s="3">
        <f t="shared" si="36"/>
        <v>0.37298575106903398</v>
      </c>
      <c r="BS538" s="3">
        <f t="shared" si="36"/>
        <v>0.41303508771847003</v>
      </c>
      <c r="BT538" s="3">
        <f t="shared" si="36"/>
        <v>0.45023791435448141</v>
      </c>
      <c r="BU538" s="3">
        <f t="shared" si="36"/>
        <v>0.48476996562687741</v>
      </c>
      <c r="BV538" t="e">
        <f>VLOOKUP($H538,'1. Set Program Names'!$B$2:$D$15,3,0)*V538</f>
        <v>#N/A</v>
      </c>
      <c r="BW538" t="e">
        <f>VLOOKUP($H538,'1. Set Program Names'!$B$2:$D$15,3,0)*W538</f>
        <v>#N/A</v>
      </c>
      <c r="BX538" t="e">
        <f>VLOOKUP($H538,'1. Set Program Names'!$B$2:$D$15,3,0)*X538</f>
        <v>#N/A</v>
      </c>
      <c r="BY538" t="e">
        <f>VLOOKUP($H538,'1. Set Program Names'!$B$2:$D$15,3,0)*Y538</f>
        <v>#N/A</v>
      </c>
      <c r="BZ538" t="e">
        <f>VLOOKUP($H538,'1. Set Program Names'!$B$2:$D$15,3,0)*Z538</f>
        <v>#N/A</v>
      </c>
      <c r="CA538" t="e">
        <f>VLOOKUP($H538,'1. Set Program Names'!$B$2:$D$15,3,0)*AA538</f>
        <v>#N/A</v>
      </c>
      <c r="CB538" t="e">
        <f>VLOOKUP($H538,'1. Set Program Names'!$B$2:$D$15,3,0)*AB538</f>
        <v>#N/A</v>
      </c>
      <c r="CC538" t="e">
        <f>VLOOKUP($H538,'1. Set Program Names'!$B$2:$D$15,3,0)*AC538</f>
        <v>#N/A</v>
      </c>
      <c r="CD538" t="e">
        <f>VLOOKUP($H538,'1. Set Program Names'!$B$2:$D$15,3,0)*AD538</f>
        <v>#N/A</v>
      </c>
      <c r="CE538" t="e">
        <f>VLOOKUP($H538,'1. Set Program Names'!$B$2:$D$15,3,0)*AE538</f>
        <v>#N/A</v>
      </c>
    </row>
    <row r="539" spans="1:83" x14ac:dyDescent="0.25">
      <c r="A539" s="20" t="s">
        <v>115</v>
      </c>
      <c r="B539" s="20" t="s">
        <v>88</v>
      </c>
      <c r="C539" s="20" t="s">
        <v>122</v>
      </c>
      <c r="D539" s="20" t="s">
        <v>90</v>
      </c>
      <c r="E539" s="20" t="s">
        <v>91</v>
      </c>
      <c r="F539" s="20" t="s">
        <v>90</v>
      </c>
      <c r="G539" s="20" t="s">
        <v>92</v>
      </c>
      <c r="H539" s="20" t="s">
        <v>20</v>
      </c>
      <c r="I539" s="20" t="s">
        <v>143</v>
      </c>
      <c r="J539" s="20" t="s">
        <v>144</v>
      </c>
      <c r="K539" s="20" t="s">
        <v>108</v>
      </c>
      <c r="L539" s="20">
        <v>6670.6049999999896</v>
      </c>
      <c r="M539" s="20">
        <v>1.04667148638823</v>
      </c>
      <c r="N539" s="20">
        <v>1.5598507965563999</v>
      </c>
      <c r="O539" s="20">
        <v>2431.625</v>
      </c>
      <c r="P539" s="20">
        <v>977.24379425036398</v>
      </c>
      <c r="Q539" s="20">
        <v>400.23629999999901</v>
      </c>
      <c r="R539" s="20">
        <v>3400.8076679878</v>
      </c>
      <c r="S539" s="20">
        <v>7245.0779694633802</v>
      </c>
      <c r="T539" s="20">
        <v>15</v>
      </c>
      <c r="U539" s="20">
        <v>0.05</v>
      </c>
      <c r="V539" s="20">
        <v>0.265620790813894</v>
      </c>
      <c r="W539" s="20">
        <v>0.55771659632534298</v>
      </c>
      <c r="X539" s="20">
        <v>0.87144426544149201</v>
      </c>
      <c r="Y539" s="20">
        <v>1.2039928193437699</v>
      </c>
      <c r="Z539" s="20">
        <v>1.55264600621001</v>
      </c>
      <c r="AA539" s="20">
        <v>1.91455852857502</v>
      </c>
      <c r="AB539" s="20">
        <v>2.2873789021870801</v>
      </c>
      <c r="AC539" s="20">
        <v>2.66979833351211</v>
      </c>
      <c r="AD539" s="20">
        <v>3.0608173553486702</v>
      </c>
      <c r="AE539" s="20">
        <v>3.4592197715014099</v>
      </c>
      <c r="AF539" t="str">
        <f t="shared" si="35"/>
        <v>NonResidential</v>
      </c>
      <c r="AG539" t="str">
        <f>tbl_Data_old[[#This Row],[All_Meas_Name_Append]]</f>
        <v>Heat Pump Water Heater</v>
      </c>
      <c r="AH539">
        <f>AVERAGEIFS('3. Incentive Adjustment'!G:G,'3. Incentive Adjustment'!A:A,tbl_Data_old[[#This Row],[Trimmed Sector]],'3. Incentive Adjustment'!B:B,tbl_Data_old[[#This Row],[Trimmed Measure Name]])</f>
        <v>0.82797588322898052</v>
      </c>
      <c r="AI539">
        <f>$AH539*tbl_Data_old[[#This Row],[2025 ]]</f>
        <v>0.21992760887811416</v>
      </c>
      <c r="AJ539">
        <f>$AH539*tbl_Data_old[[#This Row],[2026 ]]</f>
        <v>0.46177589143393666</v>
      </c>
      <c r="AK539">
        <f>$AH539*tbl_Data_old[[#This Row],[2027 ]]</f>
        <v>0.72153483536374952</v>
      </c>
      <c r="AL539">
        <f>$AH539*tbl_Data_old[[#This Row],[2028 ]]</f>
        <v>0.99687701799750827</v>
      </c>
      <c r="AM539">
        <f>$AH539*tbl_Data_old[[#This Row],[2029 ]]</f>
        <v>1.2855534483336823</v>
      </c>
      <c r="AN539">
        <f>$AH539*tbl_Data_old[[#This Row],[2030 ]]</f>
        <v>1.5852082886904795</v>
      </c>
      <c r="AO539">
        <f>$AH539*tbl_Data_old[[#This Row],[2031 ]]</f>
        <v>1.8938945668176834</v>
      </c>
      <c r="AP539">
        <f>$AH539*tbl_Data_old[[#This Row],[2032 ]]</f>
        <v>2.2105286332329497</v>
      </c>
      <c r="AQ539">
        <f>$AH539*tbl_Data_old[[#This Row],[2033 ]]</f>
        <v>2.5342829531974074</v>
      </c>
      <c r="AR539">
        <f>$AH539*tbl_Data_old[[#This Row],[2034 ]]</f>
        <v>2.864150545592032</v>
      </c>
      <c r="AS539">
        <f>SUM(tbl_Data_old[[#This Row],[Adjusted 2025]:[Adjusted 2034]])</f>
        <v>14.773733789537545</v>
      </c>
      <c r="AT539" s="3">
        <f>AVERAGEIFS('3. Incentive Adjustment'!F:F,'3. Incentive Adjustment'!A:A,tbl_Data_old[[#This Row],[Trimmed Sector]],'3. Incentive Adjustment'!B:B,tbl_Data_old[[#This Row],[Trimmed Measure Name]])</f>
        <v>500</v>
      </c>
      <c r="AU539" s="3">
        <f>IFERROR(VLOOKUP(tbl_Data_old[[#This Row],[All_Meas_Name_Append]],'IRA Tax Credits'!$A$3:$D$46,4,0),0)</f>
        <v>0</v>
      </c>
      <c r="AV539" s="4">
        <f>tbl_Data_old[[#This Row],[Adj. per unit Incentive ($)]]/tbl_Data_old[[#This Row],[kWh Savings]]*tbl_Data_old[[#This Row],[Sum of Annuals]]</f>
        <v>1.1073758519307895</v>
      </c>
      <c r="AW539" s="4" t="str">
        <f>IFERROR(VLOOKUP(tbl_Data_old[[#This Row],[All_Programs]],'1. Set Program Names'!$B$2:$D$15,3,0)*tbl_Data_old[[#This Row],[Sum of Annuals]],"")</f>
        <v/>
      </c>
      <c r="AX539" s="4">
        <f>tbl_Data_old[[#This Row],[per unit IRA tax ($)]]/tbl_Data_old[[#This Row],[kWh Savings]]*tbl_Data_old[[#This Row],[Sum of Annuals]]</f>
        <v>0</v>
      </c>
      <c r="AY539" s="4">
        <f>tbl_Data_old[[#This Row],[Avoided Costs ($/unit)]]/tbl_Data_old[[#This Row],[kWh Savings]]*tbl_Data_old[[#This Row],[Sum of Annuals]]</f>
        <v>7.5319445771815028</v>
      </c>
      <c r="AZ539" s="4">
        <f>tbl_Data_old[[#This Row],[Lost Revenue ($/unit)]]/tbl_Data_old[[#This Row],[kWh Savings]]*tbl_Data_old[[#This Row],[Sum of Annuals]]</f>
        <v>16.046048777479012</v>
      </c>
      <c r="BA539" s="4">
        <f>tbl_Data_old[[#This Row],[Incremental Cost ($/unit)]]/tbl_Data_old[[#This Row],[kWh Savings]]*tbl_Data_old[[#This Row],[Sum of Annuals]]</f>
        <v>5.3854456119024121</v>
      </c>
      <c r="BB539">
        <f>ROUNDUP(tbl_Data_old[[#This Row],[Adjusted 2025]]/$L539,0)</f>
        <v>1</v>
      </c>
      <c r="BC539">
        <f>ROUNDUP(tbl_Data_old[[#This Row],[Adjusted 2026]]/$L539,0)</f>
        <v>1</v>
      </c>
      <c r="BD539">
        <f>ROUNDUP(tbl_Data_old[[#This Row],[Adjusted 2027]]/$L539,0)</f>
        <v>1</v>
      </c>
      <c r="BE539">
        <f>ROUNDUP(tbl_Data_old[[#This Row],[Adjusted 2028]]/$L539,0)</f>
        <v>1</v>
      </c>
      <c r="BF539">
        <f>ROUNDUP(tbl_Data_old[[#This Row],[Adjusted 2029]]/$L539,0)</f>
        <v>1</v>
      </c>
      <c r="BG539">
        <f>ROUNDUP(tbl_Data_old[[#This Row],[Adjusted 2030]]/$L539,0)</f>
        <v>1</v>
      </c>
      <c r="BH539">
        <f>ROUNDUP(tbl_Data_old[[#This Row],[Adjusted 2031]]/$L539,0)</f>
        <v>1</v>
      </c>
      <c r="BI539">
        <f>ROUNDUP(tbl_Data_old[[#This Row],[Adjusted 2032]]/$L539,0)</f>
        <v>1</v>
      </c>
      <c r="BJ539">
        <f>ROUNDUP(tbl_Data_old[[#This Row],[Adjusted 2033]]/$L539,0)</f>
        <v>1</v>
      </c>
      <c r="BK539">
        <f>ROUNDUP(tbl_Data_old[[#This Row],[Adjusted 2034]]/$L539,0)</f>
        <v>1</v>
      </c>
      <c r="BL539" s="3">
        <f t="shared" si="37"/>
        <v>1.9909797598110998E-2</v>
      </c>
      <c r="BM539" s="3">
        <f t="shared" si="37"/>
        <v>4.1804048982464398E-2</v>
      </c>
      <c r="BN539" s="3">
        <f t="shared" si="37"/>
        <v>6.5319732276269804E-2</v>
      </c>
      <c r="BO539" s="3">
        <f t="shared" si="37"/>
        <v>9.0246148538533744E-2</v>
      </c>
      <c r="BP539" s="3">
        <f t="shared" si="37"/>
        <v>0.11637969915847307</v>
      </c>
      <c r="BQ539" s="3">
        <f t="shared" si="36"/>
        <v>0.14350711281623055</v>
      </c>
      <c r="BR539" s="3">
        <f t="shared" si="36"/>
        <v>0.1714521323168651</v>
      </c>
      <c r="BS539" s="3">
        <f t="shared" si="36"/>
        <v>0.20011665609881821</v>
      </c>
      <c r="BT539" s="3">
        <f t="shared" si="36"/>
        <v>0.22942576837848105</v>
      </c>
      <c r="BU539" s="3">
        <f t="shared" si="36"/>
        <v>0.25928830829448118</v>
      </c>
      <c r="BV539" t="e">
        <f>VLOOKUP($H539,'1. Set Program Names'!$B$2:$D$15,3,0)*V539</f>
        <v>#N/A</v>
      </c>
      <c r="BW539" t="e">
        <f>VLOOKUP($H539,'1. Set Program Names'!$B$2:$D$15,3,0)*W539</f>
        <v>#N/A</v>
      </c>
      <c r="BX539" t="e">
        <f>VLOOKUP($H539,'1. Set Program Names'!$B$2:$D$15,3,0)*X539</f>
        <v>#N/A</v>
      </c>
      <c r="BY539" t="e">
        <f>VLOOKUP($H539,'1. Set Program Names'!$B$2:$D$15,3,0)*Y539</f>
        <v>#N/A</v>
      </c>
      <c r="BZ539" t="e">
        <f>VLOOKUP($H539,'1. Set Program Names'!$B$2:$D$15,3,0)*Z539</f>
        <v>#N/A</v>
      </c>
      <c r="CA539" t="e">
        <f>VLOOKUP($H539,'1. Set Program Names'!$B$2:$D$15,3,0)*AA539</f>
        <v>#N/A</v>
      </c>
      <c r="CB539" t="e">
        <f>VLOOKUP($H539,'1. Set Program Names'!$B$2:$D$15,3,0)*AB539</f>
        <v>#N/A</v>
      </c>
      <c r="CC539" t="e">
        <f>VLOOKUP($H539,'1. Set Program Names'!$B$2:$D$15,3,0)*AC539</f>
        <v>#N/A</v>
      </c>
      <c r="CD539" t="e">
        <f>VLOOKUP($H539,'1. Set Program Names'!$B$2:$D$15,3,0)*AD539</f>
        <v>#N/A</v>
      </c>
      <c r="CE539" t="e">
        <f>VLOOKUP($H539,'1. Set Program Names'!$B$2:$D$15,3,0)*AE539</f>
        <v>#N/A</v>
      </c>
    </row>
    <row r="540" spans="1:83" x14ac:dyDescent="0.25">
      <c r="A540" s="20" t="s">
        <v>115</v>
      </c>
      <c r="B540" s="20" t="s">
        <v>88</v>
      </c>
      <c r="C540" s="20" t="s">
        <v>122</v>
      </c>
      <c r="D540" s="20" t="s">
        <v>90</v>
      </c>
      <c r="E540" s="20" t="s">
        <v>91</v>
      </c>
      <c r="F540" s="20" t="s">
        <v>90</v>
      </c>
      <c r="G540" s="20" t="s">
        <v>92</v>
      </c>
      <c r="H540" s="20" t="s">
        <v>20</v>
      </c>
      <c r="I540" s="20" t="s">
        <v>145</v>
      </c>
      <c r="J540" s="20" t="s">
        <v>129</v>
      </c>
      <c r="K540" s="20" t="s">
        <v>98</v>
      </c>
      <c r="L540" s="20">
        <v>1452.1399999999801</v>
      </c>
      <c r="M540" s="20">
        <v>0.33467704377742202</v>
      </c>
      <c r="N540" s="20">
        <v>4.3977319526113799E-2</v>
      </c>
      <c r="O540" s="20">
        <v>654.99999999999898</v>
      </c>
      <c r="P540" s="20">
        <v>358.56061649158102</v>
      </c>
      <c r="Q540" s="20">
        <v>87.128399999999303</v>
      </c>
      <c r="R540" s="20">
        <v>761.15206993055403</v>
      </c>
      <c r="S540" s="20">
        <v>1577.19839843259</v>
      </c>
      <c r="T540" s="20">
        <v>15</v>
      </c>
      <c r="U540" s="20">
        <v>0.05</v>
      </c>
      <c r="V540" s="20">
        <v>0.15312881725684199</v>
      </c>
      <c r="W540" s="20">
        <v>0.324501918131953</v>
      </c>
      <c r="X540" s="20">
        <v>0.51211299812797995</v>
      </c>
      <c r="Y540" s="20">
        <v>0.71493429632023697</v>
      </c>
      <c r="Z540" s="20">
        <v>0.93184784399806797</v>
      </c>
      <c r="AA540" s="20">
        <v>1.1616470712056</v>
      </c>
      <c r="AB540" s="20">
        <v>1.4032698864200299</v>
      </c>
      <c r="AC540" s="20">
        <v>1.6562768021220899</v>
      </c>
      <c r="AD540" s="20">
        <v>1.92050831769501</v>
      </c>
      <c r="AE540" s="20">
        <v>2.19551010933613</v>
      </c>
      <c r="AF540" t="str">
        <f t="shared" si="35"/>
        <v>NonResidential</v>
      </c>
      <c r="AG540" t="str">
        <f>tbl_Data_old[[#This Row],[All_Meas_Name_Append]]</f>
        <v>HE DX Less than 5.4 Tons Elect Heat</v>
      </c>
      <c r="AH540">
        <f>AVERAGEIFS('3. Incentive Adjustment'!G:G,'3. Incentive Adjustment'!A:A,tbl_Data_old[[#This Row],[Trimmed Sector]],'3. Incentive Adjustment'!B:B,tbl_Data_old[[#This Row],[Trimmed Measure Name]])</f>
        <v>0.74493198517309978</v>
      </c>
      <c r="AI540">
        <f>$AH540*tbl_Data_old[[#This Row],[2025 ]]</f>
        <v>0.11407055382634812</v>
      </c>
      <c r="AJ540">
        <f>$AH540*tbl_Data_old[[#This Row],[2026 ]]</f>
        <v>0.24173185806651445</v>
      </c>
      <c r="AK540">
        <f>$AH540*tbl_Data_old[[#This Row],[2027 ]]</f>
        <v>0.38148935232842401</v>
      </c>
      <c r="AL540">
        <f>$AH540*tbl_Data_old[[#This Row],[2028 ]]</f>
        <v>0.53257742462616731</v>
      </c>
      <c r="AM540">
        <f>$AH540*tbl_Data_old[[#This Row],[2029 ]]</f>
        <v>0.69416326430875375</v>
      </c>
      <c r="AN540">
        <f>$AH540*tbl_Data_old[[#This Row],[2030 ]]</f>
        <v>0.8653480588237048</v>
      </c>
      <c r="AO540">
        <f>$AH540*tbl_Data_old[[#This Row],[2031 ]]</f>
        <v>1.0453406222245032</v>
      </c>
      <c r="AP540">
        <f>$AH540*tbl_Data_old[[#This Row],[2032 ]]</f>
        <v>1.2338135662009617</v>
      </c>
      <c r="AQ540">
        <f>$AH540*tbl_Data_old[[#This Row],[2033 ]]</f>
        <v>1.430648073641994</v>
      </c>
      <c r="AR540">
        <f>$AH540*tbl_Data_old[[#This Row],[2034 ]]</f>
        <v>1.6355057042153727</v>
      </c>
      <c r="AS540">
        <f>SUM(tbl_Data_old[[#This Row],[Adjusted 2025]:[Adjusted 2034]])</f>
        <v>8.1746884782627429</v>
      </c>
      <c r="AT540" s="3">
        <f>AVERAGEIFS('3. Incentive Adjustment'!F:F,'3. Incentive Adjustment'!A:A,tbl_Data_old[[#This Row],[Trimmed Sector]],'3. Incentive Adjustment'!B:B,tbl_Data_old[[#This Row],[Trimmed Measure Name]])</f>
        <v>196.49999999999969</v>
      </c>
      <c r="AU540" s="3">
        <f>IFERROR(VLOOKUP(tbl_Data_old[[#This Row],[All_Meas_Name_Append]],'IRA Tax Credits'!$A$3:$D$46,4,0),0)</f>
        <v>0</v>
      </c>
      <c r="AV540" s="4">
        <f>tbl_Data_old[[#This Row],[Adj. per unit Incentive ($)]]/tbl_Data_old[[#This Row],[kWh Savings]]*tbl_Data_old[[#This Row],[Sum of Annuals]]</f>
        <v>1.1061786645768648</v>
      </c>
      <c r="AW540" s="4" t="str">
        <f>IFERROR(VLOOKUP(tbl_Data_old[[#This Row],[All_Programs]],'1. Set Program Names'!$B$2:$D$15,3,0)*tbl_Data_old[[#This Row],[Sum of Annuals]],"")</f>
        <v/>
      </c>
      <c r="AX540" s="4">
        <f>tbl_Data_old[[#This Row],[per unit IRA tax ($)]]/tbl_Data_old[[#This Row],[kWh Savings]]*tbl_Data_old[[#This Row],[Sum of Annuals]]</f>
        <v>0</v>
      </c>
      <c r="AY540" s="4">
        <f>tbl_Data_old[[#This Row],[Avoided Costs ($/unit)]]/tbl_Data_old[[#This Row],[kWh Savings]]*tbl_Data_old[[#This Row],[Sum of Annuals]]</f>
        <v>4.284835522929761</v>
      </c>
      <c r="AZ540" s="4">
        <f>tbl_Data_old[[#This Row],[Lost Revenue ($/unit)]]/tbl_Data_old[[#This Row],[kWh Savings]]*tbl_Data_old[[#This Row],[Sum of Annuals]]</f>
        <v>8.8786932221421644</v>
      </c>
      <c r="BA540" s="4">
        <f>tbl_Data_old[[#This Row],[Incremental Cost ($/unit)]]/tbl_Data_old[[#This Row],[kWh Savings]]*tbl_Data_old[[#This Row],[Sum of Annuals]]</f>
        <v>3.687262215256216</v>
      </c>
      <c r="BB540">
        <f>ROUNDUP(tbl_Data_old[[#This Row],[Adjusted 2025]]/$L540,0)</f>
        <v>1</v>
      </c>
      <c r="BC540">
        <f>ROUNDUP(tbl_Data_old[[#This Row],[Adjusted 2026]]/$L540,0)</f>
        <v>1</v>
      </c>
      <c r="BD540">
        <f>ROUNDUP(tbl_Data_old[[#This Row],[Adjusted 2027]]/$L540,0)</f>
        <v>1</v>
      </c>
      <c r="BE540">
        <f>ROUNDUP(tbl_Data_old[[#This Row],[Adjusted 2028]]/$L540,0)</f>
        <v>1</v>
      </c>
      <c r="BF540">
        <f>ROUNDUP(tbl_Data_old[[#This Row],[Adjusted 2029]]/$L540,0)</f>
        <v>1</v>
      </c>
      <c r="BG540">
        <f>ROUNDUP(tbl_Data_old[[#This Row],[Adjusted 2030]]/$L540,0)</f>
        <v>1</v>
      </c>
      <c r="BH540">
        <f>ROUNDUP(tbl_Data_old[[#This Row],[Adjusted 2031]]/$L540,0)</f>
        <v>1</v>
      </c>
      <c r="BI540">
        <f>ROUNDUP(tbl_Data_old[[#This Row],[Adjusted 2032]]/$L540,0)</f>
        <v>1</v>
      </c>
      <c r="BJ540">
        <f>ROUNDUP(tbl_Data_old[[#This Row],[Adjusted 2033]]/$L540,0)</f>
        <v>1</v>
      </c>
      <c r="BK540">
        <f>ROUNDUP(tbl_Data_old[[#This Row],[Adjusted 2034]]/$L540,0)</f>
        <v>1</v>
      </c>
      <c r="BL540" s="3">
        <f t="shared" si="37"/>
        <v>2.0721013532420989E-2</v>
      </c>
      <c r="BM540" s="3">
        <f t="shared" si="37"/>
        <v>4.3910798485634672E-2</v>
      </c>
      <c r="BN540" s="3">
        <f t="shared" si="37"/>
        <v>6.9297866687887719E-2</v>
      </c>
      <c r="BO540" s="3">
        <f t="shared" si="37"/>
        <v>9.6743144068015652E-2</v>
      </c>
      <c r="BP540" s="3">
        <f t="shared" si="37"/>
        <v>0.12609534985994639</v>
      </c>
      <c r="BQ540" s="3">
        <f t="shared" si="36"/>
        <v>0.157191213995829</v>
      </c>
      <c r="BR540" s="3">
        <f t="shared" si="36"/>
        <v>0.18988701687271145</v>
      </c>
      <c r="BS540" s="3">
        <f t="shared" si="36"/>
        <v>0.22412328812441953</v>
      </c>
      <c r="BT540" s="3">
        <f t="shared" si="36"/>
        <v>0.25987844452124037</v>
      </c>
      <c r="BU540" s="3">
        <f t="shared" si="36"/>
        <v>0.29709100808775651</v>
      </c>
      <c r="BV540" t="e">
        <f>VLOOKUP($H540,'1. Set Program Names'!$B$2:$D$15,3,0)*V540</f>
        <v>#N/A</v>
      </c>
      <c r="BW540" t="e">
        <f>VLOOKUP($H540,'1. Set Program Names'!$B$2:$D$15,3,0)*W540</f>
        <v>#N/A</v>
      </c>
      <c r="BX540" t="e">
        <f>VLOOKUP($H540,'1. Set Program Names'!$B$2:$D$15,3,0)*X540</f>
        <v>#N/A</v>
      </c>
      <c r="BY540" t="e">
        <f>VLOOKUP($H540,'1. Set Program Names'!$B$2:$D$15,3,0)*Y540</f>
        <v>#N/A</v>
      </c>
      <c r="BZ540" t="e">
        <f>VLOOKUP($H540,'1. Set Program Names'!$B$2:$D$15,3,0)*Z540</f>
        <v>#N/A</v>
      </c>
      <c r="CA540" t="e">
        <f>VLOOKUP($H540,'1. Set Program Names'!$B$2:$D$15,3,0)*AA540</f>
        <v>#N/A</v>
      </c>
      <c r="CB540" t="e">
        <f>VLOOKUP($H540,'1. Set Program Names'!$B$2:$D$15,3,0)*AB540</f>
        <v>#N/A</v>
      </c>
      <c r="CC540" t="e">
        <f>VLOOKUP($H540,'1. Set Program Names'!$B$2:$D$15,3,0)*AC540</f>
        <v>#N/A</v>
      </c>
      <c r="CD540" t="e">
        <f>VLOOKUP($H540,'1. Set Program Names'!$B$2:$D$15,3,0)*AD540</f>
        <v>#N/A</v>
      </c>
      <c r="CE540" t="e">
        <f>VLOOKUP($H540,'1. Set Program Names'!$B$2:$D$15,3,0)*AE540</f>
        <v>#N/A</v>
      </c>
    </row>
    <row r="541" spans="1:83" x14ac:dyDescent="0.25">
      <c r="A541" s="20" t="s">
        <v>115</v>
      </c>
      <c r="B541" s="20" t="s">
        <v>88</v>
      </c>
      <c r="C541" s="20" t="s">
        <v>122</v>
      </c>
      <c r="D541" s="20" t="s">
        <v>90</v>
      </c>
      <c r="E541" s="20" t="s">
        <v>91</v>
      </c>
      <c r="F541" s="20" t="s">
        <v>90</v>
      </c>
      <c r="G541" s="20" t="s">
        <v>92</v>
      </c>
      <c r="H541" s="20" t="s">
        <v>20</v>
      </c>
      <c r="I541" s="20" t="s">
        <v>154</v>
      </c>
      <c r="J541" s="20" t="s">
        <v>129</v>
      </c>
      <c r="K541" s="20" t="s">
        <v>102</v>
      </c>
      <c r="L541" s="20">
        <v>111105.09249999899</v>
      </c>
      <c r="M541" s="20">
        <v>30.6532165911823</v>
      </c>
      <c r="N541" s="20">
        <v>0</v>
      </c>
      <c r="O541" s="20">
        <v>40257.675000000003</v>
      </c>
      <c r="P541" s="20">
        <v>17605.607636663401</v>
      </c>
      <c r="Q541" s="20">
        <v>6666.30554999998</v>
      </c>
      <c r="R541" s="20">
        <v>56706.982631731698</v>
      </c>
      <c r="S541" s="20">
        <v>120673.47084214</v>
      </c>
      <c r="T541" s="20">
        <v>15</v>
      </c>
      <c r="U541" s="20">
        <v>0.05</v>
      </c>
      <c r="V541" s="20">
        <v>2.8808343632543902E-3</v>
      </c>
      <c r="W541" s="20">
        <v>5.7720100005052496E-3</v>
      </c>
      <c r="X541" s="20">
        <v>8.6842207901817008E-3</v>
      </c>
      <c r="Y541" s="20">
        <v>1.16233496476818E-2</v>
      </c>
      <c r="Z541" s="20">
        <v>1.45805350008219E-2</v>
      </c>
      <c r="AA541" s="20">
        <v>1.7555340537966899E-2</v>
      </c>
      <c r="AB541" s="20">
        <v>2.0535907460067601E-2</v>
      </c>
      <c r="AC541" s="20">
        <v>2.3518517922924399E-2</v>
      </c>
      <c r="AD541" s="20">
        <v>2.6518451471589901E-2</v>
      </c>
      <c r="AE541" s="20">
        <v>2.9528311895215899E-2</v>
      </c>
      <c r="AF541" t="str">
        <f t="shared" si="35"/>
        <v>NonResidential</v>
      </c>
      <c r="AG541" t="str">
        <f>tbl_Data_old[[#This Row],[All_Meas_Name_Append]]</f>
        <v>Reflective Roof Treatment</v>
      </c>
      <c r="AH541">
        <f>AVERAGEIFS('3. Incentive Adjustment'!G:G,'3. Incentive Adjustment'!A:A,tbl_Data_old[[#This Row],[Trimmed Sector]],'3. Incentive Adjustment'!B:B,tbl_Data_old[[#This Row],[Trimmed Measure Name]])</f>
        <v>0.87696681614875649</v>
      </c>
      <c r="AI541">
        <f>$AH541*tbl_Data_old[[#This Row],[2025 ]]</f>
        <v>2.5263961393951328E-3</v>
      </c>
      <c r="AJ541">
        <f>$AH541*tbl_Data_old[[#This Row],[2026 ]]</f>
        <v>5.061861232921871E-3</v>
      </c>
      <c r="AK541">
        <f>$AH541*tbl_Data_old[[#This Row],[2027 ]]</f>
        <v>7.6157734570984842E-3</v>
      </c>
      <c r="AL541">
        <f>$AH541*tbl_Data_old[[#This Row],[2028 ]]</f>
        <v>1.0193291933511279E-2</v>
      </c>
      <c r="AM541">
        <f>$AH541*tbl_Data_old[[#This Row],[2029 ]]</f>
        <v>1.2786645357416289E-2</v>
      </c>
      <c r="AN541">
        <f>$AH541*tbl_Data_old[[#This Row],[2030 ]]</f>
        <v>1.539545109798803E-2</v>
      </c>
      <c r="AO541">
        <f>$AH541*tbl_Data_old[[#This Row],[2031 ]]</f>
        <v>1.8009309381980979E-2</v>
      </c>
      <c r="AP541">
        <f>$AH541*tbl_Data_old[[#This Row],[2032 ]]</f>
        <v>2.0624959783404475E-2</v>
      </c>
      <c r="AQ541">
        <f>$AH541*tbl_Data_old[[#This Row],[2033 ]]</f>
        <v>2.32558019562355E-2</v>
      </c>
      <c r="AR541">
        <f>$AH541*tbl_Data_old[[#This Row],[2034 ]]</f>
        <v>2.5895349668994941E-2</v>
      </c>
      <c r="AS541">
        <f>SUM(tbl_Data_old[[#This Row],[Adjusted 2025]:[Adjusted 2034]])</f>
        <v>0.141364840008947</v>
      </c>
      <c r="AT541" s="3">
        <f>AVERAGEIFS('3. Incentive Adjustment'!F:F,'3. Incentive Adjustment'!A:A,tbl_Data_old[[#This Row],[Trimmed Sector]],'3. Incentive Adjustment'!B:B,tbl_Data_old[[#This Row],[Trimmed Measure Name]])</f>
        <v>12077.302499999998</v>
      </c>
      <c r="AU541" s="3">
        <f>IFERROR(VLOOKUP(tbl_Data_old[[#This Row],[All_Meas_Name_Append]],'IRA Tax Credits'!$A$3:$D$46,4,0),0)</f>
        <v>0</v>
      </c>
      <c r="AV541" s="4">
        <f>tbl_Data_old[[#This Row],[Adj. per unit Incentive ($)]]/tbl_Data_old[[#This Row],[kWh Savings]]*tbl_Data_old[[#This Row],[Sum of Annuals]]</f>
        <v>1.536658579040534E-2</v>
      </c>
      <c r="AW541" s="4" t="str">
        <f>IFERROR(VLOOKUP(tbl_Data_old[[#This Row],[All_Programs]],'1. Set Program Names'!$B$2:$D$15,3,0)*tbl_Data_old[[#This Row],[Sum of Annuals]],"")</f>
        <v/>
      </c>
      <c r="AX541" s="4">
        <f>tbl_Data_old[[#This Row],[per unit IRA tax ($)]]/tbl_Data_old[[#This Row],[kWh Savings]]*tbl_Data_old[[#This Row],[Sum of Annuals]]</f>
        <v>0</v>
      </c>
      <c r="AY541" s="4">
        <f>tbl_Data_old[[#This Row],[Avoided Costs ($/unit)]]/tbl_Data_old[[#This Row],[kWh Savings]]*tbl_Data_old[[#This Row],[Sum of Annuals]]</f>
        <v>7.2151269998042264E-2</v>
      </c>
      <c r="AZ541" s="4">
        <f>tbl_Data_old[[#This Row],[Lost Revenue ($/unit)]]/tbl_Data_old[[#This Row],[kWh Savings]]*tbl_Data_old[[#This Row],[Sum of Annuals]]</f>
        <v>0.15353918992438267</v>
      </c>
      <c r="BA541" s="4">
        <f>tbl_Data_old[[#This Row],[Incremental Cost ($/unit)]]/tbl_Data_old[[#This Row],[kWh Savings]]*tbl_Data_old[[#This Row],[Sum of Annuals]]</f>
        <v>5.122195263468448E-2</v>
      </c>
      <c r="BB541">
        <f>ROUNDUP(tbl_Data_old[[#This Row],[Adjusted 2025]]/$L541,0)</f>
        <v>1</v>
      </c>
      <c r="BC541">
        <f>ROUNDUP(tbl_Data_old[[#This Row],[Adjusted 2026]]/$L541,0)</f>
        <v>1</v>
      </c>
      <c r="BD541">
        <f>ROUNDUP(tbl_Data_old[[#This Row],[Adjusted 2027]]/$L541,0)</f>
        <v>1</v>
      </c>
      <c r="BE541">
        <f>ROUNDUP(tbl_Data_old[[#This Row],[Adjusted 2028]]/$L541,0)</f>
        <v>1</v>
      </c>
      <c r="BF541">
        <f>ROUNDUP(tbl_Data_old[[#This Row],[Adjusted 2029]]/$L541,0)</f>
        <v>1</v>
      </c>
      <c r="BG541">
        <f>ROUNDUP(tbl_Data_old[[#This Row],[Adjusted 2030]]/$L541,0)</f>
        <v>1</v>
      </c>
      <c r="BH541">
        <f>ROUNDUP(tbl_Data_old[[#This Row],[Adjusted 2031]]/$L541,0)</f>
        <v>1</v>
      </c>
      <c r="BI541">
        <f>ROUNDUP(tbl_Data_old[[#This Row],[Adjusted 2032]]/$L541,0)</f>
        <v>1</v>
      </c>
      <c r="BJ541">
        <f>ROUNDUP(tbl_Data_old[[#This Row],[Adjusted 2033]]/$L541,0)</f>
        <v>1</v>
      </c>
      <c r="BK541">
        <f>ROUNDUP(tbl_Data_old[[#This Row],[Adjusted 2034]]/$L541,0)</f>
        <v>1</v>
      </c>
      <c r="BL541" s="3">
        <f t="shared" si="37"/>
        <v>3.1315133514171246E-4</v>
      </c>
      <c r="BM541" s="3">
        <f t="shared" si="37"/>
        <v>6.2742678342244014E-4</v>
      </c>
      <c r="BN541" s="3">
        <f t="shared" si="37"/>
        <v>9.4398878665093026E-4</v>
      </c>
      <c r="BO541" s="3">
        <f t="shared" si="37"/>
        <v>1.2634768272059428E-3</v>
      </c>
      <c r="BP541" s="3">
        <f t="shared" si="37"/>
        <v>1.5849276379187155E-3</v>
      </c>
      <c r="BQ541" s="3">
        <f t="shared" si="36"/>
        <v>1.9082937910117925E-3</v>
      </c>
      <c r="BR541" s="3">
        <f t="shared" si="36"/>
        <v>2.2322862159288091E-3</v>
      </c>
      <c r="BS541" s="3">
        <f t="shared" si="36"/>
        <v>2.5565007770173287E-3</v>
      </c>
      <c r="BT541" s="3">
        <f t="shared" si="36"/>
        <v>2.8825983854337211E-3</v>
      </c>
      <c r="BU541" s="3">
        <f t="shared" si="36"/>
        <v>3.20977506114649E-3</v>
      </c>
      <c r="BV541" t="e">
        <f>VLOOKUP($H541,'1. Set Program Names'!$B$2:$D$15,3,0)*V541</f>
        <v>#N/A</v>
      </c>
      <c r="BW541" t="e">
        <f>VLOOKUP($H541,'1. Set Program Names'!$B$2:$D$15,3,0)*W541</f>
        <v>#N/A</v>
      </c>
      <c r="BX541" t="e">
        <f>VLOOKUP($H541,'1. Set Program Names'!$B$2:$D$15,3,0)*X541</f>
        <v>#N/A</v>
      </c>
      <c r="BY541" t="e">
        <f>VLOOKUP($H541,'1. Set Program Names'!$B$2:$D$15,3,0)*Y541</f>
        <v>#N/A</v>
      </c>
      <c r="BZ541" t="e">
        <f>VLOOKUP($H541,'1. Set Program Names'!$B$2:$D$15,3,0)*Z541</f>
        <v>#N/A</v>
      </c>
      <c r="CA541" t="e">
        <f>VLOOKUP($H541,'1. Set Program Names'!$B$2:$D$15,3,0)*AA541</f>
        <v>#N/A</v>
      </c>
      <c r="CB541" t="e">
        <f>VLOOKUP($H541,'1. Set Program Names'!$B$2:$D$15,3,0)*AB541</f>
        <v>#N/A</v>
      </c>
      <c r="CC541" t="e">
        <f>VLOOKUP($H541,'1. Set Program Names'!$B$2:$D$15,3,0)*AC541</f>
        <v>#N/A</v>
      </c>
      <c r="CD541" t="e">
        <f>VLOOKUP($H541,'1. Set Program Names'!$B$2:$D$15,3,0)*AD541</f>
        <v>#N/A</v>
      </c>
      <c r="CE541" t="e">
        <f>VLOOKUP($H541,'1. Set Program Names'!$B$2:$D$15,3,0)*AE541</f>
        <v>#N/A</v>
      </c>
    </row>
    <row r="542" spans="1:83" x14ac:dyDescent="0.25">
      <c r="A542" s="20" t="s">
        <v>115</v>
      </c>
      <c r="B542" s="20" t="s">
        <v>88</v>
      </c>
      <c r="C542" s="20" t="s">
        <v>122</v>
      </c>
      <c r="D542" s="20" t="s">
        <v>90</v>
      </c>
      <c r="E542" s="20" t="s">
        <v>91</v>
      </c>
      <c r="F542" s="20" t="s">
        <v>90</v>
      </c>
      <c r="G542" s="20" t="s">
        <v>92</v>
      </c>
      <c r="H542" s="20" t="s">
        <v>20</v>
      </c>
      <c r="I542" s="20" t="s">
        <v>155</v>
      </c>
      <c r="J542" s="20" t="s">
        <v>129</v>
      </c>
      <c r="K542" s="20" t="s">
        <v>102</v>
      </c>
      <c r="L542" s="53">
        <v>1193.02</v>
      </c>
      <c r="M542" s="53">
        <v>0.274776433335365</v>
      </c>
      <c r="N542" s="53">
        <v>0.10441874276921487</v>
      </c>
      <c r="O542" s="53">
        <f>8423.99999999998/36663.4359999998*1193.02</f>
        <v>274.11507421181233</v>
      </c>
      <c r="P542" s="53">
        <f>3224.30667036527/36663.4359999998*1193.02</f>
        <v>104.91821726363004</v>
      </c>
      <c r="Q542" s="53">
        <f>1305.20713755829/36663.4359999998*1193.02</f>
        <v>42.471148073786637</v>
      </c>
      <c r="R542" s="53">
        <f>14915.0733686122/36663.4359999998*1193.02</f>
        <v>485.33314854128304</v>
      </c>
      <c r="S542" s="53">
        <f>32320.5298576745/36663.4359999998*1193.02</f>
        <v>1051.702806327346</v>
      </c>
      <c r="T542" s="20">
        <v>11</v>
      </c>
      <c r="U542" s="20">
        <v>0.05</v>
      </c>
      <c r="V542" s="20">
        <v>1.2455682636757901</v>
      </c>
      <c r="W542" s="20">
        <v>2.28432152502887</v>
      </c>
      <c r="X542" s="20">
        <v>3.1441785941357199</v>
      </c>
      <c r="Y542" s="20">
        <v>3.8573783584341301</v>
      </c>
      <c r="Z542" s="20">
        <v>4.4505212246658399</v>
      </c>
      <c r="AA542" s="20">
        <v>4.9450684312254198</v>
      </c>
      <c r="AB542" s="20">
        <v>5.3591401838082202</v>
      </c>
      <c r="AC542" s="20">
        <v>5.7082982621707403</v>
      </c>
      <c r="AD542" s="20">
        <v>6.0056655714696303</v>
      </c>
      <c r="AE542" s="20">
        <v>6.2610736764320096</v>
      </c>
      <c r="AF542" t="str">
        <f t="shared" si="35"/>
        <v>NonResidential</v>
      </c>
      <c r="AG542" t="str">
        <f>tbl_Data_old[[#This Row],[All_Meas_Name_Append]]</f>
        <v>Smart thermostat</v>
      </c>
      <c r="AH542">
        <f>AVERAGEIFS('3. Incentive Adjustment'!G:G,'3. Incentive Adjustment'!A:A,tbl_Data_old[[#This Row],[Trimmed Sector]],'3. Incentive Adjustment'!B:B,tbl_Data_old[[#This Row],[Trimmed Measure Name]])</f>
        <v>0.87546479230069263</v>
      </c>
      <c r="AI542">
        <f>$AH542*tbl_Data_old[[#This Row],[2025 ]]</f>
        <v>1.0904511612552599</v>
      </c>
      <c r="AJ542">
        <f>$AH542*tbl_Data_old[[#This Row],[2026 ]]</f>
        <v>1.9998430694574012</v>
      </c>
      <c r="AK542">
        <f>$AH542*tbl_Data_old[[#This Row],[2027 ]]</f>
        <v>2.7526176598713117</v>
      </c>
      <c r="AL542">
        <f>$AH542*tbl_Data_old[[#This Row],[2028 ]]</f>
        <v>3.3769989433917225</v>
      </c>
      <c r="AM542">
        <f>$AH542*tbl_Data_old[[#This Row],[2029 ]]</f>
        <v>3.8962746395819039</v>
      </c>
      <c r="AN542">
        <f>$AH542*tbl_Data_old[[#This Row],[2030 ]]</f>
        <v>4.3292333070554738</v>
      </c>
      <c r="AO542">
        <f>$AH542*tbl_Data_old[[#This Row],[2031 ]]</f>
        <v>4.691738547927959</v>
      </c>
      <c r="AP542">
        <f>$AH542*tbl_Data_old[[#This Row],[2032 ]]</f>
        <v>4.9974141524817117</v>
      </c>
      <c r="AQ542">
        <f>$AH542*tbl_Data_old[[#This Row],[2033 ]]</f>
        <v>5.2577487621540806</v>
      </c>
      <c r="AR542">
        <f>$AH542*tbl_Data_old[[#This Row],[2034 ]]</f>
        <v>5.4813495657168829</v>
      </c>
      <c r="AS542">
        <f>SUM(tbl_Data_old[[#This Row],[Adjusted 2025]:[Adjusted 2034]])</f>
        <v>37.873669808893709</v>
      </c>
      <c r="AT542" s="3">
        <f>AVERAGEIFS('3. Incentive Adjustment'!F:F,'3. Incentive Adjustment'!A:A,tbl_Data_old[[#This Row],[Trimmed Sector]],'3. Incentive Adjustment'!B:B,tbl_Data_old[[#This Row],[Trimmed Measure Name]])</f>
        <v>50</v>
      </c>
      <c r="AU542" s="3">
        <f>IFERROR(VLOOKUP(tbl_Data_old[[#This Row],[All_Meas_Name_Append]],'IRA Tax Credits'!$A$3:$D$46,4,0),0)</f>
        <v>0</v>
      </c>
      <c r="AV542" s="4">
        <f>tbl_Data_old[[#This Row],[Adj. per unit Incentive ($)]]/tbl_Data_old[[#This Row],[kWh Savings]]*tbl_Data_old[[#This Row],[Sum of Annuals]]</f>
        <v>1.587302384238894</v>
      </c>
      <c r="AW542" s="4" t="str">
        <f>IFERROR(VLOOKUP(tbl_Data_old[[#This Row],[All_Programs]],'1. Set Program Names'!$B$2:$D$15,3,0)*tbl_Data_old[[#This Row],[Sum of Annuals]],"")</f>
        <v/>
      </c>
      <c r="AX542" s="4">
        <f>tbl_Data_old[[#This Row],[per unit IRA tax ($)]]/tbl_Data_old[[#This Row],[kWh Savings]]*tbl_Data_old[[#This Row],[Sum of Annuals]]</f>
        <v>0</v>
      </c>
      <c r="AY542" s="4">
        <f>tbl_Data_old[[#This Row],[Avoided Costs ($/unit)]]/tbl_Data_old[[#This Row],[kWh Savings]]*tbl_Data_old[[#This Row],[Sum of Annuals]]</f>
        <v>15.40740927659496</v>
      </c>
      <c r="AZ542" s="4">
        <f>tbl_Data_old[[#This Row],[Lost Revenue ($/unit)]]/tbl_Data_old[[#This Row],[kWh Savings]]*tbl_Data_old[[#This Row],[Sum of Annuals]]</f>
        <v>33.387407439882644</v>
      </c>
      <c r="BA542" s="4">
        <f>tbl_Data_old[[#This Row],[Incremental Cost ($/unit)]]/tbl_Data_old[[#This Row],[kWh Savings]]*tbl_Data_old[[#This Row],[Sum of Annuals]]</f>
        <v>8.7020702170446231</v>
      </c>
      <c r="BB542">
        <f>ROUNDUP(tbl_Data_old[[#This Row],[Adjusted 2025]]/$L542,0)</f>
        <v>1</v>
      </c>
      <c r="BC542">
        <f>ROUNDUP(tbl_Data_old[[#This Row],[Adjusted 2026]]/$L542,0)</f>
        <v>1</v>
      </c>
      <c r="BD542">
        <f>ROUNDUP(tbl_Data_old[[#This Row],[Adjusted 2027]]/$L542,0)</f>
        <v>1</v>
      </c>
      <c r="BE542">
        <f>ROUNDUP(tbl_Data_old[[#This Row],[Adjusted 2028]]/$L542,0)</f>
        <v>1</v>
      </c>
      <c r="BF542">
        <f>ROUNDUP(tbl_Data_old[[#This Row],[Adjusted 2029]]/$L542,0)</f>
        <v>1</v>
      </c>
      <c r="BG542">
        <f>ROUNDUP(tbl_Data_old[[#This Row],[Adjusted 2030]]/$L542,0)</f>
        <v>1</v>
      </c>
      <c r="BH542">
        <f>ROUNDUP(tbl_Data_old[[#This Row],[Adjusted 2031]]/$L542,0)</f>
        <v>1</v>
      </c>
      <c r="BI542">
        <f>ROUNDUP(tbl_Data_old[[#This Row],[Adjusted 2032]]/$L542,0)</f>
        <v>1</v>
      </c>
      <c r="BJ542">
        <f>ROUNDUP(tbl_Data_old[[#This Row],[Adjusted 2033]]/$L542,0)</f>
        <v>1</v>
      </c>
      <c r="BK542">
        <f>ROUNDUP(tbl_Data_old[[#This Row],[Adjusted 2034]]/$L542,0)</f>
        <v>1</v>
      </c>
      <c r="BL542" s="3">
        <f t="shared" si="37"/>
        <v>5.2202321154540161E-2</v>
      </c>
      <c r="BM542" s="3">
        <f t="shared" si="37"/>
        <v>9.5736933371983288E-2</v>
      </c>
      <c r="BN542" s="3">
        <f t="shared" si="37"/>
        <v>0.13177392642770952</v>
      </c>
      <c r="BO542" s="3">
        <f t="shared" si="37"/>
        <v>0.16166444646502701</v>
      </c>
      <c r="BP542" s="3">
        <f t="shared" si="37"/>
        <v>0.18652332838786609</v>
      </c>
      <c r="BQ542" s="3">
        <f t="shared" si="36"/>
        <v>0.20725002226389413</v>
      </c>
      <c r="BR542" s="3">
        <f t="shared" si="36"/>
        <v>0.22460395399105715</v>
      </c>
      <c r="BS542" s="3">
        <f t="shared" si="36"/>
        <v>0.2392373246957612</v>
      </c>
      <c r="BT542" s="3">
        <f t="shared" si="36"/>
        <v>0.25170012118278112</v>
      </c>
      <c r="BU542" s="3">
        <f t="shared" si="36"/>
        <v>0.26240438871234389</v>
      </c>
      <c r="BV542" t="e">
        <f>VLOOKUP($H542,'1. Set Program Names'!$B$2:$D$15,3,0)*V542</f>
        <v>#N/A</v>
      </c>
      <c r="BW542" t="e">
        <f>VLOOKUP($H542,'1. Set Program Names'!$B$2:$D$15,3,0)*W542</f>
        <v>#N/A</v>
      </c>
      <c r="BX542" t="e">
        <f>VLOOKUP($H542,'1. Set Program Names'!$B$2:$D$15,3,0)*X542</f>
        <v>#N/A</v>
      </c>
      <c r="BY542" t="e">
        <f>VLOOKUP($H542,'1. Set Program Names'!$B$2:$D$15,3,0)*Y542</f>
        <v>#N/A</v>
      </c>
      <c r="BZ542" t="e">
        <f>VLOOKUP($H542,'1. Set Program Names'!$B$2:$D$15,3,0)*Z542</f>
        <v>#N/A</v>
      </c>
      <c r="CA542" t="e">
        <f>VLOOKUP($H542,'1. Set Program Names'!$B$2:$D$15,3,0)*AA542</f>
        <v>#N/A</v>
      </c>
      <c r="CB542" t="e">
        <f>VLOOKUP($H542,'1. Set Program Names'!$B$2:$D$15,3,0)*AB542</f>
        <v>#N/A</v>
      </c>
      <c r="CC542" t="e">
        <f>VLOOKUP($H542,'1. Set Program Names'!$B$2:$D$15,3,0)*AC542</f>
        <v>#N/A</v>
      </c>
      <c r="CD542" t="e">
        <f>VLOOKUP($H542,'1. Set Program Names'!$B$2:$D$15,3,0)*AD542</f>
        <v>#N/A</v>
      </c>
      <c r="CE542" t="e">
        <f>VLOOKUP($H542,'1. Set Program Names'!$B$2:$D$15,3,0)*AE542</f>
        <v>#N/A</v>
      </c>
    </row>
    <row r="543" spans="1:83" x14ac:dyDescent="0.25">
      <c r="A543" s="20" t="s">
        <v>115</v>
      </c>
      <c r="B543" s="20" t="s">
        <v>88</v>
      </c>
      <c r="C543" s="20" t="s">
        <v>122</v>
      </c>
      <c r="D543" s="20" t="s">
        <v>90</v>
      </c>
      <c r="E543" s="20" t="s">
        <v>91</v>
      </c>
      <c r="F543" s="20" t="s">
        <v>90</v>
      </c>
      <c r="G543" s="20" t="s">
        <v>92</v>
      </c>
      <c r="H543" s="20" t="s">
        <v>20</v>
      </c>
      <c r="I543" s="20" t="s">
        <v>305</v>
      </c>
      <c r="J543" s="20" t="s">
        <v>129</v>
      </c>
      <c r="K543" s="20" t="s">
        <v>306</v>
      </c>
      <c r="L543" s="20">
        <v>1181.58666666666</v>
      </c>
      <c r="M543" s="20">
        <v>0.32580149205424902</v>
      </c>
      <c r="N543" s="20">
        <v>0</v>
      </c>
      <c r="O543" s="20">
        <v>442.61899981344197</v>
      </c>
      <c r="P543" s="20">
        <v>13015.025349926</v>
      </c>
      <c r="Q543" s="20">
        <v>70.895199999999903</v>
      </c>
      <c r="R543" s="20">
        <v>484.68312470825703</v>
      </c>
      <c r="S543" s="20">
        <v>971.92143438909795</v>
      </c>
      <c r="T543" s="20">
        <v>10</v>
      </c>
      <c r="U543" s="20">
        <v>0.05</v>
      </c>
      <c r="V543" s="20">
        <v>8.6503411363077598E-2</v>
      </c>
      <c r="W543" s="20">
        <v>0.15913791816042999</v>
      </c>
      <c r="X543" s="20">
        <v>0.21985568145169901</v>
      </c>
      <c r="Y543" s="20">
        <v>0.27083840986671298</v>
      </c>
      <c r="Z543" s="20">
        <v>0.31384682624607602</v>
      </c>
      <c r="AA543" s="20">
        <v>0.35032476781055799</v>
      </c>
      <c r="AB543" s="20">
        <v>0.38145688798031602</v>
      </c>
      <c r="AC543" s="20">
        <v>0.40827003041558002</v>
      </c>
      <c r="AD543" s="20">
        <v>0.43167480805806502</v>
      </c>
      <c r="AE543" s="20">
        <v>0.45230965629215297</v>
      </c>
      <c r="AF543" t="str">
        <f t="shared" si="35"/>
        <v>NonResidential</v>
      </c>
      <c r="AG543" t="str">
        <f>tbl_Data_old[[#This Row],[All_Meas_Name_Append]]</f>
        <v>Window shade film</v>
      </c>
      <c r="AH543">
        <f>AVERAGEIFS('3. Incentive Adjustment'!G:G,'3. Incentive Adjustment'!A:A,tbl_Data_old[[#This Row],[Trimmed Sector]],'3. Incentive Adjustment'!B:B,tbl_Data_old[[#This Row],[Trimmed Measure Name]])</f>
        <v>3.2127764592544555E-13</v>
      </c>
      <c r="AI543">
        <f>$AH543*tbl_Data_old[[#This Row],[2025 ]]</f>
        <v>2.7791612367250008E-14</v>
      </c>
      <c r="AJ543">
        <f>$AH543*tbl_Data_old[[#This Row],[2026 ]]</f>
        <v>5.1127455724059159E-14</v>
      </c>
      <c r="AK543">
        <f>$AH543*tbl_Data_old[[#This Row],[2027 ]]</f>
        <v>7.0634715780136496E-14</v>
      </c>
      <c r="AL543">
        <f>$AH543*tbl_Data_old[[#This Row],[2028 ]]</f>
        <v>8.701432674816851E-14</v>
      </c>
      <c r="AM543">
        <f>$AH543*tbl_Data_old[[#This Row],[2029 ]]</f>
        <v>1.0083196951751164E-13</v>
      </c>
      <c r="AN543">
        <f>$AH543*tbl_Data_old[[#This Row],[2030 ]]</f>
        <v>1.1255151671155438E-13</v>
      </c>
      <c r="AO543">
        <f>$AH543*tbl_Data_old[[#This Row],[2031 ]]</f>
        <v>1.2255357099236232E-13</v>
      </c>
      <c r="AP543">
        <f>$AH543*tbl_Data_old[[#This Row],[2032 ]]</f>
        <v>1.311680342738276E-13</v>
      </c>
      <c r="AQ543">
        <f>$AH543*tbl_Data_old[[#This Row],[2033 ]]</f>
        <v>1.3868746613821368E-13</v>
      </c>
      <c r="AR543">
        <f>$AH543*tbl_Data_old[[#This Row],[2034 ]]</f>
        <v>1.453169816028903E-13</v>
      </c>
      <c r="AS543">
        <f>SUM(tbl_Data_old[[#This Row],[Adjusted 2025]:[Adjusted 2034]])</f>
        <v>9.8767764985597419E-13</v>
      </c>
      <c r="AT543" s="3">
        <f>AVERAGEIFS('3. Incentive Adjustment'!F:F,'3. Incentive Adjustment'!A:A,tbl_Data_old[[#This Row],[Trimmed Sector]],'3. Incentive Adjustment'!B:B,tbl_Data_old[[#This Row],[Trimmed Measure Name]])</f>
        <v>132.78569994403261</v>
      </c>
      <c r="AU543" s="3">
        <f>IFERROR(VLOOKUP(tbl_Data_old[[#This Row],[All_Meas_Name_Append]],'IRA Tax Credits'!$A$3:$D$46,4,0),0)</f>
        <v>0</v>
      </c>
      <c r="AV543" s="4">
        <f>tbl_Data_old[[#This Row],[Adj. per unit Incentive ($)]]/tbl_Data_old[[#This Row],[kWh Savings]]*tbl_Data_old[[#This Row],[Sum of Annuals]]</f>
        <v>1.1099437032848778E-13</v>
      </c>
      <c r="AW543" s="4" t="str">
        <f>IFERROR(VLOOKUP(tbl_Data_old[[#This Row],[All_Programs]],'1. Set Program Names'!$B$2:$D$15,3,0)*tbl_Data_old[[#This Row],[Sum of Annuals]],"")</f>
        <v/>
      </c>
      <c r="AX543" s="4">
        <f>tbl_Data_old[[#This Row],[per unit IRA tax ($)]]/tbl_Data_old[[#This Row],[kWh Savings]]*tbl_Data_old[[#This Row],[Sum of Annuals]]</f>
        <v>0</v>
      </c>
      <c r="AY543" s="4">
        <f>tbl_Data_old[[#This Row],[Avoided Costs ($/unit)]]/tbl_Data_old[[#This Row],[kWh Savings]]*tbl_Data_old[[#This Row],[Sum of Annuals]]</f>
        <v>4.0514225747585513E-13</v>
      </c>
      <c r="AZ543" s="4">
        <f>tbl_Data_old[[#This Row],[Lost Revenue ($/unit)]]/tbl_Data_old[[#This Row],[kWh Savings]]*tbl_Data_old[[#This Row],[Sum of Annuals]]</f>
        <v>8.1242037105085568E-13</v>
      </c>
      <c r="BA543" s="4">
        <f>tbl_Data_old[[#This Row],[Incremental Cost ($/unit)]]/tbl_Data_old[[#This Row],[kWh Savings]]*tbl_Data_old[[#This Row],[Sum of Annuals]]</f>
        <v>3.6998123442829253E-13</v>
      </c>
      <c r="BB543">
        <f>ROUNDUP(tbl_Data_old[[#This Row],[Adjusted 2025]]/$L543,0)</f>
        <v>1</v>
      </c>
      <c r="BC543">
        <f>ROUNDUP(tbl_Data_old[[#This Row],[Adjusted 2026]]/$L543,0)</f>
        <v>1</v>
      </c>
      <c r="BD543">
        <f>ROUNDUP(tbl_Data_old[[#This Row],[Adjusted 2027]]/$L543,0)</f>
        <v>1</v>
      </c>
      <c r="BE543">
        <f>ROUNDUP(tbl_Data_old[[#This Row],[Adjusted 2028]]/$L543,0)</f>
        <v>1</v>
      </c>
      <c r="BF543">
        <f>ROUNDUP(tbl_Data_old[[#This Row],[Adjusted 2029]]/$L543,0)</f>
        <v>1</v>
      </c>
      <c r="BG543">
        <f>ROUNDUP(tbl_Data_old[[#This Row],[Adjusted 2030]]/$L543,0)</f>
        <v>1</v>
      </c>
      <c r="BH543">
        <f>ROUNDUP(tbl_Data_old[[#This Row],[Adjusted 2031]]/$L543,0)</f>
        <v>1</v>
      </c>
      <c r="BI543">
        <f>ROUNDUP(tbl_Data_old[[#This Row],[Adjusted 2032]]/$L543,0)</f>
        <v>1</v>
      </c>
      <c r="BJ543">
        <f>ROUNDUP(tbl_Data_old[[#This Row],[Adjusted 2033]]/$L543,0)</f>
        <v>1</v>
      </c>
      <c r="BK543">
        <f>ROUNDUP(tbl_Data_old[[#This Row],[Adjusted 2034]]/$L543,0)</f>
        <v>1</v>
      </c>
      <c r="BL543" s="3">
        <f t="shared" si="37"/>
        <v>9.7211794525380348E-3</v>
      </c>
      <c r="BM543" s="3">
        <f t="shared" si="37"/>
        <v>1.7883783260843326E-2</v>
      </c>
      <c r="BN543" s="3">
        <f t="shared" si="37"/>
        <v>2.470719361669305E-2</v>
      </c>
      <c r="BO543" s="3">
        <f t="shared" si="37"/>
        <v>3.0436589071655466E-2</v>
      </c>
      <c r="BP543" s="3">
        <f t="shared" si="37"/>
        <v>3.5269838154034651E-2</v>
      </c>
      <c r="BQ543" s="3">
        <f t="shared" si="36"/>
        <v>3.9369198056953852E-2</v>
      </c>
      <c r="BR543" s="3">
        <f t="shared" si="36"/>
        <v>4.2867799119493837E-2</v>
      </c>
      <c r="BS543" s="3">
        <f t="shared" si="36"/>
        <v>4.588103715476189E-2</v>
      </c>
      <c r="BT543" s="3">
        <f t="shared" si="36"/>
        <v>4.8511246067036766E-2</v>
      </c>
      <c r="BU543" s="3">
        <f t="shared" si="36"/>
        <v>5.0830172679277599E-2</v>
      </c>
      <c r="BV543" t="e">
        <f>VLOOKUP($H543,'1. Set Program Names'!$B$2:$D$15,3,0)*V543</f>
        <v>#N/A</v>
      </c>
      <c r="BW543" t="e">
        <f>VLOOKUP($H543,'1. Set Program Names'!$B$2:$D$15,3,0)*W543</f>
        <v>#N/A</v>
      </c>
      <c r="BX543" t="e">
        <f>VLOOKUP($H543,'1. Set Program Names'!$B$2:$D$15,3,0)*X543</f>
        <v>#N/A</v>
      </c>
      <c r="BY543" t="e">
        <f>VLOOKUP($H543,'1. Set Program Names'!$B$2:$D$15,3,0)*Y543</f>
        <v>#N/A</v>
      </c>
      <c r="BZ543" t="e">
        <f>VLOOKUP($H543,'1. Set Program Names'!$B$2:$D$15,3,0)*Z543</f>
        <v>#N/A</v>
      </c>
      <c r="CA543" t="e">
        <f>VLOOKUP($H543,'1. Set Program Names'!$B$2:$D$15,3,0)*AA543</f>
        <v>#N/A</v>
      </c>
      <c r="CB543" t="e">
        <f>VLOOKUP($H543,'1. Set Program Names'!$B$2:$D$15,3,0)*AB543</f>
        <v>#N/A</v>
      </c>
      <c r="CC543" t="e">
        <f>VLOOKUP($H543,'1. Set Program Names'!$B$2:$D$15,3,0)*AC543</f>
        <v>#N/A</v>
      </c>
      <c r="CD543" t="e">
        <f>VLOOKUP($H543,'1. Set Program Names'!$B$2:$D$15,3,0)*AD543</f>
        <v>#N/A</v>
      </c>
      <c r="CE543" t="e">
        <f>VLOOKUP($H543,'1. Set Program Names'!$B$2:$D$15,3,0)*AE543</f>
        <v>#N/A</v>
      </c>
    </row>
    <row r="544" spans="1:83" x14ac:dyDescent="0.25">
      <c r="A544" s="20" t="s">
        <v>116</v>
      </c>
      <c r="B544" s="20" t="s">
        <v>88</v>
      </c>
      <c r="C544" s="20" t="s">
        <v>122</v>
      </c>
      <c r="D544" s="20" t="s">
        <v>90</v>
      </c>
      <c r="E544" s="20" t="s">
        <v>91</v>
      </c>
      <c r="F544" s="20" t="s">
        <v>90</v>
      </c>
      <c r="G544" s="20" t="s">
        <v>92</v>
      </c>
      <c r="H544" s="20" t="s">
        <v>20</v>
      </c>
      <c r="I544" s="20" t="s">
        <v>237</v>
      </c>
      <c r="J544" s="20" t="s">
        <v>129</v>
      </c>
      <c r="K544" s="20" t="s">
        <v>102</v>
      </c>
      <c r="L544" s="20">
        <v>2568.1199999999699</v>
      </c>
      <c r="M544" s="20">
        <v>0.53641456399840104</v>
      </c>
      <c r="N544" s="20">
        <v>2.1892485513222901E-2</v>
      </c>
      <c r="O544" s="53">
        <f>9025.1/929.29*tbl_Data_old[[#This Row],[kWh Savings]]</f>
        <v>24941.126894725789</v>
      </c>
      <c r="P544" s="20">
        <v>35498.089296558101</v>
      </c>
      <c r="Q544" s="20">
        <v>154.08719999999801</v>
      </c>
      <c r="R544" s="20">
        <v>1534.4473108970501</v>
      </c>
      <c r="S544" s="20">
        <v>3958.9826982459099</v>
      </c>
      <c r="T544" s="20">
        <v>30</v>
      </c>
      <c r="U544" s="20">
        <v>0.05</v>
      </c>
      <c r="V544" s="20">
        <v>2.5672177689267201E-3</v>
      </c>
      <c r="W544" s="20">
        <v>2.85497544410439E-3</v>
      </c>
      <c r="X544" s="20">
        <v>3.1606622381309302E-3</v>
      </c>
      <c r="Y544" s="20">
        <v>3.4891246713603902E-3</v>
      </c>
      <c r="Z544" s="20">
        <v>3.82802056571814E-3</v>
      </c>
      <c r="AA544" s="20">
        <v>4.1754621331638103E-3</v>
      </c>
      <c r="AB544" s="20">
        <v>4.5202860059660004E-3</v>
      </c>
      <c r="AC544" s="20">
        <v>4.8679961364839503E-3</v>
      </c>
      <c r="AD544" s="20">
        <v>5.2288525878758998E-3</v>
      </c>
      <c r="AE544" s="20">
        <v>5.5797891600455098E-3</v>
      </c>
      <c r="AF544" t="str">
        <f t="shared" si="35"/>
        <v>NonResidential</v>
      </c>
      <c r="AG544" t="str">
        <f>tbl_Data_old[[#This Row],[All_Meas_Name_Append]]</f>
        <v>Ceiling Insulation(R19 to R38)</v>
      </c>
      <c r="AH544">
        <f>AVERAGEIFS('3. Incentive Adjustment'!G:G,'3. Incentive Adjustment'!A:A,tbl_Data_old[[#This Row],[Trimmed Sector]],'3. Incentive Adjustment'!B:B,tbl_Data_old[[#This Row],[Trimmed Measure Name]])</f>
        <v>3.9688771318830651E-15</v>
      </c>
      <c r="AI544">
        <f>$AH544*tbl_Data_old[[#This Row],[2025 ]]</f>
        <v>1.0188971895657122E-17</v>
      </c>
      <c r="AJ544">
        <f>$AH544*tbl_Data_old[[#This Row],[2026 ]]</f>
        <v>1.1331046752193612E-17</v>
      </c>
      <c r="AK544">
        <f>$AH544*tbl_Data_old[[#This Row],[2027 ]]</f>
        <v>1.2544280078524195E-17</v>
      </c>
      <c r="AL544">
        <f>$AH544*tbl_Data_old[[#This Row],[2028 ]]</f>
        <v>1.3847907118451267E-17</v>
      </c>
      <c r="AM544">
        <f>$AH544*tbl_Data_old[[#This Row],[2029 ]]</f>
        <v>1.5192943283656799E-17</v>
      </c>
      <c r="AN544">
        <f>$AH544*tbl_Data_old[[#This Row],[2030 ]]</f>
        <v>1.6571896175357529E-17</v>
      </c>
      <c r="AO544">
        <f>$AH544*tbl_Data_old[[#This Row],[2031 ]]</f>
        <v>1.7940459758649496E-17</v>
      </c>
      <c r="AP544">
        <f>$AH544*tbl_Data_old[[#This Row],[2032 ]]</f>
        <v>1.9320478544186263E-17</v>
      </c>
      <c r="AQ544">
        <f>$AH544*tbl_Data_old[[#This Row],[2033 ]]</f>
        <v>2.0752673462008245E-17</v>
      </c>
      <c r="AR544">
        <f>$AH544*tbl_Data_old[[#This Row],[2034 ]]</f>
        <v>2.214549759803364E-17</v>
      </c>
      <c r="AS544">
        <f>SUM(tbl_Data_old[[#This Row],[Adjusted 2025]:[Adjusted 2034]])</f>
        <v>1.5983615466671815E-16</v>
      </c>
      <c r="AT544" s="3">
        <f>AVERAGEIFS('3. Incentive Adjustment'!F:F,'3. Incentive Adjustment'!A:A,tbl_Data_old[[#This Row],[Trimmed Sector]],'3. Incentive Adjustment'!B:B,tbl_Data_old[[#This Row],[Trimmed Measure Name]])</f>
        <v>3222.5963039661074</v>
      </c>
      <c r="AU544" s="3">
        <f>IFERROR(VLOOKUP(tbl_Data_old[[#This Row],[All_Meas_Name_Append]],'IRA Tax Credits'!$A$3:$D$46,4,0),0)</f>
        <v>0</v>
      </c>
      <c r="AV544" s="4">
        <f>tbl_Data_old[[#This Row],[Adj. per unit Incentive ($)]]/tbl_Data_old[[#This Row],[kWh Savings]]*tbl_Data_old[[#This Row],[Sum of Annuals]]</f>
        <v>2.0056983367955044E-16</v>
      </c>
      <c r="AW544" s="4" t="str">
        <f>IFERROR(VLOOKUP(tbl_Data_old[[#This Row],[All_Programs]],'1. Set Program Names'!$B$2:$D$15,3,0)*tbl_Data_old[[#This Row],[Sum of Annuals]],"")</f>
        <v/>
      </c>
      <c r="AX544" s="4">
        <f>tbl_Data_old[[#This Row],[per unit IRA tax ($)]]/tbl_Data_old[[#This Row],[kWh Savings]]*tbl_Data_old[[#This Row],[Sum of Annuals]]</f>
        <v>0</v>
      </c>
      <c r="AY544" s="4">
        <f>tbl_Data_old[[#This Row],[Avoided Costs ($/unit)]]/tbl_Data_old[[#This Row],[kWh Savings]]*tbl_Data_old[[#This Row],[Sum of Annuals]]</f>
        <v>9.5501829241808616E-17</v>
      </c>
      <c r="AZ544" s="4">
        <f>tbl_Data_old[[#This Row],[Lost Revenue ($/unit)]]/tbl_Data_old[[#This Row],[kWh Savings]]*tbl_Data_old[[#This Row],[Sum of Annuals]]</f>
        <v>2.4640148080296165E-16</v>
      </c>
      <c r="BA544" s="4">
        <f>tbl_Data_old[[#This Row],[Incremental Cost ($/unit)]]/tbl_Data_old[[#This Row],[kWh Savings]]*tbl_Data_old[[#This Row],[Sum of Annuals]]</f>
        <v>1.5523004438685426E-15</v>
      </c>
      <c r="BB544">
        <f>ROUNDUP(tbl_Data_old[[#This Row],[Adjusted 2025]]/$L544,0)</f>
        <v>1</v>
      </c>
      <c r="BC544">
        <f>ROUNDUP(tbl_Data_old[[#This Row],[Adjusted 2026]]/$L544,0)</f>
        <v>1</v>
      </c>
      <c r="BD544">
        <f>ROUNDUP(tbl_Data_old[[#This Row],[Adjusted 2027]]/$L544,0)</f>
        <v>1</v>
      </c>
      <c r="BE544">
        <f>ROUNDUP(tbl_Data_old[[#This Row],[Adjusted 2028]]/$L544,0)</f>
        <v>1</v>
      </c>
      <c r="BF544">
        <f>ROUNDUP(tbl_Data_old[[#This Row],[Adjusted 2029]]/$L544,0)</f>
        <v>1</v>
      </c>
      <c r="BG544">
        <f>ROUNDUP(tbl_Data_old[[#This Row],[Adjusted 2030]]/$L544,0)</f>
        <v>1</v>
      </c>
      <c r="BH544">
        <f>ROUNDUP(tbl_Data_old[[#This Row],[Adjusted 2031]]/$L544,0)</f>
        <v>1</v>
      </c>
      <c r="BI544">
        <f>ROUNDUP(tbl_Data_old[[#This Row],[Adjusted 2032]]/$L544,0)</f>
        <v>1</v>
      </c>
      <c r="BJ544">
        <f>ROUNDUP(tbl_Data_old[[#This Row],[Adjusted 2033]]/$L544,0)</f>
        <v>1</v>
      </c>
      <c r="BK544">
        <f>ROUNDUP(tbl_Data_old[[#This Row],[Adjusted 2034]]/$L544,0)</f>
        <v>1</v>
      </c>
      <c r="BL544" s="3">
        <f t="shared" si="37"/>
        <v>3.2214641424931321E-3</v>
      </c>
      <c r="BM544" s="3">
        <f t="shared" si="37"/>
        <v>3.5825558439967417E-3</v>
      </c>
      <c r="BN544" s="3">
        <f t="shared" si="37"/>
        <v>3.9661458369103083E-3</v>
      </c>
      <c r="BO544" s="3">
        <f t="shared" si="37"/>
        <v>4.3783157601681713E-3</v>
      </c>
      <c r="BP544" s="3">
        <f t="shared" si="37"/>
        <v>4.8035780752416829E-3</v>
      </c>
      <c r="BQ544" s="3">
        <f t="shared" si="36"/>
        <v>5.2395638979815164E-3</v>
      </c>
      <c r="BR544" s="3">
        <f t="shared" si="36"/>
        <v>5.672264915851254E-3</v>
      </c>
      <c r="BS544" s="3">
        <f t="shared" si="36"/>
        <v>6.1085877440129957E-3</v>
      </c>
      <c r="BT544" s="3">
        <f t="shared" si="36"/>
        <v>6.5614071864526146E-3</v>
      </c>
      <c r="BU544" s="3">
        <f t="shared" si="36"/>
        <v>7.00177870351581E-3</v>
      </c>
      <c r="BV544" t="e">
        <f>VLOOKUP($H544,'1. Set Program Names'!$B$2:$D$15,3,0)*V544</f>
        <v>#N/A</v>
      </c>
      <c r="BW544" t="e">
        <f>VLOOKUP($H544,'1. Set Program Names'!$B$2:$D$15,3,0)*W544</f>
        <v>#N/A</v>
      </c>
      <c r="BX544" t="e">
        <f>VLOOKUP($H544,'1. Set Program Names'!$B$2:$D$15,3,0)*X544</f>
        <v>#N/A</v>
      </c>
      <c r="BY544" t="e">
        <f>VLOOKUP($H544,'1. Set Program Names'!$B$2:$D$15,3,0)*Y544</f>
        <v>#N/A</v>
      </c>
      <c r="BZ544" t="e">
        <f>VLOOKUP($H544,'1. Set Program Names'!$B$2:$D$15,3,0)*Z544</f>
        <v>#N/A</v>
      </c>
      <c r="CA544" t="e">
        <f>VLOOKUP($H544,'1. Set Program Names'!$B$2:$D$15,3,0)*AA544</f>
        <v>#N/A</v>
      </c>
      <c r="CB544" t="e">
        <f>VLOOKUP($H544,'1. Set Program Names'!$B$2:$D$15,3,0)*AB544</f>
        <v>#N/A</v>
      </c>
      <c r="CC544" t="e">
        <f>VLOOKUP($H544,'1. Set Program Names'!$B$2:$D$15,3,0)*AC544</f>
        <v>#N/A</v>
      </c>
      <c r="CD544" t="e">
        <f>VLOOKUP($H544,'1. Set Program Names'!$B$2:$D$15,3,0)*AD544</f>
        <v>#N/A</v>
      </c>
      <c r="CE544" t="e">
        <f>VLOOKUP($H544,'1. Set Program Names'!$B$2:$D$15,3,0)*AE544</f>
        <v>#N/A</v>
      </c>
    </row>
    <row r="545" spans="1:83" x14ac:dyDescent="0.25">
      <c r="A545" s="20" t="s">
        <v>116</v>
      </c>
      <c r="B545" s="20" t="s">
        <v>88</v>
      </c>
      <c r="C545" s="20" t="s">
        <v>122</v>
      </c>
      <c r="D545" s="20" t="s">
        <v>90</v>
      </c>
      <c r="E545" s="20" t="s">
        <v>91</v>
      </c>
      <c r="F545" s="20" t="s">
        <v>90</v>
      </c>
      <c r="G545" s="20" t="s">
        <v>92</v>
      </c>
      <c r="H545" s="20" t="s">
        <v>20</v>
      </c>
      <c r="I545" s="20" t="s">
        <v>238</v>
      </c>
      <c r="J545" s="20" t="s">
        <v>129</v>
      </c>
      <c r="K545" s="20" t="s">
        <v>102</v>
      </c>
      <c r="L545" s="20">
        <v>4477.6116666666303</v>
      </c>
      <c r="M545" s="20">
        <v>0.90610878358590996</v>
      </c>
      <c r="N545" s="20">
        <v>4.9616670393602701E-2</v>
      </c>
      <c r="O545" s="53">
        <f>9351.31/1137.9*tbl_Data_old[[#This Row],[kWh Savings]]</f>
        <v>36797.200768623181</v>
      </c>
      <c r="P545" s="20">
        <v>44221.719775682497</v>
      </c>
      <c r="Q545" s="20">
        <v>268.65669999999699</v>
      </c>
      <c r="R545" s="20">
        <v>2670.7044942461998</v>
      </c>
      <c r="S545" s="20">
        <v>6902.6319322295803</v>
      </c>
      <c r="T545" s="20">
        <v>30</v>
      </c>
      <c r="U545" s="20">
        <v>0.05</v>
      </c>
      <c r="V545" s="20">
        <v>4.7279510881321103E-3</v>
      </c>
      <c r="W545" s="20">
        <v>5.2477057644603996E-3</v>
      </c>
      <c r="X545" s="20">
        <v>5.7974002402725704E-3</v>
      </c>
      <c r="Y545" s="20">
        <v>6.3866465635960797E-3</v>
      </c>
      <c r="Z545" s="20">
        <v>6.9933070619593802E-3</v>
      </c>
      <c r="AA545" s="20">
        <v>7.6135958015579996E-3</v>
      </c>
      <c r="AB545" s="20">
        <v>8.2278292876544808E-3</v>
      </c>
      <c r="AC545" s="20">
        <v>8.8461574966662692E-3</v>
      </c>
      <c r="AD545" s="20">
        <v>9.4866340018722895E-3</v>
      </c>
      <c r="AE545" s="20">
        <v>1.01082364594192E-2</v>
      </c>
      <c r="AF545" t="str">
        <f t="shared" si="35"/>
        <v>NonResidential</v>
      </c>
      <c r="AG545" t="str">
        <f>tbl_Data_old[[#This Row],[All_Meas_Name_Append]]</f>
        <v>Ceiling Insulation(R19 to R49)</v>
      </c>
      <c r="AH545">
        <f>AVERAGEIFS('3. Incentive Adjustment'!G:G,'3. Incentive Adjustment'!A:A,tbl_Data_old[[#This Row],[Trimmed Sector]],'3. Incentive Adjustment'!B:B,tbl_Data_old[[#This Row],[Trimmed Measure Name]])</f>
        <v>7.9373870200739678E-11</v>
      </c>
      <c r="AI545">
        <f>$AH545*tbl_Data_old[[#This Row],[2025 ]]</f>
        <v>3.7527577598484407E-13</v>
      </c>
      <c r="AJ545">
        <f>$AH545*tbl_Data_old[[#This Row],[2026 ]]</f>
        <v>4.1653071619995313E-13</v>
      </c>
      <c r="AK545">
        <f>$AH545*tbl_Data_old[[#This Row],[2027 ]]</f>
        <v>4.6016209417313199E-13</v>
      </c>
      <c r="AL545">
        <f>$AH545*tbl_Data_old[[#This Row],[2028 ]]</f>
        <v>5.0693285535687534E-13</v>
      </c>
      <c r="AM545">
        <f>$AH545*tbl_Data_old[[#This Row],[2029 ]]</f>
        <v>5.5508584700987995E-13</v>
      </c>
      <c r="AN545">
        <f>$AH545*tbl_Data_old[[#This Row],[2030 ]]</f>
        <v>6.0432056491376121E-13</v>
      </c>
      <c r="AO545">
        <f>$AH545*tbl_Data_old[[#This Row],[2031 ]]</f>
        <v>6.5307465391213114E-13</v>
      </c>
      <c r="AP545">
        <f>$AH545*tbl_Data_old[[#This Row],[2032 ]]</f>
        <v>7.0215375691568868E-13</v>
      </c>
      <c r="AQ545">
        <f>$AH545*tbl_Data_old[[#This Row],[2033 ]]</f>
        <v>7.5299085590653475E-13</v>
      </c>
      <c r="AR545">
        <f>$AH545*tbl_Data_old[[#This Row],[2034 ]]</f>
        <v>8.0232984868832398E-13</v>
      </c>
      <c r="AS545">
        <f>SUM(tbl_Data_old[[#This Row],[Adjusted 2025]:[Adjusted 2034]])</f>
        <v>5.8288569690611245E-12</v>
      </c>
      <c r="AT545" s="3">
        <f>AVERAGEIFS('3. Incentive Adjustment'!F:F,'3. Incentive Adjustment'!A:A,tbl_Data_old[[#This Row],[Trimmed Sector]],'3. Incentive Adjustment'!B:B,tbl_Data_old[[#This Row],[Trimmed Measure Name]])</f>
        <v>4754.4974087894998</v>
      </c>
      <c r="AU545" s="3">
        <f>IFERROR(VLOOKUP(tbl_Data_old[[#This Row],[All_Meas_Name_Append]],'IRA Tax Credits'!$A$3:$D$46,4,0),0)</f>
        <v>500</v>
      </c>
      <c r="AV545" s="4">
        <f>tbl_Data_old[[#This Row],[Adj. per unit Incentive ($)]]/tbl_Data_old[[#This Row],[kWh Savings]]*tbl_Data_old[[#This Row],[Sum of Annuals]]</f>
        <v>6.1893007743203786E-12</v>
      </c>
      <c r="AW545" s="4" t="str">
        <f>IFERROR(VLOOKUP(tbl_Data_old[[#This Row],[All_Programs]],'1. Set Program Names'!$B$2:$D$15,3,0)*tbl_Data_old[[#This Row],[Sum of Annuals]],"")</f>
        <v/>
      </c>
      <c r="AX545" s="4">
        <f>tbl_Data_old[[#This Row],[per unit IRA tax ($)]]/tbl_Data_old[[#This Row],[kWh Savings]]*tbl_Data_old[[#This Row],[Sum of Annuals]]</f>
        <v>6.50889067988385E-13</v>
      </c>
      <c r="AY545" s="4">
        <f>tbl_Data_old[[#This Row],[Avoided Costs ($/unit)]]/tbl_Data_old[[#This Row],[kWh Savings]]*tbl_Data_old[[#This Row],[Sum of Annuals]]</f>
        <v>3.4766647182646E-12</v>
      </c>
      <c r="AZ545" s="4">
        <f>tbl_Data_old[[#This Row],[Lost Revenue ($/unit)]]/tbl_Data_old[[#This Row],[kWh Savings]]*tbl_Data_old[[#This Row],[Sum of Annuals]]</f>
        <v>8.9856953300715527E-12</v>
      </c>
      <c r="BA545" s="4">
        <f>tbl_Data_old[[#This Row],[Incremental Cost ($/unit)]]/tbl_Data_old[[#This Row],[kWh Savings]]*tbl_Data_old[[#This Row],[Sum of Annuals]]</f>
        <v>4.7901791425741257E-11</v>
      </c>
      <c r="BB545">
        <f>ROUNDUP(tbl_Data_old[[#This Row],[Adjusted 2025]]/$L545,0)</f>
        <v>1</v>
      </c>
      <c r="BC545">
        <f>ROUNDUP(tbl_Data_old[[#This Row],[Adjusted 2026]]/$L545,0)</f>
        <v>1</v>
      </c>
      <c r="BD545">
        <f>ROUNDUP(tbl_Data_old[[#This Row],[Adjusted 2027]]/$L545,0)</f>
        <v>1</v>
      </c>
      <c r="BE545">
        <f>ROUNDUP(tbl_Data_old[[#This Row],[Adjusted 2028]]/$L545,0)</f>
        <v>1</v>
      </c>
      <c r="BF545">
        <f>ROUNDUP(tbl_Data_old[[#This Row],[Adjusted 2029]]/$L545,0)</f>
        <v>1</v>
      </c>
      <c r="BG545">
        <f>ROUNDUP(tbl_Data_old[[#This Row],[Adjusted 2030]]/$L545,0)</f>
        <v>1</v>
      </c>
      <c r="BH545">
        <f>ROUNDUP(tbl_Data_old[[#This Row],[Adjusted 2031]]/$L545,0)</f>
        <v>1</v>
      </c>
      <c r="BI545">
        <f>ROUNDUP(tbl_Data_old[[#This Row],[Adjusted 2032]]/$L545,0)</f>
        <v>1</v>
      </c>
      <c r="BJ545">
        <f>ROUNDUP(tbl_Data_old[[#This Row],[Adjusted 2033]]/$L545,0)</f>
        <v>1</v>
      </c>
      <c r="BK545">
        <f>ROUNDUP(tbl_Data_old[[#This Row],[Adjusted 2034]]/$L545,0)</f>
        <v>1</v>
      </c>
      <c r="BL545" s="3">
        <f t="shared" si="37"/>
        <v>5.0203172742182417E-3</v>
      </c>
      <c r="BM545" s="3">
        <f t="shared" si="37"/>
        <v>5.5722124464158669E-3</v>
      </c>
      <c r="BN545" s="3">
        <f t="shared" si="37"/>
        <v>6.1558988300143159E-3</v>
      </c>
      <c r="BO545" s="3">
        <f t="shared" si="37"/>
        <v>6.7815828611321825E-3</v>
      </c>
      <c r="BP545" s="3">
        <f t="shared" si="37"/>
        <v>7.4257579219030355E-3</v>
      </c>
      <c r="BQ545" s="3">
        <f t="shared" si="36"/>
        <v>8.084403964631089E-3</v>
      </c>
      <c r="BR545" s="3">
        <f t="shared" si="36"/>
        <v>8.7366203101837941E-3</v>
      </c>
      <c r="BS545" s="3">
        <f t="shared" si="36"/>
        <v>9.393184587388425E-3</v>
      </c>
      <c r="BT545" s="3">
        <f t="shared" si="36"/>
        <v>1.0073266763130017E-2</v>
      </c>
      <c r="BU545" s="3">
        <f t="shared" si="36"/>
        <v>1.0733307761259749E-2</v>
      </c>
      <c r="BV545" t="e">
        <f>VLOOKUP($H545,'1. Set Program Names'!$B$2:$D$15,3,0)*V545</f>
        <v>#N/A</v>
      </c>
      <c r="BW545" t="e">
        <f>VLOOKUP($H545,'1. Set Program Names'!$B$2:$D$15,3,0)*W545</f>
        <v>#N/A</v>
      </c>
      <c r="BX545" t="e">
        <f>VLOOKUP($H545,'1. Set Program Names'!$B$2:$D$15,3,0)*X545</f>
        <v>#N/A</v>
      </c>
      <c r="BY545" t="e">
        <f>VLOOKUP($H545,'1. Set Program Names'!$B$2:$D$15,3,0)*Y545</f>
        <v>#N/A</v>
      </c>
      <c r="BZ545" t="e">
        <f>VLOOKUP($H545,'1. Set Program Names'!$B$2:$D$15,3,0)*Z545</f>
        <v>#N/A</v>
      </c>
      <c r="CA545" t="e">
        <f>VLOOKUP($H545,'1. Set Program Names'!$B$2:$D$15,3,0)*AA545</f>
        <v>#N/A</v>
      </c>
      <c r="CB545" t="e">
        <f>VLOOKUP($H545,'1. Set Program Names'!$B$2:$D$15,3,0)*AB545</f>
        <v>#N/A</v>
      </c>
      <c r="CC545" t="e">
        <f>VLOOKUP($H545,'1. Set Program Names'!$B$2:$D$15,3,0)*AC545</f>
        <v>#N/A</v>
      </c>
      <c r="CD545" t="e">
        <f>VLOOKUP($H545,'1. Set Program Names'!$B$2:$D$15,3,0)*AD545</f>
        <v>#N/A</v>
      </c>
      <c r="CE545" t="e">
        <f>VLOOKUP($H545,'1. Set Program Names'!$B$2:$D$15,3,0)*AE545</f>
        <v>#N/A</v>
      </c>
    </row>
    <row r="546" spans="1:83" x14ac:dyDescent="0.25">
      <c r="A546" s="20" t="s">
        <v>116</v>
      </c>
      <c r="B546" s="20" t="s">
        <v>88</v>
      </c>
      <c r="C546" s="20" t="s">
        <v>122</v>
      </c>
      <c r="D546" s="20" t="s">
        <v>90</v>
      </c>
      <c r="E546" s="20" t="s">
        <v>91</v>
      </c>
      <c r="F546" s="20" t="s">
        <v>90</v>
      </c>
      <c r="G546" s="20" t="s">
        <v>92</v>
      </c>
      <c r="H546" s="20" t="s">
        <v>20</v>
      </c>
      <c r="I546" s="20" t="s">
        <v>240</v>
      </c>
      <c r="J546" s="20" t="s">
        <v>129</v>
      </c>
      <c r="K546" s="20" t="s">
        <v>102</v>
      </c>
      <c r="L546" s="20">
        <v>18717.787499999999</v>
      </c>
      <c r="M546" s="20">
        <v>3.6380387810097399</v>
      </c>
      <c r="N546" s="20">
        <v>0.14255501576814</v>
      </c>
      <c r="O546" s="53">
        <f>11091.09/6133.31*tbl_Data_old[[#This Row],[kWh Savings]]</f>
        <v>33848.063405139306</v>
      </c>
      <c r="P546" s="20">
        <v>45532.278837645601</v>
      </c>
      <c r="Q546" s="20">
        <v>1123.0672500000001</v>
      </c>
      <c r="R546" s="20">
        <v>11042.715256281999</v>
      </c>
      <c r="S546" s="20">
        <v>28855.114582630202</v>
      </c>
      <c r="T546" s="20">
        <v>30</v>
      </c>
      <c r="U546" s="20">
        <v>0.05</v>
      </c>
      <c r="V546" s="20">
        <v>2.4947593568523498E-3</v>
      </c>
      <c r="W546" s="20">
        <v>2.4454313520748902E-3</v>
      </c>
      <c r="X546" s="20">
        <v>2.37223103734748E-3</v>
      </c>
      <c r="Y546" s="20">
        <v>2.2981481910545202E-3</v>
      </c>
      <c r="Z546" s="20">
        <v>2.2241749343425501E-3</v>
      </c>
      <c r="AA546" s="20">
        <v>2.1444684425715901E-3</v>
      </c>
      <c r="AB546" s="20">
        <v>2.06383567842198E-3</v>
      </c>
      <c r="AC546" s="20">
        <v>1.9859969946620301E-3</v>
      </c>
      <c r="AD546" s="20">
        <v>1.90776845401049E-3</v>
      </c>
      <c r="AE546" s="20">
        <v>1.8304760215589299E-3</v>
      </c>
      <c r="AF546" t="str">
        <f t="shared" si="35"/>
        <v>NonResidential</v>
      </c>
      <c r="AG546" t="str">
        <f>tbl_Data_old[[#This Row],[All_Meas_Name_Append]]</f>
        <v>Ceiling Insulation(R2 to R38)</v>
      </c>
      <c r="AH546">
        <f>AVERAGEIFS('3. Incentive Adjustment'!G:G,'3. Incentive Adjustment'!A:A,tbl_Data_old[[#This Row],[Trimmed Sector]],'3. Incentive Adjustment'!B:B,tbl_Data_old[[#This Row],[Trimmed Measure Name]])</f>
        <v>3.0218441517909909E-3</v>
      </c>
      <c r="AI546">
        <f>$AH546*tbl_Data_old[[#This Row],[2025 ]]</f>
        <v>7.538773972630127E-6</v>
      </c>
      <c r="AJ546">
        <f>$AH546*tbl_Data_old[[#This Row],[2026 ]]</f>
        <v>7.3897124298738422E-6</v>
      </c>
      <c r="AK546">
        <f>$AH546*tbl_Data_old[[#This Row],[2027 ]]</f>
        <v>7.1685124869055577E-6</v>
      </c>
      <c r="AL546">
        <f>$AH546*tbl_Data_old[[#This Row],[2028 ]]</f>
        <v>6.9446456710871467E-6</v>
      </c>
      <c r="AM546">
        <f>$AH546*tbl_Data_old[[#This Row],[2029 ]]</f>
        <v>6.7211100179031465E-6</v>
      </c>
      <c r="AN546">
        <f>$AH546*tbl_Data_old[[#This Row],[2030 ]]</f>
        <v>6.4802494218852941E-6</v>
      </c>
      <c r="AO546">
        <f>$AH546*tbl_Data_old[[#This Row],[2031 ]]</f>
        <v>6.2365897750970526E-6</v>
      </c>
      <c r="AP546">
        <f>$AH546*tbl_Data_old[[#This Row],[2032 ]]</f>
        <v>6.0013734037939392E-6</v>
      </c>
      <c r="AQ546">
        <f>$AH546*tbl_Data_old[[#This Row],[2033 ]]</f>
        <v>5.7649789457229393E-6</v>
      </c>
      <c r="AR546">
        <f>$AH546*tbl_Data_old[[#This Row],[2034 ]]</f>
        <v>5.5314132607414921E-6</v>
      </c>
      <c r="AS546">
        <f>SUM(tbl_Data_old[[#This Row],[Adjusted 2025]:[Adjusted 2034]])</f>
        <v>6.5777359385640541E-5</v>
      </c>
      <c r="AT546" s="3">
        <f>AVERAGEIFS('3. Incentive Adjustment'!F:F,'3. Incentive Adjustment'!A:A,tbl_Data_old[[#This Row],[Trimmed Sector]],'3. Incentive Adjustment'!B:B,tbl_Data_old[[#This Row],[Trimmed Measure Name]])</f>
        <v>4373.4448922946976</v>
      </c>
      <c r="AU546" s="3">
        <f>IFERROR(VLOOKUP(tbl_Data_old[[#This Row],[All_Meas_Name_Append]],'IRA Tax Credits'!$A$3:$D$46,4,0),0)</f>
        <v>0</v>
      </c>
      <c r="AV546" s="4">
        <f>tbl_Data_old[[#This Row],[Adj. per unit Incentive ($)]]/tbl_Data_old[[#This Row],[kWh Savings]]*tbl_Data_old[[#This Row],[Sum of Annuals]]</f>
        <v>1.5368998949996754E-5</v>
      </c>
      <c r="AW546" s="4" t="str">
        <f>IFERROR(VLOOKUP(tbl_Data_old[[#This Row],[All_Programs]],'1. Set Program Names'!$B$2:$D$15,3,0)*tbl_Data_old[[#This Row],[Sum of Annuals]],"")</f>
        <v/>
      </c>
      <c r="AX546" s="4">
        <f>tbl_Data_old[[#This Row],[per unit IRA tax ($)]]/tbl_Data_old[[#This Row],[kWh Savings]]*tbl_Data_old[[#This Row],[Sum of Annuals]]</f>
        <v>0</v>
      </c>
      <c r="AY546" s="4">
        <f>tbl_Data_old[[#This Row],[Avoided Costs ($/unit)]]/tbl_Data_old[[#This Row],[kWh Savings]]*tbl_Data_old[[#This Row],[Sum of Annuals]]</f>
        <v>3.880590320868622E-5</v>
      </c>
      <c r="AZ546" s="4">
        <f>tbl_Data_old[[#This Row],[Lost Revenue ($/unit)]]/tbl_Data_old[[#This Row],[kWh Savings]]*tbl_Data_old[[#This Row],[Sum of Annuals]]</f>
        <v>1.0140158082334806E-4</v>
      </c>
      <c r="BA546" s="4">
        <f>tbl_Data_old[[#This Row],[Incremental Cost ($/unit)]]/tbl_Data_old[[#This Row],[kWh Savings]]*tbl_Data_old[[#This Row],[Sum of Annuals]]</f>
        <v>1.1894761766623306E-4</v>
      </c>
      <c r="BB546">
        <f>ROUNDUP(tbl_Data_old[[#This Row],[Adjusted 2025]]/$L546,0)</f>
        <v>1</v>
      </c>
      <c r="BC546">
        <f>ROUNDUP(tbl_Data_old[[#This Row],[Adjusted 2026]]/$L546,0)</f>
        <v>1</v>
      </c>
      <c r="BD546">
        <f>ROUNDUP(tbl_Data_old[[#This Row],[Adjusted 2027]]/$L546,0)</f>
        <v>1</v>
      </c>
      <c r="BE546">
        <f>ROUNDUP(tbl_Data_old[[#This Row],[Adjusted 2028]]/$L546,0)</f>
        <v>1</v>
      </c>
      <c r="BF546">
        <f>ROUNDUP(tbl_Data_old[[#This Row],[Adjusted 2029]]/$L546,0)</f>
        <v>1</v>
      </c>
      <c r="BG546">
        <f>ROUNDUP(tbl_Data_old[[#This Row],[Adjusted 2030]]/$L546,0)</f>
        <v>1</v>
      </c>
      <c r="BH546">
        <f>ROUNDUP(tbl_Data_old[[#This Row],[Adjusted 2031]]/$L546,0)</f>
        <v>1</v>
      </c>
      <c r="BI546">
        <f>ROUNDUP(tbl_Data_old[[#This Row],[Adjusted 2032]]/$L546,0)</f>
        <v>1</v>
      </c>
      <c r="BJ546">
        <f>ROUNDUP(tbl_Data_old[[#This Row],[Adjusted 2033]]/$L546,0)</f>
        <v>1</v>
      </c>
      <c r="BK546">
        <f>ROUNDUP(tbl_Data_old[[#This Row],[Adjusted 2034]]/$L546,0)</f>
        <v>1</v>
      </c>
      <c r="BL546" s="3">
        <f t="shared" si="37"/>
        <v>5.8290503440806319E-4</v>
      </c>
      <c r="BM546" s="3">
        <f t="shared" si="37"/>
        <v>5.7137945690372038E-4</v>
      </c>
      <c r="BN546" s="3">
        <f t="shared" si="37"/>
        <v>5.5427607101695591E-4</v>
      </c>
      <c r="BO546" s="3">
        <f t="shared" si="37"/>
        <v>5.36966480034229E-4</v>
      </c>
      <c r="BP546" s="3">
        <f t="shared" si="37"/>
        <v>5.1968249485524515E-4</v>
      </c>
      <c r="BQ546" s="3">
        <f t="shared" si="36"/>
        <v>5.0105892893868398E-4</v>
      </c>
      <c r="BR546" s="3">
        <f t="shared" si="36"/>
        <v>4.8221893780609339E-4</v>
      </c>
      <c r="BS546" s="3">
        <f t="shared" si="36"/>
        <v>4.6403178860841734E-4</v>
      </c>
      <c r="BT546" s="3">
        <f t="shared" si="36"/>
        <v>4.4575354864313587E-4</v>
      </c>
      <c r="BU546" s="3">
        <f t="shared" si="36"/>
        <v>4.2769403205132134E-4</v>
      </c>
      <c r="BV546" t="e">
        <f>VLOOKUP($H546,'1. Set Program Names'!$B$2:$D$15,3,0)*V546</f>
        <v>#N/A</v>
      </c>
      <c r="BW546" t="e">
        <f>VLOOKUP($H546,'1. Set Program Names'!$B$2:$D$15,3,0)*W546</f>
        <v>#N/A</v>
      </c>
      <c r="BX546" t="e">
        <f>VLOOKUP($H546,'1. Set Program Names'!$B$2:$D$15,3,0)*X546</f>
        <v>#N/A</v>
      </c>
      <c r="BY546" t="e">
        <f>VLOOKUP($H546,'1. Set Program Names'!$B$2:$D$15,3,0)*Y546</f>
        <v>#N/A</v>
      </c>
      <c r="BZ546" t="e">
        <f>VLOOKUP($H546,'1. Set Program Names'!$B$2:$D$15,3,0)*Z546</f>
        <v>#N/A</v>
      </c>
      <c r="CA546" t="e">
        <f>VLOOKUP($H546,'1. Set Program Names'!$B$2:$D$15,3,0)*AA546</f>
        <v>#N/A</v>
      </c>
      <c r="CB546" t="e">
        <f>VLOOKUP($H546,'1. Set Program Names'!$B$2:$D$15,3,0)*AB546</f>
        <v>#N/A</v>
      </c>
      <c r="CC546" t="e">
        <f>VLOOKUP($H546,'1. Set Program Names'!$B$2:$D$15,3,0)*AC546</f>
        <v>#N/A</v>
      </c>
      <c r="CD546" t="e">
        <f>VLOOKUP($H546,'1. Set Program Names'!$B$2:$D$15,3,0)*AD546</f>
        <v>#N/A</v>
      </c>
      <c r="CE546" t="e">
        <f>VLOOKUP($H546,'1. Set Program Names'!$B$2:$D$15,3,0)*AE546</f>
        <v>#N/A</v>
      </c>
    </row>
    <row r="547" spans="1:83" x14ac:dyDescent="0.25">
      <c r="A547" s="20" t="s">
        <v>116</v>
      </c>
      <c r="B547" s="20" t="s">
        <v>88</v>
      </c>
      <c r="C547" s="20" t="s">
        <v>122</v>
      </c>
      <c r="D547" s="20" t="s">
        <v>90</v>
      </c>
      <c r="E547" s="20" t="s">
        <v>91</v>
      </c>
      <c r="F547" s="20" t="s">
        <v>90</v>
      </c>
      <c r="G547" s="20" t="s">
        <v>92</v>
      </c>
      <c r="H547" s="20" t="s">
        <v>20</v>
      </c>
      <c r="I547" s="20" t="s">
        <v>241</v>
      </c>
      <c r="J547" s="20" t="s">
        <v>129</v>
      </c>
      <c r="K547" s="20" t="s">
        <v>102</v>
      </c>
      <c r="L547" s="20">
        <v>19185.113333333298</v>
      </c>
      <c r="M547" s="20">
        <v>4.6125790568704801</v>
      </c>
      <c r="N547" s="20">
        <v>0.25911922024205197</v>
      </c>
      <c r="O547" s="53">
        <f>11417.3/6341.92*tbl_Data_old[[#This Row],[kWh Savings]]</f>
        <v>34538.782334161617</v>
      </c>
      <c r="P547" s="20">
        <v>25197.386166847798</v>
      </c>
      <c r="Q547" s="20">
        <v>1151.1068</v>
      </c>
      <c r="R547" s="20">
        <v>12014.6297388403</v>
      </c>
      <c r="S547" s="20">
        <v>29575.538429105502</v>
      </c>
      <c r="T547" s="20">
        <v>30</v>
      </c>
      <c r="U547" s="20">
        <v>0.05</v>
      </c>
      <c r="V547" s="20">
        <v>9.87683399104098E-3</v>
      </c>
      <c r="W547" s="20">
        <v>9.66584273211025E-3</v>
      </c>
      <c r="X547" s="20">
        <v>9.3623014422247203E-3</v>
      </c>
      <c r="Y547" s="20">
        <v>9.0570505527491907E-3</v>
      </c>
      <c r="Z547" s="20">
        <v>8.7538410605513609E-3</v>
      </c>
      <c r="AA547" s="20">
        <v>8.4295577837064997E-3</v>
      </c>
      <c r="AB547" s="20">
        <v>8.1030264497288403E-3</v>
      </c>
      <c r="AC547" s="20">
        <v>7.7887340433602697E-3</v>
      </c>
      <c r="AD547" s="20">
        <v>7.47406963721629E-3</v>
      </c>
      <c r="AE547" s="20">
        <v>7.1641380796833697E-3</v>
      </c>
      <c r="AF547" t="str">
        <f t="shared" si="35"/>
        <v>NonResidential</v>
      </c>
      <c r="AG547" t="str">
        <f>tbl_Data_old[[#This Row],[All_Meas_Name_Append]]</f>
        <v>Ceiling Insulation(R2 to R49)</v>
      </c>
      <c r="AH547">
        <f>AVERAGEIFS('3. Incentive Adjustment'!G:G,'3. Incentive Adjustment'!A:A,tbl_Data_old[[#This Row],[Trimmed Sector]],'3. Incentive Adjustment'!B:B,tbl_Data_old[[#This Row],[Trimmed Measure Name]])</f>
        <v>5.674595082038876E-2</v>
      </c>
      <c r="AI547">
        <f>$AH547*tbl_Data_old[[#This Row],[2025 ]]</f>
        <v>5.6047033591675554E-4</v>
      </c>
      <c r="AJ547">
        <f>$AH547*tbl_Data_old[[#This Row],[2026 ]]</f>
        <v>5.4849743631394038E-4</v>
      </c>
      <c r="AK547">
        <f>$AH547*tbl_Data_old[[#This Row],[2027 ]]</f>
        <v>5.3127269720613869E-4</v>
      </c>
      <c r="AL547">
        <f>$AH547*tbl_Data_old[[#This Row],[2028 ]]</f>
        <v>5.1395094524408038E-4</v>
      </c>
      <c r="AM547">
        <f>$AH547*tbl_Data_old[[#This Row],[2029 ]]</f>
        <v>4.9674503431154735E-4</v>
      </c>
      <c r="AN547">
        <f>$AH547*tbl_Data_old[[#This Row],[2030 ]]</f>
        <v>4.7834327143183431E-4</v>
      </c>
      <c r="AO547">
        <f>$AH547*tbl_Data_old[[#This Row],[2031 ]]</f>
        <v>4.5981394041262212E-4</v>
      </c>
      <c r="AP547">
        <f>$AH547*tbl_Data_old[[#This Row],[2032 ]]</f>
        <v>4.4197911897760956E-4</v>
      </c>
      <c r="AQ547">
        <f>$AH547*tbl_Data_old[[#This Row],[2033 ]]</f>
        <v>4.2412318806163646E-4</v>
      </c>
      <c r="AR547">
        <f>$AH547*tbl_Data_old[[#This Row],[2034 ]]</f>
        <v>4.0653582714018688E-4</v>
      </c>
      <c r="AS547">
        <f>SUM(tbl_Data_old[[#This Row],[Adjusted 2025]:[Adjusted 2034]])</f>
        <v>4.8617317950163516E-3</v>
      </c>
      <c r="AT547" s="3">
        <f>AVERAGEIFS('3. Incentive Adjustment'!F:F,'3. Incentive Adjustment'!A:A,tbl_Data_old[[#This Row],[Trimmed Sector]],'3. Incentive Adjustment'!B:B,tbl_Data_old[[#This Row],[Trimmed Measure Name]])</f>
        <v>4335.1908026959672</v>
      </c>
      <c r="AU547" s="3">
        <f>IFERROR(VLOOKUP(tbl_Data_old[[#This Row],[All_Meas_Name_Append]],'IRA Tax Credits'!$A$3:$D$46,4,0),0)</f>
        <v>500</v>
      </c>
      <c r="AV547" s="4">
        <f>tbl_Data_old[[#This Row],[Adj. per unit Incentive ($)]]/tbl_Data_old[[#This Row],[kWh Savings]]*tbl_Data_old[[#This Row],[Sum of Annuals]]</f>
        <v>1.0985879831269948E-3</v>
      </c>
      <c r="AW547" s="4" t="str">
        <f>IFERROR(VLOOKUP(tbl_Data_old[[#This Row],[All_Programs]],'1. Set Program Names'!$B$2:$D$15,3,0)*tbl_Data_old[[#This Row],[Sum of Annuals]],"")</f>
        <v/>
      </c>
      <c r="AX547" s="4">
        <f>tbl_Data_old[[#This Row],[per unit IRA tax ($)]]/tbl_Data_old[[#This Row],[kWh Savings]]*tbl_Data_old[[#This Row],[Sum of Annuals]]</f>
        <v>1.2670583984951772E-4</v>
      </c>
      <c r="AY547" s="4">
        <f>tbl_Data_old[[#This Row],[Avoided Costs ($/unit)]]/tbl_Data_old[[#This Row],[kWh Savings]]*tbl_Data_old[[#This Row],[Sum of Annuals]]</f>
        <v>3.0446475030815037E-3</v>
      </c>
      <c r="AZ547" s="4">
        <f>tbl_Data_old[[#This Row],[Lost Revenue ($/unit)]]/tbl_Data_old[[#This Row],[kWh Savings]]*tbl_Data_old[[#This Row],[Sum of Annuals]]</f>
        <v>7.4947868713229962E-3</v>
      </c>
      <c r="BA547" s="4">
        <f>tbl_Data_old[[#This Row],[Incremental Cost ($/unit)]]/tbl_Data_old[[#This Row],[kWh Savings]]*tbl_Data_old[[#This Row],[Sum of Annuals]]</f>
        <v>8.7525308460592657E-3</v>
      </c>
      <c r="BB547">
        <f>ROUNDUP(tbl_Data_old[[#This Row],[Adjusted 2025]]/$L547,0)</f>
        <v>1</v>
      </c>
      <c r="BC547">
        <f>ROUNDUP(tbl_Data_old[[#This Row],[Adjusted 2026]]/$L547,0)</f>
        <v>1</v>
      </c>
      <c r="BD547">
        <f>ROUNDUP(tbl_Data_old[[#This Row],[Adjusted 2027]]/$L547,0)</f>
        <v>1</v>
      </c>
      <c r="BE547">
        <f>ROUNDUP(tbl_Data_old[[#This Row],[Adjusted 2028]]/$L547,0)</f>
        <v>1</v>
      </c>
      <c r="BF547">
        <f>ROUNDUP(tbl_Data_old[[#This Row],[Adjusted 2029]]/$L547,0)</f>
        <v>1</v>
      </c>
      <c r="BG547">
        <f>ROUNDUP(tbl_Data_old[[#This Row],[Adjusted 2030]]/$L547,0)</f>
        <v>1</v>
      </c>
      <c r="BH547">
        <f>ROUNDUP(tbl_Data_old[[#This Row],[Adjusted 2031]]/$L547,0)</f>
        <v>1</v>
      </c>
      <c r="BI547">
        <f>ROUNDUP(tbl_Data_old[[#This Row],[Adjusted 2032]]/$L547,0)</f>
        <v>1</v>
      </c>
      <c r="BJ547">
        <f>ROUNDUP(tbl_Data_old[[#This Row],[Adjusted 2033]]/$L547,0)</f>
        <v>1</v>
      </c>
      <c r="BK547">
        <f>ROUNDUP(tbl_Data_old[[#This Row],[Adjusted 2034]]/$L547,0)</f>
        <v>1</v>
      </c>
      <c r="BL547" s="3">
        <f t="shared" si="37"/>
        <v>2.2318325221108502E-3</v>
      </c>
      <c r="BM547" s="3">
        <f t="shared" si="37"/>
        <v>2.1841555889974811E-3</v>
      </c>
      <c r="BN547" s="3">
        <f t="shared" si="37"/>
        <v>2.1155654594899381E-3</v>
      </c>
      <c r="BO547" s="3">
        <f t="shared" si="37"/>
        <v>2.0465890179346062E-3</v>
      </c>
      <c r="BP547" s="3">
        <f t="shared" si="37"/>
        <v>1.9780738635527808E-3</v>
      </c>
      <c r="BQ547" s="3">
        <f t="shared" si="36"/>
        <v>1.9047967421295063E-3</v>
      </c>
      <c r="BR547" s="3">
        <f t="shared" si="36"/>
        <v>1.8310116353512996E-3</v>
      </c>
      <c r="BS547" s="3">
        <f t="shared" si="36"/>
        <v>1.7599921148630418E-3</v>
      </c>
      <c r="BT547" s="3">
        <f t="shared" si="36"/>
        <v>1.6888885349284344E-3</v>
      </c>
      <c r="BU547" s="3">
        <f t="shared" si="36"/>
        <v>1.6188544197091365E-3</v>
      </c>
      <c r="BV547" t="e">
        <f>VLOOKUP($H547,'1. Set Program Names'!$B$2:$D$15,3,0)*V547</f>
        <v>#N/A</v>
      </c>
      <c r="BW547" t="e">
        <f>VLOOKUP($H547,'1. Set Program Names'!$B$2:$D$15,3,0)*W547</f>
        <v>#N/A</v>
      </c>
      <c r="BX547" t="e">
        <f>VLOOKUP($H547,'1. Set Program Names'!$B$2:$D$15,3,0)*X547</f>
        <v>#N/A</v>
      </c>
      <c r="BY547" t="e">
        <f>VLOOKUP($H547,'1. Set Program Names'!$B$2:$D$15,3,0)*Y547</f>
        <v>#N/A</v>
      </c>
      <c r="BZ547" t="e">
        <f>VLOOKUP($H547,'1. Set Program Names'!$B$2:$D$15,3,0)*Z547</f>
        <v>#N/A</v>
      </c>
      <c r="CA547" t="e">
        <f>VLOOKUP($H547,'1. Set Program Names'!$B$2:$D$15,3,0)*AA547</f>
        <v>#N/A</v>
      </c>
      <c r="CB547" t="e">
        <f>VLOOKUP($H547,'1. Set Program Names'!$B$2:$D$15,3,0)*AB547</f>
        <v>#N/A</v>
      </c>
      <c r="CC547" t="e">
        <f>VLOOKUP($H547,'1. Set Program Names'!$B$2:$D$15,3,0)*AC547</f>
        <v>#N/A</v>
      </c>
      <c r="CD547" t="e">
        <f>VLOOKUP($H547,'1. Set Program Names'!$B$2:$D$15,3,0)*AD547</f>
        <v>#N/A</v>
      </c>
      <c r="CE547" t="e">
        <f>VLOOKUP($H547,'1. Set Program Names'!$B$2:$D$15,3,0)*AE547</f>
        <v>#N/A</v>
      </c>
    </row>
    <row r="548" spans="1:83" x14ac:dyDescent="0.25">
      <c r="A548" s="20" t="s">
        <v>116</v>
      </c>
      <c r="B548" s="20" t="s">
        <v>88</v>
      </c>
      <c r="C548" s="20" t="s">
        <v>122</v>
      </c>
      <c r="D548" s="20" t="s">
        <v>90</v>
      </c>
      <c r="E548" s="20" t="s">
        <v>91</v>
      </c>
      <c r="F548" s="20" t="s">
        <v>90</v>
      </c>
      <c r="G548" s="20" t="s">
        <v>92</v>
      </c>
      <c r="H548" s="20" t="s">
        <v>20</v>
      </c>
      <c r="I548" s="20" t="s">
        <v>128</v>
      </c>
      <c r="J548" s="20" t="s">
        <v>129</v>
      </c>
      <c r="K548" s="20" t="s">
        <v>130</v>
      </c>
      <c r="L548" s="53">
        <v>2045.1799999999989</v>
      </c>
      <c r="M548" s="53">
        <v>0.47104509500000002</v>
      </c>
      <c r="N548" s="53">
        <v>0.17900382200000001</v>
      </c>
      <c r="O548" s="53">
        <f>19591.5999999999/60160.456*2045.18</f>
        <v>666.02468053100858</v>
      </c>
      <c r="P548" s="53">
        <f>11310.7385995848/60160.456*2045.18</f>
        <v>384.51331501042552</v>
      </c>
      <c r="Q548" s="53">
        <f>2141.69388188172/60160.456*2045.18</f>
        <v>72.807784125619918</v>
      </c>
      <c r="R548" s="53">
        <f>32581.871747558/60160.456*2045.18</f>
        <v>1107.6344311730397</v>
      </c>
      <c r="S548" s="53">
        <f>77209.8271220691/60160.456*2045.18</f>
        <v>2624.780540784353</v>
      </c>
      <c r="T548" s="20">
        <v>20</v>
      </c>
      <c r="U548" s="20">
        <v>4.9999999999999899E-2</v>
      </c>
      <c r="V548" s="20">
        <v>0.85411543567367199</v>
      </c>
      <c r="W548" s="20">
        <v>0.84089455667543</v>
      </c>
      <c r="X548" s="20">
        <v>0.82270298091960004</v>
      </c>
      <c r="Y548" s="20">
        <v>0.80444393284319704</v>
      </c>
      <c r="Z548" s="20">
        <v>0.78506522686094304</v>
      </c>
      <c r="AA548" s="20">
        <v>0.76402214641325406</v>
      </c>
      <c r="AB548" s="20">
        <v>0.74150523512866995</v>
      </c>
      <c r="AC548" s="20">
        <v>0.71916979630698197</v>
      </c>
      <c r="AD548" s="20">
        <v>0.69788149621706597</v>
      </c>
      <c r="AE548" s="20">
        <v>0.67607107101348296</v>
      </c>
      <c r="AF548" t="str">
        <f t="shared" si="35"/>
        <v>NonResidential</v>
      </c>
      <c r="AG548" t="str">
        <f>tbl_Data_old[[#This Row],[All_Meas_Name_Append]]</f>
        <v>Commercial Duct Sealing</v>
      </c>
      <c r="AH548">
        <f>AVERAGEIFS('3. Incentive Adjustment'!G:G,'3. Incentive Adjustment'!A:A,tbl_Data_old[[#This Row],[Trimmed Sector]],'3. Incentive Adjustment'!B:B,tbl_Data_old[[#This Row],[Trimmed Measure Name]])</f>
        <v>0.69277112909915817</v>
      </c>
      <c r="AI548">
        <f>$AH548*tbl_Data_old[[#This Row],[2025 ]]</f>
        <v>0.59170651475266911</v>
      </c>
      <c r="AJ548">
        <f>$AH548*tbl_Data_old[[#This Row],[2026 ]]</f>
        <v>0.58254747148137365</v>
      </c>
      <c r="AK548">
        <f>$AH548*tbl_Data_old[[#This Row],[2027 ]]</f>
        <v>0.56994487300491448</v>
      </c>
      <c r="AL548">
        <f>$AH548*tbl_Data_old[[#This Row],[2028 ]]</f>
        <v>0.55729553165274903</v>
      </c>
      <c r="AM548">
        <f>$AH548*tbl_Data_old[[#This Row],[2029 ]]</f>
        <v>0.54387052362894228</v>
      </c>
      <c r="AN548">
        <f>$AH548*tbl_Data_old[[#This Row],[2030 ]]</f>
        <v>0.52929248502747239</v>
      </c>
      <c r="AO548">
        <f>$AH548*tbl_Data_old[[#This Row],[2031 ]]</f>
        <v>0.51369341897302545</v>
      </c>
      <c r="AP548">
        <f>$AH548*tbl_Data_old[[#This Row],[2032 ]]</f>
        <v>0.4982200718015995</v>
      </c>
      <c r="AQ548">
        <f>$AH548*tbl_Data_old[[#This Row],[2033 ]]</f>
        <v>0.48347215211170669</v>
      </c>
      <c r="AR548">
        <f>$AH548*tbl_Data_old[[#This Row],[2034 ]]</f>
        <v>0.46836251921728772</v>
      </c>
      <c r="AS548">
        <f>SUM(tbl_Data_old[[#This Row],[Adjusted 2025]:[Adjusted 2034]])</f>
        <v>5.338405561651741</v>
      </c>
      <c r="AT548" s="3">
        <f>AVERAGEIFS('3. Incentive Adjustment'!F:F,'3. Incentive Adjustment'!A:A,tbl_Data_old[[#This Row],[Trimmed Sector]],'3. Incentive Adjustment'!B:B,tbl_Data_old[[#This Row],[Trimmed Measure Name]])</f>
        <v>100</v>
      </c>
      <c r="AU548" s="3">
        <f>IFERROR(VLOOKUP(tbl_Data_old[[#This Row],[All_Meas_Name_Append]],'IRA Tax Credits'!$A$3:$D$46,4,0),0)</f>
        <v>0</v>
      </c>
      <c r="AV548" s="4">
        <f>tbl_Data_old[[#This Row],[Adj. per unit Incentive ($)]]/tbl_Data_old[[#This Row],[kWh Savings]]*tbl_Data_old[[#This Row],[Sum of Annuals]]</f>
        <v>0.26102375153540247</v>
      </c>
      <c r="AW548" s="4" t="str">
        <f>IFERROR(VLOOKUP(tbl_Data_old[[#This Row],[All_Programs]],'1. Set Program Names'!$B$2:$D$15,3,0)*tbl_Data_old[[#This Row],[Sum of Annuals]],"")</f>
        <v/>
      </c>
      <c r="AX548" s="4">
        <f>tbl_Data_old[[#This Row],[per unit IRA tax ($)]]/tbl_Data_old[[#This Row],[kWh Savings]]*tbl_Data_old[[#This Row],[Sum of Annuals]]</f>
        <v>0</v>
      </c>
      <c r="AY548" s="4">
        <f>tbl_Data_old[[#This Row],[Avoided Costs ($/unit)]]/tbl_Data_old[[#This Row],[kWh Savings]]*tbl_Data_old[[#This Row],[Sum of Annuals]]</f>
        <v>2.8911889455456836</v>
      </c>
      <c r="AZ548" s="4">
        <f>tbl_Data_old[[#This Row],[Lost Revenue ($/unit)]]/tbl_Data_old[[#This Row],[kWh Savings]]*tbl_Data_old[[#This Row],[Sum of Annuals]]</f>
        <v>6.8513006371265419</v>
      </c>
      <c r="BA548" s="4">
        <f>tbl_Data_old[[#This Row],[Incremental Cost ($/unit)]]/tbl_Data_old[[#This Row],[kWh Savings]]*tbl_Data_old[[#This Row],[Sum of Annuals]]</f>
        <v>1.7384826072737178</v>
      </c>
      <c r="BB548">
        <f>ROUNDUP(tbl_Data_old[[#This Row],[Adjusted 2025]]/$L548,0)</f>
        <v>1</v>
      </c>
      <c r="BC548">
        <f>ROUNDUP(tbl_Data_old[[#This Row],[Adjusted 2026]]/$L548,0)</f>
        <v>1</v>
      </c>
      <c r="BD548">
        <f>ROUNDUP(tbl_Data_old[[#This Row],[Adjusted 2027]]/$L548,0)</f>
        <v>1</v>
      </c>
      <c r="BE548">
        <f>ROUNDUP(tbl_Data_old[[#This Row],[Adjusted 2028]]/$L548,0)</f>
        <v>1</v>
      </c>
      <c r="BF548">
        <f>ROUNDUP(tbl_Data_old[[#This Row],[Adjusted 2029]]/$L548,0)</f>
        <v>1</v>
      </c>
      <c r="BG548">
        <f>ROUNDUP(tbl_Data_old[[#This Row],[Adjusted 2030]]/$L548,0)</f>
        <v>1</v>
      </c>
      <c r="BH548">
        <f>ROUNDUP(tbl_Data_old[[#This Row],[Adjusted 2031]]/$L548,0)</f>
        <v>1</v>
      </c>
      <c r="BI548">
        <f>ROUNDUP(tbl_Data_old[[#This Row],[Adjusted 2032]]/$L548,0)</f>
        <v>1</v>
      </c>
      <c r="BJ548">
        <f>ROUNDUP(tbl_Data_old[[#This Row],[Adjusted 2033]]/$L548,0)</f>
        <v>1</v>
      </c>
      <c r="BK548">
        <f>ROUNDUP(tbl_Data_old[[#This Row],[Adjusted 2034]]/$L548,0)</f>
        <v>1</v>
      </c>
      <c r="BL548" s="3">
        <f t="shared" si="37"/>
        <v>4.1762360069708897E-2</v>
      </c>
      <c r="BM548" s="3">
        <f t="shared" si="37"/>
        <v>4.1115919218622836E-2</v>
      </c>
      <c r="BN548" s="3">
        <f t="shared" si="37"/>
        <v>4.0226433904086707E-2</v>
      </c>
      <c r="BO548" s="3">
        <f t="shared" si="37"/>
        <v>3.9333649499955874E-2</v>
      </c>
      <c r="BP548" s="3">
        <f t="shared" si="37"/>
        <v>3.8386118916718504E-2</v>
      </c>
      <c r="BQ548" s="3">
        <f t="shared" si="36"/>
        <v>3.7357207992120715E-2</v>
      </c>
      <c r="BR548" s="3">
        <f t="shared" si="36"/>
        <v>3.6256233442957114E-2</v>
      </c>
      <c r="BS548" s="3">
        <f t="shared" si="36"/>
        <v>3.5164132071846113E-2</v>
      </c>
      <c r="BT548" s="3">
        <f t="shared" si="36"/>
        <v>3.4123231022064875E-2</v>
      </c>
      <c r="BU548" s="3">
        <f t="shared" si="36"/>
        <v>3.3056800428983429E-2</v>
      </c>
      <c r="BV548" t="e">
        <f>VLOOKUP($H548,'1. Set Program Names'!$B$2:$D$15,3,0)*V548</f>
        <v>#N/A</v>
      </c>
      <c r="BW548" t="e">
        <f>VLOOKUP($H548,'1. Set Program Names'!$B$2:$D$15,3,0)*W548</f>
        <v>#N/A</v>
      </c>
      <c r="BX548" t="e">
        <f>VLOOKUP($H548,'1. Set Program Names'!$B$2:$D$15,3,0)*X548</f>
        <v>#N/A</v>
      </c>
      <c r="BY548" t="e">
        <f>VLOOKUP($H548,'1. Set Program Names'!$B$2:$D$15,3,0)*Y548</f>
        <v>#N/A</v>
      </c>
      <c r="BZ548" t="e">
        <f>VLOOKUP($H548,'1. Set Program Names'!$B$2:$D$15,3,0)*Z548</f>
        <v>#N/A</v>
      </c>
      <c r="CA548" t="e">
        <f>VLOOKUP($H548,'1. Set Program Names'!$B$2:$D$15,3,0)*AA548</f>
        <v>#N/A</v>
      </c>
      <c r="CB548" t="e">
        <f>VLOOKUP($H548,'1. Set Program Names'!$B$2:$D$15,3,0)*AB548</f>
        <v>#N/A</v>
      </c>
      <c r="CC548" t="e">
        <f>VLOOKUP($H548,'1. Set Program Names'!$B$2:$D$15,3,0)*AC548</f>
        <v>#N/A</v>
      </c>
      <c r="CD548" t="e">
        <f>VLOOKUP($H548,'1. Set Program Names'!$B$2:$D$15,3,0)*AD548</f>
        <v>#N/A</v>
      </c>
      <c r="CE548" t="e">
        <f>VLOOKUP($H548,'1. Set Program Names'!$B$2:$D$15,3,0)*AE548</f>
        <v>#N/A</v>
      </c>
    </row>
    <row r="549" spans="1:83" x14ac:dyDescent="0.25">
      <c r="A549" s="20" t="s">
        <v>116</v>
      </c>
      <c r="B549" s="20" t="s">
        <v>88</v>
      </c>
      <c r="C549" s="20" t="s">
        <v>122</v>
      </c>
      <c r="D549" s="20" t="s">
        <v>90</v>
      </c>
      <c r="E549" s="20" t="s">
        <v>91</v>
      </c>
      <c r="F549" s="20" t="s">
        <v>90</v>
      </c>
      <c r="G549" s="20" t="s">
        <v>92</v>
      </c>
      <c r="H549" s="20" t="s">
        <v>20</v>
      </c>
      <c r="I549" s="20" t="s">
        <v>303</v>
      </c>
      <c r="J549" s="20" t="s">
        <v>129</v>
      </c>
      <c r="K549" s="20" t="s">
        <v>298</v>
      </c>
      <c r="L549" s="20">
        <v>2407.8671428571402</v>
      </c>
      <c r="M549" s="20">
        <v>0.43509988390469401</v>
      </c>
      <c r="N549" s="20">
        <v>0.148929049658067</v>
      </c>
      <c r="O549" s="20">
        <v>1278.9912095238201</v>
      </c>
      <c r="P549" s="20">
        <v>9094.9443435978392</v>
      </c>
      <c r="Q549" s="20">
        <v>144.47202857142801</v>
      </c>
      <c r="R549" s="20">
        <v>1364.7105452988201</v>
      </c>
      <c r="S549" s="20">
        <v>3090.2526043504499</v>
      </c>
      <c r="T549" s="20">
        <v>20</v>
      </c>
      <c r="U549" s="20">
        <v>4.9999999999999899E-2</v>
      </c>
      <c r="V549" s="20">
        <v>0.45410869342033799</v>
      </c>
      <c r="W549" s="20">
        <v>0.43118365975110401</v>
      </c>
      <c r="X549" s="20">
        <v>0.40438340591773198</v>
      </c>
      <c r="Y549" s="20">
        <v>0.37760096760520701</v>
      </c>
      <c r="Z549" s="20">
        <v>0.350995580161031</v>
      </c>
      <c r="AA549" s="20">
        <v>0.32445507627409698</v>
      </c>
      <c r="AB549" s="20">
        <v>0.29859673007165999</v>
      </c>
      <c r="AC549" s="20">
        <v>0.274230952931039</v>
      </c>
      <c r="AD549" s="20">
        <v>0.251618284613917</v>
      </c>
      <c r="AE549" s="20">
        <v>0.23038323928320201</v>
      </c>
      <c r="AF549" t="str">
        <f t="shared" si="35"/>
        <v>NonResidential</v>
      </c>
      <c r="AG549" t="str">
        <f>tbl_Data_old[[#This Row],[All_Meas_Name_Append]]</f>
        <v>Energy Star windows</v>
      </c>
      <c r="AH549">
        <f>AVERAGEIFS('3. Incentive Adjustment'!G:G,'3. Incentive Adjustment'!A:A,tbl_Data_old[[#This Row],[Trimmed Sector]],'3. Incentive Adjustment'!B:B,tbl_Data_old[[#This Row],[Trimmed Measure Name]])</f>
        <v>1.8374525511831319E-4</v>
      </c>
      <c r="AI549">
        <f>$AH549*tbl_Data_old[[#This Row],[2025 ]]</f>
        <v>8.3440317723963879E-5</v>
      </c>
      <c r="AJ549">
        <f>$AH549*tbl_Data_old[[#This Row],[2026 ]]</f>
        <v>7.9227951563814553E-5</v>
      </c>
      <c r="AK549">
        <f>$AH549*tbl_Data_old[[#This Row],[2027 ]]</f>
        <v>7.4303532085966064E-5</v>
      </c>
      <c r="AL549">
        <f>$AH549*tbl_Data_old[[#This Row],[2028 ]]</f>
        <v>6.9382386125540674E-5</v>
      </c>
      <c r="AM549">
        <f>$AH549*tbl_Data_old[[#This Row],[2029 ]]</f>
        <v>6.4493772422088985E-5</v>
      </c>
      <c r="AN549">
        <f>$AH549*tbl_Data_old[[#This Row],[2030 ]]</f>
        <v>5.9617080764415713E-5</v>
      </c>
      <c r="AO549">
        <f>$AH549*tbl_Data_old[[#This Row],[2031 ]]</f>
        <v>5.4865732344511264E-5</v>
      </c>
      <c r="AP549">
        <f>$AH549*tbl_Data_old[[#This Row],[2032 ]]</f>
        <v>5.0388636407651898E-5</v>
      </c>
      <c r="AQ549">
        <f>$AH549*tbl_Data_old[[#This Row],[2033 ]]</f>
        <v>4.6233665898816518E-5</v>
      </c>
      <c r="AR549">
        <f>$AH549*tbl_Data_old[[#This Row],[2034 ]]</f>
        <v>4.2331827077075344E-5</v>
      </c>
      <c r="AS549">
        <f>SUM(tbl_Data_old[[#This Row],[Adjusted 2025]:[Adjusted 2034]])</f>
        <v>6.2428490241384484E-4</v>
      </c>
      <c r="AT549" s="3">
        <f>AVERAGEIFS('3. Incentive Adjustment'!F:F,'3. Incentive Adjustment'!A:A,tbl_Data_old[[#This Row],[Trimmed Sector]],'3. Incentive Adjustment'!B:B,tbl_Data_old[[#This Row],[Trimmed Measure Name]])</f>
        <v>1244.9532966663394</v>
      </c>
      <c r="AU549" s="3">
        <f>IFERROR(VLOOKUP(tbl_Data_old[[#This Row],[All_Meas_Name_Append]],'IRA Tax Credits'!$A$3:$D$46,4,0),0)</f>
        <v>250</v>
      </c>
      <c r="AV549" s="4">
        <f>tbl_Data_old[[#This Row],[Adj. per unit Incentive ($)]]/tbl_Data_old[[#This Row],[kWh Savings]]*tbl_Data_old[[#This Row],[Sum of Annuals]]</f>
        <v>3.2277758746976354E-4</v>
      </c>
      <c r="AW549" s="4" t="str">
        <f>IFERROR(VLOOKUP(tbl_Data_old[[#This Row],[All_Programs]],'1. Set Program Names'!$B$2:$D$15,3,0)*tbl_Data_old[[#This Row],[Sum of Annuals]],"")</f>
        <v/>
      </c>
      <c r="AX549" s="4">
        <f>tbl_Data_old[[#This Row],[per unit IRA tax ($)]]/tbl_Data_old[[#This Row],[kWh Savings]]*tbl_Data_old[[#This Row],[Sum of Annuals]]</f>
        <v>6.4817208069989013E-5</v>
      </c>
      <c r="AY549" s="4">
        <f>tbl_Data_old[[#This Row],[Avoided Costs ($/unit)]]/tbl_Data_old[[#This Row],[kWh Savings]]*tbl_Data_old[[#This Row],[Sum of Annuals]]</f>
        <v>3.5382690947976712E-4</v>
      </c>
      <c r="AZ549" s="4">
        <f>tbl_Data_old[[#This Row],[Lost Revenue ($/unit)]]/tbl_Data_old[[#This Row],[kWh Savings]]*tbl_Data_old[[#This Row],[Sum of Annuals]]</f>
        <v>8.0120618418003423E-4</v>
      </c>
      <c r="BA549" s="4">
        <f>tbl_Data_old[[#This Row],[Incremental Cost ($/unit)]]/tbl_Data_old[[#This Row],[kWh Savings]]*tbl_Data_old[[#This Row],[Sum of Annuals]]</f>
        <v>3.3160255738956941E-4</v>
      </c>
      <c r="BB549">
        <f>ROUNDUP(tbl_Data_old[[#This Row],[Adjusted 2025]]/$L549,0)</f>
        <v>1</v>
      </c>
      <c r="BC549">
        <f>ROUNDUP(tbl_Data_old[[#This Row],[Adjusted 2026]]/$L549,0)</f>
        <v>1</v>
      </c>
      <c r="BD549">
        <f>ROUNDUP(tbl_Data_old[[#This Row],[Adjusted 2027]]/$L549,0)</f>
        <v>1</v>
      </c>
      <c r="BE549">
        <f>ROUNDUP(tbl_Data_old[[#This Row],[Adjusted 2028]]/$L549,0)</f>
        <v>1</v>
      </c>
      <c r="BF549">
        <f>ROUNDUP(tbl_Data_old[[#This Row],[Adjusted 2029]]/$L549,0)</f>
        <v>1</v>
      </c>
      <c r="BG549">
        <f>ROUNDUP(tbl_Data_old[[#This Row],[Adjusted 2030]]/$L549,0)</f>
        <v>1</v>
      </c>
      <c r="BH549">
        <f>ROUNDUP(tbl_Data_old[[#This Row],[Adjusted 2031]]/$L549,0)</f>
        <v>1</v>
      </c>
      <c r="BI549">
        <f>ROUNDUP(tbl_Data_old[[#This Row],[Adjusted 2032]]/$L549,0)</f>
        <v>1</v>
      </c>
      <c r="BJ549">
        <f>ROUNDUP(tbl_Data_old[[#This Row],[Adjusted 2033]]/$L549,0)</f>
        <v>1</v>
      </c>
      <c r="BK549">
        <f>ROUNDUP(tbl_Data_old[[#This Row],[Adjusted 2034]]/$L549,0)</f>
        <v>1</v>
      </c>
      <c r="BL549" s="3">
        <f t="shared" si="37"/>
        <v>0.23479041050731092</v>
      </c>
      <c r="BM549" s="3">
        <f t="shared" si="37"/>
        <v>0.22293734945808966</v>
      </c>
      <c r="BN549" s="3">
        <f t="shared" si="37"/>
        <v>0.2090806612017099</v>
      </c>
      <c r="BO549" s="3">
        <f t="shared" si="37"/>
        <v>0.195233184205792</v>
      </c>
      <c r="BP549" s="3">
        <f t="shared" si="37"/>
        <v>0.18147724883121416</v>
      </c>
      <c r="BQ549" s="3">
        <f t="shared" si="36"/>
        <v>0.16775486057269193</v>
      </c>
      <c r="BR549" s="3">
        <f t="shared" si="36"/>
        <v>0.15438517219658646</v>
      </c>
      <c r="BS549" s="3">
        <f t="shared" si="36"/>
        <v>0.14178719532438275</v>
      </c>
      <c r="BT549" s="3">
        <f t="shared" si="36"/>
        <v>0.13009563831662396</v>
      </c>
      <c r="BU549" s="3">
        <f t="shared" si="36"/>
        <v>0.11911636158710996</v>
      </c>
      <c r="BV549" t="e">
        <f>VLOOKUP($H549,'1. Set Program Names'!$B$2:$D$15,3,0)*V549</f>
        <v>#N/A</v>
      </c>
      <c r="BW549" t="e">
        <f>VLOOKUP($H549,'1. Set Program Names'!$B$2:$D$15,3,0)*W549</f>
        <v>#N/A</v>
      </c>
      <c r="BX549" t="e">
        <f>VLOOKUP($H549,'1. Set Program Names'!$B$2:$D$15,3,0)*X549</f>
        <v>#N/A</v>
      </c>
      <c r="BY549" t="e">
        <f>VLOOKUP($H549,'1. Set Program Names'!$B$2:$D$15,3,0)*Y549</f>
        <v>#N/A</v>
      </c>
      <c r="BZ549" t="e">
        <f>VLOOKUP($H549,'1. Set Program Names'!$B$2:$D$15,3,0)*Z549</f>
        <v>#N/A</v>
      </c>
      <c r="CA549" t="e">
        <f>VLOOKUP($H549,'1. Set Program Names'!$B$2:$D$15,3,0)*AA549</f>
        <v>#N/A</v>
      </c>
      <c r="CB549" t="e">
        <f>VLOOKUP($H549,'1. Set Program Names'!$B$2:$D$15,3,0)*AB549</f>
        <v>#N/A</v>
      </c>
      <c r="CC549" t="e">
        <f>VLOOKUP($H549,'1. Set Program Names'!$B$2:$D$15,3,0)*AC549</f>
        <v>#N/A</v>
      </c>
      <c r="CD549" t="e">
        <f>VLOOKUP($H549,'1. Set Program Names'!$B$2:$D$15,3,0)*AD549</f>
        <v>#N/A</v>
      </c>
      <c r="CE549" t="e">
        <f>VLOOKUP($H549,'1. Set Program Names'!$B$2:$D$15,3,0)*AE549</f>
        <v>#N/A</v>
      </c>
    </row>
    <row r="550" spans="1:83" x14ac:dyDescent="0.25">
      <c r="A550" s="20" t="s">
        <v>116</v>
      </c>
      <c r="B550" s="20" t="s">
        <v>88</v>
      </c>
      <c r="C550" s="20" t="s">
        <v>122</v>
      </c>
      <c r="D550" s="20" t="s">
        <v>90</v>
      </c>
      <c r="E550" s="20" t="s">
        <v>91</v>
      </c>
      <c r="F550" s="20" t="s">
        <v>90</v>
      </c>
      <c r="G550" s="20" t="s">
        <v>92</v>
      </c>
      <c r="H550" s="20" t="s">
        <v>20</v>
      </c>
      <c r="I550" s="20" t="s">
        <v>143</v>
      </c>
      <c r="J550" s="20" t="s">
        <v>144</v>
      </c>
      <c r="K550" s="20" t="s">
        <v>108</v>
      </c>
      <c r="L550" s="20">
        <v>6670.6049999999896</v>
      </c>
      <c r="M550" s="20">
        <v>1.04667148638823</v>
      </c>
      <c r="N550" s="20">
        <v>1.5598507965563999</v>
      </c>
      <c r="O550" s="20">
        <v>2431.625</v>
      </c>
      <c r="P550" s="20">
        <v>977.24379425036398</v>
      </c>
      <c r="Q550" s="20">
        <v>400.23629999999901</v>
      </c>
      <c r="R550" s="20">
        <v>3400.8076679878</v>
      </c>
      <c r="S550" s="20">
        <v>7245.0779694633802</v>
      </c>
      <c r="T550" s="20">
        <v>15</v>
      </c>
      <c r="U550" s="20">
        <v>0.05</v>
      </c>
      <c r="V550" s="20">
        <v>0.39585372060026702</v>
      </c>
      <c r="W550" s="20">
        <v>0.43530934091846901</v>
      </c>
      <c r="X550" s="20">
        <v>0.46754723037433499</v>
      </c>
      <c r="Y550" s="20">
        <v>0.49559592808641001</v>
      </c>
      <c r="Z550" s="20">
        <v>0.51959660536076002</v>
      </c>
      <c r="AA550" s="20">
        <v>0.53935694593422601</v>
      </c>
      <c r="AB550" s="20">
        <v>0.55561287788393998</v>
      </c>
      <c r="AC550" s="20">
        <v>0.56991831948093197</v>
      </c>
      <c r="AD550" s="20">
        <v>0.58273425865948802</v>
      </c>
      <c r="AE550" s="20">
        <v>0.59373770497014799</v>
      </c>
      <c r="AF550" t="str">
        <f t="shared" si="35"/>
        <v>NonResidential</v>
      </c>
      <c r="AG550" t="str">
        <f>tbl_Data_old[[#This Row],[All_Meas_Name_Append]]</f>
        <v>Heat Pump Water Heater</v>
      </c>
      <c r="AH550">
        <f>AVERAGEIFS('3. Incentive Adjustment'!G:G,'3. Incentive Adjustment'!A:A,tbl_Data_old[[#This Row],[Trimmed Sector]],'3. Incentive Adjustment'!B:B,tbl_Data_old[[#This Row],[Trimmed Measure Name]])</f>
        <v>0.82797588322898052</v>
      </c>
      <c r="AI550">
        <f>$AH550*tbl_Data_old[[#This Row],[2025 ]]</f>
        <v>0.32775733394348416</v>
      </c>
      <c r="AJ550">
        <f>$AH550*tbl_Data_old[[#This Row],[2026 ]]</f>
        <v>0.36042563602479477</v>
      </c>
      <c r="AK550">
        <f>$AH550*tbl_Data_old[[#This Row],[2027 ]]</f>
        <v>0.38711783102045366</v>
      </c>
      <c r="AL550">
        <f>$AH550*tbl_Data_old[[#This Row],[2028 ]]</f>
        <v>0.41034147628203166</v>
      </c>
      <c r="AM550">
        <f>$AH550*tbl_Data_old[[#This Row],[2029 ]]</f>
        <v>0.43021345824635532</v>
      </c>
      <c r="AN550">
        <f>$AH550*tbl_Data_old[[#This Row],[2030 ]]</f>
        <v>0.44657454368557625</v>
      </c>
      <c r="AO550">
        <f>$AH550*tbl_Data_old[[#This Row],[2031 ]]</f>
        <v>0.46003406329935093</v>
      </c>
      <c r="AP550">
        <f>$AH550*tbl_Data_old[[#This Row],[2032 ]]</f>
        <v>0.47187862394060093</v>
      </c>
      <c r="AQ550">
        <f>$AH550*tbl_Data_old[[#This Row],[2033 ]]</f>
        <v>0.4824899125013748</v>
      </c>
      <c r="AR550">
        <f>$AH550*tbl_Data_old[[#This Row],[2034 ]]</f>
        <v>0.49160050067900612</v>
      </c>
      <c r="AS550">
        <f>SUM(tbl_Data_old[[#This Row],[Adjusted 2025]:[Adjusted 2034]])</f>
        <v>4.268433379623028</v>
      </c>
      <c r="AT550" s="3">
        <f>AVERAGEIFS('3. Incentive Adjustment'!F:F,'3. Incentive Adjustment'!A:A,tbl_Data_old[[#This Row],[Trimmed Sector]],'3. Incentive Adjustment'!B:B,tbl_Data_old[[#This Row],[Trimmed Measure Name]])</f>
        <v>500</v>
      </c>
      <c r="AU550" s="3">
        <f>IFERROR(VLOOKUP(tbl_Data_old[[#This Row],[All_Meas_Name_Append]],'IRA Tax Credits'!$A$3:$D$46,4,0),0)</f>
        <v>0</v>
      </c>
      <c r="AV550" s="4">
        <f>tbl_Data_old[[#This Row],[Adj. per unit Incentive ($)]]/tbl_Data_old[[#This Row],[kWh Savings]]*tbl_Data_old[[#This Row],[Sum of Annuals]]</f>
        <v>0.31994349685096291</v>
      </c>
      <c r="AW550" s="4" t="str">
        <f>IFERROR(VLOOKUP(tbl_Data_old[[#This Row],[All_Programs]],'1. Set Program Names'!$B$2:$D$15,3,0)*tbl_Data_old[[#This Row],[Sum of Annuals]],"")</f>
        <v/>
      </c>
      <c r="AX550" s="4">
        <f>tbl_Data_old[[#This Row],[per unit IRA tax ($)]]/tbl_Data_old[[#This Row],[kWh Savings]]*tbl_Data_old[[#This Row],[Sum of Annuals]]</f>
        <v>0</v>
      </c>
      <c r="AY550" s="4">
        <f>tbl_Data_old[[#This Row],[Avoided Costs ($/unit)]]/tbl_Data_old[[#This Row],[kWh Savings]]*tbl_Data_old[[#This Row],[Sum of Annuals]]</f>
        <v>2.1761325948271706</v>
      </c>
      <c r="AZ550" s="4">
        <f>tbl_Data_old[[#This Row],[Lost Revenue ($/unit)]]/tbl_Data_old[[#This Row],[kWh Savings]]*tbl_Data_old[[#This Row],[Sum of Annuals]]</f>
        <v>4.6360311610159757</v>
      </c>
      <c r="BA550" s="4">
        <f>tbl_Data_old[[#This Row],[Incremental Cost ($/unit)]]/tbl_Data_old[[#This Row],[kWh Savings]]*tbl_Data_old[[#This Row],[Sum of Annuals]]</f>
        <v>1.5559652110604454</v>
      </c>
      <c r="BB550">
        <f>ROUNDUP(tbl_Data_old[[#This Row],[Adjusted 2025]]/$L550,0)</f>
        <v>1</v>
      </c>
      <c r="BC550">
        <f>ROUNDUP(tbl_Data_old[[#This Row],[Adjusted 2026]]/$L550,0)</f>
        <v>1</v>
      </c>
      <c r="BD550">
        <f>ROUNDUP(tbl_Data_old[[#This Row],[Adjusted 2027]]/$L550,0)</f>
        <v>1</v>
      </c>
      <c r="BE550">
        <f>ROUNDUP(tbl_Data_old[[#This Row],[Adjusted 2028]]/$L550,0)</f>
        <v>1</v>
      </c>
      <c r="BF550">
        <f>ROUNDUP(tbl_Data_old[[#This Row],[Adjusted 2029]]/$L550,0)</f>
        <v>1</v>
      </c>
      <c r="BG550">
        <f>ROUNDUP(tbl_Data_old[[#This Row],[Adjusted 2030]]/$L550,0)</f>
        <v>1</v>
      </c>
      <c r="BH550">
        <f>ROUNDUP(tbl_Data_old[[#This Row],[Adjusted 2031]]/$L550,0)</f>
        <v>1</v>
      </c>
      <c r="BI550">
        <f>ROUNDUP(tbl_Data_old[[#This Row],[Adjusted 2032]]/$L550,0)</f>
        <v>1</v>
      </c>
      <c r="BJ550">
        <f>ROUNDUP(tbl_Data_old[[#This Row],[Adjusted 2033]]/$L550,0)</f>
        <v>1</v>
      </c>
      <c r="BK550">
        <f>ROUNDUP(tbl_Data_old[[#This Row],[Adjusted 2034]]/$L550,0)</f>
        <v>1</v>
      </c>
      <c r="BL550" s="3">
        <f t="shared" si="37"/>
        <v>2.9671500606037057E-2</v>
      </c>
      <c r="BM550" s="3">
        <f t="shared" si="37"/>
        <v>3.2628925031422916E-2</v>
      </c>
      <c r="BN550" s="3">
        <f t="shared" si="37"/>
        <v>3.504533924391684E-2</v>
      </c>
      <c r="BO550" s="3">
        <f t="shared" si="37"/>
        <v>3.7147749573420312E-2</v>
      </c>
      <c r="BP550" s="3">
        <f t="shared" si="37"/>
        <v>3.8946737616809932E-2</v>
      </c>
      <c r="BQ550" s="3">
        <f t="shared" si="36"/>
        <v>4.0427888170130509E-2</v>
      </c>
      <c r="BR550" s="3">
        <f t="shared" si="36"/>
        <v>4.1646363252204326E-2</v>
      </c>
      <c r="BS550" s="3">
        <f t="shared" si="36"/>
        <v>4.2718637925715348E-2</v>
      </c>
      <c r="BT550" s="3">
        <f t="shared" si="36"/>
        <v>4.3679265873147112E-2</v>
      </c>
      <c r="BU550" s="3">
        <f t="shared" si="36"/>
        <v>4.4504037112836764E-2</v>
      </c>
      <c r="BV550" t="e">
        <f>VLOOKUP($H550,'1. Set Program Names'!$B$2:$D$15,3,0)*V550</f>
        <v>#N/A</v>
      </c>
      <c r="BW550" t="e">
        <f>VLOOKUP($H550,'1. Set Program Names'!$B$2:$D$15,3,0)*W550</f>
        <v>#N/A</v>
      </c>
      <c r="BX550" t="e">
        <f>VLOOKUP($H550,'1. Set Program Names'!$B$2:$D$15,3,0)*X550</f>
        <v>#N/A</v>
      </c>
      <c r="BY550" t="e">
        <f>VLOOKUP($H550,'1. Set Program Names'!$B$2:$D$15,3,0)*Y550</f>
        <v>#N/A</v>
      </c>
      <c r="BZ550" t="e">
        <f>VLOOKUP($H550,'1. Set Program Names'!$B$2:$D$15,3,0)*Z550</f>
        <v>#N/A</v>
      </c>
      <c r="CA550" t="e">
        <f>VLOOKUP($H550,'1. Set Program Names'!$B$2:$D$15,3,0)*AA550</f>
        <v>#N/A</v>
      </c>
      <c r="CB550" t="e">
        <f>VLOOKUP($H550,'1. Set Program Names'!$B$2:$D$15,3,0)*AB550</f>
        <v>#N/A</v>
      </c>
      <c r="CC550" t="e">
        <f>VLOOKUP($H550,'1. Set Program Names'!$B$2:$D$15,3,0)*AC550</f>
        <v>#N/A</v>
      </c>
      <c r="CD550" t="e">
        <f>VLOOKUP($H550,'1. Set Program Names'!$B$2:$D$15,3,0)*AD550</f>
        <v>#N/A</v>
      </c>
      <c r="CE550" t="e">
        <f>VLOOKUP($H550,'1. Set Program Names'!$B$2:$D$15,3,0)*AE550</f>
        <v>#N/A</v>
      </c>
    </row>
    <row r="551" spans="1:83" x14ac:dyDescent="0.25">
      <c r="A551" s="20" t="s">
        <v>116</v>
      </c>
      <c r="B551" s="20" t="s">
        <v>88</v>
      </c>
      <c r="C551" s="20" t="s">
        <v>122</v>
      </c>
      <c r="D551" s="20" t="s">
        <v>90</v>
      </c>
      <c r="E551" s="20" t="s">
        <v>91</v>
      </c>
      <c r="F551" s="20" t="s">
        <v>90</v>
      </c>
      <c r="G551" s="20" t="s">
        <v>92</v>
      </c>
      <c r="H551" s="20" t="s">
        <v>20</v>
      </c>
      <c r="I551" s="20" t="s">
        <v>145</v>
      </c>
      <c r="J551" s="20" t="s">
        <v>129</v>
      </c>
      <c r="K551" s="20" t="s">
        <v>98</v>
      </c>
      <c r="L551" s="20">
        <v>1452.1399999999801</v>
      </c>
      <c r="M551" s="20">
        <v>0.33467704377742202</v>
      </c>
      <c r="N551" s="20">
        <v>4.3977319526113799E-2</v>
      </c>
      <c r="O551" s="20">
        <v>654.99999999999898</v>
      </c>
      <c r="P551" s="20">
        <v>358.56061649158102</v>
      </c>
      <c r="Q551" s="20">
        <v>87.128399999999303</v>
      </c>
      <c r="R551" s="20">
        <v>761.15206993055403</v>
      </c>
      <c r="S551" s="20">
        <v>1577.19839843259</v>
      </c>
      <c r="T551" s="20">
        <v>15</v>
      </c>
      <c r="U551" s="20">
        <v>0.05</v>
      </c>
      <c r="V551" s="20">
        <v>2.55646899125332E-3</v>
      </c>
      <c r="W551" s="20">
        <v>2.8203250211590301E-3</v>
      </c>
      <c r="X551" s="20">
        <v>3.04258259587646E-3</v>
      </c>
      <c r="Y551" s="20">
        <v>3.2399773796245399E-3</v>
      </c>
      <c r="Z551" s="20">
        <v>3.4116461578148302E-3</v>
      </c>
      <c r="AA551" s="20">
        <v>3.5572868833192899E-3</v>
      </c>
      <c r="AB551" s="20">
        <v>3.6798587178735599E-3</v>
      </c>
      <c r="AC551" s="20">
        <v>3.7896299816554098E-3</v>
      </c>
      <c r="AD551" s="20">
        <v>3.8915214394311202E-3</v>
      </c>
      <c r="AE551" s="20">
        <v>3.9811999693187298E-3</v>
      </c>
      <c r="AF551" t="str">
        <f t="shared" si="35"/>
        <v>NonResidential</v>
      </c>
      <c r="AG551" t="str">
        <f>tbl_Data_old[[#This Row],[All_Meas_Name_Append]]</f>
        <v>HE DX Less than 5.4 Tons Elect Heat</v>
      </c>
      <c r="AH551">
        <f>AVERAGEIFS('3. Incentive Adjustment'!G:G,'3. Incentive Adjustment'!A:A,tbl_Data_old[[#This Row],[Trimmed Sector]],'3. Incentive Adjustment'!B:B,tbl_Data_old[[#This Row],[Trimmed Measure Name]])</f>
        <v>0.74493198517309978</v>
      </c>
      <c r="AI551">
        <f>$AH551*tbl_Data_old[[#This Row],[2025 ]]</f>
        <v>1.9043955206878075E-3</v>
      </c>
      <c r="AJ551">
        <f>$AH551*tbl_Data_old[[#This Row],[2026 ]]</f>
        <v>2.100950316845361E-3</v>
      </c>
      <c r="AK551">
        <f>$AH551*tbl_Data_old[[#This Row],[2027 ]]</f>
        <v>2.2665170931993744E-3</v>
      </c>
      <c r="AL551">
        <f>$AH551*tbl_Data_old[[#This Row],[2028 ]]</f>
        <v>2.4135627813196463E-3</v>
      </c>
      <c r="AM551">
        <f>$AH551*tbl_Data_old[[#This Row],[2029 ]]</f>
        <v>2.5414443450491797E-3</v>
      </c>
      <c r="AN551">
        <f>$AH551*tbl_Data_old[[#This Row],[2030 ]]</f>
        <v>2.6499367798212678E-3</v>
      </c>
      <c r="AO551">
        <f>$AH551*tbl_Data_old[[#This Row],[2031 ]]</f>
        <v>2.7412444598620888E-3</v>
      </c>
      <c r="AP551">
        <f>$AH551*tbl_Data_old[[#This Row],[2032 ]]</f>
        <v>2.8230165853060621E-3</v>
      </c>
      <c r="AQ551">
        <f>$AH551*tbl_Data_old[[#This Row],[2033 ]]</f>
        <v>2.8989187912191032E-3</v>
      </c>
      <c r="AR551">
        <f>$AH551*tbl_Data_old[[#This Row],[2034 ]]</f>
        <v>2.9657231965156852E-3</v>
      </c>
      <c r="AS551">
        <f>SUM(tbl_Data_old[[#This Row],[Adjusted 2025]:[Adjusted 2034]])</f>
        <v>2.5305709869825579E-2</v>
      </c>
      <c r="AT551" s="3">
        <f>AVERAGEIFS('3. Incentive Adjustment'!F:F,'3. Incentive Adjustment'!A:A,tbl_Data_old[[#This Row],[Trimmed Sector]],'3. Incentive Adjustment'!B:B,tbl_Data_old[[#This Row],[Trimmed Measure Name]])</f>
        <v>196.49999999999969</v>
      </c>
      <c r="AU551" s="3">
        <f>IFERROR(VLOOKUP(tbl_Data_old[[#This Row],[All_Meas_Name_Append]],'IRA Tax Credits'!$A$3:$D$46,4,0),0)</f>
        <v>0</v>
      </c>
      <c r="AV551" s="4">
        <f>tbl_Data_old[[#This Row],[Adj. per unit Incentive ($)]]/tbl_Data_old[[#This Row],[kWh Savings]]*tbl_Data_old[[#This Row],[Sum of Annuals]]</f>
        <v>3.4243061890869932E-3</v>
      </c>
      <c r="AW551" s="4" t="str">
        <f>IFERROR(VLOOKUP(tbl_Data_old[[#This Row],[All_Programs]],'1. Set Program Names'!$B$2:$D$15,3,0)*tbl_Data_old[[#This Row],[Sum of Annuals]],"")</f>
        <v/>
      </c>
      <c r="AX551" s="4">
        <f>tbl_Data_old[[#This Row],[per unit IRA tax ($)]]/tbl_Data_old[[#This Row],[kWh Savings]]*tbl_Data_old[[#This Row],[Sum of Annuals]]</f>
        <v>0</v>
      </c>
      <c r="AY551" s="4">
        <f>tbl_Data_old[[#This Row],[Avoided Costs ($/unit)]]/tbl_Data_old[[#This Row],[kWh Savings]]*tbl_Data_old[[#This Row],[Sum of Annuals]]</f>
        <v>1.3264212437147972E-2</v>
      </c>
      <c r="AZ551" s="4">
        <f>tbl_Data_old[[#This Row],[Lost Revenue ($/unit)]]/tbl_Data_old[[#This Row],[kWh Savings]]*tbl_Data_old[[#This Row],[Sum of Annuals]]</f>
        <v>2.7485039374915116E-2</v>
      </c>
      <c r="BA551" s="4">
        <f>tbl_Data_old[[#This Row],[Incremental Cost ($/unit)]]/tbl_Data_old[[#This Row],[kWh Savings]]*tbl_Data_old[[#This Row],[Sum of Annuals]]</f>
        <v>1.1414353963623312E-2</v>
      </c>
      <c r="BB551">
        <f>ROUNDUP(tbl_Data_old[[#This Row],[Adjusted 2025]]/$L551,0)</f>
        <v>1</v>
      </c>
      <c r="BC551">
        <f>ROUNDUP(tbl_Data_old[[#This Row],[Adjusted 2026]]/$L551,0)</f>
        <v>1</v>
      </c>
      <c r="BD551">
        <f>ROUNDUP(tbl_Data_old[[#This Row],[Adjusted 2027]]/$L551,0)</f>
        <v>1</v>
      </c>
      <c r="BE551">
        <f>ROUNDUP(tbl_Data_old[[#This Row],[Adjusted 2028]]/$L551,0)</f>
        <v>1</v>
      </c>
      <c r="BF551">
        <f>ROUNDUP(tbl_Data_old[[#This Row],[Adjusted 2029]]/$L551,0)</f>
        <v>1</v>
      </c>
      <c r="BG551">
        <f>ROUNDUP(tbl_Data_old[[#This Row],[Adjusted 2030]]/$L551,0)</f>
        <v>1</v>
      </c>
      <c r="BH551">
        <f>ROUNDUP(tbl_Data_old[[#This Row],[Adjusted 2031]]/$L551,0)</f>
        <v>1</v>
      </c>
      <c r="BI551">
        <f>ROUNDUP(tbl_Data_old[[#This Row],[Adjusted 2032]]/$L551,0)</f>
        <v>1</v>
      </c>
      <c r="BJ551">
        <f>ROUNDUP(tbl_Data_old[[#This Row],[Adjusted 2033]]/$L551,0)</f>
        <v>1</v>
      </c>
      <c r="BK551">
        <f>ROUNDUP(tbl_Data_old[[#This Row],[Adjusted 2034]]/$L551,0)</f>
        <v>1</v>
      </c>
      <c r="BL551" s="3">
        <f t="shared" si="37"/>
        <v>3.4593507291396383E-4</v>
      </c>
      <c r="BM551" s="3">
        <f t="shared" si="37"/>
        <v>3.8163941951723396E-4</v>
      </c>
      <c r="BN551" s="3">
        <f t="shared" si="37"/>
        <v>4.1171476585572436E-4</v>
      </c>
      <c r="BO551" s="3">
        <f t="shared" si="37"/>
        <v>4.3842574069733619E-4</v>
      </c>
      <c r="BP551" s="3">
        <f t="shared" si="37"/>
        <v>4.6165553597492129E-4</v>
      </c>
      <c r="BQ551" s="3">
        <f t="shared" si="36"/>
        <v>4.8136327941675656E-4</v>
      </c>
      <c r="BR551" s="3">
        <f t="shared" si="36"/>
        <v>4.9794939748382615E-4</v>
      </c>
      <c r="BS551" s="3">
        <f t="shared" si="36"/>
        <v>5.1280337391387679E-4</v>
      </c>
      <c r="BT551" s="3">
        <f t="shared" si="36"/>
        <v>5.265910744475218E-4</v>
      </c>
      <c r="BU551" s="3">
        <f t="shared" si="36"/>
        <v>5.3872615172857979E-4</v>
      </c>
      <c r="BV551" t="e">
        <f>VLOOKUP($H551,'1. Set Program Names'!$B$2:$D$15,3,0)*V551</f>
        <v>#N/A</v>
      </c>
      <c r="BW551" t="e">
        <f>VLOOKUP($H551,'1. Set Program Names'!$B$2:$D$15,3,0)*W551</f>
        <v>#N/A</v>
      </c>
      <c r="BX551" t="e">
        <f>VLOOKUP($H551,'1. Set Program Names'!$B$2:$D$15,3,0)*X551</f>
        <v>#N/A</v>
      </c>
      <c r="BY551" t="e">
        <f>VLOOKUP($H551,'1. Set Program Names'!$B$2:$D$15,3,0)*Y551</f>
        <v>#N/A</v>
      </c>
      <c r="BZ551" t="e">
        <f>VLOOKUP($H551,'1. Set Program Names'!$B$2:$D$15,3,0)*Z551</f>
        <v>#N/A</v>
      </c>
      <c r="CA551" t="e">
        <f>VLOOKUP($H551,'1. Set Program Names'!$B$2:$D$15,3,0)*AA551</f>
        <v>#N/A</v>
      </c>
      <c r="CB551" t="e">
        <f>VLOOKUP($H551,'1. Set Program Names'!$B$2:$D$15,3,0)*AB551</f>
        <v>#N/A</v>
      </c>
      <c r="CC551" t="e">
        <f>VLOOKUP($H551,'1. Set Program Names'!$B$2:$D$15,3,0)*AC551</f>
        <v>#N/A</v>
      </c>
      <c r="CD551" t="e">
        <f>VLOOKUP($H551,'1. Set Program Names'!$B$2:$D$15,3,0)*AD551</f>
        <v>#N/A</v>
      </c>
      <c r="CE551" t="e">
        <f>VLOOKUP($H551,'1. Set Program Names'!$B$2:$D$15,3,0)*AE551</f>
        <v>#N/A</v>
      </c>
    </row>
    <row r="552" spans="1:83" x14ac:dyDescent="0.25">
      <c r="A552" s="20" t="s">
        <v>116</v>
      </c>
      <c r="B552" s="20" t="s">
        <v>88</v>
      </c>
      <c r="C552" s="20" t="s">
        <v>122</v>
      </c>
      <c r="D552" s="20" t="s">
        <v>90</v>
      </c>
      <c r="E552" s="20" t="s">
        <v>91</v>
      </c>
      <c r="F552" s="20" t="s">
        <v>90</v>
      </c>
      <c r="G552" s="20" t="s">
        <v>92</v>
      </c>
      <c r="H552" s="20" t="s">
        <v>20</v>
      </c>
      <c r="I552" s="20" t="s">
        <v>154</v>
      </c>
      <c r="J552" s="20" t="s">
        <v>129</v>
      </c>
      <c r="K552" s="20" t="s">
        <v>102</v>
      </c>
      <c r="L552" s="20">
        <v>111105.09249999899</v>
      </c>
      <c r="M552" s="20">
        <v>30.6532165911823</v>
      </c>
      <c r="N552" s="20">
        <v>0</v>
      </c>
      <c r="O552" s="20">
        <v>40257.675000000003</v>
      </c>
      <c r="P552" s="20">
        <v>17605.607636663401</v>
      </c>
      <c r="Q552" s="20">
        <v>6666.30554999998</v>
      </c>
      <c r="R552" s="20">
        <v>56706.982631731698</v>
      </c>
      <c r="S552" s="20">
        <v>120673.47084214</v>
      </c>
      <c r="T552" s="20">
        <v>15</v>
      </c>
      <c r="U552" s="20">
        <v>0.05</v>
      </c>
      <c r="V552" s="20">
        <v>0</v>
      </c>
      <c r="W552" s="20">
        <v>0</v>
      </c>
      <c r="X552" s="20">
        <v>0</v>
      </c>
      <c r="Y552" s="20">
        <v>0</v>
      </c>
      <c r="Z552" s="20">
        <v>0</v>
      </c>
      <c r="AA552" s="20">
        <v>0</v>
      </c>
      <c r="AB552" s="20">
        <v>0</v>
      </c>
      <c r="AC552" s="20">
        <v>0</v>
      </c>
      <c r="AD552" s="20">
        <v>0</v>
      </c>
      <c r="AE552" s="20">
        <v>0</v>
      </c>
      <c r="AF552" t="str">
        <f t="shared" si="35"/>
        <v>NonResidential</v>
      </c>
      <c r="AG552" t="str">
        <f>tbl_Data_old[[#This Row],[All_Meas_Name_Append]]</f>
        <v>Reflective Roof Treatment</v>
      </c>
      <c r="AH552">
        <f>AVERAGEIFS('3. Incentive Adjustment'!G:G,'3. Incentive Adjustment'!A:A,tbl_Data_old[[#This Row],[Trimmed Sector]],'3. Incentive Adjustment'!B:B,tbl_Data_old[[#This Row],[Trimmed Measure Name]])</f>
        <v>0.87696681614875649</v>
      </c>
      <c r="AI552">
        <f>$AH552*tbl_Data_old[[#This Row],[2025 ]]</f>
        <v>0</v>
      </c>
      <c r="AJ552">
        <f>$AH552*tbl_Data_old[[#This Row],[2026 ]]</f>
        <v>0</v>
      </c>
      <c r="AK552">
        <f>$AH552*tbl_Data_old[[#This Row],[2027 ]]</f>
        <v>0</v>
      </c>
      <c r="AL552">
        <f>$AH552*tbl_Data_old[[#This Row],[2028 ]]</f>
        <v>0</v>
      </c>
      <c r="AM552">
        <f>$AH552*tbl_Data_old[[#This Row],[2029 ]]</f>
        <v>0</v>
      </c>
      <c r="AN552">
        <f>$AH552*tbl_Data_old[[#This Row],[2030 ]]</f>
        <v>0</v>
      </c>
      <c r="AO552">
        <f>$AH552*tbl_Data_old[[#This Row],[2031 ]]</f>
        <v>0</v>
      </c>
      <c r="AP552">
        <f>$AH552*tbl_Data_old[[#This Row],[2032 ]]</f>
        <v>0</v>
      </c>
      <c r="AQ552">
        <f>$AH552*tbl_Data_old[[#This Row],[2033 ]]</f>
        <v>0</v>
      </c>
      <c r="AR552">
        <f>$AH552*tbl_Data_old[[#This Row],[2034 ]]</f>
        <v>0</v>
      </c>
      <c r="AS552">
        <f>SUM(tbl_Data_old[[#This Row],[Adjusted 2025]:[Adjusted 2034]])</f>
        <v>0</v>
      </c>
      <c r="AT552" s="3">
        <f>AVERAGEIFS('3. Incentive Adjustment'!F:F,'3. Incentive Adjustment'!A:A,tbl_Data_old[[#This Row],[Trimmed Sector]],'3. Incentive Adjustment'!B:B,tbl_Data_old[[#This Row],[Trimmed Measure Name]])</f>
        <v>12077.302499999998</v>
      </c>
      <c r="AU552" s="3">
        <f>IFERROR(VLOOKUP(tbl_Data_old[[#This Row],[All_Meas_Name_Append]],'IRA Tax Credits'!$A$3:$D$46,4,0),0)</f>
        <v>0</v>
      </c>
      <c r="AV552" s="4">
        <f>tbl_Data_old[[#This Row],[Adj. per unit Incentive ($)]]/tbl_Data_old[[#This Row],[kWh Savings]]*tbl_Data_old[[#This Row],[Sum of Annuals]]</f>
        <v>0</v>
      </c>
      <c r="AW552" s="4" t="str">
        <f>IFERROR(VLOOKUP(tbl_Data_old[[#This Row],[All_Programs]],'1. Set Program Names'!$B$2:$D$15,3,0)*tbl_Data_old[[#This Row],[Sum of Annuals]],"")</f>
        <v/>
      </c>
      <c r="AX552" s="4">
        <f>tbl_Data_old[[#This Row],[per unit IRA tax ($)]]/tbl_Data_old[[#This Row],[kWh Savings]]*tbl_Data_old[[#This Row],[Sum of Annuals]]</f>
        <v>0</v>
      </c>
      <c r="AY552" s="4">
        <f>tbl_Data_old[[#This Row],[Avoided Costs ($/unit)]]/tbl_Data_old[[#This Row],[kWh Savings]]*tbl_Data_old[[#This Row],[Sum of Annuals]]</f>
        <v>0</v>
      </c>
      <c r="AZ552" s="4">
        <f>tbl_Data_old[[#This Row],[Lost Revenue ($/unit)]]/tbl_Data_old[[#This Row],[kWh Savings]]*tbl_Data_old[[#This Row],[Sum of Annuals]]</f>
        <v>0</v>
      </c>
      <c r="BA552" s="4">
        <f>tbl_Data_old[[#This Row],[Incremental Cost ($/unit)]]/tbl_Data_old[[#This Row],[kWh Savings]]*tbl_Data_old[[#This Row],[Sum of Annuals]]</f>
        <v>0</v>
      </c>
      <c r="BB552">
        <f>ROUNDUP(tbl_Data_old[[#This Row],[Adjusted 2025]]/$L552,0)</f>
        <v>0</v>
      </c>
      <c r="BC552">
        <f>ROUNDUP(tbl_Data_old[[#This Row],[Adjusted 2026]]/$L552,0)</f>
        <v>0</v>
      </c>
      <c r="BD552">
        <f>ROUNDUP(tbl_Data_old[[#This Row],[Adjusted 2027]]/$L552,0)</f>
        <v>0</v>
      </c>
      <c r="BE552">
        <f>ROUNDUP(tbl_Data_old[[#This Row],[Adjusted 2028]]/$L552,0)</f>
        <v>0</v>
      </c>
      <c r="BF552">
        <f>ROUNDUP(tbl_Data_old[[#This Row],[Adjusted 2029]]/$L552,0)</f>
        <v>0</v>
      </c>
      <c r="BG552">
        <f>ROUNDUP(tbl_Data_old[[#This Row],[Adjusted 2030]]/$L552,0)</f>
        <v>0</v>
      </c>
      <c r="BH552">
        <f>ROUNDUP(tbl_Data_old[[#This Row],[Adjusted 2031]]/$L552,0)</f>
        <v>0</v>
      </c>
      <c r="BI552">
        <f>ROUNDUP(tbl_Data_old[[#This Row],[Adjusted 2032]]/$L552,0)</f>
        <v>0</v>
      </c>
      <c r="BJ552">
        <f>ROUNDUP(tbl_Data_old[[#This Row],[Adjusted 2033]]/$L552,0)</f>
        <v>0</v>
      </c>
      <c r="BK552">
        <f>ROUNDUP(tbl_Data_old[[#This Row],[Adjusted 2034]]/$L552,0)</f>
        <v>0</v>
      </c>
      <c r="BL552" s="3">
        <f t="shared" si="37"/>
        <v>0</v>
      </c>
      <c r="BM552" s="3">
        <f t="shared" si="37"/>
        <v>0</v>
      </c>
      <c r="BN552" s="3">
        <f t="shared" si="37"/>
        <v>0</v>
      </c>
      <c r="BO552" s="3">
        <f t="shared" si="37"/>
        <v>0</v>
      </c>
      <c r="BP552" s="3">
        <f t="shared" si="37"/>
        <v>0</v>
      </c>
      <c r="BQ552" s="3">
        <f t="shared" si="36"/>
        <v>0</v>
      </c>
      <c r="BR552" s="3">
        <f t="shared" si="36"/>
        <v>0</v>
      </c>
      <c r="BS552" s="3">
        <f t="shared" si="36"/>
        <v>0</v>
      </c>
      <c r="BT552" s="3">
        <f t="shared" si="36"/>
        <v>0</v>
      </c>
      <c r="BU552" s="3">
        <f t="shared" si="36"/>
        <v>0</v>
      </c>
      <c r="BV552" t="e">
        <f>VLOOKUP($H552,'1. Set Program Names'!$B$2:$D$15,3,0)*V552</f>
        <v>#N/A</v>
      </c>
      <c r="BW552" t="e">
        <f>VLOOKUP($H552,'1. Set Program Names'!$B$2:$D$15,3,0)*W552</f>
        <v>#N/A</v>
      </c>
      <c r="BX552" t="e">
        <f>VLOOKUP($H552,'1. Set Program Names'!$B$2:$D$15,3,0)*X552</f>
        <v>#N/A</v>
      </c>
      <c r="BY552" t="e">
        <f>VLOOKUP($H552,'1. Set Program Names'!$B$2:$D$15,3,0)*Y552</f>
        <v>#N/A</v>
      </c>
      <c r="BZ552" t="e">
        <f>VLOOKUP($H552,'1. Set Program Names'!$B$2:$D$15,3,0)*Z552</f>
        <v>#N/A</v>
      </c>
      <c r="CA552" t="e">
        <f>VLOOKUP($H552,'1. Set Program Names'!$B$2:$D$15,3,0)*AA552</f>
        <v>#N/A</v>
      </c>
      <c r="CB552" t="e">
        <f>VLOOKUP($H552,'1. Set Program Names'!$B$2:$D$15,3,0)*AB552</f>
        <v>#N/A</v>
      </c>
      <c r="CC552" t="e">
        <f>VLOOKUP($H552,'1. Set Program Names'!$B$2:$D$15,3,0)*AC552</f>
        <v>#N/A</v>
      </c>
      <c r="CD552" t="e">
        <f>VLOOKUP($H552,'1. Set Program Names'!$B$2:$D$15,3,0)*AD552</f>
        <v>#N/A</v>
      </c>
      <c r="CE552" t="e">
        <f>VLOOKUP($H552,'1. Set Program Names'!$B$2:$D$15,3,0)*AE552</f>
        <v>#N/A</v>
      </c>
    </row>
    <row r="553" spans="1:83" x14ac:dyDescent="0.25">
      <c r="A553" s="20" t="s">
        <v>116</v>
      </c>
      <c r="B553" s="20" t="s">
        <v>88</v>
      </c>
      <c r="C553" s="20" t="s">
        <v>122</v>
      </c>
      <c r="D553" s="20" t="s">
        <v>90</v>
      </c>
      <c r="E553" s="20" t="s">
        <v>91</v>
      </c>
      <c r="F553" s="20" t="s">
        <v>90</v>
      </c>
      <c r="G553" s="20" t="s">
        <v>92</v>
      </c>
      <c r="H553" s="20" t="s">
        <v>20</v>
      </c>
      <c r="I553" s="20" t="s">
        <v>155</v>
      </c>
      <c r="J553" s="20" t="s">
        <v>129</v>
      </c>
      <c r="K553" s="20" t="s">
        <v>102</v>
      </c>
      <c r="L553" s="53">
        <v>1193.02</v>
      </c>
      <c r="M553" s="53">
        <v>0.274776433335365</v>
      </c>
      <c r="N553" s="53">
        <v>0.10441874276921487</v>
      </c>
      <c r="O553" s="53">
        <f>8423.99999999998/36663.4359999998*1193.02</f>
        <v>274.11507421181233</v>
      </c>
      <c r="P553" s="53">
        <f>3224.30667036527/36663.4359999998*1193.02</f>
        <v>104.91821726363004</v>
      </c>
      <c r="Q553" s="53">
        <f>1305.20713755829/36663.4359999998*1193.02</f>
        <v>42.471148073786637</v>
      </c>
      <c r="R553" s="53">
        <f>14915.0733686122/36663.4359999998*1193.02</f>
        <v>485.33314854128304</v>
      </c>
      <c r="S553" s="53">
        <f>32320.5298576745/36663.4359999998*1193.02</f>
        <v>1051.702806327346</v>
      </c>
      <c r="T553" s="20">
        <v>11</v>
      </c>
      <c r="U553" s="20">
        <v>0.05</v>
      </c>
      <c r="V553" s="20">
        <v>1.46575094223624</v>
      </c>
      <c r="W553" s="20">
        <v>1.2195500809109501</v>
      </c>
      <c r="X553" s="20">
        <v>1.0054847167490399</v>
      </c>
      <c r="Y553" s="20">
        <v>0.82921558396704098</v>
      </c>
      <c r="Z553" s="20">
        <v>0.68448152477982405</v>
      </c>
      <c r="AA553" s="20">
        <v>0.56542599785313497</v>
      </c>
      <c r="AB553" s="20">
        <v>0.46820353104692403</v>
      </c>
      <c r="AC553" s="20">
        <v>0.38976469520970503</v>
      </c>
      <c r="AD553" s="20">
        <v>0.32709633570172297</v>
      </c>
      <c r="AE553" s="20">
        <v>0.27635778617972401</v>
      </c>
      <c r="AF553" t="str">
        <f t="shared" si="35"/>
        <v>NonResidential</v>
      </c>
      <c r="AG553" t="str">
        <f>tbl_Data_old[[#This Row],[All_Meas_Name_Append]]</f>
        <v>Smart thermostat</v>
      </c>
      <c r="AH553">
        <f>AVERAGEIFS('3. Incentive Adjustment'!G:G,'3. Incentive Adjustment'!A:A,tbl_Data_old[[#This Row],[Trimmed Sector]],'3. Incentive Adjustment'!B:B,tbl_Data_old[[#This Row],[Trimmed Measure Name]])</f>
        <v>0.87546479230069263</v>
      </c>
      <c r="AI553">
        <f>$AH553*tbl_Data_old[[#This Row],[2025 ]]</f>
        <v>1.2832133442093945</v>
      </c>
      <c r="AJ553">
        <f>$AH553*tbl_Data_old[[#This Row],[2026 ]]</f>
        <v>1.0676731582849979</v>
      </c>
      <c r="AK553">
        <f>$AH553*tbl_Data_old[[#This Row],[2027 ]]</f>
        <v>0.88026646871021896</v>
      </c>
      <c r="AL553">
        <f>$AH553*tbl_Data_old[[#This Row],[2028 ]]</f>
        <v>0.72594904899020307</v>
      </c>
      <c r="AM553">
        <f>$AH553*tbl_Data_old[[#This Row],[2029 ]]</f>
        <v>0.59923947592503002</v>
      </c>
      <c r="AN553">
        <f>$AH553*tbl_Data_old[[#This Row],[2030 ]]</f>
        <v>0.49501055377190667</v>
      </c>
      <c r="AO553">
        <f>$AH553*tbl_Data_old[[#This Row],[2031 ]]</f>
        <v>0.40989570706244621</v>
      </c>
      <c r="AP553">
        <f>$AH553*tbl_Data_old[[#This Row],[2032 ]]</f>
        <v>0.3412252679379072</v>
      </c>
      <c r="AQ553">
        <f>$AH553*tbl_Data_old[[#This Row],[2033 ]]</f>
        <v>0.28636132559742655</v>
      </c>
      <c r="AR553">
        <f>$AH553*tbl_Data_old[[#This Row],[2034 ]]</f>
        <v>0.24194151187851129</v>
      </c>
      <c r="AS553">
        <f>SUM(tbl_Data_old[[#This Row],[Adjusted 2025]:[Adjusted 2034]])</f>
        <v>6.3307758623680419</v>
      </c>
      <c r="AT553" s="3">
        <f>AVERAGEIFS('3. Incentive Adjustment'!F:F,'3. Incentive Adjustment'!A:A,tbl_Data_old[[#This Row],[Trimmed Sector]],'3. Incentive Adjustment'!B:B,tbl_Data_old[[#This Row],[Trimmed Measure Name]])</f>
        <v>50</v>
      </c>
      <c r="AU553" s="3">
        <f>IFERROR(VLOOKUP(tbl_Data_old[[#This Row],[All_Meas_Name_Append]],'IRA Tax Credits'!$A$3:$D$46,4,0),0)</f>
        <v>0</v>
      </c>
      <c r="AV553" s="4">
        <f>tbl_Data_old[[#This Row],[Adj. per unit Incentive ($)]]/tbl_Data_old[[#This Row],[kWh Savings]]*tbl_Data_old[[#This Row],[Sum of Annuals]]</f>
        <v>0.26532563839533463</v>
      </c>
      <c r="AW553" s="4" t="str">
        <f>IFERROR(VLOOKUP(tbl_Data_old[[#This Row],[All_Programs]],'1. Set Program Names'!$B$2:$D$15,3,0)*tbl_Data_old[[#This Row],[Sum of Annuals]],"")</f>
        <v/>
      </c>
      <c r="AX553" s="4">
        <f>tbl_Data_old[[#This Row],[per unit IRA tax ($)]]/tbl_Data_old[[#This Row],[kWh Savings]]*tbl_Data_old[[#This Row],[Sum of Annuals]]</f>
        <v>0</v>
      </c>
      <c r="AY553" s="4">
        <f>tbl_Data_old[[#This Row],[Avoided Costs ($/unit)]]/tbl_Data_old[[#This Row],[kWh Savings]]*tbl_Data_old[[#This Row],[Sum of Annuals]]</f>
        <v>2.5754265494226738</v>
      </c>
      <c r="AZ553" s="4">
        <f>tbl_Data_old[[#This Row],[Lost Revenue ($/unit)]]/tbl_Data_old[[#This Row],[kWh Savings]]*tbl_Data_old[[#This Row],[Sum of Annuals]]</f>
        <v>5.5808743698193606</v>
      </c>
      <c r="BA553" s="4">
        <f>tbl_Data_old[[#This Row],[Incremental Cost ($/unit)]]/tbl_Data_old[[#This Row],[kWh Savings]]*tbl_Data_old[[#This Row],[Sum of Annuals]]</f>
        <v>1.4545951411806726</v>
      </c>
      <c r="BB553">
        <f>ROUNDUP(tbl_Data_old[[#This Row],[Adjusted 2025]]/$L553,0)</f>
        <v>1</v>
      </c>
      <c r="BC553">
        <f>ROUNDUP(tbl_Data_old[[#This Row],[Adjusted 2026]]/$L553,0)</f>
        <v>1</v>
      </c>
      <c r="BD553">
        <f>ROUNDUP(tbl_Data_old[[#This Row],[Adjusted 2027]]/$L553,0)</f>
        <v>1</v>
      </c>
      <c r="BE553">
        <f>ROUNDUP(tbl_Data_old[[#This Row],[Adjusted 2028]]/$L553,0)</f>
        <v>1</v>
      </c>
      <c r="BF553">
        <f>ROUNDUP(tbl_Data_old[[#This Row],[Adjusted 2029]]/$L553,0)</f>
        <v>1</v>
      </c>
      <c r="BG553">
        <f>ROUNDUP(tbl_Data_old[[#This Row],[Adjusted 2030]]/$L553,0)</f>
        <v>1</v>
      </c>
      <c r="BH553">
        <f>ROUNDUP(tbl_Data_old[[#This Row],[Adjusted 2031]]/$L553,0)</f>
        <v>1</v>
      </c>
      <c r="BI553">
        <f>ROUNDUP(tbl_Data_old[[#This Row],[Adjusted 2032]]/$L553,0)</f>
        <v>1</v>
      </c>
      <c r="BJ553">
        <f>ROUNDUP(tbl_Data_old[[#This Row],[Adjusted 2033]]/$L553,0)</f>
        <v>1</v>
      </c>
      <c r="BK553">
        <f>ROUNDUP(tbl_Data_old[[#This Row],[Adjusted 2034]]/$L553,0)</f>
        <v>1</v>
      </c>
      <c r="BL553" s="3">
        <f t="shared" si="37"/>
        <v>6.1430275361529563E-2</v>
      </c>
      <c r="BM553" s="3">
        <f t="shared" si="37"/>
        <v>5.1111887517013552E-2</v>
      </c>
      <c r="BN553" s="3">
        <f t="shared" si="37"/>
        <v>4.2140312683317964E-2</v>
      </c>
      <c r="BO553" s="3">
        <f t="shared" si="37"/>
        <v>3.4752794754783697E-2</v>
      </c>
      <c r="BP553" s="3">
        <f t="shared" si="37"/>
        <v>2.8686925817665423E-2</v>
      </c>
      <c r="BQ553" s="3">
        <f t="shared" si="36"/>
        <v>2.3697255614035597E-2</v>
      </c>
      <c r="BR553" s="3">
        <f t="shared" si="36"/>
        <v>1.9622618692348999E-2</v>
      </c>
      <c r="BS553" s="3">
        <f t="shared" si="36"/>
        <v>1.6335212117554822E-2</v>
      </c>
      <c r="BT553" s="3">
        <f t="shared" si="36"/>
        <v>1.3708753235558624E-2</v>
      </c>
      <c r="BU553" s="3">
        <f t="shared" si="36"/>
        <v>1.1582278007901126E-2</v>
      </c>
      <c r="BV553" t="e">
        <f>VLOOKUP($H553,'1. Set Program Names'!$B$2:$D$15,3,0)*V553</f>
        <v>#N/A</v>
      </c>
      <c r="BW553" t="e">
        <f>VLOOKUP($H553,'1. Set Program Names'!$B$2:$D$15,3,0)*W553</f>
        <v>#N/A</v>
      </c>
      <c r="BX553" t="e">
        <f>VLOOKUP($H553,'1. Set Program Names'!$B$2:$D$15,3,0)*X553</f>
        <v>#N/A</v>
      </c>
      <c r="BY553" t="e">
        <f>VLOOKUP($H553,'1. Set Program Names'!$B$2:$D$15,3,0)*Y553</f>
        <v>#N/A</v>
      </c>
      <c r="BZ553" t="e">
        <f>VLOOKUP($H553,'1. Set Program Names'!$B$2:$D$15,3,0)*Z553</f>
        <v>#N/A</v>
      </c>
      <c r="CA553" t="e">
        <f>VLOOKUP($H553,'1. Set Program Names'!$B$2:$D$15,3,0)*AA553</f>
        <v>#N/A</v>
      </c>
      <c r="CB553" t="e">
        <f>VLOOKUP($H553,'1. Set Program Names'!$B$2:$D$15,3,0)*AB553</f>
        <v>#N/A</v>
      </c>
      <c r="CC553" t="e">
        <f>VLOOKUP($H553,'1. Set Program Names'!$B$2:$D$15,3,0)*AC553</f>
        <v>#N/A</v>
      </c>
      <c r="CD553" t="e">
        <f>VLOOKUP($H553,'1. Set Program Names'!$B$2:$D$15,3,0)*AD553</f>
        <v>#N/A</v>
      </c>
      <c r="CE553" t="e">
        <f>VLOOKUP($H553,'1. Set Program Names'!$B$2:$D$15,3,0)*AE553</f>
        <v>#N/A</v>
      </c>
    </row>
    <row r="554" spans="1:83" x14ac:dyDescent="0.25">
      <c r="A554" s="20" t="s">
        <v>116</v>
      </c>
      <c r="B554" s="20" t="s">
        <v>88</v>
      </c>
      <c r="C554" s="20" t="s">
        <v>122</v>
      </c>
      <c r="D554" s="20" t="s">
        <v>90</v>
      </c>
      <c r="E554" s="20" t="s">
        <v>91</v>
      </c>
      <c r="F554" s="20" t="s">
        <v>90</v>
      </c>
      <c r="G554" s="20" t="s">
        <v>92</v>
      </c>
      <c r="H554" s="20" t="s">
        <v>20</v>
      </c>
      <c r="I554" s="20" t="s">
        <v>305</v>
      </c>
      <c r="J554" s="20" t="s">
        <v>129</v>
      </c>
      <c r="K554" s="20" t="s">
        <v>306</v>
      </c>
      <c r="L554" s="20">
        <v>1181.58666666666</v>
      </c>
      <c r="M554" s="20">
        <v>0.32580149205424902</v>
      </c>
      <c r="N554" s="20">
        <v>0</v>
      </c>
      <c r="O554" s="20">
        <v>442.61899981344197</v>
      </c>
      <c r="P554" s="20">
        <v>13015.025349926</v>
      </c>
      <c r="Q554" s="20">
        <v>70.895199999999903</v>
      </c>
      <c r="R554" s="20">
        <v>484.68312470825703</v>
      </c>
      <c r="S554" s="20">
        <v>971.92143438909795</v>
      </c>
      <c r="T554" s="20">
        <v>10</v>
      </c>
      <c r="U554" s="20">
        <v>0.05</v>
      </c>
      <c r="V554" s="20">
        <v>0</v>
      </c>
      <c r="W554" s="20">
        <v>0</v>
      </c>
      <c r="X554" s="20">
        <v>0</v>
      </c>
      <c r="Y554" s="20">
        <v>0</v>
      </c>
      <c r="Z554" s="20">
        <v>0</v>
      </c>
      <c r="AA554" s="20">
        <v>0</v>
      </c>
      <c r="AB554" s="20">
        <v>0</v>
      </c>
      <c r="AC554" s="20">
        <v>0</v>
      </c>
      <c r="AD554" s="20">
        <v>0</v>
      </c>
      <c r="AE554" s="20">
        <v>0</v>
      </c>
      <c r="AF554" t="str">
        <f t="shared" si="35"/>
        <v>NonResidential</v>
      </c>
      <c r="AG554" t="str">
        <f>tbl_Data_old[[#This Row],[All_Meas_Name_Append]]</f>
        <v>Window shade film</v>
      </c>
      <c r="AH554">
        <f>AVERAGEIFS('3. Incentive Adjustment'!G:G,'3. Incentive Adjustment'!A:A,tbl_Data_old[[#This Row],[Trimmed Sector]],'3. Incentive Adjustment'!B:B,tbl_Data_old[[#This Row],[Trimmed Measure Name]])</f>
        <v>3.2127764592544555E-13</v>
      </c>
      <c r="AI554">
        <f>$AH554*tbl_Data_old[[#This Row],[2025 ]]</f>
        <v>0</v>
      </c>
      <c r="AJ554">
        <f>$AH554*tbl_Data_old[[#This Row],[2026 ]]</f>
        <v>0</v>
      </c>
      <c r="AK554">
        <f>$AH554*tbl_Data_old[[#This Row],[2027 ]]</f>
        <v>0</v>
      </c>
      <c r="AL554">
        <f>$AH554*tbl_Data_old[[#This Row],[2028 ]]</f>
        <v>0</v>
      </c>
      <c r="AM554">
        <f>$AH554*tbl_Data_old[[#This Row],[2029 ]]</f>
        <v>0</v>
      </c>
      <c r="AN554">
        <f>$AH554*tbl_Data_old[[#This Row],[2030 ]]</f>
        <v>0</v>
      </c>
      <c r="AO554">
        <f>$AH554*tbl_Data_old[[#This Row],[2031 ]]</f>
        <v>0</v>
      </c>
      <c r="AP554">
        <f>$AH554*tbl_Data_old[[#This Row],[2032 ]]</f>
        <v>0</v>
      </c>
      <c r="AQ554">
        <f>$AH554*tbl_Data_old[[#This Row],[2033 ]]</f>
        <v>0</v>
      </c>
      <c r="AR554">
        <f>$AH554*tbl_Data_old[[#This Row],[2034 ]]</f>
        <v>0</v>
      </c>
      <c r="AS554">
        <f>SUM(tbl_Data_old[[#This Row],[Adjusted 2025]:[Adjusted 2034]])</f>
        <v>0</v>
      </c>
      <c r="AT554" s="3">
        <f>AVERAGEIFS('3. Incentive Adjustment'!F:F,'3. Incentive Adjustment'!A:A,tbl_Data_old[[#This Row],[Trimmed Sector]],'3. Incentive Adjustment'!B:B,tbl_Data_old[[#This Row],[Trimmed Measure Name]])</f>
        <v>132.78569994403261</v>
      </c>
      <c r="AU554" s="3">
        <f>IFERROR(VLOOKUP(tbl_Data_old[[#This Row],[All_Meas_Name_Append]],'IRA Tax Credits'!$A$3:$D$46,4,0),0)</f>
        <v>0</v>
      </c>
      <c r="AV554" s="4">
        <f>tbl_Data_old[[#This Row],[Adj. per unit Incentive ($)]]/tbl_Data_old[[#This Row],[kWh Savings]]*tbl_Data_old[[#This Row],[Sum of Annuals]]</f>
        <v>0</v>
      </c>
      <c r="AW554" s="4" t="str">
        <f>IFERROR(VLOOKUP(tbl_Data_old[[#This Row],[All_Programs]],'1. Set Program Names'!$B$2:$D$15,3,0)*tbl_Data_old[[#This Row],[Sum of Annuals]],"")</f>
        <v/>
      </c>
      <c r="AX554" s="4">
        <f>tbl_Data_old[[#This Row],[per unit IRA tax ($)]]/tbl_Data_old[[#This Row],[kWh Savings]]*tbl_Data_old[[#This Row],[Sum of Annuals]]</f>
        <v>0</v>
      </c>
      <c r="AY554" s="4">
        <f>tbl_Data_old[[#This Row],[Avoided Costs ($/unit)]]/tbl_Data_old[[#This Row],[kWh Savings]]*tbl_Data_old[[#This Row],[Sum of Annuals]]</f>
        <v>0</v>
      </c>
      <c r="AZ554" s="4">
        <f>tbl_Data_old[[#This Row],[Lost Revenue ($/unit)]]/tbl_Data_old[[#This Row],[kWh Savings]]*tbl_Data_old[[#This Row],[Sum of Annuals]]</f>
        <v>0</v>
      </c>
      <c r="BA554" s="4">
        <f>tbl_Data_old[[#This Row],[Incremental Cost ($/unit)]]/tbl_Data_old[[#This Row],[kWh Savings]]*tbl_Data_old[[#This Row],[Sum of Annuals]]</f>
        <v>0</v>
      </c>
      <c r="BB554">
        <f>ROUNDUP(tbl_Data_old[[#This Row],[Adjusted 2025]]/$L554,0)</f>
        <v>0</v>
      </c>
      <c r="BC554">
        <f>ROUNDUP(tbl_Data_old[[#This Row],[Adjusted 2026]]/$L554,0)</f>
        <v>0</v>
      </c>
      <c r="BD554">
        <f>ROUNDUP(tbl_Data_old[[#This Row],[Adjusted 2027]]/$L554,0)</f>
        <v>0</v>
      </c>
      <c r="BE554">
        <f>ROUNDUP(tbl_Data_old[[#This Row],[Adjusted 2028]]/$L554,0)</f>
        <v>0</v>
      </c>
      <c r="BF554">
        <f>ROUNDUP(tbl_Data_old[[#This Row],[Adjusted 2029]]/$L554,0)</f>
        <v>0</v>
      </c>
      <c r="BG554">
        <f>ROUNDUP(tbl_Data_old[[#This Row],[Adjusted 2030]]/$L554,0)</f>
        <v>0</v>
      </c>
      <c r="BH554">
        <f>ROUNDUP(tbl_Data_old[[#This Row],[Adjusted 2031]]/$L554,0)</f>
        <v>0</v>
      </c>
      <c r="BI554">
        <f>ROUNDUP(tbl_Data_old[[#This Row],[Adjusted 2032]]/$L554,0)</f>
        <v>0</v>
      </c>
      <c r="BJ554">
        <f>ROUNDUP(tbl_Data_old[[#This Row],[Adjusted 2033]]/$L554,0)</f>
        <v>0</v>
      </c>
      <c r="BK554">
        <f>ROUNDUP(tbl_Data_old[[#This Row],[Adjusted 2034]]/$L554,0)</f>
        <v>0</v>
      </c>
      <c r="BL554" s="3">
        <f t="shared" si="37"/>
        <v>0</v>
      </c>
      <c r="BM554" s="3">
        <f t="shared" si="37"/>
        <v>0</v>
      </c>
      <c r="BN554" s="3">
        <f t="shared" si="37"/>
        <v>0</v>
      </c>
      <c r="BO554" s="3">
        <f t="shared" si="37"/>
        <v>0</v>
      </c>
      <c r="BP554" s="3">
        <f t="shared" si="37"/>
        <v>0</v>
      </c>
      <c r="BQ554" s="3">
        <f t="shared" si="36"/>
        <v>0</v>
      </c>
      <c r="BR554" s="3">
        <f t="shared" si="36"/>
        <v>0</v>
      </c>
      <c r="BS554" s="3">
        <f t="shared" si="36"/>
        <v>0</v>
      </c>
      <c r="BT554" s="3">
        <f t="shared" si="36"/>
        <v>0</v>
      </c>
      <c r="BU554" s="3">
        <f t="shared" si="36"/>
        <v>0</v>
      </c>
      <c r="BV554" t="e">
        <f>VLOOKUP($H554,'1. Set Program Names'!$B$2:$D$15,3,0)*V554</f>
        <v>#N/A</v>
      </c>
      <c r="BW554" t="e">
        <f>VLOOKUP($H554,'1. Set Program Names'!$B$2:$D$15,3,0)*W554</f>
        <v>#N/A</v>
      </c>
      <c r="BX554" t="e">
        <f>VLOOKUP($H554,'1. Set Program Names'!$B$2:$D$15,3,0)*X554</f>
        <v>#N/A</v>
      </c>
      <c r="BY554" t="e">
        <f>VLOOKUP($H554,'1. Set Program Names'!$B$2:$D$15,3,0)*Y554</f>
        <v>#N/A</v>
      </c>
      <c r="BZ554" t="e">
        <f>VLOOKUP($H554,'1. Set Program Names'!$B$2:$D$15,3,0)*Z554</f>
        <v>#N/A</v>
      </c>
      <c r="CA554" t="e">
        <f>VLOOKUP($H554,'1. Set Program Names'!$B$2:$D$15,3,0)*AA554</f>
        <v>#N/A</v>
      </c>
      <c r="CB554" t="e">
        <f>VLOOKUP($H554,'1. Set Program Names'!$B$2:$D$15,3,0)*AB554</f>
        <v>#N/A</v>
      </c>
      <c r="CC554" t="e">
        <f>VLOOKUP($H554,'1. Set Program Names'!$B$2:$D$15,3,0)*AC554</f>
        <v>#N/A</v>
      </c>
      <c r="CD554" t="e">
        <f>VLOOKUP($H554,'1. Set Program Names'!$B$2:$D$15,3,0)*AD554</f>
        <v>#N/A</v>
      </c>
      <c r="CE554" t="e">
        <f>VLOOKUP($H554,'1. Set Program Names'!$B$2:$D$15,3,0)*AE554</f>
        <v>#N/A</v>
      </c>
    </row>
    <row r="555" spans="1:83" x14ac:dyDescent="0.25">
      <c r="A555" s="20" t="s">
        <v>117</v>
      </c>
      <c r="B555" s="20" t="s">
        <v>88</v>
      </c>
      <c r="C555" s="20" t="s">
        <v>122</v>
      </c>
      <c r="D555" s="20" t="s">
        <v>90</v>
      </c>
      <c r="E555" s="20" t="s">
        <v>91</v>
      </c>
      <c r="F555" s="20" t="s">
        <v>90</v>
      </c>
      <c r="G555" s="20" t="s">
        <v>92</v>
      </c>
      <c r="H555" s="20" t="s">
        <v>20</v>
      </c>
      <c r="I555" s="20" t="s">
        <v>237</v>
      </c>
      <c r="J555" s="20" t="s">
        <v>129</v>
      </c>
      <c r="K555" s="20" t="s">
        <v>102</v>
      </c>
      <c r="L555" s="20">
        <v>2568.1199999999699</v>
      </c>
      <c r="M555" s="20">
        <v>0.53641456399840104</v>
      </c>
      <c r="N555" s="20">
        <v>2.1892485513222901E-2</v>
      </c>
      <c r="O555" s="53">
        <f>9025.1/929.29*tbl_Data_old[[#This Row],[kWh Savings]]</f>
        <v>24941.126894725789</v>
      </c>
      <c r="P555" s="20">
        <v>35498.089296558101</v>
      </c>
      <c r="Q555" s="20">
        <v>154.08719999999801</v>
      </c>
      <c r="R555" s="20">
        <v>1534.4473108970501</v>
      </c>
      <c r="S555" s="20">
        <v>3958.9826982459099</v>
      </c>
      <c r="T555" s="20">
        <v>30</v>
      </c>
      <c r="U555" s="20">
        <v>0.05</v>
      </c>
      <c r="V555" s="20">
        <v>2.5672177689267201E-3</v>
      </c>
      <c r="W555" s="20">
        <v>5.4221932130311202E-3</v>
      </c>
      <c r="X555" s="20">
        <v>8.5828554511620594E-3</v>
      </c>
      <c r="Y555" s="20">
        <v>1.20719801225224E-2</v>
      </c>
      <c r="Z555" s="20">
        <v>1.59000006882405E-2</v>
      </c>
      <c r="AA555" s="20">
        <v>2.0075462821404402E-2</v>
      </c>
      <c r="AB555" s="20">
        <v>2.4595748827370398E-2</v>
      </c>
      <c r="AC555" s="20">
        <v>2.9463744963854299E-2</v>
      </c>
      <c r="AD555" s="20">
        <v>3.4692597551730202E-2</v>
      </c>
      <c r="AE555" s="20">
        <v>4.0272386711775798E-2</v>
      </c>
      <c r="AF555" t="str">
        <f t="shared" si="35"/>
        <v>NonResidential</v>
      </c>
      <c r="AG555" t="str">
        <f>tbl_Data_old[[#This Row],[All_Meas_Name_Append]]</f>
        <v>Ceiling Insulation(R19 to R38)</v>
      </c>
      <c r="AH555">
        <f>AVERAGEIFS('3. Incentive Adjustment'!G:G,'3. Incentive Adjustment'!A:A,tbl_Data_old[[#This Row],[Trimmed Sector]],'3. Incentive Adjustment'!B:B,tbl_Data_old[[#This Row],[Trimmed Measure Name]])</f>
        <v>3.9688771318830651E-15</v>
      </c>
      <c r="AI555">
        <f>$AH555*tbl_Data_old[[#This Row],[2025 ]]</f>
        <v>1.0188971895657122E-17</v>
      </c>
      <c r="AJ555">
        <f>$AH555*tbl_Data_old[[#This Row],[2026 ]]</f>
        <v>2.1520018647850773E-17</v>
      </c>
      <c r="AK555">
        <f>$AH555*tbl_Data_old[[#This Row],[2027 ]]</f>
        <v>3.4064298726375004E-17</v>
      </c>
      <c r="AL555">
        <f>$AH555*tbl_Data_old[[#This Row],[2028 ]]</f>
        <v>4.7912205844826071E-17</v>
      </c>
      <c r="AM555">
        <f>$AH555*tbl_Data_old[[#This Row],[2029 ]]</f>
        <v>6.3105149128482719E-17</v>
      </c>
      <c r="AN555">
        <f>$AH555*tbl_Data_old[[#This Row],[2030 ]]</f>
        <v>7.9677045303840609E-17</v>
      </c>
      <c r="AO555">
        <f>$AH555*tbl_Data_old[[#This Row],[2031 ]]</f>
        <v>9.7617505062490087E-17</v>
      </c>
      <c r="AP555">
        <f>$AH555*tbl_Data_old[[#This Row],[2032 ]]</f>
        <v>1.1693798360667615E-16</v>
      </c>
      <c r="AQ555">
        <f>$AH555*tbl_Data_old[[#This Row],[2033 ]]</f>
        <v>1.3769065706868441E-16</v>
      </c>
      <c r="AR555">
        <f>$AH555*tbl_Data_old[[#This Row],[2034 ]]</f>
        <v>1.598361546667184E-16</v>
      </c>
      <c r="AS555">
        <f>SUM(tbl_Data_old[[#This Row],[Adjusted 2025]:[Adjusted 2034]])</f>
        <v>7.6854998995160145E-16</v>
      </c>
      <c r="AT555" s="3">
        <f>AVERAGEIFS('3. Incentive Adjustment'!F:F,'3. Incentive Adjustment'!A:A,tbl_Data_old[[#This Row],[Trimmed Sector]],'3. Incentive Adjustment'!B:B,tbl_Data_old[[#This Row],[Trimmed Measure Name]])</f>
        <v>3222.5963039661074</v>
      </c>
      <c r="AU555" s="3">
        <f>IFERROR(VLOOKUP(tbl_Data_old[[#This Row],[All_Meas_Name_Append]],'IRA Tax Credits'!$A$3:$D$46,4,0),0)</f>
        <v>0</v>
      </c>
      <c r="AV555" s="4">
        <f>tbl_Data_old[[#This Row],[Adj. per unit Incentive ($)]]/tbl_Data_old[[#This Row],[kWh Savings]]*tbl_Data_old[[#This Row],[Sum of Annuals]]</f>
        <v>9.6441223814745761E-16</v>
      </c>
      <c r="AW555" s="4" t="str">
        <f>IFERROR(VLOOKUP(tbl_Data_old[[#This Row],[All_Programs]],'1. Set Program Names'!$B$2:$D$15,3,0)*tbl_Data_old[[#This Row],[Sum of Annuals]],"")</f>
        <v/>
      </c>
      <c r="AX555" s="4">
        <f>tbl_Data_old[[#This Row],[per unit IRA tax ($)]]/tbl_Data_old[[#This Row],[kWh Savings]]*tbl_Data_old[[#This Row],[Sum of Annuals]]</f>
        <v>0</v>
      </c>
      <c r="AY555" s="4">
        <f>tbl_Data_old[[#This Row],[Avoided Costs ($/unit)]]/tbl_Data_old[[#This Row],[kWh Savings]]*tbl_Data_old[[#This Row],[Sum of Annuals]]</f>
        <v>4.5920730548852994E-16</v>
      </c>
      <c r="AZ555" s="4">
        <f>tbl_Data_old[[#This Row],[Lost Revenue ($/unit)]]/tbl_Data_old[[#This Row],[kWh Savings]]*tbl_Data_old[[#This Row],[Sum of Annuals]]</f>
        <v>1.1847873592182195E-15</v>
      </c>
      <c r="BA555" s="4">
        <f>tbl_Data_old[[#This Row],[Incremental Cost ($/unit)]]/tbl_Data_old[[#This Row],[kWh Savings]]*tbl_Data_old[[#This Row],[Sum of Annuals]]</f>
        <v>7.4640214726427683E-15</v>
      </c>
      <c r="BB555">
        <f>ROUNDUP(tbl_Data_old[[#This Row],[Adjusted 2025]]/$L555,0)</f>
        <v>1</v>
      </c>
      <c r="BC555">
        <f>ROUNDUP(tbl_Data_old[[#This Row],[Adjusted 2026]]/$L555,0)</f>
        <v>1</v>
      </c>
      <c r="BD555">
        <f>ROUNDUP(tbl_Data_old[[#This Row],[Adjusted 2027]]/$L555,0)</f>
        <v>1</v>
      </c>
      <c r="BE555">
        <f>ROUNDUP(tbl_Data_old[[#This Row],[Adjusted 2028]]/$L555,0)</f>
        <v>1</v>
      </c>
      <c r="BF555">
        <f>ROUNDUP(tbl_Data_old[[#This Row],[Adjusted 2029]]/$L555,0)</f>
        <v>1</v>
      </c>
      <c r="BG555">
        <f>ROUNDUP(tbl_Data_old[[#This Row],[Adjusted 2030]]/$L555,0)</f>
        <v>1</v>
      </c>
      <c r="BH555">
        <f>ROUNDUP(tbl_Data_old[[#This Row],[Adjusted 2031]]/$L555,0)</f>
        <v>1</v>
      </c>
      <c r="BI555">
        <f>ROUNDUP(tbl_Data_old[[#This Row],[Adjusted 2032]]/$L555,0)</f>
        <v>1</v>
      </c>
      <c r="BJ555">
        <f>ROUNDUP(tbl_Data_old[[#This Row],[Adjusted 2033]]/$L555,0)</f>
        <v>1</v>
      </c>
      <c r="BK555">
        <f>ROUNDUP(tbl_Data_old[[#This Row],[Adjusted 2034]]/$L555,0)</f>
        <v>1</v>
      </c>
      <c r="BL555" s="3">
        <f t="shared" si="37"/>
        <v>3.2214641424931321E-3</v>
      </c>
      <c r="BM555" s="3">
        <f t="shared" si="37"/>
        <v>6.804019986489886E-3</v>
      </c>
      <c r="BN555" s="3">
        <f t="shared" si="37"/>
        <v>1.0770165823400206E-2</v>
      </c>
      <c r="BO555" s="3">
        <f t="shared" si="37"/>
        <v>1.5148481583568315E-2</v>
      </c>
      <c r="BP555" s="3">
        <f t="shared" si="37"/>
        <v>1.9952059658809949E-2</v>
      </c>
      <c r="BQ555" s="3">
        <f t="shared" si="36"/>
        <v>2.5191623556791578E-2</v>
      </c>
      <c r="BR555" s="3">
        <f t="shared" si="36"/>
        <v>3.0863888472642827E-2</v>
      </c>
      <c r="BS555" s="3">
        <f t="shared" si="36"/>
        <v>3.697247621665576E-2</v>
      </c>
      <c r="BT555" s="3">
        <f t="shared" si="36"/>
        <v>4.3533883403108382E-2</v>
      </c>
      <c r="BU555" s="3">
        <f t="shared" si="36"/>
        <v>5.0535662106624302E-2</v>
      </c>
      <c r="BV555" t="e">
        <f>VLOOKUP($H555,'1. Set Program Names'!$B$2:$D$15,3,0)*V555</f>
        <v>#N/A</v>
      </c>
      <c r="BW555" t="e">
        <f>VLOOKUP($H555,'1. Set Program Names'!$B$2:$D$15,3,0)*W555</f>
        <v>#N/A</v>
      </c>
      <c r="BX555" t="e">
        <f>VLOOKUP($H555,'1. Set Program Names'!$B$2:$D$15,3,0)*X555</f>
        <v>#N/A</v>
      </c>
      <c r="BY555" t="e">
        <f>VLOOKUP($H555,'1. Set Program Names'!$B$2:$D$15,3,0)*Y555</f>
        <v>#N/A</v>
      </c>
      <c r="BZ555" t="e">
        <f>VLOOKUP($H555,'1. Set Program Names'!$B$2:$D$15,3,0)*Z555</f>
        <v>#N/A</v>
      </c>
      <c r="CA555" t="e">
        <f>VLOOKUP($H555,'1. Set Program Names'!$B$2:$D$15,3,0)*AA555</f>
        <v>#N/A</v>
      </c>
      <c r="CB555" t="e">
        <f>VLOOKUP($H555,'1. Set Program Names'!$B$2:$D$15,3,0)*AB555</f>
        <v>#N/A</v>
      </c>
      <c r="CC555" t="e">
        <f>VLOOKUP($H555,'1. Set Program Names'!$B$2:$D$15,3,0)*AC555</f>
        <v>#N/A</v>
      </c>
      <c r="CD555" t="e">
        <f>VLOOKUP($H555,'1. Set Program Names'!$B$2:$D$15,3,0)*AD555</f>
        <v>#N/A</v>
      </c>
      <c r="CE555" t="e">
        <f>VLOOKUP($H555,'1. Set Program Names'!$B$2:$D$15,3,0)*AE555</f>
        <v>#N/A</v>
      </c>
    </row>
    <row r="556" spans="1:83" x14ac:dyDescent="0.25">
      <c r="A556" s="20" t="s">
        <v>117</v>
      </c>
      <c r="B556" s="20" t="s">
        <v>88</v>
      </c>
      <c r="C556" s="20" t="s">
        <v>122</v>
      </c>
      <c r="D556" s="20" t="s">
        <v>90</v>
      </c>
      <c r="E556" s="20" t="s">
        <v>91</v>
      </c>
      <c r="F556" s="20" t="s">
        <v>90</v>
      </c>
      <c r="G556" s="20" t="s">
        <v>92</v>
      </c>
      <c r="H556" s="20" t="s">
        <v>20</v>
      </c>
      <c r="I556" s="20" t="s">
        <v>238</v>
      </c>
      <c r="J556" s="20" t="s">
        <v>129</v>
      </c>
      <c r="K556" s="20" t="s">
        <v>102</v>
      </c>
      <c r="L556" s="20">
        <v>4477.6116666666303</v>
      </c>
      <c r="M556" s="20">
        <v>0.90610878358590996</v>
      </c>
      <c r="N556" s="20">
        <v>4.9616670393602701E-2</v>
      </c>
      <c r="O556" s="53">
        <f>9351.31/1137.9*tbl_Data_old[[#This Row],[kWh Savings]]</f>
        <v>36797.200768623181</v>
      </c>
      <c r="P556" s="20">
        <v>44221.719775682497</v>
      </c>
      <c r="Q556" s="20">
        <v>268.65669999999699</v>
      </c>
      <c r="R556" s="20">
        <v>2670.7044942461998</v>
      </c>
      <c r="S556" s="20">
        <v>6902.6319322295803</v>
      </c>
      <c r="T556" s="20">
        <v>30</v>
      </c>
      <c r="U556" s="20">
        <v>0.05</v>
      </c>
      <c r="V556" s="20">
        <v>4.7279510881321103E-3</v>
      </c>
      <c r="W556" s="20">
        <v>9.9756568525925203E-3</v>
      </c>
      <c r="X556" s="20">
        <v>1.5773057092865E-2</v>
      </c>
      <c r="Y556" s="20">
        <v>2.21597036564611E-2</v>
      </c>
      <c r="Z556" s="20">
        <v>2.91530107184205E-2</v>
      </c>
      <c r="AA556" s="20">
        <v>3.6766606519978498E-2</v>
      </c>
      <c r="AB556" s="20">
        <v>4.4994435807633001E-2</v>
      </c>
      <c r="AC556" s="20">
        <v>5.38405933042993E-2</v>
      </c>
      <c r="AD556" s="20">
        <v>6.3327227306171602E-2</v>
      </c>
      <c r="AE556" s="20">
        <v>7.3435463765590805E-2</v>
      </c>
      <c r="AF556" t="str">
        <f t="shared" si="35"/>
        <v>NonResidential</v>
      </c>
      <c r="AG556" t="str">
        <f>tbl_Data_old[[#This Row],[All_Meas_Name_Append]]</f>
        <v>Ceiling Insulation(R19 to R49)</v>
      </c>
      <c r="AH556">
        <f>AVERAGEIFS('3. Incentive Adjustment'!G:G,'3. Incentive Adjustment'!A:A,tbl_Data_old[[#This Row],[Trimmed Sector]],'3. Incentive Adjustment'!B:B,tbl_Data_old[[#This Row],[Trimmed Measure Name]])</f>
        <v>7.9373870200739678E-11</v>
      </c>
      <c r="AI556">
        <f>$AH556*tbl_Data_old[[#This Row],[2025 ]]</f>
        <v>3.7527577598484407E-13</v>
      </c>
      <c r="AJ556">
        <f>$AH556*tbl_Data_old[[#This Row],[2026 ]]</f>
        <v>7.9180649218479801E-13</v>
      </c>
      <c r="AK556">
        <f>$AH556*tbl_Data_old[[#This Row],[2027 ]]</f>
        <v>1.2519685863579228E-12</v>
      </c>
      <c r="AL556">
        <f>$AH556*tbl_Data_old[[#This Row],[2028 ]]</f>
        <v>1.7589014417147998E-12</v>
      </c>
      <c r="AM556">
        <f>$AH556*tbl_Data_old[[#This Row],[2029 ]]</f>
        <v>2.3139872887246813E-12</v>
      </c>
      <c r="AN556">
        <f>$AH556*tbl_Data_old[[#This Row],[2030 ]]</f>
        <v>2.9183078536384427E-12</v>
      </c>
      <c r="AO556">
        <f>$AH556*tbl_Data_old[[#This Row],[2031 ]]</f>
        <v>3.5713825075505756E-12</v>
      </c>
      <c r="AP556">
        <f>$AH556*tbl_Data_old[[#This Row],[2032 ]]</f>
        <v>4.2735362644662663E-12</v>
      </c>
      <c r="AQ556">
        <f>$AH556*tbl_Data_old[[#This Row],[2033 ]]</f>
        <v>5.0265271203728021E-12</v>
      </c>
      <c r="AR556">
        <f>$AH556*tbl_Data_old[[#This Row],[2034 ]]</f>
        <v>5.8288569690611261E-12</v>
      </c>
      <c r="AS556">
        <f>SUM(tbl_Data_old[[#This Row],[Adjusted 2025]:[Adjusted 2034]])</f>
        <v>2.8110550300056259E-11</v>
      </c>
      <c r="AT556" s="3">
        <f>AVERAGEIFS('3. Incentive Adjustment'!F:F,'3. Incentive Adjustment'!A:A,tbl_Data_old[[#This Row],[Trimmed Sector]],'3. Incentive Adjustment'!B:B,tbl_Data_old[[#This Row],[Trimmed Measure Name]])</f>
        <v>4754.4974087894998</v>
      </c>
      <c r="AU556" s="3">
        <f>IFERROR(VLOOKUP(tbl_Data_old[[#This Row],[All_Meas_Name_Append]],'IRA Tax Credits'!$A$3:$D$46,4,0),0)</f>
        <v>500</v>
      </c>
      <c r="AV556" s="4">
        <f>tbl_Data_old[[#This Row],[Adj. per unit Incentive ($)]]/tbl_Data_old[[#This Row],[kWh Savings]]*tbl_Data_old[[#This Row],[Sum of Annuals]]</f>
        <v>2.9848845436112067E-11</v>
      </c>
      <c r="AW556" s="4" t="str">
        <f>IFERROR(VLOOKUP(tbl_Data_old[[#This Row],[All_Programs]],'1. Set Program Names'!$B$2:$D$15,3,0)*tbl_Data_old[[#This Row],[Sum of Annuals]],"")</f>
        <v/>
      </c>
      <c r="AX556" s="4">
        <f>tbl_Data_old[[#This Row],[per unit IRA tax ($)]]/tbl_Data_old[[#This Row],[kWh Savings]]*tbl_Data_old[[#This Row],[Sum of Annuals]]</f>
        <v>3.1390116420014637E-12</v>
      </c>
      <c r="AY556" s="4">
        <f>tbl_Data_old[[#This Row],[Avoided Costs ($/unit)]]/tbl_Data_old[[#This Row],[kWh Savings]]*tbl_Data_old[[#This Row],[Sum of Annuals]]</f>
        <v>1.6766744999568902E-11</v>
      </c>
      <c r="AZ556" s="4">
        <f>tbl_Data_old[[#This Row],[Lost Revenue ($/unit)]]/tbl_Data_old[[#This Row],[kWh Savings]]*tbl_Data_old[[#This Row],[Sum of Annuals]]</f>
        <v>4.333488399143942E-11</v>
      </c>
      <c r="BA556" s="4">
        <f>tbl_Data_old[[#This Row],[Incremental Cost ($/unit)]]/tbl_Data_old[[#This Row],[kWh Savings]]*tbl_Data_old[[#This Row],[Sum of Annuals]]</f>
        <v>2.3101368321154676E-10</v>
      </c>
      <c r="BB556">
        <f>ROUNDUP(tbl_Data_old[[#This Row],[Adjusted 2025]]/$L556,0)</f>
        <v>1</v>
      </c>
      <c r="BC556">
        <f>ROUNDUP(tbl_Data_old[[#This Row],[Adjusted 2026]]/$L556,0)</f>
        <v>1</v>
      </c>
      <c r="BD556">
        <f>ROUNDUP(tbl_Data_old[[#This Row],[Adjusted 2027]]/$L556,0)</f>
        <v>1</v>
      </c>
      <c r="BE556">
        <f>ROUNDUP(tbl_Data_old[[#This Row],[Adjusted 2028]]/$L556,0)</f>
        <v>1</v>
      </c>
      <c r="BF556">
        <f>ROUNDUP(tbl_Data_old[[#This Row],[Adjusted 2029]]/$L556,0)</f>
        <v>1</v>
      </c>
      <c r="BG556">
        <f>ROUNDUP(tbl_Data_old[[#This Row],[Adjusted 2030]]/$L556,0)</f>
        <v>1</v>
      </c>
      <c r="BH556">
        <f>ROUNDUP(tbl_Data_old[[#This Row],[Adjusted 2031]]/$L556,0)</f>
        <v>1</v>
      </c>
      <c r="BI556">
        <f>ROUNDUP(tbl_Data_old[[#This Row],[Adjusted 2032]]/$L556,0)</f>
        <v>1</v>
      </c>
      <c r="BJ556">
        <f>ROUNDUP(tbl_Data_old[[#This Row],[Adjusted 2033]]/$L556,0)</f>
        <v>1</v>
      </c>
      <c r="BK556">
        <f>ROUNDUP(tbl_Data_old[[#This Row],[Adjusted 2034]]/$L556,0)</f>
        <v>1</v>
      </c>
      <c r="BL556" s="3">
        <f t="shared" si="37"/>
        <v>5.0203172742182417E-3</v>
      </c>
      <c r="BM556" s="3">
        <f t="shared" si="37"/>
        <v>1.059252972063412E-2</v>
      </c>
      <c r="BN556" s="3">
        <f t="shared" si="37"/>
        <v>1.6748428550648342E-2</v>
      </c>
      <c r="BO556" s="3">
        <f t="shared" si="37"/>
        <v>2.3530011411780544E-2</v>
      </c>
      <c r="BP556" s="3">
        <f t="shared" si="37"/>
        <v>3.0955769333683603E-2</v>
      </c>
      <c r="BQ556" s="3">
        <f t="shared" si="36"/>
        <v>3.904017329831469E-2</v>
      </c>
      <c r="BR556" s="3">
        <f t="shared" si="36"/>
        <v>4.7776793608498506E-2</v>
      </c>
      <c r="BS556" s="3">
        <f t="shared" si="36"/>
        <v>5.7169978195886963E-2</v>
      </c>
      <c r="BT556" s="3">
        <f t="shared" si="36"/>
        <v>6.7243244959016998E-2</v>
      </c>
      <c r="BU556" s="3">
        <f t="shared" si="36"/>
        <v>7.7976552720276746E-2</v>
      </c>
      <c r="BV556" t="e">
        <f>VLOOKUP($H556,'1. Set Program Names'!$B$2:$D$15,3,0)*V556</f>
        <v>#N/A</v>
      </c>
      <c r="BW556" t="e">
        <f>VLOOKUP($H556,'1. Set Program Names'!$B$2:$D$15,3,0)*W556</f>
        <v>#N/A</v>
      </c>
      <c r="BX556" t="e">
        <f>VLOOKUP($H556,'1. Set Program Names'!$B$2:$D$15,3,0)*X556</f>
        <v>#N/A</v>
      </c>
      <c r="BY556" t="e">
        <f>VLOOKUP($H556,'1. Set Program Names'!$B$2:$D$15,3,0)*Y556</f>
        <v>#N/A</v>
      </c>
      <c r="BZ556" t="e">
        <f>VLOOKUP($H556,'1. Set Program Names'!$B$2:$D$15,3,0)*Z556</f>
        <v>#N/A</v>
      </c>
      <c r="CA556" t="e">
        <f>VLOOKUP($H556,'1. Set Program Names'!$B$2:$D$15,3,0)*AA556</f>
        <v>#N/A</v>
      </c>
      <c r="CB556" t="e">
        <f>VLOOKUP($H556,'1. Set Program Names'!$B$2:$D$15,3,0)*AB556</f>
        <v>#N/A</v>
      </c>
      <c r="CC556" t="e">
        <f>VLOOKUP($H556,'1. Set Program Names'!$B$2:$D$15,3,0)*AC556</f>
        <v>#N/A</v>
      </c>
      <c r="CD556" t="e">
        <f>VLOOKUP($H556,'1. Set Program Names'!$B$2:$D$15,3,0)*AD556</f>
        <v>#N/A</v>
      </c>
      <c r="CE556" t="e">
        <f>VLOOKUP($H556,'1. Set Program Names'!$B$2:$D$15,3,0)*AE556</f>
        <v>#N/A</v>
      </c>
    </row>
    <row r="557" spans="1:83" x14ac:dyDescent="0.25">
      <c r="A557" s="20" t="s">
        <v>117</v>
      </c>
      <c r="B557" s="20" t="s">
        <v>88</v>
      </c>
      <c r="C557" s="20" t="s">
        <v>122</v>
      </c>
      <c r="D557" s="20" t="s">
        <v>90</v>
      </c>
      <c r="E557" s="20" t="s">
        <v>91</v>
      </c>
      <c r="F557" s="20" t="s">
        <v>90</v>
      </c>
      <c r="G557" s="20" t="s">
        <v>92</v>
      </c>
      <c r="H557" s="20" t="s">
        <v>20</v>
      </c>
      <c r="I557" s="20" t="s">
        <v>240</v>
      </c>
      <c r="J557" s="20" t="s">
        <v>129</v>
      </c>
      <c r="K557" s="20" t="s">
        <v>102</v>
      </c>
      <c r="L557" s="20">
        <v>18717.787499999999</v>
      </c>
      <c r="M557" s="20">
        <v>3.6380387810097399</v>
      </c>
      <c r="N557" s="20">
        <v>0.14255501576814</v>
      </c>
      <c r="O557" s="53">
        <f>11091.09/6133.31*tbl_Data_old[[#This Row],[kWh Savings]]</f>
        <v>33848.063405139306</v>
      </c>
      <c r="P557" s="20">
        <v>45532.278837645601</v>
      </c>
      <c r="Q557" s="20">
        <v>1123.0672500000001</v>
      </c>
      <c r="R557" s="20">
        <v>11042.715256281999</v>
      </c>
      <c r="S557" s="20">
        <v>28855.114582630202</v>
      </c>
      <c r="T557" s="20">
        <v>30</v>
      </c>
      <c r="U557" s="20">
        <v>0.05</v>
      </c>
      <c r="V557" s="20">
        <v>2.4947593568523498E-3</v>
      </c>
      <c r="W557" s="20">
        <v>4.9401907089272404E-3</v>
      </c>
      <c r="X557" s="20">
        <v>7.3124217462747299E-3</v>
      </c>
      <c r="Y557" s="20">
        <v>9.61056993732925E-3</v>
      </c>
      <c r="Z557" s="20">
        <v>1.18347448716718E-2</v>
      </c>
      <c r="AA557" s="20">
        <v>1.3979213314243399E-2</v>
      </c>
      <c r="AB557" s="20">
        <v>1.6043048992665301E-2</v>
      </c>
      <c r="AC557" s="20">
        <v>1.8029045987327401E-2</v>
      </c>
      <c r="AD557" s="20">
        <v>1.9936814441337901E-2</v>
      </c>
      <c r="AE557" s="20">
        <v>2.1767290462896799E-2</v>
      </c>
      <c r="AF557" t="str">
        <f t="shared" si="35"/>
        <v>NonResidential</v>
      </c>
      <c r="AG557" t="str">
        <f>tbl_Data_old[[#This Row],[All_Meas_Name_Append]]</f>
        <v>Ceiling Insulation(R2 to R38)</v>
      </c>
      <c r="AH557">
        <f>AVERAGEIFS('3. Incentive Adjustment'!G:G,'3. Incentive Adjustment'!A:A,tbl_Data_old[[#This Row],[Trimmed Sector]],'3. Incentive Adjustment'!B:B,tbl_Data_old[[#This Row],[Trimmed Measure Name]])</f>
        <v>3.0218441517909909E-3</v>
      </c>
      <c r="AI557">
        <f>$AH557*tbl_Data_old[[#This Row],[2025 ]]</f>
        <v>7.538773972630127E-6</v>
      </c>
      <c r="AJ557">
        <f>$AH557*tbl_Data_old[[#This Row],[2026 ]]</f>
        <v>1.4928486402503971E-5</v>
      </c>
      <c r="AK557">
        <f>$AH557*tbl_Data_old[[#This Row],[2027 ]]</f>
        <v>2.2096998889409558E-5</v>
      </c>
      <c r="AL557">
        <f>$AH557*tbl_Data_old[[#This Row],[2028 ]]</f>
        <v>2.9041644560496704E-5</v>
      </c>
      <c r="AM557">
        <f>$AH557*tbl_Data_old[[#This Row],[2029 ]]</f>
        <v>3.5762754578399853E-5</v>
      </c>
      <c r="AN557">
        <f>$AH557*tbl_Data_old[[#This Row],[2030 ]]</f>
        <v>4.2243004000285172E-5</v>
      </c>
      <c r="AO557">
        <f>$AH557*tbl_Data_old[[#This Row],[2031 ]]</f>
        <v>4.8479593775381986E-5</v>
      </c>
      <c r="AP557">
        <f>$AH557*tbl_Data_old[[#This Row],[2032 ]]</f>
        <v>5.4480967179176137E-5</v>
      </c>
      <c r="AQ557">
        <f>$AH557*tbl_Data_old[[#This Row],[2033 ]]</f>
        <v>6.0245946124899105E-5</v>
      </c>
      <c r="AR557">
        <f>$AH557*tbl_Data_old[[#This Row],[2034 ]]</f>
        <v>6.57773593856405E-5</v>
      </c>
      <c r="AS557">
        <f>SUM(tbl_Data_old[[#This Row],[Adjusted 2025]:[Adjusted 2034]])</f>
        <v>3.805955288688231E-4</v>
      </c>
      <c r="AT557" s="3">
        <f>AVERAGEIFS('3. Incentive Adjustment'!F:F,'3. Incentive Adjustment'!A:A,tbl_Data_old[[#This Row],[Trimmed Sector]],'3. Incentive Adjustment'!B:B,tbl_Data_old[[#This Row],[Trimmed Measure Name]])</f>
        <v>4373.4448922946976</v>
      </c>
      <c r="AU557" s="3">
        <f>IFERROR(VLOOKUP(tbl_Data_old[[#This Row],[All_Meas_Name_Append]],'IRA Tax Credits'!$A$3:$D$46,4,0),0)</f>
        <v>0</v>
      </c>
      <c r="AV557" s="4">
        <f>tbl_Data_old[[#This Row],[Adj. per unit Incentive ($)]]/tbl_Data_old[[#This Row],[kWh Savings]]*tbl_Data_old[[#This Row],[Sum of Annuals]]</f>
        <v>8.8926833460501334E-5</v>
      </c>
      <c r="AW557" s="4" t="str">
        <f>IFERROR(VLOOKUP(tbl_Data_old[[#This Row],[All_Programs]],'1. Set Program Names'!$B$2:$D$15,3,0)*tbl_Data_old[[#This Row],[Sum of Annuals]],"")</f>
        <v/>
      </c>
      <c r="AX557" s="4">
        <f>tbl_Data_old[[#This Row],[per unit IRA tax ($)]]/tbl_Data_old[[#This Row],[kWh Savings]]*tbl_Data_old[[#This Row],[Sum of Annuals]]</f>
        <v>0</v>
      </c>
      <c r="AY557" s="4">
        <f>tbl_Data_old[[#This Row],[Avoided Costs ($/unit)]]/tbl_Data_old[[#This Row],[kWh Savings]]*tbl_Data_old[[#This Row],[Sum of Annuals]]</f>
        <v>2.2453551484717248E-4</v>
      </c>
      <c r="AZ557" s="4">
        <f>tbl_Data_old[[#This Row],[Lost Revenue ($/unit)]]/tbl_Data_old[[#This Row],[kWh Savings]]*tbl_Data_old[[#This Row],[Sum of Annuals]]</f>
        <v>5.8672145920807316E-4</v>
      </c>
      <c r="BA557" s="4">
        <f>tbl_Data_old[[#This Row],[Incremental Cost ($/unit)]]/tbl_Data_old[[#This Row],[kWh Savings]]*tbl_Data_old[[#This Row],[Sum of Annuals]]</f>
        <v>6.8824488967322937E-4</v>
      </c>
      <c r="BB557">
        <f>ROUNDUP(tbl_Data_old[[#This Row],[Adjusted 2025]]/$L557,0)</f>
        <v>1</v>
      </c>
      <c r="BC557">
        <f>ROUNDUP(tbl_Data_old[[#This Row],[Adjusted 2026]]/$L557,0)</f>
        <v>1</v>
      </c>
      <c r="BD557">
        <f>ROUNDUP(tbl_Data_old[[#This Row],[Adjusted 2027]]/$L557,0)</f>
        <v>1</v>
      </c>
      <c r="BE557">
        <f>ROUNDUP(tbl_Data_old[[#This Row],[Adjusted 2028]]/$L557,0)</f>
        <v>1</v>
      </c>
      <c r="BF557">
        <f>ROUNDUP(tbl_Data_old[[#This Row],[Adjusted 2029]]/$L557,0)</f>
        <v>1</v>
      </c>
      <c r="BG557">
        <f>ROUNDUP(tbl_Data_old[[#This Row],[Adjusted 2030]]/$L557,0)</f>
        <v>1</v>
      </c>
      <c r="BH557">
        <f>ROUNDUP(tbl_Data_old[[#This Row],[Adjusted 2031]]/$L557,0)</f>
        <v>1</v>
      </c>
      <c r="BI557">
        <f>ROUNDUP(tbl_Data_old[[#This Row],[Adjusted 2032]]/$L557,0)</f>
        <v>1</v>
      </c>
      <c r="BJ557">
        <f>ROUNDUP(tbl_Data_old[[#This Row],[Adjusted 2033]]/$L557,0)</f>
        <v>1</v>
      </c>
      <c r="BK557">
        <f>ROUNDUP(tbl_Data_old[[#This Row],[Adjusted 2034]]/$L557,0)</f>
        <v>1</v>
      </c>
      <c r="BL557" s="3">
        <f t="shared" si="37"/>
        <v>5.8290503440806319E-4</v>
      </c>
      <c r="BM557" s="3">
        <f t="shared" si="37"/>
        <v>1.1542844913117838E-3</v>
      </c>
      <c r="BN557" s="3">
        <f t="shared" si="37"/>
        <v>1.7085605623287418E-3</v>
      </c>
      <c r="BO557" s="3">
        <f t="shared" si="37"/>
        <v>2.245527042362971E-3</v>
      </c>
      <c r="BP557" s="3">
        <f t="shared" si="37"/>
        <v>2.7652095372182159E-3</v>
      </c>
      <c r="BQ557" s="3">
        <f t="shared" si="36"/>
        <v>3.2662684661569023E-3</v>
      </c>
      <c r="BR557" s="3">
        <f t="shared" si="36"/>
        <v>3.7484874039629772E-3</v>
      </c>
      <c r="BS557" s="3">
        <f t="shared" si="36"/>
        <v>4.2125191925714107E-3</v>
      </c>
      <c r="BT557" s="3">
        <f t="shared" si="36"/>
        <v>4.6582727412145487E-3</v>
      </c>
      <c r="BU557" s="3">
        <f t="shared" si="36"/>
        <v>5.0859667732658627E-3</v>
      </c>
      <c r="BV557" t="e">
        <f>VLOOKUP($H557,'1. Set Program Names'!$B$2:$D$15,3,0)*V557</f>
        <v>#N/A</v>
      </c>
      <c r="BW557" t="e">
        <f>VLOOKUP($H557,'1. Set Program Names'!$B$2:$D$15,3,0)*W557</f>
        <v>#N/A</v>
      </c>
      <c r="BX557" t="e">
        <f>VLOOKUP($H557,'1. Set Program Names'!$B$2:$D$15,3,0)*X557</f>
        <v>#N/A</v>
      </c>
      <c r="BY557" t="e">
        <f>VLOOKUP($H557,'1. Set Program Names'!$B$2:$D$15,3,0)*Y557</f>
        <v>#N/A</v>
      </c>
      <c r="BZ557" t="e">
        <f>VLOOKUP($H557,'1. Set Program Names'!$B$2:$D$15,3,0)*Z557</f>
        <v>#N/A</v>
      </c>
      <c r="CA557" t="e">
        <f>VLOOKUP($H557,'1. Set Program Names'!$B$2:$D$15,3,0)*AA557</f>
        <v>#N/A</v>
      </c>
      <c r="CB557" t="e">
        <f>VLOOKUP($H557,'1. Set Program Names'!$B$2:$D$15,3,0)*AB557</f>
        <v>#N/A</v>
      </c>
      <c r="CC557" t="e">
        <f>VLOOKUP($H557,'1. Set Program Names'!$B$2:$D$15,3,0)*AC557</f>
        <v>#N/A</v>
      </c>
      <c r="CD557" t="e">
        <f>VLOOKUP($H557,'1. Set Program Names'!$B$2:$D$15,3,0)*AD557</f>
        <v>#N/A</v>
      </c>
      <c r="CE557" t="e">
        <f>VLOOKUP($H557,'1. Set Program Names'!$B$2:$D$15,3,0)*AE557</f>
        <v>#N/A</v>
      </c>
    </row>
    <row r="558" spans="1:83" x14ac:dyDescent="0.25">
      <c r="A558" s="20" t="s">
        <v>117</v>
      </c>
      <c r="B558" s="20" t="s">
        <v>88</v>
      </c>
      <c r="C558" s="20" t="s">
        <v>122</v>
      </c>
      <c r="D558" s="20" t="s">
        <v>90</v>
      </c>
      <c r="E558" s="20" t="s">
        <v>91</v>
      </c>
      <c r="F558" s="20" t="s">
        <v>90</v>
      </c>
      <c r="G558" s="20" t="s">
        <v>92</v>
      </c>
      <c r="H558" s="20" t="s">
        <v>20</v>
      </c>
      <c r="I558" s="20" t="s">
        <v>241</v>
      </c>
      <c r="J558" s="20" t="s">
        <v>129</v>
      </c>
      <c r="K558" s="20" t="s">
        <v>102</v>
      </c>
      <c r="L558" s="20">
        <v>19185.113333333298</v>
      </c>
      <c r="M558" s="20">
        <v>4.6125790568704801</v>
      </c>
      <c r="N558" s="20">
        <v>0.25911922024205197</v>
      </c>
      <c r="O558" s="53">
        <f>11417.3/6341.92*tbl_Data_old[[#This Row],[kWh Savings]]</f>
        <v>34538.782334161617</v>
      </c>
      <c r="P558" s="20">
        <v>25197.386166847798</v>
      </c>
      <c r="Q558" s="20">
        <v>1151.1068</v>
      </c>
      <c r="R558" s="20">
        <v>12014.6297388403</v>
      </c>
      <c r="S558" s="20">
        <v>29575.538429105502</v>
      </c>
      <c r="T558" s="20">
        <v>30</v>
      </c>
      <c r="U558" s="20">
        <v>0.05</v>
      </c>
      <c r="V558" s="20">
        <v>9.87683399104098E-3</v>
      </c>
      <c r="W558" s="20">
        <v>1.9542676723151201E-2</v>
      </c>
      <c r="X558" s="20">
        <v>2.8904978165375898E-2</v>
      </c>
      <c r="Y558" s="20">
        <v>3.7962028718125103E-2</v>
      </c>
      <c r="Z558" s="20">
        <v>4.6715869778676498E-2</v>
      </c>
      <c r="AA558" s="20">
        <v>5.5145427562382998E-2</v>
      </c>
      <c r="AB558" s="20">
        <v>6.3248454012111793E-2</v>
      </c>
      <c r="AC558" s="20">
        <v>7.10371880554721E-2</v>
      </c>
      <c r="AD558" s="20">
        <v>7.8511257692688394E-2</v>
      </c>
      <c r="AE558" s="20">
        <v>8.5675395772371807E-2</v>
      </c>
      <c r="AF558" t="str">
        <f t="shared" si="35"/>
        <v>NonResidential</v>
      </c>
      <c r="AG558" t="str">
        <f>tbl_Data_old[[#This Row],[All_Meas_Name_Append]]</f>
        <v>Ceiling Insulation(R2 to R49)</v>
      </c>
      <c r="AH558">
        <f>AVERAGEIFS('3. Incentive Adjustment'!G:G,'3. Incentive Adjustment'!A:A,tbl_Data_old[[#This Row],[Trimmed Sector]],'3. Incentive Adjustment'!B:B,tbl_Data_old[[#This Row],[Trimmed Measure Name]])</f>
        <v>5.674595082038876E-2</v>
      </c>
      <c r="AI558">
        <f>$AH558*tbl_Data_old[[#This Row],[2025 ]]</f>
        <v>5.6047033591675554E-4</v>
      </c>
      <c r="AJ558">
        <f>$AH558*tbl_Data_old[[#This Row],[2026 ]]</f>
        <v>1.1089677722306943E-3</v>
      </c>
      <c r="AK558">
        <f>$AH558*tbl_Data_old[[#This Row],[2027 ]]</f>
        <v>1.6402404694368317E-3</v>
      </c>
      <c r="AL558">
        <f>$AH558*tbl_Data_old[[#This Row],[2028 ]]</f>
        <v>2.1541914146809131E-3</v>
      </c>
      <c r="AM558">
        <f>$AH558*tbl_Data_old[[#This Row],[2029 ]]</f>
        <v>2.6509364489924621E-3</v>
      </c>
      <c r="AN558">
        <f>$AH558*tbl_Data_old[[#This Row],[2030 ]]</f>
        <v>3.1292797204242966E-3</v>
      </c>
      <c r="AO558">
        <f>$AH558*tbl_Data_old[[#This Row],[2031 ]]</f>
        <v>3.5890936608369158E-3</v>
      </c>
      <c r="AP558">
        <f>$AH558*tbl_Data_old[[#This Row],[2032 ]]</f>
        <v>4.0310727798145273E-3</v>
      </c>
      <c r="AQ558">
        <f>$AH558*tbl_Data_old[[#This Row],[2033 ]]</f>
        <v>4.4551959678761641E-3</v>
      </c>
      <c r="AR558">
        <f>$AH558*tbl_Data_old[[#This Row],[2034 ]]</f>
        <v>4.8617317950163533E-3</v>
      </c>
      <c r="AS558">
        <f>SUM(tbl_Data_old[[#This Row],[Adjusted 2025]:[Adjusted 2034]])</f>
        <v>2.8181180365225912E-2</v>
      </c>
      <c r="AT558" s="3">
        <f>AVERAGEIFS('3. Incentive Adjustment'!F:F,'3. Incentive Adjustment'!A:A,tbl_Data_old[[#This Row],[Trimmed Sector]],'3. Incentive Adjustment'!B:B,tbl_Data_old[[#This Row],[Trimmed Measure Name]])</f>
        <v>4335.1908026959672</v>
      </c>
      <c r="AU558" s="3">
        <f>IFERROR(VLOOKUP(tbl_Data_old[[#This Row],[All_Meas_Name_Append]],'IRA Tax Credits'!$A$3:$D$46,4,0),0)</f>
        <v>500</v>
      </c>
      <c r="AV558" s="4">
        <f>tbl_Data_old[[#This Row],[Adj. per unit Incentive ($)]]/tbl_Data_old[[#This Row],[kWh Savings]]*tbl_Data_old[[#This Row],[Sum of Annuals]]</f>
        <v>6.3679995945698752E-3</v>
      </c>
      <c r="AW558" s="4" t="str">
        <f>IFERROR(VLOOKUP(tbl_Data_old[[#This Row],[All_Programs]],'1. Set Program Names'!$B$2:$D$15,3,0)*tbl_Data_old[[#This Row],[Sum of Annuals]],"")</f>
        <v/>
      </c>
      <c r="AX558" s="4">
        <f>tbl_Data_old[[#This Row],[per unit IRA tax ($)]]/tbl_Data_old[[#This Row],[kWh Savings]]*tbl_Data_old[[#This Row],[Sum of Annuals]]</f>
        <v>7.3445436249423499E-4</v>
      </c>
      <c r="AY558" s="4">
        <f>tbl_Data_old[[#This Row],[Avoided Costs ($/unit)]]/tbl_Data_old[[#This Row],[kWh Savings]]*tbl_Data_old[[#This Row],[Sum of Annuals]]</f>
        <v>1.764839445088846E-2</v>
      </c>
      <c r="AZ558" s="4">
        <f>tbl_Data_old[[#This Row],[Lost Revenue ($/unit)]]/tbl_Data_old[[#This Row],[kWh Savings]]*tbl_Data_old[[#This Row],[Sum of Annuals]]</f>
        <v>4.3443766444744861E-2</v>
      </c>
      <c r="BA558" s="4">
        <f>tbl_Data_old[[#This Row],[Incremental Cost ($/unit)]]/tbl_Data_old[[#This Row],[kWh Savings]]*tbl_Data_old[[#This Row],[Sum of Annuals]]</f>
        <v>5.073431872112763E-2</v>
      </c>
      <c r="BB558">
        <f>ROUNDUP(tbl_Data_old[[#This Row],[Adjusted 2025]]/$L558,0)</f>
        <v>1</v>
      </c>
      <c r="BC558">
        <f>ROUNDUP(tbl_Data_old[[#This Row],[Adjusted 2026]]/$L558,0)</f>
        <v>1</v>
      </c>
      <c r="BD558">
        <f>ROUNDUP(tbl_Data_old[[#This Row],[Adjusted 2027]]/$L558,0)</f>
        <v>1</v>
      </c>
      <c r="BE558">
        <f>ROUNDUP(tbl_Data_old[[#This Row],[Adjusted 2028]]/$L558,0)</f>
        <v>1</v>
      </c>
      <c r="BF558">
        <f>ROUNDUP(tbl_Data_old[[#This Row],[Adjusted 2029]]/$L558,0)</f>
        <v>1</v>
      </c>
      <c r="BG558">
        <f>ROUNDUP(tbl_Data_old[[#This Row],[Adjusted 2030]]/$L558,0)</f>
        <v>1</v>
      </c>
      <c r="BH558">
        <f>ROUNDUP(tbl_Data_old[[#This Row],[Adjusted 2031]]/$L558,0)</f>
        <v>1</v>
      </c>
      <c r="BI558">
        <f>ROUNDUP(tbl_Data_old[[#This Row],[Adjusted 2032]]/$L558,0)</f>
        <v>1</v>
      </c>
      <c r="BJ558">
        <f>ROUNDUP(tbl_Data_old[[#This Row],[Adjusted 2033]]/$L558,0)</f>
        <v>1</v>
      </c>
      <c r="BK558">
        <f>ROUNDUP(tbl_Data_old[[#This Row],[Adjusted 2034]]/$L558,0)</f>
        <v>1</v>
      </c>
      <c r="BL558" s="3">
        <f t="shared" si="37"/>
        <v>2.2318325221108502E-3</v>
      </c>
      <c r="BM558" s="3">
        <f t="shared" si="37"/>
        <v>4.4159881111083248E-3</v>
      </c>
      <c r="BN558" s="3">
        <f t="shared" si="37"/>
        <v>6.5315535705982577E-3</v>
      </c>
      <c r="BO558" s="3">
        <f t="shared" si="37"/>
        <v>8.5781425885328669E-3</v>
      </c>
      <c r="BP558" s="3">
        <f t="shared" si="37"/>
        <v>1.0556216452085656E-2</v>
      </c>
      <c r="BQ558" s="3">
        <f t="shared" si="36"/>
        <v>1.2461013194215163E-2</v>
      </c>
      <c r="BR558" s="3">
        <f t="shared" si="36"/>
        <v>1.4292024829566452E-2</v>
      </c>
      <c r="BS558" s="3">
        <f t="shared" si="36"/>
        <v>1.6052016944429502E-2</v>
      </c>
      <c r="BT558" s="3">
        <f t="shared" si="36"/>
        <v>1.7740905479357937E-2</v>
      </c>
      <c r="BU558" s="3">
        <f t="shared" si="36"/>
        <v>1.9359759899067082E-2</v>
      </c>
      <c r="BV558" t="e">
        <f>VLOOKUP($H558,'1. Set Program Names'!$B$2:$D$15,3,0)*V558</f>
        <v>#N/A</v>
      </c>
      <c r="BW558" t="e">
        <f>VLOOKUP($H558,'1. Set Program Names'!$B$2:$D$15,3,0)*W558</f>
        <v>#N/A</v>
      </c>
      <c r="BX558" t="e">
        <f>VLOOKUP($H558,'1. Set Program Names'!$B$2:$D$15,3,0)*X558</f>
        <v>#N/A</v>
      </c>
      <c r="BY558" t="e">
        <f>VLOOKUP($H558,'1. Set Program Names'!$B$2:$D$15,3,0)*Y558</f>
        <v>#N/A</v>
      </c>
      <c r="BZ558" t="e">
        <f>VLOOKUP($H558,'1. Set Program Names'!$B$2:$D$15,3,0)*Z558</f>
        <v>#N/A</v>
      </c>
      <c r="CA558" t="e">
        <f>VLOOKUP($H558,'1. Set Program Names'!$B$2:$D$15,3,0)*AA558</f>
        <v>#N/A</v>
      </c>
      <c r="CB558" t="e">
        <f>VLOOKUP($H558,'1. Set Program Names'!$B$2:$D$15,3,0)*AB558</f>
        <v>#N/A</v>
      </c>
      <c r="CC558" t="e">
        <f>VLOOKUP($H558,'1. Set Program Names'!$B$2:$D$15,3,0)*AC558</f>
        <v>#N/A</v>
      </c>
      <c r="CD558" t="e">
        <f>VLOOKUP($H558,'1. Set Program Names'!$B$2:$D$15,3,0)*AD558</f>
        <v>#N/A</v>
      </c>
      <c r="CE558" t="e">
        <f>VLOOKUP($H558,'1. Set Program Names'!$B$2:$D$15,3,0)*AE558</f>
        <v>#N/A</v>
      </c>
    </row>
    <row r="559" spans="1:83" x14ac:dyDescent="0.25">
      <c r="A559" s="20" t="s">
        <v>117</v>
      </c>
      <c r="B559" s="20" t="s">
        <v>88</v>
      </c>
      <c r="C559" s="20" t="s">
        <v>122</v>
      </c>
      <c r="D559" s="20" t="s">
        <v>90</v>
      </c>
      <c r="E559" s="20" t="s">
        <v>91</v>
      </c>
      <c r="F559" s="20" t="s">
        <v>90</v>
      </c>
      <c r="G559" s="20" t="s">
        <v>92</v>
      </c>
      <c r="H559" s="20" t="s">
        <v>20</v>
      </c>
      <c r="I559" s="20" t="s">
        <v>128</v>
      </c>
      <c r="J559" s="20" t="s">
        <v>129</v>
      </c>
      <c r="K559" s="20" t="s">
        <v>130</v>
      </c>
      <c r="L559" s="53">
        <v>2045.1799999999989</v>
      </c>
      <c r="M559" s="53">
        <v>0.47104509500000002</v>
      </c>
      <c r="N559" s="53">
        <v>0.17900382200000001</v>
      </c>
      <c r="O559" s="53">
        <f>19591.5999999999/60160.456*2045.18</f>
        <v>666.02468053100858</v>
      </c>
      <c r="P559" s="53">
        <f>11310.7385995848/60160.456*2045.18</f>
        <v>384.51331501042552</v>
      </c>
      <c r="Q559" s="53">
        <f>2141.69388188172/60160.456*2045.18</f>
        <v>72.807784125619918</v>
      </c>
      <c r="R559" s="53">
        <f>32581.871747558/60160.456*2045.18</f>
        <v>1107.6344311730397</v>
      </c>
      <c r="S559" s="53">
        <f>77209.8271220691/60160.456*2045.18</f>
        <v>2624.780540784353</v>
      </c>
      <c r="T559" s="20">
        <v>20</v>
      </c>
      <c r="U559" s="20">
        <v>4.9999999999999899E-2</v>
      </c>
      <c r="V559" s="20">
        <v>0.85411543567367199</v>
      </c>
      <c r="W559" s="20">
        <v>1.6950099923491</v>
      </c>
      <c r="X559" s="20">
        <v>2.5177129732686998</v>
      </c>
      <c r="Y559" s="20">
        <v>3.3221569061118998</v>
      </c>
      <c r="Z559" s="20">
        <v>4.10722213297284</v>
      </c>
      <c r="AA559" s="20">
        <v>4.8712442793860902</v>
      </c>
      <c r="AB559" s="20">
        <v>5.6127495145147703</v>
      </c>
      <c r="AC559" s="20">
        <v>6.3319193108217497</v>
      </c>
      <c r="AD559" s="20">
        <v>7.0298008070388098</v>
      </c>
      <c r="AE559" s="20">
        <v>7.7058718780523003</v>
      </c>
      <c r="AF559" t="str">
        <f t="shared" si="35"/>
        <v>NonResidential</v>
      </c>
      <c r="AG559" t="str">
        <f>tbl_Data_old[[#This Row],[All_Meas_Name_Append]]</f>
        <v>Commercial Duct Sealing</v>
      </c>
      <c r="AH559">
        <f>AVERAGEIFS('3. Incentive Adjustment'!G:G,'3. Incentive Adjustment'!A:A,tbl_Data_old[[#This Row],[Trimmed Sector]],'3. Incentive Adjustment'!B:B,tbl_Data_old[[#This Row],[Trimmed Measure Name]])</f>
        <v>0.69277112909915817</v>
      </c>
      <c r="AI559">
        <f>$AH559*tbl_Data_old[[#This Row],[2025 ]]</f>
        <v>0.59170651475266911</v>
      </c>
      <c r="AJ559">
        <f>$AH559*tbl_Data_old[[#This Row],[2026 ]]</f>
        <v>1.1742539862340415</v>
      </c>
      <c r="AK559">
        <f>$AH559*tbl_Data_old[[#This Row],[2027 ]]</f>
        <v>1.7441988592389557</v>
      </c>
      <c r="AL559">
        <f>$AH559*tbl_Data_old[[#This Row],[2028 ]]</f>
        <v>2.3014943908917069</v>
      </c>
      <c r="AM559">
        <f>$AH559*tbl_Data_old[[#This Row],[2029 ]]</f>
        <v>2.8453649145206472</v>
      </c>
      <c r="AN559">
        <f>$AH559*tbl_Data_old[[#This Row],[2030 ]]</f>
        <v>3.3746573995481168</v>
      </c>
      <c r="AO559">
        <f>$AH559*tbl_Data_old[[#This Row],[2031 ]]</f>
        <v>3.8883508185211495</v>
      </c>
      <c r="AP559">
        <f>$AH559*tbl_Data_old[[#This Row],[2032 ]]</f>
        <v>4.3865708903227469</v>
      </c>
      <c r="AQ559">
        <f>$AH559*tbl_Data_old[[#This Row],[2033 ]]</f>
        <v>4.8700430424344496</v>
      </c>
      <c r="AR559">
        <f>$AH559*tbl_Data_old[[#This Row],[2034 ]]</f>
        <v>5.3384055616517427</v>
      </c>
      <c r="AS559">
        <f>SUM(tbl_Data_old[[#This Row],[Adjusted 2025]:[Adjusted 2034]])</f>
        <v>30.515046378116228</v>
      </c>
      <c r="AT559" s="3">
        <f>AVERAGEIFS('3. Incentive Adjustment'!F:F,'3. Incentive Adjustment'!A:A,tbl_Data_old[[#This Row],[Trimmed Sector]],'3. Incentive Adjustment'!B:B,tbl_Data_old[[#This Row],[Trimmed Measure Name]])</f>
        <v>100</v>
      </c>
      <c r="AU559" s="3">
        <f>IFERROR(VLOOKUP(tbl_Data_old[[#This Row],[All_Meas_Name_Append]],'IRA Tax Credits'!$A$3:$D$46,4,0),0)</f>
        <v>0</v>
      </c>
      <c r="AV559" s="4">
        <f>tbl_Data_old[[#This Row],[Adj. per unit Incentive ($)]]/tbl_Data_old[[#This Row],[kWh Savings]]*tbl_Data_old[[#This Row],[Sum of Annuals]]</f>
        <v>1.4920469776800205</v>
      </c>
      <c r="AW559" s="4" t="str">
        <f>IFERROR(VLOOKUP(tbl_Data_old[[#This Row],[All_Programs]],'1. Set Program Names'!$B$2:$D$15,3,0)*tbl_Data_old[[#This Row],[Sum of Annuals]],"")</f>
        <v/>
      </c>
      <c r="AX559" s="4">
        <f>tbl_Data_old[[#This Row],[per unit IRA tax ($)]]/tbl_Data_old[[#This Row],[kWh Savings]]*tbl_Data_old[[#This Row],[Sum of Annuals]]</f>
        <v>0</v>
      </c>
      <c r="AY559" s="4">
        <f>tbl_Data_old[[#This Row],[Avoided Costs ($/unit)]]/tbl_Data_old[[#This Row],[kWh Savings]]*tbl_Data_old[[#This Row],[Sum of Annuals]]</f>
        <v>16.526426054060629</v>
      </c>
      <c r="AZ559" s="4">
        <f>tbl_Data_old[[#This Row],[Lost Revenue ($/unit)]]/tbl_Data_old[[#This Row],[kWh Savings]]*tbl_Data_old[[#This Row],[Sum of Annuals]]</f>
        <v>39.162958729506236</v>
      </c>
      <c r="BA559" s="4">
        <f>tbl_Data_old[[#This Row],[Incremental Cost ($/unit)]]/tbl_Data_old[[#This Row],[kWh Savings]]*tbl_Data_old[[#This Row],[Sum of Annuals]]</f>
        <v>9.9374011164659262</v>
      </c>
      <c r="BB559">
        <f>ROUNDUP(tbl_Data_old[[#This Row],[Adjusted 2025]]/$L559,0)</f>
        <v>1</v>
      </c>
      <c r="BC559">
        <f>ROUNDUP(tbl_Data_old[[#This Row],[Adjusted 2026]]/$L559,0)</f>
        <v>1</v>
      </c>
      <c r="BD559">
        <f>ROUNDUP(tbl_Data_old[[#This Row],[Adjusted 2027]]/$L559,0)</f>
        <v>1</v>
      </c>
      <c r="BE559">
        <f>ROUNDUP(tbl_Data_old[[#This Row],[Adjusted 2028]]/$L559,0)</f>
        <v>1</v>
      </c>
      <c r="BF559">
        <f>ROUNDUP(tbl_Data_old[[#This Row],[Adjusted 2029]]/$L559,0)</f>
        <v>1</v>
      </c>
      <c r="BG559">
        <f>ROUNDUP(tbl_Data_old[[#This Row],[Adjusted 2030]]/$L559,0)</f>
        <v>1</v>
      </c>
      <c r="BH559">
        <f>ROUNDUP(tbl_Data_old[[#This Row],[Adjusted 2031]]/$L559,0)</f>
        <v>1</v>
      </c>
      <c r="BI559">
        <f>ROUNDUP(tbl_Data_old[[#This Row],[Adjusted 2032]]/$L559,0)</f>
        <v>1</v>
      </c>
      <c r="BJ559">
        <f>ROUNDUP(tbl_Data_old[[#This Row],[Adjusted 2033]]/$L559,0)</f>
        <v>1</v>
      </c>
      <c r="BK559">
        <f>ROUNDUP(tbl_Data_old[[#This Row],[Adjusted 2034]]/$L559,0)</f>
        <v>1</v>
      </c>
      <c r="BL559" s="3">
        <f t="shared" si="37"/>
        <v>4.1762360069708897E-2</v>
      </c>
      <c r="BM559" s="3">
        <f t="shared" si="37"/>
        <v>8.2878279288331635E-2</v>
      </c>
      <c r="BN559" s="3">
        <f t="shared" si="37"/>
        <v>0.12310471319241834</v>
      </c>
      <c r="BO559" s="3">
        <f t="shared" si="37"/>
        <v>0.16243836269237436</v>
      </c>
      <c r="BP559" s="3">
        <f t="shared" si="37"/>
        <v>0.20082448160909272</v>
      </c>
      <c r="BQ559" s="3">
        <f t="shared" si="37"/>
        <v>0.23818168960121325</v>
      </c>
      <c r="BR559" s="3">
        <f t="shared" si="37"/>
        <v>0.27443792304417086</v>
      </c>
      <c r="BS559" s="3">
        <f t="shared" si="37"/>
        <v>0.30960205511601685</v>
      </c>
      <c r="BT559" s="3">
        <f t="shared" si="37"/>
        <v>0.3437252861380814</v>
      </c>
      <c r="BU559" s="3">
        <f t="shared" si="37"/>
        <v>0.37678208656706524</v>
      </c>
      <c r="BV559" t="e">
        <f>VLOOKUP($H559,'1. Set Program Names'!$B$2:$D$15,3,0)*V559</f>
        <v>#N/A</v>
      </c>
      <c r="BW559" t="e">
        <f>VLOOKUP($H559,'1. Set Program Names'!$B$2:$D$15,3,0)*W559</f>
        <v>#N/A</v>
      </c>
      <c r="BX559" t="e">
        <f>VLOOKUP($H559,'1. Set Program Names'!$B$2:$D$15,3,0)*X559</f>
        <v>#N/A</v>
      </c>
      <c r="BY559" t="e">
        <f>VLOOKUP($H559,'1. Set Program Names'!$B$2:$D$15,3,0)*Y559</f>
        <v>#N/A</v>
      </c>
      <c r="BZ559" t="e">
        <f>VLOOKUP($H559,'1. Set Program Names'!$B$2:$D$15,3,0)*Z559</f>
        <v>#N/A</v>
      </c>
      <c r="CA559" t="e">
        <f>VLOOKUP($H559,'1. Set Program Names'!$B$2:$D$15,3,0)*AA559</f>
        <v>#N/A</v>
      </c>
      <c r="CB559" t="e">
        <f>VLOOKUP($H559,'1. Set Program Names'!$B$2:$D$15,3,0)*AB559</f>
        <v>#N/A</v>
      </c>
      <c r="CC559" t="e">
        <f>VLOOKUP($H559,'1. Set Program Names'!$B$2:$D$15,3,0)*AC559</f>
        <v>#N/A</v>
      </c>
      <c r="CD559" t="e">
        <f>VLOOKUP($H559,'1. Set Program Names'!$B$2:$D$15,3,0)*AD559</f>
        <v>#N/A</v>
      </c>
      <c r="CE559" t="e">
        <f>VLOOKUP($H559,'1. Set Program Names'!$B$2:$D$15,3,0)*AE559</f>
        <v>#N/A</v>
      </c>
    </row>
    <row r="560" spans="1:83" x14ac:dyDescent="0.25">
      <c r="A560" s="20" t="s">
        <v>117</v>
      </c>
      <c r="B560" s="20" t="s">
        <v>88</v>
      </c>
      <c r="C560" s="20" t="s">
        <v>122</v>
      </c>
      <c r="D560" s="20" t="s">
        <v>90</v>
      </c>
      <c r="E560" s="20" t="s">
        <v>91</v>
      </c>
      <c r="F560" s="20" t="s">
        <v>90</v>
      </c>
      <c r="G560" s="20" t="s">
        <v>92</v>
      </c>
      <c r="H560" s="20" t="s">
        <v>20</v>
      </c>
      <c r="I560" s="20" t="s">
        <v>303</v>
      </c>
      <c r="J560" s="20" t="s">
        <v>129</v>
      </c>
      <c r="K560" s="20" t="s">
        <v>298</v>
      </c>
      <c r="L560" s="20">
        <v>2407.8671428571402</v>
      </c>
      <c r="M560" s="20">
        <v>0.43509988390469401</v>
      </c>
      <c r="N560" s="20">
        <v>0.148929049658067</v>
      </c>
      <c r="O560" s="20">
        <v>1278.9912095238201</v>
      </c>
      <c r="P560" s="20">
        <v>9094.9443435978392</v>
      </c>
      <c r="Q560" s="20">
        <v>144.47202857142801</v>
      </c>
      <c r="R560" s="20">
        <v>1364.7105452988201</v>
      </c>
      <c r="S560" s="20">
        <v>3090.2526043504499</v>
      </c>
      <c r="T560" s="20">
        <v>20</v>
      </c>
      <c r="U560" s="20">
        <v>4.9999999999999899E-2</v>
      </c>
      <c r="V560" s="20">
        <v>0.45410869342033799</v>
      </c>
      <c r="W560" s="20">
        <v>0.88529235317144195</v>
      </c>
      <c r="X560" s="20">
        <v>1.2896757590891701</v>
      </c>
      <c r="Y560" s="20">
        <v>1.66727672669438</v>
      </c>
      <c r="Z560" s="20">
        <v>2.01827230685541</v>
      </c>
      <c r="AA560" s="20">
        <v>2.3427273831295099</v>
      </c>
      <c r="AB560" s="20">
        <v>2.6413241132011702</v>
      </c>
      <c r="AC560" s="20">
        <v>2.9155550661322098</v>
      </c>
      <c r="AD560" s="20">
        <v>3.1671733507461202</v>
      </c>
      <c r="AE560" s="20">
        <v>3.3975565900293301</v>
      </c>
      <c r="AF560" t="str">
        <f t="shared" si="35"/>
        <v>NonResidential</v>
      </c>
      <c r="AG560" t="str">
        <f>tbl_Data_old[[#This Row],[All_Meas_Name_Append]]</f>
        <v>Energy Star windows</v>
      </c>
      <c r="AH560">
        <f>AVERAGEIFS('3. Incentive Adjustment'!G:G,'3. Incentive Adjustment'!A:A,tbl_Data_old[[#This Row],[Trimmed Sector]],'3. Incentive Adjustment'!B:B,tbl_Data_old[[#This Row],[Trimmed Measure Name]])</f>
        <v>1.8374525511831319E-4</v>
      </c>
      <c r="AI560">
        <f>$AH560*tbl_Data_old[[#This Row],[2025 ]]</f>
        <v>8.3440317723963879E-5</v>
      </c>
      <c r="AJ560">
        <f>$AH560*tbl_Data_old[[#This Row],[2026 ]]</f>
        <v>1.6266826928777842E-4</v>
      </c>
      <c r="AK560">
        <f>$AH560*tbl_Data_old[[#This Row],[2027 ]]</f>
        <v>2.3697180137374378E-4</v>
      </c>
      <c r="AL560">
        <f>$AH560*tbl_Data_old[[#This Row],[2028 ]]</f>
        <v>3.0635418749928498E-4</v>
      </c>
      <c r="AM560">
        <f>$AH560*tbl_Data_old[[#This Row],[2029 ]]</f>
        <v>3.7084795992137378E-4</v>
      </c>
      <c r="AN560">
        <f>$AH560*tbl_Data_old[[#This Row],[2030 ]]</f>
        <v>4.3046504068579007E-4</v>
      </c>
      <c r="AO560">
        <f>$AH560*tbl_Data_old[[#This Row],[2031 ]]</f>
        <v>4.8533077303030135E-4</v>
      </c>
      <c r="AP560">
        <f>$AH560*tbl_Data_old[[#This Row],[2032 ]]</f>
        <v>5.3571940943795342E-4</v>
      </c>
      <c r="AQ560">
        <f>$AH560*tbl_Data_old[[#This Row],[2033 ]]</f>
        <v>5.8195307533676869E-4</v>
      </c>
      <c r="AR560">
        <f>$AH560*tbl_Data_old[[#This Row],[2034 ]]</f>
        <v>6.2428490241384549E-4</v>
      </c>
      <c r="AS560">
        <f>SUM(tbl_Data_old[[#This Row],[Adjusted 2025]:[Adjusted 2034]])</f>
        <v>3.8180357367108039E-3</v>
      </c>
      <c r="AT560" s="3">
        <f>AVERAGEIFS('3. Incentive Adjustment'!F:F,'3. Incentive Adjustment'!A:A,tbl_Data_old[[#This Row],[Trimmed Sector]],'3. Incentive Adjustment'!B:B,tbl_Data_old[[#This Row],[Trimmed Measure Name]])</f>
        <v>1244.9532966663394</v>
      </c>
      <c r="AU560" s="3">
        <f>IFERROR(VLOOKUP(tbl_Data_old[[#This Row],[All_Meas_Name_Append]],'IRA Tax Credits'!$A$3:$D$46,4,0),0)</f>
        <v>250</v>
      </c>
      <c r="AV560" s="4">
        <f>tbl_Data_old[[#This Row],[Adj. per unit Incentive ($)]]/tbl_Data_old[[#This Row],[kWh Savings]]*tbl_Data_old[[#This Row],[Sum of Annuals]]</f>
        <v>1.9740608161494502E-3</v>
      </c>
      <c r="AW560" s="4" t="str">
        <f>IFERROR(VLOOKUP(tbl_Data_old[[#This Row],[All_Programs]],'1. Set Program Names'!$B$2:$D$15,3,0)*tbl_Data_old[[#This Row],[Sum of Annuals]],"")</f>
        <v/>
      </c>
      <c r="AX560" s="4">
        <f>tbl_Data_old[[#This Row],[per unit IRA tax ($)]]/tbl_Data_old[[#This Row],[kWh Savings]]*tbl_Data_old[[#This Row],[Sum of Annuals]]</f>
        <v>3.9641262476180247E-4</v>
      </c>
      <c r="AY560" s="4">
        <f>tbl_Data_old[[#This Row],[Avoided Costs ($/unit)]]/tbl_Data_old[[#This Row],[kWh Savings]]*tbl_Data_old[[#This Row],[Sum of Annuals]]</f>
        <v>2.1639539572080638E-3</v>
      </c>
      <c r="AZ560" s="4">
        <f>tbl_Data_old[[#This Row],[Lost Revenue ($/unit)]]/tbl_Data_old[[#This Row],[kWh Savings]]*tbl_Data_old[[#This Row],[Sum of Annuals]]</f>
        <v>4.9000605842702315E-3</v>
      </c>
      <c r="BA560" s="4">
        <f>tbl_Data_old[[#This Row],[Incremental Cost ($/unit)]]/tbl_Data_old[[#This Row],[kWh Savings]]*tbl_Data_old[[#This Row],[Sum of Annuals]]</f>
        <v>2.02803304965844E-3</v>
      </c>
      <c r="BB560">
        <f>ROUNDUP(tbl_Data_old[[#This Row],[Adjusted 2025]]/$L560,0)</f>
        <v>1</v>
      </c>
      <c r="BC560">
        <f>ROUNDUP(tbl_Data_old[[#This Row],[Adjusted 2026]]/$L560,0)</f>
        <v>1</v>
      </c>
      <c r="BD560">
        <f>ROUNDUP(tbl_Data_old[[#This Row],[Adjusted 2027]]/$L560,0)</f>
        <v>1</v>
      </c>
      <c r="BE560">
        <f>ROUNDUP(tbl_Data_old[[#This Row],[Adjusted 2028]]/$L560,0)</f>
        <v>1</v>
      </c>
      <c r="BF560">
        <f>ROUNDUP(tbl_Data_old[[#This Row],[Adjusted 2029]]/$L560,0)</f>
        <v>1</v>
      </c>
      <c r="BG560">
        <f>ROUNDUP(tbl_Data_old[[#This Row],[Adjusted 2030]]/$L560,0)</f>
        <v>1</v>
      </c>
      <c r="BH560">
        <f>ROUNDUP(tbl_Data_old[[#This Row],[Adjusted 2031]]/$L560,0)</f>
        <v>1</v>
      </c>
      <c r="BI560">
        <f>ROUNDUP(tbl_Data_old[[#This Row],[Adjusted 2032]]/$L560,0)</f>
        <v>1</v>
      </c>
      <c r="BJ560">
        <f>ROUNDUP(tbl_Data_old[[#This Row],[Adjusted 2033]]/$L560,0)</f>
        <v>1</v>
      </c>
      <c r="BK560">
        <f>ROUNDUP(tbl_Data_old[[#This Row],[Adjusted 2034]]/$L560,0)</f>
        <v>1</v>
      </c>
      <c r="BL560" s="3">
        <f t="shared" ref="BL560:BU585" si="38">$AT560/$L560*V560</f>
        <v>0.23479041050731092</v>
      </c>
      <c r="BM560" s="3">
        <f t="shared" si="38"/>
        <v>0.45772775996540055</v>
      </c>
      <c r="BN560" s="3">
        <f t="shared" si="38"/>
        <v>0.66680842116710848</v>
      </c>
      <c r="BO560" s="3">
        <f t="shared" si="38"/>
        <v>0.86204160537290198</v>
      </c>
      <c r="BP560" s="3">
        <f t="shared" si="38"/>
        <v>1.0435188542041156</v>
      </c>
      <c r="BQ560" s="3">
        <f t="shared" si="38"/>
        <v>1.2112737147768091</v>
      </c>
      <c r="BR560" s="3">
        <f t="shared" si="38"/>
        <v>1.3656588869733957</v>
      </c>
      <c r="BS560" s="3">
        <f t="shared" si="38"/>
        <v>1.5074460822977787</v>
      </c>
      <c r="BT560" s="3">
        <f t="shared" si="38"/>
        <v>1.6375417206143992</v>
      </c>
      <c r="BU560" s="3">
        <f t="shared" si="38"/>
        <v>1.7566580822015134</v>
      </c>
      <c r="BV560" t="e">
        <f>VLOOKUP($H560,'1. Set Program Names'!$B$2:$D$15,3,0)*V560</f>
        <v>#N/A</v>
      </c>
      <c r="BW560" t="e">
        <f>VLOOKUP($H560,'1. Set Program Names'!$B$2:$D$15,3,0)*W560</f>
        <v>#N/A</v>
      </c>
      <c r="BX560" t="e">
        <f>VLOOKUP($H560,'1. Set Program Names'!$B$2:$D$15,3,0)*X560</f>
        <v>#N/A</v>
      </c>
      <c r="BY560" t="e">
        <f>VLOOKUP($H560,'1. Set Program Names'!$B$2:$D$15,3,0)*Y560</f>
        <v>#N/A</v>
      </c>
      <c r="BZ560" t="e">
        <f>VLOOKUP($H560,'1. Set Program Names'!$B$2:$D$15,3,0)*Z560</f>
        <v>#N/A</v>
      </c>
      <c r="CA560" t="e">
        <f>VLOOKUP($H560,'1. Set Program Names'!$B$2:$D$15,3,0)*AA560</f>
        <v>#N/A</v>
      </c>
      <c r="CB560" t="e">
        <f>VLOOKUP($H560,'1. Set Program Names'!$B$2:$D$15,3,0)*AB560</f>
        <v>#N/A</v>
      </c>
      <c r="CC560" t="e">
        <f>VLOOKUP($H560,'1. Set Program Names'!$B$2:$D$15,3,0)*AC560</f>
        <v>#N/A</v>
      </c>
      <c r="CD560" t="e">
        <f>VLOOKUP($H560,'1. Set Program Names'!$B$2:$D$15,3,0)*AD560</f>
        <v>#N/A</v>
      </c>
      <c r="CE560" t="e">
        <f>VLOOKUP($H560,'1. Set Program Names'!$B$2:$D$15,3,0)*AE560</f>
        <v>#N/A</v>
      </c>
    </row>
    <row r="561" spans="1:83" x14ac:dyDescent="0.25">
      <c r="A561" s="20" t="s">
        <v>117</v>
      </c>
      <c r="B561" s="20" t="s">
        <v>88</v>
      </c>
      <c r="C561" s="20" t="s">
        <v>122</v>
      </c>
      <c r="D561" s="20" t="s">
        <v>90</v>
      </c>
      <c r="E561" s="20" t="s">
        <v>91</v>
      </c>
      <c r="F561" s="20" t="s">
        <v>90</v>
      </c>
      <c r="G561" s="20" t="s">
        <v>92</v>
      </c>
      <c r="H561" s="20" t="s">
        <v>20</v>
      </c>
      <c r="I561" s="20" t="s">
        <v>143</v>
      </c>
      <c r="J561" s="20" t="s">
        <v>144</v>
      </c>
      <c r="K561" s="20" t="s">
        <v>108</v>
      </c>
      <c r="L561" s="20">
        <v>6670.6049999999896</v>
      </c>
      <c r="M561" s="20">
        <v>1.04667148638823</v>
      </c>
      <c r="N561" s="20">
        <v>1.5598507965563999</v>
      </c>
      <c r="O561" s="20">
        <v>2431.625</v>
      </c>
      <c r="P561" s="20">
        <v>977.24379425036398</v>
      </c>
      <c r="Q561" s="20">
        <v>400.23629999999901</v>
      </c>
      <c r="R561" s="20">
        <v>3400.8076679878</v>
      </c>
      <c r="S561" s="20">
        <v>7245.0779694633802</v>
      </c>
      <c r="T561" s="20">
        <v>15</v>
      </c>
      <c r="U561" s="20">
        <v>0.05</v>
      </c>
      <c r="V561" s="20">
        <v>0.39585372060026702</v>
      </c>
      <c r="W561" s="20">
        <v>0.83116306151873598</v>
      </c>
      <c r="X561" s="20">
        <v>1.29871029189307</v>
      </c>
      <c r="Y561" s="20">
        <v>1.7943062199794799</v>
      </c>
      <c r="Z561" s="20">
        <v>2.3139028253402398</v>
      </c>
      <c r="AA561" s="20">
        <v>2.8532597712744598</v>
      </c>
      <c r="AB561" s="20">
        <v>3.4088726491584098</v>
      </c>
      <c r="AC561" s="20">
        <v>3.9787909686393399</v>
      </c>
      <c r="AD561" s="20">
        <v>4.56152522729883</v>
      </c>
      <c r="AE561" s="20">
        <v>5.15526293226897</v>
      </c>
      <c r="AF561" t="str">
        <f t="shared" si="35"/>
        <v>NonResidential</v>
      </c>
      <c r="AG561" t="str">
        <f>tbl_Data_old[[#This Row],[All_Meas_Name_Append]]</f>
        <v>Heat Pump Water Heater</v>
      </c>
      <c r="AH561">
        <f>AVERAGEIFS('3. Incentive Adjustment'!G:G,'3. Incentive Adjustment'!A:A,tbl_Data_old[[#This Row],[Trimmed Sector]],'3. Incentive Adjustment'!B:B,tbl_Data_old[[#This Row],[Trimmed Measure Name]])</f>
        <v>0.82797588322898052</v>
      </c>
      <c r="AI561">
        <f>$AH561*tbl_Data_old[[#This Row],[2025 ]]</f>
        <v>0.32775733394348416</v>
      </c>
      <c r="AJ561">
        <f>$AH561*tbl_Data_old[[#This Row],[2026 ]]</f>
        <v>0.68818296996827888</v>
      </c>
      <c r="AK561">
        <f>$AH561*tbl_Data_old[[#This Row],[2027 ]]</f>
        <v>1.0753008009887317</v>
      </c>
      <c r="AL561">
        <f>$AH561*tbl_Data_old[[#This Row],[2028 ]]</f>
        <v>1.4856422772707634</v>
      </c>
      <c r="AM561">
        <f>$AH561*tbl_Data_old[[#This Row],[2029 ]]</f>
        <v>1.9158557355171186</v>
      </c>
      <c r="AN561">
        <f>$AH561*tbl_Data_old[[#This Row],[2030 ]]</f>
        <v>2.3624302792026897</v>
      </c>
      <c r="AO561">
        <f>$AH561*tbl_Data_old[[#This Row],[2031 ]]</f>
        <v>2.822464342502049</v>
      </c>
      <c r="AP561">
        <f>$AH561*tbl_Data_old[[#This Row],[2032 ]]</f>
        <v>3.2943429664426485</v>
      </c>
      <c r="AQ561">
        <f>$AH561*tbl_Data_old[[#This Row],[2033 ]]</f>
        <v>3.7768328789440249</v>
      </c>
      <c r="AR561">
        <f>$AH561*tbl_Data_old[[#This Row],[2034 ]]</f>
        <v>4.2684333796230245</v>
      </c>
      <c r="AS561">
        <f>SUM(tbl_Data_old[[#This Row],[Adjusted 2025]:[Adjusted 2034]])</f>
        <v>22.017242964402811</v>
      </c>
      <c r="AT561" s="3">
        <f>AVERAGEIFS('3. Incentive Adjustment'!F:F,'3. Incentive Adjustment'!A:A,tbl_Data_old[[#This Row],[Trimmed Sector]],'3. Incentive Adjustment'!B:B,tbl_Data_old[[#This Row],[Trimmed Measure Name]])</f>
        <v>500</v>
      </c>
      <c r="AU561" s="3">
        <f>IFERROR(VLOOKUP(tbl_Data_old[[#This Row],[All_Meas_Name_Append]],'IRA Tax Credits'!$A$3:$D$46,4,0),0)</f>
        <v>0</v>
      </c>
      <c r="AV561" s="4">
        <f>tbl_Data_old[[#This Row],[Adj. per unit Incentive ($)]]/tbl_Data_old[[#This Row],[kWh Savings]]*tbl_Data_old[[#This Row],[Sum of Annuals]]</f>
        <v>1.650318296796381</v>
      </c>
      <c r="AW561" s="4" t="str">
        <f>IFERROR(VLOOKUP(tbl_Data_old[[#This Row],[All_Programs]],'1. Set Program Names'!$B$2:$D$15,3,0)*tbl_Data_old[[#This Row],[Sum of Annuals]],"")</f>
        <v/>
      </c>
      <c r="AX561" s="4">
        <f>tbl_Data_old[[#This Row],[per unit IRA tax ($)]]/tbl_Data_old[[#This Row],[kWh Savings]]*tbl_Data_old[[#This Row],[Sum of Annuals]]</f>
        <v>0</v>
      </c>
      <c r="AY561" s="4">
        <f>tbl_Data_old[[#This Row],[Avoided Costs ($/unit)]]/tbl_Data_old[[#This Row],[kWh Savings]]*tbl_Data_old[[#This Row],[Sum of Annuals]]</f>
        <v>11.224830236731396</v>
      </c>
      <c r="AZ561" s="4">
        <f>tbl_Data_old[[#This Row],[Lost Revenue ($/unit)]]/tbl_Data_old[[#This Row],[kWh Savings]]*tbl_Data_old[[#This Row],[Sum of Annuals]]</f>
        <v>23.913369469443577</v>
      </c>
      <c r="BA561" s="4">
        <f>tbl_Data_old[[#This Row],[Incremental Cost ($/unit)]]/tbl_Data_old[[#This Row],[kWh Savings]]*tbl_Data_old[[#This Row],[Sum of Annuals]]</f>
        <v>8.0259104568949997</v>
      </c>
      <c r="BB561">
        <f>ROUNDUP(tbl_Data_old[[#This Row],[Adjusted 2025]]/$L561,0)</f>
        <v>1</v>
      </c>
      <c r="BC561">
        <f>ROUNDUP(tbl_Data_old[[#This Row],[Adjusted 2026]]/$L561,0)</f>
        <v>1</v>
      </c>
      <c r="BD561">
        <f>ROUNDUP(tbl_Data_old[[#This Row],[Adjusted 2027]]/$L561,0)</f>
        <v>1</v>
      </c>
      <c r="BE561">
        <f>ROUNDUP(tbl_Data_old[[#This Row],[Adjusted 2028]]/$L561,0)</f>
        <v>1</v>
      </c>
      <c r="BF561">
        <f>ROUNDUP(tbl_Data_old[[#This Row],[Adjusted 2029]]/$L561,0)</f>
        <v>1</v>
      </c>
      <c r="BG561">
        <f>ROUNDUP(tbl_Data_old[[#This Row],[Adjusted 2030]]/$L561,0)</f>
        <v>1</v>
      </c>
      <c r="BH561">
        <f>ROUNDUP(tbl_Data_old[[#This Row],[Adjusted 2031]]/$L561,0)</f>
        <v>1</v>
      </c>
      <c r="BI561">
        <f>ROUNDUP(tbl_Data_old[[#This Row],[Adjusted 2032]]/$L561,0)</f>
        <v>1</v>
      </c>
      <c r="BJ561">
        <f>ROUNDUP(tbl_Data_old[[#This Row],[Adjusted 2033]]/$L561,0)</f>
        <v>1</v>
      </c>
      <c r="BK561">
        <f>ROUNDUP(tbl_Data_old[[#This Row],[Adjusted 2034]]/$L561,0)</f>
        <v>1</v>
      </c>
      <c r="BL561" s="3">
        <f t="shared" si="38"/>
        <v>2.9671500606037057E-2</v>
      </c>
      <c r="BM561" s="3">
        <f t="shared" si="38"/>
        <v>6.2300425637459973E-2</v>
      </c>
      <c r="BN561" s="3">
        <f t="shared" si="38"/>
        <v>9.7345764881376737E-2</v>
      </c>
      <c r="BO561" s="3">
        <f t="shared" si="38"/>
        <v>0.13449351445479704</v>
      </c>
      <c r="BP561" s="3">
        <f t="shared" si="38"/>
        <v>0.17344025207160696</v>
      </c>
      <c r="BQ561" s="3">
        <f t="shared" si="38"/>
        <v>0.21386814024173703</v>
      </c>
      <c r="BR561" s="3">
        <f t="shared" si="38"/>
        <v>0.25551450349394211</v>
      </c>
      <c r="BS561" s="3">
        <f t="shared" si="38"/>
        <v>0.29823314141965729</v>
      </c>
      <c r="BT561" s="3">
        <f t="shared" si="38"/>
        <v>0.34191240729280459</v>
      </c>
      <c r="BU561" s="3">
        <f t="shared" si="38"/>
        <v>0.38641644440564077</v>
      </c>
      <c r="BV561" t="e">
        <f>VLOOKUP($H561,'1. Set Program Names'!$B$2:$D$15,3,0)*V561</f>
        <v>#N/A</v>
      </c>
      <c r="BW561" t="e">
        <f>VLOOKUP($H561,'1. Set Program Names'!$B$2:$D$15,3,0)*W561</f>
        <v>#N/A</v>
      </c>
      <c r="BX561" t="e">
        <f>VLOOKUP($H561,'1. Set Program Names'!$B$2:$D$15,3,0)*X561</f>
        <v>#N/A</v>
      </c>
      <c r="BY561" t="e">
        <f>VLOOKUP($H561,'1. Set Program Names'!$B$2:$D$15,3,0)*Y561</f>
        <v>#N/A</v>
      </c>
      <c r="BZ561" t="e">
        <f>VLOOKUP($H561,'1. Set Program Names'!$B$2:$D$15,3,0)*Z561</f>
        <v>#N/A</v>
      </c>
      <c r="CA561" t="e">
        <f>VLOOKUP($H561,'1. Set Program Names'!$B$2:$D$15,3,0)*AA561</f>
        <v>#N/A</v>
      </c>
      <c r="CB561" t="e">
        <f>VLOOKUP($H561,'1. Set Program Names'!$B$2:$D$15,3,0)*AB561</f>
        <v>#N/A</v>
      </c>
      <c r="CC561" t="e">
        <f>VLOOKUP($H561,'1. Set Program Names'!$B$2:$D$15,3,0)*AC561</f>
        <v>#N/A</v>
      </c>
      <c r="CD561" t="e">
        <f>VLOOKUP($H561,'1. Set Program Names'!$B$2:$D$15,3,0)*AD561</f>
        <v>#N/A</v>
      </c>
      <c r="CE561" t="e">
        <f>VLOOKUP($H561,'1. Set Program Names'!$B$2:$D$15,3,0)*AE561</f>
        <v>#N/A</v>
      </c>
    </row>
    <row r="562" spans="1:83" x14ac:dyDescent="0.25">
      <c r="A562" s="20" t="s">
        <v>117</v>
      </c>
      <c r="B562" s="20" t="s">
        <v>88</v>
      </c>
      <c r="C562" s="20" t="s">
        <v>122</v>
      </c>
      <c r="D562" s="20" t="s">
        <v>90</v>
      </c>
      <c r="E562" s="20" t="s">
        <v>91</v>
      </c>
      <c r="F562" s="20" t="s">
        <v>90</v>
      </c>
      <c r="G562" s="20" t="s">
        <v>92</v>
      </c>
      <c r="H562" s="20" t="s">
        <v>20</v>
      </c>
      <c r="I562" s="20" t="s">
        <v>145</v>
      </c>
      <c r="J562" s="20" t="s">
        <v>129</v>
      </c>
      <c r="K562" s="20" t="s">
        <v>98</v>
      </c>
      <c r="L562" s="20">
        <v>1452.1399999999801</v>
      </c>
      <c r="M562" s="20">
        <v>0.33467704377742202</v>
      </c>
      <c r="N562" s="20">
        <v>4.3977319526113799E-2</v>
      </c>
      <c r="O562" s="20">
        <v>654.99999999999898</v>
      </c>
      <c r="P562" s="20">
        <v>358.56061649158102</v>
      </c>
      <c r="Q562" s="20">
        <v>87.128399999999303</v>
      </c>
      <c r="R562" s="20">
        <v>761.15206993055403</v>
      </c>
      <c r="S562" s="20">
        <v>1577.19839843259</v>
      </c>
      <c r="T562" s="20">
        <v>15</v>
      </c>
      <c r="U562" s="20">
        <v>0.05</v>
      </c>
      <c r="V562" s="20">
        <v>2.55646899125332E-3</v>
      </c>
      <c r="W562" s="20">
        <v>5.37679401241236E-3</v>
      </c>
      <c r="X562" s="20">
        <v>8.4193766082888196E-3</v>
      </c>
      <c r="Y562" s="20">
        <v>1.1659353987913301E-2</v>
      </c>
      <c r="Z562" s="20">
        <v>1.50710001457282E-2</v>
      </c>
      <c r="AA562" s="20">
        <v>1.86282870290474E-2</v>
      </c>
      <c r="AB562" s="20">
        <v>2.2308145746920999E-2</v>
      </c>
      <c r="AC562" s="20">
        <v>2.6097775728576401E-2</v>
      </c>
      <c r="AD562" s="20">
        <v>2.9989297168007498E-2</v>
      </c>
      <c r="AE562" s="20">
        <v>3.3970497137326298E-2</v>
      </c>
      <c r="AF562" t="str">
        <f t="shared" si="35"/>
        <v>NonResidential</v>
      </c>
      <c r="AG562" t="str">
        <f>tbl_Data_old[[#This Row],[All_Meas_Name_Append]]</f>
        <v>HE DX Less than 5.4 Tons Elect Heat</v>
      </c>
      <c r="AH562">
        <f>AVERAGEIFS('3. Incentive Adjustment'!G:G,'3. Incentive Adjustment'!A:A,tbl_Data_old[[#This Row],[Trimmed Sector]],'3. Incentive Adjustment'!B:B,tbl_Data_old[[#This Row],[Trimmed Measure Name]])</f>
        <v>0.74493198517309978</v>
      </c>
      <c r="AI562">
        <f>$AH562*tbl_Data_old[[#This Row],[2025 ]]</f>
        <v>1.9043955206878075E-3</v>
      </c>
      <c r="AJ562">
        <f>$AH562*tbl_Data_old[[#This Row],[2026 ]]</f>
        <v>4.0053458375331761E-3</v>
      </c>
      <c r="AK562">
        <f>$AH562*tbl_Data_old[[#This Row],[2027 ]]</f>
        <v>6.2718629307325496E-3</v>
      </c>
      <c r="AL562">
        <f>$AH562*tbl_Data_old[[#This Row],[2028 ]]</f>
        <v>8.6854257120521517E-3</v>
      </c>
      <c r="AM562">
        <f>$AH562*tbl_Data_old[[#This Row],[2029 ]]</f>
        <v>1.1226870057101384E-2</v>
      </c>
      <c r="AN562">
        <f>$AH562*tbl_Data_old[[#This Row],[2030 ]]</f>
        <v>1.3876806836922585E-2</v>
      </c>
      <c r="AO562">
        <f>$AH562*tbl_Data_old[[#This Row],[2031 ]]</f>
        <v>1.6618051296784703E-2</v>
      </c>
      <c r="AP562">
        <f>$AH562*tbl_Data_old[[#This Row],[2032 ]]</f>
        <v>1.9441067882090757E-2</v>
      </c>
      <c r="AQ562">
        <f>$AH562*tbl_Data_old[[#This Row],[2033 ]]</f>
        <v>2.2339986673309845E-2</v>
      </c>
      <c r="AR562">
        <f>$AH562*tbl_Data_old[[#This Row],[2034 ]]</f>
        <v>2.5305709869825582E-2</v>
      </c>
      <c r="AS562">
        <f>SUM(tbl_Data_old[[#This Row],[Adjusted 2025]:[Adjusted 2034]])</f>
        <v>0.12967552261704055</v>
      </c>
      <c r="AT562" s="3">
        <f>AVERAGEIFS('3. Incentive Adjustment'!F:F,'3. Incentive Adjustment'!A:A,tbl_Data_old[[#This Row],[Trimmed Sector]],'3. Incentive Adjustment'!B:B,tbl_Data_old[[#This Row],[Trimmed Measure Name]])</f>
        <v>196.49999999999969</v>
      </c>
      <c r="AU562" s="3">
        <f>IFERROR(VLOOKUP(tbl_Data_old[[#This Row],[All_Meas_Name_Append]],'IRA Tax Credits'!$A$3:$D$46,4,0),0)</f>
        <v>0</v>
      </c>
      <c r="AV562" s="4">
        <f>tbl_Data_old[[#This Row],[Adj. per unit Incentive ($)]]/tbl_Data_old[[#This Row],[kWh Savings]]*tbl_Data_old[[#This Row],[Sum of Annuals]]</f>
        <v>1.7547371599328423E-2</v>
      </c>
      <c r="AW562" s="4" t="str">
        <f>IFERROR(VLOOKUP(tbl_Data_old[[#This Row],[All_Programs]],'1. Set Program Names'!$B$2:$D$15,3,0)*tbl_Data_old[[#This Row],[Sum of Annuals]],"")</f>
        <v/>
      </c>
      <c r="AX562" s="4">
        <f>tbl_Data_old[[#This Row],[per unit IRA tax ($)]]/tbl_Data_old[[#This Row],[kWh Savings]]*tbl_Data_old[[#This Row],[Sum of Annuals]]</f>
        <v>0</v>
      </c>
      <c r="AY562" s="4">
        <f>tbl_Data_old[[#This Row],[Avoided Costs ($/unit)]]/tbl_Data_old[[#This Row],[kWh Savings]]*tbl_Data_old[[#This Row],[Sum of Annuals]]</f>
        <v>6.797057615607871E-2</v>
      </c>
      <c r="AZ562" s="4">
        <f>tbl_Data_old[[#This Row],[Lost Revenue ($/unit)]]/tbl_Data_old[[#This Row],[kWh Savings]]*tbl_Data_old[[#This Row],[Sum of Annuals]]</f>
        <v>0.14084318770057175</v>
      </c>
      <c r="BA562" s="4">
        <f>tbl_Data_old[[#This Row],[Incremental Cost ($/unit)]]/tbl_Data_old[[#This Row],[kWh Savings]]*tbl_Data_old[[#This Row],[Sum of Annuals]]</f>
        <v>5.8491238664428076E-2</v>
      </c>
      <c r="BB562">
        <f>ROUNDUP(tbl_Data_old[[#This Row],[Adjusted 2025]]/$L562,0)</f>
        <v>1</v>
      </c>
      <c r="BC562">
        <f>ROUNDUP(tbl_Data_old[[#This Row],[Adjusted 2026]]/$L562,0)</f>
        <v>1</v>
      </c>
      <c r="BD562">
        <f>ROUNDUP(tbl_Data_old[[#This Row],[Adjusted 2027]]/$L562,0)</f>
        <v>1</v>
      </c>
      <c r="BE562">
        <f>ROUNDUP(tbl_Data_old[[#This Row],[Adjusted 2028]]/$L562,0)</f>
        <v>1</v>
      </c>
      <c r="BF562">
        <f>ROUNDUP(tbl_Data_old[[#This Row],[Adjusted 2029]]/$L562,0)</f>
        <v>1</v>
      </c>
      <c r="BG562">
        <f>ROUNDUP(tbl_Data_old[[#This Row],[Adjusted 2030]]/$L562,0)</f>
        <v>1</v>
      </c>
      <c r="BH562">
        <f>ROUNDUP(tbl_Data_old[[#This Row],[Adjusted 2031]]/$L562,0)</f>
        <v>1</v>
      </c>
      <c r="BI562">
        <f>ROUNDUP(tbl_Data_old[[#This Row],[Adjusted 2032]]/$L562,0)</f>
        <v>1</v>
      </c>
      <c r="BJ562">
        <f>ROUNDUP(tbl_Data_old[[#This Row],[Adjusted 2033]]/$L562,0)</f>
        <v>1</v>
      </c>
      <c r="BK562">
        <f>ROUNDUP(tbl_Data_old[[#This Row],[Adjusted 2034]]/$L562,0)</f>
        <v>1</v>
      </c>
      <c r="BL562" s="3">
        <f t="shared" si="38"/>
        <v>3.4593507291396383E-4</v>
      </c>
      <c r="BM562" s="3">
        <f t="shared" si="38"/>
        <v>7.2757449243119915E-4</v>
      </c>
      <c r="BN562" s="3">
        <f t="shared" si="38"/>
        <v>1.1392892582869235E-3</v>
      </c>
      <c r="BO562" s="3">
        <f t="shared" si="38"/>
        <v>1.5777149989842517E-3</v>
      </c>
      <c r="BP562" s="3">
        <f t="shared" si="38"/>
        <v>2.0393705349591824E-3</v>
      </c>
      <c r="BQ562" s="3">
        <f t="shared" si="38"/>
        <v>2.5207338143759268E-3</v>
      </c>
      <c r="BR562" s="3">
        <f t="shared" si="38"/>
        <v>3.0186832118597579E-3</v>
      </c>
      <c r="BS562" s="3">
        <f t="shared" si="38"/>
        <v>3.5314865857736339E-3</v>
      </c>
      <c r="BT562" s="3">
        <f t="shared" si="38"/>
        <v>4.0580776602211523E-3</v>
      </c>
      <c r="BU562" s="3">
        <f t="shared" si="38"/>
        <v>4.5968038119497418E-3</v>
      </c>
      <c r="BV562" t="e">
        <f>VLOOKUP($H562,'1. Set Program Names'!$B$2:$D$15,3,0)*V562</f>
        <v>#N/A</v>
      </c>
      <c r="BW562" t="e">
        <f>VLOOKUP($H562,'1. Set Program Names'!$B$2:$D$15,3,0)*W562</f>
        <v>#N/A</v>
      </c>
      <c r="BX562" t="e">
        <f>VLOOKUP($H562,'1. Set Program Names'!$B$2:$D$15,3,0)*X562</f>
        <v>#N/A</v>
      </c>
      <c r="BY562" t="e">
        <f>VLOOKUP($H562,'1. Set Program Names'!$B$2:$D$15,3,0)*Y562</f>
        <v>#N/A</v>
      </c>
      <c r="BZ562" t="e">
        <f>VLOOKUP($H562,'1. Set Program Names'!$B$2:$D$15,3,0)*Z562</f>
        <v>#N/A</v>
      </c>
      <c r="CA562" t="e">
        <f>VLOOKUP($H562,'1. Set Program Names'!$B$2:$D$15,3,0)*AA562</f>
        <v>#N/A</v>
      </c>
      <c r="CB562" t="e">
        <f>VLOOKUP($H562,'1. Set Program Names'!$B$2:$D$15,3,0)*AB562</f>
        <v>#N/A</v>
      </c>
      <c r="CC562" t="e">
        <f>VLOOKUP($H562,'1. Set Program Names'!$B$2:$D$15,3,0)*AC562</f>
        <v>#N/A</v>
      </c>
      <c r="CD562" t="e">
        <f>VLOOKUP($H562,'1. Set Program Names'!$B$2:$D$15,3,0)*AD562</f>
        <v>#N/A</v>
      </c>
      <c r="CE562" t="e">
        <f>VLOOKUP($H562,'1. Set Program Names'!$B$2:$D$15,3,0)*AE562</f>
        <v>#N/A</v>
      </c>
    </row>
    <row r="563" spans="1:83" x14ac:dyDescent="0.25">
      <c r="A563" s="20" t="s">
        <v>117</v>
      </c>
      <c r="B563" s="20" t="s">
        <v>88</v>
      </c>
      <c r="C563" s="20" t="s">
        <v>122</v>
      </c>
      <c r="D563" s="20" t="s">
        <v>90</v>
      </c>
      <c r="E563" s="20" t="s">
        <v>91</v>
      </c>
      <c r="F563" s="20" t="s">
        <v>90</v>
      </c>
      <c r="G563" s="20" t="s">
        <v>92</v>
      </c>
      <c r="H563" s="20" t="s">
        <v>20</v>
      </c>
      <c r="I563" s="20" t="s">
        <v>154</v>
      </c>
      <c r="J563" s="20" t="s">
        <v>129</v>
      </c>
      <c r="K563" s="20" t="s">
        <v>102</v>
      </c>
      <c r="L563" s="20">
        <v>111105.09249999899</v>
      </c>
      <c r="M563" s="20">
        <v>30.6532165911823</v>
      </c>
      <c r="N563" s="20">
        <v>0</v>
      </c>
      <c r="O563" s="20">
        <v>40257.675000000003</v>
      </c>
      <c r="P563" s="20">
        <v>17605.607636663401</v>
      </c>
      <c r="Q563" s="20">
        <v>6666.30554999998</v>
      </c>
      <c r="R563" s="20">
        <v>56706.982631731698</v>
      </c>
      <c r="S563" s="20">
        <v>120673.47084214</v>
      </c>
      <c r="T563" s="20">
        <v>15</v>
      </c>
      <c r="U563" s="20">
        <v>0.05</v>
      </c>
      <c r="V563" s="20">
        <v>0</v>
      </c>
      <c r="W563" s="20">
        <v>0</v>
      </c>
      <c r="X563" s="20">
        <v>0</v>
      </c>
      <c r="Y563" s="20">
        <v>0</v>
      </c>
      <c r="Z563" s="20">
        <v>0</v>
      </c>
      <c r="AA563" s="20">
        <v>0</v>
      </c>
      <c r="AB563" s="20">
        <v>0</v>
      </c>
      <c r="AC563" s="20">
        <v>0</v>
      </c>
      <c r="AD563" s="20">
        <v>0</v>
      </c>
      <c r="AE563" s="20">
        <v>0</v>
      </c>
      <c r="AF563" t="str">
        <f t="shared" si="35"/>
        <v>NonResidential</v>
      </c>
      <c r="AG563" t="str">
        <f>tbl_Data_old[[#This Row],[All_Meas_Name_Append]]</f>
        <v>Reflective Roof Treatment</v>
      </c>
      <c r="AH563">
        <f>AVERAGEIFS('3. Incentive Adjustment'!G:G,'3. Incentive Adjustment'!A:A,tbl_Data_old[[#This Row],[Trimmed Sector]],'3. Incentive Adjustment'!B:B,tbl_Data_old[[#This Row],[Trimmed Measure Name]])</f>
        <v>0.87696681614875649</v>
      </c>
      <c r="AI563">
        <f>$AH563*tbl_Data_old[[#This Row],[2025 ]]</f>
        <v>0</v>
      </c>
      <c r="AJ563">
        <f>$AH563*tbl_Data_old[[#This Row],[2026 ]]</f>
        <v>0</v>
      </c>
      <c r="AK563">
        <f>$AH563*tbl_Data_old[[#This Row],[2027 ]]</f>
        <v>0</v>
      </c>
      <c r="AL563">
        <f>$AH563*tbl_Data_old[[#This Row],[2028 ]]</f>
        <v>0</v>
      </c>
      <c r="AM563">
        <f>$AH563*tbl_Data_old[[#This Row],[2029 ]]</f>
        <v>0</v>
      </c>
      <c r="AN563">
        <f>$AH563*tbl_Data_old[[#This Row],[2030 ]]</f>
        <v>0</v>
      </c>
      <c r="AO563">
        <f>$AH563*tbl_Data_old[[#This Row],[2031 ]]</f>
        <v>0</v>
      </c>
      <c r="AP563">
        <f>$AH563*tbl_Data_old[[#This Row],[2032 ]]</f>
        <v>0</v>
      </c>
      <c r="AQ563">
        <f>$AH563*tbl_Data_old[[#This Row],[2033 ]]</f>
        <v>0</v>
      </c>
      <c r="AR563">
        <f>$AH563*tbl_Data_old[[#This Row],[2034 ]]</f>
        <v>0</v>
      </c>
      <c r="AS563">
        <f>SUM(tbl_Data_old[[#This Row],[Adjusted 2025]:[Adjusted 2034]])</f>
        <v>0</v>
      </c>
      <c r="AT563" s="3">
        <f>AVERAGEIFS('3. Incentive Adjustment'!F:F,'3. Incentive Adjustment'!A:A,tbl_Data_old[[#This Row],[Trimmed Sector]],'3. Incentive Adjustment'!B:B,tbl_Data_old[[#This Row],[Trimmed Measure Name]])</f>
        <v>12077.302499999998</v>
      </c>
      <c r="AU563" s="3">
        <f>IFERROR(VLOOKUP(tbl_Data_old[[#This Row],[All_Meas_Name_Append]],'IRA Tax Credits'!$A$3:$D$46,4,0),0)</f>
        <v>0</v>
      </c>
      <c r="AV563" s="4">
        <f>tbl_Data_old[[#This Row],[Adj. per unit Incentive ($)]]/tbl_Data_old[[#This Row],[kWh Savings]]*tbl_Data_old[[#This Row],[Sum of Annuals]]</f>
        <v>0</v>
      </c>
      <c r="AW563" s="4" t="str">
        <f>IFERROR(VLOOKUP(tbl_Data_old[[#This Row],[All_Programs]],'1. Set Program Names'!$B$2:$D$15,3,0)*tbl_Data_old[[#This Row],[Sum of Annuals]],"")</f>
        <v/>
      </c>
      <c r="AX563" s="4">
        <f>tbl_Data_old[[#This Row],[per unit IRA tax ($)]]/tbl_Data_old[[#This Row],[kWh Savings]]*tbl_Data_old[[#This Row],[Sum of Annuals]]</f>
        <v>0</v>
      </c>
      <c r="AY563" s="4">
        <f>tbl_Data_old[[#This Row],[Avoided Costs ($/unit)]]/tbl_Data_old[[#This Row],[kWh Savings]]*tbl_Data_old[[#This Row],[Sum of Annuals]]</f>
        <v>0</v>
      </c>
      <c r="AZ563" s="4">
        <f>tbl_Data_old[[#This Row],[Lost Revenue ($/unit)]]/tbl_Data_old[[#This Row],[kWh Savings]]*tbl_Data_old[[#This Row],[Sum of Annuals]]</f>
        <v>0</v>
      </c>
      <c r="BA563" s="4">
        <f>tbl_Data_old[[#This Row],[Incremental Cost ($/unit)]]/tbl_Data_old[[#This Row],[kWh Savings]]*tbl_Data_old[[#This Row],[Sum of Annuals]]</f>
        <v>0</v>
      </c>
      <c r="BB563">
        <f>ROUNDUP(tbl_Data_old[[#This Row],[Adjusted 2025]]/$L563,0)</f>
        <v>0</v>
      </c>
      <c r="BC563">
        <f>ROUNDUP(tbl_Data_old[[#This Row],[Adjusted 2026]]/$L563,0)</f>
        <v>0</v>
      </c>
      <c r="BD563">
        <f>ROUNDUP(tbl_Data_old[[#This Row],[Adjusted 2027]]/$L563,0)</f>
        <v>0</v>
      </c>
      <c r="BE563">
        <f>ROUNDUP(tbl_Data_old[[#This Row],[Adjusted 2028]]/$L563,0)</f>
        <v>0</v>
      </c>
      <c r="BF563">
        <f>ROUNDUP(tbl_Data_old[[#This Row],[Adjusted 2029]]/$L563,0)</f>
        <v>0</v>
      </c>
      <c r="BG563">
        <f>ROUNDUP(tbl_Data_old[[#This Row],[Adjusted 2030]]/$L563,0)</f>
        <v>0</v>
      </c>
      <c r="BH563">
        <f>ROUNDUP(tbl_Data_old[[#This Row],[Adjusted 2031]]/$L563,0)</f>
        <v>0</v>
      </c>
      <c r="BI563">
        <f>ROUNDUP(tbl_Data_old[[#This Row],[Adjusted 2032]]/$L563,0)</f>
        <v>0</v>
      </c>
      <c r="BJ563">
        <f>ROUNDUP(tbl_Data_old[[#This Row],[Adjusted 2033]]/$L563,0)</f>
        <v>0</v>
      </c>
      <c r="BK563">
        <f>ROUNDUP(tbl_Data_old[[#This Row],[Adjusted 2034]]/$L563,0)</f>
        <v>0</v>
      </c>
      <c r="BL563" s="3">
        <f t="shared" si="38"/>
        <v>0</v>
      </c>
      <c r="BM563" s="3">
        <f t="shared" si="38"/>
        <v>0</v>
      </c>
      <c r="BN563" s="3">
        <f t="shared" si="38"/>
        <v>0</v>
      </c>
      <c r="BO563" s="3">
        <f t="shared" si="38"/>
        <v>0</v>
      </c>
      <c r="BP563" s="3">
        <f t="shared" si="38"/>
        <v>0</v>
      </c>
      <c r="BQ563" s="3">
        <f t="shared" si="38"/>
        <v>0</v>
      </c>
      <c r="BR563" s="3">
        <f t="shared" si="38"/>
        <v>0</v>
      </c>
      <c r="BS563" s="3">
        <f t="shared" si="38"/>
        <v>0</v>
      </c>
      <c r="BT563" s="3">
        <f t="shared" si="38"/>
        <v>0</v>
      </c>
      <c r="BU563" s="3">
        <f t="shared" si="38"/>
        <v>0</v>
      </c>
      <c r="BV563" t="e">
        <f>VLOOKUP($H563,'1. Set Program Names'!$B$2:$D$15,3,0)*V563</f>
        <v>#N/A</v>
      </c>
      <c r="BW563" t="e">
        <f>VLOOKUP($H563,'1. Set Program Names'!$B$2:$D$15,3,0)*W563</f>
        <v>#N/A</v>
      </c>
      <c r="BX563" t="e">
        <f>VLOOKUP($H563,'1. Set Program Names'!$B$2:$D$15,3,0)*X563</f>
        <v>#N/A</v>
      </c>
      <c r="BY563" t="e">
        <f>VLOOKUP($H563,'1. Set Program Names'!$B$2:$D$15,3,0)*Y563</f>
        <v>#N/A</v>
      </c>
      <c r="BZ563" t="e">
        <f>VLOOKUP($H563,'1. Set Program Names'!$B$2:$D$15,3,0)*Z563</f>
        <v>#N/A</v>
      </c>
      <c r="CA563" t="e">
        <f>VLOOKUP($H563,'1. Set Program Names'!$B$2:$D$15,3,0)*AA563</f>
        <v>#N/A</v>
      </c>
      <c r="CB563" t="e">
        <f>VLOOKUP($H563,'1. Set Program Names'!$B$2:$D$15,3,0)*AB563</f>
        <v>#N/A</v>
      </c>
      <c r="CC563" t="e">
        <f>VLOOKUP($H563,'1. Set Program Names'!$B$2:$D$15,3,0)*AC563</f>
        <v>#N/A</v>
      </c>
      <c r="CD563" t="e">
        <f>VLOOKUP($H563,'1. Set Program Names'!$B$2:$D$15,3,0)*AD563</f>
        <v>#N/A</v>
      </c>
      <c r="CE563" t="e">
        <f>VLOOKUP($H563,'1. Set Program Names'!$B$2:$D$15,3,0)*AE563</f>
        <v>#N/A</v>
      </c>
    </row>
    <row r="564" spans="1:83" x14ac:dyDescent="0.25">
      <c r="A564" s="20" t="s">
        <v>117</v>
      </c>
      <c r="B564" s="20" t="s">
        <v>88</v>
      </c>
      <c r="C564" s="20" t="s">
        <v>122</v>
      </c>
      <c r="D564" s="20" t="s">
        <v>90</v>
      </c>
      <c r="E564" s="20" t="s">
        <v>91</v>
      </c>
      <c r="F564" s="20" t="s">
        <v>90</v>
      </c>
      <c r="G564" s="20" t="s">
        <v>92</v>
      </c>
      <c r="H564" s="20" t="s">
        <v>20</v>
      </c>
      <c r="I564" s="20" t="s">
        <v>155</v>
      </c>
      <c r="J564" s="20" t="s">
        <v>129</v>
      </c>
      <c r="K564" s="20" t="s">
        <v>102</v>
      </c>
      <c r="L564" s="53">
        <v>1193.02</v>
      </c>
      <c r="M564" s="53">
        <v>0.274776433335365</v>
      </c>
      <c r="N564" s="53">
        <v>0.10441874276921487</v>
      </c>
      <c r="O564" s="53">
        <f>8423.99999999998/36663.4359999998*1193.02</f>
        <v>274.11507421181233</v>
      </c>
      <c r="P564" s="53">
        <f>3224.30667036527/36663.4359999998*1193.02</f>
        <v>104.91821726363004</v>
      </c>
      <c r="Q564" s="53">
        <f>1305.20713755829/36663.4359999998*1193.02</f>
        <v>42.471148073786637</v>
      </c>
      <c r="R564" s="53">
        <f>14915.0733686122/36663.4359999998*1193.02</f>
        <v>485.33314854128304</v>
      </c>
      <c r="S564" s="53">
        <f>32320.5298576745/36663.4359999998*1193.02</f>
        <v>1051.702806327346</v>
      </c>
      <c r="T564" s="20">
        <v>11</v>
      </c>
      <c r="U564" s="20">
        <v>0.05</v>
      </c>
      <c r="V564" s="20">
        <v>1.46575094223624</v>
      </c>
      <c r="W564" s="20">
        <v>2.6853010231471899</v>
      </c>
      <c r="X564" s="20">
        <v>3.6907857398962398</v>
      </c>
      <c r="Y564" s="20">
        <v>4.5200013238632799</v>
      </c>
      <c r="Z564" s="20">
        <v>5.2044828486431101</v>
      </c>
      <c r="AA564" s="20">
        <v>5.7699088464962403</v>
      </c>
      <c r="AB564" s="20">
        <v>6.2381123775431702</v>
      </c>
      <c r="AC564" s="20">
        <v>6.6278770727528702</v>
      </c>
      <c r="AD564" s="20">
        <v>6.95497340845459</v>
      </c>
      <c r="AE564" s="20">
        <v>7.2313311946343202</v>
      </c>
      <c r="AF564" t="str">
        <f t="shared" si="35"/>
        <v>NonResidential</v>
      </c>
      <c r="AG564" t="str">
        <f>tbl_Data_old[[#This Row],[All_Meas_Name_Append]]</f>
        <v>Smart thermostat</v>
      </c>
      <c r="AH564">
        <f>AVERAGEIFS('3. Incentive Adjustment'!G:G,'3. Incentive Adjustment'!A:A,tbl_Data_old[[#This Row],[Trimmed Sector]],'3. Incentive Adjustment'!B:B,tbl_Data_old[[#This Row],[Trimmed Measure Name]])</f>
        <v>0.87546479230069263</v>
      </c>
      <c r="AI564">
        <f>$AH564*tbl_Data_old[[#This Row],[2025 ]]</f>
        <v>1.2832133442093945</v>
      </c>
      <c r="AJ564">
        <f>$AH564*tbl_Data_old[[#This Row],[2026 ]]</f>
        <v>2.3508865024943919</v>
      </c>
      <c r="AK564">
        <f>$AH564*tbl_Data_old[[#This Row],[2027 ]]</f>
        <v>3.2311529712046196</v>
      </c>
      <c r="AL564">
        <f>$AH564*tbl_Data_old[[#This Row],[2028 ]]</f>
        <v>3.9571020201948222</v>
      </c>
      <c r="AM564">
        <f>$AH564*tbl_Data_old[[#This Row],[2029 ]]</f>
        <v>4.5563414961198578</v>
      </c>
      <c r="AN564">
        <f>$AH564*tbl_Data_old[[#This Row],[2030 ]]</f>
        <v>5.0513520498917597</v>
      </c>
      <c r="AO564">
        <f>$AH564*tbl_Data_old[[#This Row],[2031 ]]</f>
        <v>5.4612477569542115</v>
      </c>
      <c r="AP564">
        <f>$AH564*tbl_Data_old[[#This Row],[2032 ]]</f>
        <v>5.8024730248921141</v>
      </c>
      <c r="AQ564">
        <f>$AH564*tbl_Data_old[[#This Row],[2033 ]]</f>
        <v>6.0888343504895381</v>
      </c>
      <c r="AR564">
        <f>$AH564*tbl_Data_old[[#This Row],[2034 ]]</f>
        <v>6.3307758623680543</v>
      </c>
      <c r="AS564">
        <f>SUM(tbl_Data_old[[#This Row],[Adjusted 2025]:[Adjusted 2034]])</f>
        <v>44.113379378818763</v>
      </c>
      <c r="AT564" s="3">
        <f>AVERAGEIFS('3. Incentive Adjustment'!F:F,'3. Incentive Adjustment'!A:A,tbl_Data_old[[#This Row],[Trimmed Sector]],'3. Incentive Adjustment'!B:B,tbl_Data_old[[#This Row],[Trimmed Measure Name]])</f>
        <v>50</v>
      </c>
      <c r="AU564" s="3">
        <f>IFERROR(VLOOKUP(tbl_Data_old[[#This Row],[All_Meas_Name_Append]],'IRA Tax Credits'!$A$3:$D$46,4,0),0)</f>
        <v>0</v>
      </c>
      <c r="AV564" s="4">
        <f>tbl_Data_old[[#This Row],[Adj. per unit Incentive ($)]]/tbl_Data_old[[#This Row],[kWh Savings]]*tbl_Data_old[[#This Row],[Sum of Annuals]]</f>
        <v>1.8488113937242781</v>
      </c>
      <c r="AW564" s="4" t="str">
        <f>IFERROR(VLOOKUP(tbl_Data_old[[#This Row],[All_Programs]],'1. Set Program Names'!$B$2:$D$15,3,0)*tbl_Data_old[[#This Row],[Sum of Annuals]],"")</f>
        <v/>
      </c>
      <c r="AX564" s="4">
        <f>tbl_Data_old[[#This Row],[per unit IRA tax ($)]]/tbl_Data_old[[#This Row],[kWh Savings]]*tbl_Data_old[[#This Row],[Sum of Annuals]]</f>
        <v>0</v>
      </c>
      <c r="AY564" s="4">
        <f>tbl_Data_old[[#This Row],[Avoided Costs ($/unit)]]/tbl_Data_old[[#This Row],[kWh Savings]]*tbl_Data_old[[#This Row],[Sum of Annuals]]</f>
        <v>17.945789095504033</v>
      </c>
      <c r="AZ564" s="4">
        <f>tbl_Data_old[[#This Row],[Lost Revenue ($/unit)]]/tbl_Data_old[[#This Row],[kWh Savings]]*tbl_Data_old[[#This Row],[Sum of Annuals]]</f>
        <v>38.888002622995899</v>
      </c>
      <c r="BA564" s="4">
        <f>tbl_Data_old[[#This Row],[Incremental Cost ($/unit)]]/tbl_Data_old[[#This Row],[kWh Savings]]*tbl_Data_old[[#This Row],[Sum of Annuals]]</f>
        <v>10.135741447887494</v>
      </c>
      <c r="BB564">
        <f>ROUNDUP(tbl_Data_old[[#This Row],[Adjusted 2025]]/$L564,0)</f>
        <v>1</v>
      </c>
      <c r="BC564">
        <f>ROUNDUP(tbl_Data_old[[#This Row],[Adjusted 2026]]/$L564,0)</f>
        <v>1</v>
      </c>
      <c r="BD564">
        <f>ROUNDUP(tbl_Data_old[[#This Row],[Adjusted 2027]]/$L564,0)</f>
        <v>1</v>
      </c>
      <c r="BE564">
        <f>ROUNDUP(tbl_Data_old[[#This Row],[Adjusted 2028]]/$L564,0)</f>
        <v>1</v>
      </c>
      <c r="BF564">
        <f>ROUNDUP(tbl_Data_old[[#This Row],[Adjusted 2029]]/$L564,0)</f>
        <v>1</v>
      </c>
      <c r="BG564">
        <f>ROUNDUP(tbl_Data_old[[#This Row],[Adjusted 2030]]/$L564,0)</f>
        <v>1</v>
      </c>
      <c r="BH564">
        <f>ROUNDUP(tbl_Data_old[[#This Row],[Adjusted 2031]]/$L564,0)</f>
        <v>1</v>
      </c>
      <c r="BI564">
        <f>ROUNDUP(tbl_Data_old[[#This Row],[Adjusted 2032]]/$L564,0)</f>
        <v>1</v>
      </c>
      <c r="BJ564">
        <f>ROUNDUP(tbl_Data_old[[#This Row],[Adjusted 2033]]/$L564,0)</f>
        <v>1</v>
      </c>
      <c r="BK564">
        <f>ROUNDUP(tbl_Data_old[[#This Row],[Adjusted 2034]]/$L564,0)</f>
        <v>1</v>
      </c>
      <c r="BL564" s="3">
        <f t="shared" si="38"/>
        <v>6.1430275361529563E-2</v>
      </c>
      <c r="BM564" s="3">
        <f t="shared" si="38"/>
        <v>0.1125421628785431</v>
      </c>
      <c r="BN564" s="3">
        <f t="shared" si="38"/>
        <v>0.15468247556186149</v>
      </c>
      <c r="BO564" s="3">
        <f t="shared" si="38"/>
        <v>0.18943527031664514</v>
      </c>
      <c r="BP564" s="3">
        <f t="shared" si="38"/>
        <v>0.21812219613431083</v>
      </c>
      <c r="BQ564" s="3">
        <f t="shared" si="38"/>
        <v>0.24181945174834624</v>
      </c>
      <c r="BR564" s="3">
        <f t="shared" si="38"/>
        <v>0.26144207044069545</v>
      </c>
      <c r="BS564" s="3">
        <f t="shared" si="38"/>
        <v>0.27777728255825007</v>
      </c>
      <c r="BT564" s="3">
        <f t="shared" si="38"/>
        <v>0.29148603579380855</v>
      </c>
      <c r="BU564" s="3">
        <f t="shared" si="38"/>
        <v>0.30306831380170995</v>
      </c>
      <c r="BV564" t="e">
        <f>VLOOKUP($H564,'1. Set Program Names'!$B$2:$D$15,3,0)*V564</f>
        <v>#N/A</v>
      </c>
      <c r="BW564" t="e">
        <f>VLOOKUP($H564,'1. Set Program Names'!$B$2:$D$15,3,0)*W564</f>
        <v>#N/A</v>
      </c>
      <c r="BX564" t="e">
        <f>VLOOKUP($H564,'1. Set Program Names'!$B$2:$D$15,3,0)*X564</f>
        <v>#N/A</v>
      </c>
      <c r="BY564" t="e">
        <f>VLOOKUP($H564,'1. Set Program Names'!$B$2:$D$15,3,0)*Y564</f>
        <v>#N/A</v>
      </c>
      <c r="BZ564" t="e">
        <f>VLOOKUP($H564,'1. Set Program Names'!$B$2:$D$15,3,0)*Z564</f>
        <v>#N/A</v>
      </c>
      <c r="CA564" t="e">
        <f>VLOOKUP($H564,'1. Set Program Names'!$B$2:$D$15,3,0)*AA564</f>
        <v>#N/A</v>
      </c>
      <c r="CB564" t="e">
        <f>VLOOKUP($H564,'1. Set Program Names'!$B$2:$D$15,3,0)*AB564</f>
        <v>#N/A</v>
      </c>
      <c r="CC564" t="e">
        <f>VLOOKUP($H564,'1. Set Program Names'!$B$2:$D$15,3,0)*AC564</f>
        <v>#N/A</v>
      </c>
      <c r="CD564" t="e">
        <f>VLOOKUP($H564,'1. Set Program Names'!$B$2:$D$15,3,0)*AD564</f>
        <v>#N/A</v>
      </c>
      <c r="CE564" t="e">
        <f>VLOOKUP($H564,'1. Set Program Names'!$B$2:$D$15,3,0)*AE564</f>
        <v>#N/A</v>
      </c>
    </row>
    <row r="565" spans="1:83" x14ac:dyDescent="0.25">
      <c r="A565" s="20" t="s">
        <v>117</v>
      </c>
      <c r="B565" s="20" t="s">
        <v>88</v>
      </c>
      <c r="C565" s="20" t="s">
        <v>122</v>
      </c>
      <c r="D565" s="20" t="s">
        <v>90</v>
      </c>
      <c r="E565" s="20" t="s">
        <v>91</v>
      </c>
      <c r="F565" s="20" t="s">
        <v>90</v>
      </c>
      <c r="G565" s="20" t="s">
        <v>92</v>
      </c>
      <c r="H565" s="20" t="s">
        <v>20</v>
      </c>
      <c r="I565" s="20" t="s">
        <v>305</v>
      </c>
      <c r="J565" s="20" t="s">
        <v>129</v>
      </c>
      <c r="K565" s="20" t="s">
        <v>306</v>
      </c>
      <c r="L565" s="20">
        <v>1181.58666666666</v>
      </c>
      <c r="M565" s="20">
        <v>0.32580149205424902</v>
      </c>
      <c r="N565" s="20">
        <v>0</v>
      </c>
      <c r="O565" s="20">
        <v>442.61899981344197</v>
      </c>
      <c r="P565" s="20">
        <v>13015.025349926</v>
      </c>
      <c r="Q565" s="20">
        <v>70.895199999999903</v>
      </c>
      <c r="R565" s="20">
        <v>484.68312470825703</v>
      </c>
      <c r="S565" s="20">
        <v>971.92143438909795</v>
      </c>
      <c r="T565" s="20">
        <v>10</v>
      </c>
      <c r="U565" s="20">
        <v>0.05</v>
      </c>
      <c r="V565" s="20">
        <v>0</v>
      </c>
      <c r="W565" s="20">
        <v>0</v>
      </c>
      <c r="X565" s="20">
        <v>0</v>
      </c>
      <c r="Y565" s="20">
        <v>0</v>
      </c>
      <c r="Z565" s="20">
        <v>0</v>
      </c>
      <c r="AA565" s="20">
        <v>0</v>
      </c>
      <c r="AB565" s="20">
        <v>0</v>
      </c>
      <c r="AC565" s="20">
        <v>0</v>
      </c>
      <c r="AD565" s="20">
        <v>0</v>
      </c>
      <c r="AE565" s="20">
        <v>0</v>
      </c>
      <c r="AF565" t="str">
        <f t="shared" si="35"/>
        <v>NonResidential</v>
      </c>
      <c r="AG565" t="str">
        <f>tbl_Data_old[[#This Row],[All_Meas_Name_Append]]</f>
        <v>Window shade film</v>
      </c>
      <c r="AH565">
        <f>AVERAGEIFS('3. Incentive Adjustment'!G:G,'3. Incentive Adjustment'!A:A,tbl_Data_old[[#This Row],[Trimmed Sector]],'3. Incentive Adjustment'!B:B,tbl_Data_old[[#This Row],[Trimmed Measure Name]])</f>
        <v>3.2127764592544555E-13</v>
      </c>
      <c r="AI565">
        <f>$AH565*tbl_Data_old[[#This Row],[2025 ]]</f>
        <v>0</v>
      </c>
      <c r="AJ565">
        <f>$AH565*tbl_Data_old[[#This Row],[2026 ]]</f>
        <v>0</v>
      </c>
      <c r="AK565">
        <f>$AH565*tbl_Data_old[[#This Row],[2027 ]]</f>
        <v>0</v>
      </c>
      <c r="AL565">
        <f>$AH565*tbl_Data_old[[#This Row],[2028 ]]</f>
        <v>0</v>
      </c>
      <c r="AM565">
        <f>$AH565*tbl_Data_old[[#This Row],[2029 ]]</f>
        <v>0</v>
      </c>
      <c r="AN565">
        <f>$AH565*tbl_Data_old[[#This Row],[2030 ]]</f>
        <v>0</v>
      </c>
      <c r="AO565">
        <f>$AH565*tbl_Data_old[[#This Row],[2031 ]]</f>
        <v>0</v>
      </c>
      <c r="AP565">
        <f>$AH565*tbl_Data_old[[#This Row],[2032 ]]</f>
        <v>0</v>
      </c>
      <c r="AQ565">
        <f>$AH565*tbl_Data_old[[#This Row],[2033 ]]</f>
        <v>0</v>
      </c>
      <c r="AR565">
        <f>$AH565*tbl_Data_old[[#This Row],[2034 ]]</f>
        <v>0</v>
      </c>
      <c r="AS565">
        <f>SUM(tbl_Data_old[[#This Row],[Adjusted 2025]:[Adjusted 2034]])</f>
        <v>0</v>
      </c>
      <c r="AT565" s="3">
        <f>AVERAGEIFS('3. Incentive Adjustment'!F:F,'3. Incentive Adjustment'!A:A,tbl_Data_old[[#This Row],[Trimmed Sector]],'3. Incentive Adjustment'!B:B,tbl_Data_old[[#This Row],[Trimmed Measure Name]])</f>
        <v>132.78569994403261</v>
      </c>
      <c r="AU565" s="3">
        <f>IFERROR(VLOOKUP(tbl_Data_old[[#This Row],[All_Meas_Name_Append]],'IRA Tax Credits'!$A$3:$D$46,4,0),0)</f>
        <v>0</v>
      </c>
      <c r="AV565" s="4">
        <f>tbl_Data_old[[#This Row],[Adj. per unit Incentive ($)]]/tbl_Data_old[[#This Row],[kWh Savings]]*tbl_Data_old[[#This Row],[Sum of Annuals]]</f>
        <v>0</v>
      </c>
      <c r="AW565" s="4" t="str">
        <f>IFERROR(VLOOKUP(tbl_Data_old[[#This Row],[All_Programs]],'1. Set Program Names'!$B$2:$D$15,3,0)*tbl_Data_old[[#This Row],[Sum of Annuals]],"")</f>
        <v/>
      </c>
      <c r="AX565" s="4">
        <f>tbl_Data_old[[#This Row],[per unit IRA tax ($)]]/tbl_Data_old[[#This Row],[kWh Savings]]*tbl_Data_old[[#This Row],[Sum of Annuals]]</f>
        <v>0</v>
      </c>
      <c r="AY565" s="4">
        <f>tbl_Data_old[[#This Row],[Avoided Costs ($/unit)]]/tbl_Data_old[[#This Row],[kWh Savings]]*tbl_Data_old[[#This Row],[Sum of Annuals]]</f>
        <v>0</v>
      </c>
      <c r="AZ565" s="4">
        <f>tbl_Data_old[[#This Row],[Lost Revenue ($/unit)]]/tbl_Data_old[[#This Row],[kWh Savings]]*tbl_Data_old[[#This Row],[Sum of Annuals]]</f>
        <v>0</v>
      </c>
      <c r="BA565" s="4">
        <f>tbl_Data_old[[#This Row],[Incremental Cost ($/unit)]]/tbl_Data_old[[#This Row],[kWh Savings]]*tbl_Data_old[[#This Row],[Sum of Annuals]]</f>
        <v>0</v>
      </c>
      <c r="BB565">
        <f>ROUNDUP(tbl_Data_old[[#This Row],[Adjusted 2025]]/$L565,0)</f>
        <v>0</v>
      </c>
      <c r="BC565">
        <f>ROUNDUP(tbl_Data_old[[#This Row],[Adjusted 2026]]/$L565,0)</f>
        <v>0</v>
      </c>
      <c r="BD565">
        <f>ROUNDUP(tbl_Data_old[[#This Row],[Adjusted 2027]]/$L565,0)</f>
        <v>0</v>
      </c>
      <c r="BE565">
        <f>ROUNDUP(tbl_Data_old[[#This Row],[Adjusted 2028]]/$L565,0)</f>
        <v>0</v>
      </c>
      <c r="BF565">
        <f>ROUNDUP(tbl_Data_old[[#This Row],[Adjusted 2029]]/$L565,0)</f>
        <v>0</v>
      </c>
      <c r="BG565">
        <f>ROUNDUP(tbl_Data_old[[#This Row],[Adjusted 2030]]/$L565,0)</f>
        <v>0</v>
      </c>
      <c r="BH565">
        <f>ROUNDUP(tbl_Data_old[[#This Row],[Adjusted 2031]]/$L565,0)</f>
        <v>0</v>
      </c>
      <c r="BI565">
        <f>ROUNDUP(tbl_Data_old[[#This Row],[Adjusted 2032]]/$L565,0)</f>
        <v>0</v>
      </c>
      <c r="BJ565">
        <f>ROUNDUP(tbl_Data_old[[#This Row],[Adjusted 2033]]/$L565,0)</f>
        <v>0</v>
      </c>
      <c r="BK565">
        <f>ROUNDUP(tbl_Data_old[[#This Row],[Adjusted 2034]]/$L565,0)</f>
        <v>0</v>
      </c>
      <c r="BL565" s="3">
        <f t="shared" si="38"/>
        <v>0</v>
      </c>
      <c r="BM565" s="3">
        <f t="shared" si="38"/>
        <v>0</v>
      </c>
      <c r="BN565" s="3">
        <f t="shared" si="38"/>
        <v>0</v>
      </c>
      <c r="BO565" s="3">
        <f t="shared" si="38"/>
        <v>0</v>
      </c>
      <c r="BP565" s="3">
        <f t="shared" si="38"/>
        <v>0</v>
      </c>
      <c r="BQ565" s="3">
        <f t="shared" si="38"/>
        <v>0</v>
      </c>
      <c r="BR565" s="3">
        <f t="shared" si="38"/>
        <v>0</v>
      </c>
      <c r="BS565" s="3">
        <f t="shared" si="38"/>
        <v>0</v>
      </c>
      <c r="BT565" s="3">
        <f t="shared" si="38"/>
        <v>0</v>
      </c>
      <c r="BU565" s="3">
        <f t="shared" si="38"/>
        <v>0</v>
      </c>
      <c r="BV565" t="e">
        <f>VLOOKUP($H565,'1. Set Program Names'!$B$2:$D$15,3,0)*V565</f>
        <v>#N/A</v>
      </c>
      <c r="BW565" t="e">
        <f>VLOOKUP($H565,'1. Set Program Names'!$B$2:$D$15,3,0)*W565</f>
        <v>#N/A</v>
      </c>
      <c r="BX565" t="e">
        <f>VLOOKUP($H565,'1. Set Program Names'!$B$2:$D$15,3,0)*X565</f>
        <v>#N/A</v>
      </c>
      <c r="BY565" t="e">
        <f>VLOOKUP($H565,'1. Set Program Names'!$B$2:$D$15,3,0)*Y565</f>
        <v>#N/A</v>
      </c>
      <c r="BZ565" t="e">
        <f>VLOOKUP($H565,'1. Set Program Names'!$B$2:$D$15,3,0)*Z565</f>
        <v>#N/A</v>
      </c>
      <c r="CA565" t="e">
        <f>VLOOKUP($H565,'1. Set Program Names'!$B$2:$D$15,3,0)*AA565</f>
        <v>#N/A</v>
      </c>
      <c r="CB565" t="e">
        <f>VLOOKUP($H565,'1. Set Program Names'!$B$2:$D$15,3,0)*AB565</f>
        <v>#N/A</v>
      </c>
      <c r="CC565" t="e">
        <f>VLOOKUP($H565,'1. Set Program Names'!$B$2:$D$15,3,0)*AC565</f>
        <v>#N/A</v>
      </c>
      <c r="CD565" t="e">
        <f>VLOOKUP($H565,'1. Set Program Names'!$B$2:$D$15,3,0)*AD565</f>
        <v>#N/A</v>
      </c>
      <c r="CE565" t="e">
        <f>VLOOKUP($H565,'1. Set Program Names'!$B$2:$D$15,3,0)*AE565</f>
        <v>#N/A</v>
      </c>
    </row>
    <row r="566" spans="1:83" x14ac:dyDescent="0.25">
      <c r="A566" s="20" t="s">
        <v>87</v>
      </c>
      <c r="B566" s="20" t="s">
        <v>88</v>
      </c>
      <c r="C566" s="20" t="s">
        <v>122</v>
      </c>
      <c r="D566" s="20" t="s">
        <v>90</v>
      </c>
      <c r="E566" s="20" t="s">
        <v>91</v>
      </c>
      <c r="F566" s="20" t="s">
        <v>90</v>
      </c>
      <c r="G566" s="20" t="s">
        <v>92</v>
      </c>
      <c r="H566" s="20" t="s">
        <v>268</v>
      </c>
      <c r="I566" s="20" t="s">
        <v>123</v>
      </c>
      <c r="J566" s="20" t="s">
        <v>124</v>
      </c>
      <c r="K566" s="20" t="s">
        <v>125</v>
      </c>
      <c r="L566" s="20">
        <v>276.38000000000102</v>
      </c>
      <c r="M566" s="20">
        <v>4.0116087790590997E-2</v>
      </c>
      <c r="N566" s="20">
        <v>3.5590078027730399E-2</v>
      </c>
      <c r="O566" s="20">
        <v>71</v>
      </c>
      <c r="P566" s="20">
        <v>14.1467127741815</v>
      </c>
      <c r="Q566" s="20">
        <v>0.27638000000000101</v>
      </c>
      <c r="R566" s="20">
        <v>109.905179976762</v>
      </c>
      <c r="S566" s="20">
        <v>259.02791823564098</v>
      </c>
      <c r="T566" s="20">
        <v>12</v>
      </c>
      <c r="U566" s="20">
        <v>1</v>
      </c>
      <c r="V566" s="20">
        <v>2549.1121999214201</v>
      </c>
      <c r="W566" s="20">
        <v>3482.7929122768601</v>
      </c>
      <c r="X566" s="20">
        <v>4625.2682284192497</v>
      </c>
      <c r="Y566" s="20">
        <v>5956.4043283232504</v>
      </c>
      <c r="Z566" s="20">
        <v>7370.9418300226798</v>
      </c>
      <c r="AA566" s="20">
        <v>8686.7666676269801</v>
      </c>
      <c r="AB566" s="20">
        <v>9640.1334488038901</v>
      </c>
      <c r="AC566" s="20">
        <v>9988.0301749983901</v>
      </c>
      <c r="AD566" s="20">
        <v>9603.6725524580306</v>
      </c>
      <c r="AE566" s="20">
        <v>8552.0293032641493</v>
      </c>
      <c r="AF566" t="str">
        <f t="shared" si="35"/>
        <v>NonResidential</v>
      </c>
      <c r="AG566" t="str">
        <f>tbl_Data_old[[#This Row],[All_Meas_Name_Append]]</f>
        <v>Anti-Sweat Controls</v>
      </c>
      <c r="AH566">
        <f>AVERAGEIFS('3. Incentive Adjustment'!G:G,'3. Incentive Adjustment'!A:A,tbl_Data_old[[#This Row],[Trimmed Sector]],'3. Incentive Adjustment'!B:B,tbl_Data_old[[#This Row],[Trimmed Measure Name]])</f>
        <v>0.87366811775307662</v>
      </c>
      <c r="AI566">
        <f>$AH566*tbl_Data_old[[#This Row],[2025 ]]</f>
        <v>2227.0780576467514</v>
      </c>
      <c r="AJ566">
        <f>$AH566*tbl_Data_old[[#This Row],[2026 ]]</f>
        <v>3042.8051281926805</v>
      </c>
      <c r="AK566">
        <f>$AH566*tbl_Data_old[[#This Row],[2027 ]]</f>
        <v>4040.9493872261532</v>
      </c>
      <c r="AL566">
        <f>$AH566*tbl_Data_old[[#This Row],[2028 ]]</f>
        <v>5203.9205581024526</v>
      </c>
      <c r="AM566">
        <f>$AH566*tbl_Data_old[[#This Row],[2029 ]]</f>
        <v>6439.7568747033329</v>
      </c>
      <c r="AN566">
        <f>$AH566*tbl_Data_old[[#This Row],[2030 ]]</f>
        <v>7589.3510838658294</v>
      </c>
      <c r="AO566">
        <f>$AH566*tbl_Data_old[[#This Row],[2031 ]]</f>
        <v>8422.2772451049696</v>
      </c>
      <c r="AP566">
        <f>$AH566*tbl_Data_old[[#This Row],[2032 ]]</f>
        <v>8726.2235230517763</v>
      </c>
      <c r="AQ566">
        <f>$AH566*tbl_Data_old[[#This Row],[2033 ]]</f>
        <v>8390.4225224228921</v>
      </c>
      <c r="AR566">
        <f>$AH566*tbl_Data_old[[#This Row],[2034 ]]</f>
        <v>7471.6353443519447</v>
      </c>
      <c r="AS566">
        <f>SUM(tbl_Data_old[[#This Row],[Adjusted 2025]:[Adjusted 2034]])</f>
        <v>61554.419724668791</v>
      </c>
      <c r="AT566" s="3">
        <f>AVERAGEIFS('3. Incentive Adjustment'!F:F,'3. Incentive Adjustment'!A:A,tbl_Data_old[[#This Row],[Trimmed Sector]],'3. Incentive Adjustment'!B:B,tbl_Data_old[[#This Row],[Trimmed Measure Name]])</f>
        <v>0</v>
      </c>
      <c r="AU566" s="3">
        <f>IFERROR(VLOOKUP(tbl_Data_old[[#This Row],[All_Meas_Name_Append]],'IRA Tax Credits'!$A$3:$D$46,4,0),0)</f>
        <v>0</v>
      </c>
      <c r="AV566" s="4">
        <f>tbl_Data_old[[#This Row],[Adj. per unit Incentive ($)]]/tbl_Data_old[[#This Row],[kWh Savings]]*tbl_Data_old[[#This Row],[Sum of Annuals]]</f>
        <v>0</v>
      </c>
      <c r="AW566" s="4" t="str">
        <f>IFERROR(VLOOKUP(tbl_Data_old[[#This Row],[All_Programs]],'1. Set Program Names'!$B$2:$D$15,3,0)*tbl_Data_old[[#This Row],[Sum of Annuals]],"")</f>
        <v/>
      </c>
      <c r="AX566" s="4">
        <f>tbl_Data_old[[#This Row],[per unit IRA tax ($)]]/tbl_Data_old[[#This Row],[kWh Savings]]*tbl_Data_old[[#This Row],[Sum of Annuals]]</f>
        <v>0</v>
      </c>
      <c r="AY566" s="4">
        <f>tbl_Data_old[[#This Row],[Avoided Costs ($/unit)]]/tbl_Data_old[[#This Row],[kWh Savings]]*tbl_Data_old[[#This Row],[Sum of Annuals]]</f>
        <v>24477.710319867019</v>
      </c>
      <c r="AZ566" s="4">
        <f>tbl_Data_old[[#This Row],[Lost Revenue ($/unit)]]/tbl_Data_old[[#This Row],[kWh Savings]]*tbl_Data_old[[#This Row],[Sum of Annuals]]</f>
        <v>57689.822705998173</v>
      </c>
      <c r="BA566" s="4">
        <f>tbl_Data_old[[#This Row],[Incremental Cost ($/unit)]]/tbl_Data_old[[#This Row],[kWh Savings]]*tbl_Data_old[[#This Row],[Sum of Annuals]]</f>
        <v>15812.880094259597</v>
      </c>
      <c r="BB566">
        <f>ROUNDUP(tbl_Data_old[[#This Row],[Adjusted 2025]]/$L566,0)</f>
        <v>9</v>
      </c>
      <c r="BC566">
        <f>ROUNDUP(tbl_Data_old[[#This Row],[Adjusted 2026]]/$L566,0)</f>
        <v>12</v>
      </c>
      <c r="BD566">
        <f>ROUNDUP(tbl_Data_old[[#This Row],[Adjusted 2027]]/$L566,0)</f>
        <v>15</v>
      </c>
      <c r="BE566">
        <f>ROUNDUP(tbl_Data_old[[#This Row],[Adjusted 2028]]/$L566,0)</f>
        <v>19</v>
      </c>
      <c r="BF566">
        <f>ROUNDUP(tbl_Data_old[[#This Row],[Adjusted 2029]]/$L566,0)</f>
        <v>24</v>
      </c>
      <c r="BG566">
        <f>ROUNDUP(tbl_Data_old[[#This Row],[Adjusted 2030]]/$L566,0)</f>
        <v>28</v>
      </c>
      <c r="BH566">
        <f>ROUNDUP(tbl_Data_old[[#This Row],[Adjusted 2031]]/$L566,0)</f>
        <v>31</v>
      </c>
      <c r="BI566">
        <f>ROUNDUP(tbl_Data_old[[#This Row],[Adjusted 2032]]/$L566,0)</f>
        <v>32</v>
      </c>
      <c r="BJ566">
        <f>ROUNDUP(tbl_Data_old[[#This Row],[Adjusted 2033]]/$L566,0)</f>
        <v>31</v>
      </c>
      <c r="BK566">
        <f>ROUNDUP(tbl_Data_old[[#This Row],[Adjusted 2034]]/$L566,0)</f>
        <v>28</v>
      </c>
      <c r="BL566" s="3">
        <f t="shared" si="38"/>
        <v>0</v>
      </c>
      <c r="BM566" s="3">
        <f t="shared" si="38"/>
        <v>0</v>
      </c>
      <c r="BN566" s="3">
        <f t="shared" si="38"/>
        <v>0</v>
      </c>
      <c r="BO566" s="3">
        <f t="shared" si="38"/>
        <v>0</v>
      </c>
      <c r="BP566" s="3">
        <f t="shared" si="38"/>
        <v>0</v>
      </c>
      <c r="BQ566" s="3">
        <f t="shared" si="38"/>
        <v>0</v>
      </c>
      <c r="BR566" s="3">
        <f t="shared" si="38"/>
        <v>0</v>
      </c>
      <c r="BS566" s="3">
        <f t="shared" si="38"/>
        <v>0</v>
      </c>
      <c r="BT566" s="3">
        <f t="shared" si="38"/>
        <v>0</v>
      </c>
      <c r="BU566" s="3">
        <f t="shared" si="38"/>
        <v>0</v>
      </c>
      <c r="BV566" t="e">
        <f>VLOOKUP($H566,'1. Set Program Names'!$B$2:$D$15,3,0)*V566</f>
        <v>#N/A</v>
      </c>
      <c r="BW566" t="e">
        <f>VLOOKUP($H566,'1. Set Program Names'!$B$2:$D$15,3,0)*W566</f>
        <v>#N/A</v>
      </c>
      <c r="BX566" t="e">
        <f>VLOOKUP($H566,'1. Set Program Names'!$B$2:$D$15,3,0)*X566</f>
        <v>#N/A</v>
      </c>
      <c r="BY566" t="e">
        <f>VLOOKUP($H566,'1. Set Program Names'!$B$2:$D$15,3,0)*Y566</f>
        <v>#N/A</v>
      </c>
      <c r="BZ566" t="e">
        <f>VLOOKUP($H566,'1. Set Program Names'!$B$2:$D$15,3,0)*Z566</f>
        <v>#N/A</v>
      </c>
      <c r="CA566" t="e">
        <f>VLOOKUP($H566,'1. Set Program Names'!$B$2:$D$15,3,0)*AA566</f>
        <v>#N/A</v>
      </c>
      <c r="CB566" t="e">
        <f>VLOOKUP($H566,'1. Set Program Names'!$B$2:$D$15,3,0)*AB566</f>
        <v>#N/A</v>
      </c>
      <c r="CC566" t="e">
        <f>VLOOKUP($H566,'1. Set Program Names'!$B$2:$D$15,3,0)*AC566</f>
        <v>#N/A</v>
      </c>
      <c r="CD566" t="e">
        <f>VLOOKUP($H566,'1. Set Program Names'!$B$2:$D$15,3,0)*AD566</f>
        <v>#N/A</v>
      </c>
      <c r="CE566" t="e">
        <f>VLOOKUP($H566,'1. Set Program Names'!$B$2:$D$15,3,0)*AE566</f>
        <v>#N/A</v>
      </c>
    </row>
    <row r="567" spans="1:83" x14ac:dyDescent="0.25">
      <c r="A567" s="20" t="s">
        <v>87</v>
      </c>
      <c r="B567" s="20" t="s">
        <v>88</v>
      </c>
      <c r="C567" s="20" t="s">
        <v>122</v>
      </c>
      <c r="D567" s="20" t="s">
        <v>90</v>
      </c>
      <c r="E567" s="20" t="s">
        <v>91</v>
      </c>
      <c r="F567" s="20" t="s">
        <v>90</v>
      </c>
      <c r="G567" s="20" t="s">
        <v>92</v>
      </c>
      <c r="H567" s="20" t="s">
        <v>268</v>
      </c>
      <c r="I567" s="20" t="s">
        <v>126</v>
      </c>
      <c r="J567" s="20" t="s">
        <v>127</v>
      </c>
      <c r="K567" s="20" t="s">
        <v>102</v>
      </c>
      <c r="L567" s="20">
        <v>10474.513428571399</v>
      </c>
      <c r="M567" s="20">
        <v>11.987030831722899</v>
      </c>
      <c r="N567" s="20">
        <v>6.5774989692018102E-2</v>
      </c>
      <c r="O567" s="20">
        <v>2861.52</v>
      </c>
      <c r="P567" s="20">
        <v>706.838432647388</v>
      </c>
      <c r="Q567" s="20">
        <v>10.474513428571401</v>
      </c>
      <c r="R567" s="20">
        <v>9615.4333568812199</v>
      </c>
      <c r="S567" s="20">
        <v>8615.8759261769592</v>
      </c>
      <c r="T567" s="20">
        <v>10</v>
      </c>
      <c r="U567" s="20">
        <v>1</v>
      </c>
      <c r="V567" s="20">
        <v>12724.939794092301</v>
      </c>
      <c r="W567" s="20">
        <v>17615.367180720001</v>
      </c>
      <c r="X567" s="20">
        <v>23697.161889743398</v>
      </c>
      <c r="Y567" s="20">
        <v>31013.392700479199</v>
      </c>
      <c r="Z567" s="20">
        <v>39095.746025086002</v>
      </c>
      <c r="AA567" s="20">
        <v>46742.129582060901</v>
      </c>
      <c r="AB567" s="20">
        <v>52334.517166948499</v>
      </c>
      <c r="AC567" s="20">
        <v>54148.3734090988</v>
      </c>
      <c r="AD567" s="20">
        <v>51037.615001489597</v>
      </c>
      <c r="AE567" s="20">
        <v>43557.461237634503</v>
      </c>
      <c r="AF567" t="str">
        <f t="shared" si="35"/>
        <v>NonResidential</v>
      </c>
      <c r="AG567" t="str">
        <f>tbl_Data_old[[#This Row],[All_Meas_Name_Append]]</f>
        <v>Chiller maintenance</v>
      </c>
      <c r="AH567">
        <f>AVERAGEIFS('3. Incentive Adjustment'!G:G,'3. Incentive Adjustment'!A:A,tbl_Data_old[[#This Row],[Trimmed Sector]],'3. Incentive Adjustment'!B:B,tbl_Data_old[[#This Row],[Trimmed Measure Name]])</f>
        <v>0.83689882434423457</v>
      </c>
      <c r="AI567">
        <f>$AH567*tbl_Data_old[[#This Row],[2025 ]]</f>
        <v>10649.487153527012</v>
      </c>
      <c r="AJ567">
        <f>$AH567*tbl_Data_old[[#This Row],[2026 ]]</f>
        <v>14742.280083936583</v>
      </c>
      <c r="AK567">
        <f>$AH567*tbl_Data_old[[#This Row],[2027 ]]</f>
        <v>19832.126925821249</v>
      </c>
      <c r="AL567">
        <f>$AH567*tbl_Data_old[[#This Row],[2028 ]]</f>
        <v>25955.071889957107</v>
      </c>
      <c r="AM567">
        <f>$AH567*tbl_Data_old[[#This Row],[2029 ]]</f>
        <v>32719.183885255257</v>
      </c>
      <c r="AN567">
        <f>$AH567*tbl_Data_old[[#This Row],[2030 ]]</f>
        <v>39118.433294572635</v>
      </c>
      <c r="AO567">
        <f>$AH567*tbl_Data_old[[#This Row],[2031 ]]</f>
        <v>43798.69588964236</v>
      </c>
      <c r="AP567">
        <f>$AH567*tbl_Data_old[[#This Row],[2032 ]]</f>
        <v>45316.710046227396</v>
      </c>
      <c r="AQ567">
        <f>$AH567*tbl_Data_old[[#This Row],[2033 ]]</f>
        <v>42713.319992080316</v>
      </c>
      <c r="AR567">
        <f>$AH567*tbl_Data_old[[#This Row],[2034 ]]</f>
        <v>36453.188101195883</v>
      </c>
      <c r="AS567">
        <f>SUM(tbl_Data_old[[#This Row],[Adjusted 2025]:[Adjusted 2034]])</f>
        <v>311298.49726221582</v>
      </c>
      <c r="AT567" s="3">
        <f>AVERAGEIFS('3. Incentive Adjustment'!F:F,'3. Incentive Adjustment'!A:A,tbl_Data_old[[#This Row],[Trimmed Sector]],'3. Incentive Adjustment'!B:B,tbl_Data_old[[#This Row],[Trimmed Measure Name]])</f>
        <v>0</v>
      </c>
      <c r="AU567" s="3">
        <f>IFERROR(VLOOKUP(tbl_Data_old[[#This Row],[All_Meas_Name_Append]],'IRA Tax Credits'!$A$3:$D$46,4,0),0)</f>
        <v>0</v>
      </c>
      <c r="AV567" s="4">
        <f>tbl_Data_old[[#This Row],[Adj. per unit Incentive ($)]]/tbl_Data_old[[#This Row],[kWh Savings]]*tbl_Data_old[[#This Row],[Sum of Annuals]]</f>
        <v>0</v>
      </c>
      <c r="AW567" s="4" t="str">
        <f>IFERROR(VLOOKUP(tbl_Data_old[[#This Row],[All_Programs]],'1. Set Program Names'!$B$2:$D$15,3,0)*tbl_Data_old[[#This Row],[Sum of Annuals]],"")</f>
        <v/>
      </c>
      <c r="AX567" s="4">
        <f>tbl_Data_old[[#This Row],[per unit IRA tax ($)]]/tbl_Data_old[[#This Row],[kWh Savings]]*tbl_Data_old[[#This Row],[Sum of Annuals]]</f>
        <v>0</v>
      </c>
      <c r="AY567" s="4">
        <f>tbl_Data_old[[#This Row],[Avoided Costs ($/unit)]]/tbl_Data_old[[#This Row],[kWh Savings]]*tbl_Data_old[[#This Row],[Sum of Annuals]]</f>
        <v>285766.96902763471</v>
      </c>
      <c r="AZ567" s="4">
        <f>tbl_Data_old[[#This Row],[Lost Revenue ($/unit)]]/tbl_Data_old[[#This Row],[kWh Savings]]*tbl_Data_old[[#This Row],[Sum of Annuals]]</f>
        <v>256060.5078896154</v>
      </c>
      <c r="BA567" s="4">
        <f>tbl_Data_old[[#This Row],[Incremental Cost ($/unit)]]/tbl_Data_old[[#This Row],[kWh Savings]]*tbl_Data_old[[#This Row],[Sum of Annuals]]</f>
        <v>85043.270215871846</v>
      </c>
      <c r="BB567">
        <f>ROUNDUP(tbl_Data_old[[#This Row],[Adjusted 2025]]/$L567,0)</f>
        <v>2</v>
      </c>
      <c r="BC567">
        <f>ROUNDUP(tbl_Data_old[[#This Row],[Adjusted 2026]]/$L567,0)</f>
        <v>2</v>
      </c>
      <c r="BD567">
        <f>ROUNDUP(tbl_Data_old[[#This Row],[Adjusted 2027]]/$L567,0)</f>
        <v>2</v>
      </c>
      <c r="BE567">
        <f>ROUNDUP(tbl_Data_old[[#This Row],[Adjusted 2028]]/$L567,0)</f>
        <v>3</v>
      </c>
      <c r="BF567">
        <f>ROUNDUP(tbl_Data_old[[#This Row],[Adjusted 2029]]/$L567,0)</f>
        <v>4</v>
      </c>
      <c r="BG567">
        <f>ROUNDUP(tbl_Data_old[[#This Row],[Adjusted 2030]]/$L567,0)</f>
        <v>4</v>
      </c>
      <c r="BH567">
        <f>ROUNDUP(tbl_Data_old[[#This Row],[Adjusted 2031]]/$L567,0)</f>
        <v>5</v>
      </c>
      <c r="BI567">
        <f>ROUNDUP(tbl_Data_old[[#This Row],[Adjusted 2032]]/$L567,0)</f>
        <v>5</v>
      </c>
      <c r="BJ567">
        <f>ROUNDUP(tbl_Data_old[[#This Row],[Adjusted 2033]]/$L567,0)</f>
        <v>5</v>
      </c>
      <c r="BK567">
        <f>ROUNDUP(tbl_Data_old[[#This Row],[Adjusted 2034]]/$L567,0)</f>
        <v>4</v>
      </c>
      <c r="BL567" s="3">
        <f t="shared" si="38"/>
        <v>0</v>
      </c>
      <c r="BM567" s="3">
        <f t="shared" si="38"/>
        <v>0</v>
      </c>
      <c r="BN567" s="3">
        <f t="shared" si="38"/>
        <v>0</v>
      </c>
      <c r="BO567" s="3">
        <f t="shared" si="38"/>
        <v>0</v>
      </c>
      <c r="BP567" s="3">
        <f t="shared" si="38"/>
        <v>0</v>
      </c>
      <c r="BQ567" s="3">
        <f t="shared" si="38"/>
        <v>0</v>
      </c>
      <c r="BR567" s="3">
        <f t="shared" si="38"/>
        <v>0</v>
      </c>
      <c r="BS567" s="3">
        <f t="shared" si="38"/>
        <v>0</v>
      </c>
      <c r="BT567" s="3">
        <f t="shared" si="38"/>
        <v>0</v>
      </c>
      <c r="BU567" s="3">
        <f t="shared" si="38"/>
        <v>0</v>
      </c>
      <c r="BV567" t="e">
        <f>VLOOKUP($H567,'1. Set Program Names'!$B$2:$D$15,3,0)*V567</f>
        <v>#N/A</v>
      </c>
      <c r="BW567" t="e">
        <f>VLOOKUP($H567,'1. Set Program Names'!$B$2:$D$15,3,0)*W567</f>
        <v>#N/A</v>
      </c>
      <c r="BX567" t="e">
        <f>VLOOKUP($H567,'1. Set Program Names'!$B$2:$D$15,3,0)*X567</f>
        <v>#N/A</v>
      </c>
      <c r="BY567" t="e">
        <f>VLOOKUP($H567,'1. Set Program Names'!$B$2:$D$15,3,0)*Y567</f>
        <v>#N/A</v>
      </c>
      <c r="BZ567" t="e">
        <f>VLOOKUP($H567,'1. Set Program Names'!$B$2:$D$15,3,0)*Z567</f>
        <v>#N/A</v>
      </c>
      <c r="CA567" t="e">
        <f>VLOOKUP($H567,'1. Set Program Names'!$B$2:$D$15,3,0)*AA567</f>
        <v>#N/A</v>
      </c>
      <c r="CB567" t="e">
        <f>VLOOKUP($H567,'1. Set Program Names'!$B$2:$D$15,3,0)*AB567</f>
        <v>#N/A</v>
      </c>
      <c r="CC567" t="e">
        <f>VLOOKUP($H567,'1. Set Program Names'!$B$2:$D$15,3,0)*AC567</f>
        <v>#N/A</v>
      </c>
      <c r="CD567" t="e">
        <f>VLOOKUP($H567,'1. Set Program Names'!$B$2:$D$15,3,0)*AD567</f>
        <v>#N/A</v>
      </c>
      <c r="CE567" t="e">
        <f>VLOOKUP($H567,'1. Set Program Names'!$B$2:$D$15,3,0)*AE567</f>
        <v>#N/A</v>
      </c>
    </row>
    <row r="568" spans="1:83" x14ac:dyDescent="0.25">
      <c r="A568" s="20" t="s">
        <v>87</v>
      </c>
      <c r="B568" s="20" t="s">
        <v>88</v>
      </c>
      <c r="C568" s="20" t="s">
        <v>122</v>
      </c>
      <c r="D568" s="20" t="s">
        <v>90</v>
      </c>
      <c r="E568" s="20" t="s">
        <v>91</v>
      </c>
      <c r="F568" s="20" t="s">
        <v>90</v>
      </c>
      <c r="G568" s="20" t="s">
        <v>92</v>
      </c>
      <c r="H568" s="20" t="s">
        <v>268</v>
      </c>
      <c r="I568" s="20" t="s">
        <v>131</v>
      </c>
      <c r="J568" s="20" t="s">
        <v>132</v>
      </c>
      <c r="K568" s="20" t="s">
        <v>102</v>
      </c>
      <c r="L568" s="20">
        <v>1121.1428571428501</v>
      </c>
      <c r="M568" s="20">
        <v>0</v>
      </c>
      <c r="N568" s="20">
        <v>0.20460408928759399</v>
      </c>
      <c r="O568" s="20">
        <v>313</v>
      </c>
      <c r="P568" s="20">
        <v>104.06901074138401</v>
      </c>
      <c r="Q568" s="20">
        <v>1.1211428571428499</v>
      </c>
      <c r="R568" s="20">
        <v>557.43130076035402</v>
      </c>
      <c r="S568" s="20">
        <v>1217.69575846672</v>
      </c>
      <c r="T568" s="20">
        <v>15</v>
      </c>
      <c r="U568" s="20">
        <v>1</v>
      </c>
      <c r="V568" s="20">
        <v>6498.9307769429397</v>
      </c>
      <c r="W568" s="20">
        <v>6181.2862441116404</v>
      </c>
      <c r="X568" s="20">
        <v>5805.4202541857003</v>
      </c>
      <c r="Y568" s="20">
        <v>5427.5168290216998</v>
      </c>
      <c r="Z568" s="20">
        <v>5050.2849712511097</v>
      </c>
      <c r="AA568" s="20">
        <v>4672.55799272474</v>
      </c>
      <c r="AB568" s="20">
        <v>4303.4642381803296</v>
      </c>
      <c r="AC568" s="20">
        <v>3954.9515679829101</v>
      </c>
      <c r="AD568" s="20">
        <v>3631.0720501320998</v>
      </c>
      <c r="AE568" s="20">
        <v>3326.4872520859199</v>
      </c>
      <c r="AF568" t="str">
        <f t="shared" si="35"/>
        <v>NonResidential</v>
      </c>
      <c r="AG568" t="str">
        <f>tbl_Data_old[[#This Row],[All_Meas_Name_Append]]</f>
        <v>ECM Motors on Furnaces</v>
      </c>
      <c r="AH568">
        <f>AVERAGEIFS('3. Incentive Adjustment'!G:G,'3. Incentive Adjustment'!A:A,tbl_Data_old[[#This Row],[Trimmed Sector]],'3. Incentive Adjustment'!B:B,tbl_Data_old[[#This Row],[Trimmed Measure Name]])</f>
        <v>0.7827684764944346</v>
      </c>
      <c r="AI568">
        <f>$AH568*tbl_Data_old[[#This Row],[2025 ]]</f>
        <v>5087.1581431104169</v>
      </c>
      <c r="AJ568">
        <f>$AH568*tbl_Data_old[[#This Row],[2026 ]]</f>
        <v>4838.5160160792748</v>
      </c>
      <c r="AK568">
        <f>$AH568*tbl_Data_old[[#This Row],[2027 ]]</f>
        <v>4544.2999677788739</v>
      </c>
      <c r="AL568">
        <f>$AH568*tbl_Data_old[[#This Row],[2028 ]]</f>
        <v>4248.4890794012208</v>
      </c>
      <c r="AM568">
        <f>$AH568*tbl_Data_old[[#This Row],[2029 ]]</f>
        <v>3953.2038728089706</v>
      </c>
      <c r="AN568">
        <f>$AH568*tbl_Data_old[[#This Row],[2030 ]]</f>
        <v>3657.5311012970383</v>
      </c>
      <c r="AO568">
        <f>$AH568*tbl_Data_old[[#This Row],[2031 ]]</f>
        <v>3368.6161453686991</v>
      </c>
      <c r="AP568">
        <f>$AH568*tbl_Data_old[[#This Row],[2032 ]]</f>
        <v>3095.8114134792577</v>
      </c>
      <c r="AQ568">
        <f>$AH568*tbl_Data_old[[#This Row],[2033 ]]</f>
        <v>2842.2887367234271</v>
      </c>
      <c r="AR568">
        <f>$AH568*tbl_Data_old[[#This Row],[2034 ]]</f>
        <v>2603.8693583934537</v>
      </c>
      <c r="AS568">
        <f>SUM(tbl_Data_old[[#This Row],[Adjusted 2025]:[Adjusted 2034]])</f>
        <v>38239.783834440634</v>
      </c>
      <c r="AT568" s="3">
        <f>AVERAGEIFS('3. Incentive Adjustment'!F:F,'3. Incentive Adjustment'!A:A,tbl_Data_old[[#This Row],[Trimmed Sector]],'3. Incentive Adjustment'!B:B,tbl_Data_old[[#This Row],[Trimmed Measure Name]])</f>
        <v>0</v>
      </c>
      <c r="AU568" s="3">
        <f>IFERROR(VLOOKUP(tbl_Data_old[[#This Row],[All_Meas_Name_Append]],'IRA Tax Credits'!$A$3:$D$46,4,0),0)</f>
        <v>0</v>
      </c>
      <c r="AV568" s="4">
        <f>tbl_Data_old[[#This Row],[Adj. per unit Incentive ($)]]/tbl_Data_old[[#This Row],[kWh Savings]]*tbl_Data_old[[#This Row],[Sum of Annuals]]</f>
        <v>0</v>
      </c>
      <c r="AW568" s="4" t="str">
        <f>IFERROR(VLOOKUP(tbl_Data_old[[#This Row],[All_Programs]],'1. Set Program Names'!$B$2:$D$15,3,0)*tbl_Data_old[[#This Row],[Sum of Annuals]],"")</f>
        <v/>
      </c>
      <c r="AX568" s="4">
        <f>tbl_Data_old[[#This Row],[per unit IRA tax ($)]]/tbl_Data_old[[#This Row],[kWh Savings]]*tbl_Data_old[[#This Row],[Sum of Annuals]]</f>
        <v>0</v>
      </c>
      <c r="AY568" s="4">
        <f>tbl_Data_old[[#This Row],[Avoided Costs ($/unit)]]/tbl_Data_old[[#This Row],[kWh Savings]]*tbl_Data_old[[#This Row],[Sum of Annuals]]</f>
        <v>19012.78887683358</v>
      </c>
      <c r="AZ568" s="4">
        <f>tbl_Data_old[[#This Row],[Lost Revenue ($/unit)]]/tbl_Data_old[[#This Row],[kWh Savings]]*tbl_Data_old[[#This Row],[Sum of Annuals]]</f>
        <v>41532.99669459484</v>
      </c>
      <c r="BA568" s="4">
        <f>tbl_Data_old[[#This Row],[Incremental Cost ($/unit)]]/tbl_Data_old[[#This Row],[kWh Savings]]*tbl_Data_old[[#This Row],[Sum of Annuals]]</f>
        <v>10675.760242260443</v>
      </c>
      <c r="BB568">
        <f>ROUNDUP(tbl_Data_old[[#This Row],[Adjusted 2025]]/$L568,0)</f>
        <v>5</v>
      </c>
      <c r="BC568">
        <f>ROUNDUP(tbl_Data_old[[#This Row],[Adjusted 2026]]/$L568,0)</f>
        <v>5</v>
      </c>
      <c r="BD568">
        <f>ROUNDUP(tbl_Data_old[[#This Row],[Adjusted 2027]]/$L568,0)</f>
        <v>5</v>
      </c>
      <c r="BE568">
        <f>ROUNDUP(tbl_Data_old[[#This Row],[Adjusted 2028]]/$L568,0)</f>
        <v>4</v>
      </c>
      <c r="BF568">
        <f>ROUNDUP(tbl_Data_old[[#This Row],[Adjusted 2029]]/$L568,0)</f>
        <v>4</v>
      </c>
      <c r="BG568">
        <f>ROUNDUP(tbl_Data_old[[#This Row],[Adjusted 2030]]/$L568,0)</f>
        <v>4</v>
      </c>
      <c r="BH568">
        <f>ROUNDUP(tbl_Data_old[[#This Row],[Adjusted 2031]]/$L568,0)</f>
        <v>4</v>
      </c>
      <c r="BI568">
        <f>ROUNDUP(tbl_Data_old[[#This Row],[Adjusted 2032]]/$L568,0)</f>
        <v>3</v>
      </c>
      <c r="BJ568">
        <f>ROUNDUP(tbl_Data_old[[#This Row],[Adjusted 2033]]/$L568,0)</f>
        <v>3</v>
      </c>
      <c r="BK568">
        <f>ROUNDUP(tbl_Data_old[[#This Row],[Adjusted 2034]]/$L568,0)</f>
        <v>3</v>
      </c>
      <c r="BL568" s="3">
        <f t="shared" si="38"/>
        <v>0</v>
      </c>
      <c r="BM568" s="3">
        <f t="shared" si="38"/>
        <v>0</v>
      </c>
      <c r="BN568" s="3">
        <f t="shared" si="38"/>
        <v>0</v>
      </c>
      <c r="BO568" s="3">
        <f t="shared" si="38"/>
        <v>0</v>
      </c>
      <c r="BP568" s="3">
        <f t="shared" si="38"/>
        <v>0</v>
      </c>
      <c r="BQ568" s="3">
        <f t="shared" si="38"/>
        <v>0</v>
      </c>
      <c r="BR568" s="3">
        <f t="shared" si="38"/>
        <v>0</v>
      </c>
      <c r="BS568" s="3">
        <f t="shared" si="38"/>
        <v>0</v>
      </c>
      <c r="BT568" s="3">
        <f t="shared" si="38"/>
        <v>0</v>
      </c>
      <c r="BU568" s="3">
        <f t="shared" si="38"/>
        <v>0</v>
      </c>
      <c r="BV568" t="e">
        <f>VLOOKUP($H568,'1. Set Program Names'!$B$2:$D$15,3,0)*V568</f>
        <v>#N/A</v>
      </c>
      <c r="BW568" t="e">
        <f>VLOOKUP($H568,'1. Set Program Names'!$B$2:$D$15,3,0)*W568</f>
        <v>#N/A</v>
      </c>
      <c r="BX568" t="e">
        <f>VLOOKUP($H568,'1. Set Program Names'!$B$2:$D$15,3,0)*X568</f>
        <v>#N/A</v>
      </c>
      <c r="BY568" t="e">
        <f>VLOOKUP($H568,'1. Set Program Names'!$B$2:$D$15,3,0)*Y568</f>
        <v>#N/A</v>
      </c>
      <c r="BZ568" t="e">
        <f>VLOOKUP($H568,'1. Set Program Names'!$B$2:$D$15,3,0)*Z568</f>
        <v>#N/A</v>
      </c>
      <c r="CA568" t="e">
        <f>VLOOKUP($H568,'1. Set Program Names'!$B$2:$D$15,3,0)*AA568</f>
        <v>#N/A</v>
      </c>
      <c r="CB568" t="e">
        <f>VLOOKUP($H568,'1. Set Program Names'!$B$2:$D$15,3,0)*AB568</f>
        <v>#N/A</v>
      </c>
      <c r="CC568" t="e">
        <f>VLOOKUP($H568,'1. Set Program Names'!$B$2:$D$15,3,0)*AC568</f>
        <v>#N/A</v>
      </c>
      <c r="CD568" t="e">
        <f>VLOOKUP($H568,'1. Set Program Names'!$B$2:$D$15,3,0)*AD568</f>
        <v>#N/A</v>
      </c>
      <c r="CE568" t="e">
        <f>VLOOKUP($H568,'1. Set Program Names'!$B$2:$D$15,3,0)*AE568</f>
        <v>#N/A</v>
      </c>
    </row>
    <row r="569" spans="1:83" x14ac:dyDescent="0.25">
      <c r="A569" s="20" t="s">
        <v>87</v>
      </c>
      <c r="B569" s="20" t="s">
        <v>88</v>
      </c>
      <c r="C569" s="20" t="s">
        <v>122</v>
      </c>
      <c r="D569" s="20" t="s">
        <v>90</v>
      </c>
      <c r="E569" s="20" t="s">
        <v>91</v>
      </c>
      <c r="F569" s="20" t="s">
        <v>90</v>
      </c>
      <c r="G569" s="20" t="s">
        <v>92</v>
      </c>
      <c r="H569" s="20" t="s">
        <v>268</v>
      </c>
      <c r="I569" s="20" t="s">
        <v>307</v>
      </c>
      <c r="J569" s="20" t="s">
        <v>137</v>
      </c>
      <c r="K569" s="20" t="s">
        <v>98</v>
      </c>
      <c r="L569" s="20">
        <v>1111.20999999999</v>
      </c>
      <c r="M569" s="20">
        <v>0.13640668324959701</v>
      </c>
      <c r="N569" s="20">
        <v>0.136388544932499</v>
      </c>
      <c r="O569" s="20">
        <v>412</v>
      </c>
      <c r="P569" s="20">
        <v>183.41637854330401</v>
      </c>
      <c r="Q569" s="20">
        <v>1.11120999999999</v>
      </c>
      <c r="R569" s="20">
        <v>480.86876845961399</v>
      </c>
      <c r="S569" s="20">
        <v>1206.90748297154</v>
      </c>
      <c r="T569" s="20">
        <v>15</v>
      </c>
      <c r="U569" s="20">
        <v>1</v>
      </c>
      <c r="V569" s="20">
        <v>42669.031815708702</v>
      </c>
      <c r="W569" s="20">
        <v>58761.277591569597</v>
      </c>
      <c r="X569" s="20">
        <v>77004.254308920499</v>
      </c>
      <c r="Y569" s="20">
        <v>96802.713240048106</v>
      </c>
      <c r="Z569" s="20">
        <v>116752.964270888</v>
      </c>
      <c r="AA569" s="20">
        <v>135166.67575061499</v>
      </c>
      <c r="AB569" s="20">
        <v>150966.36867162801</v>
      </c>
      <c r="AC569" s="20">
        <v>163995.50115118799</v>
      </c>
      <c r="AD569" s="20">
        <v>174449.776071111</v>
      </c>
      <c r="AE569" s="20">
        <v>182755.06401281699</v>
      </c>
      <c r="AF569" t="str">
        <f t="shared" si="35"/>
        <v>NonResidential</v>
      </c>
      <c r="AG569" t="str">
        <f>tbl_Data_old[[#This Row],[All_Meas_Name_Append]]</f>
        <v>Efficient Battery Charger</v>
      </c>
      <c r="AH569">
        <f>AVERAGEIFS('3. Incentive Adjustment'!G:G,'3. Incentive Adjustment'!A:A,tbl_Data_old[[#This Row],[Trimmed Sector]],'3. Incentive Adjustment'!B:B,tbl_Data_old[[#This Row],[Trimmed Measure Name]])</f>
        <v>0.64693164144446047</v>
      </c>
      <c r="AI569">
        <f>$AH569*tbl_Data_old[[#This Row],[2025 ]]</f>
        <v>27603.946791382339</v>
      </c>
      <c r="AJ569">
        <f>$AH569*tbl_Data_old[[#This Row],[2026 ]]</f>
        <v>38014.529765687716</v>
      </c>
      <c r="AK569">
        <f>$AH569*tbl_Data_old[[#This Row],[2027 ]]</f>
        <v>49816.488638276605</v>
      </c>
      <c r="AL569">
        <f>$AH569*tbl_Data_old[[#This Row],[2028 ]]</f>
        <v>62624.738172661724</v>
      </c>
      <c r="AM569">
        <f>$AH569*tbl_Data_old[[#This Row],[2029 ]]</f>
        <v>75531.186819272014</v>
      </c>
      <c r="AN569">
        <f>$AH569*tbl_Data_old[[#This Row],[2030 ]]</f>
        <v>87443.599411936506</v>
      </c>
      <c r="AO569">
        <f>$AH569*tbl_Data_old[[#This Row],[2031 ]]</f>
        <v>97664.920687645877</v>
      </c>
      <c r="AP569">
        <f>$AH569*tbl_Data_old[[#This Row],[2032 ]]</f>
        <v>106093.87874924495</v>
      </c>
      <c r="AQ569">
        <f>$AH569*tbl_Data_old[[#This Row],[2033 ]]</f>
        <v>112857.07998330241</v>
      </c>
      <c r="AR569">
        <f>$AH569*tbl_Data_old[[#This Row],[2034 ]]</f>
        <v>118230.03354409915</v>
      </c>
      <c r="AS569">
        <f>SUM(tbl_Data_old[[#This Row],[Adjusted 2025]:[Adjusted 2034]])</f>
        <v>775880.4025635093</v>
      </c>
      <c r="AT569" s="3">
        <f>AVERAGEIFS('3. Incentive Adjustment'!F:F,'3. Incentive Adjustment'!A:A,tbl_Data_old[[#This Row],[Trimmed Sector]],'3. Incentive Adjustment'!B:B,tbl_Data_old[[#This Row],[Trimmed Measure Name]])</f>
        <v>0</v>
      </c>
      <c r="AU569" s="3">
        <f>IFERROR(VLOOKUP(tbl_Data_old[[#This Row],[All_Meas_Name_Append]],'IRA Tax Credits'!$A$3:$D$46,4,0),0)</f>
        <v>0</v>
      </c>
      <c r="AV569" s="4">
        <f>tbl_Data_old[[#This Row],[Adj. per unit Incentive ($)]]/tbl_Data_old[[#This Row],[kWh Savings]]*tbl_Data_old[[#This Row],[Sum of Annuals]]</f>
        <v>0</v>
      </c>
      <c r="AW569" s="4" t="str">
        <f>IFERROR(VLOOKUP(tbl_Data_old[[#This Row],[All_Programs]],'1. Set Program Names'!$B$2:$D$15,3,0)*tbl_Data_old[[#This Row],[Sum of Annuals]],"")</f>
        <v/>
      </c>
      <c r="AX569" s="4">
        <f>tbl_Data_old[[#This Row],[per unit IRA tax ($)]]/tbl_Data_old[[#This Row],[kWh Savings]]*tbl_Data_old[[#This Row],[Sum of Annuals]]</f>
        <v>0</v>
      </c>
      <c r="AY569" s="4">
        <f>tbl_Data_old[[#This Row],[Avoided Costs ($/unit)]]/tbl_Data_old[[#This Row],[kWh Savings]]*tbl_Data_old[[#This Row],[Sum of Annuals]]</f>
        <v>335757.10590497527</v>
      </c>
      <c r="AZ569" s="4">
        <f>tbl_Data_old[[#This Row],[Lost Revenue ($/unit)]]/tbl_Data_old[[#This Row],[kWh Savings]]*tbl_Data_old[[#This Row],[Sum of Annuals]]</f>
        <v>842699.27713472571</v>
      </c>
      <c r="BA569" s="4">
        <f>tbl_Data_old[[#This Row],[Incremental Cost ($/unit)]]/tbl_Data_old[[#This Row],[kWh Savings]]*tbl_Data_old[[#This Row],[Sum of Annuals]]</f>
        <v>287670.85056485154</v>
      </c>
      <c r="BB569">
        <f>ROUNDUP(tbl_Data_old[[#This Row],[Adjusted 2025]]/$L569,0)</f>
        <v>25</v>
      </c>
      <c r="BC569">
        <f>ROUNDUP(tbl_Data_old[[#This Row],[Adjusted 2026]]/$L569,0)</f>
        <v>35</v>
      </c>
      <c r="BD569">
        <f>ROUNDUP(tbl_Data_old[[#This Row],[Adjusted 2027]]/$L569,0)</f>
        <v>45</v>
      </c>
      <c r="BE569">
        <f>ROUNDUP(tbl_Data_old[[#This Row],[Adjusted 2028]]/$L569,0)</f>
        <v>57</v>
      </c>
      <c r="BF569">
        <f>ROUNDUP(tbl_Data_old[[#This Row],[Adjusted 2029]]/$L569,0)</f>
        <v>68</v>
      </c>
      <c r="BG569">
        <f>ROUNDUP(tbl_Data_old[[#This Row],[Adjusted 2030]]/$L569,0)</f>
        <v>79</v>
      </c>
      <c r="BH569">
        <f>ROUNDUP(tbl_Data_old[[#This Row],[Adjusted 2031]]/$L569,0)</f>
        <v>88</v>
      </c>
      <c r="BI569">
        <f>ROUNDUP(tbl_Data_old[[#This Row],[Adjusted 2032]]/$L569,0)</f>
        <v>96</v>
      </c>
      <c r="BJ569">
        <f>ROUNDUP(tbl_Data_old[[#This Row],[Adjusted 2033]]/$L569,0)</f>
        <v>102</v>
      </c>
      <c r="BK569">
        <f>ROUNDUP(tbl_Data_old[[#This Row],[Adjusted 2034]]/$L569,0)</f>
        <v>107</v>
      </c>
      <c r="BL569" s="3">
        <f t="shared" si="38"/>
        <v>0</v>
      </c>
      <c r="BM569" s="3">
        <f t="shared" si="38"/>
        <v>0</v>
      </c>
      <c r="BN569" s="3">
        <f t="shared" si="38"/>
        <v>0</v>
      </c>
      <c r="BO569" s="3">
        <f t="shared" si="38"/>
        <v>0</v>
      </c>
      <c r="BP569" s="3">
        <f t="shared" si="38"/>
        <v>0</v>
      </c>
      <c r="BQ569" s="3">
        <f t="shared" si="38"/>
        <v>0</v>
      </c>
      <c r="BR569" s="3">
        <f t="shared" si="38"/>
        <v>0</v>
      </c>
      <c r="BS569" s="3">
        <f t="shared" si="38"/>
        <v>0</v>
      </c>
      <c r="BT569" s="3">
        <f t="shared" si="38"/>
        <v>0</v>
      </c>
      <c r="BU569" s="3">
        <f t="shared" si="38"/>
        <v>0</v>
      </c>
      <c r="BV569" t="e">
        <f>VLOOKUP($H569,'1. Set Program Names'!$B$2:$D$15,3,0)*V569</f>
        <v>#N/A</v>
      </c>
      <c r="BW569" t="e">
        <f>VLOOKUP($H569,'1. Set Program Names'!$B$2:$D$15,3,0)*W569</f>
        <v>#N/A</v>
      </c>
      <c r="BX569" t="e">
        <f>VLOOKUP($H569,'1. Set Program Names'!$B$2:$D$15,3,0)*X569</f>
        <v>#N/A</v>
      </c>
      <c r="BY569" t="e">
        <f>VLOOKUP($H569,'1. Set Program Names'!$B$2:$D$15,3,0)*Y569</f>
        <v>#N/A</v>
      </c>
      <c r="BZ569" t="e">
        <f>VLOOKUP($H569,'1. Set Program Names'!$B$2:$D$15,3,0)*Z569</f>
        <v>#N/A</v>
      </c>
      <c r="CA569" t="e">
        <f>VLOOKUP($H569,'1. Set Program Names'!$B$2:$D$15,3,0)*AA569</f>
        <v>#N/A</v>
      </c>
      <c r="CB569" t="e">
        <f>VLOOKUP($H569,'1. Set Program Names'!$B$2:$D$15,3,0)*AB569</f>
        <v>#N/A</v>
      </c>
      <c r="CC569" t="e">
        <f>VLOOKUP($H569,'1. Set Program Names'!$B$2:$D$15,3,0)*AC569</f>
        <v>#N/A</v>
      </c>
      <c r="CD569" t="e">
        <f>VLOOKUP($H569,'1. Set Program Names'!$B$2:$D$15,3,0)*AD569</f>
        <v>#N/A</v>
      </c>
      <c r="CE569" t="e">
        <f>VLOOKUP($H569,'1. Set Program Names'!$B$2:$D$15,3,0)*AE569</f>
        <v>#N/A</v>
      </c>
    </row>
    <row r="570" spans="1:83" x14ac:dyDescent="0.25">
      <c r="A570" s="20" t="s">
        <v>87</v>
      </c>
      <c r="B570" s="20" t="s">
        <v>88</v>
      </c>
      <c r="C570" s="20" t="s">
        <v>122</v>
      </c>
      <c r="D570" s="20" t="s">
        <v>90</v>
      </c>
      <c r="E570" s="20" t="s">
        <v>91</v>
      </c>
      <c r="F570" s="20" t="s">
        <v>90</v>
      </c>
      <c r="G570" s="20" t="s">
        <v>92</v>
      </c>
      <c r="H570" s="20" t="s">
        <v>268</v>
      </c>
      <c r="I570" s="20" t="s">
        <v>135</v>
      </c>
      <c r="J570" s="20" t="s">
        <v>134</v>
      </c>
      <c r="K570" s="20" t="s">
        <v>98</v>
      </c>
      <c r="L570" s="20">
        <v>6368</v>
      </c>
      <c r="M570" s="20">
        <v>0.60494632768604495</v>
      </c>
      <c r="N570" s="20">
        <v>0.53529110623606202</v>
      </c>
      <c r="O570" s="20">
        <v>1580</v>
      </c>
      <c r="P570" s="20">
        <v>270.05813353350197</v>
      </c>
      <c r="Q570" s="20">
        <v>6.3680000000000003</v>
      </c>
      <c r="R570" s="20">
        <v>1963.2041057461399</v>
      </c>
      <c r="S570" s="20">
        <v>5968.19517810463</v>
      </c>
      <c r="T570" s="20">
        <v>12</v>
      </c>
      <c r="U570" s="20">
        <v>1</v>
      </c>
      <c r="V570" s="20">
        <v>19376.215906981</v>
      </c>
      <c r="W570" s="20">
        <v>26610.7786882162</v>
      </c>
      <c r="X570" s="20">
        <v>34640.238718525499</v>
      </c>
      <c r="Y570" s="20">
        <v>43106.345819656803</v>
      </c>
      <c r="Z570" s="20">
        <v>51316.232175552897</v>
      </c>
      <c r="AA570" s="20">
        <v>58555.239272518098</v>
      </c>
      <c r="AB570" s="20">
        <v>64391.9258155965</v>
      </c>
      <c r="AC570" s="20">
        <v>68856.746997504306</v>
      </c>
      <c r="AD570" s="20">
        <v>72163.358088004898</v>
      </c>
      <c r="AE570" s="20">
        <v>74510.500360639096</v>
      </c>
      <c r="AF570" t="str">
        <f t="shared" si="35"/>
        <v>NonResidential</v>
      </c>
      <c r="AG570" t="str">
        <f>tbl_Data_old[[#This Row],[All_Meas_Name_Append]]</f>
        <v>Energy Star Combination Oven</v>
      </c>
      <c r="AH570">
        <f>AVERAGEIFS('3. Incentive Adjustment'!G:G,'3. Incentive Adjustment'!A:A,tbl_Data_old[[#This Row],[Trimmed Sector]],'3. Incentive Adjustment'!B:B,tbl_Data_old[[#This Row],[Trimmed Measure Name]])</f>
        <v>0.89413714267910538</v>
      </c>
      <c r="AI570">
        <f>$AH570*tbl_Data_old[[#This Row],[2025 ]]</f>
        <v>17324.994327001423</v>
      </c>
      <c r="AJ570">
        <f>$AH570*tbl_Data_old[[#This Row],[2026 ]]</f>
        <v>23793.685620747667</v>
      </c>
      <c r="AK570">
        <f>$AH570*tbl_Data_old[[#This Row],[2027 ]]</f>
        <v>30973.124069504505</v>
      </c>
      <c r="AL570">
        <f>$AH570*tbl_Data_old[[#This Row],[2028 ]]</f>
        <v>38542.984882525336</v>
      </c>
      <c r="AM570">
        <f>$AH570*tbl_Data_old[[#This Row],[2029 ]]</f>
        <v>45883.749210506438</v>
      </c>
      <c r="AN570">
        <f>$AH570*tbl_Data_old[[#This Row],[2030 ]]</f>
        <v>52356.414332020671</v>
      </c>
      <c r="AO570">
        <f>$AH570*tbl_Data_old[[#This Row],[2031 ]]</f>
        <v>57575.212560362379</v>
      </c>
      <c r="AP570">
        <f>$AH570*tbl_Data_old[[#This Row],[2032 ]]</f>
        <v>61567.375014526566</v>
      </c>
      <c r="AQ570">
        <f>$AH570*tbl_Data_old[[#This Row],[2033 ]]</f>
        <v>64523.938806937811</v>
      </c>
      <c r="AR570">
        <f>$AH570*tbl_Data_old[[#This Row],[2034 ]]</f>
        <v>66622.605892052292</v>
      </c>
      <c r="AS570">
        <f>SUM(tbl_Data_old[[#This Row],[Adjusted 2025]:[Adjusted 2034]])</f>
        <v>459164.08471618517</v>
      </c>
      <c r="AT570" s="3">
        <f>AVERAGEIFS('3. Incentive Adjustment'!F:F,'3. Incentive Adjustment'!A:A,tbl_Data_old[[#This Row],[Trimmed Sector]],'3. Incentive Adjustment'!B:B,tbl_Data_old[[#This Row],[Trimmed Measure Name]])</f>
        <v>0</v>
      </c>
      <c r="AU570" s="3">
        <f>IFERROR(VLOOKUP(tbl_Data_old[[#This Row],[All_Meas_Name_Append]],'IRA Tax Credits'!$A$3:$D$46,4,0),0)</f>
        <v>0</v>
      </c>
      <c r="AV570" s="4">
        <f>tbl_Data_old[[#This Row],[Adj. per unit Incentive ($)]]/tbl_Data_old[[#This Row],[kWh Savings]]*tbl_Data_old[[#This Row],[Sum of Annuals]]</f>
        <v>0</v>
      </c>
      <c r="AW570" s="4" t="str">
        <f>IFERROR(VLOOKUP(tbl_Data_old[[#This Row],[All_Programs]],'1. Set Program Names'!$B$2:$D$15,3,0)*tbl_Data_old[[#This Row],[Sum of Annuals]],"")</f>
        <v/>
      </c>
      <c r="AX570" s="4">
        <f>tbl_Data_old[[#This Row],[per unit IRA tax ($)]]/tbl_Data_old[[#This Row],[kWh Savings]]*tbl_Data_old[[#This Row],[Sum of Annuals]]</f>
        <v>0</v>
      </c>
      <c r="AY570" s="4">
        <f>tbl_Data_old[[#This Row],[Avoided Costs ($/unit)]]/tbl_Data_old[[#This Row],[kWh Savings]]*tbl_Data_old[[#This Row],[Sum of Annuals]]</f>
        <v>141556.66085521091</v>
      </c>
      <c r="AZ570" s="4">
        <f>tbl_Data_old[[#This Row],[Lost Revenue ($/unit)]]/tbl_Data_old[[#This Row],[kWh Savings]]*tbl_Data_old[[#This Row],[Sum of Annuals]]</f>
        <v>430336.19289603678</v>
      </c>
      <c r="BA570" s="4">
        <f>tbl_Data_old[[#This Row],[Incremental Cost ($/unit)]]/tbl_Data_old[[#This Row],[kWh Savings]]*tbl_Data_old[[#This Row],[Sum of Annuals]]</f>
        <v>113925.76222543539</v>
      </c>
      <c r="BB570">
        <f>ROUNDUP(tbl_Data_old[[#This Row],[Adjusted 2025]]/$L570,0)</f>
        <v>3</v>
      </c>
      <c r="BC570">
        <f>ROUNDUP(tbl_Data_old[[#This Row],[Adjusted 2026]]/$L570,0)</f>
        <v>4</v>
      </c>
      <c r="BD570">
        <f>ROUNDUP(tbl_Data_old[[#This Row],[Adjusted 2027]]/$L570,0)</f>
        <v>5</v>
      </c>
      <c r="BE570">
        <f>ROUNDUP(tbl_Data_old[[#This Row],[Adjusted 2028]]/$L570,0)</f>
        <v>7</v>
      </c>
      <c r="BF570">
        <f>ROUNDUP(tbl_Data_old[[#This Row],[Adjusted 2029]]/$L570,0)</f>
        <v>8</v>
      </c>
      <c r="BG570">
        <f>ROUNDUP(tbl_Data_old[[#This Row],[Adjusted 2030]]/$L570,0)</f>
        <v>9</v>
      </c>
      <c r="BH570">
        <f>ROUNDUP(tbl_Data_old[[#This Row],[Adjusted 2031]]/$L570,0)</f>
        <v>10</v>
      </c>
      <c r="BI570">
        <f>ROUNDUP(tbl_Data_old[[#This Row],[Adjusted 2032]]/$L570,0)</f>
        <v>10</v>
      </c>
      <c r="BJ570">
        <f>ROUNDUP(tbl_Data_old[[#This Row],[Adjusted 2033]]/$L570,0)</f>
        <v>11</v>
      </c>
      <c r="BK570">
        <f>ROUNDUP(tbl_Data_old[[#This Row],[Adjusted 2034]]/$L570,0)</f>
        <v>11</v>
      </c>
      <c r="BL570" s="3">
        <f t="shared" si="38"/>
        <v>0</v>
      </c>
      <c r="BM570" s="3">
        <f t="shared" si="38"/>
        <v>0</v>
      </c>
      <c r="BN570" s="3">
        <f t="shared" si="38"/>
        <v>0</v>
      </c>
      <c r="BO570" s="3">
        <f t="shared" si="38"/>
        <v>0</v>
      </c>
      <c r="BP570" s="3">
        <f t="shared" si="38"/>
        <v>0</v>
      </c>
      <c r="BQ570" s="3">
        <f t="shared" si="38"/>
        <v>0</v>
      </c>
      <c r="BR570" s="3">
        <f t="shared" si="38"/>
        <v>0</v>
      </c>
      <c r="BS570" s="3">
        <f t="shared" si="38"/>
        <v>0</v>
      </c>
      <c r="BT570" s="3">
        <f t="shared" si="38"/>
        <v>0</v>
      </c>
      <c r="BU570" s="3">
        <f t="shared" si="38"/>
        <v>0</v>
      </c>
      <c r="BV570" t="e">
        <f>VLOOKUP($H570,'1. Set Program Names'!$B$2:$D$15,3,0)*V570</f>
        <v>#N/A</v>
      </c>
      <c r="BW570" t="e">
        <f>VLOOKUP($H570,'1. Set Program Names'!$B$2:$D$15,3,0)*W570</f>
        <v>#N/A</v>
      </c>
      <c r="BX570" t="e">
        <f>VLOOKUP($H570,'1. Set Program Names'!$B$2:$D$15,3,0)*X570</f>
        <v>#N/A</v>
      </c>
      <c r="BY570" t="e">
        <f>VLOOKUP($H570,'1. Set Program Names'!$B$2:$D$15,3,0)*Y570</f>
        <v>#N/A</v>
      </c>
      <c r="BZ570" t="e">
        <f>VLOOKUP($H570,'1. Set Program Names'!$B$2:$D$15,3,0)*Z570</f>
        <v>#N/A</v>
      </c>
      <c r="CA570" t="e">
        <f>VLOOKUP($H570,'1. Set Program Names'!$B$2:$D$15,3,0)*AA570</f>
        <v>#N/A</v>
      </c>
      <c r="CB570" t="e">
        <f>VLOOKUP($H570,'1. Set Program Names'!$B$2:$D$15,3,0)*AB570</f>
        <v>#N/A</v>
      </c>
      <c r="CC570" t="e">
        <f>VLOOKUP($H570,'1. Set Program Names'!$B$2:$D$15,3,0)*AC570</f>
        <v>#N/A</v>
      </c>
      <c r="CD570" t="e">
        <f>VLOOKUP($H570,'1. Set Program Names'!$B$2:$D$15,3,0)*AD570</f>
        <v>#N/A</v>
      </c>
      <c r="CE570" t="e">
        <f>VLOOKUP($H570,'1. Set Program Names'!$B$2:$D$15,3,0)*AE570</f>
        <v>#N/A</v>
      </c>
    </row>
    <row r="571" spans="1:83" x14ac:dyDescent="0.25">
      <c r="A571" s="20" t="s">
        <v>87</v>
      </c>
      <c r="B571" s="20" t="s">
        <v>88</v>
      </c>
      <c r="C571" s="20" t="s">
        <v>122</v>
      </c>
      <c r="D571" s="20" t="s">
        <v>90</v>
      </c>
      <c r="E571" s="20" t="s">
        <v>91</v>
      </c>
      <c r="F571" s="20" t="s">
        <v>90</v>
      </c>
      <c r="G571" s="20" t="s">
        <v>92</v>
      </c>
      <c r="H571" s="20" t="s">
        <v>268</v>
      </c>
      <c r="I571" s="20" t="s">
        <v>136</v>
      </c>
      <c r="J571" s="20" t="s">
        <v>137</v>
      </c>
      <c r="K571" s="20" t="s">
        <v>104</v>
      </c>
      <c r="L571" s="20">
        <v>810.099999999999</v>
      </c>
      <c r="M571" s="20">
        <v>0.128563724196602</v>
      </c>
      <c r="N571" s="20">
        <v>0.13252898089850401</v>
      </c>
      <c r="O571" s="20">
        <v>224</v>
      </c>
      <c r="P571" s="20">
        <v>57.356798677055799</v>
      </c>
      <c r="Q571" s="20">
        <v>0.81009999999999904</v>
      </c>
      <c r="R571" s="20">
        <v>239.61317678792901</v>
      </c>
      <c r="S571" s="20">
        <v>505.19538551625698</v>
      </c>
      <c r="T571" s="20">
        <v>7</v>
      </c>
      <c r="U571" s="20">
        <v>1</v>
      </c>
      <c r="V571" s="20">
        <v>18343.3664290171</v>
      </c>
      <c r="W571" s="20">
        <v>25511.318369865901</v>
      </c>
      <c r="X571" s="20">
        <v>33578.948643666699</v>
      </c>
      <c r="Y571" s="20">
        <v>42238.913658184698</v>
      </c>
      <c r="Z571" s="20">
        <v>50841.027850406601</v>
      </c>
      <c r="AA571" s="20">
        <v>58642.007275023898</v>
      </c>
      <c r="AB571" s="20">
        <v>65204.967206858099</v>
      </c>
      <c r="AC571" s="20">
        <v>70516.531222992402</v>
      </c>
      <c r="AD571" s="20">
        <v>74712.988726969605</v>
      </c>
      <c r="AE571" s="20">
        <v>78011.265757062094</v>
      </c>
      <c r="AF571" t="str">
        <f t="shared" si="35"/>
        <v>NonResidential</v>
      </c>
      <c r="AG571" t="str">
        <f>tbl_Data_old[[#This Row],[All_Meas_Name_Append]]</f>
        <v>Energy Star Commercial Clothes Washer</v>
      </c>
      <c r="AH571">
        <f>AVERAGEIFS('3. Incentive Adjustment'!G:G,'3. Incentive Adjustment'!A:A,tbl_Data_old[[#This Row],[Trimmed Sector]],'3. Incentive Adjustment'!B:B,tbl_Data_old[[#This Row],[Trimmed Measure Name]])</f>
        <v>0.82959886877160749</v>
      </c>
      <c r="AI571">
        <f>$AH571*tbl_Data_old[[#This Row],[2025 ]]</f>
        <v>15217.636038975668</v>
      </c>
      <c r="AJ571">
        <f>$AH571*tbl_Data_old[[#This Row],[2026 ]]</f>
        <v>21164.160860513082</v>
      </c>
      <c r="AK571">
        <f>$AH571*tbl_Data_old[[#This Row],[2027 ]]</f>
        <v>27857.057809325797</v>
      </c>
      <c r="AL571">
        <f>$AH571*tbl_Data_old[[#This Row],[2028 ]]</f>
        <v>35041.354988971623</v>
      </c>
      <c r="AM571">
        <f>$AH571*tbl_Data_old[[#This Row],[2029 ]]</f>
        <v>42177.659191883111</v>
      </c>
      <c r="AN571">
        <f>$AH571*tbl_Data_old[[#This Row],[2030 ]]</f>
        <v>48649.342897856201</v>
      </c>
      <c r="AO571">
        <f>$AH571*tbl_Data_old[[#This Row],[2031 ]]</f>
        <v>54093.967033099245</v>
      </c>
      <c r="AP571">
        <f>$AH571*tbl_Data_old[[#This Row],[2032 ]]</f>
        <v>58500.434532292238</v>
      </c>
      <c r="AQ571">
        <f>$AH571*tbl_Data_old[[#This Row],[2033 ]]</f>
        <v>61981.810930439846</v>
      </c>
      <c r="AR571">
        <f>$AH571*tbl_Data_old[[#This Row],[2034 ]]</f>
        <v>64718.057823499956</v>
      </c>
      <c r="AS571">
        <f>SUM(tbl_Data_old[[#This Row],[Adjusted 2025]:[Adjusted 2034]])</f>
        <v>429401.48210685677</v>
      </c>
      <c r="AT571" s="3">
        <f>AVERAGEIFS('3. Incentive Adjustment'!F:F,'3. Incentive Adjustment'!A:A,tbl_Data_old[[#This Row],[Trimmed Sector]],'3. Incentive Adjustment'!B:B,tbl_Data_old[[#This Row],[Trimmed Measure Name]])</f>
        <v>0</v>
      </c>
      <c r="AU571" s="3">
        <f>IFERROR(VLOOKUP(tbl_Data_old[[#This Row],[All_Meas_Name_Append]],'IRA Tax Credits'!$A$3:$D$46,4,0),0)</f>
        <v>0</v>
      </c>
      <c r="AV571" s="4">
        <f>tbl_Data_old[[#This Row],[Adj. per unit Incentive ($)]]/tbl_Data_old[[#This Row],[kWh Savings]]*tbl_Data_old[[#This Row],[Sum of Annuals]]</f>
        <v>0</v>
      </c>
      <c r="AW571" s="4" t="str">
        <f>IFERROR(VLOOKUP(tbl_Data_old[[#This Row],[All_Programs]],'1. Set Program Names'!$B$2:$D$15,3,0)*tbl_Data_old[[#This Row],[Sum of Annuals]],"")</f>
        <v/>
      </c>
      <c r="AX571" s="4">
        <f>tbl_Data_old[[#This Row],[per unit IRA tax ($)]]/tbl_Data_old[[#This Row],[kWh Savings]]*tbl_Data_old[[#This Row],[Sum of Annuals]]</f>
        <v>0</v>
      </c>
      <c r="AY571" s="4">
        <f>tbl_Data_old[[#This Row],[Avoided Costs ($/unit)]]/tbl_Data_old[[#This Row],[kWh Savings]]*tbl_Data_old[[#This Row],[Sum of Annuals]]</f>
        <v>127009.32384282081</v>
      </c>
      <c r="AZ571" s="4">
        <f>tbl_Data_old[[#This Row],[Lost Revenue ($/unit)]]/tbl_Data_old[[#This Row],[kWh Savings]]*tbl_Data_old[[#This Row],[Sum of Annuals]]</f>
        <v>267783.78878437955</v>
      </c>
      <c r="BA571" s="4">
        <f>tbl_Data_old[[#This Row],[Incremental Cost ($/unit)]]/tbl_Data_old[[#This Row],[kWh Savings]]*tbl_Data_old[[#This Row],[Sum of Annuals]]</f>
        <v>118733.40574242198</v>
      </c>
      <c r="BB571">
        <f>ROUNDUP(tbl_Data_old[[#This Row],[Adjusted 2025]]/$L571,0)</f>
        <v>19</v>
      </c>
      <c r="BC571">
        <f>ROUNDUP(tbl_Data_old[[#This Row],[Adjusted 2026]]/$L571,0)</f>
        <v>27</v>
      </c>
      <c r="BD571">
        <f>ROUNDUP(tbl_Data_old[[#This Row],[Adjusted 2027]]/$L571,0)</f>
        <v>35</v>
      </c>
      <c r="BE571">
        <f>ROUNDUP(tbl_Data_old[[#This Row],[Adjusted 2028]]/$L571,0)</f>
        <v>44</v>
      </c>
      <c r="BF571">
        <f>ROUNDUP(tbl_Data_old[[#This Row],[Adjusted 2029]]/$L571,0)</f>
        <v>53</v>
      </c>
      <c r="BG571">
        <f>ROUNDUP(tbl_Data_old[[#This Row],[Adjusted 2030]]/$L571,0)</f>
        <v>61</v>
      </c>
      <c r="BH571">
        <f>ROUNDUP(tbl_Data_old[[#This Row],[Adjusted 2031]]/$L571,0)</f>
        <v>67</v>
      </c>
      <c r="BI571">
        <f>ROUNDUP(tbl_Data_old[[#This Row],[Adjusted 2032]]/$L571,0)</f>
        <v>73</v>
      </c>
      <c r="BJ571">
        <f>ROUNDUP(tbl_Data_old[[#This Row],[Adjusted 2033]]/$L571,0)</f>
        <v>77</v>
      </c>
      <c r="BK571">
        <f>ROUNDUP(tbl_Data_old[[#This Row],[Adjusted 2034]]/$L571,0)</f>
        <v>80</v>
      </c>
      <c r="BL571" s="3">
        <f t="shared" si="38"/>
        <v>0</v>
      </c>
      <c r="BM571" s="3">
        <f t="shared" si="38"/>
        <v>0</v>
      </c>
      <c r="BN571" s="3">
        <f t="shared" si="38"/>
        <v>0</v>
      </c>
      <c r="BO571" s="3">
        <f t="shared" si="38"/>
        <v>0</v>
      </c>
      <c r="BP571" s="3">
        <f t="shared" si="38"/>
        <v>0</v>
      </c>
      <c r="BQ571" s="3">
        <f t="shared" si="38"/>
        <v>0</v>
      </c>
      <c r="BR571" s="3">
        <f t="shared" si="38"/>
        <v>0</v>
      </c>
      <c r="BS571" s="3">
        <f t="shared" si="38"/>
        <v>0</v>
      </c>
      <c r="BT571" s="3">
        <f t="shared" si="38"/>
        <v>0</v>
      </c>
      <c r="BU571" s="3">
        <f t="shared" si="38"/>
        <v>0</v>
      </c>
      <c r="BV571" t="e">
        <f>VLOOKUP($H571,'1. Set Program Names'!$B$2:$D$15,3,0)*V571</f>
        <v>#N/A</v>
      </c>
      <c r="BW571" t="e">
        <f>VLOOKUP($H571,'1. Set Program Names'!$B$2:$D$15,3,0)*W571</f>
        <v>#N/A</v>
      </c>
      <c r="BX571" t="e">
        <f>VLOOKUP($H571,'1. Set Program Names'!$B$2:$D$15,3,0)*X571</f>
        <v>#N/A</v>
      </c>
      <c r="BY571" t="e">
        <f>VLOOKUP($H571,'1. Set Program Names'!$B$2:$D$15,3,0)*Y571</f>
        <v>#N/A</v>
      </c>
      <c r="BZ571" t="e">
        <f>VLOOKUP($H571,'1. Set Program Names'!$B$2:$D$15,3,0)*Z571</f>
        <v>#N/A</v>
      </c>
      <c r="CA571" t="e">
        <f>VLOOKUP($H571,'1. Set Program Names'!$B$2:$D$15,3,0)*AA571</f>
        <v>#N/A</v>
      </c>
      <c r="CB571" t="e">
        <f>VLOOKUP($H571,'1. Set Program Names'!$B$2:$D$15,3,0)*AB571</f>
        <v>#N/A</v>
      </c>
      <c r="CC571" t="e">
        <f>VLOOKUP($H571,'1. Set Program Names'!$B$2:$D$15,3,0)*AC571</f>
        <v>#N/A</v>
      </c>
      <c r="CD571" t="e">
        <f>VLOOKUP($H571,'1. Set Program Names'!$B$2:$D$15,3,0)*AD571</f>
        <v>#N/A</v>
      </c>
      <c r="CE571" t="e">
        <f>VLOOKUP($H571,'1. Set Program Names'!$B$2:$D$15,3,0)*AE571</f>
        <v>#N/A</v>
      </c>
    </row>
    <row r="572" spans="1:83" x14ac:dyDescent="0.25">
      <c r="A572" s="20" t="s">
        <v>87</v>
      </c>
      <c r="B572" s="20" t="s">
        <v>88</v>
      </c>
      <c r="C572" s="20" t="s">
        <v>122</v>
      </c>
      <c r="D572" s="20" t="s">
        <v>90</v>
      </c>
      <c r="E572" s="20" t="s">
        <v>91</v>
      </c>
      <c r="F572" s="20" t="s">
        <v>90</v>
      </c>
      <c r="G572" s="20" t="s">
        <v>92</v>
      </c>
      <c r="H572" s="20" t="s">
        <v>268</v>
      </c>
      <c r="I572" s="20" t="s">
        <v>138</v>
      </c>
      <c r="J572" s="20" t="s">
        <v>124</v>
      </c>
      <c r="K572" s="20" t="s">
        <v>98</v>
      </c>
      <c r="L572" s="20">
        <v>4708.5</v>
      </c>
      <c r="M572" s="20">
        <v>0.683430781395169</v>
      </c>
      <c r="N572" s="20">
        <v>0.60632419999120102</v>
      </c>
      <c r="O572" s="20">
        <v>1154.6399999999901</v>
      </c>
      <c r="P572" s="20">
        <v>186.06881936911</v>
      </c>
      <c r="Q572" s="20">
        <v>4.7084999999999999</v>
      </c>
      <c r="R572" s="20">
        <v>1872.3805627056299</v>
      </c>
      <c r="S572" s="20">
        <v>4412.8842644638298</v>
      </c>
      <c r="T572" s="20">
        <v>12</v>
      </c>
      <c r="U572" s="20">
        <v>1</v>
      </c>
      <c r="V572" s="20">
        <v>30060.2834097175</v>
      </c>
      <c r="W572" s="20">
        <v>41583.173529589003</v>
      </c>
      <c r="X572" s="20">
        <v>54535.344331760301</v>
      </c>
      <c r="Y572" s="20">
        <v>68373.954706888806</v>
      </c>
      <c r="Z572" s="20">
        <v>82004.092227461893</v>
      </c>
      <c r="AA572" s="20">
        <v>94274.203615963997</v>
      </c>
      <c r="AB572" s="20">
        <v>104444.238301932</v>
      </c>
      <c r="AC572" s="20">
        <v>112515.635522789</v>
      </c>
      <c r="AD572" s="20">
        <v>118802.921923259</v>
      </c>
      <c r="AE572" s="20">
        <v>123582.51544312701</v>
      </c>
      <c r="AF572" t="str">
        <f t="shared" si="35"/>
        <v>NonResidential</v>
      </c>
      <c r="AG572" t="str">
        <f>tbl_Data_old[[#This Row],[All_Meas_Name_Append]]</f>
        <v>Energy Star Commercial Glass Door Freezer</v>
      </c>
      <c r="AH572">
        <f>AVERAGEIFS('3. Incentive Adjustment'!G:G,'3. Incentive Adjustment'!A:A,tbl_Data_old[[#This Row],[Trimmed Sector]],'3. Incentive Adjustment'!B:B,tbl_Data_old[[#This Row],[Trimmed Measure Name]])</f>
        <v>0.90098363397891501</v>
      </c>
      <c r="AI572">
        <f>$AH572*tbl_Data_old[[#This Row],[2025 ]]</f>
        <v>27083.823384923362</v>
      </c>
      <c r="AJ572">
        <f>$AH572*tbl_Data_old[[#This Row],[2026 ]]</f>
        <v>37465.758799064926</v>
      </c>
      <c r="AK572">
        <f>$AH572*tbl_Data_old[[#This Row],[2027 ]]</f>
        <v>49135.452716320819</v>
      </c>
      <c r="AL572">
        <f>$AH572*tbl_Data_old[[#This Row],[2028 ]]</f>
        <v>61603.814181322414</v>
      </c>
      <c r="AM572">
        <f>$AH572*tbl_Data_old[[#This Row],[2029 ]]</f>
        <v>73884.34501624071</v>
      </c>
      <c r="AN572">
        <f>$AH572*tbl_Data_old[[#This Row],[2030 ]]</f>
        <v>84939.514564379409</v>
      </c>
      <c r="AO572">
        <f>$AH572*tbl_Data_old[[#This Row],[2031 ]]</f>
        <v>94102.549373434478</v>
      </c>
      <c r="AP572">
        <f>$AH572*tbl_Data_old[[#This Row],[2032 ]]</f>
        <v>101374.74617276953</v>
      </c>
      <c r="AQ572">
        <f>$AH572*tbl_Data_old[[#This Row],[2033 ]]</f>
        <v>107039.4883217312</v>
      </c>
      <c r="AR572">
        <f>$AH572*tbl_Data_old[[#This Row],[2034 ]]</f>
        <v>111345.82386020395</v>
      </c>
      <c r="AS572">
        <f>SUM(tbl_Data_old[[#This Row],[Adjusted 2025]:[Adjusted 2034]])</f>
        <v>747975.31639039086</v>
      </c>
      <c r="AT572" s="3">
        <f>AVERAGEIFS('3. Incentive Adjustment'!F:F,'3. Incentive Adjustment'!A:A,tbl_Data_old[[#This Row],[Trimmed Sector]],'3. Incentive Adjustment'!B:B,tbl_Data_old[[#This Row],[Trimmed Measure Name]])</f>
        <v>0</v>
      </c>
      <c r="AU572" s="3">
        <f>IFERROR(VLOOKUP(tbl_Data_old[[#This Row],[All_Meas_Name_Append]],'IRA Tax Credits'!$A$3:$D$46,4,0),0)</f>
        <v>0</v>
      </c>
      <c r="AV572" s="4">
        <f>tbl_Data_old[[#This Row],[Adj. per unit Incentive ($)]]/tbl_Data_old[[#This Row],[kWh Savings]]*tbl_Data_old[[#This Row],[Sum of Annuals]]</f>
        <v>0</v>
      </c>
      <c r="AW572" s="4" t="str">
        <f>IFERROR(VLOOKUP(tbl_Data_old[[#This Row],[All_Programs]],'1. Set Program Names'!$B$2:$D$15,3,0)*tbl_Data_old[[#This Row],[Sum of Annuals]],"")</f>
        <v/>
      </c>
      <c r="AX572" s="4">
        <f>tbl_Data_old[[#This Row],[per unit IRA tax ($)]]/tbl_Data_old[[#This Row],[kWh Savings]]*tbl_Data_old[[#This Row],[Sum of Annuals]]</f>
        <v>0</v>
      </c>
      <c r="AY572" s="4">
        <f>tbl_Data_old[[#This Row],[Avoided Costs ($/unit)]]/tbl_Data_old[[#This Row],[kWh Savings]]*tbl_Data_old[[#This Row],[Sum of Annuals]]</f>
        <v>297439.61851820361</v>
      </c>
      <c r="AZ572" s="4">
        <f>tbl_Data_old[[#This Row],[Lost Revenue ($/unit)]]/tbl_Data_old[[#This Row],[kWh Savings]]*tbl_Data_old[[#This Row],[Sum of Annuals]]</f>
        <v>701014.86756005313</v>
      </c>
      <c r="BA572" s="4">
        <f>tbl_Data_old[[#This Row],[Incremental Cost ($/unit)]]/tbl_Data_old[[#This Row],[kWh Savings]]*tbl_Data_old[[#This Row],[Sum of Annuals]]</f>
        <v>183421.94314898449</v>
      </c>
      <c r="BB572">
        <f>ROUNDUP(tbl_Data_old[[#This Row],[Adjusted 2025]]/$L572,0)</f>
        <v>6</v>
      </c>
      <c r="BC572">
        <f>ROUNDUP(tbl_Data_old[[#This Row],[Adjusted 2026]]/$L572,0)</f>
        <v>8</v>
      </c>
      <c r="BD572">
        <f>ROUNDUP(tbl_Data_old[[#This Row],[Adjusted 2027]]/$L572,0)</f>
        <v>11</v>
      </c>
      <c r="BE572">
        <f>ROUNDUP(tbl_Data_old[[#This Row],[Adjusted 2028]]/$L572,0)</f>
        <v>14</v>
      </c>
      <c r="BF572">
        <f>ROUNDUP(tbl_Data_old[[#This Row],[Adjusted 2029]]/$L572,0)</f>
        <v>16</v>
      </c>
      <c r="BG572">
        <f>ROUNDUP(tbl_Data_old[[#This Row],[Adjusted 2030]]/$L572,0)</f>
        <v>19</v>
      </c>
      <c r="BH572">
        <f>ROUNDUP(tbl_Data_old[[#This Row],[Adjusted 2031]]/$L572,0)</f>
        <v>20</v>
      </c>
      <c r="BI572">
        <f>ROUNDUP(tbl_Data_old[[#This Row],[Adjusted 2032]]/$L572,0)</f>
        <v>22</v>
      </c>
      <c r="BJ572">
        <f>ROUNDUP(tbl_Data_old[[#This Row],[Adjusted 2033]]/$L572,0)</f>
        <v>23</v>
      </c>
      <c r="BK572">
        <f>ROUNDUP(tbl_Data_old[[#This Row],[Adjusted 2034]]/$L572,0)</f>
        <v>24</v>
      </c>
      <c r="BL572" s="3">
        <f t="shared" si="38"/>
        <v>0</v>
      </c>
      <c r="BM572" s="3">
        <f t="shared" si="38"/>
        <v>0</v>
      </c>
      <c r="BN572" s="3">
        <f t="shared" si="38"/>
        <v>0</v>
      </c>
      <c r="BO572" s="3">
        <f t="shared" si="38"/>
        <v>0</v>
      </c>
      <c r="BP572" s="3">
        <f t="shared" si="38"/>
        <v>0</v>
      </c>
      <c r="BQ572" s="3">
        <f t="shared" si="38"/>
        <v>0</v>
      </c>
      <c r="BR572" s="3">
        <f t="shared" si="38"/>
        <v>0</v>
      </c>
      <c r="BS572" s="3">
        <f t="shared" si="38"/>
        <v>0</v>
      </c>
      <c r="BT572" s="3">
        <f t="shared" si="38"/>
        <v>0</v>
      </c>
      <c r="BU572" s="3">
        <f t="shared" si="38"/>
        <v>0</v>
      </c>
      <c r="BV572" t="e">
        <f>VLOOKUP($H572,'1. Set Program Names'!$B$2:$D$15,3,0)*V572</f>
        <v>#N/A</v>
      </c>
      <c r="BW572" t="e">
        <f>VLOOKUP($H572,'1. Set Program Names'!$B$2:$D$15,3,0)*W572</f>
        <v>#N/A</v>
      </c>
      <c r="BX572" t="e">
        <f>VLOOKUP($H572,'1. Set Program Names'!$B$2:$D$15,3,0)*X572</f>
        <v>#N/A</v>
      </c>
      <c r="BY572" t="e">
        <f>VLOOKUP($H572,'1. Set Program Names'!$B$2:$D$15,3,0)*Y572</f>
        <v>#N/A</v>
      </c>
      <c r="BZ572" t="e">
        <f>VLOOKUP($H572,'1. Set Program Names'!$B$2:$D$15,3,0)*Z572</f>
        <v>#N/A</v>
      </c>
      <c r="CA572" t="e">
        <f>VLOOKUP($H572,'1. Set Program Names'!$B$2:$D$15,3,0)*AA572</f>
        <v>#N/A</v>
      </c>
      <c r="CB572" t="e">
        <f>VLOOKUP($H572,'1. Set Program Names'!$B$2:$D$15,3,0)*AB572</f>
        <v>#N/A</v>
      </c>
      <c r="CC572" t="e">
        <f>VLOOKUP($H572,'1. Set Program Names'!$B$2:$D$15,3,0)*AC572</f>
        <v>#N/A</v>
      </c>
      <c r="CD572" t="e">
        <f>VLOOKUP($H572,'1. Set Program Names'!$B$2:$D$15,3,0)*AD572</f>
        <v>#N/A</v>
      </c>
      <c r="CE572" t="e">
        <f>VLOOKUP($H572,'1. Set Program Names'!$B$2:$D$15,3,0)*AE572</f>
        <v>#N/A</v>
      </c>
    </row>
    <row r="573" spans="1:83" x14ac:dyDescent="0.25">
      <c r="A573" s="20" t="s">
        <v>87</v>
      </c>
      <c r="B573" s="20" t="s">
        <v>88</v>
      </c>
      <c r="C573" s="20" t="s">
        <v>122</v>
      </c>
      <c r="D573" s="20" t="s">
        <v>90</v>
      </c>
      <c r="E573" s="20" t="s">
        <v>91</v>
      </c>
      <c r="F573" s="20" t="s">
        <v>90</v>
      </c>
      <c r="G573" s="20" t="s">
        <v>92</v>
      </c>
      <c r="H573" s="20" t="s">
        <v>268</v>
      </c>
      <c r="I573" s="20" t="s">
        <v>139</v>
      </c>
      <c r="J573" s="20" t="s">
        <v>134</v>
      </c>
      <c r="K573" s="20" t="s">
        <v>98</v>
      </c>
      <c r="L573" s="20">
        <v>1937</v>
      </c>
      <c r="M573" s="20">
        <v>0.24908899441118301</v>
      </c>
      <c r="N573" s="20">
        <v>0.21233623172368499</v>
      </c>
      <c r="O573" s="20">
        <v>631.37</v>
      </c>
      <c r="P573" s="20">
        <v>232.91563515301399</v>
      </c>
      <c r="Q573" s="20">
        <v>1.9370000000000001</v>
      </c>
      <c r="R573" s="20">
        <v>770.86000119756204</v>
      </c>
      <c r="S573" s="20">
        <v>2270.0548686653701</v>
      </c>
      <c r="T573" s="20">
        <v>17</v>
      </c>
      <c r="U573" s="20">
        <v>1</v>
      </c>
      <c r="V573" s="20">
        <v>7975.3880942761598</v>
      </c>
      <c r="W573" s="20">
        <v>10858.8058612117</v>
      </c>
      <c r="X573" s="20">
        <v>13997.1728835617</v>
      </c>
      <c r="Y573" s="20">
        <v>17237.825755087099</v>
      </c>
      <c r="Z573" s="20">
        <v>20313.440729424601</v>
      </c>
      <c r="AA573" s="20">
        <v>22969.736701091799</v>
      </c>
      <c r="AB573" s="20">
        <v>25073.502125064399</v>
      </c>
      <c r="AC573" s="20">
        <v>26664.489240945299</v>
      </c>
      <c r="AD573" s="20">
        <v>27837.922540942101</v>
      </c>
      <c r="AE573" s="20">
        <v>28670.8943541113</v>
      </c>
      <c r="AF573" t="str">
        <f t="shared" si="35"/>
        <v>NonResidential</v>
      </c>
      <c r="AG573" t="str">
        <f>tbl_Data_old[[#This Row],[All_Meas_Name_Append]]</f>
        <v>Energy Star convection oven</v>
      </c>
      <c r="AH573">
        <f>AVERAGEIFS('3. Incentive Adjustment'!G:G,'3. Incentive Adjustment'!A:A,tbl_Data_old[[#This Row],[Trimmed Sector]],'3. Incentive Adjustment'!B:B,tbl_Data_old[[#This Row],[Trimmed Measure Name]])</f>
        <v>0.72813370493976592</v>
      </c>
      <c r="AI573">
        <f>$AH573*tbl_Data_old[[#This Row],[2025 ]]</f>
        <v>5807.1488814177992</v>
      </c>
      <c r="AJ573">
        <f>$AH573*tbl_Data_old[[#This Row],[2026 ]]</f>
        <v>7906.6625429457208</v>
      </c>
      <c r="AK573">
        <f>$AH573*tbl_Data_old[[#This Row],[2027 ]]</f>
        <v>10191.813350390206</v>
      </c>
      <c r="AL573">
        <f>$AH573*tbl_Data_old[[#This Row],[2028 ]]</f>
        <v>12551.441932157688</v>
      </c>
      <c r="AM573">
        <f>$AH573*tbl_Data_old[[#This Row],[2029 ]]</f>
        <v>14790.900858390276</v>
      </c>
      <c r="AN573">
        <f>$AH573*tbl_Data_old[[#This Row],[2030 ]]</f>
        <v>16725.039485656889</v>
      </c>
      <c r="AO573">
        <f>$AH573*tbl_Data_old[[#This Row],[2031 ]]</f>
        <v>18256.861998138236</v>
      </c>
      <c r="AP573">
        <f>$AH573*tbl_Data_old[[#This Row],[2032 ]]</f>
        <v>19415.313341336026</v>
      </c>
      <c r="AQ573">
        <f>$AH573*tbl_Data_old[[#This Row],[2033 ]]</f>
        <v>20269.729677562394</v>
      </c>
      <c r="AR573">
        <f>$AH573*tbl_Data_old[[#This Row],[2034 ]]</f>
        <v>20876.244529995678</v>
      </c>
      <c r="AS573">
        <f>SUM(tbl_Data_old[[#This Row],[Adjusted 2025]:[Adjusted 2034]])</f>
        <v>146791.15659799092</v>
      </c>
      <c r="AT573" s="3">
        <f>AVERAGEIFS('3. Incentive Adjustment'!F:F,'3. Incentive Adjustment'!A:A,tbl_Data_old[[#This Row],[Trimmed Sector]],'3. Incentive Adjustment'!B:B,tbl_Data_old[[#This Row],[Trimmed Measure Name]])</f>
        <v>0</v>
      </c>
      <c r="AU573" s="3">
        <f>IFERROR(VLOOKUP(tbl_Data_old[[#This Row],[All_Meas_Name_Append]],'IRA Tax Credits'!$A$3:$D$46,4,0),0)</f>
        <v>0</v>
      </c>
      <c r="AV573" s="4">
        <f>tbl_Data_old[[#This Row],[Adj. per unit Incentive ($)]]/tbl_Data_old[[#This Row],[kWh Savings]]*tbl_Data_old[[#This Row],[Sum of Annuals]]</f>
        <v>0</v>
      </c>
      <c r="AW573" s="4" t="str">
        <f>IFERROR(VLOOKUP(tbl_Data_old[[#This Row],[All_Programs]],'1. Set Program Names'!$B$2:$D$15,3,0)*tbl_Data_old[[#This Row],[Sum of Annuals]],"")</f>
        <v/>
      </c>
      <c r="AX573" s="4">
        <f>tbl_Data_old[[#This Row],[per unit IRA tax ($)]]/tbl_Data_old[[#This Row],[kWh Savings]]*tbl_Data_old[[#This Row],[Sum of Annuals]]</f>
        <v>0</v>
      </c>
      <c r="AY573" s="4">
        <f>tbl_Data_old[[#This Row],[Avoided Costs ($/unit)]]/tbl_Data_old[[#This Row],[kWh Savings]]*tbl_Data_old[[#This Row],[Sum of Annuals]]</f>
        <v>58417.878756282291</v>
      </c>
      <c r="AZ573" s="4">
        <f>tbl_Data_old[[#This Row],[Lost Revenue ($/unit)]]/tbl_Data_old[[#This Row],[kWh Savings]]*tbl_Data_old[[#This Row],[Sum of Annuals]]</f>
        <v>172030.96526189471</v>
      </c>
      <c r="BA573" s="4">
        <f>tbl_Data_old[[#This Row],[Incremental Cost ($/unit)]]/tbl_Data_old[[#This Row],[kWh Savings]]*tbl_Data_old[[#This Row],[Sum of Annuals]]</f>
        <v>47846.94503937714</v>
      </c>
      <c r="BB573">
        <f>ROUNDUP(tbl_Data_old[[#This Row],[Adjusted 2025]]/$L573,0)</f>
        <v>3</v>
      </c>
      <c r="BC573">
        <f>ROUNDUP(tbl_Data_old[[#This Row],[Adjusted 2026]]/$L573,0)</f>
        <v>5</v>
      </c>
      <c r="BD573">
        <f>ROUNDUP(tbl_Data_old[[#This Row],[Adjusted 2027]]/$L573,0)</f>
        <v>6</v>
      </c>
      <c r="BE573">
        <f>ROUNDUP(tbl_Data_old[[#This Row],[Adjusted 2028]]/$L573,0)</f>
        <v>7</v>
      </c>
      <c r="BF573">
        <f>ROUNDUP(tbl_Data_old[[#This Row],[Adjusted 2029]]/$L573,0)</f>
        <v>8</v>
      </c>
      <c r="BG573">
        <f>ROUNDUP(tbl_Data_old[[#This Row],[Adjusted 2030]]/$L573,0)</f>
        <v>9</v>
      </c>
      <c r="BH573">
        <f>ROUNDUP(tbl_Data_old[[#This Row],[Adjusted 2031]]/$L573,0)</f>
        <v>10</v>
      </c>
      <c r="BI573">
        <f>ROUNDUP(tbl_Data_old[[#This Row],[Adjusted 2032]]/$L573,0)</f>
        <v>11</v>
      </c>
      <c r="BJ573">
        <f>ROUNDUP(tbl_Data_old[[#This Row],[Adjusted 2033]]/$L573,0)</f>
        <v>11</v>
      </c>
      <c r="BK573">
        <f>ROUNDUP(tbl_Data_old[[#This Row],[Adjusted 2034]]/$L573,0)</f>
        <v>11</v>
      </c>
      <c r="BL573" s="3">
        <f t="shared" si="38"/>
        <v>0</v>
      </c>
      <c r="BM573" s="3">
        <f t="shared" si="38"/>
        <v>0</v>
      </c>
      <c r="BN573" s="3">
        <f t="shared" si="38"/>
        <v>0</v>
      </c>
      <c r="BO573" s="3">
        <f t="shared" si="38"/>
        <v>0</v>
      </c>
      <c r="BP573" s="3">
        <f t="shared" si="38"/>
        <v>0</v>
      </c>
      <c r="BQ573" s="3">
        <f t="shared" si="38"/>
        <v>0</v>
      </c>
      <c r="BR573" s="3">
        <f t="shared" si="38"/>
        <v>0</v>
      </c>
      <c r="BS573" s="3">
        <f t="shared" si="38"/>
        <v>0</v>
      </c>
      <c r="BT573" s="3">
        <f t="shared" si="38"/>
        <v>0</v>
      </c>
      <c r="BU573" s="3">
        <f t="shared" si="38"/>
        <v>0</v>
      </c>
      <c r="BV573" t="e">
        <f>VLOOKUP($H573,'1. Set Program Names'!$B$2:$D$15,3,0)*V573</f>
        <v>#N/A</v>
      </c>
      <c r="BW573" t="e">
        <f>VLOOKUP($H573,'1. Set Program Names'!$B$2:$D$15,3,0)*W573</f>
        <v>#N/A</v>
      </c>
      <c r="BX573" t="e">
        <f>VLOOKUP($H573,'1. Set Program Names'!$B$2:$D$15,3,0)*X573</f>
        <v>#N/A</v>
      </c>
      <c r="BY573" t="e">
        <f>VLOOKUP($H573,'1. Set Program Names'!$B$2:$D$15,3,0)*Y573</f>
        <v>#N/A</v>
      </c>
      <c r="BZ573" t="e">
        <f>VLOOKUP($H573,'1. Set Program Names'!$B$2:$D$15,3,0)*Z573</f>
        <v>#N/A</v>
      </c>
      <c r="CA573" t="e">
        <f>VLOOKUP($H573,'1. Set Program Names'!$B$2:$D$15,3,0)*AA573</f>
        <v>#N/A</v>
      </c>
      <c r="CB573" t="e">
        <f>VLOOKUP($H573,'1. Set Program Names'!$B$2:$D$15,3,0)*AB573</f>
        <v>#N/A</v>
      </c>
      <c r="CC573" t="e">
        <f>VLOOKUP($H573,'1. Set Program Names'!$B$2:$D$15,3,0)*AC573</f>
        <v>#N/A</v>
      </c>
      <c r="CD573" t="e">
        <f>VLOOKUP($H573,'1. Set Program Names'!$B$2:$D$15,3,0)*AD573</f>
        <v>#N/A</v>
      </c>
      <c r="CE573" t="e">
        <f>VLOOKUP($H573,'1. Set Program Names'!$B$2:$D$15,3,0)*AE573</f>
        <v>#N/A</v>
      </c>
    </row>
    <row r="574" spans="1:83" x14ac:dyDescent="0.25">
      <c r="A574" s="20" t="s">
        <v>87</v>
      </c>
      <c r="B574" s="20" t="s">
        <v>88</v>
      </c>
      <c r="C574" s="20" t="s">
        <v>122</v>
      </c>
      <c r="D574" s="20" t="s">
        <v>90</v>
      </c>
      <c r="E574" s="20" t="s">
        <v>91</v>
      </c>
      <c r="F574" s="20" t="s">
        <v>90</v>
      </c>
      <c r="G574" s="20" t="s">
        <v>92</v>
      </c>
      <c r="H574" s="20" t="s">
        <v>268</v>
      </c>
      <c r="I574" s="20" t="s">
        <v>140</v>
      </c>
      <c r="J574" s="20" t="s">
        <v>129</v>
      </c>
      <c r="K574" s="20" t="s">
        <v>98</v>
      </c>
      <c r="L574" s="20">
        <v>145.64999999999901</v>
      </c>
      <c r="M574" s="20">
        <v>4.8385631271840701E-2</v>
      </c>
      <c r="N574" s="20">
        <v>0</v>
      </c>
      <c r="O574" s="20">
        <v>41.15</v>
      </c>
      <c r="P574" s="20">
        <v>12.5942011456304</v>
      </c>
      <c r="Q574" s="20">
        <v>0.145649999999999</v>
      </c>
      <c r="R574" s="20">
        <v>71.795310497711</v>
      </c>
      <c r="S574" s="20">
        <v>136.505594800712</v>
      </c>
      <c r="T574" s="20">
        <v>12</v>
      </c>
      <c r="U574" s="20">
        <v>1</v>
      </c>
      <c r="V574" s="20">
        <v>203178.85319350901</v>
      </c>
      <c r="W574" s="20">
        <v>219212.97234954999</v>
      </c>
      <c r="X574" s="20">
        <v>231981.86992020599</v>
      </c>
      <c r="Y574" s="20">
        <v>243132.42278327301</v>
      </c>
      <c r="Z574" s="20">
        <v>252815.75460901801</v>
      </c>
      <c r="AA574" s="20">
        <v>261093.49668042001</v>
      </c>
      <c r="AB574" s="20">
        <v>268302.810138645</v>
      </c>
      <c r="AC574" s="20">
        <v>275220.604853647</v>
      </c>
      <c r="AD574" s="20">
        <v>282155.85087852803</v>
      </c>
      <c r="AE574" s="20">
        <v>288845.18352683098</v>
      </c>
      <c r="AF574" t="str">
        <f t="shared" si="35"/>
        <v>NonResidential</v>
      </c>
      <c r="AG574" t="str">
        <f>tbl_Data_old[[#This Row],[All_Meas_Name_Append]]</f>
        <v>Energy Star room AC_137</v>
      </c>
      <c r="AH574">
        <f>AVERAGEIFS('3. Incentive Adjustment'!G:G,'3. Incentive Adjustment'!A:A,tbl_Data_old[[#This Row],[Trimmed Sector]],'3. Incentive Adjustment'!B:B,tbl_Data_old[[#This Row],[Trimmed Measure Name]])</f>
        <v>0.79600466062818009</v>
      </c>
      <c r="AI574">
        <f>$AH574*tbl_Data_old[[#This Row],[2025 ]]</f>
        <v>161731.31408312198</v>
      </c>
      <c r="AJ574">
        <f>$AH574*tbl_Data_old[[#This Row],[2026 ]]</f>
        <v>174494.54766039818</v>
      </c>
      <c r="AK574">
        <f>$AH574*tbl_Data_old[[#This Row],[2027 ]]</f>
        <v>184658.64963772419</v>
      </c>
      <c r="AL574">
        <f>$AH574*tbl_Data_old[[#This Row],[2028 ]]</f>
        <v>193534.54168530644</v>
      </c>
      <c r="AM574">
        <f>$AH574*tbl_Data_old[[#This Row],[2029 ]]</f>
        <v>201242.51894900863</v>
      </c>
      <c r="AN574">
        <f>$AH574*tbl_Data_old[[#This Row],[2030 ]]</f>
        <v>207831.64021732259</v>
      </c>
      <c r="AO574">
        <f>$AH574*tbl_Data_old[[#This Row],[2031 ]]</f>
        <v>213570.28732999915</v>
      </c>
      <c r="AP574">
        <f>$AH574*tbl_Data_old[[#This Row],[2032 ]]</f>
        <v>219076.88416440974</v>
      </c>
      <c r="AQ574">
        <f>$AH574*tbl_Data_old[[#This Row],[2033 ]]</f>
        <v>224597.37232281809</v>
      </c>
      <c r="AR574">
        <f>$AH574*tbl_Data_old[[#This Row],[2034 ]]</f>
        <v>229922.11228735949</v>
      </c>
      <c r="AS574">
        <f>SUM(tbl_Data_old[[#This Row],[Adjusted 2025]:[Adjusted 2034]])</f>
        <v>2010659.8683374682</v>
      </c>
      <c r="AT574" s="3">
        <f>AVERAGEIFS('3. Incentive Adjustment'!F:F,'3. Incentive Adjustment'!A:A,tbl_Data_old[[#This Row],[Trimmed Sector]],'3. Incentive Adjustment'!B:B,tbl_Data_old[[#This Row],[Trimmed Measure Name]])</f>
        <v>0</v>
      </c>
      <c r="AU574" s="3">
        <f>IFERROR(VLOOKUP(tbl_Data_old[[#This Row],[All_Meas_Name_Append]],'IRA Tax Credits'!$A$3:$D$46,4,0),0)</f>
        <v>0</v>
      </c>
      <c r="AV574" s="4">
        <f>tbl_Data_old[[#This Row],[Adj. per unit Incentive ($)]]/tbl_Data_old[[#This Row],[kWh Savings]]*tbl_Data_old[[#This Row],[Sum of Annuals]]</f>
        <v>0</v>
      </c>
      <c r="AW574" s="4" t="str">
        <f>IFERROR(VLOOKUP(tbl_Data_old[[#This Row],[All_Programs]],'1. Set Program Names'!$B$2:$D$15,3,0)*tbl_Data_old[[#This Row],[Sum of Annuals]],"")</f>
        <v/>
      </c>
      <c r="AX574" s="4">
        <f>tbl_Data_old[[#This Row],[per unit IRA tax ($)]]/tbl_Data_old[[#This Row],[kWh Savings]]*tbl_Data_old[[#This Row],[Sum of Annuals]]</f>
        <v>0</v>
      </c>
      <c r="AY574" s="4">
        <f>tbl_Data_old[[#This Row],[Avoided Costs ($/unit)]]/tbl_Data_old[[#This Row],[kWh Savings]]*tbl_Data_old[[#This Row],[Sum of Annuals]]</f>
        <v>991115.34193323879</v>
      </c>
      <c r="AZ574" s="4">
        <f>tbl_Data_old[[#This Row],[Lost Revenue ($/unit)]]/tbl_Data_old[[#This Row],[kWh Savings]]*tbl_Data_old[[#This Row],[Sum of Annuals]]</f>
        <v>1884423.7642933694</v>
      </c>
      <c r="BA574" s="4">
        <f>tbl_Data_old[[#This Row],[Incremental Cost ($/unit)]]/tbl_Data_old[[#This Row],[kWh Savings]]*tbl_Data_old[[#This Row],[Sum of Annuals]]</f>
        <v>568064.90615919931</v>
      </c>
      <c r="BB574">
        <f>ROUNDUP(tbl_Data_old[[#This Row],[Adjusted 2025]]/$L574,0)</f>
        <v>1111</v>
      </c>
      <c r="BC574">
        <f>ROUNDUP(tbl_Data_old[[#This Row],[Adjusted 2026]]/$L574,0)</f>
        <v>1199</v>
      </c>
      <c r="BD574">
        <f>ROUNDUP(tbl_Data_old[[#This Row],[Adjusted 2027]]/$L574,0)</f>
        <v>1268</v>
      </c>
      <c r="BE574">
        <f>ROUNDUP(tbl_Data_old[[#This Row],[Adjusted 2028]]/$L574,0)</f>
        <v>1329</v>
      </c>
      <c r="BF574">
        <f>ROUNDUP(tbl_Data_old[[#This Row],[Adjusted 2029]]/$L574,0)</f>
        <v>1382</v>
      </c>
      <c r="BG574">
        <f>ROUNDUP(tbl_Data_old[[#This Row],[Adjusted 2030]]/$L574,0)</f>
        <v>1427</v>
      </c>
      <c r="BH574">
        <f>ROUNDUP(tbl_Data_old[[#This Row],[Adjusted 2031]]/$L574,0)</f>
        <v>1467</v>
      </c>
      <c r="BI574">
        <f>ROUNDUP(tbl_Data_old[[#This Row],[Adjusted 2032]]/$L574,0)</f>
        <v>1505</v>
      </c>
      <c r="BJ574">
        <f>ROUNDUP(tbl_Data_old[[#This Row],[Adjusted 2033]]/$L574,0)</f>
        <v>1543</v>
      </c>
      <c r="BK574">
        <f>ROUNDUP(tbl_Data_old[[#This Row],[Adjusted 2034]]/$L574,0)</f>
        <v>1579</v>
      </c>
      <c r="BL574" s="3">
        <f t="shared" si="38"/>
        <v>0</v>
      </c>
      <c r="BM574" s="3">
        <f t="shared" si="38"/>
        <v>0</v>
      </c>
      <c r="BN574" s="3">
        <f t="shared" si="38"/>
        <v>0</v>
      </c>
      <c r="BO574" s="3">
        <f t="shared" si="38"/>
        <v>0</v>
      </c>
      <c r="BP574" s="3">
        <f t="shared" si="38"/>
        <v>0</v>
      </c>
      <c r="BQ574" s="3">
        <f t="shared" si="38"/>
        <v>0</v>
      </c>
      <c r="BR574" s="3">
        <f t="shared" si="38"/>
        <v>0</v>
      </c>
      <c r="BS574" s="3">
        <f t="shared" si="38"/>
        <v>0</v>
      </c>
      <c r="BT574" s="3">
        <f t="shared" si="38"/>
        <v>0</v>
      </c>
      <c r="BU574" s="3">
        <f t="shared" si="38"/>
        <v>0</v>
      </c>
      <c r="BV574" t="e">
        <f>VLOOKUP($H574,'1. Set Program Names'!$B$2:$D$15,3,0)*V574</f>
        <v>#N/A</v>
      </c>
      <c r="BW574" t="e">
        <f>VLOOKUP($H574,'1. Set Program Names'!$B$2:$D$15,3,0)*W574</f>
        <v>#N/A</v>
      </c>
      <c r="BX574" t="e">
        <f>VLOOKUP($H574,'1. Set Program Names'!$B$2:$D$15,3,0)*X574</f>
        <v>#N/A</v>
      </c>
      <c r="BY574" t="e">
        <f>VLOOKUP($H574,'1. Set Program Names'!$B$2:$D$15,3,0)*Y574</f>
        <v>#N/A</v>
      </c>
      <c r="BZ574" t="e">
        <f>VLOOKUP($H574,'1. Set Program Names'!$B$2:$D$15,3,0)*Z574</f>
        <v>#N/A</v>
      </c>
      <c r="CA574" t="e">
        <f>VLOOKUP($H574,'1. Set Program Names'!$B$2:$D$15,3,0)*AA574</f>
        <v>#N/A</v>
      </c>
      <c r="CB574" t="e">
        <f>VLOOKUP($H574,'1. Set Program Names'!$B$2:$D$15,3,0)*AB574</f>
        <v>#N/A</v>
      </c>
      <c r="CC574" t="e">
        <f>VLOOKUP($H574,'1. Set Program Names'!$B$2:$D$15,3,0)*AC574</f>
        <v>#N/A</v>
      </c>
      <c r="CD574" t="e">
        <f>VLOOKUP($H574,'1. Set Program Names'!$B$2:$D$15,3,0)*AD574</f>
        <v>#N/A</v>
      </c>
      <c r="CE574" t="e">
        <f>VLOOKUP($H574,'1. Set Program Names'!$B$2:$D$15,3,0)*AE574</f>
        <v>#N/A</v>
      </c>
    </row>
    <row r="575" spans="1:83" x14ac:dyDescent="0.25">
      <c r="A575" s="20" t="s">
        <v>87</v>
      </c>
      <c r="B575" s="20" t="s">
        <v>88</v>
      </c>
      <c r="C575" s="20" t="s">
        <v>122</v>
      </c>
      <c r="D575" s="20" t="s">
        <v>90</v>
      </c>
      <c r="E575" s="20" t="s">
        <v>91</v>
      </c>
      <c r="F575" s="20" t="s">
        <v>90</v>
      </c>
      <c r="G575" s="20" t="s">
        <v>92</v>
      </c>
      <c r="H575" s="20" t="s">
        <v>268</v>
      </c>
      <c r="I575" s="20" t="s">
        <v>141</v>
      </c>
      <c r="J575" s="20" t="s">
        <v>134</v>
      </c>
      <c r="K575" s="20" t="s">
        <v>98</v>
      </c>
      <c r="L575" s="20">
        <v>12160.5</v>
      </c>
      <c r="M575" s="20">
        <v>1.5637825072468701</v>
      </c>
      <c r="N575" s="20">
        <v>1.33304839745786</v>
      </c>
      <c r="O575" s="20">
        <v>3109.4399999999901</v>
      </c>
      <c r="P575" s="20">
        <v>607.94061759330305</v>
      </c>
      <c r="Q575" s="20">
        <v>12.160500000000001</v>
      </c>
      <c r="R575" s="20">
        <v>4122.3511685728599</v>
      </c>
      <c r="S575" s="20">
        <v>11397.022214720701</v>
      </c>
      <c r="T575" s="20">
        <v>12</v>
      </c>
      <c r="U575" s="20">
        <v>1</v>
      </c>
      <c r="V575" s="20">
        <v>14179.357126576</v>
      </c>
      <c r="W575" s="20">
        <v>19473.551298556202</v>
      </c>
      <c r="X575" s="20">
        <v>25349.444808924502</v>
      </c>
      <c r="Y575" s="20">
        <v>31544.873092500398</v>
      </c>
      <c r="Z575" s="20">
        <v>37552.801119711999</v>
      </c>
      <c r="AA575" s="20">
        <v>42850.247605777797</v>
      </c>
      <c r="AB575" s="20">
        <v>47121.487321906898</v>
      </c>
      <c r="AC575" s="20">
        <v>50388.807130299501</v>
      </c>
      <c r="AD575" s="20">
        <v>52808.558218746701</v>
      </c>
      <c r="AE575" s="20">
        <v>54526.177833966503</v>
      </c>
      <c r="AF575" t="str">
        <f t="shared" si="35"/>
        <v>NonResidential</v>
      </c>
      <c r="AG575" t="str">
        <f>tbl_Data_old[[#This Row],[All_Meas_Name_Append]]</f>
        <v>Energy Star Steamer</v>
      </c>
      <c r="AH575">
        <f>AVERAGEIFS('3. Incentive Adjustment'!G:G,'3. Incentive Adjustment'!A:A,tbl_Data_old[[#This Row],[Trimmed Sector]],'3. Incentive Adjustment'!B:B,tbl_Data_old[[#This Row],[Trimmed Measure Name]])</f>
        <v>0.87642178647683033</v>
      </c>
      <c r="AI575">
        <f>$AH575*tbl_Data_old[[#This Row],[2025 ]]</f>
        <v>12427.097503966714</v>
      </c>
      <c r="AJ575">
        <f>$AH575*tbl_Data_old[[#This Row],[2026 ]]</f>
        <v>17067.044618128824</v>
      </c>
      <c r="AK575">
        <f>$AH575*tbl_Data_old[[#This Row],[2027 ]]</f>
        <v>22216.805705633426</v>
      </c>
      <c r="AL575">
        <f>$AH575*tbl_Data_old[[#This Row],[2028 ]]</f>
        <v>27646.614029914093</v>
      </c>
      <c r="AM575">
        <f>$AH575*tbl_Data_old[[#This Row],[2029 ]]</f>
        <v>32912.093044547102</v>
      </c>
      <c r="AN575">
        <f>$AH575*tbl_Data_old[[#This Row],[2030 ]]</f>
        <v>37554.8905576303</v>
      </c>
      <c r="AO575">
        <f>$AH575*tbl_Data_old[[#This Row],[2031 ]]</f>
        <v>41298.298100110958</v>
      </c>
      <c r="AP575">
        <f>$AH575*tbl_Data_old[[#This Row],[2032 ]]</f>
        <v>44161.848363573532</v>
      </c>
      <c r="AQ575">
        <f>$AH575*tbl_Data_old[[#This Row],[2033 ]]</f>
        <v>46282.570935339681</v>
      </c>
      <c r="AR575">
        <f>$AH575*tbl_Data_old[[#This Row],[2034 ]]</f>
        <v>47787.930186998266</v>
      </c>
      <c r="AS575">
        <f>SUM(tbl_Data_old[[#This Row],[Adjusted 2025]:[Adjusted 2034]])</f>
        <v>329355.19304584287</v>
      </c>
      <c r="AT575" s="3">
        <f>AVERAGEIFS('3. Incentive Adjustment'!F:F,'3. Incentive Adjustment'!A:A,tbl_Data_old[[#This Row],[Trimmed Sector]],'3. Incentive Adjustment'!B:B,tbl_Data_old[[#This Row],[Trimmed Measure Name]])</f>
        <v>0</v>
      </c>
      <c r="AU575" s="3">
        <f>IFERROR(VLOOKUP(tbl_Data_old[[#This Row],[All_Meas_Name_Append]],'IRA Tax Credits'!$A$3:$D$46,4,0),0)</f>
        <v>0</v>
      </c>
      <c r="AV575" s="4">
        <f>tbl_Data_old[[#This Row],[Adj. per unit Incentive ($)]]/tbl_Data_old[[#This Row],[kWh Savings]]*tbl_Data_old[[#This Row],[Sum of Annuals]]</f>
        <v>0</v>
      </c>
      <c r="AW575" s="4" t="str">
        <f>IFERROR(VLOOKUP(tbl_Data_old[[#This Row],[All_Programs]],'1. Set Program Names'!$B$2:$D$15,3,0)*tbl_Data_old[[#This Row],[Sum of Annuals]],"")</f>
        <v/>
      </c>
      <c r="AX575" s="4">
        <f>tbl_Data_old[[#This Row],[per unit IRA tax ($)]]/tbl_Data_old[[#This Row],[kWh Savings]]*tbl_Data_old[[#This Row],[Sum of Annuals]]</f>
        <v>0</v>
      </c>
      <c r="AY575" s="4">
        <f>tbl_Data_old[[#This Row],[Avoided Costs ($/unit)]]/tbl_Data_old[[#This Row],[kWh Savings]]*tbl_Data_old[[#This Row],[Sum of Annuals]]</f>
        <v>111649.83059315573</v>
      </c>
      <c r="AZ575" s="4">
        <f>tbl_Data_old[[#This Row],[Lost Revenue ($/unit)]]/tbl_Data_old[[#This Row],[kWh Savings]]*tbl_Data_old[[#This Row],[Sum of Annuals]]</f>
        <v>308677.14745915844</v>
      </c>
      <c r="BA575" s="4">
        <f>tbl_Data_old[[#This Row],[Incremental Cost ($/unit)]]/tbl_Data_old[[#This Row],[kWh Savings]]*tbl_Data_old[[#This Row],[Sum of Annuals]]</f>
        <v>84216.126924424359</v>
      </c>
      <c r="BB575">
        <f>ROUNDUP(tbl_Data_old[[#This Row],[Adjusted 2025]]/$L575,0)</f>
        <v>2</v>
      </c>
      <c r="BC575">
        <f>ROUNDUP(tbl_Data_old[[#This Row],[Adjusted 2026]]/$L575,0)</f>
        <v>2</v>
      </c>
      <c r="BD575">
        <f>ROUNDUP(tbl_Data_old[[#This Row],[Adjusted 2027]]/$L575,0)</f>
        <v>2</v>
      </c>
      <c r="BE575">
        <f>ROUNDUP(tbl_Data_old[[#This Row],[Adjusted 2028]]/$L575,0)</f>
        <v>3</v>
      </c>
      <c r="BF575">
        <f>ROUNDUP(tbl_Data_old[[#This Row],[Adjusted 2029]]/$L575,0)</f>
        <v>3</v>
      </c>
      <c r="BG575">
        <f>ROUNDUP(tbl_Data_old[[#This Row],[Adjusted 2030]]/$L575,0)</f>
        <v>4</v>
      </c>
      <c r="BH575">
        <f>ROUNDUP(tbl_Data_old[[#This Row],[Adjusted 2031]]/$L575,0)</f>
        <v>4</v>
      </c>
      <c r="BI575">
        <f>ROUNDUP(tbl_Data_old[[#This Row],[Adjusted 2032]]/$L575,0)</f>
        <v>4</v>
      </c>
      <c r="BJ575">
        <f>ROUNDUP(tbl_Data_old[[#This Row],[Adjusted 2033]]/$L575,0)</f>
        <v>4</v>
      </c>
      <c r="BK575">
        <f>ROUNDUP(tbl_Data_old[[#This Row],[Adjusted 2034]]/$L575,0)</f>
        <v>4</v>
      </c>
      <c r="BL575" s="3">
        <f t="shared" si="38"/>
        <v>0</v>
      </c>
      <c r="BM575" s="3">
        <f t="shared" si="38"/>
        <v>0</v>
      </c>
      <c r="BN575" s="3">
        <f t="shared" si="38"/>
        <v>0</v>
      </c>
      <c r="BO575" s="3">
        <f t="shared" si="38"/>
        <v>0</v>
      </c>
      <c r="BP575" s="3">
        <f t="shared" si="38"/>
        <v>0</v>
      </c>
      <c r="BQ575" s="3">
        <f t="shared" si="38"/>
        <v>0</v>
      </c>
      <c r="BR575" s="3">
        <f t="shared" si="38"/>
        <v>0</v>
      </c>
      <c r="BS575" s="3">
        <f t="shared" si="38"/>
        <v>0</v>
      </c>
      <c r="BT575" s="3">
        <f t="shared" si="38"/>
        <v>0</v>
      </c>
      <c r="BU575" s="3">
        <f t="shared" si="38"/>
        <v>0</v>
      </c>
      <c r="BV575" t="e">
        <f>VLOOKUP($H575,'1. Set Program Names'!$B$2:$D$15,3,0)*V575</f>
        <v>#N/A</v>
      </c>
      <c r="BW575" t="e">
        <f>VLOOKUP($H575,'1. Set Program Names'!$B$2:$D$15,3,0)*W575</f>
        <v>#N/A</v>
      </c>
      <c r="BX575" t="e">
        <f>VLOOKUP($H575,'1. Set Program Names'!$B$2:$D$15,3,0)*X575</f>
        <v>#N/A</v>
      </c>
      <c r="BY575" t="e">
        <f>VLOOKUP($H575,'1. Set Program Names'!$B$2:$D$15,3,0)*Y575</f>
        <v>#N/A</v>
      </c>
      <c r="BZ575" t="e">
        <f>VLOOKUP($H575,'1. Set Program Names'!$B$2:$D$15,3,0)*Z575</f>
        <v>#N/A</v>
      </c>
      <c r="CA575" t="e">
        <f>VLOOKUP($H575,'1. Set Program Names'!$B$2:$D$15,3,0)*AA575</f>
        <v>#N/A</v>
      </c>
      <c r="CB575" t="e">
        <f>VLOOKUP($H575,'1. Set Program Names'!$B$2:$D$15,3,0)*AB575</f>
        <v>#N/A</v>
      </c>
      <c r="CC575" t="e">
        <f>VLOOKUP($H575,'1. Set Program Names'!$B$2:$D$15,3,0)*AC575</f>
        <v>#N/A</v>
      </c>
      <c r="CD575" t="e">
        <f>VLOOKUP($H575,'1. Set Program Names'!$B$2:$D$15,3,0)*AD575</f>
        <v>#N/A</v>
      </c>
      <c r="CE575" t="e">
        <f>VLOOKUP($H575,'1. Set Program Names'!$B$2:$D$15,3,0)*AE575</f>
        <v>#N/A</v>
      </c>
    </row>
    <row r="576" spans="1:83" x14ac:dyDescent="0.25">
      <c r="A576" s="20" t="s">
        <v>87</v>
      </c>
      <c r="B576" s="20" t="s">
        <v>88</v>
      </c>
      <c r="C576" s="20" t="s">
        <v>122</v>
      </c>
      <c r="D576" s="20" t="s">
        <v>90</v>
      </c>
      <c r="E576" s="20" t="s">
        <v>91</v>
      </c>
      <c r="F576" s="20" t="s">
        <v>90</v>
      </c>
      <c r="G576" s="20" t="s">
        <v>92</v>
      </c>
      <c r="H576" s="20" t="s">
        <v>268</v>
      </c>
      <c r="I576" s="20" t="s">
        <v>142</v>
      </c>
      <c r="J576" s="20" t="s">
        <v>137</v>
      </c>
      <c r="K576" s="20" t="s">
        <v>98</v>
      </c>
      <c r="L576" s="20">
        <v>11250</v>
      </c>
      <c r="M576" s="20">
        <v>1.3809947593685901</v>
      </c>
      <c r="N576" s="20">
        <v>1.3808111252514099</v>
      </c>
      <c r="O576" s="20">
        <v>3147</v>
      </c>
      <c r="P576" s="20">
        <v>832.79679683603899</v>
      </c>
      <c r="Q576" s="20">
        <v>11.25</v>
      </c>
      <c r="R576" s="20">
        <v>4868.3629963469202</v>
      </c>
      <c r="S576" s="20">
        <v>12218.8507873668</v>
      </c>
      <c r="T576" s="20">
        <v>15</v>
      </c>
      <c r="U576" s="20">
        <v>1</v>
      </c>
      <c r="V576" s="20">
        <v>22216.870078757402</v>
      </c>
      <c r="W576" s="20">
        <v>30626.8763098171</v>
      </c>
      <c r="X576" s="20">
        <v>41039.855259323202</v>
      </c>
      <c r="Y576" s="20">
        <v>53419.726050248697</v>
      </c>
      <c r="Z576" s="20">
        <v>66892.598171659498</v>
      </c>
      <c r="AA576" s="20">
        <v>79583.656954782695</v>
      </c>
      <c r="AB576" s="20">
        <v>88883.587679730394</v>
      </c>
      <c r="AC576" s="20">
        <v>92179.009956235197</v>
      </c>
      <c r="AD576" s="20">
        <v>87911.262258870003</v>
      </c>
      <c r="AE576" s="20">
        <v>76830.267344720007</v>
      </c>
      <c r="AF576" t="str">
        <f t="shared" si="35"/>
        <v>NonResidential</v>
      </c>
      <c r="AG576" t="str">
        <f>tbl_Data_old[[#This Row],[All_Meas_Name_Append]]</f>
        <v>Escalator Motor Efficiency Controller</v>
      </c>
      <c r="AH576">
        <f>AVERAGEIFS('3. Incentive Adjustment'!G:G,'3. Incentive Adjustment'!A:A,tbl_Data_old[[#This Row],[Trimmed Sector]],'3. Incentive Adjustment'!B:B,tbl_Data_old[[#This Row],[Trimmed Measure Name]])</f>
        <v>0.82257117184015105</v>
      </c>
      <c r="AI576">
        <f>$AH576*tbl_Data_old[[#This Row],[2025 ]]</f>
        <v>18274.956855303866</v>
      </c>
      <c r="AJ576">
        <f>$AH576*tbl_Data_old[[#This Row],[2026 ]]</f>
        <v>25192.785535969615</v>
      </c>
      <c r="AK576">
        <f>$AH576*tbl_Data_old[[#This Row],[2027 ]]</f>
        <v>33758.201832811676</v>
      </c>
      <c r="AL576">
        <f>$AH576*tbl_Data_old[[#This Row],[2028 ]]</f>
        <v>43941.526656532915</v>
      </c>
      <c r="AM576">
        <f>$AH576*tbl_Data_old[[#This Row],[2029 ]]</f>
        <v>55023.9228654943</v>
      </c>
      <c r="AN576">
        <f>$AH576*tbl_Data_old[[#This Row],[2030 ]]</f>
        <v>65463.221960620191</v>
      </c>
      <c r="AO576">
        <f>$AH576*tbl_Data_old[[#This Row],[2031 ]]</f>
        <v>73113.076875072642</v>
      </c>
      <c r="AP576">
        <f>$AH576*tbl_Data_old[[#This Row],[2032 ]]</f>
        <v>75823.796238765339</v>
      </c>
      <c r="AQ576">
        <f>$AH576*tbl_Data_old[[#This Row],[2033 ]]</f>
        <v>72313.270014225549</v>
      </c>
      <c r="AR576">
        <f>$AH576*tbl_Data_old[[#This Row],[2034 ]]</f>
        <v>63198.363042538425</v>
      </c>
      <c r="AS576">
        <f>SUM(tbl_Data_old[[#This Row],[Adjusted 2025]:[Adjusted 2034]])</f>
        <v>526103.12187733455</v>
      </c>
      <c r="AT576" s="3">
        <f>AVERAGEIFS('3. Incentive Adjustment'!F:F,'3. Incentive Adjustment'!A:A,tbl_Data_old[[#This Row],[Trimmed Sector]],'3. Incentive Adjustment'!B:B,tbl_Data_old[[#This Row],[Trimmed Measure Name]])</f>
        <v>0</v>
      </c>
      <c r="AU576" s="3">
        <f>IFERROR(VLOOKUP(tbl_Data_old[[#This Row],[All_Meas_Name_Append]],'IRA Tax Credits'!$A$3:$D$46,4,0),0)</f>
        <v>0</v>
      </c>
      <c r="AV576" s="4">
        <f>tbl_Data_old[[#This Row],[Adj. per unit Incentive ($)]]/tbl_Data_old[[#This Row],[kWh Savings]]*tbl_Data_old[[#This Row],[Sum of Annuals]]</f>
        <v>0</v>
      </c>
      <c r="AW576" s="4" t="str">
        <f>IFERROR(VLOOKUP(tbl_Data_old[[#This Row],[All_Programs]],'1. Set Program Names'!$B$2:$D$15,3,0)*tbl_Data_old[[#This Row],[Sum of Annuals]],"")</f>
        <v/>
      </c>
      <c r="AX576" s="4">
        <f>tbl_Data_old[[#This Row],[per unit IRA tax ($)]]/tbl_Data_old[[#This Row],[kWh Savings]]*tbl_Data_old[[#This Row],[Sum of Annuals]]</f>
        <v>0</v>
      </c>
      <c r="AY576" s="4">
        <f>tbl_Data_old[[#This Row],[Avoided Costs ($/unit)]]/tbl_Data_old[[#This Row],[kWh Savings]]*tbl_Data_old[[#This Row],[Sum of Annuals]]</f>
        <v>227667.64184979638</v>
      </c>
      <c r="AZ576" s="4">
        <f>tbl_Data_old[[#This Row],[Lost Revenue ($/unit)]]/tbl_Data_old[[#This Row],[kWh Savings]]*tbl_Data_old[[#This Row],[Sum of Annuals]]</f>
        <v>571411.15955440013</v>
      </c>
      <c r="BA576" s="4">
        <f>tbl_Data_old[[#This Row],[Incremental Cost ($/unit)]]/tbl_Data_old[[#This Row],[kWh Savings]]*tbl_Data_old[[#This Row],[Sum of Annuals]]</f>
        <v>147168.5799598197</v>
      </c>
      <c r="BB576">
        <f>ROUNDUP(tbl_Data_old[[#This Row],[Adjusted 2025]]/$L576,0)</f>
        <v>2</v>
      </c>
      <c r="BC576">
        <f>ROUNDUP(tbl_Data_old[[#This Row],[Adjusted 2026]]/$L576,0)</f>
        <v>3</v>
      </c>
      <c r="BD576">
        <f>ROUNDUP(tbl_Data_old[[#This Row],[Adjusted 2027]]/$L576,0)</f>
        <v>4</v>
      </c>
      <c r="BE576">
        <f>ROUNDUP(tbl_Data_old[[#This Row],[Adjusted 2028]]/$L576,0)</f>
        <v>4</v>
      </c>
      <c r="BF576">
        <f>ROUNDUP(tbl_Data_old[[#This Row],[Adjusted 2029]]/$L576,0)</f>
        <v>5</v>
      </c>
      <c r="BG576">
        <f>ROUNDUP(tbl_Data_old[[#This Row],[Adjusted 2030]]/$L576,0)</f>
        <v>6</v>
      </c>
      <c r="BH576">
        <f>ROUNDUP(tbl_Data_old[[#This Row],[Adjusted 2031]]/$L576,0)</f>
        <v>7</v>
      </c>
      <c r="BI576">
        <f>ROUNDUP(tbl_Data_old[[#This Row],[Adjusted 2032]]/$L576,0)</f>
        <v>7</v>
      </c>
      <c r="BJ576">
        <f>ROUNDUP(tbl_Data_old[[#This Row],[Adjusted 2033]]/$L576,0)</f>
        <v>7</v>
      </c>
      <c r="BK576">
        <f>ROUNDUP(tbl_Data_old[[#This Row],[Adjusted 2034]]/$L576,0)</f>
        <v>6</v>
      </c>
      <c r="BL576" s="3">
        <f t="shared" si="38"/>
        <v>0</v>
      </c>
      <c r="BM576" s="3">
        <f t="shared" si="38"/>
        <v>0</v>
      </c>
      <c r="BN576" s="3">
        <f t="shared" si="38"/>
        <v>0</v>
      </c>
      <c r="BO576" s="3">
        <f t="shared" si="38"/>
        <v>0</v>
      </c>
      <c r="BP576" s="3">
        <f t="shared" si="38"/>
        <v>0</v>
      </c>
      <c r="BQ576" s="3">
        <f t="shared" si="38"/>
        <v>0</v>
      </c>
      <c r="BR576" s="3">
        <f t="shared" si="38"/>
        <v>0</v>
      </c>
      <c r="BS576" s="3">
        <f t="shared" si="38"/>
        <v>0</v>
      </c>
      <c r="BT576" s="3">
        <f t="shared" si="38"/>
        <v>0</v>
      </c>
      <c r="BU576" s="3">
        <f t="shared" si="38"/>
        <v>0</v>
      </c>
      <c r="BV576" t="e">
        <f>VLOOKUP($H576,'1. Set Program Names'!$B$2:$D$15,3,0)*V576</f>
        <v>#N/A</v>
      </c>
      <c r="BW576" t="e">
        <f>VLOOKUP($H576,'1. Set Program Names'!$B$2:$D$15,3,0)*W576</f>
        <v>#N/A</v>
      </c>
      <c r="BX576" t="e">
        <f>VLOOKUP($H576,'1. Set Program Names'!$B$2:$D$15,3,0)*X576</f>
        <v>#N/A</v>
      </c>
      <c r="BY576" t="e">
        <f>VLOOKUP($H576,'1. Set Program Names'!$B$2:$D$15,3,0)*Y576</f>
        <v>#N/A</v>
      </c>
      <c r="BZ576" t="e">
        <f>VLOOKUP($H576,'1. Set Program Names'!$B$2:$D$15,3,0)*Z576</f>
        <v>#N/A</v>
      </c>
      <c r="CA576" t="e">
        <f>VLOOKUP($H576,'1. Set Program Names'!$B$2:$D$15,3,0)*AA576</f>
        <v>#N/A</v>
      </c>
      <c r="CB576" t="e">
        <f>VLOOKUP($H576,'1. Set Program Names'!$B$2:$D$15,3,0)*AB576</f>
        <v>#N/A</v>
      </c>
      <c r="CC576" t="e">
        <f>VLOOKUP($H576,'1. Set Program Names'!$B$2:$D$15,3,0)*AC576</f>
        <v>#N/A</v>
      </c>
      <c r="CD576" t="e">
        <f>VLOOKUP($H576,'1. Set Program Names'!$B$2:$D$15,3,0)*AD576</f>
        <v>#N/A</v>
      </c>
      <c r="CE576" t="e">
        <f>VLOOKUP($H576,'1. Set Program Names'!$B$2:$D$15,3,0)*AE576</f>
        <v>#N/A</v>
      </c>
    </row>
    <row r="577" spans="1:83" x14ac:dyDescent="0.25">
      <c r="A577" s="20" t="s">
        <v>87</v>
      </c>
      <c r="B577" s="20" t="s">
        <v>88</v>
      </c>
      <c r="C577" s="20" t="s">
        <v>122</v>
      </c>
      <c r="D577" s="20" t="s">
        <v>90</v>
      </c>
      <c r="E577" s="20" t="s">
        <v>91</v>
      </c>
      <c r="F577" s="20" t="s">
        <v>90</v>
      </c>
      <c r="G577" s="20" t="s">
        <v>92</v>
      </c>
      <c r="H577" s="20" t="s">
        <v>268</v>
      </c>
      <c r="I577" s="20" t="s">
        <v>175</v>
      </c>
      <c r="J577" s="20" t="s">
        <v>144</v>
      </c>
      <c r="K577" s="20" t="s">
        <v>98</v>
      </c>
      <c r="L577" s="20">
        <v>264.02999999999997</v>
      </c>
      <c r="M577" s="20">
        <v>4.1428427039389301E-2</v>
      </c>
      <c r="N577" s="20">
        <v>6.1740637590561503E-2</v>
      </c>
      <c r="O577" s="20">
        <v>74.16</v>
      </c>
      <c r="P577" s="20">
        <v>19.8471936238772</v>
      </c>
      <c r="Q577" s="20">
        <v>0.26402999999999999</v>
      </c>
      <c r="R577" s="20">
        <v>106.11574944735899</v>
      </c>
      <c r="S577" s="20">
        <v>217.179512566509</v>
      </c>
      <c r="T577" s="20">
        <v>10</v>
      </c>
      <c r="U577" s="20">
        <v>1</v>
      </c>
      <c r="V577" s="20">
        <v>9840.1718481120497</v>
      </c>
      <c r="W577" s="20">
        <v>13506.1202451677</v>
      </c>
      <c r="X577" s="20">
        <v>17978.459874044402</v>
      </c>
      <c r="Y577" s="20">
        <v>23201.233710603301</v>
      </c>
      <c r="Z577" s="20">
        <v>28747.394156548999</v>
      </c>
      <c r="AA577" s="20">
        <v>33756.916264723703</v>
      </c>
      <c r="AB577" s="20">
        <v>37109.8210248295</v>
      </c>
      <c r="AC577" s="20">
        <v>37756.016641159498</v>
      </c>
      <c r="AD577" s="20">
        <v>35164.4274310049</v>
      </c>
      <c r="AE577" s="20">
        <v>29858.8624565641</v>
      </c>
      <c r="AF577" t="str">
        <f t="shared" si="35"/>
        <v>NonResidential</v>
      </c>
      <c r="AG577" t="str">
        <f>tbl_Data_old[[#This Row],[All_Meas_Name_Append]]</f>
        <v>Faucet Aerator</v>
      </c>
      <c r="AH577">
        <f>AVERAGEIFS('3. Incentive Adjustment'!G:G,'3. Incentive Adjustment'!A:A,tbl_Data_old[[#This Row],[Trimmed Sector]],'3. Incentive Adjustment'!B:B,tbl_Data_old[[#This Row],[Trimmed Measure Name]])</f>
        <v>0.82009235606746977</v>
      </c>
      <c r="AI577">
        <f>$AH577*tbl_Data_old[[#This Row],[2025 ]]</f>
        <v>8069.8497150269995</v>
      </c>
      <c r="AJ577">
        <f>$AH577*tbl_Data_old[[#This Row],[2026 ]]</f>
        <v>11076.265973190131</v>
      </c>
      <c r="AK577">
        <f>$AH577*tbl_Data_old[[#This Row],[2027 ]]</f>
        <v>14743.99751656954</v>
      </c>
      <c r="AL577">
        <f>$AH577*tbl_Data_old[[#This Row],[2028 ]]</f>
        <v>19027.154417400667</v>
      </c>
      <c r="AM577">
        <f>$AH577*tbl_Data_old[[#This Row],[2029 ]]</f>
        <v>23575.518204644482</v>
      </c>
      <c r="AN577">
        <f>$AH577*tbl_Data_old[[#This Row],[2030 ]]</f>
        <v>27683.788993109552</v>
      </c>
      <c r="AO577">
        <f>$AH577*tbl_Data_old[[#This Row],[2031 ]]</f>
        <v>30433.480557494549</v>
      </c>
      <c r="AP577">
        <f>$AH577*tbl_Data_old[[#This Row],[2032 ]]</f>
        <v>30963.42064297109</v>
      </c>
      <c r="AQ577">
        <f>$AH577*tbl_Data_old[[#This Row],[2033 ]]</f>
        <v>28838.078141656373</v>
      </c>
      <c r="AR577">
        <f>$AH577*tbl_Data_old[[#This Row],[2034 ]]</f>
        <v>24487.024861498172</v>
      </c>
      <c r="AS577">
        <f>SUM(tbl_Data_old[[#This Row],[Adjusted 2025]:[Adjusted 2034]])</f>
        <v>218898.57902356159</v>
      </c>
      <c r="AT577" s="3">
        <f>AVERAGEIFS('3. Incentive Adjustment'!F:F,'3. Incentive Adjustment'!A:A,tbl_Data_old[[#This Row],[Trimmed Sector]],'3. Incentive Adjustment'!B:B,tbl_Data_old[[#This Row],[Trimmed Measure Name]])</f>
        <v>0</v>
      </c>
      <c r="AU577" s="3">
        <f>IFERROR(VLOOKUP(tbl_Data_old[[#This Row],[All_Meas_Name_Append]],'IRA Tax Credits'!$A$3:$D$46,4,0),0)</f>
        <v>0</v>
      </c>
      <c r="AV577" s="4">
        <f>tbl_Data_old[[#This Row],[Adj. per unit Incentive ($)]]/tbl_Data_old[[#This Row],[kWh Savings]]*tbl_Data_old[[#This Row],[Sum of Annuals]]</f>
        <v>0</v>
      </c>
      <c r="AW577" s="4" t="str">
        <f>IFERROR(VLOOKUP(tbl_Data_old[[#This Row],[All_Programs]],'1. Set Program Names'!$B$2:$D$15,3,0)*tbl_Data_old[[#This Row],[Sum of Annuals]],"")</f>
        <v/>
      </c>
      <c r="AX577" s="4">
        <f>tbl_Data_old[[#This Row],[per unit IRA tax ($)]]/tbl_Data_old[[#This Row],[kWh Savings]]*tbl_Data_old[[#This Row],[Sum of Annuals]]</f>
        <v>0</v>
      </c>
      <c r="AY577" s="4">
        <f>tbl_Data_old[[#This Row],[Avoided Costs ($/unit)]]/tbl_Data_old[[#This Row],[kWh Savings]]*tbl_Data_old[[#This Row],[Sum of Annuals]]</f>
        <v>87977.073688774675</v>
      </c>
      <c r="AZ577" s="4">
        <f>tbl_Data_old[[#This Row],[Lost Revenue ($/unit)]]/tbl_Data_old[[#This Row],[kWh Savings]]*tbl_Data_old[[#This Row],[Sum of Annuals]]</f>
        <v>180056.38258470083</v>
      </c>
      <c r="BA577" s="4">
        <f>tbl_Data_old[[#This Row],[Incremental Cost ($/unit)]]/tbl_Data_old[[#This Row],[kWh Savings]]*tbl_Data_old[[#This Row],[Sum of Annuals]]</f>
        <v>61483.614060475433</v>
      </c>
      <c r="BB577">
        <f>ROUNDUP(tbl_Data_old[[#This Row],[Adjusted 2025]]/$L577,0)</f>
        <v>31</v>
      </c>
      <c r="BC577">
        <f>ROUNDUP(tbl_Data_old[[#This Row],[Adjusted 2026]]/$L577,0)</f>
        <v>42</v>
      </c>
      <c r="BD577">
        <f>ROUNDUP(tbl_Data_old[[#This Row],[Adjusted 2027]]/$L577,0)</f>
        <v>56</v>
      </c>
      <c r="BE577">
        <f>ROUNDUP(tbl_Data_old[[#This Row],[Adjusted 2028]]/$L577,0)</f>
        <v>73</v>
      </c>
      <c r="BF577">
        <f>ROUNDUP(tbl_Data_old[[#This Row],[Adjusted 2029]]/$L577,0)</f>
        <v>90</v>
      </c>
      <c r="BG577">
        <f>ROUNDUP(tbl_Data_old[[#This Row],[Adjusted 2030]]/$L577,0)</f>
        <v>105</v>
      </c>
      <c r="BH577">
        <f>ROUNDUP(tbl_Data_old[[#This Row],[Adjusted 2031]]/$L577,0)</f>
        <v>116</v>
      </c>
      <c r="BI577">
        <f>ROUNDUP(tbl_Data_old[[#This Row],[Adjusted 2032]]/$L577,0)</f>
        <v>118</v>
      </c>
      <c r="BJ577">
        <f>ROUNDUP(tbl_Data_old[[#This Row],[Adjusted 2033]]/$L577,0)</f>
        <v>110</v>
      </c>
      <c r="BK577">
        <f>ROUNDUP(tbl_Data_old[[#This Row],[Adjusted 2034]]/$L577,0)</f>
        <v>93</v>
      </c>
      <c r="BL577" s="3">
        <f t="shared" si="38"/>
        <v>0</v>
      </c>
      <c r="BM577" s="3">
        <f t="shared" si="38"/>
        <v>0</v>
      </c>
      <c r="BN577" s="3">
        <f t="shared" si="38"/>
        <v>0</v>
      </c>
      <c r="BO577" s="3">
        <f t="shared" si="38"/>
        <v>0</v>
      </c>
      <c r="BP577" s="3">
        <f t="shared" si="38"/>
        <v>0</v>
      </c>
      <c r="BQ577" s="3">
        <f t="shared" si="38"/>
        <v>0</v>
      </c>
      <c r="BR577" s="3">
        <f t="shared" si="38"/>
        <v>0</v>
      </c>
      <c r="BS577" s="3">
        <f t="shared" si="38"/>
        <v>0</v>
      </c>
      <c r="BT577" s="3">
        <f t="shared" si="38"/>
        <v>0</v>
      </c>
      <c r="BU577" s="3">
        <f t="shared" si="38"/>
        <v>0</v>
      </c>
      <c r="BV577" t="e">
        <f>VLOOKUP($H577,'1. Set Program Names'!$B$2:$D$15,3,0)*V577</f>
        <v>#N/A</v>
      </c>
      <c r="BW577" t="e">
        <f>VLOOKUP($H577,'1. Set Program Names'!$B$2:$D$15,3,0)*W577</f>
        <v>#N/A</v>
      </c>
      <c r="BX577" t="e">
        <f>VLOOKUP($H577,'1. Set Program Names'!$B$2:$D$15,3,0)*X577</f>
        <v>#N/A</v>
      </c>
      <c r="BY577" t="e">
        <f>VLOOKUP($H577,'1. Set Program Names'!$B$2:$D$15,3,0)*Y577</f>
        <v>#N/A</v>
      </c>
      <c r="BZ577" t="e">
        <f>VLOOKUP($H577,'1. Set Program Names'!$B$2:$D$15,3,0)*Z577</f>
        <v>#N/A</v>
      </c>
      <c r="CA577" t="e">
        <f>VLOOKUP($H577,'1. Set Program Names'!$B$2:$D$15,3,0)*AA577</f>
        <v>#N/A</v>
      </c>
      <c r="CB577" t="e">
        <f>VLOOKUP($H577,'1. Set Program Names'!$B$2:$D$15,3,0)*AB577</f>
        <v>#N/A</v>
      </c>
      <c r="CC577" t="e">
        <f>VLOOKUP($H577,'1. Set Program Names'!$B$2:$D$15,3,0)*AC577</f>
        <v>#N/A</v>
      </c>
      <c r="CD577" t="e">
        <f>VLOOKUP($H577,'1. Set Program Names'!$B$2:$D$15,3,0)*AD577</f>
        <v>#N/A</v>
      </c>
      <c r="CE577" t="e">
        <f>VLOOKUP($H577,'1. Set Program Names'!$B$2:$D$15,3,0)*AE577</f>
        <v>#N/A</v>
      </c>
    </row>
    <row r="578" spans="1:83" x14ac:dyDescent="0.25">
      <c r="A578" s="20" t="s">
        <v>87</v>
      </c>
      <c r="B578" s="20" t="s">
        <v>88</v>
      </c>
      <c r="C578" s="20" t="s">
        <v>122</v>
      </c>
      <c r="D578" s="20" t="s">
        <v>90</v>
      </c>
      <c r="E578" s="20" t="s">
        <v>91</v>
      </c>
      <c r="F578" s="20" t="s">
        <v>90</v>
      </c>
      <c r="G578" s="20" t="s">
        <v>92</v>
      </c>
      <c r="H578" s="20" t="s">
        <v>268</v>
      </c>
      <c r="I578" s="20" t="s">
        <v>150</v>
      </c>
      <c r="J578" s="20" t="s">
        <v>129</v>
      </c>
      <c r="K578" s="20" t="s">
        <v>102</v>
      </c>
      <c r="L578" s="20">
        <v>56016.9549999999</v>
      </c>
      <c r="M578" s="20">
        <v>10.827112325312299</v>
      </c>
      <c r="N578" s="20">
        <v>1.3517775806744601</v>
      </c>
      <c r="O578" s="20">
        <v>17160.122499999899</v>
      </c>
      <c r="P578" s="20">
        <v>8652.3043908691998</v>
      </c>
      <c r="Q578" s="20">
        <v>56.016954999999903</v>
      </c>
      <c r="R578" s="20">
        <v>30291.5576269993</v>
      </c>
      <c r="S578" s="20">
        <v>71892.064971295098</v>
      </c>
      <c r="T578" s="20">
        <v>20</v>
      </c>
      <c r="U578" s="20">
        <v>1</v>
      </c>
      <c r="V578" s="20">
        <v>60456.637521564597</v>
      </c>
      <c r="W578" s="20">
        <v>59674.791222869397</v>
      </c>
      <c r="X578" s="20">
        <v>58549.6633784437</v>
      </c>
      <c r="Y578" s="20">
        <v>57438.6521255107</v>
      </c>
      <c r="Z578" s="20">
        <v>56268.827684627999</v>
      </c>
      <c r="AA578" s="20">
        <v>54992.461991539501</v>
      </c>
      <c r="AB578" s="20">
        <v>53624.329269177302</v>
      </c>
      <c r="AC578" s="20">
        <v>52279.712982556397</v>
      </c>
      <c r="AD578" s="20">
        <v>51014.713298660201</v>
      </c>
      <c r="AE578" s="20">
        <v>49719.326222792399</v>
      </c>
      <c r="AF578" t="str">
        <f t="shared" ref="AF578:AF641" si="39">IF(C578="Residential","Residential","NonResidential")</f>
        <v>NonResidential</v>
      </c>
      <c r="AG578" t="str">
        <f>tbl_Data_old[[#This Row],[All_Meas_Name_Append]]</f>
        <v>Infiltration Reduction - Air Sealing</v>
      </c>
      <c r="AH578">
        <f>AVERAGEIFS('3. Incentive Adjustment'!G:G,'3. Incentive Adjustment'!A:A,tbl_Data_old[[#This Row],[Trimmed Sector]],'3. Incentive Adjustment'!B:B,tbl_Data_old[[#This Row],[Trimmed Measure Name]])</f>
        <v>0.66528306579610585</v>
      </c>
      <c r="AI578">
        <f>$AH578*tbl_Data_old[[#This Row],[2025 ]]</f>
        <v>40220.777158070385</v>
      </c>
      <c r="AJ578">
        <f>$AH578*tbl_Data_old[[#This Row],[2026 ]]</f>
        <v>39700.6280554931</v>
      </c>
      <c r="AK578">
        <f>$AH578*tbl_Data_old[[#This Row],[2027 ]]</f>
        <v>38952.099553741013</v>
      </c>
      <c r="AL578">
        <f>$AH578*tbl_Data_old[[#This Row],[2028 ]]</f>
        <v>38212.962581255772</v>
      </c>
      <c r="AM578">
        <f>$AH578*tbl_Data_old[[#This Row],[2029 ]]</f>
        <v>37434.69819078211</v>
      </c>
      <c r="AN578">
        <f>$AH578*tbl_Data_old[[#This Row],[2030 ]]</f>
        <v>36585.553709407228</v>
      </c>
      <c r="AO578">
        <f>$AH578*tbl_Data_old[[#This Row],[2031 ]]</f>
        <v>35675.358177458125</v>
      </c>
      <c r="AP578">
        <f>$AH578*tbl_Data_old[[#This Row],[2032 ]]</f>
        <v>34780.807731975598</v>
      </c>
      <c r="AQ578">
        <f>$AH578*tbl_Data_old[[#This Row],[2033 ]]</f>
        <v>33939.224864042029</v>
      </c>
      <c r="AR578">
        <f>$AH578*tbl_Data_old[[#This Row],[2034 ]]</f>
        <v>33077.425778816047</v>
      </c>
      <c r="AS578">
        <f>SUM(tbl_Data_old[[#This Row],[Adjusted 2025]:[Adjusted 2034]])</f>
        <v>368579.53580104135</v>
      </c>
      <c r="AT578" s="3">
        <f>AVERAGEIFS('3. Incentive Adjustment'!F:F,'3. Incentive Adjustment'!A:A,tbl_Data_old[[#This Row],[Trimmed Sector]],'3. Incentive Adjustment'!B:B,tbl_Data_old[[#This Row],[Trimmed Measure Name]])</f>
        <v>0</v>
      </c>
      <c r="AU578" s="3">
        <f>IFERROR(VLOOKUP(tbl_Data_old[[#This Row],[All_Meas_Name_Append]],'IRA Tax Credits'!$A$3:$D$46,4,0),0)</f>
        <v>0</v>
      </c>
      <c r="AV578" s="4">
        <f>tbl_Data_old[[#This Row],[Adj. per unit Incentive ($)]]/tbl_Data_old[[#This Row],[kWh Savings]]*tbl_Data_old[[#This Row],[Sum of Annuals]]</f>
        <v>0</v>
      </c>
      <c r="AW578" s="4" t="str">
        <f>IFERROR(VLOOKUP(tbl_Data_old[[#This Row],[All_Programs]],'1. Set Program Names'!$B$2:$D$15,3,0)*tbl_Data_old[[#This Row],[Sum of Annuals]],"")</f>
        <v/>
      </c>
      <c r="AX578" s="4">
        <f>tbl_Data_old[[#This Row],[per unit IRA tax ($)]]/tbl_Data_old[[#This Row],[kWh Savings]]*tbl_Data_old[[#This Row],[Sum of Annuals]]</f>
        <v>0</v>
      </c>
      <c r="AY578" s="4">
        <f>tbl_Data_old[[#This Row],[Avoided Costs ($/unit)]]/tbl_Data_old[[#This Row],[kWh Savings]]*tbl_Data_old[[#This Row],[Sum of Annuals]]</f>
        <v>199311.9449075716</v>
      </c>
      <c r="AZ578" s="4">
        <f>tbl_Data_old[[#This Row],[Lost Revenue ($/unit)]]/tbl_Data_old[[#This Row],[kWh Savings]]*tbl_Data_old[[#This Row],[Sum of Annuals]]</f>
        <v>473034.350669334</v>
      </c>
      <c r="BA578" s="4">
        <f>tbl_Data_old[[#This Row],[Incremental Cost ($/unit)]]/tbl_Data_old[[#This Row],[kWh Savings]]*tbl_Data_old[[#This Row],[Sum of Annuals]]</f>
        <v>112909.92138610496</v>
      </c>
      <c r="BB578">
        <f>ROUNDUP(tbl_Data_old[[#This Row],[Adjusted 2025]]/$L578,0)</f>
        <v>1</v>
      </c>
      <c r="BC578">
        <f>ROUNDUP(tbl_Data_old[[#This Row],[Adjusted 2026]]/$L578,0)</f>
        <v>1</v>
      </c>
      <c r="BD578">
        <f>ROUNDUP(tbl_Data_old[[#This Row],[Adjusted 2027]]/$L578,0)</f>
        <v>1</v>
      </c>
      <c r="BE578">
        <f>ROUNDUP(tbl_Data_old[[#This Row],[Adjusted 2028]]/$L578,0)</f>
        <v>1</v>
      </c>
      <c r="BF578">
        <f>ROUNDUP(tbl_Data_old[[#This Row],[Adjusted 2029]]/$L578,0)</f>
        <v>1</v>
      </c>
      <c r="BG578">
        <f>ROUNDUP(tbl_Data_old[[#This Row],[Adjusted 2030]]/$L578,0)</f>
        <v>1</v>
      </c>
      <c r="BH578">
        <f>ROUNDUP(tbl_Data_old[[#This Row],[Adjusted 2031]]/$L578,0)</f>
        <v>1</v>
      </c>
      <c r="BI578">
        <f>ROUNDUP(tbl_Data_old[[#This Row],[Adjusted 2032]]/$L578,0)</f>
        <v>1</v>
      </c>
      <c r="BJ578">
        <f>ROUNDUP(tbl_Data_old[[#This Row],[Adjusted 2033]]/$L578,0)</f>
        <v>1</v>
      </c>
      <c r="BK578">
        <f>ROUNDUP(tbl_Data_old[[#This Row],[Adjusted 2034]]/$L578,0)</f>
        <v>1</v>
      </c>
      <c r="BL578" s="3">
        <f t="shared" si="38"/>
        <v>0</v>
      </c>
      <c r="BM578" s="3">
        <f t="shared" si="38"/>
        <v>0</v>
      </c>
      <c r="BN578" s="3">
        <f t="shared" si="38"/>
        <v>0</v>
      </c>
      <c r="BO578" s="3">
        <f t="shared" si="38"/>
        <v>0</v>
      </c>
      <c r="BP578" s="3">
        <f t="shared" si="38"/>
        <v>0</v>
      </c>
      <c r="BQ578" s="3">
        <f t="shared" si="38"/>
        <v>0</v>
      </c>
      <c r="BR578" s="3">
        <f t="shared" si="38"/>
        <v>0</v>
      </c>
      <c r="BS578" s="3">
        <f t="shared" si="38"/>
        <v>0</v>
      </c>
      <c r="BT578" s="3">
        <f t="shared" si="38"/>
        <v>0</v>
      </c>
      <c r="BU578" s="3">
        <f t="shared" si="38"/>
        <v>0</v>
      </c>
      <c r="BV578" t="e">
        <f>VLOOKUP($H578,'1. Set Program Names'!$B$2:$D$15,3,0)*V578</f>
        <v>#N/A</v>
      </c>
      <c r="BW578" t="e">
        <f>VLOOKUP($H578,'1. Set Program Names'!$B$2:$D$15,3,0)*W578</f>
        <v>#N/A</v>
      </c>
      <c r="BX578" t="e">
        <f>VLOOKUP($H578,'1. Set Program Names'!$B$2:$D$15,3,0)*X578</f>
        <v>#N/A</v>
      </c>
      <c r="BY578" t="e">
        <f>VLOOKUP($H578,'1. Set Program Names'!$B$2:$D$15,3,0)*Y578</f>
        <v>#N/A</v>
      </c>
      <c r="BZ578" t="e">
        <f>VLOOKUP($H578,'1. Set Program Names'!$B$2:$D$15,3,0)*Z578</f>
        <v>#N/A</v>
      </c>
      <c r="CA578" t="e">
        <f>VLOOKUP($H578,'1. Set Program Names'!$B$2:$D$15,3,0)*AA578</f>
        <v>#N/A</v>
      </c>
      <c r="CB578" t="e">
        <f>VLOOKUP($H578,'1. Set Program Names'!$B$2:$D$15,3,0)*AB578</f>
        <v>#N/A</v>
      </c>
      <c r="CC578" t="e">
        <f>VLOOKUP($H578,'1. Set Program Names'!$B$2:$D$15,3,0)*AC578</f>
        <v>#N/A</v>
      </c>
      <c r="CD578" t="e">
        <f>VLOOKUP($H578,'1. Set Program Names'!$B$2:$D$15,3,0)*AD578</f>
        <v>#N/A</v>
      </c>
      <c r="CE578" t="e">
        <f>VLOOKUP($H578,'1. Set Program Names'!$B$2:$D$15,3,0)*AE578</f>
        <v>#N/A</v>
      </c>
    </row>
    <row r="579" spans="1:83" x14ac:dyDescent="0.25">
      <c r="A579" s="20" t="s">
        <v>87</v>
      </c>
      <c r="B579" s="20" t="s">
        <v>88</v>
      </c>
      <c r="C579" s="20" t="s">
        <v>122</v>
      </c>
      <c r="D579" s="20" t="s">
        <v>90</v>
      </c>
      <c r="E579" s="20" t="s">
        <v>91</v>
      </c>
      <c r="F579" s="20" t="s">
        <v>90</v>
      </c>
      <c r="G579" s="20" t="s">
        <v>92</v>
      </c>
      <c r="H579" s="20" t="s">
        <v>268</v>
      </c>
      <c r="I579" s="20" t="s">
        <v>269</v>
      </c>
      <c r="J579" s="20" t="s">
        <v>144</v>
      </c>
      <c r="K579" s="20" t="s">
        <v>98</v>
      </c>
      <c r="L579" s="20">
        <v>114.663333333333</v>
      </c>
      <c r="M579" s="20">
        <v>9.9293177507311006E-3</v>
      </c>
      <c r="N579" s="20">
        <v>1.6498275913899602E-2</v>
      </c>
      <c r="O579" s="20">
        <v>32.906666666666602</v>
      </c>
      <c r="P579" s="20">
        <v>12.4845629759592</v>
      </c>
      <c r="Q579" s="20">
        <v>0.11466333333333301</v>
      </c>
      <c r="R579" s="20">
        <v>37.313940517924799</v>
      </c>
      <c r="S579" s="20">
        <v>94.317035346682403</v>
      </c>
      <c r="T579" s="20">
        <v>10</v>
      </c>
      <c r="U579" s="20">
        <v>1</v>
      </c>
      <c r="V579" s="20">
        <v>25518.506796433401</v>
      </c>
      <c r="W579" s="20">
        <v>35025.406729648603</v>
      </c>
      <c r="X579" s="20">
        <v>46623.520154603</v>
      </c>
      <c r="Y579" s="20">
        <v>60167.733782338699</v>
      </c>
      <c r="Z579" s="20">
        <v>74550.585547385199</v>
      </c>
      <c r="AA579" s="20">
        <v>87541.773703196406</v>
      </c>
      <c r="AB579" s="20">
        <v>96236.857918109905</v>
      </c>
      <c r="AC579" s="20">
        <v>97912.636296950397</v>
      </c>
      <c r="AD579" s="20">
        <v>91191.870857718503</v>
      </c>
      <c r="AE579" s="20">
        <v>77432.955063462199</v>
      </c>
      <c r="AF579" t="str">
        <f t="shared" si="39"/>
        <v>NonResidential</v>
      </c>
      <c r="AG579" t="str">
        <f>tbl_Data_old[[#This Row],[All_Meas_Name_Append]]</f>
        <v>Low Flow Shower Head</v>
      </c>
      <c r="AH579">
        <f>AVERAGEIFS('3. Incentive Adjustment'!G:G,'3. Incentive Adjustment'!A:A,tbl_Data_old[[#This Row],[Trimmed Sector]],'3. Incentive Adjustment'!B:B,tbl_Data_old[[#This Row],[Trimmed Measure Name]])</f>
        <v>0.75029954061989002</v>
      </c>
      <c r="AI579">
        <f>$AH579*tbl_Data_old[[#This Row],[2025 ]]</f>
        <v>19146.523926669521</v>
      </c>
      <c r="AJ579">
        <f>$AH579*tbl_Data_old[[#This Row],[2026 ]]</f>
        <v>26279.546579280151</v>
      </c>
      <c r="AK579">
        <f>$AH579*tbl_Data_old[[#This Row],[2027 ]]</f>
        <v>34981.605754080818</v>
      </c>
      <c r="AL579">
        <f>$AH579*tbl_Data_old[[#This Row],[2028 ]]</f>
        <v>45143.823017028561</v>
      </c>
      <c r="AM579">
        <f>$AH579*tbl_Data_old[[#This Row],[2029 ]]</f>
        <v>55935.270089146929</v>
      </c>
      <c r="AN579">
        <f>$AH579*tbl_Data_old[[#This Row],[2030 ]]</f>
        <v>65682.552594558627</v>
      </c>
      <c r="AO579">
        <f>$AH579*tbl_Data_old[[#This Row],[2031 ]]</f>
        <v>72206.470286659489</v>
      </c>
      <c r="AP579">
        <f>$AH579*tbl_Data_old[[#This Row],[2032 ]]</f>
        <v>73463.806034484252</v>
      </c>
      <c r="AQ579">
        <f>$AH579*tbl_Data_old[[#This Row],[2033 ]]</f>
        <v>68421.218812814535</v>
      </c>
      <c r="AR579">
        <f>$AH579*tbl_Data_old[[#This Row],[2034 ]]</f>
        <v>58097.910612956272</v>
      </c>
      <c r="AS579">
        <f>SUM(tbl_Data_old[[#This Row],[Adjusted 2025]:[Adjusted 2034]])</f>
        <v>519358.72770767915</v>
      </c>
      <c r="AT579" s="3">
        <f>AVERAGEIFS('3. Incentive Adjustment'!F:F,'3. Incentive Adjustment'!A:A,tbl_Data_old[[#This Row],[Trimmed Sector]],'3. Incentive Adjustment'!B:B,tbl_Data_old[[#This Row],[Trimmed Measure Name]])</f>
        <v>0</v>
      </c>
      <c r="AU579" s="3">
        <f>IFERROR(VLOOKUP(tbl_Data_old[[#This Row],[All_Meas_Name_Append]],'IRA Tax Credits'!$A$3:$D$46,4,0),0)</f>
        <v>0</v>
      </c>
      <c r="AV579" s="4">
        <f>tbl_Data_old[[#This Row],[Adj. per unit Incentive ($)]]/tbl_Data_old[[#This Row],[kWh Savings]]*tbl_Data_old[[#This Row],[Sum of Annuals]]</f>
        <v>0</v>
      </c>
      <c r="AW579" s="4" t="str">
        <f>IFERROR(VLOOKUP(tbl_Data_old[[#This Row],[All_Programs]],'1. Set Program Names'!$B$2:$D$15,3,0)*tbl_Data_old[[#This Row],[Sum of Annuals]],"")</f>
        <v/>
      </c>
      <c r="AX579" s="4">
        <f>tbl_Data_old[[#This Row],[per unit IRA tax ($)]]/tbl_Data_old[[#This Row],[kWh Savings]]*tbl_Data_old[[#This Row],[Sum of Annuals]]</f>
        <v>0</v>
      </c>
      <c r="AY579" s="4">
        <f>tbl_Data_old[[#This Row],[Avoided Costs ($/unit)]]/tbl_Data_old[[#This Row],[kWh Savings]]*tbl_Data_old[[#This Row],[Sum of Annuals]]</f>
        <v>169010.61664422948</v>
      </c>
      <c r="AZ579" s="4">
        <f>tbl_Data_old[[#This Row],[Lost Revenue ($/unit)]]/tbl_Data_old[[#This Row],[kWh Savings]]*tbl_Data_old[[#This Row],[Sum of Annuals]]</f>
        <v>427201.73969138623</v>
      </c>
      <c r="BA579" s="4">
        <f>tbl_Data_old[[#This Row],[Incremental Cost ($/unit)]]/tbl_Data_old[[#This Row],[kWh Savings]]*tbl_Data_old[[#This Row],[Sum of Annuals]]</f>
        <v>149048.20953894631</v>
      </c>
      <c r="BB579">
        <f>ROUNDUP(tbl_Data_old[[#This Row],[Adjusted 2025]]/$L579,0)</f>
        <v>167</v>
      </c>
      <c r="BC579">
        <f>ROUNDUP(tbl_Data_old[[#This Row],[Adjusted 2026]]/$L579,0)</f>
        <v>230</v>
      </c>
      <c r="BD579">
        <f>ROUNDUP(tbl_Data_old[[#This Row],[Adjusted 2027]]/$L579,0)</f>
        <v>306</v>
      </c>
      <c r="BE579">
        <f>ROUNDUP(tbl_Data_old[[#This Row],[Adjusted 2028]]/$L579,0)</f>
        <v>394</v>
      </c>
      <c r="BF579">
        <f>ROUNDUP(tbl_Data_old[[#This Row],[Adjusted 2029]]/$L579,0)</f>
        <v>488</v>
      </c>
      <c r="BG579">
        <f>ROUNDUP(tbl_Data_old[[#This Row],[Adjusted 2030]]/$L579,0)</f>
        <v>573</v>
      </c>
      <c r="BH579">
        <f>ROUNDUP(tbl_Data_old[[#This Row],[Adjusted 2031]]/$L579,0)</f>
        <v>630</v>
      </c>
      <c r="BI579">
        <f>ROUNDUP(tbl_Data_old[[#This Row],[Adjusted 2032]]/$L579,0)</f>
        <v>641</v>
      </c>
      <c r="BJ579">
        <f>ROUNDUP(tbl_Data_old[[#This Row],[Adjusted 2033]]/$L579,0)</f>
        <v>597</v>
      </c>
      <c r="BK579">
        <f>ROUNDUP(tbl_Data_old[[#This Row],[Adjusted 2034]]/$L579,0)</f>
        <v>507</v>
      </c>
      <c r="BL579" s="3">
        <f t="shared" si="38"/>
        <v>0</v>
      </c>
      <c r="BM579" s="3">
        <f t="shared" si="38"/>
        <v>0</v>
      </c>
      <c r="BN579" s="3">
        <f t="shared" si="38"/>
        <v>0</v>
      </c>
      <c r="BO579" s="3">
        <f t="shared" si="38"/>
        <v>0</v>
      </c>
      <c r="BP579" s="3">
        <f t="shared" si="38"/>
        <v>0</v>
      </c>
      <c r="BQ579" s="3">
        <f t="shared" si="38"/>
        <v>0</v>
      </c>
      <c r="BR579" s="3">
        <f t="shared" si="38"/>
        <v>0</v>
      </c>
      <c r="BS579" s="3">
        <f t="shared" si="38"/>
        <v>0</v>
      </c>
      <c r="BT579" s="3">
        <f t="shared" si="38"/>
        <v>0</v>
      </c>
      <c r="BU579" s="3">
        <f t="shared" si="38"/>
        <v>0</v>
      </c>
      <c r="BV579" t="e">
        <f>VLOOKUP($H579,'1. Set Program Names'!$B$2:$D$15,3,0)*V579</f>
        <v>#N/A</v>
      </c>
      <c r="BW579" t="e">
        <f>VLOOKUP($H579,'1. Set Program Names'!$B$2:$D$15,3,0)*W579</f>
        <v>#N/A</v>
      </c>
      <c r="BX579" t="e">
        <f>VLOOKUP($H579,'1. Set Program Names'!$B$2:$D$15,3,0)*X579</f>
        <v>#N/A</v>
      </c>
      <c r="BY579" t="e">
        <f>VLOOKUP($H579,'1. Set Program Names'!$B$2:$D$15,3,0)*Y579</f>
        <v>#N/A</v>
      </c>
      <c r="BZ579" t="e">
        <f>VLOOKUP($H579,'1. Set Program Names'!$B$2:$D$15,3,0)*Z579</f>
        <v>#N/A</v>
      </c>
      <c r="CA579" t="e">
        <f>VLOOKUP($H579,'1. Set Program Names'!$B$2:$D$15,3,0)*AA579</f>
        <v>#N/A</v>
      </c>
      <c r="CB579" t="e">
        <f>VLOOKUP($H579,'1. Set Program Names'!$B$2:$D$15,3,0)*AB579</f>
        <v>#N/A</v>
      </c>
      <c r="CC579" t="e">
        <f>VLOOKUP($H579,'1. Set Program Names'!$B$2:$D$15,3,0)*AC579</f>
        <v>#N/A</v>
      </c>
      <c r="CD579" t="e">
        <f>VLOOKUP($H579,'1. Set Program Names'!$B$2:$D$15,3,0)*AD579</f>
        <v>#N/A</v>
      </c>
      <c r="CE579" t="e">
        <f>VLOOKUP($H579,'1. Set Program Names'!$B$2:$D$15,3,0)*AE579</f>
        <v>#N/A</v>
      </c>
    </row>
    <row r="580" spans="1:83" x14ac:dyDescent="0.25">
      <c r="A580" s="20" t="s">
        <v>87</v>
      </c>
      <c r="B580" s="20" t="s">
        <v>88</v>
      </c>
      <c r="C580" s="20" t="s">
        <v>122</v>
      </c>
      <c r="D580" s="20" t="s">
        <v>90</v>
      </c>
      <c r="E580" s="20" t="s">
        <v>91</v>
      </c>
      <c r="F580" s="20" t="s">
        <v>90</v>
      </c>
      <c r="G580" s="20" t="s">
        <v>92</v>
      </c>
      <c r="H580" s="20" t="s">
        <v>268</v>
      </c>
      <c r="I580" s="20" t="s">
        <v>151</v>
      </c>
      <c r="J580" s="20" t="s">
        <v>137</v>
      </c>
      <c r="K580" s="20" t="s">
        <v>152</v>
      </c>
      <c r="L580" s="20">
        <v>746</v>
      </c>
      <c r="M580" s="20">
        <v>0.118390986607413</v>
      </c>
      <c r="N580" s="20">
        <v>0.122042488273403</v>
      </c>
      <c r="O580" s="20">
        <v>233.28</v>
      </c>
      <c r="P580" s="20">
        <v>79.822614261305304</v>
      </c>
      <c r="Q580" s="20">
        <v>0.746</v>
      </c>
      <c r="R580" s="20">
        <v>287.47532526616499</v>
      </c>
      <c r="S580" s="20">
        <v>613.62692260203801</v>
      </c>
      <c r="T580" s="20">
        <v>10</v>
      </c>
      <c r="U580" s="20">
        <v>1</v>
      </c>
      <c r="V580" s="20">
        <v>22783.746486718599</v>
      </c>
      <c r="W580" s="20">
        <v>27223.670499003201</v>
      </c>
      <c r="X580" s="20">
        <v>31984.451959030099</v>
      </c>
      <c r="Y580" s="20">
        <v>37190.158647965</v>
      </c>
      <c r="Z580" s="20">
        <v>42766.475795670303</v>
      </c>
      <c r="AA580" s="20">
        <v>48562.217647978097</v>
      </c>
      <c r="AB580" s="20">
        <v>54502.687807970498</v>
      </c>
      <c r="AC580" s="20">
        <v>60592.530101177901</v>
      </c>
      <c r="AD580" s="20">
        <v>66738.165226992496</v>
      </c>
      <c r="AE580" s="20">
        <v>72802.218427967702</v>
      </c>
      <c r="AF580" t="str">
        <f t="shared" si="39"/>
        <v>NonResidential</v>
      </c>
      <c r="AG580" t="str">
        <f>tbl_Data_old[[#This Row],[All_Meas_Name_Append]]</f>
        <v>Ozone Laundry Commercial</v>
      </c>
      <c r="AH580">
        <f>AVERAGEIFS('3. Incentive Adjustment'!G:G,'3. Incentive Adjustment'!A:A,tbl_Data_old[[#This Row],[Trimmed Sector]],'3. Incentive Adjustment'!B:B,tbl_Data_old[[#This Row],[Trimmed Measure Name]])</f>
        <v>0.75402928491932286</v>
      </c>
      <c r="AI580">
        <f>$AH580*tbl_Data_old[[#This Row],[2025 ]]</f>
        <v>17179.612071163559</v>
      </c>
      <c r="AJ580">
        <f>$AH580*tbl_Data_old[[#This Row],[2026 ]]</f>
        <v>20527.44479924265</v>
      </c>
      <c r="AK580">
        <f>$AH580*tbl_Data_old[[#This Row],[2027 ]]</f>
        <v>24117.213439203901</v>
      </c>
      <c r="AL580">
        <f>$AH580*tbl_Data_old[[#This Row],[2028 ]]</f>
        <v>28042.468731361219</v>
      </c>
      <c r="AM580">
        <f>$AH580*tbl_Data_old[[#This Row],[2029 ]]</f>
        <v>32247.175162728807</v>
      </c>
      <c r="AN580">
        <f>$AH580*tbl_Data_old[[#This Row],[2030 ]]</f>
        <v>36617.334247201448</v>
      </c>
      <c r="AO580">
        <f>$AH580*tbl_Data_old[[#This Row],[2031 ]]</f>
        <v>41096.622714025092</v>
      </c>
      <c r="AP580">
        <f>$AH580*tbl_Data_old[[#This Row],[2032 ]]</f>
        <v>45688.542143643717</v>
      </c>
      <c r="AQ580">
        <f>$AH580*tbl_Data_old[[#This Row],[2033 ]]</f>
        <v>50322.531002936768</v>
      </c>
      <c r="AR580">
        <f>$AH580*tbl_Data_old[[#This Row],[2034 ]]</f>
        <v>54895.004701780839</v>
      </c>
      <c r="AS580">
        <f>SUM(tbl_Data_old[[#This Row],[Adjusted 2025]:[Adjusted 2034]])</f>
        <v>350733.94901328802</v>
      </c>
      <c r="AT580" s="3">
        <f>AVERAGEIFS('3. Incentive Adjustment'!F:F,'3. Incentive Adjustment'!A:A,tbl_Data_old[[#This Row],[Trimmed Sector]],'3. Incentive Adjustment'!B:B,tbl_Data_old[[#This Row],[Trimmed Measure Name]])</f>
        <v>0</v>
      </c>
      <c r="AU580" s="3">
        <f>IFERROR(VLOOKUP(tbl_Data_old[[#This Row],[All_Meas_Name_Append]],'IRA Tax Credits'!$A$3:$D$46,4,0),0)</f>
        <v>0</v>
      </c>
      <c r="AV580" s="4">
        <f>tbl_Data_old[[#This Row],[Adj. per unit Incentive ($)]]/tbl_Data_old[[#This Row],[kWh Savings]]*tbl_Data_old[[#This Row],[Sum of Annuals]]</f>
        <v>0</v>
      </c>
      <c r="AW580" s="4" t="str">
        <f>IFERROR(VLOOKUP(tbl_Data_old[[#This Row],[All_Programs]],'1. Set Program Names'!$B$2:$D$15,3,0)*tbl_Data_old[[#This Row],[Sum of Annuals]],"")</f>
        <v/>
      </c>
      <c r="AX580" s="4">
        <f>tbl_Data_old[[#This Row],[per unit IRA tax ($)]]/tbl_Data_old[[#This Row],[kWh Savings]]*tbl_Data_old[[#This Row],[Sum of Annuals]]</f>
        <v>0</v>
      </c>
      <c r="AY580" s="4">
        <f>tbl_Data_old[[#This Row],[Avoided Costs ($/unit)]]/tbl_Data_old[[#This Row],[kWh Savings]]*tbl_Data_old[[#This Row],[Sum of Annuals]]</f>
        <v>135157.31377276339</v>
      </c>
      <c r="AZ580" s="4">
        <f>tbl_Data_old[[#This Row],[Lost Revenue ($/unit)]]/tbl_Data_old[[#This Row],[kWh Savings]]*tbl_Data_old[[#This Row],[Sum of Annuals]]</f>
        <v>288498.38308992499</v>
      </c>
      <c r="BA580" s="4">
        <f>tbl_Data_old[[#This Row],[Incremental Cost ($/unit)]]/tbl_Data_old[[#This Row],[kWh Savings]]*tbl_Data_old[[#This Row],[Sum of Annuals]]</f>
        <v>109677.23274238584</v>
      </c>
      <c r="BB580">
        <f>ROUNDUP(tbl_Data_old[[#This Row],[Adjusted 2025]]/$L580,0)</f>
        <v>24</v>
      </c>
      <c r="BC580">
        <f>ROUNDUP(tbl_Data_old[[#This Row],[Adjusted 2026]]/$L580,0)</f>
        <v>28</v>
      </c>
      <c r="BD580">
        <f>ROUNDUP(tbl_Data_old[[#This Row],[Adjusted 2027]]/$L580,0)</f>
        <v>33</v>
      </c>
      <c r="BE580">
        <f>ROUNDUP(tbl_Data_old[[#This Row],[Adjusted 2028]]/$L580,0)</f>
        <v>38</v>
      </c>
      <c r="BF580">
        <f>ROUNDUP(tbl_Data_old[[#This Row],[Adjusted 2029]]/$L580,0)</f>
        <v>44</v>
      </c>
      <c r="BG580">
        <f>ROUNDUP(tbl_Data_old[[#This Row],[Adjusted 2030]]/$L580,0)</f>
        <v>50</v>
      </c>
      <c r="BH580">
        <f>ROUNDUP(tbl_Data_old[[#This Row],[Adjusted 2031]]/$L580,0)</f>
        <v>56</v>
      </c>
      <c r="BI580">
        <f>ROUNDUP(tbl_Data_old[[#This Row],[Adjusted 2032]]/$L580,0)</f>
        <v>62</v>
      </c>
      <c r="BJ580">
        <f>ROUNDUP(tbl_Data_old[[#This Row],[Adjusted 2033]]/$L580,0)</f>
        <v>68</v>
      </c>
      <c r="BK580">
        <f>ROUNDUP(tbl_Data_old[[#This Row],[Adjusted 2034]]/$L580,0)</f>
        <v>74</v>
      </c>
      <c r="BL580" s="3">
        <f t="shared" si="38"/>
        <v>0</v>
      </c>
      <c r="BM580" s="3">
        <f t="shared" si="38"/>
        <v>0</v>
      </c>
      <c r="BN580" s="3">
        <f t="shared" si="38"/>
        <v>0</v>
      </c>
      <c r="BO580" s="3">
        <f t="shared" si="38"/>
        <v>0</v>
      </c>
      <c r="BP580" s="3">
        <f t="shared" si="38"/>
        <v>0</v>
      </c>
      <c r="BQ580" s="3">
        <f t="shared" si="38"/>
        <v>0</v>
      </c>
      <c r="BR580" s="3">
        <f t="shared" si="38"/>
        <v>0</v>
      </c>
      <c r="BS580" s="3">
        <f t="shared" si="38"/>
        <v>0</v>
      </c>
      <c r="BT580" s="3">
        <f t="shared" si="38"/>
        <v>0</v>
      </c>
      <c r="BU580" s="3">
        <f t="shared" si="38"/>
        <v>0</v>
      </c>
      <c r="BV580" t="e">
        <f>VLOOKUP($H580,'1. Set Program Names'!$B$2:$D$15,3,0)*V580</f>
        <v>#N/A</v>
      </c>
      <c r="BW580" t="e">
        <f>VLOOKUP($H580,'1. Set Program Names'!$B$2:$D$15,3,0)*W580</f>
        <v>#N/A</v>
      </c>
      <c r="BX580" t="e">
        <f>VLOOKUP($H580,'1. Set Program Names'!$B$2:$D$15,3,0)*X580</f>
        <v>#N/A</v>
      </c>
      <c r="BY580" t="e">
        <f>VLOOKUP($H580,'1. Set Program Names'!$B$2:$D$15,3,0)*Y580</f>
        <v>#N/A</v>
      </c>
      <c r="BZ580" t="e">
        <f>VLOOKUP($H580,'1. Set Program Names'!$B$2:$D$15,3,0)*Z580</f>
        <v>#N/A</v>
      </c>
      <c r="CA580" t="e">
        <f>VLOOKUP($H580,'1. Set Program Names'!$B$2:$D$15,3,0)*AA580</f>
        <v>#N/A</v>
      </c>
      <c r="CB580" t="e">
        <f>VLOOKUP($H580,'1. Set Program Names'!$B$2:$D$15,3,0)*AB580</f>
        <v>#N/A</v>
      </c>
      <c r="CC580" t="e">
        <f>VLOOKUP($H580,'1. Set Program Names'!$B$2:$D$15,3,0)*AC580</f>
        <v>#N/A</v>
      </c>
      <c r="CD580" t="e">
        <f>VLOOKUP($H580,'1. Set Program Names'!$B$2:$D$15,3,0)*AD580</f>
        <v>#N/A</v>
      </c>
      <c r="CE580" t="e">
        <f>VLOOKUP($H580,'1. Set Program Names'!$B$2:$D$15,3,0)*AE580</f>
        <v>#N/A</v>
      </c>
    </row>
    <row r="581" spans="1:83" x14ac:dyDescent="0.25">
      <c r="A581" s="20" t="s">
        <v>87</v>
      </c>
      <c r="B581" s="20" t="s">
        <v>88</v>
      </c>
      <c r="C581" s="20" t="s">
        <v>122</v>
      </c>
      <c r="D581" s="20" t="s">
        <v>90</v>
      </c>
      <c r="E581" s="20" t="s">
        <v>91</v>
      </c>
      <c r="F581" s="20" t="s">
        <v>90</v>
      </c>
      <c r="G581" s="20" t="s">
        <v>92</v>
      </c>
      <c r="H581" s="20" t="s">
        <v>268</v>
      </c>
      <c r="I581" s="20" t="s">
        <v>153</v>
      </c>
      <c r="J581" s="20" t="s">
        <v>129</v>
      </c>
      <c r="K581" s="20" t="s">
        <v>102</v>
      </c>
      <c r="L581" s="20">
        <v>1285.73999999999</v>
      </c>
      <c r="M581" s="20">
        <v>0.191067583335012</v>
      </c>
      <c r="N581" s="20">
        <v>3.6175165669598698E-2</v>
      </c>
      <c r="O581" s="20">
        <v>304.38999999999902</v>
      </c>
      <c r="P581" s="20">
        <v>39.904344316796902</v>
      </c>
      <c r="Q581" s="20">
        <v>1.2857399999999899</v>
      </c>
      <c r="R581" s="20">
        <v>497.118469789904</v>
      </c>
      <c r="S581" s="20">
        <v>1133.43981342083</v>
      </c>
      <c r="T581" s="20">
        <v>11</v>
      </c>
      <c r="U581" s="20">
        <v>1</v>
      </c>
      <c r="V581" s="20">
        <v>1426.84815540609</v>
      </c>
      <c r="W581" s="20">
        <v>1190.53972080064</v>
      </c>
      <c r="X581" s="20">
        <v>985.64048683766202</v>
      </c>
      <c r="Y581" s="20">
        <v>817.32791074081001</v>
      </c>
      <c r="Z581" s="20">
        <v>679.30589097234804</v>
      </c>
      <c r="AA581" s="20">
        <v>565.84214099398798</v>
      </c>
      <c r="AB581" s="20">
        <v>473.145461086117</v>
      </c>
      <c r="AC581" s="20">
        <v>398.32443308542298</v>
      </c>
      <c r="AD581" s="20">
        <v>338.62539491029798</v>
      </c>
      <c r="AE581" s="20">
        <v>290.241340752052</v>
      </c>
      <c r="AF581" t="str">
        <f t="shared" si="39"/>
        <v>NonResidential</v>
      </c>
      <c r="AG581" t="str">
        <f>tbl_Data_old[[#This Row],[All_Meas_Name_Append]]</f>
        <v>Programmable thermostat</v>
      </c>
      <c r="AH581">
        <f>AVERAGEIFS('3. Incentive Adjustment'!G:G,'3. Incentive Adjustment'!A:A,tbl_Data_old[[#This Row],[Trimmed Sector]],'3. Incentive Adjustment'!B:B,tbl_Data_old[[#This Row],[Trimmed Measure Name]])</f>
        <v>0.92137383531364503</v>
      </c>
      <c r="AI581">
        <f>$AH581*tbl_Data_old[[#This Row],[2025 ]]</f>
        <v>1314.660557356709</v>
      </c>
      <c r="AJ581">
        <f>$AH581*tbl_Data_old[[#This Row],[2026 ]]</f>
        <v>1096.9321486473218</v>
      </c>
      <c r="AK581">
        <f>$AH581*tbl_Data_old[[#This Row],[2027 ]]</f>
        <v>908.14335559802487</v>
      </c>
      <c r="AL581">
        <f>$AH581*tbl_Data_old[[#This Row],[2028 ]]</f>
        <v>753.06455182814864</v>
      </c>
      <c r="AM581">
        <f>$AH581*tbl_Data_old[[#This Row],[2029 ]]</f>
        <v>625.89467411634507</v>
      </c>
      <c r="AN581">
        <f>$AH581*tbl_Data_old[[#This Row],[2030 ]]</f>
        <v>521.35214362971499</v>
      </c>
      <c r="AO581">
        <f>$AH581*tbl_Data_old[[#This Row],[2031 ]]</f>
        <v>435.94384814215863</v>
      </c>
      <c r="AP581">
        <f>$AH581*tbl_Data_old[[#This Row],[2032 ]]</f>
        <v>367.00571061104955</v>
      </c>
      <c r="AQ581">
        <f>$AH581*tbl_Data_old[[#This Row],[2033 ]]</f>
        <v>312.00057884309888</v>
      </c>
      <c r="AR581">
        <f>$AH581*tbl_Data_old[[#This Row],[2034 ]]</f>
        <v>267.42077729529268</v>
      </c>
      <c r="AS581">
        <f>SUM(tbl_Data_old[[#This Row],[Adjusted 2025]:[Adjusted 2034]])</f>
        <v>6602.4183460678641</v>
      </c>
      <c r="AT581" s="3">
        <f>AVERAGEIFS('3. Incentive Adjustment'!F:F,'3. Incentive Adjustment'!A:A,tbl_Data_old[[#This Row],[Trimmed Sector]],'3. Incentive Adjustment'!B:B,tbl_Data_old[[#This Row],[Trimmed Measure Name]])</f>
        <v>0</v>
      </c>
      <c r="AU581" s="3">
        <f>IFERROR(VLOOKUP(tbl_Data_old[[#This Row],[All_Meas_Name_Append]],'IRA Tax Credits'!$A$3:$D$46,4,0),0)</f>
        <v>0</v>
      </c>
      <c r="AV581" s="4">
        <f>tbl_Data_old[[#This Row],[Adj. per unit Incentive ($)]]/tbl_Data_old[[#This Row],[kWh Savings]]*tbl_Data_old[[#This Row],[Sum of Annuals]]</f>
        <v>0</v>
      </c>
      <c r="AW581" s="4" t="str">
        <f>IFERROR(VLOOKUP(tbl_Data_old[[#This Row],[All_Programs]],'1. Set Program Names'!$B$2:$D$15,3,0)*tbl_Data_old[[#This Row],[Sum of Annuals]],"")</f>
        <v/>
      </c>
      <c r="AX581" s="4">
        <f>tbl_Data_old[[#This Row],[per unit IRA tax ($)]]/tbl_Data_old[[#This Row],[kWh Savings]]*tbl_Data_old[[#This Row],[Sum of Annuals]]</f>
        <v>0</v>
      </c>
      <c r="AY581" s="4">
        <f>tbl_Data_old[[#This Row],[Avoided Costs ($/unit)]]/tbl_Data_old[[#This Row],[kWh Savings]]*tbl_Data_old[[#This Row],[Sum of Annuals]]</f>
        <v>2552.7588043539681</v>
      </c>
      <c r="AZ581" s="4">
        <f>tbl_Data_old[[#This Row],[Lost Revenue ($/unit)]]/tbl_Data_old[[#This Row],[kWh Savings]]*tbl_Data_old[[#This Row],[Sum of Annuals]]</f>
        <v>5820.3398963192267</v>
      </c>
      <c r="BA581" s="4">
        <f>tbl_Data_old[[#This Row],[Incremental Cost ($/unit)]]/tbl_Data_old[[#This Row],[kWh Savings]]*tbl_Data_old[[#This Row],[Sum of Annuals]]</f>
        <v>1563.0766098586078</v>
      </c>
      <c r="BB581">
        <f>ROUNDUP(tbl_Data_old[[#This Row],[Adjusted 2025]]/$L581,0)</f>
        <v>2</v>
      </c>
      <c r="BC581">
        <f>ROUNDUP(tbl_Data_old[[#This Row],[Adjusted 2026]]/$L581,0)</f>
        <v>1</v>
      </c>
      <c r="BD581">
        <f>ROUNDUP(tbl_Data_old[[#This Row],[Adjusted 2027]]/$L581,0)</f>
        <v>1</v>
      </c>
      <c r="BE581">
        <f>ROUNDUP(tbl_Data_old[[#This Row],[Adjusted 2028]]/$L581,0)</f>
        <v>1</v>
      </c>
      <c r="BF581">
        <f>ROUNDUP(tbl_Data_old[[#This Row],[Adjusted 2029]]/$L581,0)</f>
        <v>1</v>
      </c>
      <c r="BG581">
        <f>ROUNDUP(tbl_Data_old[[#This Row],[Adjusted 2030]]/$L581,0)</f>
        <v>1</v>
      </c>
      <c r="BH581">
        <f>ROUNDUP(tbl_Data_old[[#This Row],[Adjusted 2031]]/$L581,0)</f>
        <v>1</v>
      </c>
      <c r="BI581">
        <f>ROUNDUP(tbl_Data_old[[#This Row],[Adjusted 2032]]/$L581,0)</f>
        <v>1</v>
      </c>
      <c r="BJ581">
        <f>ROUNDUP(tbl_Data_old[[#This Row],[Adjusted 2033]]/$L581,0)</f>
        <v>1</v>
      </c>
      <c r="BK581">
        <f>ROUNDUP(tbl_Data_old[[#This Row],[Adjusted 2034]]/$L581,0)</f>
        <v>1</v>
      </c>
      <c r="BL581" s="3">
        <f t="shared" si="38"/>
        <v>0</v>
      </c>
      <c r="BM581" s="3">
        <f t="shared" si="38"/>
        <v>0</v>
      </c>
      <c r="BN581" s="3">
        <f t="shared" si="38"/>
        <v>0</v>
      </c>
      <c r="BO581" s="3">
        <f t="shared" si="38"/>
        <v>0</v>
      </c>
      <c r="BP581" s="3">
        <f t="shared" si="38"/>
        <v>0</v>
      </c>
      <c r="BQ581" s="3">
        <f t="shared" si="38"/>
        <v>0</v>
      </c>
      <c r="BR581" s="3">
        <f t="shared" si="38"/>
        <v>0</v>
      </c>
      <c r="BS581" s="3">
        <f t="shared" si="38"/>
        <v>0</v>
      </c>
      <c r="BT581" s="3">
        <f t="shared" si="38"/>
        <v>0</v>
      </c>
      <c r="BU581" s="3">
        <f t="shared" si="38"/>
        <v>0</v>
      </c>
      <c r="BV581" t="e">
        <f>VLOOKUP($H581,'1. Set Program Names'!$B$2:$D$15,3,0)*V581</f>
        <v>#N/A</v>
      </c>
      <c r="BW581" t="e">
        <f>VLOOKUP($H581,'1. Set Program Names'!$B$2:$D$15,3,0)*W581</f>
        <v>#N/A</v>
      </c>
      <c r="BX581" t="e">
        <f>VLOOKUP($H581,'1. Set Program Names'!$B$2:$D$15,3,0)*X581</f>
        <v>#N/A</v>
      </c>
      <c r="BY581" t="e">
        <f>VLOOKUP($H581,'1. Set Program Names'!$B$2:$D$15,3,0)*Y581</f>
        <v>#N/A</v>
      </c>
      <c r="BZ581" t="e">
        <f>VLOOKUP($H581,'1. Set Program Names'!$B$2:$D$15,3,0)*Z581</f>
        <v>#N/A</v>
      </c>
      <c r="CA581" t="e">
        <f>VLOOKUP($H581,'1. Set Program Names'!$B$2:$D$15,3,0)*AA581</f>
        <v>#N/A</v>
      </c>
      <c r="CB581" t="e">
        <f>VLOOKUP($H581,'1. Set Program Names'!$B$2:$D$15,3,0)*AB581</f>
        <v>#N/A</v>
      </c>
      <c r="CC581" t="e">
        <f>VLOOKUP($H581,'1. Set Program Names'!$B$2:$D$15,3,0)*AC581</f>
        <v>#N/A</v>
      </c>
      <c r="CD581" t="e">
        <f>VLOOKUP($H581,'1. Set Program Names'!$B$2:$D$15,3,0)*AD581</f>
        <v>#N/A</v>
      </c>
      <c r="CE581" t="e">
        <f>VLOOKUP($H581,'1. Set Program Names'!$B$2:$D$15,3,0)*AE581</f>
        <v>#N/A</v>
      </c>
    </row>
    <row r="582" spans="1:83" x14ac:dyDescent="0.25">
      <c r="A582" s="20" t="s">
        <v>87</v>
      </c>
      <c r="B582" s="20" t="s">
        <v>88</v>
      </c>
      <c r="C582" s="20" t="s">
        <v>122</v>
      </c>
      <c r="D582" s="20" t="s">
        <v>90</v>
      </c>
      <c r="E582" s="20" t="s">
        <v>91</v>
      </c>
      <c r="F582" s="20" t="s">
        <v>90</v>
      </c>
      <c r="G582" s="20" t="s">
        <v>92</v>
      </c>
      <c r="H582" s="20" t="s">
        <v>268</v>
      </c>
      <c r="I582" s="20" t="s">
        <v>156</v>
      </c>
      <c r="J582" s="20" t="s">
        <v>129</v>
      </c>
      <c r="K582" s="20" t="s">
        <v>102</v>
      </c>
      <c r="L582" s="20">
        <v>1074.99714285714</v>
      </c>
      <c r="M582" s="20">
        <v>0.35483647389159401</v>
      </c>
      <c r="N582" s="20">
        <v>2.1679791501885101E-3</v>
      </c>
      <c r="O582" s="20">
        <v>322.49999999999898</v>
      </c>
      <c r="P582" s="20">
        <v>112.47094868606101</v>
      </c>
      <c r="Q582" s="20">
        <v>1.0749971428571401</v>
      </c>
      <c r="R582" s="20">
        <v>593.31352847936103</v>
      </c>
      <c r="S582" s="20">
        <v>1167.57597203707</v>
      </c>
      <c r="T582" s="20">
        <v>15</v>
      </c>
      <c r="U582" s="20">
        <v>1</v>
      </c>
      <c r="V582" s="20">
        <v>106535.13174631201</v>
      </c>
      <c r="W582" s="20">
        <v>119712.79985881899</v>
      </c>
      <c r="X582" s="20">
        <v>131543.85167778499</v>
      </c>
      <c r="Y582" s="20">
        <v>142679.743335362</v>
      </c>
      <c r="Z582" s="20">
        <v>153033.224906191</v>
      </c>
      <c r="AA582" s="20">
        <v>162534.97589419599</v>
      </c>
      <c r="AB582" s="20">
        <v>171267.202633454</v>
      </c>
      <c r="AC582" s="20">
        <v>179664.76916216</v>
      </c>
      <c r="AD582" s="20">
        <v>187936.23516404399</v>
      </c>
      <c r="AE582" s="20">
        <v>195856.44582297999</v>
      </c>
      <c r="AF582" t="str">
        <f t="shared" si="39"/>
        <v>NonResidential</v>
      </c>
      <c r="AG582" t="str">
        <f>tbl_Data_old[[#This Row],[All_Meas_Name_Append]]</f>
        <v>Water source heat pump</v>
      </c>
      <c r="AH582">
        <f>AVERAGEIFS('3. Incentive Adjustment'!G:G,'3. Incentive Adjustment'!A:A,tbl_Data_old[[#This Row],[Trimmed Sector]],'3. Incentive Adjustment'!B:B,tbl_Data_old[[#This Row],[Trimmed Measure Name]])</f>
        <v>0.75877205530206748</v>
      </c>
      <c r="AI582">
        <f>$AH582*tbl_Data_old[[#This Row],[2025 ]]</f>
        <v>80835.880877025702</v>
      </c>
      <c r="AJ582">
        <f>$AH582*tbl_Data_old[[#This Row],[2026 ]]</f>
        <v>90834.727194841136</v>
      </c>
      <c r="AK582">
        <f>$AH582*tbl_Data_old[[#This Row],[2027 ]]</f>
        <v>99811.798699903229</v>
      </c>
      <c r="AL582">
        <f>$AH582*tbl_Data_old[[#This Row],[2028 ]]</f>
        <v>108261.40210054409</v>
      </c>
      <c r="AM582">
        <f>$AH582*tbl_Data_old[[#This Row],[2029 ]]</f>
        <v>116117.33459157408</v>
      </c>
      <c r="AN582">
        <f>$AH582*tbl_Data_old[[#This Row],[2030 ]]</f>
        <v>123326.99771771108</v>
      </c>
      <c r="AO582">
        <f>$AH582*tbl_Data_old[[#This Row],[2031 ]]</f>
        <v>129952.76734802156</v>
      </c>
      <c r="AP582">
        <f>$AH582*tbl_Data_old[[#This Row],[2032 ]]</f>
        <v>136324.60616254364</v>
      </c>
      <c r="AQ582">
        <f>$AH582*tbl_Data_old[[#This Row],[2033 ]]</f>
        <v>142600.76342115435</v>
      </c>
      <c r="AR582">
        <f>$AH582*tbl_Data_old[[#This Row],[2034 ]]</f>
        <v>148610.39794126057</v>
      </c>
      <c r="AS582">
        <f>SUM(tbl_Data_old[[#This Row],[Adjusted 2025]:[Adjusted 2034]])</f>
        <v>1176676.6760545794</v>
      </c>
      <c r="AT582" s="3">
        <f>AVERAGEIFS('3. Incentive Adjustment'!F:F,'3. Incentive Adjustment'!A:A,tbl_Data_old[[#This Row],[Trimmed Sector]],'3. Incentive Adjustment'!B:B,tbl_Data_old[[#This Row],[Trimmed Measure Name]])</f>
        <v>0</v>
      </c>
      <c r="AU582" s="3">
        <f>IFERROR(VLOOKUP(tbl_Data_old[[#This Row],[All_Meas_Name_Append]],'IRA Tax Credits'!$A$3:$D$46,4,0),0)</f>
        <v>0</v>
      </c>
      <c r="AV582" s="4">
        <f>tbl_Data_old[[#This Row],[Adj. per unit Incentive ($)]]/tbl_Data_old[[#This Row],[kWh Savings]]*tbl_Data_old[[#This Row],[Sum of Annuals]]</f>
        <v>0</v>
      </c>
      <c r="AW582" s="4" t="str">
        <f>IFERROR(VLOOKUP(tbl_Data_old[[#This Row],[All_Programs]],'1. Set Program Names'!$B$2:$D$15,3,0)*tbl_Data_old[[#This Row],[Sum of Annuals]],"")</f>
        <v/>
      </c>
      <c r="AX582" s="4">
        <f>tbl_Data_old[[#This Row],[per unit IRA tax ($)]]/tbl_Data_old[[#This Row],[kWh Savings]]*tbl_Data_old[[#This Row],[Sum of Annuals]]</f>
        <v>0</v>
      </c>
      <c r="AY582" s="4">
        <f>tbl_Data_old[[#This Row],[Avoided Costs ($/unit)]]/tbl_Data_old[[#This Row],[kWh Savings]]*tbl_Data_old[[#This Row],[Sum of Annuals]]</f>
        <v>649432.60099630465</v>
      </c>
      <c r="AZ582" s="4">
        <f>tbl_Data_old[[#This Row],[Lost Revenue ($/unit)]]/tbl_Data_old[[#This Row],[kWh Savings]]*tbl_Data_old[[#This Row],[Sum of Annuals]]</f>
        <v>1278012.1537498364</v>
      </c>
      <c r="BA582" s="4">
        <f>tbl_Data_old[[#This Row],[Incremental Cost ($/unit)]]/tbl_Data_old[[#This Row],[kWh Savings]]*tbl_Data_old[[#This Row],[Sum of Annuals]]</f>
        <v>353003.94103282824</v>
      </c>
      <c r="BB582">
        <f>ROUNDUP(tbl_Data_old[[#This Row],[Adjusted 2025]]/$L582,0)</f>
        <v>76</v>
      </c>
      <c r="BC582">
        <f>ROUNDUP(tbl_Data_old[[#This Row],[Adjusted 2026]]/$L582,0)</f>
        <v>85</v>
      </c>
      <c r="BD582">
        <f>ROUNDUP(tbl_Data_old[[#This Row],[Adjusted 2027]]/$L582,0)</f>
        <v>93</v>
      </c>
      <c r="BE582">
        <f>ROUNDUP(tbl_Data_old[[#This Row],[Adjusted 2028]]/$L582,0)</f>
        <v>101</v>
      </c>
      <c r="BF582">
        <f>ROUNDUP(tbl_Data_old[[#This Row],[Adjusted 2029]]/$L582,0)</f>
        <v>109</v>
      </c>
      <c r="BG582">
        <f>ROUNDUP(tbl_Data_old[[#This Row],[Adjusted 2030]]/$L582,0)</f>
        <v>115</v>
      </c>
      <c r="BH582">
        <f>ROUNDUP(tbl_Data_old[[#This Row],[Adjusted 2031]]/$L582,0)</f>
        <v>121</v>
      </c>
      <c r="BI582">
        <f>ROUNDUP(tbl_Data_old[[#This Row],[Adjusted 2032]]/$L582,0)</f>
        <v>127</v>
      </c>
      <c r="BJ582">
        <f>ROUNDUP(tbl_Data_old[[#This Row],[Adjusted 2033]]/$L582,0)</f>
        <v>133</v>
      </c>
      <c r="BK582">
        <f>ROUNDUP(tbl_Data_old[[#This Row],[Adjusted 2034]]/$L582,0)</f>
        <v>139</v>
      </c>
      <c r="BL582" s="3">
        <f t="shared" si="38"/>
        <v>0</v>
      </c>
      <c r="BM582" s="3">
        <f t="shared" si="38"/>
        <v>0</v>
      </c>
      <c r="BN582" s="3">
        <f t="shared" si="38"/>
        <v>0</v>
      </c>
      <c r="BO582" s="3">
        <f t="shared" si="38"/>
        <v>0</v>
      </c>
      <c r="BP582" s="3">
        <f t="shared" si="38"/>
        <v>0</v>
      </c>
      <c r="BQ582" s="3">
        <f t="shared" si="38"/>
        <v>0</v>
      </c>
      <c r="BR582" s="3">
        <f t="shared" si="38"/>
        <v>0</v>
      </c>
      <c r="BS582" s="3">
        <f t="shared" si="38"/>
        <v>0</v>
      </c>
      <c r="BT582" s="3">
        <f t="shared" si="38"/>
        <v>0</v>
      </c>
      <c r="BU582" s="3">
        <f t="shared" si="38"/>
        <v>0</v>
      </c>
      <c r="BV582" t="e">
        <f>VLOOKUP($H582,'1. Set Program Names'!$B$2:$D$15,3,0)*V582</f>
        <v>#N/A</v>
      </c>
      <c r="BW582" t="e">
        <f>VLOOKUP($H582,'1. Set Program Names'!$B$2:$D$15,3,0)*W582</f>
        <v>#N/A</v>
      </c>
      <c r="BX582" t="e">
        <f>VLOOKUP($H582,'1. Set Program Names'!$B$2:$D$15,3,0)*X582</f>
        <v>#N/A</v>
      </c>
      <c r="BY582" t="e">
        <f>VLOOKUP($H582,'1. Set Program Names'!$B$2:$D$15,3,0)*Y582</f>
        <v>#N/A</v>
      </c>
      <c r="BZ582" t="e">
        <f>VLOOKUP($H582,'1. Set Program Names'!$B$2:$D$15,3,0)*Z582</f>
        <v>#N/A</v>
      </c>
      <c r="CA582" t="e">
        <f>VLOOKUP($H582,'1. Set Program Names'!$B$2:$D$15,3,0)*AA582</f>
        <v>#N/A</v>
      </c>
      <c r="CB582" t="e">
        <f>VLOOKUP($H582,'1. Set Program Names'!$B$2:$D$15,3,0)*AB582</f>
        <v>#N/A</v>
      </c>
      <c r="CC582" t="e">
        <f>VLOOKUP($H582,'1. Set Program Names'!$B$2:$D$15,3,0)*AC582</f>
        <v>#N/A</v>
      </c>
      <c r="CD582" t="e">
        <f>VLOOKUP($H582,'1. Set Program Names'!$B$2:$D$15,3,0)*AD582</f>
        <v>#N/A</v>
      </c>
      <c r="CE582" t="e">
        <f>VLOOKUP($H582,'1. Set Program Names'!$B$2:$D$15,3,0)*AE582</f>
        <v>#N/A</v>
      </c>
    </row>
    <row r="583" spans="1:83" x14ac:dyDescent="0.25">
      <c r="A583" s="20" t="s">
        <v>113</v>
      </c>
      <c r="B583" s="20" t="s">
        <v>88</v>
      </c>
      <c r="C583" s="20" t="s">
        <v>122</v>
      </c>
      <c r="D583" s="20" t="s">
        <v>90</v>
      </c>
      <c r="E583" s="20" t="s">
        <v>91</v>
      </c>
      <c r="F583" s="20" t="s">
        <v>90</v>
      </c>
      <c r="G583" s="20" t="s">
        <v>92</v>
      </c>
      <c r="H583" s="20" t="s">
        <v>268</v>
      </c>
      <c r="I583" s="20" t="s">
        <v>123</v>
      </c>
      <c r="J583" s="20" t="s">
        <v>124</v>
      </c>
      <c r="K583" s="20" t="s">
        <v>125</v>
      </c>
      <c r="L583" s="20">
        <v>276.38000000000102</v>
      </c>
      <c r="M583" s="20">
        <v>4.0116087790590997E-2</v>
      </c>
      <c r="N583" s="20">
        <v>3.5590078027730399E-2</v>
      </c>
      <c r="O583" s="20">
        <v>71</v>
      </c>
      <c r="P583" s="20">
        <v>14.1467127741815</v>
      </c>
      <c r="Q583" s="20">
        <v>0.27638000000000101</v>
      </c>
      <c r="R583" s="20">
        <v>109.905179976762</v>
      </c>
      <c r="S583" s="20">
        <v>259.02791823564098</v>
      </c>
      <c r="T583" s="20">
        <v>12</v>
      </c>
      <c r="U583" s="20">
        <v>1</v>
      </c>
      <c r="V583" s="20">
        <v>2549.1121999214201</v>
      </c>
      <c r="W583" s="20">
        <v>6031.9051121982902</v>
      </c>
      <c r="X583" s="20">
        <v>10657.173340617501</v>
      </c>
      <c r="Y583" s="20">
        <v>16613.577668940699</v>
      </c>
      <c r="Z583" s="20">
        <v>23984.5194989634</v>
      </c>
      <c r="AA583" s="20">
        <v>32671.286166590398</v>
      </c>
      <c r="AB583" s="20">
        <v>42311.419615394298</v>
      </c>
      <c r="AC583" s="20">
        <v>52299.449790392697</v>
      </c>
      <c r="AD583" s="20">
        <v>61903.1223428507</v>
      </c>
      <c r="AE583" s="20">
        <v>70455.1516461149</v>
      </c>
      <c r="AF583" t="str">
        <f t="shared" si="39"/>
        <v>NonResidential</v>
      </c>
      <c r="AG583" t="str">
        <f>tbl_Data_old[[#This Row],[All_Meas_Name_Append]]</f>
        <v>Anti-Sweat Controls</v>
      </c>
      <c r="AH583">
        <f>AVERAGEIFS('3. Incentive Adjustment'!G:G,'3. Incentive Adjustment'!A:A,tbl_Data_old[[#This Row],[Trimmed Sector]],'3. Incentive Adjustment'!B:B,tbl_Data_old[[#This Row],[Trimmed Measure Name]])</f>
        <v>0.87366811775307662</v>
      </c>
      <c r="AI583">
        <f>$AH583*tbl_Data_old[[#This Row],[2025 ]]</f>
        <v>2227.0780576467514</v>
      </c>
      <c r="AJ583">
        <f>$AH583*tbl_Data_old[[#This Row],[2026 ]]</f>
        <v>5269.8831858394406</v>
      </c>
      <c r="AK583">
        <f>$AH583*tbl_Data_old[[#This Row],[2027 ]]</f>
        <v>9310.8325730655597</v>
      </c>
      <c r="AL583">
        <f>$AH583*tbl_Data_old[[#This Row],[2028 ]]</f>
        <v>14514.753131167967</v>
      </c>
      <c r="AM583">
        <f>$AH583*tbl_Data_old[[#This Row],[2029 ]]</f>
        <v>20954.510005871318</v>
      </c>
      <c r="AN583">
        <f>$AH583*tbl_Data_old[[#This Row],[2030 ]]</f>
        <v>28543.861089737162</v>
      </c>
      <c r="AO583">
        <f>$AH583*tbl_Data_old[[#This Row],[2031 ]]</f>
        <v>36966.138334842144</v>
      </c>
      <c r="AP583">
        <f>$AH583*tbl_Data_old[[#This Row],[2032 ]]</f>
        <v>45692.361857893928</v>
      </c>
      <c r="AQ583">
        <f>$AH583*tbl_Data_old[[#This Row],[2033 ]]</f>
        <v>54082.784380316793</v>
      </c>
      <c r="AR583">
        <f>$AH583*tbl_Data_old[[#This Row],[2034 ]]</f>
        <v>61554.419724668784</v>
      </c>
      <c r="AS583">
        <f>SUM(tbl_Data_old[[#This Row],[Adjusted 2025]:[Adjusted 2034]])</f>
        <v>279116.62234104984</v>
      </c>
      <c r="AT583" s="3">
        <f>AVERAGEIFS('3. Incentive Adjustment'!F:F,'3. Incentive Adjustment'!A:A,tbl_Data_old[[#This Row],[Trimmed Sector]],'3. Incentive Adjustment'!B:B,tbl_Data_old[[#This Row],[Trimmed Measure Name]])</f>
        <v>0</v>
      </c>
      <c r="AU583" s="3">
        <f>IFERROR(VLOOKUP(tbl_Data_old[[#This Row],[All_Meas_Name_Append]],'IRA Tax Credits'!$A$3:$D$46,4,0),0)</f>
        <v>0</v>
      </c>
      <c r="AV583" s="4">
        <f>tbl_Data_old[[#This Row],[Adj. per unit Incentive ($)]]/tbl_Data_old[[#This Row],[kWh Savings]]*tbl_Data_old[[#This Row],[Sum of Annuals]]</f>
        <v>0</v>
      </c>
      <c r="AW583" s="4" t="str">
        <f>IFERROR(VLOOKUP(tbl_Data_old[[#This Row],[All_Programs]],'1. Set Program Names'!$B$2:$D$15,3,0)*tbl_Data_old[[#This Row],[Sum of Annuals]],"")</f>
        <v/>
      </c>
      <c r="AX583" s="4">
        <f>tbl_Data_old[[#This Row],[per unit IRA tax ($)]]/tbl_Data_old[[#This Row],[kWh Savings]]*tbl_Data_old[[#This Row],[Sum of Annuals]]</f>
        <v>0</v>
      </c>
      <c r="AY583" s="4">
        <f>tbl_Data_old[[#This Row],[Avoided Costs ($/unit)]]/tbl_Data_old[[#This Row],[kWh Savings]]*tbl_Data_old[[#This Row],[Sum of Annuals]]</f>
        <v>110993.42431760213</v>
      </c>
      <c r="AZ583" s="4">
        <f>tbl_Data_old[[#This Row],[Lost Revenue ($/unit)]]/tbl_Data_old[[#This Row],[kWh Savings]]*tbl_Data_old[[#This Row],[Sum of Annuals]]</f>
        <v>261592.72606543699</v>
      </c>
      <c r="BA583" s="4">
        <f>tbl_Data_old[[#This Row],[Incremental Cost ($/unit)]]/tbl_Data_old[[#This Row],[kWh Savings]]*tbl_Data_old[[#This Row],[Sum of Annuals]]</f>
        <v>71703.018258247568</v>
      </c>
      <c r="BB583">
        <f>ROUNDUP(tbl_Data_old[[#This Row],[Adjusted 2025]]/$L583,0)</f>
        <v>9</v>
      </c>
      <c r="BC583">
        <f>ROUNDUP(tbl_Data_old[[#This Row],[Adjusted 2026]]/$L583,0)</f>
        <v>20</v>
      </c>
      <c r="BD583">
        <f>ROUNDUP(tbl_Data_old[[#This Row],[Adjusted 2027]]/$L583,0)</f>
        <v>34</v>
      </c>
      <c r="BE583">
        <f>ROUNDUP(tbl_Data_old[[#This Row],[Adjusted 2028]]/$L583,0)</f>
        <v>53</v>
      </c>
      <c r="BF583">
        <f>ROUNDUP(tbl_Data_old[[#This Row],[Adjusted 2029]]/$L583,0)</f>
        <v>76</v>
      </c>
      <c r="BG583">
        <f>ROUNDUP(tbl_Data_old[[#This Row],[Adjusted 2030]]/$L583,0)</f>
        <v>104</v>
      </c>
      <c r="BH583">
        <f>ROUNDUP(tbl_Data_old[[#This Row],[Adjusted 2031]]/$L583,0)</f>
        <v>134</v>
      </c>
      <c r="BI583">
        <f>ROUNDUP(tbl_Data_old[[#This Row],[Adjusted 2032]]/$L583,0)</f>
        <v>166</v>
      </c>
      <c r="BJ583">
        <f>ROUNDUP(tbl_Data_old[[#This Row],[Adjusted 2033]]/$L583,0)</f>
        <v>196</v>
      </c>
      <c r="BK583">
        <f>ROUNDUP(tbl_Data_old[[#This Row],[Adjusted 2034]]/$L583,0)</f>
        <v>223</v>
      </c>
      <c r="BL583" s="3">
        <f t="shared" si="38"/>
        <v>0</v>
      </c>
      <c r="BM583" s="3">
        <f t="shared" si="38"/>
        <v>0</v>
      </c>
      <c r="BN583" s="3">
        <f t="shared" si="38"/>
        <v>0</v>
      </c>
      <c r="BO583" s="3">
        <f t="shared" si="38"/>
        <v>0</v>
      </c>
      <c r="BP583" s="3">
        <f t="shared" si="38"/>
        <v>0</v>
      </c>
      <c r="BQ583" s="3">
        <f t="shared" si="38"/>
        <v>0</v>
      </c>
      <c r="BR583" s="3">
        <f t="shared" si="38"/>
        <v>0</v>
      </c>
      <c r="BS583" s="3">
        <f t="shared" si="38"/>
        <v>0</v>
      </c>
      <c r="BT583" s="3">
        <f t="shared" si="38"/>
        <v>0</v>
      </c>
      <c r="BU583" s="3">
        <f t="shared" si="38"/>
        <v>0</v>
      </c>
      <c r="BV583" t="e">
        <f>VLOOKUP($H583,'1. Set Program Names'!$B$2:$D$15,3,0)*V583</f>
        <v>#N/A</v>
      </c>
      <c r="BW583" t="e">
        <f>VLOOKUP($H583,'1. Set Program Names'!$B$2:$D$15,3,0)*W583</f>
        <v>#N/A</v>
      </c>
      <c r="BX583" t="e">
        <f>VLOOKUP($H583,'1. Set Program Names'!$B$2:$D$15,3,0)*X583</f>
        <v>#N/A</v>
      </c>
      <c r="BY583" t="e">
        <f>VLOOKUP($H583,'1. Set Program Names'!$B$2:$D$15,3,0)*Y583</f>
        <v>#N/A</v>
      </c>
      <c r="BZ583" t="e">
        <f>VLOOKUP($H583,'1. Set Program Names'!$B$2:$D$15,3,0)*Z583</f>
        <v>#N/A</v>
      </c>
      <c r="CA583" t="e">
        <f>VLOOKUP($H583,'1. Set Program Names'!$B$2:$D$15,3,0)*AA583</f>
        <v>#N/A</v>
      </c>
      <c r="CB583" t="e">
        <f>VLOOKUP($H583,'1. Set Program Names'!$B$2:$D$15,3,0)*AB583</f>
        <v>#N/A</v>
      </c>
      <c r="CC583" t="e">
        <f>VLOOKUP($H583,'1. Set Program Names'!$B$2:$D$15,3,0)*AC583</f>
        <v>#N/A</v>
      </c>
      <c r="CD583" t="e">
        <f>VLOOKUP($H583,'1. Set Program Names'!$B$2:$D$15,3,0)*AD583</f>
        <v>#N/A</v>
      </c>
      <c r="CE583" t="e">
        <f>VLOOKUP($H583,'1. Set Program Names'!$B$2:$D$15,3,0)*AE583</f>
        <v>#N/A</v>
      </c>
    </row>
    <row r="584" spans="1:83" x14ac:dyDescent="0.25">
      <c r="A584" s="20" t="s">
        <v>113</v>
      </c>
      <c r="B584" s="20" t="s">
        <v>88</v>
      </c>
      <c r="C584" s="20" t="s">
        <v>122</v>
      </c>
      <c r="D584" s="20" t="s">
        <v>90</v>
      </c>
      <c r="E584" s="20" t="s">
        <v>91</v>
      </c>
      <c r="F584" s="20" t="s">
        <v>90</v>
      </c>
      <c r="G584" s="20" t="s">
        <v>92</v>
      </c>
      <c r="H584" s="20" t="s">
        <v>268</v>
      </c>
      <c r="I584" s="20" t="s">
        <v>126</v>
      </c>
      <c r="J584" s="20" t="s">
        <v>127</v>
      </c>
      <c r="K584" s="20" t="s">
        <v>102</v>
      </c>
      <c r="L584" s="20">
        <v>10474.513428571399</v>
      </c>
      <c r="M584" s="20">
        <v>11.987030831722899</v>
      </c>
      <c r="N584" s="20">
        <v>6.5774989692018102E-2</v>
      </c>
      <c r="O584" s="20">
        <v>2861.52</v>
      </c>
      <c r="P584" s="20">
        <v>706.838432647388</v>
      </c>
      <c r="Q584" s="20">
        <v>10.474513428571401</v>
      </c>
      <c r="R584" s="20">
        <v>9615.4333568812199</v>
      </c>
      <c r="S584" s="20">
        <v>8615.8759261769592</v>
      </c>
      <c r="T584" s="20">
        <v>10</v>
      </c>
      <c r="U584" s="20">
        <v>1</v>
      </c>
      <c r="V584" s="20">
        <v>12724.939794092301</v>
      </c>
      <c r="W584" s="20">
        <v>30340.3069748124</v>
      </c>
      <c r="X584" s="20">
        <v>54037.468864555798</v>
      </c>
      <c r="Y584" s="20">
        <v>85050.861565034997</v>
      </c>
      <c r="Z584" s="20">
        <v>124146.607590121</v>
      </c>
      <c r="AA584" s="20">
        <v>170888.73717218201</v>
      </c>
      <c r="AB584" s="20">
        <v>223223.25433913001</v>
      </c>
      <c r="AC584" s="20">
        <v>277371.62774822902</v>
      </c>
      <c r="AD584" s="20">
        <v>328409.24274971802</v>
      </c>
      <c r="AE584" s="20">
        <v>371966.70398735302</v>
      </c>
      <c r="AF584" t="str">
        <f t="shared" si="39"/>
        <v>NonResidential</v>
      </c>
      <c r="AG584" t="str">
        <f>tbl_Data_old[[#This Row],[All_Meas_Name_Append]]</f>
        <v>Chiller maintenance</v>
      </c>
      <c r="AH584">
        <f>AVERAGEIFS('3. Incentive Adjustment'!G:G,'3. Incentive Adjustment'!A:A,tbl_Data_old[[#This Row],[Trimmed Sector]],'3. Incentive Adjustment'!B:B,tbl_Data_old[[#This Row],[Trimmed Measure Name]])</f>
        <v>0.83689882434423457</v>
      </c>
      <c r="AI584">
        <f>$AH584*tbl_Data_old[[#This Row],[2025 ]]</f>
        <v>10649.487153527012</v>
      </c>
      <c r="AJ584">
        <f>$AH584*tbl_Data_old[[#This Row],[2026 ]]</f>
        <v>25391.767237463679</v>
      </c>
      <c r="AK584">
        <f>$AH584*tbl_Data_old[[#This Row],[2027 ]]</f>
        <v>45223.894163284931</v>
      </c>
      <c r="AL584">
        <f>$AH584*tbl_Data_old[[#This Row],[2028 ]]</f>
        <v>71178.966053242038</v>
      </c>
      <c r="AM584">
        <f>$AH584*tbl_Data_old[[#This Row],[2029 ]]</f>
        <v>103898.14993849728</v>
      </c>
      <c r="AN584">
        <f>$AH584*tbl_Data_old[[#This Row],[2030 ]]</f>
        <v>143016.58323307001</v>
      </c>
      <c r="AO584">
        <f>$AH584*tbl_Data_old[[#This Row],[2031 ]]</f>
        <v>186815.27912271197</v>
      </c>
      <c r="AP584">
        <f>$AH584*tbl_Data_old[[#This Row],[2032 ]]</f>
        <v>232131.98916893953</v>
      </c>
      <c r="AQ584">
        <f>$AH584*tbl_Data_old[[#This Row],[2033 ]]</f>
        <v>274845.30916101934</v>
      </c>
      <c r="AR584">
        <f>$AH584*tbl_Data_old[[#This Row],[2034 ]]</f>
        <v>311298.49726221565</v>
      </c>
      <c r="AS584">
        <f>SUM(tbl_Data_old[[#This Row],[Adjusted 2025]:[Adjusted 2034]])</f>
        <v>1404449.9224939714</v>
      </c>
      <c r="AT584" s="3">
        <f>AVERAGEIFS('3. Incentive Adjustment'!F:F,'3. Incentive Adjustment'!A:A,tbl_Data_old[[#This Row],[Trimmed Sector]],'3. Incentive Adjustment'!B:B,tbl_Data_old[[#This Row],[Trimmed Measure Name]])</f>
        <v>0</v>
      </c>
      <c r="AU584" s="3">
        <f>IFERROR(VLOOKUP(tbl_Data_old[[#This Row],[All_Meas_Name_Append]],'IRA Tax Credits'!$A$3:$D$46,4,0),0)</f>
        <v>0</v>
      </c>
      <c r="AV584" s="4">
        <f>tbl_Data_old[[#This Row],[Adj. per unit Incentive ($)]]/tbl_Data_old[[#This Row],[kWh Savings]]*tbl_Data_old[[#This Row],[Sum of Annuals]]</f>
        <v>0</v>
      </c>
      <c r="AW584" s="4" t="str">
        <f>IFERROR(VLOOKUP(tbl_Data_old[[#This Row],[All_Programs]],'1. Set Program Names'!$B$2:$D$15,3,0)*tbl_Data_old[[#This Row],[Sum of Annuals]],"")</f>
        <v/>
      </c>
      <c r="AX584" s="4">
        <f>tbl_Data_old[[#This Row],[per unit IRA tax ($)]]/tbl_Data_old[[#This Row],[kWh Savings]]*tbl_Data_old[[#This Row],[Sum of Annuals]]</f>
        <v>0</v>
      </c>
      <c r="AY584" s="4">
        <f>tbl_Data_old[[#This Row],[Avoided Costs ($/unit)]]/tbl_Data_old[[#This Row],[kWh Savings]]*tbl_Data_old[[#This Row],[Sum of Annuals]]</f>
        <v>1289262.2387577211</v>
      </c>
      <c r="AZ584" s="4">
        <f>tbl_Data_old[[#This Row],[Lost Revenue ($/unit)]]/tbl_Data_old[[#This Row],[kWh Savings]]*tbl_Data_old[[#This Row],[Sum of Annuals]]</f>
        <v>1155238.9864459108</v>
      </c>
      <c r="BA584" s="4">
        <f>tbl_Data_old[[#This Row],[Incremental Cost ($/unit)]]/tbl_Data_old[[#This Row],[kWh Savings]]*tbl_Data_old[[#This Row],[Sum of Annuals]]</f>
        <v>383680.02195239672</v>
      </c>
      <c r="BB584">
        <f>ROUNDUP(tbl_Data_old[[#This Row],[Adjusted 2025]]/$L584,0)</f>
        <v>2</v>
      </c>
      <c r="BC584">
        <f>ROUNDUP(tbl_Data_old[[#This Row],[Adjusted 2026]]/$L584,0)</f>
        <v>3</v>
      </c>
      <c r="BD584">
        <f>ROUNDUP(tbl_Data_old[[#This Row],[Adjusted 2027]]/$L584,0)</f>
        <v>5</v>
      </c>
      <c r="BE584">
        <f>ROUNDUP(tbl_Data_old[[#This Row],[Adjusted 2028]]/$L584,0)</f>
        <v>7</v>
      </c>
      <c r="BF584">
        <f>ROUNDUP(tbl_Data_old[[#This Row],[Adjusted 2029]]/$L584,0)</f>
        <v>10</v>
      </c>
      <c r="BG584">
        <f>ROUNDUP(tbl_Data_old[[#This Row],[Adjusted 2030]]/$L584,0)</f>
        <v>14</v>
      </c>
      <c r="BH584">
        <f>ROUNDUP(tbl_Data_old[[#This Row],[Adjusted 2031]]/$L584,0)</f>
        <v>18</v>
      </c>
      <c r="BI584">
        <f>ROUNDUP(tbl_Data_old[[#This Row],[Adjusted 2032]]/$L584,0)</f>
        <v>23</v>
      </c>
      <c r="BJ584">
        <f>ROUNDUP(tbl_Data_old[[#This Row],[Adjusted 2033]]/$L584,0)</f>
        <v>27</v>
      </c>
      <c r="BK584">
        <f>ROUNDUP(tbl_Data_old[[#This Row],[Adjusted 2034]]/$L584,0)</f>
        <v>30</v>
      </c>
      <c r="BL584" s="3">
        <f t="shared" si="38"/>
        <v>0</v>
      </c>
      <c r="BM584" s="3">
        <f t="shared" si="38"/>
        <v>0</v>
      </c>
      <c r="BN584" s="3">
        <f t="shared" si="38"/>
        <v>0</v>
      </c>
      <c r="BO584" s="3">
        <f t="shared" si="38"/>
        <v>0</v>
      </c>
      <c r="BP584" s="3">
        <f t="shared" si="38"/>
        <v>0</v>
      </c>
      <c r="BQ584" s="3">
        <f t="shared" si="38"/>
        <v>0</v>
      </c>
      <c r="BR584" s="3">
        <f t="shared" si="38"/>
        <v>0</v>
      </c>
      <c r="BS584" s="3">
        <f t="shared" si="38"/>
        <v>0</v>
      </c>
      <c r="BT584" s="3">
        <f t="shared" si="38"/>
        <v>0</v>
      </c>
      <c r="BU584" s="3">
        <f t="shared" si="38"/>
        <v>0</v>
      </c>
      <c r="BV584" t="e">
        <f>VLOOKUP($H584,'1. Set Program Names'!$B$2:$D$15,3,0)*V584</f>
        <v>#N/A</v>
      </c>
      <c r="BW584" t="e">
        <f>VLOOKUP($H584,'1. Set Program Names'!$B$2:$D$15,3,0)*W584</f>
        <v>#N/A</v>
      </c>
      <c r="BX584" t="e">
        <f>VLOOKUP($H584,'1. Set Program Names'!$B$2:$D$15,3,0)*X584</f>
        <v>#N/A</v>
      </c>
      <c r="BY584" t="e">
        <f>VLOOKUP($H584,'1. Set Program Names'!$B$2:$D$15,3,0)*Y584</f>
        <v>#N/A</v>
      </c>
      <c r="BZ584" t="e">
        <f>VLOOKUP($H584,'1. Set Program Names'!$B$2:$D$15,3,0)*Z584</f>
        <v>#N/A</v>
      </c>
      <c r="CA584" t="e">
        <f>VLOOKUP($H584,'1. Set Program Names'!$B$2:$D$15,3,0)*AA584</f>
        <v>#N/A</v>
      </c>
      <c r="CB584" t="e">
        <f>VLOOKUP($H584,'1. Set Program Names'!$B$2:$D$15,3,0)*AB584</f>
        <v>#N/A</v>
      </c>
      <c r="CC584" t="e">
        <f>VLOOKUP($H584,'1. Set Program Names'!$B$2:$D$15,3,0)*AC584</f>
        <v>#N/A</v>
      </c>
      <c r="CD584" t="e">
        <f>VLOOKUP($H584,'1. Set Program Names'!$B$2:$D$15,3,0)*AD584</f>
        <v>#N/A</v>
      </c>
      <c r="CE584" t="e">
        <f>VLOOKUP($H584,'1. Set Program Names'!$B$2:$D$15,3,0)*AE584</f>
        <v>#N/A</v>
      </c>
    </row>
    <row r="585" spans="1:83" x14ac:dyDescent="0.25">
      <c r="A585" s="20" t="s">
        <v>113</v>
      </c>
      <c r="B585" s="20" t="s">
        <v>88</v>
      </c>
      <c r="C585" s="20" t="s">
        <v>122</v>
      </c>
      <c r="D585" s="20" t="s">
        <v>90</v>
      </c>
      <c r="E585" s="20" t="s">
        <v>91</v>
      </c>
      <c r="F585" s="20" t="s">
        <v>90</v>
      </c>
      <c r="G585" s="20" t="s">
        <v>92</v>
      </c>
      <c r="H585" s="20" t="s">
        <v>268</v>
      </c>
      <c r="I585" s="20" t="s">
        <v>131</v>
      </c>
      <c r="J585" s="20" t="s">
        <v>132</v>
      </c>
      <c r="K585" s="20" t="s">
        <v>102</v>
      </c>
      <c r="L585" s="20">
        <v>1121.1428571428501</v>
      </c>
      <c r="M585" s="20">
        <v>0</v>
      </c>
      <c r="N585" s="20">
        <v>0.20460408928759399</v>
      </c>
      <c r="O585" s="20">
        <v>313</v>
      </c>
      <c r="P585" s="20">
        <v>104.06901074138401</v>
      </c>
      <c r="Q585" s="20">
        <v>1.1211428571428499</v>
      </c>
      <c r="R585" s="20">
        <v>557.43130076035402</v>
      </c>
      <c r="S585" s="20">
        <v>1217.69575846672</v>
      </c>
      <c r="T585" s="20">
        <v>15</v>
      </c>
      <c r="U585" s="20">
        <v>1</v>
      </c>
      <c r="V585" s="20">
        <v>6498.9307769429397</v>
      </c>
      <c r="W585" s="20">
        <v>12680.217021054499</v>
      </c>
      <c r="X585" s="20">
        <v>18485.637275240199</v>
      </c>
      <c r="Y585" s="20">
        <v>23913.154104261899</v>
      </c>
      <c r="Z585" s="20">
        <v>28963.439075513099</v>
      </c>
      <c r="AA585" s="20">
        <v>33635.997068237797</v>
      </c>
      <c r="AB585" s="20">
        <v>37939.461306418103</v>
      </c>
      <c r="AC585" s="20">
        <v>41894.412874401001</v>
      </c>
      <c r="AD585" s="20">
        <v>45525.484924533201</v>
      </c>
      <c r="AE585" s="20">
        <v>48851.9721766191</v>
      </c>
      <c r="AF585" t="str">
        <f t="shared" si="39"/>
        <v>NonResidential</v>
      </c>
      <c r="AG585" t="str">
        <f>tbl_Data_old[[#This Row],[All_Meas_Name_Append]]</f>
        <v>ECM Motors on Furnaces</v>
      </c>
      <c r="AH585">
        <f>AVERAGEIFS('3. Incentive Adjustment'!G:G,'3. Incentive Adjustment'!A:A,tbl_Data_old[[#This Row],[Trimmed Sector]],'3. Incentive Adjustment'!B:B,tbl_Data_old[[#This Row],[Trimmed Measure Name]])</f>
        <v>0.7827684764944346</v>
      </c>
      <c r="AI585">
        <f>$AH585*tbl_Data_old[[#This Row],[2025 ]]</f>
        <v>5087.1581431104169</v>
      </c>
      <c r="AJ585">
        <f>$AH585*tbl_Data_old[[#This Row],[2026 ]]</f>
        <v>9925.674159189628</v>
      </c>
      <c r="AK585">
        <f>$AH585*tbl_Data_old[[#This Row],[2027 ]]</f>
        <v>14469.974126968502</v>
      </c>
      <c r="AL585">
        <f>$AH585*tbl_Data_old[[#This Row],[2028 ]]</f>
        <v>18718.463206369721</v>
      </c>
      <c r="AM585">
        <f>$AH585*tbl_Data_old[[#This Row],[2029 ]]</f>
        <v>22671.667079178762</v>
      </c>
      <c r="AN585">
        <f>$AH585*tbl_Data_old[[#This Row],[2030 ]]</f>
        <v>26329.198180475771</v>
      </c>
      <c r="AO585">
        <f>$AH585*tbl_Data_old[[#This Row],[2031 ]]</f>
        <v>29697.814325844451</v>
      </c>
      <c r="AP585">
        <f>$AH585*tbl_Data_old[[#This Row],[2032 ]]</f>
        <v>32793.625739323696</v>
      </c>
      <c r="AQ585">
        <f>$AH585*tbl_Data_old[[#This Row],[2033 ]]</f>
        <v>35635.914476047205</v>
      </c>
      <c r="AR585">
        <f>$AH585*tbl_Data_old[[#This Row],[2034 ]]</f>
        <v>38239.783834440641</v>
      </c>
      <c r="AS585">
        <f>SUM(tbl_Data_old[[#This Row],[Adjusted 2025]:[Adjusted 2034]])</f>
        <v>233569.27327094879</v>
      </c>
      <c r="AT585" s="3">
        <f>AVERAGEIFS('3. Incentive Adjustment'!F:F,'3. Incentive Adjustment'!A:A,tbl_Data_old[[#This Row],[Trimmed Sector]],'3. Incentive Adjustment'!B:B,tbl_Data_old[[#This Row],[Trimmed Measure Name]])</f>
        <v>0</v>
      </c>
      <c r="AU585" s="3">
        <f>IFERROR(VLOOKUP(tbl_Data_old[[#This Row],[All_Meas_Name_Append]],'IRA Tax Credits'!$A$3:$D$46,4,0),0)</f>
        <v>0</v>
      </c>
      <c r="AV585" s="4">
        <f>tbl_Data_old[[#This Row],[Adj. per unit Incentive ($)]]/tbl_Data_old[[#This Row],[kWh Savings]]*tbl_Data_old[[#This Row],[Sum of Annuals]]</f>
        <v>0</v>
      </c>
      <c r="AW585" s="4" t="str">
        <f>IFERROR(VLOOKUP(tbl_Data_old[[#This Row],[All_Programs]],'1. Set Program Names'!$B$2:$D$15,3,0)*tbl_Data_old[[#This Row],[Sum of Annuals]],"")</f>
        <v/>
      </c>
      <c r="AX585" s="4">
        <f>tbl_Data_old[[#This Row],[per unit IRA tax ($)]]/tbl_Data_old[[#This Row],[kWh Savings]]*tbl_Data_old[[#This Row],[Sum of Annuals]]</f>
        <v>0</v>
      </c>
      <c r="AY585" s="4">
        <f>tbl_Data_old[[#This Row],[Avoided Costs ($/unit)]]/tbl_Data_old[[#This Row],[kWh Savings]]*tbl_Data_old[[#This Row],[Sum of Annuals]]</f>
        <v>116130.44937812624</v>
      </c>
      <c r="AZ585" s="4">
        <f>tbl_Data_old[[#This Row],[Lost Revenue ($/unit)]]/tbl_Data_old[[#This Row],[kWh Savings]]*tbl_Data_old[[#This Row],[Sum of Annuals]]</f>
        <v>253684.275432127</v>
      </c>
      <c r="BA585" s="4">
        <f>tbl_Data_old[[#This Row],[Incremental Cost ($/unit)]]/tbl_Data_old[[#This Row],[kWh Savings]]*tbl_Data_old[[#This Row],[Sum of Annuals]]</f>
        <v>65207.731617820085</v>
      </c>
      <c r="BB585">
        <f>ROUNDUP(tbl_Data_old[[#This Row],[Adjusted 2025]]/$L585,0)</f>
        <v>5</v>
      </c>
      <c r="BC585">
        <f>ROUNDUP(tbl_Data_old[[#This Row],[Adjusted 2026]]/$L585,0)</f>
        <v>9</v>
      </c>
      <c r="BD585">
        <f>ROUNDUP(tbl_Data_old[[#This Row],[Adjusted 2027]]/$L585,0)</f>
        <v>13</v>
      </c>
      <c r="BE585">
        <f>ROUNDUP(tbl_Data_old[[#This Row],[Adjusted 2028]]/$L585,0)</f>
        <v>17</v>
      </c>
      <c r="BF585">
        <f>ROUNDUP(tbl_Data_old[[#This Row],[Adjusted 2029]]/$L585,0)</f>
        <v>21</v>
      </c>
      <c r="BG585">
        <f>ROUNDUP(tbl_Data_old[[#This Row],[Adjusted 2030]]/$L585,0)</f>
        <v>24</v>
      </c>
      <c r="BH585">
        <f>ROUNDUP(tbl_Data_old[[#This Row],[Adjusted 2031]]/$L585,0)</f>
        <v>27</v>
      </c>
      <c r="BI585">
        <f>ROUNDUP(tbl_Data_old[[#This Row],[Adjusted 2032]]/$L585,0)</f>
        <v>30</v>
      </c>
      <c r="BJ585">
        <f>ROUNDUP(tbl_Data_old[[#This Row],[Adjusted 2033]]/$L585,0)</f>
        <v>32</v>
      </c>
      <c r="BK585">
        <f>ROUNDUP(tbl_Data_old[[#This Row],[Adjusted 2034]]/$L585,0)</f>
        <v>35</v>
      </c>
      <c r="BL585" s="3">
        <f t="shared" si="38"/>
        <v>0</v>
      </c>
      <c r="BM585" s="3">
        <f t="shared" si="38"/>
        <v>0</v>
      </c>
      <c r="BN585" s="3">
        <f t="shared" si="38"/>
        <v>0</v>
      </c>
      <c r="BO585" s="3">
        <f t="shared" si="38"/>
        <v>0</v>
      </c>
      <c r="BP585" s="3">
        <f t="shared" si="38"/>
        <v>0</v>
      </c>
      <c r="BQ585" s="3">
        <f t="shared" ref="BQ585:BU616" si="40">$AT585/$L585*AA585</f>
        <v>0</v>
      </c>
      <c r="BR585" s="3">
        <f t="shared" si="40"/>
        <v>0</v>
      </c>
      <c r="BS585" s="3">
        <f t="shared" si="40"/>
        <v>0</v>
      </c>
      <c r="BT585" s="3">
        <f t="shared" si="40"/>
        <v>0</v>
      </c>
      <c r="BU585" s="3">
        <f t="shared" si="40"/>
        <v>0</v>
      </c>
      <c r="BV585" t="e">
        <f>VLOOKUP($H585,'1. Set Program Names'!$B$2:$D$15,3,0)*V585</f>
        <v>#N/A</v>
      </c>
      <c r="BW585" t="e">
        <f>VLOOKUP($H585,'1. Set Program Names'!$B$2:$D$15,3,0)*W585</f>
        <v>#N/A</v>
      </c>
      <c r="BX585" t="e">
        <f>VLOOKUP($H585,'1. Set Program Names'!$B$2:$D$15,3,0)*X585</f>
        <v>#N/A</v>
      </c>
      <c r="BY585" t="e">
        <f>VLOOKUP($H585,'1. Set Program Names'!$B$2:$D$15,3,0)*Y585</f>
        <v>#N/A</v>
      </c>
      <c r="BZ585" t="e">
        <f>VLOOKUP($H585,'1. Set Program Names'!$B$2:$D$15,3,0)*Z585</f>
        <v>#N/A</v>
      </c>
      <c r="CA585" t="e">
        <f>VLOOKUP($H585,'1. Set Program Names'!$B$2:$D$15,3,0)*AA585</f>
        <v>#N/A</v>
      </c>
      <c r="CB585" t="e">
        <f>VLOOKUP($H585,'1. Set Program Names'!$B$2:$D$15,3,0)*AB585</f>
        <v>#N/A</v>
      </c>
      <c r="CC585" t="e">
        <f>VLOOKUP($H585,'1. Set Program Names'!$B$2:$D$15,3,0)*AC585</f>
        <v>#N/A</v>
      </c>
      <c r="CD585" t="e">
        <f>VLOOKUP($H585,'1. Set Program Names'!$B$2:$D$15,3,0)*AD585</f>
        <v>#N/A</v>
      </c>
      <c r="CE585" t="e">
        <f>VLOOKUP($H585,'1. Set Program Names'!$B$2:$D$15,3,0)*AE585</f>
        <v>#N/A</v>
      </c>
    </row>
    <row r="586" spans="1:83" x14ac:dyDescent="0.25">
      <c r="A586" s="20" t="s">
        <v>113</v>
      </c>
      <c r="B586" s="20" t="s">
        <v>88</v>
      </c>
      <c r="C586" s="20" t="s">
        <v>122</v>
      </c>
      <c r="D586" s="20" t="s">
        <v>90</v>
      </c>
      <c r="E586" s="20" t="s">
        <v>91</v>
      </c>
      <c r="F586" s="20" t="s">
        <v>90</v>
      </c>
      <c r="G586" s="20" t="s">
        <v>92</v>
      </c>
      <c r="H586" s="20" t="s">
        <v>268</v>
      </c>
      <c r="I586" s="20" t="s">
        <v>307</v>
      </c>
      <c r="J586" s="20" t="s">
        <v>137</v>
      </c>
      <c r="K586" s="20" t="s">
        <v>98</v>
      </c>
      <c r="L586" s="20">
        <v>1111.20999999999</v>
      </c>
      <c r="M586" s="20">
        <v>0.13640668324959701</v>
      </c>
      <c r="N586" s="20">
        <v>0.136388544932499</v>
      </c>
      <c r="O586" s="20">
        <v>412</v>
      </c>
      <c r="P586" s="20">
        <v>183.41637854330401</v>
      </c>
      <c r="Q586" s="20">
        <v>1.11120999999999</v>
      </c>
      <c r="R586" s="20">
        <v>480.86876845961399</v>
      </c>
      <c r="S586" s="20">
        <v>1206.90748297154</v>
      </c>
      <c r="T586" s="20">
        <v>15</v>
      </c>
      <c r="U586" s="20">
        <v>1</v>
      </c>
      <c r="V586" s="20">
        <v>42669.031815708702</v>
      </c>
      <c r="W586" s="20">
        <v>101430.30940727799</v>
      </c>
      <c r="X586" s="20">
        <v>178434.563716198</v>
      </c>
      <c r="Y586" s="20">
        <v>275237.27695624699</v>
      </c>
      <c r="Z586" s="20">
        <v>391990.241227135</v>
      </c>
      <c r="AA586" s="20">
        <v>527156.91697775002</v>
      </c>
      <c r="AB586" s="20">
        <v>678123.28564937797</v>
      </c>
      <c r="AC586" s="20">
        <v>842118.78680056694</v>
      </c>
      <c r="AD586" s="20">
        <v>1016568.56287167</v>
      </c>
      <c r="AE586" s="20">
        <v>1199323.62688449</v>
      </c>
      <c r="AF586" t="str">
        <f t="shared" si="39"/>
        <v>NonResidential</v>
      </c>
      <c r="AG586" t="str">
        <f>tbl_Data_old[[#This Row],[All_Meas_Name_Append]]</f>
        <v>Efficient Battery Charger</v>
      </c>
      <c r="AH586">
        <f>AVERAGEIFS('3. Incentive Adjustment'!G:G,'3. Incentive Adjustment'!A:A,tbl_Data_old[[#This Row],[Trimmed Sector]],'3. Incentive Adjustment'!B:B,tbl_Data_old[[#This Row],[Trimmed Measure Name]])</f>
        <v>0.64693164144446047</v>
      </c>
      <c r="AI586">
        <f>$AH586*tbl_Data_old[[#This Row],[2025 ]]</f>
        <v>27603.946791382339</v>
      </c>
      <c r="AJ586">
        <f>$AH586*tbl_Data_old[[#This Row],[2026 ]]</f>
        <v>65618.476557069851</v>
      </c>
      <c r="AK586">
        <f>$AH586*tbl_Data_old[[#This Row],[2027 ]]</f>
        <v>115434.96519534614</v>
      </c>
      <c r="AL586">
        <f>$AH586*tbl_Data_old[[#This Row],[2028 ]]</f>
        <v>178059.70336800843</v>
      </c>
      <c r="AM586">
        <f>$AH586*tbl_Data_old[[#This Row],[2029 ]]</f>
        <v>253590.89018728046</v>
      </c>
      <c r="AN586">
        <f>$AH586*tbl_Data_old[[#This Row],[2030 ]]</f>
        <v>341034.48959921702</v>
      </c>
      <c r="AO586">
        <f>$AH586*tbl_Data_old[[#This Row],[2031 ]]</f>
        <v>438699.41028686281</v>
      </c>
      <c r="AP586">
        <f>$AH586*tbl_Data_old[[#This Row],[2032 ]]</f>
        <v>544793.28903610841</v>
      </c>
      <c r="AQ586">
        <f>$AH586*tbl_Data_old[[#This Row],[2033 ]]</f>
        <v>657650.36901940568</v>
      </c>
      <c r="AR586">
        <f>$AH586*tbl_Data_old[[#This Row],[2034 ]]</f>
        <v>775880.40256350674</v>
      </c>
      <c r="AS586">
        <f>SUM(tbl_Data_old[[#This Row],[Adjusted 2025]:[Adjusted 2034]])</f>
        <v>3398365.9426041879</v>
      </c>
      <c r="AT586" s="3">
        <f>AVERAGEIFS('3. Incentive Adjustment'!F:F,'3. Incentive Adjustment'!A:A,tbl_Data_old[[#This Row],[Trimmed Sector]],'3. Incentive Adjustment'!B:B,tbl_Data_old[[#This Row],[Trimmed Measure Name]])</f>
        <v>0</v>
      </c>
      <c r="AU586" s="3">
        <f>IFERROR(VLOOKUP(tbl_Data_old[[#This Row],[All_Meas_Name_Append]],'IRA Tax Credits'!$A$3:$D$46,4,0),0)</f>
        <v>0</v>
      </c>
      <c r="AV586" s="4">
        <f>tbl_Data_old[[#This Row],[Adj. per unit Incentive ($)]]/tbl_Data_old[[#This Row],[kWh Savings]]*tbl_Data_old[[#This Row],[Sum of Annuals]]</f>
        <v>0</v>
      </c>
      <c r="AW586" s="4" t="str">
        <f>IFERROR(VLOOKUP(tbl_Data_old[[#This Row],[All_Programs]],'1. Set Program Names'!$B$2:$D$15,3,0)*tbl_Data_old[[#This Row],[Sum of Annuals]],"")</f>
        <v/>
      </c>
      <c r="AX586" s="4">
        <f>tbl_Data_old[[#This Row],[per unit IRA tax ($)]]/tbl_Data_old[[#This Row],[kWh Savings]]*tbl_Data_old[[#This Row],[Sum of Annuals]]</f>
        <v>0</v>
      </c>
      <c r="AY586" s="4">
        <f>tbl_Data_old[[#This Row],[Avoided Costs ($/unit)]]/tbl_Data_old[[#This Row],[kWh Savings]]*tbl_Data_old[[#This Row],[Sum of Annuals]]</f>
        <v>1470620.3558239988</v>
      </c>
      <c r="AZ586" s="4">
        <f>tbl_Data_old[[#This Row],[Lost Revenue ($/unit)]]/tbl_Data_old[[#This Row],[kWh Savings]]*tbl_Data_old[[#This Row],[Sum of Annuals]]</f>
        <v>3691033.4554266632</v>
      </c>
      <c r="BA586" s="4">
        <f>tbl_Data_old[[#This Row],[Incremental Cost ($/unit)]]/tbl_Data_old[[#This Row],[kWh Savings]]*tbl_Data_old[[#This Row],[Sum of Annuals]]</f>
        <v>1260001.9513439746</v>
      </c>
      <c r="BB586">
        <f>ROUNDUP(tbl_Data_old[[#This Row],[Adjusted 2025]]/$L586,0)</f>
        <v>25</v>
      </c>
      <c r="BC586">
        <f>ROUNDUP(tbl_Data_old[[#This Row],[Adjusted 2026]]/$L586,0)</f>
        <v>60</v>
      </c>
      <c r="BD586">
        <f>ROUNDUP(tbl_Data_old[[#This Row],[Adjusted 2027]]/$L586,0)</f>
        <v>104</v>
      </c>
      <c r="BE586">
        <f>ROUNDUP(tbl_Data_old[[#This Row],[Adjusted 2028]]/$L586,0)</f>
        <v>161</v>
      </c>
      <c r="BF586">
        <f>ROUNDUP(tbl_Data_old[[#This Row],[Adjusted 2029]]/$L586,0)</f>
        <v>229</v>
      </c>
      <c r="BG586">
        <f>ROUNDUP(tbl_Data_old[[#This Row],[Adjusted 2030]]/$L586,0)</f>
        <v>307</v>
      </c>
      <c r="BH586">
        <f>ROUNDUP(tbl_Data_old[[#This Row],[Adjusted 2031]]/$L586,0)</f>
        <v>395</v>
      </c>
      <c r="BI586">
        <f>ROUNDUP(tbl_Data_old[[#This Row],[Adjusted 2032]]/$L586,0)</f>
        <v>491</v>
      </c>
      <c r="BJ586">
        <f>ROUNDUP(tbl_Data_old[[#This Row],[Adjusted 2033]]/$L586,0)</f>
        <v>592</v>
      </c>
      <c r="BK586">
        <f>ROUNDUP(tbl_Data_old[[#This Row],[Adjusted 2034]]/$L586,0)</f>
        <v>699</v>
      </c>
      <c r="BL586" s="3">
        <f t="shared" ref="BL586:BU617" si="41">$AT586/$L586*V586</f>
        <v>0</v>
      </c>
      <c r="BM586" s="3">
        <f t="shared" si="41"/>
        <v>0</v>
      </c>
      <c r="BN586" s="3">
        <f t="shared" si="41"/>
        <v>0</v>
      </c>
      <c r="BO586" s="3">
        <f t="shared" si="41"/>
        <v>0</v>
      </c>
      <c r="BP586" s="3">
        <f t="shared" si="41"/>
        <v>0</v>
      </c>
      <c r="BQ586" s="3">
        <f t="shared" si="40"/>
        <v>0</v>
      </c>
      <c r="BR586" s="3">
        <f t="shared" si="40"/>
        <v>0</v>
      </c>
      <c r="BS586" s="3">
        <f t="shared" si="40"/>
        <v>0</v>
      </c>
      <c r="BT586" s="3">
        <f t="shared" si="40"/>
        <v>0</v>
      </c>
      <c r="BU586" s="3">
        <f t="shared" si="40"/>
        <v>0</v>
      </c>
      <c r="BV586" t="e">
        <f>VLOOKUP($H586,'1. Set Program Names'!$B$2:$D$15,3,0)*V586</f>
        <v>#N/A</v>
      </c>
      <c r="BW586" t="e">
        <f>VLOOKUP($H586,'1. Set Program Names'!$B$2:$D$15,3,0)*W586</f>
        <v>#N/A</v>
      </c>
      <c r="BX586" t="e">
        <f>VLOOKUP($H586,'1. Set Program Names'!$B$2:$D$15,3,0)*X586</f>
        <v>#N/A</v>
      </c>
      <c r="BY586" t="e">
        <f>VLOOKUP($H586,'1. Set Program Names'!$B$2:$D$15,3,0)*Y586</f>
        <v>#N/A</v>
      </c>
      <c r="BZ586" t="e">
        <f>VLOOKUP($H586,'1. Set Program Names'!$B$2:$D$15,3,0)*Z586</f>
        <v>#N/A</v>
      </c>
      <c r="CA586" t="e">
        <f>VLOOKUP($H586,'1. Set Program Names'!$B$2:$D$15,3,0)*AA586</f>
        <v>#N/A</v>
      </c>
      <c r="CB586" t="e">
        <f>VLOOKUP($H586,'1. Set Program Names'!$B$2:$D$15,3,0)*AB586</f>
        <v>#N/A</v>
      </c>
      <c r="CC586" t="e">
        <f>VLOOKUP($H586,'1. Set Program Names'!$B$2:$D$15,3,0)*AC586</f>
        <v>#N/A</v>
      </c>
      <c r="CD586" t="e">
        <f>VLOOKUP($H586,'1. Set Program Names'!$B$2:$D$15,3,0)*AD586</f>
        <v>#N/A</v>
      </c>
      <c r="CE586" t="e">
        <f>VLOOKUP($H586,'1. Set Program Names'!$B$2:$D$15,3,0)*AE586</f>
        <v>#N/A</v>
      </c>
    </row>
    <row r="587" spans="1:83" x14ac:dyDescent="0.25">
      <c r="A587" s="20" t="s">
        <v>113</v>
      </c>
      <c r="B587" s="20" t="s">
        <v>88</v>
      </c>
      <c r="C587" s="20" t="s">
        <v>122</v>
      </c>
      <c r="D587" s="20" t="s">
        <v>90</v>
      </c>
      <c r="E587" s="20" t="s">
        <v>91</v>
      </c>
      <c r="F587" s="20" t="s">
        <v>90</v>
      </c>
      <c r="G587" s="20" t="s">
        <v>92</v>
      </c>
      <c r="H587" s="20" t="s">
        <v>268</v>
      </c>
      <c r="I587" s="20" t="s">
        <v>135</v>
      </c>
      <c r="J587" s="20" t="s">
        <v>134</v>
      </c>
      <c r="K587" s="20" t="s">
        <v>98</v>
      </c>
      <c r="L587" s="20">
        <v>6368</v>
      </c>
      <c r="M587" s="20">
        <v>0.60494632768604495</v>
      </c>
      <c r="N587" s="20">
        <v>0.53529110623606202</v>
      </c>
      <c r="O587" s="20">
        <v>1580</v>
      </c>
      <c r="P587" s="20">
        <v>270.05813353350197</v>
      </c>
      <c r="Q587" s="20">
        <v>6.3680000000000003</v>
      </c>
      <c r="R587" s="20">
        <v>1963.2041057461399</v>
      </c>
      <c r="S587" s="20">
        <v>5968.19517810463</v>
      </c>
      <c r="T587" s="20">
        <v>12</v>
      </c>
      <c r="U587" s="20">
        <v>1</v>
      </c>
      <c r="V587" s="20">
        <v>19376.215906981</v>
      </c>
      <c r="W587" s="20">
        <v>45986.994595197299</v>
      </c>
      <c r="X587" s="20">
        <v>80627.2333137229</v>
      </c>
      <c r="Y587" s="20">
        <v>123733.579133379</v>
      </c>
      <c r="Z587" s="20">
        <v>175049.811308932</v>
      </c>
      <c r="AA587" s="20">
        <v>233605.05058144999</v>
      </c>
      <c r="AB587" s="20">
        <v>297996.97639704699</v>
      </c>
      <c r="AC587" s="20">
        <v>366853.72339455102</v>
      </c>
      <c r="AD587" s="20">
        <v>439017.08148255601</v>
      </c>
      <c r="AE587" s="20">
        <v>513527.58184319502</v>
      </c>
      <c r="AF587" t="str">
        <f t="shared" si="39"/>
        <v>NonResidential</v>
      </c>
      <c r="AG587" t="str">
        <f>tbl_Data_old[[#This Row],[All_Meas_Name_Append]]</f>
        <v>Energy Star Combination Oven</v>
      </c>
      <c r="AH587">
        <f>AVERAGEIFS('3. Incentive Adjustment'!G:G,'3. Incentive Adjustment'!A:A,tbl_Data_old[[#This Row],[Trimmed Sector]],'3. Incentive Adjustment'!B:B,tbl_Data_old[[#This Row],[Trimmed Measure Name]])</f>
        <v>0.89413714267910538</v>
      </c>
      <c r="AI587">
        <f>$AH587*tbl_Data_old[[#This Row],[2025 ]]</f>
        <v>17324.994327001423</v>
      </c>
      <c r="AJ587">
        <f>$AH587*tbl_Data_old[[#This Row],[2026 ]]</f>
        <v>41118.679947749173</v>
      </c>
      <c r="AK587">
        <f>$AH587*tbl_Data_old[[#This Row],[2027 ]]</f>
        <v>72091.804017253773</v>
      </c>
      <c r="AL587">
        <f>$AH587*tbl_Data_old[[#This Row],[2028 ]]</f>
        <v>110634.78889977848</v>
      </c>
      <c r="AM587">
        <f>$AH587*tbl_Data_old[[#This Row],[2029 ]]</f>
        <v>156518.53811028501</v>
      </c>
      <c r="AN587">
        <f>$AH587*tbl_Data_old[[#This Row],[2030 ]]</f>
        <v>208874.95244230557</v>
      </c>
      <c r="AO587">
        <f>$AH587*tbl_Data_old[[#This Row],[2031 ]]</f>
        <v>266450.16500266839</v>
      </c>
      <c r="AP587">
        <f>$AH587*tbl_Data_old[[#This Row],[2032 ]]</f>
        <v>328017.54001719475</v>
      </c>
      <c r="AQ587">
        <f>$AH587*tbl_Data_old[[#This Row],[2033 ]]</f>
        <v>392541.47882413259</v>
      </c>
      <c r="AR587">
        <f>$AH587*tbl_Data_old[[#This Row],[2034 ]]</f>
        <v>459164.08471618482</v>
      </c>
      <c r="AS587">
        <f>SUM(tbl_Data_old[[#This Row],[Adjusted 2025]:[Adjusted 2034]])</f>
        <v>2052737.026304554</v>
      </c>
      <c r="AT587" s="3">
        <f>AVERAGEIFS('3. Incentive Adjustment'!F:F,'3. Incentive Adjustment'!A:A,tbl_Data_old[[#This Row],[Trimmed Sector]],'3. Incentive Adjustment'!B:B,tbl_Data_old[[#This Row],[Trimmed Measure Name]])</f>
        <v>0</v>
      </c>
      <c r="AU587" s="3">
        <f>IFERROR(VLOOKUP(tbl_Data_old[[#This Row],[All_Meas_Name_Append]],'IRA Tax Credits'!$A$3:$D$46,4,0),0)</f>
        <v>0</v>
      </c>
      <c r="AV587" s="4">
        <f>tbl_Data_old[[#This Row],[Adj. per unit Incentive ($)]]/tbl_Data_old[[#This Row],[kWh Savings]]*tbl_Data_old[[#This Row],[Sum of Annuals]]</f>
        <v>0</v>
      </c>
      <c r="AW587" s="4" t="str">
        <f>IFERROR(VLOOKUP(tbl_Data_old[[#This Row],[All_Programs]],'1. Set Program Names'!$B$2:$D$15,3,0)*tbl_Data_old[[#This Row],[Sum of Annuals]],"")</f>
        <v/>
      </c>
      <c r="AX587" s="4">
        <f>tbl_Data_old[[#This Row],[per unit IRA tax ($)]]/tbl_Data_old[[#This Row],[kWh Savings]]*tbl_Data_old[[#This Row],[Sum of Annuals]]</f>
        <v>0</v>
      </c>
      <c r="AY587" s="4">
        <f>tbl_Data_old[[#This Row],[Avoided Costs ($/unit)]]/tbl_Data_old[[#This Row],[kWh Savings]]*tbl_Data_old[[#This Row],[Sum of Annuals]]</f>
        <v>632842.61276039924</v>
      </c>
      <c r="AZ587" s="4">
        <f>tbl_Data_old[[#This Row],[Lost Revenue ($/unit)]]/tbl_Data_old[[#This Row],[kWh Savings]]*tbl_Data_old[[#This Row],[Sum of Annuals]]</f>
        <v>1923859.1743573612</v>
      </c>
      <c r="BA587" s="4">
        <f>tbl_Data_old[[#This Row],[Incremental Cost ($/unit)]]/tbl_Data_old[[#This Row],[kWh Savings]]*tbl_Data_old[[#This Row],[Sum of Annuals]]</f>
        <v>509316.03353661986</v>
      </c>
      <c r="BB587">
        <f>ROUNDUP(tbl_Data_old[[#This Row],[Adjusted 2025]]/$L587,0)</f>
        <v>3</v>
      </c>
      <c r="BC587">
        <f>ROUNDUP(tbl_Data_old[[#This Row],[Adjusted 2026]]/$L587,0)</f>
        <v>7</v>
      </c>
      <c r="BD587">
        <f>ROUNDUP(tbl_Data_old[[#This Row],[Adjusted 2027]]/$L587,0)</f>
        <v>12</v>
      </c>
      <c r="BE587">
        <f>ROUNDUP(tbl_Data_old[[#This Row],[Adjusted 2028]]/$L587,0)</f>
        <v>18</v>
      </c>
      <c r="BF587">
        <f>ROUNDUP(tbl_Data_old[[#This Row],[Adjusted 2029]]/$L587,0)</f>
        <v>25</v>
      </c>
      <c r="BG587">
        <f>ROUNDUP(tbl_Data_old[[#This Row],[Adjusted 2030]]/$L587,0)</f>
        <v>33</v>
      </c>
      <c r="BH587">
        <f>ROUNDUP(tbl_Data_old[[#This Row],[Adjusted 2031]]/$L587,0)</f>
        <v>42</v>
      </c>
      <c r="BI587">
        <f>ROUNDUP(tbl_Data_old[[#This Row],[Adjusted 2032]]/$L587,0)</f>
        <v>52</v>
      </c>
      <c r="BJ587">
        <f>ROUNDUP(tbl_Data_old[[#This Row],[Adjusted 2033]]/$L587,0)</f>
        <v>62</v>
      </c>
      <c r="BK587">
        <f>ROUNDUP(tbl_Data_old[[#This Row],[Adjusted 2034]]/$L587,0)</f>
        <v>73</v>
      </c>
      <c r="BL587" s="3">
        <f t="shared" si="41"/>
        <v>0</v>
      </c>
      <c r="BM587" s="3">
        <f t="shared" si="41"/>
        <v>0</v>
      </c>
      <c r="BN587" s="3">
        <f t="shared" si="41"/>
        <v>0</v>
      </c>
      <c r="BO587" s="3">
        <f t="shared" si="41"/>
        <v>0</v>
      </c>
      <c r="BP587" s="3">
        <f t="shared" si="41"/>
        <v>0</v>
      </c>
      <c r="BQ587" s="3">
        <f t="shared" si="40"/>
        <v>0</v>
      </c>
      <c r="BR587" s="3">
        <f t="shared" si="40"/>
        <v>0</v>
      </c>
      <c r="BS587" s="3">
        <f t="shared" si="40"/>
        <v>0</v>
      </c>
      <c r="BT587" s="3">
        <f t="shared" si="40"/>
        <v>0</v>
      </c>
      <c r="BU587" s="3">
        <f t="shared" si="40"/>
        <v>0</v>
      </c>
      <c r="BV587" t="e">
        <f>VLOOKUP($H587,'1. Set Program Names'!$B$2:$D$15,3,0)*V587</f>
        <v>#N/A</v>
      </c>
      <c r="BW587" t="e">
        <f>VLOOKUP($H587,'1. Set Program Names'!$B$2:$D$15,3,0)*W587</f>
        <v>#N/A</v>
      </c>
      <c r="BX587" t="e">
        <f>VLOOKUP($H587,'1. Set Program Names'!$B$2:$D$15,3,0)*X587</f>
        <v>#N/A</v>
      </c>
      <c r="BY587" t="e">
        <f>VLOOKUP($H587,'1. Set Program Names'!$B$2:$D$15,3,0)*Y587</f>
        <v>#N/A</v>
      </c>
      <c r="BZ587" t="e">
        <f>VLOOKUP($H587,'1. Set Program Names'!$B$2:$D$15,3,0)*Z587</f>
        <v>#N/A</v>
      </c>
      <c r="CA587" t="e">
        <f>VLOOKUP($H587,'1. Set Program Names'!$B$2:$D$15,3,0)*AA587</f>
        <v>#N/A</v>
      </c>
      <c r="CB587" t="e">
        <f>VLOOKUP($H587,'1. Set Program Names'!$B$2:$D$15,3,0)*AB587</f>
        <v>#N/A</v>
      </c>
      <c r="CC587" t="e">
        <f>VLOOKUP($H587,'1. Set Program Names'!$B$2:$D$15,3,0)*AC587</f>
        <v>#N/A</v>
      </c>
      <c r="CD587" t="e">
        <f>VLOOKUP($H587,'1. Set Program Names'!$B$2:$D$15,3,0)*AD587</f>
        <v>#N/A</v>
      </c>
      <c r="CE587" t="e">
        <f>VLOOKUP($H587,'1. Set Program Names'!$B$2:$D$15,3,0)*AE587</f>
        <v>#N/A</v>
      </c>
    </row>
    <row r="588" spans="1:83" x14ac:dyDescent="0.25">
      <c r="A588" s="20" t="s">
        <v>113</v>
      </c>
      <c r="B588" s="20" t="s">
        <v>88</v>
      </c>
      <c r="C588" s="20" t="s">
        <v>122</v>
      </c>
      <c r="D588" s="20" t="s">
        <v>90</v>
      </c>
      <c r="E588" s="20" t="s">
        <v>91</v>
      </c>
      <c r="F588" s="20" t="s">
        <v>90</v>
      </c>
      <c r="G588" s="20" t="s">
        <v>92</v>
      </c>
      <c r="H588" s="20" t="s">
        <v>268</v>
      </c>
      <c r="I588" s="20" t="s">
        <v>136</v>
      </c>
      <c r="J588" s="20" t="s">
        <v>137</v>
      </c>
      <c r="K588" s="20" t="s">
        <v>104</v>
      </c>
      <c r="L588" s="20">
        <v>810.099999999999</v>
      </c>
      <c r="M588" s="20">
        <v>0.128563724196602</v>
      </c>
      <c r="N588" s="20">
        <v>0.13252898089850401</v>
      </c>
      <c r="O588" s="20">
        <v>224</v>
      </c>
      <c r="P588" s="20">
        <v>57.356798677055799</v>
      </c>
      <c r="Q588" s="20">
        <v>0.81009999999999904</v>
      </c>
      <c r="R588" s="20">
        <v>239.61317678792901</v>
      </c>
      <c r="S588" s="20">
        <v>505.19538551625698</v>
      </c>
      <c r="T588" s="20">
        <v>7</v>
      </c>
      <c r="U588" s="20">
        <v>1</v>
      </c>
      <c r="V588" s="20">
        <v>18343.3664290171</v>
      </c>
      <c r="W588" s="20">
        <v>43854.6847988831</v>
      </c>
      <c r="X588" s="20">
        <v>77433.633442549894</v>
      </c>
      <c r="Y588" s="20">
        <v>119672.54710073399</v>
      </c>
      <c r="Z588" s="20">
        <v>170513.574951141</v>
      </c>
      <c r="AA588" s="20">
        <v>229155.58222616499</v>
      </c>
      <c r="AB588" s="20">
        <v>294360.54943302303</v>
      </c>
      <c r="AC588" s="20">
        <v>346533.71422699798</v>
      </c>
      <c r="AD588" s="20">
        <v>395735.38458410202</v>
      </c>
      <c r="AE588" s="20">
        <v>440167.70169749699</v>
      </c>
      <c r="AF588" t="str">
        <f t="shared" si="39"/>
        <v>NonResidential</v>
      </c>
      <c r="AG588" t="str">
        <f>tbl_Data_old[[#This Row],[All_Meas_Name_Append]]</f>
        <v>Energy Star Commercial Clothes Washer</v>
      </c>
      <c r="AH588">
        <f>AVERAGEIFS('3. Incentive Adjustment'!G:G,'3. Incentive Adjustment'!A:A,tbl_Data_old[[#This Row],[Trimmed Sector]],'3. Incentive Adjustment'!B:B,tbl_Data_old[[#This Row],[Trimmed Measure Name]])</f>
        <v>0.82959886877160749</v>
      </c>
      <c r="AI588">
        <f>$AH588*tbl_Data_old[[#This Row],[2025 ]]</f>
        <v>15217.636038975668</v>
      </c>
      <c r="AJ588">
        <f>$AH588*tbl_Data_old[[#This Row],[2026 ]]</f>
        <v>36381.796899488829</v>
      </c>
      <c r="AK588">
        <f>$AH588*tbl_Data_old[[#This Row],[2027 ]]</f>
        <v>64238.85470881471</v>
      </c>
      <c r="AL588">
        <f>$AH588*tbl_Data_old[[#This Row],[2028 ]]</f>
        <v>99280.209697785831</v>
      </c>
      <c r="AM588">
        <f>$AH588*tbl_Data_old[[#This Row],[2029 ]]</f>
        <v>141457.86888966928</v>
      </c>
      <c r="AN588">
        <f>$AH588*tbl_Data_old[[#This Row],[2030 ]]</f>
        <v>190107.21178752556</v>
      </c>
      <c r="AO588">
        <f>$AH588*tbl_Data_old[[#This Row],[2031 ]]</f>
        <v>244201.17882062474</v>
      </c>
      <c r="AP588">
        <f>$AH588*tbl_Data_old[[#This Row],[2032 ]]</f>
        <v>287483.97731394105</v>
      </c>
      <c r="AQ588">
        <f>$AH588*tbl_Data_old[[#This Row],[2033 ]]</f>
        <v>328301.62738386809</v>
      </c>
      <c r="AR588">
        <f>$AH588*tbl_Data_old[[#This Row],[2034 ]]</f>
        <v>365162.62739804189</v>
      </c>
      <c r="AS588">
        <f>SUM(tbl_Data_old[[#This Row],[Adjusted 2025]:[Adjusted 2034]])</f>
        <v>1771832.9889387358</v>
      </c>
      <c r="AT588" s="3">
        <f>AVERAGEIFS('3. Incentive Adjustment'!F:F,'3. Incentive Adjustment'!A:A,tbl_Data_old[[#This Row],[Trimmed Sector]],'3. Incentive Adjustment'!B:B,tbl_Data_old[[#This Row],[Trimmed Measure Name]])</f>
        <v>0</v>
      </c>
      <c r="AU588" s="3">
        <f>IFERROR(VLOOKUP(tbl_Data_old[[#This Row],[All_Meas_Name_Append]],'IRA Tax Credits'!$A$3:$D$46,4,0),0)</f>
        <v>0</v>
      </c>
      <c r="AV588" s="4">
        <f>tbl_Data_old[[#This Row],[Adj. per unit Incentive ($)]]/tbl_Data_old[[#This Row],[kWh Savings]]*tbl_Data_old[[#This Row],[Sum of Annuals]]</f>
        <v>0</v>
      </c>
      <c r="AW588" s="4" t="str">
        <f>IFERROR(VLOOKUP(tbl_Data_old[[#This Row],[All_Programs]],'1. Set Program Names'!$B$2:$D$15,3,0)*tbl_Data_old[[#This Row],[Sum of Annuals]],"")</f>
        <v/>
      </c>
      <c r="AX588" s="4">
        <f>tbl_Data_old[[#This Row],[per unit IRA tax ($)]]/tbl_Data_old[[#This Row],[kWh Savings]]*tbl_Data_old[[#This Row],[Sum of Annuals]]</f>
        <v>0</v>
      </c>
      <c r="AY588" s="4">
        <f>tbl_Data_old[[#This Row],[Avoided Costs ($/unit)]]/tbl_Data_old[[#This Row],[kWh Savings]]*tbl_Data_old[[#This Row],[Sum of Annuals]]</f>
        <v>524076.69573788729</v>
      </c>
      <c r="AZ588" s="4">
        <f>tbl_Data_old[[#This Row],[Lost Revenue ($/unit)]]/tbl_Data_old[[#This Row],[kWh Savings]]*tbl_Data_old[[#This Row],[Sum of Annuals]]</f>
        <v>1104952.2897387082</v>
      </c>
      <c r="BA588" s="4">
        <f>tbl_Data_old[[#This Row],[Incremental Cost ($/unit)]]/tbl_Data_old[[#This Row],[kWh Savings]]*tbl_Data_old[[#This Row],[Sum of Annuals]]</f>
        <v>489927.89720068796</v>
      </c>
      <c r="BB588">
        <f>ROUNDUP(tbl_Data_old[[#This Row],[Adjusted 2025]]/$L588,0)</f>
        <v>19</v>
      </c>
      <c r="BC588">
        <f>ROUNDUP(tbl_Data_old[[#This Row],[Adjusted 2026]]/$L588,0)</f>
        <v>45</v>
      </c>
      <c r="BD588">
        <f>ROUNDUP(tbl_Data_old[[#This Row],[Adjusted 2027]]/$L588,0)</f>
        <v>80</v>
      </c>
      <c r="BE588">
        <f>ROUNDUP(tbl_Data_old[[#This Row],[Adjusted 2028]]/$L588,0)</f>
        <v>123</v>
      </c>
      <c r="BF588">
        <f>ROUNDUP(tbl_Data_old[[#This Row],[Adjusted 2029]]/$L588,0)</f>
        <v>175</v>
      </c>
      <c r="BG588">
        <f>ROUNDUP(tbl_Data_old[[#This Row],[Adjusted 2030]]/$L588,0)</f>
        <v>235</v>
      </c>
      <c r="BH588">
        <f>ROUNDUP(tbl_Data_old[[#This Row],[Adjusted 2031]]/$L588,0)</f>
        <v>302</v>
      </c>
      <c r="BI588">
        <f>ROUNDUP(tbl_Data_old[[#This Row],[Adjusted 2032]]/$L588,0)</f>
        <v>355</v>
      </c>
      <c r="BJ588">
        <f>ROUNDUP(tbl_Data_old[[#This Row],[Adjusted 2033]]/$L588,0)</f>
        <v>406</v>
      </c>
      <c r="BK588">
        <f>ROUNDUP(tbl_Data_old[[#This Row],[Adjusted 2034]]/$L588,0)</f>
        <v>451</v>
      </c>
      <c r="BL588" s="3">
        <f t="shared" si="41"/>
        <v>0</v>
      </c>
      <c r="BM588" s="3">
        <f t="shared" si="41"/>
        <v>0</v>
      </c>
      <c r="BN588" s="3">
        <f t="shared" si="41"/>
        <v>0</v>
      </c>
      <c r="BO588" s="3">
        <f t="shared" si="41"/>
        <v>0</v>
      </c>
      <c r="BP588" s="3">
        <f t="shared" si="41"/>
        <v>0</v>
      </c>
      <c r="BQ588" s="3">
        <f t="shared" si="40"/>
        <v>0</v>
      </c>
      <c r="BR588" s="3">
        <f t="shared" si="40"/>
        <v>0</v>
      </c>
      <c r="BS588" s="3">
        <f t="shared" si="40"/>
        <v>0</v>
      </c>
      <c r="BT588" s="3">
        <f t="shared" si="40"/>
        <v>0</v>
      </c>
      <c r="BU588" s="3">
        <f t="shared" si="40"/>
        <v>0</v>
      </c>
      <c r="BV588" t="e">
        <f>VLOOKUP($H588,'1. Set Program Names'!$B$2:$D$15,3,0)*V588</f>
        <v>#N/A</v>
      </c>
      <c r="BW588" t="e">
        <f>VLOOKUP($H588,'1. Set Program Names'!$B$2:$D$15,3,0)*W588</f>
        <v>#N/A</v>
      </c>
      <c r="BX588" t="e">
        <f>VLOOKUP($H588,'1. Set Program Names'!$B$2:$D$15,3,0)*X588</f>
        <v>#N/A</v>
      </c>
      <c r="BY588" t="e">
        <f>VLOOKUP($H588,'1. Set Program Names'!$B$2:$D$15,3,0)*Y588</f>
        <v>#N/A</v>
      </c>
      <c r="BZ588" t="e">
        <f>VLOOKUP($H588,'1. Set Program Names'!$B$2:$D$15,3,0)*Z588</f>
        <v>#N/A</v>
      </c>
      <c r="CA588" t="e">
        <f>VLOOKUP($H588,'1. Set Program Names'!$B$2:$D$15,3,0)*AA588</f>
        <v>#N/A</v>
      </c>
      <c r="CB588" t="e">
        <f>VLOOKUP($H588,'1. Set Program Names'!$B$2:$D$15,3,0)*AB588</f>
        <v>#N/A</v>
      </c>
      <c r="CC588" t="e">
        <f>VLOOKUP($H588,'1. Set Program Names'!$B$2:$D$15,3,0)*AC588</f>
        <v>#N/A</v>
      </c>
      <c r="CD588" t="e">
        <f>VLOOKUP($H588,'1. Set Program Names'!$B$2:$D$15,3,0)*AD588</f>
        <v>#N/A</v>
      </c>
      <c r="CE588" t="e">
        <f>VLOOKUP($H588,'1. Set Program Names'!$B$2:$D$15,3,0)*AE588</f>
        <v>#N/A</v>
      </c>
    </row>
    <row r="589" spans="1:83" x14ac:dyDescent="0.25">
      <c r="A589" s="20" t="s">
        <v>113</v>
      </c>
      <c r="B589" s="20" t="s">
        <v>88</v>
      </c>
      <c r="C589" s="20" t="s">
        <v>122</v>
      </c>
      <c r="D589" s="20" t="s">
        <v>90</v>
      </c>
      <c r="E589" s="20" t="s">
        <v>91</v>
      </c>
      <c r="F589" s="20" t="s">
        <v>90</v>
      </c>
      <c r="G589" s="20" t="s">
        <v>92</v>
      </c>
      <c r="H589" s="20" t="s">
        <v>268</v>
      </c>
      <c r="I589" s="20" t="s">
        <v>138</v>
      </c>
      <c r="J589" s="20" t="s">
        <v>124</v>
      </c>
      <c r="K589" s="20" t="s">
        <v>98</v>
      </c>
      <c r="L589" s="20">
        <v>4708.5</v>
      </c>
      <c r="M589" s="20">
        <v>0.683430781395169</v>
      </c>
      <c r="N589" s="20">
        <v>0.60632419999120102</v>
      </c>
      <c r="O589" s="20">
        <v>1154.6399999999901</v>
      </c>
      <c r="P589" s="20">
        <v>186.06881936911</v>
      </c>
      <c r="Q589" s="20">
        <v>4.7084999999999999</v>
      </c>
      <c r="R589" s="20">
        <v>1872.3805627056299</v>
      </c>
      <c r="S589" s="20">
        <v>4412.8842644638298</v>
      </c>
      <c r="T589" s="20">
        <v>12</v>
      </c>
      <c r="U589" s="20">
        <v>1</v>
      </c>
      <c r="V589" s="20">
        <v>30060.2834097175</v>
      </c>
      <c r="W589" s="20">
        <v>71643.456939306503</v>
      </c>
      <c r="X589" s="20">
        <v>126178.801271066</v>
      </c>
      <c r="Y589" s="20">
        <v>194552.75597795501</v>
      </c>
      <c r="Z589" s="20">
        <v>276556.84820541699</v>
      </c>
      <c r="AA589" s="20">
        <v>370831.05182138103</v>
      </c>
      <c r="AB589" s="20">
        <v>475275.29012331401</v>
      </c>
      <c r="AC589" s="20">
        <v>587790.92564610403</v>
      </c>
      <c r="AD589" s="20">
        <v>706593.84756936296</v>
      </c>
      <c r="AE589" s="20">
        <v>830176.36301248998</v>
      </c>
      <c r="AF589" t="str">
        <f t="shared" si="39"/>
        <v>NonResidential</v>
      </c>
      <c r="AG589" t="str">
        <f>tbl_Data_old[[#This Row],[All_Meas_Name_Append]]</f>
        <v>Energy Star Commercial Glass Door Freezer</v>
      </c>
      <c r="AH589">
        <f>AVERAGEIFS('3. Incentive Adjustment'!G:G,'3. Incentive Adjustment'!A:A,tbl_Data_old[[#This Row],[Trimmed Sector]],'3. Incentive Adjustment'!B:B,tbl_Data_old[[#This Row],[Trimmed Measure Name]])</f>
        <v>0.90098363397891501</v>
      </c>
      <c r="AI589">
        <f>$AH589*tbl_Data_old[[#This Row],[2025 ]]</f>
        <v>27083.823384923362</v>
      </c>
      <c r="AJ589">
        <f>$AH589*tbl_Data_old[[#This Row],[2026 ]]</f>
        <v>64549.582183988292</v>
      </c>
      <c r="AK589">
        <f>$AH589*tbl_Data_old[[#This Row],[2027 ]]</f>
        <v>113685.03490030838</v>
      </c>
      <c r="AL589">
        <f>$AH589*tbl_Data_old[[#This Row],[2028 ]]</f>
        <v>175288.84908163099</v>
      </c>
      <c r="AM589">
        <f>$AH589*tbl_Data_old[[#This Row],[2029 ]]</f>
        <v>249173.19409787178</v>
      </c>
      <c r="AN589">
        <f>$AH589*tbl_Data_old[[#This Row],[2030 ]]</f>
        <v>334112.70866225124</v>
      </c>
      <c r="AO589">
        <f>$AH589*tbl_Data_old[[#This Row],[2031 ]]</f>
        <v>428215.25803568657</v>
      </c>
      <c r="AP589">
        <f>$AH589*tbl_Data_old[[#This Row],[2032 ]]</f>
        <v>529590.00420845707</v>
      </c>
      <c r="AQ589">
        <f>$AH589*tbl_Data_old[[#This Row],[2033 ]]</f>
        <v>636629.49253018817</v>
      </c>
      <c r="AR589">
        <f>$AH589*tbl_Data_old[[#This Row],[2034 ]]</f>
        <v>747975.31639039214</v>
      </c>
      <c r="AS589">
        <f>SUM(tbl_Data_old[[#This Row],[Adjusted 2025]:[Adjusted 2034]])</f>
        <v>3306303.2634756975</v>
      </c>
      <c r="AT589" s="3">
        <f>AVERAGEIFS('3. Incentive Adjustment'!F:F,'3. Incentive Adjustment'!A:A,tbl_Data_old[[#This Row],[Trimmed Sector]],'3. Incentive Adjustment'!B:B,tbl_Data_old[[#This Row],[Trimmed Measure Name]])</f>
        <v>0</v>
      </c>
      <c r="AU589" s="3">
        <f>IFERROR(VLOOKUP(tbl_Data_old[[#This Row],[All_Meas_Name_Append]],'IRA Tax Credits'!$A$3:$D$46,4,0),0)</f>
        <v>0</v>
      </c>
      <c r="AV589" s="4">
        <f>tbl_Data_old[[#This Row],[Adj. per unit Incentive ($)]]/tbl_Data_old[[#This Row],[kWh Savings]]*tbl_Data_old[[#This Row],[Sum of Annuals]]</f>
        <v>0</v>
      </c>
      <c r="AW589" s="4" t="str">
        <f>IFERROR(VLOOKUP(tbl_Data_old[[#This Row],[All_Programs]],'1. Set Program Names'!$B$2:$D$15,3,0)*tbl_Data_old[[#This Row],[Sum of Annuals]],"")</f>
        <v/>
      </c>
      <c r="AX589" s="4">
        <f>tbl_Data_old[[#This Row],[per unit IRA tax ($)]]/tbl_Data_old[[#This Row],[kWh Savings]]*tbl_Data_old[[#This Row],[Sum of Annuals]]</f>
        <v>0</v>
      </c>
      <c r="AY589" s="4">
        <f>tbl_Data_old[[#This Row],[Avoided Costs ($/unit)]]/tbl_Data_old[[#This Row],[kWh Savings]]*tbl_Data_old[[#This Row],[Sum of Annuals]]</f>
        <v>1314783.4692454257</v>
      </c>
      <c r="AZ589" s="4">
        <f>tbl_Data_old[[#This Row],[Lost Revenue ($/unit)]]/tbl_Data_old[[#This Row],[kWh Savings]]*tbl_Data_old[[#This Row],[Sum of Annuals]]</f>
        <v>3098722.2353057903</v>
      </c>
      <c r="BA589" s="4">
        <f>tbl_Data_old[[#This Row],[Incremental Cost ($/unit)]]/tbl_Data_old[[#This Row],[kWh Savings]]*tbl_Data_old[[#This Row],[Sum of Annuals]]</f>
        <v>810786.87483052921</v>
      </c>
      <c r="BB589">
        <f>ROUNDUP(tbl_Data_old[[#This Row],[Adjusted 2025]]/$L589,0)</f>
        <v>6</v>
      </c>
      <c r="BC589">
        <f>ROUNDUP(tbl_Data_old[[#This Row],[Adjusted 2026]]/$L589,0)</f>
        <v>14</v>
      </c>
      <c r="BD589">
        <f>ROUNDUP(tbl_Data_old[[#This Row],[Adjusted 2027]]/$L589,0)</f>
        <v>25</v>
      </c>
      <c r="BE589">
        <f>ROUNDUP(tbl_Data_old[[#This Row],[Adjusted 2028]]/$L589,0)</f>
        <v>38</v>
      </c>
      <c r="BF589">
        <f>ROUNDUP(tbl_Data_old[[#This Row],[Adjusted 2029]]/$L589,0)</f>
        <v>53</v>
      </c>
      <c r="BG589">
        <f>ROUNDUP(tbl_Data_old[[#This Row],[Adjusted 2030]]/$L589,0)</f>
        <v>71</v>
      </c>
      <c r="BH589">
        <f>ROUNDUP(tbl_Data_old[[#This Row],[Adjusted 2031]]/$L589,0)</f>
        <v>91</v>
      </c>
      <c r="BI589">
        <f>ROUNDUP(tbl_Data_old[[#This Row],[Adjusted 2032]]/$L589,0)</f>
        <v>113</v>
      </c>
      <c r="BJ589">
        <f>ROUNDUP(tbl_Data_old[[#This Row],[Adjusted 2033]]/$L589,0)</f>
        <v>136</v>
      </c>
      <c r="BK589">
        <f>ROUNDUP(tbl_Data_old[[#This Row],[Adjusted 2034]]/$L589,0)</f>
        <v>159</v>
      </c>
      <c r="BL589" s="3">
        <f t="shared" si="41"/>
        <v>0</v>
      </c>
      <c r="BM589" s="3">
        <f t="shared" si="41"/>
        <v>0</v>
      </c>
      <c r="BN589" s="3">
        <f t="shared" si="41"/>
        <v>0</v>
      </c>
      <c r="BO589" s="3">
        <f t="shared" si="41"/>
        <v>0</v>
      </c>
      <c r="BP589" s="3">
        <f t="shared" si="41"/>
        <v>0</v>
      </c>
      <c r="BQ589" s="3">
        <f t="shared" si="40"/>
        <v>0</v>
      </c>
      <c r="BR589" s="3">
        <f t="shared" si="40"/>
        <v>0</v>
      </c>
      <c r="BS589" s="3">
        <f t="shared" si="40"/>
        <v>0</v>
      </c>
      <c r="BT589" s="3">
        <f t="shared" si="40"/>
        <v>0</v>
      </c>
      <c r="BU589" s="3">
        <f t="shared" si="40"/>
        <v>0</v>
      </c>
      <c r="BV589" t="e">
        <f>VLOOKUP($H589,'1. Set Program Names'!$B$2:$D$15,3,0)*V589</f>
        <v>#N/A</v>
      </c>
      <c r="BW589" t="e">
        <f>VLOOKUP($H589,'1. Set Program Names'!$B$2:$D$15,3,0)*W589</f>
        <v>#N/A</v>
      </c>
      <c r="BX589" t="e">
        <f>VLOOKUP($H589,'1. Set Program Names'!$B$2:$D$15,3,0)*X589</f>
        <v>#N/A</v>
      </c>
      <c r="BY589" t="e">
        <f>VLOOKUP($H589,'1. Set Program Names'!$B$2:$D$15,3,0)*Y589</f>
        <v>#N/A</v>
      </c>
      <c r="BZ589" t="e">
        <f>VLOOKUP($H589,'1. Set Program Names'!$B$2:$D$15,3,0)*Z589</f>
        <v>#N/A</v>
      </c>
      <c r="CA589" t="e">
        <f>VLOOKUP($H589,'1. Set Program Names'!$B$2:$D$15,3,0)*AA589</f>
        <v>#N/A</v>
      </c>
      <c r="CB589" t="e">
        <f>VLOOKUP($H589,'1. Set Program Names'!$B$2:$D$15,3,0)*AB589</f>
        <v>#N/A</v>
      </c>
      <c r="CC589" t="e">
        <f>VLOOKUP($H589,'1. Set Program Names'!$B$2:$D$15,3,0)*AC589</f>
        <v>#N/A</v>
      </c>
      <c r="CD589" t="e">
        <f>VLOOKUP($H589,'1. Set Program Names'!$B$2:$D$15,3,0)*AD589</f>
        <v>#N/A</v>
      </c>
      <c r="CE589" t="e">
        <f>VLOOKUP($H589,'1. Set Program Names'!$B$2:$D$15,3,0)*AE589</f>
        <v>#N/A</v>
      </c>
    </row>
    <row r="590" spans="1:83" x14ac:dyDescent="0.25">
      <c r="A590" s="20" t="s">
        <v>113</v>
      </c>
      <c r="B590" s="20" t="s">
        <v>88</v>
      </c>
      <c r="C590" s="20" t="s">
        <v>122</v>
      </c>
      <c r="D590" s="20" t="s">
        <v>90</v>
      </c>
      <c r="E590" s="20" t="s">
        <v>91</v>
      </c>
      <c r="F590" s="20" t="s">
        <v>90</v>
      </c>
      <c r="G590" s="20" t="s">
        <v>92</v>
      </c>
      <c r="H590" s="20" t="s">
        <v>268</v>
      </c>
      <c r="I590" s="20" t="s">
        <v>139</v>
      </c>
      <c r="J590" s="20" t="s">
        <v>134</v>
      </c>
      <c r="K590" s="20" t="s">
        <v>98</v>
      </c>
      <c r="L590" s="20">
        <v>1937</v>
      </c>
      <c r="M590" s="20">
        <v>0.24908899441118301</v>
      </c>
      <c r="N590" s="20">
        <v>0.21233623172368499</v>
      </c>
      <c r="O590" s="20">
        <v>631.37</v>
      </c>
      <c r="P590" s="20">
        <v>232.91563515301399</v>
      </c>
      <c r="Q590" s="20">
        <v>1.9370000000000001</v>
      </c>
      <c r="R590" s="20">
        <v>770.86000119756204</v>
      </c>
      <c r="S590" s="20">
        <v>2270.0548686653701</v>
      </c>
      <c r="T590" s="20">
        <v>17</v>
      </c>
      <c r="U590" s="20">
        <v>1</v>
      </c>
      <c r="V590" s="20">
        <v>7975.3880942761598</v>
      </c>
      <c r="W590" s="20">
        <v>18834.193955487899</v>
      </c>
      <c r="X590" s="20">
        <v>32831.366839049602</v>
      </c>
      <c r="Y590" s="20">
        <v>50069.192594136701</v>
      </c>
      <c r="Z590" s="20">
        <v>70382.6333235614</v>
      </c>
      <c r="AA590" s="20">
        <v>93352.370024653195</v>
      </c>
      <c r="AB590" s="20">
        <v>118425.872149717</v>
      </c>
      <c r="AC590" s="20">
        <v>145090.36139066299</v>
      </c>
      <c r="AD590" s="20">
        <v>172928.28393160499</v>
      </c>
      <c r="AE590" s="20">
        <v>201599.17828571601</v>
      </c>
      <c r="AF590" t="str">
        <f t="shared" si="39"/>
        <v>NonResidential</v>
      </c>
      <c r="AG590" t="str">
        <f>tbl_Data_old[[#This Row],[All_Meas_Name_Append]]</f>
        <v>Energy Star convection oven</v>
      </c>
      <c r="AH590">
        <f>AVERAGEIFS('3. Incentive Adjustment'!G:G,'3. Incentive Adjustment'!A:A,tbl_Data_old[[#This Row],[Trimmed Sector]],'3. Incentive Adjustment'!B:B,tbl_Data_old[[#This Row],[Trimmed Measure Name]])</f>
        <v>0.72813370493976592</v>
      </c>
      <c r="AI590">
        <f>$AH590*tbl_Data_old[[#This Row],[2025 ]]</f>
        <v>5807.1488814177992</v>
      </c>
      <c r="AJ590">
        <f>$AH590*tbl_Data_old[[#This Row],[2026 ]]</f>
        <v>13713.811424363548</v>
      </c>
      <c r="AK590">
        <f>$AH590*tbl_Data_old[[#This Row],[2027 ]]</f>
        <v>23905.62477475376</v>
      </c>
      <c r="AL590">
        <f>$AH590*tbl_Data_old[[#This Row],[2028 ]]</f>
        <v>36457.066706911442</v>
      </c>
      <c r="AM590">
        <f>$AH590*tbl_Data_old[[#This Row],[2029 ]]</f>
        <v>51247.967565301791</v>
      </c>
      <c r="AN590">
        <f>$AH590*tbl_Data_old[[#This Row],[2030 ]]</f>
        <v>67973.00705095868</v>
      </c>
      <c r="AO590">
        <f>$AH590*tbl_Data_old[[#This Row],[2031 ]]</f>
        <v>86229.86904909648</v>
      </c>
      <c r="AP590">
        <f>$AH590*tbl_Data_old[[#This Row],[2032 ]]</f>
        <v>105645.18239043301</v>
      </c>
      <c r="AQ590">
        <f>$AH590*tbl_Data_old[[#This Row],[2033 ]]</f>
        <v>125914.91206799533</v>
      </c>
      <c r="AR590">
        <f>$AH590*tbl_Data_old[[#This Row],[2034 ]]</f>
        <v>146791.1565979908</v>
      </c>
      <c r="AS590">
        <f>SUM(tbl_Data_old[[#This Row],[Adjusted 2025]:[Adjusted 2034]])</f>
        <v>663685.74650922266</v>
      </c>
      <c r="AT590" s="3">
        <f>AVERAGEIFS('3. Incentive Adjustment'!F:F,'3. Incentive Adjustment'!A:A,tbl_Data_old[[#This Row],[Trimmed Sector]],'3. Incentive Adjustment'!B:B,tbl_Data_old[[#This Row],[Trimmed Measure Name]])</f>
        <v>0</v>
      </c>
      <c r="AU590" s="3">
        <f>IFERROR(VLOOKUP(tbl_Data_old[[#This Row],[All_Meas_Name_Append]],'IRA Tax Credits'!$A$3:$D$46,4,0),0)</f>
        <v>0</v>
      </c>
      <c r="AV590" s="4">
        <f>tbl_Data_old[[#This Row],[Adj. per unit Incentive ($)]]/tbl_Data_old[[#This Row],[kWh Savings]]*tbl_Data_old[[#This Row],[Sum of Annuals]]</f>
        <v>0</v>
      </c>
      <c r="AW590" s="4" t="str">
        <f>IFERROR(VLOOKUP(tbl_Data_old[[#This Row],[All_Programs]],'1. Set Program Names'!$B$2:$D$15,3,0)*tbl_Data_old[[#This Row],[Sum of Annuals]],"")</f>
        <v/>
      </c>
      <c r="AX590" s="4">
        <f>tbl_Data_old[[#This Row],[per unit IRA tax ($)]]/tbl_Data_old[[#This Row],[kWh Savings]]*tbl_Data_old[[#This Row],[Sum of Annuals]]</f>
        <v>0</v>
      </c>
      <c r="AY590" s="4">
        <f>tbl_Data_old[[#This Row],[Avoided Costs ($/unit)]]/tbl_Data_old[[#This Row],[kWh Savings]]*tbl_Data_old[[#This Row],[Sum of Annuals]]</f>
        <v>264124.31355131866</v>
      </c>
      <c r="AZ590" s="4">
        <f>tbl_Data_old[[#This Row],[Lost Revenue ($/unit)]]/tbl_Data_old[[#This Row],[kWh Savings]]*tbl_Data_old[[#This Row],[Sum of Annuals]]</f>
        <v>777802.30259528733</v>
      </c>
      <c r="BA590" s="4">
        <f>tbl_Data_old[[#This Row],[Incremental Cost ($/unit)]]/tbl_Data_old[[#This Row],[kWh Savings]]*tbl_Data_old[[#This Row],[Sum of Annuals]]</f>
        <v>216330.03085881667</v>
      </c>
      <c r="BB590">
        <f>ROUNDUP(tbl_Data_old[[#This Row],[Adjusted 2025]]/$L590,0)</f>
        <v>3</v>
      </c>
      <c r="BC590">
        <f>ROUNDUP(tbl_Data_old[[#This Row],[Adjusted 2026]]/$L590,0)</f>
        <v>8</v>
      </c>
      <c r="BD590">
        <f>ROUNDUP(tbl_Data_old[[#This Row],[Adjusted 2027]]/$L590,0)</f>
        <v>13</v>
      </c>
      <c r="BE590">
        <f>ROUNDUP(tbl_Data_old[[#This Row],[Adjusted 2028]]/$L590,0)</f>
        <v>19</v>
      </c>
      <c r="BF590">
        <f>ROUNDUP(tbl_Data_old[[#This Row],[Adjusted 2029]]/$L590,0)</f>
        <v>27</v>
      </c>
      <c r="BG590">
        <f>ROUNDUP(tbl_Data_old[[#This Row],[Adjusted 2030]]/$L590,0)</f>
        <v>36</v>
      </c>
      <c r="BH590">
        <f>ROUNDUP(tbl_Data_old[[#This Row],[Adjusted 2031]]/$L590,0)</f>
        <v>45</v>
      </c>
      <c r="BI590">
        <f>ROUNDUP(tbl_Data_old[[#This Row],[Adjusted 2032]]/$L590,0)</f>
        <v>55</v>
      </c>
      <c r="BJ590">
        <f>ROUNDUP(tbl_Data_old[[#This Row],[Adjusted 2033]]/$L590,0)</f>
        <v>66</v>
      </c>
      <c r="BK590">
        <f>ROUNDUP(tbl_Data_old[[#This Row],[Adjusted 2034]]/$L590,0)</f>
        <v>76</v>
      </c>
      <c r="BL590" s="3">
        <f t="shared" si="41"/>
        <v>0</v>
      </c>
      <c r="BM590" s="3">
        <f t="shared" si="41"/>
        <v>0</v>
      </c>
      <c r="BN590" s="3">
        <f t="shared" si="41"/>
        <v>0</v>
      </c>
      <c r="BO590" s="3">
        <f t="shared" si="41"/>
        <v>0</v>
      </c>
      <c r="BP590" s="3">
        <f t="shared" si="41"/>
        <v>0</v>
      </c>
      <c r="BQ590" s="3">
        <f t="shared" si="40"/>
        <v>0</v>
      </c>
      <c r="BR590" s="3">
        <f t="shared" si="40"/>
        <v>0</v>
      </c>
      <c r="BS590" s="3">
        <f t="shared" si="40"/>
        <v>0</v>
      </c>
      <c r="BT590" s="3">
        <f t="shared" si="40"/>
        <v>0</v>
      </c>
      <c r="BU590" s="3">
        <f t="shared" si="40"/>
        <v>0</v>
      </c>
      <c r="BV590" t="e">
        <f>VLOOKUP($H590,'1. Set Program Names'!$B$2:$D$15,3,0)*V590</f>
        <v>#N/A</v>
      </c>
      <c r="BW590" t="e">
        <f>VLOOKUP($H590,'1. Set Program Names'!$B$2:$D$15,3,0)*W590</f>
        <v>#N/A</v>
      </c>
      <c r="BX590" t="e">
        <f>VLOOKUP($H590,'1. Set Program Names'!$B$2:$D$15,3,0)*X590</f>
        <v>#N/A</v>
      </c>
      <c r="BY590" t="e">
        <f>VLOOKUP($H590,'1. Set Program Names'!$B$2:$D$15,3,0)*Y590</f>
        <v>#N/A</v>
      </c>
      <c r="BZ590" t="e">
        <f>VLOOKUP($H590,'1. Set Program Names'!$B$2:$D$15,3,0)*Z590</f>
        <v>#N/A</v>
      </c>
      <c r="CA590" t="e">
        <f>VLOOKUP($H590,'1. Set Program Names'!$B$2:$D$15,3,0)*AA590</f>
        <v>#N/A</v>
      </c>
      <c r="CB590" t="e">
        <f>VLOOKUP($H590,'1. Set Program Names'!$B$2:$D$15,3,0)*AB590</f>
        <v>#N/A</v>
      </c>
      <c r="CC590" t="e">
        <f>VLOOKUP($H590,'1. Set Program Names'!$B$2:$D$15,3,0)*AC590</f>
        <v>#N/A</v>
      </c>
      <c r="CD590" t="e">
        <f>VLOOKUP($H590,'1. Set Program Names'!$B$2:$D$15,3,0)*AD590</f>
        <v>#N/A</v>
      </c>
      <c r="CE590" t="e">
        <f>VLOOKUP($H590,'1. Set Program Names'!$B$2:$D$15,3,0)*AE590</f>
        <v>#N/A</v>
      </c>
    </row>
    <row r="591" spans="1:83" x14ac:dyDescent="0.25">
      <c r="A591" s="20" t="s">
        <v>113</v>
      </c>
      <c r="B591" s="20" t="s">
        <v>88</v>
      </c>
      <c r="C591" s="20" t="s">
        <v>122</v>
      </c>
      <c r="D591" s="20" t="s">
        <v>90</v>
      </c>
      <c r="E591" s="20" t="s">
        <v>91</v>
      </c>
      <c r="F591" s="20" t="s">
        <v>90</v>
      </c>
      <c r="G591" s="20" t="s">
        <v>92</v>
      </c>
      <c r="H591" s="20" t="s">
        <v>268</v>
      </c>
      <c r="I591" s="20" t="s">
        <v>140</v>
      </c>
      <c r="J591" s="20" t="s">
        <v>129</v>
      </c>
      <c r="K591" s="20" t="s">
        <v>98</v>
      </c>
      <c r="L591" s="20">
        <v>145.64999999999901</v>
      </c>
      <c r="M591" s="20">
        <v>4.8385631271840701E-2</v>
      </c>
      <c r="N591" s="20">
        <v>0</v>
      </c>
      <c r="O591" s="20">
        <v>41.15</v>
      </c>
      <c r="P591" s="20">
        <v>12.5942011456304</v>
      </c>
      <c r="Q591" s="20">
        <v>0.145649999999999</v>
      </c>
      <c r="R591" s="20">
        <v>71.795310497711</v>
      </c>
      <c r="S591" s="20">
        <v>136.505594800712</v>
      </c>
      <c r="T591" s="20">
        <v>12</v>
      </c>
      <c r="U591" s="20">
        <v>1</v>
      </c>
      <c r="V591" s="20">
        <v>203178.85319350901</v>
      </c>
      <c r="W591" s="20">
        <v>422391.82554305898</v>
      </c>
      <c r="X591" s="20">
        <v>654373.69546326599</v>
      </c>
      <c r="Y591" s="20">
        <v>897506.11824653996</v>
      </c>
      <c r="Z591" s="20">
        <v>1150321.8728555499</v>
      </c>
      <c r="AA591" s="20">
        <v>1411415.36953597</v>
      </c>
      <c r="AB591" s="20">
        <v>1679718.17967462</v>
      </c>
      <c r="AC591" s="20">
        <v>1954938.7845282699</v>
      </c>
      <c r="AD591" s="20">
        <v>2237094.6354068001</v>
      </c>
      <c r="AE591" s="20">
        <v>2525939.8189336299</v>
      </c>
      <c r="AF591" t="str">
        <f t="shared" si="39"/>
        <v>NonResidential</v>
      </c>
      <c r="AG591" t="str">
        <f>tbl_Data_old[[#This Row],[All_Meas_Name_Append]]</f>
        <v>Energy Star room AC_137</v>
      </c>
      <c r="AH591">
        <f>AVERAGEIFS('3. Incentive Adjustment'!G:G,'3. Incentive Adjustment'!A:A,tbl_Data_old[[#This Row],[Trimmed Sector]],'3. Incentive Adjustment'!B:B,tbl_Data_old[[#This Row],[Trimmed Measure Name]])</f>
        <v>0.79600466062818009</v>
      </c>
      <c r="AI591">
        <f>$AH591*tbl_Data_old[[#This Row],[2025 ]]</f>
        <v>161731.31408312198</v>
      </c>
      <c r="AJ591">
        <f>$AH591*tbl_Data_old[[#This Row],[2026 ]]</f>
        <v>336225.86174352013</v>
      </c>
      <c r="AK591">
        <f>$AH591*tbl_Data_old[[#This Row],[2027 ]]</f>
        <v>520884.5113812451</v>
      </c>
      <c r="AL591">
        <f>$AH591*tbl_Data_old[[#This Row],[2028 ]]</f>
        <v>714419.05306655227</v>
      </c>
      <c r="AM591">
        <f>$AH591*tbl_Data_old[[#This Row],[2029 ]]</f>
        <v>915661.57201555453</v>
      </c>
      <c r="AN591">
        <f>$AH591*tbl_Data_old[[#This Row],[2030 ]]</f>
        <v>1123493.2122328773</v>
      </c>
      <c r="AO591">
        <f>$AH591*tbl_Data_old[[#This Row],[2031 ]]</f>
        <v>1337063.4995628803</v>
      </c>
      <c r="AP591">
        <f>$AH591*tbl_Data_old[[#This Row],[2032 ]]</f>
        <v>1556140.3837272923</v>
      </c>
      <c r="AQ591">
        <f>$AH591*tbl_Data_old[[#This Row],[2033 ]]</f>
        <v>1780737.7560501122</v>
      </c>
      <c r="AR591">
        <f>$AH591*tbl_Data_old[[#This Row],[2034 ]]</f>
        <v>2010659.8683374708</v>
      </c>
      <c r="AS591">
        <f>SUM(tbl_Data_old[[#This Row],[Adjusted 2025]:[Adjusted 2034]])</f>
        <v>10457017.032200627</v>
      </c>
      <c r="AT591" s="3">
        <f>AVERAGEIFS('3. Incentive Adjustment'!F:F,'3. Incentive Adjustment'!A:A,tbl_Data_old[[#This Row],[Trimmed Sector]],'3. Incentive Adjustment'!B:B,tbl_Data_old[[#This Row],[Trimmed Measure Name]])</f>
        <v>0</v>
      </c>
      <c r="AU591" s="3">
        <f>IFERROR(VLOOKUP(tbl_Data_old[[#This Row],[All_Meas_Name_Append]],'IRA Tax Credits'!$A$3:$D$46,4,0),0)</f>
        <v>0</v>
      </c>
      <c r="AV591" s="4">
        <f>tbl_Data_old[[#This Row],[Adj. per unit Incentive ($)]]/tbl_Data_old[[#This Row],[kWh Savings]]*tbl_Data_old[[#This Row],[Sum of Annuals]]</f>
        <v>0</v>
      </c>
      <c r="AW591" s="4" t="str">
        <f>IFERROR(VLOOKUP(tbl_Data_old[[#This Row],[All_Programs]],'1. Set Program Names'!$B$2:$D$15,3,0)*tbl_Data_old[[#This Row],[Sum of Annuals]],"")</f>
        <v/>
      </c>
      <c r="AX591" s="4">
        <f>tbl_Data_old[[#This Row],[per unit IRA tax ($)]]/tbl_Data_old[[#This Row],[kWh Savings]]*tbl_Data_old[[#This Row],[Sum of Annuals]]</f>
        <v>0</v>
      </c>
      <c r="AY591" s="4">
        <f>tbl_Data_old[[#This Row],[Avoided Costs ($/unit)]]/tbl_Data_old[[#This Row],[kWh Savings]]*tbl_Data_old[[#This Row],[Sum of Annuals]]</f>
        <v>5154581.4260672946</v>
      </c>
      <c r="AZ591" s="4">
        <f>tbl_Data_old[[#This Row],[Lost Revenue ($/unit)]]/tbl_Data_old[[#This Row],[kWh Savings]]*tbl_Data_old[[#This Row],[Sum of Annuals]]</f>
        <v>9800489.7344437521</v>
      </c>
      <c r="BA591" s="4">
        <f>tbl_Data_old[[#This Row],[Incremental Cost ($/unit)]]/tbl_Data_old[[#This Row],[kWh Savings]]*tbl_Data_old[[#This Row],[Sum of Annuals]]</f>
        <v>2954385.5192245706</v>
      </c>
      <c r="BB591">
        <f>ROUNDUP(tbl_Data_old[[#This Row],[Adjusted 2025]]/$L591,0)</f>
        <v>1111</v>
      </c>
      <c r="BC591">
        <f>ROUNDUP(tbl_Data_old[[#This Row],[Adjusted 2026]]/$L591,0)</f>
        <v>2309</v>
      </c>
      <c r="BD591">
        <f>ROUNDUP(tbl_Data_old[[#This Row],[Adjusted 2027]]/$L591,0)</f>
        <v>3577</v>
      </c>
      <c r="BE591">
        <f>ROUNDUP(tbl_Data_old[[#This Row],[Adjusted 2028]]/$L591,0)</f>
        <v>4906</v>
      </c>
      <c r="BF591">
        <f>ROUNDUP(tbl_Data_old[[#This Row],[Adjusted 2029]]/$L591,0)</f>
        <v>6287</v>
      </c>
      <c r="BG591">
        <f>ROUNDUP(tbl_Data_old[[#This Row],[Adjusted 2030]]/$L591,0)</f>
        <v>7714</v>
      </c>
      <c r="BH591">
        <f>ROUNDUP(tbl_Data_old[[#This Row],[Adjusted 2031]]/$L591,0)</f>
        <v>9180</v>
      </c>
      <c r="BI591">
        <f>ROUNDUP(tbl_Data_old[[#This Row],[Adjusted 2032]]/$L591,0)</f>
        <v>10685</v>
      </c>
      <c r="BJ591">
        <f>ROUNDUP(tbl_Data_old[[#This Row],[Adjusted 2033]]/$L591,0)</f>
        <v>12227</v>
      </c>
      <c r="BK591">
        <f>ROUNDUP(tbl_Data_old[[#This Row],[Adjusted 2034]]/$L591,0)</f>
        <v>13805</v>
      </c>
      <c r="BL591" s="3">
        <f t="shared" si="41"/>
        <v>0</v>
      </c>
      <c r="BM591" s="3">
        <f t="shared" si="41"/>
        <v>0</v>
      </c>
      <c r="BN591" s="3">
        <f t="shared" si="41"/>
        <v>0</v>
      </c>
      <c r="BO591" s="3">
        <f t="shared" si="41"/>
        <v>0</v>
      </c>
      <c r="BP591" s="3">
        <f t="shared" si="41"/>
        <v>0</v>
      </c>
      <c r="BQ591" s="3">
        <f t="shared" si="40"/>
        <v>0</v>
      </c>
      <c r="BR591" s="3">
        <f t="shared" si="40"/>
        <v>0</v>
      </c>
      <c r="BS591" s="3">
        <f t="shared" si="40"/>
        <v>0</v>
      </c>
      <c r="BT591" s="3">
        <f t="shared" si="40"/>
        <v>0</v>
      </c>
      <c r="BU591" s="3">
        <f t="shared" si="40"/>
        <v>0</v>
      </c>
      <c r="BV591" t="e">
        <f>VLOOKUP($H591,'1. Set Program Names'!$B$2:$D$15,3,0)*V591</f>
        <v>#N/A</v>
      </c>
      <c r="BW591" t="e">
        <f>VLOOKUP($H591,'1. Set Program Names'!$B$2:$D$15,3,0)*W591</f>
        <v>#N/A</v>
      </c>
      <c r="BX591" t="e">
        <f>VLOOKUP($H591,'1. Set Program Names'!$B$2:$D$15,3,0)*X591</f>
        <v>#N/A</v>
      </c>
      <c r="BY591" t="e">
        <f>VLOOKUP($H591,'1. Set Program Names'!$B$2:$D$15,3,0)*Y591</f>
        <v>#N/A</v>
      </c>
      <c r="BZ591" t="e">
        <f>VLOOKUP($H591,'1. Set Program Names'!$B$2:$D$15,3,0)*Z591</f>
        <v>#N/A</v>
      </c>
      <c r="CA591" t="e">
        <f>VLOOKUP($H591,'1. Set Program Names'!$B$2:$D$15,3,0)*AA591</f>
        <v>#N/A</v>
      </c>
      <c r="CB591" t="e">
        <f>VLOOKUP($H591,'1. Set Program Names'!$B$2:$D$15,3,0)*AB591</f>
        <v>#N/A</v>
      </c>
      <c r="CC591" t="e">
        <f>VLOOKUP($H591,'1. Set Program Names'!$B$2:$D$15,3,0)*AC591</f>
        <v>#N/A</v>
      </c>
      <c r="CD591" t="e">
        <f>VLOOKUP($H591,'1. Set Program Names'!$B$2:$D$15,3,0)*AD591</f>
        <v>#N/A</v>
      </c>
      <c r="CE591" t="e">
        <f>VLOOKUP($H591,'1. Set Program Names'!$B$2:$D$15,3,0)*AE591</f>
        <v>#N/A</v>
      </c>
    </row>
    <row r="592" spans="1:83" x14ac:dyDescent="0.25">
      <c r="A592" s="20" t="s">
        <v>113</v>
      </c>
      <c r="B592" s="20" t="s">
        <v>88</v>
      </c>
      <c r="C592" s="20" t="s">
        <v>122</v>
      </c>
      <c r="D592" s="20" t="s">
        <v>90</v>
      </c>
      <c r="E592" s="20" t="s">
        <v>91</v>
      </c>
      <c r="F592" s="20" t="s">
        <v>90</v>
      </c>
      <c r="G592" s="20" t="s">
        <v>92</v>
      </c>
      <c r="H592" s="20" t="s">
        <v>268</v>
      </c>
      <c r="I592" s="20" t="s">
        <v>141</v>
      </c>
      <c r="J592" s="20" t="s">
        <v>134</v>
      </c>
      <c r="K592" s="20" t="s">
        <v>98</v>
      </c>
      <c r="L592" s="20">
        <v>12160.5</v>
      </c>
      <c r="M592" s="20">
        <v>1.5637825072468701</v>
      </c>
      <c r="N592" s="20">
        <v>1.33304839745786</v>
      </c>
      <c r="O592" s="20">
        <v>3109.4399999999901</v>
      </c>
      <c r="P592" s="20">
        <v>607.94061759330305</v>
      </c>
      <c r="Q592" s="20">
        <v>12.160500000000001</v>
      </c>
      <c r="R592" s="20">
        <v>4122.3511685728599</v>
      </c>
      <c r="S592" s="20">
        <v>11397.022214720701</v>
      </c>
      <c r="T592" s="20">
        <v>12</v>
      </c>
      <c r="U592" s="20">
        <v>1</v>
      </c>
      <c r="V592" s="20">
        <v>14179.357126576</v>
      </c>
      <c r="W592" s="20">
        <v>33652.9084251323</v>
      </c>
      <c r="X592" s="20">
        <v>59002.353234056798</v>
      </c>
      <c r="Y592" s="20">
        <v>90547.226326557298</v>
      </c>
      <c r="Z592" s="20">
        <v>128100.027446269</v>
      </c>
      <c r="AA592" s="20">
        <v>170950.27505204701</v>
      </c>
      <c r="AB592" s="20">
        <v>218071.762373954</v>
      </c>
      <c r="AC592" s="20">
        <v>268460.56950425298</v>
      </c>
      <c r="AD592" s="20">
        <v>321269.12772300001</v>
      </c>
      <c r="AE592" s="20">
        <v>375795.30555696698</v>
      </c>
      <c r="AF592" t="str">
        <f t="shared" si="39"/>
        <v>NonResidential</v>
      </c>
      <c r="AG592" t="str">
        <f>tbl_Data_old[[#This Row],[All_Meas_Name_Append]]</f>
        <v>Energy Star Steamer</v>
      </c>
      <c r="AH592">
        <f>AVERAGEIFS('3. Incentive Adjustment'!G:G,'3. Incentive Adjustment'!A:A,tbl_Data_old[[#This Row],[Trimmed Sector]],'3. Incentive Adjustment'!B:B,tbl_Data_old[[#This Row],[Trimmed Measure Name]])</f>
        <v>0.87642178647683033</v>
      </c>
      <c r="AI592">
        <f>$AH592*tbl_Data_old[[#This Row],[2025 ]]</f>
        <v>12427.097503966714</v>
      </c>
      <c r="AJ592">
        <f>$AH592*tbl_Data_old[[#This Row],[2026 ]]</f>
        <v>29494.142122095625</v>
      </c>
      <c r="AK592">
        <f>$AH592*tbl_Data_old[[#This Row],[2027 ]]</f>
        <v>51710.947827729047</v>
      </c>
      <c r="AL592">
        <f>$AH592*tbl_Data_old[[#This Row],[2028 ]]</f>
        <v>79357.561857643232</v>
      </c>
      <c r="AM592">
        <f>$AH592*tbl_Data_old[[#This Row],[2029 ]]</f>
        <v>112269.65490219007</v>
      </c>
      <c r="AN592">
        <f>$AH592*tbl_Data_old[[#This Row],[2030 ]]</f>
        <v>149824.54545982057</v>
      </c>
      <c r="AO592">
        <f>$AH592*tbl_Data_old[[#This Row],[2031 ]]</f>
        <v>191122.84355993159</v>
      </c>
      <c r="AP592">
        <f>$AH592*tbl_Data_old[[#This Row],[2032 ]]</f>
        <v>235284.69192350467</v>
      </c>
      <c r="AQ592">
        <f>$AH592*tbl_Data_old[[#This Row],[2033 ]]</f>
        <v>281567.26285884465</v>
      </c>
      <c r="AR592">
        <f>$AH592*tbl_Data_old[[#This Row],[2034 ]]</f>
        <v>329355.19304584333</v>
      </c>
      <c r="AS592">
        <f>SUM(tbl_Data_old[[#This Row],[Adjusted 2025]:[Adjusted 2034]])</f>
        <v>1472413.9410615696</v>
      </c>
      <c r="AT592" s="3">
        <f>AVERAGEIFS('3. Incentive Adjustment'!F:F,'3. Incentive Adjustment'!A:A,tbl_Data_old[[#This Row],[Trimmed Sector]],'3. Incentive Adjustment'!B:B,tbl_Data_old[[#This Row],[Trimmed Measure Name]])</f>
        <v>0</v>
      </c>
      <c r="AU592" s="3">
        <f>IFERROR(VLOOKUP(tbl_Data_old[[#This Row],[All_Meas_Name_Append]],'IRA Tax Credits'!$A$3:$D$46,4,0),0)</f>
        <v>0</v>
      </c>
      <c r="AV592" s="4">
        <f>tbl_Data_old[[#This Row],[Adj. per unit Incentive ($)]]/tbl_Data_old[[#This Row],[kWh Savings]]*tbl_Data_old[[#This Row],[Sum of Annuals]]</f>
        <v>0</v>
      </c>
      <c r="AW592" s="4" t="str">
        <f>IFERROR(VLOOKUP(tbl_Data_old[[#This Row],[All_Programs]],'1. Set Program Names'!$B$2:$D$15,3,0)*tbl_Data_old[[#This Row],[Sum of Annuals]],"")</f>
        <v/>
      </c>
      <c r="AX592" s="4">
        <f>tbl_Data_old[[#This Row],[per unit IRA tax ($)]]/tbl_Data_old[[#This Row],[kWh Savings]]*tbl_Data_old[[#This Row],[Sum of Annuals]]</f>
        <v>0</v>
      </c>
      <c r="AY592" s="4">
        <f>tbl_Data_old[[#This Row],[Avoided Costs ($/unit)]]/tbl_Data_old[[#This Row],[kWh Savings]]*tbl_Data_old[[#This Row],[Sum of Annuals]]</f>
        <v>499141.26315185492</v>
      </c>
      <c r="AZ592" s="4">
        <f>tbl_Data_old[[#This Row],[Lost Revenue ($/unit)]]/tbl_Data_old[[#This Row],[kWh Savings]]*tbl_Data_old[[#This Row],[Sum of Annuals]]</f>
        <v>1379970.7574148404</v>
      </c>
      <c r="BA592" s="4">
        <f>tbl_Data_old[[#This Row],[Incremental Cost ($/unit)]]/tbl_Data_old[[#This Row],[kWh Savings]]*tbl_Data_old[[#This Row],[Sum of Annuals]]</f>
        <v>376496.2628916963</v>
      </c>
      <c r="BB592">
        <f>ROUNDUP(tbl_Data_old[[#This Row],[Adjusted 2025]]/$L592,0)</f>
        <v>2</v>
      </c>
      <c r="BC592">
        <f>ROUNDUP(tbl_Data_old[[#This Row],[Adjusted 2026]]/$L592,0)</f>
        <v>3</v>
      </c>
      <c r="BD592">
        <f>ROUNDUP(tbl_Data_old[[#This Row],[Adjusted 2027]]/$L592,0)</f>
        <v>5</v>
      </c>
      <c r="BE592">
        <f>ROUNDUP(tbl_Data_old[[#This Row],[Adjusted 2028]]/$L592,0)</f>
        <v>7</v>
      </c>
      <c r="BF592">
        <f>ROUNDUP(tbl_Data_old[[#This Row],[Adjusted 2029]]/$L592,0)</f>
        <v>10</v>
      </c>
      <c r="BG592">
        <f>ROUNDUP(tbl_Data_old[[#This Row],[Adjusted 2030]]/$L592,0)</f>
        <v>13</v>
      </c>
      <c r="BH592">
        <f>ROUNDUP(tbl_Data_old[[#This Row],[Adjusted 2031]]/$L592,0)</f>
        <v>16</v>
      </c>
      <c r="BI592">
        <f>ROUNDUP(tbl_Data_old[[#This Row],[Adjusted 2032]]/$L592,0)</f>
        <v>20</v>
      </c>
      <c r="BJ592">
        <f>ROUNDUP(tbl_Data_old[[#This Row],[Adjusted 2033]]/$L592,0)</f>
        <v>24</v>
      </c>
      <c r="BK592">
        <f>ROUNDUP(tbl_Data_old[[#This Row],[Adjusted 2034]]/$L592,0)</f>
        <v>28</v>
      </c>
      <c r="BL592" s="3">
        <f t="shared" si="41"/>
        <v>0</v>
      </c>
      <c r="BM592" s="3">
        <f t="shared" si="41"/>
        <v>0</v>
      </c>
      <c r="BN592" s="3">
        <f t="shared" si="41"/>
        <v>0</v>
      </c>
      <c r="BO592" s="3">
        <f t="shared" si="41"/>
        <v>0</v>
      </c>
      <c r="BP592" s="3">
        <f t="shared" si="41"/>
        <v>0</v>
      </c>
      <c r="BQ592" s="3">
        <f t="shared" si="40"/>
        <v>0</v>
      </c>
      <c r="BR592" s="3">
        <f t="shared" si="40"/>
        <v>0</v>
      </c>
      <c r="BS592" s="3">
        <f t="shared" si="40"/>
        <v>0</v>
      </c>
      <c r="BT592" s="3">
        <f t="shared" si="40"/>
        <v>0</v>
      </c>
      <c r="BU592" s="3">
        <f t="shared" si="40"/>
        <v>0</v>
      </c>
      <c r="BV592" t="e">
        <f>VLOOKUP($H592,'1. Set Program Names'!$B$2:$D$15,3,0)*V592</f>
        <v>#N/A</v>
      </c>
      <c r="BW592" t="e">
        <f>VLOOKUP($H592,'1. Set Program Names'!$B$2:$D$15,3,0)*W592</f>
        <v>#N/A</v>
      </c>
      <c r="BX592" t="e">
        <f>VLOOKUP($H592,'1. Set Program Names'!$B$2:$D$15,3,0)*X592</f>
        <v>#N/A</v>
      </c>
      <c r="BY592" t="e">
        <f>VLOOKUP($H592,'1. Set Program Names'!$B$2:$D$15,3,0)*Y592</f>
        <v>#N/A</v>
      </c>
      <c r="BZ592" t="e">
        <f>VLOOKUP($H592,'1. Set Program Names'!$B$2:$D$15,3,0)*Z592</f>
        <v>#N/A</v>
      </c>
      <c r="CA592" t="e">
        <f>VLOOKUP($H592,'1. Set Program Names'!$B$2:$D$15,3,0)*AA592</f>
        <v>#N/A</v>
      </c>
      <c r="CB592" t="e">
        <f>VLOOKUP($H592,'1. Set Program Names'!$B$2:$D$15,3,0)*AB592</f>
        <v>#N/A</v>
      </c>
      <c r="CC592" t="e">
        <f>VLOOKUP($H592,'1. Set Program Names'!$B$2:$D$15,3,0)*AC592</f>
        <v>#N/A</v>
      </c>
      <c r="CD592" t="e">
        <f>VLOOKUP($H592,'1. Set Program Names'!$B$2:$D$15,3,0)*AD592</f>
        <v>#N/A</v>
      </c>
      <c r="CE592" t="e">
        <f>VLOOKUP($H592,'1. Set Program Names'!$B$2:$D$15,3,0)*AE592</f>
        <v>#N/A</v>
      </c>
    </row>
    <row r="593" spans="1:83" x14ac:dyDescent="0.25">
      <c r="A593" s="20" t="s">
        <v>113</v>
      </c>
      <c r="B593" s="20" t="s">
        <v>88</v>
      </c>
      <c r="C593" s="20" t="s">
        <v>122</v>
      </c>
      <c r="D593" s="20" t="s">
        <v>90</v>
      </c>
      <c r="E593" s="20" t="s">
        <v>91</v>
      </c>
      <c r="F593" s="20" t="s">
        <v>90</v>
      </c>
      <c r="G593" s="20" t="s">
        <v>92</v>
      </c>
      <c r="H593" s="20" t="s">
        <v>268</v>
      </c>
      <c r="I593" s="20" t="s">
        <v>142</v>
      </c>
      <c r="J593" s="20" t="s">
        <v>137</v>
      </c>
      <c r="K593" s="20" t="s">
        <v>98</v>
      </c>
      <c r="L593" s="20">
        <v>11250</v>
      </c>
      <c r="M593" s="20">
        <v>1.3809947593685901</v>
      </c>
      <c r="N593" s="20">
        <v>1.3808111252514099</v>
      </c>
      <c r="O593" s="20">
        <v>3147</v>
      </c>
      <c r="P593" s="20">
        <v>832.79679683603899</v>
      </c>
      <c r="Q593" s="20">
        <v>11.25</v>
      </c>
      <c r="R593" s="20">
        <v>4868.3629963469202</v>
      </c>
      <c r="S593" s="20">
        <v>12218.8507873668</v>
      </c>
      <c r="T593" s="20">
        <v>15</v>
      </c>
      <c r="U593" s="20">
        <v>1</v>
      </c>
      <c r="V593" s="20">
        <v>22216.870078757402</v>
      </c>
      <c r="W593" s="20">
        <v>52843.746388574596</v>
      </c>
      <c r="X593" s="20">
        <v>93883.601647897798</v>
      </c>
      <c r="Y593" s="20">
        <v>147303.32769814599</v>
      </c>
      <c r="Z593" s="20">
        <v>214195.925869806</v>
      </c>
      <c r="AA593" s="20">
        <v>293779.582824588</v>
      </c>
      <c r="AB593" s="20">
        <v>382663.17050431902</v>
      </c>
      <c r="AC593" s="20">
        <v>474842.18046055402</v>
      </c>
      <c r="AD593" s="20">
        <v>562753.44271942403</v>
      </c>
      <c r="AE593" s="20">
        <v>639583.71006414399</v>
      </c>
      <c r="AF593" t="str">
        <f t="shared" si="39"/>
        <v>NonResidential</v>
      </c>
      <c r="AG593" t="str">
        <f>tbl_Data_old[[#This Row],[All_Meas_Name_Append]]</f>
        <v>Escalator Motor Efficiency Controller</v>
      </c>
      <c r="AH593">
        <f>AVERAGEIFS('3. Incentive Adjustment'!G:G,'3. Incentive Adjustment'!A:A,tbl_Data_old[[#This Row],[Trimmed Sector]],'3. Incentive Adjustment'!B:B,tbl_Data_old[[#This Row],[Trimmed Measure Name]])</f>
        <v>0.82257117184015105</v>
      </c>
      <c r="AI593">
        <f>$AH593*tbl_Data_old[[#This Row],[2025 ]]</f>
        <v>18274.956855303866</v>
      </c>
      <c r="AJ593">
        <f>$AH593*tbl_Data_old[[#This Row],[2026 ]]</f>
        <v>43467.742391273554</v>
      </c>
      <c r="AK593">
        <f>$AH593*tbl_Data_old[[#This Row],[2027 ]]</f>
        <v>77225.944224085222</v>
      </c>
      <c r="AL593">
        <f>$AH593*tbl_Data_old[[#This Row],[2028 ]]</f>
        <v>121167.47088061772</v>
      </c>
      <c r="AM593">
        <f>$AH593*tbl_Data_old[[#This Row],[2029 ]]</f>
        <v>176191.39374611244</v>
      </c>
      <c r="AN593">
        <f>$AH593*tbl_Data_old[[#This Row],[2030 ]]</f>
        <v>241654.61570673206</v>
      </c>
      <c r="AO593">
        <f>$AH593*tbl_Data_old[[#This Row],[2031 ]]</f>
        <v>314767.69258180523</v>
      </c>
      <c r="AP593">
        <f>$AH593*tbl_Data_old[[#This Row],[2032 ]]</f>
        <v>390591.4888205704</v>
      </c>
      <c r="AQ593">
        <f>$AH593*tbl_Data_old[[#This Row],[2033 ]]</f>
        <v>462904.75883479597</v>
      </c>
      <c r="AR593">
        <f>$AH593*tbl_Data_old[[#This Row],[2034 ]]</f>
        <v>526103.12187733431</v>
      </c>
      <c r="AS593">
        <f>SUM(tbl_Data_old[[#This Row],[Adjusted 2025]:[Adjusted 2034]])</f>
        <v>2372349.185918631</v>
      </c>
      <c r="AT593" s="3">
        <f>AVERAGEIFS('3. Incentive Adjustment'!F:F,'3. Incentive Adjustment'!A:A,tbl_Data_old[[#This Row],[Trimmed Sector]],'3. Incentive Adjustment'!B:B,tbl_Data_old[[#This Row],[Trimmed Measure Name]])</f>
        <v>0</v>
      </c>
      <c r="AU593" s="3">
        <f>IFERROR(VLOOKUP(tbl_Data_old[[#This Row],[All_Meas_Name_Append]],'IRA Tax Credits'!$A$3:$D$46,4,0),0)</f>
        <v>0</v>
      </c>
      <c r="AV593" s="4">
        <f>tbl_Data_old[[#This Row],[Adj. per unit Incentive ($)]]/tbl_Data_old[[#This Row],[kWh Savings]]*tbl_Data_old[[#This Row],[Sum of Annuals]]</f>
        <v>0</v>
      </c>
      <c r="AW593" s="4" t="str">
        <f>IFERROR(VLOOKUP(tbl_Data_old[[#This Row],[All_Programs]],'1. Set Program Names'!$B$2:$D$15,3,0)*tbl_Data_old[[#This Row],[Sum of Annuals]],"")</f>
        <v/>
      </c>
      <c r="AX593" s="4">
        <f>tbl_Data_old[[#This Row],[per unit IRA tax ($)]]/tbl_Data_old[[#This Row],[kWh Savings]]*tbl_Data_old[[#This Row],[Sum of Annuals]]</f>
        <v>0</v>
      </c>
      <c r="AY593" s="4">
        <f>tbl_Data_old[[#This Row],[Avoided Costs ($/unit)]]/tbl_Data_old[[#This Row],[kWh Savings]]*tbl_Data_old[[#This Row],[Sum of Annuals]]</f>
        <v>1026618.3992124448</v>
      </c>
      <c r="AZ593" s="4">
        <f>tbl_Data_old[[#This Row],[Lost Revenue ($/unit)]]/tbl_Data_old[[#This Row],[kWh Savings]]*tbl_Data_old[[#This Row],[Sum of Annuals]]</f>
        <v>2576656.063846298</v>
      </c>
      <c r="BA593" s="4">
        <f>tbl_Data_old[[#This Row],[Incremental Cost ($/unit)]]/tbl_Data_old[[#This Row],[kWh Savings]]*tbl_Data_old[[#This Row],[Sum of Annuals]]</f>
        <v>663625.14560763841</v>
      </c>
      <c r="BB593">
        <f>ROUNDUP(tbl_Data_old[[#This Row],[Adjusted 2025]]/$L593,0)</f>
        <v>2</v>
      </c>
      <c r="BC593">
        <f>ROUNDUP(tbl_Data_old[[#This Row],[Adjusted 2026]]/$L593,0)</f>
        <v>4</v>
      </c>
      <c r="BD593">
        <f>ROUNDUP(tbl_Data_old[[#This Row],[Adjusted 2027]]/$L593,0)</f>
        <v>7</v>
      </c>
      <c r="BE593">
        <f>ROUNDUP(tbl_Data_old[[#This Row],[Adjusted 2028]]/$L593,0)</f>
        <v>11</v>
      </c>
      <c r="BF593">
        <f>ROUNDUP(tbl_Data_old[[#This Row],[Adjusted 2029]]/$L593,0)</f>
        <v>16</v>
      </c>
      <c r="BG593">
        <f>ROUNDUP(tbl_Data_old[[#This Row],[Adjusted 2030]]/$L593,0)</f>
        <v>22</v>
      </c>
      <c r="BH593">
        <f>ROUNDUP(tbl_Data_old[[#This Row],[Adjusted 2031]]/$L593,0)</f>
        <v>28</v>
      </c>
      <c r="BI593">
        <f>ROUNDUP(tbl_Data_old[[#This Row],[Adjusted 2032]]/$L593,0)</f>
        <v>35</v>
      </c>
      <c r="BJ593">
        <f>ROUNDUP(tbl_Data_old[[#This Row],[Adjusted 2033]]/$L593,0)</f>
        <v>42</v>
      </c>
      <c r="BK593">
        <f>ROUNDUP(tbl_Data_old[[#This Row],[Adjusted 2034]]/$L593,0)</f>
        <v>47</v>
      </c>
      <c r="BL593" s="3">
        <f t="shared" si="41"/>
        <v>0</v>
      </c>
      <c r="BM593" s="3">
        <f t="shared" si="41"/>
        <v>0</v>
      </c>
      <c r="BN593" s="3">
        <f t="shared" si="41"/>
        <v>0</v>
      </c>
      <c r="BO593" s="3">
        <f t="shared" si="41"/>
        <v>0</v>
      </c>
      <c r="BP593" s="3">
        <f t="shared" si="41"/>
        <v>0</v>
      </c>
      <c r="BQ593" s="3">
        <f t="shared" si="40"/>
        <v>0</v>
      </c>
      <c r="BR593" s="3">
        <f t="shared" si="40"/>
        <v>0</v>
      </c>
      <c r="BS593" s="3">
        <f t="shared" si="40"/>
        <v>0</v>
      </c>
      <c r="BT593" s="3">
        <f t="shared" si="40"/>
        <v>0</v>
      </c>
      <c r="BU593" s="3">
        <f t="shared" si="40"/>
        <v>0</v>
      </c>
      <c r="BV593" t="e">
        <f>VLOOKUP($H593,'1. Set Program Names'!$B$2:$D$15,3,0)*V593</f>
        <v>#N/A</v>
      </c>
      <c r="BW593" t="e">
        <f>VLOOKUP($H593,'1. Set Program Names'!$B$2:$D$15,3,0)*W593</f>
        <v>#N/A</v>
      </c>
      <c r="BX593" t="e">
        <f>VLOOKUP($H593,'1. Set Program Names'!$B$2:$D$15,3,0)*X593</f>
        <v>#N/A</v>
      </c>
      <c r="BY593" t="e">
        <f>VLOOKUP($H593,'1. Set Program Names'!$B$2:$D$15,3,0)*Y593</f>
        <v>#N/A</v>
      </c>
      <c r="BZ593" t="e">
        <f>VLOOKUP($H593,'1. Set Program Names'!$B$2:$D$15,3,0)*Z593</f>
        <v>#N/A</v>
      </c>
      <c r="CA593" t="e">
        <f>VLOOKUP($H593,'1. Set Program Names'!$B$2:$D$15,3,0)*AA593</f>
        <v>#N/A</v>
      </c>
      <c r="CB593" t="e">
        <f>VLOOKUP($H593,'1. Set Program Names'!$B$2:$D$15,3,0)*AB593</f>
        <v>#N/A</v>
      </c>
      <c r="CC593" t="e">
        <f>VLOOKUP($H593,'1. Set Program Names'!$B$2:$D$15,3,0)*AC593</f>
        <v>#N/A</v>
      </c>
      <c r="CD593" t="e">
        <f>VLOOKUP($H593,'1. Set Program Names'!$B$2:$D$15,3,0)*AD593</f>
        <v>#N/A</v>
      </c>
      <c r="CE593" t="e">
        <f>VLOOKUP($H593,'1. Set Program Names'!$B$2:$D$15,3,0)*AE593</f>
        <v>#N/A</v>
      </c>
    </row>
    <row r="594" spans="1:83" x14ac:dyDescent="0.25">
      <c r="A594" s="20" t="s">
        <v>113</v>
      </c>
      <c r="B594" s="20" t="s">
        <v>88</v>
      </c>
      <c r="C594" s="20" t="s">
        <v>122</v>
      </c>
      <c r="D594" s="20" t="s">
        <v>90</v>
      </c>
      <c r="E594" s="20" t="s">
        <v>91</v>
      </c>
      <c r="F594" s="20" t="s">
        <v>90</v>
      </c>
      <c r="G594" s="20" t="s">
        <v>92</v>
      </c>
      <c r="H594" s="20" t="s">
        <v>268</v>
      </c>
      <c r="I594" s="20" t="s">
        <v>175</v>
      </c>
      <c r="J594" s="20" t="s">
        <v>144</v>
      </c>
      <c r="K594" s="20" t="s">
        <v>98</v>
      </c>
      <c r="L594" s="20">
        <v>264.02999999999997</v>
      </c>
      <c r="M594" s="20">
        <v>4.1428427039389301E-2</v>
      </c>
      <c r="N594" s="20">
        <v>6.1740637590561503E-2</v>
      </c>
      <c r="O594" s="20">
        <v>74.16</v>
      </c>
      <c r="P594" s="20">
        <v>19.8471936238772</v>
      </c>
      <c r="Q594" s="20">
        <v>0.26402999999999999</v>
      </c>
      <c r="R594" s="20">
        <v>106.11574944735899</v>
      </c>
      <c r="S594" s="20">
        <v>217.179512566509</v>
      </c>
      <c r="T594" s="20">
        <v>10</v>
      </c>
      <c r="U594" s="20">
        <v>1</v>
      </c>
      <c r="V594" s="20">
        <v>9840.1718481120497</v>
      </c>
      <c r="W594" s="20">
        <v>23346.292093279699</v>
      </c>
      <c r="X594" s="20">
        <v>41324.751967324199</v>
      </c>
      <c r="Y594" s="20">
        <v>64525.9856779275</v>
      </c>
      <c r="Z594" s="20">
        <v>93273.379834476596</v>
      </c>
      <c r="AA594" s="20">
        <v>127030.2960992</v>
      </c>
      <c r="AB594" s="20">
        <v>164140.117124029</v>
      </c>
      <c r="AC594" s="20">
        <v>201896.13376518901</v>
      </c>
      <c r="AD594" s="20">
        <v>237060.561196194</v>
      </c>
      <c r="AE594" s="20">
        <v>266919.42365275801</v>
      </c>
      <c r="AF594" t="str">
        <f t="shared" si="39"/>
        <v>NonResidential</v>
      </c>
      <c r="AG594" t="str">
        <f>tbl_Data_old[[#This Row],[All_Meas_Name_Append]]</f>
        <v>Faucet Aerator</v>
      </c>
      <c r="AH594">
        <f>AVERAGEIFS('3. Incentive Adjustment'!G:G,'3. Incentive Adjustment'!A:A,tbl_Data_old[[#This Row],[Trimmed Sector]],'3. Incentive Adjustment'!B:B,tbl_Data_old[[#This Row],[Trimmed Measure Name]])</f>
        <v>0.82009235606746977</v>
      </c>
      <c r="AI594">
        <f>$AH594*tbl_Data_old[[#This Row],[2025 ]]</f>
        <v>8069.8497150269995</v>
      </c>
      <c r="AJ594">
        <f>$AH594*tbl_Data_old[[#This Row],[2026 ]]</f>
        <v>19146.115688217087</v>
      </c>
      <c r="AK594">
        <f>$AH594*tbl_Data_old[[#This Row],[2027 ]]</f>
        <v>33890.113204786707</v>
      </c>
      <c r="AL594">
        <f>$AH594*tbl_Data_old[[#This Row],[2028 ]]</f>
        <v>52917.267622187377</v>
      </c>
      <c r="AM594">
        <f>$AH594*tbl_Data_old[[#This Row],[2029 ]]</f>
        <v>76492.78582683194</v>
      </c>
      <c r="AN594">
        <f>$AH594*tbl_Data_old[[#This Row],[2030 ]]</f>
        <v>104176.57481994125</v>
      </c>
      <c r="AO594">
        <f>$AH594*tbl_Data_old[[#This Row],[2031 ]]</f>
        <v>134610.05537743538</v>
      </c>
      <c r="AP594">
        <f>$AH594*tbl_Data_old[[#This Row],[2032 ]]</f>
        <v>165573.4760204069</v>
      </c>
      <c r="AQ594">
        <f>$AH594*tbl_Data_old[[#This Row],[2033 ]]</f>
        <v>194411.55416206334</v>
      </c>
      <c r="AR594">
        <f>$AH594*tbl_Data_old[[#This Row],[2034 ]]</f>
        <v>218898.57902356144</v>
      </c>
      <c r="AS594">
        <f>SUM(tbl_Data_old[[#This Row],[Adjusted 2025]:[Adjusted 2034]])</f>
        <v>1008186.3714604585</v>
      </c>
      <c r="AT594" s="3">
        <f>AVERAGEIFS('3. Incentive Adjustment'!F:F,'3. Incentive Adjustment'!A:A,tbl_Data_old[[#This Row],[Trimmed Sector]],'3. Incentive Adjustment'!B:B,tbl_Data_old[[#This Row],[Trimmed Measure Name]])</f>
        <v>0</v>
      </c>
      <c r="AU594" s="3">
        <f>IFERROR(VLOOKUP(tbl_Data_old[[#This Row],[All_Meas_Name_Append]],'IRA Tax Credits'!$A$3:$D$46,4,0),0)</f>
        <v>0</v>
      </c>
      <c r="AV594" s="4">
        <f>tbl_Data_old[[#This Row],[Adj. per unit Incentive ($)]]/tbl_Data_old[[#This Row],[kWh Savings]]*tbl_Data_old[[#This Row],[Sum of Annuals]]</f>
        <v>0</v>
      </c>
      <c r="AW594" s="4" t="str">
        <f>IFERROR(VLOOKUP(tbl_Data_old[[#This Row],[All_Programs]],'1. Set Program Names'!$B$2:$D$15,3,0)*tbl_Data_old[[#This Row],[Sum of Annuals]],"")</f>
        <v/>
      </c>
      <c r="AX594" s="4">
        <f>tbl_Data_old[[#This Row],[per unit IRA tax ($)]]/tbl_Data_old[[#This Row],[kWh Savings]]*tbl_Data_old[[#This Row],[Sum of Annuals]]</f>
        <v>0</v>
      </c>
      <c r="AY594" s="4">
        <f>tbl_Data_old[[#This Row],[Avoided Costs ($/unit)]]/tbl_Data_old[[#This Row],[kWh Savings]]*tbl_Data_old[[#This Row],[Sum of Annuals]]</f>
        <v>405198.09260364366</v>
      </c>
      <c r="AZ594" s="4">
        <f>tbl_Data_old[[#This Row],[Lost Revenue ($/unit)]]/tbl_Data_old[[#This Row],[kWh Savings]]*tbl_Data_old[[#This Row],[Sum of Annuals]]</f>
        <v>829289.94708926929</v>
      </c>
      <c r="BA594" s="4">
        <f>tbl_Data_old[[#This Row],[Incremental Cost ($/unit)]]/tbl_Data_old[[#This Row],[kWh Savings]]*tbl_Data_old[[#This Row],[Sum of Annuals]]</f>
        <v>283176.53792185587</v>
      </c>
      <c r="BB594">
        <f>ROUNDUP(tbl_Data_old[[#This Row],[Adjusted 2025]]/$L594,0)</f>
        <v>31</v>
      </c>
      <c r="BC594">
        <f>ROUNDUP(tbl_Data_old[[#This Row],[Adjusted 2026]]/$L594,0)</f>
        <v>73</v>
      </c>
      <c r="BD594">
        <f>ROUNDUP(tbl_Data_old[[#This Row],[Adjusted 2027]]/$L594,0)</f>
        <v>129</v>
      </c>
      <c r="BE594">
        <f>ROUNDUP(tbl_Data_old[[#This Row],[Adjusted 2028]]/$L594,0)</f>
        <v>201</v>
      </c>
      <c r="BF594">
        <f>ROUNDUP(tbl_Data_old[[#This Row],[Adjusted 2029]]/$L594,0)</f>
        <v>290</v>
      </c>
      <c r="BG594">
        <f>ROUNDUP(tbl_Data_old[[#This Row],[Adjusted 2030]]/$L594,0)</f>
        <v>395</v>
      </c>
      <c r="BH594">
        <f>ROUNDUP(tbl_Data_old[[#This Row],[Adjusted 2031]]/$L594,0)</f>
        <v>510</v>
      </c>
      <c r="BI594">
        <f>ROUNDUP(tbl_Data_old[[#This Row],[Adjusted 2032]]/$L594,0)</f>
        <v>628</v>
      </c>
      <c r="BJ594">
        <f>ROUNDUP(tbl_Data_old[[#This Row],[Adjusted 2033]]/$L594,0)</f>
        <v>737</v>
      </c>
      <c r="BK594">
        <f>ROUNDUP(tbl_Data_old[[#This Row],[Adjusted 2034]]/$L594,0)</f>
        <v>830</v>
      </c>
      <c r="BL594" s="3">
        <f t="shared" si="41"/>
        <v>0</v>
      </c>
      <c r="BM594" s="3">
        <f t="shared" si="41"/>
        <v>0</v>
      </c>
      <c r="BN594" s="3">
        <f t="shared" si="41"/>
        <v>0</v>
      </c>
      <c r="BO594" s="3">
        <f t="shared" si="41"/>
        <v>0</v>
      </c>
      <c r="BP594" s="3">
        <f t="shared" si="41"/>
        <v>0</v>
      </c>
      <c r="BQ594" s="3">
        <f t="shared" si="40"/>
        <v>0</v>
      </c>
      <c r="BR594" s="3">
        <f t="shared" si="40"/>
        <v>0</v>
      </c>
      <c r="BS594" s="3">
        <f t="shared" si="40"/>
        <v>0</v>
      </c>
      <c r="BT594" s="3">
        <f t="shared" si="40"/>
        <v>0</v>
      </c>
      <c r="BU594" s="3">
        <f t="shared" si="40"/>
        <v>0</v>
      </c>
      <c r="BV594" t="e">
        <f>VLOOKUP($H594,'1. Set Program Names'!$B$2:$D$15,3,0)*V594</f>
        <v>#N/A</v>
      </c>
      <c r="BW594" t="e">
        <f>VLOOKUP($H594,'1. Set Program Names'!$B$2:$D$15,3,0)*W594</f>
        <v>#N/A</v>
      </c>
      <c r="BX594" t="e">
        <f>VLOOKUP($H594,'1. Set Program Names'!$B$2:$D$15,3,0)*X594</f>
        <v>#N/A</v>
      </c>
      <c r="BY594" t="e">
        <f>VLOOKUP($H594,'1. Set Program Names'!$B$2:$D$15,3,0)*Y594</f>
        <v>#N/A</v>
      </c>
      <c r="BZ594" t="e">
        <f>VLOOKUP($H594,'1. Set Program Names'!$B$2:$D$15,3,0)*Z594</f>
        <v>#N/A</v>
      </c>
      <c r="CA594" t="e">
        <f>VLOOKUP($H594,'1. Set Program Names'!$B$2:$D$15,3,0)*AA594</f>
        <v>#N/A</v>
      </c>
      <c r="CB594" t="e">
        <f>VLOOKUP($H594,'1. Set Program Names'!$B$2:$D$15,3,0)*AB594</f>
        <v>#N/A</v>
      </c>
      <c r="CC594" t="e">
        <f>VLOOKUP($H594,'1. Set Program Names'!$B$2:$D$15,3,0)*AC594</f>
        <v>#N/A</v>
      </c>
      <c r="CD594" t="e">
        <f>VLOOKUP($H594,'1. Set Program Names'!$B$2:$D$15,3,0)*AD594</f>
        <v>#N/A</v>
      </c>
      <c r="CE594" t="e">
        <f>VLOOKUP($H594,'1. Set Program Names'!$B$2:$D$15,3,0)*AE594</f>
        <v>#N/A</v>
      </c>
    </row>
    <row r="595" spans="1:83" x14ac:dyDescent="0.25">
      <c r="A595" s="20" t="s">
        <v>113</v>
      </c>
      <c r="B595" s="20" t="s">
        <v>88</v>
      </c>
      <c r="C595" s="20" t="s">
        <v>122</v>
      </c>
      <c r="D595" s="20" t="s">
        <v>90</v>
      </c>
      <c r="E595" s="20" t="s">
        <v>91</v>
      </c>
      <c r="F595" s="20" t="s">
        <v>90</v>
      </c>
      <c r="G595" s="20" t="s">
        <v>92</v>
      </c>
      <c r="H595" s="20" t="s">
        <v>268</v>
      </c>
      <c r="I595" s="20" t="s">
        <v>150</v>
      </c>
      <c r="J595" s="20" t="s">
        <v>129</v>
      </c>
      <c r="K595" s="20" t="s">
        <v>102</v>
      </c>
      <c r="L595" s="20">
        <v>56016.9549999999</v>
      </c>
      <c r="M595" s="20">
        <v>10.827112325312299</v>
      </c>
      <c r="N595" s="20">
        <v>1.3517775806744601</v>
      </c>
      <c r="O595" s="20">
        <v>17160.122499999899</v>
      </c>
      <c r="P595" s="20">
        <v>8652.3043908691998</v>
      </c>
      <c r="Q595" s="20">
        <v>56.016954999999903</v>
      </c>
      <c r="R595" s="20">
        <v>30291.5576269993</v>
      </c>
      <c r="S595" s="20">
        <v>71892.064971295098</v>
      </c>
      <c r="T595" s="20">
        <v>20</v>
      </c>
      <c r="U595" s="20">
        <v>1</v>
      </c>
      <c r="V595" s="20">
        <v>60456.637521564597</v>
      </c>
      <c r="W595" s="20">
        <v>120131.428744434</v>
      </c>
      <c r="X595" s="20">
        <v>178681.09212287699</v>
      </c>
      <c r="Y595" s="20">
        <v>236119.74424838799</v>
      </c>
      <c r="Z595" s="20">
        <v>292388.57193301601</v>
      </c>
      <c r="AA595" s="20">
        <v>347381.03392455599</v>
      </c>
      <c r="AB595" s="20">
        <v>401005.36319373298</v>
      </c>
      <c r="AC595" s="20">
        <v>453285.076176289</v>
      </c>
      <c r="AD595" s="20">
        <v>504299.78947495</v>
      </c>
      <c r="AE595" s="20">
        <v>554019.11569774197</v>
      </c>
      <c r="AF595" t="str">
        <f t="shared" si="39"/>
        <v>NonResidential</v>
      </c>
      <c r="AG595" t="str">
        <f>tbl_Data_old[[#This Row],[All_Meas_Name_Append]]</f>
        <v>Infiltration Reduction - Air Sealing</v>
      </c>
      <c r="AH595">
        <f>AVERAGEIFS('3. Incentive Adjustment'!G:G,'3. Incentive Adjustment'!A:A,tbl_Data_old[[#This Row],[Trimmed Sector]],'3. Incentive Adjustment'!B:B,tbl_Data_old[[#This Row],[Trimmed Measure Name]])</f>
        <v>0.66528306579610585</v>
      </c>
      <c r="AI595">
        <f>$AH595*tbl_Data_old[[#This Row],[2025 ]]</f>
        <v>40220.777158070385</v>
      </c>
      <c r="AJ595">
        <f>$AH595*tbl_Data_old[[#This Row],[2026 ]]</f>
        <v>79921.405213563485</v>
      </c>
      <c r="AK595">
        <f>$AH595*tbl_Data_old[[#This Row],[2027 ]]</f>
        <v>118873.50476730402</v>
      </c>
      <c r="AL595">
        <f>$AH595*tbl_Data_old[[#This Row],[2028 ]]</f>
        <v>157086.46734855999</v>
      </c>
      <c r="AM595">
        <f>$AH595*tbl_Data_old[[#This Row],[2029 ]]</f>
        <v>194521.16553934212</v>
      </c>
      <c r="AN595">
        <f>$AH595*tbl_Data_old[[#This Row],[2030 ]]</f>
        <v>231106.71924874966</v>
      </c>
      <c r="AO595">
        <f>$AH595*tbl_Data_old[[#This Row],[2031 ]]</f>
        <v>266782.0774262076</v>
      </c>
      <c r="AP595">
        <f>$AH595*tbl_Data_old[[#This Row],[2032 ]]</f>
        <v>301562.88515818294</v>
      </c>
      <c r="AQ595">
        <f>$AH595*tbl_Data_old[[#This Row],[2033 ]]</f>
        <v>335502.11002222548</v>
      </c>
      <c r="AR595">
        <f>$AH595*tbl_Data_old[[#This Row],[2034 ]]</f>
        <v>368579.53580104123</v>
      </c>
      <c r="AS595">
        <f>SUM(tbl_Data_old[[#This Row],[Adjusted 2025]:[Adjusted 2034]])</f>
        <v>2094156.6476832468</v>
      </c>
      <c r="AT595" s="3">
        <f>AVERAGEIFS('3. Incentive Adjustment'!F:F,'3. Incentive Adjustment'!A:A,tbl_Data_old[[#This Row],[Trimmed Sector]],'3. Incentive Adjustment'!B:B,tbl_Data_old[[#This Row],[Trimmed Measure Name]])</f>
        <v>0</v>
      </c>
      <c r="AU595" s="3">
        <f>IFERROR(VLOOKUP(tbl_Data_old[[#This Row],[All_Meas_Name_Append]],'IRA Tax Credits'!$A$3:$D$46,4,0),0)</f>
        <v>0</v>
      </c>
      <c r="AV595" s="4">
        <f>tbl_Data_old[[#This Row],[Adj. per unit Incentive ($)]]/tbl_Data_old[[#This Row],[kWh Savings]]*tbl_Data_old[[#This Row],[Sum of Annuals]]</f>
        <v>0</v>
      </c>
      <c r="AW595" s="4" t="str">
        <f>IFERROR(VLOOKUP(tbl_Data_old[[#This Row],[All_Programs]],'1. Set Program Names'!$B$2:$D$15,3,0)*tbl_Data_old[[#This Row],[Sum of Annuals]],"")</f>
        <v/>
      </c>
      <c r="AX595" s="4">
        <f>tbl_Data_old[[#This Row],[per unit IRA tax ($)]]/tbl_Data_old[[#This Row],[kWh Savings]]*tbl_Data_old[[#This Row],[Sum of Annuals]]</f>
        <v>0</v>
      </c>
      <c r="AY595" s="4">
        <f>tbl_Data_old[[#This Row],[Avoided Costs ($/unit)]]/tbl_Data_old[[#This Row],[kWh Savings]]*tbl_Data_old[[#This Row],[Sum of Annuals]]</f>
        <v>1132429.7576200073</v>
      </c>
      <c r="AZ595" s="4">
        <f>tbl_Data_old[[#This Row],[Lost Revenue ($/unit)]]/tbl_Data_old[[#This Row],[kWh Savings]]*tbl_Data_old[[#This Row],[Sum of Annuals]]</f>
        <v>2687637.08729462</v>
      </c>
      <c r="BA595" s="4">
        <f>tbl_Data_old[[#This Row],[Incremental Cost ($/unit)]]/tbl_Data_old[[#This Row],[kWh Savings]]*tbl_Data_old[[#This Row],[Sum of Annuals]]</f>
        <v>641519.77929599548</v>
      </c>
      <c r="BB595">
        <f>ROUNDUP(tbl_Data_old[[#This Row],[Adjusted 2025]]/$L595,0)</f>
        <v>1</v>
      </c>
      <c r="BC595">
        <f>ROUNDUP(tbl_Data_old[[#This Row],[Adjusted 2026]]/$L595,0)</f>
        <v>2</v>
      </c>
      <c r="BD595">
        <f>ROUNDUP(tbl_Data_old[[#This Row],[Adjusted 2027]]/$L595,0)</f>
        <v>3</v>
      </c>
      <c r="BE595">
        <f>ROUNDUP(tbl_Data_old[[#This Row],[Adjusted 2028]]/$L595,0)</f>
        <v>3</v>
      </c>
      <c r="BF595">
        <f>ROUNDUP(tbl_Data_old[[#This Row],[Adjusted 2029]]/$L595,0)</f>
        <v>4</v>
      </c>
      <c r="BG595">
        <f>ROUNDUP(tbl_Data_old[[#This Row],[Adjusted 2030]]/$L595,0)</f>
        <v>5</v>
      </c>
      <c r="BH595">
        <f>ROUNDUP(tbl_Data_old[[#This Row],[Adjusted 2031]]/$L595,0)</f>
        <v>5</v>
      </c>
      <c r="BI595">
        <f>ROUNDUP(tbl_Data_old[[#This Row],[Adjusted 2032]]/$L595,0)</f>
        <v>6</v>
      </c>
      <c r="BJ595">
        <f>ROUNDUP(tbl_Data_old[[#This Row],[Adjusted 2033]]/$L595,0)</f>
        <v>6</v>
      </c>
      <c r="BK595">
        <f>ROUNDUP(tbl_Data_old[[#This Row],[Adjusted 2034]]/$L595,0)</f>
        <v>7</v>
      </c>
      <c r="BL595" s="3">
        <f t="shared" si="41"/>
        <v>0</v>
      </c>
      <c r="BM595" s="3">
        <f t="shared" si="41"/>
        <v>0</v>
      </c>
      <c r="BN595" s="3">
        <f t="shared" si="41"/>
        <v>0</v>
      </c>
      <c r="BO595" s="3">
        <f t="shared" si="41"/>
        <v>0</v>
      </c>
      <c r="BP595" s="3">
        <f t="shared" si="41"/>
        <v>0</v>
      </c>
      <c r="BQ595" s="3">
        <f t="shared" si="40"/>
        <v>0</v>
      </c>
      <c r="BR595" s="3">
        <f t="shared" si="40"/>
        <v>0</v>
      </c>
      <c r="BS595" s="3">
        <f t="shared" si="40"/>
        <v>0</v>
      </c>
      <c r="BT595" s="3">
        <f t="shared" si="40"/>
        <v>0</v>
      </c>
      <c r="BU595" s="3">
        <f t="shared" si="40"/>
        <v>0</v>
      </c>
      <c r="BV595" t="e">
        <f>VLOOKUP($H595,'1. Set Program Names'!$B$2:$D$15,3,0)*V595</f>
        <v>#N/A</v>
      </c>
      <c r="BW595" t="e">
        <f>VLOOKUP($H595,'1. Set Program Names'!$B$2:$D$15,3,0)*W595</f>
        <v>#N/A</v>
      </c>
      <c r="BX595" t="e">
        <f>VLOOKUP($H595,'1. Set Program Names'!$B$2:$D$15,3,0)*X595</f>
        <v>#N/A</v>
      </c>
      <c r="BY595" t="e">
        <f>VLOOKUP($H595,'1. Set Program Names'!$B$2:$D$15,3,0)*Y595</f>
        <v>#N/A</v>
      </c>
      <c r="BZ595" t="e">
        <f>VLOOKUP($H595,'1. Set Program Names'!$B$2:$D$15,3,0)*Z595</f>
        <v>#N/A</v>
      </c>
      <c r="CA595" t="e">
        <f>VLOOKUP($H595,'1. Set Program Names'!$B$2:$D$15,3,0)*AA595</f>
        <v>#N/A</v>
      </c>
      <c r="CB595" t="e">
        <f>VLOOKUP($H595,'1. Set Program Names'!$B$2:$D$15,3,0)*AB595</f>
        <v>#N/A</v>
      </c>
      <c r="CC595" t="e">
        <f>VLOOKUP($H595,'1. Set Program Names'!$B$2:$D$15,3,0)*AC595</f>
        <v>#N/A</v>
      </c>
      <c r="CD595" t="e">
        <f>VLOOKUP($H595,'1. Set Program Names'!$B$2:$D$15,3,0)*AD595</f>
        <v>#N/A</v>
      </c>
      <c r="CE595" t="e">
        <f>VLOOKUP($H595,'1. Set Program Names'!$B$2:$D$15,3,0)*AE595</f>
        <v>#N/A</v>
      </c>
    </row>
    <row r="596" spans="1:83" x14ac:dyDescent="0.25">
      <c r="A596" s="20" t="s">
        <v>113</v>
      </c>
      <c r="B596" s="20" t="s">
        <v>88</v>
      </c>
      <c r="C596" s="20" t="s">
        <v>122</v>
      </c>
      <c r="D596" s="20" t="s">
        <v>90</v>
      </c>
      <c r="E596" s="20" t="s">
        <v>91</v>
      </c>
      <c r="F596" s="20" t="s">
        <v>90</v>
      </c>
      <c r="G596" s="20" t="s">
        <v>92</v>
      </c>
      <c r="H596" s="20" t="s">
        <v>268</v>
      </c>
      <c r="I596" s="20" t="s">
        <v>269</v>
      </c>
      <c r="J596" s="20" t="s">
        <v>144</v>
      </c>
      <c r="K596" s="20" t="s">
        <v>98</v>
      </c>
      <c r="L596" s="20">
        <v>114.663333333333</v>
      </c>
      <c r="M596" s="20">
        <v>9.9293177507311006E-3</v>
      </c>
      <c r="N596" s="20">
        <v>1.6498275913899602E-2</v>
      </c>
      <c r="O596" s="20">
        <v>32.906666666666602</v>
      </c>
      <c r="P596" s="20">
        <v>12.4845629759592</v>
      </c>
      <c r="Q596" s="20">
        <v>0.11466333333333301</v>
      </c>
      <c r="R596" s="20">
        <v>37.313940517924799</v>
      </c>
      <c r="S596" s="20">
        <v>94.317035346682403</v>
      </c>
      <c r="T596" s="20">
        <v>10</v>
      </c>
      <c r="U596" s="20">
        <v>1</v>
      </c>
      <c r="V596" s="20">
        <v>25518.506796433401</v>
      </c>
      <c r="W596" s="20">
        <v>60543.913526082099</v>
      </c>
      <c r="X596" s="20">
        <v>107167.433680685</v>
      </c>
      <c r="Y596" s="20">
        <v>167335.16746302301</v>
      </c>
      <c r="Z596" s="20">
        <v>241885.75301040901</v>
      </c>
      <c r="AA596" s="20">
        <v>329427.52671360498</v>
      </c>
      <c r="AB596" s="20">
        <v>425664.38463171502</v>
      </c>
      <c r="AC596" s="20">
        <v>523577.020928666</v>
      </c>
      <c r="AD596" s="20">
        <v>614768.89178638405</v>
      </c>
      <c r="AE596" s="20">
        <v>692201.84684984596</v>
      </c>
      <c r="AF596" t="str">
        <f t="shared" si="39"/>
        <v>NonResidential</v>
      </c>
      <c r="AG596" t="str">
        <f>tbl_Data_old[[#This Row],[All_Meas_Name_Append]]</f>
        <v>Low Flow Shower Head</v>
      </c>
      <c r="AH596">
        <f>AVERAGEIFS('3. Incentive Adjustment'!G:G,'3. Incentive Adjustment'!A:A,tbl_Data_old[[#This Row],[Trimmed Sector]],'3. Incentive Adjustment'!B:B,tbl_Data_old[[#This Row],[Trimmed Measure Name]])</f>
        <v>0.75029954061989002</v>
      </c>
      <c r="AI596">
        <f>$AH596*tbl_Data_old[[#This Row],[2025 ]]</f>
        <v>19146.523926669521</v>
      </c>
      <c r="AJ596">
        <f>$AH596*tbl_Data_old[[#This Row],[2026 ]]</f>
        <v>45426.070505949741</v>
      </c>
      <c r="AK596">
        <f>$AH596*tbl_Data_old[[#This Row],[2027 ]]</f>
        <v>80407.676260030494</v>
      </c>
      <c r="AL596">
        <f>$AH596*tbl_Data_old[[#This Row],[2028 ]]</f>
        <v>125551.49927705854</v>
      </c>
      <c r="AM596">
        <f>$AH596*tbl_Data_old[[#This Row],[2029 ]]</f>
        <v>181486.76936620605</v>
      </c>
      <c r="AN596">
        <f>$AH596*tbl_Data_old[[#This Row],[2030 ]]</f>
        <v>247169.32196076436</v>
      </c>
      <c r="AO596">
        <f>$AH596*tbl_Data_old[[#This Row],[2031 ]]</f>
        <v>319375.79224742396</v>
      </c>
      <c r="AP596">
        <f>$AH596*tbl_Data_old[[#This Row],[2032 ]]</f>
        <v>392839.59828190866</v>
      </c>
      <c r="AQ596">
        <f>$AH596*tbl_Data_old[[#This Row],[2033 ]]</f>
        <v>461260.81709472282</v>
      </c>
      <c r="AR596">
        <f>$AH596*tbl_Data_old[[#This Row],[2034 ]]</f>
        <v>519358.72770767886</v>
      </c>
      <c r="AS596">
        <f>SUM(tbl_Data_old[[#This Row],[Adjusted 2025]:[Adjusted 2034]])</f>
        <v>2392022.7966284128</v>
      </c>
      <c r="AT596" s="3">
        <f>AVERAGEIFS('3. Incentive Adjustment'!F:F,'3. Incentive Adjustment'!A:A,tbl_Data_old[[#This Row],[Trimmed Sector]],'3. Incentive Adjustment'!B:B,tbl_Data_old[[#This Row],[Trimmed Measure Name]])</f>
        <v>0</v>
      </c>
      <c r="AU596" s="3">
        <f>IFERROR(VLOOKUP(tbl_Data_old[[#This Row],[All_Meas_Name_Append]],'IRA Tax Credits'!$A$3:$D$46,4,0),0)</f>
        <v>0</v>
      </c>
      <c r="AV596" s="4">
        <f>tbl_Data_old[[#This Row],[Adj. per unit Incentive ($)]]/tbl_Data_old[[#This Row],[kWh Savings]]*tbl_Data_old[[#This Row],[Sum of Annuals]]</f>
        <v>0</v>
      </c>
      <c r="AW596" s="4" t="str">
        <f>IFERROR(VLOOKUP(tbl_Data_old[[#This Row],[All_Programs]],'1. Set Program Names'!$B$2:$D$15,3,0)*tbl_Data_old[[#This Row],[Sum of Annuals]],"")</f>
        <v/>
      </c>
      <c r="AX596" s="4">
        <f>tbl_Data_old[[#This Row],[per unit IRA tax ($)]]/tbl_Data_old[[#This Row],[kWh Savings]]*tbl_Data_old[[#This Row],[Sum of Annuals]]</f>
        <v>0</v>
      </c>
      <c r="AY596" s="4">
        <f>tbl_Data_old[[#This Row],[Avoided Costs ($/unit)]]/tbl_Data_old[[#This Row],[kWh Savings]]*tbl_Data_old[[#This Row],[Sum of Annuals]]</f>
        <v>778416.20120567153</v>
      </c>
      <c r="AZ596" s="4">
        <f>tbl_Data_old[[#This Row],[Lost Revenue ($/unit)]]/tbl_Data_old[[#This Row],[kWh Savings]]*tbl_Data_old[[#This Row],[Sum of Annuals]]</f>
        <v>1967573.1735777734</v>
      </c>
      <c r="BA596" s="4">
        <f>tbl_Data_old[[#This Row],[Incremental Cost ($/unit)]]/tbl_Data_old[[#This Row],[kWh Savings]]*tbl_Data_old[[#This Row],[Sum of Annuals]]</f>
        <v>686474.86986004584</v>
      </c>
      <c r="BB596">
        <f>ROUNDUP(tbl_Data_old[[#This Row],[Adjusted 2025]]/$L596,0)</f>
        <v>167</v>
      </c>
      <c r="BC596">
        <f>ROUNDUP(tbl_Data_old[[#This Row],[Adjusted 2026]]/$L596,0)</f>
        <v>397</v>
      </c>
      <c r="BD596">
        <f>ROUNDUP(tbl_Data_old[[#This Row],[Adjusted 2027]]/$L596,0)</f>
        <v>702</v>
      </c>
      <c r="BE596">
        <f>ROUNDUP(tbl_Data_old[[#This Row],[Adjusted 2028]]/$L596,0)</f>
        <v>1095</v>
      </c>
      <c r="BF596">
        <f>ROUNDUP(tbl_Data_old[[#This Row],[Adjusted 2029]]/$L596,0)</f>
        <v>1583</v>
      </c>
      <c r="BG596">
        <f>ROUNDUP(tbl_Data_old[[#This Row],[Adjusted 2030]]/$L596,0)</f>
        <v>2156</v>
      </c>
      <c r="BH596">
        <f>ROUNDUP(tbl_Data_old[[#This Row],[Adjusted 2031]]/$L596,0)</f>
        <v>2786</v>
      </c>
      <c r="BI596">
        <f>ROUNDUP(tbl_Data_old[[#This Row],[Adjusted 2032]]/$L596,0)</f>
        <v>3427</v>
      </c>
      <c r="BJ596">
        <f>ROUNDUP(tbl_Data_old[[#This Row],[Adjusted 2033]]/$L596,0)</f>
        <v>4023</v>
      </c>
      <c r="BK596">
        <f>ROUNDUP(tbl_Data_old[[#This Row],[Adjusted 2034]]/$L596,0)</f>
        <v>4530</v>
      </c>
      <c r="BL596" s="3">
        <f t="shared" si="41"/>
        <v>0</v>
      </c>
      <c r="BM596" s="3">
        <f t="shared" si="41"/>
        <v>0</v>
      </c>
      <c r="BN596" s="3">
        <f t="shared" si="41"/>
        <v>0</v>
      </c>
      <c r="BO596" s="3">
        <f t="shared" si="41"/>
        <v>0</v>
      </c>
      <c r="BP596" s="3">
        <f t="shared" si="41"/>
        <v>0</v>
      </c>
      <c r="BQ596" s="3">
        <f t="shared" si="40"/>
        <v>0</v>
      </c>
      <c r="BR596" s="3">
        <f t="shared" si="40"/>
        <v>0</v>
      </c>
      <c r="BS596" s="3">
        <f t="shared" si="40"/>
        <v>0</v>
      </c>
      <c r="BT596" s="3">
        <f t="shared" si="40"/>
        <v>0</v>
      </c>
      <c r="BU596" s="3">
        <f t="shared" si="40"/>
        <v>0</v>
      </c>
      <c r="BV596" t="e">
        <f>VLOOKUP($H596,'1. Set Program Names'!$B$2:$D$15,3,0)*V596</f>
        <v>#N/A</v>
      </c>
      <c r="BW596" t="e">
        <f>VLOOKUP($H596,'1. Set Program Names'!$B$2:$D$15,3,0)*W596</f>
        <v>#N/A</v>
      </c>
      <c r="BX596" t="e">
        <f>VLOOKUP($H596,'1. Set Program Names'!$B$2:$D$15,3,0)*X596</f>
        <v>#N/A</v>
      </c>
      <c r="BY596" t="e">
        <f>VLOOKUP($H596,'1. Set Program Names'!$B$2:$D$15,3,0)*Y596</f>
        <v>#N/A</v>
      </c>
      <c r="BZ596" t="e">
        <f>VLOOKUP($H596,'1. Set Program Names'!$B$2:$D$15,3,0)*Z596</f>
        <v>#N/A</v>
      </c>
      <c r="CA596" t="e">
        <f>VLOOKUP($H596,'1. Set Program Names'!$B$2:$D$15,3,0)*AA596</f>
        <v>#N/A</v>
      </c>
      <c r="CB596" t="e">
        <f>VLOOKUP($H596,'1. Set Program Names'!$B$2:$D$15,3,0)*AB596</f>
        <v>#N/A</v>
      </c>
      <c r="CC596" t="e">
        <f>VLOOKUP($H596,'1. Set Program Names'!$B$2:$D$15,3,0)*AC596</f>
        <v>#N/A</v>
      </c>
      <c r="CD596" t="e">
        <f>VLOOKUP($H596,'1. Set Program Names'!$B$2:$D$15,3,0)*AD596</f>
        <v>#N/A</v>
      </c>
      <c r="CE596" t="e">
        <f>VLOOKUP($H596,'1. Set Program Names'!$B$2:$D$15,3,0)*AE596</f>
        <v>#N/A</v>
      </c>
    </row>
    <row r="597" spans="1:83" x14ac:dyDescent="0.25">
      <c r="A597" s="20" t="s">
        <v>113</v>
      </c>
      <c r="B597" s="20" t="s">
        <v>88</v>
      </c>
      <c r="C597" s="20" t="s">
        <v>122</v>
      </c>
      <c r="D597" s="20" t="s">
        <v>90</v>
      </c>
      <c r="E597" s="20" t="s">
        <v>91</v>
      </c>
      <c r="F597" s="20" t="s">
        <v>90</v>
      </c>
      <c r="G597" s="20" t="s">
        <v>92</v>
      </c>
      <c r="H597" s="20" t="s">
        <v>268</v>
      </c>
      <c r="I597" s="20" t="s">
        <v>151</v>
      </c>
      <c r="J597" s="20" t="s">
        <v>137</v>
      </c>
      <c r="K597" s="20" t="s">
        <v>152</v>
      </c>
      <c r="L597" s="20">
        <v>746</v>
      </c>
      <c r="M597" s="20">
        <v>0.118390986607413</v>
      </c>
      <c r="N597" s="20">
        <v>0.122042488273403</v>
      </c>
      <c r="O597" s="20">
        <v>233.28</v>
      </c>
      <c r="P597" s="20">
        <v>79.822614261305304</v>
      </c>
      <c r="Q597" s="20">
        <v>0.746</v>
      </c>
      <c r="R597" s="20">
        <v>287.47532526616499</v>
      </c>
      <c r="S597" s="20">
        <v>613.62692260203801</v>
      </c>
      <c r="T597" s="20">
        <v>10</v>
      </c>
      <c r="U597" s="20">
        <v>1</v>
      </c>
      <c r="V597" s="20">
        <v>22783.746486718599</v>
      </c>
      <c r="W597" s="20">
        <v>50007.4169857218</v>
      </c>
      <c r="X597" s="20">
        <v>81991.868944752001</v>
      </c>
      <c r="Y597" s="20">
        <v>119182.027592717</v>
      </c>
      <c r="Z597" s="20">
        <v>161948.50338838701</v>
      </c>
      <c r="AA597" s="20">
        <v>210510.72103636499</v>
      </c>
      <c r="AB597" s="20">
        <v>265013.40884433599</v>
      </c>
      <c r="AC597" s="20">
        <v>325605.93894551398</v>
      </c>
      <c r="AD597" s="20">
        <v>392344.10417250602</v>
      </c>
      <c r="AE597" s="20">
        <v>465146.322600474</v>
      </c>
      <c r="AF597" t="str">
        <f t="shared" si="39"/>
        <v>NonResidential</v>
      </c>
      <c r="AG597" t="str">
        <f>tbl_Data_old[[#This Row],[All_Meas_Name_Append]]</f>
        <v>Ozone Laundry Commercial</v>
      </c>
      <c r="AH597">
        <f>AVERAGEIFS('3. Incentive Adjustment'!G:G,'3. Incentive Adjustment'!A:A,tbl_Data_old[[#This Row],[Trimmed Sector]],'3. Incentive Adjustment'!B:B,tbl_Data_old[[#This Row],[Trimmed Measure Name]])</f>
        <v>0.75402928491932286</v>
      </c>
      <c r="AI597">
        <f>$AH597*tbl_Data_old[[#This Row],[2025 ]]</f>
        <v>17179.612071163559</v>
      </c>
      <c r="AJ597">
        <f>$AH597*tbl_Data_old[[#This Row],[2026 ]]</f>
        <v>37707.05687040621</v>
      </c>
      <c r="AK597">
        <f>$AH597*tbl_Data_old[[#This Row],[2027 ]]</f>
        <v>61824.270309610183</v>
      </c>
      <c r="AL597">
        <f>$AH597*tbl_Data_old[[#This Row],[2028 ]]</f>
        <v>89866.739040971413</v>
      </c>
      <c r="AM597">
        <f>$AH597*tbl_Data_old[[#This Row],[2029 ]]</f>
        <v>122113.91420369998</v>
      </c>
      <c r="AN597">
        <f>$AH597*tbl_Data_old[[#This Row],[2030 ]]</f>
        <v>158731.24845090136</v>
      </c>
      <c r="AO597">
        <f>$AH597*tbl_Data_old[[#This Row],[2031 ]]</f>
        <v>199827.87116492682</v>
      </c>
      <c r="AP597">
        <f>$AH597*tbl_Data_old[[#This Row],[2032 ]]</f>
        <v>245516.4133085706</v>
      </c>
      <c r="AQ597">
        <f>$AH597*tbl_Data_old[[#This Row],[2033 ]]</f>
        <v>295838.94431150705</v>
      </c>
      <c r="AR597">
        <f>$AH597*tbl_Data_old[[#This Row],[2034 ]]</f>
        <v>350733.94901328807</v>
      </c>
      <c r="AS597">
        <f>SUM(tbl_Data_old[[#This Row],[Adjusted 2025]:[Adjusted 2034]])</f>
        <v>1579340.0187450452</v>
      </c>
      <c r="AT597" s="3">
        <f>AVERAGEIFS('3. Incentive Adjustment'!F:F,'3. Incentive Adjustment'!A:A,tbl_Data_old[[#This Row],[Trimmed Sector]],'3. Incentive Adjustment'!B:B,tbl_Data_old[[#This Row],[Trimmed Measure Name]])</f>
        <v>0</v>
      </c>
      <c r="AU597" s="3">
        <f>IFERROR(VLOOKUP(tbl_Data_old[[#This Row],[All_Meas_Name_Append]],'IRA Tax Credits'!$A$3:$D$46,4,0),0)</f>
        <v>0</v>
      </c>
      <c r="AV597" s="4">
        <f>tbl_Data_old[[#This Row],[Adj. per unit Incentive ($)]]/tbl_Data_old[[#This Row],[kWh Savings]]*tbl_Data_old[[#This Row],[Sum of Annuals]]</f>
        <v>0</v>
      </c>
      <c r="AW597" s="4" t="str">
        <f>IFERROR(VLOOKUP(tbl_Data_old[[#This Row],[All_Programs]],'1. Set Program Names'!$B$2:$D$15,3,0)*tbl_Data_old[[#This Row],[Sum of Annuals]],"")</f>
        <v/>
      </c>
      <c r="AX597" s="4">
        <f>tbl_Data_old[[#This Row],[per unit IRA tax ($)]]/tbl_Data_old[[#This Row],[kWh Savings]]*tbl_Data_old[[#This Row],[Sum of Annuals]]</f>
        <v>0</v>
      </c>
      <c r="AY597" s="4">
        <f>tbl_Data_old[[#This Row],[Avoided Costs ($/unit)]]/tbl_Data_old[[#This Row],[kWh Savings]]*tbl_Data_old[[#This Row],[Sum of Annuals]]</f>
        <v>608607.62144048652</v>
      </c>
      <c r="AZ597" s="4">
        <f>tbl_Data_old[[#This Row],[Lost Revenue ($/unit)]]/tbl_Data_old[[#This Row],[kWh Savings]]*tbl_Data_old[[#This Row],[Sum of Annuals]]</f>
        <v>1299095.9188267656</v>
      </c>
      <c r="BA597" s="4">
        <f>tbl_Data_old[[#This Row],[Incremental Cost ($/unit)]]/tbl_Data_old[[#This Row],[kWh Savings]]*tbl_Data_old[[#This Row],[Sum of Annuals]]</f>
        <v>493871.90291265975</v>
      </c>
      <c r="BB597">
        <f>ROUNDUP(tbl_Data_old[[#This Row],[Adjusted 2025]]/$L597,0)</f>
        <v>24</v>
      </c>
      <c r="BC597">
        <f>ROUNDUP(tbl_Data_old[[#This Row],[Adjusted 2026]]/$L597,0)</f>
        <v>51</v>
      </c>
      <c r="BD597">
        <f>ROUNDUP(tbl_Data_old[[#This Row],[Adjusted 2027]]/$L597,0)</f>
        <v>83</v>
      </c>
      <c r="BE597">
        <f>ROUNDUP(tbl_Data_old[[#This Row],[Adjusted 2028]]/$L597,0)</f>
        <v>121</v>
      </c>
      <c r="BF597">
        <f>ROUNDUP(tbl_Data_old[[#This Row],[Adjusted 2029]]/$L597,0)</f>
        <v>164</v>
      </c>
      <c r="BG597">
        <f>ROUNDUP(tbl_Data_old[[#This Row],[Adjusted 2030]]/$L597,0)</f>
        <v>213</v>
      </c>
      <c r="BH597">
        <f>ROUNDUP(tbl_Data_old[[#This Row],[Adjusted 2031]]/$L597,0)</f>
        <v>268</v>
      </c>
      <c r="BI597">
        <f>ROUNDUP(tbl_Data_old[[#This Row],[Adjusted 2032]]/$L597,0)</f>
        <v>330</v>
      </c>
      <c r="BJ597">
        <f>ROUNDUP(tbl_Data_old[[#This Row],[Adjusted 2033]]/$L597,0)</f>
        <v>397</v>
      </c>
      <c r="BK597">
        <f>ROUNDUP(tbl_Data_old[[#This Row],[Adjusted 2034]]/$L597,0)</f>
        <v>471</v>
      </c>
      <c r="BL597" s="3">
        <f t="shared" si="41"/>
        <v>0</v>
      </c>
      <c r="BM597" s="3">
        <f t="shared" si="41"/>
        <v>0</v>
      </c>
      <c r="BN597" s="3">
        <f t="shared" si="41"/>
        <v>0</v>
      </c>
      <c r="BO597" s="3">
        <f t="shared" si="41"/>
        <v>0</v>
      </c>
      <c r="BP597" s="3">
        <f t="shared" si="41"/>
        <v>0</v>
      </c>
      <c r="BQ597" s="3">
        <f t="shared" si="40"/>
        <v>0</v>
      </c>
      <c r="BR597" s="3">
        <f t="shared" si="40"/>
        <v>0</v>
      </c>
      <c r="BS597" s="3">
        <f t="shared" si="40"/>
        <v>0</v>
      </c>
      <c r="BT597" s="3">
        <f t="shared" si="40"/>
        <v>0</v>
      </c>
      <c r="BU597" s="3">
        <f t="shared" si="40"/>
        <v>0</v>
      </c>
      <c r="BV597" t="e">
        <f>VLOOKUP($H597,'1. Set Program Names'!$B$2:$D$15,3,0)*V597</f>
        <v>#N/A</v>
      </c>
      <c r="BW597" t="e">
        <f>VLOOKUP($H597,'1. Set Program Names'!$B$2:$D$15,3,0)*W597</f>
        <v>#N/A</v>
      </c>
      <c r="BX597" t="e">
        <f>VLOOKUP($H597,'1. Set Program Names'!$B$2:$D$15,3,0)*X597</f>
        <v>#N/A</v>
      </c>
      <c r="BY597" t="e">
        <f>VLOOKUP($H597,'1. Set Program Names'!$B$2:$D$15,3,0)*Y597</f>
        <v>#N/A</v>
      </c>
      <c r="BZ597" t="e">
        <f>VLOOKUP($H597,'1. Set Program Names'!$B$2:$D$15,3,0)*Z597</f>
        <v>#N/A</v>
      </c>
      <c r="CA597" t="e">
        <f>VLOOKUP($H597,'1. Set Program Names'!$B$2:$D$15,3,0)*AA597</f>
        <v>#N/A</v>
      </c>
      <c r="CB597" t="e">
        <f>VLOOKUP($H597,'1. Set Program Names'!$B$2:$D$15,3,0)*AB597</f>
        <v>#N/A</v>
      </c>
      <c r="CC597" t="e">
        <f>VLOOKUP($H597,'1. Set Program Names'!$B$2:$D$15,3,0)*AC597</f>
        <v>#N/A</v>
      </c>
      <c r="CD597" t="e">
        <f>VLOOKUP($H597,'1. Set Program Names'!$B$2:$D$15,3,0)*AD597</f>
        <v>#N/A</v>
      </c>
      <c r="CE597" t="e">
        <f>VLOOKUP($H597,'1. Set Program Names'!$B$2:$D$15,3,0)*AE597</f>
        <v>#N/A</v>
      </c>
    </row>
    <row r="598" spans="1:83" x14ac:dyDescent="0.25">
      <c r="A598" s="20" t="s">
        <v>113</v>
      </c>
      <c r="B598" s="20" t="s">
        <v>88</v>
      </c>
      <c r="C598" s="20" t="s">
        <v>122</v>
      </c>
      <c r="D598" s="20" t="s">
        <v>90</v>
      </c>
      <c r="E598" s="20" t="s">
        <v>91</v>
      </c>
      <c r="F598" s="20" t="s">
        <v>90</v>
      </c>
      <c r="G598" s="20" t="s">
        <v>92</v>
      </c>
      <c r="H598" s="20" t="s">
        <v>268</v>
      </c>
      <c r="I598" s="20" t="s">
        <v>153</v>
      </c>
      <c r="J598" s="20" t="s">
        <v>129</v>
      </c>
      <c r="K598" s="20" t="s">
        <v>102</v>
      </c>
      <c r="L598" s="20">
        <v>1285.73999999999</v>
      </c>
      <c r="M598" s="20">
        <v>0.191067583335012</v>
      </c>
      <c r="N598" s="20">
        <v>3.6175165669598698E-2</v>
      </c>
      <c r="O598" s="20">
        <v>304.38999999999902</v>
      </c>
      <c r="P598" s="20">
        <v>39.904344316796902</v>
      </c>
      <c r="Q598" s="20">
        <v>1.2857399999999899</v>
      </c>
      <c r="R598" s="20">
        <v>497.118469789904</v>
      </c>
      <c r="S598" s="20">
        <v>1133.43981342083</v>
      </c>
      <c r="T598" s="20">
        <v>11</v>
      </c>
      <c r="U598" s="20">
        <v>1</v>
      </c>
      <c r="V598" s="20">
        <v>1426.84815540609</v>
      </c>
      <c r="W598" s="20">
        <v>2617.3878762067402</v>
      </c>
      <c r="X598" s="20">
        <v>3603.0283630444001</v>
      </c>
      <c r="Y598" s="20">
        <v>4420.3562737852099</v>
      </c>
      <c r="Z598" s="20">
        <v>5099.6621647575603</v>
      </c>
      <c r="AA598" s="20">
        <v>5665.5043057515504</v>
      </c>
      <c r="AB598" s="20">
        <v>6138.6497668376696</v>
      </c>
      <c r="AC598" s="20">
        <v>6536.9741999230901</v>
      </c>
      <c r="AD598" s="20">
        <v>6875.5995948333903</v>
      </c>
      <c r="AE598" s="20">
        <v>7165.8409355854401</v>
      </c>
      <c r="AF598" t="str">
        <f t="shared" si="39"/>
        <v>NonResidential</v>
      </c>
      <c r="AG598" t="str">
        <f>tbl_Data_old[[#This Row],[All_Meas_Name_Append]]</f>
        <v>Programmable thermostat</v>
      </c>
      <c r="AH598">
        <f>AVERAGEIFS('3. Incentive Adjustment'!G:G,'3. Incentive Adjustment'!A:A,tbl_Data_old[[#This Row],[Trimmed Sector]],'3. Incentive Adjustment'!B:B,tbl_Data_old[[#This Row],[Trimmed Measure Name]])</f>
        <v>0.92137383531364503</v>
      </c>
      <c r="AI598">
        <f>$AH598*tbl_Data_old[[#This Row],[2025 ]]</f>
        <v>1314.660557356709</v>
      </c>
      <c r="AJ598">
        <f>$AH598*tbl_Data_old[[#This Row],[2026 ]]</f>
        <v>2411.5927060040403</v>
      </c>
      <c r="AK598">
        <f>$AH598*tbl_Data_old[[#This Row],[2027 ]]</f>
        <v>3319.7360616020633</v>
      </c>
      <c r="AL598">
        <f>$AH598*tbl_Data_old[[#This Row],[2028 ]]</f>
        <v>4072.8006134302113</v>
      </c>
      <c r="AM598">
        <f>$AH598*tbl_Data_old[[#This Row],[2029 ]]</f>
        <v>4698.6952875465586</v>
      </c>
      <c r="AN598">
        <f>$AH598*tbl_Data_old[[#This Row],[2030 ]]</f>
        <v>5220.0474311762755</v>
      </c>
      <c r="AO598">
        <f>$AH598*tbl_Data_old[[#This Row],[2031 ]]</f>
        <v>5655.9912793184367</v>
      </c>
      <c r="AP598">
        <f>$AH598*tbl_Data_old[[#This Row],[2032 ]]</f>
        <v>6022.9969899294838</v>
      </c>
      <c r="AQ598">
        <f>$AH598*tbl_Data_old[[#This Row],[2033 ]]</f>
        <v>6334.9975687725846</v>
      </c>
      <c r="AR598">
        <f>$AH598*tbl_Data_old[[#This Row],[2034 ]]</f>
        <v>6602.4183460678751</v>
      </c>
      <c r="AS598">
        <f>SUM(tbl_Data_old[[#This Row],[Adjusted 2025]:[Adjusted 2034]])</f>
        <v>45653.936841204239</v>
      </c>
      <c r="AT598" s="3">
        <f>AVERAGEIFS('3. Incentive Adjustment'!F:F,'3. Incentive Adjustment'!A:A,tbl_Data_old[[#This Row],[Trimmed Sector]],'3. Incentive Adjustment'!B:B,tbl_Data_old[[#This Row],[Trimmed Measure Name]])</f>
        <v>0</v>
      </c>
      <c r="AU598" s="3">
        <f>IFERROR(VLOOKUP(tbl_Data_old[[#This Row],[All_Meas_Name_Append]],'IRA Tax Credits'!$A$3:$D$46,4,0),0)</f>
        <v>0</v>
      </c>
      <c r="AV598" s="4">
        <f>tbl_Data_old[[#This Row],[Adj. per unit Incentive ($)]]/tbl_Data_old[[#This Row],[kWh Savings]]*tbl_Data_old[[#This Row],[Sum of Annuals]]</f>
        <v>0</v>
      </c>
      <c r="AW598" s="4" t="str">
        <f>IFERROR(VLOOKUP(tbl_Data_old[[#This Row],[All_Programs]],'1. Set Program Names'!$B$2:$D$15,3,0)*tbl_Data_old[[#This Row],[Sum of Annuals]],"")</f>
        <v/>
      </c>
      <c r="AX598" s="4">
        <f>tbl_Data_old[[#This Row],[per unit IRA tax ($)]]/tbl_Data_old[[#This Row],[kWh Savings]]*tbl_Data_old[[#This Row],[Sum of Annuals]]</f>
        <v>0</v>
      </c>
      <c r="AY598" s="4">
        <f>tbl_Data_old[[#This Row],[Avoided Costs ($/unit)]]/tbl_Data_old[[#This Row],[kWh Savings]]*tbl_Data_old[[#This Row],[Sum of Annuals]]</f>
        <v>17651.636584678516</v>
      </c>
      <c r="AZ598" s="4">
        <f>tbl_Data_old[[#This Row],[Lost Revenue ($/unit)]]/tbl_Data_old[[#This Row],[kWh Savings]]*tbl_Data_old[[#This Row],[Sum of Annuals]]</f>
        <v>40246.07592143146</v>
      </c>
      <c r="BA598" s="4">
        <f>tbl_Data_old[[#This Row],[Incremental Cost ($/unit)]]/tbl_Data_old[[#This Row],[kWh Savings]]*tbl_Data_old[[#This Row],[Sum of Annuals]]</f>
        <v>10808.251928923593</v>
      </c>
      <c r="BB598">
        <f>ROUNDUP(tbl_Data_old[[#This Row],[Adjusted 2025]]/$L598,0)</f>
        <v>2</v>
      </c>
      <c r="BC598">
        <f>ROUNDUP(tbl_Data_old[[#This Row],[Adjusted 2026]]/$L598,0)</f>
        <v>2</v>
      </c>
      <c r="BD598">
        <f>ROUNDUP(tbl_Data_old[[#This Row],[Adjusted 2027]]/$L598,0)</f>
        <v>3</v>
      </c>
      <c r="BE598">
        <f>ROUNDUP(tbl_Data_old[[#This Row],[Adjusted 2028]]/$L598,0)</f>
        <v>4</v>
      </c>
      <c r="BF598">
        <f>ROUNDUP(tbl_Data_old[[#This Row],[Adjusted 2029]]/$L598,0)</f>
        <v>4</v>
      </c>
      <c r="BG598">
        <f>ROUNDUP(tbl_Data_old[[#This Row],[Adjusted 2030]]/$L598,0)</f>
        <v>5</v>
      </c>
      <c r="BH598">
        <f>ROUNDUP(tbl_Data_old[[#This Row],[Adjusted 2031]]/$L598,0)</f>
        <v>5</v>
      </c>
      <c r="BI598">
        <f>ROUNDUP(tbl_Data_old[[#This Row],[Adjusted 2032]]/$L598,0)</f>
        <v>5</v>
      </c>
      <c r="BJ598">
        <f>ROUNDUP(tbl_Data_old[[#This Row],[Adjusted 2033]]/$L598,0)</f>
        <v>5</v>
      </c>
      <c r="BK598">
        <f>ROUNDUP(tbl_Data_old[[#This Row],[Adjusted 2034]]/$L598,0)</f>
        <v>6</v>
      </c>
      <c r="BL598" s="3">
        <f t="shared" si="41"/>
        <v>0</v>
      </c>
      <c r="BM598" s="3">
        <f t="shared" si="41"/>
        <v>0</v>
      </c>
      <c r="BN598" s="3">
        <f t="shared" si="41"/>
        <v>0</v>
      </c>
      <c r="BO598" s="3">
        <f t="shared" si="41"/>
        <v>0</v>
      </c>
      <c r="BP598" s="3">
        <f t="shared" si="41"/>
        <v>0</v>
      </c>
      <c r="BQ598" s="3">
        <f t="shared" si="40"/>
        <v>0</v>
      </c>
      <c r="BR598" s="3">
        <f t="shared" si="40"/>
        <v>0</v>
      </c>
      <c r="BS598" s="3">
        <f t="shared" si="40"/>
        <v>0</v>
      </c>
      <c r="BT598" s="3">
        <f t="shared" si="40"/>
        <v>0</v>
      </c>
      <c r="BU598" s="3">
        <f t="shared" si="40"/>
        <v>0</v>
      </c>
      <c r="BV598" t="e">
        <f>VLOOKUP($H598,'1. Set Program Names'!$B$2:$D$15,3,0)*V598</f>
        <v>#N/A</v>
      </c>
      <c r="BW598" t="e">
        <f>VLOOKUP($H598,'1. Set Program Names'!$B$2:$D$15,3,0)*W598</f>
        <v>#N/A</v>
      </c>
      <c r="BX598" t="e">
        <f>VLOOKUP($H598,'1. Set Program Names'!$B$2:$D$15,3,0)*X598</f>
        <v>#N/A</v>
      </c>
      <c r="BY598" t="e">
        <f>VLOOKUP($H598,'1. Set Program Names'!$B$2:$D$15,3,0)*Y598</f>
        <v>#N/A</v>
      </c>
      <c r="BZ598" t="e">
        <f>VLOOKUP($H598,'1. Set Program Names'!$B$2:$D$15,3,0)*Z598</f>
        <v>#N/A</v>
      </c>
      <c r="CA598" t="e">
        <f>VLOOKUP($H598,'1. Set Program Names'!$B$2:$D$15,3,0)*AA598</f>
        <v>#N/A</v>
      </c>
      <c r="CB598" t="e">
        <f>VLOOKUP($H598,'1. Set Program Names'!$B$2:$D$15,3,0)*AB598</f>
        <v>#N/A</v>
      </c>
      <c r="CC598" t="e">
        <f>VLOOKUP($H598,'1. Set Program Names'!$B$2:$D$15,3,0)*AC598</f>
        <v>#N/A</v>
      </c>
      <c r="CD598" t="e">
        <f>VLOOKUP($H598,'1. Set Program Names'!$B$2:$D$15,3,0)*AD598</f>
        <v>#N/A</v>
      </c>
      <c r="CE598" t="e">
        <f>VLOOKUP($H598,'1. Set Program Names'!$B$2:$D$15,3,0)*AE598</f>
        <v>#N/A</v>
      </c>
    </row>
    <row r="599" spans="1:83" x14ac:dyDescent="0.25">
      <c r="A599" s="20" t="s">
        <v>113</v>
      </c>
      <c r="B599" s="20" t="s">
        <v>88</v>
      </c>
      <c r="C599" s="20" t="s">
        <v>122</v>
      </c>
      <c r="D599" s="20" t="s">
        <v>90</v>
      </c>
      <c r="E599" s="20" t="s">
        <v>91</v>
      </c>
      <c r="F599" s="20" t="s">
        <v>90</v>
      </c>
      <c r="G599" s="20" t="s">
        <v>92</v>
      </c>
      <c r="H599" s="20" t="s">
        <v>268</v>
      </c>
      <c r="I599" s="20" t="s">
        <v>156</v>
      </c>
      <c r="J599" s="20" t="s">
        <v>129</v>
      </c>
      <c r="K599" s="20" t="s">
        <v>102</v>
      </c>
      <c r="L599" s="20">
        <v>1074.99714285714</v>
      </c>
      <c r="M599" s="20">
        <v>0.35483647389159401</v>
      </c>
      <c r="N599" s="20">
        <v>2.1679791501885101E-3</v>
      </c>
      <c r="O599" s="20">
        <v>322.49999999999898</v>
      </c>
      <c r="P599" s="20">
        <v>112.47094868606101</v>
      </c>
      <c r="Q599" s="20">
        <v>1.0749971428571401</v>
      </c>
      <c r="R599" s="20">
        <v>593.31352847936103</v>
      </c>
      <c r="S599" s="20">
        <v>1167.57597203707</v>
      </c>
      <c r="T599" s="20">
        <v>15</v>
      </c>
      <c r="U599" s="20">
        <v>1</v>
      </c>
      <c r="V599" s="20">
        <v>106535.13174631201</v>
      </c>
      <c r="W599" s="20">
        <v>226247.93160513201</v>
      </c>
      <c r="X599" s="20">
        <v>357791.78328291699</v>
      </c>
      <c r="Y599" s="20">
        <v>500471.52661827998</v>
      </c>
      <c r="Z599" s="20">
        <v>653504.75152447098</v>
      </c>
      <c r="AA599" s="20">
        <v>816039.72741866799</v>
      </c>
      <c r="AB599" s="20">
        <v>987306.93005212303</v>
      </c>
      <c r="AC599" s="20">
        <v>1166971.6992142799</v>
      </c>
      <c r="AD599" s="20">
        <v>1354907.9343783199</v>
      </c>
      <c r="AE599" s="20">
        <v>1550764.3802012999</v>
      </c>
      <c r="AF599" t="str">
        <f t="shared" si="39"/>
        <v>NonResidential</v>
      </c>
      <c r="AG599" t="str">
        <f>tbl_Data_old[[#This Row],[All_Meas_Name_Append]]</f>
        <v>Water source heat pump</v>
      </c>
      <c r="AH599">
        <f>AVERAGEIFS('3. Incentive Adjustment'!G:G,'3. Incentive Adjustment'!A:A,tbl_Data_old[[#This Row],[Trimmed Sector]],'3. Incentive Adjustment'!B:B,tbl_Data_old[[#This Row],[Trimmed Measure Name]])</f>
        <v>0.75877205530206748</v>
      </c>
      <c r="AI599">
        <f>$AH599*tbl_Data_old[[#This Row],[2025 ]]</f>
        <v>80835.880877025702</v>
      </c>
      <c r="AJ599">
        <f>$AH599*tbl_Data_old[[#This Row],[2026 ]]</f>
        <v>171670.60807186761</v>
      </c>
      <c r="AK599">
        <f>$AH599*tbl_Data_old[[#This Row],[2027 ]]</f>
        <v>271482.40677177085</v>
      </c>
      <c r="AL599">
        <f>$AH599*tbl_Data_old[[#This Row],[2028 ]]</f>
        <v>379743.80887231568</v>
      </c>
      <c r="AM599">
        <f>$AH599*tbl_Data_old[[#This Row],[2029 ]]</f>
        <v>495861.14346388978</v>
      </c>
      <c r="AN599">
        <f>$AH599*tbl_Data_old[[#This Row],[2030 ]]</f>
        <v>619188.14118160168</v>
      </c>
      <c r="AO599">
        <f>$AH599*tbl_Data_old[[#This Row],[2031 ]]</f>
        <v>749140.90852962399</v>
      </c>
      <c r="AP599">
        <f>$AH599*tbl_Data_old[[#This Row],[2032 ]]</f>
        <v>885465.51469216519</v>
      </c>
      <c r="AQ599">
        <f>$AH599*tbl_Data_old[[#This Row],[2033 ]]</f>
        <v>1028066.2781133165</v>
      </c>
      <c r="AR599">
        <f>$AH599*tbl_Data_old[[#This Row],[2034 ]]</f>
        <v>1176676.6760545771</v>
      </c>
      <c r="AS599">
        <f>SUM(tbl_Data_old[[#This Row],[Adjusted 2025]:[Adjusted 2034]])</f>
        <v>5858131.3666281542</v>
      </c>
      <c r="AT599" s="3">
        <f>AVERAGEIFS('3. Incentive Adjustment'!F:F,'3. Incentive Adjustment'!A:A,tbl_Data_old[[#This Row],[Trimmed Sector]],'3. Incentive Adjustment'!B:B,tbl_Data_old[[#This Row],[Trimmed Measure Name]])</f>
        <v>0</v>
      </c>
      <c r="AU599" s="3">
        <f>IFERROR(VLOOKUP(tbl_Data_old[[#This Row],[All_Meas_Name_Append]],'IRA Tax Credits'!$A$3:$D$46,4,0),0)</f>
        <v>0</v>
      </c>
      <c r="AV599" s="4">
        <f>tbl_Data_old[[#This Row],[Adj. per unit Incentive ($)]]/tbl_Data_old[[#This Row],[kWh Savings]]*tbl_Data_old[[#This Row],[Sum of Annuals]]</f>
        <v>0</v>
      </c>
      <c r="AW599" s="4" t="str">
        <f>IFERROR(VLOOKUP(tbl_Data_old[[#This Row],[All_Programs]],'1. Set Program Names'!$B$2:$D$15,3,0)*tbl_Data_old[[#This Row],[Sum of Annuals]],"")</f>
        <v/>
      </c>
      <c r="AX599" s="4">
        <f>tbl_Data_old[[#This Row],[per unit IRA tax ($)]]/tbl_Data_old[[#This Row],[kWh Savings]]*tbl_Data_old[[#This Row],[Sum of Annuals]]</f>
        <v>0</v>
      </c>
      <c r="AY599" s="4">
        <f>tbl_Data_old[[#This Row],[Avoided Costs ($/unit)]]/tbl_Data_old[[#This Row],[kWh Savings]]*tbl_Data_old[[#This Row],[Sum of Annuals]]</f>
        <v>3233225.8876446802</v>
      </c>
      <c r="AZ599" s="4">
        <f>tbl_Data_old[[#This Row],[Lost Revenue ($/unit)]]/tbl_Data_old[[#This Row],[kWh Savings]]*tbl_Data_old[[#This Row],[Sum of Annuals]]</f>
        <v>6362634.0499220118</v>
      </c>
      <c r="BA599" s="4">
        <f>tbl_Data_old[[#This Row],[Incremental Cost ($/unit)]]/tbl_Data_old[[#This Row],[kWh Savings]]*tbl_Data_old[[#This Row],[Sum of Annuals]]</f>
        <v>1757444.0809361688</v>
      </c>
      <c r="BB599">
        <f>ROUNDUP(tbl_Data_old[[#This Row],[Adjusted 2025]]/$L599,0)</f>
        <v>76</v>
      </c>
      <c r="BC599">
        <f>ROUNDUP(tbl_Data_old[[#This Row],[Adjusted 2026]]/$L599,0)</f>
        <v>160</v>
      </c>
      <c r="BD599">
        <f>ROUNDUP(tbl_Data_old[[#This Row],[Adjusted 2027]]/$L599,0)</f>
        <v>253</v>
      </c>
      <c r="BE599">
        <f>ROUNDUP(tbl_Data_old[[#This Row],[Adjusted 2028]]/$L599,0)</f>
        <v>354</v>
      </c>
      <c r="BF599">
        <f>ROUNDUP(tbl_Data_old[[#This Row],[Adjusted 2029]]/$L599,0)</f>
        <v>462</v>
      </c>
      <c r="BG599">
        <f>ROUNDUP(tbl_Data_old[[#This Row],[Adjusted 2030]]/$L599,0)</f>
        <v>576</v>
      </c>
      <c r="BH599">
        <f>ROUNDUP(tbl_Data_old[[#This Row],[Adjusted 2031]]/$L599,0)</f>
        <v>697</v>
      </c>
      <c r="BI599">
        <f>ROUNDUP(tbl_Data_old[[#This Row],[Adjusted 2032]]/$L599,0)</f>
        <v>824</v>
      </c>
      <c r="BJ599">
        <f>ROUNDUP(tbl_Data_old[[#This Row],[Adjusted 2033]]/$L599,0)</f>
        <v>957</v>
      </c>
      <c r="BK599">
        <f>ROUNDUP(tbl_Data_old[[#This Row],[Adjusted 2034]]/$L599,0)</f>
        <v>1095</v>
      </c>
      <c r="BL599" s="3">
        <f t="shared" si="41"/>
        <v>0</v>
      </c>
      <c r="BM599" s="3">
        <f t="shared" si="41"/>
        <v>0</v>
      </c>
      <c r="BN599" s="3">
        <f t="shared" si="41"/>
        <v>0</v>
      </c>
      <c r="BO599" s="3">
        <f t="shared" si="41"/>
        <v>0</v>
      </c>
      <c r="BP599" s="3">
        <f t="shared" si="41"/>
        <v>0</v>
      </c>
      <c r="BQ599" s="3">
        <f t="shared" si="40"/>
        <v>0</v>
      </c>
      <c r="BR599" s="3">
        <f t="shared" si="40"/>
        <v>0</v>
      </c>
      <c r="BS599" s="3">
        <f t="shared" si="40"/>
        <v>0</v>
      </c>
      <c r="BT599" s="3">
        <f t="shared" si="40"/>
        <v>0</v>
      </c>
      <c r="BU599" s="3">
        <f t="shared" si="40"/>
        <v>0</v>
      </c>
      <c r="BV599" t="e">
        <f>VLOOKUP($H599,'1. Set Program Names'!$B$2:$D$15,3,0)*V599</f>
        <v>#N/A</v>
      </c>
      <c r="BW599" t="e">
        <f>VLOOKUP($H599,'1. Set Program Names'!$B$2:$D$15,3,0)*W599</f>
        <v>#N/A</v>
      </c>
      <c r="BX599" t="e">
        <f>VLOOKUP($H599,'1. Set Program Names'!$B$2:$D$15,3,0)*X599</f>
        <v>#N/A</v>
      </c>
      <c r="BY599" t="e">
        <f>VLOOKUP($H599,'1. Set Program Names'!$B$2:$D$15,3,0)*Y599</f>
        <v>#N/A</v>
      </c>
      <c r="BZ599" t="e">
        <f>VLOOKUP($H599,'1. Set Program Names'!$B$2:$D$15,3,0)*Z599</f>
        <v>#N/A</v>
      </c>
      <c r="CA599" t="e">
        <f>VLOOKUP($H599,'1. Set Program Names'!$B$2:$D$15,3,0)*AA599</f>
        <v>#N/A</v>
      </c>
      <c r="CB599" t="e">
        <f>VLOOKUP($H599,'1. Set Program Names'!$B$2:$D$15,3,0)*AB599</f>
        <v>#N/A</v>
      </c>
      <c r="CC599" t="e">
        <f>VLOOKUP($H599,'1. Set Program Names'!$B$2:$D$15,3,0)*AC599</f>
        <v>#N/A</v>
      </c>
      <c r="CD599" t="e">
        <f>VLOOKUP($H599,'1. Set Program Names'!$B$2:$D$15,3,0)*AD599</f>
        <v>#N/A</v>
      </c>
      <c r="CE599" t="e">
        <f>VLOOKUP($H599,'1. Set Program Names'!$B$2:$D$15,3,0)*AE599</f>
        <v>#N/A</v>
      </c>
    </row>
    <row r="600" spans="1:83" x14ac:dyDescent="0.25">
      <c r="A600" s="20" t="s">
        <v>114</v>
      </c>
      <c r="B600" s="20" t="s">
        <v>88</v>
      </c>
      <c r="C600" s="20" t="s">
        <v>122</v>
      </c>
      <c r="D600" s="20" t="s">
        <v>90</v>
      </c>
      <c r="E600" s="20" t="s">
        <v>91</v>
      </c>
      <c r="F600" s="20" t="s">
        <v>90</v>
      </c>
      <c r="G600" s="20" t="s">
        <v>92</v>
      </c>
      <c r="H600" s="20" t="s">
        <v>268</v>
      </c>
      <c r="I600" s="20" t="s">
        <v>123</v>
      </c>
      <c r="J600" s="20" t="s">
        <v>124</v>
      </c>
      <c r="K600" s="20" t="s">
        <v>125</v>
      </c>
      <c r="L600" s="20">
        <v>276.38000000000102</v>
      </c>
      <c r="M600" s="20">
        <v>4.0116087790590997E-2</v>
      </c>
      <c r="N600" s="20">
        <v>3.5590078027730399E-2</v>
      </c>
      <c r="O600" s="20">
        <v>71</v>
      </c>
      <c r="P600" s="20">
        <v>14.1467127741815</v>
      </c>
      <c r="Q600" s="20">
        <v>0.27638000000000101</v>
      </c>
      <c r="R600" s="20">
        <v>109.905179976762</v>
      </c>
      <c r="S600" s="20">
        <v>259.02791823564098</v>
      </c>
      <c r="T600" s="20">
        <v>12</v>
      </c>
      <c r="U600" s="20">
        <v>1</v>
      </c>
      <c r="V600" s="20">
        <v>0.37924797205642802</v>
      </c>
      <c r="W600" s="20">
        <v>0.51815771354207696</v>
      </c>
      <c r="X600" s="20">
        <v>0.68813118382906002</v>
      </c>
      <c r="Y600" s="20">
        <v>0.88617294379366796</v>
      </c>
      <c r="Z600" s="20">
        <v>1.09662287178578</v>
      </c>
      <c r="AA600" s="20">
        <v>1.2923866758499101</v>
      </c>
      <c r="AB600" s="20">
        <v>1.43422524160565</v>
      </c>
      <c r="AC600" s="20">
        <v>1.48598409627607</v>
      </c>
      <c r="AD600" s="20">
        <v>1.4288007173344299</v>
      </c>
      <c r="AE600" s="20">
        <v>1.2723409233732601</v>
      </c>
      <c r="AF600" t="str">
        <f t="shared" si="39"/>
        <v>NonResidential</v>
      </c>
      <c r="AG600" t="str">
        <f>tbl_Data_old[[#This Row],[All_Meas_Name_Append]]</f>
        <v>Anti-Sweat Controls</v>
      </c>
      <c r="AH600">
        <f>AVERAGEIFS('3. Incentive Adjustment'!G:G,'3. Incentive Adjustment'!A:A,tbl_Data_old[[#This Row],[Trimmed Sector]],'3. Incentive Adjustment'!B:B,tbl_Data_old[[#This Row],[Trimmed Measure Name]])</f>
        <v>0.87366811775307662</v>
      </c>
      <c r="AI600">
        <f>$AH600*tbl_Data_old[[#This Row],[2025 ]]</f>
        <v>0.33133686190821088</v>
      </c>
      <c r="AJ600">
        <f>$AH600*tbl_Data_old[[#This Row],[2026 ]]</f>
        <v>0.45269787428954422</v>
      </c>
      <c r="AK600">
        <f>$AH600*tbl_Data_old[[#This Row],[2027 ]]</f>
        <v>0.60119827614313126</v>
      </c>
      <c r="AL600">
        <f>$AH600*tbl_Data_old[[#This Row],[2028 ]]</f>
        <v>0.7742210478079169</v>
      </c>
      <c r="AM600">
        <f>$AH600*tbl_Data_old[[#This Row],[2029 ]]</f>
        <v>0.95808444027805584</v>
      </c>
      <c r="AN600">
        <f>$AH600*tbl_Data_old[[#This Row],[2030 ]]</f>
        <v>1.1291170344989465</v>
      </c>
      <c r="AO600">
        <f>$AH600*tbl_Data_old[[#This Row],[2031 ]]</f>
        <v>1.2530368672675598</v>
      </c>
      <c r="AP600">
        <f>$AH600*tbl_Data_old[[#This Row],[2032 ]]</f>
        <v>1.2982569284045207</v>
      </c>
      <c r="AQ600">
        <f>$AH600*tbl_Data_old[[#This Row],[2033 ]]</f>
        <v>1.2482976333578171</v>
      </c>
      <c r="AR600">
        <f>$AH600*tbl_Data_old[[#This Row],[2034 ]]</f>
        <v>1.1116036996637277</v>
      </c>
      <c r="AS600">
        <f>SUM(tbl_Data_old[[#This Row],[Adjusted 2025]:[Adjusted 2034]])</f>
        <v>9.1578506636194312</v>
      </c>
      <c r="AT600" s="3">
        <f>AVERAGEIFS('3. Incentive Adjustment'!F:F,'3. Incentive Adjustment'!A:A,tbl_Data_old[[#This Row],[Trimmed Sector]],'3. Incentive Adjustment'!B:B,tbl_Data_old[[#This Row],[Trimmed Measure Name]])</f>
        <v>0</v>
      </c>
      <c r="AU600" s="3">
        <f>IFERROR(VLOOKUP(tbl_Data_old[[#This Row],[All_Meas_Name_Append]],'IRA Tax Credits'!$A$3:$D$46,4,0),0)</f>
        <v>0</v>
      </c>
      <c r="AV600" s="4">
        <f>tbl_Data_old[[#This Row],[Adj. per unit Incentive ($)]]/tbl_Data_old[[#This Row],[kWh Savings]]*tbl_Data_old[[#This Row],[Sum of Annuals]]</f>
        <v>0</v>
      </c>
      <c r="AW600" s="4" t="str">
        <f>IFERROR(VLOOKUP(tbl_Data_old[[#This Row],[All_Programs]],'1. Set Program Names'!$B$2:$D$15,3,0)*tbl_Data_old[[#This Row],[Sum of Annuals]],"")</f>
        <v/>
      </c>
      <c r="AX600" s="4">
        <f>tbl_Data_old[[#This Row],[per unit IRA tax ($)]]/tbl_Data_old[[#This Row],[kWh Savings]]*tbl_Data_old[[#This Row],[Sum of Annuals]]</f>
        <v>0</v>
      </c>
      <c r="AY600" s="4">
        <f>tbl_Data_old[[#This Row],[Avoided Costs ($/unit)]]/tbl_Data_old[[#This Row],[kWh Savings]]*tbl_Data_old[[#This Row],[Sum of Annuals]]</f>
        <v>3.6417078854671074</v>
      </c>
      <c r="AZ600" s="4">
        <f>tbl_Data_old[[#This Row],[Lost Revenue ($/unit)]]/tbl_Data_old[[#This Row],[kWh Savings]]*tbl_Data_old[[#This Row],[Sum of Annuals]]</f>
        <v>8.5828894743115125</v>
      </c>
      <c r="BA600" s="4">
        <f>tbl_Data_old[[#This Row],[Incremental Cost ($/unit)]]/tbl_Data_old[[#This Row],[kWh Savings]]*tbl_Data_old[[#This Row],[Sum of Annuals]]</f>
        <v>2.3525848365184787</v>
      </c>
      <c r="BB600">
        <f>ROUNDUP(tbl_Data_old[[#This Row],[Adjusted 2025]]/$L600,0)</f>
        <v>1</v>
      </c>
      <c r="BC600">
        <f>ROUNDUP(tbl_Data_old[[#This Row],[Adjusted 2026]]/$L600,0)</f>
        <v>1</v>
      </c>
      <c r="BD600">
        <f>ROUNDUP(tbl_Data_old[[#This Row],[Adjusted 2027]]/$L600,0)</f>
        <v>1</v>
      </c>
      <c r="BE600">
        <f>ROUNDUP(tbl_Data_old[[#This Row],[Adjusted 2028]]/$L600,0)</f>
        <v>1</v>
      </c>
      <c r="BF600">
        <f>ROUNDUP(tbl_Data_old[[#This Row],[Adjusted 2029]]/$L600,0)</f>
        <v>1</v>
      </c>
      <c r="BG600">
        <f>ROUNDUP(tbl_Data_old[[#This Row],[Adjusted 2030]]/$L600,0)</f>
        <v>1</v>
      </c>
      <c r="BH600">
        <f>ROUNDUP(tbl_Data_old[[#This Row],[Adjusted 2031]]/$L600,0)</f>
        <v>1</v>
      </c>
      <c r="BI600">
        <f>ROUNDUP(tbl_Data_old[[#This Row],[Adjusted 2032]]/$L600,0)</f>
        <v>1</v>
      </c>
      <c r="BJ600">
        <f>ROUNDUP(tbl_Data_old[[#This Row],[Adjusted 2033]]/$L600,0)</f>
        <v>1</v>
      </c>
      <c r="BK600">
        <f>ROUNDUP(tbl_Data_old[[#This Row],[Adjusted 2034]]/$L600,0)</f>
        <v>1</v>
      </c>
      <c r="BL600" s="3">
        <f t="shared" si="41"/>
        <v>0</v>
      </c>
      <c r="BM600" s="3">
        <f t="shared" si="41"/>
        <v>0</v>
      </c>
      <c r="BN600" s="3">
        <f t="shared" si="41"/>
        <v>0</v>
      </c>
      <c r="BO600" s="3">
        <f t="shared" si="41"/>
        <v>0</v>
      </c>
      <c r="BP600" s="3">
        <f t="shared" si="41"/>
        <v>0</v>
      </c>
      <c r="BQ600" s="3">
        <f t="shared" si="40"/>
        <v>0</v>
      </c>
      <c r="BR600" s="3">
        <f t="shared" si="40"/>
        <v>0</v>
      </c>
      <c r="BS600" s="3">
        <f t="shared" si="40"/>
        <v>0</v>
      </c>
      <c r="BT600" s="3">
        <f t="shared" si="40"/>
        <v>0</v>
      </c>
      <c r="BU600" s="3">
        <f t="shared" si="40"/>
        <v>0</v>
      </c>
      <c r="BV600" t="e">
        <f>VLOOKUP($H600,'1. Set Program Names'!$B$2:$D$15,3,0)*V600</f>
        <v>#N/A</v>
      </c>
      <c r="BW600" t="e">
        <f>VLOOKUP($H600,'1. Set Program Names'!$B$2:$D$15,3,0)*W600</f>
        <v>#N/A</v>
      </c>
      <c r="BX600" t="e">
        <f>VLOOKUP($H600,'1. Set Program Names'!$B$2:$D$15,3,0)*X600</f>
        <v>#N/A</v>
      </c>
      <c r="BY600" t="e">
        <f>VLOOKUP($H600,'1. Set Program Names'!$B$2:$D$15,3,0)*Y600</f>
        <v>#N/A</v>
      </c>
      <c r="BZ600" t="e">
        <f>VLOOKUP($H600,'1. Set Program Names'!$B$2:$D$15,3,0)*Z600</f>
        <v>#N/A</v>
      </c>
      <c r="CA600" t="e">
        <f>VLOOKUP($H600,'1. Set Program Names'!$B$2:$D$15,3,0)*AA600</f>
        <v>#N/A</v>
      </c>
      <c r="CB600" t="e">
        <f>VLOOKUP($H600,'1. Set Program Names'!$B$2:$D$15,3,0)*AB600</f>
        <v>#N/A</v>
      </c>
      <c r="CC600" t="e">
        <f>VLOOKUP($H600,'1. Set Program Names'!$B$2:$D$15,3,0)*AC600</f>
        <v>#N/A</v>
      </c>
      <c r="CD600" t="e">
        <f>VLOOKUP($H600,'1. Set Program Names'!$B$2:$D$15,3,0)*AD600</f>
        <v>#N/A</v>
      </c>
      <c r="CE600" t="e">
        <f>VLOOKUP($H600,'1. Set Program Names'!$B$2:$D$15,3,0)*AE600</f>
        <v>#N/A</v>
      </c>
    </row>
    <row r="601" spans="1:83" x14ac:dyDescent="0.25">
      <c r="A601" s="20" t="s">
        <v>114</v>
      </c>
      <c r="B601" s="20" t="s">
        <v>88</v>
      </c>
      <c r="C601" s="20" t="s">
        <v>122</v>
      </c>
      <c r="D601" s="20" t="s">
        <v>90</v>
      </c>
      <c r="E601" s="20" t="s">
        <v>91</v>
      </c>
      <c r="F601" s="20" t="s">
        <v>90</v>
      </c>
      <c r="G601" s="20" t="s">
        <v>92</v>
      </c>
      <c r="H601" s="20" t="s">
        <v>268</v>
      </c>
      <c r="I601" s="20" t="s">
        <v>126</v>
      </c>
      <c r="J601" s="20" t="s">
        <v>127</v>
      </c>
      <c r="K601" s="20" t="s">
        <v>102</v>
      </c>
      <c r="L601" s="20">
        <v>10474.513428571399</v>
      </c>
      <c r="M601" s="20">
        <v>11.987030831722899</v>
      </c>
      <c r="N601" s="20">
        <v>6.5774989692018102E-2</v>
      </c>
      <c r="O601" s="20">
        <v>2861.52</v>
      </c>
      <c r="P601" s="20">
        <v>706.838432647388</v>
      </c>
      <c r="Q601" s="20">
        <v>10.474513428571401</v>
      </c>
      <c r="R601" s="20">
        <v>9615.4333568812199</v>
      </c>
      <c r="S601" s="20">
        <v>8615.8759261769592</v>
      </c>
      <c r="T601" s="20">
        <v>10</v>
      </c>
      <c r="U601" s="20">
        <v>1</v>
      </c>
      <c r="V601" s="20">
        <v>14.562418262554701</v>
      </c>
      <c r="W601" s="20">
        <v>20.159022273191098</v>
      </c>
      <c r="X601" s="20">
        <v>27.119026781888898</v>
      </c>
      <c r="Y601" s="20">
        <v>35.491719690093198</v>
      </c>
      <c r="Z601" s="20">
        <v>44.741163032317701</v>
      </c>
      <c r="AA601" s="20">
        <v>53.491682669690299</v>
      </c>
      <c r="AB601" s="20">
        <v>59.8916097746704</v>
      </c>
      <c r="AC601" s="20">
        <v>61.967386453676802</v>
      </c>
      <c r="AD601" s="20">
        <v>58.407435225742901</v>
      </c>
      <c r="AE601" s="20">
        <v>49.847148926545501</v>
      </c>
      <c r="AF601" t="str">
        <f t="shared" si="39"/>
        <v>NonResidential</v>
      </c>
      <c r="AG601" t="str">
        <f>tbl_Data_old[[#This Row],[All_Meas_Name_Append]]</f>
        <v>Chiller maintenance</v>
      </c>
      <c r="AH601">
        <f>AVERAGEIFS('3. Incentive Adjustment'!G:G,'3. Incentive Adjustment'!A:A,tbl_Data_old[[#This Row],[Trimmed Sector]],'3. Incentive Adjustment'!B:B,tbl_Data_old[[#This Row],[Trimmed Measure Name]])</f>
        <v>0.83689882434423457</v>
      </c>
      <c r="AI601">
        <f>$AH601*tbl_Data_old[[#This Row],[2025 ]]</f>
        <v>12.18727072354104</v>
      </c>
      <c r="AJ601">
        <f>$AH601*tbl_Data_old[[#This Row],[2026 ]]</f>
        <v>16.871062040362869</v>
      </c>
      <c r="AK601">
        <f>$AH601*tbl_Data_old[[#This Row],[2027 ]]</f>
        <v>22.695881631122631</v>
      </c>
      <c r="AL601">
        <f>$AH601*tbl_Data_old[[#This Row],[2028 ]]</f>
        <v>29.702978482594119</v>
      </c>
      <c r="AM601">
        <f>$AH601*tbl_Data_old[[#This Row],[2029 ]]</f>
        <v>37.443826741540413</v>
      </c>
      <c r="AN601">
        <f>$AH601*tbl_Data_old[[#This Row],[2030 ]]</f>
        <v>44.767126338458681</v>
      </c>
      <c r="AO601">
        <f>$AH601*tbl_Data_old[[#This Row],[2031 ]]</f>
        <v>50.123217808505323</v>
      </c>
      <c r="AP601">
        <f>$AH601*tbl_Data_old[[#This Row],[2032 ]]</f>
        <v>51.860432870766964</v>
      </c>
      <c r="AQ601">
        <f>$AH601*tbl_Data_old[[#This Row],[2033 ]]</f>
        <v>48.881113873386269</v>
      </c>
      <c r="AR601">
        <f>$AH601*tbl_Data_old[[#This Row],[2034 ]]</f>
        <v>41.717020333537903</v>
      </c>
      <c r="AS601">
        <f>SUM(tbl_Data_old[[#This Row],[Adjusted 2025]:[Adjusted 2034]])</f>
        <v>356.24993084381617</v>
      </c>
      <c r="AT601" s="3">
        <f>AVERAGEIFS('3. Incentive Adjustment'!F:F,'3. Incentive Adjustment'!A:A,tbl_Data_old[[#This Row],[Trimmed Sector]],'3. Incentive Adjustment'!B:B,tbl_Data_old[[#This Row],[Trimmed Measure Name]])</f>
        <v>0</v>
      </c>
      <c r="AU601" s="3">
        <f>IFERROR(VLOOKUP(tbl_Data_old[[#This Row],[All_Meas_Name_Append]],'IRA Tax Credits'!$A$3:$D$46,4,0),0)</f>
        <v>0</v>
      </c>
      <c r="AV601" s="4">
        <f>tbl_Data_old[[#This Row],[Adj. per unit Incentive ($)]]/tbl_Data_old[[#This Row],[kWh Savings]]*tbl_Data_old[[#This Row],[Sum of Annuals]]</f>
        <v>0</v>
      </c>
      <c r="AW601" s="4" t="str">
        <f>IFERROR(VLOOKUP(tbl_Data_old[[#This Row],[All_Programs]],'1. Set Program Names'!$B$2:$D$15,3,0)*tbl_Data_old[[#This Row],[Sum of Annuals]],"")</f>
        <v/>
      </c>
      <c r="AX601" s="4">
        <f>tbl_Data_old[[#This Row],[per unit IRA tax ($)]]/tbl_Data_old[[#This Row],[kWh Savings]]*tbl_Data_old[[#This Row],[Sum of Annuals]]</f>
        <v>0</v>
      </c>
      <c r="AY601" s="4">
        <f>tbl_Data_old[[#This Row],[Avoided Costs ($/unit)]]/tbl_Data_old[[#This Row],[kWh Savings]]*tbl_Data_old[[#This Row],[Sum of Annuals]]</f>
        <v>327.03165562597928</v>
      </c>
      <c r="AZ601" s="4">
        <f>tbl_Data_old[[#This Row],[Lost Revenue ($/unit)]]/tbl_Data_old[[#This Row],[kWh Savings]]*tbl_Data_old[[#This Row],[Sum of Annuals]]</f>
        <v>293.03558812450473</v>
      </c>
      <c r="BA601" s="4">
        <f>tbl_Data_old[[#This Row],[Incremental Cost ($/unit)]]/tbl_Data_old[[#This Row],[kWh Savings]]*tbl_Data_old[[#This Row],[Sum of Annuals]]</f>
        <v>97.323499469438673</v>
      </c>
      <c r="BB601">
        <f>ROUNDUP(tbl_Data_old[[#This Row],[Adjusted 2025]]/$L601,0)</f>
        <v>1</v>
      </c>
      <c r="BC601">
        <f>ROUNDUP(tbl_Data_old[[#This Row],[Adjusted 2026]]/$L601,0)</f>
        <v>1</v>
      </c>
      <c r="BD601">
        <f>ROUNDUP(tbl_Data_old[[#This Row],[Adjusted 2027]]/$L601,0)</f>
        <v>1</v>
      </c>
      <c r="BE601">
        <f>ROUNDUP(tbl_Data_old[[#This Row],[Adjusted 2028]]/$L601,0)</f>
        <v>1</v>
      </c>
      <c r="BF601">
        <f>ROUNDUP(tbl_Data_old[[#This Row],[Adjusted 2029]]/$L601,0)</f>
        <v>1</v>
      </c>
      <c r="BG601">
        <f>ROUNDUP(tbl_Data_old[[#This Row],[Adjusted 2030]]/$L601,0)</f>
        <v>1</v>
      </c>
      <c r="BH601">
        <f>ROUNDUP(tbl_Data_old[[#This Row],[Adjusted 2031]]/$L601,0)</f>
        <v>1</v>
      </c>
      <c r="BI601">
        <f>ROUNDUP(tbl_Data_old[[#This Row],[Adjusted 2032]]/$L601,0)</f>
        <v>1</v>
      </c>
      <c r="BJ601">
        <f>ROUNDUP(tbl_Data_old[[#This Row],[Adjusted 2033]]/$L601,0)</f>
        <v>1</v>
      </c>
      <c r="BK601">
        <f>ROUNDUP(tbl_Data_old[[#This Row],[Adjusted 2034]]/$L601,0)</f>
        <v>1</v>
      </c>
      <c r="BL601" s="3">
        <f t="shared" si="41"/>
        <v>0</v>
      </c>
      <c r="BM601" s="3">
        <f t="shared" si="41"/>
        <v>0</v>
      </c>
      <c r="BN601" s="3">
        <f t="shared" si="41"/>
        <v>0</v>
      </c>
      <c r="BO601" s="3">
        <f t="shared" si="41"/>
        <v>0</v>
      </c>
      <c r="BP601" s="3">
        <f t="shared" si="41"/>
        <v>0</v>
      </c>
      <c r="BQ601" s="3">
        <f t="shared" si="40"/>
        <v>0</v>
      </c>
      <c r="BR601" s="3">
        <f t="shared" si="40"/>
        <v>0</v>
      </c>
      <c r="BS601" s="3">
        <f t="shared" si="40"/>
        <v>0</v>
      </c>
      <c r="BT601" s="3">
        <f t="shared" si="40"/>
        <v>0</v>
      </c>
      <c r="BU601" s="3">
        <f t="shared" si="40"/>
        <v>0</v>
      </c>
      <c r="BV601" t="e">
        <f>VLOOKUP($H601,'1. Set Program Names'!$B$2:$D$15,3,0)*V601</f>
        <v>#N/A</v>
      </c>
      <c r="BW601" t="e">
        <f>VLOOKUP($H601,'1. Set Program Names'!$B$2:$D$15,3,0)*W601</f>
        <v>#N/A</v>
      </c>
      <c r="BX601" t="e">
        <f>VLOOKUP($H601,'1. Set Program Names'!$B$2:$D$15,3,0)*X601</f>
        <v>#N/A</v>
      </c>
      <c r="BY601" t="e">
        <f>VLOOKUP($H601,'1. Set Program Names'!$B$2:$D$15,3,0)*Y601</f>
        <v>#N/A</v>
      </c>
      <c r="BZ601" t="e">
        <f>VLOOKUP($H601,'1. Set Program Names'!$B$2:$D$15,3,0)*Z601</f>
        <v>#N/A</v>
      </c>
      <c r="CA601" t="e">
        <f>VLOOKUP($H601,'1. Set Program Names'!$B$2:$D$15,3,0)*AA601</f>
        <v>#N/A</v>
      </c>
      <c r="CB601" t="e">
        <f>VLOOKUP($H601,'1. Set Program Names'!$B$2:$D$15,3,0)*AB601</f>
        <v>#N/A</v>
      </c>
      <c r="CC601" t="e">
        <f>VLOOKUP($H601,'1. Set Program Names'!$B$2:$D$15,3,0)*AC601</f>
        <v>#N/A</v>
      </c>
      <c r="CD601" t="e">
        <f>VLOOKUP($H601,'1. Set Program Names'!$B$2:$D$15,3,0)*AD601</f>
        <v>#N/A</v>
      </c>
      <c r="CE601" t="e">
        <f>VLOOKUP($H601,'1. Set Program Names'!$B$2:$D$15,3,0)*AE601</f>
        <v>#N/A</v>
      </c>
    </row>
    <row r="602" spans="1:83" x14ac:dyDescent="0.25">
      <c r="A602" s="20" t="s">
        <v>114</v>
      </c>
      <c r="B602" s="20" t="s">
        <v>88</v>
      </c>
      <c r="C602" s="20" t="s">
        <v>122</v>
      </c>
      <c r="D602" s="20" t="s">
        <v>90</v>
      </c>
      <c r="E602" s="20" t="s">
        <v>91</v>
      </c>
      <c r="F602" s="20" t="s">
        <v>90</v>
      </c>
      <c r="G602" s="20" t="s">
        <v>92</v>
      </c>
      <c r="H602" s="20" t="s">
        <v>268</v>
      </c>
      <c r="I602" s="20" t="s">
        <v>131</v>
      </c>
      <c r="J602" s="20" t="s">
        <v>132</v>
      </c>
      <c r="K602" s="20" t="s">
        <v>102</v>
      </c>
      <c r="L602" s="20">
        <v>1121.1428571428501</v>
      </c>
      <c r="M602" s="20">
        <v>0</v>
      </c>
      <c r="N602" s="20">
        <v>0.20460408928759399</v>
      </c>
      <c r="O602" s="20">
        <v>313</v>
      </c>
      <c r="P602" s="20">
        <v>104.06901074138401</v>
      </c>
      <c r="Q602" s="20">
        <v>1.1211428571428499</v>
      </c>
      <c r="R602" s="20">
        <v>557.43130076035402</v>
      </c>
      <c r="S602" s="20">
        <v>1217.69575846672</v>
      </c>
      <c r="T602" s="20">
        <v>15</v>
      </c>
      <c r="U602" s="20">
        <v>1</v>
      </c>
      <c r="V602" s="20">
        <v>0</v>
      </c>
      <c r="W602" s="20">
        <v>0</v>
      </c>
      <c r="X602" s="20">
        <v>0</v>
      </c>
      <c r="Y602" s="20">
        <v>0</v>
      </c>
      <c r="Z602" s="20">
        <v>0</v>
      </c>
      <c r="AA602" s="20">
        <v>0</v>
      </c>
      <c r="AB602" s="20">
        <v>0</v>
      </c>
      <c r="AC602" s="20">
        <v>0</v>
      </c>
      <c r="AD602" s="20">
        <v>0</v>
      </c>
      <c r="AE602" s="20">
        <v>0</v>
      </c>
      <c r="AF602" t="str">
        <f t="shared" si="39"/>
        <v>NonResidential</v>
      </c>
      <c r="AG602" t="str">
        <f>tbl_Data_old[[#This Row],[All_Meas_Name_Append]]</f>
        <v>ECM Motors on Furnaces</v>
      </c>
      <c r="AH602">
        <f>AVERAGEIFS('3. Incentive Adjustment'!G:G,'3. Incentive Adjustment'!A:A,tbl_Data_old[[#This Row],[Trimmed Sector]],'3. Incentive Adjustment'!B:B,tbl_Data_old[[#This Row],[Trimmed Measure Name]])</f>
        <v>0.7827684764944346</v>
      </c>
      <c r="AI602">
        <f>$AH602*tbl_Data_old[[#This Row],[2025 ]]</f>
        <v>0</v>
      </c>
      <c r="AJ602">
        <f>$AH602*tbl_Data_old[[#This Row],[2026 ]]</f>
        <v>0</v>
      </c>
      <c r="AK602">
        <f>$AH602*tbl_Data_old[[#This Row],[2027 ]]</f>
        <v>0</v>
      </c>
      <c r="AL602">
        <f>$AH602*tbl_Data_old[[#This Row],[2028 ]]</f>
        <v>0</v>
      </c>
      <c r="AM602">
        <f>$AH602*tbl_Data_old[[#This Row],[2029 ]]</f>
        <v>0</v>
      </c>
      <c r="AN602">
        <f>$AH602*tbl_Data_old[[#This Row],[2030 ]]</f>
        <v>0</v>
      </c>
      <c r="AO602">
        <f>$AH602*tbl_Data_old[[#This Row],[2031 ]]</f>
        <v>0</v>
      </c>
      <c r="AP602">
        <f>$AH602*tbl_Data_old[[#This Row],[2032 ]]</f>
        <v>0</v>
      </c>
      <c r="AQ602">
        <f>$AH602*tbl_Data_old[[#This Row],[2033 ]]</f>
        <v>0</v>
      </c>
      <c r="AR602">
        <f>$AH602*tbl_Data_old[[#This Row],[2034 ]]</f>
        <v>0</v>
      </c>
      <c r="AS602">
        <f>SUM(tbl_Data_old[[#This Row],[Adjusted 2025]:[Adjusted 2034]])</f>
        <v>0</v>
      </c>
      <c r="AT602" s="3">
        <f>AVERAGEIFS('3. Incentive Adjustment'!F:F,'3. Incentive Adjustment'!A:A,tbl_Data_old[[#This Row],[Trimmed Sector]],'3. Incentive Adjustment'!B:B,tbl_Data_old[[#This Row],[Trimmed Measure Name]])</f>
        <v>0</v>
      </c>
      <c r="AU602" s="3">
        <f>IFERROR(VLOOKUP(tbl_Data_old[[#This Row],[All_Meas_Name_Append]],'IRA Tax Credits'!$A$3:$D$46,4,0),0)</f>
        <v>0</v>
      </c>
      <c r="AV602" s="4">
        <f>tbl_Data_old[[#This Row],[Adj. per unit Incentive ($)]]/tbl_Data_old[[#This Row],[kWh Savings]]*tbl_Data_old[[#This Row],[Sum of Annuals]]</f>
        <v>0</v>
      </c>
      <c r="AW602" s="4" t="str">
        <f>IFERROR(VLOOKUP(tbl_Data_old[[#This Row],[All_Programs]],'1. Set Program Names'!$B$2:$D$15,3,0)*tbl_Data_old[[#This Row],[Sum of Annuals]],"")</f>
        <v/>
      </c>
      <c r="AX602" s="4">
        <f>tbl_Data_old[[#This Row],[per unit IRA tax ($)]]/tbl_Data_old[[#This Row],[kWh Savings]]*tbl_Data_old[[#This Row],[Sum of Annuals]]</f>
        <v>0</v>
      </c>
      <c r="AY602" s="4">
        <f>tbl_Data_old[[#This Row],[Avoided Costs ($/unit)]]/tbl_Data_old[[#This Row],[kWh Savings]]*tbl_Data_old[[#This Row],[Sum of Annuals]]</f>
        <v>0</v>
      </c>
      <c r="AZ602" s="4">
        <f>tbl_Data_old[[#This Row],[Lost Revenue ($/unit)]]/tbl_Data_old[[#This Row],[kWh Savings]]*tbl_Data_old[[#This Row],[Sum of Annuals]]</f>
        <v>0</v>
      </c>
      <c r="BA602" s="4">
        <f>tbl_Data_old[[#This Row],[Incremental Cost ($/unit)]]/tbl_Data_old[[#This Row],[kWh Savings]]*tbl_Data_old[[#This Row],[Sum of Annuals]]</f>
        <v>0</v>
      </c>
      <c r="BB602">
        <f>ROUNDUP(tbl_Data_old[[#This Row],[Adjusted 2025]]/$L602,0)</f>
        <v>0</v>
      </c>
      <c r="BC602">
        <f>ROUNDUP(tbl_Data_old[[#This Row],[Adjusted 2026]]/$L602,0)</f>
        <v>0</v>
      </c>
      <c r="BD602">
        <f>ROUNDUP(tbl_Data_old[[#This Row],[Adjusted 2027]]/$L602,0)</f>
        <v>0</v>
      </c>
      <c r="BE602">
        <f>ROUNDUP(tbl_Data_old[[#This Row],[Adjusted 2028]]/$L602,0)</f>
        <v>0</v>
      </c>
      <c r="BF602">
        <f>ROUNDUP(tbl_Data_old[[#This Row],[Adjusted 2029]]/$L602,0)</f>
        <v>0</v>
      </c>
      <c r="BG602">
        <f>ROUNDUP(tbl_Data_old[[#This Row],[Adjusted 2030]]/$L602,0)</f>
        <v>0</v>
      </c>
      <c r="BH602">
        <f>ROUNDUP(tbl_Data_old[[#This Row],[Adjusted 2031]]/$L602,0)</f>
        <v>0</v>
      </c>
      <c r="BI602">
        <f>ROUNDUP(tbl_Data_old[[#This Row],[Adjusted 2032]]/$L602,0)</f>
        <v>0</v>
      </c>
      <c r="BJ602">
        <f>ROUNDUP(tbl_Data_old[[#This Row],[Adjusted 2033]]/$L602,0)</f>
        <v>0</v>
      </c>
      <c r="BK602">
        <f>ROUNDUP(tbl_Data_old[[#This Row],[Adjusted 2034]]/$L602,0)</f>
        <v>0</v>
      </c>
      <c r="BL602" s="3">
        <f t="shared" si="41"/>
        <v>0</v>
      </c>
      <c r="BM602" s="3">
        <f t="shared" si="41"/>
        <v>0</v>
      </c>
      <c r="BN602" s="3">
        <f t="shared" si="41"/>
        <v>0</v>
      </c>
      <c r="BO602" s="3">
        <f t="shared" si="41"/>
        <v>0</v>
      </c>
      <c r="BP602" s="3">
        <f t="shared" si="41"/>
        <v>0</v>
      </c>
      <c r="BQ602" s="3">
        <f t="shared" si="40"/>
        <v>0</v>
      </c>
      <c r="BR602" s="3">
        <f t="shared" si="40"/>
        <v>0</v>
      </c>
      <c r="BS602" s="3">
        <f t="shared" si="40"/>
        <v>0</v>
      </c>
      <c r="BT602" s="3">
        <f t="shared" si="40"/>
        <v>0</v>
      </c>
      <c r="BU602" s="3">
        <f t="shared" si="40"/>
        <v>0</v>
      </c>
      <c r="BV602" t="e">
        <f>VLOOKUP($H602,'1. Set Program Names'!$B$2:$D$15,3,0)*V602</f>
        <v>#N/A</v>
      </c>
      <c r="BW602" t="e">
        <f>VLOOKUP($H602,'1. Set Program Names'!$B$2:$D$15,3,0)*W602</f>
        <v>#N/A</v>
      </c>
      <c r="BX602" t="e">
        <f>VLOOKUP($H602,'1. Set Program Names'!$B$2:$D$15,3,0)*X602</f>
        <v>#N/A</v>
      </c>
      <c r="BY602" t="e">
        <f>VLOOKUP($H602,'1. Set Program Names'!$B$2:$D$15,3,0)*Y602</f>
        <v>#N/A</v>
      </c>
      <c r="BZ602" t="e">
        <f>VLOOKUP($H602,'1. Set Program Names'!$B$2:$D$15,3,0)*Z602</f>
        <v>#N/A</v>
      </c>
      <c r="CA602" t="e">
        <f>VLOOKUP($H602,'1. Set Program Names'!$B$2:$D$15,3,0)*AA602</f>
        <v>#N/A</v>
      </c>
      <c r="CB602" t="e">
        <f>VLOOKUP($H602,'1. Set Program Names'!$B$2:$D$15,3,0)*AB602</f>
        <v>#N/A</v>
      </c>
      <c r="CC602" t="e">
        <f>VLOOKUP($H602,'1. Set Program Names'!$B$2:$D$15,3,0)*AC602</f>
        <v>#N/A</v>
      </c>
      <c r="CD602" t="e">
        <f>VLOOKUP($H602,'1. Set Program Names'!$B$2:$D$15,3,0)*AD602</f>
        <v>#N/A</v>
      </c>
      <c r="CE602" t="e">
        <f>VLOOKUP($H602,'1. Set Program Names'!$B$2:$D$15,3,0)*AE602</f>
        <v>#N/A</v>
      </c>
    </row>
    <row r="603" spans="1:83" x14ac:dyDescent="0.25">
      <c r="A603" s="20" t="s">
        <v>114</v>
      </c>
      <c r="B603" s="20" t="s">
        <v>88</v>
      </c>
      <c r="C603" s="20" t="s">
        <v>122</v>
      </c>
      <c r="D603" s="20" t="s">
        <v>90</v>
      </c>
      <c r="E603" s="20" t="s">
        <v>91</v>
      </c>
      <c r="F603" s="20" t="s">
        <v>90</v>
      </c>
      <c r="G603" s="20" t="s">
        <v>92</v>
      </c>
      <c r="H603" s="20" t="s">
        <v>268</v>
      </c>
      <c r="I603" s="20" t="s">
        <v>307</v>
      </c>
      <c r="J603" s="20" t="s">
        <v>137</v>
      </c>
      <c r="K603" s="20" t="s">
        <v>98</v>
      </c>
      <c r="L603" s="20">
        <v>1111.20999999999</v>
      </c>
      <c r="M603" s="20">
        <v>0.13640668324959701</v>
      </c>
      <c r="N603" s="20">
        <v>0.136388544932499</v>
      </c>
      <c r="O603" s="20">
        <v>412</v>
      </c>
      <c r="P603" s="20">
        <v>183.41637854330401</v>
      </c>
      <c r="Q603" s="20">
        <v>1.11120999999999</v>
      </c>
      <c r="R603" s="20">
        <v>480.86876845961399</v>
      </c>
      <c r="S603" s="20">
        <v>1206.90748297154</v>
      </c>
      <c r="T603" s="20">
        <v>15</v>
      </c>
      <c r="U603" s="20">
        <v>1</v>
      </c>
      <c r="V603" s="20">
        <v>5.5835209986078498</v>
      </c>
      <c r="W603" s="20">
        <v>7.6892962735743202</v>
      </c>
      <c r="X603" s="20">
        <v>10.076508714165501</v>
      </c>
      <c r="Y603" s="20">
        <v>12.6672661435696</v>
      </c>
      <c r="Z603" s="20">
        <v>15.2778865588466</v>
      </c>
      <c r="AA603" s="20">
        <v>17.6874407562191</v>
      </c>
      <c r="AB603" s="20">
        <v>19.754933582797701</v>
      </c>
      <c r="AC603" s="20">
        <v>21.459880512633799</v>
      </c>
      <c r="AD603" s="20">
        <v>22.827890543719601</v>
      </c>
      <c r="AE603" s="20">
        <v>23.914691618144801</v>
      </c>
      <c r="AF603" t="str">
        <f t="shared" si="39"/>
        <v>NonResidential</v>
      </c>
      <c r="AG603" t="str">
        <f>tbl_Data_old[[#This Row],[All_Meas_Name_Append]]</f>
        <v>Efficient Battery Charger</v>
      </c>
      <c r="AH603">
        <f>AVERAGEIFS('3. Incentive Adjustment'!G:G,'3. Incentive Adjustment'!A:A,tbl_Data_old[[#This Row],[Trimmed Sector]],'3. Incentive Adjustment'!B:B,tbl_Data_old[[#This Row],[Trimmed Measure Name]])</f>
        <v>0.64693164144446047</v>
      </c>
      <c r="AI603">
        <f>$AH603*tbl_Data_old[[#This Row],[2025 ]]</f>
        <v>3.6121564046689891</v>
      </c>
      <c r="AJ603">
        <f>$AH603*tbl_Data_old[[#This Row],[2026 ]]</f>
        <v>4.9744490598162079</v>
      </c>
      <c r="AK603">
        <f>$AH603*tbl_Data_old[[#This Row],[2027 ]]</f>
        <v>6.5188123224844974</v>
      </c>
      <c r="AL603">
        <f>$AH603*tbl_Data_old[[#This Row],[2028 ]]</f>
        <v>8.1948552788733231</v>
      </c>
      <c r="AM603">
        <f>$AH603*tbl_Data_old[[#This Row],[2029 ]]</f>
        <v>9.8837482293168897</v>
      </c>
      <c r="AN603">
        <f>$AH603*tbl_Data_old[[#This Row],[2030 ]]</f>
        <v>11.442565081372472</v>
      </c>
      <c r="AO603">
        <f>$AH603*tbl_Data_old[[#This Row],[2031 ]]</f>
        <v>12.780091609345613</v>
      </c>
      <c r="AP603">
        <f>$AH603*tbl_Data_old[[#This Row],[2032 ]]</f>
        <v>13.883075725240174</v>
      </c>
      <c r="AQ603">
        <f>$AH603*tbl_Data_old[[#This Row],[2033 ]]</f>
        <v>14.768084700162998</v>
      </c>
      <c r="AR603">
        <f>$AH603*tbl_Data_old[[#This Row],[2034 ]]</f>
        <v>15.471170703164496</v>
      </c>
      <c r="AS603">
        <f>SUM(tbl_Data_old[[#This Row],[Adjusted 2025]:[Adjusted 2034]])</f>
        <v>101.52900911444567</v>
      </c>
      <c r="AT603" s="3">
        <f>AVERAGEIFS('3. Incentive Adjustment'!F:F,'3. Incentive Adjustment'!A:A,tbl_Data_old[[#This Row],[Trimmed Sector]],'3. Incentive Adjustment'!B:B,tbl_Data_old[[#This Row],[Trimmed Measure Name]])</f>
        <v>0</v>
      </c>
      <c r="AU603" s="3">
        <f>IFERROR(VLOOKUP(tbl_Data_old[[#This Row],[All_Meas_Name_Append]],'IRA Tax Credits'!$A$3:$D$46,4,0),0)</f>
        <v>0</v>
      </c>
      <c r="AV603" s="4">
        <f>tbl_Data_old[[#This Row],[Adj. per unit Incentive ($)]]/tbl_Data_old[[#This Row],[kWh Savings]]*tbl_Data_old[[#This Row],[Sum of Annuals]]</f>
        <v>0</v>
      </c>
      <c r="AW603" s="4" t="str">
        <f>IFERROR(VLOOKUP(tbl_Data_old[[#This Row],[All_Programs]],'1. Set Program Names'!$B$2:$D$15,3,0)*tbl_Data_old[[#This Row],[Sum of Annuals]],"")</f>
        <v/>
      </c>
      <c r="AX603" s="4">
        <f>tbl_Data_old[[#This Row],[per unit IRA tax ($)]]/tbl_Data_old[[#This Row],[kWh Savings]]*tbl_Data_old[[#This Row],[Sum of Annuals]]</f>
        <v>0</v>
      </c>
      <c r="AY603" s="4">
        <f>tbl_Data_old[[#This Row],[Avoided Costs ($/unit)]]/tbl_Data_old[[#This Row],[kWh Savings]]*tbl_Data_old[[#This Row],[Sum of Annuals]]</f>
        <v>43.936006313648051</v>
      </c>
      <c r="AZ603" s="4">
        <f>tbl_Data_old[[#This Row],[Lost Revenue ($/unit)]]/tbl_Data_old[[#This Row],[kWh Savings]]*tbl_Data_old[[#This Row],[Sum of Annuals]]</f>
        <v>110.27269448521096</v>
      </c>
      <c r="BA603" s="4">
        <f>tbl_Data_old[[#This Row],[Incremental Cost ($/unit)]]/tbl_Data_old[[#This Row],[kWh Savings]]*tbl_Data_old[[#This Row],[Sum of Annuals]]</f>
        <v>37.643606298676211</v>
      </c>
      <c r="BB603">
        <f>ROUNDUP(tbl_Data_old[[#This Row],[Adjusted 2025]]/$L603,0)</f>
        <v>1</v>
      </c>
      <c r="BC603">
        <f>ROUNDUP(tbl_Data_old[[#This Row],[Adjusted 2026]]/$L603,0)</f>
        <v>1</v>
      </c>
      <c r="BD603">
        <f>ROUNDUP(tbl_Data_old[[#This Row],[Adjusted 2027]]/$L603,0)</f>
        <v>1</v>
      </c>
      <c r="BE603">
        <f>ROUNDUP(tbl_Data_old[[#This Row],[Adjusted 2028]]/$L603,0)</f>
        <v>1</v>
      </c>
      <c r="BF603">
        <f>ROUNDUP(tbl_Data_old[[#This Row],[Adjusted 2029]]/$L603,0)</f>
        <v>1</v>
      </c>
      <c r="BG603">
        <f>ROUNDUP(tbl_Data_old[[#This Row],[Adjusted 2030]]/$L603,0)</f>
        <v>1</v>
      </c>
      <c r="BH603">
        <f>ROUNDUP(tbl_Data_old[[#This Row],[Adjusted 2031]]/$L603,0)</f>
        <v>1</v>
      </c>
      <c r="BI603">
        <f>ROUNDUP(tbl_Data_old[[#This Row],[Adjusted 2032]]/$L603,0)</f>
        <v>1</v>
      </c>
      <c r="BJ603">
        <f>ROUNDUP(tbl_Data_old[[#This Row],[Adjusted 2033]]/$L603,0)</f>
        <v>1</v>
      </c>
      <c r="BK603">
        <f>ROUNDUP(tbl_Data_old[[#This Row],[Adjusted 2034]]/$L603,0)</f>
        <v>1</v>
      </c>
      <c r="BL603" s="3">
        <f t="shared" si="41"/>
        <v>0</v>
      </c>
      <c r="BM603" s="3">
        <f t="shared" si="41"/>
        <v>0</v>
      </c>
      <c r="BN603" s="3">
        <f t="shared" si="41"/>
        <v>0</v>
      </c>
      <c r="BO603" s="3">
        <f t="shared" si="41"/>
        <v>0</v>
      </c>
      <c r="BP603" s="3">
        <f t="shared" si="41"/>
        <v>0</v>
      </c>
      <c r="BQ603" s="3">
        <f t="shared" si="40"/>
        <v>0</v>
      </c>
      <c r="BR603" s="3">
        <f t="shared" si="40"/>
        <v>0</v>
      </c>
      <c r="BS603" s="3">
        <f t="shared" si="40"/>
        <v>0</v>
      </c>
      <c r="BT603" s="3">
        <f t="shared" si="40"/>
        <v>0</v>
      </c>
      <c r="BU603" s="3">
        <f t="shared" si="40"/>
        <v>0</v>
      </c>
      <c r="BV603" t="e">
        <f>VLOOKUP($H603,'1. Set Program Names'!$B$2:$D$15,3,0)*V603</f>
        <v>#N/A</v>
      </c>
      <c r="BW603" t="e">
        <f>VLOOKUP($H603,'1. Set Program Names'!$B$2:$D$15,3,0)*W603</f>
        <v>#N/A</v>
      </c>
      <c r="BX603" t="e">
        <f>VLOOKUP($H603,'1. Set Program Names'!$B$2:$D$15,3,0)*X603</f>
        <v>#N/A</v>
      </c>
      <c r="BY603" t="e">
        <f>VLOOKUP($H603,'1. Set Program Names'!$B$2:$D$15,3,0)*Y603</f>
        <v>#N/A</v>
      </c>
      <c r="BZ603" t="e">
        <f>VLOOKUP($H603,'1. Set Program Names'!$B$2:$D$15,3,0)*Z603</f>
        <v>#N/A</v>
      </c>
      <c r="CA603" t="e">
        <f>VLOOKUP($H603,'1. Set Program Names'!$B$2:$D$15,3,0)*AA603</f>
        <v>#N/A</v>
      </c>
      <c r="CB603" t="e">
        <f>VLOOKUP($H603,'1. Set Program Names'!$B$2:$D$15,3,0)*AB603</f>
        <v>#N/A</v>
      </c>
      <c r="CC603" t="e">
        <f>VLOOKUP($H603,'1. Set Program Names'!$B$2:$D$15,3,0)*AC603</f>
        <v>#N/A</v>
      </c>
      <c r="CD603" t="e">
        <f>VLOOKUP($H603,'1. Set Program Names'!$B$2:$D$15,3,0)*AD603</f>
        <v>#N/A</v>
      </c>
      <c r="CE603" t="e">
        <f>VLOOKUP($H603,'1. Set Program Names'!$B$2:$D$15,3,0)*AE603</f>
        <v>#N/A</v>
      </c>
    </row>
    <row r="604" spans="1:83" x14ac:dyDescent="0.25">
      <c r="A604" s="20" t="s">
        <v>114</v>
      </c>
      <c r="B604" s="20" t="s">
        <v>88</v>
      </c>
      <c r="C604" s="20" t="s">
        <v>122</v>
      </c>
      <c r="D604" s="20" t="s">
        <v>90</v>
      </c>
      <c r="E604" s="20" t="s">
        <v>91</v>
      </c>
      <c r="F604" s="20" t="s">
        <v>90</v>
      </c>
      <c r="G604" s="20" t="s">
        <v>92</v>
      </c>
      <c r="H604" s="20" t="s">
        <v>268</v>
      </c>
      <c r="I604" s="20" t="s">
        <v>135</v>
      </c>
      <c r="J604" s="20" t="s">
        <v>134</v>
      </c>
      <c r="K604" s="20" t="s">
        <v>98</v>
      </c>
      <c r="L604" s="20">
        <v>6368</v>
      </c>
      <c r="M604" s="20">
        <v>0.60494632768604495</v>
      </c>
      <c r="N604" s="20">
        <v>0.53529110623606202</v>
      </c>
      <c r="O604" s="20">
        <v>1580</v>
      </c>
      <c r="P604" s="20">
        <v>270.05813353350197</v>
      </c>
      <c r="Q604" s="20">
        <v>6.3680000000000003</v>
      </c>
      <c r="R604" s="20">
        <v>1963.2041057461399</v>
      </c>
      <c r="S604" s="20">
        <v>5968.19517810463</v>
      </c>
      <c r="T604" s="20">
        <v>12</v>
      </c>
      <c r="U604" s="20">
        <v>1</v>
      </c>
      <c r="V604" s="20">
        <v>3.0689218055334302</v>
      </c>
      <c r="W604" s="20">
        <v>4.2147754427667996</v>
      </c>
      <c r="X604" s="20">
        <v>5.4865296950920603</v>
      </c>
      <c r="Y604" s="20">
        <v>6.8274427410331997</v>
      </c>
      <c r="Z604" s="20">
        <v>8.1277740017662801</v>
      </c>
      <c r="AA604" s="20">
        <v>9.2743315564993303</v>
      </c>
      <c r="AB604" s="20">
        <v>10.1987811337598</v>
      </c>
      <c r="AC604" s="20">
        <v>10.905946410444599</v>
      </c>
      <c r="AD604" s="20">
        <v>11.429667395324801</v>
      </c>
      <c r="AE604" s="20">
        <v>11.801421928601901</v>
      </c>
      <c r="AF604" t="str">
        <f t="shared" si="39"/>
        <v>NonResidential</v>
      </c>
      <c r="AG604" t="str">
        <f>tbl_Data_old[[#This Row],[All_Meas_Name_Append]]</f>
        <v>Energy Star Combination Oven</v>
      </c>
      <c r="AH604">
        <f>AVERAGEIFS('3. Incentive Adjustment'!G:G,'3. Incentive Adjustment'!A:A,tbl_Data_old[[#This Row],[Trimmed Sector]],'3. Incentive Adjustment'!B:B,tbl_Data_old[[#This Row],[Trimmed Measure Name]])</f>
        <v>0.89413714267910538</v>
      </c>
      <c r="AI604">
        <f>$AH604*tbl_Data_old[[#This Row],[2025 ]]</f>
        <v>2.7440369743052622</v>
      </c>
      <c r="AJ604">
        <f>$AH604*tbl_Data_old[[#This Row],[2026 ]]</f>
        <v>3.7685872714295674</v>
      </c>
      <c r="AK604">
        <f>$AH604*tbl_Data_old[[#This Row],[2027 ]]</f>
        <v>4.9057099847936785</v>
      </c>
      <c r="AL604">
        <f>$AH604*tbl_Data_old[[#This Row],[2028 ]]</f>
        <v>6.1046701442726246</v>
      </c>
      <c r="AM604">
        <f>$AH604*tbl_Data_old[[#This Row],[2029 ]]</f>
        <v>7.2673446222808193</v>
      </c>
      <c r="AN604">
        <f>$AH604*tbl_Data_old[[#This Row],[2030 ]]</f>
        <v>8.2925243181869703</v>
      </c>
      <c r="AO604">
        <f>$AH604*tbl_Data_old[[#This Row],[2031 ]]</f>
        <v>9.119109021749555</v>
      </c>
      <c r="AP604">
        <f>$AH604*tbl_Data_old[[#This Row],[2032 ]]</f>
        <v>9.7514117616463807</v>
      </c>
      <c r="AQ604">
        <f>$AH604*tbl_Data_old[[#This Row],[2033 ]]</f>
        <v>10.219690146628251</v>
      </c>
      <c r="AR604">
        <f>$AH604*tbl_Data_old[[#This Row],[2034 ]]</f>
        <v>10.552089682790641</v>
      </c>
      <c r="AS604">
        <f>SUM(tbl_Data_old[[#This Row],[Adjusted 2025]:[Adjusted 2034]])</f>
        <v>72.725173928083748</v>
      </c>
      <c r="AT604" s="3">
        <f>AVERAGEIFS('3. Incentive Adjustment'!F:F,'3. Incentive Adjustment'!A:A,tbl_Data_old[[#This Row],[Trimmed Sector]],'3. Incentive Adjustment'!B:B,tbl_Data_old[[#This Row],[Trimmed Measure Name]])</f>
        <v>0</v>
      </c>
      <c r="AU604" s="3">
        <f>IFERROR(VLOOKUP(tbl_Data_old[[#This Row],[All_Meas_Name_Append]],'IRA Tax Credits'!$A$3:$D$46,4,0),0)</f>
        <v>0</v>
      </c>
      <c r="AV604" s="4">
        <f>tbl_Data_old[[#This Row],[Adj. per unit Incentive ($)]]/tbl_Data_old[[#This Row],[kWh Savings]]*tbl_Data_old[[#This Row],[Sum of Annuals]]</f>
        <v>0</v>
      </c>
      <c r="AW604" s="4" t="str">
        <f>IFERROR(VLOOKUP(tbl_Data_old[[#This Row],[All_Programs]],'1. Set Program Names'!$B$2:$D$15,3,0)*tbl_Data_old[[#This Row],[Sum of Annuals]],"")</f>
        <v/>
      </c>
      <c r="AX604" s="4">
        <f>tbl_Data_old[[#This Row],[per unit IRA tax ($)]]/tbl_Data_old[[#This Row],[kWh Savings]]*tbl_Data_old[[#This Row],[Sum of Annuals]]</f>
        <v>0</v>
      </c>
      <c r="AY604" s="4">
        <f>tbl_Data_old[[#This Row],[Avoided Costs ($/unit)]]/tbl_Data_old[[#This Row],[kWh Savings]]*tbl_Data_old[[#This Row],[Sum of Annuals]]</f>
        <v>22.420596741004417</v>
      </c>
      <c r="AZ604" s="4">
        <f>tbl_Data_old[[#This Row],[Lost Revenue ($/unit)]]/tbl_Data_old[[#This Row],[kWh Savings]]*tbl_Data_old[[#This Row],[Sum of Annuals]]</f>
        <v>68.159238750692523</v>
      </c>
      <c r="BA604" s="4">
        <f>tbl_Data_old[[#This Row],[Incremental Cost ($/unit)]]/tbl_Data_old[[#This Row],[kWh Savings]]*tbl_Data_old[[#This Row],[Sum of Annuals]]</f>
        <v>18.044248556277061</v>
      </c>
      <c r="BB604">
        <f>ROUNDUP(tbl_Data_old[[#This Row],[Adjusted 2025]]/$L604,0)</f>
        <v>1</v>
      </c>
      <c r="BC604">
        <f>ROUNDUP(tbl_Data_old[[#This Row],[Adjusted 2026]]/$L604,0)</f>
        <v>1</v>
      </c>
      <c r="BD604">
        <f>ROUNDUP(tbl_Data_old[[#This Row],[Adjusted 2027]]/$L604,0)</f>
        <v>1</v>
      </c>
      <c r="BE604">
        <f>ROUNDUP(tbl_Data_old[[#This Row],[Adjusted 2028]]/$L604,0)</f>
        <v>1</v>
      </c>
      <c r="BF604">
        <f>ROUNDUP(tbl_Data_old[[#This Row],[Adjusted 2029]]/$L604,0)</f>
        <v>1</v>
      </c>
      <c r="BG604">
        <f>ROUNDUP(tbl_Data_old[[#This Row],[Adjusted 2030]]/$L604,0)</f>
        <v>1</v>
      </c>
      <c r="BH604">
        <f>ROUNDUP(tbl_Data_old[[#This Row],[Adjusted 2031]]/$L604,0)</f>
        <v>1</v>
      </c>
      <c r="BI604">
        <f>ROUNDUP(tbl_Data_old[[#This Row],[Adjusted 2032]]/$L604,0)</f>
        <v>1</v>
      </c>
      <c r="BJ604">
        <f>ROUNDUP(tbl_Data_old[[#This Row],[Adjusted 2033]]/$L604,0)</f>
        <v>1</v>
      </c>
      <c r="BK604">
        <f>ROUNDUP(tbl_Data_old[[#This Row],[Adjusted 2034]]/$L604,0)</f>
        <v>1</v>
      </c>
      <c r="BL604" s="3">
        <f t="shared" si="41"/>
        <v>0</v>
      </c>
      <c r="BM604" s="3">
        <f t="shared" si="41"/>
        <v>0</v>
      </c>
      <c r="BN604" s="3">
        <f t="shared" si="41"/>
        <v>0</v>
      </c>
      <c r="BO604" s="3">
        <f t="shared" si="41"/>
        <v>0</v>
      </c>
      <c r="BP604" s="3">
        <f t="shared" si="41"/>
        <v>0</v>
      </c>
      <c r="BQ604" s="3">
        <f t="shared" si="40"/>
        <v>0</v>
      </c>
      <c r="BR604" s="3">
        <f t="shared" si="40"/>
        <v>0</v>
      </c>
      <c r="BS604" s="3">
        <f t="shared" si="40"/>
        <v>0</v>
      </c>
      <c r="BT604" s="3">
        <f t="shared" si="40"/>
        <v>0</v>
      </c>
      <c r="BU604" s="3">
        <f t="shared" si="40"/>
        <v>0</v>
      </c>
      <c r="BV604" t="e">
        <f>VLOOKUP($H604,'1. Set Program Names'!$B$2:$D$15,3,0)*V604</f>
        <v>#N/A</v>
      </c>
      <c r="BW604" t="e">
        <f>VLOOKUP($H604,'1. Set Program Names'!$B$2:$D$15,3,0)*W604</f>
        <v>#N/A</v>
      </c>
      <c r="BX604" t="e">
        <f>VLOOKUP($H604,'1. Set Program Names'!$B$2:$D$15,3,0)*X604</f>
        <v>#N/A</v>
      </c>
      <c r="BY604" t="e">
        <f>VLOOKUP($H604,'1. Set Program Names'!$B$2:$D$15,3,0)*Y604</f>
        <v>#N/A</v>
      </c>
      <c r="BZ604" t="e">
        <f>VLOOKUP($H604,'1. Set Program Names'!$B$2:$D$15,3,0)*Z604</f>
        <v>#N/A</v>
      </c>
      <c r="CA604" t="e">
        <f>VLOOKUP($H604,'1. Set Program Names'!$B$2:$D$15,3,0)*AA604</f>
        <v>#N/A</v>
      </c>
      <c r="CB604" t="e">
        <f>VLOOKUP($H604,'1. Set Program Names'!$B$2:$D$15,3,0)*AB604</f>
        <v>#N/A</v>
      </c>
      <c r="CC604" t="e">
        <f>VLOOKUP($H604,'1. Set Program Names'!$B$2:$D$15,3,0)*AC604</f>
        <v>#N/A</v>
      </c>
      <c r="CD604" t="e">
        <f>VLOOKUP($H604,'1. Set Program Names'!$B$2:$D$15,3,0)*AD604</f>
        <v>#N/A</v>
      </c>
      <c r="CE604" t="e">
        <f>VLOOKUP($H604,'1. Set Program Names'!$B$2:$D$15,3,0)*AE604</f>
        <v>#N/A</v>
      </c>
    </row>
    <row r="605" spans="1:83" x14ac:dyDescent="0.25">
      <c r="A605" s="20" t="s">
        <v>114</v>
      </c>
      <c r="B605" s="20" t="s">
        <v>88</v>
      </c>
      <c r="C605" s="20" t="s">
        <v>122</v>
      </c>
      <c r="D605" s="20" t="s">
        <v>90</v>
      </c>
      <c r="E605" s="20" t="s">
        <v>91</v>
      </c>
      <c r="F605" s="20" t="s">
        <v>90</v>
      </c>
      <c r="G605" s="20" t="s">
        <v>92</v>
      </c>
      <c r="H605" s="20" t="s">
        <v>268</v>
      </c>
      <c r="I605" s="20" t="s">
        <v>136</v>
      </c>
      <c r="J605" s="20" t="s">
        <v>137</v>
      </c>
      <c r="K605" s="20" t="s">
        <v>104</v>
      </c>
      <c r="L605" s="20">
        <v>810.099999999999</v>
      </c>
      <c r="M605" s="20">
        <v>0.128563724196602</v>
      </c>
      <c r="N605" s="20">
        <v>0.13252898089850401</v>
      </c>
      <c r="O605" s="20">
        <v>224</v>
      </c>
      <c r="P605" s="20">
        <v>57.356798677055799</v>
      </c>
      <c r="Q605" s="20">
        <v>0.81009999999999904</v>
      </c>
      <c r="R605" s="20">
        <v>239.61317678792901</v>
      </c>
      <c r="S605" s="20">
        <v>505.19538551625698</v>
      </c>
      <c r="T605" s="20">
        <v>7</v>
      </c>
      <c r="U605" s="20">
        <v>1</v>
      </c>
      <c r="V605" s="20">
        <v>3.0482030807525602</v>
      </c>
      <c r="W605" s="20">
        <v>4.23933521417701</v>
      </c>
      <c r="X605" s="20">
        <v>5.5799711083643899</v>
      </c>
      <c r="Y605" s="20">
        <v>7.0190380396505496</v>
      </c>
      <c r="Z605" s="20">
        <v>8.4484916289457708</v>
      </c>
      <c r="AA605" s="20">
        <v>9.7448169030999292</v>
      </c>
      <c r="AB605" s="20">
        <v>10.8354146818929</v>
      </c>
      <c r="AC605" s="20">
        <v>11.718062142501999</v>
      </c>
      <c r="AD605" s="20">
        <v>12.4154071332032</v>
      </c>
      <c r="AE605" s="20">
        <v>12.9634972693954</v>
      </c>
      <c r="AF605" t="str">
        <f t="shared" si="39"/>
        <v>NonResidential</v>
      </c>
      <c r="AG605" t="str">
        <f>tbl_Data_old[[#This Row],[All_Meas_Name_Append]]</f>
        <v>Energy Star Commercial Clothes Washer</v>
      </c>
      <c r="AH605">
        <f>AVERAGEIFS('3. Incentive Adjustment'!G:G,'3. Incentive Adjustment'!A:A,tbl_Data_old[[#This Row],[Trimmed Sector]],'3. Incentive Adjustment'!B:B,tbl_Data_old[[#This Row],[Trimmed Measure Name]])</f>
        <v>0.82959886877160749</v>
      </c>
      <c r="AI605">
        <f>$AH605*tbl_Data_old[[#This Row],[2025 ]]</f>
        <v>2.5287858275784529</v>
      </c>
      <c r="AJ605">
        <f>$AH605*tbl_Data_old[[#This Row],[2026 ]]</f>
        <v>3.5169476980248877</v>
      </c>
      <c r="AK605">
        <f>$AH605*tbl_Data_old[[#This Row],[2027 ]]</f>
        <v>4.6291377192773506</v>
      </c>
      <c r="AL605">
        <f>$AH605*tbl_Data_old[[#This Row],[2028 ]]</f>
        <v>5.8229860175589776</v>
      </c>
      <c r="AM605">
        <f>$AH605*tbl_Data_old[[#This Row],[2029 ]]</f>
        <v>7.0088590981998067</v>
      </c>
      <c r="AN605">
        <f>$AH605*tbl_Data_old[[#This Row],[2030 ]]</f>
        <v>8.0842890791981414</v>
      </c>
      <c r="AO605">
        <f>$AH605*tbl_Data_old[[#This Row],[2031 ]]</f>
        <v>8.9890477627696175</v>
      </c>
      <c r="AP605">
        <f>$AH605*tbl_Data_old[[#This Row],[2032 ]]</f>
        <v>9.7212910976150582</v>
      </c>
      <c r="AQ605">
        <f>$AH605*tbl_Data_old[[#This Row],[2033 ]]</f>
        <v>10.29980771304432</v>
      </c>
      <c r="AR605">
        <f>$AH605*tbl_Data_old[[#This Row],[2034 ]]</f>
        <v>10.754502670014247</v>
      </c>
      <c r="AS605">
        <f>SUM(tbl_Data_old[[#This Row],[Adjusted 2025]:[Adjusted 2034]])</f>
        <v>71.355654683280861</v>
      </c>
      <c r="AT605" s="3">
        <f>AVERAGEIFS('3. Incentive Adjustment'!F:F,'3. Incentive Adjustment'!A:A,tbl_Data_old[[#This Row],[Trimmed Sector]],'3. Incentive Adjustment'!B:B,tbl_Data_old[[#This Row],[Trimmed Measure Name]])</f>
        <v>0</v>
      </c>
      <c r="AU605" s="3">
        <f>IFERROR(VLOOKUP(tbl_Data_old[[#This Row],[All_Meas_Name_Append]],'IRA Tax Credits'!$A$3:$D$46,4,0),0)</f>
        <v>0</v>
      </c>
      <c r="AV605" s="4">
        <f>tbl_Data_old[[#This Row],[Adj. per unit Incentive ($)]]/tbl_Data_old[[#This Row],[kWh Savings]]*tbl_Data_old[[#This Row],[Sum of Annuals]]</f>
        <v>0</v>
      </c>
      <c r="AW605" s="4" t="str">
        <f>IFERROR(VLOOKUP(tbl_Data_old[[#This Row],[All_Programs]],'1. Set Program Names'!$B$2:$D$15,3,0)*tbl_Data_old[[#This Row],[Sum of Annuals]],"")</f>
        <v/>
      </c>
      <c r="AX605" s="4">
        <f>tbl_Data_old[[#This Row],[per unit IRA tax ($)]]/tbl_Data_old[[#This Row],[kWh Savings]]*tbl_Data_old[[#This Row],[Sum of Annuals]]</f>
        <v>0</v>
      </c>
      <c r="AY605" s="4">
        <f>tbl_Data_old[[#This Row],[Avoided Costs ($/unit)]]/tbl_Data_old[[#This Row],[kWh Savings]]*tbl_Data_old[[#This Row],[Sum of Annuals]]</f>
        <v>21.105733984006189</v>
      </c>
      <c r="AZ605" s="4">
        <f>tbl_Data_old[[#This Row],[Lost Revenue ($/unit)]]/tbl_Data_old[[#This Row],[kWh Savings]]*tbl_Data_old[[#This Row],[Sum of Annuals]]</f>
        <v>44.498885910980157</v>
      </c>
      <c r="BA605" s="4">
        <f>tbl_Data_old[[#This Row],[Incremental Cost ($/unit)]]/tbl_Data_old[[#This Row],[kWh Savings]]*tbl_Data_old[[#This Row],[Sum of Annuals]]</f>
        <v>19.730485926496648</v>
      </c>
      <c r="BB605">
        <f>ROUNDUP(tbl_Data_old[[#This Row],[Adjusted 2025]]/$L605,0)</f>
        <v>1</v>
      </c>
      <c r="BC605">
        <f>ROUNDUP(tbl_Data_old[[#This Row],[Adjusted 2026]]/$L605,0)</f>
        <v>1</v>
      </c>
      <c r="BD605">
        <f>ROUNDUP(tbl_Data_old[[#This Row],[Adjusted 2027]]/$L605,0)</f>
        <v>1</v>
      </c>
      <c r="BE605">
        <f>ROUNDUP(tbl_Data_old[[#This Row],[Adjusted 2028]]/$L605,0)</f>
        <v>1</v>
      </c>
      <c r="BF605">
        <f>ROUNDUP(tbl_Data_old[[#This Row],[Adjusted 2029]]/$L605,0)</f>
        <v>1</v>
      </c>
      <c r="BG605">
        <f>ROUNDUP(tbl_Data_old[[#This Row],[Adjusted 2030]]/$L605,0)</f>
        <v>1</v>
      </c>
      <c r="BH605">
        <f>ROUNDUP(tbl_Data_old[[#This Row],[Adjusted 2031]]/$L605,0)</f>
        <v>1</v>
      </c>
      <c r="BI605">
        <f>ROUNDUP(tbl_Data_old[[#This Row],[Adjusted 2032]]/$L605,0)</f>
        <v>1</v>
      </c>
      <c r="BJ605">
        <f>ROUNDUP(tbl_Data_old[[#This Row],[Adjusted 2033]]/$L605,0)</f>
        <v>1</v>
      </c>
      <c r="BK605">
        <f>ROUNDUP(tbl_Data_old[[#This Row],[Adjusted 2034]]/$L605,0)</f>
        <v>1</v>
      </c>
      <c r="BL605" s="3">
        <f t="shared" si="41"/>
        <v>0</v>
      </c>
      <c r="BM605" s="3">
        <f t="shared" si="41"/>
        <v>0</v>
      </c>
      <c r="BN605" s="3">
        <f t="shared" si="41"/>
        <v>0</v>
      </c>
      <c r="BO605" s="3">
        <f t="shared" si="41"/>
        <v>0</v>
      </c>
      <c r="BP605" s="3">
        <f t="shared" si="41"/>
        <v>0</v>
      </c>
      <c r="BQ605" s="3">
        <f t="shared" si="40"/>
        <v>0</v>
      </c>
      <c r="BR605" s="3">
        <f t="shared" si="40"/>
        <v>0</v>
      </c>
      <c r="BS605" s="3">
        <f t="shared" si="40"/>
        <v>0</v>
      </c>
      <c r="BT605" s="3">
        <f t="shared" si="40"/>
        <v>0</v>
      </c>
      <c r="BU605" s="3">
        <f t="shared" si="40"/>
        <v>0</v>
      </c>
      <c r="BV605" t="e">
        <f>VLOOKUP($H605,'1. Set Program Names'!$B$2:$D$15,3,0)*V605</f>
        <v>#N/A</v>
      </c>
      <c r="BW605" t="e">
        <f>VLOOKUP($H605,'1. Set Program Names'!$B$2:$D$15,3,0)*W605</f>
        <v>#N/A</v>
      </c>
      <c r="BX605" t="e">
        <f>VLOOKUP($H605,'1. Set Program Names'!$B$2:$D$15,3,0)*X605</f>
        <v>#N/A</v>
      </c>
      <c r="BY605" t="e">
        <f>VLOOKUP($H605,'1. Set Program Names'!$B$2:$D$15,3,0)*Y605</f>
        <v>#N/A</v>
      </c>
      <c r="BZ605" t="e">
        <f>VLOOKUP($H605,'1. Set Program Names'!$B$2:$D$15,3,0)*Z605</f>
        <v>#N/A</v>
      </c>
      <c r="CA605" t="e">
        <f>VLOOKUP($H605,'1. Set Program Names'!$B$2:$D$15,3,0)*AA605</f>
        <v>#N/A</v>
      </c>
      <c r="CB605" t="e">
        <f>VLOOKUP($H605,'1. Set Program Names'!$B$2:$D$15,3,0)*AB605</f>
        <v>#N/A</v>
      </c>
      <c r="CC605" t="e">
        <f>VLOOKUP($H605,'1. Set Program Names'!$B$2:$D$15,3,0)*AC605</f>
        <v>#N/A</v>
      </c>
      <c r="CD605" t="e">
        <f>VLOOKUP($H605,'1. Set Program Names'!$B$2:$D$15,3,0)*AD605</f>
        <v>#N/A</v>
      </c>
      <c r="CE605" t="e">
        <f>VLOOKUP($H605,'1. Set Program Names'!$B$2:$D$15,3,0)*AE605</f>
        <v>#N/A</v>
      </c>
    </row>
    <row r="606" spans="1:83" x14ac:dyDescent="0.25">
      <c r="A606" s="20" t="s">
        <v>114</v>
      </c>
      <c r="B606" s="20" t="s">
        <v>88</v>
      </c>
      <c r="C606" s="20" t="s">
        <v>122</v>
      </c>
      <c r="D606" s="20" t="s">
        <v>90</v>
      </c>
      <c r="E606" s="20" t="s">
        <v>91</v>
      </c>
      <c r="F606" s="20" t="s">
        <v>90</v>
      </c>
      <c r="G606" s="20" t="s">
        <v>92</v>
      </c>
      <c r="H606" s="20" t="s">
        <v>268</v>
      </c>
      <c r="I606" s="20" t="s">
        <v>138</v>
      </c>
      <c r="J606" s="20" t="s">
        <v>124</v>
      </c>
      <c r="K606" s="20" t="s">
        <v>98</v>
      </c>
      <c r="L606" s="20">
        <v>4708.5</v>
      </c>
      <c r="M606" s="20">
        <v>0.683430781395169</v>
      </c>
      <c r="N606" s="20">
        <v>0.60632419999120102</v>
      </c>
      <c r="O606" s="20">
        <v>1154.6399999999901</v>
      </c>
      <c r="P606" s="20">
        <v>186.06881936911</v>
      </c>
      <c r="Q606" s="20">
        <v>4.7084999999999999</v>
      </c>
      <c r="R606" s="20">
        <v>1872.3805627056299</v>
      </c>
      <c r="S606" s="20">
        <v>4412.8842644638298</v>
      </c>
      <c r="T606" s="20">
        <v>12</v>
      </c>
      <c r="U606" s="20">
        <v>1</v>
      </c>
      <c r="V606" s="20">
        <v>4.47226352881927</v>
      </c>
      <c r="W606" s="20">
        <v>6.1865987041501302</v>
      </c>
      <c r="X606" s="20">
        <v>8.1135772461709106</v>
      </c>
      <c r="Y606" s="20">
        <v>10.172437158656599</v>
      </c>
      <c r="Z606" s="20">
        <v>12.2002812110631</v>
      </c>
      <c r="AA606" s="20">
        <v>14.0257853458514</v>
      </c>
      <c r="AB606" s="20">
        <v>15.5388474348862</v>
      </c>
      <c r="AC606" s="20">
        <v>16.739681602862898</v>
      </c>
      <c r="AD606" s="20">
        <v>17.675082020776902</v>
      </c>
      <c r="AE606" s="20">
        <v>18.3861731801695</v>
      </c>
      <c r="AF606" t="str">
        <f t="shared" si="39"/>
        <v>NonResidential</v>
      </c>
      <c r="AG606" t="str">
        <f>tbl_Data_old[[#This Row],[All_Meas_Name_Append]]</f>
        <v>Energy Star Commercial Glass Door Freezer</v>
      </c>
      <c r="AH606">
        <f>AVERAGEIFS('3. Incentive Adjustment'!G:G,'3. Incentive Adjustment'!A:A,tbl_Data_old[[#This Row],[Trimmed Sector]],'3. Incentive Adjustment'!B:B,tbl_Data_old[[#This Row],[Trimmed Measure Name]])</f>
        <v>0.90098363397891501</v>
      </c>
      <c r="AI606">
        <f>$AH606*tbl_Data_old[[#This Row],[2025 ]]</f>
        <v>4.0294362463069522</v>
      </c>
      <c r="AJ606">
        <f>$AH606*tbl_Data_old[[#This Row],[2026 ]]</f>
        <v>5.5740241824344308</v>
      </c>
      <c r="AK606">
        <f>$AH606*tbl_Data_old[[#This Row],[2027 ]]</f>
        <v>7.3102003118237047</v>
      </c>
      <c r="AL606">
        <f>$AH606*tbl_Data_old[[#This Row],[2028 ]]</f>
        <v>9.1651993976285713</v>
      </c>
      <c r="AM606">
        <f>$AH606*tbl_Data_old[[#This Row],[2029 ]]</f>
        <v>10.992253701108309</v>
      </c>
      <c r="AN606">
        <f>$AH606*tbl_Data_old[[#This Row],[2030 ]]</f>
        <v>12.637003050313407</v>
      </c>
      <c r="AO606">
        <f>$AH606*tbl_Data_old[[#This Row],[2031 ]]</f>
        <v>14.000247229727711</v>
      </c>
      <c r="AP606">
        <f>$AH606*tbl_Data_old[[#This Row],[2032 ]]</f>
        <v>15.082179162197402</v>
      </c>
      <c r="AQ606">
        <f>$AH606*tbl_Data_old[[#This Row],[2033 ]]</f>
        <v>15.924959629954957</v>
      </c>
      <c r="AR606">
        <f>$AH606*tbl_Data_old[[#This Row],[2034 ]]</f>
        <v>16.56564112683478</v>
      </c>
      <c r="AS606">
        <f>SUM(tbl_Data_old[[#This Row],[Adjusted 2025]:[Adjusted 2034]])</f>
        <v>111.28114403833021</v>
      </c>
      <c r="AT606" s="3">
        <f>AVERAGEIFS('3. Incentive Adjustment'!F:F,'3. Incentive Adjustment'!A:A,tbl_Data_old[[#This Row],[Trimmed Sector]],'3. Incentive Adjustment'!B:B,tbl_Data_old[[#This Row],[Trimmed Measure Name]])</f>
        <v>0</v>
      </c>
      <c r="AU606" s="3">
        <f>IFERROR(VLOOKUP(tbl_Data_old[[#This Row],[All_Meas_Name_Append]],'IRA Tax Credits'!$A$3:$D$46,4,0),0)</f>
        <v>0</v>
      </c>
      <c r="AV606" s="4">
        <f>tbl_Data_old[[#This Row],[Adj. per unit Incentive ($)]]/tbl_Data_old[[#This Row],[kWh Savings]]*tbl_Data_old[[#This Row],[Sum of Annuals]]</f>
        <v>0</v>
      </c>
      <c r="AW606" s="4" t="str">
        <f>IFERROR(VLOOKUP(tbl_Data_old[[#This Row],[All_Programs]],'1. Set Program Names'!$B$2:$D$15,3,0)*tbl_Data_old[[#This Row],[Sum of Annuals]],"")</f>
        <v/>
      </c>
      <c r="AX606" s="4">
        <f>tbl_Data_old[[#This Row],[per unit IRA tax ($)]]/tbl_Data_old[[#This Row],[kWh Savings]]*tbl_Data_old[[#This Row],[Sum of Annuals]]</f>
        <v>0</v>
      </c>
      <c r="AY606" s="4">
        <f>tbl_Data_old[[#This Row],[Avoided Costs ($/unit)]]/tbl_Data_old[[#This Row],[kWh Savings]]*tbl_Data_old[[#This Row],[Sum of Annuals]]</f>
        <v>44.252023169377715</v>
      </c>
      <c r="AZ606" s="4">
        <f>tbl_Data_old[[#This Row],[Lost Revenue ($/unit)]]/tbl_Data_old[[#This Row],[kWh Savings]]*tbl_Data_old[[#This Row],[Sum of Annuals]]</f>
        <v>104.29453317580553</v>
      </c>
      <c r="BA606" s="4">
        <f>tbl_Data_old[[#This Row],[Incremental Cost ($/unit)]]/tbl_Data_old[[#This Row],[kWh Savings]]*tbl_Data_old[[#This Row],[Sum of Annuals]]</f>
        <v>27.288873346589465</v>
      </c>
      <c r="BB606">
        <f>ROUNDUP(tbl_Data_old[[#This Row],[Adjusted 2025]]/$L606,0)</f>
        <v>1</v>
      </c>
      <c r="BC606">
        <f>ROUNDUP(tbl_Data_old[[#This Row],[Adjusted 2026]]/$L606,0)</f>
        <v>1</v>
      </c>
      <c r="BD606">
        <f>ROUNDUP(tbl_Data_old[[#This Row],[Adjusted 2027]]/$L606,0)</f>
        <v>1</v>
      </c>
      <c r="BE606">
        <f>ROUNDUP(tbl_Data_old[[#This Row],[Adjusted 2028]]/$L606,0)</f>
        <v>1</v>
      </c>
      <c r="BF606">
        <f>ROUNDUP(tbl_Data_old[[#This Row],[Adjusted 2029]]/$L606,0)</f>
        <v>1</v>
      </c>
      <c r="BG606">
        <f>ROUNDUP(tbl_Data_old[[#This Row],[Adjusted 2030]]/$L606,0)</f>
        <v>1</v>
      </c>
      <c r="BH606">
        <f>ROUNDUP(tbl_Data_old[[#This Row],[Adjusted 2031]]/$L606,0)</f>
        <v>1</v>
      </c>
      <c r="BI606">
        <f>ROUNDUP(tbl_Data_old[[#This Row],[Adjusted 2032]]/$L606,0)</f>
        <v>1</v>
      </c>
      <c r="BJ606">
        <f>ROUNDUP(tbl_Data_old[[#This Row],[Adjusted 2033]]/$L606,0)</f>
        <v>1</v>
      </c>
      <c r="BK606">
        <f>ROUNDUP(tbl_Data_old[[#This Row],[Adjusted 2034]]/$L606,0)</f>
        <v>1</v>
      </c>
      <c r="BL606" s="3">
        <f t="shared" si="41"/>
        <v>0</v>
      </c>
      <c r="BM606" s="3">
        <f t="shared" si="41"/>
        <v>0</v>
      </c>
      <c r="BN606" s="3">
        <f t="shared" si="41"/>
        <v>0</v>
      </c>
      <c r="BO606" s="3">
        <f t="shared" si="41"/>
        <v>0</v>
      </c>
      <c r="BP606" s="3">
        <f t="shared" si="41"/>
        <v>0</v>
      </c>
      <c r="BQ606" s="3">
        <f t="shared" si="40"/>
        <v>0</v>
      </c>
      <c r="BR606" s="3">
        <f t="shared" si="40"/>
        <v>0</v>
      </c>
      <c r="BS606" s="3">
        <f t="shared" si="40"/>
        <v>0</v>
      </c>
      <c r="BT606" s="3">
        <f t="shared" si="40"/>
        <v>0</v>
      </c>
      <c r="BU606" s="3">
        <f t="shared" si="40"/>
        <v>0</v>
      </c>
      <c r="BV606" t="e">
        <f>VLOOKUP($H606,'1. Set Program Names'!$B$2:$D$15,3,0)*V606</f>
        <v>#N/A</v>
      </c>
      <c r="BW606" t="e">
        <f>VLOOKUP($H606,'1. Set Program Names'!$B$2:$D$15,3,0)*W606</f>
        <v>#N/A</v>
      </c>
      <c r="BX606" t="e">
        <f>VLOOKUP($H606,'1. Set Program Names'!$B$2:$D$15,3,0)*X606</f>
        <v>#N/A</v>
      </c>
      <c r="BY606" t="e">
        <f>VLOOKUP($H606,'1. Set Program Names'!$B$2:$D$15,3,0)*Y606</f>
        <v>#N/A</v>
      </c>
      <c r="BZ606" t="e">
        <f>VLOOKUP($H606,'1. Set Program Names'!$B$2:$D$15,3,0)*Z606</f>
        <v>#N/A</v>
      </c>
      <c r="CA606" t="e">
        <f>VLOOKUP($H606,'1. Set Program Names'!$B$2:$D$15,3,0)*AA606</f>
        <v>#N/A</v>
      </c>
      <c r="CB606" t="e">
        <f>VLOOKUP($H606,'1. Set Program Names'!$B$2:$D$15,3,0)*AB606</f>
        <v>#N/A</v>
      </c>
      <c r="CC606" t="e">
        <f>VLOOKUP($H606,'1. Set Program Names'!$B$2:$D$15,3,0)*AC606</f>
        <v>#N/A</v>
      </c>
      <c r="CD606" t="e">
        <f>VLOOKUP($H606,'1. Set Program Names'!$B$2:$D$15,3,0)*AD606</f>
        <v>#N/A</v>
      </c>
      <c r="CE606" t="e">
        <f>VLOOKUP($H606,'1. Set Program Names'!$B$2:$D$15,3,0)*AE606</f>
        <v>#N/A</v>
      </c>
    </row>
    <row r="607" spans="1:83" x14ac:dyDescent="0.25">
      <c r="A607" s="20" t="s">
        <v>114</v>
      </c>
      <c r="B607" s="20" t="s">
        <v>88</v>
      </c>
      <c r="C607" s="20" t="s">
        <v>122</v>
      </c>
      <c r="D607" s="20" t="s">
        <v>90</v>
      </c>
      <c r="E607" s="20" t="s">
        <v>91</v>
      </c>
      <c r="F607" s="20" t="s">
        <v>90</v>
      </c>
      <c r="G607" s="20" t="s">
        <v>92</v>
      </c>
      <c r="H607" s="20" t="s">
        <v>268</v>
      </c>
      <c r="I607" s="20" t="s">
        <v>139</v>
      </c>
      <c r="J607" s="20" t="s">
        <v>134</v>
      </c>
      <c r="K607" s="20" t="s">
        <v>98</v>
      </c>
      <c r="L607" s="20">
        <v>1937</v>
      </c>
      <c r="M607" s="20">
        <v>0.24908899441118301</v>
      </c>
      <c r="N607" s="20">
        <v>0.21233623172368499</v>
      </c>
      <c r="O607" s="20">
        <v>631.37</v>
      </c>
      <c r="P607" s="20">
        <v>232.91563515301399</v>
      </c>
      <c r="Q607" s="20">
        <v>1.9370000000000001</v>
      </c>
      <c r="R607" s="20">
        <v>770.86000119756204</v>
      </c>
      <c r="S607" s="20">
        <v>2270.0548686653701</v>
      </c>
      <c r="T607" s="20">
        <v>17</v>
      </c>
      <c r="U607" s="20">
        <v>1</v>
      </c>
      <c r="V607" s="20">
        <v>1.3453224027487201</v>
      </c>
      <c r="W607" s="20">
        <v>1.8317095819665199</v>
      </c>
      <c r="X607" s="20">
        <v>2.3611026865159301</v>
      </c>
      <c r="Y607" s="20">
        <v>2.90774980337837</v>
      </c>
      <c r="Z607" s="20">
        <v>3.4265576254297199</v>
      </c>
      <c r="AA607" s="20">
        <v>3.8746329337121899</v>
      </c>
      <c r="AB607" s="20">
        <v>4.2295050379336496</v>
      </c>
      <c r="AC607" s="20">
        <v>4.49787951503468</v>
      </c>
      <c r="AD607" s="20">
        <v>4.6958192375856003</v>
      </c>
      <c r="AE607" s="20">
        <v>4.8363284677156102</v>
      </c>
      <c r="AF607" t="str">
        <f t="shared" si="39"/>
        <v>NonResidential</v>
      </c>
      <c r="AG607" t="str">
        <f>tbl_Data_old[[#This Row],[All_Meas_Name_Append]]</f>
        <v>Energy Star convection oven</v>
      </c>
      <c r="AH607">
        <f>AVERAGEIFS('3. Incentive Adjustment'!G:G,'3. Incentive Adjustment'!A:A,tbl_Data_old[[#This Row],[Trimmed Sector]],'3. Incentive Adjustment'!B:B,tbl_Data_old[[#This Row],[Trimmed Measure Name]])</f>
        <v>0.72813370493976592</v>
      </c>
      <c r="AI607">
        <f>$AH607*tbl_Data_old[[#This Row],[2025 ]]</f>
        <v>0.97957458545189346</v>
      </c>
      <c r="AJ607">
        <f>$AH607*tbl_Data_old[[#This Row],[2026 ]]</f>
        <v>1.3337294842909519</v>
      </c>
      <c r="AK607">
        <f>$AH607*tbl_Data_old[[#This Row],[2027 ]]</f>
        <v>1.7191984468760788</v>
      </c>
      <c r="AL607">
        <f>$AH607*tbl_Data_old[[#This Row],[2028 ]]</f>
        <v>2.1172306373717684</v>
      </c>
      <c r="AM607">
        <f>$AH607*tbl_Data_old[[#This Row],[2029 ]]</f>
        <v>2.4949920989937486</v>
      </c>
      <c r="AN607">
        <f>$AH607*tbl_Data_old[[#This Row],[2030 ]]</f>
        <v>2.8212508333054913</v>
      </c>
      <c r="AO607">
        <f>$AH607*tbl_Data_old[[#This Row],[2031 ]]</f>
        <v>3.0796451733320334</v>
      </c>
      <c r="AP607">
        <f>$AH607*tbl_Data_old[[#This Row],[2032 ]]</f>
        <v>3.275057675654879</v>
      </c>
      <c r="AQ607">
        <f>$AH607*tbl_Data_old[[#This Row],[2033 ]]</f>
        <v>3.4191842591906298</v>
      </c>
      <c r="AR607">
        <f>$AH607*tbl_Data_old[[#This Row],[2034 ]]</f>
        <v>3.5214937655034282</v>
      </c>
      <c r="AS607">
        <f>SUM(tbl_Data_old[[#This Row],[Adjusted 2025]:[Adjusted 2034]])</f>
        <v>24.761356959970904</v>
      </c>
      <c r="AT607" s="3">
        <f>AVERAGEIFS('3. Incentive Adjustment'!F:F,'3. Incentive Adjustment'!A:A,tbl_Data_old[[#This Row],[Trimmed Sector]],'3. Incentive Adjustment'!B:B,tbl_Data_old[[#This Row],[Trimmed Measure Name]])</f>
        <v>0</v>
      </c>
      <c r="AU607" s="3">
        <f>IFERROR(VLOOKUP(tbl_Data_old[[#This Row],[All_Meas_Name_Append]],'IRA Tax Credits'!$A$3:$D$46,4,0),0)</f>
        <v>0</v>
      </c>
      <c r="AV607" s="4">
        <f>tbl_Data_old[[#This Row],[Adj. per unit Incentive ($)]]/tbl_Data_old[[#This Row],[kWh Savings]]*tbl_Data_old[[#This Row],[Sum of Annuals]]</f>
        <v>0</v>
      </c>
      <c r="AW607" s="4" t="str">
        <f>IFERROR(VLOOKUP(tbl_Data_old[[#This Row],[All_Programs]],'1. Set Program Names'!$B$2:$D$15,3,0)*tbl_Data_old[[#This Row],[Sum of Annuals]],"")</f>
        <v/>
      </c>
      <c r="AX607" s="4">
        <f>tbl_Data_old[[#This Row],[per unit IRA tax ($)]]/tbl_Data_old[[#This Row],[kWh Savings]]*tbl_Data_old[[#This Row],[Sum of Annuals]]</f>
        <v>0</v>
      </c>
      <c r="AY607" s="4">
        <f>tbl_Data_old[[#This Row],[Avoided Costs ($/unit)]]/tbl_Data_old[[#This Row],[kWh Savings]]*tbl_Data_old[[#This Row],[Sum of Annuals]]</f>
        <v>9.8541763840043526</v>
      </c>
      <c r="AZ607" s="4">
        <f>tbl_Data_old[[#This Row],[Lost Revenue ($/unit)]]/tbl_Data_old[[#This Row],[kWh Savings]]*tbl_Data_old[[#This Row],[Sum of Annuals]]</f>
        <v>29.018915292588076</v>
      </c>
      <c r="BA607" s="4">
        <f>tbl_Data_old[[#This Row],[Incremental Cost ($/unit)]]/tbl_Data_old[[#This Row],[kWh Savings]]*tbl_Data_old[[#This Row],[Sum of Annuals]]</f>
        <v>8.0710263003700717</v>
      </c>
      <c r="BB607">
        <f>ROUNDUP(tbl_Data_old[[#This Row],[Adjusted 2025]]/$L607,0)</f>
        <v>1</v>
      </c>
      <c r="BC607">
        <f>ROUNDUP(tbl_Data_old[[#This Row],[Adjusted 2026]]/$L607,0)</f>
        <v>1</v>
      </c>
      <c r="BD607">
        <f>ROUNDUP(tbl_Data_old[[#This Row],[Adjusted 2027]]/$L607,0)</f>
        <v>1</v>
      </c>
      <c r="BE607">
        <f>ROUNDUP(tbl_Data_old[[#This Row],[Adjusted 2028]]/$L607,0)</f>
        <v>1</v>
      </c>
      <c r="BF607">
        <f>ROUNDUP(tbl_Data_old[[#This Row],[Adjusted 2029]]/$L607,0)</f>
        <v>1</v>
      </c>
      <c r="BG607">
        <f>ROUNDUP(tbl_Data_old[[#This Row],[Adjusted 2030]]/$L607,0)</f>
        <v>1</v>
      </c>
      <c r="BH607">
        <f>ROUNDUP(tbl_Data_old[[#This Row],[Adjusted 2031]]/$L607,0)</f>
        <v>1</v>
      </c>
      <c r="BI607">
        <f>ROUNDUP(tbl_Data_old[[#This Row],[Adjusted 2032]]/$L607,0)</f>
        <v>1</v>
      </c>
      <c r="BJ607">
        <f>ROUNDUP(tbl_Data_old[[#This Row],[Adjusted 2033]]/$L607,0)</f>
        <v>1</v>
      </c>
      <c r="BK607">
        <f>ROUNDUP(tbl_Data_old[[#This Row],[Adjusted 2034]]/$L607,0)</f>
        <v>1</v>
      </c>
      <c r="BL607" s="3">
        <f t="shared" si="41"/>
        <v>0</v>
      </c>
      <c r="BM607" s="3">
        <f t="shared" si="41"/>
        <v>0</v>
      </c>
      <c r="BN607" s="3">
        <f t="shared" si="41"/>
        <v>0</v>
      </c>
      <c r="BO607" s="3">
        <f t="shared" si="41"/>
        <v>0</v>
      </c>
      <c r="BP607" s="3">
        <f t="shared" si="41"/>
        <v>0</v>
      </c>
      <c r="BQ607" s="3">
        <f t="shared" si="40"/>
        <v>0</v>
      </c>
      <c r="BR607" s="3">
        <f t="shared" si="40"/>
        <v>0</v>
      </c>
      <c r="BS607" s="3">
        <f t="shared" si="40"/>
        <v>0</v>
      </c>
      <c r="BT607" s="3">
        <f t="shared" si="40"/>
        <v>0</v>
      </c>
      <c r="BU607" s="3">
        <f t="shared" si="40"/>
        <v>0</v>
      </c>
      <c r="BV607" t="e">
        <f>VLOOKUP($H607,'1. Set Program Names'!$B$2:$D$15,3,0)*V607</f>
        <v>#N/A</v>
      </c>
      <c r="BW607" t="e">
        <f>VLOOKUP($H607,'1. Set Program Names'!$B$2:$D$15,3,0)*W607</f>
        <v>#N/A</v>
      </c>
      <c r="BX607" t="e">
        <f>VLOOKUP($H607,'1. Set Program Names'!$B$2:$D$15,3,0)*X607</f>
        <v>#N/A</v>
      </c>
      <c r="BY607" t="e">
        <f>VLOOKUP($H607,'1. Set Program Names'!$B$2:$D$15,3,0)*Y607</f>
        <v>#N/A</v>
      </c>
      <c r="BZ607" t="e">
        <f>VLOOKUP($H607,'1. Set Program Names'!$B$2:$D$15,3,0)*Z607</f>
        <v>#N/A</v>
      </c>
      <c r="CA607" t="e">
        <f>VLOOKUP($H607,'1. Set Program Names'!$B$2:$D$15,3,0)*AA607</f>
        <v>#N/A</v>
      </c>
      <c r="CB607" t="e">
        <f>VLOOKUP($H607,'1. Set Program Names'!$B$2:$D$15,3,0)*AB607</f>
        <v>#N/A</v>
      </c>
      <c r="CC607" t="e">
        <f>VLOOKUP($H607,'1. Set Program Names'!$B$2:$D$15,3,0)*AC607</f>
        <v>#N/A</v>
      </c>
      <c r="CD607" t="e">
        <f>VLOOKUP($H607,'1. Set Program Names'!$B$2:$D$15,3,0)*AD607</f>
        <v>#N/A</v>
      </c>
      <c r="CE607" t="e">
        <f>VLOOKUP($H607,'1. Set Program Names'!$B$2:$D$15,3,0)*AE607</f>
        <v>#N/A</v>
      </c>
    </row>
    <row r="608" spans="1:83" x14ac:dyDescent="0.25">
      <c r="A608" s="20" t="s">
        <v>114</v>
      </c>
      <c r="B608" s="20" t="s">
        <v>88</v>
      </c>
      <c r="C608" s="20" t="s">
        <v>122</v>
      </c>
      <c r="D608" s="20" t="s">
        <v>90</v>
      </c>
      <c r="E608" s="20" t="s">
        <v>91</v>
      </c>
      <c r="F608" s="20" t="s">
        <v>90</v>
      </c>
      <c r="G608" s="20" t="s">
        <v>92</v>
      </c>
      <c r="H608" s="20" t="s">
        <v>268</v>
      </c>
      <c r="I608" s="20" t="s">
        <v>140</v>
      </c>
      <c r="J608" s="20" t="s">
        <v>129</v>
      </c>
      <c r="K608" s="20" t="s">
        <v>98</v>
      </c>
      <c r="L608" s="20">
        <v>145.64999999999901</v>
      </c>
      <c r="M608" s="20">
        <v>4.8385631271840701E-2</v>
      </c>
      <c r="N608" s="20">
        <v>0</v>
      </c>
      <c r="O608" s="20">
        <v>41.15</v>
      </c>
      <c r="P608" s="20">
        <v>12.5942011456304</v>
      </c>
      <c r="Q608" s="20">
        <v>0.145649999999999</v>
      </c>
      <c r="R608" s="20">
        <v>71.795310497711</v>
      </c>
      <c r="S608" s="20">
        <v>136.505594800712</v>
      </c>
      <c r="T608" s="20">
        <v>12</v>
      </c>
      <c r="U608" s="20">
        <v>1</v>
      </c>
      <c r="V608" s="20">
        <v>54.518820451286601</v>
      </c>
      <c r="W608" s="20">
        <v>58.821242921061</v>
      </c>
      <c r="X608" s="20">
        <v>62.247511073841899</v>
      </c>
      <c r="Y608" s="20">
        <v>65.239530075421598</v>
      </c>
      <c r="Z608" s="20">
        <v>67.837850820322998</v>
      </c>
      <c r="AA608" s="20">
        <v>70.059010781803096</v>
      </c>
      <c r="AB608" s="20">
        <v>71.993480141326799</v>
      </c>
      <c r="AC608" s="20">
        <v>73.849726507806807</v>
      </c>
      <c r="AD608" s="20">
        <v>75.710655570418893</v>
      </c>
      <c r="AE608" s="20">
        <v>77.505598891830701</v>
      </c>
      <c r="AF608" t="str">
        <f t="shared" si="39"/>
        <v>NonResidential</v>
      </c>
      <c r="AG608" t="str">
        <f>tbl_Data_old[[#This Row],[All_Meas_Name_Append]]</f>
        <v>Energy Star room AC_137</v>
      </c>
      <c r="AH608">
        <f>AVERAGEIFS('3. Incentive Adjustment'!G:G,'3. Incentive Adjustment'!A:A,tbl_Data_old[[#This Row],[Trimmed Sector]],'3. Incentive Adjustment'!B:B,tbl_Data_old[[#This Row],[Trimmed Measure Name]])</f>
        <v>0.79600466062818009</v>
      </c>
      <c r="AI608">
        <f>$AH608*tbl_Data_old[[#This Row],[2025 ]]</f>
        <v>43.397235171175076</v>
      </c>
      <c r="AJ608">
        <f>$AH608*tbl_Data_old[[#This Row],[2026 ]]</f>
        <v>46.8219835091069</v>
      </c>
      <c r="AK608">
        <f>$AH608*tbl_Data_old[[#This Row],[2027 ]]</f>
        <v>49.549308927282404</v>
      </c>
      <c r="AL608">
        <f>$AH608*tbl_Data_old[[#This Row],[2028 ]]</f>
        <v>51.930969997227919</v>
      </c>
      <c r="AM608">
        <f>$AH608*tbl_Data_old[[#This Row],[2029 ]]</f>
        <v>53.999245419976319</v>
      </c>
      <c r="AN608">
        <f>$AH608*tbl_Data_old[[#This Row],[2030 ]]</f>
        <v>55.767299101315182</v>
      </c>
      <c r="AO608">
        <f>$AH608*tbl_Data_old[[#This Row],[2031 ]]</f>
        <v>57.307145727338465</v>
      </c>
      <c r="AP608">
        <f>$AH608*tbl_Data_old[[#This Row],[2032 ]]</f>
        <v>58.784726486330676</v>
      </c>
      <c r="AQ608">
        <f>$AH608*tbl_Data_old[[#This Row],[2033 ]]</f>
        <v>60.266034693268324</v>
      </c>
      <c r="AR608">
        <f>$AH608*tbl_Data_old[[#This Row],[2034 ]]</f>
        <v>61.694817942675549</v>
      </c>
      <c r="AS608">
        <f>SUM(tbl_Data_old[[#This Row],[Adjusted 2025]:[Adjusted 2034]])</f>
        <v>539.51876697569674</v>
      </c>
      <c r="AT608" s="3">
        <f>AVERAGEIFS('3. Incentive Adjustment'!F:F,'3. Incentive Adjustment'!A:A,tbl_Data_old[[#This Row],[Trimmed Sector]],'3. Incentive Adjustment'!B:B,tbl_Data_old[[#This Row],[Trimmed Measure Name]])</f>
        <v>0</v>
      </c>
      <c r="AU608" s="3">
        <f>IFERROR(VLOOKUP(tbl_Data_old[[#This Row],[All_Meas_Name_Append]],'IRA Tax Credits'!$A$3:$D$46,4,0),0)</f>
        <v>0</v>
      </c>
      <c r="AV608" s="4">
        <f>tbl_Data_old[[#This Row],[Adj. per unit Incentive ($)]]/tbl_Data_old[[#This Row],[kWh Savings]]*tbl_Data_old[[#This Row],[Sum of Annuals]]</f>
        <v>0</v>
      </c>
      <c r="AW608" s="4" t="str">
        <f>IFERROR(VLOOKUP(tbl_Data_old[[#This Row],[All_Programs]],'1. Set Program Names'!$B$2:$D$15,3,0)*tbl_Data_old[[#This Row],[Sum of Annuals]],"")</f>
        <v/>
      </c>
      <c r="AX608" s="4">
        <f>tbl_Data_old[[#This Row],[per unit IRA tax ($)]]/tbl_Data_old[[#This Row],[kWh Savings]]*tbl_Data_old[[#This Row],[Sum of Annuals]]</f>
        <v>0</v>
      </c>
      <c r="AY608" s="4">
        <f>tbl_Data_old[[#This Row],[Avoided Costs ($/unit)]]/tbl_Data_old[[#This Row],[kWh Savings]]*tbl_Data_old[[#This Row],[Sum of Annuals]]</f>
        <v>265.94519323283623</v>
      </c>
      <c r="AZ608" s="4">
        <f>tbl_Data_old[[#This Row],[Lost Revenue ($/unit)]]/tbl_Data_old[[#This Row],[kWh Savings]]*tbl_Data_old[[#This Row],[Sum of Annuals]]</f>
        <v>505.6459333481958</v>
      </c>
      <c r="BA608" s="4">
        <f>tbl_Data_old[[#This Row],[Incremental Cost ($/unit)]]/tbl_Data_old[[#This Row],[kWh Savings]]*tbl_Data_old[[#This Row],[Sum of Annuals]]</f>
        <v>152.42840549982884</v>
      </c>
      <c r="BB608">
        <f>ROUNDUP(tbl_Data_old[[#This Row],[Adjusted 2025]]/$L608,0)</f>
        <v>1</v>
      </c>
      <c r="BC608">
        <f>ROUNDUP(tbl_Data_old[[#This Row],[Adjusted 2026]]/$L608,0)</f>
        <v>1</v>
      </c>
      <c r="BD608">
        <f>ROUNDUP(tbl_Data_old[[#This Row],[Adjusted 2027]]/$L608,0)</f>
        <v>1</v>
      </c>
      <c r="BE608">
        <f>ROUNDUP(tbl_Data_old[[#This Row],[Adjusted 2028]]/$L608,0)</f>
        <v>1</v>
      </c>
      <c r="BF608">
        <f>ROUNDUP(tbl_Data_old[[#This Row],[Adjusted 2029]]/$L608,0)</f>
        <v>1</v>
      </c>
      <c r="BG608">
        <f>ROUNDUP(tbl_Data_old[[#This Row],[Adjusted 2030]]/$L608,0)</f>
        <v>1</v>
      </c>
      <c r="BH608">
        <f>ROUNDUP(tbl_Data_old[[#This Row],[Adjusted 2031]]/$L608,0)</f>
        <v>1</v>
      </c>
      <c r="BI608">
        <f>ROUNDUP(tbl_Data_old[[#This Row],[Adjusted 2032]]/$L608,0)</f>
        <v>1</v>
      </c>
      <c r="BJ608">
        <f>ROUNDUP(tbl_Data_old[[#This Row],[Adjusted 2033]]/$L608,0)</f>
        <v>1</v>
      </c>
      <c r="BK608">
        <f>ROUNDUP(tbl_Data_old[[#This Row],[Adjusted 2034]]/$L608,0)</f>
        <v>1</v>
      </c>
      <c r="BL608" s="3">
        <f t="shared" si="41"/>
        <v>0</v>
      </c>
      <c r="BM608" s="3">
        <f t="shared" si="41"/>
        <v>0</v>
      </c>
      <c r="BN608" s="3">
        <f t="shared" si="41"/>
        <v>0</v>
      </c>
      <c r="BO608" s="3">
        <f t="shared" si="41"/>
        <v>0</v>
      </c>
      <c r="BP608" s="3">
        <f t="shared" si="41"/>
        <v>0</v>
      </c>
      <c r="BQ608" s="3">
        <f t="shared" si="40"/>
        <v>0</v>
      </c>
      <c r="BR608" s="3">
        <f t="shared" si="40"/>
        <v>0</v>
      </c>
      <c r="BS608" s="3">
        <f t="shared" si="40"/>
        <v>0</v>
      </c>
      <c r="BT608" s="3">
        <f t="shared" si="40"/>
        <v>0</v>
      </c>
      <c r="BU608" s="3">
        <f t="shared" si="40"/>
        <v>0</v>
      </c>
      <c r="BV608" t="e">
        <f>VLOOKUP($H608,'1. Set Program Names'!$B$2:$D$15,3,0)*V608</f>
        <v>#N/A</v>
      </c>
      <c r="BW608" t="e">
        <f>VLOOKUP($H608,'1. Set Program Names'!$B$2:$D$15,3,0)*W608</f>
        <v>#N/A</v>
      </c>
      <c r="BX608" t="e">
        <f>VLOOKUP($H608,'1. Set Program Names'!$B$2:$D$15,3,0)*X608</f>
        <v>#N/A</v>
      </c>
      <c r="BY608" t="e">
        <f>VLOOKUP($H608,'1. Set Program Names'!$B$2:$D$15,3,0)*Y608</f>
        <v>#N/A</v>
      </c>
      <c r="BZ608" t="e">
        <f>VLOOKUP($H608,'1. Set Program Names'!$B$2:$D$15,3,0)*Z608</f>
        <v>#N/A</v>
      </c>
      <c r="CA608" t="e">
        <f>VLOOKUP($H608,'1. Set Program Names'!$B$2:$D$15,3,0)*AA608</f>
        <v>#N/A</v>
      </c>
      <c r="CB608" t="e">
        <f>VLOOKUP($H608,'1. Set Program Names'!$B$2:$D$15,3,0)*AB608</f>
        <v>#N/A</v>
      </c>
      <c r="CC608" t="e">
        <f>VLOOKUP($H608,'1. Set Program Names'!$B$2:$D$15,3,0)*AC608</f>
        <v>#N/A</v>
      </c>
      <c r="CD608" t="e">
        <f>VLOOKUP($H608,'1. Set Program Names'!$B$2:$D$15,3,0)*AD608</f>
        <v>#N/A</v>
      </c>
      <c r="CE608" t="e">
        <f>VLOOKUP($H608,'1. Set Program Names'!$B$2:$D$15,3,0)*AE608</f>
        <v>#N/A</v>
      </c>
    </row>
    <row r="609" spans="1:83" x14ac:dyDescent="0.25">
      <c r="A609" s="20" t="s">
        <v>114</v>
      </c>
      <c r="B609" s="20" t="s">
        <v>88</v>
      </c>
      <c r="C609" s="20" t="s">
        <v>122</v>
      </c>
      <c r="D609" s="20" t="s">
        <v>90</v>
      </c>
      <c r="E609" s="20" t="s">
        <v>91</v>
      </c>
      <c r="F609" s="20" t="s">
        <v>90</v>
      </c>
      <c r="G609" s="20" t="s">
        <v>92</v>
      </c>
      <c r="H609" s="20" t="s">
        <v>268</v>
      </c>
      <c r="I609" s="20" t="s">
        <v>141</v>
      </c>
      <c r="J609" s="20" t="s">
        <v>134</v>
      </c>
      <c r="K609" s="20" t="s">
        <v>98</v>
      </c>
      <c r="L609" s="20">
        <v>12160.5</v>
      </c>
      <c r="M609" s="20">
        <v>1.5637825072468701</v>
      </c>
      <c r="N609" s="20">
        <v>1.33304839745786</v>
      </c>
      <c r="O609" s="20">
        <v>3109.4399999999901</v>
      </c>
      <c r="P609" s="20">
        <v>607.94061759330305</v>
      </c>
      <c r="Q609" s="20">
        <v>12.160500000000001</v>
      </c>
      <c r="R609" s="20">
        <v>4122.3511685728599</v>
      </c>
      <c r="S609" s="20">
        <v>11397.022214720701</v>
      </c>
      <c r="T609" s="20">
        <v>12</v>
      </c>
      <c r="U609" s="20">
        <v>1</v>
      </c>
      <c r="V609" s="20">
        <v>2.6518914562809601</v>
      </c>
      <c r="W609" s="20">
        <v>3.6420370719980899</v>
      </c>
      <c r="X609" s="20">
        <v>4.7409748911857399</v>
      </c>
      <c r="Y609" s="20">
        <v>5.8996736380014703</v>
      </c>
      <c r="Z609" s="20">
        <v>7.0233051865327996</v>
      </c>
      <c r="AA609" s="20">
        <v>8.0140590656471797</v>
      </c>
      <c r="AB609" s="20">
        <v>8.8128868270060501</v>
      </c>
      <c r="AC609" s="20">
        <v>9.4239566665951902</v>
      </c>
      <c r="AD609" s="20">
        <v>9.8765101343227695</v>
      </c>
      <c r="AE609" s="20">
        <v>10.1977476024308</v>
      </c>
      <c r="AF609" t="str">
        <f t="shared" si="39"/>
        <v>NonResidential</v>
      </c>
      <c r="AG609" t="str">
        <f>tbl_Data_old[[#This Row],[All_Meas_Name_Append]]</f>
        <v>Energy Star Steamer</v>
      </c>
      <c r="AH609">
        <f>AVERAGEIFS('3. Incentive Adjustment'!G:G,'3. Incentive Adjustment'!A:A,tbl_Data_old[[#This Row],[Trimmed Sector]],'3. Incentive Adjustment'!B:B,tbl_Data_old[[#This Row],[Trimmed Measure Name]])</f>
        <v>0.87642178647683033</v>
      </c>
      <c r="AI609">
        <f>$AH609*tbl_Data_old[[#This Row],[2025 ]]</f>
        <v>2.3241754476564025</v>
      </c>
      <c r="AJ609">
        <f>$AH609*tbl_Data_old[[#This Row],[2026 ]]</f>
        <v>3.1919606370554101</v>
      </c>
      <c r="AK609">
        <f>$AH609*tbl_Data_old[[#This Row],[2027 ]]</f>
        <v>4.155093683774802</v>
      </c>
      <c r="AL609">
        <f>$AH609*tbl_Data_old[[#This Row],[2028 ]]</f>
        <v>5.1706025094475097</v>
      </c>
      <c r="AM609">
        <f>$AH609*tbl_Data_old[[#This Row],[2029 ]]</f>
        <v>6.1553776785530641</v>
      </c>
      <c r="AN609">
        <f>$AH609*tbl_Data_old[[#This Row],[2030 ]]</f>
        <v>7.0236959632453386</v>
      </c>
      <c r="AO609">
        <f>$AH609*tbl_Data_old[[#This Row],[2031 ]]</f>
        <v>7.7238060169427669</v>
      </c>
      <c r="AP609">
        <f>$AH609*tbl_Data_old[[#This Row],[2032 ]]</f>
        <v>8.2593609374175916</v>
      </c>
      <c r="AQ609">
        <f>$AH609*tbl_Data_old[[#This Row],[2033 ]]</f>
        <v>8.6559886560796819</v>
      </c>
      <c r="AR609">
        <f>$AH609*tbl_Data_old[[#This Row],[2034 ]]</f>
        <v>8.9375281717622155</v>
      </c>
      <c r="AS609">
        <f>SUM(tbl_Data_old[[#This Row],[Adjusted 2025]:[Adjusted 2034]])</f>
        <v>61.597589701934787</v>
      </c>
      <c r="AT609" s="3">
        <f>AVERAGEIFS('3. Incentive Adjustment'!F:F,'3. Incentive Adjustment'!A:A,tbl_Data_old[[#This Row],[Trimmed Sector]],'3. Incentive Adjustment'!B:B,tbl_Data_old[[#This Row],[Trimmed Measure Name]])</f>
        <v>0</v>
      </c>
      <c r="AU609" s="3">
        <f>IFERROR(VLOOKUP(tbl_Data_old[[#This Row],[All_Meas_Name_Append]],'IRA Tax Credits'!$A$3:$D$46,4,0),0)</f>
        <v>0</v>
      </c>
      <c r="AV609" s="4">
        <f>tbl_Data_old[[#This Row],[Adj. per unit Incentive ($)]]/tbl_Data_old[[#This Row],[kWh Savings]]*tbl_Data_old[[#This Row],[Sum of Annuals]]</f>
        <v>0</v>
      </c>
      <c r="AW609" s="4" t="str">
        <f>IFERROR(VLOOKUP(tbl_Data_old[[#This Row],[All_Programs]],'1. Set Program Names'!$B$2:$D$15,3,0)*tbl_Data_old[[#This Row],[Sum of Annuals]],"")</f>
        <v/>
      </c>
      <c r="AX609" s="4">
        <f>tbl_Data_old[[#This Row],[per unit IRA tax ($)]]/tbl_Data_old[[#This Row],[kWh Savings]]*tbl_Data_old[[#This Row],[Sum of Annuals]]</f>
        <v>0</v>
      </c>
      <c r="AY609" s="4">
        <f>tbl_Data_old[[#This Row],[Avoided Costs ($/unit)]]/tbl_Data_old[[#This Row],[kWh Savings]]*tbl_Data_old[[#This Row],[Sum of Annuals]]</f>
        <v>20.881287437937786</v>
      </c>
      <c r="AZ609" s="4">
        <f>tbl_Data_old[[#This Row],[Lost Revenue ($/unit)]]/tbl_Data_old[[#This Row],[kWh Savings]]*tbl_Data_old[[#This Row],[Sum of Annuals]]</f>
        <v>57.730282324427598</v>
      </c>
      <c r="BA609" s="4">
        <f>tbl_Data_old[[#This Row],[Incremental Cost ($/unit)]]/tbl_Data_old[[#This Row],[kWh Savings]]*tbl_Data_old[[#This Row],[Sum of Annuals]]</f>
        <v>15.750504446592123</v>
      </c>
      <c r="BB609">
        <f>ROUNDUP(tbl_Data_old[[#This Row],[Adjusted 2025]]/$L609,0)</f>
        <v>1</v>
      </c>
      <c r="BC609">
        <f>ROUNDUP(tbl_Data_old[[#This Row],[Adjusted 2026]]/$L609,0)</f>
        <v>1</v>
      </c>
      <c r="BD609">
        <f>ROUNDUP(tbl_Data_old[[#This Row],[Adjusted 2027]]/$L609,0)</f>
        <v>1</v>
      </c>
      <c r="BE609">
        <f>ROUNDUP(tbl_Data_old[[#This Row],[Adjusted 2028]]/$L609,0)</f>
        <v>1</v>
      </c>
      <c r="BF609">
        <f>ROUNDUP(tbl_Data_old[[#This Row],[Adjusted 2029]]/$L609,0)</f>
        <v>1</v>
      </c>
      <c r="BG609">
        <f>ROUNDUP(tbl_Data_old[[#This Row],[Adjusted 2030]]/$L609,0)</f>
        <v>1</v>
      </c>
      <c r="BH609">
        <f>ROUNDUP(tbl_Data_old[[#This Row],[Adjusted 2031]]/$L609,0)</f>
        <v>1</v>
      </c>
      <c r="BI609">
        <f>ROUNDUP(tbl_Data_old[[#This Row],[Adjusted 2032]]/$L609,0)</f>
        <v>1</v>
      </c>
      <c r="BJ609">
        <f>ROUNDUP(tbl_Data_old[[#This Row],[Adjusted 2033]]/$L609,0)</f>
        <v>1</v>
      </c>
      <c r="BK609">
        <f>ROUNDUP(tbl_Data_old[[#This Row],[Adjusted 2034]]/$L609,0)</f>
        <v>1</v>
      </c>
      <c r="BL609" s="3">
        <f t="shared" si="41"/>
        <v>0</v>
      </c>
      <c r="BM609" s="3">
        <f t="shared" si="41"/>
        <v>0</v>
      </c>
      <c r="BN609" s="3">
        <f t="shared" si="41"/>
        <v>0</v>
      </c>
      <c r="BO609" s="3">
        <f t="shared" si="41"/>
        <v>0</v>
      </c>
      <c r="BP609" s="3">
        <f t="shared" si="41"/>
        <v>0</v>
      </c>
      <c r="BQ609" s="3">
        <f t="shared" si="40"/>
        <v>0</v>
      </c>
      <c r="BR609" s="3">
        <f t="shared" si="40"/>
        <v>0</v>
      </c>
      <c r="BS609" s="3">
        <f t="shared" si="40"/>
        <v>0</v>
      </c>
      <c r="BT609" s="3">
        <f t="shared" si="40"/>
        <v>0</v>
      </c>
      <c r="BU609" s="3">
        <f t="shared" si="40"/>
        <v>0</v>
      </c>
      <c r="BV609" t="e">
        <f>VLOOKUP($H609,'1. Set Program Names'!$B$2:$D$15,3,0)*V609</f>
        <v>#N/A</v>
      </c>
      <c r="BW609" t="e">
        <f>VLOOKUP($H609,'1. Set Program Names'!$B$2:$D$15,3,0)*W609</f>
        <v>#N/A</v>
      </c>
      <c r="BX609" t="e">
        <f>VLOOKUP($H609,'1. Set Program Names'!$B$2:$D$15,3,0)*X609</f>
        <v>#N/A</v>
      </c>
      <c r="BY609" t="e">
        <f>VLOOKUP($H609,'1. Set Program Names'!$B$2:$D$15,3,0)*Y609</f>
        <v>#N/A</v>
      </c>
      <c r="BZ609" t="e">
        <f>VLOOKUP($H609,'1. Set Program Names'!$B$2:$D$15,3,0)*Z609</f>
        <v>#N/A</v>
      </c>
      <c r="CA609" t="e">
        <f>VLOOKUP($H609,'1. Set Program Names'!$B$2:$D$15,3,0)*AA609</f>
        <v>#N/A</v>
      </c>
      <c r="CB609" t="e">
        <f>VLOOKUP($H609,'1. Set Program Names'!$B$2:$D$15,3,0)*AB609</f>
        <v>#N/A</v>
      </c>
      <c r="CC609" t="e">
        <f>VLOOKUP($H609,'1. Set Program Names'!$B$2:$D$15,3,0)*AC609</f>
        <v>#N/A</v>
      </c>
      <c r="CD609" t="e">
        <f>VLOOKUP($H609,'1. Set Program Names'!$B$2:$D$15,3,0)*AD609</f>
        <v>#N/A</v>
      </c>
      <c r="CE609" t="e">
        <f>VLOOKUP($H609,'1. Set Program Names'!$B$2:$D$15,3,0)*AE609</f>
        <v>#N/A</v>
      </c>
    </row>
    <row r="610" spans="1:83" x14ac:dyDescent="0.25">
      <c r="A610" s="20" t="s">
        <v>114</v>
      </c>
      <c r="B610" s="20" t="s">
        <v>88</v>
      </c>
      <c r="C610" s="20" t="s">
        <v>122</v>
      </c>
      <c r="D610" s="20" t="s">
        <v>90</v>
      </c>
      <c r="E610" s="20" t="s">
        <v>91</v>
      </c>
      <c r="F610" s="20" t="s">
        <v>90</v>
      </c>
      <c r="G610" s="20" t="s">
        <v>92</v>
      </c>
      <c r="H610" s="20" t="s">
        <v>268</v>
      </c>
      <c r="I610" s="20" t="s">
        <v>142</v>
      </c>
      <c r="J610" s="20" t="s">
        <v>137</v>
      </c>
      <c r="K610" s="20" t="s">
        <v>98</v>
      </c>
      <c r="L610" s="20">
        <v>11250</v>
      </c>
      <c r="M610" s="20">
        <v>1.3809947593685901</v>
      </c>
      <c r="N610" s="20">
        <v>1.3808111252514099</v>
      </c>
      <c r="O610" s="20">
        <v>3147</v>
      </c>
      <c r="P610" s="20">
        <v>832.79679683603899</v>
      </c>
      <c r="Q610" s="20">
        <v>11.25</v>
      </c>
      <c r="R610" s="20">
        <v>4868.3629963469202</v>
      </c>
      <c r="S610" s="20">
        <v>12218.8507873668</v>
      </c>
      <c r="T610" s="20">
        <v>15</v>
      </c>
      <c r="U610" s="20">
        <v>1</v>
      </c>
      <c r="V610" s="20">
        <v>2.5943906388183402</v>
      </c>
      <c r="W610" s="20">
        <v>3.5763333982221401</v>
      </c>
      <c r="X610" s="20">
        <v>4.7920934920094904</v>
      </c>
      <c r="Y610" s="20">
        <v>6.2373357760251498</v>
      </c>
      <c r="Z610" s="20">
        <v>7.8099517871769901</v>
      </c>
      <c r="AA610" s="20">
        <v>9.2912639899222</v>
      </c>
      <c r="AB610" s="20">
        <v>10.3768084130734</v>
      </c>
      <c r="AC610" s="20">
        <v>10.7618441145967</v>
      </c>
      <c r="AD610" s="20">
        <v>10.2648098635326</v>
      </c>
      <c r="AE610" s="20">
        <v>8.9730276172241794</v>
      </c>
      <c r="AF610" t="str">
        <f t="shared" si="39"/>
        <v>NonResidential</v>
      </c>
      <c r="AG610" t="str">
        <f>tbl_Data_old[[#This Row],[All_Meas_Name_Append]]</f>
        <v>Escalator Motor Efficiency Controller</v>
      </c>
      <c r="AH610">
        <f>AVERAGEIFS('3. Incentive Adjustment'!G:G,'3. Incentive Adjustment'!A:A,tbl_Data_old[[#This Row],[Trimmed Sector]],'3. Incentive Adjustment'!B:B,tbl_Data_old[[#This Row],[Trimmed Measure Name]])</f>
        <v>0.82257117184015105</v>
      </c>
      <c r="AI610">
        <f>$AH610*tbl_Data_old[[#This Row],[2025 ]]</f>
        <v>2.1340709479839202</v>
      </c>
      <c r="AJ610">
        <f>$AH610*tbl_Data_old[[#This Row],[2026 ]]</f>
        <v>2.9417887542666552</v>
      </c>
      <c r="AK610">
        <f>$AH610*tbl_Data_old[[#This Row],[2027 ]]</f>
        <v>3.9418379592898081</v>
      </c>
      <c r="AL610">
        <f>$AH610*tbl_Data_old[[#This Row],[2028 ]]</f>
        <v>5.1306525984455051</v>
      </c>
      <c r="AM610">
        <f>$AH610*tbl_Data_old[[#This Row],[2029 ]]</f>
        <v>6.4242411935932591</v>
      </c>
      <c r="AN610">
        <f>$AH610*tbl_Data_old[[#This Row],[2030 ]]</f>
        <v>7.6427259080665015</v>
      </c>
      <c r="AO610">
        <f>$AH610*tbl_Data_old[[#This Row],[2031 ]]</f>
        <v>8.5356634563025242</v>
      </c>
      <c r="AP610">
        <f>$AH610*tbl_Data_old[[#This Row],[2032 ]]</f>
        <v>8.8523827245048405</v>
      </c>
      <c r="AQ610">
        <f>$AH610*tbl_Data_old[[#This Row],[2033 ]]</f>
        <v>8.4435366781623511</v>
      </c>
      <c r="AR610">
        <f>$AH610*tbl_Data_old[[#This Row],[2034 ]]</f>
        <v>7.3809538420541312</v>
      </c>
      <c r="AS610">
        <f>SUM(tbl_Data_old[[#This Row],[Adjusted 2025]:[Adjusted 2034]])</f>
        <v>61.427854062669503</v>
      </c>
      <c r="AT610" s="3">
        <f>AVERAGEIFS('3. Incentive Adjustment'!F:F,'3. Incentive Adjustment'!A:A,tbl_Data_old[[#This Row],[Trimmed Sector]],'3. Incentive Adjustment'!B:B,tbl_Data_old[[#This Row],[Trimmed Measure Name]])</f>
        <v>0</v>
      </c>
      <c r="AU610" s="3">
        <f>IFERROR(VLOOKUP(tbl_Data_old[[#This Row],[All_Meas_Name_Append]],'IRA Tax Credits'!$A$3:$D$46,4,0),0)</f>
        <v>0</v>
      </c>
      <c r="AV610" s="4">
        <f>tbl_Data_old[[#This Row],[Adj. per unit Incentive ($)]]/tbl_Data_old[[#This Row],[kWh Savings]]*tbl_Data_old[[#This Row],[Sum of Annuals]]</f>
        <v>0</v>
      </c>
      <c r="AW610" s="4" t="str">
        <f>IFERROR(VLOOKUP(tbl_Data_old[[#This Row],[All_Programs]],'1. Set Program Names'!$B$2:$D$15,3,0)*tbl_Data_old[[#This Row],[Sum of Annuals]],"")</f>
        <v/>
      </c>
      <c r="AX610" s="4">
        <f>tbl_Data_old[[#This Row],[per unit IRA tax ($)]]/tbl_Data_old[[#This Row],[kWh Savings]]*tbl_Data_old[[#This Row],[Sum of Annuals]]</f>
        <v>0</v>
      </c>
      <c r="AY610" s="4">
        <f>tbl_Data_old[[#This Row],[Avoided Costs ($/unit)]]/tbl_Data_old[[#This Row],[kWh Savings]]*tbl_Data_old[[#This Row],[Sum of Annuals]]</f>
        <v>26.582497036773248</v>
      </c>
      <c r="AZ610" s="4">
        <f>tbl_Data_old[[#This Row],[Lost Revenue ($/unit)]]/tbl_Data_old[[#This Row],[kWh Savings]]*tbl_Data_old[[#This Row],[Sum of Annuals]]</f>
        <v>66.718025153769091</v>
      </c>
      <c r="BA610" s="4">
        <f>tbl_Data_old[[#This Row],[Incremental Cost ($/unit)]]/tbl_Data_old[[#This Row],[kWh Savings]]*tbl_Data_old[[#This Row],[Sum of Annuals]]</f>
        <v>17.183418376464083</v>
      </c>
      <c r="BB610">
        <f>ROUNDUP(tbl_Data_old[[#This Row],[Adjusted 2025]]/$L610,0)</f>
        <v>1</v>
      </c>
      <c r="BC610">
        <f>ROUNDUP(tbl_Data_old[[#This Row],[Adjusted 2026]]/$L610,0)</f>
        <v>1</v>
      </c>
      <c r="BD610">
        <f>ROUNDUP(tbl_Data_old[[#This Row],[Adjusted 2027]]/$L610,0)</f>
        <v>1</v>
      </c>
      <c r="BE610">
        <f>ROUNDUP(tbl_Data_old[[#This Row],[Adjusted 2028]]/$L610,0)</f>
        <v>1</v>
      </c>
      <c r="BF610">
        <f>ROUNDUP(tbl_Data_old[[#This Row],[Adjusted 2029]]/$L610,0)</f>
        <v>1</v>
      </c>
      <c r="BG610">
        <f>ROUNDUP(tbl_Data_old[[#This Row],[Adjusted 2030]]/$L610,0)</f>
        <v>1</v>
      </c>
      <c r="BH610">
        <f>ROUNDUP(tbl_Data_old[[#This Row],[Adjusted 2031]]/$L610,0)</f>
        <v>1</v>
      </c>
      <c r="BI610">
        <f>ROUNDUP(tbl_Data_old[[#This Row],[Adjusted 2032]]/$L610,0)</f>
        <v>1</v>
      </c>
      <c r="BJ610">
        <f>ROUNDUP(tbl_Data_old[[#This Row],[Adjusted 2033]]/$L610,0)</f>
        <v>1</v>
      </c>
      <c r="BK610">
        <f>ROUNDUP(tbl_Data_old[[#This Row],[Adjusted 2034]]/$L610,0)</f>
        <v>1</v>
      </c>
      <c r="BL610" s="3">
        <f t="shared" si="41"/>
        <v>0</v>
      </c>
      <c r="BM610" s="3">
        <f t="shared" si="41"/>
        <v>0</v>
      </c>
      <c r="BN610" s="3">
        <f t="shared" si="41"/>
        <v>0</v>
      </c>
      <c r="BO610" s="3">
        <f t="shared" si="41"/>
        <v>0</v>
      </c>
      <c r="BP610" s="3">
        <f t="shared" si="41"/>
        <v>0</v>
      </c>
      <c r="BQ610" s="3">
        <f t="shared" si="40"/>
        <v>0</v>
      </c>
      <c r="BR610" s="3">
        <f t="shared" si="40"/>
        <v>0</v>
      </c>
      <c r="BS610" s="3">
        <f t="shared" si="40"/>
        <v>0</v>
      </c>
      <c r="BT610" s="3">
        <f t="shared" si="40"/>
        <v>0</v>
      </c>
      <c r="BU610" s="3">
        <f t="shared" si="40"/>
        <v>0</v>
      </c>
      <c r="BV610" t="e">
        <f>VLOOKUP($H610,'1. Set Program Names'!$B$2:$D$15,3,0)*V610</f>
        <v>#N/A</v>
      </c>
      <c r="BW610" t="e">
        <f>VLOOKUP($H610,'1. Set Program Names'!$B$2:$D$15,3,0)*W610</f>
        <v>#N/A</v>
      </c>
      <c r="BX610" t="e">
        <f>VLOOKUP($H610,'1. Set Program Names'!$B$2:$D$15,3,0)*X610</f>
        <v>#N/A</v>
      </c>
      <c r="BY610" t="e">
        <f>VLOOKUP($H610,'1. Set Program Names'!$B$2:$D$15,3,0)*Y610</f>
        <v>#N/A</v>
      </c>
      <c r="BZ610" t="e">
        <f>VLOOKUP($H610,'1. Set Program Names'!$B$2:$D$15,3,0)*Z610</f>
        <v>#N/A</v>
      </c>
      <c r="CA610" t="e">
        <f>VLOOKUP($H610,'1. Set Program Names'!$B$2:$D$15,3,0)*AA610</f>
        <v>#N/A</v>
      </c>
      <c r="CB610" t="e">
        <f>VLOOKUP($H610,'1. Set Program Names'!$B$2:$D$15,3,0)*AB610</f>
        <v>#N/A</v>
      </c>
      <c r="CC610" t="e">
        <f>VLOOKUP($H610,'1. Set Program Names'!$B$2:$D$15,3,0)*AC610</f>
        <v>#N/A</v>
      </c>
      <c r="CD610" t="e">
        <f>VLOOKUP($H610,'1. Set Program Names'!$B$2:$D$15,3,0)*AD610</f>
        <v>#N/A</v>
      </c>
      <c r="CE610" t="e">
        <f>VLOOKUP($H610,'1. Set Program Names'!$B$2:$D$15,3,0)*AE610</f>
        <v>#N/A</v>
      </c>
    </row>
    <row r="611" spans="1:83" x14ac:dyDescent="0.25">
      <c r="A611" s="20" t="s">
        <v>114</v>
      </c>
      <c r="B611" s="20" t="s">
        <v>88</v>
      </c>
      <c r="C611" s="20" t="s">
        <v>122</v>
      </c>
      <c r="D611" s="20" t="s">
        <v>90</v>
      </c>
      <c r="E611" s="20" t="s">
        <v>91</v>
      </c>
      <c r="F611" s="20" t="s">
        <v>90</v>
      </c>
      <c r="G611" s="20" t="s">
        <v>92</v>
      </c>
      <c r="H611" s="20" t="s">
        <v>268</v>
      </c>
      <c r="I611" s="20" t="s">
        <v>175</v>
      </c>
      <c r="J611" s="20" t="s">
        <v>144</v>
      </c>
      <c r="K611" s="20" t="s">
        <v>98</v>
      </c>
      <c r="L611" s="20">
        <v>264.02999999999997</v>
      </c>
      <c r="M611" s="20">
        <v>4.1428427039389301E-2</v>
      </c>
      <c r="N611" s="20">
        <v>6.1740637590561503E-2</v>
      </c>
      <c r="O611" s="20">
        <v>74.16</v>
      </c>
      <c r="P611" s="20">
        <v>19.8471936238772</v>
      </c>
      <c r="Q611" s="20">
        <v>0.26402999999999999</v>
      </c>
      <c r="R611" s="20">
        <v>106.11574944735899</v>
      </c>
      <c r="S611" s="20">
        <v>217.179512566509</v>
      </c>
      <c r="T611" s="20">
        <v>10</v>
      </c>
      <c r="U611" s="20">
        <v>1</v>
      </c>
      <c r="V611" s="20">
        <v>1.5440019750201199</v>
      </c>
      <c r="W611" s="20">
        <v>2.1192187143966601</v>
      </c>
      <c r="X611" s="20">
        <v>2.8209647129964002</v>
      </c>
      <c r="Y611" s="20">
        <v>3.6404598644227901</v>
      </c>
      <c r="Z611" s="20">
        <v>4.5106969715076302</v>
      </c>
      <c r="AA611" s="20">
        <v>5.29673121443731</v>
      </c>
      <c r="AB611" s="20">
        <v>5.8228288935800796</v>
      </c>
      <c r="AC611" s="20">
        <v>5.92422217443566</v>
      </c>
      <c r="AD611" s="20">
        <v>5.5175810180937397</v>
      </c>
      <c r="AE611" s="20">
        <v>4.6850952723589403</v>
      </c>
      <c r="AF611" t="str">
        <f t="shared" si="39"/>
        <v>NonResidential</v>
      </c>
      <c r="AG611" t="str">
        <f>tbl_Data_old[[#This Row],[All_Meas_Name_Append]]</f>
        <v>Faucet Aerator</v>
      </c>
      <c r="AH611">
        <f>AVERAGEIFS('3. Incentive Adjustment'!G:G,'3. Incentive Adjustment'!A:A,tbl_Data_old[[#This Row],[Trimmed Sector]],'3. Incentive Adjustment'!B:B,tbl_Data_old[[#This Row],[Trimmed Measure Name]])</f>
        <v>0.82009235606746977</v>
      </c>
      <c r="AI611">
        <f>$AH611*tbl_Data_old[[#This Row],[2025 ]]</f>
        <v>1.2662242174670768</v>
      </c>
      <c r="AJ611">
        <f>$AH611*tbl_Data_old[[#This Row],[2026 ]]</f>
        <v>1.7379550685118312</v>
      </c>
      <c r="AK611">
        <f>$AH611*tbl_Data_old[[#This Row],[2027 ]]</f>
        <v>2.3134515978644115</v>
      </c>
      <c r="AL611">
        <f>$AH611*tbl_Data_old[[#This Row],[2028 ]]</f>
        <v>2.9855133073835476</v>
      </c>
      <c r="AM611">
        <f>$AH611*tbl_Data_old[[#This Row],[2029 ]]</f>
        <v>3.6991881068700931</v>
      </c>
      <c r="AN611">
        <f>$AH611*tbl_Data_old[[#This Row],[2030 ]]</f>
        <v>4.3438087811040038</v>
      </c>
      <c r="AO611">
        <f>$AH611*tbl_Data_old[[#This Row],[2031 ]]</f>
        <v>4.7752574663138256</v>
      </c>
      <c r="AP611">
        <f>$AH611*tbl_Data_old[[#This Row],[2032 ]]</f>
        <v>4.8584093209000896</v>
      </c>
      <c r="AQ611">
        <f>$AH611*tbl_Data_old[[#This Row],[2033 ]]</f>
        <v>4.5249260169216434</v>
      </c>
      <c r="AR611">
        <f>$AH611*tbl_Data_old[[#This Row],[2034 ]]</f>
        <v>3.8422108203094072</v>
      </c>
      <c r="AS611">
        <f>SUM(tbl_Data_old[[#This Row],[Adjusted 2025]:[Adjusted 2034]])</f>
        <v>34.346944703645924</v>
      </c>
      <c r="AT611" s="3">
        <f>AVERAGEIFS('3. Incentive Adjustment'!F:F,'3. Incentive Adjustment'!A:A,tbl_Data_old[[#This Row],[Trimmed Sector]],'3. Incentive Adjustment'!B:B,tbl_Data_old[[#This Row],[Trimmed Measure Name]])</f>
        <v>0</v>
      </c>
      <c r="AU611" s="3">
        <f>IFERROR(VLOOKUP(tbl_Data_old[[#This Row],[All_Meas_Name_Append]],'IRA Tax Credits'!$A$3:$D$46,4,0),0)</f>
        <v>0</v>
      </c>
      <c r="AV611" s="4">
        <f>tbl_Data_old[[#This Row],[Adj. per unit Incentive ($)]]/tbl_Data_old[[#This Row],[kWh Savings]]*tbl_Data_old[[#This Row],[Sum of Annuals]]</f>
        <v>0</v>
      </c>
      <c r="AW611" s="4" t="str">
        <f>IFERROR(VLOOKUP(tbl_Data_old[[#This Row],[All_Programs]],'1. Set Program Names'!$B$2:$D$15,3,0)*tbl_Data_old[[#This Row],[Sum of Annuals]],"")</f>
        <v/>
      </c>
      <c r="AX611" s="4">
        <f>tbl_Data_old[[#This Row],[per unit IRA tax ($)]]/tbl_Data_old[[#This Row],[kWh Savings]]*tbl_Data_old[[#This Row],[Sum of Annuals]]</f>
        <v>0</v>
      </c>
      <c r="AY611" s="4">
        <f>tbl_Data_old[[#This Row],[Avoided Costs ($/unit)]]/tbl_Data_old[[#This Row],[kWh Savings]]*tbl_Data_old[[#This Row],[Sum of Annuals]]</f>
        <v>13.804309277182083</v>
      </c>
      <c r="AZ611" s="4">
        <f>tbl_Data_old[[#This Row],[Lost Revenue ($/unit)]]/tbl_Data_old[[#This Row],[kWh Savings]]*tbl_Data_old[[#This Row],[Sum of Annuals]]</f>
        <v>28.252292197427035</v>
      </c>
      <c r="BA611" s="4">
        <f>tbl_Data_old[[#This Row],[Incremental Cost ($/unit)]]/tbl_Data_old[[#This Row],[kWh Savings]]*tbl_Data_old[[#This Row],[Sum of Annuals]]</f>
        <v>9.6472727312138087</v>
      </c>
      <c r="BB611">
        <f>ROUNDUP(tbl_Data_old[[#This Row],[Adjusted 2025]]/$L611,0)</f>
        <v>1</v>
      </c>
      <c r="BC611">
        <f>ROUNDUP(tbl_Data_old[[#This Row],[Adjusted 2026]]/$L611,0)</f>
        <v>1</v>
      </c>
      <c r="BD611">
        <f>ROUNDUP(tbl_Data_old[[#This Row],[Adjusted 2027]]/$L611,0)</f>
        <v>1</v>
      </c>
      <c r="BE611">
        <f>ROUNDUP(tbl_Data_old[[#This Row],[Adjusted 2028]]/$L611,0)</f>
        <v>1</v>
      </c>
      <c r="BF611">
        <f>ROUNDUP(tbl_Data_old[[#This Row],[Adjusted 2029]]/$L611,0)</f>
        <v>1</v>
      </c>
      <c r="BG611">
        <f>ROUNDUP(tbl_Data_old[[#This Row],[Adjusted 2030]]/$L611,0)</f>
        <v>1</v>
      </c>
      <c r="BH611">
        <f>ROUNDUP(tbl_Data_old[[#This Row],[Adjusted 2031]]/$L611,0)</f>
        <v>1</v>
      </c>
      <c r="BI611">
        <f>ROUNDUP(tbl_Data_old[[#This Row],[Adjusted 2032]]/$L611,0)</f>
        <v>1</v>
      </c>
      <c r="BJ611">
        <f>ROUNDUP(tbl_Data_old[[#This Row],[Adjusted 2033]]/$L611,0)</f>
        <v>1</v>
      </c>
      <c r="BK611">
        <f>ROUNDUP(tbl_Data_old[[#This Row],[Adjusted 2034]]/$L611,0)</f>
        <v>1</v>
      </c>
      <c r="BL611" s="3">
        <f t="shared" si="41"/>
        <v>0</v>
      </c>
      <c r="BM611" s="3">
        <f t="shared" si="41"/>
        <v>0</v>
      </c>
      <c r="BN611" s="3">
        <f t="shared" si="41"/>
        <v>0</v>
      </c>
      <c r="BO611" s="3">
        <f t="shared" si="41"/>
        <v>0</v>
      </c>
      <c r="BP611" s="3">
        <f t="shared" si="41"/>
        <v>0</v>
      </c>
      <c r="BQ611" s="3">
        <f t="shared" si="40"/>
        <v>0</v>
      </c>
      <c r="BR611" s="3">
        <f t="shared" si="40"/>
        <v>0</v>
      </c>
      <c r="BS611" s="3">
        <f t="shared" si="40"/>
        <v>0</v>
      </c>
      <c r="BT611" s="3">
        <f t="shared" si="40"/>
        <v>0</v>
      </c>
      <c r="BU611" s="3">
        <f t="shared" si="40"/>
        <v>0</v>
      </c>
      <c r="BV611" t="e">
        <f>VLOOKUP($H611,'1. Set Program Names'!$B$2:$D$15,3,0)*V611</f>
        <v>#N/A</v>
      </c>
      <c r="BW611" t="e">
        <f>VLOOKUP($H611,'1. Set Program Names'!$B$2:$D$15,3,0)*W611</f>
        <v>#N/A</v>
      </c>
      <c r="BX611" t="e">
        <f>VLOOKUP($H611,'1. Set Program Names'!$B$2:$D$15,3,0)*X611</f>
        <v>#N/A</v>
      </c>
      <c r="BY611" t="e">
        <f>VLOOKUP($H611,'1. Set Program Names'!$B$2:$D$15,3,0)*Y611</f>
        <v>#N/A</v>
      </c>
      <c r="BZ611" t="e">
        <f>VLOOKUP($H611,'1. Set Program Names'!$B$2:$D$15,3,0)*Z611</f>
        <v>#N/A</v>
      </c>
      <c r="CA611" t="e">
        <f>VLOOKUP($H611,'1. Set Program Names'!$B$2:$D$15,3,0)*AA611</f>
        <v>#N/A</v>
      </c>
      <c r="CB611" t="e">
        <f>VLOOKUP($H611,'1. Set Program Names'!$B$2:$D$15,3,0)*AB611</f>
        <v>#N/A</v>
      </c>
      <c r="CC611" t="e">
        <f>VLOOKUP($H611,'1. Set Program Names'!$B$2:$D$15,3,0)*AC611</f>
        <v>#N/A</v>
      </c>
      <c r="CD611" t="e">
        <f>VLOOKUP($H611,'1. Set Program Names'!$B$2:$D$15,3,0)*AD611</f>
        <v>#N/A</v>
      </c>
      <c r="CE611" t="e">
        <f>VLOOKUP($H611,'1. Set Program Names'!$B$2:$D$15,3,0)*AE611</f>
        <v>#N/A</v>
      </c>
    </row>
    <row r="612" spans="1:83" x14ac:dyDescent="0.25">
      <c r="A612" s="20" t="s">
        <v>114</v>
      </c>
      <c r="B612" s="20" t="s">
        <v>88</v>
      </c>
      <c r="C612" s="20" t="s">
        <v>122</v>
      </c>
      <c r="D612" s="20" t="s">
        <v>90</v>
      </c>
      <c r="E612" s="20" t="s">
        <v>91</v>
      </c>
      <c r="F612" s="20" t="s">
        <v>90</v>
      </c>
      <c r="G612" s="20" t="s">
        <v>92</v>
      </c>
      <c r="H612" s="20" t="s">
        <v>268</v>
      </c>
      <c r="I612" s="20" t="s">
        <v>150</v>
      </c>
      <c r="J612" s="20" t="s">
        <v>129</v>
      </c>
      <c r="K612" s="20" t="s">
        <v>102</v>
      </c>
      <c r="L612" s="20">
        <v>56016.9549999999</v>
      </c>
      <c r="M612" s="20">
        <v>10.827112325312299</v>
      </c>
      <c r="N612" s="20">
        <v>1.3517775806744601</v>
      </c>
      <c r="O612" s="20">
        <v>17160.122499999899</v>
      </c>
      <c r="P612" s="20">
        <v>8652.3043908691998</v>
      </c>
      <c r="Q612" s="20">
        <v>56.016954999999903</v>
      </c>
      <c r="R612" s="20">
        <v>30291.5576269993</v>
      </c>
      <c r="S612" s="20">
        <v>71892.064971295098</v>
      </c>
      <c r="T612" s="20">
        <v>20</v>
      </c>
      <c r="U612" s="20">
        <v>1</v>
      </c>
      <c r="V612" s="20">
        <v>9.0563268509833801</v>
      </c>
      <c r="W612" s="20">
        <v>8.9554922859869492</v>
      </c>
      <c r="X612" s="20">
        <v>8.8102719239718006</v>
      </c>
      <c r="Y612" s="20">
        <v>8.6740079220640798</v>
      </c>
      <c r="Z612" s="20">
        <v>8.5348889506359598</v>
      </c>
      <c r="AA612" s="20">
        <v>8.3849169757730504</v>
      </c>
      <c r="AB612" s="20">
        <v>8.2252413999778806</v>
      </c>
      <c r="AC612" s="20">
        <v>8.0727057474894508</v>
      </c>
      <c r="AD612" s="20">
        <v>7.9360275451944</v>
      </c>
      <c r="AE612" s="20">
        <v>7.7972454568162499</v>
      </c>
      <c r="AF612" t="str">
        <f t="shared" si="39"/>
        <v>NonResidential</v>
      </c>
      <c r="AG612" t="str">
        <f>tbl_Data_old[[#This Row],[All_Meas_Name_Append]]</f>
        <v>Infiltration Reduction - Air Sealing</v>
      </c>
      <c r="AH612">
        <f>AVERAGEIFS('3. Incentive Adjustment'!G:G,'3. Incentive Adjustment'!A:A,tbl_Data_old[[#This Row],[Trimmed Sector]],'3. Incentive Adjustment'!B:B,tbl_Data_old[[#This Row],[Trimmed Measure Name]])</f>
        <v>0.66528306579610585</v>
      </c>
      <c r="AI612">
        <f>$AH612*tbl_Data_old[[#This Row],[2025 ]]</f>
        <v>6.0250208922738162</v>
      </c>
      <c r="AJ612">
        <f>$AH612*tbl_Data_old[[#This Row],[2026 ]]</f>
        <v>5.9579373637347741</v>
      </c>
      <c r="AK612">
        <f>$AH612*tbl_Data_old[[#This Row],[2027 ]]</f>
        <v>5.8613247160773154</v>
      </c>
      <c r="AL612">
        <f>$AH612*tbl_Data_old[[#This Row],[2028 ]]</f>
        <v>5.7706705831305003</v>
      </c>
      <c r="AM612">
        <f>$AH612*tbl_Data_old[[#This Row],[2029 ]]</f>
        <v>5.6781170873083999</v>
      </c>
      <c r="AN612">
        <f>$AH612*tbl_Data_old[[#This Row],[2030 ]]</f>
        <v>5.578343272088107</v>
      </c>
      <c r="AO612">
        <f>$AH612*tbl_Data_old[[#This Row],[2031 ]]</f>
        <v>5.4721138154903386</v>
      </c>
      <c r="AP612">
        <f>$AH612*tbl_Data_old[[#This Row],[2032 ]]</f>
        <v>5.370634428959626</v>
      </c>
      <c r="AQ612">
        <f>$AH612*tbl_Data_old[[#This Row],[2033 ]]</f>
        <v>5.2797047355092745</v>
      </c>
      <c r="AR612">
        <f>$AH612*tbl_Data_old[[#This Row],[2034 ]]</f>
        <v>5.187375362275473</v>
      </c>
      <c r="AS612">
        <f>SUM(tbl_Data_old[[#This Row],[Adjusted 2025]:[Adjusted 2034]])</f>
        <v>56.181242256847632</v>
      </c>
      <c r="AT612" s="3">
        <f>AVERAGEIFS('3. Incentive Adjustment'!F:F,'3. Incentive Adjustment'!A:A,tbl_Data_old[[#This Row],[Trimmed Sector]],'3. Incentive Adjustment'!B:B,tbl_Data_old[[#This Row],[Trimmed Measure Name]])</f>
        <v>0</v>
      </c>
      <c r="AU612" s="3">
        <f>IFERROR(VLOOKUP(tbl_Data_old[[#This Row],[All_Meas_Name_Append]],'IRA Tax Credits'!$A$3:$D$46,4,0),0)</f>
        <v>0</v>
      </c>
      <c r="AV612" s="4">
        <f>tbl_Data_old[[#This Row],[Adj. per unit Incentive ($)]]/tbl_Data_old[[#This Row],[kWh Savings]]*tbl_Data_old[[#This Row],[Sum of Annuals]]</f>
        <v>0</v>
      </c>
      <c r="AW612" s="4" t="str">
        <f>IFERROR(VLOOKUP(tbl_Data_old[[#This Row],[All_Programs]],'1. Set Program Names'!$B$2:$D$15,3,0)*tbl_Data_old[[#This Row],[Sum of Annuals]],"")</f>
        <v/>
      </c>
      <c r="AX612" s="4">
        <f>tbl_Data_old[[#This Row],[per unit IRA tax ($)]]/tbl_Data_old[[#This Row],[kWh Savings]]*tbl_Data_old[[#This Row],[Sum of Annuals]]</f>
        <v>0</v>
      </c>
      <c r="AY612" s="4">
        <f>tbl_Data_old[[#This Row],[Avoided Costs ($/unit)]]/tbl_Data_old[[#This Row],[kWh Savings]]*tbl_Data_old[[#This Row],[Sum of Annuals]]</f>
        <v>30.38039710262208</v>
      </c>
      <c r="AZ612" s="4">
        <f>tbl_Data_old[[#This Row],[Lost Revenue ($/unit)]]/tbl_Data_old[[#This Row],[kWh Savings]]*tbl_Data_old[[#This Row],[Sum of Annuals]]</f>
        <v>72.10291095789421</v>
      </c>
      <c r="BA612" s="4">
        <f>tbl_Data_old[[#This Row],[Incremental Cost ($/unit)]]/tbl_Data_old[[#This Row],[kWh Savings]]*tbl_Data_old[[#This Row],[Sum of Annuals]]</f>
        <v>17.210449931269522</v>
      </c>
      <c r="BB612">
        <f>ROUNDUP(tbl_Data_old[[#This Row],[Adjusted 2025]]/$L612,0)</f>
        <v>1</v>
      </c>
      <c r="BC612">
        <f>ROUNDUP(tbl_Data_old[[#This Row],[Adjusted 2026]]/$L612,0)</f>
        <v>1</v>
      </c>
      <c r="BD612">
        <f>ROUNDUP(tbl_Data_old[[#This Row],[Adjusted 2027]]/$L612,0)</f>
        <v>1</v>
      </c>
      <c r="BE612">
        <f>ROUNDUP(tbl_Data_old[[#This Row],[Adjusted 2028]]/$L612,0)</f>
        <v>1</v>
      </c>
      <c r="BF612">
        <f>ROUNDUP(tbl_Data_old[[#This Row],[Adjusted 2029]]/$L612,0)</f>
        <v>1</v>
      </c>
      <c r="BG612">
        <f>ROUNDUP(tbl_Data_old[[#This Row],[Adjusted 2030]]/$L612,0)</f>
        <v>1</v>
      </c>
      <c r="BH612">
        <f>ROUNDUP(tbl_Data_old[[#This Row],[Adjusted 2031]]/$L612,0)</f>
        <v>1</v>
      </c>
      <c r="BI612">
        <f>ROUNDUP(tbl_Data_old[[#This Row],[Adjusted 2032]]/$L612,0)</f>
        <v>1</v>
      </c>
      <c r="BJ612">
        <f>ROUNDUP(tbl_Data_old[[#This Row],[Adjusted 2033]]/$L612,0)</f>
        <v>1</v>
      </c>
      <c r="BK612">
        <f>ROUNDUP(tbl_Data_old[[#This Row],[Adjusted 2034]]/$L612,0)</f>
        <v>1</v>
      </c>
      <c r="BL612" s="3">
        <f t="shared" si="41"/>
        <v>0</v>
      </c>
      <c r="BM612" s="3">
        <f t="shared" si="41"/>
        <v>0</v>
      </c>
      <c r="BN612" s="3">
        <f t="shared" si="41"/>
        <v>0</v>
      </c>
      <c r="BO612" s="3">
        <f t="shared" si="41"/>
        <v>0</v>
      </c>
      <c r="BP612" s="3">
        <f t="shared" si="41"/>
        <v>0</v>
      </c>
      <c r="BQ612" s="3">
        <f t="shared" si="40"/>
        <v>0</v>
      </c>
      <c r="BR612" s="3">
        <f t="shared" si="40"/>
        <v>0</v>
      </c>
      <c r="BS612" s="3">
        <f t="shared" si="40"/>
        <v>0</v>
      </c>
      <c r="BT612" s="3">
        <f t="shared" si="40"/>
        <v>0</v>
      </c>
      <c r="BU612" s="3">
        <f t="shared" si="40"/>
        <v>0</v>
      </c>
      <c r="BV612" t="e">
        <f>VLOOKUP($H612,'1. Set Program Names'!$B$2:$D$15,3,0)*V612</f>
        <v>#N/A</v>
      </c>
      <c r="BW612" t="e">
        <f>VLOOKUP($H612,'1. Set Program Names'!$B$2:$D$15,3,0)*W612</f>
        <v>#N/A</v>
      </c>
      <c r="BX612" t="e">
        <f>VLOOKUP($H612,'1. Set Program Names'!$B$2:$D$15,3,0)*X612</f>
        <v>#N/A</v>
      </c>
      <c r="BY612" t="e">
        <f>VLOOKUP($H612,'1. Set Program Names'!$B$2:$D$15,3,0)*Y612</f>
        <v>#N/A</v>
      </c>
      <c r="BZ612" t="e">
        <f>VLOOKUP($H612,'1. Set Program Names'!$B$2:$D$15,3,0)*Z612</f>
        <v>#N/A</v>
      </c>
      <c r="CA612" t="e">
        <f>VLOOKUP($H612,'1. Set Program Names'!$B$2:$D$15,3,0)*AA612</f>
        <v>#N/A</v>
      </c>
      <c r="CB612" t="e">
        <f>VLOOKUP($H612,'1. Set Program Names'!$B$2:$D$15,3,0)*AB612</f>
        <v>#N/A</v>
      </c>
      <c r="CC612" t="e">
        <f>VLOOKUP($H612,'1. Set Program Names'!$B$2:$D$15,3,0)*AC612</f>
        <v>#N/A</v>
      </c>
      <c r="CD612" t="e">
        <f>VLOOKUP($H612,'1. Set Program Names'!$B$2:$D$15,3,0)*AD612</f>
        <v>#N/A</v>
      </c>
      <c r="CE612" t="e">
        <f>VLOOKUP($H612,'1. Set Program Names'!$B$2:$D$15,3,0)*AE612</f>
        <v>#N/A</v>
      </c>
    </row>
    <row r="613" spans="1:83" x14ac:dyDescent="0.25">
      <c r="A613" s="20" t="s">
        <v>114</v>
      </c>
      <c r="B613" s="20" t="s">
        <v>88</v>
      </c>
      <c r="C613" s="20" t="s">
        <v>122</v>
      </c>
      <c r="D613" s="20" t="s">
        <v>90</v>
      </c>
      <c r="E613" s="20" t="s">
        <v>91</v>
      </c>
      <c r="F613" s="20" t="s">
        <v>90</v>
      </c>
      <c r="G613" s="20" t="s">
        <v>92</v>
      </c>
      <c r="H613" s="20" t="s">
        <v>268</v>
      </c>
      <c r="I613" s="20" t="s">
        <v>269</v>
      </c>
      <c r="J613" s="20" t="s">
        <v>144</v>
      </c>
      <c r="K613" s="20" t="s">
        <v>98</v>
      </c>
      <c r="L613" s="20">
        <v>114.663333333333</v>
      </c>
      <c r="M613" s="20">
        <v>9.9293177507311006E-3</v>
      </c>
      <c r="N613" s="20">
        <v>1.6498275913899602E-2</v>
      </c>
      <c r="O613" s="20">
        <v>32.906666666666602</v>
      </c>
      <c r="P613" s="20">
        <v>12.4845629759592</v>
      </c>
      <c r="Q613" s="20">
        <v>0.11466333333333301</v>
      </c>
      <c r="R613" s="20">
        <v>37.313940517924799</v>
      </c>
      <c r="S613" s="20">
        <v>94.317035346682403</v>
      </c>
      <c r="T613" s="20">
        <v>10</v>
      </c>
      <c r="U613" s="20">
        <v>1</v>
      </c>
      <c r="V613" s="20">
        <v>1.5197081248850599</v>
      </c>
      <c r="W613" s="20">
        <v>2.08587420921863</v>
      </c>
      <c r="X613" s="20">
        <v>2.7765786985465502</v>
      </c>
      <c r="Y613" s="20">
        <v>3.5831796356407901</v>
      </c>
      <c r="Z613" s="20">
        <v>4.4397241372733696</v>
      </c>
      <c r="AA613" s="20">
        <v>5.2133906511407204</v>
      </c>
      <c r="AB613" s="20">
        <v>5.7312105311742396</v>
      </c>
      <c r="AC613" s="20">
        <v>5.83100845579993</v>
      </c>
      <c r="AD613" s="20">
        <v>5.4307655291693298</v>
      </c>
      <c r="AE613" s="20">
        <v>4.6113783961783401</v>
      </c>
      <c r="AF613" t="str">
        <f t="shared" si="39"/>
        <v>NonResidential</v>
      </c>
      <c r="AG613" t="str">
        <f>tbl_Data_old[[#This Row],[All_Meas_Name_Append]]</f>
        <v>Low Flow Shower Head</v>
      </c>
      <c r="AH613">
        <f>AVERAGEIFS('3. Incentive Adjustment'!G:G,'3. Incentive Adjustment'!A:A,tbl_Data_old[[#This Row],[Trimmed Sector]],'3. Incentive Adjustment'!B:B,tbl_Data_old[[#This Row],[Trimmed Measure Name]])</f>
        <v>0.75029954061989002</v>
      </c>
      <c r="AI613">
        <f>$AH613*tbl_Data_old[[#This Row],[2025 ]]</f>
        <v>1.1402363079775748</v>
      </c>
      <c r="AJ613">
        <f>$AH613*tbl_Data_old[[#This Row],[2026 ]]</f>
        <v>1.5650304609676144</v>
      </c>
      <c r="AK613">
        <f>$AH613*tbl_Data_old[[#This Row],[2027 ]]</f>
        <v>2.0832657220144486</v>
      </c>
      <c r="AL613">
        <f>$AH613*tbl_Data_old[[#This Row],[2028 ]]</f>
        <v>2.6884580345798299</v>
      </c>
      <c r="AM613">
        <f>$AH613*tbl_Data_old[[#This Row],[2029 ]]</f>
        <v>3.3311229806752465</v>
      </c>
      <c r="AN613">
        <f>$AH613*tbl_Data_old[[#This Row],[2030 ]]</f>
        <v>3.9116046106229119</v>
      </c>
      <c r="AO613">
        <f>$AH613*tbl_Data_old[[#This Row],[2031 ]]</f>
        <v>4.3001246287359081</v>
      </c>
      <c r="AP613">
        <f>$AH613*tbl_Data_old[[#This Row],[2032 ]]</f>
        <v>4.3750029657373819</v>
      </c>
      <c r="AQ613">
        <f>$AH613*tbl_Data_old[[#This Row],[2033 ]]</f>
        <v>4.0747008817500818</v>
      </c>
      <c r="AR613">
        <f>$AH613*tbl_Data_old[[#This Row],[2034 ]]</f>
        <v>3.4599150922770936</v>
      </c>
      <c r="AS613">
        <f>SUM(tbl_Data_old[[#This Row],[Adjusted 2025]:[Adjusted 2034]])</f>
        <v>30.92946168533809</v>
      </c>
      <c r="AT613" s="3">
        <f>AVERAGEIFS('3. Incentive Adjustment'!F:F,'3. Incentive Adjustment'!A:A,tbl_Data_old[[#This Row],[Trimmed Sector]],'3. Incentive Adjustment'!B:B,tbl_Data_old[[#This Row],[Trimmed Measure Name]])</f>
        <v>0</v>
      </c>
      <c r="AU613" s="3">
        <f>IFERROR(VLOOKUP(tbl_Data_old[[#This Row],[All_Meas_Name_Append]],'IRA Tax Credits'!$A$3:$D$46,4,0),0)</f>
        <v>0</v>
      </c>
      <c r="AV613" s="4">
        <f>tbl_Data_old[[#This Row],[Adj. per unit Incentive ($)]]/tbl_Data_old[[#This Row],[kWh Savings]]*tbl_Data_old[[#This Row],[Sum of Annuals]]</f>
        <v>0</v>
      </c>
      <c r="AW613" s="4" t="str">
        <f>IFERROR(VLOOKUP(tbl_Data_old[[#This Row],[All_Programs]],'1. Set Program Names'!$B$2:$D$15,3,0)*tbl_Data_old[[#This Row],[Sum of Annuals]],"")</f>
        <v/>
      </c>
      <c r="AX613" s="4">
        <f>tbl_Data_old[[#This Row],[per unit IRA tax ($)]]/tbl_Data_old[[#This Row],[kWh Savings]]*tbl_Data_old[[#This Row],[Sum of Annuals]]</f>
        <v>0</v>
      </c>
      <c r="AY613" s="4">
        <f>tbl_Data_old[[#This Row],[Avoided Costs ($/unit)]]/tbl_Data_old[[#This Row],[kWh Savings]]*tbl_Data_old[[#This Row],[Sum of Annuals]]</f>
        <v>10.065118988152065</v>
      </c>
      <c r="AZ613" s="4">
        <f>tbl_Data_old[[#This Row],[Lost Revenue ($/unit)]]/tbl_Data_old[[#This Row],[kWh Savings]]*tbl_Data_old[[#This Row],[Sum of Annuals]]</f>
        <v>25.441220364224833</v>
      </c>
      <c r="BA613" s="4">
        <f>tbl_Data_old[[#This Row],[Incremental Cost ($/unit)]]/tbl_Data_old[[#This Row],[kWh Savings]]*tbl_Data_old[[#This Row],[Sum of Annuals]]</f>
        <v>8.8762942456948739</v>
      </c>
      <c r="BB613">
        <f>ROUNDUP(tbl_Data_old[[#This Row],[Adjusted 2025]]/$L613,0)</f>
        <v>1</v>
      </c>
      <c r="BC613">
        <f>ROUNDUP(tbl_Data_old[[#This Row],[Adjusted 2026]]/$L613,0)</f>
        <v>1</v>
      </c>
      <c r="BD613">
        <f>ROUNDUP(tbl_Data_old[[#This Row],[Adjusted 2027]]/$L613,0)</f>
        <v>1</v>
      </c>
      <c r="BE613">
        <f>ROUNDUP(tbl_Data_old[[#This Row],[Adjusted 2028]]/$L613,0)</f>
        <v>1</v>
      </c>
      <c r="BF613">
        <f>ROUNDUP(tbl_Data_old[[#This Row],[Adjusted 2029]]/$L613,0)</f>
        <v>1</v>
      </c>
      <c r="BG613">
        <f>ROUNDUP(tbl_Data_old[[#This Row],[Adjusted 2030]]/$L613,0)</f>
        <v>1</v>
      </c>
      <c r="BH613">
        <f>ROUNDUP(tbl_Data_old[[#This Row],[Adjusted 2031]]/$L613,0)</f>
        <v>1</v>
      </c>
      <c r="BI613">
        <f>ROUNDUP(tbl_Data_old[[#This Row],[Adjusted 2032]]/$L613,0)</f>
        <v>1</v>
      </c>
      <c r="BJ613">
        <f>ROUNDUP(tbl_Data_old[[#This Row],[Adjusted 2033]]/$L613,0)</f>
        <v>1</v>
      </c>
      <c r="BK613">
        <f>ROUNDUP(tbl_Data_old[[#This Row],[Adjusted 2034]]/$L613,0)</f>
        <v>1</v>
      </c>
      <c r="BL613" s="3">
        <f t="shared" si="41"/>
        <v>0</v>
      </c>
      <c r="BM613" s="3">
        <f t="shared" si="41"/>
        <v>0</v>
      </c>
      <c r="BN613" s="3">
        <f t="shared" si="41"/>
        <v>0</v>
      </c>
      <c r="BO613" s="3">
        <f t="shared" si="41"/>
        <v>0</v>
      </c>
      <c r="BP613" s="3">
        <f t="shared" si="41"/>
        <v>0</v>
      </c>
      <c r="BQ613" s="3">
        <f t="shared" si="40"/>
        <v>0</v>
      </c>
      <c r="BR613" s="3">
        <f t="shared" si="40"/>
        <v>0</v>
      </c>
      <c r="BS613" s="3">
        <f t="shared" si="40"/>
        <v>0</v>
      </c>
      <c r="BT613" s="3">
        <f t="shared" si="40"/>
        <v>0</v>
      </c>
      <c r="BU613" s="3">
        <f t="shared" si="40"/>
        <v>0</v>
      </c>
      <c r="BV613" t="e">
        <f>VLOOKUP($H613,'1. Set Program Names'!$B$2:$D$15,3,0)*V613</f>
        <v>#N/A</v>
      </c>
      <c r="BW613" t="e">
        <f>VLOOKUP($H613,'1. Set Program Names'!$B$2:$D$15,3,0)*W613</f>
        <v>#N/A</v>
      </c>
      <c r="BX613" t="e">
        <f>VLOOKUP($H613,'1. Set Program Names'!$B$2:$D$15,3,0)*X613</f>
        <v>#N/A</v>
      </c>
      <c r="BY613" t="e">
        <f>VLOOKUP($H613,'1. Set Program Names'!$B$2:$D$15,3,0)*Y613</f>
        <v>#N/A</v>
      </c>
      <c r="BZ613" t="e">
        <f>VLOOKUP($H613,'1. Set Program Names'!$B$2:$D$15,3,0)*Z613</f>
        <v>#N/A</v>
      </c>
      <c r="CA613" t="e">
        <f>VLOOKUP($H613,'1. Set Program Names'!$B$2:$D$15,3,0)*AA613</f>
        <v>#N/A</v>
      </c>
      <c r="CB613" t="e">
        <f>VLOOKUP($H613,'1. Set Program Names'!$B$2:$D$15,3,0)*AB613</f>
        <v>#N/A</v>
      </c>
      <c r="CC613" t="e">
        <f>VLOOKUP($H613,'1. Set Program Names'!$B$2:$D$15,3,0)*AC613</f>
        <v>#N/A</v>
      </c>
      <c r="CD613" t="e">
        <f>VLOOKUP($H613,'1. Set Program Names'!$B$2:$D$15,3,0)*AD613</f>
        <v>#N/A</v>
      </c>
      <c r="CE613" t="e">
        <f>VLOOKUP($H613,'1. Set Program Names'!$B$2:$D$15,3,0)*AE613</f>
        <v>#N/A</v>
      </c>
    </row>
    <row r="614" spans="1:83" x14ac:dyDescent="0.25">
      <c r="A614" s="20" t="s">
        <v>114</v>
      </c>
      <c r="B614" s="20" t="s">
        <v>88</v>
      </c>
      <c r="C614" s="20" t="s">
        <v>122</v>
      </c>
      <c r="D614" s="20" t="s">
        <v>90</v>
      </c>
      <c r="E614" s="20" t="s">
        <v>91</v>
      </c>
      <c r="F614" s="20" t="s">
        <v>90</v>
      </c>
      <c r="G614" s="20" t="s">
        <v>92</v>
      </c>
      <c r="H614" s="20" t="s">
        <v>268</v>
      </c>
      <c r="I614" s="20" t="s">
        <v>151</v>
      </c>
      <c r="J614" s="20" t="s">
        <v>137</v>
      </c>
      <c r="K614" s="20" t="s">
        <v>152</v>
      </c>
      <c r="L614" s="20">
        <v>746</v>
      </c>
      <c r="M614" s="20">
        <v>0.118390986607413</v>
      </c>
      <c r="N614" s="20">
        <v>0.122042488273403</v>
      </c>
      <c r="O614" s="20">
        <v>233.28</v>
      </c>
      <c r="P614" s="20">
        <v>79.822614261305304</v>
      </c>
      <c r="Q614" s="20">
        <v>0.746</v>
      </c>
      <c r="R614" s="20">
        <v>287.47532526616499</v>
      </c>
      <c r="S614" s="20">
        <v>613.62692260203801</v>
      </c>
      <c r="T614" s="20">
        <v>10</v>
      </c>
      <c r="U614" s="20">
        <v>1</v>
      </c>
      <c r="V614" s="20">
        <v>3.7860818242195502</v>
      </c>
      <c r="W614" s="20">
        <v>4.5238847844844896</v>
      </c>
      <c r="X614" s="20">
        <v>5.3150061290533603</v>
      </c>
      <c r="Y614" s="20">
        <v>6.1800627819916203</v>
      </c>
      <c r="Z614" s="20">
        <v>7.10670551001345</v>
      </c>
      <c r="AA614" s="20">
        <v>8.06981106851687</v>
      </c>
      <c r="AB614" s="20">
        <v>9.0569668075072194</v>
      </c>
      <c r="AC614" s="20">
        <v>10.0689444132147</v>
      </c>
      <c r="AD614" s="20">
        <v>11.0901933751313</v>
      </c>
      <c r="AE614" s="20">
        <v>12.097885486641401</v>
      </c>
      <c r="AF614" t="str">
        <f t="shared" si="39"/>
        <v>NonResidential</v>
      </c>
      <c r="AG614" t="str">
        <f>tbl_Data_old[[#This Row],[All_Meas_Name_Append]]</f>
        <v>Ozone Laundry Commercial</v>
      </c>
      <c r="AH614">
        <f>AVERAGEIFS('3. Incentive Adjustment'!G:G,'3. Incentive Adjustment'!A:A,tbl_Data_old[[#This Row],[Trimmed Sector]],'3. Incentive Adjustment'!B:B,tbl_Data_old[[#This Row],[Trimmed Measure Name]])</f>
        <v>0.75402928491932286</v>
      </c>
      <c r="AI614">
        <f>$AH614*tbl_Data_old[[#This Row],[2025 ]]</f>
        <v>2.854816570562313</v>
      </c>
      <c r="AJ614">
        <f>$AH614*tbl_Data_old[[#This Row],[2026 ]]</f>
        <v>3.4111416091022448</v>
      </c>
      <c r="AK614">
        <f>$AH614*tbl_Data_old[[#This Row],[2027 ]]</f>
        <v>4.0076702708319232</v>
      </c>
      <c r="AL614">
        <f>$AH614*tbl_Data_old[[#This Row],[2028 ]]</f>
        <v>4.6599483202616625</v>
      </c>
      <c r="AM614">
        <f>$AH614*tbl_Data_old[[#This Row],[2029 ]]</f>
        <v>5.3586640738476534</v>
      </c>
      <c r="AN614">
        <f>$AH614*tbl_Data_old[[#This Row],[2030 ]]</f>
        <v>6.0848738694278124</v>
      </c>
      <c r="AO614">
        <f>$AH614*tbl_Data_old[[#This Row],[2031 ]]</f>
        <v>6.8292182054027109</v>
      </c>
      <c r="AP614">
        <f>$AH614*tbl_Data_old[[#This Row],[2032 ]]</f>
        <v>7.5922789557886912</v>
      </c>
      <c r="AQ614">
        <f>$AH614*tbl_Data_old[[#This Row],[2033 ]]</f>
        <v>8.3623305802672654</v>
      </c>
      <c r="AR614">
        <f>$AH614*tbl_Data_old[[#This Row],[2034 ]]</f>
        <v>9.1221599425280697</v>
      </c>
      <c r="AS614">
        <f>SUM(tbl_Data_old[[#This Row],[Adjusted 2025]:[Adjusted 2034]])</f>
        <v>58.283102398020347</v>
      </c>
      <c r="AT614" s="3">
        <f>AVERAGEIFS('3. Incentive Adjustment'!F:F,'3. Incentive Adjustment'!A:A,tbl_Data_old[[#This Row],[Trimmed Sector]],'3. Incentive Adjustment'!B:B,tbl_Data_old[[#This Row],[Trimmed Measure Name]])</f>
        <v>0</v>
      </c>
      <c r="AU614" s="3">
        <f>IFERROR(VLOOKUP(tbl_Data_old[[#This Row],[All_Meas_Name_Append]],'IRA Tax Credits'!$A$3:$D$46,4,0),0)</f>
        <v>0</v>
      </c>
      <c r="AV614" s="4">
        <f>tbl_Data_old[[#This Row],[Adj. per unit Incentive ($)]]/tbl_Data_old[[#This Row],[kWh Savings]]*tbl_Data_old[[#This Row],[Sum of Annuals]]</f>
        <v>0</v>
      </c>
      <c r="AW614" s="4" t="str">
        <f>IFERROR(VLOOKUP(tbl_Data_old[[#This Row],[All_Programs]],'1. Set Program Names'!$B$2:$D$15,3,0)*tbl_Data_old[[#This Row],[Sum of Annuals]],"")</f>
        <v/>
      </c>
      <c r="AX614" s="4">
        <f>tbl_Data_old[[#This Row],[per unit IRA tax ($)]]/tbl_Data_old[[#This Row],[kWh Savings]]*tbl_Data_old[[#This Row],[Sum of Annuals]]</f>
        <v>0</v>
      </c>
      <c r="AY614" s="4">
        <f>tbl_Data_old[[#This Row],[Avoided Costs ($/unit)]]/tbl_Data_old[[#This Row],[kWh Savings]]*tbl_Data_old[[#This Row],[Sum of Annuals]]</f>
        <v>22.45972361848807</v>
      </c>
      <c r="AZ614" s="4">
        <f>tbl_Data_old[[#This Row],[Lost Revenue ($/unit)]]/tbl_Data_old[[#This Row],[kWh Savings]]*tbl_Data_old[[#This Row],[Sum of Annuals]]</f>
        <v>47.941127029754277</v>
      </c>
      <c r="BA614" s="4">
        <f>tbl_Data_old[[#This Row],[Incremental Cost ($/unit)]]/tbl_Data_old[[#This Row],[kWh Savings]]*tbl_Data_old[[#This Row],[Sum of Annuals]]</f>
        <v>18.225579259262986</v>
      </c>
      <c r="BB614">
        <f>ROUNDUP(tbl_Data_old[[#This Row],[Adjusted 2025]]/$L614,0)</f>
        <v>1</v>
      </c>
      <c r="BC614">
        <f>ROUNDUP(tbl_Data_old[[#This Row],[Adjusted 2026]]/$L614,0)</f>
        <v>1</v>
      </c>
      <c r="BD614">
        <f>ROUNDUP(tbl_Data_old[[#This Row],[Adjusted 2027]]/$L614,0)</f>
        <v>1</v>
      </c>
      <c r="BE614">
        <f>ROUNDUP(tbl_Data_old[[#This Row],[Adjusted 2028]]/$L614,0)</f>
        <v>1</v>
      </c>
      <c r="BF614">
        <f>ROUNDUP(tbl_Data_old[[#This Row],[Adjusted 2029]]/$L614,0)</f>
        <v>1</v>
      </c>
      <c r="BG614">
        <f>ROUNDUP(tbl_Data_old[[#This Row],[Adjusted 2030]]/$L614,0)</f>
        <v>1</v>
      </c>
      <c r="BH614">
        <f>ROUNDUP(tbl_Data_old[[#This Row],[Adjusted 2031]]/$L614,0)</f>
        <v>1</v>
      </c>
      <c r="BI614">
        <f>ROUNDUP(tbl_Data_old[[#This Row],[Adjusted 2032]]/$L614,0)</f>
        <v>1</v>
      </c>
      <c r="BJ614">
        <f>ROUNDUP(tbl_Data_old[[#This Row],[Adjusted 2033]]/$L614,0)</f>
        <v>1</v>
      </c>
      <c r="BK614">
        <f>ROUNDUP(tbl_Data_old[[#This Row],[Adjusted 2034]]/$L614,0)</f>
        <v>1</v>
      </c>
      <c r="BL614" s="3">
        <f t="shared" si="41"/>
        <v>0</v>
      </c>
      <c r="BM614" s="3">
        <f t="shared" si="41"/>
        <v>0</v>
      </c>
      <c r="BN614" s="3">
        <f t="shared" si="41"/>
        <v>0</v>
      </c>
      <c r="BO614" s="3">
        <f t="shared" si="41"/>
        <v>0</v>
      </c>
      <c r="BP614" s="3">
        <f t="shared" si="41"/>
        <v>0</v>
      </c>
      <c r="BQ614" s="3">
        <f t="shared" si="40"/>
        <v>0</v>
      </c>
      <c r="BR614" s="3">
        <f t="shared" si="40"/>
        <v>0</v>
      </c>
      <c r="BS614" s="3">
        <f t="shared" si="40"/>
        <v>0</v>
      </c>
      <c r="BT614" s="3">
        <f t="shared" si="40"/>
        <v>0</v>
      </c>
      <c r="BU614" s="3">
        <f t="shared" si="40"/>
        <v>0</v>
      </c>
      <c r="BV614" t="e">
        <f>VLOOKUP($H614,'1. Set Program Names'!$B$2:$D$15,3,0)*V614</f>
        <v>#N/A</v>
      </c>
      <c r="BW614" t="e">
        <f>VLOOKUP($H614,'1. Set Program Names'!$B$2:$D$15,3,0)*W614</f>
        <v>#N/A</v>
      </c>
      <c r="BX614" t="e">
        <f>VLOOKUP($H614,'1. Set Program Names'!$B$2:$D$15,3,0)*X614</f>
        <v>#N/A</v>
      </c>
      <c r="BY614" t="e">
        <f>VLOOKUP($H614,'1. Set Program Names'!$B$2:$D$15,3,0)*Y614</f>
        <v>#N/A</v>
      </c>
      <c r="BZ614" t="e">
        <f>VLOOKUP($H614,'1. Set Program Names'!$B$2:$D$15,3,0)*Z614</f>
        <v>#N/A</v>
      </c>
      <c r="CA614" t="e">
        <f>VLOOKUP($H614,'1. Set Program Names'!$B$2:$D$15,3,0)*AA614</f>
        <v>#N/A</v>
      </c>
      <c r="CB614" t="e">
        <f>VLOOKUP($H614,'1. Set Program Names'!$B$2:$D$15,3,0)*AB614</f>
        <v>#N/A</v>
      </c>
      <c r="CC614" t="e">
        <f>VLOOKUP($H614,'1. Set Program Names'!$B$2:$D$15,3,0)*AC614</f>
        <v>#N/A</v>
      </c>
      <c r="CD614" t="e">
        <f>VLOOKUP($H614,'1. Set Program Names'!$B$2:$D$15,3,0)*AD614</f>
        <v>#N/A</v>
      </c>
      <c r="CE614" t="e">
        <f>VLOOKUP($H614,'1. Set Program Names'!$B$2:$D$15,3,0)*AE614</f>
        <v>#N/A</v>
      </c>
    </row>
    <row r="615" spans="1:83" x14ac:dyDescent="0.25">
      <c r="A615" s="20" t="s">
        <v>114</v>
      </c>
      <c r="B615" s="20" t="s">
        <v>88</v>
      </c>
      <c r="C615" s="20" t="s">
        <v>122</v>
      </c>
      <c r="D615" s="20" t="s">
        <v>90</v>
      </c>
      <c r="E615" s="20" t="s">
        <v>91</v>
      </c>
      <c r="F615" s="20" t="s">
        <v>90</v>
      </c>
      <c r="G615" s="20" t="s">
        <v>92</v>
      </c>
      <c r="H615" s="20" t="s">
        <v>268</v>
      </c>
      <c r="I615" s="20" t="s">
        <v>153</v>
      </c>
      <c r="J615" s="20" t="s">
        <v>129</v>
      </c>
      <c r="K615" s="20" t="s">
        <v>102</v>
      </c>
      <c r="L615" s="20">
        <v>1285.73999999999</v>
      </c>
      <c r="M615" s="20">
        <v>0.191067583335012</v>
      </c>
      <c r="N615" s="20">
        <v>3.6175165669598698E-2</v>
      </c>
      <c r="O615" s="20">
        <v>304.38999999999902</v>
      </c>
      <c r="P615" s="20">
        <v>39.904344316796902</v>
      </c>
      <c r="Q615" s="20">
        <v>1.2857399999999899</v>
      </c>
      <c r="R615" s="20">
        <v>497.118469789904</v>
      </c>
      <c r="S615" s="20">
        <v>1133.43981342083</v>
      </c>
      <c r="T615" s="20">
        <v>11</v>
      </c>
      <c r="U615" s="20">
        <v>1</v>
      </c>
      <c r="V615" s="20">
        <v>0.17955454679170299</v>
      </c>
      <c r="W615" s="20">
        <v>0.14993883451183099</v>
      </c>
      <c r="X615" s="20">
        <v>0.124314391350106</v>
      </c>
      <c r="Y615" s="20">
        <v>0.103304408513007</v>
      </c>
      <c r="Z615" s="20">
        <v>8.6097820795206101E-2</v>
      </c>
      <c r="AA615" s="20">
        <v>7.1965276401995196E-2</v>
      </c>
      <c r="AB615" s="20">
        <v>6.0423614328950499E-2</v>
      </c>
      <c r="AC615" s="20">
        <v>5.1110392271096497E-2</v>
      </c>
      <c r="AD615" s="20">
        <v>4.3687024550551401E-2</v>
      </c>
      <c r="AE615" s="20">
        <v>3.7670499868717601E-2</v>
      </c>
      <c r="AF615" t="str">
        <f t="shared" si="39"/>
        <v>NonResidential</v>
      </c>
      <c r="AG615" t="str">
        <f>tbl_Data_old[[#This Row],[All_Meas_Name_Append]]</f>
        <v>Programmable thermostat</v>
      </c>
      <c r="AH615">
        <f>AVERAGEIFS('3. Incentive Adjustment'!G:G,'3. Incentive Adjustment'!A:A,tbl_Data_old[[#This Row],[Trimmed Sector]],'3. Incentive Adjustment'!B:B,tbl_Data_old[[#This Row],[Trimmed Measure Name]])</f>
        <v>0.92137383531364503</v>
      </c>
      <c r="AI615">
        <f>$AH615*tbl_Data_old[[#This Row],[2025 ]]</f>
        <v>0.16543686142547473</v>
      </c>
      <c r="AJ615">
        <f>$AH615*tbl_Data_old[[#This Row],[2026 ]]</f>
        <v>0.13814971901662365</v>
      </c>
      <c r="AK615">
        <f>$AH615*tbl_Data_old[[#This Row],[2027 ]]</f>
        <v>0.11454002754292858</v>
      </c>
      <c r="AL615">
        <f>$AH615*tbl_Data_old[[#This Row],[2028 ]]</f>
        <v>9.5181979076436815E-2</v>
      </c>
      <c r="AM615">
        <f>$AH615*tbl_Data_old[[#This Row],[2029 ]]</f>
        <v>7.932827935822595E-2</v>
      </c>
      <c r="AN615">
        <f>$AH615*tbl_Data_old[[#This Row],[2030 ]]</f>
        <v>6.6306922727912873E-2</v>
      </c>
      <c r="AO615">
        <f>$AH615*tbl_Data_old[[#This Row],[2031 ]]</f>
        <v>5.5672737277777641E-2</v>
      </c>
      <c r="AP615">
        <f>$AH615*tbl_Data_old[[#This Row],[2032 ]]</f>
        <v>4.7091778151205056E-2</v>
      </c>
      <c r="AQ615">
        <f>$AH615*tbl_Data_old[[#This Row],[2033 ]]</f>
        <v>4.0252081363582916E-2</v>
      </c>
      <c r="AR615">
        <f>$AH615*tbl_Data_old[[#This Row],[2034 ]]</f>
        <v>3.4708612942222494E-2</v>
      </c>
      <c r="AS615">
        <f>SUM(tbl_Data_old[[#This Row],[Adjusted 2025]:[Adjusted 2034]])</f>
        <v>0.83666899888239066</v>
      </c>
      <c r="AT615" s="3">
        <f>AVERAGEIFS('3. Incentive Adjustment'!F:F,'3. Incentive Adjustment'!A:A,tbl_Data_old[[#This Row],[Trimmed Sector]],'3. Incentive Adjustment'!B:B,tbl_Data_old[[#This Row],[Trimmed Measure Name]])</f>
        <v>0</v>
      </c>
      <c r="AU615" s="3">
        <f>IFERROR(VLOOKUP(tbl_Data_old[[#This Row],[All_Meas_Name_Append]],'IRA Tax Credits'!$A$3:$D$46,4,0),0)</f>
        <v>0</v>
      </c>
      <c r="AV615" s="4">
        <f>tbl_Data_old[[#This Row],[Adj. per unit Incentive ($)]]/tbl_Data_old[[#This Row],[kWh Savings]]*tbl_Data_old[[#This Row],[Sum of Annuals]]</f>
        <v>0</v>
      </c>
      <c r="AW615" s="4" t="str">
        <f>IFERROR(VLOOKUP(tbl_Data_old[[#This Row],[All_Programs]],'1. Set Program Names'!$B$2:$D$15,3,0)*tbl_Data_old[[#This Row],[Sum of Annuals]],"")</f>
        <v/>
      </c>
      <c r="AX615" s="4">
        <f>tbl_Data_old[[#This Row],[per unit IRA tax ($)]]/tbl_Data_old[[#This Row],[kWh Savings]]*tbl_Data_old[[#This Row],[Sum of Annuals]]</f>
        <v>0</v>
      </c>
      <c r="AY615" s="4">
        <f>tbl_Data_old[[#This Row],[Avoided Costs ($/unit)]]/tbl_Data_old[[#This Row],[kWh Savings]]*tbl_Data_old[[#This Row],[Sum of Annuals]]</f>
        <v>0.32348967321936645</v>
      </c>
      <c r="AZ615" s="4">
        <f>tbl_Data_old[[#This Row],[Lost Revenue ($/unit)]]/tbl_Data_old[[#This Row],[kWh Savings]]*tbl_Data_old[[#This Row],[Sum of Annuals]]</f>
        <v>0.73756276851327396</v>
      </c>
      <c r="BA615" s="4">
        <f>tbl_Data_old[[#This Row],[Incremental Cost ($/unit)]]/tbl_Data_old[[#This Row],[kWh Savings]]*tbl_Data_old[[#This Row],[Sum of Annuals]]</f>
        <v>0.19807556470967075</v>
      </c>
      <c r="BB615">
        <f>ROUNDUP(tbl_Data_old[[#This Row],[Adjusted 2025]]/$L615,0)</f>
        <v>1</v>
      </c>
      <c r="BC615">
        <f>ROUNDUP(tbl_Data_old[[#This Row],[Adjusted 2026]]/$L615,0)</f>
        <v>1</v>
      </c>
      <c r="BD615">
        <f>ROUNDUP(tbl_Data_old[[#This Row],[Adjusted 2027]]/$L615,0)</f>
        <v>1</v>
      </c>
      <c r="BE615">
        <f>ROUNDUP(tbl_Data_old[[#This Row],[Adjusted 2028]]/$L615,0)</f>
        <v>1</v>
      </c>
      <c r="BF615">
        <f>ROUNDUP(tbl_Data_old[[#This Row],[Adjusted 2029]]/$L615,0)</f>
        <v>1</v>
      </c>
      <c r="BG615">
        <f>ROUNDUP(tbl_Data_old[[#This Row],[Adjusted 2030]]/$L615,0)</f>
        <v>1</v>
      </c>
      <c r="BH615">
        <f>ROUNDUP(tbl_Data_old[[#This Row],[Adjusted 2031]]/$L615,0)</f>
        <v>1</v>
      </c>
      <c r="BI615">
        <f>ROUNDUP(tbl_Data_old[[#This Row],[Adjusted 2032]]/$L615,0)</f>
        <v>1</v>
      </c>
      <c r="BJ615">
        <f>ROUNDUP(tbl_Data_old[[#This Row],[Adjusted 2033]]/$L615,0)</f>
        <v>1</v>
      </c>
      <c r="BK615">
        <f>ROUNDUP(tbl_Data_old[[#This Row],[Adjusted 2034]]/$L615,0)</f>
        <v>1</v>
      </c>
      <c r="BL615" s="3">
        <f t="shared" si="41"/>
        <v>0</v>
      </c>
      <c r="BM615" s="3">
        <f t="shared" si="41"/>
        <v>0</v>
      </c>
      <c r="BN615" s="3">
        <f t="shared" si="41"/>
        <v>0</v>
      </c>
      <c r="BO615" s="3">
        <f t="shared" si="41"/>
        <v>0</v>
      </c>
      <c r="BP615" s="3">
        <f t="shared" si="41"/>
        <v>0</v>
      </c>
      <c r="BQ615" s="3">
        <f t="shared" si="40"/>
        <v>0</v>
      </c>
      <c r="BR615" s="3">
        <f t="shared" si="40"/>
        <v>0</v>
      </c>
      <c r="BS615" s="3">
        <f t="shared" si="40"/>
        <v>0</v>
      </c>
      <c r="BT615" s="3">
        <f t="shared" si="40"/>
        <v>0</v>
      </c>
      <c r="BU615" s="3">
        <f t="shared" si="40"/>
        <v>0</v>
      </c>
      <c r="BV615" t="e">
        <f>VLOOKUP($H615,'1. Set Program Names'!$B$2:$D$15,3,0)*V615</f>
        <v>#N/A</v>
      </c>
      <c r="BW615" t="e">
        <f>VLOOKUP($H615,'1. Set Program Names'!$B$2:$D$15,3,0)*W615</f>
        <v>#N/A</v>
      </c>
      <c r="BX615" t="e">
        <f>VLOOKUP($H615,'1. Set Program Names'!$B$2:$D$15,3,0)*X615</f>
        <v>#N/A</v>
      </c>
      <c r="BY615" t="e">
        <f>VLOOKUP($H615,'1. Set Program Names'!$B$2:$D$15,3,0)*Y615</f>
        <v>#N/A</v>
      </c>
      <c r="BZ615" t="e">
        <f>VLOOKUP($H615,'1. Set Program Names'!$B$2:$D$15,3,0)*Z615</f>
        <v>#N/A</v>
      </c>
      <c r="CA615" t="e">
        <f>VLOOKUP($H615,'1. Set Program Names'!$B$2:$D$15,3,0)*AA615</f>
        <v>#N/A</v>
      </c>
      <c r="CB615" t="e">
        <f>VLOOKUP($H615,'1. Set Program Names'!$B$2:$D$15,3,0)*AB615</f>
        <v>#N/A</v>
      </c>
      <c r="CC615" t="e">
        <f>VLOOKUP($H615,'1. Set Program Names'!$B$2:$D$15,3,0)*AC615</f>
        <v>#N/A</v>
      </c>
      <c r="CD615" t="e">
        <f>VLOOKUP($H615,'1. Set Program Names'!$B$2:$D$15,3,0)*AD615</f>
        <v>#N/A</v>
      </c>
      <c r="CE615" t="e">
        <f>VLOOKUP($H615,'1. Set Program Names'!$B$2:$D$15,3,0)*AE615</f>
        <v>#N/A</v>
      </c>
    </row>
    <row r="616" spans="1:83" x14ac:dyDescent="0.25">
      <c r="A616" s="20" t="s">
        <v>114</v>
      </c>
      <c r="B616" s="20" t="s">
        <v>88</v>
      </c>
      <c r="C616" s="20" t="s">
        <v>122</v>
      </c>
      <c r="D616" s="20" t="s">
        <v>90</v>
      </c>
      <c r="E616" s="20" t="s">
        <v>91</v>
      </c>
      <c r="F616" s="20" t="s">
        <v>90</v>
      </c>
      <c r="G616" s="20" t="s">
        <v>92</v>
      </c>
      <c r="H616" s="20" t="s">
        <v>268</v>
      </c>
      <c r="I616" s="20" t="s">
        <v>156</v>
      </c>
      <c r="J616" s="20" t="s">
        <v>129</v>
      </c>
      <c r="K616" s="20" t="s">
        <v>102</v>
      </c>
      <c r="L616" s="20">
        <v>1074.99714285714</v>
      </c>
      <c r="M616" s="20">
        <v>0.35483647389159401</v>
      </c>
      <c r="N616" s="20">
        <v>2.1679791501885101E-3</v>
      </c>
      <c r="O616" s="20">
        <v>322.49999999999898</v>
      </c>
      <c r="P616" s="20">
        <v>112.47094868606101</v>
      </c>
      <c r="Q616" s="20">
        <v>1.0749971428571401</v>
      </c>
      <c r="R616" s="20">
        <v>593.31352847936103</v>
      </c>
      <c r="S616" s="20">
        <v>1167.57597203707</v>
      </c>
      <c r="T616" s="20">
        <v>15</v>
      </c>
      <c r="U616" s="20">
        <v>1</v>
      </c>
      <c r="V616" s="20">
        <v>37.903333630167303</v>
      </c>
      <c r="W616" s="20">
        <v>42.6196055176991</v>
      </c>
      <c r="X616" s="20">
        <v>46.861685182960102</v>
      </c>
      <c r="Y616" s="20">
        <v>50.860788445725902</v>
      </c>
      <c r="Z616" s="20">
        <v>54.585237396926303</v>
      </c>
      <c r="AA616" s="20">
        <v>58.009626754924902</v>
      </c>
      <c r="AB616" s="20">
        <v>61.162701535641297</v>
      </c>
      <c r="AC616" s="20">
        <v>64.199266051990193</v>
      </c>
      <c r="AD616" s="20">
        <v>67.193534664055093</v>
      </c>
      <c r="AE616" s="20">
        <v>70.064866184436994</v>
      </c>
      <c r="AF616" t="str">
        <f t="shared" si="39"/>
        <v>NonResidential</v>
      </c>
      <c r="AG616" t="str">
        <f>tbl_Data_old[[#This Row],[All_Meas_Name_Append]]</f>
        <v>Water source heat pump</v>
      </c>
      <c r="AH616">
        <f>AVERAGEIFS('3. Incentive Adjustment'!G:G,'3. Incentive Adjustment'!A:A,tbl_Data_old[[#This Row],[Trimmed Sector]],'3. Incentive Adjustment'!B:B,tbl_Data_old[[#This Row],[Trimmed Measure Name]])</f>
        <v>0.75877205530206748</v>
      </c>
      <c r="AI616">
        <f>$AH616*tbl_Data_old[[#This Row],[2025 ]]</f>
        <v>28.759990361362018</v>
      </c>
      <c r="AJ616">
        <f>$AH616*tbl_Data_old[[#This Row],[2026 ]]</f>
        <v>32.338565674827883</v>
      </c>
      <c r="AK616">
        <f>$AH616*tbl_Data_old[[#This Row],[2027 ]]</f>
        <v>35.557337181193077</v>
      </c>
      <c r="AL616">
        <f>$AH616*tbl_Data_old[[#This Row],[2028 ]]</f>
        <v>38.591744983247089</v>
      </c>
      <c r="AM616">
        <f>$AH616*tbl_Data_old[[#This Row],[2029 ]]</f>
        <v>41.417752768817046</v>
      </c>
      <c r="AN616">
        <f>$AH616*tbl_Data_old[[#This Row],[2030 ]]</f>
        <v>44.016083720140173</v>
      </c>
      <c r="AO616">
        <f>$AH616*tbl_Data_old[[#This Row],[2031 ]]</f>
        <v>46.408548752025467</v>
      </c>
      <c r="AP616">
        <f>$AH616*tbl_Data_old[[#This Row],[2032 ]]</f>
        <v>48.712609051152846</v>
      </c>
      <c r="AQ616">
        <f>$AH616*tbl_Data_old[[#This Row],[2033 ]]</f>
        <v>50.984576400055801</v>
      </c>
      <c r="AR616">
        <f>$AH616*tbl_Data_old[[#This Row],[2034 ]]</f>
        <v>53.163262519229583</v>
      </c>
      <c r="AS616">
        <f>SUM(tbl_Data_old[[#This Row],[Adjusted 2025]:[Adjusted 2034]])</f>
        <v>419.950471412051</v>
      </c>
      <c r="AT616" s="3">
        <f>AVERAGEIFS('3. Incentive Adjustment'!F:F,'3. Incentive Adjustment'!A:A,tbl_Data_old[[#This Row],[Trimmed Sector]],'3. Incentive Adjustment'!B:B,tbl_Data_old[[#This Row],[Trimmed Measure Name]])</f>
        <v>0</v>
      </c>
      <c r="AU616" s="3">
        <f>IFERROR(VLOOKUP(tbl_Data_old[[#This Row],[All_Meas_Name_Append]],'IRA Tax Credits'!$A$3:$D$46,4,0),0)</f>
        <v>0</v>
      </c>
      <c r="AV616" s="4">
        <f>tbl_Data_old[[#This Row],[Adj. per unit Incentive ($)]]/tbl_Data_old[[#This Row],[kWh Savings]]*tbl_Data_old[[#This Row],[Sum of Annuals]]</f>
        <v>0</v>
      </c>
      <c r="AW616" s="4" t="str">
        <f>IFERROR(VLOOKUP(tbl_Data_old[[#This Row],[All_Programs]],'1. Set Program Names'!$B$2:$D$15,3,0)*tbl_Data_old[[#This Row],[Sum of Annuals]],"")</f>
        <v/>
      </c>
      <c r="AX616" s="4">
        <f>tbl_Data_old[[#This Row],[per unit IRA tax ($)]]/tbl_Data_old[[#This Row],[kWh Savings]]*tbl_Data_old[[#This Row],[Sum of Annuals]]</f>
        <v>0</v>
      </c>
      <c r="AY616" s="4">
        <f>tbl_Data_old[[#This Row],[Avoided Costs ($/unit)]]/tbl_Data_old[[#This Row],[kWh Savings]]*tbl_Data_old[[#This Row],[Sum of Annuals]]</f>
        <v>231.77949600668569</v>
      </c>
      <c r="AZ616" s="4">
        <f>tbl_Data_old[[#This Row],[Lost Revenue ($/unit)]]/tbl_Data_old[[#This Row],[kWh Savings]]*tbl_Data_old[[#This Row],[Sum of Annuals]]</f>
        <v>456.11663540161805</v>
      </c>
      <c r="BA616" s="4">
        <f>tbl_Data_old[[#This Row],[Incremental Cost ($/unit)]]/tbl_Data_old[[#This Row],[kWh Savings]]*tbl_Data_old[[#This Row],[Sum of Annuals]]</f>
        <v>125.98547626873489</v>
      </c>
      <c r="BB616">
        <f>ROUNDUP(tbl_Data_old[[#This Row],[Adjusted 2025]]/$L616,0)</f>
        <v>1</v>
      </c>
      <c r="BC616">
        <f>ROUNDUP(tbl_Data_old[[#This Row],[Adjusted 2026]]/$L616,0)</f>
        <v>1</v>
      </c>
      <c r="BD616">
        <f>ROUNDUP(tbl_Data_old[[#This Row],[Adjusted 2027]]/$L616,0)</f>
        <v>1</v>
      </c>
      <c r="BE616">
        <f>ROUNDUP(tbl_Data_old[[#This Row],[Adjusted 2028]]/$L616,0)</f>
        <v>1</v>
      </c>
      <c r="BF616">
        <f>ROUNDUP(tbl_Data_old[[#This Row],[Adjusted 2029]]/$L616,0)</f>
        <v>1</v>
      </c>
      <c r="BG616">
        <f>ROUNDUP(tbl_Data_old[[#This Row],[Adjusted 2030]]/$L616,0)</f>
        <v>1</v>
      </c>
      <c r="BH616">
        <f>ROUNDUP(tbl_Data_old[[#This Row],[Adjusted 2031]]/$L616,0)</f>
        <v>1</v>
      </c>
      <c r="BI616">
        <f>ROUNDUP(tbl_Data_old[[#This Row],[Adjusted 2032]]/$L616,0)</f>
        <v>1</v>
      </c>
      <c r="BJ616">
        <f>ROUNDUP(tbl_Data_old[[#This Row],[Adjusted 2033]]/$L616,0)</f>
        <v>1</v>
      </c>
      <c r="BK616">
        <f>ROUNDUP(tbl_Data_old[[#This Row],[Adjusted 2034]]/$L616,0)</f>
        <v>1</v>
      </c>
      <c r="BL616" s="3">
        <f t="shared" si="41"/>
        <v>0</v>
      </c>
      <c r="BM616" s="3">
        <f t="shared" si="41"/>
        <v>0</v>
      </c>
      <c r="BN616" s="3">
        <f t="shared" si="41"/>
        <v>0</v>
      </c>
      <c r="BO616" s="3">
        <f t="shared" si="41"/>
        <v>0</v>
      </c>
      <c r="BP616" s="3">
        <f t="shared" si="41"/>
        <v>0</v>
      </c>
      <c r="BQ616" s="3">
        <f t="shared" si="40"/>
        <v>0</v>
      </c>
      <c r="BR616" s="3">
        <f t="shared" si="40"/>
        <v>0</v>
      </c>
      <c r="BS616" s="3">
        <f t="shared" si="40"/>
        <v>0</v>
      </c>
      <c r="BT616" s="3">
        <f t="shared" si="40"/>
        <v>0</v>
      </c>
      <c r="BU616" s="3">
        <f t="shared" si="40"/>
        <v>0</v>
      </c>
      <c r="BV616" t="e">
        <f>VLOOKUP($H616,'1. Set Program Names'!$B$2:$D$15,3,0)*V616</f>
        <v>#N/A</v>
      </c>
      <c r="BW616" t="e">
        <f>VLOOKUP($H616,'1. Set Program Names'!$B$2:$D$15,3,0)*W616</f>
        <v>#N/A</v>
      </c>
      <c r="BX616" t="e">
        <f>VLOOKUP($H616,'1. Set Program Names'!$B$2:$D$15,3,0)*X616</f>
        <v>#N/A</v>
      </c>
      <c r="BY616" t="e">
        <f>VLOOKUP($H616,'1. Set Program Names'!$B$2:$D$15,3,0)*Y616</f>
        <v>#N/A</v>
      </c>
      <c r="BZ616" t="e">
        <f>VLOOKUP($H616,'1. Set Program Names'!$B$2:$D$15,3,0)*Z616</f>
        <v>#N/A</v>
      </c>
      <c r="CA616" t="e">
        <f>VLOOKUP($H616,'1. Set Program Names'!$B$2:$D$15,3,0)*AA616</f>
        <v>#N/A</v>
      </c>
      <c r="CB616" t="e">
        <f>VLOOKUP($H616,'1. Set Program Names'!$B$2:$D$15,3,0)*AB616</f>
        <v>#N/A</v>
      </c>
      <c r="CC616" t="e">
        <f>VLOOKUP($H616,'1. Set Program Names'!$B$2:$D$15,3,0)*AC616</f>
        <v>#N/A</v>
      </c>
      <c r="CD616" t="e">
        <f>VLOOKUP($H616,'1. Set Program Names'!$B$2:$D$15,3,0)*AD616</f>
        <v>#N/A</v>
      </c>
      <c r="CE616" t="e">
        <f>VLOOKUP($H616,'1. Set Program Names'!$B$2:$D$15,3,0)*AE616</f>
        <v>#N/A</v>
      </c>
    </row>
    <row r="617" spans="1:83" x14ac:dyDescent="0.25">
      <c r="A617" s="20" t="s">
        <v>115</v>
      </c>
      <c r="B617" s="20" t="s">
        <v>88</v>
      </c>
      <c r="C617" s="20" t="s">
        <v>122</v>
      </c>
      <c r="D617" s="20" t="s">
        <v>90</v>
      </c>
      <c r="E617" s="20" t="s">
        <v>91</v>
      </c>
      <c r="F617" s="20" t="s">
        <v>90</v>
      </c>
      <c r="G617" s="20" t="s">
        <v>92</v>
      </c>
      <c r="H617" s="20" t="s">
        <v>268</v>
      </c>
      <c r="I617" s="20" t="s">
        <v>123</v>
      </c>
      <c r="J617" s="20" t="s">
        <v>124</v>
      </c>
      <c r="K617" s="20" t="s">
        <v>125</v>
      </c>
      <c r="L617" s="20">
        <v>276.38000000000102</v>
      </c>
      <c r="M617" s="20">
        <v>4.0116087790590997E-2</v>
      </c>
      <c r="N617" s="20">
        <v>3.5590078027730399E-2</v>
      </c>
      <c r="O617" s="20">
        <v>71</v>
      </c>
      <c r="P617" s="20">
        <v>14.1467127741815</v>
      </c>
      <c r="Q617" s="20">
        <v>0.27638000000000101</v>
      </c>
      <c r="R617" s="20">
        <v>109.905179976762</v>
      </c>
      <c r="S617" s="20">
        <v>259.02791823564098</v>
      </c>
      <c r="T617" s="20">
        <v>12</v>
      </c>
      <c r="U617" s="20">
        <v>1</v>
      </c>
      <c r="V617" s="20">
        <v>0.37924797205642802</v>
      </c>
      <c r="W617" s="20">
        <v>0.89740568559850598</v>
      </c>
      <c r="X617" s="20">
        <v>1.58553686942756</v>
      </c>
      <c r="Y617" s="20">
        <v>2.4717098132212301</v>
      </c>
      <c r="Z617" s="20">
        <v>3.5683326850070101</v>
      </c>
      <c r="AA617" s="20">
        <v>4.8607193608569297</v>
      </c>
      <c r="AB617" s="20">
        <v>6.2949446024625697</v>
      </c>
      <c r="AC617" s="20">
        <v>7.7809286987386503</v>
      </c>
      <c r="AD617" s="20">
        <v>9.2097294160730794</v>
      </c>
      <c r="AE617" s="20">
        <v>10.482070339446301</v>
      </c>
      <c r="AF617" t="str">
        <f t="shared" si="39"/>
        <v>NonResidential</v>
      </c>
      <c r="AG617" t="str">
        <f>tbl_Data_old[[#This Row],[All_Meas_Name_Append]]</f>
        <v>Anti-Sweat Controls</v>
      </c>
      <c r="AH617">
        <f>AVERAGEIFS('3. Incentive Adjustment'!G:G,'3. Incentive Adjustment'!A:A,tbl_Data_old[[#This Row],[Trimmed Sector]],'3. Incentive Adjustment'!B:B,tbl_Data_old[[#This Row],[Trimmed Measure Name]])</f>
        <v>0.87366811775307662</v>
      </c>
      <c r="AI617">
        <f>$AH617*tbl_Data_old[[#This Row],[2025 ]]</f>
        <v>0.33133686190821088</v>
      </c>
      <c r="AJ617">
        <f>$AH617*tbl_Data_old[[#This Row],[2026 ]]</f>
        <v>0.78403473619775599</v>
      </c>
      <c r="AK617">
        <f>$AH617*tbl_Data_old[[#This Row],[2027 ]]</f>
        <v>1.385233012340882</v>
      </c>
      <c r="AL617">
        <f>$AH617*tbl_Data_old[[#This Row],[2028 ]]</f>
        <v>2.1594540601488008</v>
      </c>
      <c r="AM617">
        <f>$AH617*tbl_Data_old[[#This Row],[2029 ]]</f>
        <v>3.1175385004268565</v>
      </c>
      <c r="AN617">
        <f>$AH617*tbl_Data_old[[#This Row],[2030 ]]</f>
        <v>4.2466555349258117</v>
      </c>
      <c r="AO617">
        <f>$AH617*tbl_Data_old[[#This Row],[2031 ]]</f>
        <v>5.4996924021933626</v>
      </c>
      <c r="AP617">
        <f>$AH617*tbl_Data_old[[#This Row],[2032 ]]</f>
        <v>6.7979493305978922</v>
      </c>
      <c r="AQ617">
        <f>$AH617*tbl_Data_old[[#This Row],[2033 ]]</f>
        <v>8.0462469639557082</v>
      </c>
      <c r="AR617">
        <f>$AH617*tbl_Data_old[[#This Row],[2034 ]]</f>
        <v>9.1578506636194028</v>
      </c>
      <c r="AS617">
        <f>SUM(tbl_Data_old[[#This Row],[Adjusted 2025]:[Adjusted 2034]])</f>
        <v>41.525992066314686</v>
      </c>
      <c r="AT617" s="3">
        <f>AVERAGEIFS('3. Incentive Adjustment'!F:F,'3. Incentive Adjustment'!A:A,tbl_Data_old[[#This Row],[Trimmed Sector]],'3. Incentive Adjustment'!B:B,tbl_Data_old[[#This Row],[Trimmed Measure Name]])</f>
        <v>0</v>
      </c>
      <c r="AU617" s="3">
        <f>IFERROR(VLOOKUP(tbl_Data_old[[#This Row],[All_Meas_Name_Append]],'IRA Tax Credits'!$A$3:$D$46,4,0),0)</f>
        <v>0</v>
      </c>
      <c r="AV617" s="4">
        <f>tbl_Data_old[[#This Row],[Adj. per unit Incentive ($)]]/tbl_Data_old[[#This Row],[kWh Savings]]*tbl_Data_old[[#This Row],[Sum of Annuals]]</f>
        <v>0</v>
      </c>
      <c r="AW617" s="4" t="str">
        <f>IFERROR(VLOOKUP(tbl_Data_old[[#This Row],[All_Programs]],'1. Set Program Names'!$B$2:$D$15,3,0)*tbl_Data_old[[#This Row],[Sum of Annuals]],"")</f>
        <v/>
      </c>
      <c r="AX617" s="4">
        <f>tbl_Data_old[[#This Row],[per unit IRA tax ($)]]/tbl_Data_old[[#This Row],[kWh Savings]]*tbl_Data_old[[#This Row],[Sum of Annuals]]</f>
        <v>0</v>
      </c>
      <c r="AY617" s="4">
        <f>tbl_Data_old[[#This Row],[Avoided Costs ($/unit)]]/tbl_Data_old[[#This Row],[kWh Savings]]*tbl_Data_old[[#This Row],[Sum of Annuals]]</f>
        <v>16.513212358932954</v>
      </c>
      <c r="AZ617" s="4">
        <f>tbl_Data_old[[#This Row],[Lost Revenue ($/unit)]]/tbl_Data_old[[#This Row],[kWh Savings]]*tbl_Data_old[[#This Row],[Sum of Annuals]]</f>
        <v>38.91884824374845</v>
      </c>
      <c r="BA617" s="4">
        <f>tbl_Data_old[[#This Row],[Incremental Cost ($/unit)]]/tbl_Data_old[[#This Row],[kWh Savings]]*tbl_Data_old[[#This Row],[Sum of Annuals]]</f>
        <v>10.667723557089268</v>
      </c>
      <c r="BB617">
        <f>ROUNDUP(tbl_Data_old[[#This Row],[Adjusted 2025]]/$L617,0)</f>
        <v>1</v>
      </c>
      <c r="BC617">
        <f>ROUNDUP(tbl_Data_old[[#This Row],[Adjusted 2026]]/$L617,0)</f>
        <v>1</v>
      </c>
      <c r="BD617">
        <f>ROUNDUP(tbl_Data_old[[#This Row],[Adjusted 2027]]/$L617,0)</f>
        <v>1</v>
      </c>
      <c r="BE617">
        <f>ROUNDUP(tbl_Data_old[[#This Row],[Adjusted 2028]]/$L617,0)</f>
        <v>1</v>
      </c>
      <c r="BF617">
        <f>ROUNDUP(tbl_Data_old[[#This Row],[Adjusted 2029]]/$L617,0)</f>
        <v>1</v>
      </c>
      <c r="BG617">
        <f>ROUNDUP(tbl_Data_old[[#This Row],[Adjusted 2030]]/$L617,0)</f>
        <v>1</v>
      </c>
      <c r="BH617">
        <f>ROUNDUP(tbl_Data_old[[#This Row],[Adjusted 2031]]/$L617,0)</f>
        <v>1</v>
      </c>
      <c r="BI617">
        <f>ROUNDUP(tbl_Data_old[[#This Row],[Adjusted 2032]]/$L617,0)</f>
        <v>1</v>
      </c>
      <c r="BJ617">
        <f>ROUNDUP(tbl_Data_old[[#This Row],[Adjusted 2033]]/$L617,0)</f>
        <v>1</v>
      </c>
      <c r="BK617">
        <f>ROUNDUP(tbl_Data_old[[#This Row],[Adjusted 2034]]/$L617,0)</f>
        <v>1</v>
      </c>
      <c r="BL617" s="3">
        <f t="shared" si="41"/>
        <v>0</v>
      </c>
      <c r="BM617" s="3">
        <f t="shared" si="41"/>
        <v>0</v>
      </c>
      <c r="BN617" s="3">
        <f t="shared" si="41"/>
        <v>0</v>
      </c>
      <c r="BO617" s="3">
        <f t="shared" si="41"/>
        <v>0</v>
      </c>
      <c r="BP617" s="3">
        <f t="shared" si="41"/>
        <v>0</v>
      </c>
      <c r="BQ617" s="3">
        <f t="shared" si="41"/>
        <v>0</v>
      </c>
      <c r="BR617" s="3">
        <f t="shared" si="41"/>
        <v>0</v>
      </c>
      <c r="BS617" s="3">
        <f t="shared" si="41"/>
        <v>0</v>
      </c>
      <c r="BT617" s="3">
        <f t="shared" si="41"/>
        <v>0</v>
      </c>
      <c r="BU617" s="3">
        <f t="shared" si="41"/>
        <v>0</v>
      </c>
      <c r="BV617" t="e">
        <f>VLOOKUP($H617,'1. Set Program Names'!$B$2:$D$15,3,0)*V617</f>
        <v>#N/A</v>
      </c>
      <c r="BW617" t="e">
        <f>VLOOKUP($H617,'1. Set Program Names'!$B$2:$D$15,3,0)*W617</f>
        <v>#N/A</v>
      </c>
      <c r="BX617" t="e">
        <f>VLOOKUP($H617,'1. Set Program Names'!$B$2:$D$15,3,0)*X617</f>
        <v>#N/A</v>
      </c>
      <c r="BY617" t="e">
        <f>VLOOKUP($H617,'1. Set Program Names'!$B$2:$D$15,3,0)*Y617</f>
        <v>#N/A</v>
      </c>
      <c r="BZ617" t="e">
        <f>VLOOKUP($H617,'1. Set Program Names'!$B$2:$D$15,3,0)*Z617</f>
        <v>#N/A</v>
      </c>
      <c r="CA617" t="e">
        <f>VLOOKUP($H617,'1. Set Program Names'!$B$2:$D$15,3,0)*AA617</f>
        <v>#N/A</v>
      </c>
      <c r="CB617" t="e">
        <f>VLOOKUP($H617,'1. Set Program Names'!$B$2:$D$15,3,0)*AB617</f>
        <v>#N/A</v>
      </c>
      <c r="CC617" t="e">
        <f>VLOOKUP($H617,'1. Set Program Names'!$B$2:$D$15,3,0)*AC617</f>
        <v>#N/A</v>
      </c>
      <c r="CD617" t="e">
        <f>VLOOKUP($H617,'1. Set Program Names'!$B$2:$D$15,3,0)*AD617</f>
        <v>#N/A</v>
      </c>
      <c r="CE617" t="e">
        <f>VLOOKUP($H617,'1. Set Program Names'!$B$2:$D$15,3,0)*AE617</f>
        <v>#N/A</v>
      </c>
    </row>
    <row r="618" spans="1:83" x14ac:dyDescent="0.25">
      <c r="A618" s="20" t="s">
        <v>115</v>
      </c>
      <c r="B618" s="20" t="s">
        <v>88</v>
      </c>
      <c r="C618" s="20" t="s">
        <v>122</v>
      </c>
      <c r="D618" s="20" t="s">
        <v>90</v>
      </c>
      <c r="E618" s="20" t="s">
        <v>91</v>
      </c>
      <c r="F618" s="20" t="s">
        <v>90</v>
      </c>
      <c r="G618" s="20" t="s">
        <v>92</v>
      </c>
      <c r="H618" s="20" t="s">
        <v>268</v>
      </c>
      <c r="I618" s="20" t="s">
        <v>126</v>
      </c>
      <c r="J618" s="20" t="s">
        <v>127</v>
      </c>
      <c r="K618" s="20" t="s">
        <v>102</v>
      </c>
      <c r="L618" s="20">
        <v>10474.513428571399</v>
      </c>
      <c r="M618" s="20">
        <v>11.987030831722899</v>
      </c>
      <c r="N618" s="20">
        <v>6.5774989692018102E-2</v>
      </c>
      <c r="O618" s="20">
        <v>2861.52</v>
      </c>
      <c r="P618" s="20">
        <v>706.838432647388</v>
      </c>
      <c r="Q618" s="20">
        <v>10.474513428571401</v>
      </c>
      <c r="R618" s="20">
        <v>9615.4333568812199</v>
      </c>
      <c r="S618" s="20">
        <v>8615.8759261769592</v>
      </c>
      <c r="T618" s="20">
        <v>10</v>
      </c>
      <c r="U618" s="20">
        <v>1</v>
      </c>
      <c r="V618" s="20">
        <v>14.562418262554701</v>
      </c>
      <c r="W618" s="20">
        <v>34.721440535745899</v>
      </c>
      <c r="X618" s="20">
        <v>61.840467317634797</v>
      </c>
      <c r="Y618" s="20">
        <v>97.332187007728095</v>
      </c>
      <c r="Z618" s="20">
        <v>142.073350040045</v>
      </c>
      <c r="AA618" s="20">
        <v>195.56503270973599</v>
      </c>
      <c r="AB618" s="20">
        <v>255.45664248440599</v>
      </c>
      <c r="AC618" s="20">
        <v>317.42402893808298</v>
      </c>
      <c r="AD618" s="20">
        <v>375.83146416382601</v>
      </c>
      <c r="AE618" s="20">
        <v>425.67861309037198</v>
      </c>
      <c r="AF618" t="str">
        <f t="shared" si="39"/>
        <v>NonResidential</v>
      </c>
      <c r="AG618" t="str">
        <f>tbl_Data_old[[#This Row],[All_Meas_Name_Append]]</f>
        <v>Chiller maintenance</v>
      </c>
      <c r="AH618">
        <f>AVERAGEIFS('3. Incentive Adjustment'!G:G,'3. Incentive Adjustment'!A:A,tbl_Data_old[[#This Row],[Trimmed Sector]],'3. Incentive Adjustment'!B:B,tbl_Data_old[[#This Row],[Trimmed Measure Name]])</f>
        <v>0.83689882434423457</v>
      </c>
      <c r="AI618">
        <f>$AH618*tbl_Data_old[[#This Row],[2025 ]]</f>
        <v>12.18727072354104</v>
      </c>
      <c r="AJ618">
        <f>$AH618*tbl_Data_old[[#This Row],[2026 ]]</f>
        <v>29.058332763903994</v>
      </c>
      <c r="AK618">
        <f>$AH618*tbl_Data_old[[#This Row],[2027 ]]</f>
        <v>51.754214395026622</v>
      </c>
      <c r="AL618">
        <f>$AH618*tbl_Data_old[[#This Row],[2028 ]]</f>
        <v>81.457192877620827</v>
      </c>
      <c r="AM618">
        <f>$AH618*tbl_Data_old[[#This Row],[2029 ]]</f>
        <v>118.90101961916058</v>
      </c>
      <c r="AN618">
        <f>$AH618*tbl_Data_old[[#This Row],[2030 ]]</f>
        <v>163.66814595761983</v>
      </c>
      <c r="AO618">
        <f>$AH618*tbl_Data_old[[#This Row],[2031 ]]</f>
        <v>213.79136376612482</v>
      </c>
      <c r="AP618">
        <f>$AH618*tbl_Data_old[[#This Row],[2032 ]]</f>
        <v>265.65179663689196</v>
      </c>
      <c r="AQ618">
        <f>$AH618*tbl_Data_old[[#This Row],[2033 ]]</f>
        <v>314.53291051027833</v>
      </c>
      <c r="AR618">
        <f>$AH618*tbl_Data_old[[#This Row],[2034 ]]</f>
        <v>356.24993084381663</v>
      </c>
      <c r="AS618">
        <f>SUM(tbl_Data_old[[#This Row],[Adjusted 2025]:[Adjusted 2034]])</f>
        <v>1607.2521780939846</v>
      </c>
      <c r="AT618" s="3">
        <f>AVERAGEIFS('3. Incentive Adjustment'!F:F,'3. Incentive Adjustment'!A:A,tbl_Data_old[[#This Row],[Trimmed Sector]],'3. Incentive Adjustment'!B:B,tbl_Data_old[[#This Row],[Trimmed Measure Name]])</f>
        <v>0</v>
      </c>
      <c r="AU618" s="3">
        <f>IFERROR(VLOOKUP(tbl_Data_old[[#This Row],[All_Meas_Name_Append]],'IRA Tax Credits'!$A$3:$D$46,4,0),0)</f>
        <v>0</v>
      </c>
      <c r="AV618" s="4">
        <f>tbl_Data_old[[#This Row],[Adj. per unit Incentive ($)]]/tbl_Data_old[[#This Row],[kWh Savings]]*tbl_Data_old[[#This Row],[Sum of Annuals]]</f>
        <v>0</v>
      </c>
      <c r="AW618" s="4" t="str">
        <f>IFERROR(VLOOKUP(tbl_Data_old[[#This Row],[All_Programs]],'1. Set Program Names'!$B$2:$D$15,3,0)*tbl_Data_old[[#This Row],[Sum of Annuals]],"")</f>
        <v/>
      </c>
      <c r="AX618" s="4">
        <f>tbl_Data_old[[#This Row],[per unit IRA tax ($)]]/tbl_Data_old[[#This Row],[kWh Savings]]*tbl_Data_old[[#This Row],[Sum of Annuals]]</f>
        <v>0</v>
      </c>
      <c r="AY618" s="4">
        <f>tbl_Data_old[[#This Row],[Avoided Costs ($/unit)]]/tbl_Data_old[[#This Row],[kWh Savings]]*tbl_Data_old[[#This Row],[Sum of Annuals]]</f>
        <v>1475.4314185143678</v>
      </c>
      <c r="AZ618" s="4">
        <f>tbl_Data_old[[#This Row],[Lost Revenue ($/unit)]]/tbl_Data_old[[#This Row],[kWh Savings]]*tbl_Data_old[[#This Row],[Sum of Annuals]]</f>
        <v>1322.0552384574235</v>
      </c>
      <c r="BA618" s="4">
        <f>tbl_Data_old[[#This Row],[Incremental Cost ($/unit)]]/tbl_Data_old[[#This Row],[kWh Savings]]*tbl_Data_old[[#This Row],[Sum of Annuals]]</f>
        <v>439.08333155736602</v>
      </c>
      <c r="BB618">
        <f>ROUNDUP(tbl_Data_old[[#This Row],[Adjusted 2025]]/$L618,0)</f>
        <v>1</v>
      </c>
      <c r="BC618">
        <f>ROUNDUP(tbl_Data_old[[#This Row],[Adjusted 2026]]/$L618,0)</f>
        <v>1</v>
      </c>
      <c r="BD618">
        <f>ROUNDUP(tbl_Data_old[[#This Row],[Adjusted 2027]]/$L618,0)</f>
        <v>1</v>
      </c>
      <c r="BE618">
        <f>ROUNDUP(tbl_Data_old[[#This Row],[Adjusted 2028]]/$L618,0)</f>
        <v>1</v>
      </c>
      <c r="BF618">
        <f>ROUNDUP(tbl_Data_old[[#This Row],[Adjusted 2029]]/$L618,0)</f>
        <v>1</v>
      </c>
      <c r="BG618">
        <f>ROUNDUP(tbl_Data_old[[#This Row],[Adjusted 2030]]/$L618,0)</f>
        <v>1</v>
      </c>
      <c r="BH618">
        <f>ROUNDUP(tbl_Data_old[[#This Row],[Adjusted 2031]]/$L618,0)</f>
        <v>1</v>
      </c>
      <c r="BI618">
        <f>ROUNDUP(tbl_Data_old[[#This Row],[Adjusted 2032]]/$L618,0)</f>
        <v>1</v>
      </c>
      <c r="BJ618">
        <f>ROUNDUP(tbl_Data_old[[#This Row],[Adjusted 2033]]/$L618,0)</f>
        <v>1</v>
      </c>
      <c r="BK618">
        <f>ROUNDUP(tbl_Data_old[[#This Row],[Adjusted 2034]]/$L618,0)</f>
        <v>1</v>
      </c>
      <c r="BL618" s="3">
        <f t="shared" ref="BL618:BU643" si="42">$AT618/$L618*V618</f>
        <v>0</v>
      </c>
      <c r="BM618" s="3">
        <f t="shared" si="42"/>
        <v>0</v>
      </c>
      <c r="BN618" s="3">
        <f t="shared" si="42"/>
        <v>0</v>
      </c>
      <c r="BO618" s="3">
        <f t="shared" si="42"/>
        <v>0</v>
      </c>
      <c r="BP618" s="3">
        <f t="shared" si="42"/>
        <v>0</v>
      </c>
      <c r="BQ618" s="3">
        <f t="shared" si="42"/>
        <v>0</v>
      </c>
      <c r="BR618" s="3">
        <f t="shared" si="42"/>
        <v>0</v>
      </c>
      <c r="BS618" s="3">
        <f t="shared" si="42"/>
        <v>0</v>
      </c>
      <c r="BT618" s="3">
        <f t="shared" si="42"/>
        <v>0</v>
      </c>
      <c r="BU618" s="3">
        <f t="shared" si="42"/>
        <v>0</v>
      </c>
      <c r="BV618" t="e">
        <f>VLOOKUP($H618,'1. Set Program Names'!$B$2:$D$15,3,0)*V618</f>
        <v>#N/A</v>
      </c>
      <c r="BW618" t="e">
        <f>VLOOKUP($H618,'1. Set Program Names'!$B$2:$D$15,3,0)*W618</f>
        <v>#N/A</v>
      </c>
      <c r="BX618" t="e">
        <f>VLOOKUP($H618,'1. Set Program Names'!$B$2:$D$15,3,0)*X618</f>
        <v>#N/A</v>
      </c>
      <c r="BY618" t="e">
        <f>VLOOKUP($H618,'1. Set Program Names'!$B$2:$D$15,3,0)*Y618</f>
        <v>#N/A</v>
      </c>
      <c r="BZ618" t="e">
        <f>VLOOKUP($H618,'1. Set Program Names'!$B$2:$D$15,3,0)*Z618</f>
        <v>#N/A</v>
      </c>
      <c r="CA618" t="e">
        <f>VLOOKUP($H618,'1. Set Program Names'!$B$2:$D$15,3,0)*AA618</f>
        <v>#N/A</v>
      </c>
      <c r="CB618" t="e">
        <f>VLOOKUP($H618,'1. Set Program Names'!$B$2:$D$15,3,0)*AB618</f>
        <v>#N/A</v>
      </c>
      <c r="CC618" t="e">
        <f>VLOOKUP($H618,'1. Set Program Names'!$B$2:$D$15,3,0)*AC618</f>
        <v>#N/A</v>
      </c>
      <c r="CD618" t="e">
        <f>VLOOKUP($H618,'1. Set Program Names'!$B$2:$D$15,3,0)*AD618</f>
        <v>#N/A</v>
      </c>
      <c r="CE618" t="e">
        <f>VLOOKUP($H618,'1. Set Program Names'!$B$2:$D$15,3,0)*AE618</f>
        <v>#N/A</v>
      </c>
    </row>
    <row r="619" spans="1:83" x14ac:dyDescent="0.25">
      <c r="A619" s="20" t="s">
        <v>115</v>
      </c>
      <c r="B619" s="20" t="s">
        <v>88</v>
      </c>
      <c r="C619" s="20" t="s">
        <v>122</v>
      </c>
      <c r="D619" s="20" t="s">
        <v>90</v>
      </c>
      <c r="E619" s="20" t="s">
        <v>91</v>
      </c>
      <c r="F619" s="20" t="s">
        <v>90</v>
      </c>
      <c r="G619" s="20" t="s">
        <v>92</v>
      </c>
      <c r="H619" s="20" t="s">
        <v>268</v>
      </c>
      <c r="I619" s="20" t="s">
        <v>131</v>
      </c>
      <c r="J619" s="20" t="s">
        <v>132</v>
      </c>
      <c r="K619" s="20" t="s">
        <v>102</v>
      </c>
      <c r="L619" s="20">
        <v>1121.1428571428501</v>
      </c>
      <c r="M619" s="20">
        <v>0</v>
      </c>
      <c r="N619" s="20">
        <v>0.20460408928759399</v>
      </c>
      <c r="O619" s="20">
        <v>313</v>
      </c>
      <c r="P619" s="20">
        <v>104.06901074138401</v>
      </c>
      <c r="Q619" s="20">
        <v>1.1211428571428499</v>
      </c>
      <c r="R619" s="20">
        <v>557.43130076035402</v>
      </c>
      <c r="S619" s="20">
        <v>1217.69575846672</v>
      </c>
      <c r="T619" s="20">
        <v>15</v>
      </c>
      <c r="U619" s="20">
        <v>1</v>
      </c>
      <c r="V619" s="20">
        <v>0</v>
      </c>
      <c r="W619" s="20">
        <v>0</v>
      </c>
      <c r="X619" s="20">
        <v>0</v>
      </c>
      <c r="Y619" s="20">
        <v>0</v>
      </c>
      <c r="Z619" s="20">
        <v>0</v>
      </c>
      <c r="AA619" s="20">
        <v>0</v>
      </c>
      <c r="AB619" s="20">
        <v>0</v>
      </c>
      <c r="AC619" s="20">
        <v>0</v>
      </c>
      <c r="AD619" s="20">
        <v>0</v>
      </c>
      <c r="AE619" s="20">
        <v>0</v>
      </c>
      <c r="AF619" t="str">
        <f t="shared" si="39"/>
        <v>NonResidential</v>
      </c>
      <c r="AG619" t="str">
        <f>tbl_Data_old[[#This Row],[All_Meas_Name_Append]]</f>
        <v>ECM Motors on Furnaces</v>
      </c>
      <c r="AH619">
        <f>AVERAGEIFS('3. Incentive Adjustment'!G:G,'3. Incentive Adjustment'!A:A,tbl_Data_old[[#This Row],[Trimmed Sector]],'3. Incentive Adjustment'!B:B,tbl_Data_old[[#This Row],[Trimmed Measure Name]])</f>
        <v>0.7827684764944346</v>
      </c>
      <c r="AI619">
        <f>$AH619*tbl_Data_old[[#This Row],[2025 ]]</f>
        <v>0</v>
      </c>
      <c r="AJ619">
        <f>$AH619*tbl_Data_old[[#This Row],[2026 ]]</f>
        <v>0</v>
      </c>
      <c r="AK619">
        <f>$AH619*tbl_Data_old[[#This Row],[2027 ]]</f>
        <v>0</v>
      </c>
      <c r="AL619">
        <f>$AH619*tbl_Data_old[[#This Row],[2028 ]]</f>
        <v>0</v>
      </c>
      <c r="AM619">
        <f>$AH619*tbl_Data_old[[#This Row],[2029 ]]</f>
        <v>0</v>
      </c>
      <c r="AN619">
        <f>$AH619*tbl_Data_old[[#This Row],[2030 ]]</f>
        <v>0</v>
      </c>
      <c r="AO619">
        <f>$AH619*tbl_Data_old[[#This Row],[2031 ]]</f>
        <v>0</v>
      </c>
      <c r="AP619">
        <f>$AH619*tbl_Data_old[[#This Row],[2032 ]]</f>
        <v>0</v>
      </c>
      <c r="AQ619">
        <f>$AH619*tbl_Data_old[[#This Row],[2033 ]]</f>
        <v>0</v>
      </c>
      <c r="AR619">
        <f>$AH619*tbl_Data_old[[#This Row],[2034 ]]</f>
        <v>0</v>
      </c>
      <c r="AS619">
        <f>SUM(tbl_Data_old[[#This Row],[Adjusted 2025]:[Adjusted 2034]])</f>
        <v>0</v>
      </c>
      <c r="AT619" s="3">
        <f>AVERAGEIFS('3. Incentive Adjustment'!F:F,'3. Incentive Adjustment'!A:A,tbl_Data_old[[#This Row],[Trimmed Sector]],'3. Incentive Adjustment'!B:B,tbl_Data_old[[#This Row],[Trimmed Measure Name]])</f>
        <v>0</v>
      </c>
      <c r="AU619" s="3">
        <f>IFERROR(VLOOKUP(tbl_Data_old[[#This Row],[All_Meas_Name_Append]],'IRA Tax Credits'!$A$3:$D$46,4,0),0)</f>
        <v>0</v>
      </c>
      <c r="AV619" s="4">
        <f>tbl_Data_old[[#This Row],[Adj. per unit Incentive ($)]]/tbl_Data_old[[#This Row],[kWh Savings]]*tbl_Data_old[[#This Row],[Sum of Annuals]]</f>
        <v>0</v>
      </c>
      <c r="AW619" s="4" t="str">
        <f>IFERROR(VLOOKUP(tbl_Data_old[[#This Row],[All_Programs]],'1. Set Program Names'!$B$2:$D$15,3,0)*tbl_Data_old[[#This Row],[Sum of Annuals]],"")</f>
        <v/>
      </c>
      <c r="AX619" s="4">
        <f>tbl_Data_old[[#This Row],[per unit IRA tax ($)]]/tbl_Data_old[[#This Row],[kWh Savings]]*tbl_Data_old[[#This Row],[Sum of Annuals]]</f>
        <v>0</v>
      </c>
      <c r="AY619" s="4">
        <f>tbl_Data_old[[#This Row],[Avoided Costs ($/unit)]]/tbl_Data_old[[#This Row],[kWh Savings]]*tbl_Data_old[[#This Row],[Sum of Annuals]]</f>
        <v>0</v>
      </c>
      <c r="AZ619" s="4">
        <f>tbl_Data_old[[#This Row],[Lost Revenue ($/unit)]]/tbl_Data_old[[#This Row],[kWh Savings]]*tbl_Data_old[[#This Row],[Sum of Annuals]]</f>
        <v>0</v>
      </c>
      <c r="BA619" s="4">
        <f>tbl_Data_old[[#This Row],[Incremental Cost ($/unit)]]/tbl_Data_old[[#This Row],[kWh Savings]]*tbl_Data_old[[#This Row],[Sum of Annuals]]</f>
        <v>0</v>
      </c>
      <c r="BB619">
        <f>ROUNDUP(tbl_Data_old[[#This Row],[Adjusted 2025]]/$L619,0)</f>
        <v>0</v>
      </c>
      <c r="BC619">
        <f>ROUNDUP(tbl_Data_old[[#This Row],[Adjusted 2026]]/$L619,0)</f>
        <v>0</v>
      </c>
      <c r="BD619">
        <f>ROUNDUP(tbl_Data_old[[#This Row],[Adjusted 2027]]/$L619,0)</f>
        <v>0</v>
      </c>
      <c r="BE619">
        <f>ROUNDUP(tbl_Data_old[[#This Row],[Adjusted 2028]]/$L619,0)</f>
        <v>0</v>
      </c>
      <c r="BF619">
        <f>ROUNDUP(tbl_Data_old[[#This Row],[Adjusted 2029]]/$L619,0)</f>
        <v>0</v>
      </c>
      <c r="BG619">
        <f>ROUNDUP(tbl_Data_old[[#This Row],[Adjusted 2030]]/$L619,0)</f>
        <v>0</v>
      </c>
      <c r="BH619">
        <f>ROUNDUP(tbl_Data_old[[#This Row],[Adjusted 2031]]/$L619,0)</f>
        <v>0</v>
      </c>
      <c r="BI619">
        <f>ROUNDUP(tbl_Data_old[[#This Row],[Adjusted 2032]]/$L619,0)</f>
        <v>0</v>
      </c>
      <c r="BJ619">
        <f>ROUNDUP(tbl_Data_old[[#This Row],[Adjusted 2033]]/$L619,0)</f>
        <v>0</v>
      </c>
      <c r="BK619">
        <f>ROUNDUP(tbl_Data_old[[#This Row],[Adjusted 2034]]/$L619,0)</f>
        <v>0</v>
      </c>
      <c r="BL619" s="3">
        <f t="shared" si="42"/>
        <v>0</v>
      </c>
      <c r="BM619" s="3">
        <f t="shared" si="42"/>
        <v>0</v>
      </c>
      <c r="BN619" s="3">
        <f t="shared" si="42"/>
        <v>0</v>
      </c>
      <c r="BO619" s="3">
        <f t="shared" si="42"/>
        <v>0</v>
      </c>
      <c r="BP619" s="3">
        <f t="shared" si="42"/>
        <v>0</v>
      </c>
      <c r="BQ619" s="3">
        <f t="shared" si="42"/>
        <v>0</v>
      </c>
      <c r="BR619" s="3">
        <f t="shared" si="42"/>
        <v>0</v>
      </c>
      <c r="BS619" s="3">
        <f t="shared" si="42"/>
        <v>0</v>
      </c>
      <c r="BT619" s="3">
        <f t="shared" si="42"/>
        <v>0</v>
      </c>
      <c r="BU619" s="3">
        <f t="shared" si="42"/>
        <v>0</v>
      </c>
      <c r="BV619" t="e">
        <f>VLOOKUP($H619,'1. Set Program Names'!$B$2:$D$15,3,0)*V619</f>
        <v>#N/A</v>
      </c>
      <c r="BW619" t="e">
        <f>VLOOKUP($H619,'1. Set Program Names'!$B$2:$D$15,3,0)*W619</f>
        <v>#N/A</v>
      </c>
      <c r="BX619" t="e">
        <f>VLOOKUP($H619,'1. Set Program Names'!$B$2:$D$15,3,0)*X619</f>
        <v>#N/A</v>
      </c>
      <c r="BY619" t="e">
        <f>VLOOKUP($H619,'1. Set Program Names'!$B$2:$D$15,3,0)*Y619</f>
        <v>#N/A</v>
      </c>
      <c r="BZ619" t="e">
        <f>VLOOKUP($H619,'1. Set Program Names'!$B$2:$D$15,3,0)*Z619</f>
        <v>#N/A</v>
      </c>
      <c r="CA619" t="e">
        <f>VLOOKUP($H619,'1. Set Program Names'!$B$2:$D$15,3,0)*AA619</f>
        <v>#N/A</v>
      </c>
      <c r="CB619" t="e">
        <f>VLOOKUP($H619,'1. Set Program Names'!$B$2:$D$15,3,0)*AB619</f>
        <v>#N/A</v>
      </c>
      <c r="CC619" t="e">
        <f>VLOOKUP($H619,'1. Set Program Names'!$B$2:$D$15,3,0)*AC619</f>
        <v>#N/A</v>
      </c>
      <c r="CD619" t="e">
        <f>VLOOKUP($H619,'1. Set Program Names'!$B$2:$D$15,3,0)*AD619</f>
        <v>#N/A</v>
      </c>
      <c r="CE619" t="e">
        <f>VLOOKUP($H619,'1. Set Program Names'!$B$2:$D$15,3,0)*AE619</f>
        <v>#N/A</v>
      </c>
    </row>
    <row r="620" spans="1:83" x14ac:dyDescent="0.25">
      <c r="A620" s="20" t="s">
        <v>115</v>
      </c>
      <c r="B620" s="20" t="s">
        <v>88</v>
      </c>
      <c r="C620" s="20" t="s">
        <v>122</v>
      </c>
      <c r="D620" s="20" t="s">
        <v>90</v>
      </c>
      <c r="E620" s="20" t="s">
        <v>91</v>
      </c>
      <c r="F620" s="20" t="s">
        <v>90</v>
      </c>
      <c r="G620" s="20" t="s">
        <v>92</v>
      </c>
      <c r="H620" s="20" t="s">
        <v>268</v>
      </c>
      <c r="I620" s="20" t="s">
        <v>307</v>
      </c>
      <c r="J620" s="20" t="s">
        <v>137</v>
      </c>
      <c r="K620" s="20" t="s">
        <v>98</v>
      </c>
      <c r="L620" s="20">
        <v>1111.20999999999</v>
      </c>
      <c r="M620" s="20">
        <v>0.13640668324959701</v>
      </c>
      <c r="N620" s="20">
        <v>0.136388544932499</v>
      </c>
      <c r="O620" s="20">
        <v>412</v>
      </c>
      <c r="P620" s="20">
        <v>183.41637854330401</v>
      </c>
      <c r="Q620" s="20">
        <v>1.11120999999999</v>
      </c>
      <c r="R620" s="20">
        <v>480.86876845961399</v>
      </c>
      <c r="S620" s="20">
        <v>1206.90748297154</v>
      </c>
      <c r="T620" s="20">
        <v>15</v>
      </c>
      <c r="U620" s="20">
        <v>1</v>
      </c>
      <c r="V620" s="20">
        <v>5.5835209986078498</v>
      </c>
      <c r="W620" s="20">
        <v>13.272817272182101</v>
      </c>
      <c r="X620" s="20">
        <v>23.349325986347701</v>
      </c>
      <c r="Y620" s="20">
        <v>36.016592129917299</v>
      </c>
      <c r="Z620" s="20">
        <v>51.294478688763903</v>
      </c>
      <c r="AA620" s="20">
        <v>68.981919444983106</v>
      </c>
      <c r="AB620" s="20">
        <v>88.736853027780896</v>
      </c>
      <c r="AC620" s="20">
        <v>110.196733540414</v>
      </c>
      <c r="AD620" s="20">
        <v>133.02462408413399</v>
      </c>
      <c r="AE620" s="20">
        <v>156.939315702279</v>
      </c>
      <c r="AF620" t="str">
        <f t="shared" si="39"/>
        <v>NonResidential</v>
      </c>
      <c r="AG620" t="str">
        <f>tbl_Data_old[[#This Row],[All_Meas_Name_Append]]</f>
        <v>Efficient Battery Charger</v>
      </c>
      <c r="AH620">
        <f>AVERAGEIFS('3. Incentive Adjustment'!G:G,'3. Incentive Adjustment'!A:A,tbl_Data_old[[#This Row],[Trimmed Sector]],'3. Incentive Adjustment'!B:B,tbl_Data_old[[#This Row],[Trimmed Measure Name]])</f>
        <v>0.64693164144446047</v>
      </c>
      <c r="AI620">
        <f>$AH620*tbl_Data_old[[#This Row],[2025 ]]</f>
        <v>3.6121564046689891</v>
      </c>
      <c r="AJ620">
        <f>$AH620*tbl_Data_old[[#This Row],[2026 ]]</f>
        <v>8.586605464485153</v>
      </c>
      <c r="AK620">
        <f>$AH620*tbl_Data_old[[#This Row],[2027 ]]</f>
        <v>15.105417786969713</v>
      </c>
      <c r="AL620">
        <f>$AH620*tbl_Data_old[[#This Row],[2028 ]]</f>
        <v>23.300273065843037</v>
      </c>
      <c r="AM620">
        <f>$AH620*tbl_Data_old[[#This Row],[2029 ]]</f>
        <v>33.18402129515993</v>
      </c>
      <c r="AN620">
        <f>$AH620*tbl_Data_old[[#This Row],[2030 ]]</f>
        <v>44.626586376532465</v>
      </c>
      <c r="AO620">
        <f>$AH620*tbl_Data_old[[#This Row],[2031 ]]</f>
        <v>57.40667798587814</v>
      </c>
      <c r="AP620">
        <f>$AH620*tbl_Data_old[[#This Row],[2032 ]]</f>
        <v>71.289753711117868</v>
      </c>
      <c r="AQ620">
        <f>$AH620*tbl_Data_old[[#This Row],[2033 ]]</f>
        <v>86.057838411281111</v>
      </c>
      <c r="AR620">
        <f>$AH620*tbl_Data_old[[#This Row],[2034 ]]</f>
        <v>101.52900911444574</v>
      </c>
      <c r="AS620">
        <f>SUM(tbl_Data_old[[#This Row],[Adjusted 2025]:[Adjusted 2034]])</f>
        <v>444.6983396163821</v>
      </c>
      <c r="AT620" s="3">
        <f>AVERAGEIFS('3. Incentive Adjustment'!F:F,'3. Incentive Adjustment'!A:A,tbl_Data_old[[#This Row],[Trimmed Sector]],'3. Incentive Adjustment'!B:B,tbl_Data_old[[#This Row],[Trimmed Measure Name]])</f>
        <v>0</v>
      </c>
      <c r="AU620" s="3">
        <f>IFERROR(VLOOKUP(tbl_Data_old[[#This Row],[All_Meas_Name_Append]],'IRA Tax Credits'!$A$3:$D$46,4,0),0)</f>
        <v>0</v>
      </c>
      <c r="AV620" s="4">
        <f>tbl_Data_old[[#This Row],[Adj. per unit Incentive ($)]]/tbl_Data_old[[#This Row],[kWh Savings]]*tbl_Data_old[[#This Row],[Sum of Annuals]]</f>
        <v>0</v>
      </c>
      <c r="AW620" s="4" t="str">
        <f>IFERROR(VLOOKUP(tbl_Data_old[[#This Row],[All_Programs]],'1. Set Program Names'!$B$2:$D$15,3,0)*tbl_Data_old[[#This Row],[Sum of Annuals]],"")</f>
        <v/>
      </c>
      <c r="AX620" s="4">
        <f>tbl_Data_old[[#This Row],[per unit IRA tax ($)]]/tbl_Data_old[[#This Row],[kWh Savings]]*tbl_Data_old[[#This Row],[Sum of Annuals]]</f>
        <v>0</v>
      </c>
      <c r="AY620" s="4">
        <f>tbl_Data_old[[#This Row],[Avoided Costs ($/unit)]]/tbl_Data_old[[#This Row],[kWh Savings]]*tbl_Data_old[[#This Row],[Sum of Annuals]]</f>
        <v>192.44026143336251</v>
      </c>
      <c r="AZ620" s="4">
        <f>tbl_Data_old[[#This Row],[Lost Revenue ($/unit)]]/tbl_Data_old[[#This Row],[kWh Savings]]*tbl_Data_old[[#This Row],[Sum of Annuals]]</f>
        <v>482.99579174776648</v>
      </c>
      <c r="BA620" s="4">
        <f>tbl_Data_old[[#This Row],[Incremental Cost ($/unit)]]/tbl_Data_old[[#This Row],[kWh Savings]]*tbl_Data_old[[#This Row],[Sum of Annuals]]</f>
        <v>164.87947005692089</v>
      </c>
      <c r="BB620">
        <f>ROUNDUP(tbl_Data_old[[#This Row],[Adjusted 2025]]/$L620,0)</f>
        <v>1</v>
      </c>
      <c r="BC620">
        <f>ROUNDUP(tbl_Data_old[[#This Row],[Adjusted 2026]]/$L620,0)</f>
        <v>1</v>
      </c>
      <c r="BD620">
        <f>ROUNDUP(tbl_Data_old[[#This Row],[Adjusted 2027]]/$L620,0)</f>
        <v>1</v>
      </c>
      <c r="BE620">
        <f>ROUNDUP(tbl_Data_old[[#This Row],[Adjusted 2028]]/$L620,0)</f>
        <v>1</v>
      </c>
      <c r="BF620">
        <f>ROUNDUP(tbl_Data_old[[#This Row],[Adjusted 2029]]/$L620,0)</f>
        <v>1</v>
      </c>
      <c r="BG620">
        <f>ROUNDUP(tbl_Data_old[[#This Row],[Adjusted 2030]]/$L620,0)</f>
        <v>1</v>
      </c>
      <c r="BH620">
        <f>ROUNDUP(tbl_Data_old[[#This Row],[Adjusted 2031]]/$L620,0)</f>
        <v>1</v>
      </c>
      <c r="BI620">
        <f>ROUNDUP(tbl_Data_old[[#This Row],[Adjusted 2032]]/$L620,0)</f>
        <v>1</v>
      </c>
      <c r="BJ620">
        <f>ROUNDUP(tbl_Data_old[[#This Row],[Adjusted 2033]]/$L620,0)</f>
        <v>1</v>
      </c>
      <c r="BK620">
        <f>ROUNDUP(tbl_Data_old[[#This Row],[Adjusted 2034]]/$L620,0)</f>
        <v>1</v>
      </c>
      <c r="BL620" s="3">
        <f t="shared" si="42"/>
        <v>0</v>
      </c>
      <c r="BM620" s="3">
        <f t="shared" si="42"/>
        <v>0</v>
      </c>
      <c r="BN620" s="3">
        <f t="shared" si="42"/>
        <v>0</v>
      </c>
      <c r="BO620" s="3">
        <f t="shared" si="42"/>
        <v>0</v>
      </c>
      <c r="BP620" s="3">
        <f t="shared" si="42"/>
        <v>0</v>
      </c>
      <c r="BQ620" s="3">
        <f t="shared" si="42"/>
        <v>0</v>
      </c>
      <c r="BR620" s="3">
        <f t="shared" si="42"/>
        <v>0</v>
      </c>
      <c r="BS620" s="3">
        <f t="shared" si="42"/>
        <v>0</v>
      </c>
      <c r="BT620" s="3">
        <f t="shared" si="42"/>
        <v>0</v>
      </c>
      <c r="BU620" s="3">
        <f t="shared" si="42"/>
        <v>0</v>
      </c>
      <c r="BV620" t="e">
        <f>VLOOKUP($H620,'1. Set Program Names'!$B$2:$D$15,3,0)*V620</f>
        <v>#N/A</v>
      </c>
      <c r="BW620" t="e">
        <f>VLOOKUP($H620,'1. Set Program Names'!$B$2:$D$15,3,0)*W620</f>
        <v>#N/A</v>
      </c>
      <c r="BX620" t="e">
        <f>VLOOKUP($H620,'1. Set Program Names'!$B$2:$D$15,3,0)*X620</f>
        <v>#N/A</v>
      </c>
      <c r="BY620" t="e">
        <f>VLOOKUP($H620,'1. Set Program Names'!$B$2:$D$15,3,0)*Y620</f>
        <v>#N/A</v>
      </c>
      <c r="BZ620" t="e">
        <f>VLOOKUP($H620,'1. Set Program Names'!$B$2:$D$15,3,0)*Z620</f>
        <v>#N/A</v>
      </c>
      <c r="CA620" t="e">
        <f>VLOOKUP($H620,'1. Set Program Names'!$B$2:$D$15,3,0)*AA620</f>
        <v>#N/A</v>
      </c>
      <c r="CB620" t="e">
        <f>VLOOKUP($H620,'1. Set Program Names'!$B$2:$D$15,3,0)*AB620</f>
        <v>#N/A</v>
      </c>
      <c r="CC620" t="e">
        <f>VLOOKUP($H620,'1. Set Program Names'!$B$2:$D$15,3,0)*AC620</f>
        <v>#N/A</v>
      </c>
      <c r="CD620" t="e">
        <f>VLOOKUP($H620,'1. Set Program Names'!$B$2:$D$15,3,0)*AD620</f>
        <v>#N/A</v>
      </c>
      <c r="CE620" t="e">
        <f>VLOOKUP($H620,'1. Set Program Names'!$B$2:$D$15,3,0)*AE620</f>
        <v>#N/A</v>
      </c>
    </row>
    <row r="621" spans="1:83" x14ac:dyDescent="0.25">
      <c r="A621" s="20" t="s">
        <v>115</v>
      </c>
      <c r="B621" s="20" t="s">
        <v>88</v>
      </c>
      <c r="C621" s="20" t="s">
        <v>122</v>
      </c>
      <c r="D621" s="20" t="s">
        <v>90</v>
      </c>
      <c r="E621" s="20" t="s">
        <v>91</v>
      </c>
      <c r="F621" s="20" t="s">
        <v>90</v>
      </c>
      <c r="G621" s="20" t="s">
        <v>92</v>
      </c>
      <c r="H621" s="20" t="s">
        <v>268</v>
      </c>
      <c r="I621" s="20" t="s">
        <v>135</v>
      </c>
      <c r="J621" s="20" t="s">
        <v>134</v>
      </c>
      <c r="K621" s="20" t="s">
        <v>98</v>
      </c>
      <c r="L621" s="20">
        <v>6368</v>
      </c>
      <c r="M621" s="20">
        <v>0.60494632768604495</v>
      </c>
      <c r="N621" s="20">
        <v>0.53529110623606202</v>
      </c>
      <c r="O621" s="20">
        <v>1580</v>
      </c>
      <c r="P621" s="20">
        <v>270.05813353350197</v>
      </c>
      <c r="Q621" s="20">
        <v>6.3680000000000003</v>
      </c>
      <c r="R621" s="20">
        <v>1963.2041057461399</v>
      </c>
      <c r="S621" s="20">
        <v>5968.19517810463</v>
      </c>
      <c r="T621" s="20">
        <v>12</v>
      </c>
      <c r="U621" s="20">
        <v>1</v>
      </c>
      <c r="V621" s="20">
        <v>3.0689218055334302</v>
      </c>
      <c r="W621" s="20">
        <v>7.28369724830024</v>
      </c>
      <c r="X621" s="20">
        <v>12.7702269433923</v>
      </c>
      <c r="Y621" s="20">
        <v>19.597669684425501</v>
      </c>
      <c r="Z621" s="20">
        <v>27.725443686191699</v>
      </c>
      <c r="AA621" s="20">
        <v>36.999775242691101</v>
      </c>
      <c r="AB621" s="20">
        <v>47.198556376450902</v>
      </c>
      <c r="AC621" s="20">
        <v>58.104502786895502</v>
      </c>
      <c r="AD621" s="20">
        <v>69.534170182220393</v>
      </c>
      <c r="AE621" s="20">
        <v>81.335592110822404</v>
      </c>
      <c r="AF621" t="str">
        <f t="shared" si="39"/>
        <v>NonResidential</v>
      </c>
      <c r="AG621" t="str">
        <f>tbl_Data_old[[#This Row],[All_Meas_Name_Append]]</f>
        <v>Energy Star Combination Oven</v>
      </c>
      <c r="AH621">
        <f>AVERAGEIFS('3. Incentive Adjustment'!G:G,'3. Incentive Adjustment'!A:A,tbl_Data_old[[#This Row],[Trimmed Sector]],'3. Incentive Adjustment'!B:B,tbl_Data_old[[#This Row],[Trimmed Measure Name]])</f>
        <v>0.89413714267910538</v>
      </c>
      <c r="AI621">
        <f>$AH621*tbl_Data_old[[#This Row],[2025 ]]</f>
        <v>2.7440369743052622</v>
      </c>
      <c r="AJ621">
        <f>$AH621*tbl_Data_old[[#This Row],[2026 ]]</f>
        <v>6.5126242457348393</v>
      </c>
      <c r="AK621">
        <f>$AH621*tbl_Data_old[[#This Row],[2027 ]]</f>
        <v>11.418334230528517</v>
      </c>
      <c r="AL621">
        <f>$AH621*tbl_Data_old[[#This Row],[2028 ]]</f>
        <v>17.523004374801143</v>
      </c>
      <c r="AM621">
        <f>$AH621*tbl_Data_old[[#This Row],[2029 ]]</f>
        <v>24.790348997081889</v>
      </c>
      <c r="AN621">
        <f>$AH621*tbl_Data_old[[#This Row],[2030 ]]</f>
        <v>33.082873315268927</v>
      </c>
      <c r="AO621">
        <f>$AH621*tbl_Data_old[[#This Row],[2031 ]]</f>
        <v>42.201982337018478</v>
      </c>
      <c r="AP621">
        <f>$AH621*tbl_Data_old[[#This Row],[2032 ]]</f>
        <v>51.953394098664859</v>
      </c>
      <c r="AQ621">
        <f>$AH621*tbl_Data_old[[#This Row],[2033 ]]</f>
        <v>62.17308424529319</v>
      </c>
      <c r="AR621">
        <f>$AH621*tbl_Data_old[[#This Row],[2034 ]]</f>
        <v>72.725173928083933</v>
      </c>
      <c r="AS621">
        <f>SUM(tbl_Data_old[[#This Row],[Adjusted 2025]:[Adjusted 2034]])</f>
        <v>325.12485674678101</v>
      </c>
      <c r="AT621" s="3">
        <f>AVERAGEIFS('3. Incentive Adjustment'!F:F,'3. Incentive Adjustment'!A:A,tbl_Data_old[[#This Row],[Trimmed Sector]],'3. Incentive Adjustment'!B:B,tbl_Data_old[[#This Row],[Trimmed Measure Name]])</f>
        <v>0</v>
      </c>
      <c r="AU621" s="3">
        <f>IFERROR(VLOOKUP(tbl_Data_old[[#This Row],[All_Meas_Name_Append]],'IRA Tax Credits'!$A$3:$D$46,4,0),0)</f>
        <v>0</v>
      </c>
      <c r="AV621" s="4">
        <f>tbl_Data_old[[#This Row],[Adj. per unit Incentive ($)]]/tbl_Data_old[[#This Row],[kWh Savings]]*tbl_Data_old[[#This Row],[Sum of Annuals]]</f>
        <v>0</v>
      </c>
      <c r="AW621" s="4" t="str">
        <f>IFERROR(VLOOKUP(tbl_Data_old[[#This Row],[All_Programs]],'1. Set Program Names'!$B$2:$D$15,3,0)*tbl_Data_old[[#This Row],[Sum of Annuals]],"")</f>
        <v/>
      </c>
      <c r="AX621" s="4">
        <f>tbl_Data_old[[#This Row],[per unit IRA tax ($)]]/tbl_Data_old[[#This Row],[kWh Savings]]*tbl_Data_old[[#This Row],[Sum of Annuals]]</f>
        <v>0</v>
      </c>
      <c r="AY621" s="4">
        <f>tbl_Data_old[[#This Row],[Avoided Costs ($/unit)]]/tbl_Data_old[[#This Row],[kWh Savings]]*tbl_Data_old[[#This Row],[Sum of Annuals]]</f>
        <v>100.2334255096429</v>
      </c>
      <c r="AZ621" s="4">
        <f>tbl_Data_old[[#This Row],[Lost Revenue ($/unit)]]/tbl_Data_old[[#This Row],[kWh Savings]]*tbl_Data_old[[#This Row],[Sum of Annuals]]</f>
        <v>304.71240614291725</v>
      </c>
      <c r="BA621" s="4">
        <f>tbl_Data_old[[#This Row],[Incremental Cost ($/unit)]]/tbl_Data_old[[#This Row],[kWh Savings]]*tbl_Data_old[[#This Row],[Sum of Annuals]]</f>
        <v>80.668541717951314</v>
      </c>
      <c r="BB621">
        <f>ROUNDUP(tbl_Data_old[[#This Row],[Adjusted 2025]]/$L621,0)</f>
        <v>1</v>
      </c>
      <c r="BC621">
        <f>ROUNDUP(tbl_Data_old[[#This Row],[Adjusted 2026]]/$L621,0)</f>
        <v>1</v>
      </c>
      <c r="BD621">
        <f>ROUNDUP(tbl_Data_old[[#This Row],[Adjusted 2027]]/$L621,0)</f>
        <v>1</v>
      </c>
      <c r="BE621">
        <f>ROUNDUP(tbl_Data_old[[#This Row],[Adjusted 2028]]/$L621,0)</f>
        <v>1</v>
      </c>
      <c r="BF621">
        <f>ROUNDUP(tbl_Data_old[[#This Row],[Adjusted 2029]]/$L621,0)</f>
        <v>1</v>
      </c>
      <c r="BG621">
        <f>ROUNDUP(tbl_Data_old[[#This Row],[Adjusted 2030]]/$L621,0)</f>
        <v>1</v>
      </c>
      <c r="BH621">
        <f>ROUNDUP(tbl_Data_old[[#This Row],[Adjusted 2031]]/$L621,0)</f>
        <v>1</v>
      </c>
      <c r="BI621">
        <f>ROUNDUP(tbl_Data_old[[#This Row],[Adjusted 2032]]/$L621,0)</f>
        <v>1</v>
      </c>
      <c r="BJ621">
        <f>ROUNDUP(tbl_Data_old[[#This Row],[Adjusted 2033]]/$L621,0)</f>
        <v>1</v>
      </c>
      <c r="BK621">
        <f>ROUNDUP(tbl_Data_old[[#This Row],[Adjusted 2034]]/$L621,0)</f>
        <v>1</v>
      </c>
      <c r="BL621" s="3">
        <f t="shared" si="42"/>
        <v>0</v>
      </c>
      <c r="BM621" s="3">
        <f t="shared" si="42"/>
        <v>0</v>
      </c>
      <c r="BN621" s="3">
        <f t="shared" si="42"/>
        <v>0</v>
      </c>
      <c r="BO621" s="3">
        <f t="shared" si="42"/>
        <v>0</v>
      </c>
      <c r="BP621" s="3">
        <f t="shared" si="42"/>
        <v>0</v>
      </c>
      <c r="BQ621" s="3">
        <f t="shared" si="42"/>
        <v>0</v>
      </c>
      <c r="BR621" s="3">
        <f t="shared" si="42"/>
        <v>0</v>
      </c>
      <c r="BS621" s="3">
        <f t="shared" si="42"/>
        <v>0</v>
      </c>
      <c r="BT621" s="3">
        <f t="shared" si="42"/>
        <v>0</v>
      </c>
      <c r="BU621" s="3">
        <f t="shared" si="42"/>
        <v>0</v>
      </c>
      <c r="BV621" t="e">
        <f>VLOOKUP($H621,'1. Set Program Names'!$B$2:$D$15,3,0)*V621</f>
        <v>#N/A</v>
      </c>
      <c r="BW621" t="e">
        <f>VLOOKUP($H621,'1. Set Program Names'!$B$2:$D$15,3,0)*W621</f>
        <v>#N/A</v>
      </c>
      <c r="BX621" t="e">
        <f>VLOOKUP($H621,'1. Set Program Names'!$B$2:$D$15,3,0)*X621</f>
        <v>#N/A</v>
      </c>
      <c r="BY621" t="e">
        <f>VLOOKUP($H621,'1. Set Program Names'!$B$2:$D$15,3,0)*Y621</f>
        <v>#N/A</v>
      </c>
      <c r="BZ621" t="e">
        <f>VLOOKUP($H621,'1. Set Program Names'!$B$2:$D$15,3,0)*Z621</f>
        <v>#N/A</v>
      </c>
      <c r="CA621" t="e">
        <f>VLOOKUP($H621,'1. Set Program Names'!$B$2:$D$15,3,0)*AA621</f>
        <v>#N/A</v>
      </c>
      <c r="CB621" t="e">
        <f>VLOOKUP($H621,'1. Set Program Names'!$B$2:$D$15,3,0)*AB621</f>
        <v>#N/A</v>
      </c>
      <c r="CC621" t="e">
        <f>VLOOKUP($H621,'1. Set Program Names'!$B$2:$D$15,3,0)*AC621</f>
        <v>#N/A</v>
      </c>
      <c r="CD621" t="e">
        <f>VLOOKUP($H621,'1. Set Program Names'!$B$2:$D$15,3,0)*AD621</f>
        <v>#N/A</v>
      </c>
      <c r="CE621" t="e">
        <f>VLOOKUP($H621,'1. Set Program Names'!$B$2:$D$15,3,0)*AE621</f>
        <v>#N/A</v>
      </c>
    </row>
    <row r="622" spans="1:83" x14ac:dyDescent="0.25">
      <c r="A622" s="20" t="s">
        <v>115</v>
      </c>
      <c r="B622" s="20" t="s">
        <v>88</v>
      </c>
      <c r="C622" s="20" t="s">
        <v>122</v>
      </c>
      <c r="D622" s="20" t="s">
        <v>90</v>
      </c>
      <c r="E622" s="20" t="s">
        <v>91</v>
      </c>
      <c r="F622" s="20" t="s">
        <v>90</v>
      </c>
      <c r="G622" s="20" t="s">
        <v>92</v>
      </c>
      <c r="H622" s="20" t="s">
        <v>268</v>
      </c>
      <c r="I622" s="20" t="s">
        <v>136</v>
      </c>
      <c r="J622" s="20" t="s">
        <v>137</v>
      </c>
      <c r="K622" s="20" t="s">
        <v>104</v>
      </c>
      <c r="L622" s="20">
        <v>810.099999999999</v>
      </c>
      <c r="M622" s="20">
        <v>0.128563724196602</v>
      </c>
      <c r="N622" s="20">
        <v>0.13252898089850401</v>
      </c>
      <c r="O622" s="20">
        <v>224</v>
      </c>
      <c r="P622" s="20">
        <v>57.356798677055799</v>
      </c>
      <c r="Q622" s="20">
        <v>0.81009999999999904</v>
      </c>
      <c r="R622" s="20">
        <v>239.61317678792901</v>
      </c>
      <c r="S622" s="20">
        <v>505.19538551625698</v>
      </c>
      <c r="T622" s="20">
        <v>7</v>
      </c>
      <c r="U622" s="20">
        <v>1</v>
      </c>
      <c r="V622" s="20">
        <v>3.0482030807525602</v>
      </c>
      <c r="W622" s="20">
        <v>7.2875382949295702</v>
      </c>
      <c r="X622" s="20">
        <v>12.8675094032939</v>
      </c>
      <c r="Y622" s="20">
        <v>19.886547442944501</v>
      </c>
      <c r="Z622" s="20">
        <v>28.335039071890201</v>
      </c>
      <c r="AA622" s="20">
        <v>38.079855974990203</v>
      </c>
      <c r="AB622" s="20">
        <v>48.915270656883102</v>
      </c>
      <c r="AC622" s="20">
        <v>57.5851297186327</v>
      </c>
      <c r="AD622" s="20">
        <v>65.7612016376589</v>
      </c>
      <c r="AE622" s="20">
        <v>73.1447277986899</v>
      </c>
      <c r="AF622" t="str">
        <f t="shared" si="39"/>
        <v>NonResidential</v>
      </c>
      <c r="AG622" t="str">
        <f>tbl_Data_old[[#This Row],[All_Meas_Name_Append]]</f>
        <v>Energy Star Commercial Clothes Washer</v>
      </c>
      <c r="AH622">
        <f>AVERAGEIFS('3. Incentive Adjustment'!G:G,'3. Incentive Adjustment'!A:A,tbl_Data_old[[#This Row],[Trimmed Sector]],'3. Incentive Adjustment'!B:B,tbl_Data_old[[#This Row],[Trimmed Measure Name]])</f>
        <v>0.82959886877160749</v>
      </c>
      <c r="AI622">
        <f>$AH622*tbl_Data_old[[#This Row],[2025 ]]</f>
        <v>2.5287858275784529</v>
      </c>
      <c r="AJ622">
        <f>$AH622*tbl_Data_old[[#This Row],[2026 ]]</f>
        <v>6.0457335256033407</v>
      </c>
      <c r="AK622">
        <f>$AH622*tbl_Data_old[[#This Row],[2027 ]]</f>
        <v>10.674871244880642</v>
      </c>
      <c r="AL622">
        <f>$AH622*tbl_Data_old[[#This Row],[2028 ]]</f>
        <v>16.497857262439663</v>
      </c>
      <c r="AM622">
        <f>$AH622*tbl_Data_old[[#This Row],[2029 ]]</f>
        <v>23.506716360639409</v>
      </c>
      <c r="AN622">
        <f>$AH622*tbl_Data_old[[#This Row],[2030 ]]</f>
        <v>31.591005439837609</v>
      </c>
      <c r="AO622">
        <f>$AH622*tbl_Data_old[[#This Row],[2031 ]]</f>
        <v>40.580053202607225</v>
      </c>
      <c r="AP622">
        <f>$AH622*tbl_Data_old[[#This Row],[2032 ]]</f>
        <v>47.772558472643965</v>
      </c>
      <c r="AQ622">
        <f>$AH622*tbl_Data_old[[#This Row],[2033 ]]</f>
        <v>54.555418487663403</v>
      </c>
      <c r="AR622">
        <f>$AH622*tbl_Data_old[[#This Row],[2034 ]]</f>
        <v>60.68078343840029</v>
      </c>
      <c r="AS622">
        <f>SUM(tbl_Data_old[[#This Row],[Adjusted 2025]:[Adjusted 2034]])</f>
        <v>294.43378326229401</v>
      </c>
      <c r="AT622" s="3">
        <f>AVERAGEIFS('3. Incentive Adjustment'!F:F,'3. Incentive Adjustment'!A:A,tbl_Data_old[[#This Row],[Trimmed Sector]],'3. Incentive Adjustment'!B:B,tbl_Data_old[[#This Row],[Trimmed Measure Name]])</f>
        <v>0</v>
      </c>
      <c r="AU622" s="3">
        <f>IFERROR(VLOOKUP(tbl_Data_old[[#This Row],[All_Meas_Name_Append]],'IRA Tax Credits'!$A$3:$D$46,4,0),0)</f>
        <v>0</v>
      </c>
      <c r="AV622" s="4">
        <f>tbl_Data_old[[#This Row],[Adj. per unit Incentive ($)]]/tbl_Data_old[[#This Row],[kWh Savings]]*tbl_Data_old[[#This Row],[Sum of Annuals]]</f>
        <v>0</v>
      </c>
      <c r="AW622" s="4" t="str">
        <f>IFERROR(VLOOKUP(tbl_Data_old[[#This Row],[All_Programs]],'1. Set Program Names'!$B$2:$D$15,3,0)*tbl_Data_old[[#This Row],[Sum of Annuals]],"")</f>
        <v/>
      </c>
      <c r="AX622" s="4">
        <f>tbl_Data_old[[#This Row],[per unit IRA tax ($)]]/tbl_Data_old[[#This Row],[kWh Savings]]*tbl_Data_old[[#This Row],[Sum of Annuals]]</f>
        <v>0</v>
      </c>
      <c r="AY622" s="4">
        <f>tbl_Data_old[[#This Row],[Avoided Costs ($/unit)]]/tbl_Data_old[[#This Row],[kWh Savings]]*tbl_Data_old[[#This Row],[Sum of Annuals]]</f>
        <v>87.088278189318501</v>
      </c>
      <c r="AZ622" s="4">
        <f>tbl_Data_old[[#This Row],[Lost Revenue ($/unit)]]/tbl_Data_old[[#This Row],[kWh Savings]]*tbl_Data_old[[#This Row],[Sum of Annuals]]</f>
        <v>183.61509522800253</v>
      </c>
      <c r="BA622" s="4">
        <f>tbl_Data_old[[#This Row],[Incremental Cost ($/unit)]]/tbl_Data_old[[#This Row],[kWh Savings]]*tbl_Data_old[[#This Row],[Sum of Annuals]]</f>
        <v>81.413612456183117</v>
      </c>
      <c r="BB622">
        <f>ROUNDUP(tbl_Data_old[[#This Row],[Adjusted 2025]]/$L622,0)</f>
        <v>1</v>
      </c>
      <c r="BC622">
        <f>ROUNDUP(tbl_Data_old[[#This Row],[Adjusted 2026]]/$L622,0)</f>
        <v>1</v>
      </c>
      <c r="BD622">
        <f>ROUNDUP(tbl_Data_old[[#This Row],[Adjusted 2027]]/$L622,0)</f>
        <v>1</v>
      </c>
      <c r="BE622">
        <f>ROUNDUP(tbl_Data_old[[#This Row],[Adjusted 2028]]/$L622,0)</f>
        <v>1</v>
      </c>
      <c r="BF622">
        <f>ROUNDUP(tbl_Data_old[[#This Row],[Adjusted 2029]]/$L622,0)</f>
        <v>1</v>
      </c>
      <c r="BG622">
        <f>ROUNDUP(tbl_Data_old[[#This Row],[Adjusted 2030]]/$L622,0)</f>
        <v>1</v>
      </c>
      <c r="BH622">
        <f>ROUNDUP(tbl_Data_old[[#This Row],[Adjusted 2031]]/$L622,0)</f>
        <v>1</v>
      </c>
      <c r="BI622">
        <f>ROUNDUP(tbl_Data_old[[#This Row],[Adjusted 2032]]/$L622,0)</f>
        <v>1</v>
      </c>
      <c r="BJ622">
        <f>ROUNDUP(tbl_Data_old[[#This Row],[Adjusted 2033]]/$L622,0)</f>
        <v>1</v>
      </c>
      <c r="BK622">
        <f>ROUNDUP(tbl_Data_old[[#This Row],[Adjusted 2034]]/$L622,0)</f>
        <v>1</v>
      </c>
      <c r="BL622" s="3">
        <f t="shared" si="42"/>
        <v>0</v>
      </c>
      <c r="BM622" s="3">
        <f t="shared" si="42"/>
        <v>0</v>
      </c>
      <c r="BN622" s="3">
        <f t="shared" si="42"/>
        <v>0</v>
      </c>
      <c r="BO622" s="3">
        <f t="shared" si="42"/>
        <v>0</v>
      </c>
      <c r="BP622" s="3">
        <f t="shared" si="42"/>
        <v>0</v>
      </c>
      <c r="BQ622" s="3">
        <f t="shared" si="42"/>
        <v>0</v>
      </c>
      <c r="BR622" s="3">
        <f t="shared" si="42"/>
        <v>0</v>
      </c>
      <c r="BS622" s="3">
        <f t="shared" si="42"/>
        <v>0</v>
      </c>
      <c r="BT622" s="3">
        <f t="shared" si="42"/>
        <v>0</v>
      </c>
      <c r="BU622" s="3">
        <f t="shared" si="42"/>
        <v>0</v>
      </c>
      <c r="BV622" t="e">
        <f>VLOOKUP($H622,'1. Set Program Names'!$B$2:$D$15,3,0)*V622</f>
        <v>#N/A</v>
      </c>
      <c r="BW622" t="e">
        <f>VLOOKUP($H622,'1. Set Program Names'!$B$2:$D$15,3,0)*W622</f>
        <v>#N/A</v>
      </c>
      <c r="BX622" t="e">
        <f>VLOOKUP($H622,'1. Set Program Names'!$B$2:$D$15,3,0)*X622</f>
        <v>#N/A</v>
      </c>
      <c r="BY622" t="e">
        <f>VLOOKUP($H622,'1. Set Program Names'!$B$2:$D$15,3,0)*Y622</f>
        <v>#N/A</v>
      </c>
      <c r="BZ622" t="e">
        <f>VLOOKUP($H622,'1. Set Program Names'!$B$2:$D$15,3,0)*Z622</f>
        <v>#N/A</v>
      </c>
      <c r="CA622" t="e">
        <f>VLOOKUP($H622,'1. Set Program Names'!$B$2:$D$15,3,0)*AA622</f>
        <v>#N/A</v>
      </c>
      <c r="CB622" t="e">
        <f>VLOOKUP($H622,'1. Set Program Names'!$B$2:$D$15,3,0)*AB622</f>
        <v>#N/A</v>
      </c>
      <c r="CC622" t="e">
        <f>VLOOKUP($H622,'1. Set Program Names'!$B$2:$D$15,3,0)*AC622</f>
        <v>#N/A</v>
      </c>
      <c r="CD622" t="e">
        <f>VLOOKUP($H622,'1. Set Program Names'!$B$2:$D$15,3,0)*AD622</f>
        <v>#N/A</v>
      </c>
      <c r="CE622" t="e">
        <f>VLOOKUP($H622,'1. Set Program Names'!$B$2:$D$15,3,0)*AE622</f>
        <v>#N/A</v>
      </c>
    </row>
    <row r="623" spans="1:83" x14ac:dyDescent="0.25">
      <c r="A623" s="20" t="s">
        <v>115</v>
      </c>
      <c r="B623" s="20" t="s">
        <v>88</v>
      </c>
      <c r="C623" s="20" t="s">
        <v>122</v>
      </c>
      <c r="D623" s="20" t="s">
        <v>90</v>
      </c>
      <c r="E623" s="20" t="s">
        <v>91</v>
      </c>
      <c r="F623" s="20" t="s">
        <v>90</v>
      </c>
      <c r="G623" s="20" t="s">
        <v>92</v>
      </c>
      <c r="H623" s="20" t="s">
        <v>268</v>
      </c>
      <c r="I623" s="20" t="s">
        <v>138</v>
      </c>
      <c r="J623" s="20" t="s">
        <v>124</v>
      </c>
      <c r="K623" s="20" t="s">
        <v>98</v>
      </c>
      <c r="L623" s="20">
        <v>4708.5</v>
      </c>
      <c r="M623" s="20">
        <v>0.683430781395169</v>
      </c>
      <c r="N623" s="20">
        <v>0.60632419999120102</v>
      </c>
      <c r="O623" s="20">
        <v>1154.6399999999901</v>
      </c>
      <c r="P623" s="20">
        <v>186.06881936911</v>
      </c>
      <c r="Q623" s="20">
        <v>4.7084999999999999</v>
      </c>
      <c r="R623" s="20">
        <v>1872.3805627056299</v>
      </c>
      <c r="S623" s="20">
        <v>4412.8842644638298</v>
      </c>
      <c r="T623" s="20">
        <v>12</v>
      </c>
      <c r="U623" s="20">
        <v>1</v>
      </c>
      <c r="V623" s="20">
        <v>4.47226352881927</v>
      </c>
      <c r="W623" s="20">
        <v>10.658862232969399</v>
      </c>
      <c r="X623" s="20">
        <v>18.772439479140299</v>
      </c>
      <c r="Y623" s="20">
        <v>28.944876637796899</v>
      </c>
      <c r="Z623" s="20">
        <v>41.145157848860102</v>
      </c>
      <c r="AA623" s="20">
        <v>55.170943194711597</v>
      </c>
      <c r="AB623" s="20">
        <v>70.709790629597805</v>
      </c>
      <c r="AC623" s="20">
        <v>87.449472232460806</v>
      </c>
      <c r="AD623" s="20">
        <v>105.12455425323699</v>
      </c>
      <c r="AE623" s="20">
        <v>123.510727433407</v>
      </c>
      <c r="AF623" t="str">
        <f t="shared" si="39"/>
        <v>NonResidential</v>
      </c>
      <c r="AG623" t="str">
        <f>tbl_Data_old[[#This Row],[All_Meas_Name_Append]]</f>
        <v>Energy Star Commercial Glass Door Freezer</v>
      </c>
      <c r="AH623">
        <f>AVERAGEIFS('3. Incentive Adjustment'!G:G,'3. Incentive Adjustment'!A:A,tbl_Data_old[[#This Row],[Trimmed Sector]],'3. Incentive Adjustment'!B:B,tbl_Data_old[[#This Row],[Trimmed Measure Name]])</f>
        <v>0.90098363397891501</v>
      </c>
      <c r="AI623">
        <f>$AH623*tbl_Data_old[[#This Row],[2025 ]]</f>
        <v>4.0294362463069522</v>
      </c>
      <c r="AJ623">
        <f>$AH623*tbl_Data_old[[#This Row],[2026 ]]</f>
        <v>9.6034604287413821</v>
      </c>
      <c r="AK623">
        <f>$AH623*tbl_Data_old[[#This Row],[2027 ]]</f>
        <v>16.913660740565078</v>
      </c>
      <c r="AL623">
        <f>$AH623*tbl_Data_old[[#This Row],[2028 ]]</f>
        <v>26.078860138193647</v>
      </c>
      <c r="AM623">
        <f>$AH623*tbl_Data_old[[#This Row],[2029 ]]</f>
        <v>37.071113839302051</v>
      </c>
      <c r="AN623">
        <f>$AH623*tbl_Data_old[[#This Row],[2030 ]]</f>
        <v>49.708116889615546</v>
      </c>
      <c r="AO623">
        <f>$AH623*tbl_Data_old[[#This Row],[2031 ]]</f>
        <v>63.708364119343265</v>
      </c>
      <c r="AP623">
        <f>$AH623*tbl_Data_old[[#This Row],[2032 ]]</f>
        <v>78.790543281540764</v>
      </c>
      <c r="AQ623">
        <f>$AH623*tbl_Data_old[[#This Row],[2033 ]]</f>
        <v>94.715502911495079</v>
      </c>
      <c r="AR623">
        <f>$AH623*tbl_Data_old[[#This Row],[2034 ]]</f>
        <v>111.28114403833031</v>
      </c>
      <c r="AS623">
        <f>SUM(tbl_Data_old[[#This Row],[Adjusted 2025]:[Adjusted 2034]])</f>
        <v>491.90020263343405</v>
      </c>
      <c r="AT623" s="3">
        <f>AVERAGEIFS('3. Incentive Adjustment'!F:F,'3. Incentive Adjustment'!A:A,tbl_Data_old[[#This Row],[Trimmed Sector]],'3. Incentive Adjustment'!B:B,tbl_Data_old[[#This Row],[Trimmed Measure Name]])</f>
        <v>0</v>
      </c>
      <c r="AU623" s="3">
        <f>IFERROR(VLOOKUP(tbl_Data_old[[#This Row],[All_Meas_Name_Append]],'IRA Tax Credits'!$A$3:$D$46,4,0),0)</f>
        <v>0</v>
      </c>
      <c r="AV623" s="4">
        <f>tbl_Data_old[[#This Row],[Adj. per unit Incentive ($)]]/tbl_Data_old[[#This Row],[kWh Savings]]*tbl_Data_old[[#This Row],[Sum of Annuals]]</f>
        <v>0</v>
      </c>
      <c r="AW623" s="4" t="str">
        <f>IFERROR(VLOOKUP(tbl_Data_old[[#This Row],[All_Programs]],'1. Set Program Names'!$B$2:$D$15,3,0)*tbl_Data_old[[#This Row],[Sum of Annuals]],"")</f>
        <v/>
      </c>
      <c r="AX623" s="4">
        <f>tbl_Data_old[[#This Row],[per unit IRA tax ($)]]/tbl_Data_old[[#This Row],[kWh Savings]]*tbl_Data_old[[#This Row],[Sum of Annuals]]</f>
        <v>0</v>
      </c>
      <c r="AY623" s="4">
        <f>tbl_Data_old[[#This Row],[Avoided Costs ($/unit)]]/tbl_Data_old[[#This Row],[kWh Savings]]*tbl_Data_old[[#This Row],[Sum of Annuals]]</f>
        <v>195.60887293231445</v>
      </c>
      <c r="AZ623" s="4">
        <f>tbl_Data_old[[#This Row],[Lost Revenue ($/unit)]]/tbl_Data_old[[#This Row],[kWh Savings]]*tbl_Data_old[[#This Row],[Sum of Annuals]]</f>
        <v>461.01702535577158</v>
      </c>
      <c r="BA623" s="4">
        <f>tbl_Data_old[[#This Row],[Incremental Cost ($/unit)]]/tbl_Data_old[[#This Row],[kWh Savings]]*tbl_Data_old[[#This Row],[Sum of Annuals]]</f>
        <v>120.62602739060496</v>
      </c>
      <c r="BB623">
        <f>ROUNDUP(tbl_Data_old[[#This Row],[Adjusted 2025]]/$L623,0)</f>
        <v>1</v>
      </c>
      <c r="BC623">
        <f>ROUNDUP(tbl_Data_old[[#This Row],[Adjusted 2026]]/$L623,0)</f>
        <v>1</v>
      </c>
      <c r="BD623">
        <f>ROUNDUP(tbl_Data_old[[#This Row],[Adjusted 2027]]/$L623,0)</f>
        <v>1</v>
      </c>
      <c r="BE623">
        <f>ROUNDUP(tbl_Data_old[[#This Row],[Adjusted 2028]]/$L623,0)</f>
        <v>1</v>
      </c>
      <c r="BF623">
        <f>ROUNDUP(tbl_Data_old[[#This Row],[Adjusted 2029]]/$L623,0)</f>
        <v>1</v>
      </c>
      <c r="BG623">
        <f>ROUNDUP(tbl_Data_old[[#This Row],[Adjusted 2030]]/$L623,0)</f>
        <v>1</v>
      </c>
      <c r="BH623">
        <f>ROUNDUP(tbl_Data_old[[#This Row],[Adjusted 2031]]/$L623,0)</f>
        <v>1</v>
      </c>
      <c r="BI623">
        <f>ROUNDUP(tbl_Data_old[[#This Row],[Adjusted 2032]]/$L623,0)</f>
        <v>1</v>
      </c>
      <c r="BJ623">
        <f>ROUNDUP(tbl_Data_old[[#This Row],[Adjusted 2033]]/$L623,0)</f>
        <v>1</v>
      </c>
      <c r="BK623">
        <f>ROUNDUP(tbl_Data_old[[#This Row],[Adjusted 2034]]/$L623,0)</f>
        <v>1</v>
      </c>
      <c r="BL623" s="3">
        <f t="shared" si="42"/>
        <v>0</v>
      </c>
      <c r="BM623" s="3">
        <f t="shared" si="42"/>
        <v>0</v>
      </c>
      <c r="BN623" s="3">
        <f t="shared" si="42"/>
        <v>0</v>
      </c>
      <c r="BO623" s="3">
        <f t="shared" si="42"/>
        <v>0</v>
      </c>
      <c r="BP623" s="3">
        <f t="shared" si="42"/>
        <v>0</v>
      </c>
      <c r="BQ623" s="3">
        <f t="shared" si="42"/>
        <v>0</v>
      </c>
      <c r="BR623" s="3">
        <f t="shared" si="42"/>
        <v>0</v>
      </c>
      <c r="BS623" s="3">
        <f t="shared" si="42"/>
        <v>0</v>
      </c>
      <c r="BT623" s="3">
        <f t="shared" si="42"/>
        <v>0</v>
      </c>
      <c r="BU623" s="3">
        <f t="shared" si="42"/>
        <v>0</v>
      </c>
      <c r="BV623" t="e">
        <f>VLOOKUP($H623,'1. Set Program Names'!$B$2:$D$15,3,0)*V623</f>
        <v>#N/A</v>
      </c>
      <c r="BW623" t="e">
        <f>VLOOKUP($H623,'1. Set Program Names'!$B$2:$D$15,3,0)*W623</f>
        <v>#N/A</v>
      </c>
      <c r="BX623" t="e">
        <f>VLOOKUP($H623,'1. Set Program Names'!$B$2:$D$15,3,0)*X623</f>
        <v>#N/A</v>
      </c>
      <c r="BY623" t="e">
        <f>VLOOKUP($H623,'1. Set Program Names'!$B$2:$D$15,3,0)*Y623</f>
        <v>#N/A</v>
      </c>
      <c r="BZ623" t="e">
        <f>VLOOKUP($H623,'1. Set Program Names'!$B$2:$D$15,3,0)*Z623</f>
        <v>#N/A</v>
      </c>
      <c r="CA623" t="e">
        <f>VLOOKUP($H623,'1. Set Program Names'!$B$2:$D$15,3,0)*AA623</f>
        <v>#N/A</v>
      </c>
      <c r="CB623" t="e">
        <f>VLOOKUP($H623,'1. Set Program Names'!$B$2:$D$15,3,0)*AB623</f>
        <v>#N/A</v>
      </c>
      <c r="CC623" t="e">
        <f>VLOOKUP($H623,'1. Set Program Names'!$B$2:$D$15,3,0)*AC623</f>
        <v>#N/A</v>
      </c>
      <c r="CD623" t="e">
        <f>VLOOKUP($H623,'1. Set Program Names'!$B$2:$D$15,3,0)*AD623</f>
        <v>#N/A</v>
      </c>
      <c r="CE623" t="e">
        <f>VLOOKUP($H623,'1. Set Program Names'!$B$2:$D$15,3,0)*AE623</f>
        <v>#N/A</v>
      </c>
    </row>
    <row r="624" spans="1:83" x14ac:dyDescent="0.25">
      <c r="A624" s="20" t="s">
        <v>115</v>
      </c>
      <c r="B624" s="20" t="s">
        <v>88</v>
      </c>
      <c r="C624" s="20" t="s">
        <v>122</v>
      </c>
      <c r="D624" s="20" t="s">
        <v>90</v>
      </c>
      <c r="E624" s="20" t="s">
        <v>91</v>
      </c>
      <c r="F624" s="20" t="s">
        <v>90</v>
      </c>
      <c r="G624" s="20" t="s">
        <v>92</v>
      </c>
      <c r="H624" s="20" t="s">
        <v>268</v>
      </c>
      <c r="I624" s="20" t="s">
        <v>139</v>
      </c>
      <c r="J624" s="20" t="s">
        <v>134</v>
      </c>
      <c r="K624" s="20" t="s">
        <v>98</v>
      </c>
      <c r="L624" s="20">
        <v>1937</v>
      </c>
      <c r="M624" s="20">
        <v>0.24908899441118301</v>
      </c>
      <c r="N624" s="20">
        <v>0.21233623172368499</v>
      </c>
      <c r="O624" s="20">
        <v>631.37</v>
      </c>
      <c r="P624" s="20">
        <v>232.91563515301399</v>
      </c>
      <c r="Q624" s="20">
        <v>1.9370000000000001</v>
      </c>
      <c r="R624" s="20">
        <v>770.86000119756204</v>
      </c>
      <c r="S624" s="20">
        <v>2270.0548686653701</v>
      </c>
      <c r="T624" s="20">
        <v>17</v>
      </c>
      <c r="U624" s="20">
        <v>1</v>
      </c>
      <c r="V624" s="20">
        <v>1.3453224027487201</v>
      </c>
      <c r="W624" s="20">
        <v>3.17703198471524</v>
      </c>
      <c r="X624" s="20">
        <v>5.5381346712311803</v>
      </c>
      <c r="Y624" s="20">
        <v>8.4458844746095494</v>
      </c>
      <c r="Z624" s="20">
        <v>11.8724421000392</v>
      </c>
      <c r="AA624" s="20">
        <v>15.7470750337514</v>
      </c>
      <c r="AB624" s="20">
        <v>19.976580071685099</v>
      </c>
      <c r="AC624" s="20">
        <v>24.474459586719799</v>
      </c>
      <c r="AD624" s="20">
        <v>29.170278824305399</v>
      </c>
      <c r="AE624" s="20">
        <v>34.006607292021002</v>
      </c>
      <c r="AF624" t="str">
        <f t="shared" si="39"/>
        <v>NonResidential</v>
      </c>
      <c r="AG624" t="str">
        <f>tbl_Data_old[[#This Row],[All_Meas_Name_Append]]</f>
        <v>Energy Star convection oven</v>
      </c>
      <c r="AH624">
        <f>AVERAGEIFS('3. Incentive Adjustment'!G:G,'3. Incentive Adjustment'!A:A,tbl_Data_old[[#This Row],[Trimmed Sector]],'3. Incentive Adjustment'!B:B,tbl_Data_old[[#This Row],[Trimmed Measure Name]])</f>
        <v>0.72813370493976592</v>
      </c>
      <c r="AI624">
        <f>$AH624*tbl_Data_old[[#This Row],[2025 ]]</f>
        <v>0.97957458545189346</v>
      </c>
      <c r="AJ624">
        <f>$AH624*tbl_Data_old[[#This Row],[2026 ]]</f>
        <v>2.3133040697428453</v>
      </c>
      <c r="AK624">
        <f>$AH624*tbl_Data_old[[#This Row],[2027 ]]</f>
        <v>4.0325025166189317</v>
      </c>
      <c r="AL624">
        <f>$AH624*tbl_Data_old[[#This Row],[2028 ]]</f>
        <v>6.1497331539906996</v>
      </c>
      <c r="AM624">
        <f>$AH624*tbl_Data_old[[#This Row],[2029 ]]</f>
        <v>8.6447252529843972</v>
      </c>
      <c r="AN624">
        <f>$AH624*tbl_Data_old[[#This Row],[2030 ]]</f>
        <v>11.465976086289897</v>
      </c>
      <c r="AO624">
        <f>$AH624*tbl_Data_old[[#This Row],[2031 ]]</f>
        <v>14.545621259621965</v>
      </c>
      <c r="AP624">
        <f>$AH624*tbl_Data_old[[#This Row],[2032 ]]</f>
        <v>17.82067893527686</v>
      </c>
      <c r="AQ624">
        <f>$AH624*tbl_Data_old[[#This Row],[2033 ]]</f>
        <v>21.239863194467489</v>
      </c>
      <c r="AR624">
        <f>$AH624*tbl_Data_old[[#This Row],[2034 ]]</f>
        <v>24.761356959970911</v>
      </c>
      <c r="AS624">
        <f>SUM(tbl_Data_old[[#This Row],[Adjusted 2025]:[Adjusted 2034]])</f>
        <v>111.95333601441588</v>
      </c>
      <c r="AT624" s="3">
        <f>AVERAGEIFS('3. Incentive Adjustment'!F:F,'3. Incentive Adjustment'!A:A,tbl_Data_old[[#This Row],[Trimmed Sector]],'3. Incentive Adjustment'!B:B,tbl_Data_old[[#This Row],[Trimmed Measure Name]])</f>
        <v>0</v>
      </c>
      <c r="AU624" s="3">
        <f>IFERROR(VLOOKUP(tbl_Data_old[[#This Row],[All_Meas_Name_Append]],'IRA Tax Credits'!$A$3:$D$46,4,0),0)</f>
        <v>0</v>
      </c>
      <c r="AV624" s="4">
        <f>tbl_Data_old[[#This Row],[Adj. per unit Incentive ($)]]/tbl_Data_old[[#This Row],[kWh Savings]]*tbl_Data_old[[#This Row],[Sum of Annuals]]</f>
        <v>0</v>
      </c>
      <c r="AW624" s="4" t="str">
        <f>IFERROR(VLOOKUP(tbl_Data_old[[#This Row],[All_Programs]],'1. Set Program Names'!$B$2:$D$15,3,0)*tbl_Data_old[[#This Row],[Sum of Annuals]],"")</f>
        <v/>
      </c>
      <c r="AX624" s="4">
        <f>tbl_Data_old[[#This Row],[per unit IRA tax ($)]]/tbl_Data_old[[#This Row],[kWh Savings]]*tbl_Data_old[[#This Row],[Sum of Annuals]]</f>
        <v>0</v>
      </c>
      <c r="AY624" s="4">
        <f>tbl_Data_old[[#This Row],[Avoided Costs ($/unit)]]/tbl_Data_old[[#This Row],[kWh Savings]]*tbl_Data_old[[#This Row],[Sum of Annuals]]</f>
        <v>44.553613182314763</v>
      </c>
      <c r="AZ624" s="4">
        <f>tbl_Data_old[[#This Row],[Lost Revenue ($/unit)]]/tbl_Data_old[[#This Row],[kWh Savings]]*tbl_Data_old[[#This Row],[Sum of Annuals]]</f>
        <v>131.20300231432881</v>
      </c>
      <c r="BA624" s="4">
        <f>tbl_Data_old[[#This Row],[Incremental Cost ($/unit)]]/tbl_Data_old[[#This Row],[kWh Savings]]*tbl_Data_old[[#This Row],[Sum of Annuals]]</f>
        <v>36.491470190718509</v>
      </c>
      <c r="BB624">
        <f>ROUNDUP(tbl_Data_old[[#This Row],[Adjusted 2025]]/$L624,0)</f>
        <v>1</v>
      </c>
      <c r="BC624">
        <f>ROUNDUP(tbl_Data_old[[#This Row],[Adjusted 2026]]/$L624,0)</f>
        <v>1</v>
      </c>
      <c r="BD624">
        <f>ROUNDUP(tbl_Data_old[[#This Row],[Adjusted 2027]]/$L624,0)</f>
        <v>1</v>
      </c>
      <c r="BE624">
        <f>ROUNDUP(tbl_Data_old[[#This Row],[Adjusted 2028]]/$L624,0)</f>
        <v>1</v>
      </c>
      <c r="BF624">
        <f>ROUNDUP(tbl_Data_old[[#This Row],[Adjusted 2029]]/$L624,0)</f>
        <v>1</v>
      </c>
      <c r="BG624">
        <f>ROUNDUP(tbl_Data_old[[#This Row],[Adjusted 2030]]/$L624,0)</f>
        <v>1</v>
      </c>
      <c r="BH624">
        <f>ROUNDUP(tbl_Data_old[[#This Row],[Adjusted 2031]]/$L624,0)</f>
        <v>1</v>
      </c>
      <c r="BI624">
        <f>ROUNDUP(tbl_Data_old[[#This Row],[Adjusted 2032]]/$L624,0)</f>
        <v>1</v>
      </c>
      <c r="BJ624">
        <f>ROUNDUP(tbl_Data_old[[#This Row],[Adjusted 2033]]/$L624,0)</f>
        <v>1</v>
      </c>
      <c r="BK624">
        <f>ROUNDUP(tbl_Data_old[[#This Row],[Adjusted 2034]]/$L624,0)</f>
        <v>1</v>
      </c>
      <c r="BL624" s="3">
        <f t="shared" si="42"/>
        <v>0</v>
      </c>
      <c r="BM624" s="3">
        <f t="shared" si="42"/>
        <v>0</v>
      </c>
      <c r="BN624" s="3">
        <f t="shared" si="42"/>
        <v>0</v>
      </c>
      <c r="BO624" s="3">
        <f t="shared" si="42"/>
        <v>0</v>
      </c>
      <c r="BP624" s="3">
        <f t="shared" si="42"/>
        <v>0</v>
      </c>
      <c r="BQ624" s="3">
        <f t="shared" si="42"/>
        <v>0</v>
      </c>
      <c r="BR624" s="3">
        <f t="shared" si="42"/>
        <v>0</v>
      </c>
      <c r="BS624" s="3">
        <f t="shared" si="42"/>
        <v>0</v>
      </c>
      <c r="BT624" s="3">
        <f t="shared" si="42"/>
        <v>0</v>
      </c>
      <c r="BU624" s="3">
        <f t="shared" si="42"/>
        <v>0</v>
      </c>
      <c r="BV624" t="e">
        <f>VLOOKUP($H624,'1. Set Program Names'!$B$2:$D$15,3,0)*V624</f>
        <v>#N/A</v>
      </c>
      <c r="BW624" t="e">
        <f>VLOOKUP($H624,'1. Set Program Names'!$B$2:$D$15,3,0)*W624</f>
        <v>#N/A</v>
      </c>
      <c r="BX624" t="e">
        <f>VLOOKUP($H624,'1. Set Program Names'!$B$2:$D$15,3,0)*X624</f>
        <v>#N/A</v>
      </c>
      <c r="BY624" t="e">
        <f>VLOOKUP($H624,'1. Set Program Names'!$B$2:$D$15,3,0)*Y624</f>
        <v>#N/A</v>
      </c>
      <c r="BZ624" t="e">
        <f>VLOOKUP($H624,'1. Set Program Names'!$B$2:$D$15,3,0)*Z624</f>
        <v>#N/A</v>
      </c>
      <c r="CA624" t="e">
        <f>VLOOKUP($H624,'1. Set Program Names'!$B$2:$D$15,3,0)*AA624</f>
        <v>#N/A</v>
      </c>
      <c r="CB624" t="e">
        <f>VLOOKUP($H624,'1. Set Program Names'!$B$2:$D$15,3,0)*AB624</f>
        <v>#N/A</v>
      </c>
      <c r="CC624" t="e">
        <f>VLOOKUP($H624,'1. Set Program Names'!$B$2:$D$15,3,0)*AC624</f>
        <v>#N/A</v>
      </c>
      <c r="CD624" t="e">
        <f>VLOOKUP($H624,'1. Set Program Names'!$B$2:$D$15,3,0)*AD624</f>
        <v>#N/A</v>
      </c>
      <c r="CE624" t="e">
        <f>VLOOKUP($H624,'1. Set Program Names'!$B$2:$D$15,3,0)*AE624</f>
        <v>#N/A</v>
      </c>
    </row>
    <row r="625" spans="1:83" x14ac:dyDescent="0.25">
      <c r="A625" s="20" t="s">
        <v>115</v>
      </c>
      <c r="B625" s="20" t="s">
        <v>88</v>
      </c>
      <c r="C625" s="20" t="s">
        <v>122</v>
      </c>
      <c r="D625" s="20" t="s">
        <v>90</v>
      </c>
      <c r="E625" s="20" t="s">
        <v>91</v>
      </c>
      <c r="F625" s="20" t="s">
        <v>90</v>
      </c>
      <c r="G625" s="20" t="s">
        <v>92</v>
      </c>
      <c r="H625" s="20" t="s">
        <v>268</v>
      </c>
      <c r="I625" s="20" t="s">
        <v>140</v>
      </c>
      <c r="J625" s="20" t="s">
        <v>129</v>
      </c>
      <c r="K625" s="20" t="s">
        <v>98</v>
      </c>
      <c r="L625" s="20">
        <v>145.64999999999901</v>
      </c>
      <c r="M625" s="20">
        <v>4.8385631271840701E-2</v>
      </c>
      <c r="N625" s="20">
        <v>0</v>
      </c>
      <c r="O625" s="20">
        <v>41.15</v>
      </c>
      <c r="P625" s="20">
        <v>12.5942011456304</v>
      </c>
      <c r="Q625" s="20">
        <v>0.145649999999999</v>
      </c>
      <c r="R625" s="20">
        <v>71.795310497711</v>
      </c>
      <c r="S625" s="20">
        <v>136.505594800712</v>
      </c>
      <c r="T625" s="20">
        <v>12</v>
      </c>
      <c r="U625" s="20">
        <v>1</v>
      </c>
      <c r="V625" s="20">
        <v>54.518820451286601</v>
      </c>
      <c r="W625" s="20">
        <v>113.340063372347</v>
      </c>
      <c r="X625" s="20">
        <v>175.587574446189</v>
      </c>
      <c r="Y625" s="20">
        <v>240.82710452161101</v>
      </c>
      <c r="Z625" s="20">
        <v>308.66495534193399</v>
      </c>
      <c r="AA625" s="20">
        <v>378.723966123737</v>
      </c>
      <c r="AB625" s="20">
        <v>450.71744626506398</v>
      </c>
      <c r="AC625" s="20">
        <v>524.567172772871</v>
      </c>
      <c r="AD625" s="20">
        <v>600.27782834329003</v>
      </c>
      <c r="AE625" s="20">
        <v>677.78342723512003</v>
      </c>
      <c r="AF625" t="str">
        <f t="shared" si="39"/>
        <v>NonResidential</v>
      </c>
      <c r="AG625" t="str">
        <f>tbl_Data_old[[#This Row],[All_Meas_Name_Append]]</f>
        <v>Energy Star room AC_137</v>
      </c>
      <c r="AH625">
        <f>AVERAGEIFS('3. Incentive Adjustment'!G:G,'3. Incentive Adjustment'!A:A,tbl_Data_old[[#This Row],[Trimmed Sector]],'3. Incentive Adjustment'!B:B,tbl_Data_old[[#This Row],[Trimmed Measure Name]])</f>
        <v>0.79600466062818009</v>
      </c>
      <c r="AI625">
        <f>$AH625*tbl_Data_old[[#This Row],[2025 ]]</f>
        <v>43.397235171175076</v>
      </c>
      <c r="AJ625">
        <f>$AH625*tbl_Data_old[[#This Row],[2026 ]]</f>
        <v>90.2192186802815</v>
      </c>
      <c r="AK625">
        <f>$AH625*tbl_Data_old[[#This Row],[2027 ]]</f>
        <v>139.76852760756398</v>
      </c>
      <c r="AL625">
        <f>$AH625*tbl_Data_old[[#This Row],[2028 ]]</f>
        <v>191.69949760479221</v>
      </c>
      <c r="AM625">
        <f>$AH625*tbl_Data_old[[#This Row],[2029 ]]</f>
        <v>245.69874302476853</v>
      </c>
      <c r="AN625">
        <f>$AH625*tbl_Data_old[[#This Row],[2030 ]]</f>
        <v>301.46604212608366</v>
      </c>
      <c r="AO625">
        <f>$AH625*tbl_Data_old[[#This Row],[2031 ]]</f>
        <v>358.77318785342226</v>
      </c>
      <c r="AP625">
        <f>$AH625*tbl_Data_old[[#This Row],[2032 ]]</f>
        <v>417.5579143397531</v>
      </c>
      <c r="AQ625">
        <f>$AH625*tbl_Data_old[[#This Row],[2033 ]]</f>
        <v>477.82394903302151</v>
      </c>
      <c r="AR625">
        <f>$AH625*tbl_Data_old[[#This Row],[2034 ]]</f>
        <v>539.51876697569651</v>
      </c>
      <c r="AS625">
        <f>SUM(tbl_Data_old[[#This Row],[Adjusted 2025]:[Adjusted 2034]])</f>
        <v>2805.9230824165584</v>
      </c>
      <c r="AT625" s="3">
        <f>AVERAGEIFS('3. Incentive Adjustment'!F:F,'3. Incentive Adjustment'!A:A,tbl_Data_old[[#This Row],[Trimmed Sector]],'3. Incentive Adjustment'!B:B,tbl_Data_old[[#This Row],[Trimmed Measure Name]])</f>
        <v>0</v>
      </c>
      <c r="AU625" s="3">
        <f>IFERROR(VLOOKUP(tbl_Data_old[[#This Row],[All_Meas_Name_Append]],'IRA Tax Credits'!$A$3:$D$46,4,0),0)</f>
        <v>0</v>
      </c>
      <c r="AV625" s="4">
        <f>tbl_Data_old[[#This Row],[Adj. per unit Incentive ($)]]/tbl_Data_old[[#This Row],[kWh Savings]]*tbl_Data_old[[#This Row],[Sum of Annuals]]</f>
        <v>0</v>
      </c>
      <c r="AW625" s="4" t="str">
        <f>IFERROR(VLOOKUP(tbl_Data_old[[#This Row],[All_Programs]],'1. Set Program Names'!$B$2:$D$15,3,0)*tbl_Data_old[[#This Row],[Sum of Annuals]],"")</f>
        <v/>
      </c>
      <c r="AX625" s="4">
        <f>tbl_Data_old[[#This Row],[per unit IRA tax ($)]]/tbl_Data_old[[#This Row],[kWh Savings]]*tbl_Data_old[[#This Row],[Sum of Annuals]]</f>
        <v>0</v>
      </c>
      <c r="AY625" s="4">
        <f>tbl_Data_old[[#This Row],[Avoided Costs ($/unit)]]/tbl_Data_old[[#This Row],[kWh Savings]]*tbl_Data_old[[#This Row],[Sum of Annuals]]</f>
        <v>1383.1247438022142</v>
      </c>
      <c r="AZ625" s="4">
        <f>tbl_Data_old[[#This Row],[Lost Revenue ($/unit)]]/tbl_Data_old[[#This Row],[kWh Savings]]*tbl_Data_old[[#This Row],[Sum of Annuals]]</f>
        <v>2629.7576335758472</v>
      </c>
      <c r="BA625" s="4">
        <f>tbl_Data_old[[#This Row],[Incremental Cost ($/unit)]]/tbl_Data_old[[#This Row],[kWh Savings]]*tbl_Data_old[[#This Row],[Sum of Annuals]]</f>
        <v>792.74792201470757</v>
      </c>
      <c r="BB625">
        <f>ROUNDUP(tbl_Data_old[[#This Row],[Adjusted 2025]]/$L625,0)</f>
        <v>1</v>
      </c>
      <c r="BC625">
        <f>ROUNDUP(tbl_Data_old[[#This Row],[Adjusted 2026]]/$L625,0)</f>
        <v>1</v>
      </c>
      <c r="BD625">
        <f>ROUNDUP(tbl_Data_old[[#This Row],[Adjusted 2027]]/$L625,0)</f>
        <v>1</v>
      </c>
      <c r="BE625">
        <f>ROUNDUP(tbl_Data_old[[#This Row],[Adjusted 2028]]/$L625,0)</f>
        <v>2</v>
      </c>
      <c r="BF625">
        <f>ROUNDUP(tbl_Data_old[[#This Row],[Adjusted 2029]]/$L625,0)</f>
        <v>2</v>
      </c>
      <c r="BG625">
        <f>ROUNDUP(tbl_Data_old[[#This Row],[Adjusted 2030]]/$L625,0)</f>
        <v>3</v>
      </c>
      <c r="BH625">
        <f>ROUNDUP(tbl_Data_old[[#This Row],[Adjusted 2031]]/$L625,0)</f>
        <v>3</v>
      </c>
      <c r="BI625">
        <f>ROUNDUP(tbl_Data_old[[#This Row],[Adjusted 2032]]/$L625,0)</f>
        <v>3</v>
      </c>
      <c r="BJ625">
        <f>ROUNDUP(tbl_Data_old[[#This Row],[Adjusted 2033]]/$L625,0)</f>
        <v>4</v>
      </c>
      <c r="BK625">
        <f>ROUNDUP(tbl_Data_old[[#This Row],[Adjusted 2034]]/$L625,0)</f>
        <v>4</v>
      </c>
      <c r="BL625" s="3">
        <f t="shared" si="42"/>
        <v>0</v>
      </c>
      <c r="BM625" s="3">
        <f t="shared" si="42"/>
        <v>0</v>
      </c>
      <c r="BN625" s="3">
        <f t="shared" si="42"/>
        <v>0</v>
      </c>
      <c r="BO625" s="3">
        <f t="shared" si="42"/>
        <v>0</v>
      </c>
      <c r="BP625" s="3">
        <f t="shared" si="42"/>
        <v>0</v>
      </c>
      <c r="BQ625" s="3">
        <f t="shared" si="42"/>
        <v>0</v>
      </c>
      <c r="BR625" s="3">
        <f t="shared" si="42"/>
        <v>0</v>
      </c>
      <c r="BS625" s="3">
        <f t="shared" si="42"/>
        <v>0</v>
      </c>
      <c r="BT625" s="3">
        <f t="shared" si="42"/>
        <v>0</v>
      </c>
      <c r="BU625" s="3">
        <f t="shared" si="42"/>
        <v>0</v>
      </c>
      <c r="BV625" t="e">
        <f>VLOOKUP($H625,'1. Set Program Names'!$B$2:$D$15,3,0)*V625</f>
        <v>#N/A</v>
      </c>
      <c r="BW625" t="e">
        <f>VLOOKUP($H625,'1. Set Program Names'!$B$2:$D$15,3,0)*W625</f>
        <v>#N/A</v>
      </c>
      <c r="BX625" t="e">
        <f>VLOOKUP($H625,'1. Set Program Names'!$B$2:$D$15,3,0)*X625</f>
        <v>#N/A</v>
      </c>
      <c r="BY625" t="e">
        <f>VLOOKUP($H625,'1. Set Program Names'!$B$2:$D$15,3,0)*Y625</f>
        <v>#N/A</v>
      </c>
      <c r="BZ625" t="e">
        <f>VLOOKUP($H625,'1. Set Program Names'!$B$2:$D$15,3,0)*Z625</f>
        <v>#N/A</v>
      </c>
      <c r="CA625" t="e">
        <f>VLOOKUP($H625,'1. Set Program Names'!$B$2:$D$15,3,0)*AA625</f>
        <v>#N/A</v>
      </c>
      <c r="CB625" t="e">
        <f>VLOOKUP($H625,'1. Set Program Names'!$B$2:$D$15,3,0)*AB625</f>
        <v>#N/A</v>
      </c>
      <c r="CC625" t="e">
        <f>VLOOKUP($H625,'1. Set Program Names'!$B$2:$D$15,3,0)*AC625</f>
        <v>#N/A</v>
      </c>
      <c r="CD625" t="e">
        <f>VLOOKUP($H625,'1. Set Program Names'!$B$2:$D$15,3,0)*AD625</f>
        <v>#N/A</v>
      </c>
      <c r="CE625" t="e">
        <f>VLOOKUP($H625,'1. Set Program Names'!$B$2:$D$15,3,0)*AE625</f>
        <v>#N/A</v>
      </c>
    </row>
    <row r="626" spans="1:83" x14ac:dyDescent="0.25">
      <c r="A626" s="20" t="s">
        <v>115</v>
      </c>
      <c r="B626" s="20" t="s">
        <v>88</v>
      </c>
      <c r="C626" s="20" t="s">
        <v>122</v>
      </c>
      <c r="D626" s="20" t="s">
        <v>90</v>
      </c>
      <c r="E626" s="20" t="s">
        <v>91</v>
      </c>
      <c r="F626" s="20" t="s">
        <v>90</v>
      </c>
      <c r="G626" s="20" t="s">
        <v>92</v>
      </c>
      <c r="H626" s="20" t="s">
        <v>268</v>
      </c>
      <c r="I626" s="20" t="s">
        <v>141</v>
      </c>
      <c r="J626" s="20" t="s">
        <v>134</v>
      </c>
      <c r="K626" s="20" t="s">
        <v>98</v>
      </c>
      <c r="L626" s="20">
        <v>12160.5</v>
      </c>
      <c r="M626" s="20">
        <v>1.5637825072468701</v>
      </c>
      <c r="N626" s="20">
        <v>1.33304839745786</v>
      </c>
      <c r="O626" s="20">
        <v>3109.4399999999901</v>
      </c>
      <c r="P626" s="20">
        <v>607.94061759330305</v>
      </c>
      <c r="Q626" s="20">
        <v>12.160500000000001</v>
      </c>
      <c r="R626" s="20">
        <v>4122.3511685728599</v>
      </c>
      <c r="S626" s="20">
        <v>11397.022214720701</v>
      </c>
      <c r="T626" s="20">
        <v>12</v>
      </c>
      <c r="U626" s="20">
        <v>1</v>
      </c>
      <c r="V626" s="20">
        <v>2.6518914562809601</v>
      </c>
      <c r="W626" s="20">
        <v>6.2939285282790598</v>
      </c>
      <c r="X626" s="20">
        <v>11.034903419464801</v>
      </c>
      <c r="Y626" s="20">
        <v>16.9345770574662</v>
      </c>
      <c r="Z626" s="20">
        <v>23.957882243998998</v>
      </c>
      <c r="AA626" s="20">
        <v>31.971941309646201</v>
      </c>
      <c r="AB626" s="20">
        <v>40.784828136652301</v>
      </c>
      <c r="AC626" s="20">
        <v>50.208784803247497</v>
      </c>
      <c r="AD626" s="20">
        <v>60.085294937570197</v>
      </c>
      <c r="AE626" s="20">
        <v>70.283042540001105</v>
      </c>
      <c r="AF626" t="str">
        <f t="shared" si="39"/>
        <v>NonResidential</v>
      </c>
      <c r="AG626" t="str">
        <f>tbl_Data_old[[#This Row],[All_Meas_Name_Append]]</f>
        <v>Energy Star Steamer</v>
      </c>
      <c r="AH626">
        <f>AVERAGEIFS('3. Incentive Adjustment'!G:G,'3. Incentive Adjustment'!A:A,tbl_Data_old[[#This Row],[Trimmed Sector]],'3. Incentive Adjustment'!B:B,tbl_Data_old[[#This Row],[Trimmed Measure Name]])</f>
        <v>0.87642178647683033</v>
      </c>
      <c r="AI626">
        <f>$AH626*tbl_Data_old[[#This Row],[2025 ]]</f>
        <v>2.3241754476564025</v>
      </c>
      <c r="AJ626">
        <f>$AH626*tbl_Data_old[[#This Row],[2026 ]]</f>
        <v>5.516136084711821</v>
      </c>
      <c r="AK626">
        <f>$AH626*tbl_Data_old[[#This Row],[2027 ]]</f>
        <v>9.671229768486624</v>
      </c>
      <c r="AL626">
        <f>$AH626*tbl_Data_old[[#This Row],[2028 ]]</f>
        <v>14.841832277934072</v>
      </c>
      <c r="AM626">
        <f>$AH626*tbl_Data_old[[#This Row],[2029 ]]</f>
        <v>20.997209956487136</v>
      </c>
      <c r="AN626">
        <f>$AH626*tbl_Data_old[[#This Row],[2030 ]]</f>
        <v>28.020905919732495</v>
      </c>
      <c r="AO626">
        <f>$AH626*tbl_Data_old[[#This Row],[2031 ]]</f>
        <v>35.744711936675309</v>
      </c>
      <c r="AP626">
        <f>$AH626*tbl_Data_old[[#This Row],[2032 ]]</f>
        <v>44.004072874092898</v>
      </c>
      <c r="AQ626">
        <f>$AH626*tbl_Data_old[[#This Row],[2033 ]]</f>
        <v>52.66006153017252</v>
      </c>
      <c r="AR626">
        <f>$AH626*tbl_Data_old[[#This Row],[2034 ]]</f>
        <v>61.59758970193483</v>
      </c>
      <c r="AS626">
        <f>SUM(tbl_Data_old[[#This Row],[Adjusted 2025]:[Adjusted 2034]])</f>
        <v>275.37792549788412</v>
      </c>
      <c r="AT626" s="3">
        <f>AVERAGEIFS('3. Incentive Adjustment'!F:F,'3. Incentive Adjustment'!A:A,tbl_Data_old[[#This Row],[Trimmed Sector]],'3. Incentive Adjustment'!B:B,tbl_Data_old[[#This Row],[Trimmed Measure Name]])</f>
        <v>0</v>
      </c>
      <c r="AU626" s="3">
        <f>IFERROR(VLOOKUP(tbl_Data_old[[#This Row],[All_Meas_Name_Append]],'IRA Tax Credits'!$A$3:$D$46,4,0),0)</f>
        <v>0</v>
      </c>
      <c r="AV626" s="4">
        <f>tbl_Data_old[[#This Row],[Adj. per unit Incentive ($)]]/tbl_Data_old[[#This Row],[kWh Savings]]*tbl_Data_old[[#This Row],[Sum of Annuals]]</f>
        <v>0</v>
      </c>
      <c r="AW626" s="4" t="str">
        <f>IFERROR(VLOOKUP(tbl_Data_old[[#This Row],[All_Programs]],'1. Set Program Names'!$B$2:$D$15,3,0)*tbl_Data_old[[#This Row],[Sum of Annuals]],"")</f>
        <v/>
      </c>
      <c r="AX626" s="4">
        <f>tbl_Data_old[[#This Row],[per unit IRA tax ($)]]/tbl_Data_old[[#This Row],[kWh Savings]]*tbl_Data_old[[#This Row],[Sum of Annuals]]</f>
        <v>0</v>
      </c>
      <c r="AY626" s="4">
        <f>tbl_Data_old[[#This Row],[Avoided Costs ($/unit)]]/tbl_Data_old[[#This Row],[kWh Savings]]*tbl_Data_old[[#This Row],[Sum of Annuals]]</f>
        <v>93.351795812291641</v>
      </c>
      <c r="AZ626" s="4">
        <f>tbl_Data_old[[#This Row],[Lost Revenue ($/unit)]]/tbl_Data_old[[#This Row],[kWh Savings]]*tbl_Data_old[[#This Row],[Sum of Annuals]]</f>
        <v>258.0887573983872</v>
      </c>
      <c r="BA626" s="4">
        <f>tbl_Data_old[[#This Row],[Incremental Cost ($/unit)]]/tbl_Data_old[[#This Row],[kWh Savings]]*tbl_Data_old[[#This Row],[Sum of Annuals]]</f>
        <v>70.41413894660073</v>
      </c>
      <c r="BB626">
        <f>ROUNDUP(tbl_Data_old[[#This Row],[Adjusted 2025]]/$L626,0)</f>
        <v>1</v>
      </c>
      <c r="BC626">
        <f>ROUNDUP(tbl_Data_old[[#This Row],[Adjusted 2026]]/$L626,0)</f>
        <v>1</v>
      </c>
      <c r="BD626">
        <f>ROUNDUP(tbl_Data_old[[#This Row],[Adjusted 2027]]/$L626,0)</f>
        <v>1</v>
      </c>
      <c r="BE626">
        <f>ROUNDUP(tbl_Data_old[[#This Row],[Adjusted 2028]]/$L626,0)</f>
        <v>1</v>
      </c>
      <c r="BF626">
        <f>ROUNDUP(tbl_Data_old[[#This Row],[Adjusted 2029]]/$L626,0)</f>
        <v>1</v>
      </c>
      <c r="BG626">
        <f>ROUNDUP(tbl_Data_old[[#This Row],[Adjusted 2030]]/$L626,0)</f>
        <v>1</v>
      </c>
      <c r="BH626">
        <f>ROUNDUP(tbl_Data_old[[#This Row],[Adjusted 2031]]/$L626,0)</f>
        <v>1</v>
      </c>
      <c r="BI626">
        <f>ROUNDUP(tbl_Data_old[[#This Row],[Adjusted 2032]]/$L626,0)</f>
        <v>1</v>
      </c>
      <c r="BJ626">
        <f>ROUNDUP(tbl_Data_old[[#This Row],[Adjusted 2033]]/$L626,0)</f>
        <v>1</v>
      </c>
      <c r="BK626">
        <f>ROUNDUP(tbl_Data_old[[#This Row],[Adjusted 2034]]/$L626,0)</f>
        <v>1</v>
      </c>
      <c r="BL626" s="3">
        <f t="shared" si="42"/>
        <v>0</v>
      </c>
      <c r="BM626" s="3">
        <f t="shared" si="42"/>
        <v>0</v>
      </c>
      <c r="BN626" s="3">
        <f t="shared" si="42"/>
        <v>0</v>
      </c>
      <c r="BO626" s="3">
        <f t="shared" si="42"/>
        <v>0</v>
      </c>
      <c r="BP626" s="3">
        <f t="shared" si="42"/>
        <v>0</v>
      </c>
      <c r="BQ626" s="3">
        <f t="shared" si="42"/>
        <v>0</v>
      </c>
      <c r="BR626" s="3">
        <f t="shared" si="42"/>
        <v>0</v>
      </c>
      <c r="BS626" s="3">
        <f t="shared" si="42"/>
        <v>0</v>
      </c>
      <c r="BT626" s="3">
        <f t="shared" si="42"/>
        <v>0</v>
      </c>
      <c r="BU626" s="3">
        <f t="shared" si="42"/>
        <v>0</v>
      </c>
      <c r="BV626" t="e">
        <f>VLOOKUP($H626,'1. Set Program Names'!$B$2:$D$15,3,0)*V626</f>
        <v>#N/A</v>
      </c>
      <c r="BW626" t="e">
        <f>VLOOKUP($H626,'1. Set Program Names'!$B$2:$D$15,3,0)*W626</f>
        <v>#N/A</v>
      </c>
      <c r="BX626" t="e">
        <f>VLOOKUP($H626,'1. Set Program Names'!$B$2:$D$15,3,0)*X626</f>
        <v>#N/A</v>
      </c>
      <c r="BY626" t="e">
        <f>VLOOKUP($H626,'1. Set Program Names'!$B$2:$D$15,3,0)*Y626</f>
        <v>#N/A</v>
      </c>
      <c r="BZ626" t="e">
        <f>VLOOKUP($H626,'1. Set Program Names'!$B$2:$D$15,3,0)*Z626</f>
        <v>#N/A</v>
      </c>
      <c r="CA626" t="e">
        <f>VLOOKUP($H626,'1. Set Program Names'!$B$2:$D$15,3,0)*AA626</f>
        <v>#N/A</v>
      </c>
      <c r="CB626" t="e">
        <f>VLOOKUP($H626,'1. Set Program Names'!$B$2:$D$15,3,0)*AB626</f>
        <v>#N/A</v>
      </c>
      <c r="CC626" t="e">
        <f>VLOOKUP($H626,'1. Set Program Names'!$B$2:$D$15,3,0)*AC626</f>
        <v>#N/A</v>
      </c>
      <c r="CD626" t="e">
        <f>VLOOKUP($H626,'1. Set Program Names'!$B$2:$D$15,3,0)*AD626</f>
        <v>#N/A</v>
      </c>
      <c r="CE626" t="e">
        <f>VLOOKUP($H626,'1. Set Program Names'!$B$2:$D$15,3,0)*AE626</f>
        <v>#N/A</v>
      </c>
    </row>
    <row r="627" spans="1:83" x14ac:dyDescent="0.25">
      <c r="A627" s="20" t="s">
        <v>115</v>
      </c>
      <c r="B627" s="20" t="s">
        <v>88</v>
      </c>
      <c r="C627" s="20" t="s">
        <v>122</v>
      </c>
      <c r="D627" s="20" t="s">
        <v>90</v>
      </c>
      <c r="E627" s="20" t="s">
        <v>91</v>
      </c>
      <c r="F627" s="20" t="s">
        <v>90</v>
      </c>
      <c r="G627" s="20" t="s">
        <v>92</v>
      </c>
      <c r="H627" s="20" t="s">
        <v>268</v>
      </c>
      <c r="I627" s="20" t="s">
        <v>142</v>
      </c>
      <c r="J627" s="20" t="s">
        <v>137</v>
      </c>
      <c r="K627" s="20" t="s">
        <v>98</v>
      </c>
      <c r="L627" s="20">
        <v>11250</v>
      </c>
      <c r="M627" s="20">
        <v>1.3809947593685901</v>
      </c>
      <c r="N627" s="20">
        <v>1.3808111252514099</v>
      </c>
      <c r="O627" s="20">
        <v>3147</v>
      </c>
      <c r="P627" s="20">
        <v>832.79679683603899</v>
      </c>
      <c r="Q627" s="20">
        <v>11.25</v>
      </c>
      <c r="R627" s="20">
        <v>4868.3629963469202</v>
      </c>
      <c r="S627" s="20">
        <v>12218.8507873668</v>
      </c>
      <c r="T627" s="20">
        <v>15</v>
      </c>
      <c r="U627" s="20">
        <v>1</v>
      </c>
      <c r="V627" s="20">
        <v>2.5943906388183402</v>
      </c>
      <c r="W627" s="20">
        <v>6.1707240370404799</v>
      </c>
      <c r="X627" s="20">
        <v>10.9628175290499</v>
      </c>
      <c r="Y627" s="20">
        <v>17.200153305075101</v>
      </c>
      <c r="Z627" s="20">
        <v>25.0101050922521</v>
      </c>
      <c r="AA627" s="20">
        <v>34.301369082174297</v>
      </c>
      <c r="AB627" s="20">
        <v>44.678177495247702</v>
      </c>
      <c r="AC627" s="20">
        <v>55.440021609844401</v>
      </c>
      <c r="AD627" s="20">
        <v>65.704831473377098</v>
      </c>
      <c r="AE627" s="20">
        <v>74.677859090601302</v>
      </c>
      <c r="AF627" t="str">
        <f t="shared" si="39"/>
        <v>NonResidential</v>
      </c>
      <c r="AG627" t="str">
        <f>tbl_Data_old[[#This Row],[All_Meas_Name_Append]]</f>
        <v>Escalator Motor Efficiency Controller</v>
      </c>
      <c r="AH627">
        <f>AVERAGEIFS('3. Incentive Adjustment'!G:G,'3. Incentive Adjustment'!A:A,tbl_Data_old[[#This Row],[Trimmed Sector]],'3. Incentive Adjustment'!B:B,tbl_Data_old[[#This Row],[Trimmed Measure Name]])</f>
        <v>0.82257117184015105</v>
      </c>
      <c r="AI627">
        <f>$AH627*tbl_Data_old[[#This Row],[2025 ]]</f>
        <v>2.1340709479839202</v>
      </c>
      <c r="AJ627">
        <f>$AH627*tbl_Data_old[[#This Row],[2026 ]]</f>
        <v>5.0758597022505754</v>
      </c>
      <c r="AK627">
        <f>$AH627*tbl_Data_old[[#This Row],[2027 ]]</f>
        <v>9.0176976615403248</v>
      </c>
      <c r="AL627">
        <f>$AH627*tbl_Data_old[[#This Row],[2028 ]]</f>
        <v>14.148350259985873</v>
      </c>
      <c r="AM627">
        <f>$AH627*tbl_Data_old[[#This Row],[2029 ]]</f>
        <v>20.57259145357914</v>
      </c>
      <c r="AN627">
        <f>$AH627*tbl_Data_old[[#This Row],[2030 ]]</f>
        <v>28.215317361645639</v>
      </c>
      <c r="AO627">
        <f>$AH627*tbl_Data_old[[#This Row],[2031 ]]</f>
        <v>36.750980817948168</v>
      </c>
      <c r="AP627">
        <f>$AH627*tbl_Data_old[[#This Row],[2032 ]]</f>
        <v>45.603363542453003</v>
      </c>
      <c r="AQ627">
        <f>$AH627*tbl_Data_old[[#This Row],[2033 ]]</f>
        <v>54.046900220615441</v>
      </c>
      <c r="AR627">
        <f>$AH627*tbl_Data_old[[#This Row],[2034 ]]</f>
        <v>61.427854062669589</v>
      </c>
      <c r="AS627">
        <f>SUM(tbl_Data_old[[#This Row],[Adjusted 2025]:[Adjusted 2034]])</f>
        <v>276.99298603067166</v>
      </c>
      <c r="AT627" s="3">
        <f>AVERAGEIFS('3. Incentive Adjustment'!F:F,'3. Incentive Adjustment'!A:A,tbl_Data_old[[#This Row],[Trimmed Sector]],'3. Incentive Adjustment'!B:B,tbl_Data_old[[#This Row],[Trimmed Measure Name]])</f>
        <v>0</v>
      </c>
      <c r="AU627" s="3">
        <f>IFERROR(VLOOKUP(tbl_Data_old[[#This Row],[All_Meas_Name_Append]],'IRA Tax Credits'!$A$3:$D$46,4,0),0)</f>
        <v>0</v>
      </c>
      <c r="AV627" s="4">
        <f>tbl_Data_old[[#This Row],[Adj. per unit Incentive ($)]]/tbl_Data_old[[#This Row],[kWh Savings]]*tbl_Data_old[[#This Row],[Sum of Annuals]]</f>
        <v>0</v>
      </c>
      <c r="AW627" s="4" t="str">
        <f>IFERROR(VLOOKUP(tbl_Data_old[[#This Row],[All_Programs]],'1. Set Program Names'!$B$2:$D$15,3,0)*tbl_Data_old[[#This Row],[Sum of Annuals]],"")</f>
        <v/>
      </c>
      <c r="AX627" s="4">
        <f>tbl_Data_old[[#This Row],[per unit IRA tax ($)]]/tbl_Data_old[[#This Row],[kWh Savings]]*tbl_Data_old[[#This Row],[Sum of Annuals]]</f>
        <v>0</v>
      </c>
      <c r="AY627" s="4">
        <f>tbl_Data_old[[#This Row],[Avoided Costs ($/unit)]]/tbl_Data_old[[#This Row],[kWh Savings]]*tbl_Data_old[[#This Row],[Sum of Annuals]]</f>
        <v>119.866880305721</v>
      </c>
      <c r="AZ627" s="4">
        <f>tbl_Data_old[[#This Row],[Lost Revenue ($/unit)]]/tbl_Data_old[[#This Row],[kWh Savings]]*tbl_Data_old[[#This Row],[Sum of Annuals]]</f>
        <v>300.84764137386259</v>
      </c>
      <c r="BA627" s="4">
        <f>tbl_Data_old[[#This Row],[Incremental Cost ($/unit)]]/tbl_Data_old[[#This Row],[kWh Savings]]*tbl_Data_old[[#This Row],[Sum of Annuals]]</f>
        <v>77.484171292313221</v>
      </c>
      <c r="BB627">
        <f>ROUNDUP(tbl_Data_old[[#This Row],[Adjusted 2025]]/$L627,0)</f>
        <v>1</v>
      </c>
      <c r="BC627">
        <f>ROUNDUP(tbl_Data_old[[#This Row],[Adjusted 2026]]/$L627,0)</f>
        <v>1</v>
      </c>
      <c r="BD627">
        <f>ROUNDUP(tbl_Data_old[[#This Row],[Adjusted 2027]]/$L627,0)</f>
        <v>1</v>
      </c>
      <c r="BE627">
        <f>ROUNDUP(tbl_Data_old[[#This Row],[Adjusted 2028]]/$L627,0)</f>
        <v>1</v>
      </c>
      <c r="BF627">
        <f>ROUNDUP(tbl_Data_old[[#This Row],[Adjusted 2029]]/$L627,0)</f>
        <v>1</v>
      </c>
      <c r="BG627">
        <f>ROUNDUP(tbl_Data_old[[#This Row],[Adjusted 2030]]/$L627,0)</f>
        <v>1</v>
      </c>
      <c r="BH627">
        <f>ROUNDUP(tbl_Data_old[[#This Row],[Adjusted 2031]]/$L627,0)</f>
        <v>1</v>
      </c>
      <c r="BI627">
        <f>ROUNDUP(tbl_Data_old[[#This Row],[Adjusted 2032]]/$L627,0)</f>
        <v>1</v>
      </c>
      <c r="BJ627">
        <f>ROUNDUP(tbl_Data_old[[#This Row],[Adjusted 2033]]/$L627,0)</f>
        <v>1</v>
      </c>
      <c r="BK627">
        <f>ROUNDUP(tbl_Data_old[[#This Row],[Adjusted 2034]]/$L627,0)</f>
        <v>1</v>
      </c>
      <c r="BL627" s="3">
        <f t="shared" si="42"/>
        <v>0</v>
      </c>
      <c r="BM627" s="3">
        <f t="shared" si="42"/>
        <v>0</v>
      </c>
      <c r="BN627" s="3">
        <f t="shared" si="42"/>
        <v>0</v>
      </c>
      <c r="BO627" s="3">
        <f t="shared" si="42"/>
        <v>0</v>
      </c>
      <c r="BP627" s="3">
        <f t="shared" si="42"/>
        <v>0</v>
      </c>
      <c r="BQ627" s="3">
        <f t="shared" si="42"/>
        <v>0</v>
      </c>
      <c r="BR627" s="3">
        <f t="shared" si="42"/>
        <v>0</v>
      </c>
      <c r="BS627" s="3">
        <f t="shared" si="42"/>
        <v>0</v>
      </c>
      <c r="BT627" s="3">
        <f t="shared" si="42"/>
        <v>0</v>
      </c>
      <c r="BU627" s="3">
        <f t="shared" si="42"/>
        <v>0</v>
      </c>
      <c r="BV627" t="e">
        <f>VLOOKUP($H627,'1. Set Program Names'!$B$2:$D$15,3,0)*V627</f>
        <v>#N/A</v>
      </c>
      <c r="BW627" t="e">
        <f>VLOOKUP($H627,'1. Set Program Names'!$B$2:$D$15,3,0)*W627</f>
        <v>#N/A</v>
      </c>
      <c r="BX627" t="e">
        <f>VLOOKUP($H627,'1. Set Program Names'!$B$2:$D$15,3,0)*X627</f>
        <v>#N/A</v>
      </c>
      <c r="BY627" t="e">
        <f>VLOOKUP($H627,'1. Set Program Names'!$B$2:$D$15,3,0)*Y627</f>
        <v>#N/A</v>
      </c>
      <c r="BZ627" t="e">
        <f>VLOOKUP($H627,'1. Set Program Names'!$B$2:$D$15,3,0)*Z627</f>
        <v>#N/A</v>
      </c>
      <c r="CA627" t="e">
        <f>VLOOKUP($H627,'1. Set Program Names'!$B$2:$D$15,3,0)*AA627</f>
        <v>#N/A</v>
      </c>
      <c r="CB627" t="e">
        <f>VLOOKUP($H627,'1. Set Program Names'!$B$2:$D$15,3,0)*AB627</f>
        <v>#N/A</v>
      </c>
      <c r="CC627" t="e">
        <f>VLOOKUP($H627,'1. Set Program Names'!$B$2:$D$15,3,0)*AC627</f>
        <v>#N/A</v>
      </c>
      <c r="CD627" t="e">
        <f>VLOOKUP($H627,'1. Set Program Names'!$B$2:$D$15,3,0)*AD627</f>
        <v>#N/A</v>
      </c>
      <c r="CE627" t="e">
        <f>VLOOKUP($H627,'1. Set Program Names'!$B$2:$D$15,3,0)*AE627</f>
        <v>#N/A</v>
      </c>
    </row>
    <row r="628" spans="1:83" x14ac:dyDescent="0.25">
      <c r="A628" s="20" t="s">
        <v>115</v>
      </c>
      <c r="B628" s="20" t="s">
        <v>88</v>
      </c>
      <c r="C628" s="20" t="s">
        <v>122</v>
      </c>
      <c r="D628" s="20" t="s">
        <v>90</v>
      </c>
      <c r="E628" s="20" t="s">
        <v>91</v>
      </c>
      <c r="F628" s="20" t="s">
        <v>90</v>
      </c>
      <c r="G628" s="20" t="s">
        <v>92</v>
      </c>
      <c r="H628" s="20" t="s">
        <v>268</v>
      </c>
      <c r="I628" s="20" t="s">
        <v>175</v>
      </c>
      <c r="J628" s="20" t="s">
        <v>144</v>
      </c>
      <c r="K628" s="20" t="s">
        <v>98</v>
      </c>
      <c r="L628" s="20">
        <v>264.02999999999997</v>
      </c>
      <c r="M628" s="20">
        <v>4.1428427039389301E-2</v>
      </c>
      <c r="N628" s="20">
        <v>6.1740637590561503E-2</v>
      </c>
      <c r="O628" s="20">
        <v>74.16</v>
      </c>
      <c r="P628" s="20">
        <v>19.8471936238772</v>
      </c>
      <c r="Q628" s="20">
        <v>0.26402999999999999</v>
      </c>
      <c r="R628" s="20">
        <v>106.11574944735899</v>
      </c>
      <c r="S628" s="20">
        <v>217.179512566509</v>
      </c>
      <c r="T628" s="20">
        <v>10</v>
      </c>
      <c r="U628" s="20">
        <v>1</v>
      </c>
      <c r="V628" s="20">
        <v>1.5440019750201199</v>
      </c>
      <c r="W628" s="20">
        <v>3.66322068941678</v>
      </c>
      <c r="X628" s="20">
        <v>6.48418540241319</v>
      </c>
      <c r="Y628" s="20">
        <v>10.1246452668359</v>
      </c>
      <c r="Z628" s="20">
        <v>14.6353422383436</v>
      </c>
      <c r="AA628" s="20">
        <v>19.932073452780902</v>
      </c>
      <c r="AB628" s="20">
        <v>25.754902346361</v>
      </c>
      <c r="AC628" s="20">
        <v>31.679124520796599</v>
      </c>
      <c r="AD628" s="20">
        <v>37.196705538890399</v>
      </c>
      <c r="AE628" s="20">
        <v>41.881800811249299</v>
      </c>
      <c r="AF628" t="str">
        <f t="shared" si="39"/>
        <v>NonResidential</v>
      </c>
      <c r="AG628" t="str">
        <f>tbl_Data_old[[#This Row],[All_Meas_Name_Append]]</f>
        <v>Faucet Aerator</v>
      </c>
      <c r="AH628">
        <f>AVERAGEIFS('3. Incentive Adjustment'!G:G,'3. Incentive Adjustment'!A:A,tbl_Data_old[[#This Row],[Trimmed Sector]],'3. Incentive Adjustment'!B:B,tbl_Data_old[[#This Row],[Trimmed Measure Name]])</f>
        <v>0.82009235606746977</v>
      </c>
      <c r="AI628">
        <f>$AH628*tbl_Data_old[[#This Row],[2025 ]]</f>
        <v>1.2662242174670768</v>
      </c>
      <c r="AJ628">
        <f>$AH628*tbl_Data_old[[#This Row],[2026 ]]</f>
        <v>3.0041792859789083</v>
      </c>
      <c r="AK628">
        <f>$AH628*tbl_Data_old[[#This Row],[2027 ]]</f>
        <v>5.3176308838433277</v>
      </c>
      <c r="AL628">
        <f>$AH628*tbl_Data_old[[#This Row],[2028 ]]</f>
        <v>8.30314419122681</v>
      </c>
      <c r="AM628">
        <f>$AH628*tbl_Data_old[[#This Row],[2029 ]]</f>
        <v>12.00233229809696</v>
      </c>
      <c r="AN628">
        <f>$AH628*tbl_Data_old[[#This Row],[2030 ]]</f>
        <v>16.346141079200958</v>
      </c>
      <c r="AO628">
        <f>$AH628*tbl_Data_old[[#This Row],[2031 ]]</f>
        <v>21.121398545514797</v>
      </c>
      <c r="AP628">
        <f>$AH628*tbl_Data_old[[#This Row],[2032 ]]</f>
        <v>25.979807866414838</v>
      </c>
      <c r="AQ628">
        <f>$AH628*tbl_Data_old[[#This Row],[2033 ]]</f>
        <v>30.504733883336531</v>
      </c>
      <c r="AR628">
        <f>$AH628*tbl_Data_old[[#This Row],[2034 ]]</f>
        <v>34.346944703645903</v>
      </c>
      <c r="AS628">
        <f>SUM(tbl_Data_old[[#This Row],[Adjusted 2025]:[Adjusted 2034]])</f>
        <v>158.19253695472611</v>
      </c>
      <c r="AT628" s="3">
        <f>AVERAGEIFS('3. Incentive Adjustment'!F:F,'3. Incentive Adjustment'!A:A,tbl_Data_old[[#This Row],[Trimmed Sector]],'3. Incentive Adjustment'!B:B,tbl_Data_old[[#This Row],[Trimmed Measure Name]])</f>
        <v>0</v>
      </c>
      <c r="AU628" s="3">
        <f>IFERROR(VLOOKUP(tbl_Data_old[[#This Row],[All_Meas_Name_Append]],'IRA Tax Credits'!$A$3:$D$46,4,0),0)</f>
        <v>0</v>
      </c>
      <c r="AV628" s="4">
        <f>tbl_Data_old[[#This Row],[Adj. per unit Incentive ($)]]/tbl_Data_old[[#This Row],[kWh Savings]]*tbl_Data_old[[#This Row],[Sum of Annuals]]</f>
        <v>0</v>
      </c>
      <c r="AW628" s="4" t="str">
        <f>IFERROR(VLOOKUP(tbl_Data_old[[#This Row],[All_Programs]],'1. Set Program Names'!$B$2:$D$15,3,0)*tbl_Data_old[[#This Row],[Sum of Annuals]],"")</f>
        <v/>
      </c>
      <c r="AX628" s="4">
        <f>tbl_Data_old[[#This Row],[per unit IRA tax ($)]]/tbl_Data_old[[#This Row],[kWh Savings]]*tbl_Data_old[[#This Row],[Sum of Annuals]]</f>
        <v>0</v>
      </c>
      <c r="AY628" s="4">
        <f>tbl_Data_old[[#This Row],[Avoided Costs ($/unit)]]/tbl_Data_old[[#This Row],[kWh Savings]]*tbl_Data_old[[#This Row],[Sum of Annuals]]</f>
        <v>63.578834283716986</v>
      </c>
      <c r="AZ628" s="4">
        <f>tbl_Data_old[[#This Row],[Lost Revenue ($/unit)]]/tbl_Data_old[[#This Row],[kWh Savings]]*tbl_Data_old[[#This Row],[Sum of Annuals]]</f>
        <v>130.12225151492967</v>
      </c>
      <c r="BA628" s="4">
        <f>tbl_Data_old[[#This Row],[Incremental Cost ($/unit)]]/tbl_Data_old[[#This Row],[kWh Savings]]*tbl_Data_old[[#This Row],[Sum of Annuals]]</f>
        <v>44.432672577216564</v>
      </c>
      <c r="BB628">
        <f>ROUNDUP(tbl_Data_old[[#This Row],[Adjusted 2025]]/$L628,0)</f>
        <v>1</v>
      </c>
      <c r="BC628">
        <f>ROUNDUP(tbl_Data_old[[#This Row],[Adjusted 2026]]/$L628,0)</f>
        <v>1</v>
      </c>
      <c r="BD628">
        <f>ROUNDUP(tbl_Data_old[[#This Row],[Adjusted 2027]]/$L628,0)</f>
        <v>1</v>
      </c>
      <c r="BE628">
        <f>ROUNDUP(tbl_Data_old[[#This Row],[Adjusted 2028]]/$L628,0)</f>
        <v>1</v>
      </c>
      <c r="BF628">
        <f>ROUNDUP(tbl_Data_old[[#This Row],[Adjusted 2029]]/$L628,0)</f>
        <v>1</v>
      </c>
      <c r="BG628">
        <f>ROUNDUP(tbl_Data_old[[#This Row],[Adjusted 2030]]/$L628,0)</f>
        <v>1</v>
      </c>
      <c r="BH628">
        <f>ROUNDUP(tbl_Data_old[[#This Row],[Adjusted 2031]]/$L628,0)</f>
        <v>1</v>
      </c>
      <c r="BI628">
        <f>ROUNDUP(tbl_Data_old[[#This Row],[Adjusted 2032]]/$L628,0)</f>
        <v>1</v>
      </c>
      <c r="BJ628">
        <f>ROUNDUP(tbl_Data_old[[#This Row],[Adjusted 2033]]/$L628,0)</f>
        <v>1</v>
      </c>
      <c r="BK628">
        <f>ROUNDUP(tbl_Data_old[[#This Row],[Adjusted 2034]]/$L628,0)</f>
        <v>1</v>
      </c>
      <c r="BL628" s="3">
        <f t="shared" si="42"/>
        <v>0</v>
      </c>
      <c r="BM628" s="3">
        <f t="shared" si="42"/>
        <v>0</v>
      </c>
      <c r="BN628" s="3">
        <f t="shared" si="42"/>
        <v>0</v>
      </c>
      <c r="BO628" s="3">
        <f t="shared" si="42"/>
        <v>0</v>
      </c>
      <c r="BP628" s="3">
        <f t="shared" si="42"/>
        <v>0</v>
      </c>
      <c r="BQ628" s="3">
        <f t="shared" si="42"/>
        <v>0</v>
      </c>
      <c r="BR628" s="3">
        <f t="shared" si="42"/>
        <v>0</v>
      </c>
      <c r="BS628" s="3">
        <f t="shared" si="42"/>
        <v>0</v>
      </c>
      <c r="BT628" s="3">
        <f t="shared" si="42"/>
        <v>0</v>
      </c>
      <c r="BU628" s="3">
        <f t="shared" si="42"/>
        <v>0</v>
      </c>
      <c r="BV628" t="e">
        <f>VLOOKUP($H628,'1. Set Program Names'!$B$2:$D$15,3,0)*V628</f>
        <v>#N/A</v>
      </c>
      <c r="BW628" t="e">
        <f>VLOOKUP($H628,'1. Set Program Names'!$B$2:$D$15,3,0)*W628</f>
        <v>#N/A</v>
      </c>
      <c r="BX628" t="e">
        <f>VLOOKUP($H628,'1. Set Program Names'!$B$2:$D$15,3,0)*X628</f>
        <v>#N/A</v>
      </c>
      <c r="BY628" t="e">
        <f>VLOOKUP($H628,'1. Set Program Names'!$B$2:$D$15,3,0)*Y628</f>
        <v>#N/A</v>
      </c>
      <c r="BZ628" t="e">
        <f>VLOOKUP($H628,'1. Set Program Names'!$B$2:$D$15,3,0)*Z628</f>
        <v>#N/A</v>
      </c>
      <c r="CA628" t="e">
        <f>VLOOKUP($H628,'1. Set Program Names'!$B$2:$D$15,3,0)*AA628</f>
        <v>#N/A</v>
      </c>
      <c r="CB628" t="e">
        <f>VLOOKUP($H628,'1. Set Program Names'!$B$2:$D$15,3,0)*AB628</f>
        <v>#N/A</v>
      </c>
      <c r="CC628" t="e">
        <f>VLOOKUP($H628,'1. Set Program Names'!$B$2:$D$15,3,0)*AC628</f>
        <v>#N/A</v>
      </c>
      <c r="CD628" t="e">
        <f>VLOOKUP($H628,'1. Set Program Names'!$B$2:$D$15,3,0)*AD628</f>
        <v>#N/A</v>
      </c>
      <c r="CE628" t="e">
        <f>VLOOKUP($H628,'1. Set Program Names'!$B$2:$D$15,3,0)*AE628</f>
        <v>#N/A</v>
      </c>
    </row>
    <row r="629" spans="1:83" x14ac:dyDescent="0.25">
      <c r="A629" s="20" t="s">
        <v>115</v>
      </c>
      <c r="B629" s="20" t="s">
        <v>88</v>
      </c>
      <c r="C629" s="20" t="s">
        <v>122</v>
      </c>
      <c r="D629" s="20" t="s">
        <v>90</v>
      </c>
      <c r="E629" s="20" t="s">
        <v>91</v>
      </c>
      <c r="F629" s="20" t="s">
        <v>90</v>
      </c>
      <c r="G629" s="20" t="s">
        <v>92</v>
      </c>
      <c r="H629" s="20" t="s">
        <v>268</v>
      </c>
      <c r="I629" s="20" t="s">
        <v>150</v>
      </c>
      <c r="J629" s="20" t="s">
        <v>129</v>
      </c>
      <c r="K629" s="20" t="s">
        <v>102</v>
      </c>
      <c r="L629" s="20">
        <v>56016.9549999999</v>
      </c>
      <c r="M629" s="20">
        <v>10.827112325312299</v>
      </c>
      <c r="N629" s="20">
        <v>1.3517775806744601</v>
      </c>
      <c r="O629" s="20">
        <v>17160.122499999899</v>
      </c>
      <c r="P629" s="20">
        <v>8652.3043908691998</v>
      </c>
      <c r="Q629" s="20">
        <v>56.016954999999903</v>
      </c>
      <c r="R629" s="20">
        <v>30291.5576269993</v>
      </c>
      <c r="S629" s="20">
        <v>71892.064971295098</v>
      </c>
      <c r="T629" s="20">
        <v>20</v>
      </c>
      <c r="U629" s="20">
        <v>1</v>
      </c>
      <c r="V629" s="20">
        <v>9.0563268509833801</v>
      </c>
      <c r="W629" s="20">
        <v>18.011819136970299</v>
      </c>
      <c r="X629" s="20">
        <v>26.8220910609421</v>
      </c>
      <c r="Y629" s="20">
        <v>35.496098983006199</v>
      </c>
      <c r="Z629" s="20">
        <v>44.030987933642102</v>
      </c>
      <c r="AA629" s="20">
        <v>52.415904909415197</v>
      </c>
      <c r="AB629" s="20">
        <v>60.6411463093931</v>
      </c>
      <c r="AC629" s="20">
        <v>68.713852056882502</v>
      </c>
      <c r="AD629" s="20">
        <v>76.649879602076894</v>
      </c>
      <c r="AE629" s="20">
        <v>84.447125058893207</v>
      </c>
      <c r="AF629" t="str">
        <f t="shared" si="39"/>
        <v>NonResidential</v>
      </c>
      <c r="AG629" t="str">
        <f>tbl_Data_old[[#This Row],[All_Meas_Name_Append]]</f>
        <v>Infiltration Reduction - Air Sealing</v>
      </c>
      <c r="AH629">
        <f>AVERAGEIFS('3. Incentive Adjustment'!G:G,'3. Incentive Adjustment'!A:A,tbl_Data_old[[#This Row],[Trimmed Sector]],'3. Incentive Adjustment'!B:B,tbl_Data_old[[#This Row],[Trimmed Measure Name]])</f>
        <v>0.66528306579610585</v>
      </c>
      <c r="AI629">
        <f>$AH629*tbl_Data_old[[#This Row],[2025 ]]</f>
        <v>6.0250208922738162</v>
      </c>
      <c r="AJ629">
        <f>$AH629*tbl_Data_old[[#This Row],[2026 ]]</f>
        <v>11.982958256008571</v>
      </c>
      <c r="AK629">
        <f>$AH629*tbl_Data_old[[#This Row],[2027 ]]</f>
        <v>17.844282972085885</v>
      </c>
      <c r="AL629">
        <f>$AH629*tbl_Data_old[[#This Row],[2028 ]]</f>
        <v>23.614953555216399</v>
      </c>
      <c r="AM629">
        <f>$AH629*tbl_Data_old[[#This Row],[2029 ]]</f>
        <v>29.293070642524761</v>
      </c>
      <c r="AN629">
        <f>$AH629*tbl_Data_old[[#This Row],[2030 ]]</f>
        <v>34.871413914612901</v>
      </c>
      <c r="AO629">
        <f>$AH629*tbl_Data_old[[#This Row],[2031 ]]</f>
        <v>40.343527730103254</v>
      </c>
      <c r="AP629">
        <f>$AH629*tbl_Data_old[[#This Row],[2032 ]]</f>
        <v>45.714162159062845</v>
      </c>
      <c r="AQ629">
        <f>$AH629*tbl_Data_old[[#This Row],[2033 ]]</f>
        <v>50.993866894572115</v>
      </c>
      <c r="AR629">
        <f>$AH629*tbl_Data_old[[#This Row],[2034 ]]</f>
        <v>56.181242256847625</v>
      </c>
      <c r="AS629">
        <f>SUM(tbl_Data_old[[#This Row],[Adjusted 2025]:[Adjusted 2034]])</f>
        <v>316.86449927330818</v>
      </c>
      <c r="AT629" s="3">
        <f>AVERAGEIFS('3. Incentive Adjustment'!F:F,'3. Incentive Adjustment'!A:A,tbl_Data_old[[#This Row],[Trimmed Sector]],'3. Incentive Adjustment'!B:B,tbl_Data_old[[#This Row],[Trimmed Measure Name]])</f>
        <v>0</v>
      </c>
      <c r="AU629" s="3">
        <f>IFERROR(VLOOKUP(tbl_Data_old[[#This Row],[All_Meas_Name_Append]],'IRA Tax Credits'!$A$3:$D$46,4,0),0)</f>
        <v>0</v>
      </c>
      <c r="AV629" s="4">
        <f>tbl_Data_old[[#This Row],[Adj. per unit Incentive ($)]]/tbl_Data_old[[#This Row],[kWh Savings]]*tbl_Data_old[[#This Row],[Sum of Annuals]]</f>
        <v>0</v>
      </c>
      <c r="AW629" s="4" t="str">
        <f>IFERROR(VLOOKUP(tbl_Data_old[[#This Row],[All_Programs]],'1. Set Program Names'!$B$2:$D$15,3,0)*tbl_Data_old[[#This Row],[Sum of Annuals]],"")</f>
        <v/>
      </c>
      <c r="AX629" s="4">
        <f>tbl_Data_old[[#This Row],[per unit IRA tax ($)]]/tbl_Data_old[[#This Row],[kWh Savings]]*tbl_Data_old[[#This Row],[Sum of Annuals]]</f>
        <v>0</v>
      </c>
      <c r="AY629" s="4">
        <f>tbl_Data_old[[#This Row],[Avoided Costs ($/unit)]]/tbl_Data_old[[#This Row],[kWh Savings]]*tbl_Data_old[[#This Row],[Sum of Annuals]]</f>
        <v>171.34667958455989</v>
      </c>
      <c r="AZ629" s="4">
        <f>tbl_Data_old[[#This Row],[Lost Revenue ($/unit)]]/tbl_Data_old[[#This Row],[kWh Savings]]*tbl_Data_old[[#This Row],[Sum of Annuals]]</f>
        <v>406.66336056384364</v>
      </c>
      <c r="BA629" s="4">
        <f>tbl_Data_old[[#This Row],[Incremental Cost ($/unit)]]/tbl_Data_old[[#This Row],[kWh Savings]]*tbl_Data_old[[#This Row],[Sum of Annuals]]</f>
        <v>97.067640028471871</v>
      </c>
      <c r="BB629">
        <f>ROUNDUP(tbl_Data_old[[#This Row],[Adjusted 2025]]/$L629,0)</f>
        <v>1</v>
      </c>
      <c r="BC629">
        <f>ROUNDUP(tbl_Data_old[[#This Row],[Adjusted 2026]]/$L629,0)</f>
        <v>1</v>
      </c>
      <c r="BD629">
        <f>ROUNDUP(tbl_Data_old[[#This Row],[Adjusted 2027]]/$L629,0)</f>
        <v>1</v>
      </c>
      <c r="BE629">
        <f>ROUNDUP(tbl_Data_old[[#This Row],[Adjusted 2028]]/$L629,0)</f>
        <v>1</v>
      </c>
      <c r="BF629">
        <f>ROUNDUP(tbl_Data_old[[#This Row],[Adjusted 2029]]/$L629,0)</f>
        <v>1</v>
      </c>
      <c r="BG629">
        <f>ROUNDUP(tbl_Data_old[[#This Row],[Adjusted 2030]]/$L629,0)</f>
        <v>1</v>
      </c>
      <c r="BH629">
        <f>ROUNDUP(tbl_Data_old[[#This Row],[Adjusted 2031]]/$L629,0)</f>
        <v>1</v>
      </c>
      <c r="BI629">
        <f>ROUNDUP(tbl_Data_old[[#This Row],[Adjusted 2032]]/$L629,0)</f>
        <v>1</v>
      </c>
      <c r="BJ629">
        <f>ROUNDUP(tbl_Data_old[[#This Row],[Adjusted 2033]]/$L629,0)</f>
        <v>1</v>
      </c>
      <c r="BK629">
        <f>ROUNDUP(tbl_Data_old[[#This Row],[Adjusted 2034]]/$L629,0)</f>
        <v>1</v>
      </c>
      <c r="BL629" s="3">
        <f t="shared" si="42"/>
        <v>0</v>
      </c>
      <c r="BM629" s="3">
        <f t="shared" si="42"/>
        <v>0</v>
      </c>
      <c r="BN629" s="3">
        <f t="shared" si="42"/>
        <v>0</v>
      </c>
      <c r="BO629" s="3">
        <f t="shared" si="42"/>
        <v>0</v>
      </c>
      <c r="BP629" s="3">
        <f t="shared" si="42"/>
        <v>0</v>
      </c>
      <c r="BQ629" s="3">
        <f t="shared" si="42"/>
        <v>0</v>
      </c>
      <c r="BR629" s="3">
        <f t="shared" si="42"/>
        <v>0</v>
      </c>
      <c r="BS629" s="3">
        <f t="shared" si="42"/>
        <v>0</v>
      </c>
      <c r="BT629" s="3">
        <f t="shared" si="42"/>
        <v>0</v>
      </c>
      <c r="BU629" s="3">
        <f t="shared" si="42"/>
        <v>0</v>
      </c>
      <c r="BV629" t="e">
        <f>VLOOKUP($H629,'1. Set Program Names'!$B$2:$D$15,3,0)*V629</f>
        <v>#N/A</v>
      </c>
      <c r="BW629" t="e">
        <f>VLOOKUP($H629,'1. Set Program Names'!$B$2:$D$15,3,0)*W629</f>
        <v>#N/A</v>
      </c>
      <c r="BX629" t="e">
        <f>VLOOKUP($H629,'1. Set Program Names'!$B$2:$D$15,3,0)*X629</f>
        <v>#N/A</v>
      </c>
      <c r="BY629" t="e">
        <f>VLOOKUP($H629,'1. Set Program Names'!$B$2:$D$15,3,0)*Y629</f>
        <v>#N/A</v>
      </c>
      <c r="BZ629" t="e">
        <f>VLOOKUP($H629,'1. Set Program Names'!$B$2:$D$15,3,0)*Z629</f>
        <v>#N/A</v>
      </c>
      <c r="CA629" t="e">
        <f>VLOOKUP($H629,'1. Set Program Names'!$B$2:$D$15,3,0)*AA629</f>
        <v>#N/A</v>
      </c>
      <c r="CB629" t="e">
        <f>VLOOKUP($H629,'1. Set Program Names'!$B$2:$D$15,3,0)*AB629</f>
        <v>#N/A</v>
      </c>
      <c r="CC629" t="e">
        <f>VLOOKUP($H629,'1. Set Program Names'!$B$2:$D$15,3,0)*AC629</f>
        <v>#N/A</v>
      </c>
      <c r="CD629" t="e">
        <f>VLOOKUP($H629,'1. Set Program Names'!$B$2:$D$15,3,0)*AD629</f>
        <v>#N/A</v>
      </c>
      <c r="CE629" t="e">
        <f>VLOOKUP($H629,'1. Set Program Names'!$B$2:$D$15,3,0)*AE629</f>
        <v>#N/A</v>
      </c>
    </row>
    <row r="630" spans="1:83" x14ac:dyDescent="0.25">
      <c r="A630" s="20" t="s">
        <v>115</v>
      </c>
      <c r="B630" s="20" t="s">
        <v>88</v>
      </c>
      <c r="C630" s="20" t="s">
        <v>122</v>
      </c>
      <c r="D630" s="20" t="s">
        <v>90</v>
      </c>
      <c r="E630" s="20" t="s">
        <v>91</v>
      </c>
      <c r="F630" s="20" t="s">
        <v>90</v>
      </c>
      <c r="G630" s="20" t="s">
        <v>92</v>
      </c>
      <c r="H630" s="20" t="s">
        <v>268</v>
      </c>
      <c r="I630" s="20" t="s">
        <v>269</v>
      </c>
      <c r="J630" s="20" t="s">
        <v>144</v>
      </c>
      <c r="K630" s="20" t="s">
        <v>98</v>
      </c>
      <c r="L630" s="20">
        <v>114.663333333333</v>
      </c>
      <c r="M630" s="20">
        <v>9.9293177507311006E-3</v>
      </c>
      <c r="N630" s="20">
        <v>1.6498275913899602E-2</v>
      </c>
      <c r="O630" s="20">
        <v>32.906666666666602</v>
      </c>
      <c r="P630" s="20">
        <v>12.4845629759592</v>
      </c>
      <c r="Q630" s="20">
        <v>0.11466333333333301</v>
      </c>
      <c r="R630" s="20">
        <v>37.313940517924799</v>
      </c>
      <c r="S630" s="20">
        <v>94.317035346682403</v>
      </c>
      <c r="T630" s="20">
        <v>10</v>
      </c>
      <c r="U630" s="20">
        <v>1</v>
      </c>
      <c r="V630" s="20">
        <v>1.5197081248850599</v>
      </c>
      <c r="W630" s="20">
        <v>3.6055823341036901</v>
      </c>
      <c r="X630" s="20">
        <v>6.3821610326502496</v>
      </c>
      <c r="Y630" s="20">
        <v>9.9653406682910504</v>
      </c>
      <c r="Z630" s="20">
        <v>14.4050648055644</v>
      </c>
      <c r="AA630" s="20">
        <v>19.618455456705099</v>
      </c>
      <c r="AB630" s="20">
        <v>25.349665987879298</v>
      </c>
      <c r="AC630" s="20">
        <v>31.180674443679301</v>
      </c>
      <c r="AD630" s="20">
        <v>36.611439972848601</v>
      </c>
      <c r="AE630" s="20">
        <v>41.222818369027003</v>
      </c>
      <c r="AF630" t="str">
        <f t="shared" si="39"/>
        <v>NonResidential</v>
      </c>
      <c r="AG630" t="str">
        <f>tbl_Data_old[[#This Row],[All_Meas_Name_Append]]</f>
        <v>Low Flow Shower Head</v>
      </c>
      <c r="AH630">
        <f>AVERAGEIFS('3. Incentive Adjustment'!G:G,'3. Incentive Adjustment'!A:A,tbl_Data_old[[#This Row],[Trimmed Sector]],'3. Incentive Adjustment'!B:B,tbl_Data_old[[#This Row],[Trimmed Measure Name]])</f>
        <v>0.75029954061989002</v>
      </c>
      <c r="AI630">
        <f>$AH630*tbl_Data_old[[#This Row],[2025 ]]</f>
        <v>1.1402363079775748</v>
      </c>
      <c r="AJ630">
        <f>$AH630*tbl_Data_old[[#This Row],[2026 ]]</f>
        <v>2.7052667689451897</v>
      </c>
      <c r="AK630">
        <f>$AH630*tbl_Data_old[[#This Row],[2027 ]]</f>
        <v>4.7885324909596454</v>
      </c>
      <c r="AL630">
        <f>$AH630*tbl_Data_old[[#This Row],[2028 ]]</f>
        <v>7.4769905255394828</v>
      </c>
      <c r="AM630">
        <f>$AH630*tbl_Data_old[[#This Row],[2029 ]]</f>
        <v>10.808113506214715</v>
      </c>
      <c r="AN630">
        <f>$AH630*tbl_Data_old[[#This Row],[2030 ]]</f>
        <v>14.71971811683761</v>
      </c>
      <c r="AO630">
        <f>$AH630*tbl_Data_old[[#This Row],[2031 ]]</f>
        <v>19.019842745573488</v>
      </c>
      <c r="AP630">
        <f>$AH630*tbl_Data_old[[#This Row],[2032 ]]</f>
        <v>23.394845711310925</v>
      </c>
      <c r="AQ630">
        <f>$AH630*tbl_Data_old[[#This Row],[2033 ]]</f>
        <v>27.469546593060983</v>
      </c>
      <c r="AR630">
        <f>$AH630*tbl_Data_old[[#This Row],[2034 ]]</f>
        <v>30.929461685338126</v>
      </c>
      <c r="AS630">
        <f>SUM(tbl_Data_old[[#This Row],[Adjusted 2025]:[Adjusted 2034]])</f>
        <v>142.45255445175775</v>
      </c>
      <c r="AT630" s="3">
        <f>AVERAGEIFS('3. Incentive Adjustment'!F:F,'3. Incentive Adjustment'!A:A,tbl_Data_old[[#This Row],[Trimmed Sector]],'3. Incentive Adjustment'!B:B,tbl_Data_old[[#This Row],[Trimmed Measure Name]])</f>
        <v>0</v>
      </c>
      <c r="AU630" s="3">
        <f>IFERROR(VLOOKUP(tbl_Data_old[[#This Row],[All_Meas_Name_Append]],'IRA Tax Credits'!$A$3:$D$46,4,0),0)</f>
        <v>0</v>
      </c>
      <c r="AV630" s="4">
        <f>tbl_Data_old[[#This Row],[Adj. per unit Incentive ($)]]/tbl_Data_old[[#This Row],[kWh Savings]]*tbl_Data_old[[#This Row],[Sum of Annuals]]</f>
        <v>0</v>
      </c>
      <c r="AW630" s="4" t="str">
        <f>IFERROR(VLOOKUP(tbl_Data_old[[#This Row],[All_Programs]],'1. Set Program Names'!$B$2:$D$15,3,0)*tbl_Data_old[[#This Row],[Sum of Annuals]],"")</f>
        <v/>
      </c>
      <c r="AX630" s="4">
        <f>tbl_Data_old[[#This Row],[per unit IRA tax ($)]]/tbl_Data_old[[#This Row],[kWh Savings]]*tbl_Data_old[[#This Row],[Sum of Annuals]]</f>
        <v>0</v>
      </c>
      <c r="AY630" s="4">
        <f>tbl_Data_old[[#This Row],[Avoided Costs ($/unit)]]/tbl_Data_old[[#This Row],[kWh Savings]]*tbl_Data_old[[#This Row],[Sum of Annuals]]</f>
        <v>46.357156982232169</v>
      </c>
      <c r="AZ630" s="4">
        <f>tbl_Data_old[[#This Row],[Lost Revenue ($/unit)]]/tbl_Data_old[[#This Row],[kWh Savings]]*tbl_Data_old[[#This Row],[Sum of Annuals]]</f>
        <v>117.1752313740371</v>
      </c>
      <c r="BA630" s="4">
        <f>tbl_Data_old[[#This Row],[Incremental Cost ($/unit)]]/tbl_Data_old[[#This Row],[kWh Savings]]*tbl_Data_old[[#This Row],[Sum of Annuals]]</f>
        <v>40.881758700769034</v>
      </c>
      <c r="BB630">
        <f>ROUNDUP(tbl_Data_old[[#This Row],[Adjusted 2025]]/$L630,0)</f>
        <v>1</v>
      </c>
      <c r="BC630">
        <f>ROUNDUP(tbl_Data_old[[#This Row],[Adjusted 2026]]/$L630,0)</f>
        <v>1</v>
      </c>
      <c r="BD630">
        <f>ROUNDUP(tbl_Data_old[[#This Row],[Adjusted 2027]]/$L630,0)</f>
        <v>1</v>
      </c>
      <c r="BE630">
        <f>ROUNDUP(tbl_Data_old[[#This Row],[Adjusted 2028]]/$L630,0)</f>
        <v>1</v>
      </c>
      <c r="BF630">
        <f>ROUNDUP(tbl_Data_old[[#This Row],[Adjusted 2029]]/$L630,0)</f>
        <v>1</v>
      </c>
      <c r="BG630">
        <f>ROUNDUP(tbl_Data_old[[#This Row],[Adjusted 2030]]/$L630,0)</f>
        <v>1</v>
      </c>
      <c r="BH630">
        <f>ROUNDUP(tbl_Data_old[[#This Row],[Adjusted 2031]]/$L630,0)</f>
        <v>1</v>
      </c>
      <c r="BI630">
        <f>ROUNDUP(tbl_Data_old[[#This Row],[Adjusted 2032]]/$L630,0)</f>
        <v>1</v>
      </c>
      <c r="BJ630">
        <f>ROUNDUP(tbl_Data_old[[#This Row],[Adjusted 2033]]/$L630,0)</f>
        <v>1</v>
      </c>
      <c r="BK630">
        <f>ROUNDUP(tbl_Data_old[[#This Row],[Adjusted 2034]]/$L630,0)</f>
        <v>1</v>
      </c>
      <c r="BL630" s="3">
        <f t="shared" si="42"/>
        <v>0</v>
      </c>
      <c r="BM630" s="3">
        <f t="shared" si="42"/>
        <v>0</v>
      </c>
      <c r="BN630" s="3">
        <f t="shared" si="42"/>
        <v>0</v>
      </c>
      <c r="BO630" s="3">
        <f t="shared" si="42"/>
        <v>0</v>
      </c>
      <c r="BP630" s="3">
        <f t="shared" si="42"/>
        <v>0</v>
      </c>
      <c r="BQ630" s="3">
        <f t="shared" si="42"/>
        <v>0</v>
      </c>
      <c r="BR630" s="3">
        <f t="shared" si="42"/>
        <v>0</v>
      </c>
      <c r="BS630" s="3">
        <f t="shared" si="42"/>
        <v>0</v>
      </c>
      <c r="BT630" s="3">
        <f t="shared" si="42"/>
        <v>0</v>
      </c>
      <c r="BU630" s="3">
        <f t="shared" si="42"/>
        <v>0</v>
      </c>
      <c r="BV630" t="e">
        <f>VLOOKUP($H630,'1. Set Program Names'!$B$2:$D$15,3,0)*V630</f>
        <v>#N/A</v>
      </c>
      <c r="BW630" t="e">
        <f>VLOOKUP($H630,'1. Set Program Names'!$B$2:$D$15,3,0)*W630</f>
        <v>#N/A</v>
      </c>
      <c r="BX630" t="e">
        <f>VLOOKUP($H630,'1. Set Program Names'!$B$2:$D$15,3,0)*X630</f>
        <v>#N/A</v>
      </c>
      <c r="BY630" t="e">
        <f>VLOOKUP($H630,'1. Set Program Names'!$B$2:$D$15,3,0)*Y630</f>
        <v>#N/A</v>
      </c>
      <c r="BZ630" t="e">
        <f>VLOOKUP($H630,'1. Set Program Names'!$B$2:$D$15,3,0)*Z630</f>
        <v>#N/A</v>
      </c>
      <c r="CA630" t="e">
        <f>VLOOKUP($H630,'1. Set Program Names'!$B$2:$D$15,3,0)*AA630</f>
        <v>#N/A</v>
      </c>
      <c r="CB630" t="e">
        <f>VLOOKUP($H630,'1. Set Program Names'!$B$2:$D$15,3,0)*AB630</f>
        <v>#N/A</v>
      </c>
      <c r="CC630" t="e">
        <f>VLOOKUP($H630,'1. Set Program Names'!$B$2:$D$15,3,0)*AC630</f>
        <v>#N/A</v>
      </c>
      <c r="CD630" t="e">
        <f>VLOOKUP($H630,'1. Set Program Names'!$B$2:$D$15,3,0)*AD630</f>
        <v>#N/A</v>
      </c>
      <c r="CE630" t="e">
        <f>VLOOKUP($H630,'1. Set Program Names'!$B$2:$D$15,3,0)*AE630</f>
        <v>#N/A</v>
      </c>
    </row>
    <row r="631" spans="1:83" x14ac:dyDescent="0.25">
      <c r="A631" s="20" t="s">
        <v>115</v>
      </c>
      <c r="B631" s="20" t="s">
        <v>88</v>
      </c>
      <c r="C631" s="20" t="s">
        <v>122</v>
      </c>
      <c r="D631" s="20" t="s">
        <v>90</v>
      </c>
      <c r="E631" s="20" t="s">
        <v>91</v>
      </c>
      <c r="F631" s="20" t="s">
        <v>90</v>
      </c>
      <c r="G631" s="20" t="s">
        <v>92</v>
      </c>
      <c r="H631" s="20" t="s">
        <v>268</v>
      </c>
      <c r="I631" s="20" t="s">
        <v>151</v>
      </c>
      <c r="J631" s="20" t="s">
        <v>137</v>
      </c>
      <c r="K631" s="20" t="s">
        <v>152</v>
      </c>
      <c r="L631" s="20">
        <v>746</v>
      </c>
      <c r="M631" s="20">
        <v>0.118390986607413</v>
      </c>
      <c r="N631" s="20">
        <v>0.122042488273403</v>
      </c>
      <c r="O631" s="20">
        <v>233.28</v>
      </c>
      <c r="P631" s="20">
        <v>79.822614261305304</v>
      </c>
      <c r="Q631" s="20">
        <v>0.746</v>
      </c>
      <c r="R631" s="20">
        <v>287.47532526616499</v>
      </c>
      <c r="S631" s="20">
        <v>613.62692260203801</v>
      </c>
      <c r="T631" s="20">
        <v>10</v>
      </c>
      <c r="U631" s="20">
        <v>1</v>
      </c>
      <c r="V631" s="20">
        <v>3.7860818242195502</v>
      </c>
      <c r="W631" s="20">
        <v>8.3099666087040394</v>
      </c>
      <c r="X631" s="20">
        <v>13.6249727377574</v>
      </c>
      <c r="Y631" s="20">
        <v>19.805035519749001</v>
      </c>
      <c r="Z631" s="20">
        <v>26.911741029762499</v>
      </c>
      <c r="AA631" s="20">
        <v>34.981552098279302</v>
      </c>
      <c r="AB631" s="20">
        <v>44.038518905786503</v>
      </c>
      <c r="AC631" s="20">
        <v>54.107463319001297</v>
      </c>
      <c r="AD631" s="20">
        <v>65.197656694132604</v>
      </c>
      <c r="AE631" s="20">
        <v>77.295542180774007</v>
      </c>
      <c r="AF631" t="str">
        <f t="shared" si="39"/>
        <v>NonResidential</v>
      </c>
      <c r="AG631" t="str">
        <f>tbl_Data_old[[#This Row],[All_Meas_Name_Append]]</f>
        <v>Ozone Laundry Commercial</v>
      </c>
      <c r="AH631">
        <f>AVERAGEIFS('3. Incentive Adjustment'!G:G,'3. Incentive Adjustment'!A:A,tbl_Data_old[[#This Row],[Trimmed Sector]],'3. Incentive Adjustment'!B:B,tbl_Data_old[[#This Row],[Trimmed Measure Name]])</f>
        <v>0.75402928491932286</v>
      </c>
      <c r="AI631">
        <f>$AH631*tbl_Data_old[[#This Row],[2025 ]]</f>
        <v>2.854816570562313</v>
      </c>
      <c r="AJ631">
        <f>$AH631*tbl_Data_old[[#This Row],[2026 ]]</f>
        <v>6.2659581796645574</v>
      </c>
      <c r="AK631">
        <f>$AH631*tbl_Data_old[[#This Row],[2027 ]]</f>
        <v>10.273628450496481</v>
      </c>
      <c r="AL631">
        <f>$AH631*tbl_Data_old[[#This Row],[2028 ]]</f>
        <v>14.93357677075813</v>
      </c>
      <c r="AM631">
        <f>$AH631*tbl_Data_old[[#This Row],[2029 ]]</f>
        <v>20.292240844605818</v>
      </c>
      <c r="AN631">
        <f>$AH631*tbl_Data_old[[#This Row],[2030 ]]</f>
        <v>26.377114714033581</v>
      </c>
      <c r="AO631">
        <f>$AH631*tbl_Data_old[[#This Row],[2031 ]]</f>
        <v>33.206332919436278</v>
      </c>
      <c r="AP631">
        <f>$AH631*tbl_Data_old[[#This Row],[2032 ]]</f>
        <v>40.798611875225042</v>
      </c>
      <c r="AQ631">
        <f>$AH631*tbl_Data_old[[#This Row],[2033 ]]</f>
        <v>49.160942455492311</v>
      </c>
      <c r="AR631">
        <f>$AH631*tbl_Data_old[[#This Row],[2034 ]]</f>
        <v>58.283102398020382</v>
      </c>
      <c r="AS631">
        <f>SUM(tbl_Data_old[[#This Row],[Adjusted 2025]:[Adjusted 2034]])</f>
        <v>262.4463251782949</v>
      </c>
      <c r="AT631" s="3">
        <f>AVERAGEIFS('3. Incentive Adjustment'!F:F,'3. Incentive Adjustment'!A:A,tbl_Data_old[[#This Row],[Trimmed Sector]],'3. Incentive Adjustment'!B:B,tbl_Data_old[[#This Row],[Trimmed Measure Name]])</f>
        <v>0</v>
      </c>
      <c r="AU631" s="3">
        <f>IFERROR(VLOOKUP(tbl_Data_old[[#This Row],[All_Meas_Name_Append]],'IRA Tax Credits'!$A$3:$D$46,4,0),0)</f>
        <v>0</v>
      </c>
      <c r="AV631" s="4">
        <f>tbl_Data_old[[#This Row],[Adj. per unit Incentive ($)]]/tbl_Data_old[[#This Row],[kWh Savings]]*tbl_Data_old[[#This Row],[Sum of Annuals]]</f>
        <v>0</v>
      </c>
      <c r="AW631" s="4" t="str">
        <f>IFERROR(VLOOKUP(tbl_Data_old[[#This Row],[All_Programs]],'1. Set Program Names'!$B$2:$D$15,3,0)*tbl_Data_old[[#This Row],[Sum of Annuals]],"")</f>
        <v/>
      </c>
      <c r="AX631" s="4">
        <f>tbl_Data_old[[#This Row],[per unit IRA tax ($)]]/tbl_Data_old[[#This Row],[kWh Savings]]*tbl_Data_old[[#This Row],[Sum of Annuals]]</f>
        <v>0</v>
      </c>
      <c r="AY631" s="4">
        <f>tbl_Data_old[[#This Row],[Avoided Costs ($/unit)]]/tbl_Data_old[[#This Row],[kWh Savings]]*tbl_Data_old[[#This Row],[Sum of Annuals]]</f>
        <v>101.13517787605902</v>
      </c>
      <c r="AZ631" s="4">
        <f>tbl_Data_old[[#This Row],[Lost Revenue ($/unit)]]/tbl_Data_old[[#This Row],[kWh Savings]]*tbl_Data_old[[#This Row],[Sum of Annuals]]</f>
        <v>215.87685102864728</v>
      </c>
      <c r="BA631" s="4">
        <f>tbl_Data_old[[#This Row],[Incremental Cost ($/unit)]]/tbl_Data_old[[#This Row],[kWh Savings]]*tbl_Data_old[[#This Row],[Sum of Annuals]]</f>
        <v>82.069006350660374</v>
      </c>
      <c r="BB631">
        <f>ROUNDUP(tbl_Data_old[[#This Row],[Adjusted 2025]]/$L631,0)</f>
        <v>1</v>
      </c>
      <c r="BC631">
        <f>ROUNDUP(tbl_Data_old[[#This Row],[Adjusted 2026]]/$L631,0)</f>
        <v>1</v>
      </c>
      <c r="BD631">
        <f>ROUNDUP(tbl_Data_old[[#This Row],[Adjusted 2027]]/$L631,0)</f>
        <v>1</v>
      </c>
      <c r="BE631">
        <f>ROUNDUP(tbl_Data_old[[#This Row],[Adjusted 2028]]/$L631,0)</f>
        <v>1</v>
      </c>
      <c r="BF631">
        <f>ROUNDUP(tbl_Data_old[[#This Row],[Adjusted 2029]]/$L631,0)</f>
        <v>1</v>
      </c>
      <c r="BG631">
        <f>ROUNDUP(tbl_Data_old[[#This Row],[Adjusted 2030]]/$L631,0)</f>
        <v>1</v>
      </c>
      <c r="BH631">
        <f>ROUNDUP(tbl_Data_old[[#This Row],[Adjusted 2031]]/$L631,0)</f>
        <v>1</v>
      </c>
      <c r="BI631">
        <f>ROUNDUP(tbl_Data_old[[#This Row],[Adjusted 2032]]/$L631,0)</f>
        <v>1</v>
      </c>
      <c r="BJ631">
        <f>ROUNDUP(tbl_Data_old[[#This Row],[Adjusted 2033]]/$L631,0)</f>
        <v>1</v>
      </c>
      <c r="BK631">
        <f>ROUNDUP(tbl_Data_old[[#This Row],[Adjusted 2034]]/$L631,0)</f>
        <v>1</v>
      </c>
      <c r="BL631" s="3">
        <f t="shared" si="42"/>
        <v>0</v>
      </c>
      <c r="BM631" s="3">
        <f t="shared" si="42"/>
        <v>0</v>
      </c>
      <c r="BN631" s="3">
        <f t="shared" si="42"/>
        <v>0</v>
      </c>
      <c r="BO631" s="3">
        <f t="shared" si="42"/>
        <v>0</v>
      </c>
      <c r="BP631" s="3">
        <f t="shared" si="42"/>
        <v>0</v>
      </c>
      <c r="BQ631" s="3">
        <f t="shared" si="42"/>
        <v>0</v>
      </c>
      <c r="BR631" s="3">
        <f t="shared" si="42"/>
        <v>0</v>
      </c>
      <c r="BS631" s="3">
        <f t="shared" si="42"/>
        <v>0</v>
      </c>
      <c r="BT631" s="3">
        <f t="shared" si="42"/>
        <v>0</v>
      </c>
      <c r="BU631" s="3">
        <f t="shared" si="42"/>
        <v>0</v>
      </c>
      <c r="BV631" t="e">
        <f>VLOOKUP($H631,'1. Set Program Names'!$B$2:$D$15,3,0)*V631</f>
        <v>#N/A</v>
      </c>
      <c r="BW631" t="e">
        <f>VLOOKUP($H631,'1. Set Program Names'!$B$2:$D$15,3,0)*W631</f>
        <v>#N/A</v>
      </c>
      <c r="BX631" t="e">
        <f>VLOOKUP($H631,'1. Set Program Names'!$B$2:$D$15,3,0)*X631</f>
        <v>#N/A</v>
      </c>
      <c r="BY631" t="e">
        <f>VLOOKUP($H631,'1. Set Program Names'!$B$2:$D$15,3,0)*Y631</f>
        <v>#N/A</v>
      </c>
      <c r="BZ631" t="e">
        <f>VLOOKUP($H631,'1. Set Program Names'!$B$2:$D$15,3,0)*Z631</f>
        <v>#N/A</v>
      </c>
      <c r="CA631" t="e">
        <f>VLOOKUP($H631,'1. Set Program Names'!$B$2:$D$15,3,0)*AA631</f>
        <v>#N/A</v>
      </c>
      <c r="CB631" t="e">
        <f>VLOOKUP($H631,'1. Set Program Names'!$B$2:$D$15,3,0)*AB631</f>
        <v>#N/A</v>
      </c>
      <c r="CC631" t="e">
        <f>VLOOKUP($H631,'1. Set Program Names'!$B$2:$D$15,3,0)*AC631</f>
        <v>#N/A</v>
      </c>
      <c r="CD631" t="e">
        <f>VLOOKUP($H631,'1. Set Program Names'!$B$2:$D$15,3,0)*AD631</f>
        <v>#N/A</v>
      </c>
      <c r="CE631" t="e">
        <f>VLOOKUP($H631,'1. Set Program Names'!$B$2:$D$15,3,0)*AE631</f>
        <v>#N/A</v>
      </c>
    </row>
    <row r="632" spans="1:83" x14ac:dyDescent="0.25">
      <c r="A632" s="20" t="s">
        <v>115</v>
      </c>
      <c r="B632" s="20" t="s">
        <v>88</v>
      </c>
      <c r="C632" s="20" t="s">
        <v>122</v>
      </c>
      <c r="D632" s="20" t="s">
        <v>90</v>
      </c>
      <c r="E632" s="20" t="s">
        <v>91</v>
      </c>
      <c r="F632" s="20" t="s">
        <v>90</v>
      </c>
      <c r="G632" s="20" t="s">
        <v>92</v>
      </c>
      <c r="H632" s="20" t="s">
        <v>268</v>
      </c>
      <c r="I632" s="20" t="s">
        <v>153</v>
      </c>
      <c r="J632" s="20" t="s">
        <v>129</v>
      </c>
      <c r="K632" s="20" t="s">
        <v>102</v>
      </c>
      <c r="L632" s="20">
        <v>1285.73999999999</v>
      </c>
      <c r="M632" s="20">
        <v>0.191067583335012</v>
      </c>
      <c r="N632" s="20">
        <v>3.6175165669598698E-2</v>
      </c>
      <c r="O632" s="20">
        <v>304.38999999999902</v>
      </c>
      <c r="P632" s="20">
        <v>39.904344316796902</v>
      </c>
      <c r="Q632" s="20">
        <v>1.2857399999999899</v>
      </c>
      <c r="R632" s="20">
        <v>497.118469789904</v>
      </c>
      <c r="S632" s="20">
        <v>1133.43981342083</v>
      </c>
      <c r="T632" s="20">
        <v>11</v>
      </c>
      <c r="U632" s="20">
        <v>1</v>
      </c>
      <c r="V632" s="20">
        <v>0.17955454679170299</v>
      </c>
      <c r="W632" s="20">
        <v>0.329493381303535</v>
      </c>
      <c r="X632" s="20">
        <v>0.45380777265364097</v>
      </c>
      <c r="Y632" s="20">
        <v>0.55711218116664796</v>
      </c>
      <c r="Z632" s="20">
        <v>0.64321000196185496</v>
      </c>
      <c r="AA632" s="20">
        <v>0.71517527836384998</v>
      </c>
      <c r="AB632" s="20">
        <v>0.77559889269280002</v>
      </c>
      <c r="AC632" s="20">
        <v>0.82670928496389695</v>
      </c>
      <c r="AD632" s="20">
        <v>0.87039630951444802</v>
      </c>
      <c r="AE632" s="20">
        <v>0.90806680938316597</v>
      </c>
      <c r="AF632" t="str">
        <f t="shared" si="39"/>
        <v>NonResidential</v>
      </c>
      <c r="AG632" t="str">
        <f>tbl_Data_old[[#This Row],[All_Meas_Name_Append]]</f>
        <v>Programmable thermostat</v>
      </c>
      <c r="AH632">
        <f>AVERAGEIFS('3. Incentive Adjustment'!G:G,'3. Incentive Adjustment'!A:A,tbl_Data_old[[#This Row],[Trimmed Sector]],'3. Incentive Adjustment'!B:B,tbl_Data_old[[#This Row],[Trimmed Measure Name]])</f>
        <v>0.92137383531364503</v>
      </c>
      <c r="AI632">
        <f>$AH632*tbl_Data_old[[#This Row],[2025 ]]</f>
        <v>0.16543686142547473</v>
      </c>
      <c r="AJ632">
        <f>$AH632*tbl_Data_old[[#This Row],[2026 ]]</f>
        <v>0.3035865804420993</v>
      </c>
      <c r="AK632">
        <f>$AH632*tbl_Data_old[[#This Row],[2027 ]]</f>
        <v>0.41812660798502788</v>
      </c>
      <c r="AL632">
        <f>$AH632*tbl_Data_old[[#This Row],[2028 ]]</f>
        <v>0.51330858706146465</v>
      </c>
      <c r="AM632">
        <f>$AH632*tbl_Data_old[[#This Row],[2029 ]]</f>
        <v>0.59263686641969149</v>
      </c>
      <c r="AN632">
        <f>$AH632*tbl_Data_old[[#This Row],[2030 ]]</f>
        <v>0.6589437891476041</v>
      </c>
      <c r="AO632">
        <f>$AH632*tbl_Data_old[[#This Row],[2031 ]]</f>
        <v>0.71461652642538143</v>
      </c>
      <c r="AP632">
        <f>$AH632*tbl_Data_old[[#This Row],[2032 ]]</f>
        <v>0.76170830457658678</v>
      </c>
      <c r="AQ632">
        <f>$AH632*tbl_Data_old[[#This Row],[2033 ]]</f>
        <v>0.80196038594016938</v>
      </c>
      <c r="AR632">
        <f>$AH632*tbl_Data_old[[#This Row],[2034 ]]</f>
        <v>0.83666899888239221</v>
      </c>
      <c r="AS632">
        <f>SUM(tbl_Data_old[[#This Row],[Adjusted 2025]:[Adjusted 2034]])</f>
        <v>5.7669935083058919</v>
      </c>
      <c r="AT632" s="3">
        <f>AVERAGEIFS('3. Incentive Adjustment'!F:F,'3. Incentive Adjustment'!A:A,tbl_Data_old[[#This Row],[Trimmed Sector]],'3. Incentive Adjustment'!B:B,tbl_Data_old[[#This Row],[Trimmed Measure Name]])</f>
        <v>0</v>
      </c>
      <c r="AU632" s="3">
        <f>IFERROR(VLOOKUP(tbl_Data_old[[#This Row],[All_Meas_Name_Append]],'IRA Tax Credits'!$A$3:$D$46,4,0),0)</f>
        <v>0</v>
      </c>
      <c r="AV632" s="4">
        <f>tbl_Data_old[[#This Row],[Adj. per unit Incentive ($)]]/tbl_Data_old[[#This Row],[kWh Savings]]*tbl_Data_old[[#This Row],[Sum of Annuals]]</f>
        <v>0</v>
      </c>
      <c r="AW632" s="4" t="str">
        <f>IFERROR(VLOOKUP(tbl_Data_old[[#This Row],[All_Programs]],'1. Set Program Names'!$B$2:$D$15,3,0)*tbl_Data_old[[#This Row],[Sum of Annuals]],"")</f>
        <v/>
      </c>
      <c r="AX632" s="4">
        <f>tbl_Data_old[[#This Row],[per unit IRA tax ($)]]/tbl_Data_old[[#This Row],[kWh Savings]]*tbl_Data_old[[#This Row],[Sum of Annuals]]</f>
        <v>0</v>
      </c>
      <c r="AY632" s="4">
        <f>tbl_Data_old[[#This Row],[Avoided Costs ($/unit)]]/tbl_Data_old[[#This Row],[kWh Savings]]*tbl_Data_old[[#This Row],[Sum of Annuals]]</f>
        <v>2.2297501735478069</v>
      </c>
      <c r="AZ632" s="4">
        <f>tbl_Data_old[[#This Row],[Lost Revenue ($/unit)]]/tbl_Data_old[[#This Row],[kWh Savings]]*tbl_Data_old[[#This Row],[Sum of Annuals]]</f>
        <v>5.0838739138966025</v>
      </c>
      <c r="BA632" s="4">
        <f>tbl_Data_old[[#This Row],[Incremental Cost ($/unit)]]/tbl_Data_old[[#This Row],[kWh Savings]]*tbl_Data_old[[#This Row],[Sum of Annuals]]</f>
        <v>1.3652955916384639</v>
      </c>
      <c r="BB632">
        <f>ROUNDUP(tbl_Data_old[[#This Row],[Adjusted 2025]]/$L632,0)</f>
        <v>1</v>
      </c>
      <c r="BC632">
        <f>ROUNDUP(tbl_Data_old[[#This Row],[Adjusted 2026]]/$L632,0)</f>
        <v>1</v>
      </c>
      <c r="BD632">
        <f>ROUNDUP(tbl_Data_old[[#This Row],[Adjusted 2027]]/$L632,0)</f>
        <v>1</v>
      </c>
      <c r="BE632">
        <f>ROUNDUP(tbl_Data_old[[#This Row],[Adjusted 2028]]/$L632,0)</f>
        <v>1</v>
      </c>
      <c r="BF632">
        <f>ROUNDUP(tbl_Data_old[[#This Row],[Adjusted 2029]]/$L632,0)</f>
        <v>1</v>
      </c>
      <c r="BG632">
        <f>ROUNDUP(tbl_Data_old[[#This Row],[Adjusted 2030]]/$L632,0)</f>
        <v>1</v>
      </c>
      <c r="BH632">
        <f>ROUNDUP(tbl_Data_old[[#This Row],[Adjusted 2031]]/$L632,0)</f>
        <v>1</v>
      </c>
      <c r="BI632">
        <f>ROUNDUP(tbl_Data_old[[#This Row],[Adjusted 2032]]/$L632,0)</f>
        <v>1</v>
      </c>
      <c r="BJ632">
        <f>ROUNDUP(tbl_Data_old[[#This Row],[Adjusted 2033]]/$L632,0)</f>
        <v>1</v>
      </c>
      <c r="BK632">
        <f>ROUNDUP(tbl_Data_old[[#This Row],[Adjusted 2034]]/$L632,0)</f>
        <v>1</v>
      </c>
      <c r="BL632" s="3">
        <f t="shared" si="42"/>
        <v>0</v>
      </c>
      <c r="BM632" s="3">
        <f t="shared" si="42"/>
        <v>0</v>
      </c>
      <c r="BN632" s="3">
        <f t="shared" si="42"/>
        <v>0</v>
      </c>
      <c r="BO632" s="3">
        <f t="shared" si="42"/>
        <v>0</v>
      </c>
      <c r="BP632" s="3">
        <f t="shared" si="42"/>
        <v>0</v>
      </c>
      <c r="BQ632" s="3">
        <f t="shared" si="42"/>
        <v>0</v>
      </c>
      <c r="BR632" s="3">
        <f t="shared" si="42"/>
        <v>0</v>
      </c>
      <c r="BS632" s="3">
        <f t="shared" si="42"/>
        <v>0</v>
      </c>
      <c r="BT632" s="3">
        <f t="shared" si="42"/>
        <v>0</v>
      </c>
      <c r="BU632" s="3">
        <f t="shared" si="42"/>
        <v>0</v>
      </c>
      <c r="BV632" t="e">
        <f>VLOOKUP($H632,'1. Set Program Names'!$B$2:$D$15,3,0)*V632</f>
        <v>#N/A</v>
      </c>
      <c r="BW632" t="e">
        <f>VLOOKUP($H632,'1. Set Program Names'!$B$2:$D$15,3,0)*W632</f>
        <v>#N/A</v>
      </c>
      <c r="BX632" t="e">
        <f>VLOOKUP($H632,'1. Set Program Names'!$B$2:$D$15,3,0)*X632</f>
        <v>#N/A</v>
      </c>
      <c r="BY632" t="e">
        <f>VLOOKUP($H632,'1. Set Program Names'!$B$2:$D$15,3,0)*Y632</f>
        <v>#N/A</v>
      </c>
      <c r="BZ632" t="e">
        <f>VLOOKUP($H632,'1. Set Program Names'!$B$2:$D$15,3,0)*Z632</f>
        <v>#N/A</v>
      </c>
      <c r="CA632" t="e">
        <f>VLOOKUP($H632,'1. Set Program Names'!$B$2:$D$15,3,0)*AA632</f>
        <v>#N/A</v>
      </c>
      <c r="CB632" t="e">
        <f>VLOOKUP($H632,'1. Set Program Names'!$B$2:$D$15,3,0)*AB632</f>
        <v>#N/A</v>
      </c>
      <c r="CC632" t="e">
        <f>VLOOKUP($H632,'1. Set Program Names'!$B$2:$D$15,3,0)*AC632</f>
        <v>#N/A</v>
      </c>
      <c r="CD632" t="e">
        <f>VLOOKUP($H632,'1. Set Program Names'!$B$2:$D$15,3,0)*AD632</f>
        <v>#N/A</v>
      </c>
      <c r="CE632" t="e">
        <f>VLOOKUP($H632,'1. Set Program Names'!$B$2:$D$15,3,0)*AE632</f>
        <v>#N/A</v>
      </c>
    </row>
    <row r="633" spans="1:83" x14ac:dyDescent="0.25">
      <c r="A633" s="20" t="s">
        <v>115</v>
      </c>
      <c r="B633" s="20" t="s">
        <v>88</v>
      </c>
      <c r="C633" s="20" t="s">
        <v>122</v>
      </c>
      <c r="D633" s="20" t="s">
        <v>90</v>
      </c>
      <c r="E633" s="20" t="s">
        <v>91</v>
      </c>
      <c r="F633" s="20" t="s">
        <v>90</v>
      </c>
      <c r="G633" s="20" t="s">
        <v>92</v>
      </c>
      <c r="H633" s="20" t="s">
        <v>268</v>
      </c>
      <c r="I633" s="20" t="s">
        <v>156</v>
      </c>
      <c r="J633" s="20" t="s">
        <v>129</v>
      </c>
      <c r="K633" s="20" t="s">
        <v>102</v>
      </c>
      <c r="L633" s="20">
        <v>1074.99714285714</v>
      </c>
      <c r="M633" s="20">
        <v>0.35483647389159401</v>
      </c>
      <c r="N633" s="20">
        <v>2.1679791501885101E-3</v>
      </c>
      <c r="O633" s="20">
        <v>322.49999999999898</v>
      </c>
      <c r="P633" s="20">
        <v>112.47094868606101</v>
      </c>
      <c r="Q633" s="20">
        <v>1.0749971428571401</v>
      </c>
      <c r="R633" s="20">
        <v>593.31352847936103</v>
      </c>
      <c r="S633" s="20">
        <v>1167.57597203707</v>
      </c>
      <c r="T633" s="20">
        <v>15</v>
      </c>
      <c r="U633" s="20">
        <v>1</v>
      </c>
      <c r="V633" s="20">
        <v>37.903333630167303</v>
      </c>
      <c r="W633" s="20">
        <v>80.522939147866495</v>
      </c>
      <c r="X633" s="20">
        <v>127.384624330826</v>
      </c>
      <c r="Y633" s="20">
        <v>178.245412776552</v>
      </c>
      <c r="Z633" s="20">
        <v>232.83065017347801</v>
      </c>
      <c r="AA633" s="20">
        <v>290.840276928403</v>
      </c>
      <c r="AB633" s="20">
        <v>352.00297846404499</v>
      </c>
      <c r="AC633" s="20">
        <v>416.20224451603502</v>
      </c>
      <c r="AD633" s="20">
        <v>483.39577918009002</v>
      </c>
      <c r="AE633" s="20">
        <v>553.46064536452695</v>
      </c>
      <c r="AF633" t="str">
        <f t="shared" si="39"/>
        <v>NonResidential</v>
      </c>
      <c r="AG633" t="str">
        <f>tbl_Data_old[[#This Row],[All_Meas_Name_Append]]</f>
        <v>Water source heat pump</v>
      </c>
      <c r="AH633">
        <f>AVERAGEIFS('3. Incentive Adjustment'!G:G,'3. Incentive Adjustment'!A:A,tbl_Data_old[[#This Row],[Trimmed Sector]],'3. Incentive Adjustment'!B:B,tbl_Data_old[[#This Row],[Trimmed Measure Name]])</f>
        <v>0.75877205530206748</v>
      </c>
      <c r="AI633">
        <f>$AH633*tbl_Data_old[[#This Row],[2025 ]]</f>
        <v>28.759990361362018</v>
      </c>
      <c r="AJ633">
        <f>$AH633*tbl_Data_old[[#This Row],[2026 ]]</f>
        <v>61.098556036189969</v>
      </c>
      <c r="AK633">
        <f>$AH633*tbl_Data_old[[#This Row],[2027 ]]</f>
        <v>96.655893217382598</v>
      </c>
      <c r="AL633">
        <f>$AH633*tbl_Data_old[[#This Row],[2028 ]]</f>
        <v>135.24763820062975</v>
      </c>
      <c r="AM633">
        <f>$AH633*tbl_Data_old[[#This Row],[2029 ]]</f>
        <v>176.66539096944658</v>
      </c>
      <c r="AN633">
        <f>$AH633*tbl_Data_old[[#This Row],[2030 ]]</f>
        <v>220.68147468958682</v>
      </c>
      <c r="AO633">
        <f>$AH633*tbl_Data_old[[#This Row],[2031 ]]</f>
        <v>267.0900234416128</v>
      </c>
      <c r="AP633">
        <f>$AH633*tbl_Data_old[[#This Row],[2032 ]]</f>
        <v>315.80263249276555</v>
      </c>
      <c r="AQ633">
        <f>$AH633*tbl_Data_old[[#This Row],[2033 ]]</f>
        <v>366.78720889282124</v>
      </c>
      <c r="AR633">
        <f>$AH633*tbl_Data_old[[#This Row],[2034 ]]</f>
        <v>419.95047141205083</v>
      </c>
      <c r="AS633">
        <f>SUM(tbl_Data_old[[#This Row],[Adjusted 2025]:[Adjusted 2034]])</f>
        <v>2088.7392797138482</v>
      </c>
      <c r="AT633" s="3">
        <f>AVERAGEIFS('3. Incentive Adjustment'!F:F,'3. Incentive Adjustment'!A:A,tbl_Data_old[[#This Row],[Trimmed Sector]],'3. Incentive Adjustment'!B:B,tbl_Data_old[[#This Row],[Trimmed Measure Name]])</f>
        <v>0</v>
      </c>
      <c r="AU633" s="3">
        <f>IFERROR(VLOOKUP(tbl_Data_old[[#This Row],[All_Meas_Name_Append]],'IRA Tax Credits'!$A$3:$D$46,4,0),0)</f>
        <v>0</v>
      </c>
      <c r="AV633" s="4">
        <f>tbl_Data_old[[#This Row],[Adj. per unit Incentive ($)]]/tbl_Data_old[[#This Row],[kWh Savings]]*tbl_Data_old[[#This Row],[Sum of Annuals]]</f>
        <v>0</v>
      </c>
      <c r="AW633" s="4" t="str">
        <f>IFERROR(VLOOKUP(tbl_Data_old[[#This Row],[All_Programs]],'1. Set Program Names'!$B$2:$D$15,3,0)*tbl_Data_old[[#This Row],[Sum of Annuals]],"")</f>
        <v/>
      </c>
      <c r="AX633" s="4">
        <f>tbl_Data_old[[#This Row],[per unit IRA tax ($)]]/tbl_Data_old[[#This Row],[kWh Savings]]*tbl_Data_old[[#This Row],[Sum of Annuals]]</f>
        <v>0</v>
      </c>
      <c r="AY633" s="4">
        <f>tbl_Data_old[[#This Row],[Avoided Costs ($/unit)]]/tbl_Data_old[[#This Row],[kWh Savings]]*tbl_Data_old[[#This Row],[Sum of Annuals]]</f>
        <v>1152.8191310599177</v>
      </c>
      <c r="AZ633" s="4">
        <f>tbl_Data_old[[#This Row],[Lost Revenue ($/unit)]]/tbl_Data_old[[#This Row],[kWh Savings]]*tbl_Data_old[[#This Row],[Sum of Annuals]]</f>
        <v>2268.6216526698258</v>
      </c>
      <c r="BA633" s="4">
        <f>tbl_Data_old[[#This Row],[Incremental Cost ($/unit)]]/tbl_Data_old[[#This Row],[kWh Savings]]*tbl_Data_old[[#This Row],[Sum of Annuals]]</f>
        <v>626.62344935853787</v>
      </c>
      <c r="BB633">
        <f>ROUNDUP(tbl_Data_old[[#This Row],[Adjusted 2025]]/$L633,0)</f>
        <v>1</v>
      </c>
      <c r="BC633">
        <f>ROUNDUP(tbl_Data_old[[#This Row],[Adjusted 2026]]/$L633,0)</f>
        <v>1</v>
      </c>
      <c r="BD633">
        <f>ROUNDUP(tbl_Data_old[[#This Row],[Adjusted 2027]]/$L633,0)</f>
        <v>1</v>
      </c>
      <c r="BE633">
        <f>ROUNDUP(tbl_Data_old[[#This Row],[Adjusted 2028]]/$L633,0)</f>
        <v>1</v>
      </c>
      <c r="BF633">
        <f>ROUNDUP(tbl_Data_old[[#This Row],[Adjusted 2029]]/$L633,0)</f>
        <v>1</v>
      </c>
      <c r="BG633">
        <f>ROUNDUP(tbl_Data_old[[#This Row],[Adjusted 2030]]/$L633,0)</f>
        <v>1</v>
      </c>
      <c r="BH633">
        <f>ROUNDUP(tbl_Data_old[[#This Row],[Adjusted 2031]]/$L633,0)</f>
        <v>1</v>
      </c>
      <c r="BI633">
        <f>ROUNDUP(tbl_Data_old[[#This Row],[Adjusted 2032]]/$L633,0)</f>
        <v>1</v>
      </c>
      <c r="BJ633">
        <f>ROUNDUP(tbl_Data_old[[#This Row],[Adjusted 2033]]/$L633,0)</f>
        <v>1</v>
      </c>
      <c r="BK633">
        <f>ROUNDUP(tbl_Data_old[[#This Row],[Adjusted 2034]]/$L633,0)</f>
        <v>1</v>
      </c>
      <c r="BL633" s="3">
        <f t="shared" si="42"/>
        <v>0</v>
      </c>
      <c r="BM633" s="3">
        <f t="shared" si="42"/>
        <v>0</v>
      </c>
      <c r="BN633" s="3">
        <f t="shared" si="42"/>
        <v>0</v>
      </c>
      <c r="BO633" s="3">
        <f t="shared" si="42"/>
        <v>0</v>
      </c>
      <c r="BP633" s="3">
        <f t="shared" si="42"/>
        <v>0</v>
      </c>
      <c r="BQ633" s="3">
        <f t="shared" si="42"/>
        <v>0</v>
      </c>
      <c r="BR633" s="3">
        <f t="shared" si="42"/>
        <v>0</v>
      </c>
      <c r="BS633" s="3">
        <f t="shared" si="42"/>
        <v>0</v>
      </c>
      <c r="BT633" s="3">
        <f t="shared" si="42"/>
        <v>0</v>
      </c>
      <c r="BU633" s="3">
        <f t="shared" si="42"/>
        <v>0</v>
      </c>
      <c r="BV633" t="e">
        <f>VLOOKUP($H633,'1. Set Program Names'!$B$2:$D$15,3,0)*V633</f>
        <v>#N/A</v>
      </c>
      <c r="BW633" t="e">
        <f>VLOOKUP($H633,'1. Set Program Names'!$B$2:$D$15,3,0)*W633</f>
        <v>#N/A</v>
      </c>
      <c r="BX633" t="e">
        <f>VLOOKUP($H633,'1. Set Program Names'!$B$2:$D$15,3,0)*X633</f>
        <v>#N/A</v>
      </c>
      <c r="BY633" t="e">
        <f>VLOOKUP($H633,'1. Set Program Names'!$B$2:$D$15,3,0)*Y633</f>
        <v>#N/A</v>
      </c>
      <c r="BZ633" t="e">
        <f>VLOOKUP($H633,'1. Set Program Names'!$B$2:$D$15,3,0)*Z633</f>
        <v>#N/A</v>
      </c>
      <c r="CA633" t="e">
        <f>VLOOKUP($H633,'1. Set Program Names'!$B$2:$D$15,3,0)*AA633</f>
        <v>#N/A</v>
      </c>
      <c r="CB633" t="e">
        <f>VLOOKUP($H633,'1. Set Program Names'!$B$2:$D$15,3,0)*AB633</f>
        <v>#N/A</v>
      </c>
      <c r="CC633" t="e">
        <f>VLOOKUP($H633,'1. Set Program Names'!$B$2:$D$15,3,0)*AC633</f>
        <v>#N/A</v>
      </c>
      <c r="CD633" t="e">
        <f>VLOOKUP($H633,'1. Set Program Names'!$B$2:$D$15,3,0)*AD633</f>
        <v>#N/A</v>
      </c>
      <c r="CE633" t="e">
        <f>VLOOKUP($H633,'1. Set Program Names'!$B$2:$D$15,3,0)*AE633</f>
        <v>#N/A</v>
      </c>
    </row>
    <row r="634" spans="1:83" x14ac:dyDescent="0.25">
      <c r="A634" s="20" t="s">
        <v>116</v>
      </c>
      <c r="B634" s="20" t="s">
        <v>88</v>
      </c>
      <c r="C634" s="20" t="s">
        <v>122</v>
      </c>
      <c r="D634" s="20" t="s">
        <v>90</v>
      </c>
      <c r="E634" s="20" t="s">
        <v>91</v>
      </c>
      <c r="F634" s="20" t="s">
        <v>90</v>
      </c>
      <c r="G634" s="20" t="s">
        <v>92</v>
      </c>
      <c r="H634" s="20" t="s">
        <v>268</v>
      </c>
      <c r="I634" s="20" t="s">
        <v>123</v>
      </c>
      <c r="J634" s="20" t="s">
        <v>124</v>
      </c>
      <c r="K634" s="20" t="s">
        <v>125</v>
      </c>
      <c r="L634" s="20">
        <v>276.38000000000102</v>
      </c>
      <c r="M634" s="20">
        <v>4.0116087790590997E-2</v>
      </c>
      <c r="N634" s="20">
        <v>3.5590078027730399E-2</v>
      </c>
      <c r="O634" s="20">
        <v>71</v>
      </c>
      <c r="P634" s="20">
        <v>14.1467127741815</v>
      </c>
      <c r="Q634" s="20">
        <v>0.27638000000000101</v>
      </c>
      <c r="R634" s="20">
        <v>109.905179976762</v>
      </c>
      <c r="S634" s="20">
        <v>259.02791823564098</v>
      </c>
      <c r="T634" s="20">
        <v>12</v>
      </c>
      <c r="U634" s="20">
        <v>1</v>
      </c>
      <c r="V634" s="20">
        <v>0.33887342469540699</v>
      </c>
      <c r="W634" s="20">
        <v>0.46299490533391502</v>
      </c>
      <c r="X634" s="20">
        <v>0.61487308591108802</v>
      </c>
      <c r="Y634" s="20">
        <v>0.79183142023786302</v>
      </c>
      <c r="Z634" s="20">
        <v>0.97987695529738195</v>
      </c>
      <c r="AA634" s="20">
        <v>1.1547998437571301</v>
      </c>
      <c r="AB634" s="20">
        <v>1.28153834751472</v>
      </c>
      <c r="AC634" s="20">
        <v>1.3277869806856999</v>
      </c>
      <c r="AD634" s="20">
        <v>1.27669131535483</v>
      </c>
      <c r="AE634" s="20">
        <v>1.1368881519542</v>
      </c>
      <c r="AF634" t="str">
        <f t="shared" si="39"/>
        <v>NonResidential</v>
      </c>
      <c r="AG634" t="str">
        <f>tbl_Data_old[[#This Row],[All_Meas_Name_Append]]</f>
        <v>Anti-Sweat Controls</v>
      </c>
      <c r="AH634">
        <f>AVERAGEIFS('3. Incentive Adjustment'!G:G,'3. Incentive Adjustment'!A:A,tbl_Data_old[[#This Row],[Trimmed Sector]],'3. Incentive Adjustment'!B:B,tbl_Data_old[[#This Row],[Trimmed Measure Name]])</f>
        <v>0.87366811775307662</v>
      </c>
      <c r="AI634">
        <f>$AH634*tbl_Data_old[[#This Row],[2025 ]]</f>
        <v>0.29606290711017519</v>
      </c>
      <c r="AJ634">
        <f>$AH634*tbl_Data_old[[#This Row],[2026 ]]</f>
        <v>0.40450388747234545</v>
      </c>
      <c r="AK634">
        <f>$AH634*tbl_Data_old[[#This Row],[2027 ]]</f>
        <v>0.53719501162496608</v>
      </c>
      <c r="AL634">
        <f>$AH634*tbl_Data_old[[#This Row],[2028 ]]</f>
        <v>0.69179786649695918</v>
      </c>
      <c r="AM634">
        <f>$AH634*tbl_Data_old[[#This Row],[2029 ]]</f>
        <v>0.8560872551642793</v>
      </c>
      <c r="AN634">
        <f>$AH634*tbl_Data_old[[#This Row],[2030 ]]</f>
        <v>1.0089118058768387</v>
      </c>
      <c r="AO634">
        <f>$AH634*tbl_Data_old[[#This Row],[2031 ]]</f>
        <v>1.1196391959015737</v>
      </c>
      <c r="AP634">
        <f>$AH634*tbl_Data_old[[#This Row],[2032 ]]</f>
        <v>1.1600451521927162</v>
      </c>
      <c r="AQ634">
        <f>$AH634*tbl_Data_old[[#This Row],[2033 ]]</f>
        <v>1.115404498437754</v>
      </c>
      <c r="AR634">
        <f>$AH634*tbl_Data_old[[#This Row],[2034 ]]</f>
        <v>0.9932629318135997</v>
      </c>
      <c r="AS634">
        <f>SUM(tbl_Data_old[[#This Row],[Adjusted 2025]:[Adjusted 2034]])</f>
        <v>8.1829105120912082</v>
      </c>
      <c r="AT634" s="3">
        <f>AVERAGEIFS('3. Incentive Adjustment'!F:F,'3. Incentive Adjustment'!A:A,tbl_Data_old[[#This Row],[Trimmed Sector]],'3. Incentive Adjustment'!B:B,tbl_Data_old[[#This Row],[Trimmed Measure Name]])</f>
        <v>0</v>
      </c>
      <c r="AU634" s="3">
        <f>IFERROR(VLOOKUP(tbl_Data_old[[#This Row],[All_Meas_Name_Append]],'IRA Tax Credits'!$A$3:$D$46,4,0),0)</f>
        <v>0</v>
      </c>
      <c r="AV634" s="4">
        <f>tbl_Data_old[[#This Row],[Adj. per unit Incentive ($)]]/tbl_Data_old[[#This Row],[kWh Savings]]*tbl_Data_old[[#This Row],[Sum of Annuals]]</f>
        <v>0</v>
      </c>
      <c r="AW634" s="4" t="str">
        <f>IFERROR(VLOOKUP(tbl_Data_old[[#This Row],[All_Programs]],'1. Set Program Names'!$B$2:$D$15,3,0)*tbl_Data_old[[#This Row],[Sum of Annuals]],"")</f>
        <v/>
      </c>
      <c r="AX634" s="4">
        <f>tbl_Data_old[[#This Row],[per unit IRA tax ($)]]/tbl_Data_old[[#This Row],[kWh Savings]]*tbl_Data_old[[#This Row],[Sum of Annuals]]</f>
        <v>0</v>
      </c>
      <c r="AY634" s="4">
        <f>tbl_Data_old[[#This Row],[Avoided Costs ($/unit)]]/tbl_Data_old[[#This Row],[kWh Savings]]*tbl_Data_old[[#This Row],[Sum of Annuals]]</f>
        <v>3.2540135051925558</v>
      </c>
      <c r="AZ634" s="4">
        <f>tbl_Data_old[[#This Row],[Lost Revenue ($/unit)]]/tbl_Data_old[[#This Row],[kWh Savings]]*tbl_Data_old[[#This Row],[Sum of Annuals]]</f>
        <v>7.6691594003021955</v>
      </c>
      <c r="BA634" s="4">
        <f>tbl_Data_old[[#This Row],[Incremental Cost ($/unit)]]/tbl_Data_old[[#This Row],[kWh Savings]]*tbl_Data_old[[#This Row],[Sum of Annuals]]</f>
        <v>2.1021298442668557</v>
      </c>
      <c r="BB634">
        <f>ROUNDUP(tbl_Data_old[[#This Row],[Adjusted 2025]]/$L634,0)</f>
        <v>1</v>
      </c>
      <c r="BC634">
        <f>ROUNDUP(tbl_Data_old[[#This Row],[Adjusted 2026]]/$L634,0)</f>
        <v>1</v>
      </c>
      <c r="BD634">
        <f>ROUNDUP(tbl_Data_old[[#This Row],[Adjusted 2027]]/$L634,0)</f>
        <v>1</v>
      </c>
      <c r="BE634">
        <f>ROUNDUP(tbl_Data_old[[#This Row],[Adjusted 2028]]/$L634,0)</f>
        <v>1</v>
      </c>
      <c r="BF634">
        <f>ROUNDUP(tbl_Data_old[[#This Row],[Adjusted 2029]]/$L634,0)</f>
        <v>1</v>
      </c>
      <c r="BG634">
        <f>ROUNDUP(tbl_Data_old[[#This Row],[Adjusted 2030]]/$L634,0)</f>
        <v>1</v>
      </c>
      <c r="BH634">
        <f>ROUNDUP(tbl_Data_old[[#This Row],[Adjusted 2031]]/$L634,0)</f>
        <v>1</v>
      </c>
      <c r="BI634">
        <f>ROUNDUP(tbl_Data_old[[#This Row],[Adjusted 2032]]/$L634,0)</f>
        <v>1</v>
      </c>
      <c r="BJ634">
        <f>ROUNDUP(tbl_Data_old[[#This Row],[Adjusted 2033]]/$L634,0)</f>
        <v>1</v>
      </c>
      <c r="BK634">
        <f>ROUNDUP(tbl_Data_old[[#This Row],[Adjusted 2034]]/$L634,0)</f>
        <v>1</v>
      </c>
      <c r="BL634" s="3">
        <f t="shared" si="42"/>
        <v>0</v>
      </c>
      <c r="BM634" s="3">
        <f t="shared" si="42"/>
        <v>0</v>
      </c>
      <c r="BN634" s="3">
        <f t="shared" si="42"/>
        <v>0</v>
      </c>
      <c r="BO634" s="3">
        <f t="shared" si="42"/>
        <v>0</v>
      </c>
      <c r="BP634" s="3">
        <f t="shared" si="42"/>
        <v>0</v>
      </c>
      <c r="BQ634" s="3">
        <f t="shared" si="42"/>
        <v>0</v>
      </c>
      <c r="BR634" s="3">
        <f t="shared" si="42"/>
        <v>0</v>
      </c>
      <c r="BS634" s="3">
        <f t="shared" si="42"/>
        <v>0</v>
      </c>
      <c r="BT634" s="3">
        <f t="shared" si="42"/>
        <v>0</v>
      </c>
      <c r="BU634" s="3">
        <f t="shared" si="42"/>
        <v>0</v>
      </c>
      <c r="BV634" t="e">
        <f>VLOOKUP($H634,'1. Set Program Names'!$B$2:$D$15,3,0)*V634</f>
        <v>#N/A</v>
      </c>
      <c r="BW634" t="e">
        <f>VLOOKUP($H634,'1. Set Program Names'!$B$2:$D$15,3,0)*W634</f>
        <v>#N/A</v>
      </c>
      <c r="BX634" t="e">
        <f>VLOOKUP($H634,'1. Set Program Names'!$B$2:$D$15,3,0)*X634</f>
        <v>#N/A</v>
      </c>
      <c r="BY634" t="e">
        <f>VLOOKUP($H634,'1. Set Program Names'!$B$2:$D$15,3,0)*Y634</f>
        <v>#N/A</v>
      </c>
      <c r="BZ634" t="e">
        <f>VLOOKUP($H634,'1. Set Program Names'!$B$2:$D$15,3,0)*Z634</f>
        <v>#N/A</v>
      </c>
      <c r="CA634" t="e">
        <f>VLOOKUP($H634,'1. Set Program Names'!$B$2:$D$15,3,0)*AA634</f>
        <v>#N/A</v>
      </c>
      <c r="CB634" t="e">
        <f>VLOOKUP($H634,'1. Set Program Names'!$B$2:$D$15,3,0)*AB634</f>
        <v>#N/A</v>
      </c>
      <c r="CC634" t="e">
        <f>VLOOKUP($H634,'1. Set Program Names'!$B$2:$D$15,3,0)*AC634</f>
        <v>#N/A</v>
      </c>
      <c r="CD634" t="e">
        <f>VLOOKUP($H634,'1. Set Program Names'!$B$2:$D$15,3,0)*AD634</f>
        <v>#N/A</v>
      </c>
      <c r="CE634" t="e">
        <f>VLOOKUP($H634,'1. Set Program Names'!$B$2:$D$15,3,0)*AE634</f>
        <v>#N/A</v>
      </c>
    </row>
    <row r="635" spans="1:83" x14ac:dyDescent="0.25">
      <c r="A635" s="20" t="s">
        <v>116</v>
      </c>
      <c r="B635" s="20" t="s">
        <v>88</v>
      </c>
      <c r="C635" s="20" t="s">
        <v>122</v>
      </c>
      <c r="D635" s="20" t="s">
        <v>90</v>
      </c>
      <c r="E635" s="20" t="s">
        <v>91</v>
      </c>
      <c r="F635" s="20" t="s">
        <v>90</v>
      </c>
      <c r="G635" s="20" t="s">
        <v>92</v>
      </c>
      <c r="H635" s="20" t="s">
        <v>268</v>
      </c>
      <c r="I635" s="20" t="s">
        <v>126</v>
      </c>
      <c r="J635" s="20" t="s">
        <v>127</v>
      </c>
      <c r="K635" s="20" t="s">
        <v>102</v>
      </c>
      <c r="L635" s="20">
        <v>10474.513428571399</v>
      </c>
      <c r="M635" s="20">
        <v>11.987030831722899</v>
      </c>
      <c r="N635" s="20">
        <v>6.5774989692018102E-2</v>
      </c>
      <c r="O635" s="20">
        <v>2861.52</v>
      </c>
      <c r="P635" s="20">
        <v>706.838432647388</v>
      </c>
      <c r="Q635" s="20">
        <v>10.474513428571401</v>
      </c>
      <c r="R635" s="20">
        <v>9615.4333568812199</v>
      </c>
      <c r="S635" s="20">
        <v>8615.8759261769592</v>
      </c>
      <c r="T635" s="20">
        <v>10</v>
      </c>
      <c r="U635" s="20">
        <v>1</v>
      </c>
      <c r="V635" s="20">
        <v>7.9906602774018301E-2</v>
      </c>
      <c r="W635" s="20">
        <v>0.11061617349904899</v>
      </c>
      <c r="X635" s="20">
        <v>0.148806967469852</v>
      </c>
      <c r="Y635" s="20">
        <v>0.19474943624820401</v>
      </c>
      <c r="Z635" s="20">
        <v>0.24550279202348699</v>
      </c>
      <c r="AA635" s="20">
        <v>0.29351846387983899</v>
      </c>
      <c r="AB635" s="20">
        <v>0.32863601260972902</v>
      </c>
      <c r="AC635" s="20">
        <v>0.34002617182273898</v>
      </c>
      <c r="AD635" s="20">
        <v>0.32049208046946098</v>
      </c>
      <c r="AE635" s="20">
        <v>0.27352025308412098</v>
      </c>
      <c r="AF635" t="str">
        <f t="shared" si="39"/>
        <v>NonResidential</v>
      </c>
      <c r="AG635" t="str">
        <f>tbl_Data_old[[#This Row],[All_Meas_Name_Append]]</f>
        <v>Chiller maintenance</v>
      </c>
      <c r="AH635">
        <f>AVERAGEIFS('3. Incentive Adjustment'!G:G,'3. Incentive Adjustment'!A:A,tbl_Data_old[[#This Row],[Trimmed Sector]],'3. Incentive Adjustment'!B:B,tbl_Data_old[[#This Row],[Trimmed Measure Name]])</f>
        <v>0.83689882434423457</v>
      </c>
      <c r="AI635">
        <f>$AH635*tbl_Data_old[[#This Row],[2025 ]]</f>
        <v>6.6873741918917665E-2</v>
      </c>
      <c r="AJ635">
        <f>$AH635*tbl_Data_old[[#This Row],[2026 ]]</f>
        <v>9.2574545554811982E-2</v>
      </c>
      <c r="AK635">
        <f>$AH635*tbl_Data_old[[#This Row],[2027 ]]</f>
        <v>0.1245363761297499</v>
      </c>
      <c r="AL635">
        <f>$AH635*tbl_Data_old[[#This Row],[2028 ]]</f>
        <v>0.16298557423782439</v>
      </c>
      <c r="AM635">
        <f>$AH635*tbl_Data_old[[#This Row],[2029 ]]</f>
        <v>0.20546099801768339</v>
      </c>
      <c r="AN635">
        <f>$AH635*tbl_Data_old[[#This Row],[2030 ]]</f>
        <v>0.24564525734436293</v>
      </c>
      <c r="AO635">
        <f>$AH635*tbl_Data_old[[#This Row],[2031 ]]</f>
        <v>0.27503509259025927</v>
      </c>
      <c r="AP635">
        <f>$AH635*tbl_Data_old[[#This Row],[2032 ]]</f>
        <v>0.28456750344472093</v>
      </c>
      <c r="AQ635">
        <f>$AH635*tbl_Data_old[[#This Row],[2033 ]]</f>
        <v>0.2682194453565297</v>
      </c>
      <c r="AR635">
        <f>$AH635*tbl_Data_old[[#This Row],[2034 ]]</f>
        <v>0.22890877824043834</v>
      </c>
      <c r="AS635">
        <f>SUM(tbl_Data_old[[#This Row],[Adjusted 2025]:[Adjusted 2034]])</f>
        <v>1.9548073128352987</v>
      </c>
      <c r="AT635" s="3">
        <f>AVERAGEIFS('3. Incentive Adjustment'!F:F,'3. Incentive Adjustment'!A:A,tbl_Data_old[[#This Row],[Trimmed Sector]],'3. Incentive Adjustment'!B:B,tbl_Data_old[[#This Row],[Trimmed Measure Name]])</f>
        <v>0</v>
      </c>
      <c r="AU635" s="3">
        <f>IFERROR(VLOOKUP(tbl_Data_old[[#This Row],[All_Meas_Name_Append]],'IRA Tax Credits'!$A$3:$D$46,4,0),0)</f>
        <v>0</v>
      </c>
      <c r="AV635" s="4">
        <f>tbl_Data_old[[#This Row],[Adj. per unit Incentive ($)]]/tbl_Data_old[[#This Row],[kWh Savings]]*tbl_Data_old[[#This Row],[Sum of Annuals]]</f>
        <v>0</v>
      </c>
      <c r="AW635" s="4" t="str">
        <f>IFERROR(VLOOKUP(tbl_Data_old[[#This Row],[All_Programs]],'1. Set Program Names'!$B$2:$D$15,3,0)*tbl_Data_old[[#This Row],[Sum of Annuals]],"")</f>
        <v/>
      </c>
      <c r="AX635" s="4">
        <f>tbl_Data_old[[#This Row],[per unit IRA tax ($)]]/tbl_Data_old[[#This Row],[kWh Savings]]*tbl_Data_old[[#This Row],[Sum of Annuals]]</f>
        <v>0</v>
      </c>
      <c r="AY635" s="4">
        <f>tbl_Data_old[[#This Row],[Avoided Costs ($/unit)]]/tbl_Data_old[[#This Row],[kWh Savings]]*tbl_Data_old[[#This Row],[Sum of Annuals]]</f>
        <v>1.7944813924092196</v>
      </c>
      <c r="AZ635" s="4">
        <f>tbl_Data_old[[#This Row],[Lost Revenue ($/unit)]]/tbl_Data_old[[#This Row],[kWh Savings]]*tbl_Data_old[[#This Row],[Sum of Annuals]]</f>
        <v>1.607938868170359</v>
      </c>
      <c r="BA635" s="4">
        <f>tbl_Data_old[[#This Row],[Incremental Cost ($/unit)]]/tbl_Data_old[[#This Row],[kWh Savings]]*tbl_Data_old[[#This Row],[Sum of Annuals]]</f>
        <v>0.53403150990922743</v>
      </c>
      <c r="BB635">
        <f>ROUNDUP(tbl_Data_old[[#This Row],[Adjusted 2025]]/$L635,0)</f>
        <v>1</v>
      </c>
      <c r="BC635">
        <f>ROUNDUP(tbl_Data_old[[#This Row],[Adjusted 2026]]/$L635,0)</f>
        <v>1</v>
      </c>
      <c r="BD635">
        <f>ROUNDUP(tbl_Data_old[[#This Row],[Adjusted 2027]]/$L635,0)</f>
        <v>1</v>
      </c>
      <c r="BE635">
        <f>ROUNDUP(tbl_Data_old[[#This Row],[Adjusted 2028]]/$L635,0)</f>
        <v>1</v>
      </c>
      <c r="BF635">
        <f>ROUNDUP(tbl_Data_old[[#This Row],[Adjusted 2029]]/$L635,0)</f>
        <v>1</v>
      </c>
      <c r="BG635">
        <f>ROUNDUP(tbl_Data_old[[#This Row],[Adjusted 2030]]/$L635,0)</f>
        <v>1</v>
      </c>
      <c r="BH635">
        <f>ROUNDUP(tbl_Data_old[[#This Row],[Adjusted 2031]]/$L635,0)</f>
        <v>1</v>
      </c>
      <c r="BI635">
        <f>ROUNDUP(tbl_Data_old[[#This Row],[Adjusted 2032]]/$L635,0)</f>
        <v>1</v>
      </c>
      <c r="BJ635">
        <f>ROUNDUP(tbl_Data_old[[#This Row],[Adjusted 2033]]/$L635,0)</f>
        <v>1</v>
      </c>
      <c r="BK635">
        <f>ROUNDUP(tbl_Data_old[[#This Row],[Adjusted 2034]]/$L635,0)</f>
        <v>1</v>
      </c>
      <c r="BL635" s="3">
        <f t="shared" si="42"/>
        <v>0</v>
      </c>
      <c r="BM635" s="3">
        <f t="shared" si="42"/>
        <v>0</v>
      </c>
      <c r="BN635" s="3">
        <f t="shared" si="42"/>
        <v>0</v>
      </c>
      <c r="BO635" s="3">
        <f t="shared" si="42"/>
        <v>0</v>
      </c>
      <c r="BP635" s="3">
        <f t="shared" si="42"/>
        <v>0</v>
      </c>
      <c r="BQ635" s="3">
        <f t="shared" si="42"/>
        <v>0</v>
      </c>
      <c r="BR635" s="3">
        <f t="shared" si="42"/>
        <v>0</v>
      </c>
      <c r="BS635" s="3">
        <f t="shared" si="42"/>
        <v>0</v>
      </c>
      <c r="BT635" s="3">
        <f t="shared" si="42"/>
        <v>0</v>
      </c>
      <c r="BU635" s="3">
        <f t="shared" si="42"/>
        <v>0</v>
      </c>
      <c r="BV635" t="e">
        <f>VLOOKUP($H635,'1. Set Program Names'!$B$2:$D$15,3,0)*V635</f>
        <v>#N/A</v>
      </c>
      <c r="BW635" t="e">
        <f>VLOOKUP($H635,'1. Set Program Names'!$B$2:$D$15,3,0)*W635</f>
        <v>#N/A</v>
      </c>
      <c r="BX635" t="e">
        <f>VLOOKUP($H635,'1. Set Program Names'!$B$2:$D$15,3,0)*X635</f>
        <v>#N/A</v>
      </c>
      <c r="BY635" t="e">
        <f>VLOOKUP($H635,'1. Set Program Names'!$B$2:$D$15,3,0)*Y635</f>
        <v>#N/A</v>
      </c>
      <c r="BZ635" t="e">
        <f>VLOOKUP($H635,'1. Set Program Names'!$B$2:$D$15,3,0)*Z635</f>
        <v>#N/A</v>
      </c>
      <c r="CA635" t="e">
        <f>VLOOKUP($H635,'1. Set Program Names'!$B$2:$D$15,3,0)*AA635</f>
        <v>#N/A</v>
      </c>
      <c r="CB635" t="e">
        <f>VLOOKUP($H635,'1. Set Program Names'!$B$2:$D$15,3,0)*AB635</f>
        <v>#N/A</v>
      </c>
      <c r="CC635" t="e">
        <f>VLOOKUP($H635,'1. Set Program Names'!$B$2:$D$15,3,0)*AC635</f>
        <v>#N/A</v>
      </c>
      <c r="CD635" t="e">
        <f>VLOOKUP($H635,'1. Set Program Names'!$B$2:$D$15,3,0)*AD635</f>
        <v>#N/A</v>
      </c>
      <c r="CE635" t="e">
        <f>VLOOKUP($H635,'1. Set Program Names'!$B$2:$D$15,3,0)*AE635</f>
        <v>#N/A</v>
      </c>
    </row>
    <row r="636" spans="1:83" x14ac:dyDescent="0.25">
      <c r="A636" s="20" t="s">
        <v>116</v>
      </c>
      <c r="B636" s="20" t="s">
        <v>88</v>
      </c>
      <c r="C636" s="20" t="s">
        <v>122</v>
      </c>
      <c r="D636" s="20" t="s">
        <v>90</v>
      </c>
      <c r="E636" s="20" t="s">
        <v>91</v>
      </c>
      <c r="F636" s="20" t="s">
        <v>90</v>
      </c>
      <c r="G636" s="20" t="s">
        <v>92</v>
      </c>
      <c r="H636" s="20" t="s">
        <v>268</v>
      </c>
      <c r="I636" s="20" t="s">
        <v>131</v>
      </c>
      <c r="J636" s="20" t="s">
        <v>132</v>
      </c>
      <c r="K636" s="20" t="s">
        <v>102</v>
      </c>
      <c r="L636" s="20">
        <v>1121.1428571428501</v>
      </c>
      <c r="M636" s="20">
        <v>0</v>
      </c>
      <c r="N636" s="20">
        <v>0.20460408928759399</v>
      </c>
      <c r="O636" s="20">
        <v>313</v>
      </c>
      <c r="P636" s="20">
        <v>104.06901074138401</v>
      </c>
      <c r="Q636" s="20">
        <v>1.1211428571428499</v>
      </c>
      <c r="R636" s="20">
        <v>557.43130076035402</v>
      </c>
      <c r="S636" s="20">
        <v>1217.69575846672</v>
      </c>
      <c r="T636" s="20">
        <v>15</v>
      </c>
      <c r="U636" s="20">
        <v>1</v>
      </c>
      <c r="V636" s="20">
        <v>1.88641092068154</v>
      </c>
      <c r="W636" s="20">
        <v>1.7934270432180199</v>
      </c>
      <c r="X636" s="20">
        <v>1.6836488299989401</v>
      </c>
      <c r="Y636" s="20">
        <v>1.57339337450738</v>
      </c>
      <c r="Z636" s="20">
        <v>1.46344767127222</v>
      </c>
      <c r="AA636" s="20">
        <v>1.3534635125811301</v>
      </c>
      <c r="AB636" s="20">
        <v>1.24608500604047</v>
      </c>
      <c r="AC636" s="20">
        <v>1.1447617127505301</v>
      </c>
      <c r="AD636" s="20">
        <v>1.0506491829921101</v>
      </c>
      <c r="AE636" s="20">
        <v>0.96219824457039305</v>
      </c>
      <c r="AF636" t="str">
        <f t="shared" si="39"/>
        <v>NonResidential</v>
      </c>
      <c r="AG636" t="str">
        <f>tbl_Data_old[[#This Row],[All_Meas_Name_Append]]</f>
        <v>ECM Motors on Furnaces</v>
      </c>
      <c r="AH636">
        <f>AVERAGEIFS('3. Incentive Adjustment'!G:G,'3. Incentive Adjustment'!A:A,tbl_Data_old[[#This Row],[Trimmed Sector]],'3. Incentive Adjustment'!B:B,tbl_Data_old[[#This Row],[Trimmed Measure Name]])</f>
        <v>0.7827684764944346</v>
      </c>
      <c r="AI636">
        <f>$AH636*tbl_Data_old[[#This Row],[2025 ]]</f>
        <v>1.4766230024243527</v>
      </c>
      <c r="AJ636">
        <f>$AH636*tbl_Data_old[[#This Row],[2026 ]]</f>
        <v>1.403838154323688</v>
      </c>
      <c r="AK636">
        <f>$AH636*tbl_Data_old[[#This Row],[2027 ]]</f>
        <v>1.3179072296099077</v>
      </c>
      <c r="AL636">
        <f>$AH636*tbl_Data_old[[#This Row],[2028 ]]</f>
        <v>1.2316027346895793</v>
      </c>
      <c r="AM636">
        <f>$AH636*tbl_Data_old[[#This Row],[2029 ]]</f>
        <v>1.1455407040710837</v>
      </c>
      <c r="AN636">
        <f>$AH636*tbl_Data_old[[#This Row],[2030 ]]</f>
        <v>1.0594485717339372</v>
      </c>
      <c r="AO636">
        <f>$AH636*tbl_Data_old[[#This Row],[2031 ]]</f>
        <v>0.97539606176085702</v>
      </c>
      <c r="AP636">
        <f>$AH636*tbl_Data_old[[#This Row],[2032 ]]</f>
        <v>0.89608338183889202</v>
      </c>
      <c r="AQ636">
        <f>$AH636*tbl_Data_old[[#This Row],[2033 ]]</f>
        <v>0.82241506030085643</v>
      </c>
      <c r="AR636">
        <f>$AH636*tbl_Data_old[[#This Row],[2034 ]]</f>
        <v>0.75317845398798589</v>
      </c>
      <c r="AS636">
        <f>SUM(tbl_Data_old[[#This Row],[Adjusted 2025]:[Adjusted 2034]])</f>
        <v>11.08203335474114</v>
      </c>
      <c r="AT636" s="3">
        <f>AVERAGEIFS('3. Incentive Adjustment'!F:F,'3. Incentive Adjustment'!A:A,tbl_Data_old[[#This Row],[Trimmed Sector]],'3. Incentive Adjustment'!B:B,tbl_Data_old[[#This Row],[Trimmed Measure Name]])</f>
        <v>0</v>
      </c>
      <c r="AU636" s="3">
        <f>IFERROR(VLOOKUP(tbl_Data_old[[#This Row],[All_Meas_Name_Append]],'IRA Tax Credits'!$A$3:$D$46,4,0),0)</f>
        <v>0</v>
      </c>
      <c r="AV636" s="4">
        <f>tbl_Data_old[[#This Row],[Adj. per unit Incentive ($)]]/tbl_Data_old[[#This Row],[kWh Savings]]*tbl_Data_old[[#This Row],[Sum of Annuals]]</f>
        <v>0</v>
      </c>
      <c r="AW636" s="4" t="str">
        <f>IFERROR(VLOOKUP(tbl_Data_old[[#This Row],[All_Programs]],'1. Set Program Names'!$B$2:$D$15,3,0)*tbl_Data_old[[#This Row],[Sum of Annuals]],"")</f>
        <v/>
      </c>
      <c r="AX636" s="4">
        <f>tbl_Data_old[[#This Row],[per unit IRA tax ($)]]/tbl_Data_old[[#This Row],[kWh Savings]]*tbl_Data_old[[#This Row],[Sum of Annuals]]</f>
        <v>0</v>
      </c>
      <c r="AY636" s="4">
        <f>tbl_Data_old[[#This Row],[Avoided Costs ($/unit)]]/tbl_Data_old[[#This Row],[kWh Savings]]*tbl_Data_old[[#This Row],[Sum of Annuals]]</f>
        <v>5.5099778129486694</v>
      </c>
      <c r="AZ636" s="4">
        <f>tbl_Data_old[[#This Row],[Lost Revenue ($/unit)]]/tbl_Data_old[[#This Row],[kWh Savings]]*tbl_Data_old[[#This Row],[Sum of Annuals]]</f>
        <v>12.036418842862592</v>
      </c>
      <c r="BA636" s="4">
        <f>tbl_Data_old[[#This Row],[Incremental Cost ($/unit)]]/tbl_Data_old[[#This Row],[kWh Savings]]*tbl_Data_old[[#This Row],[Sum of Annuals]]</f>
        <v>3.0938755199080012</v>
      </c>
      <c r="BB636">
        <f>ROUNDUP(tbl_Data_old[[#This Row],[Adjusted 2025]]/$L636,0)</f>
        <v>1</v>
      </c>
      <c r="BC636">
        <f>ROUNDUP(tbl_Data_old[[#This Row],[Adjusted 2026]]/$L636,0)</f>
        <v>1</v>
      </c>
      <c r="BD636">
        <f>ROUNDUP(tbl_Data_old[[#This Row],[Adjusted 2027]]/$L636,0)</f>
        <v>1</v>
      </c>
      <c r="BE636">
        <f>ROUNDUP(tbl_Data_old[[#This Row],[Adjusted 2028]]/$L636,0)</f>
        <v>1</v>
      </c>
      <c r="BF636">
        <f>ROUNDUP(tbl_Data_old[[#This Row],[Adjusted 2029]]/$L636,0)</f>
        <v>1</v>
      </c>
      <c r="BG636">
        <f>ROUNDUP(tbl_Data_old[[#This Row],[Adjusted 2030]]/$L636,0)</f>
        <v>1</v>
      </c>
      <c r="BH636">
        <f>ROUNDUP(tbl_Data_old[[#This Row],[Adjusted 2031]]/$L636,0)</f>
        <v>1</v>
      </c>
      <c r="BI636">
        <f>ROUNDUP(tbl_Data_old[[#This Row],[Adjusted 2032]]/$L636,0)</f>
        <v>1</v>
      </c>
      <c r="BJ636">
        <f>ROUNDUP(tbl_Data_old[[#This Row],[Adjusted 2033]]/$L636,0)</f>
        <v>1</v>
      </c>
      <c r="BK636">
        <f>ROUNDUP(tbl_Data_old[[#This Row],[Adjusted 2034]]/$L636,0)</f>
        <v>1</v>
      </c>
      <c r="BL636" s="3">
        <f t="shared" si="42"/>
        <v>0</v>
      </c>
      <c r="BM636" s="3">
        <f t="shared" si="42"/>
        <v>0</v>
      </c>
      <c r="BN636" s="3">
        <f t="shared" si="42"/>
        <v>0</v>
      </c>
      <c r="BO636" s="3">
        <f t="shared" si="42"/>
        <v>0</v>
      </c>
      <c r="BP636" s="3">
        <f t="shared" si="42"/>
        <v>0</v>
      </c>
      <c r="BQ636" s="3">
        <f t="shared" si="42"/>
        <v>0</v>
      </c>
      <c r="BR636" s="3">
        <f t="shared" si="42"/>
        <v>0</v>
      </c>
      <c r="BS636" s="3">
        <f t="shared" si="42"/>
        <v>0</v>
      </c>
      <c r="BT636" s="3">
        <f t="shared" si="42"/>
        <v>0</v>
      </c>
      <c r="BU636" s="3">
        <f t="shared" si="42"/>
        <v>0</v>
      </c>
      <c r="BV636" t="e">
        <f>VLOOKUP($H636,'1. Set Program Names'!$B$2:$D$15,3,0)*V636</f>
        <v>#N/A</v>
      </c>
      <c r="BW636" t="e">
        <f>VLOOKUP($H636,'1. Set Program Names'!$B$2:$D$15,3,0)*W636</f>
        <v>#N/A</v>
      </c>
      <c r="BX636" t="e">
        <f>VLOOKUP($H636,'1. Set Program Names'!$B$2:$D$15,3,0)*X636</f>
        <v>#N/A</v>
      </c>
      <c r="BY636" t="e">
        <f>VLOOKUP($H636,'1. Set Program Names'!$B$2:$D$15,3,0)*Y636</f>
        <v>#N/A</v>
      </c>
      <c r="BZ636" t="e">
        <f>VLOOKUP($H636,'1. Set Program Names'!$B$2:$D$15,3,0)*Z636</f>
        <v>#N/A</v>
      </c>
      <c r="CA636" t="e">
        <f>VLOOKUP($H636,'1. Set Program Names'!$B$2:$D$15,3,0)*AA636</f>
        <v>#N/A</v>
      </c>
      <c r="CB636" t="e">
        <f>VLOOKUP($H636,'1. Set Program Names'!$B$2:$D$15,3,0)*AB636</f>
        <v>#N/A</v>
      </c>
      <c r="CC636" t="e">
        <f>VLOOKUP($H636,'1. Set Program Names'!$B$2:$D$15,3,0)*AC636</f>
        <v>#N/A</v>
      </c>
      <c r="CD636" t="e">
        <f>VLOOKUP($H636,'1. Set Program Names'!$B$2:$D$15,3,0)*AD636</f>
        <v>#N/A</v>
      </c>
      <c r="CE636" t="e">
        <f>VLOOKUP($H636,'1. Set Program Names'!$B$2:$D$15,3,0)*AE636</f>
        <v>#N/A</v>
      </c>
    </row>
    <row r="637" spans="1:83" x14ac:dyDescent="0.25">
      <c r="A637" s="20" t="s">
        <v>116</v>
      </c>
      <c r="B637" s="20" t="s">
        <v>88</v>
      </c>
      <c r="C637" s="20" t="s">
        <v>122</v>
      </c>
      <c r="D637" s="20" t="s">
        <v>90</v>
      </c>
      <c r="E637" s="20" t="s">
        <v>91</v>
      </c>
      <c r="F637" s="20" t="s">
        <v>90</v>
      </c>
      <c r="G637" s="20" t="s">
        <v>92</v>
      </c>
      <c r="H637" s="20" t="s">
        <v>268</v>
      </c>
      <c r="I637" s="20" t="s">
        <v>307</v>
      </c>
      <c r="J637" s="20" t="s">
        <v>137</v>
      </c>
      <c r="K637" s="20" t="s">
        <v>98</v>
      </c>
      <c r="L637" s="20">
        <v>1111.20999999999</v>
      </c>
      <c r="M637" s="20">
        <v>0.13640668324959701</v>
      </c>
      <c r="N637" s="20">
        <v>0.136388544932499</v>
      </c>
      <c r="O637" s="20">
        <v>412</v>
      </c>
      <c r="P637" s="20">
        <v>183.41637854330401</v>
      </c>
      <c r="Q637" s="20">
        <v>1.11120999999999</v>
      </c>
      <c r="R637" s="20">
        <v>480.86876845961399</v>
      </c>
      <c r="S637" s="20">
        <v>1206.90748297154</v>
      </c>
      <c r="T637" s="20">
        <v>15</v>
      </c>
      <c r="U637" s="20">
        <v>1</v>
      </c>
      <c r="V637" s="20">
        <v>4.9449788373649497</v>
      </c>
      <c r="W637" s="20">
        <v>6.8099336165359903</v>
      </c>
      <c r="X637" s="20">
        <v>8.9241398677458097</v>
      </c>
      <c r="Y637" s="20">
        <v>11.218613312789399</v>
      </c>
      <c r="Z637" s="20">
        <v>13.5306781745776</v>
      </c>
      <c r="AA637" s="20">
        <v>15.664671136449099</v>
      </c>
      <c r="AB637" s="20">
        <v>17.495721521391498</v>
      </c>
      <c r="AC637" s="20">
        <v>19.005687453098702</v>
      </c>
      <c r="AD637" s="20">
        <v>20.2172492354774</v>
      </c>
      <c r="AE637" s="20">
        <v>21.179761656367099</v>
      </c>
      <c r="AF637" t="str">
        <f t="shared" si="39"/>
        <v>NonResidential</v>
      </c>
      <c r="AG637" t="str">
        <f>tbl_Data_old[[#This Row],[All_Meas_Name_Append]]</f>
        <v>Efficient Battery Charger</v>
      </c>
      <c r="AH637">
        <f>AVERAGEIFS('3. Incentive Adjustment'!G:G,'3. Incentive Adjustment'!A:A,tbl_Data_old[[#This Row],[Trimmed Sector]],'3. Incentive Adjustment'!B:B,tbl_Data_old[[#This Row],[Trimmed Measure Name]])</f>
        <v>0.64693164144446047</v>
      </c>
      <c r="AI637">
        <f>$AH637*tbl_Data_old[[#This Row],[2025 ]]</f>
        <v>3.1990632761646265</v>
      </c>
      <c r="AJ637">
        <f>$AH637*tbl_Data_old[[#This Row],[2026 ]]</f>
        <v>4.4055615326734392</v>
      </c>
      <c r="AK637">
        <f>$AH637*tbl_Data_old[[#This Row],[2027 ]]</f>
        <v>5.7733084531207473</v>
      </c>
      <c r="AL637">
        <f>$AH637*tbl_Data_old[[#This Row],[2028 ]]</f>
        <v>7.2576759251735226</v>
      </c>
      <c r="AM637">
        <f>$AH637*tbl_Data_old[[#This Row],[2029 ]]</f>
        <v>8.7534238413362235</v>
      </c>
      <c r="AN637">
        <f>$AH637*tbl_Data_old[[#This Row],[2030 ]]</f>
        <v>10.133971410990679</v>
      </c>
      <c r="AO637">
        <f>$AH637*tbl_Data_old[[#This Row],[2031 ]]</f>
        <v>11.318535842088975</v>
      </c>
      <c r="AP637">
        <f>$AH637*tbl_Data_old[[#This Row],[2032 ]]</f>
        <v>12.29538058081353</v>
      </c>
      <c r="AQ637">
        <f>$AH637*tbl_Data_old[[#This Row],[2033 ]]</f>
        <v>13.079178233399158</v>
      </c>
      <c r="AR637">
        <f>$AH637*tbl_Data_old[[#This Row],[2034 ]]</f>
        <v>13.701857973756011</v>
      </c>
      <c r="AS637">
        <f>SUM(tbl_Data_old[[#This Row],[Adjusted 2025]:[Adjusted 2034]])</f>
        <v>89.917957069516916</v>
      </c>
      <c r="AT637" s="3">
        <f>AVERAGEIFS('3. Incentive Adjustment'!F:F,'3. Incentive Adjustment'!A:A,tbl_Data_old[[#This Row],[Trimmed Sector]],'3. Incentive Adjustment'!B:B,tbl_Data_old[[#This Row],[Trimmed Measure Name]])</f>
        <v>0</v>
      </c>
      <c r="AU637" s="3">
        <f>IFERROR(VLOOKUP(tbl_Data_old[[#This Row],[All_Meas_Name_Append]],'IRA Tax Credits'!$A$3:$D$46,4,0),0)</f>
        <v>0</v>
      </c>
      <c r="AV637" s="4">
        <f>tbl_Data_old[[#This Row],[Adj. per unit Incentive ($)]]/tbl_Data_old[[#This Row],[kWh Savings]]*tbl_Data_old[[#This Row],[Sum of Annuals]]</f>
        <v>0</v>
      </c>
      <c r="AW637" s="4" t="str">
        <f>IFERROR(VLOOKUP(tbl_Data_old[[#This Row],[All_Programs]],'1. Set Program Names'!$B$2:$D$15,3,0)*tbl_Data_old[[#This Row],[Sum of Annuals]],"")</f>
        <v/>
      </c>
      <c r="AX637" s="4">
        <f>tbl_Data_old[[#This Row],[per unit IRA tax ($)]]/tbl_Data_old[[#This Row],[kWh Savings]]*tbl_Data_old[[#This Row],[Sum of Annuals]]</f>
        <v>0</v>
      </c>
      <c r="AY637" s="4">
        <f>tbl_Data_old[[#This Row],[Avoided Costs ($/unit)]]/tbl_Data_old[[#This Row],[kWh Savings]]*tbl_Data_old[[#This Row],[Sum of Annuals]]</f>
        <v>38.911400435942284</v>
      </c>
      <c r="AZ637" s="4">
        <f>tbl_Data_old[[#This Row],[Lost Revenue ($/unit)]]/tbl_Data_old[[#This Row],[kWh Savings]]*tbl_Data_old[[#This Row],[Sum of Annuals]]</f>
        <v>97.661697825536692</v>
      </c>
      <c r="BA637" s="4">
        <f>tbl_Data_old[[#This Row],[Incremental Cost ($/unit)]]/tbl_Data_old[[#This Row],[kWh Savings]]*tbl_Data_old[[#This Row],[Sum of Annuals]]</f>
        <v>33.338611344967468</v>
      </c>
      <c r="BB637">
        <f>ROUNDUP(tbl_Data_old[[#This Row],[Adjusted 2025]]/$L637,0)</f>
        <v>1</v>
      </c>
      <c r="BC637">
        <f>ROUNDUP(tbl_Data_old[[#This Row],[Adjusted 2026]]/$L637,0)</f>
        <v>1</v>
      </c>
      <c r="BD637">
        <f>ROUNDUP(tbl_Data_old[[#This Row],[Adjusted 2027]]/$L637,0)</f>
        <v>1</v>
      </c>
      <c r="BE637">
        <f>ROUNDUP(tbl_Data_old[[#This Row],[Adjusted 2028]]/$L637,0)</f>
        <v>1</v>
      </c>
      <c r="BF637">
        <f>ROUNDUP(tbl_Data_old[[#This Row],[Adjusted 2029]]/$L637,0)</f>
        <v>1</v>
      </c>
      <c r="BG637">
        <f>ROUNDUP(tbl_Data_old[[#This Row],[Adjusted 2030]]/$L637,0)</f>
        <v>1</v>
      </c>
      <c r="BH637">
        <f>ROUNDUP(tbl_Data_old[[#This Row],[Adjusted 2031]]/$L637,0)</f>
        <v>1</v>
      </c>
      <c r="BI637">
        <f>ROUNDUP(tbl_Data_old[[#This Row],[Adjusted 2032]]/$L637,0)</f>
        <v>1</v>
      </c>
      <c r="BJ637">
        <f>ROUNDUP(tbl_Data_old[[#This Row],[Adjusted 2033]]/$L637,0)</f>
        <v>1</v>
      </c>
      <c r="BK637">
        <f>ROUNDUP(tbl_Data_old[[#This Row],[Adjusted 2034]]/$L637,0)</f>
        <v>1</v>
      </c>
      <c r="BL637" s="3">
        <f t="shared" si="42"/>
        <v>0</v>
      </c>
      <c r="BM637" s="3">
        <f t="shared" si="42"/>
        <v>0</v>
      </c>
      <c r="BN637" s="3">
        <f t="shared" si="42"/>
        <v>0</v>
      </c>
      <c r="BO637" s="3">
        <f t="shared" si="42"/>
        <v>0</v>
      </c>
      <c r="BP637" s="3">
        <f t="shared" si="42"/>
        <v>0</v>
      </c>
      <c r="BQ637" s="3">
        <f t="shared" si="42"/>
        <v>0</v>
      </c>
      <c r="BR637" s="3">
        <f t="shared" si="42"/>
        <v>0</v>
      </c>
      <c r="BS637" s="3">
        <f t="shared" si="42"/>
        <v>0</v>
      </c>
      <c r="BT637" s="3">
        <f t="shared" si="42"/>
        <v>0</v>
      </c>
      <c r="BU637" s="3">
        <f t="shared" si="42"/>
        <v>0</v>
      </c>
      <c r="BV637" t="e">
        <f>VLOOKUP($H637,'1. Set Program Names'!$B$2:$D$15,3,0)*V637</f>
        <v>#N/A</v>
      </c>
      <c r="BW637" t="e">
        <f>VLOOKUP($H637,'1. Set Program Names'!$B$2:$D$15,3,0)*W637</f>
        <v>#N/A</v>
      </c>
      <c r="BX637" t="e">
        <f>VLOOKUP($H637,'1. Set Program Names'!$B$2:$D$15,3,0)*X637</f>
        <v>#N/A</v>
      </c>
      <c r="BY637" t="e">
        <f>VLOOKUP($H637,'1. Set Program Names'!$B$2:$D$15,3,0)*Y637</f>
        <v>#N/A</v>
      </c>
      <c r="BZ637" t="e">
        <f>VLOOKUP($H637,'1. Set Program Names'!$B$2:$D$15,3,0)*Z637</f>
        <v>#N/A</v>
      </c>
      <c r="CA637" t="e">
        <f>VLOOKUP($H637,'1. Set Program Names'!$B$2:$D$15,3,0)*AA637</f>
        <v>#N/A</v>
      </c>
      <c r="CB637" t="e">
        <f>VLOOKUP($H637,'1. Set Program Names'!$B$2:$D$15,3,0)*AB637</f>
        <v>#N/A</v>
      </c>
      <c r="CC637" t="e">
        <f>VLOOKUP($H637,'1. Set Program Names'!$B$2:$D$15,3,0)*AC637</f>
        <v>#N/A</v>
      </c>
      <c r="CD637" t="e">
        <f>VLOOKUP($H637,'1. Set Program Names'!$B$2:$D$15,3,0)*AD637</f>
        <v>#N/A</v>
      </c>
      <c r="CE637" t="e">
        <f>VLOOKUP($H637,'1. Set Program Names'!$B$2:$D$15,3,0)*AE637</f>
        <v>#N/A</v>
      </c>
    </row>
    <row r="638" spans="1:83" x14ac:dyDescent="0.25">
      <c r="A638" s="20" t="s">
        <v>116</v>
      </c>
      <c r="B638" s="20" t="s">
        <v>88</v>
      </c>
      <c r="C638" s="20" t="s">
        <v>122</v>
      </c>
      <c r="D638" s="20" t="s">
        <v>90</v>
      </c>
      <c r="E638" s="20" t="s">
        <v>91</v>
      </c>
      <c r="F638" s="20" t="s">
        <v>90</v>
      </c>
      <c r="G638" s="20" t="s">
        <v>92</v>
      </c>
      <c r="H638" s="20" t="s">
        <v>268</v>
      </c>
      <c r="I638" s="20" t="s">
        <v>135</v>
      </c>
      <c r="J638" s="20" t="s">
        <v>134</v>
      </c>
      <c r="K638" s="20" t="s">
        <v>98</v>
      </c>
      <c r="L638" s="20">
        <v>6368</v>
      </c>
      <c r="M638" s="20">
        <v>0.60494632768604495</v>
      </c>
      <c r="N638" s="20">
        <v>0.53529110623606202</v>
      </c>
      <c r="O638" s="20">
        <v>1580</v>
      </c>
      <c r="P638" s="20">
        <v>270.05813353350197</v>
      </c>
      <c r="Q638" s="20">
        <v>6.3680000000000003</v>
      </c>
      <c r="R638" s="20">
        <v>1963.2041057461399</v>
      </c>
      <c r="S638" s="20">
        <v>5968.19517810463</v>
      </c>
      <c r="T638" s="20">
        <v>12</v>
      </c>
      <c r="U638" s="20">
        <v>1</v>
      </c>
      <c r="V638" s="20">
        <v>2.8004904000227402</v>
      </c>
      <c r="W638" s="20">
        <v>3.84611890222742</v>
      </c>
      <c r="X638" s="20">
        <v>5.0066357874746501</v>
      </c>
      <c r="Y638" s="20">
        <v>6.2302623085715902</v>
      </c>
      <c r="Z638" s="20">
        <v>7.4168566382044103</v>
      </c>
      <c r="AA638" s="20">
        <v>8.4631274878930505</v>
      </c>
      <c r="AB638" s="20">
        <v>9.30671762490962</v>
      </c>
      <c r="AC638" s="20">
        <v>9.9520288104257801</v>
      </c>
      <c r="AD638" s="20">
        <v>10.4299411468701</v>
      </c>
      <c r="AE638" s="20">
        <v>10.769179181456201</v>
      </c>
      <c r="AF638" t="str">
        <f t="shared" si="39"/>
        <v>NonResidential</v>
      </c>
      <c r="AG638" t="str">
        <f>tbl_Data_old[[#This Row],[All_Meas_Name_Append]]</f>
        <v>Energy Star Combination Oven</v>
      </c>
      <c r="AH638">
        <f>AVERAGEIFS('3. Incentive Adjustment'!G:G,'3. Incentive Adjustment'!A:A,tbl_Data_old[[#This Row],[Trimmed Sector]],'3. Incentive Adjustment'!B:B,tbl_Data_old[[#This Row],[Trimmed Measure Name]])</f>
        <v>0.89413714267910538</v>
      </c>
      <c r="AI638">
        <f>$AH638*tbl_Data_old[[#This Row],[2025 ]]</f>
        <v>2.5040224843765979</v>
      </c>
      <c r="AJ638">
        <f>$AH638*tbl_Data_old[[#This Row],[2026 ]]</f>
        <v>3.4389577656417227</v>
      </c>
      <c r="AK638">
        <f>$AH638*tbl_Data_old[[#This Row],[2027 ]]</f>
        <v>4.4766190174475362</v>
      </c>
      <c r="AL638">
        <f>$AH638*tbl_Data_old[[#This Row],[2028 ]]</f>
        <v>5.5707089387275284</v>
      </c>
      <c r="AM638">
        <f>$AH638*tbl_Data_old[[#This Row],[2029 ]]</f>
        <v>6.6316870021446466</v>
      </c>
      <c r="AN638">
        <f>$AH638*tbl_Data_old[[#This Row],[2030 ]]</f>
        <v>7.5671966301536875</v>
      </c>
      <c r="AO638">
        <f>$AH638*tbl_Data_old[[#This Row],[2031 ]]</f>
        <v>8.3214819048579578</v>
      </c>
      <c r="AP638">
        <f>$AH638*tbl_Data_old[[#This Row],[2032 ]]</f>
        <v>8.8984786044142439</v>
      </c>
      <c r="AQ638">
        <f>$AH638*tbl_Data_old[[#This Row],[2033 ]]</f>
        <v>9.3257977753736618</v>
      </c>
      <c r="AR638">
        <f>$AH638*tbl_Data_old[[#This Row],[2034 ]]</f>
        <v>9.6291231023065542</v>
      </c>
      <c r="AS638">
        <f>SUM(tbl_Data_old[[#This Row],[Adjusted 2025]:[Adjusted 2034]])</f>
        <v>66.364073225444145</v>
      </c>
      <c r="AT638" s="3">
        <f>AVERAGEIFS('3. Incentive Adjustment'!F:F,'3. Incentive Adjustment'!A:A,tbl_Data_old[[#This Row],[Trimmed Sector]],'3. Incentive Adjustment'!B:B,tbl_Data_old[[#This Row],[Trimmed Measure Name]])</f>
        <v>0</v>
      </c>
      <c r="AU638" s="3">
        <f>IFERROR(VLOOKUP(tbl_Data_old[[#This Row],[All_Meas_Name_Append]],'IRA Tax Credits'!$A$3:$D$46,4,0),0)</f>
        <v>0</v>
      </c>
      <c r="AV638" s="4">
        <f>tbl_Data_old[[#This Row],[Adj. per unit Incentive ($)]]/tbl_Data_old[[#This Row],[kWh Savings]]*tbl_Data_old[[#This Row],[Sum of Annuals]]</f>
        <v>0</v>
      </c>
      <c r="AW638" s="4" t="str">
        <f>IFERROR(VLOOKUP(tbl_Data_old[[#This Row],[All_Programs]],'1. Set Program Names'!$B$2:$D$15,3,0)*tbl_Data_old[[#This Row],[Sum of Annuals]],"")</f>
        <v/>
      </c>
      <c r="AX638" s="4">
        <f>tbl_Data_old[[#This Row],[per unit IRA tax ($)]]/tbl_Data_old[[#This Row],[kWh Savings]]*tbl_Data_old[[#This Row],[Sum of Annuals]]</f>
        <v>0</v>
      </c>
      <c r="AY638" s="4">
        <f>tbl_Data_old[[#This Row],[Avoided Costs ($/unit)]]/tbl_Data_old[[#This Row],[kWh Savings]]*tbl_Data_old[[#This Row],[Sum of Annuals]]</f>
        <v>20.459519634144065</v>
      </c>
      <c r="AZ638" s="4">
        <f>tbl_Data_old[[#This Row],[Lost Revenue ($/unit)]]/tbl_Data_old[[#This Row],[kWh Savings]]*tbl_Data_old[[#This Row],[Sum of Annuals]]</f>
        <v>62.197509708460792</v>
      </c>
      <c r="BA638" s="4">
        <f>tbl_Data_old[[#This Row],[Incremental Cost ($/unit)]]/tbl_Data_old[[#This Row],[kWh Savings]]*tbl_Data_old[[#This Row],[Sum of Annuals]]</f>
        <v>16.465960379428665</v>
      </c>
      <c r="BB638">
        <f>ROUNDUP(tbl_Data_old[[#This Row],[Adjusted 2025]]/$L638,0)</f>
        <v>1</v>
      </c>
      <c r="BC638">
        <f>ROUNDUP(tbl_Data_old[[#This Row],[Adjusted 2026]]/$L638,0)</f>
        <v>1</v>
      </c>
      <c r="BD638">
        <f>ROUNDUP(tbl_Data_old[[#This Row],[Adjusted 2027]]/$L638,0)</f>
        <v>1</v>
      </c>
      <c r="BE638">
        <f>ROUNDUP(tbl_Data_old[[#This Row],[Adjusted 2028]]/$L638,0)</f>
        <v>1</v>
      </c>
      <c r="BF638">
        <f>ROUNDUP(tbl_Data_old[[#This Row],[Adjusted 2029]]/$L638,0)</f>
        <v>1</v>
      </c>
      <c r="BG638">
        <f>ROUNDUP(tbl_Data_old[[#This Row],[Adjusted 2030]]/$L638,0)</f>
        <v>1</v>
      </c>
      <c r="BH638">
        <f>ROUNDUP(tbl_Data_old[[#This Row],[Adjusted 2031]]/$L638,0)</f>
        <v>1</v>
      </c>
      <c r="BI638">
        <f>ROUNDUP(tbl_Data_old[[#This Row],[Adjusted 2032]]/$L638,0)</f>
        <v>1</v>
      </c>
      <c r="BJ638">
        <f>ROUNDUP(tbl_Data_old[[#This Row],[Adjusted 2033]]/$L638,0)</f>
        <v>1</v>
      </c>
      <c r="BK638">
        <f>ROUNDUP(tbl_Data_old[[#This Row],[Adjusted 2034]]/$L638,0)</f>
        <v>1</v>
      </c>
      <c r="BL638" s="3">
        <f t="shared" si="42"/>
        <v>0</v>
      </c>
      <c r="BM638" s="3">
        <f t="shared" si="42"/>
        <v>0</v>
      </c>
      <c r="BN638" s="3">
        <f t="shared" si="42"/>
        <v>0</v>
      </c>
      <c r="BO638" s="3">
        <f t="shared" si="42"/>
        <v>0</v>
      </c>
      <c r="BP638" s="3">
        <f t="shared" si="42"/>
        <v>0</v>
      </c>
      <c r="BQ638" s="3">
        <f t="shared" si="42"/>
        <v>0</v>
      </c>
      <c r="BR638" s="3">
        <f t="shared" si="42"/>
        <v>0</v>
      </c>
      <c r="BS638" s="3">
        <f t="shared" si="42"/>
        <v>0</v>
      </c>
      <c r="BT638" s="3">
        <f t="shared" si="42"/>
        <v>0</v>
      </c>
      <c r="BU638" s="3">
        <f t="shared" si="42"/>
        <v>0</v>
      </c>
      <c r="BV638" t="e">
        <f>VLOOKUP($H638,'1. Set Program Names'!$B$2:$D$15,3,0)*V638</f>
        <v>#N/A</v>
      </c>
      <c r="BW638" t="e">
        <f>VLOOKUP($H638,'1. Set Program Names'!$B$2:$D$15,3,0)*W638</f>
        <v>#N/A</v>
      </c>
      <c r="BX638" t="e">
        <f>VLOOKUP($H638,'1. Set Program Names'!$B$2:$D$15,3,0)*X638</f>
        <v>#N/A</v>
      </c>
      <c r="BY638" t="e">
        <f>VLOOKUP($H638,'1. Set Program Names'!$B$2:$D$15,3,0)*Y638</f>
        <v>#N/A</v>
      </c>
      <c r="BZ638" t="e">
        <f>VLOOKUP($H638,'1. Set Program Names'!$B$2:$D$15,3,0)*Z638</f>
        <v>#N/A</v>
      </c>
      <c r="CA638" t="e">
        <f>VLOOKUP($H638,'1. Set Program Names'!$B$2:$D$15,3,0)*AA638</f>
        <v>#N/A</v>
      </c>
      <c r="CB638" t="e">
        <f>VLOOKUP($H638,'1. Set Program Names'!$B$2:$D$15,3,0)*AB638</f>
        <v>#N/A</v>
      </c>
      <c r="CC638" t="e">
        <f>VLOOKUP($H638,'1. Set Program Names'!$B$2:$D$15,3,0)*AC638</f>
        <v>#N/A</v>
      </c>
      <c r="CD638" t="e">
        <f>VLOOKUP($H638,'1. Set Program Names'!$B$2:$D$15,3,0)*AD638</f>
        <v>#N/A</v>
      </c>
      <c r="CE638" t="e">
        <f>VLOOKUP($H638,'1. Set Program Names'!$B$2:$D$15,3,0)*AE638</f>
        <v>#N/A</v>
      </c>
    </row>
    <row r="639" spans="1:83" x14ac:dyDescent="0.25">
      <c r="A639" s="20" t="s">
        <v>116</v>
      </c>
      <c r="B639" s="20" t="s">
        <v>88</v>
      </c>
      <c r="C639" s="20" t="s">
        <v>122</v>
      </c>
      <c r="D639" s="20" t="s">
        <v>90</v>
      </c>
      <c r="E639" s="20" t="s">
        <v>91</v>
      </c>
      <c r="F639" s="20" t="s">
        <v>90</v>
      </c>
      <c r="G639" s="20" t="s">
        <v>92</v>
      </c>
      <c r="H639" s="20" t="s">
        <v>268</v>
      </c>
      <c r="I639" s="20" t="s">
        <v>136</v>
      </c>
      <c r="J639" s="20" t="s">
        <v>137</v>
      </c>
      <c r="K639" s="20" t="s">
        <v>104</v>
      </c>
      <c r="L639" s="20">
        <v>810.099999999999</v>
      </c>
      <c r="M639" s="20">
        <v>0.128563724196602</v>
      </c>
      <c r="N639" s="20">
        <v>0.13252898089850401</v>
      </c>
      <c r="O639" s="20">
        <v>224</v>
      </c>
      <c r="P639" s="20">
        <v>57.356798677055799</v>
      </c>
      <c r="Q639" s="20">
        <v>0.81009999999999904</v>
      </c>
      <c r="R639" s="20">
        <v>239.61317678792901</v>
      </c>
      <c r="S639" s="20">
        <v>505.19538551625698</v>
      </c>
      <c r="T639" s="20">
        <v>7</v>
      </c>
      <c r="U639" s="20">
        <v>1</v>
      </c>
      <c r="V639" s="20">
        <v>3.3245875363255002</v>
      </c>
      <c r="W639" s="20">
        <v>4.62372113733284</v>
      </c>
      <c r="X639" s="20">
        <v>6.0859141955018998</v>
      </c>
      <c r="Y639" s="20">
        <v>7.6554631582668602</v>
      </c>
      <c r="Z639" s="20">
        <v>9.2145271250788596</v>
      </c>
      <c r="AA639" s="20">
        <v>10.6283918628615</v>
      </c>
      <c r="AB639" s="20">
        <v>11.8178755312608</v>
      </c>
      <c r="AC639" s="20">
        <v>12.7805537612776</v>
      </c>
      <c r="AD639" s="20">
        <v>13.541127910435501</v>
      </c>
      <c r="AE639" s="20">
        <v>14.138914077332799</v>
      </c>
      <c r="AF639" t="str">
        <f t="shared" si="39"/>
        <v>NonResidential</v>
      </c>
      <c r="AG639" t="str">
        <f>tbl_Data_old[[#This Row],[All_Meas_Name_Append]]</f>
        <v>Energy Star Commercial Clothes Washer</v>
      </c>
      <c r="AH639">
        <f>AVERAGEIFS('3. Incentive Adjustment'!G:G,'3. Incentive Adjustment'!A:A,tbl_Data_old[[#This Row],[Trimmed Sector]],'3. Incentive Adjustment'!B:B,tbl_Data_old[[#This Row],[Trimmed Measure Name]])</f>
        <v>0.82959886877160749</v>
      </c>
      <c r="AI639">
        <f>$AH639*tbl_Data_old[[#This Row],[2025 ]]</f>
        <v>2.7580740592678206</v>
      </c>
      <c r="AJ639">
        <f>$AH639*tbl_Data_old[[#This Row],[2026 ]]</f>
        <v>3.8358338250466946</v>
      </c>
      <c r="AK639">
        <f>$AH639*tbl_Data_old[[#This Row],[2027 ]]</f>
        <v>5.048867532029444</v>
      </c>
      <c r="AL639">
        <f>$AH639*tbl_Data_old[[#This Row],[2028 ]]</f>
        <v>6.3509635760209049</v>
      </c>
      <c r="AM639">
        <f>$AH639*tbl_Data_old[[#This Row],[2029 ]]</f>
        <v>7.6443612792307141</v>
      </c>
      <c r="AN639">
        <f>$AH639*tbl_Data_old[[#This Row],[2030 ]]</f>
        <v>8.8173018662912579</v>
      </c>
      <c r="AO639">
        <f>$AH639*tbl_Data_old[[#This Row],[2031 ]]</f>
        <v>9.8040961720176192</v>
      </c>
      <c r="AP639">
        <f>$AH639*tbl_Data_old[[#This Row],[2032 ]]</f>
        <v>10.60273294263061</v>
      </c>
      <c r="AQ639">
        <f>$AH639*tbl_Data_old[[#This Row],[2033 ]]</f>
        <v>11.233704396388932</v>
      </c>
      <c r="AR639">
        <f>$AH639*tbl_Data_old[[#This Row],[2034 ]]</f>
        <v>11.729627124214247</v>
      </c>
      <c r="AS639">
        <f>SUM(tbl_Data_old[[#This Row],[Adjusted 2025]:[Adjusted 2034]])</f>
        <v>77.825562773138245</v>
      </c>
      <c r="AT639" s="3">
        <f>AVERAGEIFS('3. Incentive Adjustment'!F:F,'3. Incentive Adjustment'!A:A,tbl_Data_old[[#This Row],[Trimmed Sector]],'3. Incentive Adjustment'!B:B,tbl_Data_old[[#This Row],[Trimmed Measure Name]])</f>
        <v>0</v>
      </c>
      <c r="AU639" s="3">
        <f>IFERROR(VLOOKUP(tbl_Data_old[[#This Row],[All_Meas_Name_Append]],'IRA Tax Credits'!$A$3:$D$46,4,0),0)</f>
        <v>0</v>
      </c>
      <c r="AV639" s="4">
        <f>tbl_Data_old[[#This Row],[Adj. per unit Incentive ($)]]/tbl_Data_old[[#This Row],[kWh Savings]]*tbl_Data_old[[#This Row],[Sum of Annuals]]</f>
        <v>0</v>
      </c>
      <c r="AW639" s="4" t="str">
        <f>IFERROR(VLOOKUP(tbl_Data_old[[#This Row],[All_Programs]],'1. Set Program Names'!$B$2:$D$15,3,0)*tbl_Data_old[[#This Row],[Sum of Annuals]],"")</f>
        <v/>
      </c>
      <c r="AX639" s="4">
        <f>tbl_Data_old[[#This Row],[per unit IRA tax ($)]]/tbl_Data_old[[#This Row],[kWh Savings]]*tbl_Data_old[[#This Row],[Sum of Annuals]]</f>
        <v>0</v>
      </c>
      <c r="AY639" s="4">
        <f>tbl_Data_old[[#This Row],[Avoided Costs ($/unit)]]/tbl_Data_old[[#This Row],[kWh Savings]]*tbl_Data_old[[#This Row],[Sum of Annuals]]</f>
        <v>23.019417764942681</v>
      </c>
      <c r="AZ639" s="4">
        <f>tbl_Data_old[[#This Row],[Lost Revenue ($/unit)]]/tbl_Data_old[[#This Row],[kWh Savings]]*tbl_Data_old[[#This Row],[Sum of Annuals]]</f>
        <v>48.533656571034783</v>
      </c>
      <c r="BA639" s="4">
        <f>tbl_Data_old[[#This Row],[Incremental Cost ($/unit)]]/tbl_Data_old[[#This Row],[kWh Savings]]*tbl_Data_old[[#This Row],[Sum of Annuals]]</f>
        <v>21.519474214520418</v>
      </c>
      <c r="BB639">
        <f>ROUNDUP(tbl_Data_old[[#This Row],[Adjusted 2025]]/$L639,0)</f>
        <v>1</v>
      </c>
      <c r="BC639">
        <f>ROUNDUP(tbl_Data_old[[#This Row],[Adjusted 2026]]/$L639,0)</f>
        <v>1</v>
      </c>
      <c r="BD639">
        <f>ROUNDUP(tbl_Data_old[[#This Row],[Adjusted 2027]]/$L639,0)</f>
        <v>1</v>
      </c>
      <c r="BE639">
        <f>ROUNDUP(tbl_Data_old[[#This Row],[Adjusted 2028]]/$L639,0)</f>
        <v>1</v>
      </c>
      <c r="BF639">
        <f>ROUNDUP(tbl_Data_old[[#This Row],[Adjusted 2029]]/$L639,0)</f>
        <v>1</v>
      </c>
      <c r="BG639">
        <f>ROUNDUP(tbl_Data_old[[#This Row],[Adjusted 2030]]/$L639,0)</f>
        <v>1</v>
      </c>
      <c r="BH639">
        <f>ROUNDUP(tbl_Data_old[[#This Row],[Adjusted 2031]]/$L639,0)</f>
        <v>1</v>
      </c>
      <c r="BI639">
        <f>ROUNDUP(tbl_Data_old[[#This Row],[Adjusted 2032]]/$L639,0)</f>
        <v>1</v>
      </c>
      <c r="BJ639">
        <f>ROUNDUP(tbl_Data_old[[#This Row],[Adjusted 2033]]/$L639,0)</f>
        <v>1</v>
      </c>
      <c r="BK639">
        <f>ROUNDUP(tbl_Data_old[[#This Row],[Adjusted 2034]]/$L639,0)</f>
        <v>1</v>
      </c>
      <c r="BL639" s="3">
        <f t="shared" si="42"/>
        <v>0</v>
      </c>
      <c r="BM639" s="3">
        <f t="shared" si="42"/>
        <v>0</v>
      </c>
      <c r="BN639" s="3">
        <f t="shared" si="42"/>
        <v>0</v>
      </c>
      <c r="BO639" s="3">
        <f t="shared" si="42"/>
        <v>0</v>
      </c>
      <c r="BP639" s="3">
        <f t="shared" si="42"/>
        <v>0</v>
      </c>
      <c r="BQ639" s="3">
        <f t="shared" si="42"/>
        <v>0</v>
      </c>
      <c r="BR639" s="3">
        <f t="shared" si="42"/>
        <v>0</v>
      </c>
      <c r="BS639" s="3">
        <f t="shared" si="42"/>
        <v>0</v>
      </c>
      <c r="BT639" s="3">
        <f t="shared" si="42"/>
        <v>0</v>
      </c>
      <c r="BU639" s="3">
        <f t="shared" si="42"/>
        <v>0</v>
      </c>
      <c r="BV639" t="e">
        <f>VLOOKUP($H639,'1. Set Program Names'!$B$2:$D$15,3,0)*V639</f>
        <v>#N/A</v>
      </c>
      <c r="BW639" t="e">
        <f>VLOOKUP($H639,'1. Set Program Names'!$B$2:$D$15,3,0)*W639</f>
        <v>#N/A</v>
      </c>
      <c r="BX639" t="e">
        <f>VLOOKUP($H639,'1. Set Program Names'!$B$2:$D$15,3,0)*X639</f>
        <v>#N/A</v>
      </c>
      <c r="BY639" t="e">
        <f>VLOOKUP($H639,'1. Set Program Names'!$B$2:$D$15,3,0)*Y639</f>
        <v>#N/A</v>
      </c>
      <c r="BZ639" t="e">
        <f>VLOOKUP($H639,'1. Set Program Names'!$B$2:$D$15,3,0)*Z639</f>
        <v>#N/A</v>
      </c>
      <c r="CA639" t="e">
        <f>VLOOKUP($H639,'1. Set Program Names'!$B$2:$D$15,3,0)*AA639</f>
        <v>#N/A</v>
      </c>
      <c r="CB639" t="e">
        <f>VLOOKUP($H639,'1. Set Program Names'!$B$2:$D$15,3,0)*AB639</f>
        <v>#N/A</v>
      </c>
      <c r="CC639" t="e">
        <f>VLOOKUP($H639,'1. Set Program Names'!$B$2:$D$15,3,0)*AC639</f>
        <v>#N/A</v>
      </c>
      <c r="CD639" t="e">
        <f>VLOOKUP($H639,'1. Set Program Names'!$B$2:$D$15,3,0)*AD639</f>
        <v>#N/A</v>
      </c>
      <c r="CE639" t="e">
        <f>VLOOKUP($H639,'1. Set Program Names'!$B$2:$D$15,3,0)*AE639</f>
        <v>#N/A</v>
      </c>
    </row>
    <row r="640" spans="1:83" x14ac:dyDescent="0.25">
      <c r="A640" s="20" t="s">
        <v>116</v>
      </c>
      <c r="B640" s="20" t="s">
        <v>88</v>
      </c>
      <c r="C640" s="20" t="s">
        <v>122</v>
      </c>
      <c r="D640" s="20" t="s">
        <v>90</v>
      </c>
      <c r="E640" s="20" t="s">
        <v>91</v>
      </c>
      <c r="F640" s="20" t="s">
        <v>90</v>
      </c>
      <c r="G640" s="20" t="s">
        <v>92</v>
      </c>
      <c r="H640" s="20" t="s">
        <v>268</v>
      </c>
      <c r="I640" s="20" t="s">
        <v>138</v>
      </c>
      <c r="J640" s="20" t="s">
        <v>124</v>
      </c>
      <c r="K640" s="20" t="s">
        <v>98</v>
      </c>
      <c r="L640" s="20">
        <v>4708.5</v>
      </c>
      <c r="M640" s="20">
        <v>0.683430781395169</v>
      </c>
      <c r="N640" s="20">
        <v>0.60632419999120102</v>
      </c>
      <c r="O640" s="20">
        <v>1154.6399999999901</v>
      </c>
      <c r="P640" s="20">
        <v>186.06881936911</v>
      </c>
      <c r="Q640" s="20">
        <v>4.7084999999999999</v>
      </c>
      <c r="R640" s="20">
        <v>1872.3805627056299</v>
      </c>
      <c r="S640" s="20">
        <v>4412.8842644638298</v>
      </c>
      <c r="T640" s="20">
        <v>12</v>
      </c>
      <c r="U640" s="20">
        <v>1</v>
      </c>
      <c r="V640" s="20">
        <v>3.9961486146743499</v>
      </c>
      <c r="W640" s="20">
        <v>5.5279765339907696</v>
      </c>
      <c r="X640" s="20">
        <v>7.2498099146897204</v>
      </c>
      <c r="Y640" s="20">
        <v>9.0894846418318807</v>
      </c>
      <c r="Z640" s="20">
        <v>10.901445441677501</v>
      </c>
      <c r="AA640" s="20">
        <v>12.5326073292335</v>
      </c>
      <c r="AB640" s="20">
        <v>13.8845895932592</v>
      </c>
      <c r="AC640" s="20">
        <v>14.957583562843199</v>
      </c>
      <c r="AD640" s="20">
        <v>15.793401725195499</v>
      </c>
      <c r="AE640" s="20">
        <v>16.42879047928</v>
      </c>
      <c r="AF640" t="str">
        <f t="shared" si="39"/>
        <v>NonResidential</v>
      </c>
      <c r="AG640" t="str">
        <f>tbl_Data_old[[#This Row],[All_Meas_Name_Append]]</f>
        <v>Energy Star Commercial Glass Door Freezer</v>
      </c>
      <c r="AH640">
        <f>AVERAGEIFS('3. Incentive Adjustment'!G:G,'3. Incentive Adjustment'!A:A,tbl_Data_old[[#This Row],[Trimmed Sector]],'3. Incentive Adjustment'!B:B,tbl_Data_old[[#This Row],[Trimmed Measure Name]])</f>
        <v>0.90098363397891501</v>
      </c>
      <c r="AI640">
        <f>$AH640*tbl_Data_old[[#This Row],[2025 ]]</f>
        <v>3.6004645007691027</v>
      </c>
      <c r="AJ640">
        <f>$AH640*tbl_Data_old[[#This Row],[2026 ]]</f>
        <v>4.9806163861451704</v>
      </c>
      <c r="AK640">
        <f>$AH640*tbl_Data_old[[#This Row],[2027 ]]</f>
        <v>6.5319600825935122</v>
      </c>
      <c r="AL640">
        <f>$AH640*tbl_Data_old[[#This Row],[2028 ]]</f>
        <v>8.1894769035932242</v>
      </c>
      <c r="AM640">
        <f>$AH640*tbl_Data_old[[#This Row],[2029 ]]</f>
        <v>9.8220239296654732</v>
      </c>
      <c r="AN640">
        <f>$AH640*tbl_Data_old[[#This Row],[2030 ]]</f>
        <v>11.291674094723582</v>
      </c>
      <c r="AO640">
        <f>$AH640*tbl_Data_old[[#This Row],[2031 ]]</f>
        <v>12.5097879880405</v>
      </c>
      <c r="AP640">
        <f>$AH640*tbl_Data_old[[#This Row],[2032 ]]</f>
        <v>13.476537993993752</v>
      </c>
      <c r="AQ640">
        <f>$AH640*tbl_Data_old[[#This Row],[2033 ]]</f>
        <v>14.229596479255507</v>
      </c>
      <c r="AR640">
        <f>$AH640*tbl_Data_old[[#This Row],[2034 ]]</f>
        <v>14.802071347899895</v>
      </c>
      <c r="AS640">
        <f>SUM(tbl_Data_old[[#This Row],[Adjusted 2025]:[Adjusted 2034]])</f>
        <v>99.434209706679724</v>
      </c>
      <c r="AT640" s="3">
        <f>AVERAGEIFS('3. Incentive Adjustment'!F:F,'3. Incentive Adjustment'!A:A,tbl_Data_old[[#This Row],[Trimmed Sector]],'3. Incentive Adjustment'!B:B,tbl_Data_old[[#This Row],[Trimmed Measure Name]])</f>
        <v>0</v>
      </c>
      <c r="AU640" s="3">
        <f>IFERROR(VLOOKUP(tbl_Data_old[[#This Row],[All_Meas_Name_Append]],'IRA Tax Credits'!$A$3:$D$46,4,0),0)</f>
        <v>0</v>
      </c>
      <c r="AV640" s="4">
        <f>tbl_Data_old[[#This Row],[Adj. per unit Incentive ($)]]/tbl_Data_old[[#This Row],[kWh Savings]]*tbl_Data_old[[#This Row],[Sum of Annuals]]</f>
        <v>0</v>
      </c>
      <c r="AW640" s="4" t="str">
        <f>IFERROR(VLOOKUP(tbl_Data_old[[#This Row],[All_Programs]],'1. Set Program Names'!$B$2:$D$15,3,0)*tbl_Data_old[[#This Row],[Sum of Annuals]],"")</f>
        <v/>
      </c>
      <c r="AX640" s="4">
        <f>tbl_Data_old[[#This Row],[per unit IRA tax ($)]]/tbl_Data_old[[#This Row],[kWh Savings]]*tbl_Data_old[[#This Row],[Sum of Annuals]]</f>
        <v>0</v>
      </c>
      <c r="AY640" s="4">
        <f>tbl_Data_old[[#This Row],[Avoided Costs ($/unit)]]/tbl_Data_old[[#This Row],[kWh Savings]]*tbl_Data_old[[#This Row],[Sum of Annuals]]</f>
        <v>39.540975156160684</v>
      </c>
      <c r="AZ640" s="4">
        <f>tbl_Data_old[[#This Row],[Lost Revenue ($/unit)]]/tbl_Data_old[[#This Row],[kWh Savings]]*tbl_Data_old[[#This Row],[Sum of Annuals]]</f>
        <v>93.191389904216535</v>
      </c>
      <c r="BA640" s="4">
        <f>tbl_Data_old[[#This Row],[Incremental Cost ($/unit)]]/tbl_Data_old[[#This Row],[kWh Savings]]*tbl_Data_old[[#This Row],[Sum of Annuals]]</f>
        <v>24.383713687101984</v>
      </c>
      <c r="BB640">
        <f>ROUNDUP(tbl_Data_old[[#This Row],[Adjusted 2025]]/$L640,0)</f>
        <v>1</v>
      </c>
      <c r="BC640">
        <f>ROUNDUP(tbl_Data_old[[#This Row],[Adjusted 2026]]/$L640,0)</f>
        <v>1</v>
      </c>
      <c r="BD640">
        <f>ROUNDUP(tbl_Data_old[[#This Row],[Adjusted 2027]]/$L640,0)</f>
        <v>1</v>
      </c>
      <c r="BE640">
        <f>ROUNDUP(tbl_Data_old[[#This Row],[Adjusted 2028]]/$L640,0)</f>
        <v>1</v>
      </c>
      <c r="BF640">
        <f>ROUNDUP(tbl_Data_old[[#This Row],[Adjusted 2029]]/$L640,0)</f>
        <v>1</v>
      </c>
      <c r="BG640">
        <f>ROUNDUP(tbl_Data_old[[#This Row],[Adjusted 2030]]/$L640,0)</f>
        <v>1</v>
      </c>
      <c r="BH640">
        <f>ROUNDUP(tbl_Data_old[[#This Row],[Adjusted 2031]]/$L640,0)</f>
        <v>1</v>
      </c>
      <c r="BI640">
        <f>ROUNDUP(tbl_Data_old[[#This Row],[Adjusted 2032]]/$L640,0)</f>
        <v>1</v>
      </c>
      <c r="BJ640">
        <f>ROUNDUP(tbl_Data_old[[#This Row],[Adjusted 2033]]/$L640,0)</f>
        <v>1</v>
      </c>
      <c r="BK640">
        <f>ROUNDUP(tbl_Data_old[[#This Row],[Adjusted 2034]]/$L640,0)</f>
        <v>1</v>
      </c>
      <c r="BL640" s="3">
        <f t="shared" si="42"/>
        <v>0</v>
      </c>
      <c r="BM640" s="3">
        <f t="shared" si="42"/>
        <v>0</v>
      </c>
      <c r="BN640" s="3">
        <f t="shared" si="42"/>
        <v>0</v>
      </c>
      <c r="BO640" s="3">
        <f t="shared" si="42"/>
        <v>0</v>
      </c>
      <c r="BP640" s="3">
        <f t="shared" si="42"/>
        <v>0</v>
      </c>
      <c r="BQ640" s="3">
        <f t="shared" si="42"/>
        <v>0</v>
      </c>
      <c r="BR640" s="3">
        <f t="shared" si="42"/>
        <v>0</v>
      </c>
      <c r="BS640" s="3">
        <f t="shared" si="42"/>
        <v>0</v>
      </c>
      <c r="BT640" s="3">
        <f t="shared" si="42"/>
        <v>0</v>
      </c>
      <c r="BU640" s="3">
        <f t="shared" si="42"/>
        <v>0</v>
      </c>
      <c r="BV640" t="e">
        <f>VLOOKUP($H640,'1. Set Program Names'!$B$2:$D$15,3,0)*V640</f>
        <v>#N/A</v>
      </c>
      <c r="BW640" t="e">
        <f>VLOOKUP($H640,'1. Set Program Names'!$B$2:$D$15,3,0)*W640</f>
        <v>#N/A</v>
      </c>
      <c r="BX640" t="e">
        <f>VLOOKUP($H640,'1. Set Program Names'!$B$2:$D$15,3,0)*X640</f>
        <v>#N/A</v>
      </c>
      <c r="BY640" t="e">
        <f>VLOOKUP($H640,'1. Set Program Names'!$B$2:$D$15,3,0)*Y640</f>
        <v>#N/A</v>
      </c>
      <c r="BZ640" t="e">
        <f>VLOOKUP($H640,'1. Set Program Names'!$B$2:$D$15,3,0)*Z640</f>
        <v>#N/A</v>
      </c>
      <c r="CA640" t="e">
        <f>VLOOKUP($H640,'1. Set Program Names'!$B$2:$D$15,3,0)*AA640</f>
        <v>#N/A</v>
      </c>
      <c r="CB640" t="e">
        <f>VLOOKUP($H640,'1. Set Program Names'!$B$2:$D$15,3,0)*AB640</f>
        <v>#N/A</v>
      </c>
      <c r="CC640" t="e">
        <f>VLOOKUP($H640,'1. Set Program Names'!$B$2:$D$15,3,0)*AC640</f>
        <v>#N/A</v>
      </c>
      <c r="CD640" t="e">
        <f>VLOOKUP($H640,'1. Set Program Names'!$B$2:$D$15,3,0)*AD640</f>
        <v>#N/A</v>
      </c>
      <c r="CE640" t="e">
        <f>VLOOKUP($H640,'1. Set Program Names'!$B$2:$D$15,3,0)*AE640</f>
        <v>#N/A</v>
      </c>
    </row>
    <row r="641" spans="1:83" x14ac:dyDescent="0.25">
      <c r="A641" s="20" t="s">
        <v>116</v>
      </c>
      <c r="B641" s="20" t="s">
        <v>88</v>
      </c>
      <c r="C641" s="20" t="s">
        <v>122</v>
      </c>
      <c r="D641" s="20" t="s">
        <v>90</v>
      </c>
      <c r="E641" s="20" t="s">
        <v>91</v>
      </c>
      <c r="F641" s="20" t="s">
        <v>90</v>
      </c>
      <c r="G641" s="20" t="s">
        <v>92</v>
      </c>
      <c r="H641" s="20" t="s">
        <v>268</v>
      </c>
      <c r="I641" s="20" t="s">
        <v>139</v>
      </c>
      <c r="J641" s="20" t="s">
        <v>134</v>
      </c>
      <c r="K641" s="20" t="s">
        <v>98</v>
      </c>
      <c r="L641" s="20">
        <v>1937</v>
      </c>
      <c r="M641" s="20">
        <v>0.24908899441118301</v>
      </c>
      <c r="N641" s="20">
        <v>0.21233623172368499</v>
      </c>
      <c r="O641" s="20">
        <v>631.37</v>
      </c>
      <c r="P641" s="20">
        <v>232.91563515301399</v>
      </c>
      <c r="Q641" s="20">
        <v>1.9370000000000001</v>
      </c>
      <c r="R641" s="20">
        <v>770.86000119756204</v>
      </c>
      <c r="S641" s="20">
        <v>2270.0548686653701</v>
      </c>
      <c r="T641" s="20">
        <v>17</v>
      </c>
      <c r="U641" s="20">
        <v>1</v>
      </c>
      <c r="V641" s="20">
        <v>1.22448667173535</v>
      </c>
      <c r="W641" s="20">
        <v>1.6671869620436699</v>
      </c>
      <c r="X641" s="20">
        <v>2.1490304215035798</v>
      </c>
      <c r="Y641" s="20">
        <v>2.6465781523471201</v>
      </c>
      <c r="Z641" s="20">
        <v>3.1187870905138899</v>
      </c>
      <c r="AA641" s="20">
        <v>3.5266166500340299</v>
      </c>
      <c r="AB641" s="20">
        <v>3.84961443919001</v>
      </c>
      <c r="AC641" s="20">
        <v>4.0938837456200003</v>
      </c>
      <c r="AD641" s="20">
        <v>4.27404468813861</v>
      </c>
      <c r="AE641" s="20">
        <v>4.4019334969464099</v>
      </c>
      <c r="AF641" t="str">
        <f t="shared" si="39"/>
        <v>NonResidential</v>
      </c>
      <c r="AG641" t="str">
        <f>tbl_Data_old[[#This Row],[All_Meas_Name_Append]]</f>
        <v>Energy Star convection oven</v>
      </c>
      <c r="AH641">
        <f>AVERAGEIFS('3. Incentive Adjustment'!G:G,'3. Incentive Adjustment'!A:A,tbl_Data_old[[#This Row],[Trimmed Sector]],'3. Incentive Adjustment'!B:B,tbl_Data_old[[#This Row],[Trimmed Measure Name]])</f>
        <v>0.72813370493976592</v>
      </c>
      <c r="AI641">
        <f>$AH641*tbl_Data_old[[#This Row],[2025 ]]</f>
        <v>0.89159001694002338</v>
      </c>
      <c r="AJ641">
        <f>$AH641*tbl_Data_old[[#This Row],[2026 ]]</f>
        <v>1.2139350195001302</v>
      </c>
      <c r="AK641">
        <f>$AH641*tbl_Data_old[[#This Row],[2027 ]]</f>
        <v>1.5647814828376683</v>
      </c>
      <c r="AL641">
        <f>$AH641*tbl_Data_old[[#This Row],[2028 ]]</f>
        <v>1.9270627554811488</v>
      </c>
      <c r="AM641">
        <f>$AH641*tbl_Data_old[[#This Row],[2029 ]]</f>
        <v>2.2708939991341919</v>
      </c>
      <c r="AN641">
        <f>$AH641*tbl_Data_old[[#This Row],[2030 ]]</f>
        <v>2.5678484472915439</v>
      </c>
      <c r="AO641">
        <f>$AH641*tbl_Data_old[[#This Row],[2031 ]]</f>
        <v>2.8030340241970411</v>
      </c>
      <c r="AP641">
        <f>$AH641*tbl_Data_old[[#This Row],[2032 ]]</f>
        <v>2.980894739290977</v>
      </c>
      <c r="AQ641">
        <f>$AH641*tbl_Data_old[[#This Row],[2033 ]]</f>
        <v>3.1120759938524927</v>
      </c>
      <c r="AR641">
        <f>$AH641*tbl_Data_old[[#This Row],[2034 ]]</f>
        <v>3.2051961460300493</v>
      </c>
      <c r="AS641">
        <f>SUM(tbl_Data_old[[#This Row],[Adjusted 2025]:[Adjusted 2034]])</f>
        <v>22.53731262455527</v>
      </c>
      <c r="AT641" s="3">
        <f>AVERAGEIFS('3. Incentive Adjustment'!F:F,'3. Incentive Adjustment'!A:A,tbl_Data_old[[#This Row],[Trimmed Sector]],'3. Incentive Adjustment'!B:B,tbl_Data_old[[#This Row],[Trimmed Measure Name]])</f>
        <v>0</v>
      </c>
      <c r="AU641" s="3">
        <f>IFERROR(VLOOKUP(tbl_Data_old[[#This Row],[All_Meas_Name_Append]],'IRA Tax Credits'!$A$3:$D$46,4,0),0)</f>
        <v>0</v>
      </c>
      <c r="AV641" s="4">
        <f>tbl_Data_old[[#This Row],[Adj. per unit Incentive ($)]]/tbl_Data_old[[#This Row],[kWh Savings]]*tbl_Data_old[[#This Row],[Sum of Annuals]]</f>
        <v>0</v>
      </c>
      <c r="AW641" s="4" t="str">
        <f>IFERROR(VLOOKUP(tbl_Data_old[[#This Row],[All_Programs]],'1. Set Program Names'!$B$2:$D$15,3,0)*tbl_Data_old[[#This Row],[Sum of Annuals]],"")</f>
        <v/>
      </c>
      <c r="AX641" s="4">
        <f>tbl_Data_old[[#This Row],[per unit IRA tax ($)]]/tbl_Data_old[[#This Row],[kWh Savings]]*tbl_Data_old[[#This Row],[Sum of Annuals]]</f>
        <v>0</v>
      </c>
      <c r="AY641" s="4">
        <f>tbl_Data_old[[#This Row],[Avoided Costs ($/unit)]]/tbl_Data_old[[#This Row],[kWh Savings]]*tbl_Data_old[[#This Row],[Sum of Annuals]]</f>
        <v>8.9690825176843081</v>
      </c>
      <c r="AZ641" s="4">
        <f>tbl_Data_old[[#This Row],[Lost Revenue ($/unit)]]/tbl_Data_old[[#This Row],[kWh Savings]]*tbl_Data_old[[#This Row],[Sum of Annuals]]</f>
        <v>26.412460635005267</v>
      </c>
      <c r="BA641" s="4">
        <f>tbl_Data_old[[#This Row],[Incremental Cost ($/unit)]]/tbl_Data_old[[#This Row],[kWh Savings]]*tbl_Data_old[[#This Row],[Sum of Annuals]]</f>
        <v>7.3460934805190812</v>
      </c>
      <c r="BB641">
        <f>ROUNDUP(tbl_Data_old[[#This Row],[Adjusted 2025]]/$L641,0)</f>
        <v>1</v>
      </c>
      <c r="BC641">
        <f>ROUNDUP(tbl_Data_old[[#This Row],[Adjusted 2026]]/$L641,0)</f>
        <v>1</v>
      </c>
      <c r="BD641">
        <f>ROUNDUP(tbl_Data_old[[#This Row],[Adjusted 2027]]/$L641,0)</f>
        <v>1</v>
      </c>
      <c r="BE641">
        <f>ROUNDUP(tbl_Data_old[[#This Row],[Adjusted 2028]]/$L641,0)</f>
        <v>1</v>
      </c>
      <c r="BF641">
        <f>ROUNDUP(tbl_Data_old[[#This Row],[Adjusted 2029]]/$L641,0)</f>
        <v>1</v>
      </c>
      <c r="BG641">
        <f>ROUNDUP(tbl_Data_old[[#This Row],[Adjusted 2030]]/$L641,0)</f>
        <v>1</v>
      </c>
      <c r="BH641">
        <f>ROUNDUP(tbl_Data_old[[#This Row],[Adjusted 2031]]/$L641,0)</f>
        <v>1</v>
      </c>
      <c r="BI641">
        <f>ROUNDUP(tbl_Data_old[[#This Row],[Adjusted 2032]]/$L641,0)</f>
        <v>1</v>
      </c>
      <c r="BJ641">
        <f>ROUNDUP(tbl_Data_old[[#This Row],[Adjusted 2033]]/$L641,0)</f>
        <v>1</v>
      </c>
      <c r="BK641">
        <f>ROUNDUP(tbl_Data_old[[#This Row],[Adjusted 2034]]/$L641,0)</f>
        <v>1</v>
      </c>
      <c r="BL641" s="3">
        <f t="shared" si="42"/>
        <v>0</v>
      </c>
      <c r="BM641" s="3">
        <f t="shared" si="42"/>
        <v>0</v>
      </c>
      <c r="BN641" s="3">
        <f t="shared" si="42"/>
        <v>0</v>
      </c>
      <c r="BO641" s="3">
        <f t="shared" si="42"/>
        <v>0</v>
      </c>
      <c r="BP641" s="3">
        <f t="shared" si="42"/>
        <v>0</v>
      </c>
      <c r="BQ641" s="3">
        <f t="shared" si="42"/>
        <v>0</v>
      </c>
      <c r="BR641" s="3">
        <f t="shared" si="42"/>
        <v>0</v>
      </c>
      <c r="BS641" s="3">
        <f t="shared" si="42"/>
        <v>0</v>
      </c>
      <c r="BT641" s="3">
        <f t="shared" si="42"/>
        <v>0</v>
      </c>
      <c r="BU641" s="3">
        <f t="shared" si="42"/>
        <v>0</v>
      </c>
      <c r="BV641" t="e">
        <f>VLOOKUP($H641,'1. Set Program Names'!$B$2:$D$15,3,0)*V641</f>
        <v>#N/A</v>
      </c>
      <c r="BW641" t="e">
        <f>VLOOKUP($H641,'1. Set Program Names'!$B$2:$D$15,3,0)*W641</f>
        <v>#N/A</v>
      </c>
      <c r="BX641" t="e">
        <f>VLOOKUP($H641,'1. Set Program Names'!$B$2:$D$15,3,0)*X641</f>
        <v>#N/A</v>
      </c>
      <c r="BY641" t="e">
        <f>VLOOKUP($H641,'1. Set Program Names'!$B$2:$D$15,3,0)*Y641</f>
        <v>#N/A</v>
      </c>
      <c r="BZ641" t="e">
        <f>VLOOKUP($H641,'1. Set Program Names'!$B$2:$D$15,3,0)*Z641</f>
        <v>#N/A</v>
      </c>
      <c r="CA641" t="e">
        <f>VLOOKUP($H641,'1. Set Program Names'!$B$2:$D$15,3,0)*AA641</f>
        <v>#N/A</v>
      </c>
      <c r="CB641" t="e">
        <f>VLOOKUP($H641,'1. Set Program Names'!$B$2:$D$15,3,0)*AB641</f>
        <v>#N/A</v>
      </c>
      <c r="CC641" t="e">
        <f>VLOOKUP($H641,'1. Set Program Names'!$B$2:$D$15,3,0)*AC641</f>
        <v>#N/A</v>
      </c>
      <c r="CD641" t="e">
        <f>VLOOKUP($H641,'1. Set Program Names'!$B$2:$D$15,3,0)*AD641</f>
        <v>#N/A</v>
      </c>
      <c r="CE641" t="e">
        <f>VLOOKUP($H641,'1. Set Program Names'!$B$2:$D$15,3,0)*AE641</f>
        <v>#N/A</v>
      </c>
    </row>
    <row r="642" spans="1:83" x14ac:dyDescent="0.25">
      <c r="A642" s="20" t="s">
        <v>116</v>
      </c>
      <c r="B642" s="20" t="s">
        <v>88</v>
      </c>
      <c r="C642" s="20" t="s">
        <v>122</v>
      </c>
      <c r="D642" s="20" t="s">
        <v>90</v>
      </c>
      <c r="E642" s="20" t="s">
        <v>91</v>
      </c>
      <c r="F642" s="20" t="s">
        <v>90</v>
      </c>
      <c r="G642" s="20" t="s">
        <v>92</v>
      </c>
      <c r="H642" s="20" t="s">
        <v>268</v>
      </c>
      <c r="I642" s="20" t="s">
        <v>140</v>
      </c>
      <c r="J642" s="20" t="s">
        <v>129</v>
      </c>
      <c r="K642" s="20" t="s">
        <v>98</v>
      </c>
      <c r="L642" s="20">
        <v>145.64999999999901</v>
      </c>
      <c r="M642" s="20">
        <v>4.8385631271840701E-2</v>
      </c>
      <c r="N642" s="20">
        <v>0</v>
      </c>
      <c r="O642" s="20">
        <v>41.15</v>
      </c>
      <c r="P642" s="20">
        <v>12.5942011456304</v>
      </c>
      <c r="Q642" s="20">
        <v>0.145649999999999</v>
      </c>
      <c r="R642" s="20">
        <v>71.795310497711</v>
      </c>
      <c r="S642" s="20">
        <v>136.505594800712</v>
      </c>
      <c r="T642" s="20">
        <v>12</v>
      </c>
      <c r="U642" s="20">
        <v>1</v>
      </c>
      <c r="V642" s="20">
        <v>0</v>
      </c>
      <c r="W642" s="20">
        <v>0</v>
      </c>
      <c r="X642" s="20">
        <v>0</v>
      </c>
      <c r="Y642" s="20">
        <v>0</v>
      </c>
      <c r="Z642" s="20">
        <v>0</v>
      </c>
      <c r="AA642" s="20">
        <v>0</v>
      </c>
      <c r="AB642" s="20">
        <v>0</v>
      </c>
      <c r="AC642" s="20">
        <v>0</v>
      </c>
      <c r="AD642" s="20">
        <v>0</v>
      </c>
      <c r="AE642" s="20">
        <v>0</v>
      </c>
      <c r="AF642" t="str">
        <f t="shared" ref="AF642:AF705" si="43">IF(C642="Residential","Residential","NonResidential")</f>
        <v>NonResidential</v>
      </c>
      <c r="AG642" t="str">
        <f>tbl_Data_old[[#This Row],[All_Meas_Name_Append]]</f>
        <v>Energy Star room AC_137</v>
      </c>
      <c r="AH642">
        <f>AVERAGEIFS('3. Incentive Adjustment'!G:G,'3. Incentive Adjustment'!A:A,tbl_Data_old[[#This Row],[Trimmed Sector]],'3. Incentive Adjustment'!B:B,tbl_Data_old[[#This Row],[Trimmed Measure Name]])</f>
        <v>0.79600466062818009</v>
      </c>
      <c r="AI642">
        <f>$AH642*tbl_Data_old[[#This Row],[2025 ]]</f>
        <v>0</v>
      </c>
      <c r="AJ642">
        <f>$AH642*tbl_Data_old[[#This Row],[2026 ]]</f>
        <v>0</v>
      </c>
      <c r="AK642">
        <f>$AH642*tbl_Data_old[[#This Row],[2027 ]]</f>
        <v>0</v>
      </c>
      <c r="AL642">
        <f>$AH642*tbl_Data_old[[#This Row],[2028 ]]</f>
        <v>0</v>
      </c>
      <c r="AM642">
        <f>$AH642*tbl_Data_old[[#This Row],[2029 ]]</f>
        <v>0</v>
      </c>
      <c r="AN642">
        <f>$AH642*tbl_Data_old[[#This Row],[2030 ]]</f>
        <v>0</v>
      </c>
      <c r="AO642">
        <f>$AH642*tbl_Data_old[[#This Row],[2031 ]]</f>
        <v>0</v>
      </c>
      <c r="AP642">
        <f>$AH642*tbl_Data_old[[#This Row],[2032 ]]</f>
        <v>0</v>
      </c>
      <c r="AQ642">
        <f>$AH642*tbl_Data_old[[#This Row],[2033 ]]</f>
        <v>0</v>
      </c>
      <c r="AR642">
        <f>$AH642*tbl_Data_old[[#This Row],[2034 ]]</f>
        <v>0</v>
      </c>
      <c r="AS642">
        <f>SUM(tbl_Data_old[[#This Row],[Adjusted 2025]:[Adjusted 2034]])</f>
        <v>0</v>
      </c>
      <c r="AT642" s="3">
        <f>AVERAGEIFS('3. Incentive Adjustment'!F:F,'3. Incentive Adjustment'!A:A,tbl_Data_old[[#This Row],[Trimmed Sector]],'3. Incentive Adjustment'!B:B,tbl_Data_old[[#This Row],[Trimmed Measure Name]])</f>
        <v>0</v>
      </c>
      <c r="AU642" s="3">
        <f>IFERROR(VLOOKUP(tbl_Data_old[[#This Row],[All_Meas_Name_Append]],'IRA Tax Credits'!$A$3:$D$46,4,0),0)</f>
        <v>0</v>
      </c>
      <c r="AV642" s="4">
        <f>tbl_Data_old[[#This Row],[Adj. per unit Incentive ($)]]/tbl_Data_old[[#This Row],[kWh Savings]]*tbl_Data_old[[#This Row],[Sum of Annuals]]</f>
        <v>0</v>
      </c>
      <c r="AW642" s="4" t="str">
        <f>IFERROR(VLOOKUP(tbl_Data_old[[#This Row],[All_Programs]],'1. Set Program Names'!$B$2:$D$15,3,0)*tbl_Data_old[[#This Row],[Sum of Annuals]],"")</f>
        <v/>
      </c>
      <c r="AX642" s="4">
        <f>tbl_Data_old[[#This Row],[per unit IRA tax ($)]]/tbl_Data_old[[#This Row],[kWh Savings]]*tbl_Data_old[[#This Row],[Sum of Annuals]]</f>
        <v>0</v>
      </c>
      <c r="AY642" s="4">
        <f>tbl_Data_old[[#This Row],[Avoided Costs ($/unit)]]/tbl_Data_old[[#This Row],[kWh Savings]]*tbl_Data_old[[#This Row],[Sum of Annuals]]</f>
        <v>0</v>
      </c>
      <c r="AZ642" s="4">
        <f>tbl_Data_old[[#This Row],[Lost Revenue ($/unit)]]/tbl_Data_old[[#This Row],[kWh Savings]]*tbl_Data_old[[#This Row],[Sum of Annuals]]</f>
        <v>0</v>
      </c>
      <c r="BA642" s="4">
        <f>tbl_Data_old[[#This Row],[Incremental Cost ($/unit)]]/tbl_Data_old[[#This Row],[kWh Savings]]*tbl_Data_old[[#This Row],[Sum of Annuals]]</f>
        <v>0</v>
      </c>
      <c r="BB642">
        <f>ROUNDUP(tbl_Data_old[[#This Row],[Adjusted 2025]]/$L642,0)</f>
        <v>0</v>
      </c>
      <c r="BC642">
        <f>ROUNDUP(tbl_Data_old[[#This Row],[Adjusted 2026]]/$L642,0)</f>
        <v>0</v>
      </c>
      <c r="BD642">
        <f>ROUNDUP(tbl_Data_old[[#This Row],[Adjusted 2027]]/$L642,0)</f>
        <v>0</v>
      </c>
      <c r="BE642">
        <f>ROUNDUP(tbl_Data_old[[#This Row],[Adjusted 2028]]/$L642,0)</f>
        <v>0</v>
      </c>
      <c r="BF642">
        <f>ROUNDUP(tbl_Data_old[[#This Row],[Adjusted 2029]]/$L642,0)</f>
        <v>0</v>
      </c>
      <c r="BG642">
        <f>ROUNDUP(tbl_Data_old[[#This Row],[Adjusted 2030]]/$L642,0)</f>
        <v>0</v>
      </c>
      <c r="BH642">
        <f>ROUNDUP(tbl_Data_old[[#This Row],[Adjusted 2031]]/$L642,0)</f>
        <v>0</v>
      </c>
      <c r="BI642">
        <f>ROUNDUP(tbl_Data_old[[#This Row],[Adjusted 2032]]/$L642,0)</f>
        <v>0</v>
      </c>
      <c r="BJ642">
        <f>ROUNDUP(tbl_Data_old[[#This Row],[Adjusted 2033]]/$L642,0)</f>
        <v>0</v>
      </c>
      <c r="BK642">
        <f>ROUNDUP(tbl_Data_old[[#This Row],[Adjusted 2034]]/$L642,0)</f>
        <v>0</v>
      </c>
      <c r="BL642" s="3">
        <f t="shared" si="42"/>
        <v>0</v>
      </c>
      <c r="BM642" s="3">
        <f t="shared" si="42"/>
        <v>0</v>
      </c>
      <c r="BN642" s="3">
        <f t="shared" si="42"/>
        <v>0</v>
      </c>
      <c r="BO642" s="3">
        <f t="shared" si="42"/>
        <v>0</v>
      </c>
      <c r="BP642" s="3">
        <f t="shared" si="42"/>
        <v>0</v>
      </c>
      <c r="BQ642" s="3">
        <f t="shared" si="42"/>
        <v>0</v>
      </c>
      <c r="BR642" s="3">
        <f t="shared" si="42"/>
        <v>0</v>
      </c>
      <c r="BS642" s="3">
        <f t="shared" si="42"/>
        <v>0</v>
      </c>
      <c r="BT642" s="3">
        <f t="shared" si="42"/>
        <v>0</v>
      </c>
      <c r="BU642" s="3">
        <f t="shared" si="42"/>
        <v>0</v>
      </c>
      <c r="BV642" t="e">
        <f>VLOOKUP($H642,'1. Set Program Names'!$B$2:$D$15,3,0)*V642</f>
        <v>#N/A</v>
      </c>
      <c r="BW642" t="e">
        <f>VLOOKUP($H642,'1. Set Program Names'!$B$2:$D$15,3,0)*W642</f>
        <v>#N/A</v>
      </c>
      <c r="BX642" t="e">
        <f>VLOOKUP($H642,'1. Set Program Names'!$B$2:$D$15,3,0)*X642</f>
        <v>#N/A</v>
      </c>
      <c r="BY642" t="e">
        <f>VLOOKUP($H642,'1. Set Program Names'!$B$2:$D$15,3,0)*Y642</f>
        <v>#N/A</v>
      </c>
      <c r="BZ642" t="e">
        <f>VLOOKUP($H642,'1. Set Program Names'!$B$2:$D$15,3,0)*Z642</f>
        <v>#N/A</v>
      </c>
      <c r="CA642" t="e">
        <f>VLOOKUP($H642,'1. Set Program Names'!$B$2:$D$15,3,0)*AA642</f>
        <v>#N/A</v>
      </c>
      <c r="CB642" t="e">
        <f>VLOOKUP($H642,'1. Set Program Names'!$B$2:$D$15,3,0)*AB642</f>
        <v>#N/A</v>
      </c>
      <c r="CC642" t="e">
        <f>VLOOKUP($H642,'1. Set Program Names'!$B$2:$D$15,3,0)*AC642</f>
        <v>#N/A</v>
      </c>
      <c r="CD642" t="e">
        <f>VLOOKUP($H642,'1. Set Program Names'!$B$2:$D$15,3,0)*AD642</f>
        <v>#N/A</v>
      </c>
      <c r="CE642" t="e">
        <f>VLOOKUP($H642,'1. Set Program Names'!$B$2:$D$15,3,0)*AE642</f>
        <v>#N/A</v>
      </c>
    </row>
    <row r="643" spans="1:83" x14ac:dyDescent="0.25">
      <c r="A643" s="20" t="s">
        <v>116</v>
      </c>
      <c r="B643" s="20" t="s">
        <v>88</v>
      </c>
      <c r="C643" s="20" t="s">
        <v>122</v>
      </c>
      <c r="D643" s="20" t="s">
        <v>90</v>
      </c>
      <c r="E643" s="20" t="s">
        <v>91</v>
      </c>
      <c r="F643" s="20" t="s">
        <v>90</v>
      </c>
      <c r="G643" s="20" t="s">
        <v>92</v>
      </c>
      <c r="H643" s="20" t="s">
        <v>268</v>
      </c>
      <c r="I643" s="20" t="s">
        <v>141</v>
      </c>
      <c r="J643" s="20" t="s">
        <v>134</v>
      </c>
      <c r="K643" s="20" t="s">
        <v>98</v>
      </c>
      <c r="L643" s="20">
        <v>12160.5</v>
      </c>
      <c r="M643" s="20">
        <v>1.5637825072468701</v>
      </c>
      <c r="N643" s="20">
        <v>1.33304839745786</v>
      </c>
      <c r="O643" s="20">
        <v>3109.4399999999901</v>
      </c>
      <c r="P643" s="20">
        <v>607.94061759330305</v>
      </c>
      <c r="Q643" s="20">
        <v>12.160500000000001</v>
      </c>
      <c r="R643" s="20">
        <v>4122.3511685728599</v>
      </c>
      <c r="S643" s="20">
        <v>11397.022214720701</v>
      </c>
      <c r="T643" s="20">
        <v>12</v>
      </c>
      <c r="U643" s="20">
        <v>1</v>
      </c>
      <c r="V643" s="20">
        <v>2.47517213312705</v>
      </c>
      <c r="W643" s="20">
        <v>3.3993354618923899</v>
      </c>
      <c r="X643" s="20">
        <v>4.4250411934185596</v>
      </c>
      <c r="Y643" s="20">
        <v>5.50652544573017</v>
      </c>
      <c r="Z643" s="20">
        <v>6.5552793418370197</v>
      </c>
      <c r="AA643" s="20">
        <v>7.4800103999515004</v>
      </c>
      <c r="AB643" s="20">
        <v>8.2256050996895596</v>
      </c>
      <c r="AC643" s="20">
        <v>8.7959538727372397</v>
      </c>
      <c r="AD643" s="20">
        <v>9.2183496421478797</v>
      </c>
      <c r="AE643" s="20">
        <v>9.5181801752921693</v>
      </c>
      <c r="AF643" t="str">
        <f t="shared" si="43"/>
        <v>NonResidential</v>
      </c>
      <c r="AG643" t="str">
        <f>tbl_Data_old[[#This Row],[All_Meas_Name_Append]]</f>
        <v>Energy Star Steamer</v>
      </c>
      <c r="AH643">
        <f>AVERAGEIFS('3. Incentive Adjustment'!G:G,'3. Incentive Adjustment'!A:A,tbl_Data_old[[#This Row],[Trimmed Sector]],'3. Incentive Adjustment'!B:B,tbl_Data_old[[#This Row],[Trimmed Measure Name]])</f>
        <v>0.87642178647683033</v>
      </c>
      <c r="AI643">
        <f>$AH643*tbl_Data_old[[#This Row],[2025 ]]</f>
        <v>2.1692947827528761</v>
      </c>
      <c r="AJ643">
        <f>$AH643*tbl_Data_old[[#This Row],[2026 ]]</f>
        <v>2.9792516583457695</v>
      </c>
      <c r="AK643">
        <f>$AH643*tbl_Data_old[[#This Row],[2027 ]]</f>
        <v>3.8782025079694593</v>
      </c>
      <c r="AL643">
        <f>$AH643*tbl_Data_old[[#This Row],[2028 ]]</f>
        <v>4.8260388684269602</v>
      </c>
      <c r="AM643">
        <f>$AH643*tbl_Data_old[[#This Row],[2029 ]]</f>
        <v>5.7451896316274613</v>
      </c>
      <c r="AN643">
        <f>$AH643*tbl_Data_old[[#This Row],[2030 ]]</f>
        <v>6.5556440775907641</v>
      </c>
      <c r="AO643">
        <f>$AH643*tbl_Data_old[[#This Row],[2031 ]]</f>
        <v>7.2090995163228495</v>
      </c>
      <c r="AP643">
        <f>$AH643*tbl_Data_old[[#This Row],[2032 ]]</f>
        <v>7.7089656069121659</v>
      </c>
      <c r="AQ643">
        <f>$AH643*tbl_Data_old[[#This Row],[2033 ]]</f>
        <v>8.0791624617392941</v>
      </c>
      <c r="AR643">
        <f>$AH643*tbl_Data_old[[#This Row],[2034 ]]</f>
        <v>8.3419404732379139</v>
      </c>
      <c r="AS643">
        <f>SUM(tbl_Data_old[[#This Row],[Adjusted 2025]:[Adjusted 2034]])</f>
        <v>57.492789584925511</v>
      </c>
      <c r="AT643" s="3">
        <f>AVERAGEIFS('3. Incentive Adjustment'!F:F,'3. Incentive Adjustment'!A:A,tbl_Data_old[[#This Row],[Trimmed Sector]],'3. Incentive Adjustment'!B:B,tbl_Data_old[[#This Row],[Trimmed Measure Name]])</f>
        <v>0</v>
      </c>
      <c r="AU643" s="3">
        <f>IFERROR(VLOOKUP(tbl_Data_old[[#This Row],[All_Meas_Name_Append]],'IRA Tax Credits'!$A$3:$D$46,4,0),0)</f>
        <v>0</v>
      </c>
      <c r="AV643" s="4">
        <f>tbl_Data_old[[#This Row],[Adj. per unit Incentive ($)]]/tbl_Data_old[[#This Row],[kWh Savings]]*tbl_Data_old[[#This Row],[Sum of Annuals]]</f>
        <v>0</v>
      </c>
      <c r="AW643" s="4" t="str">
        <f>IFERROR(VLOOKUP(tbl_Data_old[[#This Row],[All_Programs]],'1. Set Program Names'!$B$2:$D$15,3,0)*tbl_Data_old[[#This Row],[Sum of Annuals]],"")</f>
        <v/>
      </c>
      <c r="AX643" s="4">
        <f>tbl_Data_old[[#This Row],[per unit IRA tax ($)]]/tbl_Data_old[[#This Row],[kWh Savings]]*tbl_Data_old[[#This Row],[Sum of Annuals]]</f>
        <v>0</v>
      </c>
      <c r="AY643" s="4">
        <f>tbl_Data_old[[#This Row],[Avoided Costs ($/unit)]]/tbl_Data_old[[#This Row],[kWh Savings]]*tbl_Data_old[[#This Row],[Sum of Annuals]]</f>
        <v>19.489779888156839</v>
      </c>
      <c r="AZ643" s="4">
        <f>tbl_Data_old[[#This Row],[Lost Revenue ($/unit)]]/tbl_Data_old[[#This Row],[kWh Savings]]*tbl_Data_old[[#This Row],[Sum of Annuals]]</f>
        <v>53.883195599330534</v>
      </c>
      <c r="BA643" s="4">
        <f>tbl_Data_old[[#This Row],[Incremental Cost ($/unit)]]/tbl_Data_old[[#This Row],[kWh Savings]]*tbl_Data_old[[#This Row],[Sum of Annuals]]</f>
        <v>14.700907006040065</v>
      </c>
      <c r="BB643">
        <f>ROUNDUP(tbl_Data_old[[#This Row],[Adjusted 2025]]/$L643,0)</f>
        <v>1</v>
      </c>
      <c r="BC643">
        <f>ROUNDUP(tbl_Data_old[[#This Row],[Adjusted 2026]]/$L643,0)</f>
        <v>1</v>
      </c>
      <c r="BD643">
        <f>ROUNDUP(tbl_Data_old[[#This Row],[Adjusted 2027]]/$L643,0)</f>
        <v>1</v>
      </c>
      <c r="BE643">
        <f>ROUNDUP(tbl_Data_old[[#This Row],[Adjusted 2028]]/$L643,0)</f>
        <v>1</v>
      </c>
      <c r="BF643">
        <f>ROUNDUP(tbl_Data_old[[#This Row],[Adjusted 2029]]/$L643,0)</f>
        <v>1</v>
      </c>
      <c r="BG643">
        <f>ROUNDUP(tbl_Data_old[[#This Row],[Adjusted 2030]]/$L643,0)</f>
        <v>1</v>
      </c>
      <c r="BH643">
        <f>ROUNDUP(tbl_Data_old[[#This Row],[Adjusted 2031]]/$L643,0)</f>
        <v>1</v>
      </c>
      <c r="BI643">
        <f>ROUNDUP(tbl_Data_old[[#This Row],[Adjusted 2032]]/$L643,0)</f>
        <v>1</v>
      </c>
      <c r="BJ643">
        <f>ROUNDUP(tbl_Data_old[[#This Row],[Adjusted 2033]]/$L643,0)</f>
        <v>1</v>
      </c>
      <c r="BK643">
        <f>ROUNDUP(tbl_Data_old[[#This Row],[Adjusted 2034]]/$L643,0)</f>
        <v>1</v>
      </c>
      <c r="BL643" s="3">
        <f t="shared" si="42"/>
        <v>0</v>
      </c>
      <c r="BM643" s="3">
        <f t="shared" si="42"/>
        <v>0</v>
      </c>
      <c r="BN643" s="3">
        <f t="shared" si="42"/>
        <v>0</v>
      </c>
      <c r="BO643" s="3">
        <f t="shared" si="42"/>
        <v>0</v>
      </c>
      <c r="BP643" s="3">
        <f t="shared" si="42"/>
        <v>0</v>
      </c>
      <c r="BQ643" s="3">
        <f t="shared" ref="BQ643:BU674" si="44">$AT643/$L643*AA643</f>
        <v>0</v>
      </c>
      <c r="BR643" s="3">
        <f t="shared" si="44"/>
        <v>0</v>
      </c>
      <c r="BS643" s="3">
        <f t="shared" si="44"/>
        <v>0</v>
      </c>
      <c r="BT643" s="3">
        <f t="shared" si="44"/>
        <v>0</v>
      </c>
      <c r="BU643" s="3">
        <f t="shared" si="44"/>
        <v>0</v>
      </c>
      <c r="BV643" t="e">
        <f>VLOOKUP($H643,'1. Set Program Names'!$B$2:$D$15,3,0)*V643</f>
        <v>#N/A</v>
      </c>
      <c r="BW643" t="e">
        <f>VLOOKUP($H643,'1. Set Program Names'!$B$2:$D$15,3,0)*W643</f>
        <v>#N/A</v>
      </c>
      <c r="BX643" t="e">
        <f>VLOOKUP($H643,'1. Set Program Names'!$B$2:$D$15,3,0)*X643</f>
        <v>#N/A</v>
      </c>
      <c r="BY643" t="e">
        <f>VLOOKUP($H643,'1. Set Program Names'!$B$2:$D$15,3,0)*Y643</f>
        <v>#N/A</v>
      </c>
      <c r="BZ643" t="e">
        <f>VLOOKUP($H643,'1. Set Program Names'!$B$2:$D$15,3,0)*Z643</f>
        <v>#N/A</v>
      </c>
      <c r="CA643" t="e">
        <f>VLOOKUP($H643,'1. Set Program Names'!$B$2:$D$15,3,0)*AA643</f>
        <v>#N/A</v>
      </c>
      <c r="CB643" t="e">
        <f>VLOOKUP($H643,'1. Set Program Names'!$B$2:$D$15,3,0)*AB643</f>
        <v>#N/A</v>
      </c>
      <c r="CC643" t="e">
        <f>VLOOKUP($H643,'1. Set Program Names'!$B$2:$D$15,3,0)*AC643</f>
        <v>#N/A</v>
      </c>
      <c r="CD643" t="e">
        <f>VLOOKUP($H643,'1. Set Program Names'!$B$2:$D$15,3,0)*AD643</f>
        <v>#N/A</v>
      </c>
      <c r="CE643" t="e">
        <f>VLOOKUP($H643,'1. Set Program Names'!$B$2:$D$15,3,0)*AE643</f>
        <v>#N/A</v>
      </c>
    </row>
    <row r="644" spans="1:83" x14ac:dyDescent="0.25">
      <c r="A644" s="20" t="s">
        <v>116</v>
      </c>
      <c r="B644" s="20" t="s">
        <v>88</v>
      </c>
      <c r="C644" s="20" t="s">
        <v>122</v>
      </c>
      <c r="D644" s="20" t="s">
        <v>90</v>
      </c>
      <c r="E644" s="20" t="s">
        <v>91</v>
      </c>
      <c r="F644" s="20" t="s">
        <v>90</v>
      </c>
      <c r="G644" s="20" t="s">
        <v>92</v>
      </c>
      <c r="H644" s="20" t="s">
        <v>268</v>
      </c>
      <c r="I644" s="20" t="s">
        <v>142</v>
      </c>
      <c r="J644" s="20" t="s">
        <v>137</v>
      </c>
      <c r="K644" s="20" t="s">
        <v>98</v>
      </c>
      <c r="L644" s="20">
        <v>11250</v>
      </c>
      <c r="M644" s="20">
        <v>1.3809947593685901</v>
      </c>
      <c r="N644" s="20">
        <v>1.3808111252514099</v>
      </c>
      <c r="O644" s="20">
        <v>3147</v>
      </c>
      <c r="P644" s="20">
        <v>832.79679683603899</v>
      </c>
      <c r="Q644" s="20">
        <v>11.25</v>
      </c>
      <c r="R644" s="20">
        <v>4868.3629963469202</v>
      </c>
      <c r="S644" s="20">
        <v>12218.8507873668</v>
      </c>
      <c r="T644" s="20">
        <v>15</v>
      </c>
      <c r="U644" s="20">
        <v>1</v>
      </c>
      <c r="V644" s="20">
        <v>2.6160074814145</v>
      </c>
      <c r="W644" s="20">
        <v>3.60624275042656</v>
      </c>
      <c r="X644" s="20">
        <v>4.8323070974573001</v>
      </c>
      <c r="Y644" s="20">
        <v>6.2899245353575397</v>
      </c>
      <c r="Z644" s="20">
        <v>7.87618220279652</v>
      </c>
      <c r="AA644" s="20">
        <v>9.3703807864311699</v>
      </c>
      <c r="AB644" s="20">
        <v>10.4653312342777</v>
      </c>
      <c r="AC644" s="20">
        <v>10.8534104535547</v>
      </c>
      <c r="AD644" s="20">
        <v>10.3511903244901</v>
      </c>
      <c r="AE644" s="20">
        <v>9.0469166137092696</v>
      </c>
      <c r="AF644" t="str">
        <f t="shared" si="43"/>
        <v>NonResidential</v>
      </c>
      <c r="AG644" t="str">
        <f>tbl_Data_old[[#This Row],[All_Meas_Name_Append]]</f>
        <v>Escalator Motor Efficiency Controller</v>
      </c>
      <c r="AH644">
        <f>AVERAGEIFS('3. Incentive Adjustment'!G:G,'3. Incentive Adjustment'!A:A,tbl_Data_old[[#This Row],[Trimmed Sector]],'3. Incentive Adjustment'!B:B,tbl_Data_old[[#This Row],[Trimmed Measure Name]])</f>
        <v>0.82257117184015105</v>
      </c>
      <c r="AI644">
        <f>$AH644*tbl_Data_old[[#This Row],[2025 ]]</f>
        <v>2.1518523395297273</v>
      </c>
      <c r="AJ644">
        <f>$AH644*tbl_Data_old[[#This Row],[2026 ]]</f>
        <v>2.9663913251584249</v>
      </c>
      <c r="AK644">
        <f>$AH644*tbl_Data_old[[#This Row],[2027 ]]</f>
        <v>3.9749165118469305</v>
      </c>
      <c r="AL644">
        <f>$AH644*tbl_Data_old[[#This Row],[2028 ]]</f>
        <v>5.173910595835169</v>
      </c>
      <c r="AM644">
        <f>$AH644*tbl_Data_old[[#This Row],[2029 ]]</f>
        <v>6.4787204241808753</v>
      </c>
      <c r="AN644">
        <f>$AH644*tbl_Data_old[[#This Row],[2030 ]]</f>
        <v>7.7078051040831239</v>
      </c>
      <c r="AO644">
        <f>$AH644*tbl_Data_old[[#This Row],[2031 ]]</f>
        <v>8.6084797770751429</v>
      </c>
      <c r="AP644">
        <f>$AH644*tbl_Data_old[[#This Row],[2032 ]]</f>
        <v>8.9277025552426341</v>
      </c>
      <c r="AQ644">
        <f>$AH644*tbl_Data_old[[#This Row],[2033 ]]</f>
        <v>8.5145907551562541</v>
      </c>
      <c r="AR644">
        <f>$AH644*tbl_Data_old[[#This Row],[2034 ]]</f>
        <v>7.4417328004789649</v>
      </c>
      <c r="AS644">
        <f>SUM(tbl_Data_old[[#This Row],[Adjusted 2025]:[Adjusted 2034]])</f>
        <v>61.946102188587247</v>
      </c>
      <c r="AT644" s="3">
        <f>AVERAGEIFS('3. Incentive Adjustment'!F:F,'3. Incentive Adjustment'!A:A,tbl_Data_old[[#This Row],[Trimmed Sector]],'3. Incentive Adjustment'!B:B,tbl_Data_old[[#This Row],[Trimmed Measure Name]])</f>
        <v>0</v>
      </c>
      <c r="AU644" s="3">
        <f>IFERROR(VLOOKUP(tbl_Data_old[[#This Row],[All_Meas_Name_Append]],'IRA Tax Credits'!$A$3:$D$46,4,0),0)</f>
        <v>0</v>
      </c>
      <c r="AV644" s="4">
        <f>tbl_Data_old[[#This Row],[Adj. per unit Incentive ($)]]/tbl_Data_old[[#This Row],[kWh Savings]]*tbl_Data_old[[#This Row],[Sum of Annuals]]</f>
        <v>0</v>
      </c>
      <c r="AW644" s="4" t="str">
        <f>IFERROR(VLOOKUP(tbl_Data_old[[#This Row],[All_Programs]],'1. Set Program Names'!$B$2:$D$15,3,0)*tbl_Data_old[[#This Row],[Sum of Annuals]],"")</f>
        <v/>
      </c>
      <c r="AX644" s="4">
        <f>tbl_Data_old[[#This Row],[per unit IRA tax ($)]]/tbl_Data_old[[#This Row],[kWh Savings]]*tbl_Data_old[[#This Row],[Sum of Annuals]]</f>
        <v>0</v>
      </c>
      <c r="AY644" s="4">
        <f>tbl_Data_old[[#This Row],[Avoided Costs ($/unit)]]/tbl_Data_old[[#This Row],[kWh Savings]]*tbl_Data_old[[#This Row],[Sum of Annuals]]</f>
        <v>26.806765481141611</v>
      </c>
      <c r="AZ644" s="4">
        <f>tbl_Data_old[[#This Row],[Lost Revenue ($/unit)]]/tbl_Data_old[[#This Row],[kWh Savings]]*tbl_Data_old[[#This Row],[Sum of Annuals]]</f>
        <v>67.280904844562102</v>
      </c>
      <c r="BA644" s="4">
        <f>tbl_Data_old[[#This Row],[Incremental Cost ($/unit)]]/tbl_Data_old[[#This Row],[kWh Savings]]*tbl_Data_old[[#This Row],[Sum of Annuals]]</f>
        <v>17.328389652220807</v>
      </c>
      <c r="BB644">
        <f>ROUNDUP(tbl_Data_old[[#This Row],[Adjusted 2025]]/$L644,0)</f>
        <v>1</v>
      </c>
      <c r="BC644">
        <f>ROUNDUP(tbl_Data_old[[#This Row],[Adjusted 2026]]/$L644,0)</f>
        <v>1</v>
      </c>
      <c r="BD644">
        <f>ROUNDUP(tbl_Data_old[[#This Row],[Adjusted 2027]]/$L644,0)</f>
        <v>1</v>
      </c>
      <c r="BE644">
        <f>ROUNDUP(tbl_Data_old[[#This Row],[Adjusted 2028]]/$L644,0)</f>
        <v>1</v>
      </c>
      <c r="BF644">
        <f>ROUNDUP(tbl_Data_old[[#This Row],[Adjusted 2029]]/$L644,0)</f>
        <v>1</v>
      </c>
      <c r="BG644">
        <f>ROUNDUP(tbl_Data_old[[#This Row],[Adjusted 2030]]/$L644,0)</f>
        <v>1</v>
      </c>
      <c r="BH644">
        <f>ROUNDUP(tbl_Data_old[[#This Row],[Adjusted 2031]]/$L644,0)</f>
        <v>1</v>
      </c>
      <c r="BI644">
        <f>ROUNDUP(tbl_Data_old[[#This Row],[Adjusted 2032]]/$L644,0)</f>
        <v>1</v>
      </c>
      <c r="BJ644">
        <f>ROUNDUP(tbl_Data_old[[#This Row],[Adjusted 2033]]/$L644,0)</f>
        <v>1</v>
      </c>
      <c r="BK644">
        <f>ROUNDUP(tbl_Data_old[[#This Row],[Adjusted 2034]]/$L644,0)</f>
        <v>1</v>
      </c>
      <c r="BL644" s="3">
        <f t="shared" ref="BL644:BU675" si="45">$AT644/$L644*V644</f>
        <v>0</v>
      </c>
      <c r="BM644" s="3">
        <f t="shared" si="45"/>
        <v>0</v>
      </c>
      <c r="BN644" s="3">
        <f t="shared" si="45"/>
        <v>0</v>
      </c>
      <c r="BO644" s="3">
        <f t="shared" si="45"/>
        <v>0</v>
      </c>
      <c r="BP644" s="3">
        <f t="shared" si="45"/>
        <v>0</v>
      </c>
      <c r="BQ644" s="3">
        <f t="shared" si="44"/>
        <v>0</v>
      </c>
      <c r="BR644" s="3">
        <f t="shared" si="44"/>
        <v>0</v>
      </c>
      <c r="BS644" s="3">
        <f t="shared" si="44"/>
        <v>0</v>
      </c>
      <c r="BT644" s="3">
        <f t="shared" si="44"/>
        <v>0</v>
      </c>
      <c r="BU644" s="3">
        <f t="shared" si="44"/>
        <v>0</v>
      </c>
      <c r="BV644" t="e">
        <f>VLOOKUP($H644,'1. Set Program Names'!$B$2:$D$15,3,0)*V644</f>
        <v>#N/A</v>
      </c>
      <c r="BW644" t="e">
        <f>VLOOKUP($H644,'1. Set Program Names'!$B$2:$D$15,3,0)*W644</f>
        <v>#N/A</v>
      </c>
      <c r="BX644" t="e">
        <f>VLOOKUP($H644,'1. Set Program Names'!$B$2:$D$15,3,0)*X644</f>
        <v>#N/A</v>
      </c>
      <c r="BY644" t="e">
        <f>VLOOKUP($H644,'1. Set Program Names'!$B$2:$D$15,3,0)*Y644</f>
        <v>#N/A</v>
      </c>
      <c r="BZ644" t="e">
        <f>VLOOKUP($H644,'1. Set Program Names'!$B$2:$D$15,3,0)*Z644</f>
        <v>#N/A</v>
      </c>
      <c r="CA644" t="e">
        <f>VLOOKUP($H644,'1. Set Program Names'!$B$2:$D$15,3,0)*AA644</f>
        <v>#N/A</v>
      </c>
      <c r="CB644" t="e">
        <f>VLOOKUP($H644,'1. Set Program Names'!$B$2:$D$15,3,0)*AB644</f>
        <v>#N/A</v>
      </c>
      <c r="CC644" t="e">
        <f>VLOOKUP($H644,'1. Set Program Names'!$B$2:$D$15,3,0)*AC644</f>
        <v>#N/A</v>
      </c>
      <c r="CD644" t="e">
        <f>VLOOKUP($H644,'1. Set Program Names'!$B$2:$D$15,3,0)*AD644</f>
        <v>#N/A</v>
      </c>
      <c r="CE644" t="e">
        <f>VLOOKUP($H644,'1. Set Program Names'!$B$2:$D$15,3,0)*AE644</f>
        <v>#N/A</v>
      </c>
    </row>
    <row r="645" spans="1:83" x14ac:dyDescent="0.25">
      <c r="A645" s="20" t="s">
        <v>116</v>
      </c>
      <c r="B645" s="20" t="s">
        <v>88</v>
      </c>
      <c r="C645" s="20" t="s">
        <v>122</v>
      </c>
      <c r="D645" s="20" t="s">
        <v>90</v>
      </c>
      <c r="E645" s="20" t="s">
        <v>91</v>
      </c>
      <c r="F645" s="20" t="s">
        <v>90</v>
      </c>
      <c r="G645" s="20" t="s">
        <v>92</v>
      </c>
      <c r="H645" s="20" t="s">
        <v>268</v>
      </c>
      <c r="I645" s="20" t="s">
        <v>175</v>
      </c>
      <c r="J645" s="20" t="s">
        <v>144</v>
      </c>
      <c r="K645" s="20" t="s">
        <v>98</v>
      </c>
      <c r="L645" s="20">
        <v>264.02999999999997</v>
      </c>
      <c r="M645" s="20">
        <v>4.1428427039389301E-2</v>
      </c>
      <c r="N645" s="20">
        <v>6.1740637590561503E-2</v>
      </c>
      <c r="O645" s="20">
        <v>74.16</v>
      </c>
      <c r="P645" s="20">
        <v>19.8471936238772</v>
      </c>
      <c r="Q645" s="20">
        <v>0.26402999999999999</v>
      </c>
      <c r="R645" s="20">
        <v>106.11574944735899</v>
      </c>
      <c r="S645" s="20">
        <v>217.179512566509</v>
      </c>
      <c r="T645" s="20">
        <v>10</v>
      </c>
      <c r="U645" s="20">
        <v>1</v>
      </c>
      <c r="V645" s="20">
        <v>2.30102065637666</v>
      </c>
      <c r="W645" s="20">
        <v>3.1582641188934799</v>
      </c>
      <c r="X645" s="20">
        <v>4.20407368677738</v>
      </c>
      <c r="Y645" s="20">
        <v>5.4253643986678703</v>
      </c>
      <c r="Z645" s="20">
        <v>6.7222756667519503</v>
      </c>
      <c r="AA645" s="20">
        <v>7.8936997056214704</v>
      </c>
      <c r="AB645" s="20">
        <v>8.6777412072287294</v>
      </c>
      <c r="AC645" s="20">
        <v>8.8288472533615092</v>
      </c>
      <c r="AD645" s="20">
        <v>8.2228313831658397</v>
      </c>
      <c r="AE645" s="20">
        <v>6.9821808347428398</v>
      </c>
      <c r="AF645" t="str">
        <f t="shared" si="43"/>
        <v>NonResidential</v>
      </c>
      <c r="AG645" t="str">
        <f>tbl_Data_old[[#This Row],[All_Meas_Name_Append]]</f>
        <v>Faucet Aerator</v>
      </c>
      <c r="AH645">
        <f>AVERAGEIFS('3. Incentive Adjustment'!G:G,'3. Incentive Adjustment'!A:A,tbl_Data_old[[#This Row],[Trimmed Sector]],'3. Incentive Adjustment'!B:B,tbl_Data_old[[#This Row],[Trimmed Measure Name]])</f>
        <v>0.82009235606746977</v>
      </c>
      <c r="AI645">
        <f>$AH645*tbl_Data_old[[#This Row],[2025 ]]</f>
        <v>1.8870494514478509</v>
      </c>
      <c r="AJ645">
        <f>$AH645*tbl_Data_old[[#This Row],[2026 ]]</f>
        <v>2.5900682623467053</v>
      </c>
      <c r="AK645">
        <f>$AH645*tbl_Data_old[[#This Row],[2027 ]]</f>
        <v>3.4477286948705155</v>
      </c>
      <c r="AL645">
        <f>$AH645*tbl_Data_old[[#This Row],[2028 ]]</f>
        <v>4.4492998722281047</v>
      </c>
      <c r="AM645">
        <f>$AH645*tbl_Data_old[[#This Row],[2029 ]]</f>
        <v>5.5128868896816279</v>
      </c>
      <c r="AN645">
        <f>$AH645*tbl_Data_old[[#This Row],[2030 ]]</f>
        <v>6.4735627896722043</v>
      </c>
      <c r="AO645">
        <f>$AH645*tbl_Data_old[[#This Row],[2031 ]]</f>
        <v>7.1165492319799784</v>
      </c>
      <c r="AP645">
        <f>$AH645*tbl_Data_old[[#This Row],[2032 ]]</f>
        <v>7.2404701453690494</v>
      </c>
      <c r="AQ645">
        <f>$AH645*tbl_Data_old[[#This Row],[2033 ]]</f>
        <v>6.7434811625660052</v>
      </c>
      <c r="AR645">
        <f>$AH645*tbl_Data_old[[#This Row],[2034 ]]</f>
        <v>5.7260331312533879</v>
      </c>
      <c r="AS645">
        <f>SUM(tbl_Data_old[[#This Row],[Adjusted 2025]:[Adjusted 2034]])</f>
        <v>51.187129631415431</v>
      </c>
      <c r="AT645" s="3">
        <f>AVERAGEIFS('3. Incentive Adjustment'!F:F,'3. Incentive Adjustment'!A:A,tbl_Data_old[[#This Row],[Trimmed Sector]],'3. Incentive Adjustment'!B:B,tbl_Data_old[[#This Row],[Trimmed Measure Name]])</f>
        <v>0</v>
      </c>
      <c r="AU645" s="3">
        <f>IFERROR(VLOOKUP(tbl_Data_old[[#This Row],[All_Meas_Name_Append]],'IRA Tax Credits'!$A$3:$D$46,4,0),0)</f>
        <v>0</v>
      </c>
      <c r="AV645" s="4">
        <f>tbl_Data_old[[#This Row],[Adj. per unit Incentive ($)]]/tbl_Data_old[[#This Row],[kWh Savings]]*tbl_Data_old[[#This Row],[Sum of Annuals]]</f>
        <v>0</v>
      </c>
      <c r="AW645" s="4" t="str">
        <f>IFERROR(VLOOKUP(tbl_Data_old[[#This Row],[All_Programs]],'1. Set Program Names'!$B$2:$D$15,3,0)*tbl_Data_old[[#This Row],[Sum of Annuals]],"")</f>
        <v/>
      </c>
      <c r="AX645" s="4">
        <f>tbl_Data_old[[#This Row],[per unit IRA tax ($)]]/tbl_Data_old[[#This Row],[kWh Savings]]*tbl_Data_old[[#This Row],[Sum of Annuals]]</f>
        <v>0</v>
      </c>
      <c r="AY645" s="4">
        <f>tbl_Data_old[[#This Row],[Avoided Costs ($/unit)]]/tbl_Data_old[[#This Row],[kWh Savings]]*tbl_Data_old[[#This Row],[Sum of Annuals]]</f>
        <v>20.572513058731076</v>
      </c>
      <c r="AZ645" s="4">
        <f>tbl_Data_old[[#This Row],[Lost Revenue ($/unit)]]/tbl_Data_old[[#This Row],[kWh Savings]]*tbl_Data_old[[#This Row],[Sum of Annuals]]</f>
        <v>42.104290660264034</v>
      </c>
      <c r="BA645" s="4">
        <f>tbl_Data_old[[#This Row],[Incremental Cost ($/unit)]]/tbl_Data_old[[#This Row],[kWh Savings]]*tbl_Data_old[[#This Row],[Sum of Annuals]]</f>
        <v>14.377296267339956</v>
      </c>
      <c r="BB645">
        <f>ROUNDUP(tbl_Data_old[[#This Row],[Adjusted 2025]]/$L645,0)</f>
        <v>1</v>
      </c>
      <c r="BC645">
        <f>ROUNDUP(tbl_Data_old[[#This Row],[Adjusted 2026]]/$L645,0)</f>
        <v>1</v>
      </c>
      <c r="BD645">
        <f>ROUNDUP(tbl_Data_old[[#This Row],[Adjusted 2027]]/$L645,0)</f>
        <v>1</v>
      </c>
      <c r="BE645">
        <f>ROUNDUP(tbl_Data_old[[#This Row],[Adjusted 2028]]/$L645,0)</f>
        <v>1</v>
      </c>
      <c r="BF645">
        <f>ROUNDUP(tbl_Data_old[[#This Row],[Adjusted 2029]]/$L645,0)</f>
        <v>1</v>
      </c>
      <c r="BG645">
        <f>ROUNDUP(tbl_Data_old[[#This Row],[Adjusted 2030]]/$L645,0)</f>
        <v>1</v>
      </c>
      <c r="BH645">
        <f>ROUNDUP(tbl_Data_old[[#This Row],[Adjusted 2031]]/$L645,0)</f>
        <v>1</v>
      </c>
      <c r="BI645">
        <f>ROUNDUP(tbl_Data_old[[#This Row],[Adjusted 2032]]/$L645,0)</f>
        <v>1</v>
      </c>
      <c r="BJ645">
        <f>ROUNDUP(tbl_Data_old[[#This Row],[Adjusted 2033]]/$L645,0)</f>
        <v>1</v>
      </c>
      <c r="BK645">
        <f>ROUNDUP(tbl_Data_old[[#This Row],[Adjusted 2034]]/$L645,0)</f>
        <v>1</v>
      </c>
      <c r="BL645" s="3">
        <f t="shared" si="45"/>
        <v>0</v>
      </c>
      <c r="BM645" s="3">
        <f t="shared" si="45"/>
        <v>0</v>
      </c>
      <c r="BN645" s="3">
        <f t="shared" si="45"/>
        <v>0</v>
      </c>
      <c r="BO645" s="3">
        <f t="shared" si="45"/>
        <v>0</v>
      </c>
      <c r="BP645" s="3">
        <f t="shared" si="45"/>
        <v>0</v>
      </c>
      <c r="BQ645" s="3">
        <f t="shared" si="44"/>
        <v>0</v>
      </c>
      <c r="BR645" s="3">
        <f t="shared" si="44"/>
        <v>0</v>
      </c>
      <c r="BS645" s="3">
        <f t="shared" si="44"/>
        <v>0</v>
      </c>
      <c r="BT645" s="3">
        <f t="shared" si="44"/>
        <v>0</v>
      </c>
      <c r="BU645" s="3">
        <f t="shared" si="44"/>
        <v>0</v>
      </c>
      <c r="BV645" t="e">
        <f>VLOOKUP($H645,'1. Set Program Names'!$B$2:$D$15,3,0)*V645</f>
        <v>#N/A</v>
      </c>
      <c r="BW645" t="e">
        <f>VLOOKUP($H645,'1. Set Program Names'!$B$2:$D$15,3,0)*W645</f>
        <v>#N/A</v>
      </c>
      <c r="BX645" t="e">
        <f>VLOOKUP($H645,'1. Set Program Names'!$B$2:$D$15,3,0)*X645</f>
        <v>#N/A</v>
      </c>
      <c r="BY645" t="e">
        <f>VLOOKUP($H645,'1. Set Program Names'!$B$2:$D$15,3,0)*Y645</f>
        <v>#N/A</v>
      </c>
      <c r="BZ645" t="e">
        <f>VLOOKUP($H645,'1. Set Program Names'!$B$2:$D$15,3,0)*Z645</f>
        <v>#N/A</v>
      </c>
      <c r="CA645" t="e">
        <f>VLOOKUP($H645,'1. Set Program Names'!$B$2:$D$15,3,0)*AA645</f>
        <v>#N/A</v>
      </c>
      <c r="CB645" t="e">
        <f>VLOOKUP($H645,'1. Set Program Names'!$B$2:$D$15,3,0)*AB645</f>
        <v>#N/A</v>
      </c>
      <c r="CC645" t="e">
        <f>VLOOKUP($H645,'1. Set Program Names'!$B$2:$D$15,3,0)*AC645</f>
        <v>#N/A</v>
      </c>
      <c r="CD645" t="e">
        <f>VLOOKUP($H645,'1. Set Program Names'!$B$2:$D$15,3,0)*AD645</f>
        <v>#N/A</v>
      </c>
      <c r="CE645" t="e">
        <f>VLOOKUP($H645,'1. Set Program Names'!$B$2:$D$15,3,0)*AE645</f>
        <v>#N/A</v>
      </c>
    </row>
    <row r="646" spans="1:83" x14ac:dyDescent="0.25">
      <c r="A646" s="20" t="s">
        <v>116</v>
      </c>
      <c r="B646" s="20" t="s">
        <v>88</v>
      </c>
      <c r="C646" s="20" t="s">
        <v>122</v>
      </c>
      <c r="D646" s="20" t="s">
        <v>90</v>
      </c>
      <c r="E646" s="20" t="s">
        <v>91</v>
      </c>
      <c r="F646" s="20" t="s">
        <v>90</v>
      </c>
      <c r="G646" s="20" t="s">
        <v>92</v>
      </c>
      <c r="H646" s="20" t="s">
        <v>268</v>
      </c>
      <c r="I646" s="20" t="s">
        <v>150</v>
      </c>
      <c r="J646" s="20" t="s">
        <v>129</v>
      </c>
      <c r="K646" s="20" t="s">
        <v>102</v>
      </c>
      <c r="L646" s="20">
        <v>56016.9549999999</v>
      </c>
      <c r="M646" s="20">
        <v>10.827112325312299</v>
      </c>
      <c r="N646" s="20">
        <v>1.3517775806744601</v>
      </c>
      <c r="O646" s="20">
        <v>17160.122499999899</v>
      </c>
      <c r="P646" s="20">
        <v>8652.3043908691998</v>
      </c>
      <c r="Q646" s="20">
        <v>56.016954999999903</v>
      </c>
      <c r="R646" s="20">
        <v>30291.5576269993</v>
      </c>
      <c r="S646" s="20">
        <v>71892.064971295098</v>
      </c>
      <c r="T646" s="20">
        <v>20</v>
      </c>
      <c r="U646" s="20">
        <v>1</v>
      </c>
      <c r="V646" s="20">
        <v>13.513299407399099</v>
      </c>
      <c r="W646" s="20">
        <v>13.324375748014401</v>
      </c>
      <c r="X646" s="20">
        <v>13.052038623783</v>
      </c>
      <c r="Y646" s="20">
        <v>12.776290045055999</v>
      </c>
      <c r="Z646" s="20">
        <v>12.481629365718501</v>
      </c>
      <c r="AA646" s="20">
        <v>12.158224909143099</v>
      </c>
      <c r="AB646" s="20">
        <v>11.810347623401</v>
      </c>
      <c r="AC646" s="20">
        <v>11.464191942319401</v>
      </c>
      <c r="AD646" s="20">
        <v>11.1320667098485</v>
      </c>
      <c r="AE646" s="20">
        <v>10.790724612418501</v>
      </c>
      <c r="AF646" t="str">
        <f t="shared" si="43"/>
        <v>NonResidential</v>
      </c>
      <c r="AG646" t="str">
        <f>tbl_Data_old[[#This Row],[All_Meas_Name_Append]]</f>
        <v>Infiltration Reduction - Air Sealing</v>
      </c>
      <c r="AH646">
        <f>AVERAGEIFS('3. Incentive Adjustment'!G:G,'3. Incentive Adjustment'!A:A,tbl_Data_old[[#This Row],[Trimmed Sector]],'3. Incentive Adjustment'!B:B,tbl_Data_old[[#This Row],[Trimmed Measure Name]])</f>
        <v>0.66528306579610585</v>
      </c>
      <c r="AI646">
        <f>$AH646*tbl_Data_old[[#This Row],[2025 ]]</f>
        <v>8.9901692587751736</v>
      </c>
      <c r="AJ646">
        <f>$AH646*tbl_Data_old[[#This Row],[2026 ]]</f>
        <v>8.8644815474583023</v>
      </c>
      <c r="AK646">
        <f>$AH646*tbl_Data_old[[#This Row],[2027 ]]</f>
        <v>8.6833002705195401</v>
      </c>
      <c r="AL646">
        <f>$AH646*tbl_Data_old[[#This Row],[2028 ]]</f>
        <v>8.4998494106751235</v>
      </c>
      <c r="AM646">
        <f>$AH646*tbl_Data_old[[#This Row],[2029 ]]</f>
        <v>8.303816650555909</v>
      </c>
      <c r="AN646">
        <f>$AH646*tbl_Data_old[[#This Row],[2030 ]]</f>
        <v>8.0886611421933008</v>
      </c>
      <c r="AO646">
        <f>$AH646*tbl_Data_old[[#This Row],[2031 ]]</f>
        <v>7.8572242750139702</v>
      </c>
      <c r="AP646">
        <f>$AH646*tbl_Data_old[[#This Row],[2032 ]]</f>
        <v>7.6269327622612648</v>
      </c>
      <c r="AQ646">
        <f>$AH646*tbl_Data_old[[#This Row],[2033 ]]</f>
        <v>7.4059754693747797</v>
      </c>
      <c r="AR646">
        <f>$AH646*tbl_Data_old[[#This Row],[2034 ]]</f>
        <v>7.1788863523112765</v>
      </c>
      <c r="AS646">
        <f>SUM(tbl_Data_old[[#This Row],[Adjusted 2025]:[Adjusted 2034]])</f>
        <v>81.499297139138648</v>
      </c>
      <c r="AT646" s="3">
        <f>AVERAGEIFS('3. Incentive Adjustment'!F:F,'3. Incentive Adjustment'!A:A,tbl_Data_old[[#This Row],[Trimmed Sector]],'3. Incentive Adjustment'!B:B,tbl_Data_old[[#This Row],[Trimmed Measure Name]])</f>
        <v>0</v>
      </c>
      <c r="AU646" s="3">
        <f>IFERROR(VLOOKUP(tbl_Data_old[[#This Row],[All_Meas_Name_Append]],'IRA Tax Credits'!$A$3:$D$46,4,0),0)</f>
        <v>0</v>
      </c>
      <c r="AV646" s="4">
        <f>tbl_Data_old[[#This Row],[Adj. per unit Incentive ($)]]/tbl_Data_old[[#This Row],[kWh Savings]]*tbl_Data_old[[#This Row],[Sum of Annuals]]</f>
        <v>0</v>
      </c>
      <c r="AW646" s="4" t="str">
        <f>IFERROR(VLOOKUP(tbl_Data_old[[#This Row],[All_Programs]],'1. Set Program Names'!$B$2:$D$15,3,0)*tbl_Data_old[[#This Row],[Sum of Annuals]],"")</f>
        <v/>
      </c>
      <c r="AX646" s="4">
        <f>tbl_Data_old[[#This Row],[per unit IRA tax ($)]]/tbl_Data_old[[#This Row],[kWh Savings]]*tbl_Data_old[[#This Row],[Sum of Annuals]]</f>
        <v>0</v>
      </c>
      <c r="AY646" s="4">
        <f>tbl_Data_old[[#This Row],[Avoided Costs ($/unit)]]/tbl_Data_old[[#This Row],[kWh Savings]]*tbl_Data_old[[#This Row],[Sum of Annuals]]</f>
        <v>44.071311192301728</v>
      </c>
      <c r="AZ646" s="4">
        <f>tbl_Data_old[[#This Row],[Lost Revenue ($/unit)]]/tbl_Data_old[[#This Row],[kWh Savings]]*tbl_Data_old[[#This Row],[Sum of Annuals]]</f>
        <v>104.59605962233847</v>
      </c>
      <c r="BA646" s="4">
        <f>tbl_Data_old[[#This Row],[Incremental Cost ($/unit)]]/tbl_Data_old[[#This Row],[kWh Savings]]*tbl_Data_old[[#This Row],[Sum of Annuals]]</f>
        <v>24.966332471508188</v>
      </c>
      <c r="BB646">
        <f>ROUNDUP(tbl_Data_old[[#This Row],[Adjusted 2025]]/$L646,0)</f>
        <v>1</v>
      </c>
      <c r="BC646">
        <f>ROUNDUP(tbl_Data_old[[#This Row],[Adjusted 2026]]/$L646,0)</f>
        <v>1</v>
      </c>
      <c r="BD646">
        <f>ROUNDUP(tbl_Data_old[[#This Row],[Adjusted 2027]]/$L646,0)</f>
        <v>1</v>
      </c>
      <c r="BE646">
        <f>ROUNDUP(tbl_Data_old[[#This Row],[Adjusted 2028]]/$L646,0)</f>
        <v>1</v>
      </c>
      <c r="BF646">
        <f>ROUNDUP(tbl_Data_old[[#This Row],[Adjusted 2029]]/$L646,0)</f>
        <v>1</v>
      </c>
      <c r="BG646">
        <f>ROUNDUP(tbl_Data_old[[#This Row],[Adjusted 2030]]/$L646,0)</f>
        <v>1</v>
      </c>
      <c r="BH646">
        <f>ROUNDUP(tbl_Data_old[[#This Row],[Adjusted 2031]]/$L646,0)</f>
        <v>1</v>
      </c>
      <c r="BI646">
        <f>ROUNDUP(tbl_Data_old[[#This Row],[Adjusted 2032]]/$L646,0)</f>
        <v>1</v>
      </c>
      <c r="BJ646">
        <f>ROUNDUP(tbl_Data_old[[#This Row],[Adjusted 2033]]/$L646,0)</f>
        <v>1</v>
      </c>
      <c r="BK646">
        <f>ROUNDUP(tbl_Data_old[[#This Row],[Adjusted 2034]]/$L646,0)</f>
        <v>1</v>
      </c>
      <c r="BL646" s="3">
        <f t="shared" si="45"/>
        <v>0</v>
      </c>
      <c r="BM646" s="3">
        <f t="shared" si="45"/>
        <v>0</v>
      </c>
      <c r="BN646" s="3">
        <f t="shared" si="45"/>
        <v>0</v>
      </c>
      <c r="BO646" s="3">
        <f t="shared" si="45"/>
        <v>0</v>
      </c>
      <c r="BP646" s="3">
        <f t="shared" si="45"/>
        <v>0</v>
      </c>
      <c r="BQ646" s="3">
        <f t="shared" si="44"/>
        <v>0</v>
      </c>
      <c r="BR646" s="3">
        <f t="shared" si="44"/>
        <v>0</v>
      </c>
      <c r="BS646" s="3">
        <f t="shared" si="44"/>
        <v>0</v>
      </c>
      <c r="BT646" s="3">
        <f t="shared" si="44"/>
        <v>0</v>
      </c>
      <c r="BU646" s="3">
        <f t="shared" si="44"/>
        <v>0</v>
      </c>
      <c r="BV646" t="e">
        <f>VLOOKUP($H646,'1. Set Program Names'!$B$2:$D$15,3,0)*V646</f>
        <v>#N/A</v>
      </c>
      <c r="BW646" t="e">
        <f>VLOOKUP($H646,'1. Set Program Names'!$B$2:$D$15,3,0)*W646</f>
        <v>#N/A</v>
      </c>
      <c r="BX646" t="e">
        <f>VLOOKUP($H646,'1. Set Program Names'!$B$2:$D$15,3,0)*X646</f>
        <v>#N/A</v>
      </c>
      <c r="BY646" t="e">
        <f>VLOOKUP($H646,'1. Set Program Names'!$B$2:$D$15,3,0)*Y646</f>
        <v>#N/A</v>
      </c>
      <c r="BZ646" t="e">
        <f>VLOOKUP($H646,'1. Set Program Names'!$B$2:$D$15,3,0)*Z646</f>
        <v>#N/A</v>
      </c>
      <c r="CA646" t="e">
        <f>VLOOKUP($H646,'1. Set Program Names'!$B$2:$D$15,3,0)*AA646</f>
        <v>#N/A</v>
      </c>
      <c r="CB646" t="e">
        <f>VLOOKUP($H646,'1. Set Program Names'!$B$2:$D$15,3,0)*AB646</f>
        <v>#N/A</v>
      </c>
      <c r="CC646" t="e">
        <f>VLOOKUP($H646,'1. Set Program Names'!$B$2:$D$15,3,0)*AC646</f>
        <v>#N/A</v>
      </c>
      <c r="CD646" t="e">
        <f>VLOOKUP($H646,'1. Set Program Names'!$B$2:$D$15,3,0)*AD646</f>
        <v>#N/A</v>
      </c>
      <c r="CE646" t="e">
        <f>VLOOKUP($H646,'1. Set Program Names'!$B$2:$D$15,3,0)*AE646</f>
        <v>#N/A</v>
      </c>
    </row>
    <row r="647" spans="1:83" x14ac:dyDescent="0.25">
      <c r="A647" s="20" t="s">
        <v>116</v>
      </c>
      <c r="B647" s="20" t="s">
        <v>88</v>
      </c>
      <c r="C647" s="20" t="s">
        <v>122</v>
      </c>
      <c r="D647" s="20" t="s">
        <v>90</v>
      </c>
      <c r="E647" s="20" t="s">
        <v>91</v>
      </c>
      <c r="F647" s="20" t="s">
        <v>90</v>
      </c>
      <c r="G647" s="20" t="s">
        <v>92</v>
      </c>
      <c r="H647" s="20" t="s">
        <v>268</v>
      </c>
      <c r="I647" s="20" t="s">
        <v>269</v>
      </c>
      <c r="J647" s="20" t="s">
        <v>144</v>
      </c>
      <c r="K647" s="20" t="s">
        <v>98</v>
      </c>
      <c r="L647" s="20">
        <v>114.663333333333</v>
      </c>
      <c r="M647" s="20">
        <v>9.9293177507311006E-3</v>
      </c>
      <c r="N647" s="20">
        <v>1.6498275913899602E-2</v>
      </c>
      <c r="O647" s="20">
        <v>32.906666666666602</v>
      </c>
      <c r="P647" s="20">
        <v>12.4845629759592</v>
      </c>
      <c r="Q647" s="20">
        <v>0.11466333333333301</v>
      </c>
      <c r="R647" s="20">
        <v>37.313940517924799</v>
      </c>
      <c r="S647" s="20">
        <v>94.317035346682403</v>
      </c>
      <c r="T647" s="20">
        <v>10</v>
      </c>
      <c r="U647" s="20">
        <v>1</v>
      </c>
      <c r="V647" s="20">
        <v>2.7888619302372102</v>
      </c>
      <c r="W647" s="20">
        <v>3.8278502813120499</v>
      </c>
      <c r="X647" s="20">
        <v>5.09538279218566</v>
      </c>
      <c r="Y647" s="20">
        <v>6.5756003481232002</v>
      </c>
      <c r="Z647" s="20">
        <v>8.1474708363051107</v>
      </c>
      <c r="AA647" s="20">
        <v>9.5672494450344505</v>
      </c>
      <c r="AB647" s="20">
        <v>10.5175162275159</v>
      </c>
      <c r="AC647" s="20">
        <v>10.7006583902429</v>
      </c>
      <c r="AD647" s="20">
        <v>9.9661605990889903</v>
      </c>
      <c r="AE647" s="20">
        <v>8.4624787118202498</v>
      </c>
      <c r="AF647" t="str">
        <f t="shared" si="43"/>
        <v>NonResidential</v>
      </c>
      <c r="AG647" t="str">
        <f>tbl_Data_old[[#This Row],[All_Meas_Name_Append]]</f>
        <v>Low Flow Shower Head</v>
      </c>
      <c r="AH647">
        <f>AVERAGEIFS('3. Incentive Adjustment'!G:G,'3. Incentive Adjustment'!A:A,tbl_Data_old[[#This Row],[Trimmed Sector]],'3. Incentive Adjustment'!B:B,tbl_Data_old[[#This Row],[Trimmed Measure Name]])</f>
        <v>0.75029954061989002</v>
      </c>
      <c r="AI647">
        <f>$AH647*tbl_Data_old[[#This Row],[2025 ]]</f>
        <v>2.0924818251092785</v>
      </c>
      <c r="AJ647">
        <f>$AH647*tbl_Data_old[[#This Row],[2026 ]]</f>
        <v>2.8720343076301478</v>
      </c>
      <c r="AK647">
        <f>$AH647*tbl_Data_old[[#This Row],[2027 ]]</f>
        <v>3.8230633682593931</v>
      </c>
      <c r="AL647">
        <f>$AH647*tbl_Data_old[[#This Row],[2028 ]]</f>
        <v>4.9336699204968255</v>
      </c>
      <c r="AM647">
        <f>$AH647*tbl_Data_old[[#This Row],[2029 ]]</f>
        <v>6.1130436256936758</v>
      </c>
      <c r="AN647">
        <f>$AH647*tbl_Data_old[[#This Row],[2030 ]]</f>
        <v>7.1783028636052455</v>
      </c>
      <c r="AO647">
        <f>$AH647*tbl_Data_old[[#This Row],[2031 ]]</f>
        <v>7.8912875939674185</v>
      </c>
      <c r="AP647">
        <f>$AH647*tbl_Data_old[[#This Row],[2032 ]]</f>
        <v>8.0286990745296194</v>
      </c>
      <c r="AQ647">
        <f>$AH647*tbl_Data_old[[#This Row],[2033 ]]</f>
        <v>7.4776057192405174</v>
      </c>
      <c r="AR647">
        <f>$AH647*tbl_Data_old[[#This Row],[2034 ]]</f>
        <v>6.3493938899843316</v>
      </c>
      <c r="AS647">
        <f>SUM(tbl_Data_old[[#This Row],[Adjusted 2025]:[Adjusted 2034]])</f>
        <v>56.759582188516454</v>
      </c>
      <c r="AT647" s="3">
        <f>AVERAGEIFS('3. Incentive Adjustment'!F:F,'3. Incentive Adjustment'!A:A,tbl_Data_old[[#This Row],[Trimmed Sector]],'3. Incentive Adjustment'!B:B,tbl_Data_old[[#This Row],[Trimmed Measure Name]])</f>
        <v>0</v>
      </c>
      <c r="AU647" s="3">
        <f>IFERROR(VLOOKUP(tbl_Data_old[[#This Row],[All_Meas_Name_Append]],'IRA Tax Credits'!$A$3:$D$46,4,0),0)</f>
        <v>0</v>
      </c>
      <c r="AV647" s="4">
        <f>tbl_Data_old[[#This Row],[Adj. per unit Incentive ($)]]/tbl_Data_old[[#This Row],[kWh Savings]]*tbl_Data_old[[#This Row],[Sum of Annuals]]</f>
        <v>0</v>
      </c>
      <c r="AW647" s="4" t="str">
        <f>IFERROR(VLOOKUP(tbl_Data_old[[#This Row],[All_Programs]],'1. Set Program Names'!$B$2:$D$15,3,0)*tbl_Data_old[[#This Row],[Sum of Annuals]],"")</f>
        <v/>
      </c>
      <c r="AX647" s="4">
        <f>tbl_Data_old[[#This Row],[per unit IRA tax ($)]]/tbl_Data_old[[#This Row],[kWh Savings]]*tbl_Data_old[[#This Row],[Sum of Annuals]]</f>
        <v>0</v>
      </c>
      <c r="AY647" s="4">
        <f>tbl_Data_old[[#This Row],[Avoided Costs ($/unit)]]/tbl_Data_old[[#This Row],[kWh Savings]]*tbl_Data_old[[#This Row],[Sum of Annuals]]</f>
        <v>18.470801537293873</v>
      </c>
      <c r="AZ647" s="4">
        <f>tbl_Data_old[[#This Row],[Lost Revenue ($/unit)]]/tbl_Data_old[[#This Row],[kWh Savings]]*tbl_Data_old[[#This Row],[Sum of Annuals]]</f>
        <v>46.687946040907413</v>
      </c>
      <c r="BA647" s="4">
        <f>tbl_Data_old[[#This Row],[Incremental Cost ($/unit)]]/tbl_Data_old[[#This Row],[kWh Savings]]*tbl_Data_old[[#This Row],[Sum of Annuals]]</f>
        <v>16.289153619728335</v>
      </c>
      <c r="BB647">
        <f>ROUNDUP(tbl_Data_old[[#This Row],[Adjusted 2025]]/$L647,0)</f>
        <v>1</v>
      </c>
      <c r="BC647">
        <f>ROUNDUP(tbl_Data_old[[#This Row],[Adjusted 2026]]/$L647,0)</f>
        <v>1</v>
      </c>
      <c r="BD647">
        <f>ROUNDUP(tbl_Data_old[[#This Row],[Adjusted 2027]]/$L647,0)</f>
        <v>1</v>
      </c>
      <c r="BE647">
        <f>ROUNDUP(tbl_Data_old[[#This Row],[Adjusted 2028]]/$L647,0)</f>
        <v>1</v>
      </c>
      <c r="BF647">
        <f>ROUNDUP(tbl_Data_old[[#This Row],[Adjusted 2029]]/$L647,0)</f>
        <v>1</v>
      </c>
      <c r="BG647">
        <f>ROUNDUP(tbl_Data_old[[#This Row],[Adjusted 2030]]/$L647,0)</f>
        <v>1</v>
      </c>
      <c r="BH647">
        <f>ROUNDUP(tbl_Data_old[[#This Row],[Adjusted 2031]]/$L647,0)</f>
        <v>1</v>
      </c>
      <c r="BI647">
        <f>ROUNDUP(tbl_Data_old[[#This Row],[Adjusted 2032]]/$L647,0)</f>
        <v>1</v>
      </c>
      <c r="BJ647">
        <f>ROUNDUP(tbl_Data_old[[#This Row],[Adjusted 2033]]/$L647,0)</f>
        <v>1</v>
      </c>
      <c r="BK647">
        <f>ROUNDUP(tbl_Data_old[[#This Row],[Adjusted 2034]]/$L647,0)</f>
        <v>1</v>
      </c>
      <c r="BL647" s="3">
        <f t="shared" si="45"/>
        <v>0</v>
      </c>
      <c r="BM647" s="3">
        <f t="shared" si="45"/>
        <v>0</v>
      </c>
      <c r="BN647" s="3">
        <f t="shared" si="45"/>
        <v>0</v>
      </c>
      <c r="BO647" s="3">
        <f t="shared" si="45"/>
        <v>0</v>
      </c>
      <c r="BP647" s="3">
        <f t="shared" si="45"/>
        <v>0</v>
      </c>
      <c r="BQ647" s="3">
        <f t="shared" si="44"/>
        <v>0</v>
      </c>
      <c r="BR647" s="3">
        <f t="shared" si="44"/>
        <v>0</v>
      </c>
      <c r="BS647" s="3">
        <f t="shared" si="44"/>
        <v>0</v>
      </c>
      <c r="BT647" s="3">
        <f t="shared" si="44"/>
        <v>0</v>
      </c>
      <c r="BU647" s="3">
        <f t="shared" si="44"/>
        <v>0</v>
      </c>
      <c r="BV647" t="e">
        <f>VLOOKUP($H647,'1. Set Program Names'!$B$2:$D$15,3,0)*V647</f>
        <v>#N/A</v>
      </c>
      <c r="BW647" t="e">
        <f>VLOOKUP($H647,'1. Set Program Names'!$B$2:$D$15,3,0)*W647</f>
        <v>#N/A</v>
      </c>
      <c r="BX647" t="e">
        <f>VLOOKUP($H647,'1. Set Program Names'!$B$2:$D$15,3,0)*X647</f>
        <v>#N/A</v>
      </c>
      <c r="BY647" t="e">
        <f>VLOOKUP($H647,'1. Set Program Names'!$B$2:$D$15,3,0)*Y647</f>
        <v>#N/A</v>
      </c>
      <c r="BZ647" t="e">
        <f>VLOOKUP($H647,'1. Set Program Names'!$B$2:$D$15,3,0)*Z647</f>
        <v>#N/A</v>
      </c>
      <c r="CA647" t="e">
        <f>VLOOKUP($H647,'1. Set Program Names'!$B$2:$D$15,3,0)*AA647</f>
        <v>#N/A</v>
      </c>
      <c r="CB647" t="e">
        <f>VLOOKUP($H647,'1. Set Program Names'!$B$2:$D$15,3,0)*AB647</f>
        <v>#N/A</v>
      </c>
      <c r="CC647" t="e">
        <f>VLOOKUP($H647,'1. Set Program Names'!$B$2:$D$15,3,0)*AC647</f>
        <v>#N/A</v>
      </c>
      <c r="CD647" t="e">
        <f>VLOOKUP($H647,'1. Set Program Names'!$B$2:$D$15,3,0)*AD647</f>
        <v>#N/A</v>
      </c>
      <c r="CE647" t="e">
        <f>VLOOKUP($H647,'1. Set Program Names'!$B$2:$D$15,3,0)*AE647</f>
        <v>#N/A</v>
      </c>
    </row>
    <row r="648" spans="1:83" x14ac:dyDescent="0.25">
      <c r="A648" s="20" t="s">
        <v>116</v>
      </c>
      <c r="B648" s="20" t="s">
        <v>88</v>
      </c>
      <c r="C648" s="20" t="s">
        <v>122</v>
      </c>
      <c r="D648" s="20" t="s">
        <v>90</v>
      </c>
      <c r="E648" s="20" t="s">
        <v>91</v>
      </c>
      <c r="F648" s="20" t="s">
        <v>90</v>
      </c>
      <c r="G648" s="20" t="s">
        <v>92</v>
      </c>
      <c r="H648" s="20" t="s">
        <v>268</v>
      </c>
      <c r="I648" s="20" t="s">
        <v>151</v>
      </c>
      <c r="J648" s="20" t="s">
        <v>137</v>
      </c>
      <c r="K648" s="20" t="s">
        <v>152</v>
      </c>
      <c r="L648" s="20">
        <v>746</v>
      </c>
      <c r="M648" s="20">
        <v>0.118390986607413</v>
      </c>
      <c r="N648" s="20">
        <v>0.122042488273403</v>
      </c>
      <c r="O648" s="20">
        <v>233.28</v>
      </c>
      <c r="P648" s="20">
        <v>79.822614261305304</v>
      </c>
      <c r="Q648" s="20">
        <v>0.746</v>
      </c>
      <c r="R648" s="20">
        <v>287.47532526616499</v>
      </c>
      <c r="S648" s="20">
        <v>613.62692260203801</v>
      </c>
      <c r="T648" s="20">
        <v>10</v>
      </c>
      <c r="U648" s="20">
        <v>1</v>
      </c>
      <c r="V648" s="20">
        <v>4.1293706852370304</v>
      </c>
      <c r="W648" s="20">
        <v>4.93407117958707</v>
      </c>
      <c r="X648" s="20">
        <v>5.7969245040530302</v>
      </c>
      <c r="Y648" s="20">
        <v>6.7404169454634504</v>
      </c>
      <c r="Z648" s="20">
        <v>7.7510795498222897</v>
      </c>
      <c r="AA648" s="20">
        <v>8.8015111159421497</v>
      </c>
      <c r="AB648" s="20">
        <v>9.8781735230443797</v>
      </c>
      <c r="AC648" s="20">
        <v>10.981908427132501</v>
      </c>
      <c r="AD648" s="20">
        <v>12.0957553331054</v>
      </c>
      <c r="AE648" s="20">
        <v>13.1948161717792</v>
      </c>
      <c r="AF648" t="str">
        <f t="shared" si="43"/>
        <v>NonResidential</v>
      </c>
      <c r="AG648" t="str">
        <f>tbl_Data_old[[#This Row],[All_Meas_Name_Append]]</f>
        <v>Ozone Laundry Commercial</v>
      </c>
      <c r="AH648">
        <f>AVERAGEIFS('3. Incentive Adjustment'!G:G,'3. Incentive Adjustment'!A:A,tbl_Data_old[[#This Row],[Trimmed Sector]],'3. Incentive Adjustment'!B:B,tbl_Data_old[[#This Row],[Trimmed Measure Name]])</f>
        <v>0.75402928491932286</v>
      </c>
      <c r="AI648">
        <f>$AH648*tbl_Data_old[[#This Row],[2025 ]]</f>
        <v>3.1136664249560924</v>
      </c>
      <c r="AJ648">
        <f>$AH648*tbl_Data_old[[#This Row],[2026 ]]</f>
        <v>3.7204341632850784</v>
      </c>
      <c r="AK648">
        <f>$AH648*tbl_Data_old[[#This Row],[2027 ]]</f>
        <v>4.3710508385224065</v>
      </c>
      <c r="AL648">
        <f>$AH648*tbl_Data_old[[#This Row],[2028 ]]</f>
        <v>5.0824717694458919</v>
      </c>
      <c r="AM648">
        <f>$AH648*tbl_Data_old[[#This Row],[2029 ]]</f>
        <v>5.844540970305288</v>
      </c>
      <c r="AN648">
        <f>$AH648*tbl_Data_old[[#This Row],[2030 ]]</f>
        <v>6.6365971329633302</v>
      </c>
      <c r="AO648">
        <f>$AH648*tbl_Data_old[[#This Row],[2031 ]]</f>
        <v>7.4484321178901416</v>
      </c>
      <c r="AP648">
        <f>$AH648*tbl_Data_old[[#This Row],[2032 ]]</f>
        <v>8.2806805583602046</v>
      </c>
      <c r="AQ648">
        <f>$AH648*tbl_Data_old[[#This Row],[2033 ]]</f>
        <v>9.1205537443805511</v>
      </c>
      <c r="AR648">
        <f>$AH648*tbl_Data_old[[#This Row],[2034 ]]</f>
        <v>9.949277802648588</v>
      </c>
      <c r="AS648">
        <f>SUM(tbl_Data_old[[#This Row],[Adjusted 2025]:[Adjusted 2034]])</f>
        <v>63.567705522757571</v>
      </c>
      <c r="AT648" s="3">
        <f>AVERAGEIFS('3. Incentive Adjustment'!F:F,'3. Incentive Adjustment'!A:A,tbl_Data_old[[#This Row],[Trimmed Sector]],'3. Incentive Adjustment'!B:B,tbl_Data_old[[#This Row],[Trimmed Measure Name]])</f>
        <v>0</v>
      </c>
      <c r="AU648" s="3">
        <f>IFERROR(VLOOKUP(tbl_Data_old[[#This Row],[All_Meas_Name_Append]],'IRA Tax Credits'!$A$3:$D$46,4,0),0)</f>
        <v>0</v>
      </c>
      <c r="AV648" s="4">
        <f>tbl_Data_old[[#This Row],[Adj. per unit Incentive ($)]]/tbl_Data_old[[#This Row],[kWh Savings]]*tbl_Data_old[[#This Row],[Sum of Annuals]]</f>
        <v>0</v>
      </c>
      <c r="AW648" s="4" t="str">
        <f>IFERROR(VLOOKUP(tbl_Data_old[[#This Row],[All_Programs]],'1. Set Program Names'!$B$2:$D$15,3,0)*tbl_Data_old[[#This Row],[Sum of Annuals]],"")</f>
        <v/>
      </c>
      <c r="AX648" s="4">
        <f>tbl_Data_old[[#This Row],[per unit IRA tax ($)]]/tbl_Data_old[[#This Row],[kWh Savings]]*tbl_Data_old[[#This Row],[Sum of Annuals]]</f>
        <v>0</v>
      </c>
      <c r="AY648" s="4">
        <f>tbl_Data_old[[#This Row],[Avoided Costs ($/unit)]]/tbl_Data_old[[#This Row],[kWh Savings]]*tbl_Data_old[[#This Row],[Sum of Annuals]]</f>
        <v>24.49617536404628</v>
      </c>
      <c r="AZ648" s="4">
        <f>tbl_Data_old[[#This Row],[Lost Revenue ($/unit)]]/tbl_Data_old[[#This Row],[kWh Savings]]*tbl_Data_old[[#This Row],[Sum of Annuals]]</f>
        <v>52.288010076142498</v>
      </c>
      <c r="BA648" s="4">
        <f>tbl_Data_old[[#This Row],[Incremental Cost ($/unit)]]/tbl_Data_old[[#This Row],[kWh Savings]]*tbl_Data_old[[#This Row],[Sum of Annuals]]</f>
        <v>19.878115743095023</v>
      </c>
      <c r="BB648">
        <f>ROUNDUP(tbl_Data_old[[#This Row],[Adjusted 2025]]/$L648,0)</f>
        <v>1</v>
      </c>
      <c r="BC648">
        <f>ROUNDUP(tbl_Data_old[[#This Row],[Adjusted 2026]]/$L648,0)</f>
        <v>1</v>
      </c>
      <c r="BD648">
        <f>ROUNDUP(tbl_Data_old[[#This Row],[Adjusted 2027]]/$L648,0)</f>
        <v>1</v>
      </c>
      <c r="BE648">
        <f>ROUNDUP(tbl_Data_old[[#This Row],[Adjusted 2028]]/$L648,0)</f>
        <v>1</v>
      </c>
      <c r="BF648">
        <f>ROUNDUP(tbl_Data_old[[#This Row],[Adjusted 2029]]/$L648,0)</f>
        <v>1</v>
      </c>
      <c r="BG648">
        <f>ROUNDUP(tbl_Data_old[[#This Row],[Adjusted 2030]]/$L648,0)</f>
        <v>1</v>
      </c>
      <c r="BH648">
        <f>ROUNDUP(tbl_Data_old[[#This Row],[Adjusted 2031]]/$L648,0)</f>
        <v>1</v>
      </c>
      <c r="BI648">
        <f>ROUNDUP(tbl_Data_old[[#This Row],[Adjusted 2032]]/$L648,0)</f>
        <v>1</v>
      </c>
      <c r="BJ648">
        <f>ROUNDUP(tbl_Data_old[[#This Row],[Adjusted 2033]]/$L648,0)</f>
        <v>1</v>
      </c>
      <c r="BK648">
        <f>ROUNDUP(tbl_Data_old[[#This Row],[Adjusted 2034]]/$L648,0)</f>
        <v>1</v>
      </c>
      <c r="BL648" s="3">
        <f t="shared" si="45"/>
        <v>0</v>
      </c>
      <c r="BM648" s="3">
        <f t="shared" si="45"/>
        <v>0</v>
      </c>
      <c r="BN648" s="3">
        <f t="shared" si="45"/>
        <v>0</v>
      </c>
      <c r="BO648" s="3">
        <f t="shared" si="45"/>
        <v>0</v>
      </c>
      <c r="BP648" s="3">
        <f t="shared" si="45"/>
        <v>0</v>
      </c>
      <c r="BQ648" s="3">
        <f t="shared" si="44"/>
        <v>0</v>
      </c>
      <c r="BR648" s="3">
        <f t="shared" si="44"/>
        <v>0</v>
      </c>
      <c r="BS648" s="3">
        <f t="shared" si="44"/>
        <v>0</v>
      </c>
      <c r="BT648" s="3">
        <f t="shared" si="44"/>
        <v>0</v>
      </c>
      <c r="BU648" s="3">
        <f t="shared" si="44"/>
        <v>0</v>
      </c>
      <c r="BV648" t="e">
        <f>VLOOKUP($H648,'1. Set Program Names'!$B$2:$D$15,3,0)*V648</f>
        <v>#N/A</v>
      </c>
      <c r="BW648" t="e">
        <f>VLOOKUP($H648,'1. Set Program Names'!$B$2:$D$15,3,0)*W648</f>
        <v>#N/A</v>
      </c>
      <c r="BX648" t="e">
        <f>VLOOKUP($H648,'1. Set Program Names'!$B$2:$D$15,3,0)*X648</f>
        <v>#N/A</v>
      </c>
      <c r="BY648" t="e">
        <f>VLOOKUP($H648,'1. Set Program Names'!$B$2:$D$15,3,0)*Y648</f>
        <v>#N/A</v>
      </c>
      <c r="BZ648" t="e">
        <f>VLOOKUP($H648,'1. Set Program Names'!$B$2:$D$15,3,0)*Z648</f>
        <v>#N/A</v>
      </c>
      <c r="CA648" t="e">
        <f>VLOOKUP($H648,'1. Set Program Names'!$B$2:$D$15,3,0)*AA648</f>
        <v>#N/A</v>
      </c>
      <c r="CB648" t="e">
        <f>VLOOKUP($H648,'1. Set Program Names'!$B$2:$D$15,3,0)*AB648</f>
        <v>#N/A</v>
      </c>
      <c r="CC648" t="e">
        <f>VLOOKUP($H648,'1. Set Program Names'!$B$2:$D$15,3,0)*AC648</f>
        <v>#N/A</v>
      </c>
      <c r="CD648" t="e">
        <f>VLOOKUP($H648,'1. Set Program Names'!$B$2:$D$15,3,0)*AD648</f>
        <v>#N/A</v>
      </c>
      <c r="CE648" t="e">
        <f>VLOOKUP($H648,'1. Set Program Names'!$B$2:$D$15,3,0)*AE648</f>
        <v>#N/A</v>
      </c>
    </row>
    <row r="649" spans="1:83" x14ac:dyDescent="0.25">
      <c r="A649" s="20" t="s">
        <v>116</v>
      </c>
      <c r="B649" s="20" t="s">
        <v>88</v>
      </c>
      <c r="C649" s="20" t="s">
        <v>122</v>
      </c>
      <c r="D649" s="20" t="s">
        <v>90</v>
      </c>
      <c r="E649" s="20" t="s">
        <v>91</v>
      </c>
      <c r="F649" s="20" t="s">
        <v>90</v>
      </c>
      <c r="G649" s="20" t="s">
        <v>92</v>
      </c>
      <c r="H649" s="20" t="s">
        <v>268</v>
      </c>
      <c r="I649" s="20" t="s">
        <v>153</v>
      </c>
      <c r="J649" s="20" t="s">
        <v>129</v>
      </c>
      <c r="K649" s="20" t="s">
        <v>102</v>
      </c>
      <c r="L649" s="20">
        <v>1285.73999999999</v>
      </c>
      <c r="M649" s="20">
        <v>0.191067583335012</v>
      </c>
      <c r="N649" s="20">
        <v>3.6175165669598698E-2</v>
      </c>
      <c r="O649" s="20">
        <v>304.38999999999902</v>
      </c>
      <c r="P649" s="20">
        <v>39.904344316796902</v>
      </c>
      <c r="Q649" s="20">
        <v>1.2857399999999899</v>
      </c>
      <c r="R649" s="20">
        <v>497.118469789904</v>
      </c>
      <c r="S649" s="20">
        <v>1133.43981342083</v>
      </c>
      <c r="T649" s="20">
        <v>11</v>
      </c>
      <c r="U649" s="20">
        <v>1</v>
      </c>
      <c r="V649" s="20">
        <v>6.2140055386725901E-2</v>
      </c>
      <c r="W649" s="20">
        <v>5.1766527072284498E-2</v>
      </c>
      <c r="X649" s="20">
        <v>4.2734658380451498E-2</v>
      </c>
      <c r="Y649" s="20">
        <v>3.5289120251729103E-2</v>
      </c>
      <c r="Z649" s="20">
        <v>2.9168419385877199E-2</v>
      </c>
      <c r="AA649" s="20">
        <v>2.4128329077046401E-2</v>
      </c>
      <c r="AB649" s="20">
        <v>2.0007854961234198E-2</v>
      </c>
      <c r="AC649" s="20">
        <v>1.6680116861710802E-2</v>
      </c>
      <c r="AD649" s="20">
        <v>1.4019818142755399E-2</v>
      </c>
      <c r="AE649" s="20">
        <v>1.1863827876103E-2</v>
      </c>
      <c r="AF649" t="str">
        <f t="shared" si="43"/>
        <v>NonResidential</v>
      </c>
      <c r="AG649" t="str">
        <f>tbl_Data_old[[#This Row],[All_Meas_Name_Append]]</f>
        <v>Programmable thermostat</v>
      </c>
      <c r="AH649">
        <f>AVERAGEIFS('3. Incentive Adjustment'!G:G,'3. Incentive Adjustment'!A:A,tbl_Data_old[[#This Row],[Trimmed Sector]],'3. Incentive Adjustment'!B:B,tbl_Data_old[[#This Row],[Trimmed Measure Name]])</f>
        <v>0.92137383531364503</v>
      </c>
      <c r="AI649">
        <f>$AH649*tbl_Data_old[[#This Row],[2025 ]]</f>
        <v>5.7254221158269968E-2</v>
      </c>
      <c r="AJ649">
        <f>$AH649*tbl_Data_old[[#This Row],[2026 ]]</f>
        <v>4.7696323589458405E-2</v>
      </c>
      <c r="AK649">
        <f>$AH649*tbl_Data_old[[#This Row],[2027 ]]</f>
        <v>3.9374596092814997E-2</v>
      </c>
      <c r="AL649">
        <f>$AH649*tbl_Data_old[[#This Row],[2028 ]]</f>
        <v>3.2514472071180064E-2</v>
      </c>
      <c r="AM649">
        <f>$AH649*tbl_Data_old[[#This Row],[2029 ]]</f>
        <v>2.6875018439602549E-2</v>
      </c>
      <c r="AN649">
        <f>$AH649*tbl_Data_old[[#This Row],[2030 ]]</f>
        <v>2.2231211101427985E-2</v>
      </c>
      <c r="AO649">
        <f>$AH649*tbl_Data_old[[#This Row],[2031 ]]</f>
        <v>1.8434714062031492E-2</v>
      </c>
      <c r="AP649">
        <f>$AH649*tbl_Data_old[[#This Row],[2032 ]]</f>
        <v>1.5368623246354282E-2</v>
      </c>
      <c r="AQ649">
        <f>$AH649*tbl_Data_old[[#This Row],[2033 ]]</f>
        <v>1.2917493612590366E-2</v>
      </c>
      <c r="AR649">
        <f>$AH649*tbl_Data_old[[#This Row],[2034 ]]</f>
        <v>1.0931020591705956E-2</v>
      </c>
      <c r="AS649">
        <f>SUM(tbl_Data_old[[#This Row],[Adjusted 2025]:[Adjusted 2034]])</f>
        <v>0.2835976939654361</v>
      </c>
      <c r="AT649" s="3">
        <f>AVERAGEIFS('3. Incentive Adjustment'!F:F,'3. Incentive Adjustment'!A:A,tbl_Data_old[[#This Row],[Trimmed Sector]],'3. Incentive Adjustment'!B:B,tbl_Data_old[[#This Row],[Trimmed Measure Name]])</f>
        <v>0</v>
      </c>
      <c r="AU649" s="3">
        <f>IFERROR(VLOOKUP(tbl_Data_old[[#This Row],[All_Meas_Name_Append]],'IRA Tax Credits'!$A$3:$D$46,4,0),0)</f>
        <v>0</v>
      </c>
      <c r="AV649" s="4">
        <f>tbl_Data_old[[#This Row],[Adj. per unit Incentive ($)]]/tbl_Data_old[[#This Row],[kWh Savings]]*tbl_Data_old[[#This Row],[Sum of Annuals]]</f>
        <v>0</v>
      </c>
      <c r="AW649" s="4" t="str">
        <f>IFERROR(VLOOKUP(tbl_Data_old[[#This Row],[All_Programs]],'1. Set Program Names'!$B$2:$D$15,3,0)*tbl_Data_old[[#This Row],[Sum of Annuals]],"")</f>
        <v/>
      </c>
      <c r="AX649" s="4">
        <f>tbl_Data_old[[#This Row],[per unit IRA tax ($)]]/tbl_Data_old[[#This Row],[kWh Savings]]*tbl_Data_old[[#This Row],[Sum of Annuals]]</f>
        <v>0</v>
      </c>
      <c r="AY649" s="4">
        <f>tbl_Data_old[[#This Row],[Avoided Costs ($/unit)]]/tbl_Data_old[[#This Row],[kWh Savings]]*tbl_Data_old[[#This Row],[Sum of Annuals]]</f>
        <v>0.10965020273153529</v>
      </c>
      <c r="AZ649" s="4">
        <f>tbl_Data_old[[#This Row],[Lost Revenue ($/unit)]]/tbl_Data_old[[#This Row],[kWh Savings]]*tbl_Data_old[[#This Row],[Sum of Annuals]]</f>
        <v>0.25000460227943755</v>
      </c>
      <c r="BA649" s="4">
        <f>tbl_Data_old[[#This Row],[Incremental Cost ($/unit)]]/tbl_Data_old[[#This Row],[kWh Savings]]*tbl_Data_old[[#This Row],[Sum of Annuals]]</f>
        <v>6.7139781033598939E-2</v>
      </c>
      <c r="BB649">
        <f>ROUNDUP(tbl_Data_old[[#This Row],[Adjusted 2025]]/$L649,0)</f>
        <v>1</v>
      </c>
      <c r="BC649">
        <f>ROUNDUP(tbl_Data_old[[#This Row],[Adjusted 2026]]/$L649,0)</f>
        <v>1</v>
      </c>
      <c r="BD649">
        <f>ROUNDUP(tbl_Data_old[[#This Row],[Adjusted 2027]]/$L649,0)</f>
        <v>1</v>
      </c>
      <c r="BE649">
        <f>ROUNDUP(tbl_Data_old[[#This Row],[Adjusted 2028]]/$L649,0)</f>
        <v>1</v>
      </c>
      <c r="BF649">
        <f>ROUNDUP(tbl_Data_old[[#This Row],[Adjusted 2029]]/$L649,0)</f>
        <v>1</v>
      </c>
      <c r="BG649">
        <f>ROUNDUP(tbl_Data_old[[#This Row],[Adjusted 2030]]/$L649,0)</f>
        <v>1</v>
      </c>
      <c r="BH649">
        <f>ROUNDUP(tbl_Data_old[[#This Row],[Adjusted 2031]]/$L649,0)</f>
        <v>1</v>
      </c>
      <c r="BI649">
        <f>ROUNDUP(tbl_Data_old[[#This Row],[Adjusted 2032]]/$L649,0)</f>
        <v>1</v>
      </c>
      <c r="BJ649">
        <f>ROUNDUP(tbl_Data_old[[#This Row],[Adjusted 2033]]/$L649,0)</f>
        <v>1</v>
      </c>
      <c r="BK649">
        <f>ROUNDUP(tbl_Data_old[[#This Row],[Adjusted 2034]]/$L649,0)</f>
        <v>1</v>
      </c>
      <c r="BL649" s="3">
        <f t="shared" si="45"/>
        <v>0</v>
      </c>
      <c r="BM649" s="3">
        <f t="shared" si="45"/>
        <v>0</v>
      </c>
      <c r="BN649" s="3">
        <f t="shared" si="45"/>
        <v>0</v>
      </c>
      <c r="BO649" s="3">
        <f t="shared" si="45"/>
        <v>0</v>
      </c>
      <c r="BP649" s="3">
        <f t="shared" si="45"/>
        <v>0</v>
      </c>
      <c r="BQ649" s="3">
        <f t="shared" si="44"/>
        <v>0</v>
      </c>
      <c r="BR649" s="3">
        <f t="shared" si="44"/>
        <v>0</v>
      </c>
      <c r="BS649" s="3">
        <f t="shared" si="44"/>
        <v>0</v>
      </c>
      <c r="BT649" s="3">
        <f t="shared" si="44"/>
        <v>0</v>
      </c>
      <c r="BU649" s="3">
        <f t="shared" si="44"/>
        <v>0</v>
      </c>
      <c r="BV649" t="e">
        <f>VLOOKUP($H649,'1. Set Program Names'!$B$2:$D$15,3,0)*V649</f>
        <v>#N/A</v>
      </c>
      <c r="BW649" t="e">
        <f>VLOOKUP($H649,'1. Set Program Names'!$B$2:$D$15,3,0)*W649</f>
        <v>#N/A</v>
      </c>
      <c r="BX649" t="e">
        <f>VLOOKUP($H649,'1. Set Program Names'!$B$2:$D$15,3,0)*X649</f>
        <v>#N/A</v>
      </c>
      <c r="BY649" t="e">
        <f>VLOOKUP($H649,'1. Set Program Names'!$B$2:$D$15,3,0)*Y649</f>
        <v>#N/A</v>
      </c>
      <c r="BZ649" t="e">
        <f>VLOOKUP($H649,'1. Set Program Names'!$B$2:$D$15,3,0)*Z649</f>
        <v>#N/A</v>
      </c>
      <c r="CA649" t="e">
        <f>VLOOKUP($H649,'1. Set Program Names'!$B$2:$D$15,3,0)*AA649</f>
        <v>#N/A</v>
      </c>
      <c r="CB649" t="e">
        <f>VLOOKUP($H649,'1. Set Program Names'!$B$2:$D$15,3,0)*AB649</f>
        <v>#N/A</v>
      </c>
      <c r="CC649" t="e">
        <f>VLOOKUP($H649,'1. Set Program Names'!$B$2:$D$15,3,0)*AC649</f>
        <v>#N/A</v>
      </c>
      <c r="CD649" t="e">
        <f>VLOOKUP($H649,'1. Set Program Names'!$B$2:$D$15,3,0)*AD649</f>
        <v>#N/A</v>
      </c>
      <c r="CE649" t="e">
        <f>VLOOKUP($H649,'1. Set Program Names'!$B$2:$D$15,3,0)*AE649</f>
        <v>#N/A</v>
      </c>
    </row>
    <row r="650" spans="1:83" x14ac:dyDescent="0.25">
      <c r="A650" s="20" t="s">
        <v>116</v>
      </c>
      <c r="B650" s="20" t="s">
        <v>88</v>
      </c>
      <c r="C650" s="20" t="s">
        <v>122</v>
      </c>
      <c r="D650" s="20" t="s">
        <v>90</v>
      </c>
      <c r="E650" s="20" t="s">
        <v>91</v>
      </c>
      <c r="F650" s="20" t="s">
        <v>90</v>
      </c>
      <c r="G650" s="20" t="s">
        <v>92</v>
      </c>
      <c r="H650" s="20" t="s">
        <v>268</v>
      </c>
      <c r="I650" s="20" t="s">
        <v>156</v>
      </c>
      <c r="J650" s="20" t="s">
        <v>129</v>
      </c>
      <c r="K650" s="20" t="s">
        <v>102</v>
      </c>
      <c r="L650" s="20">
        <v>1074.99714285714</v>
      </c>
      <c r="M650" s="20">
        <v>0.35483647389159401</v>
      </c>
      <c r="N650" s="20">
        <v>2.1679791501885101E-3</v>
      </c>
      <c r="O650" s="20">
        <v>322.49999999999898</v>
      </c>
      <c r="P650" s="20">
        <v>112.47094868606101</v>
      </c>
      <c r="Q650" s="20">
        <v>1.0749971428571401</v>
      </c>
      <c r="R650" s="20">
        <v>593.31352847936103</v>
      </c>
      <c r="S650" s="20">
        <v>1167.57597203707</v>
      </c>
      <c r="T650" s="20">
        <v>15</v>
      </c>
      <c r="U650" s="20">
        <v>1</v>
      </c>
      <c r="V650" s="20">
        <v>1.31110049126515</v>
      </c>
      <c r="W650" s="20">
        <v>1.4464206424644299</v>
      </c>
      <c r="X650" s="20">
        <v>1.5604067758368301</v>
      </c>
      <c r="Y650" s="20">
        <v>1.6616418773893</v>
      </c>
      <c r="Z650" s="20">
        <v>1.7496832423306601</v>
      </c>
      <c r="AA650" s="20">
        <v>1.82437596397541</v>
      </c>
      <c r="AB650" s="20">
        <v>1.8872376662096899</v>
      </c>
      <c r="AC650" s="20">
        <v>1.94353451876827</v>
      </c>
      <c r="AD650" s="20">
        <v>1.9957901654444301</v>
      </c>
      <c r="AE650" s="20">
        <v>2.04178233863091</v>
      </c>
      <c r="AF650" t="str">
        <f t="shared" si="43"/>
        <v>NonResidential</v>
      </c>
      <c r="AG650" t="str">
        <f>tbl_Data_old[[#This Row],[All_Meas_Name_Append]]</f>
        <v>Water source heat pump</v>
      </c>
      <c r="AH650">
        <f>AVERAGEIFS('3. Incentive Adjustment'!G:G,'3. Incentive Adjustment'!A:A,tbl_Data_old[[#This Row],[Trimmed Sector]],'3. Incentive Adjustment'!B:B,tbl_Data_old[[#This Row],[Trimmed Measure Name]])</f>
        <v>0.75877205530206748</v>
      </c>
      <c r="AI650">
        <f>$AH650*tbl_Data_old[[#This Row],[2025 ]]</f>
        <v>0.99482641446480824</v>
      </c>
      <c r="AJ650">
        <f>$AH650*tbl_Data_old[[#This Row],[2026 ]]</f>
        <v>1.0975035637140724</v>
      </c>
      <c r="AK650">
        <f>$AH650*tbl_Data_old[[#This Row],[2027 ]]</f>
        <v>1.183993056408984</v>
      </c>
      <c r="AL650">
        <f>$AH650*tbl_Data_old[[#This Row],[2028 ]]</f>
        <v>1.2608074224826651</v>
      </c>
      <c r="AM650">
        <f>$AH650*tbl_Data_old[[#This Row],[2029 ]]</f>
        <v>1.3276107499108203</v>
      </c>
      <c r="AN650">
        <f>$AH650*tbl_Data_old[[#This Row],[2030 ]]</f>
        <v>1.3842854998293126</v>
      </c>
      <c r="AO650">
        <f>$AH650*tbl_Data_old[[#This Row],[2031 ]]</f>
        <v>1.4319832028334036</v>
      </c>
      <c r="AP650">
        <f>$AH650*tbl_Data_old[[#This Row],[2032 ]]</f>
        <v>1.4746996813563149</v>
      </c>
      <c r="AQ650">
        <f>$AH650*tbl_Data_old[[#This Row],[2033 ]]</f>
        <v>1.5143498057859235</v>
      </c>
      <c r="AR650">
        <f>$AH650*tbl_Data_old[[#This Row],[2034 ]]</f>
        <v>1.5492473815624375</v>
      </c>
      <c r="AS650">
        <f>SUM(tbl_Data_old[[#This Row],[Adjusted 2025]:[Adjusted 2034]])</f>
        <v>13.219306778348741</v>
      </c>
      <c r="AT650" s="3">
        <f>AVERAGEIFS('3. Incentive Adjustment'!F:F,'3. Incentive Adjustment'!A:A,tbl_Data_old[[#This Row],[Trimmed Sector]],'3. Incentive Adjustment'!B:B,tbl_Data_old[[#This Row],[Trimmed Measure Name]])</f>
        <v>0</v>
      </c>
      <c r="AU650" s="3">
        <f>IFERROR(VLOOKUP(tbl_Data_old[[#This Row],[All_Meas_Name_Append]],'IRA Tax Credits'!$A$3:$D$46,4,0),0)</f>
        <v>0</v>
      </c>
      <c r="AV650" s="4">
        <f>tbl_Data_old[[#This Row],[Adj. per unit Incentive ($)]]/tbl_Data_old[[#This Row],[kWh Savings]]*tbl_Data_old[[#This Row],[Sum of Annuals]]</f>
        <v>0</v>
      </c>
      <c r="AW650" s="4" t="str">
        <f>IFERROR(VLOOKUP(tbl_Data_old[[#This Row],[All_Programs]],'1. Set Program Names'!$B$2:$D$15,3,0)*tbl_Data_old[[#This Row],[Sum of Annuals]],"")</f>
        <v/>
      </c>
      <c r="AX650" s="4">
        <f>tbl_Data_old[[#This Row],[per unit IRA tax ($)]]/tbl_Data_old[[#This Row],[kWh Savings]]*tbl_Data_old[[#This Row],[Sum of Annuals]]</f>
        <v>0</v>
      </c>
      <c r="AY650" s="4">
        <f>tbl_Data_old[[#This Row],[Avoided Costs ($/unit)]]/tbl_Data_old[[#This Row],[kWh Savings]]*tbl_Data_old[[#This Row],[Sum of Annuals]]</f>
        <v>7.2960133902007351</v>
      </c>
      <c r="AZ650" s="4">
        <f>tbl_Data_old[[#This Row],[Lost Revenue ($/unit)]]/tbl_Data_old[[#This Row],[kWh Savings]]*tbl_Data_old[[#This Row],[Sum of Annuals]]</f>
        <v>14.357754403295106</v>
      </c>
      <c r="BA650" s="4">
        <f>tbl_Data_old[[#This Row],[Incremental Cost ($/unit)]]/tbl_Data_old[[#This Row],[kWh Savings]]*tbl_Data_old[[#This Row],[Sum of Annuals]]</f>
        <v>3.9658025738436873</v>
      </c>
      <c r="BB650">
        <f>ROUNDUP(tbl_Data_old[[#This Row],[Adjusted 2025]]/$L650,0)</f>
        <v>1</v>
      </c>
      <c r="BC650">
        <f>ROUNDUP(tbl_Data_old[[#This Row],[Adjusted 2026]]/$L650,0)</f>
        <v>1</v>
      </c>
      <c r="BD650">
        <f>ROUNDUP(tbl_Data_old[[#This Row],[Adjusted 2027]]/$L650,0)</f>
        <v>1</v>
      </c>
      <c r="BE650">
        <f>ROUNDUP(tbl_Data_old[[#This Row],[Adjusted 2028]]/$L650,0)</f>
        <v>1</v>
      </c>
      <c r="BF650">
        <f>ROUNDUP(tbl_Data_old[[#This Row],[Adjusted 2029]]/$L650,0)</f>
        <v>1</v>
      </c>
      <c r="BG650">
        <f>ROUNDUP(tbl_Data_old[[#This Row],[Adjusted 2030]]/$L650,0)</f>
        <v>1</v>
      </c>
      <c r="BH650">
        <f>ROUNDUP(tbl_Data_old[[#This Row],[Adjusted 2031]]/$L650,0)</f>
        <v>1</v>
      </c>
      <c r="BI650">
        <f>ROUNDUP(tbl_Data_old[[#This Row],[Adjusted 2032]]/$L650,0)</f>
        <v>1</v>
      </c>
      <c r="BJ650">
        <f>ROUNDUP(tbl_Data_old[[#This Row],[Adjusted 2033]]/$L650,0)</f>
        <v>1</v>
      </c>
      <c r="BK650">
        <f>ROUNDUP(tbl_Data_old[[#This Row],[Adjusted 2034]]/$L650,0)</f>
        <v>1</v>
      </c>
      <c r="BL650" s="3">
        <f t="shared" si="45"/>
        <v>0</v>
      </c>
      <c r="BM650" s="3">
        <f t="shared" si="45"/>
        <v>0</v>
      </c>
      <c r="BN650" s="3">
        <f t="shared" si="45"/>
        <v>0</v>
      </c>
      <c r="BO650" s="3">
        <f t="shared" si="45"/>
        <v>0</v>
      </c>
      <c r="BP650" s="3">
        <f t="shared" si="45"/>
        <v>0</v>
      </c>
      <c r="BQ650" s="3">
        <f t="shared" si="44"/>
        <v>0</v>
      </c>
      <c r="BR650" s="3">
        <f t="shared" si="44"/>
        <v>0</v>
      </c>
      <c r="BS650" s="3">
        <f t="shared" si="44"/>
        <v>0</v>
      </c>
      <c r="BT650" s="3">
        <f t="shared" si="44"/>
        <v>0</v>
      </c>
      <c r="BU650" s="3">
        <f t="shared" si="44"/>
        <v>0</v>
      </c>
      <c r="BV650" t="e">
        <f>VLOOKUP($H650,'1. Set Program Names'!$B$2:$D$15,3,0)*V650</f>
        <v>#N/A</v>
      </c>
      <c r="BW650" t="e">
        <f>VLOOKUP($H650,'1. Set Program Names'!$B$2:$D$15,3,0)*W650</f>
        <v>#N/A</v>
      </c>
      <c r="BX650" t="e">
        <f>VLOOKUP($H650,'1. Set Program Names'!$B$2:$D$15,3,0)*X650</f>
        <v>#N/A</v>
      </c>
      <c r="BY650" t="e">
        <f>VLOOKUP($H650,'1. Set Program Names'!$B$2:$D$15,3,0)*Y650</f>
        <v>#N/A</v>
      </c>
      <c r="BZ650" t="e">
        <f>VLOOKUP($H650,'1. Set Program Names'!$B$2:$D$15,3,0)*Z650</f>
        <v>#N/A</v>
      </c>
      <c r="CA650" t="e">
        <f>VLOOKUP($H650,'1. Set Program Names'!$B$2:$D$15,3,0)*AA650</f>
        <v>#N/A</v>
      </c>
      <c r="CB650" t="e">
        <f>VLOOKUP($H650,'1. Set Program Names'!$B$2:$D$15,3,0)*AB650</f>
        <v>#N/A</v>
      </c>
      <c r="CC650" t="e">
        <f>VLOOKUP($H650,'1. Set Program Names'!$B$2:$D$15,3,0)*AC650</f>
        <v>#N/A</v>
      </c>
      <c r="CD650" t="e">
        <f>VLOOKUP($H650,'1. Set Program Names'!$B$2:$D$15,3,0)*AD650</f>
        <v>#N/A</v>
      </c>
      <c r="CE650" t="e">
        <f>VLOOKUP($H650,'1. Set Program Names'!$B$2:$D$15,3,0)*AE650</f>
        <v>#N/A</v>
      </c>
    </row>
    <row r="651" spans="1:83" x14ac:dyDescent="0.25">
      <c r="A651" s="20" t="s">
        <v>117</v>
      </c>
      <c r="B651" s="20" t="s">
        <v>88</v>
      </c>
      <c r="C651" s="20" t="s">
        <v>122</v>
      </c>
      <c r="D651" s="20" t="s">
        <v>90</v>
      </c>
      <c r="E651" s="20" t="s">
        <v>91</v>
      </c>
      <c r="F651" s="20" t="s">
        <v>90</v>
      </c>
      <c r="G651" s="20" t="s">
        <v>92</v>
      </c>
      <c r="H651" s="20" t="s">
        <v>268</v>
      </c>
      <c r="I651" s="20" t="s">
        <v>123</v>
      </c>
      <c r="J651" s="20" t="s">
        <v>124</v>
      </c>
      <c r="K651" s="20" t="s">
        <v>125</v>
      </c>
      <c r="L651" s="20">
        <v>276.38000000000102</v>
      </c>
      <c r="M651" s="20">
        <v>4.0116087790590997E-2</v>
      </c>
      <c r="N651" s="20">
        <v>3.5590078027730399E-2</v>
      </c>
      <c r="O651" s="20">
        <v>71</v>
      </c>
      <c r="P651" s="20">
        <v>14.1467127741815</v>
      </c>
      <c r="Q651" s="20">
        <v>0.27638000000000101</v>
      </c>
      <c r="R651" s="20">
        <v>109.905179976762</v>
      </c>
      <c r="S651" s="20">
        <v>259.02791823564098</v>
      </c>
      <c r="T651" s="20">
        <v>12</v>
      </c>
      <c r="U651" s="20">
        <v>1</v>
      </c>
      <c r="V651" s="20">
        <v>0.33887342469540699</v>
      </c>
      <c r="W651" s="20">
        <v>0.80186833002932301</v>
      </c>
      <c r="X651" s="20">
        <v>1.4167414159404099</v>
      </c>
      <c r="Y651" s="20">
        <v>2.2085728361782699</v>
      </c>
      <c r="Z651" s="20">
        <v>3.1884497914756502</v>
      </c>
      <c r="AA651" s="20">
        <v>4.3432496352327901</v>
      </c>
      <c r="AB651" s="20">
        <v>5.6247879827475096</v>
      </c>
      <c r="AC651" s="20">
        <v>6.9525749634332197</v>
      </c>
      <c r="AD651" s="20">
        <v>8.2292662787880495</v>
      </c>
      <c r="AE651" s="20">
        <v>9.3661544307422595</v>
      </c>
      <c r="AF651" t="str">
        <f t="shared" si="43"/>
        <v>NonResidential</v>
      </c>
      <c r="AG651" t="str">
        <f>tbl_Data_old[[#This Row],[All_Meas_Name_Append]]</f>
        <v>Anti-Sweat Controls</v>
      </c>
      <c r="AH651">
        <f>AVERAGEIFS('3. Incentive Adjustment'!G:G,'3. Incentive Adjustment'!A:A,tbl_Data_old[[#This Row],[Trimmed Sector]],'3. Incentive Adjustment'!B:B,tbl_Data_old[[#This Row],[Trimmed Measure Name]])</f>
        <v>0.87366811775307662</v>
      </c>
      <c r="AI651">
        <f>$AH651*tbl_Data_old[[#This Row],[2025 ]]</f>
        <v>0.29606290711017519</v>
      </c>
      <c r="AJ651">
        <f>$AH651*tbl_Data_old[[#This Row],[2026 ]]</f>
        <v>0.70056679458252147</v>
      </c>
      <c r="AK651">
        <f>$AH651*tbl_Data_old[[#This Row],[2027 ]]</f>
        <v>1.2377618062074867</v>
      </c>
      <c r="AL651">
        <f>$AH651*tbl_Data_old[[#This Row],[2028 ]]</f>
        <v>1.9295596727044431</v>
      </c>
      <c r="AM651">
        <f>$AH651*tbl_Data_old[[#This Row],[2029 ]]</f>
        <v>2.7856469278687208</v>
      </c>
      <c r="AN651">
        <f>$AH651*tbl_Data_old[[#This Row],[2030 ]]</f>
        <v>3.7945587337455682</v>
      </c>
      <c r="AO651">
        <f>$AH651*tbl_Data_old[[#This Row],[2031 ]]</f>
        <v>4.9141979296471412</v>
      </c>
      <c r="AP651">
        <f>$AH651*tbl_Data_old[[#This Row],[2032 ]]</f>
        <v>6.0742430818398665</v>
      </c>
      <c r="AQ651">
        <f>$AH651*tbl_Data_old[[#This Row],[2033 ]]</f>
        <v>7.1896475802776205</v>
      </c>
      <c r="AR651">
        <f>$AH651*tbl_Data_old[[#This Row],[2034 ]]</f>
        <v>8.1829105120912295</v>
      </c>
      <c r="AS651">
        <f>SUM(tbl_Data_old[[#This Row],[Adjusted 2025]:[Adjusted 2034]])</f>
        <v>37.105155946074774</v>
      </c>
      <c r="AT651" s="3">
        <f>AVERAGEIFS('3. Incentive Adjustment'!F:F,'3. Incentive Adjustment'!A:A,tbl_Data_old[[#This Row],[Trimmed Sector]],'3. Incentive Adjustment'!B:B,tbl_Data_old[[#This Row],[Trimmed Measure Name]])</f>
        <v>0</v>
      </c>
      <c r="AU651" s="3">
        <f>IFERROR(VLOOKUP(tbl_Data_old[[#This Row],[All_Meas_Name_Append]],'IRA Tax Credits'!$A$3:$D$46,4,0),0)</f>
        <v>0</v>
      </c>
      <c r="AV651" s="4">
        <f>tbl_Data_old[[#This Row],[Adj. per unit Incentive ($)]]/tbl_Data_old[[#This Row],[kWh Savings]]*tbl_Data_old[[#This Row],[Sum of Annuals]]</f>
        <v>0</v>
      </c>
      <c r="AW651" s="4" t="str">
        <f>IFERROR(VLOOKUP(tbl_Data_old[[#This Row],[All_Programs]],'1. Set Program Names'!$B$2:$D$15,3,0)*tbl_Data_old[[#This Row],[Sum of Annuals]],"")</f>
        <v/>
      </c>
      <c r="AX651" s="4">
        <f>tbl_Data_old[[#This Row],[per unit IRA tax ($)]]/tbl_Data_old[[#This Row],[kWh Savings]]*tbl_Data_old[[#This Row],[Sum of Annuals]]</f>
        <v>0</v>
      </c>
      <c r="AY651" s="4">
        <f>tbl_Data_old[[#This Row],[Avoided Costs ($/unit)]]/tbl_Data_old[[#This Row],[kWh Savings]]*tbl_Data_old[[#This Row],[Sum of Annuals]]</f>
        <v>14.755224120121403</v>
      </c>
      <c r="AZ651" s="4">
        <f>tbl_Data_old[[#This Row],[Lost Revenue ($/unit)]]/tbl_Data_old[[#This Row],[kWh Savings]]*tbl_Data_old[[#This Row],[Sum of Annuals]]</f>
        <v>34.775567336712243</v>
      </c>
      <c r="BA651" s="4">
        <f>tbl_Data_old[[#This Row],[Incremental Cost ($/unit)]]/tbl_Data_old[[#This Row],[kWh Savings]]*tbl_Data_old[[#This Row],[Sum of Annuals]]</f>
        <v>9.5320431006993953</v>
      </c>
      <c r="BB651">
        <f>ROUNDUP(tbl_Data_old[[#This Row],[Adjusted 2025]]/$L651,0)</f>
        <v>1</v>
      </c>
      <c r="BC651">
        <f>ROUNDUP(tbl_Data_old[[#This Row],[Adjusted 2026]]/$L651,0)</f>
        <v>1</v>
      </c>
      <c r="BD651">
        <f>ROUNDUP(tbl_Data_old[[#This Row],[Adjusted 2027]]/$L651,0)</f>
        <v>1</v>
      </c>
      <c r="BE651">
        <f>ROUNDUP(tbl_Data_old[[#This Row],[Adjusted 2028]]/$L651,0)</f>
        <v>1</v>
      </c>
      <c r="BF651">
        <f>ROUNDUP(tbl_Data_old[[#This Row],[Adjusted 2029]]/$L651,0)</f>
        <v>1</v>
      </c>
      <c r="BG651">
        <f>ROUNDUP(tbl_Data_old[[#This Row],[Adjusted 2030]]/$L651,0)</f>
        <v>1</v>
      </c>
      <c r="BH651">
        <f>ROUNDUP(tbl_Data_old[[#This Row],[Adjusted 2031]]/$L651,0)</f>
        <v>1</v>
      </c>
      <c r="BI651">
        <f>ROUNDUP(tbl_Data_old[[#This Row],[Adjusted 2032]]/$L651,0)</f>
        <v>1</v>
      </c>
      <c r="BJ651">
        <f>ROUNDUP(tbl_Data_old[[#This Row],[Adjusted 2033]]/$L651,0)</f>
        <v>1</v>
      </c>
      <c r="BK651">
        <f>ROUNDUP(tbl_Data_old[[#This Row],[Adjusted 2034]]/$L651,0)</f>
        <v>1</v>
      </c>
      <c r="BL651" s="3">
        <f t="shared" si="45"/>
        <v>0</v>
      </c>
      <c r="BM651" s="3">
        <f t="shared" si="45"/>
        <v>0</v>
      </c>
      <c r="BN651" s="3">
        <f t="shared" si="45"/>
        <v>0</v>
      </c>
      <c r="BO651" s="3">
        <f t="shared" si="45"/>
        <v>0</v>
      </c>
      <c r="BP651" s="3">
        <f t="shared" si="45"/>
        <v>0</v>
      </c>
      <c r="BQ651" s="3">
        <f t="shared" si="44"/>
        <v>0</v>
      </c>
      <c r="BR651" s="3">
        <f t="shared" si="44"/>
        <v>0</v>
      </c>
      <c r="BS651" s="3">
        <f t="shared" si="44"/>
        <v>0</v>
      </c>
      <c r="BT651" s="3">
        <f t="shared" si="44"/>
        <v>0</v>
      </c>
      <c r="BU651" s="3">
        <f t="shared" si="44"/>
        <v>0</v>
      </c>
      <c r="BV651" t="e">
        <f>VLOOKUP($H651,'1. Set Program Names'!$B$2:$D$15,3,0)*V651</f>
        <v>#N/A</v>
      </c>
      <c r="BW651" t="e">
        <f>VLOOKUP($H651,'1. Set Program Names'!$B$2:$D$15,3,0)*W651</f>
        <v>#N/A</v>
      </c>
      <c r="BX651" t="e">
        <f>VLOOKUP($H651,'1. Set Program Names'!$B$2:$D$15,3,0)*X651</f>
        <v>#N/A</v>
      </c>
      <c r="BY651" t="e">
        <f>VLOOKUP($H651,'1. Set Program Names'!$B$2:$D$15,3,0)*Y651</f>
        <v>#N/A</v>
      </c>
      <c r="BZ651" t="e">
        <f>VLOOKUP($H651,'1. Set Program Names'!$B$2:$D$15,3,0)*Z651</f>
        <v>#N/A</v>
      </c>
      <c r="CA651" t="e">
        <f>VLOOKUP($H651,'1. Set Program Names'!$B$2:$D$15,3,0)*AA651</f>
        <v>#N/A</v>
      </c>
      <c r="CB651" t="e">
        <f>VLOOKUP($H651,'1. Set Program Names'!$B$2:$D$15,3,0)*AB651</f>
        <v>#N/A</v>
      </c>
      <c r="CC651" t="e">
        <f>VLOOKUP($H651,'1. Set Program Names'!$B$2:$D$15,3,0)*AC651</f>
        <v>#N/A</v>
      </c>
      <c r="CD651" t="e">
        <f>VLOOKUP($H651,'1. Set Program Names'!$B$2:$D$15,3,0)*AD651</f>
        <v>#N/A</v>
      </c>
      <c r="CE651" t="e">
        <f>VLOOKUP($H651,'1. Set Program Names'!$B$2:$D$15,3,0)*AE651</f>
        <v>#N/A</v>
      </c>
    </row>
    <row r="652" spans="1:83" x14ac:dyDescent="0.25">
      <c r="A652" s="20" t="s">
        <v>117</v>
      </c>
      <c r="B652" s="20" t="s">
        <v>88</v>
      </c>
      <c r="C652" s="20" t="s">
        <v>122</v>
      </c>
      <c r="D652" s="20" t="s">
        <v>90</v>
      </c>
      <c r="E652" s="20" t="s">
        <v>91</v>
      </c>
      <c r="F652" s="20" t="s">
        <v>90</v>
      </c>
      <c r="G652" s="20" t="s">
        <v>92</v>
      </c>
      <c r="H652" s="20" t="s">
        <v>268</v>
      </c>
      <c r="I652" s="20" t="s">
        <v>126</v>
      </c>
      <c r="J652" s="20" t="s">
        <v>127</v>
      </c>
      <c r="K652" s="20" t="s">
        <v>102</v>
      </c>
      <c r="L652" s="20">
        <v>10474.513428571399</v>
      </c>
      <c r="M652" s="20">
        <v>11.987030831722899</v>
      </c>
      <c r="N652" s="20">
        <v>6.5774989692018102E-2</v>
      </c>
      <c r="O652" s="20">
        <v>2861.52</v>
      </c>
      <c r="P652" s="20">
        <v>706.838432647388</v>
      </c>
      <c r="Q652" s="20">
        <v>10.474513428571401</v>
      </c>
      <c r="R652" s="20">
        <v>9615.4333568812199</v>
      </c>
      <c r="S652" s="20">
        <v>8615.8759261769592</v>
      </c>
      <c r="T652" s="20">
        <v>10</v>
      </c>
      <c r="U652" s="20">
        <v>1</v>
      </c>
      <c r="V652" s="20">
        <v>7.9906602774018301E-2</v>
      </c>
      <c r="W652" s="20">
        <v>0.19052277627306699</v>
      </c>
      <c r="X652" s="20">
        <v>0.33932974374291902</v>
      </c>
      <c r="Y652" s="20">
        <v>0.53407917999112298</v>
      </c>
      <c r="Z652" s="20">
        <v>0.77958197201460999</v>
      </c>
      <c r="AA652" s="20">
        <v>1.07310043589445</v>
      </c>
      <c r="AB652" s="20">
        <v>1.4017364485041699</v>
      </c>
      <c r="AC652" s="20">
        <v>1.7417626203269101</v>
      </c>
      <c r="AD652" s="20">
        <v>2.0622547007963798</v>
      </c>
      <c r="AE652" s="20">
        <v>2.3357749538805002</v>
      </c>
      <c r="AF652" t="str">
        <f t="shared" si="43"/>
        <v>NonResidential</v>
      </c>
      <c r="AG652" t="str">
        <f>tbl_Data_old[[#This Row],[All_Meas_Name_Append]]</f>
        <v>Chiller maintenance</v>
      </c>
      <c r="AH652">
        <f>AVERAGEIFS('3. Incentive Adjustment'!G:G,'3. Incentive Adjustment'!A:A,tbl_Data_old[[#This Row],[Trimmed Sector]],'3. Incentive Adjustment'!B:B,tbl_Data_old[[#This Row],[Trimmed Measure Name]])</f>
        <v>0.83689882434423457</v>
      </c>
      <c r="AI652">
        <f>$AH652*tbl_Data_old[[#This Row],[2025 ]]</f>
        <v>6.6873741918917665E-2</v>
      </c>
      <c r="AJ652">
        <f>$AH652*tbl_Data_old[[#This Row],[2026 ]]</f>
        <v>0.15944828747372938</v>
      </c>
      <c r="AK652">
        <f>$AH652*tbl_Data_old[[#This Row],[2027 ]]</f>
        <v>0.28398466360347929</v>
      </c>
      <c r="AL652">
        <f>$AH652*tbl_Data_old[[#This Row],[2028 ]]</f>
        <v>0.44697023784130369</v>
      </c>
      <c r="AM652">
        <f>$AH652*tbl_Data_old[[#This Row],[2029 ]]</f>
        <v>0.6524312358589871</v>
      </c>
      <c r="AN652">
        <f>$AH652*tbl_Data_old[[#This Row],[2030 ]]</f>
        <v>0.89807649320335092</v>
      </c>
      <c r="AO652">
        <f>$AH652*tbl_Data_old[[#This Row],[2031 ]]</f>
        <v>1.1731115857936025</v>
      </c>
      <c r="AP652">
        <f>$AH652*tbl_Data_old[[#This Row],[2032 ]]</f>
        <v>1.4576790892383245</v>
      </c>
      <c r="AQ652">
        <f>$AH652*tbl_Data_old[[#This Row],[2033 ]]</f>
        <v>1.7258985345948614</v>
      </c>
      <c r="AR652">
        <f>$AH652*tbl_Data_old[[#This Row],[2034 ]]</f>
        <v>1.9548073128352994</v>
      </c>
      <c r="AS652">
        <f>SUM(tbl_Data_old[[#This Row],[Adjusted 2025]:[Adjusted 2034]])</f>
        <v>8.8192811823618555</v>
      </c>
      <c r="AT652" s="3">
        <f>AVERAGEIFS('3. Incentive Adjustment'!F:F,'3. Incentive Adjustment'!A:A,tbl_Data_old[[#This Row],[Trimmed Sector]],'3. Incentive Adjustment'!B:B,tbl_Data_old[[#This Row],[Trimmed Measure Name]])</f>
        <v>0</v>
      </c>
      <c r="AU652" s="3">
        <f>IFERROR(VLOOKUP(tbl_Data_old[[#This Row],[All_Meas_Name_Append]],'IRA Tax Credits'!$A$3:$D$46,4,0),0)</f>
        <v>0</v>
      </c>
      <c r="AV652" s="4">
        <f>tbl_Data_old[[#This Row],[Adj. per unit Incentive ($)]]/tbl_Data_old[[#This Row],[kWh Savings]]*tbl_Data_old[[#This Row],[Sum of Annuals]]</f>
        <v>0</v>
      </c>
      <c r="AW652" s="4" t="str">
        <f>IFERROR(VLOOKUP(tbl_Data_old[[#This Row],[All_Programs]],'1. Set Program Names'!$B$2:$D$15,3,0)*tbl_Data_old[[#This Row],[Sum of Annuals]],"")</f>
        <v/>
      </c>
      <c r="AX652" s="4">
        <f>tbl_Data_old[[#This Row],[per unit IRA tax ($)]]/tbl_Data_old[[#This Row],[kWh Savings]]*tbl_Data_old[[#This Row],[Sum of Annuals]]</f>
        <v>0</v>
      </c>
      <c r="AY652" s="4">
        <f>tbl_Data_old[[#This Row],[Avoided Costs ($/unit)]]/tbl_Data_old[[#This Row],[kWh Savings]]*tbl_Data_old[[#This Row],[Sum of Annuals]]</f>
        <v>8.0959570144121642</v>
      </c>
      <c r="AZ652" s="4">
        <f>tbl_Data_old[[#This Row],[Lost Revenue ($/unit)]]/tbl_Data_old[[#This Row],[kWh Savings]]*tbl_Data_old[[#This Row],[Sum of Annuals]]</f>
        <v>7.2543543853817516</v>
      </c>
      <c r="BA652" s="4">
        <f>tbl_Data_old[[#This Row],[Incremental Cost ($/unit)]]/tbl_Data_old[[#This Row],[kWh Savings]]*tbl_Data_old[[#This Row],[Sum of Annuals]]</f>
        <v>2.4093290500840059</v>
      </c>
      <c r="BB652">
        <f>ROUNDUP(tbl_Data_old[[#This Row],[Adjusted 2025]]/$L652,0)</f>
        <v>1</v>
      </c>
      <c r="BC652">
        <f>ROUNDUP(tbl_Data_old[[#This Row],[Adjusted 2026]]/$L652,0)</f>
        <v>1</v>
      </c>
      <c r="BD652">
        <f>ROUNDUP(tbl_Data_old[[#This Row],[Adjusted 2027]]/$L652,0)</f>
        <v>1</v>
      </c>
      <c r="BE652">
        <f>ROUNDUP(tbl_Data_old[[#This Row],[Adjusted 2028]]/$L652,0)</f>
        <v>1</v>
      </c>
      <c r="BF652">
        <f>ROUNDUP(tbl_Data_old[[#This Row],[Adjusted 2029]]/$L652,0)</f>
        <v>1</v>
      </c>
      <c r="BG652">
        <f>ROUNDUP(tbl_Data_old[[#This Row],[Adjusted 2030]]/$L652,0)</f>
        <v>1</v>
      </c>
      <c r="BH652">
        <f>ROUNDUP(tbl_Data_old[[#This Row],[Adjusted 2031]]/$L652,0)</f>
        <v>1</v>
      </c>
      <c r="BI652">
        <f>ROUNDUP(tbl_Data_old[[#This Row],[Adjusted 2032]]/$L652,0)</f>
        <v>1</v>
      </c>
      <c r="BJ652">
        <f>ROUNDUP(tbl_Data_old[[#This Row],[Adjusted 2033]]/$L652,0)</f>
        <v>1</v>
      </c>
      <c r="BK652">
        <f>ROUNDUP(tbl_Data_old[[#This Row],[Adjusted 2034]]/$L652,0)</f>
        <v>1</v>
      </c>
      <c r="BL652" s="3">
        <f t="shared" si="45"/>
        <v>0</v>
      </c>
      <c r="BM652" s="3">
        <f t="shared" si="45"/>
        <v>0</v>
      </c>
      <c r="BN652" s="3">
        <f t="shared" si="45"/>
        <v>0</v>
      </c>
      <c r="BO652" s="3">
        <f t="shared" si="45"/>
        <v>0</v>
      </c>
      <c r="BP652" s="3">
        <f t="shared" si="45"/>
        <v>0</v>
      </c>
      <c r="BQ652" s="3">
        <f t="shared" si="44"/>
        <v>0</v>
      </c>
      <c r="BR652" s="3">
        <f t="shared" si="44"/>
        <v>0</v>
      </c>
      <c r="BS652" s="3">
        <f t="shared" si="44"/>
        <v>0</v>
      </c>
      <c r="BT652" s="3">
        <f t="shared" si="44"/>
        <v>0</v>
      </c>
      <c r="BU652" s="3">
        <f t="shared" si="44"/>
        <v>0</v>
      </c>
      <c r="BV652" t="e">
        <f>VLOOKUP($H652,'1. Set Program Names'!$B$2:$D$15,3,0)*V652</f>
        <v>#N/A</v>
      </c>
      <c r="BW652" t="e">
        <f>VLOOKUP($H652,'1. Set Program Names'!$B$2:$D$15,3,0)*W652</f>
        <v>#N/A</v>
      </c>
      <c r="BX652" t="e">
        <f>VLOOKUP($H652,'1. Set Program Names'!$B$2:$D$15,3,0)*X652</f>
        <v>#N/A</v>
      </c>
      <c r="BY652" t="e">
        <f>VLOOKUP($H652,'1. Set Program Names'!$B$2:$D$15,3,0)*Y652</f>
        <v>#N/A</v>
      </c>
      <c r="BZ652" t="e">
        <f>VLOOKUP($H652,'1. Set Program Names'!$B$2:$D$15,3,0)*Z652</f>
        <v>#N/A</v>
      </c>
      <c r="CA652" t="e">
        <f>VLOOKUP($H652,'1. Set Program Names'!$B$2:$D$15,3,0)*AA652</f>
        <v>#N/A</v>
      </c>
      <c r="CB652" t="e">
        <f>VLOOKUP($H652,'1. Set Program Names'!$B$2:$D$15,3,0)*AB652</f>
        <v>#N/A</v>
      </c>
      <c r="CC652" t="e">
        <f>VLOOKUP($H652,'1. Set Program Names'!$B$2:$D$15,3,0)*AC652</f>
        <v>#N/A</v>
      </c>
      <c r="CD652" t="e">
        <f>VLOOKUP($H652,'1. Set Program Names'!$B$2:$D$15,3,0)*AD652</f>
        <v>#N/A</v>
      </c>
      <c r="CE652" t="e">
        <f>VLOOKUP($H652,'1. Set Program Names'!$B$2:$D$15,3,0)*AE652</f>
        <v>#N/A</v>
      </c>
    </row>
    <row r="653" spans="1:83" x14ac:dyDescent="0.25">
      <c r="A653" s="20" t="s">
        <v>117</v>
      </c>
      <c r="B653" s="20" t="s">
        <v>88</v>
      </c>
      <c r="C653" s="20" t="s">
        <v>122</v>
      </c>
      <c r="D653" s="20" t="s">
        <v>90</v>
      </c>
      <c r="E653" s="20" t="s">
        <v>91</v>
      </c>
      <c r="F653" s="20" t="s">
        <v>90</v>
      </c>
      <c r="G653" s="20" t="s">
        <v>92</v>
      </c>
      <c r="H653" s="20" t="s">
        <v>268</v>
      </c>
      <c r="I653" s="20" t="s">
        <v>131</v>
      </c>
      <c r="J653" s="20" t="s">
        <v>132</v>
      </c>
      <c r="K653" s="20" t="s">
        <v>102</v>
      </c>
      <c r="L653" s="20">
        <v>1121.1428571428501</v>
      </c>
      <c r="M653" s="20">
        <v>0</v>
      </c>
      <c r="N653" s="20">
        <v>0.20460408928759399</v>
      </c>
      <c r="O653" s="20">
        <v>313</v>
      </c>
      <c r="P653" s="20">
        <v>104.06901074138401</v>
      </c>
      <c r="Q653" s="20">
        <v>1.1211428571428499</v>
      </c>
      <c r="R653" s="20">
        <v>557.43130076035402</v>
      </c>
      <c r="S653" s="20">
        <v>1217.69575846672</v>
      </c>
      <c r="T653" s="20">
        <v>15</v>
      </c>
      <c r="U653" s="20">
        <v>1</v>
      </c>
      <c r="V653" s="20">
        <v>1.88641092068154</v>
      </c>
      <c r="W653" s="20">
        <v>3.67983796389957</v>
      </c>
      <c r="X653" s="20">
        <v>5.3634867938985096</v>
      </c>
      <c r="Y653" s="20">
        <v>6.9368801684059003</v>
      </c>
      <c r="Z653" s="20">
        <v>8.4003278396781198</v>
      </c>
      <c r="AA653" s="20">
        <v>9.7537913522592596</v>
      </c>
      <c r="AB653" s="20">
        <v>10.9998763582997</v>
      </c>
      <c r="AC653" s="20">
        <v>12.144638071050201</v>
      </c>
      <c r="AD653" s="20">
        <v>13.195287254042301</v>
      </c>
      <c r="AE653" s="20">
        <v>14.157485498612701</v>
      </c>
      <c r="AF653" t="str">
        <f t="shared" si="43"/>
        <v>NonResidential</v>
      </c>
      <c r="AG653" t="str">
        <f>tbl_Data_old[[#This Row],[All_Meas_Name_Append]]</f>
        <v>ECM Motors on Furnaces</v>
      </c>
      <c r="AH653">
        <f>AVERAGEIFS('3. Incentive Adjustment'!G:G,'3. Incentive Adjustment'!A:A,tbl_Data_old[[#This Row],[Trimmed Sector]],'3. Incentive Adjustment'!B:B,tbl_Data_old[[#This Row],[Trimmed Measure Name]])</f>
        <v>0.7827684764944346</v>
      </c>
      <c r="AI653">
        <f>$AH653*tbl_Data_old[[#This Row],[2025 ]]</f>
        <v>1.4766230024243527</v>
      </c>
      <c r="AJ653">
        <f>$AH653*tbl_Data_old[[#This Row],[2026 ]]</f>
        <v>2.8804611567480487</v>
      </c>
      <c r="AK653">
        <f>$AH653*tbl_Data_old[[#This Row],[2027 ]]</f>
        <v>4.1983683863579557</v>
      </c>
      <c r="AL653">
        <f>$AH653*tbl_Data_old[[#This Row],[2028 ]]</f>
        <v>5.4299711210475436</v>
      </c>
      <c r="AM653">
        <f>$AH653*tbl_Data_old[[#This Row],[2029 ]]</f>
        <v>6.5755118251186264</v>
      </c>
      <c r="AN653">
        <f>$AH653*tbl_Data_old[[#This Row],[2030 ]]</f>
        <v>7.6349603968525717</v>
      </c>
      <c r="AO653">
        <f>$AH653*tbl_Data_old[[#This Row],[2031 ]]</f>
        <v>8.6103564586134045</v>
      </c>
      <c r="AP653">
        <f>$AH653*tbl_Data_old[[#This Row],[2032 ]]</f>
        <v>9.5064398404522752</v>
      </c>
      <c r="AQ653">
        <f>$AH653*tbl_Data_old[[#This Row],[2033 ]]</f>
        <v>10.328854900753123</v>
      </c>
      <c r="AR653">
        <f>$AH653*tbl_Data_old[[#This Row],[2034 ]]</f>
        <v>11.082033354741114</v>
      </c>
      <c r="AS653">
        <f>SUM(tbl_Data_old[[#This Row],[Adjusted 2025]:[Adjusted 2034]])</f>
        <v>67.723580443109</v>
      </c>
      <c r="AT653" s="3">
        <f>AVERAGEIFS('3. Incentive Adjustment'!F:F,'3. Incentive Adjustment'!A:A,tbl_Data_old[[#This Row],[Trimmed Sector]],'3. Incentive Adjustment'!B:B,tbl_Data_old[[#This Row],[Trimmed Measure Name]])</f>
        <v>0</v>
      </c>
      <c r="AU653" s="3">
        <f>IFERROR(VLOOKUP(tbl_Data_old[[#This Row],[All_Meas_Name_Append]],'IRA Tax Credits'!$A$3:$D$46,4,0),0)</f>
        <v>0</v>
      </c>
      <c r="AV653" s="4">
        <f>tbl_Data_old[[#This Row],[Adj. per unit Incentive ($)]]/tbl_Data_old[[#This Row],[kWh Savings]]*tbl_Data_old[[#This Row],[Sum of Annuals]]</f>
        <v>0</v>
      </c>
      <c r="AW653" s="4" t="str">
        <f>IFERROR(VLOOKUP(tbl_Data_old[[#This Row],[All_Programs]],'1. Set Program Names'!$B$2:$D$15,3,0)*tbl_Data_old[[#This Row],[Sum of Annuals]],"")</f>
        <v/>
      </c>
      <c r="AX653" s="4">
        <f>tbl_Data_old[[#This Row],[per unit IRA tax ($)]]/tbl_Data_old[[#This Row],[kWh Savings]]*tbl_Data_old[[#This Row],[Sum of Annuals]]</f>
        <v>0</v>
      </c>
      <c r="AY653" s="4">
        <f>tbl_Data_old[[#This Row],[Avoided Costs ($/unit)]]/tbl_Data_old[[#This Row],[kWh Savings]]*tbl_Data_old[[#This Row],[Sum of Annuals]]</f>
        <v>33.672108151103046</v>
      </c>
      <c r="AZ653" s="4">
        <f>tbl_Data_old[[#This Row],[Lost Revenue ($/unit)]]/tbl_Data_old[[#This Row],[kWh Savings]]*tbl_Data_old[[#This Row],[Sum of Annuals]]</f>
        <v>73.555939930718466</v>
      </c>
      <c r="BA653" s="4">
        <f>tbl_Data_old[[#This Row],[Incremental Cost ($/unit)]]/tbl_Data_old[[#This Row],[kWh Savings]]*tbl_Data_old[[#This Row],[Sum of Annuals]]</f>
        <v>18.907029147662175</v>
      </c>
      <c r="BB653">
        <f>ROUNDUP(tbl_Data_old[[#This Row],[Adjusted 2025]]/$L653,0)</f>
        <v>1</v>
      </c>
      <c r="BC653">
        <f>ROUNDUP(tbl_Data_old[[#This Row],[Adjusted 2026]]/$L653,0)</f>
        <v>1</v>
      </c>
      <c r="BD653">
        <f>ROUNDUP(tbl_Data_old[[#This Row],[Adjusted 2027]]/$L653,0)</f>
        <v>1</v>
      </c>
      <c r="BE653">
        <f>ROUNDUP(tbl_Data_old[[#This Row],[Adjusted 2028]]/$L653,0)</f>
        <v>1</v>
      </c>
      <c r="BF653">
        <f>ROUNDUP(tbl_Data_old[[#This Row],[Adjusted 2029]]/$L653,0)</f>
        <v>1</v>
      </c>
      <c r="BG653">
        <f>ROUNDUP(tbl_Data_old[[#This Row],[Adjusted 2030]]/$L653,0)</f>
        <v>1</v>
      </c>
      <c r="BH653">
        <f>ROUNDUP(tbl_Data_old[[#This Row],[Adjusted 2031]]/$L653,0)</f>
        <v>1</v>
      </c>
      <c r="BI653">
        <f>ROUNDUP(tbl_Data_old[[#This Row],[Adjusted 2032]]/$L653,0)</f>
        <v>1</v>
      </c>
      <c r="BJ653">
        <f>ROUNDUP(tbl_Data_old[[#This Row],[Adjusted 2033]]/$L653,0)</f>
        <v>1</v>
      </c>
      <c r="BK653">
        <f>ROUNDUP(tbl_Data_old[[#This Row],[Adjusted 2034]]/$L653,0)</f>
        <v>1</v>
      </c>
      <c r="BL653" s="3">
        <f t="shared" si="45"/>
        <v>0</v>
      </c>
      <c r="BM653" s="3">
        <f t="shared" si="45"/>
        <v>0</v>
      </c>
      <c r="BN653" s="3">
        <f t="shared" si="45"/>
        <v>0</v>
      </c>
      <c r="BO653" s="3">
        <f t="shared" si="45"/>
        <v>0</v>
      </c>
      <c r="BP653" s="3">
        <f t="shared" si="45"/>
        <v>0</v>
      </c>
      <c r="BQ653" s="3">
        <f t="shared" si="44"/>
        <v>0</v>
      </c>
      <c r="BR653" s="3">
        <f t="shared" si="44"/>
        <v>0</v>
      </c>
      <c r="BS653" s="3">
        <f t="shared" si="44"/>
        <v>0</v>
      </c>
      <c r="BT653" s="3">
        <f t="shared" si="44"/>
        <v>0</v>
      </c>
      <c r="BU653" s="3">
        <f t="shared" si="44"/>
        <v>0</v>
      </c>
      <c r="BV653" t="e">
        <f>VLOOKUP($H653,'1. Set Program Names'!$B$2:$D$15,3,0)*V653</f>
        <v>#N/A</v>
      </c>
      <c r="BW653" t="e">
        <f>VLOOKUP($H653,'1. Set Program Names'!$B$2:$D$15,3,0)*W653</f>
        <v>#N/A</v>
      </c>
      <c r="BX653" t="e">
        <f>VLOOKUP($H653,'1. Set Program Names'!$B$2:$D$15,3,0)*X653</f>
        <v>#N/A</v>
      </c>
      <c r="BY653" t="e">
        <f>VLOOKUP($H653,'1. Set Program Names'!$B$2:$D$15,3,0)*Y653</f>
        <v>#N/A</v>
      </c>
      <c r="BZ653" t="e">
        <f>VLOOKUP($H653,'1. Set Program Names'!$B$2:$D$15,3,0)*Z653</f>
        <v>#N/A</v>
      </c>
      <c r="CA653" t="e">
        <f>VLOOKUP($H653,'1. Set Program Names'!$B$2:$D$15,3,0)*AA653</f>
        <v>#N/A</v>
      </c>
      <c r="CB653" t="e">
        <f>VLOOKUP($H653,'1. Set Program Names'!$B$2:$D$15,3,0)*AB653</f>
        <v>#N/A</v>
      </c>
      <c r="CC653" t="e">
        <f>VLOOKUP($H653,'1. Set Program Names'!$B$2:$D$15,3,0)*AC653</f>
        <v>#N/A</v>
      </c>
      <c r="CD653" t="e">
        <f>VLOOKUP($H653,'1. Set Program Names'!$B$2:$D$15,3,0)*AD653</f>
        <v>#N/A</v>
      </c>
      <c r="CE653" t="e">
        <f>VLOOKUP($H653,'1. Set Program Names'!$B$2:$D$15,3,0)*AE653</f>
        <v>#N/A</v>
      </c>
    </row>
    <row r="654" spans="1:83" x14ac:dyDescent="0.25">
      <c r="A654" s="20" t="s">
        <v>117</v>
      </c>
      <c r="B654" s="20" t="s">
        <v>88</v>
      </c>
      <c r="C654" s="20" t="s">
        <v>122</v>
      </c>
      <c r="D654" s="20" t="s">
        <v>90</v>
      </c>
      <c r="E654" s="20" t="s">
        <v>91</v>
      </c>
      <c r="F654" s="20" t="s">
        <v>90</v>
      </c>
      <c r="G654" s="20" t="s">
        <v>92</v>
      </c>
      <c r="H654" s="20" t="s">
        <v>268</v>
      </c>
      <c r="I654" s="20" t="s">
        <v>307</v>
      </c>
      <c r="J654" s="20" t="s">
        <v>137</v>
      </c>
      <c r="K654" s="20" t="s">
        <v>98</v>
      </c>
      <c r="L654" s="20">
        <v>1111.20999999999</v>
      </c>
      <c r="M654" s="20">
        <v>0.13640668324959701</v>
      </c>
      <c r="N654" s="20">
        <v>0.136388544932499</v>
      </c>
      <c r="O654" s="20">
        <v>412</v>
      </c>
      <c r="P654" s="20">
        <v>183.41637854330401</v>
      </c>
      <c r="Q654" s="20">
        <v>1.11120999999999</v>
      </c>
      <c r="R654" s="20">
        <v>480.86876845961399</v>
      </c>
      <c r="S654" s="20">
        <v>1206.90748297154</v>
      </c>
      <c r="T654" s="20">
        <v>15</v>
      </c>
      <c r="U654" s="20">
        <v>1</v>
      </c>
      <c r="V654" s="20">
        <v>4.9449788373649497</v>
      </c>
      <c r="W654" s="20">
        <v>11.7549124539009</v>
      </c>
      <c r="X654" s="20">
        <v>20.679052321646701</v>
      </c>
      <c r="Y654" s="20">
        <v>31.897665634436098</v>
      </c>
      <c r="Z654" s="20">
        <v>45.428343809013803</v>
      </c>
      <c r="AA654" s="20">
        <v>61.093014945462897</v>
      </c>
      <c r="AB654" s="20">
        <v>78.588736466854499</v>
      </c>
      <c r="AC654" s="20">
        <v>97.594423919953201</v>
      </c>
      <c r="AD654" s="20">
        <v>117.81167315543</v>
      </c>
      <c r="AE654" s="20">
        <v>138.99143481179701</v>
      </c>
      <c r="AF654" t="str">
        <f t="shared" si="43"/>
        <v>NonResidential</v>
      </c>
      <c r="AG654" t="str">
        <f>tbl_Data_old[[#This Row],[All_Meas_Name_Append]]</f>
        <v>Efficient Battery Charger</v>
      </c>
      <c r="AH654">
        <f>AVERAGEIFS('3. Incentive Adjustment'!G:G,'3. Incentive Adjustment'!A:A,tbl_Data_old[[#This Row],[Trimmed Sector]],'3. Incentive Adjustment'!B:B,tbl_Data_old[[#This Row],[Trimmed Measure Name]])</f>
        <v>0.64693164144446047</v>
      </c>
      <c r="AI654">
        <f>$AH654*tbl_Data_old[[#This Row],[2025 ]]</f>
        <v>3.1990632761646265</v>
      </c>
      <c r="AJ654">
        <f>$AH654*tbl_Data_old[[#This Row],[2026 ]]</f>
        <v>7.6046248088380404</v>
      </c>
      <c r="AK654">
        <f>$AH654*tbl_Data_old[[#This Row],[2027 ]]</f>
        <v>13.377933261958781</v>
      </c>
      <c r="AL654">
        <f>$AH654*tbl_Data_old[[#This Row],[2028 ]]</f>
        <v>20.635609187132303</v>
      </c>
      <c r="AM654">
        <f>$AH654*tbl_Data_old[[#This Row],[2029 ]]</f>
        <v>29.389033028468592</v>
      </c>
      <c r="AN654">
        <f>$AH654*tbl_Data_old[[#This Row],[2030 ]]</f>
        <v>39.523004439459271</v>
      </c>
      <c r="AO654">
        <f>$AH654*tbl_Data_old[[#This Row],[2031 ]]</f>
        <v>50.841540281548312</v>
      </c>
      <c r="AP654">
        <f>$AH654*tbl_Data_old[[#This Row],[2032 ]]</f>
        <v>63.136920862361841</v>
      </c>
      <c r="AQ654">
        <f>$AH654*tbl_Data_old[[#This Row],[2033 ]]</f>
        <v>76.216099095760612</v>
      </c>
      <c r="AR654">
        <f>$AH654*tbl_Data_old[[#This Row],[2034 ]]</f>
        <v>89.917957069516561</v>
      </c>
      <c r="AS654">
        <f>SUM(tbl_Data_old[[#This Row],[Adjusted 2025]:[Adjusted 2034]])</f>
        <v>393.84178531120892</v>
      </c>
      <c r="AT654" s="3">
        <f>AVERAGEIFS('3. Incentive Adjustment'!F:F,'3. Incentive Adjustment'!A:A,tbl_Data_old[[#This Row],[Trimmed Sector]],'3. Incentive Adjustment'!B:B,tbl_Data_old[[#This Row],[Trimmed Measure Name]])</f>
        <v>0</v>
      </c>
      <c r="AU654" s="3">
        <f>IFERROR(VLOOKUP(tbl_Data_old[[#This Row],[All_Meas_Name_Append]],'IRA Tax Credits'!$A$3:$D$46,4,0),0)</f>
        <v>0</v>
      </c>
      <c r="AV654" s="4">
        <f>tbl_Data_old[[#This Row],[Adj. per unit Incentive ($)]]/tbl_Data_old[[#This Row],[kWh Savings]]*tbl_Data_old[[#This Row],[Sum of Annuals]]</f>
        <v>0</v>
      </c>
      <c r="AW654" s="4" t="str">
        <f>IFERROR(VLOOKUP(tbl_Data_old[[#This Row],[All_Programs]],'1. Set Program Names'!$B$2:$D$15,3,0)*tbl_Data_old[[#This Row],[Sum of Annuals]],"")</f>
        <v/>
      </c>
      <c r="AX654" s="4">
        <f>tbl_Data_old[[#This Row],[per unit IRA tax ($)]]/tbl_Data_old[[#This Row],[kWh Savings]]*tbl_Data_old[[#This Row],[Sum of Annuals]]</f>
        <v>0</v>
      </c>
      <c r="AY654" s="4">
        <f>tbl_Data_old[[#This Row],[Avoided Costs ($/unit)]]/tbl_Data_old[[#This Row],[kWh Savings]]*tbl_Data_old[[#This Row],[Sum of Annuals]]</f>
        <v>170.43242435771674</v>
      </c>
      <c r="AZ654" s="4">
        <f>tbl_Data_old[[#This Row],[Lost Revenue ($/unit)]]/tbl_Data_old[[#This Row],[kWh Savings]]*tbl_Data_old[[#This Row],[Sum of Annuals]]</f>
        <v>427.75946742647477</v>
      </c>
      <c r="BA654" s="4">
        <f>tbl_Data_old[[#This Row],[Incremental Cost ($/unit)]]/tbl_Data_old[[#This Row],[kWh Savings]]*tbl_Data_old[[#This Row],[Sum of Annuals]]</f>
        <v>146.02353789852461</v>
      </c>
      <c r="BB654">
        <f>ROUNDUP(tbl_Data_old[[#This Row],[Adjusted 2025]]/$L654,0)</f>
        <v>1</v>
      </c>
      <c r="BC654">
        <f>ROUNDUP(tbl_Data_old[[#This Row],[Adjusted 2026]]/$L654,0)</f>
        <v>1</v>
      </c>
      <c r="BD654">
        <f>ROUNDUP(tbl_Data_old[[#This Row],[Adjusted 2027]]/$L654,0)</f>
        <v>1</v>
      </c>
      <c r="BE654">
        <f>ROUNDUP(tbl_Data_old[[#This Row],[Adjusted 2028]]/$L654,0)</f>
        <v>1</v>
      </c>
      <c r="BF654">
        <f>ROUNDUP(tbl_Data_old[[#This Row],[Adjusted 2029]]/$L654,0)</f>
        <v>1</v>
      </c>
      <c r="BG654">
        <f>ROUNDUP(tbl_Data_old[[#This Row],[Adjusted 2030]]/$L654,0)</f>
        <v>1</v>
      </c>
      <c r="BH654">
        <f>ROUNDUP(tbl_Data_old[[#This Row],[Adjusted 2031]]/$L654,0)</f>
        <v>1</v>
      </c>
      <c r="BI654">
        <f>ROUNDUP(tbl_Data_old[[#This Row],[Adjusted 2032]]/$L654,0)</f>
        <v>1</v>
      </c>
      <c r="BJ654">
        <f>ROUNDUP(tbl_Data_old[[#This Row],[Adjusted 2033]]/$L654,0)</f>
        <v>1</v>
      </c>
      <c r="BK654">
        <f>ROUNDUP(tbl_Data_old[[#This Row],[Adjusted 2034]]/$L654,0)</f>
        <v>1</v>
      </c>
      <c r="BL654" s="3">
        <f t="shared" si="45"/>
        <v>0</v>
      </c>
      <c r="BM654" s="3">
        <f t="shared" si="45"/>
        <v>0</v>
      </c>
      <c r="BN654" s="3">
        <f t="shared" si="45"/>
        <v>0</v>
      </c>
      <c r="BO654" s="3">
        <f t="shared" si="45"/>
        <v>0</v>
      </c>
      <c r="BP654" s="3">
        <f t="shared" si="45"/>
        <v>0</v>
      </c>
      <c r="BQ654" s="3">
        <f t="shared" si="44"/>
        <v>0</v>
      </c>
      <c r="BR654" s="3">
        <f t="shared" si="44"/>
        <v>0</v>
      </c>
      <c r="BS654" s="3">
        <f t="shared" si="44"/>
        <v>0</v>
      </c>
      <c r="BT654" s="3">
        <f t="shared" si="44"/>
        <v>0</v>
      </c>
      <c r="BU654" s="3">
        <f t="shared" si="44"/>
        <v>0</v>
      </c>
      <c r="BV654" t="e">
        <f>VLOOKUP($H654,'1. Set Program Names'!$B$2:$D$15,3,0)*V654</f>
        <v>#N/A</v>
      </c>
      <c r="BW654" t="e">
        <f>VLOOKUP($H654,'1. Set Program Names'!$B$2:$D$15,3,0)*W654</f>
        <v>#N/A</v>
      </c>
      <c r="BX654" t="e">
        <f>VLOOKUP($H654,'1. Set Program Names'!$B$2:$D$15,3,0)*X654</f>
        <v>#N/A</v>
      </c>
      <c r="BY654" t="e">
        <f>VLOOKUP($H654,'1. Set Program Names'!$B$2:$D$15,3,0)*Y654</f>
        <v>#N/A</v>
      </c>
      <c r="BZ654" t="e">
        <f>VLOOKUP($H654,'1. Set Program Names'!$B$2:$D$15,3,0)*Z654</f>
        <v>#N/A</v>
      </c>
      <c r="CA654" t="e">
        <f>VLOOKUP($H654,'1. Set Program Names'!$B$2:$D$15,3,0)*AA654</f>
        <v>#N/A</v>
      </c>
      <c r="CB654" t="e">
        <f>VLOOKUP($H654,'1. Set Program Names'!$B$2:$D$15,3,0)*AB654</f>
        <v>#N/A</v>
      </c>
      <c r="CC654" t="e">
        <f>VLOOKUP($H654,'1. Set Program Names'!$B$2:$D$15,3,0)*AC654</f>
        <v>#N/A</v>
      </c>
      <c r="CD654" t="e">
        <f>VLOOKUP($H654,'1. Set Program Names'!$B$2:$D$15,3,0)*AD654</f>
        <v>#N/A</v>
      </c>
      <c r="CE654" t="e">
        <f>VLOOKUP($H654,'1. Set Program Names'!$B$2:$D$15,3,0)*AE654</f>
        <v>#N/A</v>
      </c>
    </row>
    <row r="655" spans="1:83" x14ac:dyDescent="0.25">
      <c r="A655" s="20" t="s">
        <v>117</v>
      </c>
      <c r="B655" s="20" t="s">
        <v>88</v>
      </c>
      <c r="C655" s="20" t="s">
        <v>122</v>
      </c>
      <c r="D655" s="20" t="s">
        <v>90</v>
      </c>
      <c r="E655" s="20" t="s">
        <v>91</v>
      </c>
      <c r="F655" s="20" t="s">
        <v>90</v>
      </c>
      <c r="G655" s="20" t="s">
        <v>92</v>
      </c>
      <c r="H655" s="20" t="s">
        <v>268</v>
      </c>
      <c r="I655" s="20" t="s">
        <v>135</v>
      </c>
      <c r="J655" s="20" t="s">
        <v>134</v>
      </c>
      <c r="K655" s="20" t="s">
        <v>98</v>
      </c>
      <c r="L655" s="20">
        <v>6368</v>
      </c>
      <c r="M655" s="20">
        <v>0.60494632768604495</v>
      </c>
      <c r="N655" s="20">
        <v>0.53529110623606202</v>
      </c>
      <c r="O655" s="20">
        <v>1580</v>
      </c>
      <c r="P655" s="20">
        <v>270.05813353350197</v>
      </c>
      <c r="Q655" s="20">
        <v>6.3680000000000003</v>
      </c>
      <c r="R655" s="20">
        <v>1963.2041057461399</v>
      </c>
      <c r="S655" s="20">
        <v>5968.19517810463</v>
      </c>
      <c r="T655" s="20">
        <v>12</v>
      </c>
      <c r="U655" s="20">
        <v>1</v>
      </c>
      <c r="V655" s="20">
        <v>2.8004904000227402</v>
      </c>
      <c r="W655" s="20">
        <v>6.6466093022501704</v>
      </c>
      <c r="X655" s="20">
        <v>11.6532450897248</v>
      </c>
      <c r="Y655" s="20">
        <v>17.883507398296398</v>
      </c>
      <c r="Z655" s="20">
        <v>25.300364036500799</v>
      </c>
      <c r="AA655" s="20">
        <v>33.7634915243938</v>
      </c>
      <c r="AB655" s="20">
        <v>43.070209149303501</v>
      </c>
      <c r="AC655" s="20">
        <v>53.022237959729303</v>
      </c>
      <c r="AD655" s="20">
        <v>63.452179106599402</v>
      </c>
      <c r="AE655" s="20">
        <v>74.221358288055598</v>
      </c>
      <c r="AF655" t="str">
        <f t="shared" si="43"/>
        <v>NonResidential</v>
      </c>
      <c r="AG655" t="str">
        <f>tbl_Data_old[[#This Row],[All_Meas_Name_Append]]</f>
        <v>Energy Star Combination Oven</v>
      </c>
      <c r="AH655">
        <f>AVERAGEIFS('3. Incentive Adjustment'!G:G,'3. Incentive Adjustment'!A:A,tbl_Data_old[[#This Row],[Trimmed Sector]],'3. Incentive Adjustment'!B:B,tbl_Data_old[[#This Row],[Trimmed Measure Name]])</f>
        <v>0.89413714267910538</v>
      </c>
      <c r="AI655">
        <f>$AH655*tbl_Data_old[[#This Row],[2025 ]]</f>
        <v>2.5040224843765979</v>
      </c>
      <c r="AJ655">
        <f>$AH655*tbl_Data_old[[#This Row],[2026 ]]</f>
        <v>5.94298025001833</v>
      </c>
      <c r="AK655">
        <f>$AH655*tbl_Data_old[[#This Row],[2027 ]]</f>
        <v>10.419599267465848</v>
      </c>
      <c r="AL655">
        <f>$AH655*tbl_Data_old[[#This Row],[2028 ]]</f>
        <v>15.990308206193383</v>
      </c>
      <c r="AM655">
        <f>$AH655*tbl_Data_old[[#This Row],[2029 ]]</f>
        <v>22.621995208338021</v>
      </c>
      <c r="AN655">
        <f>$AH655*tbl_Data_old[[#This Row],[2030 ]]</f>
        <v>30.189191838491663</v>
      </c>
      <c r="AO655">
        <f>$AH655*tbl_Data_old[[#This Row],[2031 ]]</f>
        <v>38.510673743349692</v>
      </c>
      <c r="AP655">
        <f>$AH655*tbl_Data_old[[#This Row],[2032 ]]</f>
        <v>47.409152347763957</v>
      </c>
      <c r="AQ655">
        <f>$AH655*tbl_Data_old[[#This Row],[2033 ]]</f>
        <v>56.734950123137622</v>
      </c>
      <c r="AR655">
        <f>$AH655*tbl_Data_old[[#This Row],[2034 ]]</f>
        <v>66.364073225444173</v>
      </c>
      <c r="AS655">
        <f>SUM(tbl_Data_old[[#This Row],[Adjusted 2025]:[Adjusted 2034]])</f>
        <v>296.68694669457932</v>
      </c>
      <c r="AT655" s="3">
        <f>AVERAGEIFS('3. Incentive Adjustment'!F:F,'3. Incentive Adjustment'!A:A,tbl_Data_old[[#This Row],[Trimmed Sector]],'3. Incentive Adjustment'!B:B,tbl_Data_old[[#This Row],[Trimmed Measure Name]])</f>
        <v>0</v>
      </c>
      <c r="AU655" s="3">
        <f>IFERROR(VLOOKUP(tbl_Data_old[[#This Row],[All_Meas_Name_Append]],'IRA Tax Credits'!$A$3:$D$46,4,0),0)</f>
        <v>0</v>
      </c>
      <c r="AV655" s="4">
        <f>tbl_Data_old[[#This Row],[Adj. per unit Incentive ($)]]/tbl_Data_old[[#This Row],[kWh Savings]]*tbl_Data_old[[#This Row],[Sum of Annuals]]</f>
        <v>0</v>
      </c>
      <c r="AW655" s="4" t="str">
        <f>IFERROR(VLOOKUP(tbl_Data_old[[#This Row],[All_Programs]],'1. Set Program Names'!$B$2:$D$15,3,0)*tbl_Data_old[[#This Row],[Sum of Annuals]],"")</f>
        <v/>
      </c>
      <c r="AX655" s="4">
        <f>tbl_Data_old[[#This Row],[per unit IRA tax ($)]]/tbl_Data_old[[#This Row],[kWh Savings]]*tbl_Data_old[[#This Row],[Sum of Annuals]]</f>
        <v>0</v>
      </c>
      <c r="AY655" s="4">
        <f>tbl_Data_old[[#This Row],[Avoided Costs ($/unit)]]/tbl_Data_old[[#This Row],[kWh Savings]]*tbl_Data_old[[#This Row],[Sum of Annuals]]</f>
        <v>91.466242442224285</v>
      </c>
      <c r="AZ655" s="4">
        <f>tbl_Data_old[[#This Row],[Lost Revenue ($/unit)]]/tbl_Data_old[[#This Row],[kWh Savings]]*tbl_Data_old[[#This Row],[Sum of Annuals]]</f>
        <v>278.0599253563401</v>
      </c>
      <c r="BA655" s="4">
        <f>tbl_Data_old[[#This Row],[Incremental Cost ($/unit)]]/tbl_Data_old[[#This Row],[kWh Savings]]*tbl_Data_old[[#This Row],[Sum of Annuals]]</f>
        <v>73.612653231381174</v>
      </c>
      <c r="BB655">
        <f>ROUNDUP(tbl_Data_old[[#This Row],[Adjusted 2025]]/$L655,0)</f>
        <v>1</v>
      </c>
      <c r="BC655">
        <f>ROUNDUP(tbl_Data_old[[#This Row],[Adjusted 2026]]/$L655,0)</f>
        <v>1</v>
      </c>
      <c r="BD655">
        <f>ROUNDUP(tbl_Data_old[[#This Row],[Adjusted 2027]]/$L655,0)</f>
        <v>1</v>
      </c>
      <c r="BE655">
        <f>ROUNDUP(tbl_Data_old[[#This Row],[Adjusted 2028]]/$L655,0)</f>
        <v>1</v>
      </c>
      <c r="BF655">
        <f>ROUNDUP(tbl_Data_old[[#This Row],[Adjusted 2029]]/$L655,0)</f>
        <v>1</v>
      </c>
      <c r="BG655">
        <f>ROUNDUP(tbl_Data_old[[#This Row],[Adjusted 2030]]/$L655,0)</f>
        <v>1</v>
      </c>
      <c r="BH655">
        <f>ROUNDUP(tbl_Data_old[[#This Row],[Adjusted 2031]]/$L655,0)</f>
        <v>1</v>
      </c>
      <c r="BI655">
        <f>ROUNDUP(tbl_Data_old[[#This Row],[Adjusted 2032]]/$L655,0)</f>
        <v>1</v>
      </c>
      <c r="BJ655">
        <f>ROUNDUP(tbl_Data_old[[#This Row],[Adjusted 2033]]/$L655,0)</f>
        <v>1</v>
      </c>
      <c r="BK655">
        <f>ROUNDUP(tbl_Data_old[[#This Row],[Adjusted 2034]]/$L655,0)</f>
        <v>1</v>
      </c>
      <c r="BL655" s="3">
        <f t="shared" si="45"/>
        <v>0</v>
      </c>
      <c r="BM655" s="3">
        <f t="shared" si="45"/>
        <v>0</v>
      </c>
      <c r="BN655" s="3">
        <f t="shared" si="45"/>
        <v>0</v>
      </c>
      <c r="BO655" s="3">
        <f t="shared" si="45"/>
        <v>0</v>
      </c>
      <c r="BP655" s="3">
        <f t="shared" si="45"/>
        <v>0</v>
      </c>
      <c r="BQ655" s="3">
        <f t="shared" si="44"/>
        <v>0</v>
      </c>
      <c r="BR655" s="3">
        <f t="shared" si="44"/>
        <v>0</v>
      </c>
      <c r="BS655" s="3">
        <f t="shared" si="44"/>
        <v>0</v>
      </c>
      <c r="BT655" s="3">
        <f t="shared" si="44"/>
        <v>0</v>
      </c>
      <c r="BU655" s="3">
        <f t="shared" si="44"/>
        <v>0</v>
      </c>
      <c r="BV655" t="e">
        <f>VLOOKUP($H655,'1. Set Program Names'!$B$2:$D$15,3,0)*V655</f>
        <v>#N/A</v>
      </c>
      <c r="BW655" t="e">
        <f>VLOOKUP($H655,'1. Set Program Names'!$B$2:$D$15,3,0)*W655</f>
        <v>#N/A</v>
      </c>
      <c r="BX655" t="e">
        <f>VLOOKUP($H655,'1. Set Program Names'!$B$2:$D$15,3,0)*X655</f>
        <v>#N/A</v>
      </c>
      <c r="BY655" t="e">
        <f>VLOOKUP($H655,'1. Set Program Names'!$B$2:$D$15,3,0)*Y655</f>
        <v>#N/A</v>
      </c>
      <c r="BZ655" t="e">
        <f>VLOOKUP($H655,'1. Set Program Names'!$B$2:$D$15,3,0)*Z655</f>
        <v>#N/A</v>
      </c>
      <c r="CA655" t="e">
        <f>VLOOKUP($H655,'1. Set Program Names'!$B$2:$D$15,3,0)*AA655</f>
        <v>#N/A</v>
      </c>
      <c r="CB655" t="e">
        <f>VLOOKUP($H655,'1. Set Program Names'!$B$2:$D$15,3,0)*AB655</f>
        <v>#N/A</v>
      </c>
      <c r="CC655" t="e">
        <f>VLOOKUP($H655,'1. Set Program Names'!$B$2:$D$15,3,0)*AC655</f>
        <v>#N/A</v>
      </c>
      <c r="CD655" t="e">
        <f>VLOOKUP($H655,'1. Set Program Names'!$B$2:$D$15,3,0)*AD655</f>
        <v>#N/A</v>
      </c>
      <c r="CE655" t="e">
        <f>VLOOKUP($H655,'1. Set Program Names'!$B$2:$D$15,3,0)*AE655</f>
        <v>#N/A</v>
      </c>
    </row>
    <row r="656" spans="1:83" x14ac:dyDescent="0.25">
      <c r="A656" s="20" t="s">
        <v>117</v>
      </c>
      <c r="B656" s="20" t="s">
        <v>88</v>
      </c>
      <c r="C656" s="20" t="s">
        <v>122</v>
      </c>
      <c r="D656" s="20" t="s">
        <v>90</v>
      </c>
      <c r="E656" s="20" t="s">
        <v>91</v>
      </c>
      <c r="F656" s="20" t="s">
        <v>90</v>
      </c>
      <c r="G656" s="20" t="s">
        <v>92</v>
      </c>
      <c r="H656" s="20" t="s">
        <v>268</v>
      </c>
      <c r="I656" s="20" t="s">
        <v>136</v>
      </c>
      <c r="J656" s="20" t="s">
        <v>137</v>
      </c>
      <c r="K656" s="20" t="s">
        <v>104</v>
      </c>
      <c r="L656" s="20">
        <v>810.099999999999</v>
      </c>
      <c r="M656" s="20">
        <v>0.128563724196602</v>
      </c>
      <c r="N656" s="20">
        <v>0.13252898089850401</v>
      </c>
      <c r="O656" s="20">
        <v>224</v>
      </c>
      <c r="P656" s="20">
        <v>57.356798677055799</v>
      </c>
      <c r="Q656" s="20">
        <v>0.81009999999999904</v>
      </c>
      <c r="R656" s="20">
        <v>239.61317678792901</v>
      </c>
      <c r="S656" s="20">
        <v>505.19538551625698</v>
      </c>
      <c r="T656" s="20">
        <v>7</v>
      </c>
      <c r="U656" s="20">
        <v>1</v>
      </c>
      <c r="V656" s="20">
        <v>3.3245875363255002</v>
      </c>
      <c r="W656" s="20">
        <v>7.9483086736583397</v>
      </c>
      <c r="X656" s="20">
        <v>14.0342228691602</v>
      </c>
      <c r="Y656" s="20">
        <v>21.689686027427101</v>
      </c>
      <c r="Z656" s="20">
        <v>30.9042131525059</v>
      </c>
      <c r="AA656" s="20">
        <v>41.532605015367501</v>
      </c>
      <c r="AB656" s="20">
        <v>53.350480546628397</v>
      </c>
      <c r="AC656" s="20">
        <v>62.806446771580497</v>
      </c>
      <c r="AD656" s="20">
        <v>71.723853544683195</v>
      </c>
      <c r="AE656" s="20">
        <v>79.776853426514194</v>
      </c>
      <c r="AF656" t="str">
        <f t="shared" si="43"/>
        <v>NonResidential</v>
      </c>
      <c r="AG656" t="str">
        <f>tbl_Data_old[[#This Row],[All_Meas_Name_Append]]</f>
        <v>Energy Star Commercial Clothes Washer</v>
      </c>
      <c r="AH656">
        <f>AVERAGEIFS('3. Incentive Adjustment'!G:G,'3. Incentive Adjustment'!A:A,tbl_Data_old[[#This Row],[Trimmed Sector]],'3. Incentive Adjustment'!B:B,tbl_Data_old[[#This Row],[Trimmed Measure Name]])</f>
        <v>0.82959886877160749</v>
      </c>
      <c r="AI656">
        <f>$AH656*tbl_Data_old[[#This Row],[2025 ]]</f>
        <v>2.7580740592678206</v>
      </c>
      <c r="AJ656">
        <f>$AH656*tbl_Data_old[[#This Row],[2026 ]]</f>
        <v>6.5939078843145147</v>
      </c>
      <c r="AK656">
        <f>$AH656*tbl_Data_old[[#This Row],[2027 ]]</f>
        <v>11.642775416343925</v>
      </c>
      <c r="AL656">
        <f>$AH656*tbl_Data_old[[#This Row],[2028 ]]</f>
        <v>17.993738992364865</v>
      </c>
      <c r="AM656">
        <f>$AH656*tbl_Data_old[[#This Row],[2029 ]]</f>
        <v>25.63810027159553</v>
      </c>
      <c r="AN656">
        <f>$AH656*tbl_Data_old[[#This Row],[2030 ]]</f>
        <v>34.455402137886871</v>
      </c>
      <c r="AO656">
        <f>$AH656*tbl_Data_old[[#This Row],[2031 ]]</f>
        <v>44.259498309904572</v>
      </c>
      <c r="AP656">
        <f>$AH656*tbl_Data_old[[#This Row],[2032 ]]</f>
        <v>52.104157193267362</v>
      </c>
      <c r="AQ656">
        <f>$AH656*tbl_Data_old[[#This Row],[2033 ]]</f>
        <v>59.502027764609629</v>
      </c>
      <c r="AR656">
        <f>$AH656*tbl_Data_old[[#This Row],[2034 ]]</f>
        <v>66.18278735679452</v>
      </c>
      <c r="AS656">
        <f>SUM(tbl_Data_old[[#This Row],[Adjusted 2025]:[Adjusted 2034]])</f>
        <v>321.1304693863496</v>
      </c>
      <c r="AT656" s="3">
        <f>AVERAGEIFS('3. Incentive Adjustment'!F:F,'3. Incentive Adjustment'!A:A,tbl_Data_old[[#This Row],[Trimmed Sector]],'3. Incentive Adjustment'!B:B,tbl_Data_old[[#This Row],[Trimmed Measure Name]])</f>
        <v>0</v>
      </c>
      <c r="AU656" s="3">
        <f>IFERROR(VLOOKUP(tbl_Data_old[[#This Row],[All_Meas_Name_Append]],'IRA Tax Credits'!$A$3:$D$46,4,0),0)</f>
        <v>0</v>
      </c>
      <c r="AV656" s="4">
        <f>tbl_Data_old[[#This Row],[Adj. per unit Incentive ($)]]/tbl_Data_old[[#This Row],[kWh Savings]]*tbl_Data_old[[#This Row],[Sum of Annuals]]</f>
        <v>0</v>
      </c>
      <c r="AW656" s="4" t="str">
        <f>IFERROR(VLOOKUP(tbl_Data_old[[#This Row],[All_Programs]],'1. Set Program Names'!$B$2:$D$15,3,0)*tbl_Data_old[[#This Row],[Sum of Annuals]],"")</f>
        <v/>
      </c>
      <c r="AX656" s="4">
        <f>tbl_Data_old[[#This Row],[per unit IRA tax ($)]]/tbl_Data_old[[#This Row],[kWh Savings]]*tbl_Data_old[[#This Row],[Sum of Annuals]]</f>
        <v>0</v>
      </c>
      <c r="AY656" s="4">
        <f>tbl_Data_old[[#This Row],[Avoided Costs ($/unit)]]/tbl_Data_old[[#This Row],[kWh Savings]]*tbl_Data_old[[#This Row],[Sum of Annuals]]</f>
        <v>94.984683289793992</v>
      </c>
      <c r="AZ656" s="4">
        <f>tbl_Data_old[[#This Row],[Lost Revenue ($/unit)]]/tbl_Data_old[[#This Row],[kWh Savings]]*tbl_Data_old[[#This Row],[Sum of Annuals]]</f>
        <v>200.26370976750232</v>
      </c>
      <c r="BA656" s="4">
        <f>tbl_Data_old[[#This Row],[Incremental Cost ($/unit)]]/tbl_Data_old[[#This Row],[kWh Savings]]*tbl_Data_old[[#This Row],[Sum of Annuals]]</f>
        <v>88.795488387288486</v>
      </c>
      <c r="BB656">
        <f>ROUNDUP(tbl_Data_old[[#This Row],[Adjusted 2025]]/$L656,0)</f>
        <v>1</v>
      </c>
      <c r="BC656">
        <f>ROUNDUP(tbl_Data_old[[#This Row],[Adjusted 2026]]/$L656,0)</f>
        <v>1</v>
      </c>
      <c r="BD656">
        <f>ROUNDUP(tbl_Data_old[[#This Row],[Adjusted 2027]]/$L656,0)</f>
        <v>1</v>
      </c>
      <c r="BE656">
        <f>ROUNDUP(tbl_Data_old[[#This Row],[Adjusted 2028]]/$L656,0)</f>
        <v>1</v>
      </c>
      <c r="BF656">
        <f>ROUNDUP(tbl_Data_old[[#This Row],[Adjusted 2029]]/$L656,0)</f>
        <v>1</v>
      </c>
      <c r="BG656">
        <f>ROUNDUP(tbl_Data_old[[#This Row],[Adjusted 2030]]/$L656,0)</f>
        <v>1</v>
      </c>
      <c r="BH656">
        <f>ROUNDUP(tbl_Data_old[[#This Row],[Adjusted 2031]]/$L656,0)</f>
        <v>1</v>
      </c>
      <c r="BI656">
        <f>ROUNDUP(tbl_Data_old[[#This Row],[Adjusted 2032]]/$L656,0)</f>
        <v>1</v>
      </c>
      <c r="BJ656">
        <f>ROUNDUP(tbl_Data_old[[#This Row],[Adjusted 2033]]/$L656,0)</f>
        <v>1</v>
      </c>
      <c r="BK656">
        <f>ROUNDUP(tbl_Data_old[[#This Row],[Adjusted 2034]]/$L656,0)</f>
        <v>1</v>
      </c>
      <c r="BL656" s="3">
        <f t="shared" si="45"/>
        <v>0</v>
      </c>
      <c r="BM656" s="3">
        <f t="shared" si="45"/>
        <v>0</v>
      </c>
      <c r="BN656" s="3">
        <f t="shared" si="45"/>
        <v>0</v>
      </c>
      <c r="BO656" s="3">
        <f t="shared" si="45"/>
        <v>0</v>
      </c>
      <c r="BP656" s="3">
        <f t="shared" si="45"/>
        <v>0</v>
      </c>
      <c r="BQ656" s="3">
        <f t="shared" si="44"/>
        <v>0</v>
      </c>
      <c r="BR656" s="3">
        <f t="shared" si="44"/>
        <v>0</v>
      </c>
      <c r="BS656" s="3">
        <f t="shared" si="44"/>
        <v>0</v>
      </c>
      <c r="BT656" s="3">
        <f t="shared" si="44"/>
        <v>0</v>
      </c>
      <c r="BU656" s="3">
        <f t="shared" si="44"/>
        <v>0</v>
      </c>
      <c r="BV656" t="e">
        <f>VLOOKUP($H656,'1. Set Program Names'!$B$2:$D$15,3,0)*V656</f>
        <v>#N/A</v>
      </c>
      <c r="BW656" t="e">
        <f>VLOOKUP($H656,'1. Set Program Names'!$B$2:$D$15,3,0)*W656</f>
        <v>#N/A</v>
      </c>
      <c r="BX656" t="e">
        <f>VLOOKUP($H656,'1. Set Program Names'!$B$2:$D$15,3,0)*X656</f>
        <v>#N/A</v>
      </c>
      <c r="BY656" t="e">
        <f>VLOOKUP($H656,'1. Set Program Names'!$B$2:$D$15,3,0)*Y656</f>
        <v>#N/A</v>
      </c>
      <c r="BZ656" t="e">
        <f>VLOOKUP($H656,'1. Set Program Names'!$B$2:$D$15,3,0)*Z656</f>
        <v>#N/A</v>
      </c>
      <c r="CA656" t="e">
        <f>VLOOKUP($H656,'1. Set Program Names'!$B$2:$D$15,3,0)*AA656</f>
        <v>#N/A</v>
      </c>
      <c r="CB656" t="e">
        <f>VLOOKUP($H656,'1. Set Program Names'!$B$2:$D$15,3,0)*AB656</f>
        <v>#N/A</v>
      </c>
      <c r="CC656" t="e">
        <f>VLOOKUP($H656,'1. Set Program Names'!$B$2:$D$15,3,0)*AC656</f>
        <v>#N/A</v>
      </c>
      <c r="CD656" t="e">
        <f>VLOOKUP($H656,'1. Set Program Names'!$B$2:$D$15,3,0)*AD656</f>
        <v>#N/A</v>
      </c>
      <c r="CE656" t="e">
        <f>VLOOKUP($H656,'1. Set Program Names'!$B$2:$D$15,3,0)*AE656</f>
        <v>#N/A</v>
      </c>
    </row>
    <row r="657" spans="1:83" x14ac:dyDescent="0.25">
      <c r="A657" s="20" t="s">
        <v>117</v>
      </c>
      <c r="B657" s="20" t="s">
        <v>88</v>
      </c>
      <c r="C657" s="20" t="s">
        <v>122</v>
      </c>
      <c r="D657" s="20" t="s">
        <v>90</v>
      </c>
      <c r="E657" s="20" t="s">
        <v>91</v>
      </c>
      <c r="F657" s="20" t="s">
        <v>90</v>
      </c>
      <c r="G657" s="20" t="s">
        <v>92</v>
      </c>
      <c r="H657" s="20" t="s">
        <v>268</v>
      </c>
      <c r="I657" s="20" t="s">
        <v>138</v>
      </c>
      <c r="J657" s="20" t="s">
        <v>124</v>
      </c>
      <c r="K657" s="20" t="s">
        <v>98</v>
      </c>
      <c r="L657" s="20">
        <v>4708.5</v>
      </c>
      <c r="M657" s="20">
        <v>0.683430781395169</v>
      </c>
      <c r="N657" s="20">
        <v>0.60632419999120102</v>
      </c>
      <c r="O657" s="20">
        <v>1154.6399999999901</v>
      </c>
      <c r="P657" s="20">
        <v>186.06881936911</v>
      </c>
      <c r="Q657" s="20">
        <v>4.7084999999999999</v>
      </c>
      <c r="R657" s="20">
        <v>1872.3805627056299</v>
      </c>
      <c r="S657" s="20">
        <v>4412.8842644638298</v>
      </c>
      <c r="T657" s="20">
        <v>12</v>
      </c>
      <c r="U657" s="20">
        <v>1</v>
      </c>
      <c r="V657" s="20">
        <v>3.9961486146743499</v>
      </c>
      <c r="W657" s="20">
        <v>9.5241251486651208</v>
      </c>
      <c r="X657" s="20">
        <v>16.773935063354799</v>
      </c>
      <c r="Y657" s="20">
        <v>25.863419705186701</v>
      </c>
      <c r="Z657" s="20">
        <v>36.764865146864203</v>
      </c>
      <c r="AA657" s="20">
        <v>49.297472476097802</v>
      </c>
      <c r="AB657" s="20">
        <v>63.182062069357002</v>
      </c>
      <c r="AC657" s="20">
        <v>78.1396456322002</v>
      </c>
      <c r="AD657" s="20">
        <v>93.933047357395793</v>
      </c>
      <c r="AE657" s="20">
        <v>110.36183783667499</v>
      </c>
      <c r="AF657" t="str">
        <f t="shared" si="43"/>
        <v>NonResidential</v>
      </c>
      <c r="AG657" t="str">
        <f>tbl_Data_old[[#This Row],[All_Meas_Name_Append]]</f>
        <v>Energy Star Commercial Glass Door Freezer</v>
      </c>
      <c r="AH657">
        <f>AVERAGEIFS('3. Incentive Adjustment'!G:G,'3. Incentive Adjustment'!A:A,tbl_Data_old[[#This Row],[Trimmed Sector]],'3. Incentive Adjustment'!B:B,tbl_Data_old[[#This Row],[Trimmed Measure Name]])</f>
        <v>0.90098363397891501</v>
      </c>
      <c r="AI657">
        <f>$AH657*tbl_Data_old[[#This Row],[2025 ]]</f>
        <v>3.6004645007691027</v>
      </c>
      <c r="AJ657">
        <f>$AH657*tbl_Data_old[[#This Row],[2026 ]]</f>
        <v>8.5810808869142754</v>
      </c>
      <c r="AK657">
        <f>$AH657*tbl_Data_old[[#This Row],[2027 ]]</f>
        <v>15.113040969507749</v>
      </c>
      <c r="AL657">
        <f>$AH657*tbl_Data_old[[#This Row],[2028 ]]</f>
        <v>23.302517873100992</v>
      </c>
      <c r="AM657">
        <f>$AH657*tbl_Data_old[[#This Row],[2029 ]]</f>
        <v>33.124541802766466</v>
      </c>
      <c r="AN657">
        <f>$AH657*tbl_Data_old[[#This Row],[2030 ]]</f>
        <v>44.41621589749014</v>
      </c>
      <c r="AO657">
        <f>$AH657*tbl_Data_old[[#This Row],[2031 ]]</f>
        <v>56.926003885530641</v>
      </c>
      <c r="AP657">
        <f>$AH657*tbl_Data_old[[#This Row],[2032 ]]</f>
        <v>70.402541879524392</v>
      </c>
      <c r="AQ657">
        <f>$AH657*tbl_Data_old[[#This Row],[2033 ]]</f>
        <v>84.632138358779983</v>
      </c>
      <c r="AR657">
        <f>$AH657*tbl_Data_old[[#This Row],[2034 ]]</f>
        <v>99.434209706679155</v>
      </c>
      <c r="AS657">
        <f>SUM(tbl_Data_old[[#This Row],[Adjusted 2025]:[Adjusted 2034]])</f>
        <v>439.5327557610629</v>
      </c>
      <c r="AT657" s="3">
        <f>AVERAGEIFS('3. Incentive Adjustment'!F:F,'3. Incentive Adjustment'!A:A,tbl_Data_old[[#This Row],[Trimmed Sector]],'3. Incentive Adjustment'!B:B,tbl_Data_old[[#This Row],[Trimmed Measure Name]])</f>
        <v>0</v>
      </c>
      <c r="AU657" s="3">
        <f>IFERROR(VLOOKUP(tbl_Data_old[[#This Row],[All_Meas_Name_Append]],'IRA Tax Credits'!$A$3:$D$46,4,0),0)</f>
        <v>0</v>
      </c>
      <c r="AV657" s="4">
        <f>tbl_Data_old[[#This Row],[Adj. per unit Incentive ($)]]/tbl_Data_old[[#This Row],[kWh Savings]]*tbl_Data_old[[#This Row],[Sum of Annuals]]</f>
        <v>0</v>
      </c>
      <c r="AW657" s="4" t="str">
        <f>IFERROR(VLOOKUP(tbl_Data_old[[#This Row],[All_Programs]],'1. Set Program Names'!$B$2:$D$15,3,0)*tbl_Data_old[[#This Row],[Sum of Annuals]],"")</f>
        <v/>
      </c>
      <c r="AX657" s="4">
        <f>tbl_Data_old[[#This Row],[per unit IRA tax ($)]]/tbl_Data_old[[#This Row],[kWh Savings]]*tbl_Data_old[[#This Row],[Sum of Annuals]]</f>
        <v>0</v>
      </c>
      <c r="AY657" s="4">
        <f>tbl_Data_old[[#This Row],[Avoided Costs ($/unit)]]/tbl_Data_old[[#This Row],[kWh Savings]]*tbl_Data_old[[#This Row],[Sum of Annuals]]</f>
        <v>174.78445121789429</v>
      </c>
      <c r="AZ657" s="4">
        <f>tbl_Data_old[[#This Row],[Lost Revenue ($/unit)]]/tbl_Data_old[[#This Row],[kWh Savings]]*tbl_Data_old[[#This Row],[Sum of Annuals]]</f>
        <v>411.93738592214464</v>
      </c>
      <c r="BA657" s="4">
        <f>tbl_Data_old[[#This Row],[Incremental Cost ($/unit)]]/tbl_Data_old[[#This Row],[kWh Savings]]*tbl_Data_old[[#This Row],[Sum of Annuals]]</f>
        <v>107.78424150195377</v>
      </c>
      <c r="BB657">
        <f>ROUNDUP(tbl_Data_old[[#This Row],[Adjusted 2025]]/$L657,0)</f>
        <v>1</v>
      </c>
      <c r="BC657">
        <f>ROUNDUP(tbl_Data_old[[#This Row],[Adjusted 2026]]/$L657,0)</f>
        <v>1</v>
      </c>
      <c r="BD657">
        <f>ROUNDUP(tbl_Data_old[[#This Row],[Adjusted 2027]]/$L657,0)</f>
        <v>1</v>
      </c>
      <c r="BE657">
        <f>ROUNDUP(tbl_Data_old[[#This Row],[Adjusted 2028]]/$L657,0)</f>
        <v>1</v>
      </c>
      <c r="BF657">
        <f>ROUNDUP(tbl_Data_old[[#This Row],[Adjusted 2029]]/$L657,0)</f>
        <v>1</v>
      </c>
      <c r="BG657">
        <f>ROUNDUP(tbl_Data_old[[#This Row],[Adjusted 2030]]/$L657,0)</f>
        <v>1</v>
      </c>
      <c r="BH657">
        <f>ROUNDUP(tbl_Data_old[[#This Row],[Adjusted 2031]]/$L657,0)</f>
        <v>1</v>
      </c>
      <c r="BI657">
        <f>ROUNDUP(tbl_Data_old[[#This Row],[Adjusted 2032]]/$L657,0)</f>
        <v>1</v>
      </c>
      <c r="BJ657">
        <f>ROUNDUP(tbl_Data_old[[#This Row],[Adjusted 2033]]/$L657,0)</f>
        <v>1</v>
      </c>
      <c r="BK657">
        <f>ROUNDUP(tbl_Data_old[[#This Row],[Adjusted 2034]]/$L657,0)</f>
        <v>1</v>
      </c>
      <c r="BL657" s="3">
        <f t="shared" si="45"/>
        <v>0</v>
      </c>
      <c r="BM657" s="3">
        <f t="shared" si="45"/>
        <v>0</v>
      </c>
      <c r="BN657" s="3">
        <f t="shared" si="45"/>
        <v>0</v>
      </c>
      <c r="BO657" s="3">
        <f t="shared" si="45"/>
        <v>0</v>
      </c>
      <c r="BP657" s="3">
        <f t="shared" si="45"/>
        <v>0</v>
      </c>
      <c r="BQ657" s="3">
        <f t="shared" si="44"/>
        <v>0</v>
      </c>
      <c r="BR657" s="3">
        <f t="shared" si="44"/>
        <v>0</v>
      </c>
      <c r="BS657" s="3">
        <f t="shared" si="44"/>
        <v>0</v>
      </c>
      <c r="BT657" s="3">
        <f t="shared" si="44"/>
        <v>0</v>
      </c>
      <c r="BU657" s="3">
        <f t="shared" si="44"/>
        <v>0</v>
      </c>
      <c r="BV657" t="e">
        <f>VLOOKUP($H657,'1. Set Program Names'!$B$2:$D$15,3,0)*V657</f>
        <v>#N/A</v>
      </c>
      <c r="BW657" t="e">
        <f>VLOOKUP($H657,'1. Set Program Names'!$B$2:$D$15,3,0)*W657</f>
        <v>#N/A</v>
      </c>
      <c r="BX657" t="e">
        <f>VLOOKUP($H657,'1. Set Program Names'!$B$2:$D$15,3,0)*X657</f>
        <v>#N/A</v>
      </c>
      <c r="BY657" t="e">
        <f>VLOOKUP($H657,'1. Set Program Names'!$B$2:$D$15,3,0)*Y657</f>
        <v>#N/A</v>
      </c>
      <c r="BZ657" t="e">
        <f>VLOOKUP($H657,'1. Set Program Names'!$B$2:$D$15,3,0)*Z657</f>
        <v>#N/A</v>
      </c>
      <c r="CA657" t="e">
        <f>VLOOKUP($H657,'1. Set Program Names'!$B$2:$D$15,3,0)*AA657</f>
        <v>#N/A</v>
      </c>
      <c r="CB657" t="e">
        <f>VLOOKUP($H657,'1. Set Program Names'!$B$2:$D$15,3,0)*AB657</f>
        <v>#N/A</v>
      </c>
      <c r="CC657" t="e">
        <f>VLOOKUP($H657,'1. Set Program Names'!$B$2:$D$15,3,0)*AC657</f>
        <v>#N/A</v>
      </c>
      <c r="CD657" t="e">
        <f>VLOOKUP($H657,'1. Set Program Names'!$B$2:$D$15,3,0)*AD657</f>
        <v>#N/A</v>
      </c>
      <c r="CE657" t="e">
        <f>VLOOKUP($H657,'1. Set Program Names'!$B$2:$D$15,3,0)*AE657</f>
        <v>#N/A</v>
      </c>
    </row>
    <row r="658" spans="1:83" x14ac:dyDescent="0.25">
      <c r="A658" s="20" t="s">
        <v>117</v>
      </c>
      <c r="B658" s="20" t="s">
        <v>88</v>
      </c>
      <c r="C658" s="20" t="s">
        <v>122</v>
      </c>
      <c r="D658" s="20" t="s">
        <v>90</v>
      </c>
      <c r="E658" s="20" t="s">
        <v>91</v>
      </c>
      <c r="F658" s="20" t="s">
        <v>90</v>
      </c>
      <c r="G658" s="20" t="s">
        <v>92</v>
      </c>
      <c r="H658" s="20" t="s">
        <v>268</v>
      </c>
      <c r="I658" s="20" t="s">
        <v>139</v>
      </c>
      <c r="J658" s="20" t="s">
        <v>134</v>
      </c>
      <c r="K658" s="20" t="s">
        <v>98</v>
      </c>
      <c r="L658" s="20">
        <v>1937</v>
      </c>
      <c r="M658" s="20">
        <v>0.24908899441118301</v>
      </c>
      <c r="N658" s="20">
        <v>0.21233623172368499</v>
      </c>
      <c r="O658" s="20">
        <v>631.37</v>
      </c>
      <c r="P658" s="20">
        <v>232.91563515301399</v>
      </c>
      <c r="Q658" s="20">
        <v>1.9370000000000001</v>
      </c>
      <c r="R658" s="20">
        <v>770.86000119756204</v>
      </c>
      <c r="S658" s="20">
        <v>2270.0548686653701</v>
      </c>
      <c r="T658" s="20">
        <v>17</v>
      </c>
      <c r="U658" s="20">
        <v>1</v>
      </c>
      <c r="V658" s="20">
        <v>1.22448667173535</v>
      </c>
      <c r="W658" s="20">
        <v>2.8916736337790301</v>
      </c>
      <c r="X658" s="20">
        <v>5.0407040552826103</v>
      </c>
      <c r="Y658" s="20">
        <v>7.6872822076297398</v>
      </c>
      <c r="Z658" s="20">
        <v>10.8060692981436</v>
      </c>
      <c r="AA658" s="20">
        <v>14.3326859481776</v>
      </c>
      <c r="AB658" s="20">
        <v>18.182300387367601</v>
      </c>
      <c r="AC658" s="20">
        <v>22.276184132987598</v>
      </c>
      <c r="AD658" s="20">
        <v>26.5502288211263</v>
      </c>
      <c r="AE658" s="20">
        <v>30.952162318072698</v>
      </c>
      <c r="AF658" t="str">
        <f t="shared" si="43"/>
        <v>NonResidential</v>
      </c>
      <c r="AG658" t="str">
        <f>tbl_Data_old[[#This Row],[All_Meas_Name_Append]]</f>
        <v>Energy Star convection oven</v>
      </c>
      <c r="AH658">
        <f>AVERAGEIFS('3. Incentive Adjustment'!G:G,'3. Incentive Adjustment'!A:A,tbl_Data_old[[#This Row],[Trimmed Sector]],'3. Incentive Adjustment'!B:B,tbl_Data_old[[#This Row],[Trimmed Measure Name]])</f>
        <v>0.72813370493976592</v>
      </c>
      <c r="AI658">
        <f>$AH658*tbl_Data_old[[#This Row],[2025 ]]</f>
        <v>0.89159001694002338</v>
      </c>
      <c r="AJ658">
        <f>$AH658*tbl_Data_old[[#This Row],[2026 ]]</f>
        <v>2.1055250364401612</v>
      </c>
      <c r="AK658">
        <f>$AH658*tbl_Data_old[[#This Row],[2027 ]]</f>
        <v>3.6703065192778297</v>
      </c>
      <c r="AL658">
        <f>$AH658*tbl_Data_old[[#This Row],[2028 ]]</f>
        <v>5.5973692747589849</v>
      </c>
      <c r="AM658">
        <f>$AH658*tbl_Data_old[[#This Row],[2029 ]]</f>
        <v>7.8682632738931551</v>
      </c>
      <c r="AN658">
        <f>$AH658*tbl_Data_old[[#This Row],[2030 ]]</f>
        <v>10.436111721184679</v>
      </c>
      <c r="AO658">
        <f>$AH658*tbl_Data_old[[#This Row],[2031 ]]</f>
        <v>13.239145745381713</v>
      </c>
      <c r="AP658">
        <f>$AH658*tbl_Data_old[[#This Row],[2032 ]]</f>
        <v>16.220040484672687</v>
      </c>
      <c r="AQ658">
        <f>$AH658*tbl_Data_old[[#This Row],[2033 ]]</f>
        <v>19.332116478525247</v>
      </c>
      <c r="AR658">
        <f>$AH658*tbl_Data_old[[#This Row],[2034 ]]</f>
        <v>22.537312624555287</v>
      </c>
      <c r="AS658">
        <f>SUM(tbl_Data_old[[#This Row],[Adjusted 2025]:[Adjusted 2034]])</f>
        <v>101.89778117562976</v>
      </c>
      <c r="AT658" s="3">
        <f>AVERAGEIFS('3. Incentive Adjustment'!F:F,'3. Incentive Adjustment'!A:A,tbl_Data_old[[#This Row],[Trimmed Sector]],'3. Incentive Adjustment'!B:B,tbl_Data_old[[#This Row],[Trimmed Measure Name]])</f>
        <v>0</v>
      </c>
      <c r="AU658" s="3">
        <f>IFERROR(VLOOKUP(tbl_Data_old[[#This Row],[All_Meas_Name_Append]],'IRA Tax Credits'!$A$3:$D$46,4,0),0)</f>
        <v>0</v>
      </c>
      <c r="AV658" s="4">
        <f>tbl_Data_old[[#This Row],[Adj. per unit Incentive ($)]]/tbl_Data_old[[#This Row],[kWh Savings]]*tbl_Data_old[[#This Row],[Sum of Annuals]]</f>
        <v>0</v>
      </c>
      <c r="AW658" s="4" t="str">
        <f>IFERROR(VLOOKUP(tbl_Data_old[[#This Row],[All_Programs]],'1. Set Program Names'!$B$2:$D$15,3,0)*tbl_Data_old[[#This Row],[Sum of Annuals]],"")</f>
        <v/>
      </c>
      <c r="AX658" s="4">
        <f>tbl_Data_old[[#This Row],[per unit IRA tax ($)]]/tbl_Data_old[[#This Row],[kWh Savings]]*tbl_Data_old[[#This Row],[Sum of Annuals]]</f>
        <v>0</v>
      </c>
      <c r="AY658" s="4">
        <f>tbl_Data_old[[#This Row],[Avoided Costs ($/unit)]]/tbl_Data_old[[#This Row],[kWh Savings]]*tbl_Data_old[[#This Row],[Sum of Annuals]]</f>
        <v>40.551844976290589</v>
      </c>
      <c r="AZ658" s="4">
        <f>tbl_Data_old[[#This Row],[Lost Revenue ($/unit)]]/tbl_Data_old[[#This Row],[kWh Savings]]*tbl_Data_old[[#This Row],[Sum of Annuals]]</f>
        <v>119.41845857714861</v>
      </c>
      <c r="BA658" s="4">
        <f>tbl_Data_old[[#This Row],[Incremental Cost ($/unit)]]/tbl_Data_old[[#This Row],[kWh Savings]]*tbl_Data_old[[#This Row],[Sum of Annuals]]</f>
        <v>33.213836913194299</v>
      </c>
      <c r="BB658">
        <f>ROUNDUP(tbl_Data_old[[#This Row],[Adjusted 2025]]/$L658,0)</f>
        <v>1</v>
      </c>
      <c r="BC658">
        <f>ROUNDUP(tbl_Data_old[[#This Row],[Adjusted 2026]]/$L658,0)</f>
        <v>1</v>
      </c>
      <c r="BD658">
        <f>ROUNDUP(tbl_Data_old[[#This Row],[Adjusted 2027]]/$L658,0)</f>
        <v>1</v>
      </c>
      <c r="BE658">
        <f>ROUNDUP(tbl_Data_old[[#This Row],[Adjusted 2028]]/$L658,0)</f>
        <v>1</v>
      </c>
      <c r="BF658">
        <f>ROUNDUP(tbl_Data_old[[#This Row],[Adjusted 2029]]/$L658,0)</f>
        <v>1</v>
      </c>
      <c r="BG658">
        <f>ROUNDUP(tbl_Data_old[[#This Row],[Adjusted 2030]]/$L658,0)</f>
        <v>1</v>
      </c>
      <c r="BH658">
        <f>ROUNDUP(tbl_Data_old[[#This Row],[Adjusted 2031]]/$L658,0)</f>
        <v>1</v>
      </c>
      <c r="BI658">
        <f>ROUNDUP(tbl_Data_old[[#This Row],[Adjusted 2032]]/$L658,0)</f>
        <v>1</v>
      </c>
      <c r="BJ658">
        <f>ROUNDUP(tbl_Data_old[[#This Row],[Adjusted 2033]]/$L658,0)</f>
        <v>1</v>
      </c>
      <c r="BK658">
        <f>ROUNDUP(tbl_Data_old[[#This Row],[Adjusted 2034]]/$L658,0)</f>
        <v>1</v>
      </c>
      <c r="BL658" s="3">
        <f t="shared" si="45"/>
        <v>0</v>
      </c>
      <c r="BM658" s="3">
        <f t="shared" si="45"/>
        <v>0</v>
      </c>
      <c r="BN658" s="3">
        <f t="shared" si="45"/>
        <v>0</v>
      </c>
      <c r="BO658" s="3">
        <f t="shared" si="45"/>
        <v>0</v>
      </c>
      <c r="BP658" s="3">
        <f t="shared" si="45"/>
        <v>0</v>
      </c>
      <c r="BQ658" s="3">
        <f t="shared" si="44"/>
        <v>0</v>
      </c>
      <c r="BR658" s="3">
        <f t="shared" si="44"/>
        <v>0</v>
      </c>
      <c r="BS658" s="3">
        <f t="shared" si="44"/>
        <v>0</v>
      </c>
      <c r="BT658" s="3">
        <f t="shared" si="44"/>
        <v>0</v>
      </c>
      <c r="BU658" s="3">
        <f t="shared" si="44"/>
        <v>0</v>
      </c>
      <c r="BV658" t="e">
        <f>VLOOKUP($H658,'1. Set Program Names'!$B$2:$D$15,3,0)*V658</f>
        <v>#N/A</v>
      </c>
      <c r="BW658" t="e">
        <f>VLOOKUP($H658,'1. Set Program Names'!$B$2:$D$15,3,0)*W658</f>
        <v>#N/A</v>
      </c>
      <c r="BX658" t="e">
        <f>VLOOKUP($H658,'1. Set Program Names'!$B$2:$D$15,3,0)*X658</f>
        <v>#N/A</v>
      </c>
      <c r="BY658" t="e">
        <f>VLOOKUP($H658,'1. Set Program Names'!$B$2:$D$15,3,0)*Y658</f>
        <v>#N/A</v>
      </c>
      <c r="BZ658" t="e">
        <f>VLOOKUP($H658,'1. Set Program Names'!$B$2:$D$15,3,0)*Z658</f>
        <v>#N/A</v>
      </c>
      <c r="CA658" t="e">
        <f>VLOOKUP($H658,'1. Set Program Names'!$B$2:$D$15,3,0)*AA658</f>
        <v>#N/A</v>
      </c>
      <c r="CB658" t="e">
        <f>VLOOKUP($H658,'1. Set Program Names'!$B$2:$D$15,3,0)*AB658</f>
        <v>#N/A</v>
      </c>
      <c r="CC658" t="e">
        <f>VLOOKUP($H658,'1. Set Program Names'!$B$2:$D$15,3,0)*AC658</f>
        <v>#N/A</v>
      </c>
      <c r="CD658" t="e">
        <f>VLOOKUP($H658,'1. Set Program Names'!$B$2:$D$15,3,0)*AD658</f>
        <v>#N/A</v>
      </c>
      <c r="CE658" t="e">
        <f>VLOOKUP($H658,'1. Set Program Names'!$B$2:$D$15,3,0)*AE658</f>
        <v>#N/A</v>
      </c>
    </row>
    <row r="659" spans="1:83" x14ac:dyDescent="0.25">
      <c r="A659" s="20" t="s">
        <v>117</v>
      </c>
      <c r="B659" s="20" t="s">
        <v>88</v>
      </c>
      <c r="C659" s="20" t="s">
        <v>122</v>
      </c>
      <c r="D659" s="20" t="s">
        <v>90</v>
      </c>
      <c r="E659" s="20" t="s">
        <v>91</v>
      </c>
      <c r="F659" s="20" t="s">
        <v>90</v>
      </c>
      <c r="G659" s="20" t="s">
        <v>92</v>
      </c>
      <c r="H659" s="20" t="s">
        <v>268</v>
      </c>
      <c r="I659" s="20" t="s">
        <v>140</v>
      </c>
      <c r="J659" s="20" t="s">
        <v>129</v>
      </c>
      <c r="K659" s="20" t="s">
        <v>98</v>
      </c>
      <c r="L659" s="20">
        <v>145.64999999999901</v>
      </c>
      <c r="M659" s="20">
        <v>4.8385631271840701E-2</v>
      </c>
      <c r="N659" s="20">
        <v>0</v>
      </c>
      <c r="O659" s="20">
        <v>41.15</v>
      </c>
      <c r="P659" s="20">
        <v>12.5942011456304</v>
      </c>
      <c r="Q659" s="20">
        <v>0.145649999999999</v>
      </c>
      <c r="R659" s="20">
        <v>71.795310497711</v>
      </c>
      <c r="S659" s="20">
        <v>136.505594800712</v>
      </c>
      <c r="T659" s="20">
        <v>12</v>
      </c>
      <c r="U659" s="20">
        <v>1</v>
      </c>
      <c r="V659" s="20">
        <v>0</v>
      </c>
      <c r="W659" s="20">
        <v>0</v>
      </c>
      <c r="X659" s="20">
        <v>0</v>
      </c>
      <c r="Y659" s="20">
        <v>0</v>
      </c>
      <c r="Z659" s="20">
        <v>0</v>
      </c>
      <c r="AA659" s="20">
        <v>0</v>
      </c>
      <c r="AB659" s="20">
        <v>0</v>
      </c>
      <c r="AC659" s="20">
        <v>0</v>
      </c>
      <c r="AD659" s="20">
        <v>0</v>
      </c>
      <c r="AE659" s="20">
        <v>0</v>
      </c>
      <c r="AF659" t="str">
        <f t="shared" si="43"/>
        <v>NonResidential</v>
      </c>
      <c r="AG659" t="str">
        <f>tbl_Data_old[[#This Row],[All_Meas_Name_Append]]</f>
        <v>Energy Star room AC_137</v>
      </c>
      <c r="AH659">
        <f>AVERAGEIFS('3. Incentive Adjustment'!G:G,'3. Incentive Adjustment'!A:A,tbl_Data_old[[#This Row],[Trimmed Sector]],'3. Incentive Adjustment'!B:B,tbl_Data_old[[#This Row],[Trimmed Measure Name]])</f>
        <v>0.79600466062818009</v>
      </c>
      <c r="AI659">
        <f>$AH659*tbl_Data_old[[#This Row],[2025 ]]</f>
        <v>0</v>
      </c>
      <c r="AJ659">
        <f>$AH659*tbl_Data_old[[#This Row],[2026 ]]</f>
        <v>0</v>
      </c>
      <c r="AK659">
        <f>$AH659*tbl_Data_old[[#This Row],[2027 ]]</f>
        <v>0</v>
      </c>
      <c r="AL659">
        <f>$AH659*tbl_Data_old[[#This Row],[2028 ]]</f>
        <v>0</v>
      </c>
      <c r="AM659">
        <f>$AH659*tbl_Data_old[[#This Row],[2029 ]]</f>
        <v>0</v>
      </c>
      <c r="AN659">
        <f>$AH659*tbl_Data_old[[#This Row],[2030 ]]</f>
        <v>0</v>
      </c>
      <c r="AO659">
        <f>$AH659*tbl_Data_old[[#This Row],[2031 ]]</f>
        <v>0</v>
      </c>
      <c r="AP659">
        <f>$AH659*tbl_Data_old[[#This Row],[2032 ]]</f>
        <v>0</v>
      </c>
      <c r="AQ659">
        <f>$AH659*tbl_Data_old[[#This Row],[2033 ]]</f>
        <v>0</v>
      </c>
      <c r="AR659">
        <f>$AH659*tbl_Data_old[[#This Row],[2034 ]]</f>
        <v>0</v>
      </c>
      <c r="AS659">
        <f>SUM(tbl_Data_old[[#This Row],[Adjusted 2025]:[Adjusted 2034]])</f>
        <v>0</v>
      </c>
      <c r="AT659" s="3">
        <f>AVERAGEIFS('3. Incentive Adjustment'!F:F,'3. Incentive Adjustment'!A:A,tbl_Data_old[[#This Row],[Trimmed Sector]],'3. Incentive Adjustment'!B:B,tbl_Data_old[[#This Row],[Trimmed Measure Name]])</f>
        <v>0</v>
      </c>
      <c r="AU659" s="3">
        <f>IFERROR(VLOOKUP(tbl_Data_old[[#This Row],[All_Meas_Name_Append]],'IRA Tax Credits'!$A$3:$D$46,4,0),0)</f>
        <v>0</v>
      </c>
      <c r="AV659" s="4">
        <f>tbl_Data_old[[#This Row],[Adj. per unit Incentive ($)]]/tbl_Data_old[[#This Row],[kWh Savings]]*tbl_Data_old[[#This Row],[Sum of Annuals]]</f>
        <v>0</v>
      </c>
      <c r="AW659" s="4" t="str">
        <f>IFERROR(VLOOKUP(tbl_Data_old[[#This Row],[All_Programs]],'1. Set Program Names'!$B$2:$D$15,3,0)*tbl_Data_old[[#This Row],[Sum of Annuals]],"")</f>
        <v/>
      </c>
      <c r="AX659" s="4">
        <f>tbl_Data_old[[#This Row],[per unit IRA tax ($)]]/tbl_Data_old[[#This Row],[kWh Savings]]*tbl_Data_old[[#This Row],[Sum of Annuals]]</f>
        <v>0</v>
      </c>
      <c r="AY659" s="4">
        <f>tbl_Data_old[[#This Row],[Avoided Costs ($/unit)]]/tbl_Data_old[[#This Row],[kWh Savings]]*tbl_Data_old[[#This Row],[Sum of Annuals]]</f>
        <v>0</v>
      </c>
      <c r="AZ659" s="4">
        <f>tbl_Data_old[[#This Row],[Lost Revenue ($/unit)]]/tbl_Data_old[[#This Row],[kWh Savings]]*tbl_Data_old[[#This Row],[Sum of Annuals]]</f>
        <v>0</v>
      </c>
      <c r="BA659" s="4">
        <f>tbl_Data_old[[#This Row],[Incremental Cost ($/unit)]]/tbl_Data_old[[#This Row],[kWh Savings]]*tbl_Data_old[[#This Row],[Sum of Annuals]]</f>
        <v>0</v>
      </c>
      <c r="BB659">
        <f>ROUNDUP(tbl_Data_old[[#This Row],[Adjusted 2025]]/$L659,0)</f>
        <v>0</v>
      </c>
      <c r="BC659">
        <f>ROUNDUP(tbl_Data_old[[#This Row],[Adjusted 2026]]/$L659,0)</f>
        <v>0</v>
      </c>
      <c r="BD659">
        <f>ROUNDUP(tbl_Data_old[[#This Row],[Adjusted 2027]]/$L659,0)</f>
        <v>0</v>
      </c>
      <c r="BE659">
        <f>ROUNDUP(tbl_Data_old[[#This Row],[Adjusted 2028]]/$L659,0)</f>
        <v>0</v>
      </c>
      <c r="BF659">
        <f>ROUNDUP(tbl_Data_old[[#This Row],[Adjusted 2029]]/$L659,0)</f>
        <v>0</v>
      </c>
      <c r="BG659">
        <f>ROUNDUP(tbl_Data_old[[#This Row],[Adjusted 2030]]/$L659,0)</f>
        <v>0</v>
      </c>
      <c r="BH659">
        <f>ROUNDUP(tbl_Data_old[[#This Row],[Adjusted 2031]]/$L659,0)</f>
        <v>0</v>
      </c>
      <c r="BI659">
        <f>ROUNDUP(tbl_Data_old[[#This Row],[Adjusted 2032]]/$L659,0)</f>
        <v>0</v>
      </c>
      <c r="BJ659">
        <f>ROUNDUP(tbl_Data_old[[#This Row],[Adjusted 2033]]/$L659,0)</f>
        <v>0</v>
      </c>
      <c r="BK659">
        <f>ROUNDUP(tbl_Data_old[[#This Row],[Adjusted 2034]]/$L659,0)</f>
        <v>0</v>
      </c>
      <c r="BL659" s="3">
        <f t="shared" si="45"/>
        <v>0</v>
      </c>
      <c r="BM659" s="3">
        <f t="shared" si="45"/>
        <v>0</v>
      </c>
      <c r="BN659" s="3">
        <f t="shared" si="45"/>
        <v>0</v>
      </c>
      <c r="BO659" s="3">
        <f t="shared" si="45"/>
        <v>0</v>
      </c>
      <c r="BP659" s="3">
        <f t="shared" si="45"/>
        <v>0</v>
      </c>
      <c r="BQ659" s="3">
        <f t="shared" si="44"/>
        <v>0</v>
      </c>
      <c r="BR659" s="3">
        <f t="shared" si="44"/>
        <v>0</v>
      </c>
      <c r="BS659" s="3">
        <f t="shared" si="44"/>
        <v>0</v>
      </c>
      <c r="BT659" s="3">
        <f t="shared" si="44"/>
        <v>0</v>
      </c>
      <c r="BU659" s="3">
        <f t="shared" si="44"/>
        <v>0</v>
      </c>
      <c r="BV659" t="e">
        <f>VLOOKUP($H659,'1. Set Program Names'!$B$2:$D$15,3,0)*V659</f>
        <v>#N/A</v>
      </c>
      <c r="BW659" t="e">
        <f>VLOOKUP($H659,'1. Set Program Names'!$B$2:$D$15,3,0)*W659</f>
        <v>#N/A</v>
      </c>
      <c r="BX659" t="e">
        <f>VLOOKUP($H659,'1. Set Program Names'!$B$2:$D$15,3,0)*X659</f>
        <v>#N/A</v>
      </c>
      <c r="BY659" t="e">
        <f>VLOOKUP($H659,'1. Set Program Names'!$B$2:$D$15,3,0)*Y659</f>
        <v>#N/A</v>
      </c>
      <c r="BZ659" t="e">
        <f>VLOOKUP($H659,'1. Set Program Names'!$B$2:$D$15,3,0)*Z659</f>
        <v>#N/A</v>
      </c>
      <c r="CA659" t="e">
        <f>VLOOKUP($H659,'1. Set Program Names'!$B$2:$D$15,3,0)*AA659</f>
        <v>#N/A</v>
      </c>
      <c r="CB659" t="e">
        <f>VLOOKUP($H659,'1. Set Program Names'!$B$2:$D$15,3,0)*AB659</f>
        <v>#N/A</v>
      </c>
      <c r="CC659" t="e">
        <f>VLOOKUP($H659,'1. Set Program Names'!$B$2:$D$15,3,0)*AC659</f>
        <v>#N/A</v>
      </c>
      <c r="CD659" t="e">
        <f>VLOOKUP($H659,'1. Set Program Names'!$B$2:$D$15,3,0)*AD659</f>
        <v>#N/A</v>
      </c>
      <c r="CE659" t="e">
        <f>VLOOKUP($H659,'1. Set Program Names'!$B$2:$D$15,3,0)*AE659</f>
        <v>#N/A</v>
      </c>
    </row>
    <row r="660" spans="1:83" x14ac:dyDescent="0.25">
      <c r="A660" s="20" t="s">
        <v>117</v>
      </c>
      <c r="B660" s="20" t="s">
        <v>88</v>
      </c>
      <c r="C660" s="20" t="s">
        <v>122</v>
      </c>
      <c r="D660" s="20" t="s">
        <v>90</v>
      </c>
      <c r="E660" s="20" t="s">
        <v>91</v>
      </c>
      <c r="F660" s="20" t="s">
        <v>90</v>
      </c>
      <c r="G660" s="20" t="s">
        <v>92</v>
      </c>
      <c r="H660" s="20" t="s">
        <v>268</v>
      </c>
      <c r="I660" s="20" t="s">
        <v>141</v>
      </c>
      <c r="J660" s="20" t="s">
        <v>134</v>
      </c>
      <c r="K660" s="20" t="s">
        <v>98</v>
      </c>
      <c r="L660" s="20">
        <v>12160.5</v>
      </c>
      <c r="M660" s="20">
        <v>1.5637825072468701</v>
      </c>
      <c r="N660" s="20">
        <v>1.33304839745786</v>
      </c>
      <c r="O660" s="20">
        <v>3109.4399999999901</v>
      </c>
      <c r="P660" s="20">
        <v>607.94061759330305</v>
      </c>
      <c r="Q660" s="20">
        <v>12.160500000000001</v>
      </c>
      <c r="R660" s="20">
        <v>4122.3511685728599</v>
      </c>
      <c r="S660" s="20">
        <v>11397.022214720701</v>
      </c>
      <c r="T660" s="20">
        <v>12</v>
      </c>
      <c r="U660" s="20">
        <v>1</v>
      </c>
      <c r="V660" s="20">
        <v>2.47517213312705</v>
      </c>
      <c r="W660" s="20">
        <v>5.8745075950194403</v>
      </c>
      <c r="X660" s="20">
        <v>10.299548788438001</v>
      </c>
      <c r="Y660" s="20">
        <v>15.806074234168101</v>
      </c>
      <c r="Z660" s="20">
        <v>22.3613535760052</v>
      </c>
      <c r="AA660" s="20">
        <v>29.8413639759567</v>
      </c>
      <c r="AB660" s="20">
        <v>38.066969075646199</v>
      </c>
      <c r="AC660" s="20">
        <v>46.862922948383499</v>
      </c>
      <c r="AD660" s="20">
        <v>56.081272590531398</v>
      </c>
      <c r="AE660" s="20">
        <v>65.5994527658235</v>
      </c>
      <c r="AF660" t="str">
        <f t="shared" si="43"/>
        <v>NonResidential</v>
      </c>
      <c r="AG660" t="str">
        <f>tbl_Data_old[[#This Row],[All_Meas_Name_Append]]</f>
        <v>Energy Star Steamer</v>
      </c>
      <c r="AH660">
        <f>AVERAGEIFS('3. Incentive Adjustment'!G:G,'3. Incentive Adjustment'!A:A,tbl_Data_old[[#This Row],[Trimmed Sector]],'3. Incentive Adjustment'!B:B,tbl_Data_old[[#This Row],[Trimmed Measure Name]])</f>
        <v>0.87642178647683033</v>
      </c>
      <c r="AI660">
        <f>$AH660*tbl_Data_old[[#This Row],[2025 ]]</f>
        <v>2.1692947827528761</v>
      </c>
      <c r="AJ660">
        <f>$AH660*tbl_Data_old[[#This Row],[2026 ]]</f>
        <v>5.1485464410986461</v>
      </c>
      <c r="AK660">
        <f>$AH660*tbl_Data_old[[#This Row],[2027 ]]</f>
        <v>9.0267489490681054</v>
      </c>
      <c r="AL660">
        <f>$AH660*tbl_Data_old[[#This Row],[2028 ]]</f>
        <v>13.852787817495004</v>
      </c>
      <c r="AM660">
        <f>$AH660*tbl_Data_old[[#This Row],[2029 ]]</f>
        <v>19.597977449122535</v>
      </c>
      <c r="AN660">
        <f>$AH660*tbl_Data_old[[#This Row],[2030 ]]</f>
        <v>26.153621526713298</v>
      </c>
      <c r="AO660">
        <f>$AH660*tbl_Data_old[[#This Row],[2031 ]]</f>
        <v>33.362721043036096</v>
      </c>
      <c r="AP660">
        <f>$AH660*tbl_Data_old[[#This Row],[2032 ]]</f>
        <v>41.071686649948312</v>
      </c>
      <c r="AQ660">
        <f>$AH660*tbl_Data_old[[#This Row],[2033 ]]</f>
        <v>49.150849111687627</v>
      </c>
      <c r="AR660">
        <f>$AH660*tbl_Data_old[[#This Row],[2034 ]]</f>
        <v>57.492789584925482</v>
      </c>
      <c r="AS660">
        <f>SUM(tbl_Data_old[[#This Row],[Adjusted 2025]:[Adjusted 2034]])</f>
        <v>257.02702335584797</v>
      </c>
      <c r="AT660" s="3">
        <f>AVERAGEIFS('3. Incentive Adjustment'!F:F,'3. Incentive Adjustment'!A:A,tbl_Data_old[[#This Row],[Trimmed Sector]],'3. Incentive Adjustment'!B:B,tbl_Data_old[[#This Row],[Trimmed Measure Name]])</f>
        <v>0</v>
      </c>
      <c r="AU660" s="3">
        <f>IFERROR(VLOOKUP(tbl_Data_old[[#This Row],[All_Meas_Name_Append]],'IRA Tax Credits'!$A$3:$D$46,4,0),0)</f>
        <v>0</v>
      </c>
      <c r="AV660" s="4">
        <f>tbl_Data_old[[#This Row],[Adj. per unit Incentive ($)]]/tbl_Data_old[[#This Row],[kWh Savings]]*tbl_Data_old[[#This Row],[Sum of Annuals]]</f>
        <v>0</v>
      </c>
      <c r="AW660" s="4" t="str">
        <f>IFERROR(VLOOKUP(tbl_Data_old[[#This Row],[All_Programs]],'1. Set Program Names'!$B$2:$D$15,3,0)*tbl_Data_old[[#This Row],[Sum of Annuals]],"")</f>
        <v/>
      </c>
      <c r="AX660" s="4">
        <f>tbl_Data_old[[#This Row],[per unit IRA tax ($)]]/tbl_Data_old[[#This Row],[kWh Savings]]*tbl_Data_old[[#This Row],[Sum of Annuals]]</f>
        <v>0</v>
      </c>
      <c r="AY660" s="4">
        <f>tbl_Data_old[[#This Row],[Avoided Costs ($/unit)]]/tbl_Data_old[[#This Row],[kWh Savings]]*tbl_Data_old[[#This Row],[Sum of Annuals]]</f>
        <v>87.130928011659364</v>
      </c>
      <c r="AZ660" s="4">
        <f>tbl_Data_old[[#This Row],[Lost Revenue ($/unit)]]/tbl_Data_old[[#This Row],[kWh Savings]]*tbl_Data_old[[#This Row],[Sum of Annuals]]</f>
        <v>240.88998766252504</v>
      </c>
      <c r="BA660" s="4">
        <f>tbl_Data_old[[#This Row],[Incremental Cost ($/unit)]]/tbl_Data_old[[#This Row],[kWh Savings]]*tbl_Data_old[[#This Row],[Sum of Annuals]]</f>
        <v>65.721813042523365</v>
      </c>
      <c r="BB660">
        <f>ROUNDUP(tbl_Data_old[[#This Row],[Adjusted 2025]]/$L660,0)</f>
        <v>1</v>
      </c>
      <c r="BC660">
        <f>ROUNDUP(tbl_Data_old[[#This Row],[Adjusted 2026]]/$L660,0)</f>
        <v>1</v>
      </c>
      <c r="BD660">
        <f>ROUNDUP(tbl_Data_old[[#This Row],[Adjusted 2027]]/$L660,0)</f>
        <v>1</v>
      </c>
      <c r="BE660">
        <f>ROUNDUP(tbl_Data_old[[#This Row],[Adjusted 2028]]/$L660,0)</f>
        <v>1</v>
      </c>
      <c r="BF660">
        <f>ROUNDUP(tbl_Data_old[[#This Row],[Adjusted 2029]]/$L660,0)</f>
        <v>1</v>
      </c>
      <c r="BG660">
        <f>ROUNDUP(tbl_Data_old[[#This Row],[Adjusted 2030]]/$L660,0)</f>
        <v>1</v>
      </c>
      <c r="BH660">
        <f>ROUNDUP(tbl_Data_old[[#This Row],[Adjusted 2031]]/$L660,0)</f>
        <v>1</v>
      </c>
      <c r="BI660">
        <f>ROUNDUP(tbl_Data_old[[#This Row],[Adjusted 2032]]/$L660,0)</f>
        <v>1</v>
      </c>
      <c r="BJ660">
        <f>ROUNDUP(tbl_Data_old[[#This Row],[Adjusted 2033]]/$L660,0)</f>
        <v>1</v>
      </c>
      <c r="BK660">
        <f>ROUNDUP(tbl_Data_old[[#This Row],[Adjusted 2034]]/$L660,0)</f>
        <v>1</v>
      </c>
      <c r="BL660" s="3">
        <f t="shared" si="45"/>
        <v>0</v>
      </c>
      <c r="BM660" s="3">
        <f t="shared" si="45"/>
        <v>0</v>
      </c>
      <c r="BN660" s="3">
        <f t="shared" si="45"/>
        <v>0</v>
      </c>
      <c r="BO660" s="3">
        <f t="shared" si="45"/>
        <v>0</v>
      </c>
      <c r="BP660" s="3">
        <f t="shared" si="45"/>
        <v>0</v>
      </c>
      <c r="BQ660" s="3">
        <f t="shared" si="44"/>
        <v>0</v>
      </c>
      <c r="BR660" s="3">
        <f t="shared" si="44"/>
        <v>0</v>
      </c>
      <c r="BS660" s="3">
        <f t="shared" si="44"/>
        <v>0</v>
      </c>
      <c r="BT660" s="3">
        <f t="shared" si="44"/>
        <v>0</v>
      </c>
      <c r="BU660" s="3">
        <f t="shared" si="44"/>
        <v>0</v>
      </c>
      <c r="BV660" t="e">
        <f>VLOOKUP($H660,'1. Set Program Names'!$B$2:$D$15,3,0)*V660</f>
        <v>#N/A</v>
      </c>
      <c r="BW660" t="e">
        <f>VLOOKUP($H660,'1. Set Program Names'!$B$2:$D$15,3,0)*W660</f>
        <v>#N/A</v>
      </c>
      <c r="BX660" t="e">
        <f>VLOOKUP($H660,'1. Set Program Names'!$B$2:$D$15,3,0)*X660</f>
        <v>#N/A</v>
      </c>
      <c r="BY660" t="e">
        <f>VLOOKUP($H660,'1. Set Program Names'!$B$2:$D$15,3,0)*Y660</f>
        <v>#N/A</v>
      </c>
      <c r="BZ660" t="e">
        <f>VLOOKUP($H660,'1. Set Program Names'!$B$2:$D$15,3,0)*Z660</f>
        <v>#N/A</v>
      </c>
      <c r="CA660" t="e">
        <f>VLOOKUP($H660,'1. Set Program Names'!$B$2:$D$15,3,0)*AA660</f>
        <v>#N/A</v>
      </c>
      <c r="CB660" t="e">
        <f>VLOOKUP($H660,'1. Set Program Names'!$B$2:$D$15,3,0)*AB660</f>
        <v>#N/A</v>
      </c>
      <c r="CC660" t="e">
        <f>VLOOKUP($H660,'1. Set Program Names'!$B$2:$D$15,3,0)*AC660</f>
        <v>#N/A</v>
      </c>
      <c r="CD660" t="e">
        <f>VLOOKUP($H660,'1. Set Program Names'!$B$2:$D$15,3,0)*AD660</f>
        <v>#N/A</v>
      </c>
      <c r="CE660" t="e">
        <f>VLOOKUP($H660,'1. Set Program Names'!$B$2:$D$15,3,0)*AE660</f>
        <v>#N/A</v>
      </c>
    </row>
    <row r="661" spans="1:83" x14ac:dyDescent="0.25">
      <c r="A661" s="20" t="s">
        <v>117</v>
      </c>
      <c r="B661" s="20" t="s">
        <v>88</v>
      </c>
      <c r="C661" s="20" t="s">
        <v>122</v>
      </c>
      <c r="D661" s="20" t="s">
        <v>90</v>
      </c>
      <c r="E661" s="20" t="s">
        <v>91</v>
      </c>
      <c r="F661" s="20" t="s">
        <v>90</v>
      </c>
      <c r="G661" s="20" t="s">
        <v>92</v>
      </c>
      <c r="H661" s="20" t="s">
        <v>268</v>
      </c>
      <c r="I661" s="20" t="s">
        <v>142</v>
      </c>
      <c r="J661" s="20" t="s">
        <v>137</v>
      </c>
      <c r="K661" s="20" t="s">
        <v>98</v>
      </c>
      <c r="L661" s="20">
        <v>11250</v>
      </c>
      <c r="M661" s="20">
        <v>1.3809947593685901</v>
      </c>
      <c r="N661" s="20">
        <v>1.3808111252514099</v>
      </c>
      <c r="O661" s="20">
        <v>3147</v>
      </c>
      <c r="P661" s="20">
        <v>832.79679683603899</v>
      </c>
      <c r="Q661" s="20">
        <v>11.25</v>
      </c>
      <c r="R661" s="20">
        <v>4868.3629963469202</v>
      </c>
      <c r="S661" s="20">
        <v>12218.8507873668</v>
      </c>
      <c r="T661" s="20">
        <v>15</v>
      </c>
      <c r="U661" s="20">
        <v>1</v>
      </c>
      <c r="V661" s="20">
        <v>2.6160074814145</v>
      </c>
      <c r="W661" s="20">
        <v>6.22225023184106</v>
      </c>
      <c r="X661" s="20">
        <v>11.0545573292983</v>
      </c>
      <c r="Y661" s="20">
        <v>17.344481864655901</v>
      </c>
      <c r="Z661" s="20">
        <v>25.2206640674524</v>
      </c>
      <c r="AA661" s="20">
        <v>34.591044853883602</v>
      </c>
      <c r="AB661" s="20">
        <v>45.056376088161301</v>
      </c>
      <c r="AC661" s="20">
        <v>55.909786541716102</v>
      </c>
      <c r="AD661" s="20">
        <v>66.260976866206207</v>
      </c>
      <c r="AE661" s="20">
        <v>75.307893479915506</v>
      </c>
      <c r="AF661" t="str">
        <f t="shared" si="43"/>
        <v>NonResidential</v>
      </c>
      <c r="AG661" t="str">
        <f>tbl_Data_old[[#This Row],[All_Meas_Name_Append]]</f>
        <v>Escalator Motor Efficiency Controller</v>
      </c>
      <c r="AH661">
        <f>AVERAGEIFS('3. Incentive Adjustment'!G:G,'3. Incentive Adjustment'!A:A,tbl_Data_old[[#This Row],[Trimmed Sector]],'3. Incentive Adjustment'!B:B,tbl_Data_old[[#This Row],[Trimmed Measure Name]])</f>
        <v>0.82257117184015105</v>
      </c>
      <c r="AI661">
        <f>$AH661*tbl_Data_old[[#This Row],[2025 ]]</f>
        <v>2.1518523395297273</v>
      </c>
      <c r="AJ661">
        <f>$AH661*tbl_Data_old[[#This Row],[2026 ]]</f>
        <v>5.1182436646881522</v>
      </c>
      <c r="AK661">
        <f>$AH661*tbl_Data_old[[#This Row],[2027 ]]</f>
        <v>9.0931601765350329</v>
      </c>
      <c r="AL661">
        <f>$AH661*tbl_Data_old[[#This Row],[2028 ]]</f>
        <v>14.267070772370252</v>
      </c>
      <c r="AM661">
        <f>$AH661*tbl_Data_old[[#This Row],[2029 ]]</f>
        <v>20.74579119655111</v>
      </c>
      <c r="AN661">
        <f>$AH661*tbl_Data_old[[#This Row],[2030 ]]</f>
        <v>28.45359630063426</v>
      </c>
      <c r="AO661">
        <f>$AH661*tbl_Data_old[[#This Row],[2031 ]]</f>
        <v>37.062076077709399</v>
      </c>
      <c r="AP661">
        <f>$AH661*tbl_Data_old[[#This Row],[2032 ]]</f>
        <v>45.989778632952117</v>
      </c>
      <c r="AQ661">
        <f>$AH661*tbl_Data_old[[#This Row],[2033 ]]</f>
        <v>54.50436938810838</v>
      </c>
      <c r="AR661">
        <f>$AH661*tbl_Data_old[[#This Row],[2034 ]]</f>
        <v>61.946102188587368</v>
      </c>
      <c r="AS661">
        <f>SUM(tbl_Data_old[[#This Row],[Adjusted 2025]:[Adjusted 2034]])</f>
        <v>279.33204073766581</v>
      </c>
      <c r="AT661" s="3">
        <f>AVERAGEIFS('3. Incentive Adjustment'!F:F,'3. Incentive Adjustment'!A:A,tbl_Data_old[[#This Row],[Trimmed Sector]],'3. Incentive Adjustment'!B:B,tbl_Data_old[[#This Row],[Trimmed Measure Name]])</f>
        <v>0</v>
      </c>
      <c r="AU661" s="3">
        <f>IFERROR(VLOOKUP(tbl_Data_old[[#This Row],[All_Meas_Name_Append]],'IRA Tax Credits'!$A$3:$D$46,4,0),0)</f>
        <v>0</v>
      </c>
      <c r="AV661" s="4">
        <f>tbl_Data_old[[#This Row],[Adj. per unit Incentive ($)]]/tbl_Data_old[[#This Row],[kWh Savings]]*tbl_Data_old[[#This Row],[Sum of Annuals]]</f>
        <v>0</v>
      </c>
      <c r="AW661" s="4" t="str">
        <f>IFERROR(VLOOKUP(tbl_Data_old[[#This Row],[All_Programs]],'1. Set Program Names'!$B$2:$D$15,3,0)*tbl_Data_old[[#This Row],[Sum of Annuals]],"")</f>
        <v/>
      </c>
      <c r="AX661" s="4">
        <f>tbl_Data_old[[#This Row],[per unit IRA tax ($)]]/tbl_Data_old[[#This Row],[kWh Savings]]*tbl_Data_old[[#This Row],[Sum of Annuals]]</f>
        <v>0</v>
      </c>
      <c r="AY661" s="4">
        <f>tbl_Data_old[[#This Row],[Avoided Costs ($/unit)]]/tbl_Data_old[[#This Row],[kWh Savings]]*tbl_Data_old[[#This Row],[Sum of Annuals]]</f>
        <v>120.87909073967313</v>
      </c>
      <c r="AZ661" s="4">
        <f>tbl_Data_old[[#This Row],[Lost Revenue ($/unit)]]/tbl_Data_old[[#This Row],[kWh Savings]]*tbl_Data_old[[#This Row],[Sum of Annuals]]</f>
        <v>303.38813563592919</v>
      </c>
      <c r="BA661" s="4">
        <f>tbl_Data_old[[#This Row],[Incremental Cost ($/unit)]]/tbl_Data_old[[#This Row],[kWh Savings]]*tbl_Data_old[[#This Row],[Sum of Annuals]]</f>
        <v>78.138482862349719</v>
      </c>
      <c r="BB661">
        <f>ROUNDUP(tbl_Data_old[[#This Row],[Adjusted 2025]]/$L661,0)</f>
        <v>1</v>
      </c>
      <c r="BC661">
        <f>ROUNDUP(tbl_Data_old[[#This Row],[Adjusted 2026]]/$L661,0)</f>
        <v>1</v>
      </c>
      <c r="BD661">
        <f>ROUNDUP(tbl_Data_old[[#This Row],[Adjusted 2027]]/$L661,0)</f>
        <v>1</v>
      </c>
      <c r="BE661">
        <f>ROUNDUP(tbl_Data_old[[#This Row],[Adjusted 2028]]/$L661,0)</f>
        <v>1</v>
      </c>
      <c r="BF661">
        <f>ROUNDUP(tbl_Data_old[[#This Row],[Adjusted 2029]]/$L661,0)</f>
        <v>1</v>
      </c>
      <c r="BG661">
        <f>ROUNDUP(tbl_Data_old[[#This Row],[Adjusted 2030]]/$L661,0)</f>
        <v>1</v>
      </c>
      <c r="BH661">
        <f>ROUNDUP(tbl_Data_old[[#This Row],[Adjusted 2031]]/$L661,0)</f>
        <v>1</v>
      </c>
      <c r="BI661">
        <f>ROUNDUP(tbl_Data_old[[#This Row],[Adjusted 2032]]/$L661,0)</f>
        <v>1</v>
      </c>
      <c r="BJ661">
        <f>ROUNDUP(tbl_Data_old[[#This Row],[Adjusted 2033]]/$L661,0)</f>
        <v>1</v>
      </c>
      <c r="BK661">
        <f>ROUNDUP(tbl_Data_old[[#This Row],[Adjusted 2034]]/$L661,0)</f>
        <v>1</v>
      </c>
      <c r="BL661" s="3">
        <f t="shared" si="45"/>
        <v>0</v>
      </c>
      <c r="BM661" s="3">
        <f t="shared" si="45"/>
        <v>0</v>
      </c>
      <c r="BN661" s="3">
        <f t="shared" si="45"/>
        <v>0</v>
      </c>
      <c r="BO661" s="3">
        <f t="shared" si="45"/>
        <v>0</v>
      </c>
      <c r="BP661" s="3">
        <f t="shared" si="45"/>
        <v>0</v>
      </c>
      <c r="BQ661" s="3">
        <f t="shared" si="44"/>
        <v>0</v>
      </c>
      <c r="BR661" s="3">
        <f t="shared" si="44"/>
        <v>0</v>
      </c>
      <c r="BS661" s="3">
        <f t="shared" si="44"/>
        <v>0</v>
      </c>
      <c r="BT661" s="3">
        <f t="shared" si="44"/>
        <v>0</v>
      </c>
      <c r="BU661" s="3">
        <f t="shared" si="44"/>
        <v>0</v>
      </c>
      <c r="BV661" t="e">
        <f>VLOOKUP($H661,'1. Set Program Names'!$B$2:$D$15,3,0)*V661</f>
        <v>#N/A</v>
      </c>
      <c r="BW661" t="e">
        <f>VLOOKUP($H661,'1. Set Program Names'!$B$2:$D$15,3,0)*W661</f>
        <v>#N/A</v>
      </c>
      <c r="BX661" t="e">
        <f>VLOOKUP($H661,'1. Set Program Names'!$B$2:$D$15,3,0)*X661</f>
        <v>#N/A</v>
      </c>
      <c r="BY661" t="e">
        <f>VLOOKUP($H661,'1. Set Program Names'!$B$2:$D$15,3,0)*Y661</f>
        <v>#N/A</v>
      </c>
      <c r="BZ661" t="e">
        <f>VLOOKUP($H661,'1. Set Program Names'!$B$2:$D$15,3,0)*Z661</f>
        <v>#N/A</v>
      </c>
      <c r="CA661" t="e">
        <f>VLOOKUP($H661,'1. Set Program Names'!$B$2:$D$15,3,0)*AA661</f>
        <v>#N/A</v>
      </c>
      <c r="CB661" t="e">
        <f>VLOOKUP($H661,'1. Set Program Names'!$B$2:$D$15,3,0)*AB661</f>
        <v>#N/A</v>
      </c>
      <c r="CC661" t="e">
        <f>VLOOKUP($H661,'1. Set Program Names'!$B$2:$D$15,3,0)*AC661</f>
        <v>#N/A</v>
      </c>
      <c r="CD661" t="e">
        <f>VLOOKUP($H661,'1. Set Program Names'!$B$2:$D$15,3,0)*AD661</f>
        <v>#N/A</v>
      </c>
      <c r="CE661" t="e">
        <f>VLOOKUP($H661,'1. Set Program Names'!$B$2:$D$15,3,0)*AE661</f>
        <v>#N/A</v>
      </c>
    </row>
    <row r="662" spans="1:83" x14ac:dyDescent="0.25">
      <c r="A662" s="20" t="s">
        <v>117</v>
      </c>
      <c r="B662" s="20" t="s">
        <v>88</v>
      </c>
      <c r="C662" s="20" t="s">
        <v>122</v>
      </c>
      <c r="D662" s="20" t="s">
        <v>90</v>
      </c>
      <c r="E662" s="20" t="s">
        <v>91</v>
      </c>
      <c r="F662" s="20" t="s">
        <v>90</v>
      </c>
      <c r="G662" s="20" t="s">
        <v>92</v>
      </c>
      <c r="H662" s="20" t="s">
        <v>268</v>
      </c>
      <c r="I662" s="20" t="s">
        <v>175</v>
      </c>
      <c r="J662" s="20" t="s">
        <v>144</v>
      </c>
      <c r="K662" s="20" t="s">
        <v>98</v>
      </c>
      <c r="L662" s="20">
        <v>264.02999999999997</v>
      </c>
      <c r="M662" s="20">
        <v>4.1428427039389301E-2</v>
      </c>
      <c r="N662" s="20">
        <v>6.1740637590561503E-2</v>
      </c>
      <c r="O662" s="20">
        <v>74.16</v>
      </c>
      <c r="P662" s="20">
        <v>19.8471936238772</v>
      </c>
      <c r="Q662" s="20">
        <v>0.26402999999999999</v>
      </c>
      <c r="R662" s="20">
        <v>106.11574944735899</v>
      </c>
      <c r="S662" s="20">
        <v>217.179512566509</v>
      </c>
      <c r="T662" s="20">
        <v>10</v>
      </c>
      <c r="U662" s="20">
        <v>1</v>
      </c>
      <c r="V662" s="20">
        <v>2.30102065637666</v>
      </c>
      <c r="W662" s="20">
        <v>5.4592847752701497</v>
      </c>
      <c r="X662" s="20">
        <v>9.6633584620475297</v>
      </c>
      <c r="Y662" s="20">
        <v>15.0887228607154</v>
      </c>
      <c r="Z662" s="20">
        <v>21.810998527467301</v>
      </c>
      <c r="AA662" s="20">
        <v>29.704698233088799</v>
      </c>
      <c r="AB662" s="20">
        <v>38.382439440317498</v>
      </c>
      <c r="AC662" s="20">
        <v>47.211286693679</v>
      </c>
      <c r="AD662" s="20">
        <v>55.434118076844896</v>
      </c>
      <c r="AE662" s="20">
        <v>62.416298911587702</v>
      </c>
      <c r="AF662" t="str">
        <f t="shared" si="43"/>
        <v>NonResidential</v>
      </c>
      <c r="AG662" t="str">
        <f>tbl_Data_old[[#This Row],[All_Meas_Name_Append]]</f>
        <v>Faucet Aerator</v>
      </c>
      <c r="AH662">
        <f>AVERAGEIFS('3. Incentive Adjustment'!G:G,'3. Incentive Adjustment'!A:A,tbl_Data_old[[#This Row],[Trimmed Sector]],'3. Incentive Adjustment'!B:B,tbl_Data_old[[#This Row],[Trimmed Measure Name]])</f>
        <v>0.82009235606746977</v>
      </c>
      <c r="AI662">
        <f>$AH662*tbl_Data_old[[#This Row],[2025 ]]</f>
        <v>1.8870494514478509</v>
      </c>
      <c r="AJ662">
        <f>$AH662*tbl_Data_old[[#This Row],[2026 ]]</f>
        <v>4.4771177137945646</v>
      </c>
      <c r="AK662">
        <f>$AH662*tbl_Data_old[[#This Row],[2027 ]]</f>
        <v>7.9248464086650801</v>
      </c>
      <c r="AL662">
        <f>$AH662*tbl_Data_old[[#This Row],[2028 ]]</f>
        <v>12.374146280893186</v>
      </c>
      <c r="AM662">
        <f>$AH662*tbl_Data_old[[#This Row],[2029 ]]</f>
        <v>17.887033170574774</v>
      </c>
      <c r="AN662">
        <f>$AH662*tbl_Data_old[[#This Row],[2030 ]]</f>
        <v>24.360595960247</v>
      </c>
      <c r="AO662">
        <f>$AH662*tbl_Data_old[[#This Row],[2031 ]]</f>
        <v>31.477145192226953</v>
      </c>
      <c r="AP662">
        <f>$AH662*tbl_Data_old[[#This Row],[2032 ]]</f>
        <v>38.717615337595994</v>
      </c>
      <c r="AQ662">
        <f>$AH662*tbl_Data_old[[#This Row],[2033 ]]</f>
        <v>45.46109650016205</v>
      </c>
      <c r="AR662">
        <f>$AH662*tbl_Data_old[[#This Row],[2034 ]]</f>
        <v>51.187129631415409</v>
      </c>
      <c r="AS662">
        <f>SUM(tbl_Data_old[[#This Row],[Adjusted 2025]:[Adjusted 2034]])</f>
        <v>235.75377564702288</v>
      </c>
      <c r="AT662" s="3">
        <f>AVERAGEIFS('3. Incentive Adjustment'!F:F,'3. Incentive Adjustment'!A:A,tbl_Data_old[[#This Row],[Trimmed Sector]],'3. Incentive Adjustment'!B:B,tbl_Data_old[[#This Row],[Trimmed Measure Name]])</f>
        <v>0</v>
      </c>
      <c r="AU662" s="3">
        <f>IFERROR(VLOOKUP(tbl_Data_old[[#This Row],[All_Meas_Name_Append]],'IRA Tax Credits'!$A$3:$D$46,4,0),0)</f>
        <v>0</v>
      </c>
      <c r="AV662" s="4">
        <f>tbl_Data_old[[#This Row],[Adj. per unit Incentive ($)]]/tbl_Data_old[[#This Row],[kWh Savings]]*tbl_Data_old[[#This Row],[Sum of Annuals]]</f>
        <v>0</v>
      </c>
      <c r="AW662" s="4" t="str">
        <f>IFERROR(VLOOKUP(tbl_Data_old[[#This Row],[All_Programs]],'1. Set Program Names'!$B$2:$D$15,3,0)*tbl_Data_old[[#This Row],[Sum of Annuals]],"")</f>
        <v/>
      </c>
      <c r="AX662" s="4">
        <f>tbl_Data_old[[#This Row],[per unit IRA tax ($)]]/tbl_Data_old[[#This Row],[kWh Savings]]*tbl_Data_old[[#This Row],[Sum of Annuals]]</f>
        <v>0</v>
      </c>
      <c r="AY662" s="4">
        <f>tbl_Data_old[[#This Row],[Avoided Costs ($/unit)]]/tbl_Data_old[[#This Row],[kWh Savings]]*tbl_Data_old[[#This Row],[Sum of Annuals]]</f>
        <v>94.751310789790423</v>
      </c>
      <c r="AZ662" s="4">
        <f>tbl_Data_old[[#This Row],[Lost Revenue ($/unit)]]/tbl_Data_old[[#This Row],[kWh Savings]]*tbl_Data_old[[#This Row],[Sum of Annuals]]</f>
        <v>193.92072901084936</v>
      </c>
      <c r="BA662" s="4">
        <f>tbl_Data_old[[#This Row],[Incremental Cost ($/unit)]]/tbl_Data_old[[#This Row],[kWh Savings]]*tbl_Data_old[[#This Row],[Sum of Annuals]]</f>
        <v>66.217854039250156</v>
      </c>
      <c r="BB662">
        <f>ROUNDUP(tbl_Data_old[[#This Row],[Adjusted 2025]]/$L662,0)</f>
        <v>1</v>
      </c>
      <c r="BC662">
        <f>ROUNDUP(tbl_Data_old[[#This Row],[Adjusted 2026]]/$L662,0)</f>
        <v>1</v>
      </c>
      <c r="BD662">
        <f>ROUNDUP(tbl_Data_old[[#This Row],[Adjusted 2027]]/$L662,0)</f>
        <v>1</v>
      </c>
      <c r="BE662">
        <f>ROUNDUP(tbl_Data_old[[#This Row],[Adjusted 2028]]/$L662,0)</f>
        <v>1</v>
      </c>
      <c r="BF662">
        <f>ROUNDUP(tbl_Data_old[[#This Row],[Adjusted 2029]]/$L662,0)</f>
        <v>1</v>
      </c>
      <c r="BG662">
        <f>ROUNDUP(tbl_Data_old[[#This Row],[Adjusted 2030]]/$L662,0)</f>
        <v>1</v>
      </c>
      <c r="BH662">
        <f>ROUNDUP(tbl_Data_old[[#This Row],[Adjusted 2031]]/$L662,0)</f>
        <v>1</v>
      </c>
      <c r="BI662">
        <f>ROUNDUP(tbl_Data_old[[#This Row],[Adjusted 2032]]/$L662,0)</f>
        <v>1</v>
      </c>
      <c r="BJ662">
        <f>ROUNDUP(tbl_Data_old[[#This Row],[Adjusted 2033]]/$L662,0)</f>
        <v>1</v>
      </c>
      <c r="BK662">
        <f>ROUNDUP(tbl_Data_old[[#This Row],[Adjusted 2034]]/$L662,0)</f>
        <v>1</v>
      </c>
      <c r="BL662" s="3">
        <f t="shared" si="45"/>
        <v>0</v>
      </c>
      <c r="BM662" s="3">
        <f t="shared" si="45"/>
        <v>0</v>
      </c>
      <c r="BN662" s="3">
        <f t="shared" si="45"/>
        <v>0</v>
      </c>
      <c r="BO662" s="3">
        <f t="shared" si="45"/>
        <v>0</v>
      </c>
      <c r="BP662" s="3">
        <f t="shared" si="45"/>
        <v>0</v>
      </c>
      <c r="BQ662" s="3">
        <f t="shared" si="44"/>
        <v>0</v>
      </c>
      <c r="BR662" s="3">
        <f t="shared" si="44"/>
        <v>0</v>
      </c>
      <c r="BS662" s="3">
        <f t="shared" si="44"/>
        <v>0</v>
      </c>
      <c r="BT662" s="3">
        <f t="shared" si="44"/>
        <v>0</v>
      </c>
      <c r="BU662" s="3">
        <f t="shared" si="44"/>
        <v>0</v>
      </c>
      <c r="BV662" t="e">
        <f>VLOOKUP($H662,'1. Set Program Names'!$B$2:$D$15,3,0)*V662</f>
        <v>#N/A</v>
      </c>
      <c r="BW662" t="e">
        <f>VLOOKUP($H662,'1. Set Program Names'!$B$2:$D$15,3,0)*W662</f>
        <v>#N/A</v>
      </c>
      <c r="BX662" t="e">
        <f>VLOOKUP($H662,'1. Set Program Names'!$B$2:$D$15,3,0)*X662</f>
        <v>#N/A</v>
      </c>
      <c r="BY662" t="e">
        <f>VLOOKUP($H662,'1. Set Program Names'!$B$2:$D$15,3,0)*Y662</f>
        <v>#N/A</v>
      </c>
      <c r="BZ662" t="e">
        <f>VLOOKUP($H662,'1. Set Program Names'!$B$2:$D$15,3,0)*Z662</f>
        <v>#N/A</v>
      </c>
      <c r="CA662" t="e">
        <f>VLOOKUP($H662,'1. Set Program Names'!$B$2:$D$15,3,0)*AA662</f>
        <v>#N/A</v>
      </c>
      <c r="CB662" t="e">
        <f>VLOOKUP($H662,'1. Set Program Names'!$B$2:$D$15,3,0)*AB662</f>
        <v>#N/A</v>
      </c>
      <c r="CC662" t="e">
        <f>VLOOKUP($H662,'1. Set Program Names'!$B$2:$D$15,3,0)*AC662</f>
        <v>#N/A</v>
      </c>
      <c r="CD662" t="e">
        <f>VLOOKUP($H662,'1. Set Program Names'!$B$2:$D$15,3,0)*AD662</f>
        <v>#N/A</v>
      </c>
      <c r="CE662" t="e">
        <f>VLOOKUP($H662,'1. Set Program Names'!$B$2:$D$15,3,0)*AE662</f>
        <v>#N/A</v>
      </c>
    </row>
    <row r="663" spans="1:83" x14ac:dyDescent="0.25">
      <c r="A663" s="20" t="s">
        <v>117</v>
      </c>
      <c r="B663" s="20" t="s">
        <v>88</v>
      </c>
      <c r="C663" s="20" t="s">
        <v>122</v>
      </c>
      <c r="D663" s="20" t="s">
        <v>90</v>
      </c>
      <c r="E663" s="20" t="s">
        <v>91</v>
      </c>
      <c r="F663" s="20" t="s">
        <v>90</v>
      </c>
      <c r="G663" s="20" t="s">
        <v>92</v>
      </c>
      <c r="H663" s="20" t="s">
        <v>268</v>
      </c>
      <c r="I663" s="20" t="s">
        <v>150</v>
      </c>
      <c r="J663" s="20" t="s">
        <v>129</v>
      </c>
      <c r="K663" s="20" t="s">
        <v>102</v>
      </c>
      <c r="L663" s="20">
        <v>56016.9549999999</v>
      </c>
      <c r="M663" s="20">
        <v>10.827112325312299</v>
      </c>
      <c r="N663" s="20">
        <v>1.3517775806744601</v>
      </c>
      <c r="O663" s="20">
        <v>17160.122499999899</v>
      </c>
      <c r="P663" s="20">
        <v>8652.3043908691998</v>
      </c>
      <c r="Q663" s="20">
        <v>56.016954999999903</v>
      </c>
      <c r="R663" s="20">
        <v>30291.5576269993</v>
      </c>
      <c r="S663" s="20">
        <v>71892.064971295098</v>
      </c>
      <c r="T663" s="20">
        <v>20</v>
      </c>
      <c r="U663" s="20">
        <v>1</v>
      </c>
      <c r="V663" s="20">
        <v>13.513299407399099</v>
      </c>
      <c r="W663" s="20">
        <v>26.837675155413599</v>
      </c>
      <c r="X663" s="20">
        <v>39.889713779196697</v>
      </c>
      <c r="Y663" s="20">
        <v>52.666003824252698</v>
      </c>
      <c r="Z663" s="20">
        <v>65.147633189971202</v>
      </c>
      <c r="AA663" s="20">
        <v>77.305858099114403</v>
      </c>
      <c r="AB663" s="20">
        <v>89.116205722515502</v>
      </c>
      <c r="AC663" s="20">
        <v>100.580397664835</v>
      </c>
      <c r="AD663" s="20">
        <v>111.71246437468299</v>
      </c>
      <c r="AE663" s="20">
        <v>122.50318898710201</v>
      </c>
      <c r="AF663" t="str">
        <f t="shared" si="43"/>
        <v>NonResidential</v>
      </c>
      <c r="AG663" t="str">
        <f>tbl_Data_old[[#This Row],[All_Meas_Name_Append]]</f>
        <v>Infiltration Reduction - Air Sealing</v>
      </c>
      <c r="AH663">
        <f>AVERAGEIFS('3. Incentive Adjustment'!G:G,'3. Incentive Adjustment'!A:A,tbl_Data_old[[#This Row],[Trimmed Sector]],'3. Incentive Adjustment'!B:B,tbl_Data_old[[#This Row],[Trimmed Measure Name]])</f>
        <v>0.66528306579610585</v>
      </c>
      <c r="AI663">
        <f>$AH663*tbl_Data_old[[#This Row],[2025 ]]</f>
        <v>8.9901692587751736</v>
      </c>
      <c r="AJ663">
        <f>$AH663*tbl_Data_old[[#This Row],[2026 ]]</f>
        <v>17.85465080623354</v>
      </c>
      <c r="AK663">
        <f>$AH663*tbl_Data_old[[#This Row],[2027 ]]</f>
        <v>26.537951076753146</v>
      </c>
      <c r="AL663">
        <f>$AH663*tbl_Data_old[[#This Row],[2028 ]]</f>
        <v>35.037800487428271</v>
      </c>
      <c r="AM663">
        <f>$AH663*tbl_Data_old[[#This Row],[2029 ]]</f>
        <v>43.34161713798418</v>
      </c>
      <c r="AN663">
        <f>$AH663*tbl_Data_old[[#This Row],[2030 ]]</f>
        <v>51.430278280177546</v>
      </c>
      <c r="AO663">
        <f>$AH663*tbl_Data_old[[#This Row],[2031 ]]</f>
        <v>59.287502555191587</v>
      </c>
      <c r="AP663">
        <f>$AH663*tbl_Data_old[[#This Row],[2032 ]]</f>
        <v>66.914435317452913</v>
      </c>
      <c r="AQ663">
        <f>$AH663*tbl_Data_old[[#This Row],[2033 ]]</f>
        <v>74.320410786827352</v>
      </c>
      <c r="AR663">
        <f>$AH663*tbl_Data_old[[#This Row],[2034 ]]</f>
        <v>81.499297139138974</v>
      </c>
      <c r="AS663">
        <f>SUM(tbl_Data_old[[#This Row],[Adjusted 2025]:[Adjusted 2034]])</f>
        <v>465.21411284596275</v>
      </c>
      <c r="AT663" s="3">
        <f>AVERAGEIFS('3. Incentive Adjustment'!F:F,'3. Incentive Adjustment'!A:A,tbl_Data_old[[#This Row],[Trimmed Sector]],'3. Incentive Adjustment'!B:B,tbl_Data_old[[#This Row],[Trimmed Measure Name]])</f>
        <v>0</v>
      </c>
      <c r="AU663" s="3">
        <f>IFERROR(VLOOKUP(tbl_Data_old[[#This Row],[All_Meas_Name_Append]],'IRA Tax Credits'!$A$3:$D$46,4,0),0)</f>
        <v>0</v>
      </c>
      <c r="AV663" s="4">
        <f>tbl_Data_old[[#This Row],[Adj. per unit Incentive ($)]]/tbl_Data_old[[#This Row],[kWh Savings]]*tbl_Data_old[[#This Row],[Sum of Annuals]]</f>
        <v>0</v>
      </c>
      <c r="AW663" s="4" t="str">
        <f>IFERROR(VLOOKUP(tbl_Data_old[[#This Row],[All_Programs]],'1. Set Program Names'!$B$2:$D$15,3,0)*tbl_Data_old[[#This Row],[Sum of Annuals]],"")</f>
        <v/>
      </c>
      <c r="AX663" s="4">
        <f>tbl_Data_old[[#This Row],[per unit IRA tax ($)]]/tbl_Data_old[[#This Row],[kWh Savings]]*tbl_Data_old[[#This Row],[Sum of Annuals]]</f>
        <v>0</v>
      </c>
      <c r="AY663" s="4">
        <f>tbl_Data_old[[#This Row],[Avoided Costs ($/unit)]]/tbl_Data_old[[#This Row],[kWh Savings]]*tbl_Data_old[[#This Row],[Sum of Annuals]]</f>
        <v>251.5677638701865</v>
      </c>
      <c r="AZ663" s="4">
        <f>tbl_Data_old[[#This Row],[Lost Revenue ($/unit)]]/tbl_Data_old[[#This Row],[kWh Savings]]*tbl_Data_old[[#This Row],[Sum of Annuals]]</f>
        <v>597.05500283414949</v>
      </c>
      <c r="BA663" s="4">
        <f>tbl_Data_old[[#This Row],[Incremental Cost ($/unit)]]/tbl_Data_old[[#This Row],[kWh Savings]]*tbl_Data_old[[#This Row],[Sum of Annuals]]</f>
        <v>142.51276537908052</v>
      </c>
      <c r="BB663">
        <f>ROUNDUP(tbl_Data_old[[#This Row],[Adjusted 2025]]/$L663,0)</f>
        <v>1</v>
      </c>
      <c r="BC663">
        <f>ROUNDUP(tbl_Data_old[[#This Row],[Adjusted 2026]]/$L663,0)</f>
        <v>1</v>
      </c>
      <c r="BD663">
        <f>ROUNDUP(tbl_Data_old[[#This Row],[Adjusted 2027]]/$L663,0)</f>
        <v>1</v>
      </c>
      <c r="BE663">
        <f>ROUNDUP(tbl_Data_old[[#This Row],[Adjusted 2028]]/$L663,0)</f>
        <v>1</v>
      </c>
      <c r="BF663">
        <f>ROUNDUP(tbl_Data_old[[#This Row],[Adjusted 2029]]/$L663,0)</f>
        <v>1</v>
      </c>
      <c r="BG663">
        <f>ROUNDUP(tbl_Data_old[[#This Row],[Adjusted 2030]]/$L663,0)</f>
        <v>1</v>
      </c>
      <c r="BH663">
        <f>ROUNDUP(tbl_Data_old[[#This Row],[Adjusted 2031]]/$L663,0)</f>
        <v>1</v>
      </c>
      <c r="BI663">
        <f>ROUNDUP(tbl_Data_old[[#This Row],[Adjusted 2032]]/$L663,0)</f>
        <v>1</v>
      </c>
      <c r="BJ663">
        <f>ROUNDUP(tbl_Data_old[[#This Row],[Adjusted 2033]]/$L663,0)</f>
        <v>1</v>
      </c>
      <c r="BK663">
        <f>ROUNDUP(tbl_Data_old[[#This Row],[Adjusted 2034]]/$L663,0)</f>
        <v>1</v>
      </c>
      <c r="BL663" s="3">
        <f t="shared" si="45"/>
        <v>0</v>
      </c>
      <c r="BM663" s="3">
        <f t="shared" si="45"/>
        <v>0</v>
      </c>
      <c r="BN663" s="3">
        <f t="shared" si="45"/>
        <v>0</v>
      </c>
      <c r="BO663" s="3">
        <f t="shared" si="45"/>
        <v>0</v>
      </c>
      <c r="BP663" s="3">
        <f t="shared" si="45"/>
        <v>0</v>
      </c>
      <c r="BQ663" s="3">
        <f t="shared" si="44"/>
        <v>0</v>
      </c>
      <c r="BR663" s="3">
        <f t="shared" si="44"/>
        <v>0</v>
      </c>
      <c r="BS663" s="3">
        <f t="shared" si="44"/>
        <v>0</v>
      </c>
      <c r="BT663" s="3">
        <f t="shared" si="44"/>
        <v>0</v>
      </c>
      <c r="BU663" s="3">
        <f t="shared" si="44"/>
        <v>0</v>
      </c>
      <c r="BV663" t="e">
        <f>VLOOKUP($H663,'1. Set Program Names'!$B$2:$D$15,3,0)*V663</f>
        <v>#N/A</v>
      </c>
      <c r="BW663" t="e">
        <f>VLOOKUP($H663,'1. Set Program Names'!$B$2:$D$15,3,0)*W663</f>
        <v>#N/A</v>
      </c>
      <c r="BX663" t="e">
        <f>VLOOKUP($H663,'1. Set Program Names'!$B$2:$D$15,3,0)*X663</f>
        <v>#N/A</v>
      </c>
      <c r="BY663" t="e">
        <f>VLOOKUP($H663,'1. Set Program Names'!$B$2:$D$15,3,0)*Y663</f>
        <v>#N/A</v>
      </c>
      <c r="BZ663" t="e">
        <f>VLOOKUP($H663,'1. Set Program Names'!$B$2:$D$15,3,0)*Z663</f>
        <v>#N/A</v>
      </c>
      <c r="CA663" t="e">
        <f>VLOOKUP($H663,'1. Set Program Names'!$B$2:$D$15,3,0)*AA663</f>
        <v>#N/A</v>
      </c>
      <c r="CB663" t="e">
        <f>VLOOKUP($H663,'1. Set Program Names'!$B$2:$D$15,3,0)*AB663</f>
        <v>#N/A</v>
      </c>
      <c r="CC663" t="e">
        <f>VLOOKUP($H663,'1. Set Program Names'!$B$2:$D$15,3,0)*AC663</f>
        <v>#N/A</v>
      </c>
      <c r="CD663" t="e">
        <f>VLOOKUP($H663,'1. Set Program Names'!$B$2:$D$15,3,0)*AD663</f>
        <v>#N/A</v>
      </c>
      <c r="CE663" t="e">
        <f>VLOOKUP($H663,'1. Set Program Names'!$B$2:$D$15,3,0)*AE663</f>
        <v>#N/A</v>
      </c>
    </row>
    <row r="664" spans="1:83" x14ac:dyDescent="0.25">
      <c r="A664" s="20" t="s">
        <v>117</v>
      </c>
      <c r="B664" s="20" t="s">
        <v>88</v>
      </c>
      <c r="C664" s="20" t="s">
        <v>122</v>
      </c>
      <c r="D664" s="20" t="s">
        <v>90</v>
      </c>
      <c r="E664" s="20" t="s">
        <v>91</v>
      </c>
      <c r="F664" s="20" t="s">
        <v>90</v>
      </c>
      <c r="G664" s="20" t="s">
        <v>92</v>
      </c>
      <c r="H664" s="20" t="s">
        <v>268</v>
      </c>
      <c r="I664" s="20" t="s">
        <v>269</v>
      </c>
      <c r="J664" s="20" t="s">
        <v>144</v>
      </c>
      <c r="K664" s="20" t="s">
        <v>98</v>
      </c>
      <c r="L664" s="20">
        <v>114.663333333333</v>
      </c>
      <c r="M664" s="20">
        <v>9.9293177507311006E-3</v>
      </c>
      <c r="N664" s="20">
        <v>1.6498275913899602E-2</v>
      </c>
      <c r="O664" s="20">
        <v>32.906666666666602</v>
      </c>
      <c r="P664" s="20">
        <v>12.4845629759592</v>
      </c>
      <c r="Q664" s="20">
        <v>0.11466333333333301</v>
      </c>
      <c r="R664" s="20">
        <v>37.313940517924799</v>
      </c>
      <c r="S664" s="20">
        <v>94.317035346682403</v>
      </c>
      <c r="T664" s="20">
        <v>10</v>
      </c>
      <c r="U664" s="20">
        <v>1</v>
      </c>
      <c r="V664" s="20">
        <v>2.7888619302372102</v>
      </c>
      <c r="W664" s="20">
        <v>6.6167122115492703</v>
      </c>
      <c r="X664" s="20">
        <v>11.7120950037349</v>
      </c>
      <c r="Y664" s="20">
        <v>18.287695351858101</v>
      </c>
      <c r="Z664" s="20">
        <v>26.435166188163201</v>
      </c>
      <c r="AA664" s="20">
        <v>36.0024156331977</v>
      </c>
      <c r="AB664" s="20">
        <v>46.519931860713598</v>
      </c>
      <c r="AC664" s="20">
        <v>57.220590250956597</v>
      </c>
      <c r="AD664" s="20">
        <v>67.186750850045499</v>
      </c>
      <c r="AE664" s="20">
        <v>75.649229561865795</v>
      </c>
      <c r="AF664" t="str">
        <f t="shared" si="43"/>
        <v>NonResidential</v>
      </c>
      <c r="AG664" t="str">
        <f>tbl_Data_old[[#This Row],[All_Meas_Name_Append]]</f>
        <v>Low Flow Shower Head</v>
      </c>
      <c r="AH664">
        <f>AVERAGEIFS('3. Incentive Adjustment'!G:G,'3. Incentive Adjustment'!A:A,tbl_Data_old[[#This Row],[Trimmed Sector]],'3. Incentive Adjustment'!B:B,tbl_Data_old[[#This Row],[Trimmed Measure Name]])</f>
        <v>0.75029954061989002</v>
      </c>
      <c r="AI664">
        <f>$AH664*tbl_Data_old[[#This Row],[2025 ]]</f>
        <v>2.0924818251092785</v>
      </c>
      <c r="AJ664">
        <f>$AH664*tbl_Data_old[[#This Row],[2026 ]]</f>
        <v>4.9645161327394343</v>
      </c>
      <c r="AK664">
        <f>$AH664*tbl_Data_old[[#This Row],[2027 ]]</f>
        <v>8.7875795009988042</v>
      </c>
      <c r="AL664">
        <f>$AH664*tbl_Data_old[[#This Row],[2028 ]]</f>
        <v>13.721249421495632</v>
      </c>
      <c r="AM664">
        <f>$AH664*tbl_Data_old[[#This Row],[2029 ]]</f>
        <v>19.834293047189298</v>
      </c>
      <c r="AN664">
        <f>$AH664*tbl_Data_old[[#This Row],[2030 ]]</f>
        <v>27.01259591079458</v>
      </c>
      <c r="AO664">
        <f>$AH664*tbl_Data_old[[#This Row],[2031 ]]</f>
        <v>34.903883504762</v>
      </c>
      <c r="AP664">
        <f>$AH664*tbl_Data_old[[#This Row],[2032 ]]</f>
        <v>42.93258257929169</v>
      </c>
      <c r="AQ664">
        <f>$AH664*tbl_Data_old[[#This Row],[2033 ]]</f>
        <v>50.410188298532141</v>
      </c>
      <c r="AR664">
        <f>$AH664*tbl_Data_old[[#This Row],[2034 ]]</f>
        <v>56.759582188516511</v>
      </c>
      <c r="AS664">
        <f>SUM(tbl_Data_old[[#This Row],[Adjusted 2025]:[Adjusted 2034]])</f>
        <v>261.41895240942938</v>
      </c>
      <c r="AT664" s="3">
        <f>AVERAGEIFS('3. Incentive Adjustment'!F:F,'3. Incentive Adjustment'!A:A,tbl_Data_old[[#This Row],[Trimmed Sector]],'3. Incentive Adjustment'!B:B,tbl_Data_old[[#This Row],[Trimmed Measure Name]])</f>
        <v>0</v>
      </c>
      <c r="AU664" s="3">
        <f>IFERROR(VLOOKUP(tbl_Data_old[[#This Row],[All_Meas_Name_Append]],'IRA Tax Credits'!$A$3:$D$46,4,0),0)</f>
        <v>0</v>
      </c>
      <c r="AV664" s="4">
        <f>tbl_Data_old[[#This Row],[Adj. per unit Incentive ($)]]/tbl_Data_old[[#This Row],[kWh Savings]]*tbl_Data_old[[#This Row],[Sum of Annuals]]</f>
        <v>0</v>
      </c>
      <c r="AW664" s="4" t="str">
        <f>IFERROR(VLOOKUP(tbl_Data_old[[#This Row],[All_Programs]],'1. Set Program Names'!$B$2:$D$15,3,0)*tbl_Data_old[[#This Row],[Sum of Annuals]],"")</f>
        <v/>
      </c>
      <c r="AX664" s="4">
        <f>tbl_Data_old[[#This Row],[per unit IRA tax ($)]]/tbl_Data_old[[#This Row],[kWh Savings]]*tbl_Data_old[[#This Row],[Sum of Annuals]]</f>
        <v>0</v>
      </c>
      <c r="AY664" s="4">
        <f>tbl_Data_old[[#This Row],[Avoided Costs ($/unit)]]/tbl_Data_old[[#This Row],[kWh Savings]]*tbl_Data_old[[#This Row],[Sum of Annuals]]</f>
        <v>85.071408242655522</v>
      </c>
      <c r="AZ664" s="4">
        <f>tbl_Data_old[[#This Row],[Lost Revenue ($/unit)]]/tbl_Data_old[[#This Row],[kWh Savings]]*tbl_Data_old[[#This Row],[Sum of Annuals]]</f>
        <v>215.03177919148442</v>
      </c>
      <c r="BA664" s="4">
        <f>tbl_Data_old[[#This Row],[Incremental Cost ($/unit)]]/tbl_Data_old[[#This Row],[kWh Savings]]*tbl_Data_old[[#This Row],[Sum of Annuals]]</f>
        <v>75.02334074205325</v>
      </c>
      <c r="BB664">
        <f>ROUNDUP(tbl_Data_old[[#This Row],[Adjusted 2025]]/$L664,0)</f>
        <v>1</v>
      </c>
      <c r="BC664">
        <f>ROUNDUP(tbl_Data_old[[#This Row],[Adjusted 2026]]/$L664,0)</f>
        <v>1</v>
      </c>
      <c r="BD664">
        <f>ROUNDUP(tbl_Data_old[[#This Row],[Adjusted 2027]]/$L664,0)</f>
        <v>1</v>
      </c>
      <c r="BE664">
        <f>ROUNDUP(tbl_Data_old[[#This Row],[Adjusted 2028]]/$L664,0)</f>
        <v>1</v>
      </c>
      <c r="BF664">
        <f>ROUNDUP(tbl_Data_old[[#This Row],[Adjusted 2029]]/$L664,0)</f>
        <v>1</v>
      </c>
      <c r="BG664">
        <f>ROUNDUP(tbl_Data_old[[#This Row],[Adjusted 2030]]/$L664,0)</f>
        <v>1</v>
      </c>
      <c r="BH664">
        <f>ROUNDUP(tbl_Data_old[[#This Row],[Adjusted 2031]]/$L664,0)</f>
        <v>1</v>
      </c>
      <c r="BI664">
        <f>ROUNDUP(tbl_Data_old[[#This Row],[Adjusted 2032]]/$L664,0)</f>
        <v>1</v>
      </c>
      <c r="BJ664">
        <f>ROUNDUP(tbl_Data_old[[#This Row],[Adjusted 2033]]/$L664,0)</f>
        <v>1</v>
      </c>
      <c r="BK664">
        <f>ROUNDUP(tbl_Data_old[[#This Row],[Adjusted 2034]]/$L664,0)</f>
        <v>1</v>
      </c>
      <c r="BL664" s="3">
        <f t="shared" si="45"/>
        <v>0</v>
      </c>
      <c r="BM664" s="3">
        <f t="shared" si="45"/>
        <v>0</v>
      </c>
      <c r="BN664" s="3">
        <f t="shared" si="45"/>
        <v>0</v>
      </c>
      <c r="BO664" s="3">
        <f t="shared" si="45"/>
        <v>0</v>
      </c>
      <c r="BP664" s="3">
        <f t="shared" si="45"/>
        <v>0</v>
      </c>
      <c r="BQ664" s="3">
        <f t="shared" si="44"/>
        <v>0</v>
      </c>
      <c r="BR664" s="3">
        <f t="shared" si="44"/>
        <v>0</v>
      </c>
      <c r="BS664" s="3">
        <f t="shared" si="44"/>
        <v>0</v>
      </c>
      <c r="BT664" s="3">
        <f t="shared" si="44"/>
        <v>0</v>
      </c>
      <c r="BU664" s="3">
        <f t="shared" si="44"/>
        <v>0</v>
      </c>
      <c r="BV664" t="e">
        <f>VLOOKUP($H664,'1. Set Program Names'!$B$2:$D$15,3,0)*V664</f>
        <v>#N/A</v>
      </c>
      <c r="BW664" t="e">
        <f>VLOOKUP($H664,'1. Set Program Names'!$B$2:$D$15,3,0)*W664</f>
        <v>#N/A</v>
      </c>
      <c r="BX664" t="e">
        <f>VLOOKUP($H664,'1. Set Program Names'!$B$2:$D$15,3,0)*X664</f>
        <v>#N/A</v>
      </c>
      <c r="BY664" t="e">
        <f>VLOOKUP($H664,'1. Set Program Names'!$B$2:$D$15,3,0)*Y664</f>
        <v>#N/A</v>
      </c>
      <c r="BZ664" t="e">
        <f>VLOOKUP($H664,'1. Set Program Names'!$B$2:$D$15,3,0)*Z664</f>
        <v>#N/A</v>
      </c>
      <c r="CA664" t="e">
        <f>VLOOKUP($H664,'1. Set Program Names'!$B$2:$D$15,3,0)*AA664</f>
        <v>#N/A</v>
      </c>
      <c r="CB664" t="e">
        <f>VLOOKUP($H664,'1. Set Program Names'!$B$2:$D$15,3,0)*AB664</f>
        <v>#N/A</v>
      </c>
      <c r="CC664" t="e">
        <f>VLOOKUP($H664,'1. Set Program Names'!$B$2:$D$15,3,0)*AC664</f>
        <v>#N/A</v>
      </c>
      <c r="CD664" t="e">
        <f>VLOOKUP($H664,'1. Set Program Names'!$B$2:$D$15,3,0)*AD664</f>
        <v>#N/A</v>
      </c>
      <c r="CE664" t="e">
        <f>VLOOKUP($H664,'1. Set Program Names'!$B$2:$D$15,3,0)*AE664</f>
        <v>#N/A</v>
      </c>
    </row>
    <row r="665" spans="1:83" x14ac:dyDescent="0.25">
      <c r="A665" s="20" t="s">
        <v>117</v>
      </c>
      <c r="B665" s="20" t="s">
        <v>88</v>
      </c>
      <c r="C665" s="20" t="s">
        <v>122</v>
      </c>
      <c r="D665" s="20" t="s">
        <v>90</v>
      </c>
      <c r="E665" s="20" t="s">
        <v>91</v>
      </c>
      <c r="F665" s="20" t="s">
        <v>90</v>
      </c>
      <c r="G665" s="20" t="s">
        <v>92</v>
      </c>
      <c r="H665" s="20" t="s">
        <v>268</v>
      </c>
      <c r="I665" s="20" t="s">
        <v>151</v>
      </c>
      <c r="J665" s="20" t="s">
        <v>137</v>
      </c>
      <c r="K665" s="20" t="s">
        <v>152</v>
      </c>
      <c r="L665" s="20">
        <v>746</v>
      </c>
      <c r="M665" s="20">
        <v>0.118390986607413</v>
      </c>
      <c r="N665" s="20">
        <v>0.122042488273403</v>
      </c>
      <c r="O665" s="20">
        <v>233.28</v>
      </c>
      <c r="P665" s="20">
        <v>79.822614261305304</v>
      </c>
      <c r="Q665" s="20">
        <v>0.746</v>
      </c>
      <c r="R665" s="20">
        <v>287.47532526616499</v>
      </c>
      <c r="S665" s="20">
        <v>613.62692260203801</v>
      </c>
      <c r="T665" s="20">
        <v>10</v>
      </c>
      <c r="U665" s="20">
        <v>1</v>
      </c>
      <c r="V665" s="20">
        <v>4.1293706852370304</v>
      </c>
      <c r="W665" s="20">
        <v>9.0634418648240995</v>
      </c>
      <c r="X665" s="20">
        <v>14.8603663688771</v>
      </c>
      <c r="Y665" s="20">
        <v>21.6007833143405</v>
      </c>
      <c r="Z665" s="20">
        <v>29.351862864162801</v>
      </c>
      <c r="AA665" s="20">
        <v>38.153373980105002</v>
      </c>
      <c r="AB665" s="20">
        <v>48.031547503149397</v>
      </c>
      <c r="AC665" s="20">
        <v>59.0134559302819</v>
      </c>
      <c r="AD665" s="20">
        <v>71.109211263387394</v>
      </c>
      <c r="AE665" s="20">
        <v>84.304027435166603</v>
      </c>
      <c r="AF665" t="str">
        <f t="shared" si="43"/>
        <v>NonResidential</v>
      </c>
      <c r="AG665" t="str">
        <f>tbl_Data_old[[#This Row],[All_Meas_Name_Append]]</f>
        <v>Ozone Laundry Commercial</v>
      </c>
      <c r="AH665">
        <f>AVERAGEIFS('3. Incentive Adjustment'!G:G,'3. Incentive Adjustment'!A:A,tbl_Data_old[[#This Row],[Trimmed Sector]],'3. Incentive Adjustment'!B:B,tbl_Data_old[[#This Row],[Trimmed Measure Name]])</f>
        <v>0.75402928491932286</v>
      </c>
      <c r="AI665">
        <f>$AH665*tbl_Data_old[[#This Row],[2025 ]]</f>
        <v>3.1136664249560924</v>
      </c>
      <c r="AJ665">
        <f>$AH665*tbl_Data_old[[#This Row],[2026 ]]</f>
        <v>6.8341005882411698</v>
      </c>
      <c r="AK665">
        <f>$AH665*tbl_Data_old[[#This Row],[2027 ]]</f>
        <v>11.205151426763555</v>
      </c>
      <c r="AL665">
        <f>$AH665*tbl_Data_old[[#This Row],[2028 ]]</f>
        <v>16.28762319620941</v>
      </c>
      <c r="AM665">
        <f>$AH665*tbl_Data_old[[#This Row],[2029 ]]</f>
        <v>22.132164166514706</v>
      </c>
      <c r="AN665">
        <f>$AH665*tbl_Data_old[[#This Row],[2030 ]]</f>
        <v>28.768761299478072</v>
      </c>
      <c r="AO665">
        <f>$AH665*tbl_Data_old[[#This Row],[2031 ]]</f>
        <v>36.217193417368229</v>
      </c>
      <c r="AP665">
        <f>$AH665*tbl_Data_old[[#This Row],[2032 ]]</f>
        <v>44.497873975728432</v>
      </c>
      <c r="AQ665">
        <f>$AH665*tbl_Data_old[[#This Row],[2033 ]]</f>
        <v>53.618427720109054</v>
      </c>
      <c r="AR665">
        <f>$AH665*tbl_Data_old[[#This Row],[2034 ]]</f>
        <v>63.567705522757649</v>
      </c>
      <c r="AS665">
        <f>SUM(tbl_Data_old[[#This Row],[Adjusted 2025]:[Adjusted 2034]])</f>
        <v>286.24266773812633</v>
      </c>
      <c r="AT665" s="3">
        <f>AVERAGEIFS('3. Incentive Adjustment'!F:F,'3. Incentive Adjustment'!A:A,tbl_Data_old[[#This Row],[Trimmed Sector]],'3. Incentive Adjustment'!B:B,tbl_Data_old[[#This Row],[Trimmed Measure Name]])</f>
        <v>0</v>
      </c>
      <c r="AU665" s="3">
        <f>IFERROR(VLOOKUP(tbl_Data_old[[#This Row],[All_Meas_Name_Append]],'IRA Tax Credits'!$A$3:$D$46,4,0),0)</f>
        <v>0</v>
      </c>
      <c r="AV665" s="4">
        <f>tbl_Data_old[[#This Row],[Adj. per unit Incentive ($)]]/tbl_Data_old[[#This Row],[kWh Savings]]*tbl_Data_old[[#This Row],[Sum of Annuals]]</f>
        <v>0</v>
      </c>
      <c r="AW665" s="4" t="str">
        <f>IFERROR(VLOOKUP(tbl_Data_old[[#This Row],[All_Programs]],'1. Set Program Names'!$B$2:$D$15,3,0)*tbl_Data_old[[#This Row],[Sum of Annuals]],"")</f>
        <v/>
      </c>
      <c r="AX665" s="4">
        <f>tbl_Data_old[[#This Row],[per unit IRA tax ($)]]/tbl_Data_old[[#This Row],[kWh Savings]]*tbl_Data_old[[#This Row],[Sum of Annuals]]</f>
        <v>0</v>
      </c>
      <c r="AY665" s="4">
        <f>tbl_Data_old[[#This Row],[Avoided Costs ($/unit)]]/tbl_Data_old[[#This Row],[kWh Savings]]*tbl_Data_old[[#This Row],[Sum of Annuals]]</f>
        <v>110.30523326149149</v>
      </c>
      <c r="AZ665" s="4">
        <f>tbl_Data_old[[#This Row],[Lost Revenue ($/unit)]]/tbl_Data_old[[#This Row],[kWh Savings]]*tbl_Data_old[[#This Row],[Sum of Annuals]]</f>
        <v>235.45068005568919</v>
      </c>
      <c r="BA665" s="4">
        <f>tbl_Data_old[[#This Row],[Incremental Cost ($/unit)]]/tbl_Data_old[[#This Row],[kWh Savings]]*tbl_Data_old[[#This Row],[Sum of Annuals]]</f>
        <v>89.510307680898279</v>
      </c>
      <c r="BB665">
        <f>ROUNDUP(tbl_Data_old[[#This Row],[Adjusted 2025]]/$L665,0)</f>
        <v>1</v>
      </c>
      <c r="BC665">
        <f>ROUNDUP(tbl_Data_old[[#This Row],[Adjusted 2026]]/$L665,0)</f>
        <v>1</v>
      </c>
      <c r="BD665">
        <f>ROUNDUP(tbl_Data_old[[#This Row],[Adjusted 2027]]/$L665,0)</f>
        <v>1</v>
      </c>
      <c r="BE665">
        <f>ROUNDUP(tbl_Data_old[[#This Row],[Adjusted 2028]]/$L665,0)</f>
        <v>1</v>
      </c>
      <c r="BF665">
        <f>ROUNDUP(tbl_Data_old[[#This Row],[Adjusted 2029]]/$L665,0)</f>
        <v>1</v>
      </c>
      <c r="BG665">
        <f>ROUNDUP(tbl_Data_old[[#This Row],[Adjusted 2030]]/$L665,0)</f>
        <v>1</v>
      </c>
      <c r="BH665">
        <f>ROUNDUP(tbl_Data_old[[#This Row],[Adjusted 2031]]/$L665,0)</f>
        <v>1</v>
      </c>
      <c r="BI665">
        <f>ROUNDUP(tbl_Data_old[[#This Row],[Adjusted 2032]]/$L665,0)</f>
        <v>1</v>
      </c>
      <c r="BJ665">
        <f>ROUNDUP(tbl_Data_old[[#This Row],[Adjusted 2033]]/$L665,0)</f>
        <v>1</v>
      </c>
      <c r="BK665">
        <f>ROUNDUP(tbl_Data_old[[#This Row],[Adjusted 2034]]/$L665,0)</f>
        <v>1</v>
      </c>
      <c r="BL665" s="3">
        <f t="shared" si="45"/>
        <v>0</v>
      </c>
      <c r="BM665" s="3">
        <f t="shared" si="45"/>
        <v>0</v>
      </c>
      <c r="BN665" s="3">
        <f t="shared" si="45"/>
        <v>0</v>
      </c>
      <c r="BO665" s="3">
        <f t="shared" si="45"/>
        <v>0</v>
      </c>
      <c r="BP665" s="3">
        <f t="shared" si="45"/>
        <v>0</v>
      </c>
      <c r="BQ665" s="3">
        <f t="shared" si="44"/>
        <v>0</v>
      </c>
      <c r="BR665" s="3">
        <f t="shared" si="44"/>
        <v>0</v>
      </c>
      <c r="BS665" s="3">
        <f t="shared" si="44"/>
        <v>0</v>
      </c>
      <c r="BT665" s="3">
        <f t="shared" si="44"/>
        <v>0</v>
      </c>
      <c r="BU665" s="3">
        <f t="shared" si="44"/>
        <v>0</v>
      </c>
      <c r="BV665" t="e">
        <f>VLOOKUP($H665,'1. Set Program Names'!$B$2:$D$15,3,0)*V665</f>
        <v>#N/A</v>
      </c>
      <c r="BW665" t="e">
        <f>VLOOKUP($H665,'1. Set Program Names'!$B$2:$D$15,3,0)*W665</f>
        <v>#N/A</v>
      </c>
      <c r="BX665" t="e">
        <f>VLOOKUP($H665,'1. Set Program Names'!$B$2:$D$15,3,0)*X665</f>
        <v>#N/A</v>
      </c>
      <c r="BY665" t="e">
        <f>VLOOKUP($H665,'1. Set Program Names'!$B$2:$D$15,3,0)*Y665</f>
        <v>#N/A</v>
      </c>
      <c r="BZ665" t="e">
        <f>VLOOKUP($H665,'1. Set Program Names'!$B$2:$D$15,3,0)*Z665</f>
        <v>#N/A</v>
      </c>
      <c r="CA665" t="e">
        <f>VLOOKUP($H665,'1. Set Program Names'!$B$2:$D$15,3,0)*AA665</f>
        <v>#N/A</v>
      </c>
      <c r="CB665" t="e">
        <f>VLOOKUP($H665,'1. Set Program Names'!$B$2:$D$15,3,0)*AB665</f>
        <v>#N/A</v>
      </c>
      <c r="CC665" t="e">
        <f>VLOOKUP($H665,'1. Set Program Names'!$B$2:$D$15,3,0)*AC665</f>
        <v>#N/A</v>
      </c>
      <c r="CD665" t="e">
        <f>VLOOKUP($H665,'1. Set Program Names'!$B$2:$D$15,3,0)*AD665</f>
        <v>#N/A</v>
      </c>
      <c r="CE665" t="e">
        <f>VLOOKUP($H665,'1. Set Program Names'!$B$2:$D$15,3,0)*AE665</f>
        <v>#N/A</v>
      </c>
    </row>
    <row r="666" spans="1:83" x14ac:dyDescent="0.25">
      <c r="A666" s="20" t="s">
        <v>117</v>
      </c>
      <c r="B666" s="20" t="s">
        <v>88</v>
      </c>
      <c r="C666" s="20" t="s">
        <v>122</v>
      </c>
      <c r="D666" s="20" t="s">
        <v>90</v>
      </c>
      <c r="E666" s="20" t="s">
        <v>91</v>
      </c>
      <c r="F666" s="20" t="s">
        <v>90</v>
      </c>
      <c r="G666" s="20" t="s">
        <v>92</v>
      </c>
      <c r="H666" s="20" t="s">
        <v>268</v>
      </c>
      <c r="I666" s="20" t="s">
        <v>153</v>
      </c>
      <c r="J666" s="20" t="s">
        <v>129</v>
      </c>
      <c r="K666" s="20" t="s">
        <v>102</v>
      </c>
      <c r="L666" s="20">
        <v>1285.73999999999</v>
      </c>
      <c r="M666" s="20">
        <v>0.191067583335012</v>
      </c>
      <c r="N666" s="20">
        <v>3.6175165669598698E-2</v>
      </c>
      <c r="O666" s="20">
        <v>304.38999999999902</v>
      </c>
      <c r="P666" s="20">
        <v>39.904344316796902</v>
      </c>
      <c r="Q666" s="20">
        <v>1.2857399999999899</v>
      </c>
      <c r="R666" s="20">
        <v>497.118469789904</v>
      </c>
      <c r="S666" s="20">
        <v>1133.43981342083</v>
      </c>
      <c r="T666" s="20">
        <v>11</v>
      </c>
      <c r="U666" s="20">
        <v>1</v>
      </c>
      <c r="V666" s="20">
        <v>6.2140055386725901E-2</v>
      </c>
      <c r="W666" s="20">
        <v>0.11390658245901</v>
      </c>
      <c r="X666" s="20">
        <v>0.15664124083946199</v>
      </c>
      <c r="Y666" s="20">
        <v>0.19193036109119099</v>
      </c>
      <c r="Z666" s="20">
        <v>0.22109878047706799</v>
      </c>
      <c r="AA666" s="20">
        <v>0.245227109554114</v>
      </c>
      <c r="AB666" s="20">
        <v>0.265234964515349</v>
      </c>
      <c r="AC666" s="20">
        <v>0.28191508137705901</v>
      </c>
      <c r="AD666" s="20">
        <v>0.295934899519815</v>
      </c>
      <c r="AE666" s="20">
        <v>0.30779872739591801</v>
      </c>
      <c r="AF666" t="str">
        <f t="shared" si="43"/>
        <v>NonResidential</v>
      </c>
      <c r="AG666" t="str">
        <f>tbl_Data_old[[#This Row],[All_Meas_Name_Append]]</f>
        <v>Programmable thermostat</v>
      </c>
      <c r="AH666">
        <f>AVERAGEIFS('3. Incentive Adjustment'!G:G,'3. Incentive Adjustment'!A:A,tbl_Data_old[[#This Row],[Trimmed Sector]],'3. Incentive Adjustment'!B:B,tbl_Data_old[[#This Row],[Trimmed Measure Name]])</f>
        <v>0.92137383531364503</v>
      </c>
      <c r="AI666">
        <f>$AH666*tbl_Data_old[[#This Row],[2025 ]]</f>
        <v>5.7254221158269968E-2</v>
      </c>
      <c r="AJ666">
        <f>$AH666*tbl_Data_old[[#This Row],[2026 ]]</f>
        <v>0.10495054474772801</v>
      </c>
      <c r="AK666">
        <f>$AH666*tbl_Data_old[[#This Row],[2027 ]]</f>
        <v>0.14432514084054346</v>
      </c>
      <c r="AL666">
        <f>$AH666*tbl_Data_old[[#This Row],[2028 ]]</f>
        <v>0.17683961291172343</v>
      </c>
      <c r="AM666">
        <f>$AH666*tbl_Data_old[[#This Row],[2029 ]]</f>
        <v>0.20371463135132581</v>
      </c>
      <c r="AN666">
        <f>$AH666*tbl_Data_old[[#This Row],[2030 ]]</f>
        <v>0.22594584245275343</v>
      </c>
      <c r="AO666">
        <f>$AH666*tbl_Data_old[[#This Row],[2031 ]]</f>
        <v>0.24438055651478566</v>
      </c>
      <c r="AP666">
        <f>$AH666*tbl_Data_old[[#This Row],[2032 ]]</f>
        <v>0.2597491797611392</v>
      </c>
      <c r="AQ666">
        <f>$AH666*tbl_Data_old[[#This Row],[2033 ]]</f>
        <v>0.27266667337373013</v>
      </c>
      <c r="AR666">
        <f>$AH666*tbl_Data_old[[#This Row],[2034 ]]</f>
        <v>0.2835976939654361</v>
      </c>
      <c r="AS666">
        <f>SUM(tbl_Data_old[[#This Row],[Adjusted 2025]:[Adjusted 2034]])</f>
        <v>1.9734240970774355</v>
      </c>
      <c r="AT666" s="3">
        <f>AVERAGEIFS('3. Incentive Adjustment'!F:F,'3. Incentive Adjustment'!A:A,tbl_Data_old[[#This Row],[Trimmed Sector]],'3. Incentive Adjustment'!B:B,tbl_Data_old[[#This Row],[Trimmed Measure Name]])</f>
        <v>0</v>
      </c>
      <c r="AU666" s="3">
        <f>IFERROR(VLOOKUP(tbl_Data_old[[#This Row],[All_Meas_Name_Append]],'IRA Tax Credits'!$A$3:$D$46,4,0),0)</f>
        <v>0</v>
      </c>
      <c r="AV666" s="4">
        <f>tbl_Data_old[[#This Row],[Adj. per unit Incentive ($)]]/tbl_Data_old[[#This Row],[kWh Savings]]*tbl_Data_old[[#This Row],[Sum of Annuals]]</f>
        <v>0</v>
      </c>
      <c r="AW666" s="4" t="str">
        <f>IFERROR(VLOOKUP(tbl_Data_old[[#This Row],[All_Programs]],'1. Set Program Names'!$B$2:$D$15,3,0)*tbl_Data_old[[#This Row],[Sum of Annuals]],"")</f>
        <v/>
      </c>
      <c r="AX666" s="4">
        <f>tbl_Data_old[[#This Row],[per unit IRA tax ($)]]/tbl_Data_old[[#This Row],[kWh Savings]]*tbl_Data_old[[#This Row],[Sum of Annuals]]</f>
        <v>0</v>
      </c>
      <c r="AY666" s="4">
        <f>tbl_Data_old[[#This Row],[Avoided Costs ($/unit)]]/tbl_Data_old[[#This Row],[kWh Savings]]*tbl_Data_old[[#This Row],[Sum of Annuals]]</f>
        <v>0.76300462565189342</v>
      </c>
      <c r="AZ666" s="4">
        <f>tbl_Data_old[[#This Row],[Lost Revenue ($/unit)]]/tbl_Data_old[[#This Row],[kWh Savings]]*tbl_Data_old[[#This Row],[Sum of Annuals]]</f>
        <v>1.7396654381069545</v>
      </c>
      <c r="BA666" s="4">
        <f>tbl_Data_old[[#This Row],[Incremental Cost ($/unit)]]/tbl_Data_old[[#This Row],[kWh Savings]]*tbl_Data_old[[#This Row],[Sum of Annuals]]</f>
        <v>0.46719442570768843</v>
      </c>
      <c r="BB666">
        <f>ROUNDUP(tbl_Data_old[[#This Row],[Adjusted 2025]]/$L666,0)</f>
        <v>1</v>
      </c>
      <c r="BC666">
        <f>ROUNDUP(tbl_Data_old[[#This Row],[Adjusted 2026]]/$L666,0)</f>
        <v>1</v>
      </c>
      <c r="BD666">
        <f>ROUNDUP(tbl_Data_old[[#This Row],[Adjusted 2027]]/$L666,0)</f>
        <v>1</v>
      </c>
      <c r="BE666">
        <f>ROUNDUP(tbl_Data_old[[#This Row],[Adjusted 2028]]/$L666,0)</f>
        <v>1</v>
      </c>
      <c r="BF666">
        <f>ROUNDUP(tbl_Data_old[[#This Row],[Adjusted 2029]]/$L666,0)</f>
        <v>1</v>
      </c>
      <c r="BG666">
        <f>ROUNDUP(tbl_Data_old[[#This Row],[Adjusted 2030]]/$L666,0)</f>
        <v>1</v>
      </c>
      <c r="BH666">
        <f>ROUNDUP(tbl_Data_old[[#This Row],[Adjusted 2031]]/$L666,0)</f>
        <v>1</v>
      </c>
      <c r="BI666">
        <f>ROUNDUP(tbl_Data_old[[#This Row],[Adjusted 2032]]/$L666,0)</f>
        <v>1</v>
      </c>
      <c r="BJ666">
        <f>ROUNDUP(tbl_Data_old[[#This Row],[Adjusted 2033]]/$L666,0)</f>
        <v>1</v>
      </c>
      <c r="BK666">
        <f>ROUNDUP(tbl_Data_old[[#This Row],[Adjusted 2034]]/$L666,0)</f>
        <v>1</v>
      </c>
      <c r="BL666" s="3">
        <f t="shared" si="45"/>
        <v>0</v>
      </c>
      <c r="BM666" s="3">
        <f t="shared" si="45"/>
        <v>0</v>
      </c>
      <c r="BN666" s="3">
        <f t="shared" si="45"/>
        <v>0</v>
      </c>
      <c r="BO666" s="3">
        <f t="shared" si="45"/>
        <v>0</v>
      </c>
      <c r="BP666" s="3">
        <f t="shared" si="45"/>
        <v>0</v>
      </c>
      <c r="BQ666" s="3">
        <f t="shared" si="44"/>
        <v>0</v>
      </c>
      <c r="BR666" s="3">
        <f t="shared" si="44"/>
        <v>0</v>
      </c>
      <c r="BS666" s="3">
        <f t="shared" si="44"/>
        <v>0</v>
      </c>
      <c r="BT666" s="3">
        <f t="shared" si="44"/>
        <v>0</v>
      </c>
      <c r="BU666" s="3">
        <f t="shared" si="44"/>
        <v>0</v>
      </c>
      <c r="BV666" t="e">
        <f>VLOOKUP($H666,'1. Set Program Names'!$B$2:$D$15,3,0)*V666</f>
        <v>#N/A</v>
      </c>
      <c r="BW666" t="e">
        <f>VLOOKUP($H666,'1. Set Program Names'!$B$2:$D$15,3,0)*W666</f>
        <v>#N/A</v>
      </c>
      <c r="BX666" t="e">
        <f>VLOOKUP($H666,'1. Set Program Names'!$B$2:$D$15,3,0)*X666</f>
        <v>#N/A</v>
      </c>
      <c r="BY666" t="e">
        <f>VLOOKUP($H666,'1. Set Program Names'!$B$2:$D$15,3,0)*Y666</f>
        <v>#N/A</v>
      </c>
      <c r="BZ666" t="e">
        <f>VLOOKUP($H666,'1. Set Program Names'!$B$2:$D$15,3,0)*Z666</f>
        <v>#N/A</v>
      </c>
      <c r="CA666" t="e">
        <f>VLOOKUP($H666,'1. Set Program Names'!$B$2:$D$15,3,0)*AA666</f>
        <v>#N/A</v>
      </c>
      <c r="CB666" t="e">
        <f>VLOOKUP($H666,'1. Set Program Names'!$B$2:$D$15,3,0)*AB666</f>
        <v>#N/A</v>
      </c>
      <c r="CC666" t="e">
        <f>VLOOKUP($H666,'1. Set Program Names'!$B$2:$D$15,3,0)*AC666</f>
        <v>#N/A</v>
      </c>
      <c r="CD666" t="e">
        <f>VLOOKUP($H666,'1. Set Program Names'!$B$2:$D$15,3,0)*AD666</f>
        <v>#N/A</v>
      </c>
      <c r="CE666" t="e">
        <f>VLOOKUP($H666,'1. Set Program Names'!$B$2:$D$15,3,0)*AE666</f>
        <v>#N/A</v>
      </c>
    </row>
    <row r="667" spans="1:83" x14ac:dyDescent="0.25">
      <c r="A667" s="20" t="s">
        <v>117</v>
      </c>
      <c r="B667" s="20" t="s">
        <v>88</v>
      </c>
      <c r="C667" s="20" t="s">
        <v>122</v>
      </c>
      <c r="D667" s="20" t="s">
        <v>90</v>
      </c>
      <c r="E667" s="20" t="s">
        <v>91</v>
      </c>
      <c r="F667" s="20" t="s">
        <v>90</v>
      </c>
      <c r="G667" s="20" t="s">
        <v>92</v>
      </c>
      <c r="H667" s="20" t="s">
        <v>268</v>
      </c>
      <c r="I667" s="20" t="s">
        <v>156</v>
      </c>
      <c r="J667" s="20" t="s">
        <v>129</v>
      </c>
      <c r="K667" s="20" t="s">
        <v>102</v>
      </c>
      <c r="L667" s="20">
        <v>1074.99714285714</v>
      </c>
      <c r="M667" s="20">
        <v>0.35483647389159401</v>
      </c>
      <c r="N667" s="20">
        <v>2.1679791501885101E-3</v>
      </c>
      <c r="O667" s="20">
        <v>322.49999999999898</v>
      </c>
      <c r="P667" s="20">
        <v>112.47094868606101</v>
      </c>
      <c r="Q667" s="20">
        <v>1.0749971428571401</v>
      </c>
      <c r="R667" s="20">
        <v>593.31352847936103</v>
      </c>
      <c r="S667" s="20">
        <v>1167.57597203707</v>
      </c>
      <c r="T667" s="20">
        <v>15</v>
      </c>
      <c r="U667" s="20">
        <v>1</v>
      </c>
      <c r="V667" s="20">
        <v>1.31110049126515</v>
      </c>
      <c r="W667" s="20">
        <v>2.7575211337295902</v>
      </c>
      <c r="X667" s="20">
        <v>4.3179279095664302</v>
      </c>
      <c r="Y667" s="20">
        <v>5.9795697869557296</v>
      </c>
      <c r="Z667" s="20">
        <v>7.7292530292863999</v>
      </c>
      <c r="AA667" s="20">
        <v>9.5536289932618104</v>
      </c>
      <c r="AB667" s="20">
        <v>11.440866659471499</v>
      </c>
      <c r="AC667" s="20">
        <v>13.384401178239701</v>
      </c>
      <c r="AD667" s="20">
        <v>15.380191343684199</v>
      </c>
      <c r="AE667" s="20">
        <v>17.421973682315102</v>
      </c>
      <c r="AF667" t="str">
        <f t="shared" si="43"/>
        <v>NonResidential</v>
      </c>
      <c r="AG667" t="str">
        <f>tbl_Data_old[[#This Row],[All_Meas_Name_Append]]</f>
        <v>Water source heat pump</v>
      </c>
      <c r="AH667">
        <f>AVERAGEIFS('3. Incentive Adjustment'!G:G,'3. Incentive Adjustment'!A:A,tbl_Data_old[[#This Row],[Trimmed Sector]],'3. Incentive Adjustment'!B:B,tbl_Data_old[[#This Row],[Trimmed Measure Name]])</f>
        <v>0.75877205530206748</v>
      </c>
      <c r="AI667">
        <f>$AH667*tbl_Data_old[[#This Row],[2025 ]]</f>
        <v>0.99482641446480824</v>
      </c>
      <c r="AJ667">
        <f>$AH667*tbl_Data_old[[#This Row],[2026 ]]</f>
        <v>2.0923299781788884</v>
      </c>
      <c r="AK667">
        <f>$AH667*tbl_Data_old[[#This Row],[2027 ]]</f>
        <v>3.2763230345878802</v>
      </c>
      <c r="AL667">
        <f>$AH667*tbl_Data_old[[#This Row],[2028 ]]</f>
        <v>4.5371304570705444</v>
      </c>
      <c r="AM667">
        <f>$AH667*tbl_Data_old[[#This Row],[2029 ]]</f>
        <v>5.8647412069813729</v>
      </c>
      <c r="AN667">
        <f>$AH667*tbl_Data_old[[#This Row],[2030 ]]</f>
        <v>7.2490267068106853</v>
      </c>
      <c r="AO667">
        <f>$AH667*tbl_Data_old[[#This Row],[2031 ]]</f>
        <v>8.6810099096440894</v>
      </c>
      <c r="AP667">
        <f>$AH667*tbl_Data_old[[#This Row],[2032 ]]</f>
        <v>10.155709591000351</v>
      </c>
      <c r="AQ667">
        <f>$AH667*tbl_Data_old[[#This Row],[2033 ]]</f>
        <v>11.670059396786327</v>
      </c>
      <c r="AR667">
        <f>$AH667*tbl_Data_old[[#This Row],[2034 ]]</f>
        <v>13.219306778348759</v>
      </c>
      <c r="AS667">
        <f>SUM(tbl_Data_old[[#This Row],[Adjusted 2025]:[Adjusted 2034]])</f>
        <v>67.740463473873703</v>
      </c>
      <c r="AT667" s="3">
        <f>AVERAGEIFS('3. Incentive Adjustment'!F:F,'3. Incentive Adjustment'!A:A,tbl_Data_old[[#This Row],[Trimmed Sector]],'3. Incentive Adjustment'!B:B,tbl_Data_old[[#This Row],[Trimmed Measure Name]])</f>
        <v>0</v>
      </c>
      <c r="AU667" s="3">
        <f>IFERROR(VLOOKUP(tbl_Data_old[[#This Row],[All_Meas_Name_Append]],'IRA Tax Credits'!$A$3:$D$46,4,0),0)</f>
        <v>0</v>
      </c>
      <c r="AV667" s="4">
        <f>tbl_Data_old[[#This Row],[Adj. per unit Incentive ($)]]/tbl_Data_old[[#This Row],[kWh Savings]]*tbl_Data_old[[#This Row],[Sum of Annuals]]</f>
        <v>0</v>
      </c>
      <c r="AW667" s="4" t="str">
        <f>IFERROR(VLOOKUP(tbl_Data_old[[#This Row],[All_Programs]],'1. Set Program Names'!$B$2:$D$15,3,0)*tbl_Data_old[[#This Row],[Sum of Annuals]],"")</f>
        <v/>
      </c>
      <c r="AX667" s="4">
        <f>tbl_Data_old[[#This Row],[per unit IRA tax ($)]]/tbl_Data_old[[#This Row],[kWh Savings]]*tbl_Data_old[[#This Row],[Sum of Annuals]]</f>
        <v>0</v>
      </c>
      <c r="AY667" s="4">
        <f>tbl_Data_old[[#This Row],[Avoided Costs ($/unit)]]/tbl_Data_old[[#This Row],[kWh Savings]]*tbl_Data_old[[#This Row],[Sum of Annuals]]</f>
        <v>37.387386256386023</v>
      </c>
      <c r="AZ667" s="4">
        <f>tbl_Data_old[[#This Row],[Lost Revenue ($/unit)]]/tbl_Data_old[[#This Row],[kWh Savings]]*tbl_Data_old[[#This Row],[Sum of Annuals]]</f>
        <v>73.574276929274177</v>
      </c>
      <c r="BA667" s="4">
        <f>tbl_Data_old[[#This Row],[Incremental Cost ($/unit)]]/tbl_Data_old[[#This Row],[kWh Savings]]*tbl_Data_old[[#This Row],[Sum of Annuals]]</f>
        <v>20.322193054635335</v>
      </c>
      <c r="BB667">
        <f>ROUNDUP(tbl_Data_old[[#This Row],[Adjusted 2025]]/$L667,0)</f>
        <v>1</v>
      </c>
      <c r="BC667">
        <f>ROUNDUP(tbl_Data_old[[#This Row],[Adjusted 2026]]/$L667,0)</f>
        <v>1</v>
      </c>
      <c r="BD667">
        <f>ROUNDUP(tbl_Data_old[[#This Row],[Adjusted 2027]]/$L667,0)</f>
        <v>1</v>
      </c>
      <c r="BE667">
        <f>ROUNDUP(tbl_Data_old[[#This Row],[Adjusted 2028]]/$L667,0)</f>
        <v>1</v>
      </c>
      <c r="BF667">
        <f>ROUNDUP(tbl_Data_old[[#This Row],[Adjusted 2029]]/$L667,0)</f>
        <v>1</v>
      </c>
      <c r="BG667">
        <f>ROUNDUP(tbl_Data_old[[#This Row],[Adjusted 2030]]/$L667,0)</f>
        <v>1</v>
      </c>
      <c r="BH667">
        <f>ROUNDUP(tbl_Data_old[[#This Row],[Adjusted 2031]]/$L667,0)</f>
        <v>1</v>
      </c>
      <c r="BI667">
        <f>ROUNDUP(tbl_Data_old[[#This Row],[Adjusted 2032]]/$L667,0)</f>
        <v>1</v>
      </c>
      <c r="BJ667">
        <f>ROUNDUP(tbl_Data_old[[#This Row],[Adjusted 2033]]/$L667,0)</f>
        <v>1</v>
      </c>
      <c r="BK667">
        <f>ROUNDUP(tbl_Data_old[[#This Row],[Adjusted 2034]]/$L667,0)</f>
        <v>1</v>
      </c>
      <c r="BL667" s="3">
        <f t="shared" si="45"/>
        <v>0</v>
      </c>
      <c r="BM667" s="3">
        <f t="shared" si="45"/>
        <v>0</v>
      </c>
      <c r="BN667" s="3">
        <f t="shared" si="45"/>
        <v>0</v>
      </c>
      <c r="BO667" s="3">
        <f t="shared" si="45"/>
        <v>0</v>
      </c>
      <c r="BP667" s="3">
        <f t="shared" si="45"/>
        <v>0</v>
      </c>
      <c r="BQ667" s="3">
        <f t="shared" si="44"/>
        <v>0</v>
      </c>
      <c r="BR667" s="3">
        <f t="shared" si="44"/>
        <v>0</v>
      </c>
      <c r="BS667" s="3">
        <f t="shared" si="44"/>
        <v>0</v>
      </c>
      <c r="BT667" s="3">
        <f t="shared" si="44"/>
        <v>0</v>
      </c>
      <c r="BU667" s="3">
        <f t="shared" si="44"/>
        <v>0</v>
      </c>
      <c r="BV667" t="e">
        <f>VLOOKUP($H667,'1. Set Program Names'!$B$2:$D$15,3,0)*V667</f>
        <v>#N/A</v>
      </c>
      <c r="BW667" t="e">
        <f>VLOOKUP($H667,'1. Set Program Names'!$B$2:$D$15,3,0)*W667</f>
        <v>#N/A</v>
      </c>
      <c r="BX667" t="e">
        <f>VLOOKUP($H667,'1. Set Program Names'!$B$2:$D$15,3,0)*X667</f>
        <v>#N/A</v>
      </c>
      <c r="BY667" t="e">
        <f>VLOOKUP($H667,'1. Set Program Names'!$B$2:$D$15,3,0)*Y667</f>
        <v>#N/A</v>
      </c>
      <c r="BZ667" t="e">
        <f>VLOOKUP($H667,'1. Set Program Names'!$B$2:$D$15,3,0)*Z667</f>
        <v>#N/A</v>
      </c>
      <c r="CA667" t="e">
        <f>VLOOKUP($H667,'1. Set Program Names'!$B$2:$D$15,3,0)*AA667</f>
        <v>#N/A</v>
      </c>
      <c r="CB667" t="e">
        <f>VLOOKUP($H667,'1. Set Program Names'!$B$2:$D$15,3,0)*AB667</f>
        <v>#N/A</v>
      </c>
      <c r="CC667" t="e">
        <f>VLOOKUP($H667,'1. Set Program Names'!$B$2:$D$15,3,0)*AC667</f>
        <v>#N/A</v>
      </c>
      <c r="CD667" t="e">
        <f>VLOOKUP($H667,'1. Set Program Names'!$B$2:$D$15,3,0)*AD667</f>
        <v>#N/A</v>
      </c>
      <c r="CE667" t="e">
        <f>VLOOKUP($H667,'1. Set Program Names'!$B$2:$D$15,3,0)*AE667</f>
        <v>#N/A</v>
      </c>
    </row>
    <row r="668" spans="1:83" x14ac:dyDescent="0.25">
      <c r="A668" s="20" t="s">
        <v>87</v>
      </c>
      <c r="B668" s="20" t="s">
        <v>88</v>
      </c>
      <c r="C668" s="20" t="s">
        <v>176</v>
      </c>
      <c r="D668" s="20" t="s">
        <v>90</v>
      </c>
      <c r="E668" s="20" t="s">
        <v>91</v>
      </c>
      <c r="F668" s="20" t="s">
        <v>90</v>
      </c>
      <c r="G668" s="20" t="s">
        <v>92</v>
      </c>
      <c r="H668" s="20" t="s">
        <v>14</v>
      </c>
      <c r="I668" s="20" t="s">
        <v>157</v>
      </c>
      <c r="J668" s="20" t="s">
        <v>158</v>
      </c>
      <c r="K668" s="20" t="s">
        <v>159</v>
      </c>
      <c r="L668" s="20">
        <v>562.52</v>
      </c>
      <c r="M668" s="20">
        <v>6.7473359330379998E-2</v>
      </c>
      <c r="N668" s="20">
        <v>6.4973258375617293E-2</v>
      </c>
      <c r="O668" s="20">
        <v>169</v>
      </c>
      <c r="P668" s="20">
        <v>55.847956108163899</v>
      </c>
      <c r="Q668" s="20">
        <v>20.025540405413601</v>
      </c>
      <c r="R668" s="20">
        <v>240.47921618074301</v>
      </c>
      <c r="S668" s="20">
        <v>597.43584258705596</v>
      </c>
      <c r="T668" s="20">
        <v>15</v>
      </c>
      <c r="U668" s="20">
        <v>0.2</v>
      </c>
      <c r="V668" s="20">
        <v>608.41479809683301</v>
      </c>
      <c r="W668" s="20">
        <v>692.17356987637004</v>
      </c>
      <c r="X668" s="20">
        <v>765.16343038608204</v>
      </c>
      <c r="Y668" s="20">
        <v>838.42551856543298</v>
      </c>
      <c r="Z668" s="20">
        <v>900.82675466876196</v>
      </c>
      <c r="AA668" s="20">
        <v>959.40179057310797</v>
      </c>
      <c r="AB668" s="20">
        <v>1014.79140599242</v>
      </c>
      <c r="AC668" s="20">
        <v>1064.4758613080101</v>
      </c>
      <c r="AD668" s="20">
        <v>1113.74164876281</v>
      </c>
      <c r="AE668" s="20">
        <v>1160.4084200635</v>
      </c>
      <c r="AF668" t="str">
        <f t="shared" si="43"/>
        <v>NonResidential</v>
      </c>
      <c r="AG668" t="str">
        <f>tbl_Data_old[[#This Row],[All_Meas_Name_Append]]</f>
        <v>LED Exterior Wall Packs</v>
      </c>
      <c r="AH668">
        <f>AVERAGEIFS('3. Incentive Adjustment'!G:G,'3. Incentive Adjustment'!A:A,tbl_Data_old[[#This Row],[Trimmed Sector]],'3. Incentive Adjustment'!B:B,tbl_Data_old[[#This Row],[Trimmed Measure Name]])</f>
        <v>0.80637708305213962</v>
      </c>
      <c r="AI668">
        <f>$AH668*tbl_Data_old[[#This Row],[2025 ]]</f>
        <v>490.61175017508066</v>
      </c>
      <c r="AJ668">
        <f>$AH668*tbl_Data_old[[#This Row],[2026 ]]</f>
        <v>558.15290424269358</v>
      </c>
      <c r="AK668">
        <f>$AH668*tbl_Data_old[[#This Row],[2027 ]]</f>
        <v>617.01025505289772</v>
      </c>
      <c r="AL668">
        <f>$AH668*tbl_Data_old[[#This Row],[2028 ]]</f>
        <v>676.08712401727144</v>
      </c>
      <c r="AM668">
        <f>$AH668*tbl_Data_old[[#This Row],[2029 ]]</f>
        <v>726.40605076512168</v>
      </c>
      <c r="AN668">
        <f>$AH668*tbl_Data_old[[#This Row],[2030 ]]</f>
        <v>773.63961735734256</v>
      </c>
      <c r="AO668">
        <f>$AH668*tbl_Data_old[[#This Row],[2031 ]]</f>
        <v>818.30453387054717</v>
      </c>
      <c r="AP668">
        <f>$AH668*tbl_Data_old[[#This Row],[2032 ]]</f>
        <v>858.3689400209671</v>
      </c>
      <c r="AQ668">
        <f>$AH668*tbl_Data_old[[#This Row],[2033 ]]</f>
        <v>898.0957420030353</v>
      </c>
      <c r="AR668">
        <f>$AH668*tbl_Data_old[[#This Row],[2034 ]]</f>
        <v>935.72675691994709</v>
      </c>
      <c r="AS668">
        <f>SUM(tbl_Data_old[[#This Row],[Adjusted 2025]:[Adjusted 2034]])</f>
        <v>7352.4036744249042</v>
      </c>
      <c r="AT668" s="3">
        <f>AVERAGEIFS('3. Incentive Adjustment'!F:F,'3. Incentive Adjustment'!A:A,tbl_Data_old[[#This Row],[Trimmed Sector]],'3. Incentive Adjustment'!B:B,tbl_Data_old[[#This Row],[Trimmed Measure Name]])</f>
        <v>8.6864493556481861</v>
      </c>
      <c r="AU668" s="3">
        <f>IFERROR(VLOOKUP(tbl_Data_old[[#This Row],[All_Meas_Name_Append]],'IRA Tax Credits'!$A$3:$D$46,4,0),0)</f>
        <v>0</v>
      </c>
      <c r="AV668" s="4">
        <f>tbl_Data_old[[#This Row],[Adj. per unit Incentive ($)]]/tbl_Data_old[[#This Row],[kWh Savings]]*tbl_Data_old[[#This Row],[Sum of Annuals]]</f>
        <v>113.53602033736323</v>
      </c>
      <c r="AW668" s="4">
        <f>IFERROR(VLOOKUP(tbl_Data_old[[#This Row],[All_Programs]],'1. Set Program Names'!$B$2:$D$15,3,0)*tbl_Data_old[[#This Row],[Sum of Annuals]],"")</f>
        <v>261.74332798675243</v>
      </c>
      <c r="AX668" s="4">
        <f>tbl_Data_old[[#This Row],[per unit IRA tax ($)]]/tbl_Data_old[[#This Row],[kWh Savings]]*tbl_Data_old[[#This Row],[Sum of Annuals]]</f>
        <v>0</v>
      </c>
      <c r="AY668" s="4">
        <f>tbl_Data_old[[#This Row],[Avoided Costs ($/unit)]]/tbl_Data_old[[#This Row],[kWh Savings]]*tbl_Data_old[[#This Row],[Sum of Annuals]]</f>
        <v>3143.1776162094075</v>
      </c>
      <c r="AZ668" s="4">
        <f>tbl_Data_old[[#This Row],[Lost Revenue ($/unit)]]/tbl_Data_old[[#This Row],[kWh Savings]]*tbl_Data_old[[#This Row],[Sum of Annuals]]</f>
        <v>7808.7703268687501</v>
      </c>
      <c r="BA668" s="4">
        <f>tbl_Data_old[[#This Row],[Incremental Cost ($/unit)]]/tbl_Data_old[[#This Row],[kWh Savings]]*tbl_Data_old[[#This Row],[Sum of Annuals]]</f>
        <v>2208.9102982610552</v>
      </c>
      <c r="BB668">
        <f>ROUNDUP(tbl_Data_old[[#This Row],[Adjusted 2025]]/$L668,0)</f>
        <v>1</v>
      </c>
      <c r="BC668">
        <f>ROUNDUP(tbl_Data_old[[#This Row],[Adjusted 2026]]/$L668,0)</f>
        <v>1</v>
      </c>
      <c r="BD668">
        <f>ROUNDUP(tbl_Data_old[[#This Row],[Adjusted 2027]]/$L668,0)</f>
        <v>2</v>
      </c>
      <c r="BE668">
        <f>ROUNDUP(tbl_Data_old[[#This Row],[Adjusted 2028]]/$L668,0)</f>
        <v>2</v>
      </c>
      <c r="BF668">
        <f>ROUNDUP(tbl_Data_old[[#This Row],[Adjusted 2029]]/$L668,0)</f>
        <v>2</v>
      </c>
      <c r="BG668">
        <f>ROUNDUP(tbl_Data_old[[#This Row],[Adjusted 2030]]/$L668,0)</f>
        <v>2</v>
      </c>
      <c r="BH668">
        <f>ROUNDUP(tbl_Data_old[[#This Row],[Adjusted 2031]]/$L668,0)</f>
        <v>2</v>
      </c>
      <c r="BI668">
        <f>ROUNDUP(tbl_Data_old[[#This Row],[Adjusted 2032]]/$L668,0)</f>
        <v>2</v>
      </c>
      <c r="BJ668">
        <f>ROUNDUP(tbl_Data_old[[#This Row],[Adjusted 2033]]/$L668,0)</f>
        <v>2</v>
      </c>
      <c r="BK668">
        <f>ROUNDUP(tbl_Data_old[[#This Row],[Adjusted 2034]]/$L668,0)</f>
        <v>2</v>
      </c>
      <c r="BL668" s="3">
        <f t="shared" si="45"/>
        <v>9.3951580937478774</v>
      </c>
      <c r="BM668" s="3">
        <f t="shared" si="45"/>
        <v>10.688563357834919</v>
      </c>
      <c r="BN668" s="3">
        <f t="shared" si="45"/>
        <v>11.815674797060971</v>
      </c>
      <c r="BO668" s="3">
        <f t="shared" si="45"/>
        <v>12.94698998347028</v>
      </c>
      <c r="BP668" s="3">
        <f t="shared" si="45"/>
        <v>13.910591592553356</v>
      </c>
      <c r="BQ668" s="3">
        <f t="shared" si="44"/>
        <v>14.815108912627977</v>
      </c>
      <c r="BR668" s="3">
        <f t="shared" si="44"/>
        <v>15.670436881711181</v>
      </c>
      <c r="BS668" s="3">
        <f t="shared" si="44"/>
        <v>16.437665611110738</v>
      </c>
      <c r="BT668" s="3">
        <f t="shared" si="44"/>
        <v>17.198429259856109</v>
      </c>
      <c r="BU668" s="3">
        <f t="shared" si="44"/>
        <v>17.919058829462632</v>
      </c>
      <c r="BV668">
        <f>VLOOKUP($H668,'1. Set Program Names'!$B$2:$D$15,3,0)*V668</f>
        <v>21.659381217627356</v>
      </c>
      <c r="BW668">
        <f>VLOOKUP($H668,'1. Set Program Names'!$B$2:$D$15,3,0)*W668</f>
        <v>24.641167942684138</v>
      </c>
      <c r="BX668">
        <f>VLOOKUP($H668,'1. Set Program Names'!$B$2:$D$15,3,0)*X668</f>
        <v>27.239584711550574</v>
      </c>
      <c r="BY668">
        <f>VLOOKUP($H668,'1. Set Program Names'!$B$2:$D$15,3,0)*Y668</f>
        <v>29.84769270241414</v>
      </c>
      <c r="BZ668">
        <f>VLOOKUP($H668,'1. Set Program Names'!$B$2:$D$15,3,0)*Z668</f>
        <v>32.069157672432937</v>
      </c>
      <c r="CA668">
        <f>VLOOKUP($H668,'1. Set Program Names'!$B$2:$D$15,3,0)*AA668</f>
        <v>34.154411082535759</v>
      </c>
      <c r="CB668">
        <f>VLOOKUP($H668,'1. Set Program Names'!$B$2:$D$15,3,0)*AB668</f>
        <v>36.126264495071766</v>
      </c>
      <c r="CC668">
        <f>VLOOKUP($H668,'1. Set Program Names'!$B$2:$D$15,3,0)*AC668</f>
        <v>37.89501594825267</v>
      </c>
      <c r="CD668">
        <f>VLOOKUP($H668,'1. Set Program Names'!$B$2:$D$15,3,0)*AD668</f>
        <v>39.648862953302476</v>
      </c>
      <c r="CE668">
        <f>VLOOKUP($H668,'1. Set Program Names'!$B$2:$D$15,3,0)*AE668</f>
        <v>41.310185776085966</v>
      </c>
    </row>
    <row r="669" spans="1:83" x14ac:dyDescent="0.25">
      <c r="A669" s="20" t="s">
        <v>87</v>
      </c>
      <c r="B669" s="20" t="s">
        <v>88</v>
      </c>
      <c r="C669" s="20" t="s">
        <v>176</v>
      </c>
      <c r="D669" s="20" t="s">
        <v>90</v>
      </c>
      <c r="E669" s="20" t="s">
        <v>91</v>
      </c>
      <c r="F669" s="20" t="s">
        <v>90</v>
      </c>
      <c r="G669" s="20" t="s">
        <v>92</v>
      </c>
      <c r="H669" s="20" t="s">
        <v>14</v>
      </c>
      <c r="I669" s="20" t="s">
        <v>162</v>
      </c>
      <c r="J669" s="20" t="s">
        <v>161</v>
      </c>
      <c r="K669" s="20" t="s">
        <v>159</v>
      </c>
      <c r="L669" s="20">
        <v>725.58416666666596</v>
      </c>
      <c r="M669" s="20">
        <v>8.6917804178563804E-2</v>
      </c>
      <c r="N669" s="20">
        <v>8.3795205289933394E-2</v>
      </c>
      <c r="O669" s="20">
        <v>179</v>
      </c>
      <c r="P669" s="20">
        <v>33.0790753554421</v>
      </c>
      <c r="Q669" s="20">
        <v>25.8305749966432</v>
      </c>
      <c r="R669" s="20">
        <v>310.45187974046598</v>
      </c>
      <c r="S669" s="20">
        <v>770.62146764617603</v>
      </c>
      <c r="T669" s="20">
        <v>15</v>
      </c>
      <c r="U669" s="20">
        <v>0.2</v>
      </c>
      <c r="V669" s="20">
        <v>3125.9948888097301</v>
      </c>
      <c r="W669" s="20">
        <v>3556.34190419271</v>
      </c>
      <c r="X669" s="20">
        <v>3931.3589675547701</v>
      </c>
      <c r="Y669" s="20">
        <v>4307.7747186320903</v>
      </c>
      <c r="Z669" s="20">
        <v>4628.3881319228203</v>
      </c>
      <c r="AA669" s="20">
        <v>4929.3427823054199</v>
      </c>
      <c r="AB669" s="20">
        <v>5213.9309534602598</v>
      </c>
      <c r="AC669" s="20">
        <v>5469.2063903097196</v>
      </c>
      <c r="AD669" s="20">
        <v>5722.3307394521498</v>
      </c>
      <c r="AE669" s="20">
        <v>5962.1015159347799</v>
      </c>
      <c r="AF669" t="str">
        <f t="shared" si="43"/>
        <v>NonResidential</v>
      </c>
      <c r="AG669" t="str">
        <f>tbl_Data_old[[#This Row],[All_Meas_Name_Append]]</f>
        <v>LED High Bay_LF Baseline</v>
      </c>
      <c r="AH669">
        <f>AVERAGEIFS('3. Incentive Adjustment'!G:G,'3. Incentive Adjustment'!A:A,tbl_Data_old[[#This Row],[Trimmed Sector]],'3. Incentive Adjustment'!B:B,tbl_Data_old[[#This Row],[Trimmed Measure Name]])</f>
        <v>0.93017466414143679</v>
      </c>
      <c r="AI669">
        <f>$AH669*tbl_Data_old[[#This Row],[2025 ]]</f>
        <v>2907.7212458064387</v>
      </c>
      <c r="AJ669">
        <f>$AH669*tbl_Data_old[[#This Row],[2026 ]]</f>
        <v>3308.0191363045719</v>
      </c>
      <c r="AK669">
        <f>$AH669*tbl_Data_old[[#This Row],[2027 ]]</f>
        <v>3656.850507264684</v>
      </c>
      <c r="AL669">
        <f>$AH669*tbl_Data_old[[#This Row],[2028 ]]</f>
        <v>4006.9829021005771</v>
      </c>
      <c r="AM669">
        <f>$AH669*tbl_Data_old[[#This Row],[2029 ]]</f>
        <v>4305.2093761275219</v>
      </c>
      <c r="AN669">
        <f>$AH669*tbl_Data_old[[#This Row],[2030 ]]</f>
        <v>4585.1497669689597</v>
      </c>
      <c r="AO669">
        <f>$AH669*tbl_Data_old[[#This Row],[2031 ]]</f>
        <v>4849.8664734915383</v>
      </c>
      <c r="AP669">
        <f>$AH669*tbl_Data_old[[#This Row],[2032 ]]</f>
        <v>5087.3172172265431</v>
      </c>
      <c r="AQ669">
        <f>$AH669*tbl_Data_old[[#This Row],[2033 ]]</f>
        <v>5322.7670736761229</v>
      </c>
      <c r="AR669">
        <f>$AH669*tbl_Data_old[[#This Row],[2034 ]]</f>
        <v>5545.7957751617851</v>
      </c>
      <c r="AS669">
        <f>SUM(tbl_Data_old[[#This Row],[Adjusted 2025]:[Adjusted 2034]])</f>
        <v>43575.679474128745</v>
      </c>
      <c r="AT669" s="3">
        <f>AVERAGEIFS('3. Incentive Adjustment'!F:F,'3. Incentive Adjustment'!A:A,tbl_Data_old[[#This Row],[Trimmed Sector]],'3. Incentive Adjustment'!B:B,tbl_Data_old[[#This Row],[Trimmed Measure Name]])</f>
        <v>23.858858929800434</v>
      </c>
      <c r="AU669" s="3">
        <f>IFERROR(VLOOKUP(tbl_Data_old[[#This Row],[All_Meas_Name_Append]],'IRA Tax Credits'!$A$3:$D$46,4,0),0)</f>
        <v>0</v>
      </c>
      <c r="AV669" s="4">
        <f>tbl_Data_old[[#This Row],[Adj. per unit Incentive ($)]]/tbl_Data_old[[#This Row],[kWh Savings]]*tbl_Data_old[[#This Row],[Sum of Annuals]]</f>
        <v>1432.8675253756765</v>
      </c>
      <c r="AW669" s="4">
        <f>IFERROR(VLOOKUP(tbl_Data_old[[#This Row],[All_Programs]],'1. Set Program Names'!$B$2:$D$15,3,0)*tbl_Data_old[[#This Row],[Sum of Annuals]],"")</f>
        <v>1551.2808966837108</v>
      </c>
      <c r="AX669" s="4">
        <f>tbl_Data_old[[#This Row],[per unit IRA tax ($)]]/tbl_Data_old[[#This Row],[kWh Savings]]*tbl_Data_old[[#This Row],[Sum of Annuals]]</f>
        <v>0</v>
      </c>
      <c r="AY669" s="4">
        <f>tbl_Data_old[[#This Row],[Avoided Costs ($/unit)]]/tbl_Data_old[[#This Row],[kWh Savings]]*tbl_Data_old[[#This Row],[Sum of Annuals]]</f>
        <v>18644.496703752018</v>
      </c>
      <c r="AZ669" s="4">
        <f>tbl_Data_old[[#This Row],[Lost Revenue ($/unit)]]/tbl_Data_old[[#This Row],[kWh Savings]]*tbl_Data_old[[#This Row],[Sum of Annuals]]</f>
        <v>46280.439420695475</v>
      </c>
      <c r="BA669" s="4">
        <f>tbl_Data_old[[#This Row],[Incremental Cost ($/unit)]]/tbl_Data_old[[#This Row],[kWh Savings]]*tbl_Data_old[[#This Row],[Sum of Annuals]]</f>
        <v>10750.023200895443</v>
      </c>
      <c r="BB669">
        <f>ROUNDUP(tbl_Data_old[[#This Row],[Adjusted 2025]]/$L669,0)</f>
        <v>5</v>
      </c>
      <c r="BC669">
        <f>ROUNDUP(tbl_Data_old[[#This Row],[Adjusted 2026]]/$L669,0)</f>
        <v>5</v>
      </c>
      <c r="BD669">
        <f>ROUNDUP(tbl_Data_old[[#This Row],[Adjusted 2027]]/$L669,0)</f>
        <v>6</v>
      </c>
      <c r="BE669">
        <f>ROUNDUP(tbl_Data_old[[#This Row],[Adjusted 2028]]/$L669,0)</f>
        <v>6</v>
      </c>
      <c r="BF669">
        <f>ROUNDUP(tbl_Data_old[[#This Row],[Adjusted 2029]]/$L669,0)</f>
        <v>6</v>
      </c>
      <c r="BG669">
        <f>ROUNDUP(tbl_Data_old[[#This Row],[Adjusted 2030]]/$L669,0)</f>
        <v>7</v>
      </c>
      <c r="BH669">
        <f>ROUNDUP(tbl_Data_old[[#This Row],[Adjusted 2031]]/$L669,0)</f>
        <v>7</v>
      </c>
      <c r="BI669">
        <f>ROUNDUP(tbl_Data_old[[#This Row],[Adjusted 2032]]/$L669,0)</f>
        <v>8</v>
      </c>
      <c r="BJ669">
        <f>ROUNDUP(tbl_Data_old[[#This Row],[Adjusted 2033]]/$L669,0)</f>
        <v>8</v>
      </c>
      <c r="BK669">
        <f>ROUNDUP(tbl_Data_old[[#This Row],[Adjusted 2034]]/$L669,0)</f>
        <v>8</v>
      </c>
      <c r="BL669" s="3">
        <f t="shared" si="45"/>
        <v>102.78982714027701</v>
      </c>
      <c r="BM669" s="3">
        <f t="shared" si="45"/>
        <v>116.94061653532745</v>
      </c>
      <c r="BN669" s="3">
        <f t="shared" si="45"/>
        <v>129.2720311693156</v>
      </c>
      <c r="BO669" s="3">
        <f t="shared" si="45"/>
        <v>141.64943783898798</v>
      </c>
      <c r="BP669" s="3">
        <f t="shared" si="45"/>
        <v>152.19193662840755</v>
      </c>
      <c r="BQ669" s="3">
        <f t="shared" si="44"/>
        <v>162.08801054734761</v>
      </c>
      <c r="BR669" s="3">
        <f t="shared" si="44"/>
        <v>171.44591737691124</v>
      </c>
      <c r="BS669" s="3">
        <f t="shared" si="44"/>
        <v>179.83995478268122</v>
      </c>
      <c r="BT669" s="3">
        <f t="shared" si="44"/>
        <v>188.16325952847129</v>
      </c>
      <c r="BU669" s="3">
        <f t="shared" si="44"/>
        <v>196.04746841063101</v>
      </c>
      <c r="BV669">
        <f>VLOOKUP($H669,'1. Set Program Names'!$B$2:$D$15,3,0)*V669</f>
        <v>111.28446446877606</v>
      </c>
      <c r="BW669">
        <f>VLOOKUP($H669,'1. Set Program Names'!$B$2:$D$15,3,0)*W669</f>
        <v>126.60468694069004</v>
      </c>
      <c r="BX669">
        <f>VLOOKUP($H669,'1. Set Program Names'!$B$2:$D$15,3,0)*X669</f>
        <v>139.95517999885067</v>
      </c>
      <c r="BY669">
        <f>VLOOKUP($H669,'1. Set Program Names'!$B$2:$D$15,3,0)*Y669</f>
        <v>153.35546591301019</v>
      </c>
      <c r="BZ669">
        <f>VLOOKUP($H669,'1. Set Program Names'!$B$2:$D$15,3,0)*Z669</f>
        <v>164.76920562425801</v>
      </c>
      <c r="CA669">
        <f>VLOOKUP($H669,'1. Set Program Names'!$B$2:$D$15,3,0)*AA669</f>
        <v>175.4830993728072</v>
      </c>
      <c r="CB669">
        <f>VLOOKUP($H669,'1. Set Program Names'!$B$2:$D$15,3,0)*AB669</f>
        <v>185.61435145338041</v>
      </c>
      <c r="CC669">
        <f>VLOOKUP($H669,'1. Set Program Names'!$B$2:$D$15,3,0)*AC669</f>
        <v>194.70207913442016</v>
      </c>
      <c r="CD669">
        <f>VLOOKUP($H669,'1. Set Program Names'!$B$2:$D$15,3,0)*AD669</f>
        <v>203.7132287492708</v>
      </c>
      <c r="CE669">
        <f>VLOOKUP($H669,'1. Set Program Names'!$B$2:$D$15,3,0)*AE669</f>
        <v>212.2489952508891</v>
      </c>
    </row>
    <row r="670" spans="1:83" x14ac:dyDescent="0.25">
      <c r="A670" s="20" t="s">
        <v>87</v>
      </c>
      <c r="B670" s="20" t="s">
        <v>88</v>
      </c>
      <c r="C670" s="20" t="s">
        <v>176</v>
      </c>
      <c r="D670" s="20" t="s">
        <v>90</v>
      </c>
      <c r="E670" s="20" t="s">
        <v>91</v>
      </c>
      <c r="F670" s="20" t="s">
        <v>90</v>
      </c>
      <c r="G670" s="20" t="s">
        <v>92</v>
      </c>
      <c r="H670" s="20" t="s">
        <v>14</v>
      </c>
      <c r="I670" s="20" t="s">
        <v>165</v>
      </c>
      <c r="J670" s="20" t="s">
        <v>161</v>
      </c>
      <c r="K670" s="20" t="s">
        <v>166</v>
      </c>
      <c r="L670" s="20">
        <v>565.38999999999896</v>
      </c>
      <c r="M670" s="20">
        <v>6.7728127941350899E-2</v>
      </c>
      <c r="N670" s="20">
        <v>6.5294935157718198E-2</v>
      </c>
      <c r="O670" s="20">
        <v>129</v>
      </c>
      <c r="P670" s="20">
        <v>15.293574707506</v>
      </c>
      <c r="Q670" s="20">
        <v>20.127711529930998</v>
      </c>
      <c r="R670" s="20">
        <v>190.6779313312</v>
      </c>
      <c r="S670" s="20">
        <v>454.767236260907</v>
      </c>
      <c r="T670" s="20">
        <v>10</v>
      </c>
      <c r="U670" s="20">
        <v>0.2</v>
      </c>
      <c r="V670" s="20">
        <v>374.02055050201699</v>
      </c>
      <c r="W670" s="20">
        <v>516.43414479511205</v>
      </c>
      <c r="X670" s="20">
        <v>690.88788086350803</v>
      </c>
      <c r="Y670" s="20">
        <v>901.24020805595501</v>
      </c>
      <c r="Z670" s="20">
        <v>1125.12725728687</v>
      </c>
      <c r="AA670" s="20">
        <v>1335.5489803155699</v>
      </c>
      <c r="AB670" s="20">
        <v>1488.4575412803599</v>
      </c>
      <c r="AC670" s="20">
        <v>1535.1359898072001</v>
      </c>
      <c r="AD670" s="20">
        <v>1453.49078996717</v>
      </c>
      <c r="AE670" s="20">
        <v>1257.82232186741</v>
      </c>
      <c r="AF670" t="str">
        <f t="shared" si="43"/>
        <v>NonResidential</v>
      </c>
      <c r="AG670" t="str">
        <f>tbl_Data_old[[#This Row],[All_Meas_Name_Append]]</f>
        <v>Occupancy Sensors_ Ceiling Mounted</v>
      </c>
      <c r="AH670">
        <f>AVERAGEIFS('3. Incentive Adjustment'!G:G,'3. Incentive Adjustment'!A:A,tbl_Data_old[[#This Row],[Trimmed Sector]],'3. Incentive Adjustment'!B:B,tbl_Data_old[[#This Row],[Trimmed Measure Name]])</f>
        <v>0.99348124042467356</v>
      </c>
      <c r="AI670">
        <f>$AH670*tbl_Data_old[[#This Row],[2025 ]]</f>
        <v>371.5824004570631</v>
      </c>
      <c r="AJ670">
        <f>$AH670*tbl_Data_old[[#This Row],[2026 ]]</f>
        <v>513.06763476870344</v>
      </c>
      <c r="AK670">
        <f>$AH670*tbl_Data_old[[#This Row],[2027 ]]</f>
        <v>686.38414887465206</v>
      </c>
      <c r="AL670">
        <f>$AH670*tbl_Data_old[[#This Row],[2028 ]]</f>
        <v>895.36523982002109</v>
      </c>
      <c r="AM670">
        <f>$AH670*tbl_Data_old[[#This Row],[2029 ]]</f>
        <v>1117.7928232049703</v>
      </c>
      <c r="AN670">
        <f>$AH670*tbl_Data_old[[#This Row],[2030 ]]</f>
        <v>1326.8428576118204</v>
      </c>
      <c r="AO670">
        <f>$AH670*tbl_Data_old[[#This Row],[2031 ]]</f>
        <v>1478.7546444306718</v>
      </c>
      <c r="AP670">
        <f>$AH670*tbl_Data_old[[#This Row],[2032 ]]</f>
        <v>1525.1288073742162</v>
      </c>
      <c r="AQ670">
        <f>$AH670*tbl_Data_old[[#This Row],[2033 ]]</f>
        <v>1444.0158329624228</v>
      </c>
      <c r="AR670">
        <f>$AH670*tbl_Data_old[[#This Row],[2034 ]]</f>
        <v>1249.6228805626774</v>
      </c>
      <c r="AS670">
        <f>SUM(tbl_Data_old[[#This Row],[Adjusted 2025]:[Adjusted 2034]])</f>
        <v>10608.557270067218</v>
      </c>
      <c r="AT670" s="3">
        <f>AVERAGEIFS('3. Incentive Adjustment'!F:F,'3. Incentive Adjustment'!A:A,tbl_Data_old[[#This Row],[Trimmed Sector]],'3. Incentive Adjustment'!B:B,tbl_Data_old[[#This Row],[Trimmed Measure Name]])</f>
        <v>19.547634357270656</v>
      </c>
      <c r="AU670" s="3">
        <f>IFERROR(VLOOKUP(tbl_Data_old[[#This Row],[All_Meas_Name_Append]],'IRA Tax Credits'!$A$3:$D$46,4,0),0)</f>
        <v>0</v>
      </c>
      <c r="AV670" s="4">
        <f>tbl_Data_old[[#This Row],[Adj. per unit Incentive ($)]]/tbl_Data_old[[#This Row],[kWh Savings]]*tbl_Data_old[[#This Row],[Sum of Annuals]]</f>
        <v>366.77726626477249</v>
      </c>
      <c r="AW670" s="4">
        <f>IFERROR(VLOOKUP(tbl_Data_old[[#This Row],[All_Programs]],'1. Set Program Names'!$B$2:$D$15,3,0)*tbl_Data_old[[#This Row],[Sum of Annuals]],"")</f>
        <v>377.66140271435006</v>
      </c>
      <c r="AX670" s="4">
        <f>tbl_Data_old[[#This Row],[per unit IRA tax ($)]]/tbl_Data_old[[#This Row],[kWh Savings]]*tbl_Data_old[[#This Row],[Sum of Annuals]]</f>
        <v>0</v>
      </c>
      <c r="AY670" s="4">
        <f>tbl_Data_old[[#This Row],[Avoided Costs ($/unit)]]/tbl_Data_old[[#This Row],[kWh Savings]]*tbl_Data_old[[#This Row],[Sum of Annuals]]</f>
        <v>3577.7388257043517</v>
      </c>
      <c r="AZ670" s="4">
        <f>tbl_Data_old[[#This Row],[Lost Revenue ($/unit)]]/tbl_Data_old[[#This Row],[kWh Savings]]*tbl_Data_old[[#This Row],[Sum of Annuals]]</f>
        <v>8532.9140423849567</v>
      </c>
      <c r="BA670" s="4">
        <f>tbl_Data_old[[#This Row],[Incremental Cost ($/unit)]]/tbl_Data_old[[#This Row],[kWh Savings]]*tbl_Data_old[[#This Row],[Sum of Annuals]]</f>
        <v>2420.4600149254029</v>
      </c>
      <c r="BB670">
        <f>ROUNDUP(tbl_Data_old[[#This Row],[Adjusted 2025]]/$L670,0)</f>
        <v>1</v>
      </c>
      <c r="BC670">
        <f>ROUNDUP(tbl_Data_old[[#This Row],[Adjusted 2026]]/$L670,0)</f>
        <v>1</v>
      </c>
      <c r="BD670">
        <f>ROUNDUP(tbl_Data_old[[#This Row],[Adjusted 2027]]/$L670,0)</f>
        <v>2</v>
      </c>
      <c r="BE670">
        <f>ROUNDUP(tbl_Data_old[[#This Row],[Adjusted 2028]]/$L670,0)</f>
        <v>2</v>
      </c>
      <c r="BF670">
        <f>ROUNDUP(tbl_Data_old[[#This Row],[Adjusted 2029]]/$L670,0)</f>
        <v>2</v>
      </c>
      <c r="BG670">
        <f>ROUNDUP(tbl_Data_old[[#This Row],[Adjusted 2030]]/$L670,0)</f>
        <v>3</v>
      </c>
      <c r="BH670">
        <f>ROUNDUP(tbl_Data_old[[#This Row],[Adjusted 2031]]/$L670,0)</f>
        <v>3</v>
      </c>
      <c r="BI670">
        <f>ROUNDUP(tbl_Data_old[[#This Row],[Adjusted 2032]]/$L670,0)</f>
        <v>3</v>
      </c>
      <c r="BJ670">
        <f>ROUNDUP(tbl_Data_old[[#This Row],[Adjusted 2033]]/$L670,0)</f>
        <v>3</v>
      </c>
      <c r="BK670">
        <f>ROUNDUP(tbl_Data_old[[#This Row],[Adjusted 2034]]/$L670,0)</f>
        <v>3</v>
      </c>
      <c r="BL670" s="3">
        <f t="shared" si="45"/>
        <v>12.931280997751154</v>
      </c>
      <c r="BM670" s="3">
        <f t="shared" si="45"/>
        <v>17.855048430401386</v>
      </c>
      <c r="BN670" s="3">
        <f t="shared" si="45"/>
        <v>23.886562685914942</v>
      </c>
      <c r="BO670" s="3">
        <f t="shared" si="45"/>
        <v>31.159224703564572</v>
      </c>
      <c r="BP670" s="3">
        <f t="shared" si="45"/>
        <v>38.899832382678433</v>
      </c>
      <c r="BQ670" s="3">
        <f t="shared" si="44"/>
        <v>46.174893672393345</v>
      </c>
      <c r="BR670" s="3">
        <f t="shared" si="44"/>
        <v>51.461511122005383</v>
      </c>
      <c r="BS670" s="3">
        <f t="shared" si="44"/>
        <v>53.075358632869303</v>
      </c>
      <c r="BT670" s="3">
        <f t="shared" si="44"/>
        <v>50.25258052660778</v>
      </c>
      <c r="BU670" s="3">
        <f t="shared" si="44"/>
        <v>43.48759411075077</v>
      </c>
      <c r="BV670">
        <f>VLOOKUP($H670,'1. Set Program Names'!$B$2:$D$15,3,0)*V670</f>
        <v>13.315017504325557</v>
      </c>
      <c r="BW670">
        <f>VLOOKUP($H670,'1. Set Program Names'!$B$2:$D$15,3,0)*W670</f>
        <v>18.384898018434505</v>
      </c>
      <c r="BX670">
        <f>VLOOKUP($H670,'1. Set Program Names'!$B$2:$D$15,3,0)*X670</f>
        <v>24.595397806020795</v>
      </c>
      <c r="BY670">
        <f>VLOOKUP($H670,'1. Set Program Names'!$B$2:$D$15,3,0)*Y670</f>
        <v>32.083876486894624</v>
      </c>
      <c r="BZ670">
        <f>VLOOKUP($H670,'1. Set Program Names'!$B$2:$D$15,3,0)*Z670</f>
        <v>40.054187143622443</v>
      </c>
      <c r="CA670">
        <f>VLOOKUP($H670,'1. Set Program Names'!$B$2:$D$15,3,0)*AA670</f>
        <v>47.54513629509794</v>
      </c>
      <c r="CB670">
        <f>VLOOKUP($H670,'1. Set Program Names'!$B$2:$D$15,3,0)*AB670</f>
        <v>52.988634421269566</v>
      </c>
      <c r="CC670">
        <f>VLOOKUP($H670,'1. Set Program Names'!$B$2:$D$15,3,0)*AC670</f>
        <v>54.650372949741907</v>
      </c>
      <c r="CD670">
        <f>VLOOKUP($H670,'1. Set Program Names'!$B$2:$D$15,3,0)*AD670</f>
        <v>51.743828740994495</v>
      </c>
      <c r="CE670">
        <f>VLOOKUP($H670,'1. Set Program Names'!$B$2:$D$15,3,0)*AE670</f>
        <v>44.778090964564953</v>
      </c>
    </row>
    <row r="671" spans="1:83" x14ac:dyDescent="0.25">
      <c r="A671" s="20" t="s">
        <v>87</v>
      </c>
      <c r="B671" s="20" t="s">
        <v>88</v>
      </c>
      <c r="C671" s="20" t="s">
        <v>176</v>
      </c>
      <c r="D671" s="20" t="s">
        <v>90</v>
      </c>
      <c r="E671" s="20" t="s">
        <v>91</v>
      </c>
      <c r="F671" s="20" t="s">
        <v>90</v>
      </c>
      <c r="G671" s="20" t="s">
        <v>92</v>
      </c>
      <c r="H671" s="20" t="s">
        <v>14</v>
      </c>
      <c r="I671" s="20" t="s">
        <v>155</v>
      </c>
      <c r="J671" s="20" t="s">
        <v>129</v>
      </c>
      <c r="K671" s="20" t="s">
        <v>102</v>
      </c>
      <c r="L671" s="20">
        <v>47228.7699999998</v>
      </c>
      <c r="M671" s="20">
        <v>5.6581998938837703</v>
      </c>
      <c r="N671" s="20">
        <v>5.4505995734426298</v>
      </c>
      <c r="O671" s="20">
        <v>11124</v>
      </c>
      <c r="P671" s="20">
        <v>2435.8852359673701</v>
      </c>
      <c r="Q671" s="20">
        <v>1681.32980504335</v>
      </c>
      <c r="R671" s="20">
        <v>16918.542729362998</v>
      </c>
      <c r="S671" s="20">
        <v>40712.4661763408</v>
      </c>
      <c r="T671" s="20">
        <v>11</v>
      </c>
      <c r="U671" s="20">
        <v>0.94999999999999896</v>
      </c>
      <c r="V671" s="20">
        <v>3044.58883086885</v>
      </c>
      <c r="W671" s="20">
        <v>2544.9320346879899</v>
      </c>
      <c r="X671" s="20">
        <v>2107.8439827963598</v>
      </c>
      <c r="Y671" s="20">
        <v>1757.52436234163</v>
      </c>
      <c r="Z671" s="20">
        <v>1460.3263033350299</v>
      </c>
      <c r="AA671" s="20">
        <v>1219.5093448837599</v>
      </c>
      <c r="AB671" s="20">
        <v>1026.7779204383701</v>
      </c>
      <c r="AC671" s="20">
        <v>867.12495466490702</v>
      </c>
      <c r="AD671" s="20">
        <v>743.56030376957199</v>
      </c>
      <c r="AE671" s="20">
        <v>644.73631528075498</v>
      </c>
      <c r="AF671" t="str">
        <f t="shared" si="43"/>
        <v>NonResidential</v>
      </c>
      <c r="AG671" t="str">
        <f>tbl_Data_old[[#This Row],[All_Meas_Name_Append]]</f>
        <v>Smart thermostat</v>
      </c>
      <c r="AH671">
        <f>AVERAGEIFS('3. Incentive Adjustment'!G:G,'3. Incentive Adjustment'!A:A,tbl_Data_old[[#This Row],[Trimmed Sector]],'3. Incentive Adjustment'!B:B,tbl_Data_old[[#This Row],[Trimmed Measure Name]])</f>
        <v>0.87546479230069263</v>
      </c>
      <c r="AI671">
        <f>$AH671*tbl_Data_old[[#This Row],[2025 ]]</f>
        <v>2665.4303284576063</v>
      </c>
      <c r="AJ671">
        <f>$AH671*tbl_Data_old[[#This Row],[2026 ]]</f>
        <v>2227.9983951675003</v>
      </c>
      <c r="AK671">
        <f>$AH671*tbl_Data_old[[#This Row],[2027 ]]</f>
        <v>1845.3431946010799</v>
      </c>
      <c r="AL671">
        <f>$AH671*tbl_Data_old[[#This Row],[2028 ]]</f>
        <v>1538.6507008408223</v>
      </c>
      <c r="AM671">
        <f>$AH671*tbl_Data_old[[#This Row],[2029 ]]</f>
        <v>1278.4642638404403</v>
      </c>
      <c r="AN671">
        <f>$AH671*tbl_Data_old[[#This Row],[2030 ]]</f>
        <v>1067.6374953274146</v>
      </c>
      <c r="AO671">
        <f>$AH671*tbl_Data_old[[#This Row],[2031 ]]</f>
        <v>898.90791885551471</v>
      </c>
      <c r="AP671">
        <f>$AH671*tbl_Data_old[[#This Row],[2032 ]]</f>
        <v>759.13736833446035</v>
      </c>
      <c r="AQ671">
        <f>$AH671*tbl_Data_old[[#This Row],[2033 ]]</f>
        <v>650.96086690266827</v>
      </c>
      <c r="AR671">
        <f>$AH671*tbl_Data_old[[#This Row],[2034 ]]</f>
        <v>564.44394434598007</v>
      </c>
      <c r="AS671">
        <f>SUM(tbl_Data_old[[#This Row],[Adjusted 2025]:[Adjusted 2034]])</f>
        <v>13496.974476673488</v>
      </c>
      <c r="AT671" s="3">
        <f>AVERAGEIFS('3. Incentive Adjustment'!F:F,'3. Incentive Adjustment'!A:A,tbl_Data_old[[#This Row],[Trimmed Sector]],'3. Incentive Adjustment'!B:B,tbl_Data_old[[#This Row],[Trimmed Measure Name]])</f>
        <v>50</v>
      </c>
      <c r="AU671" s="3">
        <f>IFERROR(VLOOKUP(tbl_Data_old[[#This Row],[All_Meas_Name_Append]],'IRA Tax Credits'!$A$3:$D$46,4,0),0)</f>
        <v>0</v>
      </c>
      <c r="AV671" s="4">
        <f>tbl_Data_old[[#This Row],[Adj. per unit Incentive ($)]]/tbl_Data_old[[#This Row],[kWh Savings]]*tbl_Data_old[[#This Row],[Sum of Annuals]]</f>
        <v>14.288932865151416</v>
      </c>
      <c r="AW671" s="4">
        <f>IFERROR(VLOOKUP(tbl_Data_old[[#This Row],[All_Programs]],'1. Set Program Names'!$B$2:$D$15,3,0)*tbl_Data_old[[#This Row],[Sum of Annuals]],"")</f>
        <v>480.48817416885117</v>
      </c>
      <c r="AX671" s="4">
        <f>tbl_Data_old[[#This Row],[per unit IRA tax ($)]]/tbl_Data_old[[#This Row],[kWh Savings]]*tbl_Data_old[[#This Row],[Sum of Annuals]]</f>
        <v>0</v>
      </c>
      <c r="AY671" s="4">
        <f>tbl_Data_old[[#This Row],[Avoided Costs ($/unit)]]/tbl_Data_old[[#This Row],[kWh Savings]]*tbl_Data_old[[#This Row],[Sum of Annuals]]</f>
        <v>4834.9584247212697</v>
      </c>
      <c r="AZ671" s="4">
        <f>tbl_Data_old[[#This Row],[Lost Revenue ($/unit)]]/tbl_Data_old[[#This Row],[kWh Savings]]*tbl_Data_old[[#This Row],[Sum of Annuals]]</f>
        <v>11634.753919369628</v>
      </c>
      <c r="BA671" s="4">
        <f>tbl_Data_old[[#This Row],[Incremental Cost ($/unit)]]/tbl_Data_old[[#This Row],[kWh Savings]]*tbl_Data_old[[#This Row],[Sum of Annuals]]</f>
        <v>3179.0017838388867</v>
      </c>
      <c r="BB671">
        <f>ROUNDUP(tbl_Data_old[[#This Row],[Adjusted 2025]]/$L671,0)</f>
        <v>1</v>
      </c>
      <c r="BC671">
        <f>ROUNDUP(tbl_Data_old[[#This Row],[Adjusted 2026]]/$L671,0)</f>
        <v>1</v>
      </c>
      <c r="BD671">
        <f>ROUNDUP(tbl_Data_old[[#This Row],[Adjusted 2027]]/$L671,0)</f>
        <v>1</v>
      </c>
      <c r="BE671">
        <f>ROUNDUP(tbl_Data_old[[#This Row],[Adjusted 2028]]/$L671,0)</f>
        <v>1</v>
      </c>
      <c r="BF671">
        <f>ROUNDUP(tbl_Data_old[[#This Row],[Adjusted 2029]]/$L671,0)</f>
        <v>1</v>
      </c>
      <c r="BG671">
        <f>ROUNDUP(tbl_Data_old[[#This Row],[Adjusted 2030]]/$L671,0)</f>
        <v>1</v>
      </c>
      <c r="BH671">
        <f>ROUNDUP(tbl_Data_old[[#This Row],[Adjusted 2031]]/$L671,0)</f>
        <v>1</v>
      </c>
      <c r="BI671">
        <f>ROUNDUP(tbl_Data_old[[#This Row],[Adjusted 2032]]/$L671,0)</f>
        <v>1</v>
      </c>
      <c r="BJ671">
        <f>ROUNDUP(tbl_Data_old[[#This Row],[Adjusted 2033]]/$L671,0)</f>
        <v>1</v>
      </c>
      <c r="BK671">
        <f>ROUNDUP(tbl_Data_old[[#This Row],[Adjusted 2034]]/$L671,0)</f>
        <v>1</v>
      </c>
      <c r="BL671" s="3">
        <f t="shared" si="45"/>
        <v>3.2232353614850258</v>
      </c>
      <c r="BM671" s="3">
        <f t="shared" si="45"/>
        <v>2.6942603361129254</v>
      </c>
      <c r="BN671" s="3">
        <f t="shared" si="45"/>
        <v>2.2315253846292937</v>
      </c>
      <c r="BO671" s="3">
        <f t="shared" si="45"/>
        <v>1.8606501528005466</v>
      </c>
      <c r="BP671" s="3">
        <f t="shared" si="45"/>
        <v>1.5460134821794387</v>
      </c>
      <c r="BQ671" s="3">
        <f t="shared" si="44"/>
        <v>1.2910661709840898</v>
      </c>
      <c r="BR671" s="3">
        <f t="shared" si="44"/>
        <v>1.0870258959087591</v>
      </c>
      <c r="BS671" s="3">
        <f t="shared" si="44"/>
        <v>0.91800501544388169</v>
      </c>
      <c r="BT671" s="3">
        <f t="shared" si="44"/>
        <v>0.78718999432927761</v>
      </c>
      <c r="BU671" s="3">
        <f t="shared" si="44"/>
        <v>0.68256733690159377</v>
      </c>
      <c r="BV671">
        <f>VLOOKUP($H671,'1. Set Program Names'!$B$2:$D$15,3,0)*V671</f>
        <v>108.38643363868907</v>
      </c>
      <c r="BW671">
        <f>VLOOKUP($H671,'1. Set Program Names'!$B$2:$D$15,3,0)*W671</f>
        <v>90.59880411305555</v>
      </c>
      <c r="BX671">
        <f>VLOOKUP($H671,'1. Set Program Names'!$B$2:$D$15,3,0)*X671</f>
        <v>75.038602797761172</v>
      </c>
      <c r="BY671">
        <f>VLOOKUP($H671,'1. Set Program Names'!$B$2:$D$15,3,0)*Y671</f>
        <v>62.567331173240483</v>
      </c>
      <c r="BZ671">
        <f>VLOOKUP($H671,'1. Set Program Names'!$B$2:$D$15,3,0)*Z671</f>
        <v>51.987170931742952</v>
      </c>
      <c r="CA671">
        <f>VLOOKUP($H671,'1. Set Program Names'!$B$2:$D$15,3,0)*AA671</f>
        <v>43.414160671174905</v>
      </c>
      <c r="CB671">
        <f>VLOOKUP($H671,'1. Set Program Names'!$B$2:$D$15,3,0)*AB671</f>
        <v>36.552980752906954</v>
      </c>
      <c r="CC671">
        <f>VLOOKUP($H671,'1. Set Program Names'!$B$2:$D$15,3,0)*AC671</f>
        <v>30.869383872901597</v>
      </c>
      <c r="CD671">
        <f>VLOOKUP($H671,'1. Set Program Names'!$B$2:$D$15,3,0)*AD671</f>
        <v>26.470519993954419</v>
      </c>
      <c r="CE671">
        <f>VLOOKUP($H671,'1. Set Program Names'!$B$2:$D$15,3,0)*AE671</f>
        <v>22.952416149634317</v>
      </c>
    </row>
    <row r="672" spans="1:83" x14ac:dyDescent="0.25">
      <c r="A672" s="20" t="s">
        <v>113</v>
      </c>
      <c r="B672" s="20" t="s">
        <v>88</v>
      </c>
      <c r="C672" s="20" t="s">
        <v>176</v>
      </c>
      <c r="D672" s="20" t="s">
        <v>90</v>
      </c>
      <c r="E672" s="20" t="s">
        <v>91</v>
      </c>
      <c r="F672" s="20" t="s">
        <v>90</v>
      </c>
      <c r="G672" s="20" t="s">
        <v>92</v>
      </c>
      <c r="H672" s="20" t="s">
        <v>14</v>
      </c>
      <c r="I672" s="20" t="s">
        <v>157</v>
      </c>
      <c r="J672" s="20" t="s">
        <v>158</v>
      </c>
      <c r="K672" s="20" t="s">
        <v>159</v>
      </c>
      <c r="L672" s="20">
        <v>562.52</v>
      </c>
      <c r="M672" s="20">
        <v>6.7473359330379998E-2</v>
      </c>
      <c r="N672" s="20">
        <v>6.4973258375617293E-2</v>
      </c>
      <c r="O672" s="20">
        <v>169</v>
      </c>
      <c r="P672" s="20">
        <v>55.847956108163899</v>
      </c>
      <c r="Q672" s="20">
        <v>20.025540405413601</v>
      </c>
      <c r="R672" s="20">
        <v>240.47921618074301</v>
      </c>
      <c r="S672" s="20">
        <v>597.43584258705596</v>
      </c>
      <c r="T672" s="20">
        <v>15</v>
      </c>
      <c r="U672" s="20">
        <v>0.2</v>
      </c>
      <c r="V672" s="20">
        <v>608.41479809683301</v>
      </c>
      <c r="W672" s="20">
        <v>1300.5883679732001</v>
      </c>
      <c r="X672" s="20">
        <v>2065.7517983592802</v>
      </c>
      <c r="Y672" s="20">
        <v>2904.1773169247099</v>
      </c>
      <c r="Z672" s="20">
        <v>3805.0040715934801</v>
      </c>
      <c r="AA672" s="20">
        <v>4764.4058621665899</v>
      </c>
      <c r="AB672" s="20">
        <v>5779.1972681590096</v>
      </c>
      <c r="AC672" s="20">
        <v>6843.6731294670299</v>
      </c>
      <c r="AD672" s="20">
        <v>7957.4147782298496</v>
      </c>
      <c r="AE672" s="20">
        <v>9117.8231982933503</v>
      </c>
      <c r="AF672" t="str">
        <f t="shared" si="43"/>
        <v>NonResidential</v>
      </c>
      <c r="AG672" t="str">
        <f>tbl_Data_old[[#This Row],[All_Meas_Name_Append]]</f>
        <v>LED Exterior Wall Packs</v>
      </c>
      <c r="AH672">
        <f>AVERAGEIFS('3. Incentive Adjustment'!G:G,'3. Incentive Adjustment'!A:A,tbl_Data_old[[#This Row],[Trimmed Sector]],'3. Incentive Adjustment'!B:B,tbl_Data_old[[#This Row],[Trimmed Measure Name]])</f>
        <v>0.80637708305213962</v>
      </c>
      <c r="AI672">
        <f>$AH672*tbl_Data_old[[#This Row],[2025 ]]</f>
        <v>490.61175017508066</v>
      </c>
      <c r="AJ672">
        <f>$AH672*tbl_Data_old[[#This Row],[2026 ]]</f>
        <v>1048.7646544177719</v>
      </c>
      <c r="AK672">
        <f>$AH672*tbl_Data_old[[#This Row],[2027 ]]</f>
        <v>1665.774909470668</v>
      </c>
      <c r="AL672">
        <f>$AH672*tbl_Data_old[[#This Row],[2028 ]]</f>
        <v>2341.862033487937</v>
      </c>
      <c r="AM672">
        <f>$AH672*tbl_Data_old[[#This Row],[2029 ]]</f>
        <v>3068.2680842530654</v>
      </c>
      <c r="AN672">
        <f>$AH672*tbl_Data_old[[#This Row],[2030 ]]</f>
        <v>3841.9077016104093</v>
      </c>
      <c r="AO672">
        <f>$AH672*tbl_Data_old[[#This Row],[2031 ]]</f>
        <v>4660.2122354809562</v>
      </c>
      <c r="AP672">
        <f>$AH672*tbl_Data_old[[#This Row],[2032 ]]</f>
        <v>5518.5811755019313</v>
      </c>
      <c r="AQ672">
        <f>$AH672*tbl_Data_old[[#This Row],[2033 ]]</f>
        <v>6416.6769175049749</v>
      </c>
      <c r="AR672">
        <f>$AH672*tbl_Data_old[[#This Row],[2034 ]]</f>
        <v>7352.4036744249224</v>
      </c>
      <c r="AS672">
        <f>SUM(tbl_Data_old[[#This Row],[Adjusted 2025]:[Adjusted 2034]])</f>
        <v>36405.063136327713</v>
      </c>
      <c r="AT672" s="3">
        <f>AVERAGEIFS('3. Incentive Adjustment'!F:F,'3. Incentive Adjustment'!A:A,tbl_Data_old[[#This Row],[Trimmed Sector]],'3. Incentive Adjustment'!B:B,tbl_Data_old[[#This Row],[Trimmed Measure Name]])</f>
        <v>8.6864493556481861</v>
      </c>
      <c r="AU672" s="3">
        <f>IFERROR(VLOOKUP(tbl_Data_old[[#This Row],[All_Meas_Name_Append]],'IRA Tax Credits'!$A$3:$D$46,4,0),0)</f>
        <v>0</v>
      </c>
      <c r="AV672" s="4">
        <f>tbl_Data_old[[#This Row],[Adj. per unit Incentive ($)]]/tbl_Data_old[[#This Row],[kWh Savings]]*tbl_Data_old[[#This Row],[Sum of Annuals]]</f>
        <v>562.16798908996191</v>
      </c>
      <c r="AW672" s="4">
        <f>IFERROR(VLOOKUP(tbl_Data_old[[#This Row],[All_Programs]],'1. Set Program Names'!$B$2:$D$15,3,0)*tbl_Data_old[[#This Row],[Sum of Annuals]],"")</f>
        <v>1296.0091424272327</v>
      </c>
      <c r="AX672" s="4">
        <f>tbl_Data_old[[#This Row],[per unit IRA tax ($)]]/tbl_Data_old[[#This Row],[kWh Savings]]*tbl_Data_old[[#This Row],[Sum of Annuals]]</f>
        <v>0</v>
      </c>
      <c r="AY672" s="4">
        <f>tbl_Data_old[[#This Row],[Avoided Costs ($/unit)]]/tbl_Data_old[[#This Row],[kWh Savings]]*tbl_Data_old[[#This Row],[Sum of Annuals]]</f>
        <v>15563.288501803581</v>
      </c>
      <c r="AZ672" s="4">
        <f>tbl_Data_old[[#This Row],[Lost Revenue ($/unit)]]/tbl_Data_old[[#This Row],[kWh Savings]]*tbl_Data_old[[#This Row],[Sum of Annuals]]</f>
        <v>38664.74004353075</v>
      </c>
      <c r="BA672" s="4">
        <f>tbl_Data_old[[#This Row],[Incremental Cost ($/unit)]]/tbl_Data_old[[#This Row],[kWh Savings]]*tbl_Data_old[[#This Row],[Sum of Annuals]]</f>
        <v>10937.310086822485</v>
      </c>
      <c r="BB672">
        <f>ROUNDUP(tbl_Data_old[[#This Row],[Adjusted 2025]]/$L672,0)</f>
        <v>1</v>
      </c>
      <c r="BC672">
        <f>ROUNDUP(tbl_Data_old[[#This Row],[Adjusted 2026]]/$L672,0)</f>
        <v>2</v>
      </c>
      <c r="BD672">
        <f>ROUNDUP(tbl_Data_old[[#This Row],[Adjusted 2027]]/$L672,0)</f>
        <v>3</v>
      </c>
      <c r="BE672">
        <f>ROUNDUP(tbl_Data_old[[#This Row],[Adjusted 2028]]/$L672,0)</f>
        <v>5</v>
      </c>
      <c r="BF672">
        <f>ROUNDUP(tbl_Data_old[[#This Row],[Adjusted 2029]]/$L672,0)</f>
        <v>6</v>
      </c>
      <c r="BG672">
        <f>ROUNDUP(tbl_Data_old[[#This Row],[Adjusted 2030]]/$L672,0)</f>
        <v>7</v>
      </c>
      <c r="BH672">
        <f>ROUNDUP(tbl_Data_old[[#This Row],[Adjusted 2031]]/$L672,0)</f>
        <v>9</v>
      </c>
      <c r="BI672">
        <f>ROUNDUP(tbl_Data_old[[#This Row],[Adjusted 2032]]/$L672,0)</f>
        <v>10</v>
      </c>
      <c r="BJ672">
        <f>ROUNDUP(tbl_Data_old[[#This Row],[Adjusted 2033]]/$L672,0)</f>
        <v>12</v>
      </c>
      <c r="BK672">
        <f>ROUNDUP(tbl_Data_old[[#This Row],[Adjusted 2034]]/$L672,0)</f>
        <v>14</v>
      </c>
      <c r="BL672" s="3">
        <f t="shared" si="45"/>
        <v>9.3951580937478774</v>
      </c>
      <c r="BM672" s="3">
        <f t="shared" si="45"/>
        <v>20.08372145158275</v>
      </c>
      <c r="BN672" s="3">
        <f t="shared" si="45"/>
        <v>31.899396248643693</v>
      </c>
      <c r="BO672" s="3">
        <f t="shared" si="45"/>
        <v>44.846386232113922</v>
      </c>
      <c r="BP672" s="3">
        <f t="shared" si="45"/>
        <v>58.756977824667409</v>
      </c>
      <c r="BQ672" s="3">
        <f t="shared" si="44"/>
        <v>73.572086737295407</v>
      </c>
      <c r="BR672" s="3">
        <f t="shared" si="44"/>
        <v>89.24252361900659</v>
      </c>
      <c r="BS672" s="3">
        <f t="shared" si="44"/>
        <v>105.68018923011748</v>
      </c>
      <c r="BT672" s="3">
        <f t="shared" si="44"/>
        <v>122.87861848997375</v>
      </c>
      <c r="BU672" s="3">
        <f t="shared" si="44"/>
        <v>140.79767731943639</v>
      </c>
      <c r="BV672">
        <f>VLOOKUP($H672,'1. Set Program Names'!$B$2:$D$15,3,0)*V672</f>
        <v>21.659381217627356</v>
      </c>
      <c r="BW672">
        <f>VLOOKUP($H672,'1. Set Program Names'!$B$2:$D$15,3,0)*W672</f>
        <v>46.300549160311391</v>
      </c>
      <c r="BX672">
        <f>VLOOKUP($H672,'1. Set Program Names'!$B$2:$D$15,3,0)*X672</f>
        <v>73.540133871861897</v>
      </c>
      <c r="BY672">
        <f>VLOOKUP($H672,'1. Set Program Names'!$B$2:$D$15,3,0)*Y672</f>
        <v>103.38782657427592</v>
      </c>
      <c r="BZ672">
        <f>VLOOKUP($H672,'1. Set Program Names'!$B$2:$D$15,3,0)*Z672</f>
        <v>135.45698424670914</v>
      </c>
      <c r="CA672">
        <f>VLOOKUP($H672,'1. Set Program Names'!$B$2:$D$15,3,0)*AA672</f>
        <v>169.61139532924497</v>
      </c>
      <c r="CB672">
        <f>VLOOKUP($H672,'1. Set Program Names'!$B$2:$D$15,3,0)*AB672</f>
        <v>205.73765982431672</v>
      </c>
      <c r="CC672">
        <f>VLOOKUP($H672,'1. Set Program Names'!$B$2:$D$15,3,0)*AC672</f>
        <v>243.63267577256977</v>
      </c>
      <c r="CD672">
        <f>VLOOKUP($H672,'1. Set Program Names'!$B$2:$D$15,3,0)*AD672</f>
        <v>283.28153872587257</v>
      </c>
      <c r="CE672">
        <f>VLOOKUP($H672,'1. Set Program Names'!$B$2:$D$15,3,0)*AE672</f>
        <v>324.59172450195859</v>
      </c>
    </row>
    <row r="673" spans="1:83" x14ac:dyDescent="0.25">
      <c r="A673" s="20" t="s">
        <v>113</v>
      </c>
      <c r="B673" s="20" t="s">
        <v>88</v>
      </c>
      <c r="C673" s="20" t="s">
        <v>176</v>
      </c>
      <c r="D673" s="20" t="s">
        <v>90</v>
      </c>
      <c r="E673" s="20" t="s">
        <v>91</v>
      </c>
      <c r="F673" s="20" t="s">
        <v>90</v>
      </c>
      <c r="G673" s="20" t="s">
        <v>92</v>
      </c>
      <c r="H673" s="20" t="s">
        <v>14</v>
      </c>
      <c r="I673" s="20" t="s">
        <v>162</v>
      </c>
      <c r="J673" s="20" t="s">
        <v>161</v>
      </c>
      <c r="K673" s="20" t="s">
        <v>159</v>
      </c>
      <c r="L673" s="20">
        <v>725.58416666666596</v>
      </c>
      <c r="M673" s="20">
        <v>8.6917804178563804E-2</v>
      </c>
      <c r="N673" s="20">
        <v>8.3795205289933394E-2</v>
      </c>
      <c r="O673" s="20">
        <v>179</v>
      </c>
      <c r="P673" s="20">
        <v>33.0790753554421</v>
      </c>
      <c r="Q673" s="20">
        <v>25.8305749966432</v>
      </c>
      <c r="R673" s="20">
        <v>310.45187974046598</v>
      </c>
      <c r="S673" s="20">
        <v>770.62146764617603</v>
      </c>
      <c r="T673" s="20">
        <v>15</v>
      </c>
      <c r="U673" s="20">
        <v>0.2</v>
      </c>
      <c r="V673" s="20">
        <v>3125.9948888097301</v>
      </c>
      <c r="W673" s="20">
        <v>6682.3367930024397</v>
      </c>
      <c r="X673" s="20">
        <v>10613.695760557201</v>
      </c>
      <c r="Y673" s="20">
        <v>14921.4704791893</v>
      </c>
      <c r="Z673" s="20">
        <v>19549.8586111121</v>
      </c>
      <c r="AA673" s="20">
        <v>24479.201393417501</v>
      </c>
      <c r="AB673" s="20">
        <v>29693.132346877799</v>
      </c>
      <c r="AC673" s="20">
        <v>35162.3387371875</v>
      </c>
      <c r="AD673" s="20">
        <v>40884.669476639698</v>
      </c>
      <c r="AE673" s="20">
        <v>46846.770992574398</v>
      </c>
      <c r="AF673" t="str">
        <f t="shared" si="43"/>
        <v>NonResidential</v>
      </c>
      <c r="AG673" t="str">
        <f>tbl_Data_old[[#This Row],[All_Meas_Name_Append]]</f>
        <v>LED High Bay_LF Baseline</v>
      </c>
      <c r="AH673">
        <f>AVERAGEIFS('3. Incentive Adjustment'!G:G,'3. Incentive Adjustment'!A:A,tbl_Data_old[[#This Row],[Trimmed Sector]],'3. Incentive Adjustment'!B:B,tbl_Data_old[[#This Row],[Trimmed Measure Name]])</f>
        <v>0.93017466414143679</v>
      </c>
      <c r="AI673">
        <f>$AH673*tbl_Data_old[[#This Row],[2025 ]]</f>
        <v>2907.7212458064387</v>
      </c>
      <c r="AJ673">
        <f>$AH673*tbl_Data_old[[#This Row],[2026 ]]</f>
        <v>6215.7403821110101</v>
      </c>
      <c r="AK673">
        <f>$AH673*tbl_Data_old[[#This Row],[2027 ]]</f>
        <v>9872.5908893756859</v>
      </c>
      <c r="AL673">
        <f>$AH673*tbl_Data_old[[#This Row],[2028 ]]</f>
        <v>13879.57379147627</v>
      </c>
      <c r="AM673">
        <f>$AH673*tbl_Data_old[[#This Row],[2029 ]]</f>
        <v>18184.783167603775</v>
      </c>
      <c r="AN673">
        <f>$AH673*tbl_Data_old[[#This Row],[2030 ]]</f>
        <v>22769.932934572716</v>
      </c>
      <c r="AO673">
        <f>$AH673*tbl_Data_old[[#This Row],[2031 ]]</f>
        <v>27619.799408064289</v>
      </c>
      <c r="AP673">
        <f>$AH673*tbl_Data_old[[#This Row],[2032 ]]</f>
        <v>32707.116625290815</v>
      </c>
      <c r="AQ673">
        <f>$AH673*tbl_Data_old[[#This Row],[2033 ]]</f>
        <v>38029.88369896698</v>
      </c>
      <c r="AR673">
        <f>$AH673*tbl_Data_old[[#This Row],[2034 ]]</f>
        <v>43575.679474128694</v>
      </c>
      <c r="AS673">
        <f>SUM(tbl_Data_old[[#This Row],[Adjusted 2025]:[Adjusted 2034]])</f>
        <v>215762.82161739666</v>
      </c>
      <c r="AT673" s="3">
        <f>AVERAGEIFS('3. Incentive Adjustment'!F:F,'3. Incentive Adjustment'!A:A,tbl_Data_old[[#This Row],[Trimmed Sector]],'3. Incentive Adjustment'!B:B,tbl_Data_old[[#This Row],[Trimmed Measure Name]])</f>
        <v>23.858858929800434</v>
      </c>
      <c r="AU673" s="3">
        <f>IFERROR(VLOOKUP(tbl_Data_old[[#This Row],[All_Meas_Name_Append]],'IRA Tax Credits'!$A$3:$D$46,4,0),0)</f>
        <v>0</v>
      </c>
      <c r="AV673" s="4">
        <f>tbl_Data_old[[#This Row],[Adj. per unit Incentive ($)]]/tbl_Data_old[[#This Row],[kWh Savings]]*tbl_Data_old[[#This Row],[Sum of Annuals]]</f>
        <v>7094.7726807689442</v>
      </c>
      <c r="AW673" s="4">
        <f>IFERROR(VLOOKUP(tbl_Data_old[[#This Row],[All_Programs]],'1. Set Program Names'!$B$2:$D$15,3,0)*tbl_Data_old[[#This Row],[Sum of Annuals]],"")</f>
        <v>7681.0906319512951</v>
      </c>
      <c r="AX673" s="4">
        <f>tbl_Data_old[[#This Row],[per unit IRA tax ($)]]/tbl_Data_old[[#This Row],[kWh Savings]]*tbl_Data_old[[#This Row],[Sum of Annuals]]</f>
        <v>0</v>
      </c>
      <c r="AY673" s="4">
        <f>tbl_Data_old[[#This Row],[Avoided Costs ($/unit)]]/tbl_Data_old[[#This Row],[kWh Savings]]*tbl_Data_old[[#This Row],[Sum of Annuals]]</f>
        <v>92317.303252291254</v>
      </c>
      <c r="AZ673" s="4">
        <f>tbl_Data_old[[#This Row],[Lost Revenue ($/unit)]]/tbl_Data_old[[#This Row],[kWh Savings]]*tbl_Data_old[[#This Row],[Sum of Annuals]]</f>
        <v>229155.30671256167</v>
      </c>
      <c r="BA673" s="4">
        <f>tbl_Data_old[[#This Row],[Incremental Cost ($/unit)]]/tbl_Data_old[[#This Row],[kWh Savings]]*tbl_Data_old[[#This Row],[Sum of Annuals]]</f>
        <v>53228.208171825747</v>
      </c>
      <c r="BB673">
        <f>ROUNDUP(tbl_Data_old[[#This Row],[Adjusted 2025]]/$L673,0)</f>
        <v>5</v>
      </c>
      <c r="BC673">
        <f>ROUNDUP(tbl_Data_old[[#This Row],[Adjusted 2026]]/$L673,0)</f>
        <v>9</v>
      </c>
      <c r="BD673">
        <f>ROUNDUP(tbl_Data_old[[#This Row],[Adjusted 2027]]/$L673,0)</f>
        <v>14</v>
      </c>
      <c r="BE673">
        <f>ROUNDUP(tbl_Data_old[[#This Row],[Adjusted 2028]]/$L673,0)</f>
        <v>20</v>
      </c>
      <c r="BF673">
        <f>ROUNDUP(tbl_Data_old[[#This Row],[Adjusted 2029]]/$L673,0)</f>
        <v>26</v>
      </c>
      <c r="BG673">
        <f>ROUNDUP(tbl_Data_old[[#This Row],[Adjusted 2030]]/$L673,0)</f>
        <v>32</v>
      </c>
      <c r="BH673">
        <f>ROUNDUP(tbl_Data_old[[#This Row],[Adjusted 2031]]/$L673,0)</f>
        <v>39</v>
      </c>
      <c r="BI673">
        <f>ROUNDUP(tbl_Data_old[[#This Row],[Adjusted 2032]]/$L673,0)</f>
        <v>46</v>
      </c>
      <c r="BJ673">
        <f>ROUNDUP(tbl_Data_old[[#This Row],[Adjusted 2033]]/$L673,0)</f>
        <v>53</v>
      </c>
      <c r="BK673">
        <f>ROUNDUP(tbl_Data_old[[#This Row],[Adjusted 2034]]/$L673,0)</f>
        <v>61</v>
      </c>
      <c r="BL673" s="3">
        <f t="shared" si="45"/>
        <v>102.78982714027701</v>
      </c>
      <c r="BM673" s="3">
        <f t="shared" si="45"/>
        <v>219.73044367560445</v>
      </c>
      <c r="BN673" s="3">
        <f t="shared" si="45"/>
        <v>349.00247484491973</v>
      </c>
      <c r="BO673" s="3">
        <f t="shared" si="45"/>
        <v>490.65191268390805</v>
      </c>
      <c r="BP673" s="3">
        <f t="shared" si="45"/>
        <v>642.84384931231489</v>
      </c>
      <c r="BQ673" s="3">
        <f t="shared" si="44"/>
        <v>804.93185985966193</v>
      </c>
      <c r="BR673" s="3">
        <f t="shared" si="44"/>
        <v>976.37777723657439</v>
      </c>
      <c r="BS673" s="3">
        <f t="shared" si="44"/>
        <v>1156.217732019255</v>
      </c>
      <c r="BT673" s="3">
        <f t="shared" si="44"/>
        <v>1344.3809915477279</v>
      </c>
      <c r="BU673" s="3">
        <f t="shared" si="44"/>
        <v>1540.4284599583561</v>
      </c>
      <c r="BV673">
        <f>VLOOKUP($H673,'1. Set Program Names'!$B$2:$D$15,3,0)*V673</f>
        <v>111.28446446877606</v>
      </c>
      <c r="BW673">
        <f>VLOOKUP($H673,'1. Set Program Names'!$B$2:$D$15,3,0)*W673</f>
        <v>237.88915140946611</v>
      </c>
      <c r="BX673">
        <f>VLOOKUP($H673,'1. Set Program Names'!$B$2:$D$15,3,0)*X673</f>
        <v>377.84433140831646</v>
      </c>
      <c r="BY673">
        <f>VLOOKUP($H673,'1. Set Program Names'!$B$2:$D$15,3,0)*Y673</f>
        <v>531.19979732132697</v>
      </c>
      <c r="BZ673">
        <f>VLOOKUP($H673,'1. Set Program Names'!$B$2:$D$15,3,0)*Z673</f>
        <v>695.96900294558429</v>
      </c>
      <c r="CA673">
        <f>VLOOKUP($H673,'1. Set Program Names'!$B$2:$D$15,3,0)*AA673</f>
        <v>871.45210231839076</v>
      </c>
      <c r="CB673">
        <f>VLOOKUP($H673,'1. Set Program Names'!$B$2:$D$15,3,0)*AB673</f>
        <v>1057.0664537717726</v>
      </c>
      <c r="CC673">
        <f>VLOOKUP($H673,'1. Set Program Names'!$B$2:$D$15,3,0)*AC673</f>
        <v>1251.7685329061921</v>
      </c>
      <c r="CD673">
        <f>VLOOKUP($H673,'1. Set Program Names'!$B$2:$D$15,3,0)*AD673</f>
        <v>1455.4817616554647</v>
      </c>
      <c r="CE673">
        <f>VLOOKUP($H673,'1. Set Program Names'!$B$2:$D$15,3,0)*AE673</f>
        <v>1667.7307569063507</v>
      </c>
    </row>
    <row r="674" spans="1:83" x14ac:dyDescent="0.25">
      <c r="A674" s="20" t="s">
        <v>113</v>
      </c>
      <c r="B674" s="20" t="s">
        <v>88</v>
      </c>
      <c r="C674" s="20" t="s">
        <v>176</v>
      </c>
      <c r="D674" s="20" t="s">
        <v>90</v>
      </c>
      <c r="E674" s="20" t="s">
        <v>91</v>
      </c>
      <c r="F674" s="20" t="s">
        <v>90</v>
      </c>
      <c r="G674" s="20" t="s">
        <v>92</v>
      </c>
      <c r="H674" s="20" t="s">
        <v>14</v>
      </c>
      <c r="I674" s="20" t="s">
        <v>165</v>
      </c>
      <c r="J674" s="20" t="s">
        <v>161</v>
      </c>
      <c r="K674" s="20" t="s">
        <v>166</v>
      </c>
      <c r="L674" s="20">
        <v>565.38999999999896</v>
      </c>
      <c r="M674" s="20">
        <v>6.7728127941350899E-2</v>
      </c>
      <c r="N674" s="20">
        <v>6.5294935157718198E-2</v>
      </c>
      <c r="O674" s="20">
        <v>129</v>
      </c>
      <c r="P674" s="20">
        <v>15.293574707506</v>
      </c>
      <c r="Q674" s="20">
        <v>20.127711529930998</v>
      </c>
      <c r="R674" s="20">
        <v>190.6779313312</v>
      </c>
      <c r="S674" s="20">
        <v>454.767236260907</v>
      </c>
      <c r="T674" s="20">
        <v>10</v>
      </c>
      <c r="U674" s="20">
        <v>0.2</v>
      </c>
      <c r="V674" s="20">
        <v>374.02055050201699</v>
      </c>
      <c r="W674" s="20">
        <v>890.45469529712898</v>
      </c>
      <c r="X674" s="20">
        <v>1581.34257616063</v>
      </c>
      <c r="Y674" s="20">
        <v>2482.58278421659</v>
      </c>
      <c r="Z674" s="20">
        <v>3607.7100415034702</v>
      </c>
      <c r="AA674" s="20">
        <v>4943.2590218190398</v>
      </c>
      <c r="AB674" s="20">
        <v>6431.7165630994004</v>
      </c>
      <c r="AC674" s="20">
        <v>7966.8525529066101</v>
      </c>
      <c r="AD674" s="20">
        <v>9420.3433428737699</v>
      </c>
      <c r="AE674" s="20">
        <v>10678.1656647411</v>
      </c>
      <c r="AF674" t="str">
        <f t="shared" si="43"/>
        <v>NonResidential</v>
      </c>
      <c r="AG674" t="str">
        <f>tbl_Data_old[[#This Row],[All_Meas_Name_Append]]</f>
        <v>Occupancy Sensors_ Ceiling Mounted</v>
      </c>
      <c r="AH674">
        <f>AVERAGEIFS('3. Incentive Adjustment'!G:G,'3. Incentive Adjustment'!A:A,tbl_Data_old[[#This Row],[Trimmed Sector]],'3. Incentive Adjustment'!B:B,tbl_Data_old[[#This Row],[Trimmed Measure Name]])</f>
        <v>0.99348124042467356</v>
      </c>
      <c r="AI674">
        <f>$AH674*tbl_Data_old[[#This Row],[2025 ]]</f>
        <v>371.5824004570631</v>
      </c>
      <c r="AJ674">
        <f>$AH674*tbl_Data_old[[#This Row],[2026 ]]</f>
        <v>884.65003522576649</v>
      </c>
      <c r="AK674">
        <f>$AH674*tbl_Data_old[[#This Row],[2027 ]]</f>
        <v>1571.0341841004115</v>
      </c>
      <c r="AL674">
        <f>$AH674*tbl_Data_old[[#This Row],[2028 ]]</f>
        <v>2466.3994239204376</v>
      </c>
      <c r="AM674">
        <f>$AH674*tbl_Data_old[[#This Row],[2029 ]]</f>
        <v>3584.1922471254179</v>
      </c>
      <c r="AN674">
        <f>$AH674*tbl_Data_old[[#This Row],[2030 ]]</f>
        <v>4911.0351047372378</v>
      </c>
      <c r="AO674">
        <f>$AH674*tbl_Data_old[[#This Row],[2031 ]]</f>
        <v>6389.7897491679105</v>
      </c>
      <c r="AP674">
        <f>$AH674*tbl_Data_old[[#This Row],[2032 ]]</f>
        <v>7914.9185565421358</v>
      </c>
      <c r="AQ674">
        <f>$AH674*tbl_Data_old[[#This Row],[2033 ]]</f>
        <v>9358.9343895045495</v>
      </c>
      <c r="AR674">
        <f>$AH674*tbl_Data_old[[#This Row],[2034 ]]</f>
        <v>10608.557270067147</v>
      </c>
      <c r="AS674">
        <f>SUM(tbl_Data_old[[#This Row],[Adjusted 2025]:[Adjusted 2034]])</f>
        <v>48061.093360848077</v>
      </c>
      <c r="AT674" s="3">
        <f>AVERAGEIFS('3. Incentive Adjustment'!F:F,'3. Incentive Adjustment'!A:A,tbl_Data_old[[#This Row],[Trimmed Sector]],'3. Incentive Adjustment'!B:B,tbl_Data_old[[#This Row],[Trimmed Measure Name]])</f>
        <v>19.547634357270656</v>
      </c>
      <c r="AU674" s="3">
        <f>IFERROR(VLOOKUP(tbl_Data_old[[#This Row],[All_Meas_Name_Append]],'IRA Tax Credits'!$A$3:$D$46,4,0),0)</f>
        <v>0</v>
      </c>
      <c r="AV674" s="4">
        <f>tbl_Data_old[[#This Row],[Adj. per unit Incentive ($)]]/tbl_Data_old[[#This Row],[kWh Savings]]*tbl_Data_old[[#This Row],[Sum of Annuals]]</f>
        <v>1661.6506832956159</v>
      </c>
      <c r="AW674" s="4">
        <f>IFERROR(VLOOKUP(tbl_Data_old[[#This Row],[All_Programs]],'1. Set Program Names'!$B$2:$D$15,3,0)*tbl_Data_old[[#This Row],[Sum of Annuals]],"")</f>
        <v>1710.9602627924744</v>
      </c>
      <c r="AX674" s="4">
        <f>tbl_Data_old[[#This Row],[per unit IRA tax ($)]]/tbl_Data_old[[#This Row],[kWh Savings]]*tbl_Data_old[[#This Row],[Sum of Annuals]]</f>
        <v>0</v>
      </c>
      <c r="AY674" s="4">
        <f>tbl_Data_old[[#This Row],[Avoided Costs ($/unit)]]/tbl_Data_old[[#This Row],[kWh Savings]]*tbl_Data_old[[#This Row],[Sum of Annuals]]</f>
        <v>16208.616812398874</v>
      </c>
      <c r="AZ674" s="4">
        <f>tbl_Data_old[[#This Row],[Lost Revenue ($/unit)]]/tbl_Data_old[[#This Row],[kWh Savings]]*tbl_Data_old[[#This Row],[Sum of Annuals]]</f>
        <v>38657.582552557258</v>
      </c>
      <c r="BA674" s="4">
        <f>tbl_Data_old[[#This Row],[Incremental Cost ($/unit)]]/tbl_Data_old[[#This Row],[kWh Savings]]*tbl_Data_old[[#This Row],[Sum of Annuals]]</f>
        <v>10965.671560426277</v>
      </c>
      <c r="BB674">
        <f>ROUNDUP(tbl_Data_old[[#This Row],[Adjusted 2025]]/$L674,0)</f>
        <v>1</v>
      </c>
      <c r="BC674">
        <f>ROUNDUP(tbl_Data_old[[#This Row],[Adjusted 2026]]/$L674,0)</f>
        <v>2</v>
      </c>
      <c r="BD674">
        <f>ROUNDUP(tbl_Data_old[[#This Row],[Adjusted 2027]]/$L674,0)</f>
        <v>3</v>
      </c>
      <c r="BE674">
        <f>ROUNDUP(tbl_Data_old[[#This Row],[Adjusted 2028]]/$L674,0)</f>
        <v>5</v>
      </c>
      <c r="BF674">
        <f>ROUNDUP(tbl_Data_old[[#This Row],[Adjusted 2029]]/$L674,0)</f>
        <v>7</v>
      </c>
      <c r="BG674">
        <f>ROUNDUP(tbl_Data_old[[#This Row],[Adjusted 2030]]/$L674,0)</f>
        <v>9</v>
      </c>
      <c r="BH674">
        <f>ROUNDUP(tbl_Data_old[[#This Row],[Adjusted 2031]]/$L674,0)</f>
        <v>12</v>
      </c>
      <c r="BI674">
        <f>ROUNDUP(tbl_Data_old[[#This Row],[Adjusted 2032]]/$L674,0)</f>
        <v>14</v>
      </c>
      <c r="BJ674">
        <f>ROUNDUP(tbl_Data_old[[#This Row],[Adjusted 2033]]/$L674,0)</f>
        <v>17</v>
      </c>
      <c r="BK674">
        <f>ROUNDUP(tbl_Data_old[[#This Row],[Adjusted 2034]]/$L674,0)</f>
        <v>19</v>
      </c>
      <c r="BL674" s="3">
        <f t="shared" si="45"/>
        <v>12.931280997751154</v>
      </c>
      <c r="BM674" s="3">
        <f t="shared" si="45"/>
        <v>30.786329428152538</v>
      </c>
      <c r="BN674" s="3">
        <f t="shared" si="45"/>
        <v>54.672892114067238</v>
      </c>
      <c r="BO674" s="3">
        <f t="shared" si="45"/>
        <v>85.832116817631984</v>
      </c>
      <c r="BP674" s="3">
        <f t="shared" si="45"/>
        <v>124.73194920031077</v>
      </c>
      <c r="BQ674" s="3">
        <f t="shared" si="44"/>
        <v>170.90684287270412</v>
      </c>
      <c r="BR674" s="3">
        <f t="shared" si="44"/>
        <v>222.36835399470951</v>
      </c>
      <c r="BS674" s="3">
        <f t="shared" si="44"/>
        <v>275.44371262757915</v>
      </c>
      <c r="BT674" s="3">
        <f t="shared" si="44"/>
        <v>325.69629315418655</v>
      </c>
      <c r="BU674" s="3">
        <f t="shared" si="44"/>
        <v>369.18388726493458</v>
      </c>
      <c r="BV674">
        <f>VLOOKUP($H674,'1. Set Program Names'!$B$2:$D$15,3,0)*V674</f>
        <v>13.315017504325557</v>
      </c>
      <c r="BW674">
        <f>VLOOKUP($H674,'1. Set Program Names'!$B$2:$D$15,3,0)*W674</f>
        <v>31.699915522760062</v>
      </c>
      <c r="BX674">
        <f>VLOOKUP($H674,'1. Set Program Names'!$B$2:$D$15,3,0)*X674</f>
        <v>56.295313328780601</v>
      </c>
      <c r="BY674">
        <f>VLOOKUP($H674,'1. Set Program Names'!$B$2:$D$15,3,0)*Y674</f>
        <v>88.379189815675403</v>
      </c>
      <c r="BZ674">
        <f>VLOOKUP($H674,'1. Set Program Names'!$B$2:$D$15,3,0)*Z674</f>
        <v>128.43337695929822</v>
      </c>
      <c r="CA674">
        <f>VLOOKUP($H674,'1. Set Program Names'!$B$2:$D$15,3,0)*AA674</f>
        <v>175.97851325439615</v>
      </c>
      <c r="CB674">
        <f>VLOOKUP($H674,'1. Set Program Names'!$B$2:$D$15,3,0)*AB674</f>
        <v>228.96714767566573</v>
      </c>
      <c r="CC674">
        <f>VLOOKUP($H674,'1. Set Program Names'!$B$2:$D$15,3,0)*AC674</f>
        <v>283.61752062540796</v>
      </c>
      <c r="CD674">
        <f>VLOOKUP($H674,'1. Set Program Names'!$B$2:$D$15,3,0)*AD674</f>
        <v>335.36134936640212</v>
      </c>
      <c r="CE674">
        <f>VLOOKUP($H674,'1. Set Program Names'!$B$2:$D$15,3,0)*AE674</f>
        <v>380.13944033096425</v>
      </c>
    </row>
    <row r="675" spans="1:83" x14ac:dyDescent="0.25">
      <c r="A675" s="20" t="s">
        <v>113</v>
      </c>
      <c r="B675" s="20" t="s">
        <v>88</v>
      </c>
      <c r="C675" s="20" t="s">
        <v>176</v>
      </c>
      <c r="D675" s="20" t="s">
        <v>90</v>
      </c>
      <c r="E675" s="20" t="s">
        <v>91</v>
      </c>
      <c r="F675" s="20" t="s">
        <v>90</v>
      </c>
      <c r="G675" s="20" t="s">
        <v>92</v>
      </c>
      <c r="H675" s="20" t="s">
        <v>14</v>
      </c>
      <c r="I675" s="20" t="s">
        <v>155</v>
      </c>
      <c r="J675" s="20" t="s">
        <v>129</v>
      </c>
      <c r="K675" s="20" t="s">
        <v>102</v>
      </c>
      <c r="L675" s="20">
        <v>47228.7699999998</v>
      </c>
      <c r="M675" s="20">
        <v>5.6581998938837703</v>
      </c>
      <c r="N675" s="20">
        <v>5.4505995734426298</v>
      </c>
      <c r="O675" s="20">
        <v>11124</v>
      </c>
      <c r="P675" s="20">
        <v>2435.8852359673701</v>
      </c>
      <c r="Q675" s="20">
        <v>1681.32980504335</v>
      </c>
      <c r="R675" s="20">
        <v>16918.542729362998</v>
      </c>
      <c r="S675" s="20">
        <v>40712.4661763408</v>
      </c>
      <c r="T675" s="20">
        <v>11</v>
      </c>
      <c r="U675" s="20">
        <v>0.94999999999999896</v>
      </c>
      <c r="V675" s="20">
        <v>3044.58883086885</v>
      </c>
      <c r="W675" s="20">
        <v>5589.5208655568504</v>
      </c>
      <c r="X675" s="20">
        <v>7697.3648483532097</v>
      </c>
      <c r="Y675" s="20">
        <v>9454.8892106948497</v>
      </c>
      <c r="Z675" s="20">
        <v>10915.2155140298</v>
      </c>
      <c r="AA675" s="20">
        <v>12134.7248589136</v>
      </c>
      <c r="AB675" s="20">
        <v>13161.502779352</v>
      </c>
      <c r="AC675" s="20">
        <v>14028.6277340169</v>
      </c>
      <c r="AD675" s="20">
        <v>14772.1880377865</v>
      </c>
      <c r="AE675" s="20">
        <v>15416.924353067199</v>
      </c>
      <c r="AF675" t="str">
        <f t="shared" si="43"/>
        <v>NonResidential</v>
      </c>
      <c r="AG675" t="str">
        <f>tbl_Data_old[[#This Row],[All_Meas_Name_Append]]</f>
        <v>Smart thermostat</v>
      </c>
      <c r="AH675">
        <f>AVERAGEIFS('3. Incentive Adjustment'!G:G,'3. Incentive Adjustment'!A:A,tbl_Data_old[[#This Row],[Trimmed Sector]],'3. Incentive Adjustment'!B:B,tbl_Data_old[[#This Row],[Trimmed Measure Name]])</f>
        <v>0.87546479230069263</v>
      </c>
      <c r="AI675">
        <f>$AH675*tbl_Data_old[[#This Row],[2025 ]]</f>
        <v>2665.4303284576063</v>
      </c>
      <c r="AJ675">
        <f>$AH675*tbl_Data_old[[#This Row],[2026 ]]</f>
        <v>4893.4287236251157</v>
      </c>
      <c r="AK675">
        <f>$AH675*tbl_Data_old[[#This Row],[2027 ]]</f>
        <v>6738.7719182261953</v>
      </c>
      <c r="AL675">
        <f>$AH675*tbl_Data_old[[#This Row],[2028 ]]</f>
        <v>8277.422619067027</v>
      </c>
      <c r="AM675">
        <f>$AH675*tbl_Data_old[[#This Row],[2029 ]]</f>
        <v>9555.8868829073963</v>
      </c>
      <c r="AN675">
        <f>$AH675*tbl_Data_old[[#This Row],[2030 ]]</f>
        <v>10623.524378234846</v>
      </c>
      <c r="AO675">
        <f>$AH675*tbl_Data_old[[#This Row],[2031 ]]</f>
        <v>11522.432297090389</v>
      </c>
      <c r="AP675">
        <f>$AH675*tbl_Data_old[[#This Row],[2032 ]]</f>
        <v>12281.569665424842</v>
      </c>
      <c r="AQ675">
        <f>$AH675*tbl_Data_old[[#This Row],[2033 ]]</f>
        <v>12932.530532327535</v>
      </c>
      <c r="AR675">
        <f>$AH675*tbl_Data_old[[#This Row],[2034 ]]</f>
        <v>13496.974476673466</v>
      </c>
      <c r="AS675">
        <f>SUM(tbl_Data_old[[#This Row],[Adjusted 2025]:[Adjusted 2034]])</f>
        <v>92987.971822034422</v>
      </c>
      <c r="AT675" s="3">
        <f>AVERAGEIFS('3. Incentive Adjustment'!F:F,'3. Incentive Adjustment'!A:A,tbl_Data_old[[#This Row],[Trimmed Sector]],'3. Incentive Adjustment'!B:B,tbl_Data_old[[#This Row],[Trimmed Measure Name]])</f>
        <v>50</v>
      </c>
      <c r="AU675" s="3">
        <f>IFERROR(VLOOKUP(tbl_Data_old[[#This Row],[All_Meas_Name_Append]],'IRA Tax Credits'!$A$3:$D$46,4,0),0)</f>
        <v>0</v>
      </c>
      <c r="AV675" s="4">
        <f>tbl_Data_old[[#This Row],[Adj. per unit Incentive ($)]]/tbl_Data_old[[#This Row],[kWh Savings]]*tbl_Data_old[[#This Row],[Sum of Annuals]]</f>
        <v>98.444202360166074</v>
      </c>
      <c r="AW675" s="4">
        <f>IFERROR(VLOOKUP(tbl_Data_old[[#This Row],[All_Programs]],'1. Set Program Names'!$B$2:$D$15,3,0)*tbl_Data_old[[#This Row],[Sum of Annuals]],"")</f>
        <v>3310.3434312373242</v>
      </c>
      <c r="AX675" s="4">
        <f>tbl_Data_old[[#This Row],[per unit IRA tax ($)]]/tbl_Data_old[[#This Row],[kWh Savings]]*tbl_Data_old[[#This Row],[Sum of Annuals]]</f>
        <v>0</v>
      </c>
      <c r="AY675" s="4">
        <f>tbl_Data_old[[#This Row],[Avoided Costs ($/unit)]]/tbl_Data_old[[#This Row],[kWh Savings]]*tbl_Data_old[[#This Row],[Sum of Annuals]]</f>
        <v>33310.648881770547</v>
      </c>
      <c r="AZ675" s="4">
        <f>tbl_Data_old[[#This Row],[Lost Revenue ($/unit)]]/tbl_Data_old[[#This Row],[kWh Savings]]*tbl_Data_old[[#This Row],[Sum of Annuals]]</f>
        <v>80158.125176902206</v>
      </c>
      <c r="BA675" s="4">
        <f>tbl_Data_old[[#This Row],[Incremental Cost ($/unit)]]/tbl_Data_old[[#This Row],[kWh Savings]]*tbl_Data_old[[#This Row],[Sum of Annuals]]</f>
        <v>21901.866141089748</v>
      </c>
      <c r="BB675">
        <f>ROUNDUP(tbl_Data_old[[#This Row],[Adjusted 2025]]/$L675,0)</f>
        <v>1</v>
      </c>
      <c r="BC675">
        <f>ROUNDUP(tbl_Data_old[[#This Row],[Adjusted 2026]]/$L675,0)</f>
        <v>1</v>
      </c>
      <c r="BD675">
        <f>ROUNDUP(tbl_Data_old[[#This Row],[Adjusted 2027]]/$L675,0)</f>
        <v>1</v>
      </c>
      <c r="BE675">
        <f>ROUNDUP(tbl_Data_old[[#This Row],[Adjusted 2028]]/$L675,0)</f>
        <v>1</v>
      </c>
      <c r="BF675">
        <f>ROUNDUP(tbl_Data_old[[#This Row],[Adjusted 2029]]/$L675,0)</f>
        <v>1</v>
      </c>
      <c r="BG675">
        <f>ROUNDUP(tbl_Data_old[[#This Row],[Adjusted 2030]]/$L675,0)</f>
        <v>1</v>
      </c>
      <c r="BH675">
        <f>ROUNDUP(tbl_Data_old[[#This Row],[Adjusted 2031]]/$L675,0)</f>
        <v>1</v>
      </c>
      <c r="BI675">
        <f>ROUNDUP(tbl_Data_old[[#This Row],[Adjusted 2032]]/$L675,0)</f>
        <v>1</v>
      </c>
      <c r="BJ675">
        <f>ROUNDUP(tbl_Data_old[[#This Row],[Adjusted 2033]]/$L675,0)</f>
        <v>1</v>
      </c>
      <c r="BK675">
        <f>ROUNDUP(tbl_Data_old[[#This Row],[Adjusted 2034]]/$L675,0)</f>
        <v>1</v>
      </c>
      <c r="BL675" s="3">
        <f t="shared" si="45"/>
        <v>3.2232353614850258</v>
      </c>
      <c r="BM675" s="3">
        <f t="shared" si="45"/>
        <v>5.9174956975979622</v>
      </c>
      <c r="BN675" s="3">
        <f t="shared" si="45"/>
        <v>8.1490210822272555</v>
      </c>
      <c r="BO675" s="3">
        <f t="shared" si="45"/>
        <v>10.009671235027813</v>
      </c>
      <c r="BP675" s="3">
        <f t="shared" si="45"/>
        <v>11.555684717207168</v>
      </c>
      <c r="BQ675" s="3">
        <f t="shared" si="45"/>
        <v>12.846750888191298</v>
      </c>
      <c r="BR675" s="3">
        <f t="shared" si="45"/>
        <v>13.93377678410009</v>
      </c>
      <c r="BS675" s="3">
        <f t="shared" si="45"/>
        <v>14.851781799543964</v>
      </c>
      <c r="BT675" s="3">
        <f t="shared" si="45"/>
        <v>15.638971793873271</v>
      </c>
      <c r="BU675" s="3">
        <f t="shared" si="45"/>
        <v>16.321539130774806</v>
      </c>
      <c r="BV675">
        <f>VLOOKUP($H675,'1. Set Program Names'!$B$2:$D$15,3,0)*V675</f>
        <v>108.38643363868907</v>
      </c>
      <c r="BW675">
        <f>VLOOKUP($H675,'1. Set Program Names'!$B$2:$D$15,3,0)*W675</f>
        <v>198.98523775174499</v>
      </c>
      <c r="BX675">
        <f>VLOOKUP($H675,'1. Set Program Names'!$B$2:$D$15,3,0)*X675</f>
        <v>274.02384054950613</v>
      </c>
      <c r="BY675">
        <f>VLOOKUP($H675,'1. Set Program Names'!$B$2:$D$15,3,0)*Y675</f>
        <v>336.59117172274699</v>
      </c>
      <c r="BZ675">
        <f>VLOOKUP($H675,'1. Set Program Names'!$B$2:$D$15,3,0)*Z675</f>
        <v>388.57834265448713</v>
      </c>
      <c r="CA675">
        <f>VLOOKUP($H675,'1. Set Program Names'!$B$2:$D$15,3,0)*AA675</f>
        <v>431.99250332566345</v>
      </c>
      <c r="CB675">
        <f>VLOOKUP($H675,'1. Set Program Names'!$B$2:$D$15,3,0)*AB675</f>
        <v>468.54548407857146</v>
      </c>
      <c r="CC675">
        <f>VLOOKUP($H675,'1. Set Program Names'!$B$2:$D$15,3,0)*AC675</f>
        <v>499.41486795147279</v>
      </c>
      <c r="CD675">
        <f>VLOOKUP($H675,'1. Set Program Names'!$B$2:$D$15,3,0)*AD675</f>
        <v>525.88538794542819</v>
      </c>
      <c r="CE675">
        <f>VLOOKUP($H675,'1. Set Program Names'!$B$2:$D$15,3,0)*AE675</f>
        <v>548.83780409506051</v>
      </c>
    </row>
    <row r="676" spans="1:83" x14ac:dyDescent="0.25">
      <c r="A676" s="20" t="s">
        <v>114</v>
      </c>
      <c r="B676" s="20" t="s">
        <v>88</v>
      </c>
      <c r="C676" s="20" t="s">
        <v>176</v>
      </c>
      <c r="D676" s="20" t="s">
        <v>90</v>
      </c>
      <c r="E676" s="20" t="s">
        <v>91</v>
      </c>
      <c r="F676" s="20" t="s">
        <v>90</v>
      </c>
      <c r="G676" s="20" t="s">
        <v>92</v>
      </c>
      <c r="H676" s="20" t="s">
        <v>14</v>
      </c>
      <c r="I676" s="20" t="s">
        <v>157</v>
      </c>
      <c r="J676" s="20" t="s">
        <v>158</v>
      </c>
      <c r="K676" s="20" t="s">
        <v>159</v>
      </c>
      <c r="L676" s="20">
        <v>562.52</v>
      </c>
      <c r="M676" s="20">
        <v>6.7473359330379998E-2</v>
      </c>
      <c r="N676" s="20">
        <v>6.4973258375617293E-2</v>
      </c>
      <c r="O676" s="20">
        <v>169</v>
      </c>
      <c r="P676" s="20">
        <v>55.847956108163899</v>
      </c>
      <c r="Q676" s="20">
        <v>20.025540405413601</v>
      </c>
      <c r="R676" s="20">
        <v>240.47921618074301</v>
      </c>
      <c r="S676" s="20">
        <v>597.43584258705596</v>
      </c>
      <c r="T676" s="20">
        <v>15</v>
      </c>
      <c r="U676" s="20">
        <v>0.2</v>
      </c>
      <c r="V676" s="20">
        <v>7.2954904704315704E-2</v>
      </c>
      <c r="W676" s="20">
        <v>8.2998403370753607E-2</v>
      </c>
      <c r="X676" s="20">
        <v>9.1750603899938998E-2</v>
      </c>
      <c r="Y676" s="20">
        <v>0.10053544719810099</v>
      </c>
      <c r="Z676" s="20">
        <v>0.108017967754127</v>
      </c>
      <c r="AA676" s="20">
        <v>0.115041689359552</v>
      </c>
      <c r="AB676" s="20">
        <v>0.12168344779009201</v>
      </c>
      <c r="AC676" s="20">
        <v>0.12764110153910299</v>
      </c>
      <c r="AD676" s="20">
        <v>0.13354855290319001</v>
      </c>
      <c r="AE676" s="20">
        <v>0.13914435672609099</v>
      </c>
      <c r="AF676" t="str">
        <f t="shared" si="43"/>
        <v>NonResidential</v>
      </c>
      <c r="AG676" t="str">
        <f>tbl_Data_old[[#This Row],[All_Meas_Name_Append]]</f>
        <v>LED Exterior Wall Packs</v>
      </c>
      <c r="AH676">
        <f>AVERAGEIFS('3. Incentive Adjustment'!G:G,'3. Incentive Adjustment'!A:A,tbl_Data_old[[#This Row],[Trimmed Sector]],'3. Incentive Adjustment'!B:B,tbl_Data_old[[#This Row],[Trimmed Measure Name]])</f>
        <v>0.80637708305213962</v>
      </c>
      <c r="AI676">
        <f>$AH676*tbl_Data_old[[#This Row],[2025 ]]</f>
        <v>5.8829163249812917E-2</v>
      </c>
      <c r="AJ676">
        <f>$AH676*tbl_Data_old[[#This Row],[2026 ]]</f>
        <v>6.6928010408093166E-2</v>
      </c>
      <c r="AK676">
        <f>$AH676*tbl_Data_old[[#This Row],[2027 ]]</f>
        <v>7.3985584341105082E-2</v>
      </c>
      <c r="AL676">
        <f>$AH676*tbl_Data_old[[#This Row],[2028 ]]</f>
        <v>8.1069480654947082E-2</v>
      </c>
      <c r="AM676">
        <f>$AH676*tbl_Data_old[[#This Row],[2029 ]]</f>
        <v>8.7103213754793005E-2</v>
      </c>
      <c r="AN676">
        <f>$AH676*tbl_Data_old[[#This Row],[2030 ]]</f>
        <v>9.2766981895145914E-2</v>
      </c>
      <c r="AO676">
        <f>$AH676*tbl_Data_old[[#This Row],[2031 ]]</f>
        <v>9.812274368470171E-2</v>
      </c>
      <c r="AP676">
        <f>$AH676*tbl_Data_old[[#This Row],[2032 ]]</f>
        <v>0.10292685913666384</v>
      </c>
      <c r="AQ676">
        <f>$AH676*tbl_Data_old[[#This Row],[2033 ]]</f>
        <v>0.10769049253590872</v>
      </c>
      <c r="AR676">
        <f>$AH676*tbl_Data_old[[#This Row],[2034 ]]</f>
        <v>0.11220282049995162</v>
      </c>
      <c r="AS676">
        <f>SUM(tbl_Data_old[[#This Row],[Adjusted 2025]:[Adjusted 2034]])</f>
        <v>0.88162535016112309</v>
      </c>
      <c r="AT676" s="3">
        <f>AVERAGEIFS('3. Incentive Adjustment'!F:F,'3. Incentive Adjustment'!A:A,tbl_Data_old[[#This Row],[Trimmed Sector]],'3. Incentive Adjustment'!B:B,tbl_Data_old[[#This Row],[Trimmed Measure Name]])</f>
        <v>8.6864493556481861</v>
      </c>
      <c r="AU676" s="3">
        <f>IFERROR(VLOOKUP(tbl_Data_old[[#This Row],[All_Meas_Name_Append]],'IRA Tax Credits'!$A$3:$D$46,4,0),0)</f>
        <v>0</v>
      </c>
      <c r="AV676" s="4">
        <f>tbl_Data_old[[#This Row],[Adj. per unit Incentive ($)]]/tbl_Data_old[[#This Row],[kWh Savings]]*tbl_Data_old[[#This Row],[Sum of Annuals]]</f>
        <v>1.3614082974525696E-2</v>
      </c>
      <c r="AW676" s="4">
        <f>IFERROR(VLOOKUP(tbl_Data_old[[#This Row],[All_Programs]],'1. Set Program Names'!$B$2:$D$15,3,0)*tbl_Data_old[[#This Row],[Sum of Annuals]],"")</f>
        <v>3.1385593529276397E-2</v>
      </c>
      <c r="AX676" s="4">
        <f>tbl_Data_old[[#This Row],[per unit IRA tax ($)]]/tbl_Data_old[[#This Row],[kWh Savings]]*tbl_Data_old[[#This Row],[Sum of Annuals]]</f>
        <v>0</v>
      </c>
      <c r="AY676" s="4">
        <f>tbl_Data_old[[#This Row],[Avoided Costs ($/unit)]]/tbl_Data_old[[#This Row],[kWh Savings]]*tbl_Data_old[[#This Row],[Sum of Annuals]]</f>
        <v>0.37689784038224416</v>
      </c>
      <c r="AZ676" s="4">
        <f>tbl_Data_old[[#This Row],[Lost Revenue ($/unit)]]/tbl_Data_old[[#This Row],[kWh Savings]]*tbl_Data_old[[#This Row],[Sum of Annuals]]</f>
        <v>0.93634819014367288</v>
      </c>
      <c r="BA676" s="4">
        <f>tbl_Data_old[[#This Row],[Incremental Cost ($/unit)]]/tbl_Data_old[[#This Row],[kWh Savings]]*tbl_Data_old[[#This Row],[Sum of Annuals]]</f>
        <v>0.26487002093655304</v>
      </c>
      <c r="BB676">
        <f>ROUNDUP(tbl_Data_old[[#This Row],[Adjusted 2025]]/$L676,0)</f>
        <v>1</v>
      </c>
      <c r="BC676">
        <f>ROUNDUP(tbl_Data_old[[#This Row],[Adjusted 2026]]/$L676,0)</f>
        <v>1</v>
      </c>
      <c r="BD676">
        <f>ROUNDUP(tbl_Data_old[[#This Row],[Adjusted 2027]]/$L676,0)</f>
        <v>1</v>
      </c>
      <c r="BE676">
        <f>ROUNDUP(tbl_Data_old[[#This Row],[Adjusted 2028]]/$L676,0)</f>
        <v>1</v>
      </c>
      <c r="BF676">
        <f>ROUNDUP(tbl_Data_old[[#This Row],[Adjusted 2029]]/$L676,0)</f>
        <v>1</v>
      </c>
      <c r="BG676">
        <f>ROUNDUP(tbl_Data_old[[#This Row],[Adjusted 2030]]/$L676,0)</f>
        <v>1</v>
      </c>
      <c r="BH676">
        <f>ROUNDUP(tbl_Data_old[[#This Row],[Adjusted 2031]]/$L676,0)</f>
        <v>1</v>
      </c>
      <c r="BI676">
        <f>ROUNDUP(tbl_Data_old[[#This Row],[Adjusted 2032]]/$L676,0)</f>
        <v>1</v>
      </c>
      <c r="BJ676">
        <f>ROUNDUP(tbl_Data_old[[#This Row],[Adjusted 2033]]/$L676,0)</f>
        <v>1</v>
      </c>
      <c r="BK676">
        <f>ROUNDUP(tbl_Data_old[[#This Row],[Adjusted 2034]]/$L676,0)</f>
        <v>1</v>
      </c>
      <c r="BL676" s="3">
        <f t="shared" ref="BL676:BU699" si="46">$AT676/$L676*V676</f>
        <v>1.1265716507149577E-3</v>
      </c>
      <c r="BM676" s="3">
        <f t="shared" si="46"/>
        <v>1.2816636341458276E-3</v>
      </c>
      <c r="BN676" s="3">
        <f t="shared" si="46"/>
        <v>1.4168153561241504E-3</v>
      </c>
      <c r="BO676" s="3">
        <f t="shared" si="46"/>
        <v>1.5524711486413756E-3</v>
      </c>
      <c r="BP676" s="3">
        <f t="shared" si="46"/>
        <v>1.6680164374533581E-3</v>
      </c>
      <c r="BQ676" s="3">
        <f t="shared" si="46"/>
        <v>1.7764769402153866E-3</v>
      </c>
      <c r="BR676" s="3">
        <f t="shared" si="46"/>
        <v>1.8790391570953822E-3</v>
      </c>
      <c r="BS676" s="3">
        <f t="shared" si="46"/>
        <v>1.9710374106139618E-3</v>
      </c>
      <c r="BT676" s="3">
        <f t="shared" si="46"/>
        <v>2.0622604375198439E-3</v>
      </c>
      <c r="BU676" s="3">
        <f t="shared" si="46"/>
        <v>2.1486709944987456E-3</v>
      </c>
      <c r="BV676">
        <f>VLOOKUP($H676,'1. Set Program Names'!$B$2:$D$15,3,0)*V676</f>
        <v>2.5971723528574616E-3</v>
      </c>
      <c r="BW676">
        <f>VLOOKUP($H676,'1. Set Program Names'!$B$2:$D$15,3,0)*W676</f>
        <v>2.9547178416515856E-3</v>
      </c>
      <c r="BX676">
        <f>VLOOKUP($H676,'1. Set Program Names'!$B$2:$D$15,3,0)*X676</f>
        <v>3.2662935106651052E-3</v>
      </c>
      <c r="BY676">
        <f>VLOOKUP($H676,'1. Set Program Names'!$B$2:$D$15,3,0)*Y676</f>
        <v>3.5790312522966396E-3</v>
      </c>
      <c r="BZ676">
        <f>VLOOKUP($H676,'1. Set Program Names'!$B$2:$D$15,3,0)*Z676</f>
        <v>3.8454067015767316E-3</v>
      </c>
      <c r="CA676">
        <f>VLOOKUP($H676,'1. Set Program Names'!$B$2:$D$15,3,0)*AA676</f>
        <v>4.0954490481703021E-3</v>
      </c>
      <c r="CB676">
        <f>VLOOKUP($H676,'1. Set Program Names'!$B$2:$D$15,3,0)*AB676</f>
        <v>4.3318936222543807E-3</v>
      </c>
      <c r="CC676">
        <f>VLOOKUP($H676,'1. Set Program Names'!$B$2:$D$15,3,0)*AC676</f>
        <v>4.5439842783595568E-3</v>
      </c>
      <c r="CD676">
        <f>VLOOKUP($H676,'1. Set Program Names'!$B$2:$D$15,3,0)*AD676</f>
        <v>4.7542877448754871E-3</v>
      </c>
      <c r="CE676">
        <f>VLOOKUP($H676,'1. Set Program Names'!$B$2:$D$15,3,0)*AE676</f>
        <v>4.9534966539920905E-3</v>
      </c>
    </row>
    <row r="677" spans="1:83" x14ac:dyDescent="0.25">
      <c r="A677" s="20" t="s">
        <v>114</v>
      </c>
      <c r="B677" s="20" t="s">
        <v>88</v>
      </c>
      <c r="C677" s="20" t="s">
        <v>176</v>
      </c>
      <c r="D677" s="20" t="s">
        <v>90</v>
      </c>
      <c r="E677" s="20" t="s">
        <v>91</v>
      </c>
      <c r="F677" s="20" t="s">
        <v>90</v>
      </c>
      <c r="G677" s="20" t="s">
        <v>92</v>
      </c>
      <c r="H677" s="20" t="s">
        <v>14</v>
      </c>
      <c r="I677" s="20" t="s">
        <v>162</v>
      </c>
      <c r="J677" s="20" t="s">
        <v>161</v>
      </c>
      <c r="K677" s="20" t="s">
        <v>159</v>
      </c>
      <c r="L677" s="20">
        <v>725.58416666666596</v>
      </c>
      <c r="M677" s="20">
        <v>8.6917804178563804E-2</v>
      </c>
      <c r="N677" s="20">
        <v>8.3795205289933394E-2</v>
      </c>
      <c r="O677" s="20">
        <v>179</v>
      </c>
      <c r="P677" s="20">
        <v>33.0790753554421</v>
      </c>
      <c r="Q677" s="20">
        <v>25.8305749966432</v>
      </c>
      <c r="R677" s="20">
        <v>310.45187974046598</v>
      </c>
      <c r="S677" s="20">
        <v>770.62146764617603</v>
      </c>
      <c r="T677" s="20">
        <v>15</v>
      </c>
      <c r="U677" s="20">
        <v>0.2</v>
      </c>
      <c r="V677" s="20">
        <v>0.37363118456680899</v>
      </c>
      <c r="W677" s="20">
        <v>0.42506794977328</v>
      </c>
      <c r="X677" s="20">
        <v>0.46989146183925301</v>
      </c>
      <c r="Y677" s="20">
        <v>0.51488215055345499</v>
      </c>
      <c r="Z677" s="20">
        <v>0.55320312472543698</v>
      </c>
      <c r="AA677" s="20">
        <v>0.58917440635672402</v>
      </c>
      <c r="AB677" s="20">
        <v>0.62318950212125201</v>
      </c>
      <c r="AC677" s="20">
        <v>0.65370102477354597</v>
      </c>
      <c r="AD677" s="20">
        <v>0.68395544097599803</v>
      </c>
      <c r="AE677" s="20">
        <v>0.71261378573606204</v>
      </c>
      <c r="AF677" t="str">
        <f t="shared" si="43"/>
        <v>NonResidential</v>
      </c>
      <c r="AG677" t="str">
        <f>tbl_Data_old[[#This Row],[All_Meas_Name_Append]]</f>
        <v>LED High Bay_LF Baseline</v>
      </c>
      <c r="AH677">
        <f>AVERAGEIFS('3. Incentive Adjustment'!G:G,'3. Incentive Adjustment'!A:A,tbl_Data_old[[#This Row],[Trimmed Sector]],'3. Incentive Adjustment'!B:B,tbl_Data_old[[#This Row],[Trimmed Measure Name]])</f>
        <v>0.93017466414143679</v>
      </c>
      <c r="AI677">
        <f>$AH677*tbl_Data_old[[#This Row],[2025 ]]</f>
        <v>0.34754226161719876</v>
      </c>
      <c r="AJ677">
        <f>$AH677*tbl_Data_old[[#This Row],[2026 ]]</f>
        <v>0.39538743741764987</v>
      </c>
      <c r="AK677">
        <f>$AH677*tbl_Data_old[[#This Row],[2027 ]]</f>
        <v>0.43708113269925591</v>
      </c>
      <c r="AL677">
        <f>$AH677*tbl_Data_old[[#This Row],[2028 ]]</f>
        <v>0.47893033146348069</v>
      </c>
      <c r="AM677">
        <f>$AH677*tbl_Data_old[[#This Row],[2029 ]]</f>
        <v>0.51457553074347673</v>
      </c>
      <c r="AN677">
        <f>$AH677*tbl_Data_old[[#This Row],[2030 ]]</f>
        <v>0.54803510555359614</v>
      </c>
      <c r="AO677">
        <f>$AH677*tbl_Data_old[[#This Row],[2031 ]]</f>
        <v>0.57967508583210481</v>
      </c>
      <c r="AP677">
        <f>$AH677*tbl_Data_old[[#This Row],[2032 ]]</f>
        <v>0.60805613116764612</v>
      </c>
      <c r="AQ677">
        <f>$AH677*tbl_Data_old[[#This Row],[2033 ]]</f>
        <v>0.63619802259755731</v>
      </c>
      <c r="AR677">
        <f>$AH677*tbl_Data_old[[#This Row],[2034 ]]</f>
        <v>0.66285528880959932</v>
      </c>
      <c r="AS677">
        <f>SUM(tbl_Data_old[[#This Row],[Adjusted 2025]:[Adjusted 2034]])</f>
        <v>5.2083363279015664</v>
      </c>
      <c r="AT677" s="3">
        <f>AVERAGEIFS('3. Incentive Adjustment'!F:F,'3. Incentive Adjustment'!A:A,tbl_Data_old[[#This Row],[Trimmed Sector]],'3. Incentive Adjustment'!B:B,tbl_Data_old[[#This Row],[Trimmed Measure Name]])</f>
        <v>23.858858929800434</v>
      </c>
      <c r="AU677" s="3">
        <f>IFERROR(VLOOKUP(tbl_Data_old[[#This Row],[All_Meas_Name_Append]],'IRA Tax Credits'!$A$3:$D$46,4,0),0)</f>
        <v>0</v>
      </c>
      <c r="AV677" s="4">
        <f>tbl_Data_old[[#This Row],[Adj. per unit Incentive ($)]]/tbl_Data_old[[#This Row],[kWh Savings]]*tbl_Data_old[[#This Row],[Sum of Annuals]]</f>
        <v>0.17126195335440075</v>
      </c>
      <c r="AW677" s="4">
        <f>IFERROR(VLOOKUP(tbl_Data_old[[#This Row],[All_Programs]],'1. Set Program Names'!$B$2:$D$15,3,0)*tbl_Data_old[[#This Row],[Sum of Annuals]],"")</f>
        <v>0.18541518449011016</v>
      </c>
      <c r="AX677" s="4">
        <f>tbl_Data_old[[#This Row],[per unit IRA tax ($)]]/tbl_Data_old[[#This Row],[kWh Savings]]*tbl_Data_old[[#This Row],[Sum of Annuals]]</f>
        <v>0</v>
      </c>
      <c r="AY677" s="4">
        <f>tbl_Data_old[[#This Row],[Avoided Costs ($/unit)]]/tbl_Data_old[[#This Row],[kWh Savings]]*tbl_Data_old[[#This Row],[Sum of Annuals]]</f>
        <v>2.2284634610286638</v>
      </c>
      <c r="AZ677" s="4">
        <f>tbl_Data_old[[#This Row],[Lost Revenue ($/unit)]]/tbl_Data_old[[#This Row],[kWh Savings]]*tbl_Data_old[[#This Row],[Sum of Annuals]]</f>
        <v>5.5316198580257581</v>
      </c>
      <c r="BA677" s="4">
        <f>tbl_Data_old[[#This Row],[Incremental Cost ($/unit)]]/tbl_Data_old[[#This Row],[kWh Savings]]*tbl_Data_old[[#This Row],[Sum of Annuals]]</f>
        <v>1.284884987192225</v>
      </c>
      <c r="BB677">
        <f>ROUNDUP(tbl_Data_old[[#This Row],[Adjusted 2025]]/$L677,0)</f>
        <v>1</v>
      </c>
      <c r="BC677">
        <f>ROUNDUP(tbl_Data_old[[#This Row],[Adjusted 2026]]/$L677,0)</f>
        <v>1</v>
      </c>
      <c r="BD677">
        <f>ROUNDUP(tbl_Data_old[[#This Row],[Adjusted 2027]]/$L677,0)</f>
        <v>1</v>
      </c>
      <c r="BE677">
        <f>ROUNDUP(tbl_Data_old[[#This Row],[Adjusted 2028]]/$L677,0)</f>
        <v>1</v>
      </c>
      <c r="BF677">
        <f>ROUNDUP(tbl_Data_old[[#This Row],[Adjusted 2029]]/$L677,0)</f>
        <v>1</v>
      </c>
      <c r="BG677">
        <f>ROUNDUP(tbl_Data_old[[#This Row],[Adjusted 2030]]/$L677,0)</f>
        <v>1</v>
      </c>
      <c r="BH677">
        <f>ROUNDUP(tbl_Data_old[[#This Row],[Adjusted 2031]]/$L677,0)</f>
        <v>1</v>
      </c>
      <c r="BI677">
        <f>ROUNDUP(tbl_Data_old[[#This Row],[Adjusted 2032]]/$L677,0)</f>
        <v>1</v>
      </c>
      <c r="BJ677">
        <f>ROUNDUP(tbl_Data_old[[#This Row],[Adjusted 2033]]/$L677,0)</f>
        <v>1</v>
      </c>
      <c r="BK677">
        <f>ROUNDUP(tbl_Data_old[[#This Row],[Adjusted 2034]]/$L677,0)</f>
        <v>1</v>
      </c>
      <c r="BL677" s="3">
        <f t="shared" si="46"/>
        <v>1.2285843784748701E-2</v>
      </c>
      <c r="BM677" s="3">
        <f t="shared" si="46"/>
        <v>1.3977201701920901E-2</v>
      </c>
      <c r="BN677" s="3">
        <f t="shared" si="46"/>
        <v>1.545110080315578E-2</v>
      </c>
      <c r="BO677" s="3">
        <f t="shared" si="46"/>
        <v>1.6930497053101574E-2</v>
      </c>
      <c r="BP677" s="3">
        <f t="shared" si="46"/>
        <v>1.8190577907707478E-2</v>
      </c>
      <c r="BQ677" s="3">
        <f t="shared" si="46"/>
        <v>1.9373395523350507E-2</v>
      </c>
      <c r="BR677" s="3">
        <f t="shared" si="46"/>
        <v>2.0491889295145223E-2</v>
      </c>
      <c r="BS677" s="3">
        <f t="shared" si="46"/>
        <v>2.1495177608393274E-2</v>
      </c>
      <c r="BT677" s="3">
        <f t="shared" si="46"/>
        <v>2.2490011676360725E-2</v>
      </c>
      <c r="BU677" s="3">
        <f t="shared" si="46"/>
        <v>2.343236328242336E-2</v>
      </c>
      <c r="BV677">
        <f>VLOOKUP($H677,'1. Set Program Names'!$B$2:$D$15,3,0)*V677</f>
        <v>1.3301156195806749E-2</v>
      </c>
      <c r="BW677">
        <f>VLOOKUP($H677,'1. Set Program Names'!$B$2:$D$15,3,0)*W677</f>
        <v>1.5132289346567542E-2</v>
      </c>
      <c r="BX677">
        <f>VLOOKUP($H677,'1. Set Program Names'!$B$2:$D$15,3,0)*X677</f>
        <v>1.6727992702874325E-2</v>
      </c>
      <c r="BY677">
        <f>VLOOKUP($H677,'1. Set Program Names'!$B$2:$D$15,3,0)*Y677</f>
        <v>1.8329647496861456E-2</v>
      </c>
      <c r="BZ677">
        <f>VLOOKUP($H677,'1. Set Program Names'!$B$2:$D$15,3,0)*Z677</f>
        <v>1.9693862487716606E-2</v>
      </c>
      <c r="CA677">
        <f>VLOOKUP($H677,'1. Set Program Names'!$B$2:$D$15,3,0)*AA677</f>
        <v>2.097442914088779E-2</v>
      </c>
      <c r="CB677">
        <f>VLOOKUP($H677,'1. Set Program Names'!$B$2:$D$15,3,0)*AB677</f>
        <v>2.2185356173929409E-2</v>
      </c>
      <c r="CC677">
        <f>VLOOKUP($H677,'1. Set Program Names'!$B$2:$D$15,3,0)*AC677</f>
        <v>2.3271557072927145E-2</v>
      </c>
      <c r="CD677">
        <f>VLOOKUP($H677,'1. Set Program Names'!$B$2:$D$15,3,0)*AD677</f>
        <v>2.4348605060739856E-2</v>
      </c>
      <c r="CE677">
        <f>VLOOKUP($H677,'1. Set Program Names'!$B$2:$D$15,3,0)*AE677</f>
        <v>2.5368833392079078E-2</v>
      </c>
    </row>
    <row r="678" spans="1:83" x14ac:dyDescent="0.25">
      <c r="A678" s="20" t="s">
        <v>114</v>
      </c>
      <c r="B678" s="20" t="s">
        <v>88</v>
      </c>
      <c r="C678" s="20" t="s">
        <v>176</v>
      </c>
      <c r="D678" s="20" t="s">
        <v>90</v>
      </c>
      <c r="E678" s="20" t="s">
        <v>91</v>
      </c>
      <c r="F678" s="20" t="s">
        <v>90</v>
      </c>
      <c r="G678" s="20" t="s">
        <v>92</v>
      </c>
      <c r="H678" s="20" t="s">
        <v>14</v>
      </c>
      <c r="I678" s="20" t="s">
        <v>165</v>
      </c>
      <c r="J678" s="20" t="s">
        <v>161</v>
      </c>
      <c r="K678" s="20" t="s">
        <v>166</v>
      </c>
      <c r="L678" s="20">
        <v>565.38999999999896</v>
      </c>
      <c r="M678" s="20">
        <v>6.7728127941350899E-2</v>
      </c>
      <c r="N678" s="20">
        <v>6.5294935157718198E-2</v>
      </c>
      <c r="O678" s="20">
        <v>129</v>
      </c>
      <c r="P678" s="20">
        <v>15.293574707506</v>
      </c>
      <c r="Q678" s="20">
        <v>20.127711529930998</v>
      </c>
      <c r="R678" s="20">
        <v>190.6779313312</v>
      </c>
      <c r="S678" s="20">
        <v>454.767236260907</v>
      </c>
      <c r="T678" s="20">
        <v>10</v>
      </c>
      <c r="U678" s="20">
        <v>0.2</v>
      </c>
      <c r="V678" s="20">
        <v>4.4706726755555898E-2</v>
      </c>
      <c r="W678" s="20">
        <v>6.1729444876680702E-2</v>
      </c>
      <c r="X678" s="20">
        <v>8.2581925626129496E-2</v>
      </c>
      <c r="Y678" s="20">
        <v>0.10772537179080501</v>
      </c>
      <c r="Z678" s="20">
        <v>0.13448662241143</v>
      </c>
      <c r="AA678" s="20">
        <v>0.1596383619484</v>
      </c>
      <c r="AB678" s="20">
        <v>0.17791554742068399</v>
      </c>
      <c r="AC678" s="20">
        <v>0.183495033661316</v>
      </c>
      <c r="AD678" s="20">
        <v>0.17373598227959999</v>
      </c>
      <c r="AE678" s="20">
        <v>0.150347717101561</v>
      </c>
      <c r="AF678" t="str">
        <f t="shared" si="43"/>
        <v>NonResidential</v>
      </c>
      <c r="AG678" t="str">
        <f>tbl_Data_old[[#This Row],[All_Meas_Name_Append]]</f>
        <v>Occupancy Sensors_ Ceiling Mounted</v>
      </c>
      <c r="AH678">
        <f>AVERAGEIFS('3. Incentive Adjustment'!G:G,'3. Incentive Adjustment'!A:A,tbl_Data_old[[#This Row],[Trimmed Sector]],'3. Incentive Adjustment'!B:B,tbl_Data_old[[#This Row],[Trimmed Measure Name]])</f>
        <v>0.99348124042467356</v>
      </c>
      <c r="AI678">
        <f>$AH678*tbl_Data_old[[#This Row],[2025 ]]</f>
        <v>4.4415294352436616E-2</v>
      </c>
      <c r="AJ678">
        <f>$AH678*tbl_Data_old[[#This Row],[2026 ]]</f>
        <v>6.1327045466811253E-2</v>
      </c>
      <c r="AK678">
        <f>$AH678*tbl_Data_old[[#This Row],[2027 ]]</f>
        <v>8.204359390770527E-2</v>
      </c>
      <c r="AL678">
        <f>$AH678*tbl_Data_old[[#This Row],[2028 ]]</f>
        <v>0.10702313599193809</v>
      </c>
      <c r="AM678">
        <f>$AH678*tbl_Data_old[[#This Row],[2029 ]]</f>
        <v>0.13360993645383218</v>
      </c>
      <c r="AN678">
        <f>$AH678*tbl_Data_old[[#This Row],[2030 ]]</f>
        <v>0.15859771784785945</v>
      </c>
      <c r="AO678">
        <f>$AH678*tbl_Data_old[[#This Row],[2031 ]]</f>
        <v>0.17675575874233596</v>
      </c>
      <c r="AP678">
        <f>$AH678*tbl_Data_old[[#This Row],[2032 ]]</f>
        <v>0.18229887365361144</v>
      </c>
      <c r="AQ678">
        <f>$AH678*tbl_Data_old[[#This Row],[2033 ]]</f>
        <v>0.17260343918153612</v>
      </c>
      <c r="AR678">
        <f>$AH678*tbl_Data_old[[#This Row],[2034 ]]</f>
        <v>0.14936763648107673</v>
      </c>
      <c r="AS678">
        <f>SUM(tbl_Data_old[[#This Row],[Adjusted 2025]:[Adjusted 2034]])</f>
        <v>1.268042432079143</v>
      </c>
      <c r="AT678" s="3">
        <f>AVERAGEIFS('3. Incentive Adjustment'!F:F,'3. Incentive Adjustment'!A:A,tbl_Data_old[[#This Row],[Trimmed Sector]],'3. Incentive Adjustment'!B:B,tbl_Data_old[[#This Row],[Trimmed Measure Name]])</f>
        <v>19.547634357270656</v>
      </c>
      <c r="AU678" s="3">
        <f>IFERROR(VLOOKUP(tbl_Data_old[[#This Row],[All_Meas_Name_Append]],'IRA Tax Credits'!$A$3:$D$46,4,0),0)</f>
        <v>0</v>
      </c>
      <c r="AV678" s="4">
        <f>tbl_Data_old[[#This Row],[Adj. per unit Incentive ($)]]/tbl_Data_old[[#This Row],[kWh Savings]]*tbl_Data_old[[#This Row],[Sum of Annuals]]</f>
        <v>4.384094131800588E-2</v>
      </c>
      <c r="AW678" s="4">
        <f>IFERROR(VLOOKUP(tbl_Data_old[[#This Row],[All_Programs]],'1. Set Program Names'!$B$2:$D$15,3,0)*tbl_Data_old[[#This Row],[Sum of Annuals]],"")</f>
        <v>4.5141923770496903E-2</v>
      </c>
      <c r="AX678" s="4">
        <f>tbl_Data_old[[#This Row],[per unit IRA tax ($)]]/tbl_Data_old[[#This Row],[kWh Savings]]*tbl_Data_old[[#This Row],[Sum of Annuals]]</f>
        <v>0</v>
      </c>
      <c r="AY678" s="4">
        <f>tbl_Data_old[[#This Row],[Avoided Costs ($/unit)]]/tbl_Data_old[[#This Row],[kWh Savings]]*tbl_Data_old[[#This Row],[Sum of Annuals]]</f>
        <v>0.42764765522742731</v>
      </c>
      <c r="AZ678" s="4">
        <f>tbl_Data_old[[#This Row],[Lost Revenue ($/unit)]]/tbl_Data_old[[#This Row],[kWh Savings]]*tbl_Data_old[[#This Row],[Sum of Annuals]]</f>
        <v>1.0199404876248108</v>
      </c>
      <c r="BA678" s="4">
        <f>tbl_Data_old[[#This Row],[Incremental Cost ($/unit)]]/tbl_Data_old[[#This Row],[kWh Savings]]*tbl_Data_old[[#This Row],[Sum of Annuals]]</f>
        <v>0.28931794644088105</v>
      </c>
      <c r="BB678">
        <f>ROUNDUP(tbl_Data_old[[#This Row],[Adjusted 2025]]/$L678,0)</f>
        <v>1</v>
      </c>
      <c r="BC678">
        <f>ROUNDUP(tbl_Data_old[[#This Row],[Adjusted 2026]]/$L678,0)</f>
        <v>1</v>
      </c>
      <c r="BD678">
        <f>ROUNDUP(tbl_Data_old[[#This Row],[Adjusted 2027]]/$L678,0)</f>
        <v>1</v>
      </c>
      <c r="BE678">
        <f>ROUNDUP(tbl_Data_old[[#This Row],[Adjusted 2028]]/$L678,0)</f>
        <v>1</v>
      </c>
      <c r="BF678">
        <f>ROUNDUP(tbl_Data_old[[#This Row],[Adjusted 2029]]/$L678,0)</f>
        <v>1</v>
      </c>
      <c r="BG678">
        <f>ROUNDUP(tbl_Data_old[[#This Row],[Adjusted 2030]]/$L678,0)</f>
        <v>1</v>
      </c>
      <c r="BH678">
        <f>ROUNDUP(tbl_Data_old[[#This Row],[Adjusted 2031]]/$L678,0)</f>
        <v>1</v>
      </c>
      <c r="BI678">
        <f>ROUNDUP(tbl_Data_old[[#This Row],[Adjusted 2032]]/$L678,0)</f>
        <v>1</v>
      </c>
      <c r="BJ678">
        <f>ROUNDUP(tbl_Data_old[[#This Row],[Adjusted 2033]]/$L678,0)</f>
        <v>1</v>
      </c>
      <c r="BK678">
        <f>ROUNDUP(tbl_Data_old[[#This Row],[Adjusted 2034]]/$L678,0)</f>
        <v>1</v>
      </c>
      <c r="BL678" s="3">
        <f t="shared" si="46"/>
        <v>1.5456777585879081E-3</v>
      </c>
      <c r="BM678" s="3">
        <f t="shared" si="46"/>
        <v>2.1342164126119155E-3</v>
      </c>
      <c r="BN678" s="3">
        <f t="shared" si="46"/>
        <v>2.8551641993294929E-3</v>
      </c>
      <c r="BO678" s="3">
        <f t="shared" si="46"/>
        <v>3.7244666137846421E-3</v>
      </c>
      <c r="BP678" s="3">
        <f t="shared" si="46"/>
        <v>4.6497025430993818E-3</v>
      </c>
      <c r="BQ678" s="3">
        <f t="shared" si="46"/>
        <v>5.5192916902685896E-3</v>
      </c>
      <c r="BR678" s="3">
        <f t="shared" si="46"/>
        <v>6.1512019445925563E-3</v>
      </c>
      <c r="BS678" s="3">
        <f t="shared" si="46"/>
        <v>6.3441055278418128E-3</v>
      </c>
      <c r="BT678" s="3">
        <f t="shared" si="46"/>
        <v>6.0066988385059535E-3</v>
      </c>
      <c r="BU678" s="3">
        <f t="shared" si="46"/>
        <v>5.1980795563269389E-3</v>
      </c>
      <c r="BV678">
        <f>VLOOKUP($H678,'1. Set Program Names'!$B$2:$D$15,3,0)*V678</f>
        <v>1.5915458348808465E-3</v>
      </c>
      <c r="BW678">
        <f>VLOOKUP($H678,'1. Set Program Names'!$B$2:$D$15,3,0)*W678</f>
        <v>2.197549407277477E-3</v>
      </c>
      <c r="BX678">
        <f>VLOOKUP($H678,'1. Set Program Names'!$B$2:$D$15,3,0)*X678</f>
        <v>2.9398913609879188E-3</v>
      </c>
      <c r="BY678">
        <f>VLOOKUP($H678,'1. Set Program Names'!$B$2:$D$15,3,0)*Y678</f>
        <v>3.834990374537754E-3</v>
      </c>
      <c r="BZ678">
        <f>VLOOKUP($H678,'1. Set Program Names'!$B$2:$D$15,3,0)*Z678</f>
        <v>4.7876827332142954E-3</v>
      </c>
      <c r="CA678">
        <f>VLOOKUP($H678,'1. Set Program Names'!$B$2:$D$15,3,0)*AA678</f>
        <v>5.6830769882879528E-3</v>
      </c>
      <c r="CB678">
        <f>VLOOKUP($H678,'1. Set Program Names'!$B$2:$D$15,3,0)*AB678</f>
        <v>6.3337392157153559E-3</v>
      </c>
      <c r="CC678">
        <f>VLOOKUP($H678,'1. Set Program Names'!$B$2:$D$15,3,0)*AC678</f>
        <v>6.5323672238808009E-3</v>
      </c>
      <c r="CD678">
        <f>VLOOKUP($H678,'1. Set Program Names'!$B$2:$D$15,3,0)*AD678</f>
        <v>6.1849479716532142E-3</v>
      </c>
      <c r="CE678">
        <f>VLOOKUP($H678,'1. Set Program Names'!$B$2:$D$15,3,0)*AE678</f>
        <v>5.3523328658163557E-3</v>
      </c>
    </row>
    <row r="679" spans="1:83" x14ac:dyDescent="0.25">
      <c r="A679" s="20" t="s">
        <v>114</v>
      </c>
      <c r="B679" s="20" t="s">
        <v>88</v>
      </c>
      <c r="C679" s="20" t="s">
        <v>176</v>
      </c>
      <c r="D679" s="20" t="s">
        <v>90</v>
      </c>
      <c r="E679" s="20" t="s">
        <v>91</v>
      </c>
      <c r="F679" s="20" t="s">
        <v>90</v>
      </c>
      <c r="G679" s="20" t="s">
        <v>92</v>
      </c>
      <c r="H679" s="20" t="s">
        <v>14</v>
      </c>
      <c r="I679" s="20" t="s">
        <v>155</v>
      </c>
      <c r="J679" s="20" t="s">
        <v>129</v>
      </c>
      <c r="K679" s="20" t="s">
        <v>102</v>
      </c>
      <c r="L679" s="20">
        <v>47228.7699999998</v>
      </c>
      <c r="M679" s="20">
        <v>5.6581998938837703</v>
      </c>
      <c r="N679" s="20">
        <v>5.4505995734426298</v>
      </c>
      <c r="O679" s="20">
        <v>11124</v>
      </c>
      <c r="P679" s="20">
        <v>2435.8852359673701</v>
      </c>
      <c r="Q679" s="20">
        <v>1681.32980504335</v>
      </c>
      <c r="R679" s="20">
        <v>16918.542729362998</v>
      </c>
      <c r="S679" s="20">
        <v>40712.4661763408</v>
      </c>
      <c r="T679" s="20">
        <v>11</v>
      </c>
      <c r="U679" s="20">
        <v>0.94999999999999896</v>
      </c>
      <c r="V679" s="20">
        <v>0.36475419960633998</v>
      </c>
      <c r="W679" s="20">
        <v>0.30489327095778901</v>
      </c>
      <c r="X679" s="20">
        <v>0.25252833389016799</v>
      </c>
      <c r="Y679" s="20">
        <v>0.21055860994261799</v>
      </c>
      <c r="Z679" s="20">
        <v>0.174953066416212</v>
      </c>
      <c r="AA679" s="20">
        <v>0.146102209433183</v>
      </c>
      <c r="AB679" s="20">
        <v>0.123012196177598</v>
      </c>
      <c r="AC679" s="20">
        <v>0.103885117619386</v>
      </c>
      <c r="AD679" s="20">
        <v>8.9081566847605903E-2</v>
      </c>
      <c r="AE679" s="20">
        <v>7.7242048664502599E-2</v>
      </c>
      <c r="AF679" t="str">
        <f t="shared" si="43"/>
        <v>NonResidential</v>
      </c>
      <c r="AG679" t="str">
        <f>tbl_Data_old[[#This Row],[All_Meas_Name_Append]]</f>
        <v>Smart thermostat</v>
      </c>
      <c r="AH679">
        <f>AVERAGEIFS('3. Incentive Adjustment'!G:G,'3. Incentive Adjustment'!A:A,tbl_Data_old[[#This Row],[Trimmed Sector]],'3. Incentive Adjustment'!B:B,tbl_Data_old[[#This Row],[Trimmed Measure Name]])</f>
        <v>0.87546479230069263</v>
      </c>
      <c r="AI679">
        <f>$AH679*tbl_Data_old[[#This Row],[2025 ]]</f>
        <v>0.31932945959916981</v>
      </c>
      <c r="AJ679">
        <f>$AH679*tbl_Data_old[[#This Row],[2026 ]]</f>
        <v>0.26692332413293957</v>
      </c>
      <c r="AK679">
        <f>$AH679*tbl_Data_old[[#This Row],[2027 ]]</f>
        <v>0.22107966537919588</v>
      </c>
      <c r="AL679">
        <f>$AH679*tbl_Data_old[[#This Row],[2028 ]]</f>
        <v>0.18433664972053662</v>
      </c>
      <c r="AM679">
        <f>$AH679*tbl_Data_old[[#This Row],[2029 ]]</f>
        <v>0.15316524995243833</v>
      </c>
      <c r="AN679">
        <f>$AH679*tbl_Data_old[[#This Row],[2030 ]]</f>
        <v>0.12790734043609386</v>
      </c>
      <c r="AO679">
        <f>$AH679*tbl_Data_old[[#This Row],[2031 ]]</f>
        <v>0.10769284677707289</v>
      </c>
      <c r="AP679">
        <f>$AH679*tbl_Data_old[[#This Row],[2032 ]]</f>
        <v>9.0947762919788788E-2</v>
      </c>
      <c r="AQ679">
        <f>$AH679*tbl_Data_old[[#This Row],[2033 ]]</f>
        <v>7.7987775418059568E-2</v>
      </c>
      <c r="AR679">
        <f>$AH679*tbl_Data_old[[#This Row],[2034 ]]</f>
        <v>6.7622694090948759E-2</v>
      </c>
      <c r="AS679">
        <f>SUM(tbl_Data_old[[#This Row],[Adjusted 2025]:[Adjusted 2034]])</f>
        <v>1.616992768426244</v>
      </c>
      <c r="AT679" s="3">
        <f>AVERAGEIFS('3. Incentive Adjustment'!F:F,'3. Incentive Adjustment'!A:A,tbl_Data_old[[#This Row],[Trimmed Sector]],'3. Incentive Adjustment'!B:B,tbl_Data_old[[#This Row],[Trimmed Measure Name]])</f>
        <v>50</v>
      </c>
      <c r="AU679" s="3">
        <f>IFERROR(VLOOKUP(tbl_Data_old[[#This Row],[All_Meas_Name_Append]],'IRA Tax Credits'!$A$3:$D$46,4,0),0)</f>
        <v>0</v>
      </c>
      <c r="AV679" s="4">
        <f>tbl_Data_old[[#This Row],[Adj. per unit Incentive ($)]]/tbl_Data_old[[#This Row],[kWh Savings]]*tbl_Data_old[[#This Row],[Sum of Annuals]]</f>
        <v>1.7118726238543275E-3</v>
      </c>
      <c r="AW679" s="4">
        <f>IFERROR(VLOOKUP(tbl_Data_old[[#This Row],[All_Programs]],'1. Set Program Names'!$B$2:$D$15,3,0)*tbl_Data_old[[#This Row],[Sum of Annuals]],"")</f>
        <v>5.7564449298480917E-2</v>
      </c>
      <c r="AX679" s="4">
        <f>tbl_Data_old[[#This Row],[per unit IRA tax ($)]]/tbl_Data_old[[#This Row],[kWh Savings]]*tbl_Data_old[[#This Row],[Sum of Annuals]]</f>
        <v>0</v>
      </c>
      <c r="AY679" s="4">
        <f>tbl_Data_old[[#This Row],[Avoided Costs ($/unit)]]/tbl_Data_old[[#This Row],[kWh Savings]]*tbl_Data_old[[#This Row],[Sum of Annuals]]</f>
        <v>0.5792478026781237</v>
      </c>
      <c r="AZ679" s="4">
        <f>tbl_Data_old[[#This Row],[Lost Revenue ($/unit)]]/tbl_Data_old[[#This Row],[kWh Savings]]*tbl_Data_old[[#This Row],[Sum of Annuals]]</f>
        <v>1.3938911259374616</v>
      </c>
      <c r="BA679" s="4">
        <f>tbl_Data_old[[#This Row],[Incremental Cost ($/unit)]]/tbl_Data_old[[#This Row],[kWh Savings]]*tbl_Data_old[[#This Row],[Sum of Annuals]]</f>
        <v>0.38085742135511075</v>
      </c>
      <c r="BB679">
        <f>ROUNDUP(tbl_Data_old[[#This Row],[Adjusted 2025]]/$L679,0)</f>
        <v>1</v>
      </c>
      <c r="BC679">
        <f>ROUNDUP(tbl_Data_old[[#This Row],[Adjusted 2026]]/$L679,0)</f>
        <v>1</v>
      </c>
      <c r="BD679">
        <f>ROUNDUP(tbl_Data_old[[#This Row],[Adjusted 2027]]/$L679,0)</f>
        <v>1</v>
      </c>
      <c r="BE679">
        <f>ROUNDUP(tbl_Data_old[[#This Row],[Adjusted 2028]]/$L679,0)</f>
        <v>1</v>
      </c>
      <c r="BF679">
        <f>ROUNDUP(tbl_Data_old[[#This Row],[Adjusted 2029]]/$L679,0)</f>
        <v>1</v>
      </c>
      <c r="BG679">
        <f>ROUNDUP(tbl_Data_old[[#This Row],[Adjusted 2030]]/$L679,0)</f>
        <v>1</v>
      </c>
      <c r="BH679">
        <f>ROUNDUP(tbl_Data_old[[#This Row],[Adjusted 2031]]/$L679,0)</f>
        <v>1</v>
      </c>
      <c r="BI679">
        <f>ROUNDUP(tbl_Data_old[[#This Row],[Adjusted 2032]]/$L679,0)</f>
        <v>1</v>
      </c>
      <c r="BJ679">
        <f>ROUNDUP(tbl_Data_old[[#This Row],[Adjusted 2033]]/$L679,0)</f>
        <v>1</v>
      </c>
      <c r="BK679">
        <f>ROUNDUP(tbl_Data_old[[#This Row],[Adjusted 2034]]/$L679,0)</f>
        <v>1</v>
      </c>
      <c r="BL679" s="3">
        <f t="shared" si="46"/>
        <v>3.8615678494945089E-4</v>
      </c>
      <c r="BM679" s="3">
        <f t="shared" si="46"/>
        <v>3.2278341248119556E-4</v>
      </c>
      <c r="BN679" s="3">
        <f t="shared" si="46"/>
        <v>2.67345871901988E-4</v>
      </c>
      <c r="BO679" s="3">
        <f t="shared" si="46"/>
        <v>2.2291350160359765E-4</v>
      </c>
      <c r="BP679" s="3">
        <f t="shared" si="46"/>
        <v>1.8521874105149546E-4</v>
      </c>
      <c r="BQ679" s="3">
        <f t="shared" si="46"/>
        <v>1.5467500999198541E-4</v>
      </c>
      <c r="BR679" s="3">
        <f t="shared" si="46"/>
        <v>1.3023015015804827E-4</v>
      </c>
      <c r="BS679" s="3">
        <f t="shared" si="46"/>
        <v>1.0998075708872627E-4</v>
      </c>
      <c r="BT679" s="3">
        <f t="shared" si="46"/>
        <v>9.4308582298042364E-5</v>
      </c>
      <c r="BU679" s="3">
        <f t="shared" si="46"/>
        <v>8.1774359849412685E-5</v>
      </c>
      <c r="BV679">
        <f>VLOOKUP($H679,'1. Set Program Names'!$B$2:$D$15,3,0)*V679</f>
        <v>1.2985138239104547E-2</v>
      </c>
      <c r="BW679">
        <f>VLOOKUP($H679,'1. Set Program Names'!$B$2:$D$15,3,0)*W679</f>
        <v>1.0854107439564721E-2</v>
      </c>
      <c r="BX679">
        <f>VLOOKUP($H679,'1. Set Program Names'!$B$2:$D$15,3,0)*X679</f>
        <v>8.9899316536822833E-3</v>
      </c>
      <c r="BY679">
        <f>VLOOKUP($H679,'1. Set Program Names'!$B$2:$D$15,3,0)*Y679</f>
        <v>7.4958222838541503E-3</v>
      </c>
      <c r="BZ679">
        <f>VLOOKUP($H679,'1. Set Program Names'!$B$2:$D$15,3,0)*Z679</f>
        <v>6.2282757956497146E-3</v>
      </c>
      <c r="CA679">
        <f>VLOOKUP($H679,'1. Set Program Names'!$B$2:$D$15,3,0)*AA679</f>
        <v>5.201194087898064E-3</v>
      </c>
      <c r="CB679">
        <f>VLOOKUP($H679,'1. Set Program Names'!$B$2:$D$15,3,0)*AB679</f>
        <v>4.3791966595199527E-3</v>
      </c>
      <c r="CC679">
        <f>VLOOKUP($H679,'1. Set Program Names'!$B$2:$D$15,3,0)*AC679</f>
        <v>3.6982784974901651E-3</v>
      </c>
      <c r="CD679">
        <f>VLOOKUP($H679,'1. Set Program Names'!$B$2:$D$15,3,0)*AD679</f>
        <v>3.1712766057816477E-3</v>
      </c>
      <c r="CE679">
        <f>VLOOKUP($H679,'1. Set Program Names'!$B$2:$D$15,3,0)*AE679</f>
        <v>2.7497933700631571E-3</v>
      </c>
    </row>
    <row r="680" spans="1:83" x14ac:dyDescent="0.25">
      <c r="A680" s="20" t="s">
        <v>115</v>
      </c>
      <c r="B680" s="20" t="s">
        <v>88</v>
      </c>
      <c r="C680" s="20" t="s">
        <v>176</v>
      </c>
      <c r="D680" s="20" t="s">
        <v>90</v>
      </c>
      <c r="E680" s="20" t="s">
        <v>91</v>
      </c>
      <c r="F680" s="20" t="s">
        <v>90</v>
      </c>
      <c r="G680" s="20" t="s">
        <v>92</v>
      </c>
      <c r="H680" s="20" t="s">
        <v>14</v>
      </c>
      <c r="I680" s="20" t="s">
        <v>157</v>
      </c>
      <c r="J680" s="20" t="s">
        <v>158</v>
      </c>
      <c r="K680" s="20" t="s">
        <v>159</v>
      </c>
      <c r="L680" s="20">
        <v>562.52</v>
      </c>
      <c r="M680" s="20">
        <v>6.7473359330379998E-2</v>
      </c>
      <c r="N680" s="20">
        <v>6.4973258375617293E-2</v>
      </c>
      <c r="O680" s="20">
        <v>169</v>
      </c>
      <c r="P680" s="20">
        <v>55.847956108163899</v>
      </c>
      <c r="Q680" s="20">
        <v>20.025540405413601</v>
      </c>
      <c r="R680" s="20">
        <v>240.47921618074301</v>
      </c>
      <c r="S680" s="20">
        <v>597.43584258705596</v>
      </c>
      <c r="T680" s="20">
        <v>15</v>
      </c>
      <c r="U680" s="20">
        <v>0.2</v>
      </c>
      <c r="V680" s="20">
        <v>7.2954904704315704E-2</v>
      </c>
      <c r="W680" s="20">
        <v>0.15595330807506899</v>
      </c>
      <c r="X680" s="20">
        <v>0.24770391197500799</v>
      </c>
      <c r="Y680" s="20">
        <v>0.348239359173109</v>
      </c>
      <c r="Z680" s="20">
        <v>0.45625732692723697</v>
      </c>
      <c r="AA680" s="20">
        <v>0.57129901628678903</v>
      </c>
      <c r="AB680" s="20">
        <v>0.69298246407688202</v>
      </c>
      <c r="AC680" s="20">
        <v>0.82062356561598504</v>
      </c>
      <c r="AD680" s="20">
        <v>0.95417211851917605</v>
      </c>
      <c r="AE680" s="20">
        <v>1.09331647524526</v>
      </c>
      <c r="AF680" t="str">
        <f t="shared" si="43"/>
        <v>NonResidential</v>
      </c>
      <c r="AG680" t="str">
        <f>tbl_Data_old[[#This Row],[All_Meas_Name_Append]]</f>
        <v>LED Exterior Wall Packs</v>
      </c>
      <c r="AH680">
        <f>AVERAGEIFS('3. Incentive Adjustment'!G:G,'3. Incentive Adjustment'!A:A,tbl_Data_old[[#This Row],[Trimmed Sector]],'3. Incentive Adjustment'!B:B,tbl_Data_old[[#This Row],[Trimmed Measure Name]])</f>
        <v>0.80637708305213962</v>
      </c>
      <c r="AI680">
        <f>$AH680*tbl_Data_old[[#This Row],[2025 ]]</f>
        <v>5.8829163249812917E-2</v>
      </c>
      <c r="AJ680">
        <f>$AH680*tbl_Data_old[[#This Row],[2026 ]]</f>
        <v>0.12575717365790581</v>
      </c>
      <c r="AK680">
        <f>$AH680*tbl_Data_old[[#This Row],[2027 ]]</f>
        <v>0.19974275799901089</v>
      </c>
      <c r="AL680">
        <f>$AH680*tbl_Data_old[[#This Row],[2028 ]]</f>
        <v>0.28081223865395799</v>
      </c>
      <c r="AM680">
        <f>$AH680*tbl_Data_old[[#This Row],[2029 ]]</f>
        <v>0.36791545240875179</v>
      </c>
      <c r="AN680">
        <f>$AH680*tbl_Data_old[[#This Row],[2030 ]]</f>
        <v>0.46068243430389777</v>
      </c>
      <c r="AO680">
        <f>$AH680*tbl_Data_old[[#This Row],[2031 ]]</f>
        <v>0.5588051779886003</v>
      </c>
      <c r="AP680">
        <f>$AH680*tbl_Data_old[[#This Row],[2032 ]]</f>
        <v>0.66173203712526407</v>
      </c>
      <c r="AQ680">
        <f>$AH680*tbl_Data_old[[#This Row],[2033 ]]</f>
        <v>0.76942252966117364</v>
      </c>
      <c r="AR680">
        <f>$AH680*tbl_Data_old[[#This Row],[2034 ]]</f>
        <v>0.88162535016111954</v>
      </c>
      <c r="AS680">
        <f>SUM(tbl_Data_old[[#This Row],[Adjusted 2025]:[Adjusted 2034]])</f>
        <v>4.3653243152094943</v>
      </c>
      <c r="AT680" s="3">
        <f>AVERAGEIFS('3. Incentive Adjustment'!F:F,'3. Incentive Adjustment'!A:A,tbl_Data_old[[#This Row],[Trimmed Sector]],'3. Incentive Adjustment'!B:B,tbl_Data_old[[#This Row],[Trimmed Measure Name]])</f>
        <v>8.6864493556481861</v>
      </c>
      <c r="AU680" s="3">
        <f>IFERROR(VLOOKUP(tbl_Data_old[[#This Row],[All_Meas_Name_Append]],'IRA Tax Credits'!$A$3:$D$46,4,0),0)</f>
        <v>0</v>
      </c>
      <c r="AV680" s="4">
        <f>tbl_Data_old[[#This Row],[Adj. per unit Incentive ($)]]/tbl_Data_old[[#This Row],[kWh Savings]]*tbl_Data_old[[#This Row],[Sum of Annuals]]</f>
        <v>6.7409458481559534E-2</v>
      </c>
      <c r="AW680" s="4">
        <f>IFERROR(VLOOKUP(tbl_Data_old[[#This Row],[All_Programs]],'1. Set Program Names'!$B$2:$D$15,3,0)*tbl_Data_old[[#This Row],[Sum of Annuals]],"")</f>
        <v>0.15540421399588025</v>
      </c>
      <c r="AX680" s="4">
        <f>tbl_Data_old[[#This Row],[per unit IRA tax ($)]]/tbl_Data_old[[#This Row],[kWh Savings]]*tbl_Data_old[[#This Row],[Sum of Annuals]]</f>
        <v>0</v>
      </c>
      <c r="AY680" s="4">
        <f>tbl_Data_old[[#This Row],[Avoided Costs ($/unit)]]/tbl_Data_old[[#This Row],[kWh Savings]]*tbl_Data_old[[#This Row],[Sum of Annuals]]</f>
        <v>1.8661910148907024</v>
      </c>
      <c r="AZ680" s="4">
        <f>tbl_Data_old[[#This Row],[Lost Revenue ($/unit)]]/tbl_Data_old[[#This Row],[kWh Savings]]*tbl_Data_old[[#This Row],[Sum of Annuals]]</f>
        <v>4.6362817507341028</v>
      </c>
      <c r="BA680" s="4">
        <f>tbl_Data_old[[#This Row],[Incremental Cost ($/unit)]]/tbl_Data_old[[#This Row],[kWh Savings]]*tbl_Data_old[[#This Row],[Sum of Annuals]]</f>
        <v>1.3114908079186598</v>
      </c>
      <c r="BB680">
        <f>ROUNDUP(tbl_Data_old[[#This Row],[Adjusted 2025]]/$L680,0)</f>
        <v>1</v>
      </c>
      <c r="BC680">
        <f>ROUNDUP(tbl_Data_old[[#This Row],[Adjusted 2026]]/$L680,0)</f>
        <v>1</v>
      </c>
      <c r="BD680">
        <f>ROUNDUP(tbl_Data_old[[#This Row],[Adjusted 2027]]/$L680,0)</f>
        <v>1</v>
      </c>
      <c r="BE680">
        <f>ROUNDUP(tbl_Data_old[[#This Row],[Adjusted 2028]]/$L680,0)</f>
        <v>1</v>
      </c>
      <c r="BF680">
        <f>ROUNDUP(tbl_Data_old[[#This Row],[Adjusted 2029]]/$L680,0)</f>
        <v>1</v>
      </c>
      <c r="BG680">
        <f>ROUNDUP(tbl_Data_old[[#This Row],[Adjusted 2030]]/$L680,0)</f>
        <v>1</v>
      </c>
      <c r="BH680">
        <f>ROUNDUP(tbl_Data_old[[#This Row],[Adjusted 2031]]/$L680,0)</f>
        <v>1</v>
      </c>
      <c r="BI680">
        <f>ROUNDUP(tbl_Data_old[[#This Row],[Adjusted 2032]]/$L680,0)</f>
        <v>1</v>
      </c>
      <c r="BJ680">
        <f>ROUNDUP(tbl_Data_old[[#This Row],[Adjusted 2033]]/$L680,0)</f>
        <v>1</v>
      </c>
      <c r="BK680">
        <f>ROUNDUP(tbl_Data_old[[#This Row],[Adjusted 2034]]/$L680,0)</f>
        <v>1</v>
      </c>
      <c r="BL680" s="3">
        <f t="shared" si="46"/>
        <v>1.1265716507149577E-3</v>
      </c>
      <c r="BM680" s="3">
        <f t="shared" si="46"/>
        <v>2.4082352848607803E-3</v>
      </c>
      <c r="BN680" s="3">
        <f t="shared" si="46"/>
        <v>3.8250506409849305E-3</v>
      </c>
      <c r="BO680" s="3">
        <f t="shared" si="46"/>
        <v>5.3775217896263067E-3</v>
      </c>
      <c r="BP680" s="3">
        <f t="shared" si="46"/>
        <v>7.0455382270796793E-3</v>
      </c>
      <c r="BQ680" s="3">
        <f t="shared" si="46"/>
        <v>8.8220151672950674E-3</v>
      </c>
      <c r="BR680" s="3">
        <f t="shared" si="46"/>
        <v>1.0701054324390464E-2</v>
      </c>
      <c r="BS680" s="3">
        <f t="shared" si="46"/>
        <v>1.2672091735004427E-2</v>
      </c>
      <c r="BT680" s="3">
        <f t="shared" si="46"/>
        <v>1.4734352172524286E-2</v>
      </c>
      <c r="BU680" s="3">
        <f t="shared" si="46"/>
        <v>1.6883023167022924E-2</v>
      </c>
      <c r="BV680">
        <f>VLOOKUP($H680,'1. Set Program Names'!$B$2:$D$15,3,0)*V680</f>
        <v>2.5971723528574616E-3</v>
      </c>
      <c r="BW680">
        <f>VLOOKUP($H680,'1. Set Program Names'!$B$2:$D$15,3,0)*W680</f>
        <v>5.5518901945090359E-3</v>
      </c>
      <c r="BX680">
        <f>VLOOKUP($H680,'1. Set Program Names'!$B$2:$D$15,3,0)*X680</f>
        <v>8.8181837051741416E-3</v>
      </c>
      <c r="BY680">
        <f>VLOOKUP($H680,'1. Set Program Names'!$B$2:$D$15,3,0)*Y680</f>
        <v>1.2397214957470782E-2</v>
      </c>
      <c r="BZ680">
        <f>VLOOKUP($H680,'1. Set Program Names'!$B$2:$D$15,3,0)*Z680</f>
        <v>1.6242621659047548E-2</v>
      </c>
      <c r="CA680">
        <f>VLOOKUP($H680,'1. Set Program Names'!$B$2:$D$15,3,0)*AA680</f>
        <v>2.033807070721785E-2</v>
      </c>
      <c r="CB680">
        <f>VLOOKUP($H680,'1. Set Program Names'!$B$2:$D$15,3,0)*AB680</f>
        <v>2.4669964329472268E-2</v>
      </c>
      <c r="CC680">
        <f>VLOOKUP($H680,'1. Set Program Names'!$B$2:$D$15,3,0)*AC680</f>
        <v>2.9213948607831827E-2</v>
      </c>
      <c r="CD680">
        <f>VLOOKUP($H680,'1. Set Program Names'!$B$2:$D$15,3,0)*AD680</f>
        <v>3.3968236352707348E-2</v>
      </c>
      <c r="CE680">
        <f>VLOOKUP($H680,'1. Set Program Names'!$B$2:$D$15,3,0)*AE680</f>
        <v>3.892173300669919E-2</v>
      </c>
    </row>
    <row r="681" spans="1:83" x14ac:dyDescent="0.25">
      <c r="A681" s="20" t="s">
        <v>115</v>
      </c>
      <c r="B681" s="20" t="s">
        <v>88</v>
      </c>
      <c r="C681" s="20" t="s">
        <v>176</v>
      </c>
      <c r="D681" s="20" t="s">
        <v>90</v>
      </c>
      <c r="E681" s="20" t="s">
        <v>91</v>
      </c>
      <c r="F681" s="20" t="s">
        <v>90</v>
      </c>
      <c r="G681" s="20" t="s">
        <v>92</v>
      </c>
      <c r="H681" s="20" t="s">
        <v>14</v>
      </c>
      <c r="I681" s="20" t="s">
        <v>162</v>
      </c>
      <c r="J681" s="20" t="s">
        <v>161</v>
      </c>
      <c r="K681" s="20" t="s">
        <v>159</v>
      </c>
      <c r="L681" s="20">
        <v>725.58416666666596</v>
      </c>
      <c r="M681" s="20">
        <v>8.6917804178563804E-2</v>
      </c>
      <c r="N681" s="20">
        <v>8.3795205289933394E-2</v>
      </c>
      <c r="O681" s="20">
        <v>179</v>
      </c>
      <c r="P681" s="20">
        <v>33.0790753554421</v>
      </c>
      <c r="Q681" s="20">
        <v>25.8305749966432</v>
      </c>
      <c r="R681" s="20">
        <v>310.45187974046598</v>
      </c>
      <c r="S681" s="20">
        <v>770.62146764617603</v>
      </c>
      <c r="T681" s="20">
        <v>15</v>
      </c>
      <c r="U681" s="20">
        <v>0.2</v>
      </c>
      <c r="V681" s="20">
        <v>0.37363118456680899</v>
      </c>
      <c r="W681" s="20">
        <v>0.79869913434008999</v>
      </c>
      <c r="X681" s="20">
        <v>1.26859059617934</v>
      </c>
      <c r="Y681" s="20">
        <v>1.7834727467328</v>
      </c>
      <c r="Z681" s="20">
        <v>2.3366758714582301</v>
      </c>
      <c r="AA681" s="20">
        <v>2.92585027781496</v>
      </c>
      <c r="AB681" s="20">
        <v>3.5490397799362099</v>
      </c>
      <c r="AC681" s="20">
        <v>4.2027408047097596</v>
      </c>
      <c r="AD681" s="20">
        <v>4.8866962456857497</v>
      </c>
      <c r="AE681" s="20">
        <v>5.5993100314218198</v>
      </c>
      <c r="AF681" t="str">
        <f t="shared" si="43"/>
        <v>NonResidential</v>
      </c>
      <c r="AG681" t="str">
        <f>tbl_Data_old[[#This Row],[All_Meas_Name_Append]]</f>
        <v>LED High Bay_LF Baseline</v>
      </c>
      <c r="AH681">
        <f>AVERAGEIFS('3. Incentive Adjustment'!G:G,'3. Incentive Adjustment'!A:A,tbl_Data_old[[#This Row],[Trimmed Sector]],'3. Incentive Adjustment'!B:B,tbl_Data_old[[#This Row],[Trimmed Measure Name]])</f>
        <v>0.93017466414143679</v>
      </c>
      <c r="AI681">
        <f>$AH681*tbl_Data_old[[#This Row],[2025 ]]</f>
        <v>0.34754226161719876</v>
      </c>
      <c r="AJ681">
        <f>$AH681*tbl_Data_old[[#This Row],[2026 ]]</f>
        <v>0.74292969903484951</v>
      </c>
      <c r="AK681">
        <f>$AH681*tbl_Data_old[[#This Row],[2027 ]]</f>
        <v>1.1800108317341027</v>
      </c>
      <c r="AL681">
        <f>$AH681*tbl_Data_old[[#This Row],[2028 ]]</f>
        <v>1.6589411631975879</v>
      </c>
      <c r="AM681">
        <f>$AH681*tbl_Data_old[[#This Row],[2029 ]]</f>
        <v>2.1735166939410582</v>
      </c>
      <c r="AN681">
        <f>$AH681*tbl_Data_old[[#This Row],[2030 ]]</f>
        <v>2.7215517994946601</v>
      </c>
      <c r="AO681">
        <f>$AH681*tbl_Data_old[[#This Row],[2031 ]]</f>
        <v>3.3012268853267628</v>
      </c>
      <c r="AP681">
        <f>$AH681*tbl_Data_old[[#This Row],[2032 ]]</f>
        <v>3.9092830164944123</v>
      </c>
      <c r="AQ681">
        <f>$AH681*tbl_Data_old[[#This Row],[2033 ]]</f>
        <v>4.5454810390919622</v>
      </c>
      <c r="AR681">
        <f>$AH681*tbl_Data_old[[#This Row],[2034 ]]</f>
        <v>5.2083363279015691</v>
      </c>
      <c r="AS681">
        <f>SUM(tbl_Data_old[[#This Row],[Adjusted 2025]:[Adjusted 2034]])</f>
        <v>25.788819717834166</v>
      </c>
      <c r="AT681" s="3">
        <f>AVERAGEIFS('3. Incentive Adjustment'!F:F,'3. Incentive Adjustment'!A:A,tbl_Data_old[[#This Row],[Trimmed Sector]],'3. Incentive Adjustment'!B:B,tbl_Data_old[[#This Row],[Trimmed Measure Name]])</f>
        <v>23.858858929800434</v>
      </c>
      <c r="AU681" s="3">
        <f>IFERROR(VLOOKUP(tbl_Data_old[[#This Row],[All_Meas_Name_Append]],'IRA Tax Credits'!$A$3:$D$46,4,0),0)</f>
        <v>0</v>
      </c>
      <c r="AV681" s="4">
        <f>tbl_Data_old[[#This Row],[Adj. per unit Incentive ($)]]/tbl_Data_old[[#This Row],[kWh Savings]]*tbl_Data_old[[#This Row],[Sum of Annuals]]</f>
        <v>0.84799509123870775</v>
      </c>
      <c r="AW681" s="4">
        <f>IFERROR(VLOOKUP(tbl_Data_old[[#This Row],[All_Programs]],'1. Set Program Names'!$B$2:$D$15,3,0)*tbl_Data_old[[#This Row],[Sum of Annuals]],"")</f>
        <v>0.91807411517353565</v>
      </c>
      <c r="AX681" s="4">
        <f>tbl_Data_old[[#This Row],[per unit IRA tax ($)]]/tbl_Data_old[[#This Row],[kWh Savings]]*tbl_Data_old[[#This Row],[Sum of Annuals]]</f>
        <v>0</v>
      </c>
      <c r="AY681" s="4">
        <f>tbl_Data_old[[#This Row],[Avoided Costs ($/unit)]]/tbl_Data_old[[#This Row],[kWh Savings]]*tbl_Data_old[[#This Row],[Sum of Annuals]]</f>
        <v>11.03412660514636</v>
      </c>
      <c r="AZ681" s="4">
        <f>tbl_Data_old[[#This Row],[Lost Revenue ($/unit)]]/tbl_Data_old[[#This Row],[kWh Savings]]*tbl_Data_old[[#This Row],[Sum of Annuals]]</f>
        <v>27.389542127302065</v>
      </c>
      <c r="BA681" s="4">
        <f>tbl_Data_old[[#This Row],[Incremental Cost ($/unit)]]/tbl_Data_old[[#This Row],[kWh Savings]]*tbl_Data_old[[#This Row],[Sum of Annuals]]</f>
        <v>6.3620444623249357</v>
      </c>
      <c r="BB681">
        <f>ROUNDUP(tbl_Data_old[[#This Row],[Adjusted 2025]]/$L681,0)</f>
        <v>1</v>
      </c>
      <c r="BC681">
        <f>ROUNDUP(tbl_Data_old[[#This Row],[Adjusted 2026]]/$L681,0)</f>
        <v>1</v>
      </c>
      <c r="BD681">
        <f>ROUNDUP(tbl_Data_old[[#This Row],[Adjusted 2027]]/$L681,0)</f>
        <v>1</v>
      </c>
      <c r="BE681">
        <f>ROUNDUP(tbl_Data_old[[#This Row],[Adjusted 2028]]/$L681,0)</f>
        <v>1</v>
      </c>
      <c r="BF681">
        <f>ROUNDUP(tbl_Data_old[[#This Row],[Adjusted 2029]]/$L681,0)</f>
        <v>1</v>
      </c>
      <c r="BG681">
        <f>ROUNDUP(tbl_Data_old[[#This Row],[Adjusted 2030]]/$L681,0)</f>
        <v>1</v>
      </c>
      <c r="BH681">
        <f>ROUNDUP(tbl_Data_old[[#This Row],[Adjusted 2031]]/$L681,0)</f>
        <v>1</v>
      </c>
      <c r="BI681">
        <f>ROUNDUP(tbl_Data_old[[#This Row],[Adjusted 2032]]/$L681,0)</f>
        <v>1</v>
      </c>
      <c r="BJ681">
        <f>ROUNDUP(tbl_Data_old[[#This Row],[Adjusted 2033]]/$L681,0)</f>
        <v>1</v>
      </c>
      <c r="BK681">
        <f>ROUNDUP(tbl_Data_old[[#This Row],[Adjusted 2034]]/$L681,0)</f>
        <v>1</v>
      </c>
      <c r="BL681" s="3">
        <f t="shared" si="46"/>
        <v>1.2285843784748701E-2</v>
      </c>
      <c r="BM681" s="3">
        <f t="shared" si="46"/>
        <v>2.6263045486669637E-2</v>
      </c>
      <c r="BN681" s="3">
        <f t="shared" si="46"/>
        <v>4.1714146289825317E-2</v>
      </c>
      <c r="BO681" s="3">
        <f t="shared" si="46"/>
        <v>5.8644643342927058E-2</v>
      </c>
      <c r="BP681" s="3">
        <f t="shared" si="46"/>
        <v>7.6835221250634314E-2</v>
      </c>
      <c r="BQ681" s="3">
        <f t="shared" si="46"/>
        <v>9.6208616773985012E-2</v>
      </c>
      <c r="BR681" s="3">
        <f t="shared" si="46"/>
        <v>0.11670050606913016</v>
      </c>
      <c r="BS681" s="3">
        <f t="shared" si="46"/>
        <v>0.13819568367752355</v>
      </c>
      <c r="BT681" s="3">
        <f t="shared" si="46"/>
        <v>0.16068569535388402</v>
      </c>
      <c r="BU681" s="3">
        <f t="shared" si="46"/>
        <v>0.18411805863630765</v>
      </c>
      <c r="BV681">
        <f>VLOOKUP($H681,'1. Set Program Names'!$B$2:$D$15,3,0)*V681</f>
        <v>1.3301156195806749E-2</v>
      </c>
      <c r="BW681">
        <f>VLOOKUP($H681,'1. Set Program Names'!$B$2:$D$15,3,0)*W681</f>
        <v>2.8433445542374328E-2</v>
      </c>
      <c r="BX681">
        <f>VLOOKUP($H681,'1. Set Program Names'!$B$2:$D$15,3,0)*X681</f>
        <v>4.5161438245248542E-2</v>
      </c>
      <c r="BY681">
        <f>VLOOKUP($H681,'1. Set Program Names'!$B$2:$D$15,3,0)*Y681</f>
        <v>6.3491085742110182E-2</v>
      </c>
      <c r="BZ681">
        <f>VLOOKUP($H681,'1. Set Program Names'!$B$2:$D$15,3,0)*Z681</f>
        <v>8.3184948229826541E-2</v>
      </c>
      <c r="CA681">
        <f>VLOOKUP($H681,'1. Set Program Names'!$B$2:$D$15,3,0)*AA681</f>
        <v>0.10415937737071454</v>
      </c>
      <c r="CB681">
        <f>VLOOKUP($H681,'1. Set Program Names'!$B$2:$D$15,3,0)*AB681</f>
        <v>0.12634473354464387</v>
      </c>
      <c r="CC681">
        <f>VLOOKUP($H681,'1. Set Program Names'!$B$2:$D$15,3,0)*AC681</f>
        <v>0.14961629061757115</v>
      </c>
      <c r="CD681">
        <f>VLOOKUP($H681,'1. Set Program Names'!$B$2:$D$15,3,0)*AD681</f>
        <v>0.17396489567831072</v>
      </c>
      <c r="CE681">
        <f>VLOOKUP($H681,'1. Set Program Names'!$B$2:$D$15,3,0)*AE681</f>
        <v>0.1993337290703901</v>
      </c>
    </row>
    <row r="682" spans="1:83" x14ac:dyDescent="0.25">
      <c r="A682" s="20" t="s">
        <v>115</v>
      </c>
      <c r="B682" s="20" t="s">
        <v>88</v>
      </c>
      <c r="C682" s="20" t="s">
        <v>176</v>
      </c>
      <c r="D682" s="20" t="s">
        <v>90</v>
      </c>
      <c r="E682" s="20" t="s">
        <v>91</v>
      </c>
      <c r="F682" s="20" t="s">
        <v>90</v>
      </c>
      <c r="G682" s="20" t="s">
        <v>92</v>
      </c>
      <c r="H682" s="20" t="s">
        <v>14</v>
      </c>
      <c r="I682" s="20" t="s">
        <v>165</v>
      </c>
      <c r="J682" s="20" t="s">
        <v>161</v>
      </c>
      <c r="K682" s="20" t="s">
        <v>166</v>
      </c>
      <c r="L682" s="20">
        <v>565.38999999999896</v>
      </c>
      <c r="M682" s="20">
        <v>6.7728127941350899E-2</v>
      </c>
      <c r="N682" s="20">
        <v>6.5294935157718198E-2</v>
      </c>
      <c r="O682" s="20">
        <v>129</v>
      </c>
      <c r="P682" s="20">
        <v>15.293574707506</v>
      </c>
      <c r="Q682" s="20">
        <v>20.127711529930998</v>
      </c>
      <c r="R682" s="20">
        <v>190.6779313312</v>
      </c>
      <c r="S682" s="20">
        <v>454.767236260907</v>
      </c>
      <c r="T682" s="20">
        <v>10</v>
      </c>
      <c r="U682" s="20">
        <v>0.2</v>
      </c>
      <c r="V682" s="20">
        <v>4.4706726755555898E-2</v>
      </c>
      <c r="W682" s="20">
        <v>0.106436171632236</v>
      </c>
      <c r="X682" s="20">
        <v>0.18901809725836599</v>
      </c>
      <c r="Y682" s="20">
        <v>0.29674346904917198</v>
      </c>
      <c r="Z682" s="20">
        <v>0.43123009146060198</v>
      </c>
      <c r="AA682" s="20">
        <v>0.59086845340900296</v>
      </c>
      <c r="AB682" s="20">
        <v>0.76878400082968801</v>
      </c>
      <c r="AC682" s="20">
        <v>0.95227903449100404</v>
      </c>
      <c r="AD682" s="20">
        <v>1.1260150167706</v>
      </c>
      <c r="AE682" s="20">
        <v>1.2763627338721599</v>
      </c>
      <c r="AF682" t="str">
        <f t="shared" si="43"/>
        <v>NonResidential</v>
      </c>
      <c r="AG682" t="str">
        <f>tbl_Data_old[[#This Row],[All_Meas_Name_Append]]</f>
        <v>Occupancy Sensors_ Ceiling Mounted</v>
      </c>
      <c r="AH682">
        <f>AVERAGEIFS('3. Incentive Adjustment'!G:G,'3. Incentive Adjustment'!A:A,tbl_Data_old[[#This Row],[Trimmed Sector]],'3. Incentive Adjustment'!B:B,tbl_Data_old[[#This Row],[Trimmed Measure Name]])</f>
        <v>0.99348124042467356</v>
      </c>
      <c r="AI682">
        <f>$AH682*tbl_Data_old[[#This Row],[2025 ]]</f>
        <v>4.4415294352436616E-2</v>
      </c>
      <c r="AJ682">
        <f>$AH682*tbl_Data_old[[#This Row],[2026 ]]</f>
        <v>0.10574233981924727</v>
      </c>
      <c r="AK682">
        <f>$AH682*tbl_Data_old[[#This Row],[2027 ]]</f>
        <v>0.18778593372695304</v>
      </c>
      <c r="AL682">
        <f>$AH682*tbl_Data_old[[#This Row],[2028 ]]</f>
        <v>0.29480906971889209</v>
      </c>
      <c r="AM682">
        <f>$AH682*tbl_Data_old[[#This Row],[2029 ]]</f>
        <v>0.42841900617272427</v>
      </c>
      <c r="AN682">
        <f>$AH682*tbl_Data_old[[#This Row],[2030 ]]</f>
        <v>0.58701672402058469</v>
      </c>
      <c r="AO682">
        <f>$AH682*tbl_Data_old[[#This Row],[2031 ]]</f>
        <v>0.76377248276292176</v>
      </c>
      <c r="AP682">
        <f>$AH682*tbl_Data_old[[#This Row],[2032 ]]</f>
        <v>0.94607135641653317</v>
      </c>
      <c r="AQ682">
        <f>$AH682*tbl_Data_old[[#This Row],[2033 ]]</f>
        <v>1.1186747955980654</v>
      </c>
      <c r="AR682">
        <f>$AH682*tbl_Data_old[[#This Row],[2034 ]]</f>
        <v>1.268042432079141</v>
      </c>
      <c r="AS682">
        <f>SUM(tbl_Data_old[[#This Row],[Adjusted 2025]:[Adjusted 2034]])</f>
        <v>5.744749434667499</v>
      </c>
      <c r="AT682" s="3">
        <f>AVERAGEIFS('3. Incentive Adjustment'!F:F,'3. Incentive Adjustment'!A:A,tbl_Data_old[[#This Row],[Trimmed Sector]],'3. Incentive Adjustment'!B:B,tbl_Data_old[[#This Row],[Trimmed Measure Name]])</f>
        <v>19.547634357270656</v>
      </c>
      <c r="AU682" s="3">
        <f>IFERROR(VLOOKUP(tbl_Data_old[[#This Row],[All_Meas_Name_Append]],'IRA Tax Credits'!$A$3:$D$46,4,0),0)</f>
        <v>0</v>
      </c>
      <c r="AV682" s="4">
        <f>tbl_Data_old[[#This Row],[Adj. per unit Incentive ($)]]/tbl_Data_old[[#This Row],[kWh Savings]]*tbl_Data_old[[#This Row],[Sum of Annuals]]</f>
        <v>0.19861734629727759</v>
      </c>
      <c r="AW682" s="4">
        <f>IFERROR(VLOOKUP(tbl_Data_old[[#This Row],[All_Programs]],'1. Set Program Names'!$B$2:$D$15,3,0)*tbl_Data_old[[#This Row],[Sum of Annuals]],"")</f>
        <v>0.20451132746019951</v>
      </c>
      <c r="AX682" s="4">
        <f>tbl_Data_old[[#This Row],[per unit IRA tax ($)]]/tbl_Data_old[[#This Row],[kWh Savings]]*tbl_Data_old[[#This Row],[Sum of Annuals]]</f>
        <v>0</v>
      </c>
      <c r="AY682" s="4">
        <f>tbl_Data_old[[#This Row],[Avoided Costs ($/unit)]]/tbl_Data_old[[#This Row],[kWh Savings]]*tbl_Data_old[[#This Row],[Sum of Annuals]]</f>
        <v>1.937418309871914</v>
      </c>
      <c r="AZ682" s="4">
        <f>tbl_Data_old[[#This Row],[Lost Revenue ($/unit)]]/tbl_Data_old[[#This Row],[kWh Savings]]*tbl_Data_old[[#This Row],[Sum of Annuals]]</f>
        <v>4.62074642886353</v>
      </c>
      <c r="BA682" s="4">
        <f>tbl_Data_old[[#This Row],[Incremental Cost ($/unit)]]/tbl_Data_old[[#This Row],[kWh Savings]]*tbl_Data_old[[#This Row],[Sum of Annuals]]</f>
        <v>1.3107283062525137</v>
      </c>
      <c r="BB682">
        <f>ROUNDUP(tbl_Data_old[[#This Row],[Adjusted 2025]]/$L682,0)</f>
        <v>1</v>
      </c>
      <c r="BC682">
        <f>ROUNDUP(tbl_Data_old[[#This Row],[Adjusted 2026]]/$L682,0)</f>
        <v>1</v>
      </c>
      <c r="BD682">
        <f>ROUNDUP(tbl_Data_old[[#This Row],[Adjusted 2027]]/$L682,0)</f>
        <v>1</v>
      </c>
      <c r="BE682">
        <f>ROUNDUP(tbl_Data_old[[#This Row],[Adjusted 2028]]/$L682,0)</f>
        <v>1</v>
      </c>
      <c r="BF682">
        <f>ROUNDUP(tbl_Data_old[[#This Row],[Adjusted 2029]]/$L682,0)</f>
        <v>1</v>
      </c>
      <c r="BG682">
        <f>ROUNDUP(tbl_Data_old[[#This Row],[Adjusted 2030]]/$L682,0)</f>
        <v>1</v>
      </c>
      <c r="BH682">
        <f>ROUNDUP(tbl_Data_old[[#This Row],[Adjusted 2031]]/$L682,0)</f>
        <v>1</v>
      </c>
      <c r="BI682">
        <f>ROUNDUP(tbl_Data_old[[#This Row],[Adjusted 2032]]/$L682,0)</f>
        <v>1</v>
      </c>
      <c r="BJ682">
        <f>ROUNDUP(tbl_Data_old[[#This Row],[Adjusted 2033]]/$L682,0)</f>
        <v>1</v>
      </c>
      <c r="BK682">
        <f>ROUNDUP(tbl_Data_old[[#This Row],[Adjusted 2034]]/$L682,0)</f>
        <v>1</v>
      </c>
      <c r="BL682" s="3">
        <f t="shared" si="46"/>
        <v>1.5456777585879081E-3</v>
      </c>
      <c r="BM682" s="3">
        <f t="shared" si="46"/>
        <v>3.6798941711998026E-3</v>
      </c>
      <c r="BN682" s="3">
        <f t="shared" si="46"/>
        <v>6.5350583705293128E-3</v>
      </c>
      <c r="BO682" s="3">
        <f t="shared" si="46"/>
        <v>1.0259524984313989E-2</v>
      </c>
      <c r="BP682" s="3">
        <f t="shared" si="46"/>
        <v>1.4909227527413371E-2</v>
      </c>
      <c r="BQ682" s="3">
        <f t="shared" si="46"/>
        <v>2.0428519217681997E-2</v>
      </c>
      <c r="BR682" s="3">
        <f t="shared" si="46"/>
        <v>2.6579721162274587E-2</v>
      </c>
      <c r="BS682" s="3">
        <f t="shared" si="46"/>
        <v>3.2923826690116405E-2</v>
      </c>
      <c r="BT682" s="3">
        <f t="shared" si="46"/>
        <v>3.8930525528622216E-2</v>
      </c>
      <c r="BU682" s="3">
        <f t="shared" si="46"/>
        <v>4.4128605084949118E-2</v>
      </c>
      <c r="BV682">
        <f>VLOOKUP($H682,'1. Set Program Names'!$B$2:$D$15,3,0)*V682</f>
        <v>1.5915458348808465E-3</v>
      </c>
      <c r="BW682">
        <f>VLOOKUP($H682,'1. Set Program Names'!$B$2:$D$15,3,0)*W682</f>
        <v>3.7890952421583018E-3</v>
      </c>
      <c r="BX682">
        <f>VLOOKUP($H682,'1. Set Program Names'!$B$2:$D$15,3,0)*X682</f>
        <v>6.7289866031462389E-3</v>
      </c>
      <c r="BY682">
        <f>VLOOKUP($H682,'1. Set Program Names'!$B$2:$D$15,3,0)*Y682</f>
        <v>1.0563976977684028E-2</v>
      </c>
      <c r="BZ682">
        <f>VLOOKUP($H682,'1. Set Program Names'!$B$2:$D$15,3,0)*Z682</f>
        <v>1.5351659710898323E-2</v>
      </c>
      <c r="CA682">
        <f>VLOOKUP($H682,'1. Set Program Names'!$B$2:$D$15,3,0)*AA682</f>
        <v>2.1034736699186311E-2</v>
      </c>
      <c r="CB682">
        <f>VLOOKUP($H682,'1. Set Program Names'!$B$2:$D$15,3,0)*AB682</f>
        <v>2.7368475914901703E-2</v>
      </c>
      <c r="CC682">
        <f>VLOOKUP($H682,'1. Set Program Names'!$B$2:$D$15,3,0)*AC682</f>
        <v>3.3900843138782506E-2</v>
      </c>
      <c r="CD682">
        <f>VLOOKUP($H682,'1. Set Program Names'!$B$2:$D$15,3,0)*AD682</f>
        <v>4.008579111043558E-2</v>
      </c>
      <c r="CE682">
        <f>VLOOKUP($H682,'1. Set Program Names'!$B$2:$D$15,3,0)*AE682</f>
        <v>4.5438123976251896E-2</v>
      </c>
    </row>
    <row r="683" spans="1:83" x14ac:dyDescent="0.25">
      <c r="A683" s="20" t="s">
        <v>115</v>
      </c>
      <c r="B683" s="20" t="s">
        <v>88</v>
      </c>
      <c r="C683" s="20" t="s">
        <v>176</v>
      </c>
      <c r="D683" s="20" t="s">
        <v>90</v>
      </c>
      <c r="E683" s="20" t="s">
        <v>91</v>
      </c>
      <c r="F683" s="20" t="s">
        <v>90</v>
      </c>
      <c r="G683" s="20" t="s">
        <v>92</v>
      </c>
      <c r="H683" s="20" t="s">
        <v>14</v>
      </c>
      <c r="I683" s="20" t="s">
        <v>155</v>
      </c>
      <c r="J683" s="20" t="s">
        <v>129</v>
      </c>
      <c r="K683" s="20" t="s">
        <v>102</v>
      </c>
      <c r="L683" s="20">
        <v>47228.7699999998</v>
      </c>
      <c r="M683" s="20">
        <v>5.6581998938837703</v>
      </c>
      <c r="N683" s="20">
        <v>5.4505995734426298</v>
      </c>
      <c r="O683" s="20">
        <v>11124</v>
      </c>
      <c r="P683" s="20">
        <v>2435.8852359673701</v>
      </c>
      <c r="Q683" s="20">
        <v>1681.32980504335</v>
      </c>
      <c r="R683" s="20">
        <v>16918.542729362998</v>
      </c>
      <c r="S683" s="20">
        <v>40712.4661763408</v>
      </c>
      <c r="T683" s="20">
        <v>11</v>
      </c>
      <c r="U683" s="20">
        <v>0.94999999999999896</v>
      </c>
      <c r="V683" s="20">
        <v>0.36475419960633998</v>
      </c>
      <c r="W683" s="20">
        <v>0.66964747056412999</v>
      </c>
      <c r="X683" s="20">
        <v>0.92217580445429903</v>
      </c>
      <c r="Y683" s="20">
        <v>1.13273441439691</v>
      </c>
      <c r="Z683" s="20">
        <v>1.30768748081313</v>
      </c>
      <c r="AA683" s="20">
        <v>1.4537896902463101</v>
      </c>
      <c r="AB683" s="20">
        <v>1.5768018864239099</v>
      </c>
      <c r="AC683" s="20">
        <v>1.68068700404329</v>
      </c>
      <c r="AD683" s="20">
        <v>1.7697685708908999</v>
      </c>
      <c r="AE683" s="20">
        <v>1.8470106195553999</v>
      </c>
      <c r="AF683" t="str">
        <f t="shared" si="43"/>
        <v>NonResidential</v>
      </c>
      <c r="AG683" t="str">
        <f>tbl_Data_old[[#This Row],[All_Meas_Name_Append]]</f>
        <v>Smart thermostat</v>
      </c>
      <c r="AH683">
        <f>AVERAGEIFS('3. Incentive Adjustment'!G:G,'3. Incentive Adjustment'!A:A,tbl_Data_old[[#This Row],[Trimmed Sector]],'3. Incentive Adjustment'!B:B,tbl_Data_old[[#This Row],[Trimmed Measure Name]])</f>
        <v>0.87546479230069263</v>
      </c>
      <c r="AI683">
        <f>$AH683*tbl_Data_old[[#This Row],[2025 ]]</f>
        <v>0.31932945959916981</v>
      </c>
      <c r="AJ683">
        <f>$AH683*tbl_Data_old[[#This Row],[2026 ]]</f>
        <v>0.58625278373211021</v>
      </c>
      <c r="AK683">
        <f>$AH683*tbl_Data_old[[#This Row],[2027 ]]</f>
        <v>0.80733244911130708</v>
      </c>
      <c r="AL683">
        <f>$AH683*tbl_Data_old[[#This Row],[2028 ]]</f>
        <v>0.99166909883183751</v>
      </c>
      <c r="AM683">
        <f>$AH683*tbl_Data_old[[#This Row],[2029 ]]</f>
        <v>1.1448343487842829</v>
      </c>
      <c r="AN683">
        <f>$AH683*tbl_Data_old[[#This Row],[2030 ]]</f>
        <v>1.2727416892203742</v>
      </c>
      <c r="AO683">
        <f>$AH683*tbl_Data_old[[#This Row],[2031 ]]</f>
        <v>1.3804345359974486</v>
      </c>
      <c r="AP683">
        <f>$AH683*tbl_Data_old[[#This Row],[2032 ]]</f>
        <v>1.4713822989172323</v>
      </c>
      <c r="AQ683">
        <f>$AH683*tbl_Data_old[[#This Row],[2033 ]]</f>
        <v>1.5493700743352954</v>
      </c>
      <c r="AR683">
        <f>$AH683*tbl_Data_old[[#This Row],[2034 ]]</f>
        <v>1.6169927684262417</v>
      </c>
      <c r="AS683">
        <f>SUM(tbl_Data_old[[#This Row],[Adjusted 2025]:[Adjusted 2034]])</f>
        <v>11.1403395069553</v>
      </c>
      <c r="AT683" s="3">
        <f>AVERAGEIFS('3. Incentive Adjustment'!F:F,'3. Incentive Adjustment'!A:A,tbl_Data_old[[#This Row],[Trimmed Sector]],'3. Incentive Adjustment'!B:B,tbl_Data_old[[#This Row],[Trimmed Measure Name]])</f>
        <v>50</v>
      </c>
      <c r="AU683" s="3">
        <f>IFERROR(VLOOKUP(tbl_Data_old[[#This Row],[All_Meas_Name_Append]],'IRA Tax Credits'!$A$3:$D$46,4,0),0)</f>
        <v>0</v>
      </c>
      <c r="AV683" s="4">
        <f>tbl_Data_old[[#This Row],[Adj. per unit Incentive ($)]]/tbl_Data_old[[#This Row],[kWh Savings]]*tbl_Data_old[[#This Row],[Sum of Annuals]]</f>
        <v>1.1794018250904426E-2</v>
      </c>
      <c r="AW683" s="4">
        <f>IFERROR(VLOOKUP(tbl_Data_old[[#This Row],[All_Programs]],'1. Set Program Names'!$B$2:$D$15,3,0)*tbl_Data_old[[#This Row],[Sum of Annuals]],"")</f>
        <v>0.39659268812941717</v>
      </c>
      <c r="AX683" s="4">
        <f>tbl_Data_old[[#This Row],[per unit IRA tax ($)]]/tbl_Data_old[[#This Row],[kWh Savings]]*tbl_Data_old[[#This Row],[Sum of Annuals]]</f>
        <v>0</v>
      </c>
      <c r="AY683" s="4">
        <f>tbl_Data_old[[#This Row],[Avoided Costs ($/unit)]]/tbl_Data_old[[#This Row],[kWh Savings]]*tbl_Data_old[[#This Row],[Sum of Annuals]]</f>
        <v>3.9907520345762708</v>
      </c>
      <c r="AZ683" s="4">
        <f>tbl_Data_old[[#This Row],[Lost Revenue ($/unit)]]/tbl_Data_old[[#This Row],[kWh Savings]]*tbl_Data_old[[#This Row],[Sum of Annuals]]</f>
        <v>9.6032713824618483</v>
      </c>
      <c r="BA683" s="4">
        <f>tbl_Data_old[[#This Row],[Incremental Cost ($/unit)]]/tbl_Data_old[[#This Row],[kWh Savings]]*tbl_Data_old[[#This Row],[Sum of Annuals]]</f>
        <v>2.6239331804612163</v>
      </c>
      <c r="BB683">
        <f>ROUNDUP(tbl_Data_old[[#This Row],[Adjusted 2025]]/$L683,0)</f>
        <v>1</v>
      </c>
      <c r="BC683">
        <f>ROUNDUP(tbl_Data_old[[#This Row],[Adjusted 2026]]/$L683,0)</f>
        <v>1</v>
      </c>
      <c r="BD683">
        <f>ROUNDUP(tbl_Data_old[[#This Row],[Adjusted 2027]]/$L683,0)</f>
        <v>1</v>
      </c>
      <c r="BE683">
        <f>ROUNDUP(tbl_Data_old[[#This Row],[Adjusted 2028]]/$L683,0)</f>
        <v>1</v>
      </c>
      <c r="BF683">
        <f>ROUNDUP(tbl_Data_old[[#This Row],[Adjusted 2029]]/$L683,0)</f>
        <v>1</v>
      </c>
      <c r="BG683">
        <f>ROUNDUP(tbl_Data_old[[#This Row],[Adjusted 2030]]/$L683,0)</f>
        <v>1</v>
      </c>
      <c r="BH683">
        <f>ROUNDUP(tbl_Data_old[[#This Row],[Adjusted 2031]]/$L683,0)</f>
        <v>1</v>
      </c>
      <c r="BI683">
        <f>ROUNDUP(tbl_Data_old[[#This Row],[Adjusted 2032]]/$L683,0)</f>
        <v>1</v>
      </c>
      <c r="BJ683">
        <f>ROUNDUP(tbl_Data_old[[#This Row],[Adjusted 2033]]/$L683,0)</f>
        <v>1</v>
      </c>
      <c r="BK683">
        <f>ROUNDUP(tbl_Data_old[[#This Row],[Adjusted 2034]]/$L683,0)</f>
        <v>1</v>
      </c>
      <c r="BL683" s="3">
        <f t="shared" si="46"/>
        <v>3.8615678494945089E-4</v>
      </c>
      <c r="BM683" s="3">
        <f t="shared" si="46"/>
        <v>7.0894019743064749E-4</v>
      </c>
      <c r="BN683" s="3">
        <f t="shared" si="46"/>
        <v>9.7628606933263667E-4</v>
      </c>
      <c r="BO683" s="3">
        <f t="shared" si="46"/>
        <v>1.1991995709362269E-3</v>
      </c>
      <c r="BP683" s="3">
        <f t="shared" si="46"/>
        <v>1.3844183119877309E-3</v>
      </c>
      <c r="BQ683" s="3">
        <f t="shared" si="46"/>
        <v>1.5390933219797131E-3</v>
      </c>
      <c r="BR683" s="3">
        <f t="shared" si="46"/>
        <v>1.6693234721377635E-3</v>
      </c>
      <c r="BS683" s="3">
        <f t="shared" si="46"/>
        <v>1.7793042292264833E-3</v>
      </c>
      <c r="BT683" s="3">
        <f t="shared" si="46"/>
        <v>1.8736128115245298E-3</v>
      </c>
      <c r="BU683" s="3">
        <f t="shared" si="46"/>
        <v>1.95538717137394E-3</v>
      </c>
      <c r="BV683">
        <f>VLOOKUP($H683,'1. Set Program Names'!$B$2:$D$15,3,0)*V683</f>
        <v>1.2985138239104547E-2</v>
      </c>
      <c r="BW683">
        <f>VLOOKUP($H683,'1. Set Program Names'!$B$2:$D$15,3,0)*W683</f>
        <v>2.3839245678669307E-2</v>
      </c>
      <c r="BX683">
        <f>VLOOKUP($H683,'1. Set Program Names'!$B$2:$D$15,3,0)*X683</f>
        <v>3.2829177332351626E-2</v>
      </c>
      <c r="BY683">
        <f>VLOOKUP($H683,'1. Set Program Names'!$B$2:$D$15,3,0)*Y683</f>
        <v>4.0324999616205524E-2</v>
      </c>
      <c r="BZ683">
        <f>VLOOKUP($H683,'1. Set Program Names'!$B$2:$D$15,3,0)*Z683</f>
        <v>4.6553275411855527E-2</v>
      </c>
      <c r="CA683">
        <f>VLOOKUP($H683,'1. Set Program Names'!$B$2:$D$15,3,0)*AA683</f>
        <v>5.1754469499753486E-2</v>
      </c>
      <c r="CB683">
        <f>VLOOKUP($H683,'1. Set Program Names'!$B$2:$D$15,3,0)*AB683</f>
        <v>5.6133666159273503E-2</v>
      </c>
      <c r="CC683">
        <f>VLOOKUP($H683,'1. Set Program Names'!$B$2:$D$15,3,0)*AC683</f>
        <v>5.9831944656763454E-2</v>
      </c>
      <c r="CD683">
        <f>VLOOKUP($H683,'1. Set Program Names'!$B$2:$D$15,3,0)*AD683</f>
        <v>6.3003221262545248E-2</v>
      </c>
      <c r="CE683">
        <f>VLOOKUP($H683,'1. Set Program Names'!$B$2:$D$15,3,0)*AE683</f>
        <v>6.5753014632608311E-2</v>
      </c>
    </row>
    <row r="684" spans="1:83" x14ac:dyDescent="0.25">
      <c r="A684" s="20" t="s">
        <v>116</v>
      </c>
      <c r="B684" s="20" t="s">
        <v>88</v>
      </c>
      <c r="C684" s="20" t="s">
        <v>176</v>
      </c>
      <c r="D684" s="20" t="s">
        <v>90</v>
      </c>
      <c r="E684" s="20" t="s">
        <v>91</v>
      </c>
      <c r="F684" s="20" t="s">
        <v>90</v>
      </c>
      <c r="G684" s="20" t="s">
        <v>92</v>
      </c>
      <c r="H684" s="20" t="s">
        <v>14</v>
      </c>
      <c r="I684" s="20" t="s">
        <v>157</v>
      </c>
      <c r="J684" s="20" t="s">
        <v>158</v>
      </c>
      <c r="K684" s="20" t="s">
        <v>159</v>
      </c>
      <c r="L684" s="20">
        <v>562.52</v>
      </c>
      <c r="M684" s="20">
        <v>6.7473359330379998E-2</v>
      </c>
      <c r="N684" s="20">
        <v>6.4973258375617293E-2</v>
      </c>
      <c r="O684" s="20">
        <v>169</v>
      </c>
      <c r="P684" s="20">
        <v>55.847956108163899</v>
      </c>
      <c r="Q684" s="20">
        <v>20.025540405413601</v>
      </c>
      <c r="R684" s="20">
        <v>240.47921618074301</v>
      </c>
      <c r="S684" s="20">
        <v>597.43584258705596</v>
      </c>
      <c r="T684" s="20">
        <v>15</v>
      </c>
      <c r="U684" s="20">
        <v>0.2</v>
      </c>
      <c r="V684" s="20">
        <v>7.0258766430940506E-2</v>
      </c>
      <c r="W684" s="20">
        <v>7.9931095245770398E-2</v>
      </c>
      <c r="X684" s="20">
        <v>8.8359847434934899E-2</v>
      </c>
      <c r="Y684" s="20">
        <v>9.6820036039382301E-2</v>
      </c>
      <c r="Z684" s="20">
        <v>0.104026030841119</v>
      </c>
      <c r="AA684" s="20">
        <v>0.110790182172021</v>
      </c>
      <c r="AB684" s="20">
        <v>0.117186486247166</v>
      </c>
      <c r="AC684" s="20">
        <v>0.12292396757107001</v>
      </c>
      <c r="AD684" s="20">
        <v>0.128613101800957</v>
      </c>
      <c r="AE684" s="20">
        <v>0.13400210580802199</v>
      </c>
      <c r="AF684" t="str">
        <f t="shared" si="43"/>
        <v>NonResidential</v>
      </c>
      <c r="AG684" t="str">
        <f>tbl_Data_old[[#This Row],[All_Meas_Name_Append]]</f>
        <v>LED Exterior Wall Packs</v>
      </c>
      <c r="AH684">
        <f>AVERAGEIFS('3. Incentive Adjustment'!G:G,'3. Incentive Adjustment'!A:A,tbl_Data_old[[#This Row],[Trimmed Sector]],'3. Incentive Adjustment'!B:B,tbl_Data_old[[#This Row],[Trimmed Measure Name]])</f>
        <v>0.80637708305213962</v>
      </c>
      <c r="AI684">
        <f>$AH684*tbl_Data_old[[#This Row],[2025 ]]</f>
        <v>5.6655059133423391E-2</v>
      </c>
      <c r="AJ684">
        <f>$AH684*tbl_Data_old[[#This Row],[2026 ]]</f>
        <v>6.4454603429447074E-2</v>
      </c>
      <c r="AK684">
        <f>$AH684*tbl_Data_old[[#This Row],[2027 ]]</f>
        <v>7.1251356033514887E-2</v>
      </c>
      <c r="AL684">
        <f>$AH684*tbl_Data_old[[#This Row],[2028 ]]</f>
        <v>7.8073458242440136E-2</v>
      </c>
      <c r="AM684">
        <f>$AH684*tbl_Data_old[[#This Row],[2029 ]]</f>
        <v>8.3884207311153453E-2</v>
      </c>
      <c r="AN684">
        <f>$AH684*tbl_Data_old[[#This Row],[2030 ]]</f>
        <v>8.9338663930689455E-2</v>
      </c>
      <c r="AO684">
        <f>$AH684*tbl_Data_old[[#This Row],[2031 ]]</f>
        <v>9.4496496953119402E-2</v>
      </c>
      <c r="AP684">
        <f>$AH684*tbl_Data_old[[#This Row],[2032 ]]</f>
        <v>9.9123070407155234E-2</v>
      </c>
      <c r="AQ684">
        <f>$AH684*tbl_Data_old[[#This Row],[2033 ]]</f>
        <v>0.10371065787254359</v>
      </c>
      <c r="AR684">
        <f>$AH684*tbl_Data_old[[#This Row],[2034 ]]</f>
        <v>0.10805622720431696</v>
      </c>
      <c r="AS684">
        <f>SUM(tbl_Data_old[[#This Row],[Adjusted 2025]:[Adjusted 2034]])</f>
        <v>0.84904380051780359</v>
      </c>
      <c r="AT684" s="3">
        <f>AVERAGEIFS('3. Incentive Adjustment'!F:F,'3. Incentive Adjustment'!A:A,tbl_Data_old[[#This Row],[Trimmed Sector]],'3. Incentive Adjustment'!B:B,tbl_Data_old[[#This Row],[Trimmed Measure Name]])</f>
        <v>8.6864493556481861</v>
      </c>
      <c r="AU684" s="3">
        <f>IFERROR(VLOOKUP(tbl_Data_old[[#This Row],[All_Meas_Name_Append]],'IRA Tax Credits'!$A$3:$D$46,4,0),0)</f>
        <v>0</v>
      </c>
      <c r="AV684" s="4">
        <f>tbl_Data_old[[#This Row],[Adj. per unit Incentive ($)]]/tbl_Data_old[[#This Row],[kWh Savings]]*tbl_Data_old[[#This Row],[Sum of Annuals]]</f>
        <v>1.3110957786256421E-2</v>
      </c>
      <c r="AW684" s="4">
        <f>IFERROR(VLOOKUP(tbl_Data_old[[#This Row],[All_Programs]],'1. Set Program Names'!$B$2:$D$15,3,0)*tbl_Data_old[[#This Row],[Sum of Annuals]],"")</f>
        <v>3.0225700300852011E-2</v>
      </c>
      <c r="AX684" s="4">
        <f>tbl_Data_old[[#This Row],[per unit IRA tax ($)]]/tbl_Data_old[[#This Row],[kWh Savings]]*tbl_Data_old[[#This Row],[Sum of Annuals]]</f>
        <v>0</v>
      </c>
      <c r="AY684" s="4">
        <f>tbl_Data_old[[#This Row],[Avoided Costs ($/unit)]]/tbl_Data_old[[#This Row],[kWh Savings]]*tbl_Data_old[[#This Row],[Sum of Annuals]]</f>
        <v>0.36296911692320372</v>
      </c>
      <c r="AZ684" s="4">
        <f>tbl_Data_old[[#This Row],[Lost Revenue ($/unit)]]/tbl_Data_old[[#This Row],[kWh Savings]]*tbl_Data_old[[#This Row],[Sum of Annuals]]</f>
        <v>0.90174429061308092</v>
      </c>
      <c r="BA684" s="4">
        <f>tbl_Data_old[[#This Row],[Incremental Cost ($/unit)]]/tbl_Data_old[[#This Row],[kWh Savings]]*tbl_Data_old[[#This Row],[Sum of Annuals]]</f>
        <v>0.25508142339385054</v>
      </c>
      <c r="BB684">
        <f>ROUNDUP(tbl_Data_old[[#This Row],[Adjusted 2025]]/$L684,0)</f>
        <v>1</v>
      </c>
      <c r="BC684">
        <f>ROUNDUP(tbl_Data_old[[#This Row],[Adjusted 2026]]/$L684,0)</f>
        <v>1</v>
      </c>
      <c r="BD684">
        <f>ROUNDUP(tbl_Data_old[[#This Row],[Adjusted 2027]]/$L684,0)</f>
        <v>1</v>
      </c>
      <c r="BE684">
        <f>ROUNDUP(tbl_Data_old[[#This Row],[Adjusted 2028]]/$L684,0)</f>
        <v>1</v>
      </c>
      <c r="BF684">
        <f>ROUNDUP(tbl_Data_old[[#This Row],[Adjusted 2029]]/$L684,0)</f>
        <v>1</v>
      </c>
      <c r="BG684">
        <f>ROUNDUP(tbl_Data_old[[#This Row],[Adjusted 2030]]/$L684,0)</f>
        <v>1</v>
      </c>
      <c r="BH684">
        <f>ROUNDUP(tbl_Data_old[[#This Row],[Adjusted 2031]]/$L684,0)</f>
        <v>1</v>
      </c>
      <c r="BI684">
        <f>ROUNDUP(tbl_Data_old[[#This Row],[Adjusted 2032]]/$L684,0)</f>
        <v>1</v>
      </c>
      <c r="BJ684">
        <f>ROUNDUP(tbl_Data_old[[#This Row],[Adjusted 2033]]/$L684,0)</f>
        <v>1</v>
      </c>
      <c r="BK684">
        <f>ROUNDUP(tbl_Data_old[[#This Row],[Adjusted 2034]]/$L684,0)</f>
        <v>1</v>
      </c>
      <c r="BL684" s="3">
        <f t="shared" si="46"/>
        <v>1.0849378091315502E-3</v>
      </c>
      <c r="BM684" s="3">
        <f t="shared" si="46"/>
        <v>1.234298177476136E-3</v>
      </c>
      <c r="BN684" s="3">
        <f t="shared" si="46"/>
        <v>1.3644552012663767E-3</v>
      </c>
      <c r="BO684" s="3">
        <f t="shared" si="46"/>
        <v>1.4950976670485077E-3</v>
      </c>
      <c r="BP684" s="3">
        <f t="shared" si="46"/>
        <v>1.6063728375355125E-3</v>
      </c>
      <c r="BQ684" s="3">
        <f t="shared" si="46"/>
        <v>1.7108250489587871E-3</v>
      </c>
      <c r="BR684" s="3">
        <f t="shared" si="46"/>
        <v>1.8095969529125545E-3</v>
      </c>
      <c r="BS684" s="3">
        <f t="shared" si="46"/>
        <v>1.8981952977697497E-3</v>
      </c>
      <c r="BT684" s="3">
        <f t="shared" si="46"/>
        <v>1.9860470654676056E-3</v>
      </c>
      <c r="BU684" s="3">
        <f t="shared" si="46"/>
        <v>2.0692642139863342E-3</v>
      </c>
      <c r="BV684">
        <f>VLOOKUP($H684,'1. Set Program Names'!$B$2:$D$15,3,0)*V684</f>
        <v>2.5011906527720291E-3</v>
      </c>
      <c r="BW684">
        <f>VLOOKUP($H684,'1. Set Program Names'!$B$2:$D$15,3,0)*W684</f>
        <v>2.8455226080728595E-3</v>
      </c>
      <c r="BX684">
        <f>VLOOKUP($H684,'1. Set Program Names'!$B$2:$D$15,3,0)*X684</f>
        <v>3.1455836148483215E-3</v>
      </c>
      <c r="BY684">
        <f>VLOOKUP($H684,'1. Set Program Names'!$B$2:$D$15,3,0)*Y684</f>
        <v>3.4467637484182955E-3</v>
      </c>
      <c r="BZ684">
        <f>VLOOKUP($H684,'1. Set Program Names'!$B$2:$D$15,3,0)*Z684</f>
        <v>3.7032949651988178E-3</v>
      </c>
      <c r="CA684">
        <f>VLOOKUP($H684,'1. Set Program Names'!$B$2:$D$15,3,0)*AA684</f>
        <v>3.9440966892002943E-3</v>
      </c>
      <c r="CB684">
        <f>VLOOKUP($H684,'1. Set Program Names'!$B$2:$D$15,3,0)*AB684</f>
        <v>4.1718031631072282E-3</v>
      </c>
      <c r="CC684">
        <f>VLOOKUP($H684,'1. Set Program Names'!$B$2:$D$15,3,0)*AC684</f>
        <v>4.3760557480413574E-3</v>
      </c>
      <c r="CD684">
        <f>VLOOKUP($H684,'1. Set Program Names'!$B$2:$D$15,3,0)*AD684</f>
        <v>4.5785871911765775E-3</v>
      </c>
      <c r="CE684">
        <f>VLOOKUP($H684,'1. Set Program Names'!$B$2:$D$15,3,0)*AE684</f>
        <v>4.7704340899329166E-3</v>
      </c>
    </row>
    <row r="685" spans="1:83" x14ac:dyDescent="0.25">
      <c r="A685" s="20" t="s">
        <v>116</v>
      </c>
      <c r="B685" s="20" t="s">
        <v>88</v>
      </c>
      <c r="C685" s="20" t="s">
        <v>176</v>
      </c>
      <c r="D685" s="20" t="s">
        <v>90</v>
      </c>
      <c r="E685" s="20" t="s">
        <v>91</v>
      </c>
      <c r="F685" s="20" t="s">
        <v>90</v>
      </c>
      <c r="G685" s="20" t="s">
        <v>92</v>
      </c>
      <c r="H685" s="20" t="s">
        <v>14</v>
      </c>
      <c r="I685" s="20" t="s">
        <v>162</v>
      </c>
      <c r="J685" s="20" t="s">
        <v>161</v>
      </c>
      <c r="K685" s="20" t="s">
        <v>159</v>
      </c>
      <c r="L685" s="20">
        <v>725.58416666666596</v>
      </c>
      <c r="M685" s="20">
        <v>8.6917804178563804E-2</v>
      </c>
      <c r="N685" s="20">
        <v>8.3795205289933394E-2</v>
      </c>
      <c r="O685" s="20">
        <v>179</v>
      </c>
      <c r="P685" s="20">
        <v>33.0790753554421</v>
      </c>
      <c r="Q685" s="20">
        <v>25.8305749966432</v>
      </c>
      <c r="R685" s="20">
        <v>310.45187974046598</v>
      </c>
      <c r="S685" s="20">
        <v>770.62146764617603</v>
      </c>
      <c r="T685" s="20">
        <v>15</v>
      </c>
      <c r="U685" s="20">
        <v>0.2</v>
      </c>
      <c r="V685" s="20">
        <v>0.36088388817047201</v>
      </c>
      <c r="W685" s="20">
        <v>0.41056576856315002</v>
      </c>
      <c r="X685" s="20">
        <v>0.453860022319241</v>
      </c>
      <c r="Y685" s="20">
        <v>0.497315749103592</v>
      </c>
      <c r="Z685" s="20">
        <v>0.53432931416160201</v>
      </c>
      <c r="AA685" s="20">
        <v>0.56907335190198705</v>
      </c>
      <c r="AB685" s="20">
        <v>0.601927943603763</v>
      </c>
      <c r="AC685" s="20">
        <v>0.63139849473435905</v>
      </c>
      <c r="AD685" s="20">
        <v>0.66062071119931398</v>
      </c>
      <c r="AE685" s="20">
        <v>0.68830130990933003</v>
      </c>
      <c r="AF685" t="str">
        <f t="shared" si="43"/>
        <v>NonResidential</v>
      </c>
      <c r="AG685" t="str">
        <f>tbl_Data_old[[#This Row],[All_Meas_Name_Append]]</f>
        <v>LED High Bay_LF Baseline</v>
      </c>
      <c r="AH685">
        <f>AVERAGEIFS('3. Incentive Adjustment'!G:G,'3. Incentive Adjustment'!A:A,tbl_Data_old[[#This Row],[Trimmed Sector]],'3. Incentive Adjustment'!B:B,tbl_Data_old[[#This Row],[Trimmed Measure Name]])</f>
        <v>0.93017466414143679</v>
      </c>
      <c r="AI685">
        <f>$AH685*tbl_Data_old[[#This Row],[2025 ]]</f>
        <v>0.33568504947302463</v>
      </c>
      <c r="AJ685">
        <f>$AH685*tbl_Data_old[[#This Row],[2026 ]]</f>
        <v>0.38189787588119894</v>
      </c>
      <c r="AK685">
        <f>$AH685*tbl_Data_old[[#This Row],[2027 ]]</f>
        <v>0.42216909382802498</v>
      </c>
      <c r="AL685">
        <f>$AH685*tbl_Data_old[[#This Row],[2028 ]]</f>
        <v>0.46259050989468076</v>
      </c>
      <c r="AM685">
        <f>$AH685*tbl_Data_old[[#This Row],[2029 ]]</f>
        <v>0.49701959034119242</v>
      </c>
      <c r="AN685">
        <f>$AH685*tbl_Data_old[[#This Row],[2030 ]]</f>
        <v>0.52933761397727253</v>
      </c>
      <c r="AO685">
        <f>$AH685*tbl_Data_old[[#This Row],[2031 ]]</f>
        <v>0.55989812277897599</v>
      </c>
      <c r="AP685">
        <f>$AH685*tbl_Data_old[[#This Row],[2032 ]]</f>
        <v>0.58731088277894117</v>
      </c>
      <c r="AQ685">
        <f>$AH685*tbl_Data_old[[#This Row],[2033 ]]</f>
        <v>0.61449264816469895</v>
      </c>
      <c r="AR685">
        <f>$AH685*tbl_Data_old[[#This Row],[2034 ]]</f>
        <v>0.64024043977302203</v>
      </c>
      <c r="AS685">
        <f>SUM(tbl_Data_old[[#This Row],[Adjusted 2025]:[Adjusted 2034]])</f>
        <v>5.0306418268910322</v>
      </c>
      <c r="AT685" s="3">
        <f>AVERAGEIFS('3. Incentive Adjustment'!F:F,'3. Incentive Adjustment'!A:A,tbl_Data_old[[#This Row],[Trimmed Sector]],'3. Incentive Adjustment'!B:B,tbl_Data_old[[#This Row],[Trimmed Measure Name]])</f>
        <v>23.858858929800434</v>
      </c>
      <c r="AU685" s="3">
        <f>IFERROR(VLOOKUP(tbl_Data_old[[#This Row],[All_Meas_Name_Append]],'IRA Tax Credits'!$A$3:$D$46,4,0),0)</f>
        <v>0</v>
      </c>
      <c r="AV685" s="4">
        <f>tbl_Data_old[[#This Row],[Adj. per unit Incentive ($)]]/tbl_Data_old[[#This Row],[kWh Savings]]*tbl_Data_old[[#This Row],[Sum of Annuals]]</f>
        <v>0.16541895370394216</v>
      </c>
      <c r="AW685" s="4">
        <f>IFERROR(VLOOKUP(tbl_Data_old[[#This Row],[All_Programs]],'1. Set Program Names'!$B$2:$D$15,3,0)*tbl_Data_old[[#This Row],[Sum of Annuals]],"")</f>
        <v>0.17908931445916676</v>
      </c>
      <c r="AX685" s="4">
        <f>tbl_Data_old[[#This Row],[per unit IRA tax ($)]]/tbl_Data_old[[#This Row],[kWh Savings]]*tbl_Data_old[[#This Row],[Sum of Annuals]]</f>
        <v>0</v>
      </c>
      <c r="AY685" s="4">
        <f>tbl_Data_old[[#This Row],[Avoided Costs ($/unit)]]/tbl_Data_old[[#This Row],[kWh Savings]]*tbl_Data_old[[#This Row],[Sum of Annuals]]</f>
        <v>2.152434249818481</v>
      </c>
      <c r="AZ685" s="4">
        <f>tbl_Data_old[[#This Row],[Lost Revenue ($/unit)]]/tbl_Data_old[[#This Row],[kWh Savings]]*tbl_Data_old[[#This Row],[Sum of Annuals]]</f>
        <v>5.3428957878872474</v>
      </c>
      <c r="BA685" s="4">
        <f>tbl_Data_old[[#This Row],[Incremental Cost ($/unit)]]/tbl_Data_old[[#This Row],[kWh Savings]]*tbl_Data_old[[#This Row],[Sum of Annuals]]</f>
        <v>1.241048149038757</v>
      </c>
      <c r="BB685">
        <f>ROUNDUP(tbl_Data_old[[#This Row],[Adjusted 2025]]/$L685,0)</f>
        <v>1</v>
      </c>
      <c r="BC685">
        <f>ROUNDUP(tbl_Data_old[[#This Row],[Adjusted 2026]]/$L685,0)</f>
        <v>1</v>
      </c>
      <c r="BD685">
        <f>ROUNDUP(tbl_Data_old[[#This Row],[Adjusted 2027]]/$L685,0)</f>
        <v>1</v>
      </c>
      <c r="BE685">
        <f>ROUNDUP(tbl_Data_old[[#This Row],[Adjusted 2028]]/$L685,0)</f>
        <v>1</v>
      </c>
      <c r="BF685">
        <f>ROUNDUP(tbl_Data_old[[#This Row],[Adjusted 2029]]/$L685,0)</f>
        <v>1</v>
      </c>
      <c r="BG685">
        <f>ROUNDUP(tbl_Data_old[[#This Row],[Adjusted 2030]]/$L685,0)</f>
        <v>1</v>
      </c>
      <c r="BH685">
        <f>ROUNDUP(tbl_Data_old[[#This Row],[Adjusted 2031]]/$L685,0)</f>
        <v>1</v>
      </c>
      <c r="BI685">
        <f>ROUNDUP(tbl_Data_old[[#This Row],[Adjusted 2032]]/$L685,0)</f>
        <v>1</v>
      </c>
      <c r="BJ685">
        <f>ROUNDUP(tbl_Data_old[[#This Row],[Adjusted 2033]]/$L685,0)</f>
        <v>1</v>
      </c>
      <c r="BK685">
        <f>ROUNDUP(tbl_Data_old[[#This Row],[Adjusted 2034]]/$L685,0)</f>
        <v>1</v>
      </c>
      <c r="BL685" s="3">
        <f t="shared" si="46"/>
        <v>1.1866683664629545E-2</v>
      </c>
      <c r="BM685" s="3">
        <f t="shared" si="46"/>
        <v>1.3500336974763964E-2</v>
      </c>
      <c r="BN685" s="3">
        <f t="shared" si="46"/>
        <v>1.4923950581966747E-2</v>
      </c>
      <c r="BO685" s="3">
        <f t="shared" si="46"/>
        <v>1.6352873789873639E-2</v>
      </c>
      <c r="BP685" s="3">
        <f t="shared" si="46"/>
        <v>1.7569964056968385E-2</v>
      </c>
      <c r="BQ685" s="3">
        <f t="shared" si="46"/>
        <v>1.871242710010192E-2</v>
      </c>
      <c r="BR685" s="3">
        <f t="shared" si="46"/>
        <v>1.9792760856845781E-2</v>
      </c>
      <c r="BS685" s="3">
        <f t="shared" si="46"/>
        <v>2.0761819657065413E-2</v>
      </c>
      <c r="BT685" s="3">
        <f t="shared" si="46"/>
        <v>2.1722712648234763E-2</v>
      </c>
      <c r="BU685" s="3">
        <f t="shared" si="46"/>
        <v>2.2632913738686741E-2</v>
      </c>
      <c r="BV685">
        <f>VLOOKUP($H685,'1. Set Program Names'!$B$2:$D$15,3,0)*V685</f>
        <v>1.284735633261143E-2</v>
      </c>
      <c r="BW685">
        <f>VLOOKUP($H685,'1. Set Program Names'!$B$2:$D$15,3,0)*W685</f>
        <v>1.4616016119322131E-2</v>
      </c>
      <c r="BX685">
        <f>VLOOKUP($H685,'1. Set Program Names'!$B$2:$D$15,3,0)*X685</f>
        <v>1.6157278346291541E-2</v>
      </c>
      <c r="BY685">
        <f>VLOOKUP($H685,'1. Set Program Names'!$B$2:$D$15,3,0)*Y685</f>
        <v>1.7704288963810277E-2</v>
      </c>
      <c r="BZ685">
        <f>VLOOKUP($H685,'1. Set Program Names'!$B$2:$D$15,3,0)*Z685</f>
        <v>1.9021960589028202E-2</v>
      </c>
      <c r="CA685">
        <f>VLOOKUP($H685,'1. Set Program Names'!$B$2:$D$15,3,0)*AA685</f>
        <v>2.0258837734049354E-2</v>
      </c>
      <c r="CB685">
        <f>VLOOKUP($H685,'1. Set Program Names'!$B$2:$D$15,3,0)*AB685</f>
        <v>2.1428451176464351E-2</v>
      </c>
      <c r="CC685">
        <f>VLOOKUP($H685,'1. Set Program Names'!$B$2:$D$15,3,0)*AC685</f>
        <v>2.2477593806834048E-2</v>
      </c>
      <c r="CD685">
        <f>VLOOKUP($H685,'1. Set Program Names'!$B$2:$D$15,3,0)*AD685</f>
        <v>2.3517895798860464E-2</v>
      </c>
      <c r="CE685">
        <f>VLOOKUP($H685,'1. Set Program Names'!$B$2:$D$15,3,0)*AE685</f>
        <v>2.4503316669075688E-2</v>
      </c>
    </row>
    <row r="686" spans="1:83" x14ac:dyDescent="0.25">
      <c r="A686" s="20" t="s">
        <v>116</v>
      </c>
      <c r="B686" s="20" t="s">
        <v>88</v>
      </c>
      <c r="C686" s="20" t="s">
        <v>176</v>
      </c>
      <c r="D686" s="20" t="s">
        <v>90</v>
      </c>
      <c r="E686" s="20" t="s">
        <v>91</v>
      </c>
      <c r="F686" s="20" t="s">
        <v>90</v>
      </c>
      <c r="G686" s="20" t="s">
        <v>92</v>
      </c>
      <c r="H686" s="20" t="s">
        <v>14</v>
      </c>
      <c r="I686" s="20" t="s">
        <v>165</v>
      </c>
      <c r="J686" s="20" t="s">
        <v>161</v>
      </c>
      <c r="K686" s="20" t="s">
        <v>166</v>
      </c>
      <c r="L686" s="20">
        <v>565.38999999999896</v>
      </c>
      <c r="M686" s="20">
        <v>6.7728127941350899E-2</v>
      </c>
      <c r="N686" s="20">
        <v>6.5294935157718198E-2</v>
      </c>
      <c r="O686" s="20">
        <v>129</v>
      </c>
      <c r="P686" s="20">
        <v>15.293574707506</v>
      </c>
      <c r="Q686" s="20">
        <v>20.127711529930998</v>
      </c>
      <c r="R686" s="20">
        <v>190.6779313312</v>
      </c>
      <c r="S686" s="20">
        <v>454.767236260907</v>
      </c>
      <c r="T686" s="20">
        <v>10</v>
      </c>
      <c r="U686" s="20">
        <v>0.2</v>
      </c>
      <c r="V686" s="20">
        <v>4.3179563081078301E-2</v>
      </c>
      <c r="W686" s="20">
        <v>5.9620790401529497E-2</v>
      </c>
      <c r="X686" s="20">
        <v>7.9760957073380698E-2</v>
      </c>
      <c r="Y686" s="20">
        <v>0.10404550990453899</v>
      </c>
      <c r="Z686" s="20">
        <v>0.12989260583735701</v>
      </c>
      <c r="AA686" s="20">
        <v>0.15418516998076301</v>
      </c>
      <c r="AB686" s="20">
        <v>0.17183801046261099</v>
      </c>
      <c r="AC686" s="20">
        <v>0.177226899641035</v>
      </c>
      <c r="AD686" s="20">
        <v>0.167801205079812</v>
      </c>
      <c r="AE686" s="20">
        <v>0.145211862857442</v>
      </c>
      <c r="AF686" t="str">
        <f t="shared" si="43"/>
        <v>NonResidential</v>
      </c>
      <c r="AG686" t="str">
        <f>tbl_Data_old[[#This Row],[All_Meas_Name_Append]]</f>
        <v>Occupancy Sensors_ Ceiling Mounted</v>
      </c>
      <c r="AH686">
        <f>AVERAGEIFS('3. Incentive Adjustment'!G:G,'3. Incentive Adjustment'!A:A,tbl_Data_old[[#This Row],[Trimmed Sector]],'3. Incentive Adjustment'!B:B,tbl_Data_old[[#This Row],[Trimmed Measure Name]])</f>
        <v>0.99348124042467356</v>
      </c>
      <c r="AI686">
        <f>$AH686*tbl_Data_old[[#This Row],[2025 ]]</f>
        <v>4.2898085890785108E-2</v>
      </c>
      <c r="AJ686">
        <f>$AH686*tbl_Data_old[[#This Row],[2026 ]]</f>
        <v>5.9232136803210995E-2</v>
      </c>
      <c r="AK686">
        <f>$AH686*tbl_Data_old[[#This Row],[2027 ]]</f>
        <v>7.9241014570721399E-2</v>
      </c>
      <c r="AL686">
        <f>$AH686*tbl_Data_old[[#This Row],[2028 ]]</f>
        <v>0.10336726224057906</v>
      </c>
      <c r="AM686">
        <f>$AH686*tbl_Data_old[[#This Row],[2029 ]]</f>
        <v>0.12904586716929065</v>
      </c>
      <c r="AN686">
        <f>$AH686*tbl_Data_old[[#This Row],[2030 ]]</f>
        <v>0.15318007392757757</v>
      </c>
      <c r="AO686">
        <f>$AH686*tbl_Data_old[[#This Row],[2031 ]]</f>
        <v>0.17071783978650279</v>
      </c>
      <c r="AP686">
        <f>$AH686*tbl_Data_old[[#This Row],[2032 ]]</f>
        <v>0.17607160009199457</v>
      </c>
      <c r="AQ686">
        <f>$AH686*tbl_Data_old[[#This Row],[2033 ]]</f>
        <v>0.16670734936744666</v>
      </c>
      <c r="AR686">
        <f>$AH686*tbl_Data_old[[#This Row],[2034 ]]</f>
        <v>0.14426526163598907</v>
      </c>
      <c r="AS686">
        <f>SUM(tbl_Data_old[[#This Row],[Adjusted 2025]:[Adjusted 2034]])</f>
        <v>1.2247264914840978</v>
      </c>
      <c r="AT686" s="3">
        <f>AVERAGEIFS('3. Incentive Adjustment'!F:F,'3. Incentive Adjustment'!A:A,tbl_Data_old[[#This Row],[Trimmed Sector]],'3. Incentive Adjustment'!B:B,tbl_Data_old[[#This Row],[Trimmed Measure Name]])</f>
        <v>19.547634357270656</v>
      </c>
      <c r="AU686" s="3">
        <f>IFERROR(VLOOKUP(tbl_Data_old[[#This Row],[All_Meas_Name_Append]],'IRA Tax Credits'!$A$3:$D$46,4,0),0)</f>
        <v>0</v>
      </c>
      <c r="AV686" s="4">
        <f>tbl_Data_old[[#This Row],[Adj. per unit Incentive ($)]]/tbl_Data_old[[#This Row],[kWh Savings]]*tbl_Data_old[[#This Row],[Sum of Annuals]]</f>
        <v>4.2343348207775418E-2</v>
      </c>
      <c r="AW686" s="4">
        <f>IFERROR(VLOOKUP(tbl_Data_old[[#This Row],[All_Programs]],'1. Set Program Names'!$B$2:$D$15,3,0)*tbl_Data_old[[#This Row],[Sum of Annuals]],"")</f>
        <v>4.3599889498676214E-2</v>
      </c>
      <c r="AX686" s="4">
        <f>tbl_Data_old[[#This Row],[per unit IRA tax ($)]]/tbl_Data_old[[#This Row],[kWh Savings]]*tbl_Data_old[[#This Row],[Sum of Annuals]]</f>
        <v>0</v>
      </c>
      <c r="AY686" s="4">
        <f>tbl_Data_old[[#This Row],[Avoided Costs ($/unit)]]/tbl_Data_old[[#This Row],[kWh Savings]]*tbl_Data_old[[#This Row],[Sum of Annuals]]</f>
        <v>0.41303934247635571</v>
      </c>
      <c r="AZ686" s="4">
        <f>tbl_Data_old[[#This Row],[Lost Revenue ($/unit)]]/tbl_Data_old[[#This Row],[kWh Savings]]*tbl_Data_old[[#This Row],[Sum of Annuals]]</f>
        <v>0.98509963336412298</v>
      </c>
      <c r="BA686" s="4">
        <f>tbl_Data_old[[#This Row],[Incremental Cost ($/unit)]]/tbl_Data_old[[#This Row],[kWh Savings]]*tbl_Data_old[[#This Row],[Sum of Annuals]]</f>
        <v>0.27943493411883641</v>
      </c>
      <c r="BB686">
        <f>ROUNDUP(tbl_Data_old[[#This Row],[Adjusted 2025]]/$L686,0)</f>
        <v>1</v>
      </c>
      <c r="BC686">
        <f>ROUNDUP(tbl_Data_old[[#This Row],[Adjusted 2026]]/$L686,0)</f>
        <v>1</v>
      </c>
      <c r="BD686">
        <f>ROUNDUP(tbl_Data_old[[#This Row],[Adjusted 2027]]/$L686,0)</f>
        <v>1</v>
      </c>
      <c r="BE686">
        <f>ROUNDUP(tbl_Data_old[[#This Row],[Adjusted 2028]]/$L686,0)</f>
        <v>1</v>
      </c>
      <c r="BF686">
        <f>ROUNDUP(tbl_Data_old[[#This Row],[Adjusted 2029]]/$L686,0)</f>
        <v>1</v>
      </c>
      <c r="BG686">
        <f>ROUNDUP(tbl_Data_old[[#This Row],[Adjusted 2030]]/$L686,0)</f>
        <v>1</v>
      </c>
      <c r="BH686">
        <f>ROUNDUP(tbl_Data_old[[#This Row],[Adjusted 2031]]/$L686,0)</f>
        <v>1</v>
      </c>
      <c r="BI686">
        <f>ROUNDUP(tbl_Data_old[[#This Row],[Adjusted 2032]]/$L686,0)</f>
        <v>1</v>
      </c>
      <c r="BJ686">
        <f>ROUNDUP(tbl_Data_old[[#This Row],[Adjusted 2033]]/$L686,0)</f>
        <v>1</v>
      </c>
      <c r="BK686">
        <f>ROUNDUP(tbl_Data_old[[#This Row],[Adjusted 2034]]/$L686,0)</f>
        <v>1</v>
      </c>
      <c r="BL686" s="3">
        <f t="shared" si="46"/>
        <v>1.4928780325361667E-3</v>
      </c>
      <c r="BM686" s="3">
        <f t="shared" si="46"/>
        <v>2.0613123876626269E-3</v>
      </c>
      <c r="BN686" s="3">
        <f t="shared" si="46"/>
        <v>2.7576328284129705E-3</v>
      </c>
      <c r="BO686" s="3">
        <f t="shared" si="46"/>
        <v>3.5972401070583394E-3</v>
      </c>
      <c r="BP686" s="3">
        <f t="shared" si="46"/>
        <v>4.4908703100899191E-3</v>
      </c>
      <c r="BQ686" s="3">
        <f t="shared" si="46"/>
        <v>5.3307545695848611E-3</v>
      </c>
      <c r="BR686" s="3">
        <f t="shared" si="46"/>
        <v>5.9410788963440726E-3</v>
      </c>
      <c r="BS686" s="3">
        <f t="shared" si="46"/>
        <v>6.1273928305340744E-3</v>
      </c>
      <c r="BT686" s="3">
        <f t="shared" si="46"/>
        <v>5.8015115258663198E-3</v>
      </c>
      <c r="BU686" s="3">
        <f t="shared" si="46"/>
        <v>5.0205139805716637E-3</v>
      </c>
      <c r="BV686">
        <f>VLOOKUP($H686,'1. Set Program Names'!$B$2:$D$15,3,0)*V686</f>
        <v>1.5371792739249141E-3</v>
      </c>
      <c r="BW686">
        <f>VLOOKUP($H686,'1. Set Program Names'!$B$2:$D$15,3,0)*W686</f>
        <v>2.1224819511991206E-3</v>
      </c>
      <c r="BX686">
        <f>VLOOKUP($H686,'1. Set Program Names'!$B$2:$D$15,3,0)*X686</f>
        <v>2.8394657410357885E-3</v>
      </c>
      <c r="BY686">
        <f>VLOOKUP($H686,'1. Set Program Names'!$B$2:$D$15,3,0)*Y686</f>
        <v>3.703988413914555E-3</v>
      </c>
      <c r="BZ686">
        <f>VLOOKUP($H686,'1. Set Program Names'!$B$2:$D$15,3,0)*Z686</f>
        <v>4.6241371445645786E-3</v>
      </c>
      <c r="CA686">
        <f>VLOOKUP($H686,'1. Set Program Names'!$B$2:$D$15,3,0)*AA686</f>
        <v>5.4889450177155429E-3</v>
      </c>
      <c r="CB686">
        <f>VLOOKUP($H686,'1. Set Program Names'!$B$2:$D$15,3,0)*AB686</f>
        <v>6.1173807539374892E-3</v>
      </c>
      <c r="CC686">
        <f>VLOOKUP($H686,'1. Set Program Names'!$B$2:$D$15,3,0)*AC686</f>
        <v>6.3092235648292373E-3</v>
      </c>
      <c r="CD686">
        <f>VLOOKUP($H686,'1. Set Program Names'!$B$2:$D$15,3,0)*AD686</f>
        <v>5.973671713721972E-3</v>
      </c>
      <c r="CE686">
        <f>VLOOKUP($H686,'1. Set Program Names'!$B$2:$D$15,3,0)*AE686</f>
        <v>5.1694980213985208E-3</v>
      </c>
    </row>
    <row r="687" spans="1:83" x14ac:dyDescent="0.25">
      <c r="A687" s="20" t="s">
        <v>116</v>
      </c>
      <c r="B687" s="20" t="s">
        <v>88</v>
      </c>
      <c r="C687" s="20" t="s">
        <v>176</v>
      </c>
      <c r="D687" s="20" t="s">
        <v>90</v>
      </c>
      <c r="E687" s="20" t="s">
        <v>91</v>
      </c>
      <c r="F687" s="20" t="s">
        <v>90</v>
      </c>
      <c r="G687" s="20" t="s">
        <v>92</v>
      </c>
      <c r="H687" s="20" t="s">
        <v>14</v>
      </c>
      <c r="I687" s="20" t="s">
        <v>155</v>
      </c>
      <c r="J687" s="20" t="s">
        <v>129</v>
      </c>
      <c r="K687" s="20" t="s">
        <v>102</v>
      </c>
      <c r="L687" s="20">
        <v>47228.7699999998</v>
      </c>
      <c r="M687" s="20">
        <v>5.6581998938837703</v>
      </c>
      <c r="N687" s="20">
        <v>5.4505995734426298</v>
      </c>
      <c r="O687" s="20">
        <v>11124</v>
      </c>
      <c r="P687" s="20">
        <v>2435.8852359673701</v>
      </c>
      <c r="Q687" s="20">
        <v>1681.32980504335</v>
      </c>
      <c r="R687" s="20">
        <v>16918.542729362998</v>
      </c>
      <c r="S687" s="20">
        <v>40712.4661763408</v>
      </c>
      <c r="T687" s="20">
        <v>11</v>
      </c>
      <c r="U687" s="20">
        <v>0.94999999999999896</v>
      </c>
      <c r="V687" s="20">
        <v>0.35137130572830999</v>
      </c>
      <c r="W687" s="20">
        <v>0.29370668477521</v>
      </c>
      <c r="X687" s="20">
        <v>0.24326302619173701</v>
      </c>
      <c r="Y687" s="20">
        <v>0.20283317858361299</v>
      </c>
      <c r="Z687" s="20">
        <v>0.168534008530076</v>
      </c>
      <c r="AA687" s="20">
        <v>0.14074169441704301</v>
      </c>
      <c r="AB687" s="20">
        <v>0.118498857691228</v>
      </c>
      <c r="AC687" s="20">
        <v>0.100073554911932</v>
      </c>
      <c r="AD687" s="20">
        <v>8.5813148946189396E-2</v>
      </c>
      <c r="AE687" s="20">
        <v>7.4408024707233997E-2</v>
      </c>
      <c r="AF687" t="str">
        <f t="shared" si="43"/>
        <v>NonResidential</v>
      </c>
      <c r="AG687" t="str">
        <f>tbl_Data_old[[#This Row],[All_Meas_Name_Append]]</f>
        <v>Smart thermostat</v>
      </c>
      <c r="AH687">
        <f>AVERAGEIFS('3. Incentive Adjustment'!G:G,'3. Incentive Adjustment'!A:A,tbl_Data_old[[#This Row],[Trimmed Sector]],'3. Incentive Adjustment'!B:B,tbl_Data_old[[#This Row],[Trimmed Measure Name]])</f>
        <v>0.87546479230069263</v>
      </c>
      <c r="AI687">
        <f>$AH687*tbl_Data_old[[#This Row],[2025 ]]</f>
        <v>0.30761320718985807</v>
      </c>
      <c r="AJ687">
        <f>$AH687*tbl_Data_old[[#This Row],[2026 ]]</f>
        <v>0.25712986178405423</v>
      </c>
      <c r="AK687">
        <f>$AH687*tbl_Data_old[[#This Row],[2027 ]]</f>
        <v>0.21296821469938698</v>
      </c>
      <c r="AL687">
        <f>$AH687*tbl_Data_old[[#This Row],[2028 ]]</f>
        <v>0.17757330656039205</v>
      </c>
      <c r="AM687">
        <f>$AH687*tbl_Data_old[[#This Row],[2029 ]]</f>
        <v>0.14754559077338614</v>
      </c>
      <c r="AN687">
        <f>$AH687*tbl_Data_old[[#This Row],[2030 ]]</f>
        <v>0.12321439827086411</v>
      </c>
      <c r="AO687">
        <f>$AH687*tbl_Data_old[[#This Row],[2031 ]]</f>
        <v>0.10374157783652026</v>
      </c>
      <c r="AP687">
        <f>$AH687*tbl_Data_old[[#This Row],[2032 ]]</f>
        <v>8.76108739657665E-2</v>
      </c>
      <c r="AQ687">
        <f>$AH687*tbl_Data_old[[#This Row],[2033 ]]</f>
        <v>7.5126390618844102E-2</v>
      </c>
      <c r="AR687">
        <f>$AH687*tbl_Data_old[[#This Row],[2034 ]]</f>
        <v>6.5141605895823421E-2</v>
      </c>
      <c r="AS687">
        <f>SUM(tbl_Data_old[[#This Row],[Adjusted 2025]:[Adjusted 2034]])</f>
        <v>1.557665027594896</v>
      </c>
      <c r="AT687" s="3">
        <f>AVERAGEIFS('3. Incentive Adjustment'!F:F,'3. Incentive Adjustment'!A:A,tbl_Data_old[[#This Row],[Trimmed Sector]],'3. Incentive Adjustment'!B:B,tbl_Data_old[[#This Row],[Trimmed Measure Name]])</f>
        <v>50</v>
      </c>
      <c r="AU687" s="3">
        <f>IFERROR(VLOOKUP(tbl_Data_old[[#This Row],[All_Meas_Name_Append]],'IRA Tax Credits'!$A$3:$D$46,4,0),0)</f>
        <v>0</v>
      </c>
      <c r="AV687" s="4">
        <f>tbl_Data_old[[#This Row],[Adj. per unit Incentive ($)]]/tbl_Data_old[[#This Row],[kWh Savings]]*tbl_Data_old[[#This Row],[Sum of Annuals]]</f>
        <v>1.6490637249232858E-3</v>
      </c>
      <c r="AW687" s="4">
        <f>IFERROR(VLOOKUP(tbl_Data_old[[#This Row],[All_Programs]],'1. Set Program Names'!$B$2:$D$15,3,0)*tbl_Data_old[[#This Row],[Sum of Annuals]],"")</f>
        <v>5.5452399822586602E-2</v>
      </c>
      <c r="AX687" s="4">
        <f>tbl_Data_old[[#This Row],[per unit IRA tax ($)]]/tbl_Data_old[[#This Row],[kWh Savings]]*tbl_Data_old[[#This Row],[Sum of Annuals]]</f>
        <v>0</v>
      </c>
      <c r="AY687" s="4">
        <f>tbl_Data_old[[#This Row],[Avoided Costs ($/unit)]]/tbl_Data_old[[#This Row],[kWh Savings]]*tbl_Data_old[[#This Row],[Sum of Annuals]]</f>
        <v>0.55799510187114232</v>
      </c>
      <c r="AZ687" s="4">
        <f>tbl_Data_old[[#This Row],[Lost Revenue ($/unit)]]/tbl_Data_old[[#This Row],[kWh Savings]]*tbl_Data_old[[#This Row],[Sum of Annuals]]</f>
        <v>1.3427490224713967</v>
      </c>
      <c r="BA687" s="4">
        <f>tbl_Data_old[[#This Row],[Incremental Cost ($/unit)]]/tbl_Data_old[[#This Row],[kWh Savings]]*tbl_Data_old[[#This Row],[Sum of Annuals]]</f>
        <v>0.36688369752093258</v>
      </c>
      <c r="BB687">
        <f>ROUNDUP(tbl_Data_old[[#This Row],[Adjusted 2025]]/$L687,0)</f>
        <v>1</v>
      </c>
      <c r="BC687">
        <f>ROUNDUP(tbl_Data_old[[#This Row],[Adjusted 2026]]/$L687,0)</f>
        <v>1</v>
      </c>
      <c r="BD687">
        <f>ROUNDUP(tbl_Data_old[[#This Row],[Adjusted 2027]]/$L687,0)</f>
        <v>1</v>
      </c>
      <c r="BE687">
        <f>ROUNDUP(tbl_Data_old[[#This Row],[Adjusted 2028]]/$L687,0)</f>
        <v>1</v>
      </c>
      <c r="BF687">
        <f>ROUNDUP(tbl_Data_old[[#This Row],[Adjusted 2029]]/$L687,0)</f>
        <v>1</v>
      </c>
      <c r="BG687">
        <f>ROUNDUP(tbl_Data_old[[#This Row],[Adjusted 2030]]/$L687,0)</f>
        <v>1</v>
      </c>
      <c r="BH687">
        <f>ROUNDUP(tbl_Data_old[[#This Row],[Adjusted 2031]]/$L687,0)</f>
        <v>1</v>
      </c>
      <c r="BI687">
        <f>ROUNDUP(tbl_Data_old[[#This Row],[Adjusted 2032]]/$L687,0)</f>
        <v>1</v>
      </c>
      <c r="BJ687">
        <f>ROUNDUP(tbl_Data_old[[#This Row],[Adjusted 2033]]/$L687,0)</f>
        <v>1</v>
      </c>
      <c r="BK687">
        <f>ROUNDUP(tbl_Data_old[[#This Row],[Adjusted 2034]]/$L687,0)</f>
        <v>1</v>
      </c>
      <c r="BL687" s="3">
        <f t="shared" si="46"/>
        <v>3.7198862655994587E-4</v>
      </c>
      <c r="BM687" s="3">
        <f t="shared" si="46"/>
        <v>3.1094043395075847E-4</v>
      </c>
      <c r="BN687" s="3">
        <f t="shared" si="46"/>
        <v>2.5753690620329306E-4</v>
      </c>
      <c r="BO687" s="3">
        <f t="shared" si="46"/>
        <v>2.147347671595236E-4</v>
      </c>
      <c r="BP687" s="3">
        <f t="shared" si="46"/>
        <v>1.7842303380976966E-4</v>
      </c>
      <c r="BQ687" s="3">
        <f t="shared" si="46"/>
        <v>1.4899995745923896E-4</v>
      </c>
      <c r="BR687" s="3">
        <f t="shared" si="46"/>
        <v>1.2545198370741872E-4</v>
      </c>
      <c r="BS687" s="3">
        <f t="shared" si="46"/>
        <v>1.0594554432809962E-4</v>
      </c>
      <c r="BT687" s="3">
        <f t="shared" si="46"/>
        <v>9.0848384307054545E-5</v>
      </c>
      <c r="BU687" s="3">
        <f t="shared" si="46"/>
        <v>7.8774044620719868E-5</v>
      </c>
      <c r="BV687">
        <f>VLOOKUP($H687,'1. Set Program Names'!$B$2:$D$15,3,0)*V687</f>
        <v>1.2508711299447552E-2</v>
      </c>
      <c r="BW687">
        <f>VLOOKUP($H687,'1. Set Program Names'!$B$2:$D$15,3,0)*W687</f>
        <v>1.0455868383890473E-2</v>
      </c>
      <c r="BX687">
        <f>VLOOKUP($H687,'1. Set Program Names'!$B$2:$D$15,3,0)*X687</f>
        <v>8.6600895259650104E-3</v>
      </c>
      <c r="BY687">
        <f>VLOOKUP($H687,'1. Set Program Names'!$B$2:$D$15,3,0)*Y687</f>
        <v>7.220799284087023E-3</v>
      </c>
      <c r="BZ687">
        <f>VLOOKUP($H687,'1. Set Program Names'!$B$2:$D$15,3,0)*Z687</f>
        <v>5.9997592930124653E-3</v>
      </c>
      <c r="CA687">
        <f>VLOOKUP($H687,'1. Set Program Names'!$B$2:$D$15,3,0)*AA687</f>
        <v>5.0103613885281962E-3</v>
      </c>
      <c r="CB687">
        <f>VLOOKUP($H687,'1. Set Program Names'!$B$2:$D$15,3,0)*AB687</f>
        <v>4.2185231861819189E-3</v>
      </c>
      <c r="CC687">
        <f>VLOOKUP($H687,'1. Set Program Names'!$B$2:$D$15,3,0)*AC687</f>
        <v>3.5625880278075082E-3</v>
      </c>
      <c r="CD687">
        <f>VLOOKUP($H687,'1. Set Program Names'!$B$2:$D$15,3,0)*AD687</f>
        <v>3.0549219255096684E-3</v>
      </c>
      <c r="CE687">
        <f>VLOOKUP($H687,'1. Set Program Names'!$B$2:$D$15,3,0)*AE687</f>
        <v>2.6489029816926229E-3</v>
      </c>
    </row>
    <row r="688" spans="1:83" x14ac:dyDescent="0.25">
      <c r="A688" s="20" t="s">
        <v>117</v>
      </c>
      <c r="B688" s="20" t="s">
        <v>88</v>
      </c>
      <c r="C688" s="20" t="s">
        <v>176</v>
      </c>
      <c r="D688" s="20" t="s">
        <v>90</v>
      </c>
      <c r="E688" s="20" t="s">
        <v>91</v>
      </c>
      <c r="F688" s="20" t="s">
        <v>90</v>
      </c>
      <c r="G688" s="20" t="s">
        <v>92</v>
      </c>
      <c r="H688" s="20" t="s">
        <v>14</v>
      </c>
      <c r="I688" s="20" t="s">
        <v>157</v>
      </c>
      <c r="J688" s="20" t="s">
        <v>158</v>
      </c>
      <c r="K688" s="20" t="s">
        <v>159</v>
      </c>
      <c r="L688" s="20">
        <v>562.52</v>
      </c>
      <c r="M688" s="20">
        <v>6.7473359330379998E-2</v>
      </c>
      <c r="N688" s="20">
        <v>6.4973258375617293E-2</v>
      </c>
      <c r="O688" s="20">
        <v>169</v>
      </c>
      <c r="P688" s="20">
        <v>55.847956108163899</v>
      </c>
      <c r="Q688" s="20">
        <v>20.025540405413601</v>
      </c>
      <c r="R688" s="20">
        <v>240.47921618074301</v>
      </c>
      <c r="S688" s="20">
        <v>597.43584258705596</v>
      </c>
      <c r="T688" s="20">
        <v>15</v>
      </c>
      <c r="U688" s="20">
        <v>0.2</v>
      </c>
      <c r="V688" s="20">
        <v>7.0258766430940506E-2</v>
      </c>
      <c r="W688" s="20">
        <v>0.15018986167671</v>
      </c>
      <c r="X688" s="20">
        <v>0.238549709111645</v>
      </c>
      <c r="Y688" s="20">
        <v>0.33536974515102802</v>
      </c>
      <c r="Z688" s="20">
        <v>0.43939577599214702</v>
      </c>
      <c r="AA688" s="20">
        <v>0.55018595816416904</v>
      </c>
      <c r="AB688" s="20">
        <v>0.66737244441133603</v>
      </c>
      <c r="AC688" s="20">
        <v>0.79029641198240597</v>
      </c>
      <c r="AD688" s="20">
        <v>0.91890951378336405</v>
      </c>
      <c r="AE688" s="20">
        <v>1.0529116195913799</v>
      </c>
      <c r="AF688" t="str">
        <f t="shared" si="43"/>
        <v>NonResidential</v>
      </c>
      <c r="AG688" t="str">
        <f>tbl_Data_old[[#This Row],[All_Meas_Name_Append]]</f>
        <v>LED Exterior Wall Packs</v>
      </c>
      <c r="AH688">
        <f>AVERAGEIFS('3. Incentive Adjustment'!G:G,'3. Incentive Adjustment'!A:A,tbl_Data_old[[#This Row],[Trimmed Sector]],'3. Incentive Adjustment'!B:B,tbl_Data_old[[#This Row],[Trimmed Measure Name]])</f>
        <v>0.80637708305213962</v>
      </c>
      <c r="AI688">
        <f>$AH688*tbl_Data_old[[#This Row],[2025 ]]</f>
        <v>5.6655059133423391E-2</v>
      </c>
      <c r="AJ688">
        <f>$AH688*tbl_Data_old[[#This Row],[2026 ]]</f>
        <v>0.12110966256286974</v>
      </c>
      <c r="AK688">
        <f>$AH688*tbl_Data_old[[#This Row],[2027 ]]</f>
        <v>0.19236101859638471</v>
      </c>
      <c r="AL688">
        <f>$AH688*tbl_Data_old[[#This Row],[2028 ]]</f>
        <v>0.27043447683882543</v>
      </c>
      <c r="AM688">
        <f>$AH688*tbl_Data_old[[#This Row],[2029 ]]</f>
        <v>0.35431868414997886</v>
      </c>
      <c r="AN688">
        <f>$AH688*tbl_Data_old[[#This Row],[2030 ]]</f>
        <v>0.44365734808066914</v>
      </c>
      <c r="AO688">
        <f>$AH688*tbl_Data_old[[#This Row],[2031 ]]</f>
        <v>0.53815384503378938</v>
      </c>
      <c r="AP688">
        <f>$AH688*tbl_Data_old[[#This Row],[2032 ]]</f>
        <v>0.63727691544094456</v>
      </c>
      <c r="AQ688">
        <f>$AH688*tbl_Data_old[[#This Row],[2033 ]]</f>
        <v>0.74098757331348897</v>
      </c>
      <c r="AR688">
        <f>$AH688*tbl_Data_old[[#This Row],[2034 ]]</f>
        <v>0.84904380051780104</v>
      </c>
      <c r="AS688">
        <f>SUM(tbl_Data_old[[#This Row],[Adjusted 2025]:[Adjusted 2034]])</f>
        <v>4.2039983836681749</v>
      </c>
      <c r="AT688" s="3">
        <f>AVERAGEIFS('3. Incentive Adjustment'!F:F,'3. Incentive Adjustment'!A:A,tbl_Data_old[[#This Row],[Trimmed Sector]],'3. Incentive Adjustment'!B:B,tbl_Data_old[[#This Row],[Trimmed Measure Name]])</f>
        <v>8.6864493556481861</v>
      </c>
      <c r="AU688" s="3">
        <f>IFERROR(VLOOKUP(tbl_Data_old[[#This Row],[All_Meas_Name_Append]],'IRA Tax Credits'!$A$3:$D$46,4,0),0)</f>
        <v>0</v>
      </c>
      <c r="AV688" s="4">
        <f>tbl_Data_old[[#This Row],[Adj. per unit Incentive ($)]]/tbl_Data_old[[#This Row],[kWh Savings]]*tbl_Data_old[[#This Row],[Sum of Annuals]]</f>
        <v>6.4918258996943104E-2</v>
      </c>
      <c r="AW688" s="4">
        <f>IFERROR(VLOOKUP(tbl_Data_old[[#This Row],[All_Programs]],'1. Set Program Names'!$B$2:$D$15,3,0)*tbl_Data_old[[#This Row],[Sum of Annuals]],"")</f>
        <v>0.14966106004487106</v>
      </c>
      <c r="AX688" s="4">
        <f>tbl_Data_old[[#This Row],[per unit IRA tax ($)]]/tbl_Data_old[[#This Row],[kWh Savings]]*tbl_Data_old[[#This Row],[Sum of Annuals]]</f>
        <v>0</v>
      </c>
      <c r="AY688" s="4">
        <f>tbl_Data_old[[#This Row],[Avoided Costs ($/unit)]]/tbl_Data_old[[#This Row],[kWh Savings]]*tbl_Data_old[[#This Row],[Sum of Annuals]]</f>
        <v>1.7972236296125172</v>
      </c>
      <c r="AZ688" s="4">
        <f>tbl_Data_old[[#This Row],[Lost Revenue ($/unit)]]/tbl_Data_old[[#This Row],[kWh Savings]]*tbl_Data_old[[#This Row],[Sum of Annuals]]</f>
        <v>4.464942253753498</v>
      </c>
      <c r="BA688" s="4">
        <f>tbl_Data_old[[#This Row],[Incremental Cost ($/unit)]]/tbl_Data_old[[#This Row],[kWh Savings]]*tbl_Data_old[[#This Row],[Sum of Annuals]]</f>
        <v>1.2630230513402574</v>
      </c>
      <c r="BB688">
        <f>ROUNDUP(tbl_Data_old[[#This Row],[Adjusted 2025]]/$L688,0)</f>
        <v>1</v>
      </c>
      <c r="BC688">
        <f>ROUNDUP(tbl_Data_old[[#This Row],[Adjusted 2026]]/$L688,0)</f>
        <v>1</v>
      </c>
      <c r="BD688">
        <f>ROUNDUP(tbl_Data_old[[#This Row],[Adjusted 2027]]/$L688,0)</f>
        <v>1</v>
      </c>
      <c r="BE688">
        <f>ROUNDUP(tbl_Data_old[[#This Row],[Adjusted 2028]]/$L688,0)</f>
        <v>1</v>
      </c>
      <c r="BF688">
        <f>ROUNDUP(tbl_Data_old[[#This Row],[Adjusted 2029]]/$L688,0)</f>
        <v>1</v>
      </c>
      <c r="BG688">
        <f>ROUNDUP(tbl_Data_old[[#This Row],[Adjusted 2030]]/$L688,0)</f>
        <v>1</v>
      </c>
      <c r="BH688">
        <f>ROUNDUP(tbl_Data_old[[#This Row],[Adjusted 2031]]/$L688,0)</f>
        <v>1</v>
      </c>
      <c r="BI688">
        <f>ROUNDUP(tbl_Data_old[[#This Row],[Adjusted 2032]]/$L688,0)</f>
        <v>1</v>
      </c>
      <c r="BJ688">
        <f>ROUNDUP(tbl_Data_old[[#This Row],[Adjusted 2033]]/$L688,0)</f>
        <v>1</v>
      </c>
      <c r="BK688">
        <f>ROUNDUP(tbl_Data_old[[#This Row],[Adjusted 2034]]/$L688,0)</f>
        <v>1</v>
      </c>
      <c r="BL688" s="3">
        <f t="shared" si="46"/>
        <v>1.0849378091315502E-3</v>
      </c>
      <c r="BM688" s="3">
        <f t="shared" si="46"/>
        <v>2.3192359866076721E-3</v>
      </c>
      <c r="BN688" s="3">
        <f t="shared" si="46"/>
        <v>3.6836911878740503E-3</v>
      </c>
      <c r="BO688" s="3">
        <f t="shared" si="46"/>
        <v>5.1787888549225695E-3</v>
      </c>
      <c r="BP688" s="3">
        <f t="shared" si="46"/>
        <v>6.7851616924580818E-3</v>
      </c>
      <c r="BQ688" s="3">
        <f t="shared" si="46"/>
        <v>8.495986741416885E-3</v>
      </c>
      <c r="BR688" s="3">
        <f t="shared" si="46"/>
        <v>1.0305583694329455E-2</v>
      </c>
      <c r="BS688" s="3">
        <f t="shared" si="46"/>
        <v>1.2203778992099203E-2</v>
      </c>
      <c r="BT688" s="3">
        <f t="shared" si="46"/>
        <v>1.4189826057566825E-2</v>
      </c>
      <c r="BU688" s="3">
        <f t="shared" si="46"/>
        <v>1.6259090271553065E-2</v>
      </c>
      <c r="BV688">
        <f>VLOOKUP($H688,'1. Set Program Names'!$B$2:$D$15,3,0)*V688</f>
        <v>2.5011906527720291E-3</v>
      </c>
      <c r="BW688">
        <f>VLOOKUP($H688,'1. Set Program Names'!$B$2:$D$15,3,0)*W688</f>
        <v>5.3467132608448565E-3</v>
      </c>
      <c r="BX688">
        <f>VLOOKUP($H688,'1. Set Program Names'!$B$2:$D$15,3,0)*X688</f>
        <v>8.492296875693181E-3</v>
      </c>
      <c r="BY688">
        <f>VLOOKUP($H688,'1. Set Program Names'!$B$2:$D$15,3,0)*Y688</f>
        <v>1.1939060624111503E-2</v>
      </c>
      <c r="BZ688">
        <f>VLOOKUP($H688,'1. Set Program Names'!$B$2:$D$15,3,0)*Z688</f>
        <v>1.5642355589310319E-2</v>
      </c>
      <c r="CA688">
        <f>VLOOKUP($H688,'1. Set Program Names'!$B$2:$D$15,3,0)*AA688</f>
        <v>1.9586452278510653E-2</v>
      </c>
      <c r="CB688">
        <f>VLOOKUP($H688,'1. Set Program Names'!$B$2:$D$15,3,0)*AB688</f>
        <v>2.3758255441617915E-2</v>
      </c>
      <c r="CC688">
        <f>VLOOKUP($H688,'1. Set Program Names'!$B$2:$D$15,3,0)*AC688</f>
        <v>2.813431118965927E-2</v>
      </c>
      <c r="CD688">
        <f>VLOOKUP($H688,'1. Set Program Names'!$B$2:$D$15,3,0)*AD688</f>
        <v>3.2712898380835888E-2</v>
      </c>
      <c r="CE688">
        <f>VLOOKUP($H688,'1. Set Program Names'!$B$2:$D$15,3,0)*AE688</f>
        <v>3.7483332470768585E-2</v>
      </c>
    </row>
    <row r="689" spans="1:83" x14ac:dyDescent="0.25">
      <c r="A689" s="20" t="s">
        <v>117</v>
      </c>
      <c r="B689" s="20" t="s">
        <v>88</v>
      </c>
      <c r="C689" s="20" t="s">
        <v>176</v>
      </c>
      <c r="D689" s="20" t="s">
        <v>90</v>
      </c>
      <c r="E689" s="20" t="s">
        <v>91</v>
      </c>
      <c r="F689" s="20" t="s">
        <v>90</v>
      </c>
      <c r="G689" s="20" t="s">
        <v>92</v>
      </c>
      <c r="H689" s="20" t="s">
        <v>14</v>
      </c>
      <c r="I689" s="20" t="s">
        <v>162</v>
      </c>
      <c r="J689" s="20" t="s">
        <v>161</v>
      </c>
      <c r="K689" s="20" t="s">
        <v>159</v>
      </c>
      <c r="L689" s="20">
        <v>725.58416666666596</v>
      </c>
      <c r="M689" s="20">
        <v>8.6917804178563804E-2</v>
      </c>
      <c r="N689" s="20">
        <v>8.3795205289933394E-2</v>
      </c>
      <c r="O689" s="20">
        <v>179</v>
      </c>
      <c r="P689" s="20">
        <v>33.0790753554421</v>
      </c>
      <c r="Q689" s="20">
        <v>25.8305749966432</v>
      </c>
      <c r="R689" s="20">
        <v>310.45187974046598</v>
      </c>
      <c r="S689" s="20">
        <v>770.62146764617603</v>
      </c>
      <c r="T689" s="20">
        <v>15</v>
      </c>
      <c r="U689" s="20">
        <v>0.2</v>
      </c>
      <c r="V689" s="20">
        <v>0.36088388817047201</v>
      </c>
      <c r="W689" s="20">
        <v>0.77144965673362198</v>
      </c>
      <c r="X689" s="20">
        <v>1.2253096790528599</v>
      </c>
      <c r="Y689" s="20">
        <v>1.7226254281564499</v>
      </c>
      <c r="Z689" s="20">
        <v>2.25695474231805</v>
      </c>
      <c r="AA689" s="20">
        <v>2.8260280942200402</v>
      </c>
      <c r="AB689" s="20">
        <v>3.4279560378238001</v>
      </c>
      <c r="AC689" s="20">
        <v>4.0593545325581601</v>
      </c>
      <c r="AD689" s="20">
        <v>4.7199752437574798</v>
      </c>
      <c r="AE689" s="20">
        <v>5.40827655366681</v>
      </c>
      <c r="AF689" t="str">
        <f t="shared" si="43"/>
        <v>NonResidential</v>
      </c>
      <c r="AG689" t="str">
        <f>tbl_Data_old[[#This Row],[All_Meas_Name_Append]]</f>
        <v>LED High Bay_LF Baseline</v>
      </c>
      <c r="AH689">
        <f>AVERAGEIFS('3. Incentive Adjustment'!G:G,'3. Incentive Adjustment'!A:A,tbl_Data_old[[#This Row],[Trimmed Sector]],'3. Incentive Adjustment'!B:B,tbl_Data_old[[#This Row],[Trimmed Measure Name]])</f>
        <v>0.93017466414143679</v>
      </c>
      <c r="AI689">
        <f>$AH689*tbl_Data_old[[#This Row],[2025 ]]</f>
        <v>0.33568504947302463</v>
      </c>
      <c r="AJ689">
        <f>$AH689*tbl_Data_old[[#This Row],[2026 ]]</f>
        <v>0.71758292535422352</v>
      </c>
      <c r="AK689">
        <f>$AH689*tbl_Data_old[[#This Row],[2027 ]]</f>
        <v>1.1397520191822457</v>
      </c>
      <c r="AL689">
        <f>$AH689*tbl_Data_old[[#This Row],[2028 ]]</f>
        <v>1.6023425290769246</v>
      </c>
      <c r="AM689">
        <f>$AH689*tbl_Data_old[[#This Row],[2029 ]]</f>
        <v>2.0993621194181151</v>
      </c>
      <c r="AN689">
        <f>$AH689*tbl_Data_old[[#This Row],[2030 ]]</f>
        <v>2.6286997333953908</v>
      </c>
      <c r="AO689">
        <f>$AH689*tbl_Data_old[[#This Row],[2031 ]]</f>
        <v>3.1885978561743635</v>
      </c>
      <c r="AP689">
        <f>$AH689*tbl_Data_old[[#This Row],[2032 ]]</f>
        <v>3.7759087389533059</v>
      </c>
      <c r="AQ689">
        <f>$AH689*tbl_Data_old[[#This Row],[2033 ]]</f>
        <v>4.3904013871180103</v>
      </c>
      <c r="AR689">
        <f>$AH689*tbl_Data_old[[#This Row],[2034 ]]</f>
        <v>5.0306418268910322</v>
      </c>
      <c r="AS689">
        <f>SUM(tbl_Data_old[[#This Row],[Adjusted 2025]:[Adjusted 2034]])</f>
        <v>24.908974185036637</v>
      </c>
      <c r="AT689" s="3">
        <f>AVERAGEIFS('3. Incentive Adjustment'!F:F,'3. Incentive Adjustment'!A:A,tbl_Data_old[[#This Row],[Trimmed Sector]],'3. Incentive Adjustment'!B:B,tbl_Data_old[[#This Row],[Trimmed Measure Name]])</f>
        <v>23.858858929800434</v>
      </c>
      <c r="AU689" s="3">
        <f>IFERROR(VLOOKUP(tbl_Data_old[[#This Row],[All_Meas_Name_Append]],'IRA Tax Credits'!$A$3:$D$46,4,0),0)</f>
        <v>0</v>
      </c>
      <c r="AV689" s="4">
        <f>tbl_Data_old[[#This Row],[Adj. per unit Incentive ($)]]/tbl_Data_old[[#This Row],[kWh Savings]]*tbl_Data_old[[#This Row],[Sum of Annuals]]</f>
        <v>0.81906376747034459</v>
      </c>
      <c r="AW689" s="4">
        <f>IFERROR(VLOOKUP(tbl_Data_old[[#This Row],[All_Programs]],'1. Set Program Names'!$B$2:$D$15,3,0)*tbl_Data_old[[#This Row],[Sum of Annuals]],"")</f>
        <v>0.88675188259947668</v>
      </c>
      <c r="AX689" s="4">
        <f>tbl_Data_old[[#This Row],[per unit IRA tax ($)]]/tbl_Data_old[[#This Row],[kWh Savings]]*tbl_Data_old[[#This Row],[Sum of Annuals]]</f>
        <v>0</v>
      </c>
      <c r="AY689" s="4">
        <f>tbl_Data_old[[#This Row],[Avoided Costs ($/unit)]]/tbl_Data_old[[#This Row],[kWh Savings]]*tbl_Data_old[[#This Row],[Sum of Annuals]]</f>
        <v>10.657671726323557</v>
      </c>
      <c r="AZ689" s="4">
        <f>tbl_Data_old[[#This Row],[Lost Revenue ($/unit)]]/tbl_Data_old[[#This Row],[kWh Savings]]*tbl_Data_old[[#This Row],[Sum of Annuals]]</f>
        <v>26.455084228501402</v>
      </c>
      <c r="BA689" s="4">
        <f>tbl_Data_old[[#This Row],[Incremental Cost ($/unit)]]/tbl_Data_old[[#This Row],[kWh Savings]]*tbl_Data_old[[#This Row],[Sum of Annuals]]</f>
        <v>6.1449885264239672</v>
      </c>
      <c r="BB689">
        <f>ROUNDUP(tbl_Data_old[[#This Row],[Adjusted 2025]]/$L689,0)</f>
        <v>1</v>
      </c>
      <c r="BC689">
        <f>ROUNDUP(tbl_Data_old[[#This Row],[Adjusted 2026]]/$L689,0)</f>
        <v>1</v>
      </c>
      <c r="BD689">
        <f>ROUNDUP(tbl_Data_old[[#This Row],[Adjusted 2027]]/$L689,0)</f>
        <v>1</v>
      </c>
      <c r="BE689">
        <f>ROUNDUP(tbl_Data_old[[#This Row],[Adjusted 2028]]/$L689,0)</f>
        <v>1</v>
      </c>
      <c r="BF689">
        <f>ROUNDUP(tbl_Data_old[[#This Row],[Adjusted 2029]]/$L689,0)</f>
        <v>1</v>
      </c>
      <c r="BG689">
        <f>ROUNDUP(tbl_Data_old[[#This Row],[Adjusted 2030]]/$L689,0)</f>
        <v>1</v>
      </c>
      <c r="BH689">
        <f>ROUNDUP(tbl_Data_old[[#This Row],[Adjusted 2031]]/$L689,0)</f>
        <v>1</v>
      </c>
      <c r="BI689">
        <f>ROUNDUP(tbl_Data_old[[#This Row],[Adjusted 2032]]/$L689,0)</f>
        <v>1</v>
      </c>
      <c r="BJ689">
        <f>ROUNDUP(tbl_Data_old[[#This Row],[Adjusted 2033]]/$L689,0)</f>
        <v>1</v>
      </c>
      <c r="BK689">
        <f>ROUNDUP(tbl_Data_old[[#This Row],[Adjusted 2034]]/$L689,0)</f>
        <v>1</v>
      </c>
      <c r="BL689" s="3">
        <f t="shared" si="46"/>
        <v>1.1866683664629545E-2</v>
      </c>
      <c r="BM689" s="3">
        <f t="shared" si="46"/>
        <v>2.5367020639393507E-2</v>
      </c>
      <c r="BN689" s="3">
        <f t="shared" si="46"/>
        <v>4.0290971221360154E-2</v>
      </c>
      <c r="BO689" s="3">
        <f t="shared" si="46"/>
        <v>5.6643845011233727E-2</v>
      </c>
      <c r="BP689" s="3">
        <f t="shared" si="46"/>
        <v>7.4213809068202047E-2</v>
      </c>
      <c r="BQ689" s="3">
        <f t="shared" si="46"/>
        <v>9.2926236168304074E-2</v>
      </c>
      <c r="BR689" s="3">
        <f t="shared" si="46"/>
        <v>0.11271899702514974</v>
      </c>
      <c r="BS689" s="3">
        <f t="shared" si="46"/>
        <v>0.1334808166822152</v>
      </c>
      <c r="BT689" s="3">
        <f t="shared" si="46"/>
        <v>0.15520352933045015</v>
      </c>
      <c r="BU689" s="3">
        <f t="shared" si="46"/>
        <v>0.1778364430691369</v>
      </c>
      <c r="BV689">
        <f>VLOOKUP($H689,'1. Set Program Names'!$B$2:$D$15,3,0)*V689</f>
        <v>1.284735633261143E-2</v>
      </c>
      <c r="BW689">
        <f>VLOOKUP($H689,'1. Set Program Names'!$B$2:$D$15,3,0)*W689</f>
        <v>2.746337245193356E-2</v>
      </c>
      <c r="BX689">
        <f>VLOOKUP($H689,'1. Set Program Names'!$B$2:$D$15,3,0)*X689</f>
        <v>4.362065079822499E-2</v>
      </c>
      <c r="BY689">
        <f>VLOOKUP($H689,'1. Set Program Names'!$B$2:$D$15,3,0)*Y689</f>
        <v>6.1324939762035201E-2</v>
      </c>
      <c r="BZ689">
        <f>VLOOKUP($H689,'1. Set Program Names'!$B$2:$D$15,3,0)*Z689</f>
        <v>8.034690035106333E-2</v>
      </c>
      <c r="CA689">
        <f>VLOOKUP($H689,'1. Set Program Names'!$B$2:$D$15,3,0)*AA689</f>
        <v>0.10060573808511281</v>
      </c>
      <c r="CB689">
        <f>VLOOKUP($H689,'1. Set Program Names'!$B$2:$D$15,3,0)*AB689</f>
        <v>0.12203418926157704</v>
      </c>
      <c r="CC689">
        <f>VLOOKUP($H689,'1. Set Program Names'!$B$2:$D$15,3,0)*AC689</f>
        <v>0.14451178306841111</v>
      </c>
      <c r="CD689">
        <f>VLOOKUP($H689,'1. Set Program Names'!$B$2:$D$15,3,0)*AD689</f>
        <v>0.1680296788672718</v>
      </c>
      <c r="CE689">
        <f>VLOOKUP($H689,'1. Set Program Names'!$B$2:$D$15,3,0)*AE689</f>
        <v>0.19253299553634748</v>
      </c>
    </row>
    <row r="690" spans="1:83" x14ac:dyDescent="0.25">
      <c r="A690" s="20" t="s">
        <v>117</v>
      </c>
      <c r="B690" s="20" t="s">
        <v>88</v>
      </c>
      <c r="C690" s="20" t="s">
        <v>176</v>
      </c>
      <c r="D690" s="20" t="s">
        <v>90</v>
      </c>
      <c r="E690" s="20" t="s">
        <v>91</v>
      </c>
      <c r="F690" s="20" t="s">
        <v>90</v>
      </c>
      <c r="G690" s="20" t="s">
        <v>92</v>
      </c>
      <c r="H690" s="20" t="s">
        <v>14</v>
      </c>
      <c r="I690" s="20" t="s">
        <v>165</v>
      </c>
      <c r="J690" s="20" t="s">
        <v>161</v>
      </c>
      <c r="K690" s="20" t="s">
        <v>166</v>
      </c>
      <c r="L690" s="20">
        <v>565.38999999999896</v>
      </c>
      <c r="M690" s="20">
        <v>6.7728127941350899E-2</v>
      </c>
      <c r="N690" s="20">
        <v>6.5294935157718198E-2</v>
      </c>
      <c r="O690" s="20">
        <v>129</v>
      </c>
      <c r="P690" s="20">
        <v>15.293574707506</v>
      </c>
      <c r="Q690" s="20">
        <v>20.127711529930998</v>
      </c>
      <c r="R690" s="20">
        <v>190.6779313312</v>
      </c>
      <c r="S690" s="20">
        <v>454.767236260907</v>
      </c>
      <c r="T690" s="20">
        <v>10</v>
      </c>
      <c r="U690" s="20">
        <v>0.2</v>
      </c>
      <c r="V690" s="20">
        <v>4.3179563081078301E-2</v>
      </c>
      <c r="W690" s="20">
        <v>0.10280035348260699</v>
      </c>
      <c r="X690" s="20">
        <v>0.18256131055598801</v>
      </c>
      <c r="Y690" s="20">
        <v>0.28660682046052799</v>
      </c>
      <c r="Z690" s="20">
        <v>0.416499426297885</v>
      </c>
      <c r="AA690" s="20">
        <v>0.57068459627864898</v>
      </c>
      <c r="AB690" s="20">
        <v>0.74252260674126103</v>
      </c>
      <c r="AC690" s="20">
        <v>0.91974950638229602</v>
      </c>
      <c r="AD690" s="20">
        <v>1.0875507114620999</v>
      </c>
      <c r="AE690" s="20">
        <v>1.2327625743195501</v>
      </c>
      <c r="AF690" t="str">
        <f t="shared" si="43"/>
        <v>NonResidential</v>
      </c>
      <c r="AG690" t="str">
        <f>tbl_Data_old[[#This Row],[All_Meas_Name_Append]]</f>
        <v>Occupancy Sensors_ Ceiling Mounted</v>
      </c>
      <c r="AH690">
        <f>AVERAGEIFS('3. Incentive Adjustment'!G:G,'3. Incentive Adjustment'!A:A,tbl_Data_old[[#This Row],[Trimmed Sector]],'3. Incentive Adjustment'!B:B,tbl_Data_old[[#This Row],[Trimmed Measure Name]])</f>
        <v>0.99348124042467356</v>
      </c>
      <c r="AI690">
        <f>$AH690*tbl_Data_old[[#This Row],[2025 ]]</f>
        <v>4.2898085890785108E-2</v>
      </c>
      <c r="AJ690">
        <f>$AH690*tbl_Data_old[[#This Row],[2026 ]]</f>
        <v>0.10213022269399531</v>
      </c>
      <c r="AK690">
        <f>$AH690*tbl_Data_old[[#This Row],[2027 ]]</f>
        <v>0.18137123726471702</v>
      </c>
      <c r="AL690">
        <f>$AH690*tbl_Data_old[[#This Row],[2028 ]]</f>
        <v>0.28473849950529706</v>
      </c>
      <c r="AM690">
        <f>$AH690*tbl_Data_old[[#This Row],[2029 ]]</f>
        <v>0.41378436667458768</v>
      </c>
      <c r="AN690">
        <f>$AH690*tbl_Data_old[[#This Row],[2030 ]]</f>
        <v>0.56696444060216622</v>
      </c>
      <c r="AO690">
        <f>$AH690*tbl_Data_old[[#This Row],[2031 ]]</f>
        <v>0.73768228038867012</v>
      </c>
      <c r="AP690">
        <f>$AH690*tbl_Data_old[[#This Row],[2032 ]]</f>
        <v>0.91375388048066464</v>
      </c>
      <c r="AQ690">
        <f>$AH690*tbl_Data_old[[#This Row],[2033 ]]</f>
        <v>1.0804612298481033</v>
      </c>
      <c r="AR690">
        <f>$AH690*tbl_Data_old[[#This Row],[2034 ]]</f>
        <v>1.2247264914841005</v>
      </c>
      <c r="AS690">
        <f>SUM(tbl_Data_old[[#This Row],[Adjusted 2025]:[Adjusted 2034]])</f>
        <v>5.5485107348330871</v>
      </c>
      <c r="AT690" s="3">
        <f>AVERAGEIFS('3. Incentive Adjustment'!F:F,'3. Incentive Adjustment'!A:A,tbl_Data_old[[#This Row],[Trimmed Sector]],'3. Incentive Adjustment'!B:B,tbl_Data_old[[#This Row],[Trimmed Measure Name]])</f>
        <v>19.547634357270656</v>
      </c>
      <c r="AU690" s="3">
        <f>IFERROR(VLOOKUP(tbl_Data_old[[#This Row],[All_Meas_Name_Append]],'IRA Tax Credits'!$A$3:$D$46,4,0),0)</f>
        <v>0</v>
      </c>
      <c r="AV690" s="4">
        <f>tbl_Data_old[[#This Row],[Adj. per unit Incentive ($)]]/tbl_Data_old[[#This Row],[kWh Savings]]*tbl_Data_old[[#This Row],[Sum of Annuals]]</f>
        <v>0.19183264485029539</v>
      </c>
      <c r="AW690" s="4">
        <f>IFERROR(VLOOKUP(tbl_Data_old[[#This Row],[All_Programs]],'1. Set Program Names'!$B$2:$D$15,3,0)*tbl_Data_old[[#This Row],[Sum of Annuals]],"")</f>
        <v>0.19752528960796339</v>
      </c>
      <c r="AX690" s="4">
        <f>tbl_Data_old[[#This Row],[per unit IRA tax ($)]]/tbl_Data_old[[#This Row],[kWh Savings]]*tbl_Data_old[[#This Row],[Sum of Annuals]]</f>
        <v>0</v>
      </c>
      <c r="AY690" s="4">
        <f>tbl_Data_old[[#This Row],[Avoided Costs ($/unit)]]/tbl_Data_old[[#This Row],[kWh Savings]]*tbl_Data_old[[#This Row],[Sum of Annuals]]</f>
        <v>1.8712367549601716</v>
      </c>
      <c r="AZ690" s="4">
        <f>tbl_Data_old[[#This Row],[Lost Revenue ($/unit)]]/tbl_Data_old[[#This Row],[kWh Savings]]*tbl_Data_old[[#This Row],[Sum of Annuals]]</f>
        <v>4.462903291964877</v>
      </c>
      <c r="BA690" s="4">
        <f>tbl_Data_old[[#This Row],[Incremental Cost ($/unit)]]/tbl_Data_old[[#This Row],[kWh Savings]]*tbl_Data_old[[#This Row],[Sum of Annuals]]</f>
        <v>1.2659542701382578</v>
      </c>
      <c r="BB690">
        <f>ROUNDUP(tbl_Data_old[[#This Row],[Adjusted 2025]]/$L690,0)</f>
        <v>1</v>
      </c>
      <c r="BC690">
        <f>ROUNDUP(tbl_Data_old[[#This Row],[Adjusted 2026]]/$L690,0)</f>
        <v>1</v>
      </c>
      <c r="BD690">
        <f>ROUNDUP(tbl_Data_old[[#This Row],[Adjusted 2027]]/$L690,0)</f>
        <v>1</v>
      </c>
      <c r="BE690">
        <f>ROUNDUP(tbl_Data_old[[#This Row],[Adjusted 2028]]/$L690,0)</f>
        <v>1</v>
      </c>
      <c r="BF690">
        <f>ROUNDUP(tbl_Data_old[[#This Row],[Adjusted 2029]]/$L690,0)</f>
        <v>1</v>
      </c>
      <c r="BG690">
        <f>ROUNDUP(tbl_Data_old[[#This Row],[Adjusted 2030]]/$L690,0)</f>
        <v>1</v>
      </c>
      <c r="BH690">
        <f>ROUNDUP(tbl_Data_old[[#This Row],[Adjusted 2031]]/$L690,0)</f>
        <v>1</v>
      </c>
      <c r="BI690">
        <f>ROUNDUP(tbl_Data_old[[#This Row],[Adjusted 2032]]/$L690,0)</f>
        <v>1</v>
      </c>
      <c r="BJ690">
        <f>ROUNDUP(tbl_Data_old[[#This Row],[Adjusted 2033]]/$L690,0)</f>
        <v>1</v>
      </c>
      <c r="BK690">
        <f>ROUNDUP(tbl_Data_old[[#This Row],[Adjusted 2034]]/$L690,0)</f>
        <v>1</v>
      </c>
      <c r="BL690" s="3">
        <f t="shared" si="46"/>
        <v>1.4928780325361667E-3</v>
      </c>
      <c r="BM690" s="3">
        <f t="shared" si="46"/>
        <v>3.554190420198766E-3</v>
      </c>
      <c r="BN690" s="3">
        <f t="shared" si="46"/>
        <v>6.3118232486117469E-3</v>
      </c>
      <c r="BO690" s="3">
        <f t="shared" si="46"/>
        <v>9.909063355670121E-3</v>
      </c>
      <c r="BP690" s="3">
        <f t="shared" si="46"/>
        <v>1.4399933665760039E-2</v>
      </c>
      <c r="BQ690" s="3">
        <f t="shared" si="46"/>
        <v>1.9730688235344934E-2</v>
      </c>
      <c r="BR690" s="3">
        <f t="shared" si="46"/>
        <v>2.5671767131689043E-2</v>
      </c>
      <c r="BS690" s="3">
        <f t="shared" si="46"/>
        <v>3.1799159962223121E-2</v>
      </c>
      <c r="BT690" s="3">
        <f t="shared" si="46"/>
        <v>3.7600671488089155E-2</v>
      </c>
      <c r="BU690" s="3">
        <f t="shared" si="46"/>
        <v>4.2621185468661102E-2</v>
      </c>
      <c r="BV690">
        <f>VLOOKUP($H690,'1. Set Program Names'!$B$2:$D$15,3,0)*V690</f>
        <v>1.5371792739249141E-3</v>
      </c>
      <c r="BW690">
        <f>VLOOKUP($H690,'1. Set Program Names'!$B$2:$D$15,3,0)*W690</f>
        <v>3.6596612251240061E-3</v>
      </c>
      <c r="BX690">
        <f>VLOOKUP($H690,'1. Set Program Names'!$B$2:$D$15,3,0)*X690</f>
        <v>6.4991269661598058E-3</v>
      </c>
      <c r="BY690">
        <f>VLOOKUP($H690,'1. Set Program Names'!$B$2:$D$15,3,0)*Y690</f>
        <v>1.0203115380074396E-2</v>
      </c>
      <c r="BZ690">
        <f>VLOOKUP($H690,'1. Set Program Names'!$B$2:$D$15,3,0)*Z690</f>
        <v>1.4827252524638974E-2</v>
      </c>
      <c r="CA690">
        <f>VLOOKUP($H690,'1. Set Program Names'!$B$2:$D$15,3,0)*AA690</f>
        <v>2.0316197542354551E-2</v>
      </c>
      <c r="CB690">
        <f>VLOOKUP($H690,'1. Set Program Names'!$B$2:$D$15,3,0)*AB690</f>
        <v>2.6433578296292077E-2</v>
      </c>
      <c r="CC690">
        <f>VLOOKUP($H690,'1. Set Program Names'!$B$2:$D$15,3,0)*AC690</f>
        <v>3.2742801861121315E-2</v>
      </c>
      <c r="CD690">
        <f>VLOOKUP($H690,'1. Set Program Names'!$B$2:$D$15,3,0)*AD690</f>
        <v>3.8716473574843001E-2</v>
      </c>
      <c r="CE690">
        <f>VLOOKUP($H690,'1. Set Program Names'!$B$2:$D$15,3,0)*AE690</f>
        <v>4.3885971596241809E-2</v>
      </c>
    </row>
    <row r="691" spans="1:83" x14ac:dyDescent="0.25">
      <c r="A691" s="20" t="s">
        <v>117</v>
      </c>
      <c r="B691" s="20" t="s">
        <v>88</v>
      </c>
      <c r="C691" s="20" t="s">
        <v>176</v>
      </c>
      <c r="D691" s="20" t="s">
        <v>90</v>
      </c>
      <c r="E691" s="20" t="s">
        <v>91</v>
      </c>
      <c r="F691" s="20" t="s">
        <v>90</v>
      </c>
      <c r="G691" s="20" t="s">
        <v>92</v>
      </c>
      <c r="H691" s="20" t="s">
        <v>14</v>
      </c>
      <c r="I691" s="20" t="s">
        <v>155</v>
      </c>
      <c r="J691" s="20" t="s">
        <v>129</v>
      </c>
      <c r="K691" s="20" t="s">
        <v>102</v>
      </c>
      <c r="L691" s="20">
        <v>47228.7699999998</v>
      </c>
      <c r="M691" s="20">
        <v>5.6581998938837703</v>
      </c>
      <c r="N691" s="20">
        <v>5.4505995734426298</v>
      </c>
      <c r="O691" s="20">
        <v>11124</v>
      </c>
      <c r="P691" s="20">
        <v>2435.8852359673701</v>
      </c>
      <c r="Q691" s="20">
        <v>1681.32980504335</v>
      </c>
      <c r="R691" s="20">
        <v>16918.542729362998</v>
      </c>
      <c r="S691" s="20">
        <v>40712.4661763408</v>
      </c>
      <c r="T691" s="20">
        <v>11</v>
      </c>
      <c r="U691" s="20">
        <v>0.94999999999999896</v>
      </c>
      <c r="V691" s="20">
        <v>0.35137130572830999</v>
      </c>
      <c r="W691" s="20">
        <v>0.64507799050352099</v>
      </c>
      <c r="X691" s="20">
        <v>0.888341016695258</v>
      </c>
      <c r="Y691" s="20">
        <v>1.0911741952788701</v>
      </c>
      <c r="Z691" s="20">
        <v>1.25970820380894</v>
      </c>
      <c r="AA691" s="20">
        <v>1.4004498982259901</v>
      </c>
      <c r="AB691" s="20">
        <v>1.5189487559172199</v>
      </c>
      <c r="AC691" s="20">
        <v>1.6190223108291499</v>
      </c>
      <c r="AD691" s="20">
        <v>1.7048354597753399</v>
      </c>
      <c r="AE691" s="20">
        <v>1.77924348448257</v>
      </c>
      <c r="AF691" t="str">
        <f t="shared" si="43"/>
        <v>NonResidential</v>
      </c>
      <c r="AG691" t="str">
        <f>tbl_Data_old[[#This Row],[All_Meas_Name_Append]]</f>
        <v>Smart thermostat</v>
      </c>
      <c r="AH691">
        <f>AVERAGEIFS('3. Incentive Adjustment'!G:G,'3. Incentive Adjustment'!A:A,tbl_Data_old[[#This Row],[Trimmed Sector]],'3. Incentive Adjustment'!B:B,tbl_Data_old[[#This Row],[Trimmed Measure Name]])</f>
        <v>0.87546479230069263</v>
      </c>
      <c r="AI691">
        <f>$AH691*tbl_Data_old[[#This Row],[2025 ]]</f>
        <v>0.30761320718985807</v>
      </c>
      <c r="AJ691">
        <f>$AH691*tbl_Data_old[[#This Row],[2026 ]]</f>
        <v>0.56474306897391313</v>
      </c>
      <c r="AK691">
        <f>$AH691*tbl_Data_old[[#This Row],[2027 ]]</f>
        <v>0.77771128367330022</v>
      </c>
      <c r="AL691">
        <f>$AH691*tbl_Data_old[[#This Row],[2028 ]]</f>
        <v>0.95528459023369139</v>
      </c>
      <c r="AM691">
        <f>$AH691*tbl_Data_old[[#This Row],[2029 ]]</f>
        <v>1.1028301810070722</v>
      </c>
      <c r="AN691">
        <f>$AH691*tbl_Data_old[[#This Row],[2030 ]]</f>
        <v>1.2260445792779426</v>
      </c>
      <c r="AO691">
        <f>$AH691*tbl_Data_old[[#This Row],[2031 ]]</f>
        <v>1.3297861571144645</v>
      </c>
      <c r="AP691">
        <f>$AH691*tbl_Data_old[[#This Row],[2032 ]]</f>
        <v>1.4173970310802291</v>
      </c>
      <c r="AQ691">
        <f>$AH691*tbl_Data_old[[#This Row],[2033 ]]</f>
        <v>1.4925234216990737</v>
      </c>
      <c r="AR691">
        <f>$AH691*tbl_Data_old[[#This Row],[2034 ]]</f>
        <v>1.5576650275948938</v>
      </c>
      <c r="AS691">
        <f>SUM(tbl_Data_old[[#This Row],[Adjusted 2025]:[Adjusted 2034]])</f>
        <v>10.73159854784444</v>
      </c>
      <c r="AT691" s="3">
        <f>AVERAGEIFS('3. Incentive Adjustment'!F:F,'3. Incentive Adjustment'!A:A,tbl_Data_old[[#This Row],[Trimmed Sector]],'3. Incentive Adjustment'!B:B,tbl_Data_old[[#This Row],[Trimmed Measure Name]])</f>
        <v>50</v>
      </c>
      <c r="AU691" s="3">
        <f>IFERROR(VLOOKUP(tbl_Data_old[[#This Row],[All_Meas_Name_Append]],'IRA Tax Credits'!$A$3:$D$46,4,0),0)</f>
        <v>0</v>
      </c>
      <c r="AV691" s="4">
        <f>tbl_Data_old[[#This Row],[Adj. per unit Incentive ($)]]/tbl_Data_old[[#This Row],[kWh Savings]]*tbl_Data_old[[#This Row],[Sum of Annuals]]</f>
        <v>1.1361293707039677E-2</v>
      </c>
      <c r="AW691" s="4">
        <f>IFERROR(VLOOKUP(tbl_Data_old[[#This Row],[All_Programs]],'1. Set Program Names'!$B$2:$D$15,3,0)*tbl_Data_old[[#This Row],[Sum of Annuals]],"")</f>
        <v>0.3820416346699454</v>
      </c>
      <c r="AX691" s="4">
        <f>tbl_Data_old[[#This Row],[per unit IRA tax ($)]]/tbl_Data_old[[#This Row],[kWh Savings]]*tbl_Data_old[[#This Row],[Sum of Annuals]]</f>
        <v>0</v>
      </c>
      <c r="AY691" s="4">
        <f>tbl_Data_old[[#This Row],[Avoided Costs ($/unit)]]/tbl_Data_old[[#This Row],[kWh Savings]]*tbl_Data_old[[#This Row],[Sum of Annuals]]</f>
        <v>3.844330660867874</v>
      </c>
      <c r="AZ691" s="4">
        <f>tbl_Data_old[[#This Row],[Lost Revenue ($/unit)]]/tbl_Data_old[[#This Row],[kWh Savings]]*tbl_Data_old[[#This Row],[Sum of Annuals]]</f>
        <v>9.2509257153465274</v>
      </c>
      <c r="BA691" s="4">
        <f>tbl_Data_old[[#This Row],[Incremental Cost ($/unit)]]/tbl_Data_old[[#This Row],[kWh Savings]]*tbl_Data_old[[#This Row],[Sum of Annuals]]</f>
        <v>2.5276606239421873</v>
      </c>
      <c r="BB691">
        <f>ROUNDUP(tbl_Data_old[[#This Row],[Adjusted 2025]]/$L691,0)</f>
        <v>1</v>
      </c>
      <c r="BC691">
        <f>ROUNDUP(tbl_Data_old[[#This Row],[Adjusted 2026]]/$L691,0)</f>
        <v>1</v>
      </c>
      <c r="BD691">
        <f>ROUNDUP(tbl_Data_old[[#This Row],[Adjusted 2027]]/$L691,0)</f>
        <v>1</v>
      </c>
      <c r="BE691">
        <f>ROUNDUP(tbl_Data_old[[#This Row],[Adjusted 2028]]/$L691,0)</f>
        <v>1</v>
      </c>
      <c r="BF691">
        <f>ROUNDUP(tbl_Data_old[[#This Row],[Adjusted 2029]]/$L691,0)</f>
        <v>1</v>
      </c>
      <c r="BG691">
        <f>ROUNDUP(tbl_Data_old[[#This Row],[Adjusted 2030]]/$L691,0)</f>
        <v>1</v>
      </c>
      <c r="BH691">
        <f>ROUNDUP(tbl_Data_old[[#This Row],[Adjusted 2031]]/$L691,0)</f>
        <v>1</v>
      </c>
      <c r="BI691">
        <f>ROUNDUP(tbl_Data_old[[#This Row],[Adjusted 2032]]/$L691,0)</f>
        <v>1</v>
      </c>
      <c r="BJ691">
        <f>ROUNDUP(tbl_Data_old[[#This Row],[Adjusted 2033]]/$L691,0)</f>
        <v>1</v>
      </c>
      <c r="BK691">
        <f>ROUNDUP(tbl_Data_old[[#This Row],[Adjusted 2034]]/$L691,0)</f>
        <v>1</v>
      </c>
      <c r="BL691" s="3">
        <f t="shared" si="46"/>
        <v>3.7198862655994587E-4</v>
      </c>
      <c r="BM691" s="3">
        <f t="shared" si="46"/>
        <v>6.8292906051070537E-4</v>
      </c>
      <c r="BN691" s="3">
        <f t="shared" si="46"/>
        <v>9.4046596671399849E-4</v>
      </c>
      <c r="BO691" s="3">
        <f t="shared" si="46"/>
        <v>1.1552007338735211E-3</v>
      </c>
      <c r="BP691" s="3">
        <f t="shared" si="46"/>
        <v>1.3336237676832843E-3</v>
      </c>
      <c r="BQ691" s="3">
        <f t="shared" si="46"/>
        <v>1.4826237251425308E-3</v>
      </c>
      <c r="BR691" s="3">
        <f t="shared" si="46"/>
        <v>1.6080757088499514E-3</v>
      </c>
      <c r="BS691" s="3">
        <f t="shared" si="46"/>
        <v>1.7140212531780489E-3</v>
      </c>
      <c r="BT691" s="3">
        <f t="shared" si="46"/>
        <v>1.8048696374851042E-3</v>
      </c>
      <c r="BU691" s="3">
        <f t="shared" si="46"/>
        <v>1.8836436821058197E-3</v>
      </c>
      <c r="BV691">
        <f>VLOOKUP($H691,'1. Set Program Names'!$B$2:$D$15,3,0)*V691</f>
        <v>1.2508711299447552E-2</v>
      </c>
      <c r="BW691">
        <f>VLOOKUP($H691,'1. Set Program Names'!$B$2:$D$15,3,0)*W691</f>
        <v>2.2964579683338062E-2</v>
      </c>
      <c r="BX691">
        <f>VLOOKUP($H691,'1. Set Program Names'!$B$2:$D$15,3,0)*X691</f>
        <v>3.1624669209303069E-2</v>
      </c>
      <c r="BY691">
        <f>VLOOKUP($H691,'1. Set Program Names'!$B$2:$D$15,3,0)*Y691</f>
        <v>3.8845468493390059E-2</v>
      </c>
      <c r="BZ691">
        <f>VLOOKUP($H691,'1. Set Program Names'!$B$2:$D$15,3,0)*Z691</f>
        <v>4.4845227786402313E-2</v>
      </c>
      <c r="CA691">
        <f>VLOOKUP($H691,'1. Set Program Names'!$B$2:$D$15,3,0)*AA691</f>
        <v>4.9855589174930756E-2</v>
      </c>
      <c r="CB691">
        <f>VLOOKUP($H691,'1. Set Program Names'!$B$2:$D$15,3,0)*AB691</f>
        <v>5.4074112361112738E-2</v>
      </c>
      <c r="CC691">
        <f>VLOOKUP($H691,'1. Set Program Names'!$B$2:$D$15,3,0)*AC691</f>
        <v>5.763670038892018E-2</v>
      </c>
      <c r="CD691">
        <f>VLOOKUP($H691,'1. Set Program Names'!$B$2:$D$15,3,0)*AD691</f>
        <v>6.0691622314429865E-2</v>
      </c>
      <c r="CE691">
        <f>VLOOKUP($H691,'1. Set Program Names'!$B$2:$D$15,3,0)*AE691</f>
        <v>6.3340525296122357E-2</v>
      </c>
    </row>
    <row r="692" spans="1:83" x14ac:dyDescent="0.25">
      <c r="A692" s="20" t="s">
        <v>87</v>
      </c>
      <c r="B692" s="20" t="s">
        <v>88</v>
      </c>
      <c r="C692" s="20" t="s">
        <v>176</v>
      </c>
      <c r="D692" s="20" t="s">
        <v>90</v>
      </c>
      <c r="E692" s="20" t="s">
        <v>91</v>
      </c>
      <c r="F692" s="20" t="s">
        <v>90</v>
      </c>
      <c r="G692" s="20" t="s">
        <v>92</v>
      </c>
      <c r="H692" s="20" t="s">
        <v>16</v>
      </c>
      <c r="I692" s="20" t="s">
        <v>157</v>
      </c>
      <c r="J692" s="20" t="s">
        <v>158</v>
      </c>
      <c r="K692" s="20" t="s">
        <v>159</v>
      </c>
      <c r="L692" s="20">
        <v>562.52</v>
      </c>
      <c r="M692" s="20">
        <v>6.7473359330379998E-2</v>
      </c>
      <c r="N692" s="20">
        <v>6.4973258375617293E-2</v>
      </c>
      <c r="O692" s="20">
        <v>169</v>
      </c>
      <c r="P692" s="20">
        <v>55.847956108163899</v>
      </c>
      <c r="Q692" s="20">
        <v>20.491212633056499</v>
      </c>
      <c r="R692" s="20">
        <v>240.47921618074301</v>
      </c>
      <c r="S692" s="20">
        <v>597.43584258705596</v>
      </c>
      <c r="T692" s="20">
        <v>15</v>
      </c>
      <c r="U692" s="20">
        <v>0.59999999999999898</v>
      </c>
      <c r="V692" s="20">
        <v>1825.2443942904999</v>
      </c>
      <c r="W692" s="20">
        <v>2076.5207096291101</v>
      </c>
      <c r="X692" s="20">
        <v>2295.4902911582399</v>
      </c>
      <c r="Y692" s="20">
        <v>2515.27655569629</v>
      </c>
      <c r="Z692" s="20">
        <v>2702.4802640062799</v>
      </c>
      <c r="AA692" s="20">
        <v>2878.2053717193198</v>
      </c>
      <c r="AB692" s="20">
        <v>3044.3742179772698</v>
      </c>
      <c r="AC692" s="20">
        <v>3193.4275839240499</v>
      </c>
      <c r="AD692" s="20">
        <v>3341.2249462884402</v>
      </c>
      <c r="AE692" s="20">
        <v>3481.2252601905102</v>
      </c>
      <c r="AF692" t="str">
        <f t="shared" si="43"/>
        <v>NonResidential</v>
      </c>
      <c r="AG692" t="str">
        <f>tbl_Data_old[[#This Row],[All_Meas_Name_Append]]</f>
        <v>LED Exterior Wall Packs</v>
      </c>
      <c r="AH692">
        <f>AVERAGEIFS('3. Incentive Adjustment'!G:G,'3. Incentive Adjustment'!A:A,tbl_Data_old[[#This Row],[Trimmed Sector]],'3. Incentive Adjustment'!B:B,tbl_Data_old[[#This Row],[Trimmed Measure Name]])</f>
        <v>0.80637708305213962</v>
      </c>
      <c r="AI692">
        <f>$AH692*tbl_Data_old[[#This Row],[2025 ]]</f>
        <v>1471.8352505252428</v>
      </c>
      <c r="AJ692">
        <f>$AH692*tbl_Data_old[[#This Row],[2026 ]]</f>
        <v>1674.4587127280809</v>
      </c>
      <c r="AK692">
        <f>$AH692*tbl_Data_old[[#This Row],[2027 ]]</f>
        <v>1851.0307651586882</v>
      </c>
      <c r="AL692">
        <f>$AH692*tbl_Data_old[[#This Row],[2028 ]]</f>
        <v>2028.2613720518068</v>
      </c>
      <c r="AM692">
        <f>$AH692*tbl_Data_old[[#This Row],[2029 ]]</f>
        <v>2179.2181522953601</v>
      </c>
      <c r="AN692">
        <f>$AH692*tbl_Data_old[[#This Row],[2030 ]]</f>
        <v>2320.9188520720245</v>
      </c>
      <c r="AO692">
        <f>$AH692*tbl_Data_old[[#This Row],[2031 ]]</f>
        <v>2454.9136016116495</v>
      </c>
      <c r="AP692">
        <f>$AH692*tbl_Data_old[[#This Row],[2032 ]]</f>
        <v>2575.106820062917</v>
      </c>
      <c r="AQ692">
        <f>$AH692*tbl_Data_old[[#This Row],[2033 ]]</f>
        <v>2694.2872260091144</v>
      </c>
      <c r="AR692">
        <f>$AH692*tbl_Data_old[[#This Row],[2034 ]]</f>
        <v>2807.1802707598495</v>
      </c>
      <c r="AS692">
        <f>SUM(tbl_Data_old[[#This Row],[Adjusted 2025]:[Adjusted 2034]])</f>
        <v>22057.211023274733</v>
      </c>
      <c r="AT692" s="3">
        <f>AVERAGEIFS('3. Incentive Adjustment'!F:F,'3. Incentive Adjustment'!A:A,tbl_Data_old[[#This Row],[Trimmed Sector]],'3. Incentive Adjustment'!B:B,tbl_Data_old[[#This Row],[Trimmed Measure Name]])</f>
        <v>8.6864493556481861</v>
      </c>
      <c r="AU692" s="3">
        <f>IFERROR(VLOOKUP(tbl_Data_old[[#This Row],[All_Meas_Name_Append]],'IRA Tax Credits'!$A$3:$D$46,4,0),0)</f>
        <v>0</v>
      </c>
      <c r="AV692" s="4">
        <f>tbl_Data_old[[#This Row],[Adj. per unit Incentive ($)]]/tbl_Data_old[[#This Row],[kWh Savings]]*tbl_Data_old[[#This Row],[Sum of Annuals]]</f>
        <v>340.60806101208999</v>
      </c>
      <c r="AW692" s="4">
        <f>IFERROR(VLOOKUP(tbl_Data_old[[#This Row],[All_Programs]],'1. Set Program Names'!$B$2:$D$15,3,0)*tbl_Data_old[[#This Row],[Sum of Annuals]],"")</f>
        <v>803.48965578134221</v>
      </c>
      <c r="AX692" s="4">
        <f>tbl_Data_old[[#This Row],[per unit IRA tax ($)]]/tbl_Data_old[[#This Row],[kWh Savings]]*tbl_Data_old[[#This Row],[Sum of Annuals]]</f>
        <v>0</v>
      </c>
      <c r="AY692" s="4">
        <f>tbl_Data_old[[#This Row],[Avoided Costs ($/unit)]]/tbl_Data_old[[#This Row],[kWh Savings]]*tbl_Data_old[[#This Row],[Sum of Annuals]]</f>
        <v>9429.5328486282306</v>
      </c>
      <c r="AZ692" s="4">
        <f>tbl_Data_old[[#This Row],[Lost Revenue ($/unit)]]/tbl_Data_old[[#This Row],[kWh Savings]]*tbl_Data_old[[#This Row],[Sum of Annuals]]</f>
        <v>23426.310980606271</v>
      </c>
      <c r="BA692" s="4">
        <f>tbl_Data_old[[#This Row],[Incremental Cost ($/unit)]]/tbl_Data_old[[#This Row],[kWh Savings]]*tbl_Data_old[[#This Row],[Sum of Annuals]]</f>
        <v>6626.7308947831716</v>
      </c>
      <c r="BB692">
        <f>ROUNDUP(tbl_Data_old[[#This Row],[Adjusted 2025]]/$L692,0)</f>
        <v>3</v>
      </c>
      <c r="BC692">
        <f>ROUNDUP(tbl_Data_old[[#This Row],[Adjusted 2026]]/$L692,0)</f>
        <v>3</v>
      </c>
      <c r="BD692">
        <f>ROUNDUP(tbl_Data_old[[#This Row],[Adjusted 2027]]/$L692,0)</f>
        <v>4</v>
      </c>
      <c r="BE692">
        <f>ROUNDUP(tbl_Data_old[[#This Row],[Adjusted 2028]]/$L692,0)</f>
        <v>4</v>
      </c>
      <c r="BF692">
        <f>ROUNDUP(tbl_Data_old[[#This Row],[Adjusted 2029]]/$L692,0)</f>
        <v>4</v>
      </c>
      <c r="BG692">
        <f>ROUNDUP(tbl_Data_old[[#This Row],[Adjusted 2030]]/$L692,0)</f>
        <v>5</v>
      </c>
      <c r="BH692">
        <f>ROUNDUP(tbl_Data_old[[#This Row],[Adjusted 2031]]/$L692,0)</f>
        <v>5</v>
      </c>
      <c r="BI692">
        <f>ROUNDUP(tbl_Data_old[[#This Row],[Adjusted 2032]]/$L692,0)</f>
        <v>5</v>
      </c>
      <c r="BJ692">
        <f>ROUNDUP(tbl_Data_old[[#This Row],[Adjusted 2033]]/$L692,0)</f>
        <v>5</v>
      </c>
      <c r="BK692">
        <f>ROUNDUP(tbl_Data_old[[#This Row],[Adjusted 2034]]/$L692,0)</f>
        <v>5</v>
      </c>
      <c r="BL692" s="3">
        <f t="shared" si="46"/>
        <v>28.185474281243646</v>
      </c>
      <c r="BM692" s="3">
        <f t="shared" si="46"/>
        <v>32.065690073504761</v>
      </c>
      <c r="BN692" s="3">
        <f t="shared" si="46"/>
        <v>35.447024391182822</v>
      </c>
      <c r="BO692" s="3">
        <f t="shared" si="46"/>
        <v>38.840969950410702</v>
      </c>
      <c r="BP692" s="3">
        <f t="shared" si="46"/>
        <v>41.731774777659972</v>
      </c>
      <c r="BQ692" s="3">
        <f t="shared" si="46"/>
        <v>44.445326737883867</v>
      </c>
      <c r="BR692" s="3">
        <f t="shared" si="46"/>
        <v>47.011310645133698</v>
      </c>
      <c r="BS692" s="3">
        <f t="shared" si="46"/>
        <v>49.312996833332519</v>
      </c>
      <c r="BT692" s="3">
        <f t="shared" si="46"/>
        <v>51.595287779568487</v>
      </c>
      <c r="BU692" s="3">
        <f t="shared" si="46"/>
        <v>53.757176488388048</v>
      </c>
      <c r="BV692">
        <f>VLOOKUP($H692,'1. Set Program Names'!$B$2:$D$15,3,0)*V692</f>
        <v>66.489139925160131</v>
      </c>
      <c r="BW692">
        <f>VLOOKUP($H692,'1. Set Program Names'!$B$2:$D$15,3,0)*W692</f>
        <v>75.642514751396391</v>
      </c>
      <c r="BX692">
        <f>VLOOKUP($H692,'1. Set Program Names'!$B$2:$D$15,3,0)*X692</f>
        <v>83.619035151177386</v>
      </c>
      <c r="BY692">
        <f>VLOOKUP($H692,'1. Set Program Names'!$B$2:$D$15,3,0)*Y692</f>
        <v>91.625305293526807</v>
      </c>
      <c r="BZ692">
        <f>VLOOKUP($H692,'1. Set Program Names'!$B$2:$D$15,3,0)*Z692</f>
        <v>98.444673480749813</v>
      </c>
      <c r="CA692">
        <f>VLOOKUP($H692,'1. Set Program Names'!$B$2:$D$15,3,0)*AA692</f>
        <v>104.84590463184607</v>
      </c>
      <c r="CB692">
        <f>VLOOKUP($H692,'1. Set Program Names'!$B$2:$D$15,3,0)*AB692</f>
        <v>110.89902480830438</v>
      </c>
      <c r="CC692">
        <f>VLOOKUP($H692,'1. Set Program Names'!$B$2:$D$15,3,0)*AC692</f>
        <v>116.32867035919725</v>
      </c>
      <c r="CD692">
        <f>VLOOKUP($H692,'1. Set Program Names'!$B$2:$D$15,3,0)*AD692</f>
        <v>121.71256280535671</v>
      </c>
      <c r="CE692">
        <f>VLOOKUP($H692,'1. Set Program Names'!$B$2:$D$15,3,0)*AE692</f>
        <v>126.81242805612465</v>
      </c>
    </row>
    <row r="693" spans="1:83" x14ac:dyDescent="0.25">
      <c r="A693" s="20" t="s">
        <v>87</v>
      </c>
      <c r="B693" s="20" t="s">
        <v>88</v>
      </c>
      <c r="C693" s="20" t="s">
        <v>176</v>
      </c>
      <c r="D693" s="20" t="s">
        <v>90</v>
      </c>
      <c r="E693" s="20" t="s">
        <v>91</v>
      </c>
      <c r="F693" s="20" t="s">
        <v>90</v>
      </c>
      <c r="G693" s="20" t="s">
        <v>92</v>
      </c>
      <c r="H693" s="20" t="s">
        <v>16</v>
      </c>
      <c r="I693" s="20" t="s">
        <v>162</v>
      </c>
      <c r="J693" s="20" t="s">
        <v>161</v>
      </c>
      <c r="K693" s="20" t="s">
        <v>159</v>
      </c>
      <c r="L693" s="20">
        <v>725.58416666666596</v>
      </c>
      <c r="M693" s="20">
        <v>8.6917804178563804E-2</v>
      </c>
      <c r="N693" s="20">
        <v>8.3795205289933394E-2</v>
      </c>
      <c r="O693" s="20">
        <v>179</v>
      </c>
      <c r="P693" s="20">
        <v>33.0790753554421</v>
      </c>
      <c r="Q693" s="20">
        <v>26.4312370090766</v>
      </c>
      <c r="R693" s="20">
        <v>310.45187974046598</v>
      </c>
      <c r="S693" s="20">
        <v>770.62146764617603</v>
      </c>
      <c r="T693" s="20">
        <v>15</v>
      </c>
      <c r="U693" s="20">
        <v>0.59999999999999898</v>
      </c>
      <c r="V693" s="20">
        <v>9377.9846664291908</v>
      </c>
      <c r="W693" s="20">
        <v>10669.025712578101</v>
      </c>
      <c r="X693" s="20">
        <v>11794.076902664299</v>
      </c>
      <c r="Y693" s="20">
        <v>12923.3241558962</v>
      </c>
      <c r="Z693" s="20">
        <v>13885.164395768399</v>
      </c>
      <c r="AA693" s="20">
        <v>14788.0283469162</v>
      </c>
      <c r="AB693" s="20">
        <v>15641.792860380699</v>
      </c>
      <c r="AC693" s="20">
        <v>16407.619170929102</v>
      </c>
      <c r="AD693" s="20">
        <v>17166.992218356401</v>
      </c>
      <c r="AE693" s="20">
        <v>17886.304547804299</v>
      </c>
      <c r="AF693" t="str">
        <f t="shared" si="43"/>
        <v>NonResidential</v>
      </c>
      <c r="AG693" t="str">
        <f>tbl_Data_old[[#This Row],[All_Meas_Name_Append]]</f>
        <v>LED High Bay_LF Baseline</v>
      </c>
      <c r="AH693">
        <f>AVERAGEIFS('3. Incentive Adjustment'!G:G,'3. Incentive Adjustment'!A:A,tbl_Data_old[[#This Row],[Trimmed Sector]],'3. Incentive Adjustment'!B:B,tbl_Data_old[[#This Row],[Trimmed Measure Name]])</f>
        <v>0.93017466414143679</v>
      </c>
      <c r="AI693">
        <f>$AH693*tbl_Data_old[[#This Row],[2025 ]]</f>
        <v>8723.163737419316</v>
      </c>
      <c r="AJ693">
        <f>$AH693*tbl_Data_old[[#This Row],[2026 ]]</f>
        <v>9924.0574089136881</v>
      </c>
      <c r="AK693">
        <f>$AH693*tbl_Data_old[[#This Row],[2027 ]]</f>
        <v>10970.551521794041</v>
      </c>
      <c r="AL693">
        <f>$AH693*tbl_Data_old[[#This Row],[2028 ]]</f>
        <v>12020.948706301664</v>
      </c>
      <c r="AM693">
        <f>$AH693*tbl_Data_old[[#This Row],[2029 ]]</f>
        <v>12915.628128382506</v>
      </c>
      <c r="AN693">
        <f>$AH693*tbl_Data_old[[#This Row],[2030 ]]</f>
        <v>13755.449300906823</v>
      </c>
      <c r="AO693">
        <f>$AH693*tbl_Data_old[[#This Row],[2031 ]]</f>
        <v>14549.59942047454</v>
      </c>
      <c r="AP693">
        <f>$AH693*tbl_Data_old[[#This Row],[2032 ]]</f>
        <v>15261.951651679577</v>
      </c>
      <c r="AQ693">
        <f>$AH693*tbl_Data_old[[#This Row],[2033 ]]</f>
        <v>15968.301221028325</v>
      </c>
      <c r="AR693">
        <f>$AH693*tbl_Data_old[[#This Row],[2034 ]]</f>
        <v>16637.387325485317</v>
      </c>
      <c r="AS693">
        <f>SUM(tbl_Data_old[[#This Row],[Adjusted 2025]:[Adjusted 2034]])</f>
        <v>130727.03842238578</v>
      </c>
      <c r="AT693" s="3">
        <f>AVERAGEIFS('3. Incentive Adjustment'!F:F,'3. Incentive Adjustment'!A:A,tbl_Data_old[[#This Row],[Trimmed Sector]],'3. Incentive Adjustment'!B:B,tbl_Data_old[[#This Row],[Trimmed Measure Name]])</f>
        <v>23.858858929800434</v>
      </c>
      <c r="AU693" s="3">
        <f>IFERROR(VLOOKUP(tbl_Data_old[[#This Row],[All_Meas_Name_Append]],'IRA Tax Credits'!$A$3:$D$46,4,0),0)</f>
        <v>0</v>
      </c>
      <c r="AV693" s="4">
        <f>tbl_Data_old[[#This Row],[Adj. per unit Incentive ($)]]/tbl_Data_old[[#This Row],[kWh Savings]]*tbl_Data_old[[#This Row],[Sum of Annuals]]</f>
        <v>4298.6025761270139</v>
      </c>
      <c r="AW693" s="4">
        <f>IFERROR(VLOOKUP(tbl_Data_old[[#This Row],[All_Programs]],'1. Set Program Names'!$B$2:$D$15,3,0)*tbl_Data_old[[#This Row],[Sum of Annuals]],"")</f>
        <v>4762.0627554626608</v>
      </c>
      <c r="AX693" s="4">
        <f>tbl_Data_old[[#This Row],[per unit IRA tax ($)]]/tbl_Data_old[[#This Row],[kWh Savings]]*tbl_Data_old[[#This Row],[Sum of Annuals]]</f>
        <v>0</v>
      </c>
      <c r="AY693" s="4">
        <f>tbl_Data_old[[#This Row],[Avoided Costs ($/unit)]]/tbl_Data_old[[#This Row],[kWh Savings]]*tbl_Data_old[[#This Row],[Sum of Annuals]]</f>
        <v>55933.490111255865</v>
      </c>
      <c r="AZ693" s="4">
        <f>tbl_Data_old[[#This Row],[Lost Revenue ($/unit)]]/tbl_Data_old[[#This Row],[kWh Savings]]*tbl_Data_old[[#This Row],[Sum of Annuals]]</f>
        <v>138841.31826208596</v>
      </c>
      <c r="BA693" s="4">
        <f>tbl_Data_old[[#This Row],[Incremental Cost ($/unit)]]/tbl_Data_old[[#This Row],[kWh Savings]]*tbl_Data_old[[#This Row],[Sum of Annuals]]</f>
        <v>32250.069602686217</v>
      </c>
      <c r="BB693">
        <f>ROUNDUP(tbl_Data_old[[#This Row],[Adjusted 2025]]/$L693,0)</f>
        <v>13</v>
      </c>
      <c r="BC693">
        <f>ROUNDUP(tbl_Data_old[[#This Row],[Adjusted 2026]]/$L693,0)</f>
        <v>14</v>
      </c>
      <c r="BD693">
        <f>ROUNDUP(tbl_Data_old[[#This Row],[Adjusted 2027]]/$L693,0)</f>
        <v>16</v>
      </c>
      <c r="BE693">
        <f>ROUNDUP(tbl_Data_old[[#This Row],[Adjusted 2028]]/$L693,0)</f>
        <v>17</v>
      </c>
      <c r="BF693">
        <f>ROUNDUP(tbl_Data_old[[#This Row],[Adjusted 2029]]/$L693,0)</f>
        <v>18</v>
      </c>
      <c r="BG693">
        <f>ROUNDUP(tbl_Data_old[[#This Row],[Adjusted 2030]]/$L693,0)</f>
        <v>19</v>
      </c>
      <c r="BH693">
        <f>ROUNDUP(tbl_Data_old[[#This Row],[Adjusted 2031]]/$L693,0)</f>
        <v>21</v>
      </c>
      <c r="BI693">
        <f>ROUNDUP(tbl_Data_old[[#This Row],[Adjusted 2032]]/$L693,0)</f>
        <v>22</v>
      </c>
      <c r="BJ693">
        <f>ROUNDUP(tbl_Data_old[[#This Row],[Adjusted 2033]]/$L693,0)</f>
        <v>23</v>
      </c>
      <c r="BK693">
        <f>ROUNDUP(tbl_Data_old[[#This Row],[Adjusted 2034]]/$L693,0)</f>
        <v>23</v>
      </c>
      <c r="BL693" s="3">
        <f t="shared" si="46"/>
        <v>308.36948142083105</v>
      </c>
      <c r="BM693" s="3">
        <f t="shared" si="46"/>
        <v>350.82184960598141</v>
      </c>
      <c r="BN693" s="3">
        <f t="shared" si="46"/>
        <v>387.81609350794645</v>
      </c>
      <c r="BO693" s="3">
        <f t="shared" si="46"/>
        <v>424.9483135169616</v>
      </c>
      <c r="BP693" s="3">
        <f t="shared" si="46"/>
        <v>456.57580988522056</v>
      </c>
      <c r="BQ693" s="3">
        <f t="shared" si="46"/>
        <v>486.26403164204089</v>
      </c>
      <c r="BR693" s="3">
        <f t="shared" si="46"/>
        <v>514.33775213073102</v>
      </c>
      <c r="BS693" s="3">
        <f t="shared" si="46"/>
        <v>539.51986434804178</v>
      </c>
      <c r="BT693" s="3">
        <f t="shared" si="46"/>
        <v>564.4897785854123</v>
      </c>
      <c r="BU693" s="3">
        <f t="shared" si="46"/>
        <v>588.14240523189164</v>
      </c>
      <c r="BV693">
        <f>VLOOKUP($H693,'1. Set Program Names'!$B$2:$D$15,3,0)*V693</f>
        <v>341.61679205956079</v>
      </c>
      <c r="BW693">
        <f>VLOOKUP($H693,'1. Set Program Names'!$B$2:$D$15,3,0)*W693</f>
        <v>388.64622495908623</v>
      </c>
      <c r="BX693">
        <f>VLOOKUP($H693,'1. Set Program Names'!$B$2:$D$15,3,0)*X693</f>
        <v>429.62905785236921</v>
      </c>
      <c r="BY693">
        <f>VLOOKUP($H693,'1. Set Program Names'!$B$2:$D$15,3,0)*Y693</f>
        <v>470.76474295026776</v>
      </c>
      <c r="BZ693">
        <f>VLOOKUP($H693,'1. Set Program Names'!$B$2:$D$15,3,0)*Z693</f>
        <v>505.80220450585927</v>
      </c>
      <c r="CA693">
        <f>VLOOKUP($H693,'1. Set Program Names'!$B$2:$D$15,3,0)*AA693</f>
        <v>538.691305696379</v>
      </c>
      <c r="CB693">
        <f>VLOOKUP($H693,'1. Set Program Names'!$B$2:$D$15,3,0)*AB693</f>
        <v>569.79183578234768</v>
      </c>
      <c r="CC693">
        <f>VLOOKUP($H693,'1. Set Program Names'!$B$2:$D$15,3,0)*AC693</f>
        <v>597.68899458458839</v>
      </c>
      <c r="CD693">
        <f>VLOOKUP($H693,'1. Set Program Names'!$B$2:$D$15,3,0)*AD693</f>
        <v>625.35107696858347</v>
      </c>
      <c r="CE693">
        <f>VLOOKUP($H693,'1. Set Program Names'!$B$2:$D$15,3,0)*AE693</f>
        <v>651.55384645641686</v>
      </c>
    </row>
    <row r="694" spans="1:83" x14ac:dyDescent="0.25">
      <c r="A694" s="20" t="s">
        <v>87</v>
      </c>
      <c r="B694" s="20" t="s">
        <v>88</v>
      </c>
      <c r="C694" s="20" t="s">
        <v>176</v>
      </c>
      <c r="D694" s="20" t="s">
        <v>90</v>
      </c>
      <c r="E694" s="20" t="s">
        <v>91</v>
      </c>
      <c r="F694" s="20" t="s">
        <v>90</v>
      </c>
      <c r="G694" s="20" t="s">
        <v>92</v>
      </c>
      <c r="H694" s="20" t="s">
        <v>16</v>
      </c>
      <c r="I694" s="20" t="s">
        <v>165</v>
      </c>
      <c r="J694" s="20" t="s">
        <v>161</v>
      </c>
      <c r="K694" s="20" t="s">
        <v>166</v>
      </c>
      <c r="L694" s="20">
        <v>565.38999999999896</v>
      </c>
      <c r="M694" s="20">
        <v>6.7728127941350899E-2</v>
      </c>
      <c r="N694" s="20">
        <v>6.5294935157718198E-2</v>
      </c>
      <c r="O694" s="20">
        <v>129</v>
      </c>
      <c r="P694" s="20">
        <v>15.293574707506</v>
      </c>
      <c r="Q694" s="20">
        <v>20.595759636286299</v>
      </c>
      <c r="R694" s="20">
        <v>190.6779313312</v>
      </c>
      <c r="S694" s="20">
        <v>454.767236260907</v>
      </c>
      <c r="T694" s="20">
        <v>10</v>
      </c>
      <c r="U694" s="20">
        <v>0.59999999999999898</v>
      </c>
      <c r="V694" s="20">
        <v>1122.0616515060501</v>
      </c>
      <c r="W694" s="20">
        <v>1549.3024343853299</v>
      </c>
      <c r="X694" s="20">
        <v>2072.6636425905199</v>
      </c>
      <c r="Y694" s="20">
        <v>2703.72062416786</v>
      </c>
      <c r="Z694" s="20">
        <v>3375.3817718606301</v>
      </c>
      <c r="AA694" s="20">
        <v>4006.6469409467099</v>
      </c>
      <c r="AB694" s="20">
        <v>4465.37262384109</v>
      </c>
      <c r="AC694" s="20">
        <v>4605.4079694215998</v>
      </c>
      <c r="AD694" s="20">
        <v>4360.4723699015003</v>
      </c>
      <c r="AE694" s="20">
        <v>3773.4669656022502</v>
      </c>
      <c r="AF694" t="str">
        <f t="shared" si="43"/>
        <v>NonResidential</v>
      </c>
      <c r="AG694" t="str">
        <f>tbl_Data_old[[#This Row],[All_Meas_Name_Append]]</f>
        <v>Occupancy Sensors_ Ceiling Mounted</v>
      </c>
      <c r="AH694">
        <f>AVERAGEIFS('3. Incentive Adjustment'!G:G,'3. Incentive Adjustment'!A:A,tbl_Data_old[[#This Row],[Trimmed Sector]],'3. Incentive Adjustment'!B:B,tbl_Data_old[[#This Row],[Trimmed Measure Name]])</f>
        <v>0.99348124042467356</v>
      </c>
      <c r="AI694">
        <f>$AH694*tbl_Data_old[[#This Row],[2025 ]]</f>
        <v>1114.7472013711883</v>
      </c>
      <c r="AJ694">
        <f>$AH694*tbl_Data_old[[#This Row],[2026 ]]</f>
        <v>1539.2029043061038</v>
      </c>
      <c r="AK694">
        <f>$AH694*tbl_Data_old[[#This Row],[2027 ]]</f>
        <v>2059.1524466239521</v>
      </c>
      <c r="AL694">
        <f>$AH694*tbl_Data_old[[#This Row],[2028 ]]</f>
        <v>2686.0957194600583</v>
      </c>
      <c r="AM694">
        <f>$AH694*tbl_Data_old[[#This Row],[2029 ]]</f>
        <v>3353.3784696149314</v>
      </c>
      <c r="AN694">
        <f>$AH694*tbl_Data_old[[#This Row],[2030 ]]</f>
        <v>3980.5285728354611</v>
      </c>
      <c r="AO694">
        <f>$AH694*tbl_Data_old[[#This Row],[2031 ]]</f>
        <v>4436.2639332920253</v>
      </c>
      <c r="AP694">
        <f>$AH694*tbl_Data_old[[#This Row],[2032 ]]</f>
        <v>4575.3864221226477</v>
      </c>
      <c r="AQ694">
        <f>$AH694*tbl_Data_old[[#This Row],[2033 ]]</f>
        <v>4332.0474988872584</v>
      </c>
      <c r="AR694">
        <f>$AH694*tbl_Data_old[[#This Row],[2034 ]]</f>
        <v>3748.8686416880523</v>
      </c>
      <c r="AS694">
        <f>SUM(tbl_Data_old[[#This Row],[Adjusted 2025]:[Adjusted 2034]])</f>
        <v>31825.671810201678</v>
      </c>
      <c r="AT694" s="3">
        <f>AVERAGEIFS('3. Incentive Adjustment'!F:F,'3. Incentive Adjustment'!A:A,tbl_Data_old[[#This Row],[Trimmed Sector]],'3. Incentive Adjustment'!B:B,tbl_Data_old[[#This Row],[Trimmed Measure Name]])</f>
        <v>19.547634357270656</v>
      </c>
      <c r="AU694" s="3">
        <f>IFERROR(VLOOKUP(tbl_Data_old[[#This Row],[All_Meas_Name_Append]],'IRA Tax Credits'!$A$3:$D$46,4,0),0)</f>
        <v>0</v>
      </c>
      <c r="AV694" s="4">
        <f>tbl_Data_old[[#This Row],[Adj. per unit Incentive ($)]]/tbl_Data_old[[#This Row],[kWh Savings]]*tbl_Data_old[[#This Row],[Sum of Annuals]]</f>
        <v>1100.3317987943183</v>
      </c>
      <c r="AW694" s="4">
        <f>IFERROR(VLOOKUP(tbl_Data_old[[#This Row],[All_Programs]],'1. Set Program Names'!$B$2:$D$15,3,0)*tbl_Data_old[[#This Row],[Sum of Annuals]],"")</f>
        <v>1159.3305273638541</v>
      </c>
      <c r="AX694" s="4">
        <f>tbl_Data_old[[#This Row],[per unit IRA tax ($)]]/tbl_Data_old[[#This Row],[kWh Savings]]*tbl_Data_old[[#This Row],[Sum of Annuals]]</f>
        <v>0</v>
      </c>
      <c r="AY694" s="4">
        <f>tbl_Data_old[[#This Row],[Avoided Costs ($/unit)]]/tbl_Data_old[[#This Row],[kWh Savings]]*tbl_Data_old[[#This Row],[Sum of Annuals]]</f>
        <v>10733.216477113063</v>
      </c>
      <c r="AZ694" s="4">
        <f>tbl_Data_old[[#This Row],[Lost Revenue ($/unit)]]/tbl_Data_old[[#This Row],[kWh Savings]]*tbl_Data_old[[#This Row],[Sum of Annuals]]</f>
        <v>25598.742127154888</v>
      </c>
      <c r="BA694" s="4">
        <f>tbl_Data_old[[#This Row],[Incremental Cost ($/unit)]]/tbl_Data_old[[#This Row],[kWh Savings]]*tbl_Data_old[[#This Row],[Sum of Annuals]]</f>
        <v>7261.3800447762151</v>
      </c>
      <c r="BB694">
        <f>ROUNDUP(tbl_Data_old[[#This Row],[Adjusted 2025]]/$L694,0)</f>
        <v>2</v>
      </c>
      <c r="BC694">
        <f>ROUNDUP(tbl_Data_old[[#This Row],[Adjusted 2026]]/$L694,0)</f>
        <v>3</v>
      </c>
      <c r="BD694">
        <f>ROUNDUP(tbl_Data_old[[#This Row],[Adjusted 2027]]/$L694,0)</f>
        <v>4</v>
      </c>
      <c r="BE694">
        <f>ROUNDUP(tbl_Data_old[[#This Row],[Adjusted 2028]]/$L694,0)</f>
        <v>5</v>
      </c>
      <c r="BF694">
        <f>ROUNDUP(tbl_Data_old[[#This Row],[Adjusted 2029]]/$L694,0)</f>
        <v>6</v>
      </c>
      <c r="BG694">
        <f>ROUNDUP(tbl_Data_old[[#This Row],[Adjusted 2030]]/$L694,0)</f>
        <v>8</v>
      </c>
      <c r="BH694">
        <f>ROUNDUP(tbl_Data_old[[#This Row],[Adjusted 2031]]/$L694,0)</f>
        <v>8</v>
      </c>
      <c r="BI694">
        <f>ROUNDUP(tbl_Data_old[[#This Row],[Adjusted 2032]]/$L694,0)</f>
        <v>9</v>
      </c>
      <c r="BJ694">
        <f>ROUNDUP(tbl_Data_old[[#This Row],[Adjusted 2033]]/$L694,0)</f>
        <v>8</v>
      </c>
      <c r="BK694">
        <f>ROUNDUP(tbl_Data_old[[#This Row],[Adjusted 2034]]/$L694,0)</f>
        <v>7</v>
      </c>
      <c r="BL694" s="3">
        <f t="shared" si="46"/>
        <v>38.793842993253435</v>
      </c>
      <c r="BM694" s="3">
        <f t="shared" si="46"/>
        <v>53.56514529120394</v>
      </c>
      <c r="BN694" s="3">
        <f t="shared" si="46"/>
        <v>71.659688057744688</v>
      </c>
      <c r="BO694" s="3">
        <f t="shared" si="46"/>
        <v>93.477674110693542</v>
      </c>
      <c r="BP694" s="3">
        <f t="shared" si="46"/>
        <v>116.699497148036</v>
      </c>
      <c r="BQ694" s="3">
        <f t="shared" si="46"/>
        <v>138.52468101718003</v>
      </c>
      <c r="BR694" s="3">
        <f t="shared" si="46"/>
        <v>154.38453336601648</v>
      </c>
      <c r="BS694" s="3">
        <f t="shared" si="46"/>
        <v>159.22607589860789</v>
      </c>
      <c r="BT694" s="3">
        <f t="shared" si="46"/>
        <v>150.757741579823</v>
      </c>
      <c r="BU694" s="3">
        <f t="shared" si="46"/>
        <v>130.462782332253</v>
      </c>
      <c r="BV694">
        <f>VLOOKUP($H694,'1. Set Program Names'!$B$2:$D$15,3,0)*V694</f>
        <v>40.873931395166451</v>
      </c>
      <c r="BW694">
        <f>VLOOKUP($H694,'1. Set Program Names'!$B$2:$D$15,3,0)*W694</f>
        <v>56.43725665914436</v>
      </c>
      <c r="BX694">
        <f>VLOOKUP($H694,'1. Set Program Names'!$B$2:$D$15,3,0)*X694</f>
        <v>75.502011336712997</v>
      </c>
      <c r="BY694">
        <f>VLOOKUP($H694,'1. Set Program Names'!$B$2:$D$15,3,0)*Y694</f>
        <v>98.489856734345267</v>
      </c>
      <c r="BZ694">
        <f>VLOOKUP($H694,'1. Set Program Names'!$B$2:$D$15,3,0)*Z694</f>
        <v>122.95681149992753</v>
      </c>
      <c r="CA694">
        <f>VLOOKUP($H694,'1. Set Program Names'!$B$2:$D$15,3,0)*AA694</f>
        <v>145.95224065370914</v>
      </c>
      <c r="CB694">
        <f>VLOOKUP($H694,'1. Set Program Names'!$B$2:$D$15,3,0)*AB694</f>
        <v>162.66248297119614</v>
      </c>
      <c r="CC694">
        <f>VLOOKUP($H694,'1. Set Program Names'!$B$2:$D$15,3,0)*AC694</f>
        <v>167.76362433938533</v>
      </c>
      <c r="CD694">
        <f>VLOOKUP($H694,'1. Set Program Names'!$B$2:$D$15,3,0)*AD694</f>
        <v>158.84122611146182</v>
      </c>
      <c r="CE694">
        <f>VLOOKUP($H694,'1. Set Program Names'!$B$2:$D$15,3,0)*AE694</f>
        <v>137.45807074587617</v>
      </c>
    </row>
    <row r="695" spans="1:83" x14ac:dyDescent="0.25">
      <c r="A695" s="20" t="s">
        <v>113</v>
      </c>
      <c r="B695" s="20" t="s">
        <v>88</v>
      </c>
      <c r="C695" s="20" t="s">
        <v>176</v>
      </c>
      <c r="D695" s="20" t="s">
        <v>90</v>
      </c>
      <c r="E695" s="20" t="s">
        <v>91</v>
      </c>
      <c r="F695" s="20" t="s">
        <v>90</v>
      </c>
      <c r="G695" s="20" t="s">
        <v>92</v>
      </c>
      <c r="H695" s="20" t="s">
        <v>16</v>
      </c>
      <c r="I695" s="20" t="s">
        <v>157</v>
      </c>
      <c r="J695" s="20" t="s">
        <v>158</v>
      </c>
      <c r="K695" s="20" t="s">
        <v>159</v>
      </c>
      <c r="L695" s="20">
        <v>562.52</v>
      </c>
      <c r="M695" s="20">
        <v>6.7473359330379998E-2</v>
      </c>
      <c r="N695" s="20">
        <v>6.4973258375617293E-2</v>
      </c>
      <c r="O695" s="20">
        <v>169</v>
      </c>
      <c r="P695" s="20">
        <v>55.847956108163899</v>
      </c>
      <c r="Q695" s="20">
        <v>20.491212633056499</v>
      </c>
      <c r="R695" s="20">
        <v>240.47921618074301</v>
      </c>
      <c r="S695" s="20">
        <v>597.43584258705596</v>
      </c>
      <c r="T695" s="20">
        <v>15</v>
      </c>
      <c r="U695" s="20">
        <v>0.59999999999999898</v>
      </c>
      <c r="V695" s="20">
        <v>1825.2443942904999</v>
      </c>
      <c r="W695" s="20">
        <v>3901.7651039196098</v>
      </c>
      <c r="X695" s="20">
        <v>6197.2553950778502</v>
      </c>
      <c r="Y695" s="20">
        <v>8712.5319507741497</v>
      </c>
      <c r="Z695" s="20">
        <v>11415.0122147804</v>
      </c>
      <c r="AA695" s="20">
        <v>14293.217586499701</v>
      </c>
      <c r="AB695" s="20">
        <v>17337.591804477001</v>
      </c>
      <c r="AC695" s="20">
        <v>20531.019388401</v>
      </c>
      <c r="AD695" s="20">
        <v>23872.244334689502</v>
      </c>
      <c r="AE695" s="20">
        <v>27353.46959488</v>
      </c>
      <c r="AF695" t="str">
        <f t="shared" si="43"/>
        <v>NonResidential</v>
      </c>
      <c r="AG695" t="str">
        <f>tbl_Data_old[[#This Row],[All_Meas_Name_Append]]</f>
        <v>LED Exterior Wall Packs</v>
      </c>
      <c r="AH695">
        <f>AVERAGEIFS('3. Incentive Adjustment'!G:G,'3. Incentive Adjustment'!A:A,tbl_Data_old[[#This Row],[Trimmed Sector]],'3. Incentive Adjustment'!B:B,tbl_Data_old[[#This Row],[Trimmed Measure Name]])</f>
        <v>0.80637708305213962</v>
      </c>
      <c r="AI695">
        <f>$AH695*tbl_Data_old[[#This Row],[2025 ]]</f>
        <v>1471.8352505252428</v>
      </c>
      <c r="AJ695">
        <f>$AH695*tbl_Data_old[[#This Row],[2026 ]]</f>
        <v>3146.2939632533235</v>
      </c>
      <c r="AK695">
        <f>$AH695*tbl_Data_old[[#This Row],[2027 ]]</f>
        <v>4997.3247284120116</v>
      </c>
      <c r="AL695">
        <f>$AH695*tbl_Data_old[[#This Row],[2028 ]]</f>
        <v>7025.5861004638264</v>
      </c>
      <c r="AM695">
        <f>$AH695*tbl_Data_old[[#This Row],[2029 ]]</f>
        <v>9204.8042527591624</v>
      </c>
      <c r="AN695">
        <f>$AH695*tbl_Data_old[[#This Row],[2030 ]]</f>
        <v>11525.723104831171</v>
      </c>
      <c r="AO695">
        <f>$AH695*tbl_Data_old[[#This Row],[2031 ]]</f>
        <v>13980.636706442845</v>
      </c>
      <c r="AP695">
        <f>$AH695*tbl_Data_old[[#This Row],[2032 ]]</f>
        <v>16555.743526505721</v>
      </c>
      <c r="AQ695">
        <f>$AH695*tbl_Data_old[[#This Row],[2033 ]]</f>
        <v>19250.030752514886</v>
      </c>
      <c r="AR695">
        <f>$AH695*tbl_Data_old[[#This Row],[2034 ]]</f>
        <v>22057.211023274725</v>
      </c>
      <c r="AS695">
        <f>SUM(tbl_Data_old[[#This Row],[Adjusted 2025]:[Adjusted 2034]])</f>
        <v>109215.18940898291</v>
      </c>
      <c r="AT695" s="3">
        <f>AVERAGEIFS('3. Incentive Adjustment'!F:F,'3. Incentive Adjustment'!A:A,tbl_Data_old[[#This Row],[Trimmed Sector]],'3. Incentive Adjustment'!B:B,tbl_Data_old[[#This Row],[Trimmed Measure Name]])</f>
        <v>8.6864493556481861</v>
      </c>
      <c r="AU695" s="3">
        <f>IFERROR(VLOOKUP(tbl_Data_old[[#This Row],[All_Meas_Name_Append]],'IRA Tax Credits'!$A$3:$D$46,4,0),0)</f>
        <v>0</v>
      </c>
      <c r="AV695" s="4">
        <f>tbl_Data_old[[#This Row],[Adj. per unit Incentive ($)]]/tbl_Data_old[[#This Row],[kWh Savings]]*tbl_Data_old[[#This Row],[Sum of Annuals]]</f>
        <v>1686.5039672698824</v>
      </c>
      <c r="AW695" s="4">
        <f>IFERROR(VLOOKUP(tbl_Data_old[[#This Row],[All_Programs]],'1. Set Program Names'!$B$2:$D$15,3,0)*tbl_Data_old[[#This Row],[Sum of Annuals]],"")</f>
        <v>3978.4392891612933</v>
      </c>
      <c r="AX695" s="4">
        <f>tbl_Data_old[[#This Row],[per unit IRA tax ($)]]/tbl_Data_old[[#This Row],[kWh Savings]]*tbl_Data_old[[#This Row],[Sum of Annuals]]</f>
        <v>0</v>
      </c>
      <c r="AY695" s="4">
        <f>tbl_Data_old[[#This Row],[Avoided Costs ($/unit)]]/tbl_Data_old[[#This Row],[kWh Savings]]*tbl_Data_old[[#This Row],[Sum of Annuals]]</f>
        <v>46689.865505410649</v>
      </c>
      <c r="AZ695" s="4">
        <f>tbl_Data_old[[#This Row],[Lost Revenue ($/unit)]]/tbl_Data_old[[#This Row],[kWh Savings]]*tbl_Data_old[[#This Row],[Sum of Annuals]]</f>
        <v>115994.22013059202</v>
      </c>
      <c r="BA695" s="4">
        <f>tbl_Data_old[[#This Row],[Incremental Cost ($/unit)]]/tbl_Data_old[[#This Row],[kWh Savings]]*tbl_Data_old[[#This Row],[Sum of Annuals]]</f>
        <v>32811.930260467387</v>
      </c>
      <c r="BB695">
        <f>ROUNDUP(tbl_Data_old[[#This Row],[Adjusted 2025]]/$L695,0)</f>
        <v>3</v>
      </c>
      <c r="BC695">
        <f>ROUNDUP(tbl_Data_old[[#This Row],[Adjusted 2026]]/$L695,0)</f>
        <v>6</v>
      </c>
      <c r="BD695">
        <f>ROUNDUP(tbl_Data_old[[#This Row],[Adjusted 2027]]/$L695,0)</f>
        <v>9</v>
      </c>
      <c r="BE695">
        <f>ROUNDUP(tbl_Data_old[[#This Row],[Adjusted 2028]]/$L695,0)</f>
        <v>13</v>
      </c>
      <c r="BF695">
        <f>ROUNDUP(tbl_Data_old[[#This Row],[Adjusted 2029]]/$L695,0)</f>
        <v>17</v>
      </c>
      <c r="BG695">
        <f>ROUNDUP(tbl_Data_old[[#This Row],[Adjusted 2030]]/$L695,0)</f>
        <v>21</v>
      </c>
      <c r="BH695">
        <f>ROUNDUP(tbl_Data_old[[#This Row],[Adjusted 2031]]/$L695,0)</f>
        <v>25</v>
      </c>
      <c r="BI695">
        <f>ROUNDUP(tbl_Data_old[[#This Row],[Adjusted 2032]]/$L695,0)</f>
        <v>30</v>
      </c>
      <c r="BJ695">
        <f>ROUNDUP(tbl_Data_old[[#This Row],[Adjusted 2033]]/$L695,0)</f>
        <v>35</v>
      </c>
      <c r="BK695">
        <f>ROUNDUP(tbl_Data_old[[#This Row],[Adjusted 2034]]/$L695,0)</f>
        <v>40</v>
      </c>
      <c r="BL695" s="3">
        <f t="shared" si="46"/>
        <v>28.185474281243646</v>
      </c>
      <c r="BM695" s="3">
        <f t="shared" si="46"/>
        <v>60.251164354748404</v>
      </c>
      <c r="BN695" s="3">
        <f t="shared" si="46"/>
        <v>95.698188745931233</v>
      </c>
      <c r="BO695" s="3">
        <f t="shared" si="46"/>
        <v>134.53915869634207</v>
      </c>
      <c r="BP695" s="3">
        <f t="shared" si="46"/>
        <v>176.27093347400159</v>
      </c>
      <c r="BQ695" s="3">
        <f t="shared" si="46"/>
        <v>220.71626021188516</v>
      </c>
      <c r="BR695" s="3">
        <f t="shared" si="46"/>
        <v>267.72757085701932</v>
      </c>
      <c r="BS695" s="3">
        <f t="shared" si="46"/>
        <v>317.04056769035105</v>
      </c>
      <c r="BT695" s="3">
        <f t="shared" si="46"/>
        <v>368.6358554699205</v>
      </c>
      <c r="BU695" s="3">
        <f t="shared" si="46"/>
        <v>422.39303195830837</v>
      </c>
      <c r="BV695">
        <f>VLOOKUP($H695,'1. Set Program Names'!$B$2:$D$15,3,0)*V695</f>
        <v>66.489139925160131</v>
      </c>
      <c r="BW695">
        <f>VLOOKUP($H695,'1. Set Program Names'!$B$2:$D$15,3,0)*W695</f>
        <v>142.13165467655654</v>
      </c>
      <c r="BX695">
        <f>VLOOKUP($H695,'1. Set Program Names'!$B$2:$D$15,3,0)*X695</f>
        <v>225.75068982773394</v>
      </c>
      <c r="BY695">
        <f>VLOOKUP($H695,'1. Set Program Names'!$B$2:$D$15,3,0)*Y695</f>
        <v>317.3759951212611</v>
      </c>
      <c r="BZ695">
        <f>VLOOKUP($H695,'1. Set Program Names'!$B$2:$D$15,3,0)*Z695</f>
        <v>415.82066860200979</v>
      </c>
      <c r="CA695">
        <f>VLOOKUP($H695,'1. Set Program Names'!$B$2:$D$15,3,0)*AA695</f>
        <v>520.66657323385516</v>
      </c>
      <c r="CB695">
        <f>VLOOKUP($H695,'1. Set Program Names'!$B$2:$D$15,3,0)*AB695</f>
        <v>631.56559804216067</v>
      </c>
      <c r="CC695">
        <f>VLOOKUP($H695,'1. Set Program Names'!$B$2:$D$15,3,0)*AC695</f>
        <v>747.89426840135604</v>
      </c>
      <c r="CD695">
        <f>VLOOKUP($H695,'1. Set Program Names'!$B$2:$D$15,3,0)*AD695</f>
        <v>869.60683120671501</v>
      </c>
      <c r="CE695">
        <f>VLOOKUP($H695,'1. Set Program Names'!$B$2:$D$15,3,0)*AE695</f>
        <v>996.4192592628392</v>
      </c>
    </row>
    <row r="696" spans="1:83" x14ac:dyDescent="0.25">
      <c r="A696" s="20" t="s">
        <v>113</v>
      </c>
      <c r="B696" s="20" t="s">
        <v>88</v>
      </c>
      <c r="C696" s="20" t="s">
        <v>176</v>
      </c>
      <c r="D696" s="20" t="s">
        <v>90</v>
      </c>
      <c r="E696" s="20" t="s">
        <v>91</v>
      </c>
      <c r="F696" s="20" t="s">
        <v>90</v>
      </c>
      <c r="G696" s="20" t="s">
        <v>92</v>
      </c>
      <c r="H696" s="20" t="s">
        <v>16</v>
      </c>
      <c r="I696" s="20" t="s">
        <v>162</v>
      </c>
      <c r="J696" s="20" t="s">
        <v>161</v>
      </c>
      <c r="K696" s="20" t="s">
        <v>159</v>
      </c>
      <c r="L696" s="20">
        <v>725.58416666666596</v>
      </c>
      <c r="M696" s="20">
        <v>8.6917804178563804E-2</v>
      </c>
      <c r="N696" s="20">
        <v>8.3795205289933394E-2</v>
      </c>
      <c r="O696" s="20">
        <v>179</v>
      </c>
      <c r="P696" s="20">
        <v>33.0790753554421</v>
      </c>
      <c r="Q696" s="20">
        <v>26.4312370090766</v>
      </c>
      <c r="R696" s="20">
        <v>310.45187974046598</v>
      </c>
      <c r="S696" s="20">
        <v>770.62146764617603</v>
      </c>
      <c r="T696" s="20">
        <v>15</v>
      </c>
      <c r="U696" s="20">
        <v>0.59999999999999898</v>
      </c>
      <c r="V696" s="20">
        <v>9377.9846664291908</v>
      </c>
      <c r="W696" s="20">
        <v>20047.010379007301</v>
      </c>
      <c r="X696" s="20">
        <v>31841.0872816716</v>
      </c>
      <c r="Y696" s="20">
        <v>44764.411437567898</v>
      </c>
      <c r="Z696" s="20">
        <v>58649.575833336399</v>
      </c>
      <c r="AA696" s="20">
        <v>73437.604180252602</v>
      </c>
      <c r="AB696" s="20">
        <v>89079.397040633397</v>
      </c>
      <c r="AC696" s="20">
        <v>105487.016211562</v>
      </c>
      <c r="AD696" s="20">
        <v>122654.00842991901</v>
      </c>
      <c r="AE696" s="20">
        <v>140540.31297772299</v>
      </c>
      <c r="AF696" t="str">
        <f t="shared" si="43"/>
        <v>NonResidential</v>
      </c>
      <c r="AG696" t="str">
        <f>tbl_Data_old[[#This Row],[All_Meas_Name_Append]]</f>
        <v>LED High Bay_LF Baseline</v>
      </c>
      <c r="AH696">
        <f>AVERAGEIFS('3. Incentive Adjustment'!G:G,'3. Incentive Adjustment'!A:A,tbl_Data_old[[#This Row],[Trimmed Sector]],'3. Incentive Adjustment'!B:B,tbl_Data_old[[#This Row],[Trimmed Measure Name]])</f>
        <v>0.93017466414143679</v>
      </c>
      <c r="AI696">
        <f>$AH696*tbl_Data_old[[#This Row],[2025 ]]</f>
        <v>8723.163737419316</v>
      </c>
      <c r="AJ696">
        <f>$AH696*tbl_Data_old[[#This Row],[2026 ]]</f>
        <v>18647.221146333013</v>
      </c>
      <c r="AK696">
        <f>$AH696*tbl_Data_old[[#This Row],[2027 ]]</f>
        <v>29617.772668127054</v>
      </c>
      <c r="AL696">
        <f>$AH696*tbl_Data_old[[#This Row],[2028 ]]</f>
        <v>41638.721374428809</v>
      </c>
      <c r="AM696">
        <f>$AH696*tbl_Data_old[[#This Row],[2029 ]]</f>
        <v>54554.349502811412</v>
      </c>
      <c r="AN696">
        <f>$AH696*tbl_Data_old[[#This Row],[2030 ]]</f>
        <v>68309.798803718237</v>
      </c>
      <c r="AO696">
        <f>$AH696*tbl_Data_old[[#This Row],[2031 ]]</f>
        <v>82859.398224192875</v>
      </c>
      <c r="AP696">
        <f>$AH696*tbl_Data_old[[#This Row],[2032 ]]</f>
        <v>98121.34987587198</v>
      </c>
      <c r="AQ696">
        <f>$AH696*tbl_Data_old[[#This Row],[2033 ]]</f>
        <v>114089.65109690087</v>
      </c>
      <c r="AR696">
        <f>$AH696*tbl_Data_old[[#This Row],[2034 ]]</f>
        <v>130727.0384223859</v>
      </c>
      <c r="AS696">
        <f>SUM(tbl_Data_old[[#This Row],[Adjusted 2025]:[Adjusted 2034]])</f>
        <v>647288.46485218941</v>
      </c>
      <c r="AT696" s="3">
        <f>AVERAGEIFS('3. Incentive Adjustment'!F:F,'3. Incentive Adjustment'!A:A,tbl_Data_old[[#This Row],[Trimmed Sector]],'3. Incentive Adjustment'!B:B,tbl_Data_old[[#This Row],[Trimmed Measure Name]])</f>
        <v>23.858858929800434</v>
      </c>
      <c r="AU696" s="3">
        <f>IFERROR(VLOOKUP(tbl_Data_old[[#This Row],[All_Meas_Name_Append]],'IRA Tax Credits'!$A$3:$D$46,4,0),0)</f>
        <v>0</v>
      </c>
      <c r="AV696" s="4">
        <f>tbl_Data_old[[#This Row],[Adj. per unit Incentive ($)]]/tbl_Data_old[[#This Row],[kWh Savings]]*tbl_Data_old[[#This Row],[Sum of Annuals]]</f>
        <v>21284.318042306815</v>
      </c>
      <c r="AW696" s="4">
        <f>IFERROR(VLOOKUP(tbl_Data_old[[#This Row],[All_Programs]],'1. Set Program Names'!$B$2:$D$15,3,0)*tbl_Data_old[[#This Row],[Sum of Annuals]],"")</f>
        <v>23579.118197061332</v>
      </c>
      <c r="AX696" s="4">
        <f>tbl_Data_old[[#This Row],[per unit IRA tax ($)]]/tbl_Data_old[[#This Row],[kWh Savings]]*tbl_Data_old[[#This Row],[Sum of Annuals]]</f>
        <v>0</v>
      </c>
      <c r="AY696" s="4">
        <f>tbl_Data_old[[#This Row],[Avoided Costs ($/unit)]]/tbl_Data_old[[#This Row],[kWh Savings]]*tbl_Data_old[[#This Row],[Sum of Annuals]]</f>
        <v>276951.9097568735</v>
      </c>
      <c r="AZ696" s="4">
        <f>tbl_Data_old[[#This Row],[Lost Revenue ($/unit)]]/tbl_Data_old[[#This Row],[kWh Savings]]*tbl_Data_old[[#This Row],[Sum of Annuals]]</f>
        <v>687465.92013768444</v>
      </c>
      <c r="BA696" s="4">
        <f>tbl_Data_old[[#This Row],[Incremental Cost ($/unit)]]/tbl_Data_old[[#This Row],[kWh Savings]]*tbl_Data_old[[#This Row],[Sum of Annuals]]</f>
        <v>159684.62451547707</v>
      </c>
      <c r="BB696">
        <f>ROUNDUP(tbl_Data_old[[#This Row],[Adjusted 2025]]/$L696,0)</f>
        <v>13</v>
      </c>
      <c r="BC696">
        <f>ROUNDUP(tbl_Data_old[[#This Row],[Adjusted 2026]]/$L696,0)</f>
        <v>26</v>
      </c>
      <c r="BD696">
        <f>ROUNDUP(tbl_Data_old[[#This Row],[Adjusted 2027]]/$L696,0)</f>
        <v>41</v>
      </c>
      <c r="BE696">
        <f>ROUNDUP(tbl_Data_old[[#This Row],[Adjusted 2028]]/$L696,0)</f>
        <v>58</v>
      </c>
      <c r="BF696">
        <f>ROUNDUP(tbl_Data_old[[#This Row],[Adjusted 2029]]/$L696,0)</f>
        <v>76</v>
      </c>
      <c r="BG696">
        <f>ROUNDUP(tbl_Data_old[[#This Row],[Adjusted 2030]]/$L696,0)</f>
        <v>95</v>
      </c>
      <c r="BH696">
        <f>ROUNDUP(tbl_Data_old[[#This Row],[Adjusted 2031]]/$L696,0)</f>
        <v>115</v>
      </c>
      <c r="BI696">
        <f>ROUNDUP(tbl_Data_old[[#This Row],[Adjusted 2032]]/$L696,0)</f>
        <v>136</v>
      </c>
      <c r="BJ696">
        <f>ROUNDUP(tbl_Data_old[[#This Row],[Adjusted 2033]]/$L696,0)</f>
        <v>158</v>
      </c>
      <c r="BK696">
        <f>ROUNDUP(tbl_Data_old[[#This Row],[Adjusted 2034]]/$L696,0)</f>
        <v>181</v>
      </c>
      <c r="BL696" s="3">
        <f t="shared" si="46"/>
        <v>308.36948142083105</v>
      </c>
      <c r="BM696" s="3">
        <f t="shared" si="46"/>
        <v>659.1913310268128</v>
      </c>
      <c r="BN696" s="3">
        <f t="shared" si="46"/>
        <v>1047.0074245347591</v>
      </c>
      <c r="BO696" s="3">
        <f t="shared" si="46"/>
        <v>1471.955738051724</v>
      </c>
      <c r="BP696" s="3">
        <f t="shared" si="46"/>
        <v>1928.5315479369481</v>
      </c>
      <c r="BQ696" s="3">
        <f t="shared" si="46"/>
        <v>2414.795579578989</v>
      </c>
      <c r="BR696" s="3">
        <f t="shared" si="46"/>
        <v>2929.1333317097233</v>
      </c>
      <c r="BS696" s="3">
        <f t="shared" si="46"/>
        <v>3468.6531960577486</v>
      </c>
      <c r="BT696" s="3">
        <f t="shared" si="46"/>
        <v>4033.1429746431809</v>
      </c>
      <c r="BU696" s="3">
        <f t="shared" si="46"/>
        <v>4621.2853798750621</v>
      </c>
      <c r="BV696">
        <f>VLOOKUP($H696,'1. Set Program Names'!$B$2:$D$15,3,0)*V696</f>
        <v>341.61679205956079</v>
      </c>
      <c r="BW696">
        <f>VLOOKUP($H696,'1. Set Program Names'!$B$2:$D$15,3,0)*W696</f>
        <v>730.26301701864725</v>
      </c>
      <c r="BX696">
        <f>VLOOKUP($H696,'1. Set Program Names'!$B$2:$D$15,3,0)*X696</f>
        <v>1159.8920748710166</v>
      </c>
      <c r="BY696">
        <f>VLOOKUP($H696,'1. Set Program Names'!$B$2:$D$15,3,0)*Y696</f>
        <v>1630.6568178212879</v>
      </c>
      <c r="BZ696">
        <f>VLOOKUP($H696,'1. Set Program Names'!$B$2:$D$15,3,0)*Z696</f>
        <v>2136.4590223271507</v>
      </c>
      <c r="CA696">
        <f>VLOOKUP($H696,'1. Set Program Names'!$B$2:$D$15,3,0)*AA696</f>
        <v>2675.1503280235297</v>
      </c>
      <c r="CB696">
        <f>VLOOKUP($H696,'1. Set Program Names'!$B$2:$D$15,3,0)*AB696</f>
        <v>3244.9421638058811</v>
      </c>
      <c r="CC696">
        <f>VLOOKUP($H696,'1. Set Program Names'!$B$2:$D$15,3,0)*AC696</f>
        <v>3842.6311583904512</v>
      </c>
      <c r="CD696">
        <f>VLOOKUP($H696,'1. Set Program Names'!$B$2:$D$15,3,0)*AD696</f>
        <v>4467.9822353590571</v>
      </c>
      <c r="CE696">
        <f>VLOOKUP($H696,'1. Set Program Names'!$B$2:$D$15,3,0)*AE696</f>
        <v>5119.5360818154622</v>
      </c>
    </row>
    <row r="697" spans="1:83" x14ac:dyDescent="0.25">
      <c r="A697" s="20" t="s">
        <v>113</v>
      </c>
      <c r="B697" s="20" t="s">
        <v>88</v>
      </c>
      <c r="C697" s="20" t="s">
        <v>176</v>
      </c>
      <c r="D697" s="20" t="s">
        <v>90</v>
      </c>
      <c r="E697" s="20" t="s">
        <v>91</v>
      </c>
      <c r="F697" s="20" t="s">
        <v>90</v>
      </c>
      <c r="G697" s="20" t="s">
        <v>92</v>
      </c>
      <c r="H697" s="20" t="s">
        <v>16</v>
      </c>
      <c r="I697" s="20" t="s">
        <v>165</v>
      </c>
      <c r="J697" s="20" t="s">
        <v>161</v>
      </c>
      <c r="K697" s="20" t="s">
        <v>166</v>
      </c>
      <c r="L697" s="20">
        <v>565.38999999999896</v>
      </c>
      <c r="M697" s="20">
        <v>6.7728127941350899E-2</v>
      </c>
      <c r="N697" s="20">
        <v>6.5294935157718198E-2</v>
      </c>
      <c r="O697" s="20">
        <v>129</v>
      </c>
      <c r="P697" s="20">
        <v>15.293574707506</v>
      </c>
      <c r="Q697" s="20">
        <v>20.595759636286299</v>
      </c>
      <c r="R697" s="20">
        <v>190.6779313312</v>
      </c>
      <c r="S697" s="20">
        <v>454.767236260907</v>
      </c>
      <c r="T697" s="20">
        <v>10</v>
      </c>
      <c r="U697" s="20">
        <v>0.59999999999999898</v>
      </c>
      <c r="V697" s="20">
        <v>1122.0616515060501</v>
      </c>
      <c r="W697" s="20">
        <v>2671.36408589138</v>
      </c>
      <c r="X697" s="20">
        <v>4744.0277284819103</v>
      </c>
      <c r="Y697" s="20">
        <v>7447.7483526497699</v>
      </c>
      <c r="Z697" s="20">
        <v>10823.1301245104</v>
      </c>
      <c r="AA697" s="20">
        <v>14829.7770654571</v>
      </c>
      <c r="AB697" s="20">
        <v>19295.1496892982</v>
      </c>
      <c r="AC697" s="20">
        <v>23900.557658719801</v>
      </c>
      <c r="AD697" s="20">
        <v>28261.030028621299</v>
      </c>
      <c r="AE697" s="20">
        <v>32034.4969942235</v>
      </c>
      <c r="AF697" t="str">
        <f t="shared" si="43"/>
        <v>NonResidential</v>
      </c>
      <c r="AG697" t="str">
        <f>tbl_Data_old[[#This Row],[All_Meas_Name_Append]]</f>
        <v>Occupancy Sensors_ Ceiling Mounted</v>
      </c>
      <c r="AH697">
        <f>AVERAGEIFS('3. Incentive Adjustment'!G:G,'3. Incentive Adjustment'!A:A,tbl_Data_old[[#This Row],[Trimmed Sector]],'3. Incentive Adjustment'!B:B,tbl_Data_old[[#This Row],[Trimmed Measure Name]])</f>
        <v>0.99348124042467356</v>
      </c>
      <c r="AI697">
        <f>$AH697*tbl_Data_old[[#This Row],[2025 ]]</f>
        <v>1114.7472013711883</v>
      </c>
      <c r="AJ697">
        <f>$AH697*tbl_Data_old[[#This Row],[2026 ]]</f>
        <v>2653.9501056772924</v>
      </c>
      <c r="AK697">
        <f>$AH697*tbl_Data_old[[#This Row],[2027 ]]</f>
        <v>4713.1025523012549</v>
      </c>
      <c r="AL697">
        <f>$AH697*tbl_Data_old[[#This Row],[2028 ]]</f>
        <v>7399.1982717613128</v>
      </c>
      <c r="AM697">
        <f>$AH697*tbl_Data_old[[#This Row],[2029 ]]</f>
        <v>10752.576741376244</v>
      </c>
      <c r="AN697">
        <f>$AH697*tbl_Data_old[[#This Row],[2030 ]]</f>
        <v>14733.105314211694</v>
      </c>
      <c r="AO697">
        <f>$AH697*tbl_Data_old[[#This Row],[2031 ]]</f>
        <v>19169.369247503731</v>
      </c>
      <c r="AP697">
        <f>$AH697*tbl_Data_old[[#This Row],[2032 ]]</f>
        <v>23744.755669626378</v>
      </c>
      <c r="AQ697">
        <f>$AH697*tbl_Data_old[[#This Row],[2033 ]]</f>
        <v>28076.803168513634</v>
      </c>
      <c r="AR697">
        <f>$AH697*tbl_Data_old[[#This Row],[2034 ]]</f>
        <v>31825.671810201638</v>
      </c>
      <c r="AS697">
        <f>SUM(tbl_Data_old[[#This Row],[Adjusted 2025]:[Adjusted 2034]])</f>
        <v>144183.28008254437</v>
      </c>
      <c r="AT697" s="3">
        <f>AVERAGEIFS('3. Incentive Adjustment'!F:F,'3. Incentive Adjustment'!A:A,tbl_Data_old[[#This Row],[Trimmed Sector]],'3. Incentive Adjustment'!B:B,tbl_Data_old[[#This Row],[Trimmed Measure Name]])</f>
        <v>19.547634357270656</v>
      </c>
      <c r="AU697" s="3">
        <f>IFERROR(VLOOKUP(tbl_Data_old[[#This Row],[All_Meas_Name_Append]],'IRA Tax Credits'!$A$3:$D$46,4,0),0)</f>
        <v>0</v>
      </c>
      <c r="AV697" s="4">
        <f>tbl_Data_old[[#This Row],[Adj. per unit Incentive ($)]]/tbl_Data_old[[#This Row],[kWh Savings]]*tbl_Data_old[[#This Row],[Sum of Annuals]]</f>
        <v>4984.9520498868524</v>
      </c>
      <c r="AW697" s="4">
        <f>IFERROR(VLOOKUP(tbl_Data_old[[#This Row],[All_Programs]],'1. Set Program Names'!$B$2:$D$15,3,0)*tbl_Data_old[[#This Row],[Sum of Annuals]],"")</f>
        <v>5252.2403653256042</v>
      </c>
      <c r="AX697" s="4">
        <f>tbl_Data_old[[#This Row],[per unit IRA tax ($)]]/tbl_Data_old[[#This Row],[kWh Savings]]*tbl_Data_old[[#This Row],[Sum of Annuals]]</f>
        <v>0</v>
      </c>
      <c r="AY697" s="4">
        <f>tbl_Data_old[[#This Row],[Avoided Costs ($/unit)]]/tbl_Data_old[[#This Row],[kWh Savings]]*tbl_Data_old[[#This Row],[Sum of Annuals]]</f>
        <v>48625.85043719667</v>
      </c>
      <c r="AZ697" s="4">
        <f>tbl_Data_old[[#This Row],[Lost Revenue ($/unit)]]/tbl_Data_old[[#This Row],[kWh Savings]]*tbl_Data_old[[#This Row],[Sum of Annuals]]</f>
        <v>115972.74765767189</v>
      </c>
      <c r="BA697" s="4">
        <f>tbl_Data_old[[#This Row],[Incremental Cost ($/unit)]]/tbl_Data_old[[#This Row],[kWh Savings]]*tbl_Data_old[[#This Row],[Sum of Annuals]]</f>
        <v>32897.014681278866</v>
      </c>
      <c r="BB697">
        <f>ROUNDUP(tbl_Data_old[[#This Row],[Adjusted 2025]]/$L697,0)</f>
        <v>2</v>
      </c>
      <c r="BC697">
        <f>ROUNDUP(tbl_Data_old[[#This Row],[Adjusted 2026]]/$L697,0)</f>
        <v>5</v>
      </c>
      <c r="BD697">
        <f>ROUNDUP(tbl_Data_old[[#This Row],[Adjusted 2027]]/$L697,0)</f>
        <v>9</v>
      </c>
      <c r="BE697">
        <f>ROUNDUP(tbl_Data_old[[#This Row],[Adjusted 2028]]/$L697,0)</f>
        <v>14</v>
      </c>
      <c r="BF697">
        <f>ROUNDUP(tbl_Data_old[[#This Row],[Adjusted 2029]]/$L697,0)</f>
        <v>20</v>
      </c>
      <c r="BG697">
        <f>ROUNDUP(tbl_Data_old[[#This Row],[Adjusted 2030]]/$L697,0)</f>
        <v>27</v>
      </c>
      <c r="BH697">
        <f>ROUNDUP(tbl_Data_old[[#This Row],[Adjusted 2031]]/$L697,0)</f>
        <v>34</v>
      </c>
      <c r="BI697">
        <f>ROUNDUP(tbl_Data_old[[#This Row],[Adjusted 2032]]/$L697,0)</f>
        <v>42</v>
      </c>
      <c r="BJ697">
        <f>ROUNDUP(tbl_Data_old[[#This Row],[Adjusted 2033]]/$L697,0)</f>
        <v>50</v>
      </c>
      <c r="BK697">
        <f>ROUNDUP(tbl_Data_old[[#This Row],[Adjusted 2034]]/$L697,0)</f>
        <v>57</v>
      </c>
      <c r="BL697" s="3">
        <f t="shared" si="46"/>
        <v>38.793842993253435</v>
      </c>
      <c r="BM697" s="3">
        <f t="shared" si="46"/>
        <v>92.358988284457368</v>
      </c>
      <c r="BN697" s="3">
        <f t="shared" si="46"/>
        <v>164.01867634220241</v>
      </c>
      <c r="BO697" s="3">
        <f t="shared" si="46"/>
        <v>257.49635045289597</v>
      </c>
      <c r="BP697" s="3">
        <f t="shared" si="46"/>
        <v>374.19584760093198</v>
      </c>
      <c r="BQ697" s="3">
        <f t="shared" si="46"/>
        <v>512.72052861811164</v>
      </c>
      <c r="BR697" s="3">
        <f t="shared" si="46"/>
        <v>667.1050619841285</v>
      </c>
      <c r="BS697" s="3">
        <f t="shared" si="46"/>
        <v>826.33113788273647</v>
      </c>
      <c r="BT697" s="3">
        <f t="shared" si="46"/>
        <v>977.08887946255936</v>
      </c>
      <c r="BU697" s="3">
        <f t="shared" si="46"/>
        <v>1107.5516617948106</v>
      </c>
      <c r="BV697">
        <f>VLOOKUP($H697,'1. Set Program Names'!$B$2:$D$15,3,0)*V697</f>
        <v>40.873931395166451</v>
      </c>
      <c r="BW697">
        <f>VLOOKUP($H697,'1. Set Program Names'!$B$2:$D$15,3,0)*W697</f>
        <v>97.311188054310804</v>
      </c>
      <c r="BX697">
        <f>VLOOKUP($H697,'1. Set Program Names'!$B$2:$D$15,3,0)*X697</f>
        <v>172.81319939102417</v>
      </c>
      <c r="BY697">
        <f>VLOOKUP($H697,'1. Set Program Names'!$B$2:$D$15,3,0)*Y697</f>
        <v>271.30305612536944</v>
      </c>
      <c r="BZ697">
        <f>VLOOKUP($H697,'1. Set Program Names'!$B$2:$D$15,3,0)*Z697</f>
        <v>394.25986762529698</v>
      </c>
      <c r="CA697">
        <f>VLOOKUP($H697,'1. Set Program Names'!$B$2:$D$15,3,0)*AA697</f>
        <v>540.21210827900575</v>
      </c>
      <c r="CB697">
        <f>VLOOKUP($H697,'1. Set Program Names'!$B$2:$D$15,3,0)*AB697</f>
        <v>702.87459125020223</v>
      </c>
      <c r="CC697">
        <f>VLOOKUP($H697,'1. Set Program Names'!$B$2:$D$15,3,0)*AC697</f>
        <v>870.63821558958762</v>
      </c>
      <c r="CD697">
        <f>VLOOKUP($H697,'1. Set Program Names'!$B$2:$D$15,3,0)*AD697</f>
        <v>1029.4794417010494</v>
      </c>
      <c r="CE697">
        <f>VLOOKUP($H697,'1. Set Program Names'!$B$2:$D$15,3,0)*AE697</f>
        <v>1166.9375124469238</v>
      </c>
    </row>
    <row r="698" spans="1:83" x14ac:dyDescent="0.25">
      <c r="A698" s="20" t="s">
        <v>114</v>
      </c>
      <c r="B698" s="20" t="s">
        <v>88</v>
      </c>
      <c r="C698" s="20" t="s">
        <v>176</v>
      </c>
      <c r="D698" s="20" t="s">
        <v>90</v>
      </c>
      <c r="E698" s="20" t="s">
        <v>91</v>
      </c>
      <c r="F698" s="20" t="s">
        <v>90</v>
      </c>
      <c r="G698" s="20" t="s">
        <v>92</v>
      </c>
      <c r="H698" s="20" t="s">
        <v>16</v>
      </c>
      <c r="I698" s="20" t="s">
        <v>157</v>
      </c>
      <c r="J698" s="20" t="s">
        <v>158</v>
      </c>
      <c r="K698" s="20" t="s">
        <v>159</v>
      </c>
      <c r="L698" s="20">
        <v>562.52</v>
      </c>
      <c r="M698" s="20">
        <v>6.7473359330379998E-2</v>
      </c>
      <c r="N698" s="20">
        <v>6.4973258375617293E-2</v>
      </c>
      <c r="O698" s="20">
        <v>169</v>
      </c>
      <c r="P698" s="20">
        <v>55.847956108163899</v>
      </c>
      <c r="Q698" s="20">
        <v>20.491212633056499</v>
      </c>
      <c r="R698" s="20">
        <v>240.47921618074301</v>
      </c>
      <c r="S698" s="20">
        <v>597.43584258705596</v>
      </c>
      <c r="T698" s="20">
        <v>15</v>
      </c>
      <c r="U698" s="20">
        <v>0.59999999999999898</v>
      </c>
      <c r="V698" s="20">
        <v>0.218864714112947</v>
      </c>
      <c r="W698" s="20">
        <v>0.24899521011226</v>
      </c>
      <c r="X698" s="20">
        <v>0.275251811699817</v>
      </c>
      <c r="Y698" s="20">
        <v>0.301606341594303</v>
      </c>
      <c r="Z698" s="20">
        <v>0.32405390326238098</v>
      </c>
      <c r="AA698" s="20">
        <v>0.345125068078658</v>
      </c>
      <c r="AB698" s="20">
        <v>0.36505034337027797</v>
      </c>
      <c r="AC698" s="20">
        <v>0.382923304617309</v>
      </c>
      <c r="AD698" s="20">
        <v>0.40064565870956997</v>
      </c>
      <c r="AE698" s="20">
        <v>0.41743307017827302</v>
      </c>
      <c r="AF698" t="str">
        <f t="shared" si="43"/>
        <v>NonResidential</v>
      </c>
      <c r="AG698" t="str">
        <f>tbl_Data_old[[#This Row],[All_Meas_Name_Append]]</f>
        <v>LED Exterior Wall Packs</v>
      </c>
      <c r="AH698">
        <f>AVERAGEIFS('3. Incentive Adjustment'!G:G,'3. Incentive Adjustment'!A:A,tbl_Data_old[[#This Row],[Trimmed Sector]],'3. Incentive Adjustment'!B:B,tbl_Data_old[[#This Row],[Trimmed Measure Name]])</f>
        <v>0.80637708305213962</v>
      </c>
      <c r="AI698">
        <f>$AH698*tbl_Data_old[[#This Row],[2025 ]]</f>
        <v>0.17648748974943865</v>
      </c>
      <c r="AJ698">
        <f>$AH698*tbl_Data_old[[#This Row],[2026 ]]</f>
        <v>0.20078403122427885</v>
      </c>
      <c r="AK698">
        <f>$AH698*tbl_Data_old[[#This Row],[2027 ]]</f>
        <v>0.22195675302331522</v>
      </c>
      <c r="AL698">
        <f>$AH698*tbl_Data_old[[#This Row],[2028 ]]</f>
        <v>0.24320844196484126</v>
      </c>
      <c r="AM698">
        <f>$AH698*tbl_Data_old[[#This Row],[2029 ]]</f>
        <v>0.261309641264379</v>
      </c>
      <c r="AN698">
        <f>$AH698*tbl_Data_old[[#This Row],[2030 ]]</f>
        <v>0.27830094568543934</v>
      </c>
      <c r="AO698">
        <f>$AH698*tbl_Data_old[[#This Row],[2031 ]]</f>
        <v>0.29436823105410675</v>
      </c>
      <c r="AP698">
        <f>$AH698*tbl_Data_old[[#This Row],[2032 ]]</f>
        <v>0.30878057740999154</v>
      </c>
      <c r="AQ698">
        <f>$AH698*tbl_Data_old[[#This Row],[2033 ]]</f>
        <v>0.32307147760772609</v>
      </c>
      <c r="AR698">
        <f>$AH698*tbl_Data_old[[#This Row],[2034 ]]</f>
        <v>0.33660846149985491</v>
      </c>
      <c r="AS698">
        <f>SUM(tbl_Data_old[[#This Row],[Adjusted 2025]:[Adjusted 2034]])</f>
        <v>2.6448760504833713</v>
      </c>
      <c r="AT698" s="3">
        <f>AVERAGEIFS('3. Incentive Adjustment'!F:F,'3. Incentive Adjustment'!A:A,tbl_Data_old[[#This Row],[Trimmed Sector]],'3. Incentive Adjustment'!B:B,tbl_Data_old[[#This Row],[Trimmed Measure Name]])</f>
        <v>8.6864493556481861</v>
      </c>
      <c r="AU698" s="3">
        <f>IFERROR(VLOOKUP(tbl_Data_old[[#This Row],[All_Meas_Name_Append]],'IRA Tax Credits'!$A$3:$D$46,4,0),0)</f>
        <v>0</v>
      </c>
      <c r="AV698" s="4">
        <f>tbl_Data_old[[#This Row],[Adj. per unit Incentive ($)]]/tbl_Data_old[[#This Row],[kWh Savings]]*tbl_Data_old[[#This Row],[Sum of Annuals]]</f>
        <v>4.0842248923577115E-2</v>
      </c>
      <c r="AW698" s="4">
        <f>IFERROR(VLOOKUP(tbl_Data_old[[#This Row],[All_Programs]],'1. Set Program Names'!$B$2:$D$15,3,0)*tbl_Data_old[[#This Row],[Sum of Annuals]],"")</f>
        <v>9.634629442248005E-2</v>
      </c>
      <c r="AX698" s="4">
        <f>tbl_Data_old[[#This Row],[per unit IRA tax ($)]]/tbl_Data_old[[#This Row],[kWh Savings]]*tbl_Data_old[[#This Row],[Sum of Annuals]]</f>
        <v>0</v>
      </c>
      <c r="AY698" s="4">
        <f>tbl_Data_old[[#This Row],[Avoided Costs ($/unit)]]/tbl_Data_old[[#This Row],[kWh Savings]]*tbl_Data_old[[#This Row],[Sum of Annuals]]</f>
        <v>1.1306935211467333</v>
      </c>
      <c r="AZ698" s="4">
        <f>tbl_Data_old[[#This Row],[Lost Revenue ($/unit)]]/tbl_Data_old[[#This Row],[kWh Savings]]*tbl_Data_old[[#This Row],[Sum of Annuals]]</f>
        <v>2.8090445704310207</v>
      </c>
      <c r="BA698" s="4">
        <f>tbl_Data_old[[#This Row],[Incremental Cost ($/unit)]]/tbl_Data_old[[#This Row],[kWh Savings]]*tbl_Data_old[[#This Row],[Sum of Annuals]]</f>
        <v>0.79461006280965962</v>
      </c>
      <c r="BB698">
        <f>ROUNDUP(tbl_Data_old[[#This Row],[Adjusted 2025]]/$L698,0)</f>
        <v>1</v>
      </c>
      <c r="BC698">
        <f>ROUNDUP(tbl_Data_old[[#This Row],[Adjusted 2026]]/$L698,0)</f>
        <v>1</v>
      </c>
      <c r="BD698">
        <f>ROUNDUP(tbl_Data_old[[#This Row],[Adjusted 2027]]/$L698,0)</f>
        <v>1</v>
      </c>
      <c r="BE698">
        <f>ROUNDUP(tbl_Data_old[[#This Row],[Adjusted 2028]]/$L698,0)</f>
        <v>1</v>
      </c>
      <c r="BF698">
        <f>ROUNDUP(tbl_Data_old[[#This Row],[Adjusted 2029]]/$L698,0)</f>
        <v>1</v>
      </c>
      <c r="BG698">
        <f>ROUNDUP(tbl_Data_old[[#This Row],[Adjusted 2030]]/$L698,0)</f>
        <v>1</v>
      </c>
      <c r="BH698">
        <f>ROUNDUP(tbl_Data_old[[#This Row],[Adjusted 2031]]/$L698,0)</f>
        <v>1</v>
      </c>
      <c r="BI698">
        <f>ROUNDUP(tbl_Data_old[[#This Row],[Adjusted 2032]]/$L698,0)</f>
        <v>1</v>
      </c>
      <c r="BJ698">
        <f>ROUNDUP(tbl_Data_old[[#This Row],[Adjusted 2033]]/$L698,0)</f>
        <v>1</v>
      </c>
      <c r="BK698">
        <f>ROUNDUP(tbl_Data_old[[#This Row],[Adjusted 2034]]/$L698,0)</f>
        <v>1</v>
      </c>
      <c r="BL698" s="3">
        <f t="shared" si="46"/>
        <v>3.379714952144871E-3</v>
      </c>
      <c r="BM698" s="3">
        <f t="shared" si="46"/>
        <v>3.8449909024374698E-3</v>
      </c>
      <c r="BN698" s="3">
        <f t="shared" si="46"/>
        <v>4.2504460683724507E-3</v>
      </c>
      <c r="BO698" s="3">
        <f t="shared" si="46"/>
        <v>4.6574134459241266E-3</v>
      </c>
      <c r="BP698" s="3">
        <f t="shared" si="46"/>
        <v>5.0040493123600744E-3</v>
      </c>
      <c r="BQ698" s="3">
        <f t="shared" si="46"/>
        <v>5.3294308206461903E-3</v>
      </c>
      <c r="BR698" s="3">
        <f t="shared" si="46"/>
        <v>5.6371174712861764E-3</v>
      </c>
      <c r="BS698" s="3">
        <f t="shared" si="46"/>
        <v>5.9131122318418858E-3</v>
      </c>
      <c r="BT698" s="3">
        <f t="shared" si="46"/>
        <v>6.1867813125595309E-3</v>
      </c>
      <c r="BU698" s="3">
        <f t="shared" si="46"/>
        <v>6.4460129834962377E-3</v>
      </c>
      <c r="BV698">
        <f>VLOOKUP($H698,'1. Set Program Names'!$B$2:$D$15,3,0)*V698</f>
        <v>7.9727003391195372E-3</v>
      </c>
      <c r="BW698">
        <f>VLOOKUP($H698,'1. Set Program Names'!$B$2:$D$15,3,0)*W698</f>
        <v>9.0702798034254847E-3</v>
      </c>
      <c r="BX698">
        <f>VLOOKUP($H698,'1. Set Program Names'!$B$2:$D$15,3,0)*X698</f>
        <v>1.0026742873453358E-2</v>
      </c>
      <c r="BY698">
        <f>VLOOKUP($H698,'1. Set Program Names'!$B$2:$D$15,3,0)*Y698</f>
        <v>1.0986773229551199E-2</v>
      </c>
      <c r="BZ698">
        <f>VLOOKUP($H698,'1. Set Program Names'!$B$2:$D$15,3,0)*Z698</f>
        <v>1.180448239408621E-2</v>
      </c>
      <c r="CA698">
        <f>VLOOKUP($H698,'1. Set Program Names'!$B$2:$D$15,3,0)*AA698</f>
        <v>1.2572052824784696E-2</v>
      </c>
      <c r="CB698">
        <f>VLOOKUP($H698,'1. Set Program Names'!$B$2:$D$15,3,0)*AB698</f>
        <v>1.329788133358931E-2</v>
      </c>
      <c r="CC698">
        <f>VLOOKUP($H698,'1. Set Program Names'!$B$2:$D$15,3,0)*AC698</f>
        <v>1.39489491165931E-2</v>
      </c>
      <c r="CD698">
        <f>VLOOKUP($H698,'1. Set Program Names'!$B$2:$D$15,3,0)*AD698</f>
        <v>1.4594530653361283E-2</v>
      </c>
      <c r="CE698">
        <f>VLOOKUP($H698,'1. Set Program Names'!$B$2:$D$15,3,0)*AE698</f>
        <v>1.5206054542225334E-2</v>
      </c>
    </row>
    <row r="699" spans="1:83" x14ac:dyDescent="0.25">
      <c r="A699" s="20" t="s">
        <v>114</v>
      </c>
      <c r="B699" s="20" t="s">
        <v>88</v>
      </c>
      <c r="C699" s="20" t="s">
        <v>176</v>
      </c>
      <c r="D699" s="20" t="s">
        <v>90</v>
      </c>
      <c r="E699" s="20" t="s">
        <v>91</v>
      </c>
      <c r="F699" s="20" t="s">
        <v>90</v>
      </c>
      <c r="G699" s="20" t="s">
        <v>92</v>
      </c>
      <c r="H699" s="20" t="s">
        <v>16</v>
      </c>
      <c r="I699" s="20" t="s">
        <v>162</v>
      </c>
      <c r="J699" s="20" t="s">
        <v>161</v>
      </c>
      <c r="K699" s="20" t="s">
        <v>159</v>
      </c>
      <c r="L699" s="20">
        <v>725.58416666666596</v>
      </c>
      <c r="M699" s="20">
        <v>8.6917804178563804E-2</v>
      </c>
      <c r="N699" s="20">
        <v>8.3795205289933394E-2</v>
      </c>
      <c r="O699" s="20">
        <v>179</v>
      </c>
      <c r="P699" s="20">
        <v>33.0790753554421</v>
      </c>
      <c r="Q699" s="20">
        <v>26.4312370090766</v>
      </c>
      <c r="R699" s="20">
        <v>310.45187974046598</v>
      </c>
      <c r="S699" s="20">
        <v>770.62146764617603</v>
      </c>
      <c r="T699" s="20">
        <v>15</v>
      </c>
      <c r="U699" s="20">
        <v>0.59999999999999898</v>
      </c>
      <c r="V699" s="20">
        <v>1.1208935537004201</v>
      </c>
      <c r="W699" s="20">
        <v>1.2752038493198401</v>
      </c>
      <c r="X699" s="20">
        <v>1.40967438551776</v>
      </c>
      <c r="Y699" s="20">
        <v>1.54464645166036</v>
      </c>
      <c r="Z699" s="20">
        <v>1.65960937417631</v>
      </c>
      <c r="AA699" s="20">
        <v>1.76752321907017</v>
      </c>
      <c r="AB699" s="20">
        <v>1.8695685063637499</v>
      </c>
      <c r="AC699" s="20">
        <v>1.9611030743206299</v>
      </c>
      <c r="AD699" s="20">
        <v>2.0518663229279901</v>
      </c>
      <c r="AE699" s="20">
        <v>2.1378413572081798</v>
      </c>
      <c r="AF699" t="str">
        <f t="shared" si="43"/>
        <v>NonResidential</v>
      </c>
      <c r="AG699" t="str">
        <f>tbl_Data_old[[#This Row],[All_Meas_Name_Append]]</f>
        <v>LED High Bay_LF Baseline</v>
      </c>
      <c r="AH699">
        <f>AVERAGEIFS('3. Incentive Adjustment'!G:G,'3. Incentive Adjustment'!A:A,tbl_Data_old[[#This Row],[Trimmed Sector]],'3. Incentive Adjustment'!B:B,tbl_Data_old[[#This Row],[Trimmed Measure Name]])</f>
        <v>0.93017466414143679</v>
      </c>
      <c r="AI699">
        <f>$AH699*tbl_Data_old[[#This Row],[2025 ]]</f>
        <v>1.0426267848515898</v>
      </c>
      <c r="AJ699">
        <f>$AH699*tbl_Data_old[[#This Row],[2026 ]]</f>
        <v>1.1861623122529497</v>
      </c>
      <c r="AK699">
        <f>$AH699*tbl_Data_old[[#This Row],[2027 ]]</f>
        <v>1.3112433980977687</v>
      </c>
      <c r="AL699">
        <f>$AH699*tbl_Data_old[[#This Row],[2028 ]]</f>
        <v>1.4367909943904373</v>
      </c>
      <c r="AM699">
        <f>$AH699*tbl_Data_old[[#This Row],[2029 ]]</f>
        <v>1.5437265922304293</v>
      </c>
      <c r="AN699">
        <f>$AH699*tbl_Data_old[[#This Row],[2030 ]]</f>
        <v>1.6441053166607866</v>
      </c>
      <c r="AO699">
        <f>$AH699*tbl_Data_old[[#This Row],[2031 ]]</f>
        <v>1.7390252574963088</v>
      </c>
      <c r="AP699">
        <f>$AH699*tbl_Data_old[[#This Row],[2032 ]]</f>
        <v>1.8241683935029311</v>
      </c>
      <c r="AQ699">
        <f>$AH699*tbl_Data_old[[#This Row],[2033 ]]</f>
        <v>1.908594067792668</v>
      </c>
      <c r="AR699">
        <f>$AH699*tbl_Data_old[[#This Row],[2034 ]]</f>
        <v>1.988565866428792</v>
      </c>
      <c r="AS699">
        <f>SUM(tbl_Data_old[[#This Row],[Adjusted 2025]:[Adjusted 2034]])</f>
        <v>15.625008983704662</v>
      </c>
      <c r="AT699" s="3">
        <f>AVERAGEIFS('3. Incentive Adjustment'!F:F,'3. Incentive Adjustment'!A:A,tbl_Data_old[[#This Row],[Trimmed Sector]],'3. Incentive Adjustment'!B:B,tbl_Data_old[[#This Row],[Trimmed Measure Name]])</f>
        <v>23.858858929800434</v>
      </c>
      <c r="AU699" s="3">
        <f>IFERROR(VLOOKUP(tbl_Data_old[[#This Row],[All_Meas_Name_Append]],'IRA Tax Credits'!$A$3:$D$46,4,0),0)</f>
        <v>0</v>
      </c>
      <c r="AV699" s="4">
        <f>tbl_Data_old[[#This Row],[Adj. per unit Incentive ($)]]/tbl_Data_old[[#This Row],[kWh Savings]]*tbl_Data_old[[#This Row],[Sum of Annuals]]</f>
        <v>0.51378586006320104</v>
      </c>
      <c r="AW699" s="4">
        <f>IFERROR(VLOOKUP(tbl_Data_old[[#This Row],[All_Programs]],'1. Set Program Names'!$B$2:$D$15,3,0)*tbl_Data_old[[#This Row],[Sum of Annuals]],"")</f>
        <v>0.56918044065723972</v>
      </c>
      <c r="AX699" s="4">
        <f>tbl_Data_old[[#This Row],[per unit IRA tax ($)]]/tbl_Data_old[[#This Row],[kWh Savings]]*tbl_Data_old[[#This Row],[Sum of Annuals]]</f>
        <v>0</v>
      </c>
      <c r="AY699" s="4">
        <f>tbl_Data_old[[#This Row],[Avoided Costs ($/unit)]]/tbl_Data_old[[#This Row],[kWh Savings]]*tbl_Data_old[[#This Row],[Sum of Annuals]]</f>
        <v>6.6853903830859753</v>
      </c>
      <c r="AZ699" s="4">
        <f>tbl_Data_old[[#This Row],[Lost Revenue ($/unit)]]/tbl_Data_old[[#This Row],[kWh Savings]]*tbl_Data_old[[#This Row],[Sum of Annuals]]</f>
        <v>16.594859574077233</v>
      </c>
      <c r="BA699" s="4">
        <f>tbl_Data_old[[#This Row],[Incremental Cost ($/unit)]]/tbl_Data_old[[#This Row],[kWh Savings]]*tbl_Data_old[[#This Row],[Sum of Annuals]]</f>
        <v>3.8546549615766659</v>
      </c>
      <c r="BB699">
        <f>ROUNDUP(tbl_Data_old[[#This Row],[Adjusted 2025]]/$L699,0)</f>
        <v>1</v>
      </c>
      <c r="BC699">
        <f>ROUNDUP(tbl_Data_old[[#This Row],[Adjusted 2026]]/$L699,0)</f>
        <v>1</v>
      </c>
      <c r="BD699">
        <f>ROUNDUP(tbl_Data_old[[#This Row],[Adjusted 2027]]/$L699,0)</f>
        <v>1</v>
      </c>
      <c r="BE699">
        <f>ROUNDUP(tbl_Data_old[[#This Row],[Adjusted 2028]]/$L699,0)</f>
        <v>1</v>
      </c>
      <c r="BF699">
        <f>ROUNDUP(tbl_Data_old[[#This Row],[Adjusted 2029]]/$L699,0)</f>
        <v>1</v>
      </c>
      <c r="BG699">
        <f>ROUNDUP(tbl_Data_old[[#This Row],[Adjusted 2030]]/$L699,0)</f>
        <v>1</v>
      </c>
      <c r="BH699">
        <f>ROUNDUP(tbl_Data_old[[#This Row],[Adjusted 2031]]/$L699,0)</f>
        <v>1</v>
      </c>
      <c r="BI699">
        <f>ROUNDUP(tbl_Data_old[[#This Row],[Adjusted 2032]]/$L699,0)</f>
        <v>1</v>
      </c>
      <c r="BJ699">
        <f>ROUNDUP(tbl_Data_old[[#This Row],[Adjusted 2033]]/$L699,0)</f>
        <v>1</v>
      </c>
      <c r="BK699">
        <f>ROUNDUP(tbl_Data_old[[#This Row],[Adjusted 2034]]/$L699,0)</f>
        <v>1</v>
      </c>
      <c r="BL699" s="3">
        <f t="shared" si="46"/>
        <v>3.6857531354245882E-2</v>
      </c>
      <c r="BM699" s="3">
        <f t="shared" si="46"/>
        <v>4.1931605105762708E-2</v>
      </c>
      <c r="BN699" s="3">
        <f t="shared" si="46"/>
        <v>4.6353302409467376E-2</v>
      </c>
      <c r="BO699" s="3">
        <f t="shared" si="46"/>
        <v>5.0791491159304557E-2</v>
      </c>
      <c r="BP699" s="3">
        <f t="shared" si="46"/>
        <v>5.4571733723122406E-2</v>
      </c>
      <c r="BQ699" s="3">
        <f t="shared" si="46"/>
        <v>5.8120186570051448E-2</v>
      </c>
      <c r="BR699" s="3">
        <f t="shared" si="46"/>
        <v>6.1475667885435466E-2</v>
      </c>
      <c r="BS699" s="3">
        <f t="shared" si="46"/>
        <v>6.4485532825179562E-2</v>
      </c>
      <c r="BT699" s="3">
        <f t="shared" si="46"/>
        <v>6.747003502908204E-2</v>
      </c>
      <c r="BU699" s="3">
        <f t="shared" si="46"/>
        <v>7.0297089847269872E-2</v>
      </c>
      <c r="BV699">
        <f>VLOOKUP($H699,'1. Set Program Names'!$B$2:$D$15,3,0)*V699</f>
        <v>4.0831380480512089E-2</v>
      </c>
      <c r="BW699">
        <f>VLOOKUP($H699,'1. Set Program Names'!$B$2:$D$15,3,0)*W699</f>
        <v>4.6452522980347376E-2</v>
      </c>
      <c r="BX699">
        <f>VLOOKUP($H699,'1. Set Program Names'!$B$2:$D$15,3,0)*X699</f>
        <v>5.135095210306781E-2</v>
      </c>
      <c r="BY699">
        <f>VLOOKUP($H699,'1. Set Program Names'!$B$2:$D$15,3,0)*Y699</f>
        <v>5.6267650721518681E-2</v>
      </c>
      <c r="BZ699">
        <f>VLOOKUP($H699,'1. Set Program Names'!$B$2:$D$15,3,0)*Z699</f>
        <v>6.0455465715104566E-2</v>
      </c>
      <c r="CA699">
        <f>VLOOKUP($H699,'1. Set Program Names'!$B$2:$D$15,3,0)*AA699</f>
        <v>6.4386500241469427E-2</v>
      </c>
      <c r="CB699">
        <f>VLOOKUP($H699,'1. Set Program Names'!$B$2:$D$15,3,0)*AB699</f>
        <v>6.8103757725886144E-2</v>
      </c>
      <c r="CC699">
        <f>VLOOKUP($H699,'1. Set Program Names'!$B$2:$D$15,3,0)*AC699</f>
        <v>7.1438135695166147E-2</v>
      </c>
      <c r="CD699">
        <f>VLOOKUP($H699,'1. Set Program Names'!$B$2:$D$15,3,0)*AD699</f>
        <v>7.4744416407817052E-2</v>
      </c>
      <c r="CE699">
        <f>VLOOKUP($H699,'1. Set Program Names'!$B$2:$D$15,3,0)*AE699</f>
        <v>7.7876274312548774E-2</v>
      </c>
    </row>
    <row r="700" spans="1:83" x14ac:dyDescent="0.25">
      <c r="A700" s="20" t="s">
        <v>114</v>
      </c>
      <c r="B700" s="20" t="s">
        <v>88</v>
      </c>
      <c r="C700" s="20" t="s">
        <v>176</v>
      </c>
      <c r="D700" s="20" t="s">
        <v>90</v>
      </c>
      <c r="E700" s="20" t="s">
        <v>91</v>
      </c>
      <c r="F700" s="20" t="s">
        <v>90</v>
      </c>
      <c r="G700" s="20" t="s">
        <v>92</v>
      </c>
      <c r="H700" s="20" t="s">
        <v>16</v>
      </c>
      <c r="I700" s="20" t="s">
        <v>165</v>
      </c>
      <c r="J700" s="20" t="s">
        <v>161</v>
      </c>
      <c r="K700" s="20" t="s">
        <v>166</v>
      </c>
      <c r="L700" s="20">
        <v>565.38999999999896</v>
      </c>
      <c r="M700" s="20">
        <v>6.7728127941350899E-2</v>
      </c>
      <c r="N700" s="20">
        <v>6.5294935157718198E-2</v>
      </c>
      <c r="O700" s="20">
        <v>129</v>
      </c>
      <c r="P700" s="20">
        <v>15.293574707506</v>
      </c>
      <c r="Q700" s="20">
        <v>20.595759636286299</v>
      </c>
      <c r="R700" s="20">
        <v>190.6779313312</v>
      </c>
      <c r="S700" s="20">
        <v>454.767236260907</v>
      </c>
      <c r="T700" s="20">
        <v>10</v>
      </c>
      <c r="U700" s="20">
        <v>0.59999999999999898</v>
      </c>
      <c r="V700" s="20">
        <v>0.134120180266667</v>
      </c>
      <c r="W700" s="20">
        <v>0.185188334630042</v>
      </c>
      <c r="X700" s="20">
        <v>0.247745776878388</v>
      </c>
      <c r="Y700" s="20">
        <v>0.32317611537241703</v>
      </c>
      <c r="Z700" s="20">
        <v>0.403459867234292</v>
      </c>
      <c r="AA700" s="20">
        <v>0.47891508584519998</v>
      </c>
      <c r="AB700" s="20">
        <v>0.53374664226205404</v>
      </c>
      <c r="AC700" s="20">
        <v>0.55048510098394898</v>
      </c>
      <c r="AD700" s="20">
        <v>0.52120794683880101</v>
      </c>
      <c r="AE700" s="20">
        <v>0.45104315130468398</v>
      </c>
      <c r="AF700" t="str">
        <f t="shared" si="43"/>
        <v>NonResidential</v>
      </c>
      <c r="AG700" t="str">
        <f>tbl_Data_old[[#This Row],[All_Meas_Name_Append]]</f>
        <v>Occupancy Sensors_ Ceiling Mounted</v>
      </c>
      <c r="AH700">
        <f>AVERAGEIFS('3. Incentive Adjustment'!G:G,'3. Incentive Adjustment'!A:A,tbl_Data_old[[#This Row],[Trimmed Sector]],'3. Incentive Adjustment'!B:B,tbl_Data_old[[#This Row],[Trimmed Measure Name]])</f>
        <v>0.99348124042467356</v>
      </c>
      <c r="AI700">
        <f>$AH700*tbl_Data_old[[#This Row],[2025 ]]</f>
        <v>0.13324588305730917</v>
      </c>
      <c r="AJ700">
        <f>$AH700*tbl_Data_old[[#This Row],[2026 ]]</f>
        <v>0.18398113640043365</v>
      </c>
      <c r="AK700">
        <f>$AH700*tbl_Data_old[[#This Row],[2027 ]]</f>
        <v>0.24613078172311531</v>
      </c>
      <c r="AL700">
        <f>$AH700*tbl_Data_old[[#This Row],[2028 ]]</f>
        <v>0.32106940797581629</v>
      </c>
      <c r="AM700">
        <f>$AH700*tbl_Data_old[[#This Row],[2029 ]]</f>
        <v>0.40082980936149853</v>
      </c>
      <c r="AN700">
        <f>$AH700*tbl_Data_old[[#This Row],[2030 ]]</f>
        <v>0.47579315354357832</v>
      </c>
      <c r="AO700">
        <f>$AH700*tbl_Data_old[[#This Row],[2031 ]]</f>
        <v>0.53026727622700998</v>
      </c>
      <c r="AP700">
        <f>$AH700*tbl_Data_old[[#This Row],[2032 ]]</f>
        <v>0.54689662096083536</v>
      </c>
      <c r="AQ700">
        <f>$AH700*tbl_Data_old[[#This Row],[2033 ]]</f>
        <v>0.51781031754460938</v>
      </c>
      <c r="AR700">
        <f>$AH700*tbl_Data_old[[#This Row],[2034 ]]</f>
        <v>0.44810290944323117</v>
      </c>
      <c r="AS700">
        <f>SUM(tbl_Data_old[[#This Row],[Adjusted 2025]:[Adjusted 2034]])</f>
        <v>3.8041272962374375</v>
      </c>
      <c r="AT700" s="3">
        <f>AVERAGEIFS('3. Incentive Adjustment'!F:F,'3. Incentive Adjustment'!A:A,tbl_Data_old[[#This Row],[Trimmed Sector]],'3. Incentive Adjustment'!B:B,tbl_Data_old[[#This Row],[Trimmed Measure Name]])</f>
        <v>19.547634357270656</v>
      </c>
      <c r="AU700" s="3">
        <f>IFERROR(VLOOKUP(tbl_Data_old[[#This Row],[All_Meas_Name_Append]],'IRA Tax Credits'!$A$3:$D$46,4,0),0)</f>
        <v>0</v>
      </c>
      <c r="AV700" s="4">
        <f>tbl_Data_old[[#This Row],[Adj. per unit Incentive ($)]]/tbl_Data_old[[#This Row],[kWh Savings]]*tbl_Data_old[[#This Row],[Sum of Annuals]]</f>
        <v>0.13152282395401793</v>
      </c>
      <c r="AW700" s="4">
        <f>IFERROR(VLOOKUP(tbl_Data_old[[#This Row],[All_Programs]],'1. Set Program Names'!$B$2:$D$15,3,0)*tbl_Data_old[[#This Row],[Sum of Annuals]],"")</f>
        <v>0.13857495077582255</v>
      </c>
      <c r="AX700" s="4">
        <f>tbl_Data_old[[#This Row],[per unit IRA tax ($)]]/tbl_Data_old[[#This Row],[kWh Savings]]*tbl_Data_old[[#This Row],[Sum of Annuals]]</f>
        <v>0</v>
      </c>
      <c r="AY700" s="4">
        <f>tbl_Data_old[[#This Row],[Avoided Costs ($/unit)]]/tbl_Data_old[[#This Row],[kWh Savings]]*tbl_Data_old[[#This Row],[Sum of Annuals]]</f>
        <v>1.2829429656822848</v>
      </c>
      <c r="AZ700" s="4">
        <f>tbl_Data_old[[#This Row],[Lost Revenue ($/unit)]]/tbl_Data_old[[#This Row],[kWh Savings]]*tbl_Data_old[[#This Row],[Sum of Annuals]]</f>
        <v>3.0598214628744396</v>
      </c>
      <c r="BA700" s="4">
        <f>tbl_Data_old[[#This Row],[Incremental Cost ($/unit)]]/tbl_Data_old[[#This Row],[kWh Savings]]*tbl_Data_old[[#This Row],[Sum of Annuals]]</f>
        <v>0.86795383932264514</v>
      </c>
      <c r="BB700">
        <f>ROUNDUP(tbl_Data_old[[#This Row],[Adjusted 2025]]/$L700,0)</f>
        <v>1</v>
      </c>
      <c r="BC700">
        <f>ROUNDUP(tbl_Data_old[[#This Row],[Adjusted 2026]]/$L700,0)</f>
        <v>1</v>
      </c>
      <c r="BD700">
        <f>ROUNDUP(tbl_Data_old[[#This Row],[Adjusted 2027]]/$L700,0)</f>
        <v>1</v>
      </c>
      <c r="BE700">
        <f>ROUNDUP(tbl_Data_old[[#This Row],[Adjusted 2028]]/$L700,0)</f>
        <v>1</v>
      </c>
      <c r="BF700">
        <f>ROUNDUP(tbl_Data_old[[#This Row],[Adjusted 2029]]/$L700,0)</f>
        <v>1</v>
      </c>
      <c r="BG700">
        <f>ROUNDUP(tbl_Data_old[[#This Row],[Adjusted 2030]]/$L700,0)</f>
        <v>1</v>
      </c>
      <c r="BH700">
        <f>ROUNDUP(tbl_Data_old[[#This Row],[Adjusted 2031]]/$L700,0)</f>
        <v>1</v>
      </c>
      <c r="BI700">
        <f>ROUNDUP(tbl_Data_old[[#This Row],[Adjusted 2032]]/$L700,0)</f>
        <v>1</v>
      </c>
      <c r="BJ700">
        <f>ROUNDUP(tbl_Data_old[[#This Row],[Adjusted 2033]]/$L700,0)</f>
        <v>1</v>
      </c>
      <c r="BK700">
        <f>ROUNDUP(tbl_Data_old[[#This Row],[Adjusted 2034]]/$L700,0)</f>
        <v>1</v>
      </c>
      <c r="BL700" s="3">
        <f t="shared" ref="BL700:BU717" si="47">$AT700/$L700*V700</f>
        <v>4.6370332757637005E-3</v>
      </c>
      <c r="BM700" s="3">
        <f t="shared" si="47"/>
        <v>6.4026492378357431E-3</v>
      </c>
      <c r="BN700" s="3">
        <f t="shared" si="47"/>
        <v>8.5654925979884618E-3</v>
      </c>
      <c r="BO700" s="3">
        <f t="shared" si="47"/>
        <v>1.1173399841353996E-2</v>
      </c>
      <c r="BP700" s="3">
        <f t="shared" si="47"/>
        <v>1.3949107629298215E-2</v>
      </c>
      <c r="BQ700" s="3">
        <f t="shared" si="47"/>
        <v>1.6557875070805771E-2</v>
      </c>
      <c r="BR700" s="3">
        <f t="shared" si="47"/>
        <v>1.8453605833777739E-2</v>
      </c>
      <c r="BS700" s="3">
        <f t="shared" si="47"/>
        <v>1.9032316583525472E-2</v>
      </c>
      <c r="BT700" s="3">
        <f t="shared" si="47"/>
        <v>1.8020096515517895E-2</v>
      </c>
      <c r="BU700" s="3">
        <f t="shared" si="47"/>
        <v>1.5594238668980851E-2</v>
      </c>
      <c r="BV700">
        <f>VLOOKUP($H700,'1. Set Program Names'!$B$2:$D$15,3,0)*V700</f>
        <v>4.8856665224847901E-3</v>
      </c>
      <c r="BW700">
        <f>VLOOKUP($H700,'1. Set Program Names'!$B$2:$D$15,3,0)*W700</f>
        <v>6.7459531075620667E-3</v>
      </c>
      <c r="BX700">
        <f>VLOOKUP($H700,'1. Set Program Names'!$B$2:$D$15,3,0)*X700</f>
        <v>9.0247660402418134E-3</v>
      </c>
      <c r="BY700">
        <f>VLOOKUP($H700,'1. Set Program Names'!$B$2:$D$15,3,0)*Y700</f>
        <v>1.1772506751797984E-2</v>
      </c>
      <c r="BZ700">
        <f>VLOOKUP($H700,'1. Set Program Names'!$B$2:$D$15,3,0)*Z700</f>
        <v>1.4697045311104722E-2</v>
      </c>
      <c r="CA700">
        <f>VLOOKUP($H700,'1. Set Program Names'!$B$2:$D$15,3,0)*AA700</f>
        <v>1.7445692343796677E-2</v>
      </c>
      <c r="CB700">
        <f>VLOOKUP($H700,'1. Set Program Names'!$B$2:$D$15,3,0)*AB700</f>
        <v>1.9443070359759115E-2</v>
      </c>
      <c r="CC700">
        <f>VLOOKUP($H700,'1. Set Program Names'!$B$2:$D$15,3,0)*AC700</f>
        <v>2.0052811021104469E-2</v>
      </c>
      <c r="CD700">
        <f>VLOOKUP($H700,'1. Set Program Names'!$B$2:$D$15,3,0)*AD700</f>
        <v>1.8986316690451342E-2</v>
      </c>
      <c r="CE700">
        <f>VLOOKUP($H700,'1. Set Program Names'!$B$2:$D$15,3,0)*AE700</f>
        <v>1.6430386688594471E-2</v>
      </c>
    </row>
    <row r="701" spans="1:83" x14ac:dyDescent="0.25">
      <c r="A701" s="20" t="s">
        <v>115</v>
      </c>
      <c r="B701" s="20" t="s">
        <v>88</v>
      </c>
      <c r="C701" s="20" t="s">
        <v>176</v>
      </c>
      <c r="D701" s="20" t="s">
        <v>90</v>
      </c>
      <c r="E701" s="20" t="s">
        <v>91</v>
      </c>
      <c r="F701" s="20" t="s">
        <v>90</v>
      </c>
      <c r="G701" s="20" t="s">
        <v>92</v>
      </c>
      <c r="H701" s="20" t="s">
        <v>16</v>
      </c>
      <c r="I701" s="20" t="s">
        <v>157</v>
      </c>
      <c r="J701" s="20" t="s">
        <v>158</v>
      </c>
      <c r="K701" s="20" t="s">
        <v>159</v>
      </c>
      <c r="L701" s="20">
        <v>562.52</v>
      </c>
      <c r="M701" s="20">
        <v>6.7473359330379998E-2</v>
      </c>
      <c r="N701" s="20">
        <v>6.4973258375617293E-2</v>
      </c>
      <c r="O701" s="20">
        <v>169</v>
      </c>
      <c r="P701" s="20">
        <v>55.847956108163899</v>
      </c>
      <c r="Q701" s="20">
        <v>20.491212633056499</v>
      </c>
      <c r="R701" s="20">
        <v>240.47921618074301</v>
      </c>
      <c r="S701" s="20">
        <v>597.43584258705596</v>
      </c>
      <c r="T701" s="20">
        <v>15</v>
      </c>
      <c r="U701" s="20">
        <v>0.59999999999999898</v>
      </c>
      <c r="V701" s="20">
        <v>0.218864714112947</v>
      </c>
      <c r="W701" s="20">
        <v>0.467859924225208</v>
      </c>
      <c r="X701" s="20">
        <v>0.743111735925025</v>
      </c>
      <c r="Y701" s="20">
        <v>1.0447180775193201</v>
      </c>
      <c r="Z701" s="20">
        <v>1.36877198078171</v>
      </c>
      <c r="AA701" s="20">
        <v>1.71389704886036</v>
      </c>
      <c r="AB701" s="20">
        <v>2.0789473922306398</v>
      </c>
      <c r="AC701" s="20">
        <v>2.4618706968479498</v>
      </c>
      <c r="AD701" s="20">
        <v>2.8625163555575202</v>
      </c>
      <c r="AE701" s="20">
        <v>3.2799494257358002</v>
      </c>
      <c r="AF701" t="str">
        <f t="shared" si="43"/>
        <v>NonResidential</v>
      </c>
      <c r="AG701" t="str">
        <f>tbl_Data_old[[#This Row],[All_Meas_Name_Append]]</f>
        <v>LED Exterior Wall Packs</v>
      </c>
      <c r="AH701">
        <f>AVERAGEIFS('3. Incentive Adjustment'!G:G,'3. Incentive Adjustment'!A:A,tbl_Data_old[[#This Row],[Trimmed Sector]],'3. Incentive Adjustment'!B:B,tbl_Data_old[[#This Row],[Trimmed Measure Name]])</f>
        <v>0.80637708305213962</v>
      </c>
      <c r="AI701">
        <f>$AH701*tbl_Data_old[[#This Row],[2025 ]]</f>
        <v>0.17648748974943865</v>
      </c>
      <c r="AJ701">
        <f>$AH701*tbl_Data_old[[#This Row],[2026 ]]</f>
        <v>0.3772715209737183</v>
      </c>
      <c r="AK701">
        <f>$AH701*tbl_Data_old[[#This Row],[2027 ]]</f>
        <v>0.59922827399703349</v>
      </c>
      <c r="AL701">
        <f>$AH701*tbl_Data_old[[#This Row],[2028 ]]</f>
        <v>0.84243671596186842</v>
      </c>
      <c r="AM701">
        <f>$AH701*tbl_Data_old[[#This Row],[2029 ]]</f>
        <v>1.1037463572262547</v>
      </c>
      <c r="AN701">
        <f>$AH701*tbl_Data_old[[#This Row],[2030 ]]</f>
        <v>1.3820473029116875</v>
      </c>
      <c r="AO701">
        <f>$AH701*tbl_Data_old[[#This Row],[2031 ]]</f>
        <v>1.6764155339657958</v>
      </c>
      <c r="AP701">
        <f>$AH701*tbl_Data_old[[#This Row],[2032 ]]</f>
        <v>1.9851961113757881</v>
      </c>
      <c r="AQ701">
        <f>$AH701*tbl_Data_old[[#This Row],[2033 ]]</f>
        <v>2.3082675889835143</v>
      </c>
      <c r="AR701">
        <f>$AH701*tbl_Data_old[[#This Row],[2034 ]]</f>
        <v>2.6448760504833748</v>
      </c>
      <c r="AS701">
        <f>SUM(tbl_Data_old[[#This Row],[Adjusted 2025]:[Adjusted 2034]])</f>
        <v>13.095972945628475</v>
      </c>
      <c r="AT701" s="3">
        <f>AVERAGEIFS('3. Incentive Adjustment'!F:F,'3. Incentive Adjustment'!A:A,tbl_Data_old[[#This Row],[Trimmed Sector]],'3. Incentive Adjustment'!B:B,tbl_Data_old[[#This Row],[Trimmed Measure Name]])</f>
        <v>8.6864493556481861</v>
      </c>
      <c r="AU701" s="3">
        <f>IFERROR(VLOOKUP(tbl_Data_old[[#This Row],[All_Meas_Name_Append]],'IRA Tax Credits'!$A$3:$D$46,4,0),0)</f>
        <v>0</v>
      </c>
      <c r="AV701" s="4">
        <f>tbl_Data_old[[#This Row],[Adj. per unit Incentive ($)]]/tbl_Data_old[[#This Row],[kWh Savings]]*tbl_Data_old[[#This Row],[Sum of Annuals]]</f>
        <v>0.20222837544467848</v>
      </c>
      <c r="AW701" s="4">
        <f>IFERROR(VLOOKUP(tbl_Data_old[[#This Row],[All_Programs]],'1. Set Program Names'!$B$2:$D$15,3,0)*tbl_Data_old[[#This Row],[Sum of Annuals]],"")</f>
        <v>0.47705391144426607</v>
      </c>
      <c r="AX701" s="4">
        <f>tbl_Data_old[[#This Row],[per unit IRA tax ($)]]/tbl_Data_old[[#This Row],[kWh Savings]]*tbl_Data_old[[#This Row],[Sum of Annuals]]</f>
        <v>0</v>
      </c>
      <c r="AY701" s="4">
        <f>tbl_Data_old[[#This Row],[Avoided Costs ($/unit)]]/tbl_Data_old[[#This Row],[kWh Savings]]*tbl_Data_old[[#This Row],[Sum of Annuals]]</f>
        <v>5.5985730446721043</v>
      </c>
      <c r="AZ701" s="4">
        <f>tbl_Data_old[[#This Row],[Lost Revenue ($/unit)]]/tbl_Data_old[[#This Row],[kWh Savings]]*tbl_Data_old[[#This Row],[Sum of Annuals]]</f>
        <v>13.908845252202299</v>
      </c>
      <c r="BA701" s="4">
        <f>tbl_Data_old[[#This Row],[Incremental Cost ($/unit)]]/tbl_Data_old[[#This Row],[kWh Savings]]*tbl_Data_old[[#This Row],[Sum of Annuals]]</f>
        <v>3.9344724237559769</v>
      </c>
      <c r="BB701">
        <f>ROUNDUP(tbl_Data_old[[#This Row],[Adjusted 2025]]/$L701,0)</f>
        <v>1</v>
      </c>
      <c r="BC701">
        <f>ROUNDUP(tbl_Data_old[[#This Row],[Adjusted 2026]]/$L701,0)</f>
        <v>1</v>
      </c>
      <c r="BD701">
        <f>ROUNDUP(tbl_Data_old[[#This Row],[Adjusted 2027]]/$L701,0)</f>
        <v>1</v>
      </c>
      <c r="BE701">
        <f>ROUNDUP(tbl_Data_old[[#This Row],[Adjusted 2028]]/$L701,0)</f>
        <v>1</v>
      </c>
      <c r="BF701">
        <f>ROUNDUP(tbl_Data_old[[#This Row],[Adjusted 2029]]/$L701,0)</f>
        <v>1</v>
      </c>
      <c r="BG701">
        <f>ROUNDUP(tbl_Data_old[[#This Row],[Adjusted 2030]]/$L701,0)</f>
        <v>1</v>
      </c>
      <c r="BH701">
        <f>ROUNDUP(tbl_Data_old[[#This Row],[Adjusted 2031]]/$L701,0)</f>
        <v>1</v>
      </c>
      <c r="BI701">
        <f>ROUNDUP(tbl_Data_old[[#This Row],[Adjusted 2032]]/$L701,0)</f>
        <v>1</v>
      </c>
      <c r="BJ701">
        <f>ROUNDUP(tbl_Data_old[[#This Row],[Adjusted 2033]]/$L701,0)</f>
        <v>1</v>
      </c>
      <c r="BK701">
        <f>ROUNDUP(tbl_Data_old[[#This Row],[Adjusted 2034]]/$L701,0)</f>
        <v>1</v>
      </c>
      <c r="BL701" s="3">
        <f t="shared" si="47"/>
        <v>3.379714952144871E-3</v>
      </c>
      <c r="BM701" s="3">
        <f t="shared" si="47"/>
        <v>7.2247058545823568E-3</v>
      </c>
      <c r="BN701" s="3">
        <f t="shared" si="47"/>
        <v>1.1475151922954807E-2</v>
      </c>
      <c r="BO701" s="3">
        <f t="shared" si="47"/>
        <v>1.6132565368878814E-2</v>
      </c>
      <c r="BP701" s="3">
        <f t="shared" si="47"/>
        <v>2.1136614681239025E-2</v>
      </c>
      <c r="BQ701" s="3">
        <f t="shared" si="47"/>
        <v>2.646604550188509E-2</v>
      </c>
      <c r="BR701" s="3">
        <f t="shared" si="47"/>
        <v>3.2103162973171298E-2</v>
      </c>
      <c r="BS701" s="3">
        <f t="shared" si="47"/>
        <v>3.8016275205013196E-2</v>
      </c>
      <c r="BT701" s="3">
        <f t="shared" si="47"/>
        <v>4.4203056517572732E-2</v>
      </c>
      <c r="BU701" s="3">
        <f t="shared" si="47"/>
        <v>5.064906950106908E-2</v>
      </c>
      <c r="BV701">
        <f>VLOOKUP($H701,'1. Set Program Names'!$B$2:$D$15,3,0)*V701</f>
        <v>7.9727003391195372E-3</v>
      </c>
      <c r="BW701">
        <f>VLOOKUP($H701,'1. Set Program Names'!$B$2:$D$15,3,0)*W701</f>
        <v>1.7042980142545058E-2</v>
      </c>
      <c r="BX701">
        <f>VLOOKUP($H701,'1. Set Program Names'!$B$2:$D$15,3,0)*X701</f>
        <v>2.7069723015998415E-2</v>
      </c>
      <c r="BY701">
        <f>VLOOKUP($H701,'1. Set Program Names'!$B$2:$D$15,3,0)*Y701</f>
        <v>3.8056496245549326E-2</v>
      </c>
      <c r="BZ701">
        <f>VLOOKUP($H701,'1. Set Program Names'!$B$2:$D$15,3,0)*Z701</f>
        <v>4.9860978639635865E-2</v>
      </c>
      <c r="CA701">
        <f>VLOOKUP($H701,'1. Set Program Names'!$B$2:$D$15,3,0)*AA701</f>
        <v>6.2433031464420266E-2</v>
      </c>
      <c r="CB701">
        <f>VLOOKUP($H701,'1. Set Program Names'!$B$2:$D$15,3,0)*AB701</f>
        <v>7.5730912798009642E-2</v>
      </c>
      <c r="CC701">
        <f>VLOOKUP($H701,'1. Set Program Names'!$B$2:$D$15,3,0)*AC701</f>
        <v>8.9679861914602782E-2</v>
      </c>
      <c r="CD701">
        <f>VLOOKUP($H701,'1. Set Program Names'!$B$2:$D$15,3,0)*AD701</f>
        <v>0.10427439256796407</v>
      </c>
      <c r="CE701">
        <f>VLOOKUP($H701,'1. Set Program Names'!$B$2:$D$15,3,0)*AE701</f>
        <v>0.11948044711018967</v>
      </c>
    </row>
    <row r="702" spans="1:83" x14ac:dyDescent="0.25">
      <c r="A702" s="20" t="s">
        <v>115</v>
      </c>
      <c r="B702" s="20" t="s">
        <v>88</v>
      </c>
      <c r="C702" s="20" t="s">
        <v>176</v>
      </c>
      <c r="D702" s="20" t="s">
        <v>90</v>
      </c>
      <c r="E702" s="20" t="s">
        <v>91</v>
      </c>
      <c r="F702" s="20" t="s">
        <v>90</v>
      </c>
      <c r="G702" s="20" t="s">
        <v>92</v>
      </c>
      <c r="H702" s="20" t="s">
        <v>16</v>
      </c>
      <c r="I702" s="20" t="s">
        <v>162</v>
      </c>
      <c r="J702" s="20" t="s">
        <v>161</v>
      </c>
      <c r="K702" s="20" t="s">
        <v>159</v>
      </c>
      <c r="L702" s="20">
        <v>725.58416666666596</v>
      </c>
      <c r="M702" s="20">
        <v>8.6917804178563804E-2</v>
      </c>
      <c r="N702" s="20">
        <v>8.3795205289933394E-2</v>
      </c>
      <c r="O702" s="20">
        <v>179</v>
      </c>
      <c r="P702" s="20">
        <v>33.0790753554421</v>
      </c>
      <c r="Q702" s="20">
        <v>26.4312370090766</v>
      </c>
      <c r="R702" s="20">
        <v>310.45187974046598</v>
      </c>
      <c r="S702" s="20">
        <v>770.62146764617603</v>
      </c>
      <c r="T702" s="20">
        <v>15</v>
      </c>
      <c r="U702" s="20">
        <v>0.59999999999999898</v>
      </c>
      <c r="V702" s="20">
        <v>1.1208935537004201</v>
      </c>
      <c r="W702" s="20">
        <v>2.3960974030202702</v>
      </c>
      <c r="X702" s="20">
        <v>3.80577178853803</v>
      </c>
      <c r="Y702" s="20">
        <v>5.3504182401984002</v>
      </c>
      <c r="Z702" s="20">
        <v>7.0100276143747102</v>
      </c>
      <c r="AA702" s="20">
        <v>8.7775508334448809</v>
      </c>
      <c r="AB702" s="20">
        <v>10.647119339808601</v>
      </c>
      <c r="AC702" s="20">
        <v>12.6082224141292</v>
      </c>
      <c r="AD702" s="20">
        <v>14.660088737057199</v>
      </c>
      <c r="AE702" s="20">
        <v>16.7979300942654</v>
      </c>
      <c r="AF702" t="str">
        <f t="shared" si="43"/>
        <v>NonResidential</v>
      </c>
      <c r="AG702" t="str">
        <f>tbl_Data_old[[#This Row],[All_Meas_Name_Append]]</f>
        <v>LED High Bay_LF Baseline</v>
      </c>
      <c r="AH702">
        <f>AVERAGEIFS('3. Incentive Adjustment'!G:G,'3. Incentive Adjustment'!A:A,tbl_Data_old[[#This Row],[Trimmed Sector]],'3. Incentive Adjustment'!B:B,tbl_Data_old[[#This Row],[Trimmed Measure Name]])</f>
        <v>0.93017466414143679</v>
      </c>
      <c r="AI702">
        <f>$AH702*tbl_Data_old[[#This Row],[2025 ]]</f>
        <v>1.0426267848515898</v>
      </c>
      <c r="AJ702">
        <f>$AH702*tbl_Data_old[[#This Row],[2026 ]]</f>
        <v>2.2287890971045488</v>
      </c>
      <c r="AK702">
        <f>$AH702*tbl_Data_old[[#This Row],[2027 ]]</f>
        <v>3.5400324952023174</v>
      </c>
      <c r="AL702">
        <f>$AH702*tbl_Data_old[[#This Row],[2028 ]]</f>
        <v>4.9768234895927641</v>
      </c>
      <c r="AM702">
        <f>$AH702*tbl_Data_old[[#This Row],[2029 ]]</f>
        <v>6.5205500818231936</v>
      </c>
      <c r="AN702">
        <f>$AH702*tbl_Data_old[[#This Row],[2030 ]]</f>
        <v>8.1646553984839798</v>
      </c>
      <c r="AO702">
        <f>$AH702*tbl_Data_old[[#This Row],[2031 ]]</f>
        <v>9.9036806559802617</v>
      </c>
      <c r="AP702">
        <f>$AH702*tbl_Data_old[[#This Row],[2032 ]]</f>
        <v>11.727849049483163</v>
      </c>
      <c r="AQ702">
        <f>$AH702*tbl_Data_old[[#This Row],[2033 ]]</f>
        <v>13.63644311727584</v>
      </c>
      <c r="AR702">
        <f>$AH702*tbl_Data_old[[#This Row],[2034 ]]</f>
        <v>15.625008983704651</v>
      </c>
      <c r="AS702">
        <f>SUM(tbl_Data_old[[#This Row],[Adjusted 2025]:[Adjusted 2034]])</f>
        <v>77.366459153502305</v>
      </c>
      <c r="AT702" s="3">
        <f>AVERAGEIFS('3. Incentive Adjustment'!F:F,'3. Incentive Adjustment'!A:A,tbl_Data_old[[#This Row],[Trimmed Sector]],'3. Incentive Adjustment'!B:B,tbl_Data_old[[#This Row],[Trimmed Measure Name]])</f>
        <v>23.858858929800434</v>
      </c>
      <c r="AU702" s="3">
        <f>IFERROR(VLOOKUP(tbl_Data_old[[#This Row],[All_Meas_Name_Append]],'IRA Tax Credits'!$A$3:$D$46,4,0),0)</f>
        <v>0</v>
      </c>
      <c r="AV702" s="4">
        <f>tbl_Data_old[[#This Row],[Adj. per unit Incentive ($)]]/tbl_Data_old[[#This Row],[kWh Savings]]*tbl_Data_old[[#This Row],[Sum of Annuals]]</f>
        <v>2.543985273716117</v>
      </c>
      <c r="AW702" s="4">
        <f>IFERROR(VLOOKUP(tbl_Data_old[[#This Row],[All_Programs]],'1. Set Program Names'!$B$2:$D$15,3,0)*tbl_Data_old[[#This Row],[Sum of Annuals]],"")</f>
        <v>2.8182687996535187</v>
      </c>
      <c r="AX702" s="4">
        <f>tbl_Data_old[[#This Row],[per unit IRA tax ($)]]/tbl_Data_old[[#This Row],[kWh Savings]]*tbl_Data_old[[#This Row],[Sum of Annuals]]</f>
        <v>0</v>
      </c>
      <c r="AY702" s="4">
        <f>tbl_Data_old[[#This Row],[Avoided Costs ($/unit)]]/tbl_Data_old[[#This Row],[kWh Savings]]*tbl_Data_old[[#This Row],[Sum of Annuals]]</f>
        <v>33.102379815439001</v>
      </c>
      <c r="AZ702" s="4">
        <f>tbl_Data_old[[#This Row],[Lost Revenue ($/unit)]]/tbl_Data_old[[#This Row],[kWh Savings]]*tbl_Data_old[[#This Row],[Sum of Annuals]]</f>
        <v>82.168626381905995</v>
      </c>
      <c r="BA702" s="4">
        <f>tbl_Data_old[[#This Row],[Incremental Cost ($/unit)]]/tbl_Data_old[[#This Row],[kWh Savings]]*tbl_Data_old[[#This Row],[Sum of Annuals]]</f>
        <v>19.086133386974762</v>
      </c>
      <c r="BB702">
        <f>ROUNDUP(tbl_Data_old[[#This Row],[Adjusted 2025]]/$L702,0)</f>
        <v>1</v>
      </c>
      <c r="BC702">
        <f>ROUNDUP(tbl_Data_old[[#This Row],[Adjusted 2026]]/$L702,0)</f>
        <v>1</v>
      </c>
      <c r="BD702">
        <f>ROUNDUP(tbl_Data_old[[#This Row],[Adjusted 2027]]/$L702,0)</f>
        <v>1</v>
      </c>
      <c r="BE702">
        <f>ROUNDUP(tbl_Data_old[[#This Row],[Adjusted 2028]]/$L702,0)</f>
        <v>1</v>
      </c>
      <c r="BF702">
        <f>ROUNDUP(tbl_Data_old[[#This Row],[Adjusted 2029]]/$L702,0)</f>
        <v>1</v>
      </c>
      <c r="BG702">
        <f>ROUNDUP(tbl_Data_old[[#This Row],[Adjusted 2030]]/$L702,0)</f>
        <v>1</v>
      </c>
      <c r="BH702">
        <f>ROUNDUP(tbl_Data_old[[#This Row],[Adjusted 2031]]/$L702,0)</f>
        <v>1</v>
      </c>
      <c r="BI702">
        <f>ROUNDUP(tbl_Data_old[[#This Row],[Adjusted 2032]]/$L702,0)</f>
        <v>1</v>
      </c>
      <c r="BJ702">
        <f>ROUNDUP(tbl_Data_old[[#This Row],[Adjusted 2033]]/$L702,0)</f>
        <v>1</v>
      </c>
      <c r="BK702">
        <f>ROUNDUP(tbl_Data_old[[#This Row],[Adjusted 2034]]/$L702,0)</f>
        <v>1</v>
      </c>
      <c r="BL702" s="3">
        <f t="shared" si="47"/>
        <v>3.6857531354245882E-2</v>
      </c>
      <c r="BM702" s="3">
        <f t="shared" si="47"/>
        <v>7.8789136460008916E-2</v>
      </c>
      <c r="BN702" s="3">
        <f t="shared" si="47"/>
        <v>0.12514243886947629</v>
      </c>
      <c r="BO702" s="3">
        <f t="shared" si="47"/>
        <v>0.17593393002878119</v>
      </c>
      <c r="BP702" s="3">
        <f t="shared" si="47"/>
        <v>0.23050566375190359</v>
      </c>
      <c r="BQ702" s="3">
        <f t="shared" si="47"/>
        <v>0.28862585032195504</v>
      </c>
      <c r="BR702" s="3">
        <f t="shared" si="47"/>
        <v>0.35010151820738955</v>
      </c>
      <c r="BS702" s="3">
        <f t="shared" si="47"/>
        <v>0.4145870510325681</v>
      </c>
      <c r="BT702" s="3">
        <f t="shared" si="47"/>
        <v>0.48205708606165043</v>
      </c>
      <c r="BU702" s="3">
        <f t="shared" si="47"/>
        <v>0.552354175908921</v>
      </c>
      <c r="BV702">
        <f>VLOOKUP($H702,'1. Set Program Names'!$B$2:$D$15,3,0)*V702</f>
        <v>4.0831380480512089E-2</v>
      </c>
      <c r="BW702">
        <f>VLOOKUP($H702,'1. Set Program Names'!$B$2:$D$15,3,0)*W702</f>
        <v>8.7283903460859819E-2</v>
      </c>
      <c r="BX702">
        <f>VLOOKUP($H702,'1. Set Program Names'!$B$2:$D$15,3,0)*X702</f>
        <v>0.13863485556392763</v>
      </c>
      <c r="BY702">
        <f>VLOOKUP($H702,'1. Set Program Names'!$B$2:$D$15,3,0)*Y702</f>
        <v>0.19490250628544667</v>
      </c>
      <c r="BZ702">
        <f>VLOOKUP($H702,'1. Set Program Names'!$B$2:$D$15,3,0)*Z702</f>
        <v>0.25535797200055127</v>
      </c>
      <c r="CA702">
        <f>VLOOKUP($H702,'1. Set Program Names'!$B$2:$D$15,3,0)*AA702</f>
        <v>0.31974447224202068</v>
      </c>
      <c r="CB702">
        <f>VLOOKUP($H702,'1. Set Program Names'!$B$2:$D$15,3,0)*AB702</f>
        <v>0.38784822996790574</v>
      </c>
      <c r="CC702">
        <f>VLOOKUP($H702,'1. Set Program Names'!$B$2:$D$15,3,0)*AC702</f>
        <v>0.45928636566307079</v>
      </c>
      <c r="CD702">
        <f>VLOOKUP($H702,'1. Set Program Names'!$B$2:$D$15,3,0)*AD702</f>
        <v>0.53403078207088817</v>
      </c>
      <c r="CE702">
        <f>VLOOKUP($H702,'1. Set Program Names'!$B$2:$D$15,3,0)*AE702</f>
        <v>0.61190705638343768</v>
      </c>
    </row>
    <row r="703" spans="1:83" x14ac:dyDescent="0.25">
      <c r="A703" s="20" t="s">
        <v>115</v>
      </c>
      <c r="B703" s="20" t="s">
        <v>88</v>
      </c>
      <c r="C703" s="20" t="s">
        <v>176</v>
      </c>
      <c r="D703" s="20" t="s">
        <v>90</v>
      </c>
      <c r="E703" s="20" t="s">
        <v>91</v>
      </c>
      <c r="F703" s="20" t="s">
        <v>90</v>
      </c>
      <c r="G703" s="20" t="s">
        <v>92</v>
      </c>
      <c r="H703" s="20" t="s">
        <v>16</v>
      </c>
      <c r="I703" s="20" t="s">
        <v>165</v>
      </c>
      <c r="J703" s="20" t="s">
        <v>161</v>
      </c>
      <c r="K703" s="20" t="s">
        <v>166</v>
      </c>
      <c r="L703" s="20">
        <v>565.38999999999896</v>
      </c>
      <c r="M703" s="20">
        <v>6.7728127941350899E-2</v>
      </c>
      <c r="N703" s="20">
        <v>6.5294935157718198E-2</v>
      </c>
      <c r="O703" s="20">
        <v>129</v>
      </c>
      <c r="P703" s="20">
        <v>15.293574707506</v>
      </c>
      <c r="Q703" s="20">
        <v>20.595759636286299</v>
      </c>
      <c r="R703" s="20">
        <v>190.6779313312</v>
      </c>
      <c r="S703" s="20">
        <v>454.767236260907</v>
      </c>
      <c r="T703" s="20">
        <v>10</v>
      </c>
      <c r="U703" s="20">
        <v>0.59999999999999898</v>
      </c>
      <c r="V703" s="20">
        <v>0.134120180266667</v>
      </c>
      <c r="W703" s="20">
        <v>0.31930851489670897</v>
      </c>
      <c r="X703" s="20">
        <v>0.56705429177509803</v>
      </c>
      <c r="Y703" s="20">
        <v>0.890230407147516</v>
      </c>
      <c r="Z703" s="20">
        <v>1.2936902743818</v>
      </c>
      <c r="AA703" s="20">
        <v>1.772605360227</v>
      </c>
      <c r="AB703" s="20">
        <v>2.30635200248906</v>
      </c>
      <c r="AC703" s="20">
        <v>2.8568371034730098</v>
      </c>
      <c r="AD703" s="20">
        <v>3.37804505031181</v>
      </c>
      <c r="AE703" s="20">
        <v>3.8290882016164902</v>
      </c>
      <c r="AF703" t="str">
        <f t="shared" si="43"/>
        <v>NonResidential</v>
      </c>
      <c r="AG703" t="str">
        <f>tbl_Data_old[[#This Row],[All_Meas_Name_Append]]</f>
        <v>Occupancy Sensors_ Ceiling Mounted</v>
      </c>
      <c r="AH703">
        <f>AVERAGEIFS('3. Incentive Adjustment'!G:G,'3. Incentive Adjustment'!A:A,tbl_Data_old[[#This Row],[Trimmed Sector]],'3. Incentive Adjustment'!B:B,tbl_Data_old[[#This Row],[Trimmed Measure Name]])</f>
        <v>0.99348124042467356</v>
      </c>
      <c r="AI703">
        <f>$AH703*tbl_Data_old[[#This Row],[2025 ]]</f>
        <v>0.13324588305730917</v>
      </c>
      <c r="AJ703">
        <f>$AH703*tbl_Data_old[[#This Row],[2026 ]]</f>
        <v>0.31722701945774279</v>
      </c>
      <c r="AK703">
        <f>$AH703*tbl_Data_old[[#This Row],[2027 ]]</f>
        <v>0.56335780118085921</v>
      </c>
      <c r="AL703">
        <f>$AH703*tbl_Data_old[[#This Row],[2028 ]]</f>
        <v>0.88442720915667639</v>
      </c>
      <c r="AM703">
        <f>$AH703*tbl_Data_old[[#This Row],[2029 ]]</f>
        <v>1.2852570185181669</v>
      </c>
      <c r="AN703">
        <f>$AH703*tbl_Data_old[[#This Row],[2030 ]]</f>
        <v>1.7610501720617453</v>
      </c>
      <c r="AO703">
        <f>$AH703*tbl_Data_old[[#This Row],[2031 ]]</f>
        <v>2.291317448288761</v>
      </c>
      <c r="AP703">
        <f>$AH703*tbl_Data_old[[#This Row],[2032 ]]</f>
        <v>2.8382140692495974</v>
      </c>
      <c r="AQ703">
        <f>$AH703*tbl_Data_old[[#This Row],[2033 ]]</f>
        <v>3.3560243867942057</v>
      </c>
      <c r="AR703">
        <f>$AH703*tbl_Data_old[[#This Row],[2034 ]]</f>
        <v>3.8041272962374331</v>
      </c>
      <c r="AS703">
        <f>SUM(tbl_Data_old[[#This Row],[Adjusted 2025]:[Adjusted 2034]])</f>
        <v>17.234248304002495</v>
      </c>
      <c r="AT703" s="3">
        <f>AVERAGEIFS('3. Incentive Adjustment'!F:F,'3. Incentive Adjustment'!A:A,tbl_Data_old[[#This Row],[Trimmed Sector]],'3. Incentive Adjustment'!B:B,tbl_Data_old[[#This Row],[Trimmed Measure Name]])</f>
        <v>19.547634357270656</v>
      </c>
      <c r="AU703" s="3">
        <f>IFERROR(VLOOKUP(tbl_Data_old[[#This Row],[All_Meas_Name_Append]],'IRA Tax Credits'!$A$3:$D$46,4,0),0)</f>
        <v>0</v>
      </c>
      <c r="AV703" s="4">
        <f>tbl_Data_old[[#This Row],[Adj. per unit Incentive ($)]]/tbl_Data_old[[#This Row],[kWh Savings]]*tbl_Data_old[[#This Row],[Sum of Annuals]]</f>
        <v>0.5958520388918328</v>
      </c>
      <c r="AW703" s="4">
        <f>IFERROR(VLOOKUP(tbl_Data_old[[#This Row],[All_Programs]],'1. Set Program Names'!$B$2:$D$15,3,0)*tbl_Data_old[[#This Row],[Sum of Annuals]],"")</f>
        <v>0.62780104986170937</v>
      </c>
      <c r="AX703" s="4">
        <f>tbl_Data_old[[#This Row],[per unit IRA tax ($)]]/tbl_Data_old[[#This Row],[kWh Savings]]*tbl_Data_old[[#This Row],[Sum of Annuals]]</f>
        <v>0</v>
      </c>
      <c r="AY703" s="4">
        <f>tbl_Data_old[[#This Row],[Avoided Costs ($/unit)]]/tbl_Data_old[[#This Row],[kWh Savings]]*tbl_Data_old[[#This Row],[Sum of Annuals]]</f>
        <v>5.8122549296157411</v>
      </c>
      <c r="AZ703" s="4">
        <f>tbl_Data_old[[#This Row],[Lost Revenue ($/unit)]]/tbl_Data_old[[#This Row],[kWh Savings]]*tbl_Data_old[[#This Row],[Sum of Annuals]]</f>
        <v>13.86223928659059</v>
      </c>
      <c r="BA703" s="4">
        <f>tbl_Data_old[[#This Row],[Incremental Cost ($/unit)]]/tbl_Data_old[[#This Row],[kWh Savings]]*tbl_Data_old[[#This Row],[Sum of Annuals]]</f>
        <v>3.9321849187575406</v>
      </c>
      <c r="BB703">
        <f>ROUNDUP(tbl_Data_old[[#This Row],[Adjusted 2025]]/$L703,0)</f>
        <v>1</v>
      </c>
      <c r="BC703">
        <f>ROUNDUP(tbl_Data_old[[#This Row],[Adjusted 2026]]/$L703,0)</f>
        <v>1</v>
      </c>
      <c r="BD703">
        <f>ROUNDUP(tbl_Data_old[[#This Row],[Adjusted 2027]]/$L703,0)</f>
        <v>1</v>
      </c>
      <c r="BE703">
        <f>ROUNDUP(tbl_Data_old[[#This Row],[Adjusted 2028]]/$L703,0)</f>
        <v>1</v>
      </c>
      <c r="BF703">
        <f>ROUNDUP(tbl_Data_old[[#This Row],[Adjusted 2029]]/$L703,0)</f>
        <v>1</v>
      </c>
      <c r="BG703">
        <f>ROUNDUP(tbl_Data_old[[#This Row],[Adjusted 2030]]/$L703,0)</f>
        <v>1</v>
      </c>
      <c r="BH703">
        <f>ROUNDUP(tbl_Data_old[[#This Row],[Adjusted 2031]]/$L703,0)</f>
        <v>1</v>
      </c>
      <c r="BI703">
        <f>ROUNDUP(tbl_Data_old[[#This Row],[Adjusted 2032]]/$L703,0)</f>
        <v>1</v>
      </c>
      <c r="BJ703">
        <f>ROUNDUP(tbl_Data_old[[#This Row],[Adjusted 2033]]/$L703,0)</f>
        <v>1</v>
      </c>
      <c r="BK703">
        <f>ROUNDUP(tbl_Data_old[[#This Row],[Adjusted 2034]]/$L703,0)</f>
        <v>1</v>
      </c>
      <c r="BL703" s="3">
        <f t="shared" si="47"/>
        <v>4.6370332757637005E-3</v>
      </c>
      <c r="BM703" s="3">
        <f t="shared" si="47"/>
        <v>1.1039682513599443E-2</v>
      </c>
      <c r="BN703" s="3">
        <f t="shared" si="47"/>
        <v>1.9605175111587939E-2</v>
      </c>
      <c r="BO703" s="3">
        <f t="shared" si="47"/>
        <v>3.0778574952941968E-2</v>
      </c>
      <c r="BP703" s="3">
        <f t="shared" si="47"/>
        <v>4.4727682582239907E-2</v>
      </c>
      <c r="BQ703" s="3">
        <f t="shared" si="47"/>
        <v>6.1285557653045677E-2</v>
      </c>
      <c r="BR703" s="3">
        <f t="shared" si="47"/>
        <v>7.9739163486823625E-2</v>
      </c>
      <c r="BS703" s="3">
        <f t="shared" si="47"/>
        <v>9.8771480070349124E-2</v>
      </c>
      <c r="BT703" s="3">
        <f t="shared" si="47"/>
        <v>0.11679157658586699</v>
      </c>
      <c r="BU703" s="3">
        <f t="shared" si="47"/>
        <v>0.13238581525484772</v>
      </c>
      <c r="BV703">
        <f>VLOOKUP($H703,'1. Set Program Names'!$B$2:$D$15,3,0)*V703</f>
        <v>4.8856665224847901E-3</v>
      </c>
      <c r="BW703">
        <f>VLOOKUP($H703,'1. Set Program Names'!$B$2:$D$15,3,0)*W703</f>
        <v>1.1631619630046856E-2</v>
      </c>
      <c r="BX703">
        <f>VLOOKUP($H703,'1. Set Program Names'!$B$2:$D$15,3,0)*X703</f>
        <v>2.0656385670288709E-2</v>
      </c>
      <c r="BY703">
        <f>VLOOKUP($H703,'1. Set Program Names'!$B$2:$D$15,3,0)*Y703</f>
        <v>3.2428892422086728E-2</v>
      </c>
      <c r="BZ703">
        <f>VLOOKUP($H703,'1. Set Program Names'!$B$2:$D$15,3,0)*Z703</f>
        <v>4.7125937733191153E-2</v>
      </c>
      <c r="CA703">
        <f>VLOOKUP($H703,'1. Set Program Names'!$B$2:$D$15,3,0)*AA703</f>
        <v>6.4571630076987838E-2</v>
      </c>
      <c r="CB703">
        <f>VLOOKUP($H703,'1. Set Program Names'!$B$2:$D$15,3,0)*AB703</f>
        <v>8.4014700436747164E-2</v>
      </c>
      <c r="CC703">
        <f>VLOOKUP($H703,'1. Set Program Names'!$B$2:$D$15,3,0)*AC703</f>
        <v>0.10406751145785167</v>
      </c>
      <c r="CD703">
        <f>VLOOKUP($H703,'1. Set Program Names'!$B$2:$D$15,3,0)*AD703</f>
        <v>0.12305382814830298</v>
      </c>
      <c r="CE703">
        <f>VLOOKUP($H703,'1. Set Program Names'!$B$2:$D$15,3,0)*AE703</f>
        <v>0.13948421483689732</v>
      </c>
    </row>
    <row r="704" spans="1:83" x14ac:dyDescent="0.25">
      <c r="A704" s="20" t="s">
        <v>116</v>
      </c>
      <c r="B704" s="20" t="s">
        <v>88</v>
      </c>
      <c r="C704" s="20" t="s">
        <v>176</v>
      </c>
      <c r="D704" s="20" t="s">
        <v>90</v>
      </c>
      <c r="E704" s="20" t="s">
        <v>91</v>
      </c>
      <c r="F704" s="20" t="s">
        <v>90</v>
      </c>
      <c r="G704" s="20" t="s">
        <v>92</v>
      </c>
      <c r="H704" s="20" t="s">
        <v>16</v>
      </c>
      <c r="I704" s="20" t="s">
        <v>157</v>
      </c>
      <c r="J704" s="20" t="s">
        <v>158</v>
      </c>
      <c r="K704" s="20" t="s">
        <v>159</v>
      </c>
      <c r="L704" s="20">
        <v>562.52</v>
      </c>
      <c r="M704" s="20">
        <v>6.7473359330379998E-2</v>
      </c>
      <c r="N704" s="20">
        <v>6.4973258375617293E-2</v>
      </c>
      <c r="O704" s="20">
        <v>169</v>
      </c>
      <c r="P704" s="20">
        <v>55.847956108163899</v>
      </c>
      <c r="Q704" s="20">
        <v>20.491212633056499</v>
      </c>
      <c r="R704" s="20">
        <v>240.47921618074301</v>
      </c>
      <c r="S704" s="20">
        <v>597.43584258705596</v>
      </c>
      <c r="T704" s="20">
        <v>15</v>
      </c>
      <c r="U704" s="20">
        <v>0.59999999999999898</v>
      </c>
      <c r="V704" s="20">
        <v>0.21077629929282099</v>
      </c>
      <c r="W704" s="20">
        <v>0.23979328573731101</v>
      </c>
      <c r="X704" s="20">
        <v>0.26507954230480402</v>
      </c>
      <c r="Y704" s="20">
        <v>0.29046010811814699</v>
      </c>
      <c r="Z704" s="20">
        <v>0.312078092523358</v>
      </c>
      <c r="AA704" s="20">
        <v>0.33237054651606501</v>
      </c>
      <c r="AB704" s="20">
        <v>0.35155945874150002</v>
      </c>
      <c r="AC704" s="20">
        <v>0.36877190271320998</v>
      </c>
      <c r="AD704" s="20">
        <v>0.38583930540287298</v>
      </c>
      <c r="AE704" s="20">
        <v>0.40200631742406601</v>
      </c>
      <c r="AF704" t="str">
        <f t="shared" si="43"/>
        <v>NonResidential</v>
      </c>
      <c r="AG704" t="str">
        <f>tbl_Data_old[[#This Row],[All_Meas_Name_Append]]</f>
        <v>LED Exterior Wall Packs</v>
      </c>
      <c r="AH704">
        <f>AVERAGEIFS('3. Incentive Adjustment'!G:G,'3. Incentive Adjustment'!A:A,tbl_Data_old[[#This Row],[Trimmed Sector]],'3. Incentive Adjustment'!B:B,tbl_Data_old[[#This Row],[Trimmed Measure Name]])</f>
        <v>0.80637708305213962</v>
      </c>
      <c r="AI704">
        <f>$AH704*tbl_Data_old[[#This Row],[2025 ]]</f>
        <v>0.16996517740026976</v>
      </c>
      <c r="AJ704">
        <f>$AH704*tbl_Data_old[[#This Row],[2026 ]]</f>
        <v>0.1933638102883411</v>
      </c>
      <c r="AK704">
        <f>$AH704*tbl_Data_old[[#This Row],[2027 ]]</f>
        <v>0.21375406810054412</v>
      </c>
      <c r="AL704">
        <f>$AH704*tbl_Data_old[[#This Row],[2028 ]]</f>
        <v>0.23422037472732046</v>
      </c>
      <c r="AM704">
        <f>$AH704*tbl_Data_old[[#This Row],[2029 ]]</f>
        <v>0.25165262193346116</v>
      </c>
      <c r="AN704">
        <f>$AH704*tbl_Data_old[[#This Row],[2030 ]]</f>
        <v>0.26801599179206997</v>
      </c>
      <c r="AO704">
        <f>$AH704*tbl_Data_old[[#This Row],[2031 ]]</f>
        <v>0.28348949085935982</v>
      </c>
      <c r="AP704">
        <f>$AH704*tbl_Data_old[[#This Row],[2032 ]]</f>
        <v>0.29736921122146565</v>
      </c>
      <c r="AQ704">
        <f>$AH704*tbl_Data_old[[#This Row],[2033 ]]</f>
        <v>0.31113197361763234</v>
      </c>
      <c r="AR704">
        <f>$AH704*tbl_Data_old[[#This Row],[2034 ]]</f>
        <v>0.32416868161295087</v>
      </c>
      <c r="AS704">
        <f>SUM(tbl_Data_old[[#This Row],[Adjusted 2025]:[Adjusted 2034]])</f>
        <v>2.5471314015534152</v>
      </c>
      <c r="AT704" s="3">
        <f>AVERAGEIFS('3. Incentive Adjustment'!F:F,'3. Incentive Adjustment'!A:A,tbl_Data_old[[#This Row],[Trimmed Sector]],'3. Incentive Adjustment'!B:B,tbl_Data_old[[#This Row],[Trimmed Measure Name]])</f>
        <v>8.6864493556481861</v>
      </c>
      <c r="AU704" s="3">
        <f>IFERROR(VLOOKUP(tbl_Data_old[[#This Row],[All_Meas_Name_Append]],'IRA Tax Credits'!$A$3:$D$46,4,0),0)</f>
        <v>0</v>
      </c>
      <c r="AV704" s="4">
        <f>tbl_Data_old[[#This Row],[Adj. per unit Incentive ($)]]/tbl_Data_old[[#This Row],[kWh Savings]]*tbl_Data_old[[#This Row],[Sum of Annuals]]</f>
        <v>3.9332873358769331E-2</v>
      </c>
      <c r="AW704" s="4">
        <f>IFERROR(VLOOKUP(tbl_Data_old[[#This Row],[All_Programs]],'1. Set Program Names'!$B$2:$D$15,3,0)*tbl_Data_old[[#This Row],[Sum of Annuals]],"")</f>
        <v>9.2785698559280178E-2</v>
      </c>
      <c r="AX704" s="4">
        <f>tbl_Data_old[[#This Row],[per unit IRA tax ($)]]/tbl_Data_old[[#This Row],[kWh Savings]]*tbl_Data_old[[#This Row],[Sum of Annuals]]</f>
        <v>0</v>
      </c>
      <c r="AY704" s="4">
        <f>tbl_Data_old[[#This Row],[Avoided Costs ($/unit)]]/tbl_Data_old[[#This Row],[kWh Savings]]*tbl_Data_old[[#This Row],[Sum of Annuals]]</f>
        <v>1.088907350769613</v>
      </c>
      <c r="AZ704" s="4">
        <f>tbl_Data_old[[#This Row],[Lost Revenue ($/unit)]]/tbl_Data_old[[#This Row],[kWh Savings]]*tbl_Data_old[[#This Row],[Sum of Annuals]]</f>
        <v>2.7052328718392475</v>
      </c>
      <c r="BA704" s="4">
        <f>tbl_Data_old[[#This Row],[Incremental Cost ($/unit)]]/tbl_Data_old[[#This Row],[kWh Savings]]*tbl_Data_old[[#This Row],[Sum of Annuals]]</f>
        <v>0.76524427018155294</v>
      </c>
      <c r="BB704">
        <f>ROUNDUP(tbl_Data_old[[#This Row],[Adjusted 2025]]/$L704,0)</f>
        <v>1</v>
      </c>
      <c r="BC704">
        <f>ROUNDUP(tbl_Data_old[[#This Row],[Adjusted 2026]]/$L704,0)</f>
        <v>1</v>
      </c>
      <c r="BD704">
        <f>ROUNDUP(tbl_Data_old[[#This Row],[Adjusted 2027]]/$L704,0)</f>
        <v>1</v>
      </c>
      <c r="BE704">
        <f>ROUNDUP(tbl_Data_old[[#This Row],[Adjusted 2028]]/$L704,0)</f>
        <v>1</v>
      </c>
      <c r="BF704">
        <f>ROUNDUP(tbl_Data_old[[#This Row],[Adjusted 2029]]/$L704,0)</f>
        <v>1</v>
      </c>
      <c r="BG704">
        <f>ROUNDUP(tbl_Data_old[[#This Row],[Adjusted 2030]]/$L704,0)</f>
        <v>1</v>
      </c>
      <c r="BH704">
        <f>ROUNDUP(tbl_Data_old[[#This Row],[Adjusted 2031]]/$L704,0)</f>
        <v>1</v>
      </c>
      <c r="BI704">
        <f>ROUNDUP(tbl_Data_old[[#This Row],[Adjusted 2032]]/$L704,0)</f>
        <v>1</v>
      </c>
      <c r="BJ704">
        <f>ROUNDUP(tbl_Data_old[[#This Row],[Adjusted 2033]]/$L704,0)</f>
        <v>1</v>
      </c>
      <c r="BK704">
        <f>ROUNDUP(tbl_Data_old[[#This Row],[Adjusted 2034]]/$L704,0)</f>
        <v>1</v>
      </c>
      <c r="BL704" s="3">
        <f t="shared" si="47"/>
        <v>3.2548134273946423E-3</v>
      </c>
      <c r="BM704" s="3">
        <f t="shared" si="47"/>
        <v>3.7028945324284052E-3</v>
      </c>
      <c r="BN704" s="3">
        <f t="shared" si="47"/>
        <v>4.0933656037991199E-3</v>
      </c>
      <c r="BO704" s="3">
        <f t="shared" si="47"/>
        <v>4.4852930011455242E-3</v>
      </c>
      <c r="BP704" s="3">
        <f t="shared" si="47"/>
        <v>4.8191185126065525E-3</v>
      </c>
      <c r="BQ704" s="3">
        <f t="shared" si="47"/>
        <v>5.1324751468763922E-3</v>
      </c>
      <c r="BR704" s="3">
        <f t="shared" si="47"/>
        <v>5.4287908587376948E-3</v>
      </c>
      <c r="BS704" s="3">
        <f t="shared" si="47"/>
        <v>5.694585893309248E-3</v>
      </c>
      <c r="BT704" s="3">
        <f t="shared" si="47"/>
        <v>5.9581411964028472E-3</v>
      </c>
      <c r="BU704" s="3">
        <f t="shared" si="47"/>
        <v>6.2077926419590026E-3</v>
      </c>
      <c r="BV704">
        <f>VLOOKUP($H704,'1. Set Program Names'!$B$2:$D$15,3,0)*V704</f>
        <v>7.6780593877870196E-3</v>
      </c>
      <c r="BW704">
        <f>VLOOKUP($H704,'1. Set Program Names'!$B$2:$D$15,3,0)*W704</f>
        <v>8.7350764524328339E-3</v>
      </c>
      <c r="BX704">
        <f>VLOOKUP($H704,'1. Set Program Names'!$B$2:$D$15,3,0)*X704</f>
        <v>9.6561922527928588E-3</v>
      </c>
      <c r="BY704">
        <f>VLOOKUP($H704,'1. Set Program Names'!$B$2:$D$15,3,0)*Y704</f>
        <v>1.0580743505776745E-2</v>
      </c>
      <c r="BZ704">
        <f>VLOOKUP($H704,'1. Set Program Names'!$B$2:$D$15,3,0)*Z704</f>
        <v>1.1368233221956221E-2</v>
      </c>
      <c r="CA704">
        <f>VLOOKUP($H704,'1. Set Program Names'!$B$2:$D$15,3,0)*AA704</f>
        <v>1.2107437142903167E-2</v>
      </c>
      <c r="CB704">
        <f>VLOOKUP($H704,'1. Set Program Names'!$B$2:$D$15,3,0)*AB704</f>
        <v>1.2806441766042693E-2</v>
      </c>
      <c r="CC704">
        <f>VLOOKUP($H704,'1. Set Program Names'!$B$2:$D$15,3,0)*AC704</f>
        <v>1.3433448537995479E-2</v>
      </c>
      <c r="CD704">
        <f>VLOOKUP($H704,'1. Set Program Names'!$B$2:$D$15,3,0)*AD704</f>
        <v>1.4055171814692992E-2</v>
      </c>
      <c r="CE704">
        <f>VLOOKUP($H704,'1. Set Program Names'!$B$2:$D$15,3,0)*AE704</f>
        <v>1.4644096085772149E-2</v>
      </c>
    </row>
    <row r="705" spans="1:83" x14ac:dyDescent="0.25">
      <c r="A705" s="20" t="s">
        <v>116</v>
      </c>
      <c r="B705" s="20" t="s">
        <v>88</v>
      </c>
      <c r="C705" s="20" t="s">
        <v>176</v>
      </c>
      <c r="D705" s="20" t="s">
        <v>90</v>
      </c>
      <c r="E705" s="20" t="s">
        <v>91</v>
      </c>
      <c r="F705" s="20" t="s">
        <v>90</v>
      </c>
      <c r="G705" s="20" t="s">
        <v>92</v>
      </c>
      <c r="H705" s="20" t="s">
        <v>16</v>
      </c>
      <c r="I705" s="20" t="s">
        <v>162</v>
      </c>
      <c r="J705" s="20" t="s">
        <v>161</v>
      </c>
      <c r="K705" s="20" t="s">
        <v>159</v>
      </c>
      <c r="L705" s="20">
        <v>725.58416666666596</v>
      </c>
      <c r="M705" s="20">
        <v>8.6917804178563804E-2</v>
      </c>
      <c r="N705" s="20">
        <v>8.3795205289933394E-2</v>
      </c>
      <c r="O705" s="20">
        <v>179</v>
      </c>
      <c r="P705" s="20">
        <v>33.0790753554421</v>
      </c>
      <c r="Q705" s="20">
        <v>26.4312370090766</v>
      </c>
      <c r="R705" s="20">
        <v>310.45187974046598</v>
      </c>
      <c r="S705" s="20">
        <v>770.62146764617603</v>
      </c>
      <c r="T705" s="20">
        <v>15</v>
      </c>
      <c r="U705" s="20">
        <v>0.59999999999999898</v>
      </c>
      <c r="V705" s="20">
        <v>1.0826516645114099</v>
      </c>
      <c r="W705" s="20">
        <v>1.23169730568945</v>
      </c>
      <c r="X705" s="20">
        <v>1.36158006695772</v>
      </c>
      <c r="Y705" s="20">
        <v>1.49194724731077</v>
      </c>
      <c r="Z705" s="20">
        <v>1.6029879424847999</v>
      </c>
      <c r="AA705" s="20">
        <v>1.70722005570596</v>
      </c>
      <c r="AB705" s="20">
        <v>1.8057838308112899</v>
      </c>
      <c r="AC705" s="20">
        <v>1.8941954842030699</v>
      </c>
      <c r="AD705" s="20">
        <v>1.9818621335979401</v>
      </c>
      <c r="AE705" s="20">
        <v>2.0649039297279899</v>
      </c>
      <c r="AF705" t="str">
        <f t="shared" si="43"/>
        <v>NonResidential</v>
      </c>
      <c r="AG705" t="str">
        <f>tbl_Data_old[[#This Row],[All_Meas_Name_Append]]</f>
        <v>LED High Bay_LF Baseline</v>
      </c>
      <c r="AH705">
        <f>AVERAGEIFS('3. Incentive Adjustment'!G:G,'3. Incentive Adjustment'!A:A,tbl_Data_old[[#This Row],[Trimmed Sector]],'3. Incentive Adjustment'!B:B,tbl_Data_old[[#This Row],[Trimmed Measure Name]])</f>
        <v>0.93017466414143679</v>
      </c>
      <c r="AI705">
        <f>$AH705*tbl_Data_old[[#This Row],[2025 ]]</f>
        <v>1.0070551484190682</v>
      </c>
      <c r="AJ705">
        <f>$AH705*tbl_Data_old[[#This Row],[2026 ]]</f>
        <v>1.1456936276435967</v>
      </c>
      <c r="AK705">
        <f>$AH705*tbl_Data_old[[#This Row],[2027 ]]</f>
        <v>1.2665072814840723</v>
      </c>
      <c r="AL705">
        <f>$AH705*tbl_Data_old[[#This Row],[2028 ]]</f>
        <v>1.3877715296840367</v>
      </c>
      <c r="AM705">
        <f>$AH705*tbl_Data_old[[#This Row],[2029 ]]</f>
        <v>1.4910587710235716</v>
      </c>
      <c r="AN705">
        <f>$AH705*tbl_Data_old[[#This Row],[2030 ]]</f>
        <v>1.5880128419318165</v>
      </c>
      <c r="AO705">
        <f>$AH705*tbl_Data_old[[#This Row],[2031 ]]</f>
        <v>1.6796943683369288</v>
      </c>
      <c r="AP705">
        <f>$AH705*tbl_Data_old[[#This Row],[2032 ]]</f>
        <v>1.7619326483368167</v>
      </c>
      <c r="AQ705">
        <f>$AH705*tbl_Data_old[[#This Row],[2033 ]]</f>
        <v>1.8434779444940952</v>
      </c>
      <c r="AR705">
        <f>$AH705*tbl_Data_old[[#This Row],[2034 ]]</f>
        <v>1.920721319319066</v>
      </c>
      <c r="AS705">
        <f>SUM(tbl_Data_old[[#This Row],[Adjusted 2025]:[Adjusted 2034]])</f>
        <v>15.091925480673069</v>
      </c>
      <c r="AT705" s="3">
        <f>AVERAGEIFS('3. Incentive Adjustment'!F:F,'3. Incentive Adjustment'!A:A,tbl_Data_old[[#This Row],[Trimmed Sector]],'3. Incentive Adjustment'!B:B,tbl_Data_old[[#This Row],[Trimmed Measure Name]])</f>
        <v>23.858858929800434</v>
      </c>
      <c r="AU705" s="3">
        <f>IFERROR(VLOOKUP(tbl_Data_old[[#This Row],[All_Meas_Name_Append]],'IRA Tax Credits'!$A$3:$D$46,4,0),0)</f>
        <v>0</v>
      </c>
      <c r="AV705" s="4">
        <f>tbl_Data_old[[#This Row],[Adj. per unit Incentive ($)]]/tbl_Data_old[[#This Row],[kWh Savings]]*tbl_Data_old[[#This Row],[Sum of Annuals]]</f>
        <v>0.49625686111182554</v>
      </c>
      <c r="AW705" s="4">
        <f>IFERROR(VLOOKUP(tbl_Data_old[[#This Row],[All_Programs]],'1. Set Program Names'!$B$2:$D$15,3,0)*tbl_Data_old[[#This Row],[Sum of Annuals]],"")</f>
        <v>0.549761526819874</v>
      </c>
      <c r="AX705" s="4">
        <f>tbl_Data_old[[#This Row],[per unit IRA tax ($)]]/tbl_Data_old[[#This Row],[kWh Savings]]*tbl_Data_old[[#This Row],[Sum of Annuals]]</f>
        <v>0</v>
      </c>
      <c r="AY705" s="4">
        <f>tbl_Data_old[[#This Row],[Avoided Costs ($/unit)]]/tbl_Data_old[[#This Row],[kWh Savings]]*tbl_Data_old[[#This Row],[Sum of Annuals]]</f>
        <v>6.4573027494554314</v>
      </c>
      <c r="AZ705" s="4">
        <f>tbl_Data_old[[#This Row],[Lost Revenue ($/unit)]]/tbl_Data_old[[#This Row],[kWh Savings]]*tbl_Data_old[[#This Row],[Sum of Annuals]]</f>
        <v>16.02868736366171</v>
      </c>
      <c r="BA705" s="4">
        <f>tbl_Data_old[[#This Row],[Incremental Cost ($/unit)]]/tbl_Data_old[[#This Row],[kWh Savings]]*tbl_Data_old[[#This Row],[Sum of Annuals]]</f>
        <v>3.723144447116264</v>
      </c>
      <c r="BB705">
        <f>ROUNDUP(tbl_Data_old[[#This Row],[Adjusted 2025]]/$L705,0)</f>
        <v>1</v>
      </c>
      <c r="BC705">
        <f>ROUNDUP(tbl_Data_old[[#This Row],[Adjusted 2026]]/$L705,0)</f>
        <v>1</v>
      </c>
      <c r="BD705">
        <f>ROUNDUP(tbl_Data_old[[#This Row],[Adjusted 2027]]/$L705,0)</f>
        <v>1</v>
      </c>
      <c r="BE705">
        <f>ROUNDUP(tbl_Data_old[[#This Row],[Adjusted 2028]]/$L705,0)</f>
        <v>1</v>
      </c>
      <c r="BF705">
        <f>ROUNDUP(tbl_Data_old[[#This Row],[Adjusted 2029]]/$L705,0)</f>
        <v>1</v>
      </c>
      <c r="BG705">
        <f>ROUNDUP(tbl_Data_old[[#This Row],[Adjusted 2030]]/$L705,0)</f>
        <v>1</v>
      </c>
      <c r="BH705">
        <f>ROUNDUP(tbl_Data_old[[#This Row],[Adjusted 2031]]/$L705,0)</f>
        <v>1</v>
      </c>
      <c r="BI705">
        <f>ROUNDUP(tbl_Data_old[[#This Row],[Adjusted 2032]]/$L705,0)</f>
        <v>1</v>
      </c>
      <c r="BJ705">
        <f>ROUNDUP(tbl_Data_old[[#This Row],[Adjusted 2033]]/$L705,0)</f>
        <v>1</v>
      </c>
      <c r="BK705">
        <f>ROUNDUP(tbl_Data_old[[#This Row],[Adjusted 2034]]/$L705,0)</f>
        <v>1</v>
      </c>
      <c r="BL705" s="3">
        <f t="shared" si="47"/>
        <v>3.5600050993888438E-2</v>
      </c>
      <c r="BM705" s="3">
        <f t="shared" si="47"/>
        <v>4.050101092429189E-2</v>
      </c>
      <c r="BN705" s="3">
        <f t="shared" si="47"/>
        <v>4.4771851745900142E-2</v>
      </c>
      <c r="BO705" s="3">
        <f t="shared" si="47"/>
        <v>4.905862136962072E-2</v>
      </c>
      <c r="BP705" s="3">
        <f t="shared" si="47"/>
        <v>5.2709892170904951E-2</v>
      </c>
      <c r="BQ705" s="3">
        <f t="shared" si="47"/>
        <v>5.6137281300305722E-2</v>
      </c>
      <c r="BR705" s="3">
        <f t="shared" si="47"/>
        <v>5.9378282570537372E-2</v>
      </c>
      <c r="BS705" s="3">
        <f t="shared" si="47"/>
        <v>6.2285458971196007E-2</v>
      </c>
      <c r="BT705" s="3">
        <f t="shared" si="47"/>
        <v>6.5168137944704219E-2</v>
      </c>
      <c r="BU705" s="3">
        <f t="shared" si="47"/>
        <v>6.789874121606021E-2</v>
      </c>
      <c r="BV705">
        <f>VLOOKUP($H705,'1. Set Program Names'!$B$2:$D$15,3,0)*V705</f>
        <v>3.9438323019689733E-2</v>
      </c>
      <c r="BW705">
        <f>VLOOKUP($H705,'1. Set Program Names'!$B$2:$D$15,3,0)*W705</f>
        <v>4.4867687176358764E-2</v>
      </c>
      <c r="BX705">
        <f>VLOOKUP($H705,'1. Set Program Names'!$B$2:$D$15,3,0)*X705</f>
        <v>4.9598995002776737E-2</v>
      </c>
      <c r="BY705">
        <f>VLOOKUP($H705,'1. Set Program Names'!$B$2:$D$15,3,0)*Y705</f>
        <v>5.4347949018609724E-2</v>
      </c>
      <c r="BZ705">
        <f>VLOOKUP($H705,'1. Set Program Names'!$B$2:$D$15,3,0)*Z705</f>
        <v>5.8392886968786535E-2</v>
      </c>
      <c r="CA705">
        <f>VLOOKUP($H705,'1. Set Program Names'!$B$2:$D$15,3,0)*AA705</f>
        <v>6.2189805114288232E-2</v>
      </c>
      <c r="CB705">
        <f>VLOOKUP($H705,'1. Set Program Names'!$B$2:$D$15,3,0)*AB705</f>
        <v>6.5780239718569097E-2</v>
      </c>
      <c r="CC705">
        <f>VLOOKUP($H705,'1. Set Program Names'!$B$2:$D$15,3,0)*AC705</f>
        <v>6.9000857632405155E-2</v>
      </c>
      <c r="CD705">
        <f>VLOOKUP($H705,'1. Set Program Names'!$B$2:$D$15,3,0)*AD705</f>
        <v>7.2194336892836608E-2</v>
      </c>
      <c r="CE705">
        <f>VLOOKUP($H705,'1. Set Program Names'!$B$2:$D$15,3,0)*AE705</f>
        <v>7.5219344184900491E-2</v>
      </c>
    </row>
    <row r="706" spans="1:83" x14ac:dyDescent="0.25">
      <c r="A706" s="20" t="s">
        <v>116</v>
      </c>
      <c r="B706" s="20" t="s">
        <v>88</v>
      </c>
      <c r="C706" s="20" t="s">
        <v>176</v>
      </c>
      <c r="D706" s="20" t="s">
        <v>90</v>
      </c>
      <c r="E706" s="20" t="s">
        <v>91</v>
      </c>
      <c r="F706" s="20" t="s">
        <v>90</v>
      </c>
      <c r="G706" s="20" t="s">
        <v>92</v>
      </c>
      <c r="H706" s="20" t="s">
        <v>16</v>
      </c>
      <c r="I706" s="20" t="s">
        <v>165</v>
      </c>
      <c r="J706" s="20" t="s">
        <v>161</v>
      </c>
      <c r="K706" s="20" t="s">
        <v>166</v>
      </c>
      <c r="L706" s="20">
        <v>565.38999999999896</v>
      </c>
      <c r="M706" s="20">
        <v>6.7728127941350899E-2</v>
      </c>
      <c r="N706" s="20">
        <v>6.5294935157718198E-2</v>
      </c>
      <c r="O706" s="20">
        <v>129</v>
      </c>
      <c r="P706" s="20">
        <v>15.293574707506</v>
      </c>
      <c r="Q706" s="20">
        <v>20.595759636286299</v>
      </c>
      <c r="R706" s="20">
        <v>190.6779313312</v>
      </c>
      <c r="S706" s="20">
        <v>454.767236260907</v>
      </c>
      <c r="T706" s="20">
        <v>10</v>
      </c>
      <c r="U706" s="20">
        <v>0.59999999999999898</v>
      </c>
      <c r="V706" s="20">
        <v>0.129538689243234</v>
      </c>
      <c r="W706" s="20">
        <v>0.17886237120458801</v>
      </c>
      <c r="X706" s="20">
        <v>0.239282871220142</v>
      </c>
      <c r="Y706" s="20">
        <v>0.31213652971361799</v>
      </c>
      <c r="Z706" s="20">
        <v>0.38967781751207198</v>
      </c>
      <c r="AA706" s="20">
        <v>0.462555509942291</v>
      </c>
      <c r="AB706" s="20">
        <v>0.51551403138783503</v>
      </c>
      <c r="AC706" s="20">
        <v>0.53168069892310499</v>
      </c>
      <c r="AD706" s="20">
        <v>0.503403615239437</v>
      </c>
      <c r="AE706" s="20">
        <v>0.43563558857232698</v>
      </c>
      <c r="AF706" t="str">
        <f t="shared" ref="AF706:AF769" si="48">IF(C706="Residential","Residential","NonResidential")</f>
        <v>NonResidential</v>
      </c>
      <c r="AG706" t="str">
        <f>tbl_Data_old[[#This Row],[All_Meas_Name_Append]]</f>
        <v>Occupancy Sensors_ Ceiling Mounted</v>
      </c>
      <c r="AH706">
        <f>AVERAGEIFS('3. Incentive Adjustment'!G:G,'3. Incentive Adjustment'!A:A,tbl_Data_old[[#This Row],[Trimmed Sector]],'3. Incentive Adjustment'!B:B,tbl_Data_old[[#This Row],[Trimmed Measure Name]])</f>
        <v>0.99348124042467356</v>
      </c>
      <c r="AI706">
        <f>$AH706*tbl_Data_old[[#This Row],[2025 ]]</f>
        <v>0.12869425767235443</v>
      </c>
      <c r="AJ706">
        <f>$AH706*tbl_Data_old[[#This Row],[2026 ]]</f>
        <v>0.17769641040963249</v>
      </c>
      <c r="AK706">
        <f>$AH706*tbl_Data_old[[#This Row],[2027 ]]</f>
        <v>0.2377230437121641</v>
      </c>
      <c r="AL706">
        <f>$AH706*tbl_Data_old[[#This Row],[2028 ]]</f>
        <v>0.31010178672173816</v>
      </c>
      <c r="AM706">
        <f>$AH706*tbl_Data_old[[#This Row],[2029 ]]</f>
        <v>0.38713760150787285</v>
      </c>
      <c r="AN706">
        <f>$AH706*tbl_Data_old[[#This Row],[2030 ]]</f>
        <v>0.45954022178273468</v>
      </c>
      <c r="AO706">
        <f>$AH706*tbl_Data_old[[#This Row],[2031 ]]</f>
        <v>0.51215351935951048</v>
      </c>
      <c r="AP706">
        <f>$AH706*tbl_Data_old[[#This Row],[2032 ]]</f>
        <v>0.52821480027598378</v>
      </c>
      <c r="AQ706">
        <f>$AH706*tbl_Data_old[[#This Row],[2033 ]]</f>
        <v>0.50012204810234095</v>
      </c>
      <c r="AR706">
        <f>$AH706*tbl_Data_old[[#This Row],[2034 ]]</f>
        <v>0.43279578490796816</v>
      </c>
      <c r="AS706">
        <f>SUM(tbl_Data_old[[#This Row],[Adjusted 2025]:[Adjusted 2034]])</f>
        <v>3.6741794744523002</v>
      </c>
      <c r="AT706" s="3">
        <f>AVERAGEIFS('3. Incentive Adjustment'!F:F,'3. Incentive Adjustment'!A:A,tbl_Data_old[[#This Row],[Trimmed Sector]],'3. Incentive Adjustment'!B:B,tbl_Data_old[[#This Row],[Trimmed Measure Name]])</f>
        <v>19.547634357270656</v>
      </c>
      <c r="AU706" s="3">
        <f>IFERROR(VLOOKUP(tbl_Data_old[[#This Row],[All_Meas_Name_Append]],'IRA Tax Credits'!$A$3:$D$46,4,0),0)</f>
        <v>0</v>
      </c>
      <c r="AV706" s="4">
        <f>tbl_Data_old[[#This Row],[Adj. per unit Incentive ($)]]/tbl_Data_old[[#This Row],[kWh Savings]]*tbl_Data_old[[#This Row],[Sum of Annuals]]</f>
        <v>0.12703004462332648</v>
      </c>
      <c r="AW706" s="4">
        <f>IFERROR(VLOOKUP(tbl_Data_old[[#This Row],[All_Programs]],'1. Set Program Names'!$B$2:$D$15,3,0)*tbl_Data_old[[#This Row],[Sum of Annuals]],"")</f>
        <v>0.13384127295565298</v>
      </c>
      <c r="AX706" s="4">
        <f>tbl_Data_old[[#This Row],[per unit IRA tax ($)]]/tbl_Data_old[[#This Row],[kWh Savings]]*tbl_Data_old[[#This Row],[Sum of Annuals]]</f>
        <v>0</v>
      </c>
      <c r="AY706" s="4">
        <f>tbl_Data_old[[#This Row],[Avoided Costs ($/unit)]]/tbl_Data_old[[#This Row],[kWh Savings]]*tbl_Data_old[[#This Row],[Sum of Annuals]]</f>
        <v>1.2391180274290694</v>
      </c>
      <c r="AZ706" s="4">
        <f>tbl_Data_old[[#This Row],[Lost Revenue ($/unit)]]/tbl_Data_old[[#This Row],[kWh Savings]]*tbl_Data_old[[#This Row],[Sum of Annuals]]</f>
        <v>2.9552989000923744</v>
      </c>
      <c r="BA706" s="4">
        <f>tbl_Data_old[[#This Row],[Incremental Cost ($/unit)]]/tbl_Data_old[[#This Row],[kWh Savings]]*tbl_Data_old[[#This Row],[Sum of Annuals]]</f>
        <v>0.83830480235651073</v>
      </c>
      <c r="BB706">
        <f>ROUNDUP(tbl_Data_old[[#This Row],[Adjusted 2025]]/$L706,0)</f>
        <v>1</v>
      </c>
      <c r="BC706">
        <f>ROUNDUP(tbl_Data_old[[#This Row],[Adjusted 2026]]/$L706,0)</f>
        <v>1</v>
      </c>
      <c r="BD706">
        <f>ROUNDUP(tbl_Data_old[[#This Row],[Adjusted 2027]]/$L706,0)</f>
        <v>1</v>
      </c>
      <c r="BE706">
        <f>ROUNDUP(tbl_Data_old[[#This Row],[Adjusted 2028]]/$L706,0)</f>
        <v>1</v>
      </c>
      <c r="BF706">
        <f>ROUNDUP(tbl_Data_old[[#This Row],[Adjusted 2029]]/$L706,0)</f>
        <v>1</v>
      </c>
      <c r="BG706">
        <f>ROUNDUP(tbl_Data_old[[#This Row],[Adjusted 2030]]/$L706,0)</f>
        <v>1</v>
      </c>
      <c r="BH706">
        <f>ROUNDUP(tbl_Data_old[[#This Row],[Adjusted 2031]]/$L706,0)</f>
        <v>1</v>
      </c>
      <c r="BI706">
        <f>ROUNDUP(tbl_Data_old[[#This Row],[Adjusted 2032]]/$L706,0)</f>
        <v>1</v>
      </c>
      <c r="BJ706">
        <f>ROUNDUP(tbl_Data_old[[#This Row],[Adjusted 2033]]/$L706,0)</f>
        <v>1</v>
      </c>
      <c r="BK706">
        <f>ROUNDUP(tbl_Data_old[[#This Row],[Adjusted 2034]]/$L706,0)</f>
        <v>1</v>
      </c>
      <c r="BL706" s="3">
        <f t="shared" si="47"/>
        <v>4.4786340976084686E-3</v>
      </c>
      <c r="BM706" s="3">
        <f t="shared" si="47"/>
        <v>6.1839371629878641E-3</v>
      </c>
      <c r="BN706" s="3">
        <f t="shared" si="47"/>
        <v>8.2728984852389071E-3</v>
      </c>
      <c r="BO706" s="3">
        <f t="shared" si="47"/>
        <v>1.0791720321175053E-2</v>
      </c>
      <c r="BP706" s="3">
        <f t="shared" si="47"/>
        <v>1.3472610930269791E-2</v>
      </c>
      <c r="BQ706" s="3">
        <f t="shared" si="47"/>
        <v>1.5992263708754652E-2</v>
      </c>
      <c r="BR706" s="3">
        <f t="shared" si="47"/>
        <v>1.7823236689032289E-2</v>
      </c>
      <c r="BS706" s="3">
        <f t="shared" si="47"/>
        <v>1.8382178491602223E-2</v>
      </c>
      <c r="BT706" s="3">
        <f t="shared" si="47"/>
        <v>1.7404534577598992E-2</v>
      </c>
      <c r="BU706" s="3">
        <f t="shared" si="47"/>
        <v>1.5061541941715025E-2</v>
      </c>
      <c r="BV706">
        <f>VLOOKUP($H706,'1. Set Program Names'!$B$2:$D$15,3,0)*V706</f>
        <v>4.7187741333473273E-3</v>
      </c>
      <c r="BW706">
        <f>VLOOKUP($H706,'1. Set Program Names'!$B$2:$D$15,3,0)*W706</f>
        <v>6.5155139024495089E-3</v>
      </c>
      <c r="BX706">
        <f>VLOOKUP($H706,'1. Set Program Names'!$B$2:$D$15,3,0)*X706</f>
        <v>8.7164833136958841E-3</v>
      </c>
      <c r="BY706">
        <f>VLOOKUP($H706,'1. Set Program Names'!$B$2:$D$15,3,0)*Y706</f>
        <v>1.1370361944297285E-2</v>
      </c>
      <c r="BZ706">
        <f>VLOOKUP($H706,'1. Set Program Names'!$B$2:$D$15,3,0)*Z706</f>
        <v>1.4194999319180225E-2</v>
      </c>
      <c r="CA706">
        <f>VLOOKUP($H706,'1. Set Program Names'!$B$2:$D$15,3,0)*AA706</f>
        <v>1.6849753446667445E-2</v>
      </c>
      <c r="CB706">
        <f>VLOOKUP($H706,'1. Set Program Names'!$B$2:$D$15,3,0)*AB706</f>
        <v>1.8778901430157681E-2</v>
      </c>
      <c r="CC706">
        <f>VLOOKUP($H706,'1. Set Program Names'!$B$2:$D$15,3,0)*AC706</f>
        <v>1.9367813152466485E-2</v>
      </c>
      <c r="CD706">
        <f>VLOOKUP($H706,'1. Set Program Names'!$B$2:$D$15,3,0)*AD706</f>
        <v>1.8337748915808635E-2</v>
      </c>
      <c r="CE706">
        <f>VLOOKUP($H706,'1. Set Program Names'!$B$2:$D$15,3,0)*AE706</f>
        <v>1.5869127277185303E-2</v>
      </c>
    </row>
    <row r="707" spans="1:83" x14ac:dyDescent="0.25">
      <c r="A707" s="20" t="s">
        <v>117</v>
      </c>
      <c r="B707" s="20" t="s">
        <v>88</v>
      </c>
      <c r="C707" s="20" t="s">
        <v>176</v>
      </c>
      <c r="D707" s="20" t="s">
        <v>90</v>
      </c>
      <c r="E707" s="20" t="s">
        <v>91</v>
      </c>
      <c r="F707" s="20" t="s">
        <v>90</v>
      </c>
      <c r="G707" s="20" t="s">
        <v>92</v>
      </c>
      <c r="H707" s="20" t="s">
        <v>16</v>
      </c>
      <c r="I707" s="20" t="s">
        <v>157</v>
      </c>
      <c r="J707" s="20" t="s">
        <v>158</v>
      </c>
      <c r="K707" s="20" t="s">
        <v>159</v>
      </c>
      <c r="L707" s="20">
        <v>562.52</v>
      </c>
      <c r="M707" s="20">
        <v>6.7473359330379998E-2</v>
      </c>
      <c r="N707" s="20">
        <v>6.4973258375617293E-2</v>
      </c>
      <c r="O707" s="20">
        <v>169</v>
      </c>
      <c r="P707" s="20">
        <v>55.847956108163899</v>
      </c>
      <c r="Q707" s="20">
        <v>20.491212633056499</v>
      </c>
      <c r="R707" s="20">
        <v>240.47921618074301</v>
      </c>
      <c r="S707" s="20">
        <v>597.43584258705596</v>
      </c>
      <c r="T707" s="20">
        <v>15</v>
      </c>
      <c r="U707" s="20">
        <v>0.59999999999999898</v>
      </c>
      <c r="V707" s="20">
        <v>0.21077629929282099</v>
      </c>
      <c r="W707" s="20">
        <v>0.450569585030132</v>
      </c>
      <c r="X707" s="20">
        <v>0.71564912733493702</v>
      </c>
      <c r="Y707" s="20">
        <v>1.0061092354530801</v>
      </c>
      <c r="Z707" s="20">
        <v>1.31818732797644</v>
      </c>
      <c r="AA707" s="20">
        <v>1.6505578744925</v>
      </c>
      <c r="AB707" s="20">
        <v>2.0021173332340001</v>
      </c>
      <c r="AC707" s="20">
        <v>2.37088923594722</v>
      </c>
      <c r="AD707" s="20">
        <v>2.7567285413500899</v>
      </c>
      <c r="AE707" s="20">
        <v>3.1587348587741602</v>
      </c>
      <c r="AF707" t="str">
        <f t="shared" si="48"/>
        <v>NonResidential</v>
      </c>
      <c r="AG707" t="str">
        <f>tbl_Data_old[[#This Row],[All_Meas_Name_Append]]</f>
        <v>LED Exterior Wall Packs</v>
      </c>
      <c r="AH707">
        <f>AVERAGEIFS('3. Incentive Adjustment'!G:G,'3. Incentive Adjustment'!A:A,tbl_Data_old[[#This Row],[Trimmed Sector]],'3. Incentive Adjustment'!B:B,tbl_Data_old[[#This Row],[Trimmed Measure Name]])</f>
        <v>0.80637708305213962</v>
      </c>
      <c r="AI707">
        <f>$AH707*tbl_Data_old[[#This Row],[2025 ]]</f>
        <v>0.16996517740026976</v>
      </c>
      <c r="AJ707">
        <f>$AH707*tbl_Data_old[[#This Row],[2026 ]]</f>
        <v>0.36332898768861083</v>
      </c>
      <c r="AK707">
        <f>$AH707*tbl_Data_old[[#This Row],[2027 ]]</f>
        <v>0.57708305578915575</v>
      </c>
      <c r="AL707">
        <f>$AH707*tbl_Data_old[[#This Row],[2028 ]]</f>
        <v>0.81130343051647302</v>
      </c>
      <c r="AM707">
        <f>$AH707*tbl_Data_old[[#This Row],[2029 ]]</f>
        <v>1.0629560524499357</v>
      </c>
      <c r="AN707">
        <f>$AH707*tbl_Data_old[[#This Row],[2030 ]]</f>
        <v>1.3309720442420017</v>
      </c>
      <c r="AO707">
        <f>$AH707*tbl_Data_old[[#This Row],[2031 ]]</f>
        <v>1.6144615351013616</v>
      </c>
      <c r="AP707">
        <f>$AH707*tbl_Data_old[[#This Row],[2032 ]]</f>
        <v>1.9118307463228352</v>
      </c>
      <c r="AQ707">
        <f>$AH707*tbl_Data_old[[#This Row],[2033 ]]</f>
        <v>2.2229627199404653</v>
      </c>
      <c r="AR707">
        <f>$AH707*tbl_Data_old[[#This Row],[2034 ]]</f>
        <v>2.5471314015534197</v>
      </c>
      <c r="AS707">
        <f>SUM(tbl_Data_old[[#This Row],[Adjusted 2025]:[Adjusted 2034]])</f>
        <v>12.61199515100453</v>
      </c>
      <c r="AT707" s="3">
        <f>AVERAGEIFS('3. Incentive Adjustment'!F:F,'3. Incentive Adjustment'!A:A,tbl_Data_old[[#This Row],[Trimmed Sector]],'3. Incentive Adjustment'!B:B,tbl_Data_old[[#This Row],[Trimmed Measure Name]])</f>
        <v>8.6864493556481861</v>
      </c>
      <c r="AU707" s="3">
        <f>IFERROR(VLOOKUP(tbl_Data_old[[#This Row],[All_Meas_Name_Append]],'IRA Tax Credits'!$A$3:$D$46,4,0),0)</f>
        <v>0</v>
      </c>
      <c r="AV707" s="4">
        <f>tbl_Data_old[[#This Row],[Adj. per unit Incentive ($)]]/tbl_Data_old[[#This Row],[kWh Savings]]*tbl_Data_old[[#This Row],[Sum of Annuals]]</f>
        <v>0.19475477699082938</v>
      </c>
      <c r="AW707" s="4">
        <f>IFERROR(VLOOKUP(tbl_Data_old[[#This Row],[All_Programs]],'1. Set Program Names'!$B$2:$D$15,3,0)*tbl_Data_old[[#This Row],[Sum of Annuals]],"")</f>
        <v>0.45942379713843334</v>
      </c>
      <c r="AX707" s="4">
        <f>tbl_Data_old[[#This Row],[per unit IRA tax ($)]]/tbl_Data_old[[#This Row],[kWh Savings]]*tbl_Data_old[[#This Row],[Sum of Annuals]]</f>
        <v>0</v>
      </c>
      <c r="AY707" s="4">
        <f>tbl_Data_old[[#This Row],[Avoided Costs ($/unit)]]/tbl_Data_old[[#This Row],[kWh Savings]]*tbl_Data_old[[#This Row],[Sum of Annuals]]</f>
        <v>5.3916708888375542</v>
      </c>
      <c r="AZ707" s="4">
        <f>tbl_Data_old[[#This Row],[Lost Revenue ($/unit)]]/tbl_Data_old[[#This Row],[kWh Savings]]*tbl_Data_old[[#This Row],[Sum of Annuals]]</f>
        <v>13.394826761260498</v>
      </c>
      <c r="BA707" s="4">
        <f>tbl_Data_old[[#This Row],[Incremental Cost ($/unit)]]/tbl_Data_old[[#This Row],[kWh Savings]]*tbl_Data_old[[#This Row],[Sum of Annuals]]</f>
        <v>3.7890691540207735</v>
      </c>
      <c r="BB707">
        <f>ROUNDUP(tbl_Data_old[[#This Row],[Adjusted 2025]]/$L707,0)</f>
        <v>1</v>
      </c>
      <c r="BC707">
        <f>ROUNDUP(tbl_Data_old[[#This Row],[Adjusted 2026]]/$L707,0)</f>
        <v>1</v>
      </c>
      <c r="BD707">
        <f>ROUNDUP(tbl_Data_old[[#This Row],[Adjusted 2027]]/$L707,0)</f>
        <v>1</v>
      </c>
      <c r="BE707">
        <f>ROUNDUP(tbl_Data_old[[#This Row],[Adjusted 2028]]/$L707,0)</f>
        <v>1</v>
      </c>
      <c r="BF707">
        <f>ROUNDUP(tbl_Data_old[[#This Row],[Adjusted 2029]]/$L707,0)</f>
        <v>1</v>
      </c>
      <c r="BG707">
        <f>ROUNDUP(tbl_Data_old[[#This Row],[Adjusted 2030]]/$L707,0)</f>
        <v>1</v>
      </c>
      <c r="BH707">
        <f>ROUNDUP(tbl_Data_old[[#This Row],[Adjusted 2031]]/$L707,0)</f>
        <v>1</v>
      </c>
      <c r="BI707">
        <f>ROUNDUP(tbl_Data_old[[#This Row],[Adjusted 2032]]/$L707,0)</f>
        <v>1</v>
      </c>
      <c r="BJ707">
        <f>ROUNDUP(tbl_Data_old[[#This Row],[Adjusted 2033]]/$L707,0)</f>
        <v>1</v>
      </c>
      <c r="BK707">
        <f>ROUNDUP(tbl_Data_old[[#This Row],[Adjusted 2034]]/$L707,0)</f>
        <v>1</v>
      </c>
      <c r="BL707" s="3">
        <f t="shared" si="47"/>
        <v>3.2548134273946423E-3</v>
      </c>
      <c r="BM707" s="3">
        <f t="shared" si="47"/>
        <v>6.9577079598230479E-3</v>
      </c>
      <c r="BN707" s="3">
        <f t="shared" si="47"/>
        <v>1.1051073563622183E-2</v>
      </c>
      <c r="BO707" s="3">
        <f t="shared" si="47"/>
        <v>1.5536366564767647E-2</v>
      </c>
      <c r="BP707" s="3">
        <f t="shared" si="47"/>
        <v>2.0355485077374228E-2</v>
      </c>
      <c r="BQ707" s="3">
        <f t="shared" si="47"/>
        <v>2.5487960224250546E-2</v>
      </c>
      <c r="BR707" s="3">
        <f t="shared" si="47"/>
        <v>3.0916751082988241E-2</v>
      </c>
      <c r="BS707" s="3">
        <f t="shared" si="47"/>
        <v>3.6611336976297641E-2</v>
      </c>
      <c r="BT707" s="3">
        <f t="shared" si="47"/>
        <v>4.2569478172700438E-2</v>
      </c>
      <c r="BU707" s="3">
        <f t="shared" si="47"/>
        <v>4.8777270814659511E-2</v>
      </c>
      <c r="BV707">
        <f>VLOOKUP($H707,'1. Set Program Names'!$B$2:$D$15,3,0)*V707</f>
        <v>7.6780593877870196E-3</v>
      </c>
      <c r="BW707">
        <f>VLOOKUP($H707,'1. Set Program Names'!$B$2:$D$15,3,0)*W707</f>
        <v>1.6413135840219854E-2</v>
      </c>
      <c r="BX707">
        <f>VLOOKUP($H707,'1. Set Program Names'!$B$2:$D$15,3,0)*X707</f>
        <v>2.606932809301275E-2</v>
      </c>
      <c r="BY707">
        <f>VLOOKUP($H707,'1. Set Program Names'!$B$2:$D$15,3,0)*Y707</f>
        <v>3.6650071598789351E-2</v>
      </c>
      <c r="BZ707">
        <f>VLOOKUP($H707,'1. Set Program Names'!$B$2:$D$15,3,0)*Z707</f>
        <v>4.8018304820745643E-2</v>
      </c>
      <c r="CA707">
        <f>VLOOKUP($H707,'1. Set Program Names'!$B$2:$D$15,3,0)*AA707</f>
        <v>6.012574196364863E-2</v>
      </c>
      <c r="CB707">
        <f>VLOOKUP($H707,'1. Set Program Names'!$B$2:$D$15,3,0)*AB707</f>
        <v>7.2932183729691319E-2</v>
      </c>
      <c r="CC707">
        <f>VLOOKUP($H707,'1. Set Program Names'!$B$2:$D$15,3,0)*AC707</f>
        <v>8.6365632267687162E-2</v>
      </c>
      <c r="CD707">
        <f>VLOOKUP($H707,'1. Set Program Names'!$B$2:$D$15,3,0)*AD707</f>
        <v>0.10042080408238005</v>
      </c>
      <c r="CE707">
        <f>VLOOKUP($H707,'1. Set Program Names'!$B$2:$D$15,3,0)*AE707</f>
        <v>0.11506490016815235</v>
      </c>
    </row>
    <row r="708" spans="1:83" x14ac:dyDescent="0.25">
      <c r="A708" s="20" t="s">
        <v>117</v>
      </c>
      <c r="B708" s="20" t="s">
        <v>88</v>
      </c>
      <c r="C708" s="20" t="s">
        <v>176</v>
      </c>
      <c r="D708" s="20" t="s">
        <v>90</v>
      </c>
      <c r="E708" s="20" t="s">
        <v>91</v>
      </c>
      <c r="F708" s="20" t="s">
        <v>90</v>
      </c>
      <c r="G708" s="20" t="s">
        <v>92</v>
      </c>
      <c r="H708" s="20" t="s">
        <v>16</v>
      </c>
      <c r="I708" s="20" t="s">
        <v>162</v>
      </c>
      <c r="J708" s="20" t="s">
        <v>161</v>
      </c>
      <c r="K708" s="20" t="s">
        <v>159</v>
      </c>
      <c r="L708" s="20">
        <v>725.58416666666596</v>
      </c>
      <c r="M708" s="20">
        <v>8.6917804178563804E-2</v>
      </c>
      <c r="N708" s="20">
        <v>8.3795205289933394E-2</v>
      </c>
      <c r="O708" s="20">
        <v>179</v>
      </c>
      <c r="P708" s="20">
        <v>33.0790753554421</v>
      </c>
      <c r="Q708" s="20">
        <v>26.4312370090766</v>
      </c>
      <c r="R708" s="20">
        <v>310.45187974046598</v>
      </c>
      <c r="S708" s="20">
        <v>770.62146764617603</v>
      </c>
      <c r="T708" s="20">
        <v>15</v>
      </c>
      <c r="U708" s="20">
        <v>0.59999999999999898</v>
      </c>
      <c r="V708" s="20">
        <v>1.0826516645114099</v>
      </c>
      <c r="W708" s="20">
        <v>2.3143489702008599</v>
      </c>
      <c r="X708" s="20">
        <v>3.67592903715859</v>
      </c>
      <c r="Y708" s="20">
        <v>5.1678762844693598</v>
      </c>
      <c r="Z708" s="20">
        <v>6.7708642269541697</v>
      </c>
      <c r="AA708" s="20">
        <v>8.4780842826601308</v>
      </c>
      <c r="AB708" s="20">
        <v>10.283868113471399</v>
      </c>
      <c r="AC708" s="20">
        <v>12.1780635976745</v>
      </c>
      <c r="AD708" s="20">
        <v>14.1599257312724</v>
      </c>
      <c r="AE708" s="20">
        <v>16.224829661000399</v>
      </c>
      <c r="AF708" t="str">
        <f t="shared" si="48"/>
        <v>NonResidential</v>
      </c>
      <c r="AG708" t="str">
        <f>tbl_Data_old[[#This Row],[All_Meas_Name_Append]]</f>
        <v>LED High Bay_LF Baseline</v>
      </c>
      <c r="AH708">
        <f>AVERAGEIFS('3. Incentive Adjustment'!G:G,'3. Incentive Adjustment'!A:A,tbl_Data_old[[#This Row],[Trimmed Sector]],'3. Incentive Adjustment'!B:B,tbl_Data_old[[#This Row],[Trimmed Measure Name]])</f>
        <v>0.93017466414143679</v>
      </c>
      <c r="AI708">
        <f>$AH708*tbl_Data_old[[#This Row],[2025 ]]</f>
        <v>1.0070551484190682</v>
      </c>
      <c r="AJ708">
        <f>$AH708*tbl_Data_old[[#This Row],[2026 ]]</f>
        <v>2.1527487760626651</v>
      </c>
      <c r="AK708">
        <f>$AH708*tbl_Data_old[[#This Row],[2027 ]]</f>
        <v>3.4192560575467468</v>
      </c>
      <c r="AL708">
        <f>$AH708*tbl_Data_old[[#This Row],[2028 ]]</f>
        <v>4.8070275872307828</v>
      </c>
      <c r="AM708">
        <f>$AH708*tbl_Data_old[[#This Row],[2029 ]]</f>
        <v>6.2980863582543636</v>
      </c>
      <c r="AN708">
        <f>$AH708*tbl_Data_old[[#This Row],[2030 ]]</f>
        <v>7.8860992001861812</v>
      </c>
      <c r="AO708">
        <f>$AH708*tbl_Data_old[[#This Row],[2031 ]]</f>
        <v>9.5657935685230893</v>
      </c>
      <c r="AP708">
        <f>$AH708*tbl_Data_old[[#This Row],[2032 ]]</f>
        <v>11.327726216859935</v>
      </c>
      <c r="AQ708">
        <f>$AH708*tbl_Data_old[[#This Row],[2033 ]]</f>
        <v>13.171204161353995</v>
      </c>
      <c r="AR708">
        <f>$AH708*tbl_Data_old[[#This Row],[2034 ]]</f>
        <v>15.091925480673067</v>
      </c>
      <c r="AS708">
        <f>SUM(tbl_Data_old[[#This Row],[Adjusted 2025]:[Adjusted 2034]])</f>
        <v>74.726922555109894</v>
      </c>
      <c r="AT708" s="3">
        <f>AVERAGEIFS('3. Incentive Adjustment'!F:F,'3. Incentive Adjustment'!A:A,tbl_Data_old[[#This Row],[Trimmed Sector]],'3. Incentive Adjustment'!B:B,tbl_Data_old[[#This Row],[Trimmed Measure Name]])</f>
        <v>23.858858929800434</v>
      </c>
      <c r="AU708" s="3">
        <f>IFERROR(VLOOKUP(tbl_Data_old[[#This Row],[All_Meas_Name_Append]],'IRA Tax Credits'!$A$3:$D$46,4,0),0)</f>
        <v>0</v>
      </c>
      <c r="AV708" s="4">
        <f>tbl_Data_old[[#This Row],[Adj. per unit Incentive ($)]]/tbl_Data_old[[#This Row],[kWh Savings]]*tbl_Data_old[[#This Row],[Sum of Annuals]]</f>
        <v>2.457191302411033</v>
      </c>
      <c r="AW708" s="4">
        <f>IFERROR(VLOOKUP(tbl_Data_old[[#This Row],[All_Programs]],'1. Set Program Names'!$B$2:$D$15,3,0)*tbl_Data_old[[#This Row],[Sum of Annuals]],"")</f>
        <v>2.7221170082676238</v>
      </c>
      <c r="AX708" s="4">
        <f>tbl_Data_old[[#This Row],[per unit IRA tax ($)]]/tbl_Data_old[[#This Row],[kWh Savings]]*tbl_Data_old[[#This Row],[Sum of Annuals]]</f>
        <v>0</v>
      </c>
      <c r="AY708" s="4">
        <f>tbl_Data_old[[#This Row],[Avoided Costs ($/unit)]]/tbl_Data_old[[#This Row],[kWh Savings]]*tbl_Data_old[[#This Row],[Sum of Annuals]]</f>
        <v>31.973015178970666</v>
      </c>
      <c r="AZ708" s="4">
        <f>tbl_Data_old[[#This Row],[Lost Revenue ($/unit)]]/tbl_Data_old[[#This Row],[kWh Savings]]*tbl_Data_old[[#This Row],[Sum of Annuals]]</f>
        <v>79.365252685504188</v>
      </c>
      <c r="BA708" s="4">
        <f>tbl_Data_old[[#This Row],[Incremental Cost ($/unit)]]/tbl_Data_old[[#This Row],[kWh Savings]]*tbl_Data_old[[#This Row],[Sum of Annuals]]</f>
        <v>18.434965579271896</v>
      </c>
      <c r="BB708">
        <f>ROUNDUP(tbl_Data_old[[#This Row],[Adjusted 2025]]/$L708,0)</f>
        <v>1</v>
      </c>
      <c r="BC708">
        <f>ROUNDUP(tbl_Data_old[[#This Row],[Adjusted 2026]]/$L708,0)</f>
        <v>1</v>
      </c>
      <c r="BD708">
        <f>ROUNDUP(tbl_Data_old[[#This Row],[Adjusted 2027]]/$L708,0)</f>
        <v>1</v>
      </c>
      <c r="BE708">
        <f>ROUNDUP(tbl_Data_old[[#This Row],[Adjusted 2028]]/$L708,0)</f>
        <v>1</v>
      </c>
      <c r="BF708">
        <f>ROUNDUP(tbl_Data_old[[#This Row],[Adjusted 2029]]/$L708,0)</f>
        <v>1</v>
      </c>
      <c r="BG708">
        <f>ROUNDUP(tbl_Data_old[[#This Row],[Adjusted 2030]]/$L708,0)</f>
        <v>1</v>
      </c>
      <c r="BH708">
        <f>ROUNDUP(tbl_Data_old[[#This Row],[Adjusted 2031]]/$L708,0)</f>
        <v>1</v>
      </c>
      <c r="BI708">
        <f>ROUNDUP(tbl_Data_old[[#This Row],[Adjusted 2032]]/$L708,0)</f>
        <v>1</v>
      </c>
      <c r="BJ708">
        <f>ROUNDUP(tbl_Data_old[[#This Row],[Adjusted 2033]]/$L708,0)</f>
        <v>1</v>
      </c>
      <c r="BK708">
        <f>ROUNDUP(tbl_Data_old[[#This Row],[Adjusted 2034]]/$L708,0)</f>
        <v>1</v>
      </c>
      <c r="BL708" s="3">
        <f t="shared" si="47"/>
        <v>3.5600050993888438E-2</v>
      </c>
      <c r="BM708" s="3">
        <f t="shared" si="47"/>
        <v>7.6101061918180321E-2</v>
      </c>
      <c r="BN708" s="3">
        <f t="shared" si="47"/>
        <v>0.1208729136640808</v>
      </c>
      <c r="BO708" s="3">
        <f t="shared" si="47"/>
        <v>0.16993153503370151</v>
      </c>
      <c r="BP708" s="3">
        <f t="shared" si="47"/>
        <v>0.22264142720460678</v>
      </c>
      <c r="BQ708" s="3">
        <f t="shared" si="47"/>
        <v>0.27877870850491254</v>
      </c>
      <c r="BR708" s="3">
        <f t="shared" si="47"/>
        <v>0.33815699107544922</v>
      </c>
      <c r="BS708" s="3">
        <f t="shared" si="47"/>
        <v>0.40044245004664625</v>
      </c>
      <c r="BT708" s="3">
        <f t="shared" si="47"/>
        <v>0.46561058799134913</v>
      </c>
      <c r="BU708" s="3">
        <f t="shared" si="47"/>
        <v>0.53350932920740968</v>
      </c>
      <c r="BV708">
        <f>VLOOKUP($H708,'1. Set Program Names'!$B$2:$D$15,3,0)*V708</f>
        <v>3.9438323019689733E-2</v>
      </c>
      <c r="BW708">
        <f>VLOOKUP($H708,'1. Set Program Names'!$B$2:$D$15,3,0)*W708</f>
        <v>8.4306010196048498E-2</v>
      </c>
      <c r="BX708">
        <f>VLOOKUP($H708,'1. Set Program Names'!$B$2:$D$15,3,0)*X708</f>
        <v>0.13390500519882559</v>
      </c>
      <c r="BY708">
        <f>VLOOKUP($H708,'1. Set Program Names'!$B$2:$D$15,3,0)*Y708</f>
        <v>0.18825295421743532</v>
      </c>
      <c r="BZ708">
        <f>VLOOKUP($H708,'1. Set Program Names'!$B$2:$D$15,3,0)*Z708</f>
        <v>0.24664584118622221</v>
      </c>
      <c r="CA708">
        <f>VLOOKUP($H708,'1. Set Program Names'!$B$2:$D$15,3,0)*AA708</f>
        <v>0.30883564630051047</v>
      </c>
      <c r="CB708">
        <f>VLOOKUP($H708,'1. Set Program Names'!$B$2:$D$15,3,0)*AB708</f>
        <v>0.3746158860190788</v>
      </c>
      <c r="CC708">
        <f>VLOOKUP($H708,'1. Set Program Names'!$B$2:$D$15,3,0)*AC708</f>
        <v>0.44361674365148507</v>
      </c>
      <c r="CD708">
        <f>VLOOKUP($H708,'1. Set Program Names'!$B$2:$D$15,3,0)*AD708</f>
        <v>0.51581108054432023</v>
      </c>
      <c r="CE708">
        <f>VLOOKUP($H708,'1. Set Program Names'!$B$2:$D$15,3,0)*AE708</f>
        <v>0.59103042472922107</v>
      </c>
    </row>
    <row r="709" spans="1:83" x14ac:dyDescent="0.25">
      <c r="A709" s="20" t="s">
        <v>117</v>
      </c>
      <c r="B709" s="20" t="s">
        <v>88</v>
      </c>
      <c r="C709" s="20" t="s">
        <v>176</v>
      </c>
      <c r="D709" s="20" t="s">
        <v>90</v>
      </c>
      <c r="E709" s="20" t="s">
        <v>91</v>
      </c>
      <c r="F709" s="20" t="s">
        <v>90</v>
      </c>
      <c r="G709" s="20" t="s">
        <v>92</v>
      </c>
      <c r="H709" s="20" t="s">
        <v>16</v>
      </c>
      <c r="I709" s="20" t="s">
        <v>165</v>
      </c>
      <c r="J709" s="20" t="s">
        <v>161</v>
      </c>
      <c r="K709" s="20" t="s">
        <v>166</v>
      </c>
      <c r="L709" s="20">
        <v>565.38999999999896</v>
      </c>
      <c r="M709" s="20">
        <v>6.7728127941350899E-2</v>
      </c>
      <c r="N709" s="20">
        <v>6.5294935157718198E-2</v>
      </c>
      <c r="O709" s="20">
        <v>129</v>
      </c>
      <c r="P709" s="20">
        <v>15.293574707506</v>
      </c>
      <c r="Q709" s="20">
        <v>20.595759636286299</v>
      </c>
      <c r="R709" s="20">
        <v>190.6779313312</v>
      </c>
      <c r="S709" s="20">
        <v>454.767236260907</v>
      </c>
      <c r="T709" s="20">
        <v>10</v>
      </c>
      <c r="U709" s="20">
        <v>0.59999999999999898</v>
      </c>
      <c r="V709" s="20">
        <v>0.129538689243234</v>
      </c>
      <c r="W709" s="20">
        <v>0.30840106044782301</v>
      </c>
      <c r="X709" s="20">
        <v>0.54768393166796503</v>
      </c>
      <c r="Y709" s="20">
        <v>0.85982046138158397</v>
      </c>
      <c r="Z709" s="20">
        <v>1.2494982788936499</v>
      </c>
      <c r="AA709" s="20">
        <v>1.7120537888359399</v>
      </c>
      <c r="AB709" s="20">
        <v>2.2275678202237801</v>
      </c>
      <c r="AC709" s="20">
        <v>2.7592485191468801</v>
      </c>
      <c r="AD709" s="20">
        <v>3.26265213438632</v>
      </c>
      <c r="AE709" s="20">
        <v>3.6982877229586499</v>
      </c>
      <c r="AF709" t="str">
        <f t="shared" si="48"/>
        <v>NonResidential</v>
      </c>
      <c r="AG709" t="str">
        <f>tbl_Data_old[[#This Row],[All_Meas_Name_Append]]</f>
        <v>Occupancy Sensors_ Ceiling Mounted</v>
      </c>
      <c r="AH709">
        <f>AVERAGEIFS('3. Incentive Adjustment'!G:G,'3. Incentive Adjustment'!A:A,tbl_Data_old[[#This Row],[Trimmed Sector]],'3. Incentive Adjustment'!B:B,tbl_Data_old[[#This Row],[Trimmed Measure Name]])</f>
        <v>0.99348124042467356</v>
      </c>
      <c r="AI709">
        <f>$AH709*tbl_Data_old[[#This Row],[2025 ]]</f>
        <v>0.12869425767235443</v>
      </c>
      <c r="AJ709">
        <f>$AH709*tbl_Data_old[[#This Row],[2026 ]]</f>
        <v>0.30639066808198795</v>
      </c>
      <c r="AK709">
        <f>$AH709*tbl_Data_old[[#This Row],[2027 ]]</f>
        <v>0.54411371179415202</v>
      </c>
      <c r="AL709">
        <f>$AH709*tbl_Data_old[[#This Row],[2028 ]]</f>
        <v>0.85421549851589118</v>
      </c>
      <c r="AM709">
        <f>$AH709*tbl_Data_old[[#This Row],[2029 ]]</f>
        <v>1.2413531000237581</v>
      </c>
      <c r="AN709">
        <f>$AH709*tbl_Data_old[[#This Row],[2030 ]]</f>
        <v>1.7008933218064917</v>
      </c>
      <c r="AO709">
        <f>$AH709*tbl_Data_old[[#This Row],[2031 ]]</f>
        <v>2.2130468411660074</v>
      </c>
      <c r="AP709">
        <f>$AH709*tbl_Data_old[[#This Row],[2032 ]]</f>
        <v>2.7412616414419859</v>
      </c>
      <c r="AQ709">
        <f>$AH709*tbl_Data_old[[#This Row],[2033 ]]</f>
        <v>3.24138368954433</v>
      </c>
      <c r="AR709">
        <f>$AH709*tbl_Data_old[[#This Row],[2034 ]]</f>
        <v>3.6741794744523011</v>
      </c>
      <c r="AS709">
        <f>SUM(tbl_Data_old[[#This Row],[Adjusted 2025]:[Adjusted 2034]])</f>
        <v>16.645532204499261</v>
      </c>
      <c r="AT709" s="3">
        <f>AVERAGEIFS('3. Incentive Adjustment'!F:F,'3. Incentive Adjustment'!A:A,tbl_Data_old[[#This Row],[Trimmed Sector]],'3. Incentive Adjustment'!B:B,tbl_Data_old[[#This Row],[Trimmed Measure Name]])</f>
        <v>19.547634357270656</v>
      </c>
      <c r="AU709" s="3">
        <f>IFERROR(VLOOKUP(tbl_Data_old[[#This Row],[All_Meas_Name_Append]],'IRA Tax Credits'!$A$3:$D$46,4,0),0)</f>
        <v>0</v>
      </c>
      <c r="AV709" s="4">
        <f>tbl_Data_old[[#This Row],[Adj. per unit Incentive ($)]]/tbl_Data_old[[#This Row],[kWh Savings]]*tbl_Data_old[[#This Row],[Sum of Annuals]]</f>
        <v>0.57549793455088616</v>
      </c>
      <c r="AW709" s="4">
        <f>IFERROR(VLOOKUP(tbl_Data_old[[#This Row],[All_Programs]],'1. Set Program Names'!$B$2:$D$15,3,0)*tbl_Data_old[[#This Row],[Sum of Annuals]],"")</f>
        <v>0.60635557809995078</v>
      </c>
      <c r="AX709" s="4">
        <f>tbl_Data_old[[#This Row],[per unit IRA tax ($)]]/tbl_Data_old[[#This Row],[kWh Savings]]*tbl_Data_old[[#This Row],[Sum of Annuals]]</f>
        <v>0</v>
      </c>
      <c r="AY709" s="4">
        <f>tbl_Data_old[[#This Row],[Avoided Costs ($/unit)]]/tbl_Data_old[[#This Row],[kWh Savings]]*tbl_Data_old[[#This Row],[Sum of Annuals]]</f>
        <v>5.6137102648805151</v>
      </c>
      <c r="AZ709" s="4">
        <f>tbl_Data_old[[#This Row],[Lost Revenue ($/unit)]]/tbl_Data_old[[#This Row],[kWh Savings]]*tbl_Data_old[[#This Row],[Sum of Annuals]]</f>
        <v>13.388709875894632</v>
      </c>
      <c r="BA709" s="4">
        <f>tbl_Data_old[[#This Row],[Incremental Cost ($/unit)]]/tbl_Data_old[[#This Row],[kWh Savings]]*tbl_Data_old[[#This Row],[Sum of Annuals]]</f>
        <v>3.7978628104147734</v>
      </c>
      <c r="BB709">
        <f>ROUNDUP(tbl_Data_old[[#This Row],[Adjusted 2025]]/$L709,0)</f>
        <v>1</v>
      </c>
      <c r="BC709">
        <f>ROUNDUP(tbl_Data_old[[#This Row],[Adjusted 2026]]/$L709,0)</f>
        <v>1</v>
      </c>
      <c r="BD709">
        <f>ROUNDUP(tbl_Data_old[[#This Row],[Adjusted 2027]]/$L709,0)</f>
        <v>1</v>
      </c>
      <c r="BE709">
        <f>ROUNDUP(tbl_Data_old[[#This Row],[Adjusted 2028]]/$L709,0)</f>
        <v>1</v>
      </c>
      <c r="BF709">
        <f>ROUNDUP(tbl_Data_old[[#This Row],[Adjusted 2029]]/$L709,0)</f>
        <v>1</v>
      </c>
      <c r="BG709">
        <f>ROUNDUP(tbl_Data_old[[#This Row],[Adjusted 2030]]/$L709,0)</f>
        <v>1</v>
      </c>
      <c r="BH709">
        <f>ROUNDUP(tbl_Data_old[[#This Row],[Adjusted 2031]]/$L709,0)</f>
        <v>1</v>
      </c>
      <c r="BI709">
        <f>ROUNDUP(tbl_Data_old[[#This Row],[Adjusted 2032]]/$L709,0)</f>
        <v>1</v>
      </c>
      <c r="BJ709">
        <f>ROUNDUP(tbl_Data_old[[#This Row],[Adjusted 2033]]/$L709,0)</f>
        <v>1</v>
      </c>
      <c r="BK709">
        <f>ROUNDUP(tbl_Data_old[[#This Row],[Adjusted 2034]]/$L709,0)</f>
        <v>1</v>
      </c>
      <c r="BL709" s="3">
        <f t="shared" si="47"/>
        <v>4.4786340976084686E-3</v>
      </c>
      <c r="BM709" s="3">
        <f t="shared" si="47"/>
        <v>1.0662571260596368E-2</v>
      </c>
      <c r="BN709" s="3">
        <f t="shared" si="47"/>
        <v>1.8935469745835275E-2</v>
      </c>
      <c r="BO709" s="3">
        <f t="shared" si="47"/>
        <v>2.9727190067010363E-2</v>
      </c>
      <c r="BP709" s="3">
        <f t="shared" si="47"/>
        <v>4.3199800997279943E-2</v>
      </c>
      <c r="BQ709" s="3">
        <f t="shared" si="47"/>
        <v>5.919206470603456E-2</v>
      </c>
      <c r="BR709" s="3">
        <f t="shared" si="47"/>
        <v>7.7015301395067029E-2</v>
      </c>
      <c r="BS709" s="3">
        <f t="shared" si="47"/>
        <v>9.5397479886669079E-2</v>
      </c>
      <c r="BT709" s="3">
        <f t="shared" si="47"/>
        <v>0.11280201446426817</v>
      </c>
      <c r="BU709" s="3">
        <f t="shared" si="47"/>
        <v>0.12786355640598329</v>
      </c>
      <c r="BV709">
        <f>VLOOKUP($H709,'1. Set Program Names'!$B$2:$D$15,3,0)*V709</f>
        <v>4.7187741333473273E-3</v>
      </c>
      <c r="BW709">
        <f>VLOOKUP($H709,'1. Set Program Names'!$B$2:$D$15,3,0)*W709</f>
        <v>1.1234288035796873E-2</v>
      </c>
      <c r="BX709">
        <f>VLOOKUP($H709,'1. Set Program Names'!$B$2:$D$15,3,0)*X709</f>
        <v>1.9950771349492757E-2</v>
      </c>
      <c r="BY709">
        <f>VLOOKUP($H709,'1. Set Program Names'!$B$2:$D$15,3,0)*Y709</f>
        <v>3.1321133293790077E-2</v>
      </c>
      <c r="BZ709">
        <f>VLOOKUP($H709,'1. Set Program Names'!$B$2:$D$15,3,0)*Z709</f>
        <v>4.5516132612970085E-2</v>
      </c>
      <c r="CA709">
        <f>VLOOKUP($H709,'1. Set Program Names'!$B$2:$D$15,3,0)*AA709</f>
        <v>6.2365886059637499E-2</v>
      </c>
      <c r="CB709">
        <f>VLOOKUP($H709,'1. Set Program Names'!$B$2:$D$15,3,0)*AB709</f>
        <v>8.1144787489795367E-2</v>
      </c>
      <c r="CC709">
        <f>VLOOKUP($H709,'1. Set Program Names'!$B$2:$D$15,3,0)*AC709</f>
        <v>0.10051260064226167</v>
      </c>
      <c r="CD709">
        <f>VLOOKUP($H709,'1. Set Program Names'!$B$2:$D$15,3,0)*AD709</f>
        <v>0.1188503495580704</v>
      </c>
      <c r="CE709">
        <f>VLOOKUP($H709,'1. Set Program Names'!$B$2:$D$15,3,0)*AE709</f>
        <v>0.13471947683525581</v>
      </c>
    </row>
    <row r="710" spans="1:83" x14ac:dyDescent="0.25">
      <c r="A710" s="20" t="s">
        <v>87</v>
      </c>
      <c r="B710" s="20" t="s">
        <v>88</v>
      </c>
      <c r="C710" s="20" t="s">
        <v>176</v>
      </c>
      <c r="D710" s="20" t="s">
        <v>90</v>
      </c>
      <c r="E710" s="20" t="s">
        <v>91</v>
      </c>
      <c r="F710" s="20" t="s">
        <v>90</v>
      </c>
      <c r="G710" s="20" t="s">
        <v>92</v>
      </c>
      <c r="H710" s="20" t="s">
        <v>18</v>
      </c>
      <c r="I710" s="20" t="s">
        <v>177</v>
      </c>
      <c r="J710" s="20" t="s">
        <v>178</v>
      </c>
      <c r="K710" s="20" t="s">
        <v>102</v>
      </c>
      <c r="L710" s="20">
        <v>25265.069999999901</v>
      </c>
      <c r="M710" s="20">
        <v>3.0268587641170099</v>
      </c>
      <c r="N710" s="20">
        <v>2.9158027991200801</v>
      </c>
      <c r="O710" s="20">
        <v>7160.52</v>
      </c>
      <c r="P710" s="20">
        <v>2094.8798923726799</v>
      </c>
      <c r="Q710" s="20">
        <v>799.59389150061804</v>
      </c>
      <c r="R710" s="20">
        <v>8516.48438813961</v>
      </c>
      <c r="S710" s="20">
        <v>20321.770915365199</v>
      </c>
      <c r="T710" s="20">
        <v>10</v>
      </c>
      <c r="U710" s="20">
        <v>1</v>
      </c>
      <c r="V710" s="20">
        <v>3532.6884127345002</v>
      </c>
      <c r="W710" s="20">
        <v>3368.8630089465501</v>
      </c>
      <c r="X710" s="20">
        <v>3169.6411927149002</v>
      </c>
      <c r="Y710" s="20">
        <v>2984.0205192325002</v>
      </c>
      <c r="Z710" s="20">
        <v>2784.1293878666302</v>
      </c>
      <c r="AA710" s="20">
        <v>2590.41609207482</v>
      </c>
      <c r="AB710" s="20">
        <v>2407.7384468270998</v>
      </c>
      <c r="AC710" s="20">
        <v>2228.5582709816299</v>
      </c>
      <c r="AD710" s="20">
        <v>2068.46712105811</v>
      </c>
      <c r="AE710" s="20">
        <v>1920.0321137322801</v>
      </c>
      <c r="AF710" t="str">
        <f t="shared" si="48"/>
        <v>NonResidential</v>
      </c>
      <c r="AG710" t="str">
        <f>tbl_Data_old[[#This Row],[All_Meas_Name_Append]]</f>
        <v>Airside economizer_13</v>
      </c>
      <c r="AH710">
        <f>AVERAGEIFS('3. Incentive Adjustment'!G:G,'3. Incentive Adjustment'!A:A,tbl_Data_old[[#This Row],[Trimmed Sector]],'3. Incentive Adjustment'!B:B,tbl_Data_old[[#This Row],[Trimmed Measure Name]])</f>
        <v>1</v>
      </c>
      <c r="AI710">
        <f>$AH710*tbl_Data_old[[#This Row],[2025 ]]</f>
        <v>3532.6884127345002</v>
      </c>
      <c r="AJ710">
        <f>$AH710*tbl_Data_old[[#This Row],[2026 ]]</f>
        <v>3368.8630089465501</v>
      </c>
      <c r="AK710">
        <f>$AH710*tbl_Data_old[[#This Row],[2027 ]]</f>
        <v>3169.6411927149002</v>
      </c>
      <c r="AL710">
        <f>$AH710*tbl_Data_old[[#This Row],[2028 ]]</f>
        <v>2984.0205192325002</v>
      </c>
      <c r="AM710">
        <f>$AH710*tbl_Data_old[[#This Row],[2029 ]]</f>
        <v>2784.1293878666302</v>
      </c>
      <c r="AN710">
        <f>$AH710*tbl_Data_old[[#This Row],[2030 ]]</f>
        <v>2590.41609207482</v>
      </c>
      <c r="AO710">
        <f>$AH710*tbl_Data_old[[#This Row],[2031 ]]</f>
        <v>2407.7384468270998</v>
      </c>
      <c r="AP710">
        <f>$AH710*tbl_Data_old[[#This Row],[2032 ]]</f>
        <v>2228.5582709816299</v>
      </c>
      <c r="AQ710">
        <f>$AH710*tbl_Data_old[[#This Row],[2033 ]]</f>
        <v>2068.46712105811</v>
      </c>
      <c r="AR710">
        <f>$AH710*tbl_Data_old[[#This Row],[2034 ]]</f>
        <v>1920.0321137322801</v>
      </c>
      <c r="AS710">
        <f>SUM(tbl_Data_old[[#This Row],[Adjusted 2025]:[Adjusted 2034]])</f>
        <v>27054.554566169023</v>
      </c>
      <c r="AT710" s="3">
        <f>AVERAGEIFS('3. Incentive Adjustment'!F:F,'3. Incentive Adjustment'!A:A,tbl_Data_old[[#This Row],[Trimmed Sector]],'3. Incentive Adjustment'!B:B,tbl_Data_old[[#This Row],[Trimmed Measure Name]])</f>
        <v>2094.8798923726795</v>
      </c>
      <c r="AU710" s="3">
        <f>IFERROR(VLOOKUP(tbl_Data_old[[#This Row],[All_Meas_Name_Append]],'IRA Tax Credits'!$A$3:$D$46,4,0),0)</f>
        <v>0</v>
      </c>
      <c r="AV710" s="4">
        <f>tbl_Data_old[[#This Row],[Adj. per unit Incentive ($)]]/tbl_Data_old[[#This Row],[kWh Savings]]*tbl_Data_old[[#This Row],[Sum of Annuals]]</f>
        <v>2243.2568901557433</v>
      </c>
      <c r="AW710" s="4">
        <f>IFERROR(VLOOKUP(tbl_Data_old[[#This Row],[All_Programs]],'1. Set Program Names'!$B$2:$D$15,3,0)*tbl_Data_old[[#This Row],[Sum of Annuals]],"")</f>
        <v>856.22785008626329</v>
      </c>
      <c r="AX710" s="4">
        <f>tbl_Data_old[[#This Row],[per unit IRA tax ($)]]/tbl_Data_old[[#This Row],[kWh Savings]]*tbl_Data_old[[#This Row],[Sum of Annuals]]</f>
        <v>0</v>
      </c>
      <c r="AY710" s="4">
        <f>tbl_Data_old[[#This Row],[Avoided Costs ($/unit)]]/tbl_Data_old[[#This Row],[kWh Savings]]*tbl_Data_old[[#This Row],[Sum of Annuals]]</f>
        <v>9119.6933786785703</v>
      </c>
      <c r="AZ710" s="4">
        <f>tbl_Data_old[[#This Row],[Lost Revenue ($/unit)]]/tbl_Data_old[[#This Row],[kWh Savings]]*tbl_Data_old[[#This Row],[Sum of Annuals]]</f>
        <v>21761.12950056883</v>
      </c>
      <c r="BA710" s="4">
        <f>tbl_Data_old[[#This Row],[Incremental Cost ($/unit)]]/tbl_Data_old[[#This Row],[kWh Savings]]*tbl_Data_old[[#This Row],[Sum of Annuals]]</f>
        <v>7667.6881980594299</v>
      </c>
      <c r="BB710">
        <f>ROUNDUP(tbl_Data_old[[#This Row],[Adjusted 2025]]/$L710,0)</f>
        <v>1</v>
      </c>
      <c r="BC710">
        <f>ROUNDUP(tbl_Data_old[[#This Row],[Adjusted 2026]]/$L710,0)</f>
        <v>1</v>
      </c>
      <c r="BD710">
        <f>ROUNDUP(tbl_Data_old[[#This Row],[Adjusted 2027]]/$L710,0)</f>
        <v>1</v>
      </c>
      <c r="BE710">
        <f>ROUNDUP(tbl_Data_old[[#This Row],[Adjusted 2028]]/$L710,0)</f>
        <v>1</v>
      </c>
      <c r="BF710">
        <f>ROUNDUP(tbl_Data_old[[#This Row],[Adjusted 2029]]/$L710,0)</f>
        <v>1</v>
      </c>
      <c r="BG710">
        <f>ROUNDUP(tbl_Data_old[[#This Row],[Adjusted 2030]]/$L710,0)</f>
        <v>1</v>
      </c>
      <c r="BH710">
        <f>ROUNDUP(tbl_Data_old[[#This Row],[Adjusted 2031]]/$L710,0)</f>
        <v>1</v>
      </c>
      <c r="BI710">
        <f>ROUNDUP(tbl_Data_old[[#This Row],[Adjusted 2032]]/$L710,0)</f>
        <v>1</v>
      </c>
      <c r="BJ710">
        <f>ROUNDUP(tbl_Data_old[[#This Row],[Adjusted 2033]]/$L710,0)</f>
        <v>1</v>
      </c>
      <c r="BK710">
        <f>ROUNDUP(tbl_Data_old[[#This Row],[Adjusted 2034]]/$L710,0)</f>
        <v>1</v>
      </c>
      <c r="BL710" s="3">
        <f t="shared" si="47"/>
        <v>292.91658094972587</v>
      </c>
      <c r="BM710" s="3">
        <f t="shared" si="47"/>
        <v>279.33282502681675</v>
      </c>
      <c r="BN710" s="3">
        <f t="shared" si="47"/>
        <v>262.81413828082123</v>
      </c>
      <c r="BO710" s="3">
        <f t="shared" si="47"/>
        <v>247.42320461283785</v>
      </c>
      <c r="BP710" s="3">
        <f t="shared" si="47"/>
        <v>230.84902089745577</v>
      </c>
      <c r="BQ710" s="3">
        <f t="shared" si="47"/>
        <v>214.78707892620827</v>
      </c>
      <c r="BR710" s="3">
        <f t="shared" si="47"/>
        <v>199.64016954438426</v>
      </c>
      <c r="BS710" s="3">
        <f t="shared" si="47"/>
        <v>184.78325652215725</v>
      </c>
      <c r="BT710" s="3">
        <f t="shared" si="47"/>
        <v>171.50913019194709</v>
      </c>
      <c r="BU710" s="3">
        <f t="shared" si="47"/>
        <v>159.20148520338881</v>
      </c>
      <c r="BV710">
        <f>VLOOKUP($H710,'1. Set Program Names'!$B$2:$D$15,3,0)*V710</f>
        <v>111.8032158785836</v>
      </c>
      <c r="BW710">
        <f>VLOOKUP($H710,'1. Set Program Names'!$B$2:$D$15,3,0)*W710</f>
        <v>106.61843736257444</v>
      </c>
      <c r="BX710">
        <f>VLOOKUP($H710,'1. Set Program Names'!$B$2:$D$15,3,0)*X710</f>
        <v>100.31342624198439</v>
      </c>
      <c r="BY710">
        <f>VLOOKUP($H710,'1. Set Program Names'!$B$2:$D$15,3,0)*Y710</f>
        <v>94.438866755200536</v>
      </c>
      <c r="BZ710">
        <f>VLOOKUP($H710,'1. Set Program Names'!$B$2:$D$15,3,0)*Z710</f>
        <v>88.112673017945994</v>
      </c>
      <c r="CA710">
        <f>VLOOKUP($H710,'1. Set Program Names'!$B$2:$D$15,3,0)*AA710</f>
        <v>81.981996632818849</v>
      </c>
      <c r="CB710">
        <f>VLOOKUP($H710,'1. Set Program Names'!$B$2:$D$15,3,0)*AB710</f>
        <v>76.200578680927393</v>
      </c>
      <c r="CC710">
        <f>VLOOKUP($H710,'1. Set Program Names'!$B$2:$D$15,3,0)*AC710</f>
        <v>70.529849326761962</v>
      </c>
      <c r="CD710">
        <f>VLOOKUP($H710,'1. Set Program Names'!$B$2:$D$15,3,0)*AD710</f>
        <v>65.463253209586895</v>
      </c>
      <c r="CE710">
        <f>VLOOKUP($H710,'1. Set Program Names'!$B$2:$D$15,3,0)*AE710</f>
        <v>60.765552979879104</v>
      </c>
    </row>
    <row r="711" spans="1:83" x14ac:dyDescent="0.25">
      <c r="A711" s="20" t="s">
        <v>87</v>
      </c>
      <c r="B711" s="20" t="s">
        <v>88</v>
      </c>
      <c r="C711" s="20" t="s">
        <v>176</v>
      </c>
      <c r="D711" s="20" t="s">
        <v>90</v>
      </c>
      <c r="E711" s="20" t="s">
        <v>91</v>
      </c>
      <c r="F711" s="20" t="s">
        <v>90</v>
      </c>
      <c r="G711" s="20" t="s">
        <v>92</v>
      </c>
      <c r="H711" s="20" t="s">
        <v>18</v>
      </c>
      <c r="I711" s="20" t="s">
        <v>185</v>
      </c>
      <c r="J711" s="20" t="s">
        <v>178</v>
      </c>
      <c r="K711" s="20" t="s">
        <v>102</v>
      </c>
      <c r="L711" s="20">
        <v>37372.818333333198</v>
      </c>
      <c r="M711" s="20">
        <v>4.4774165562178503</v>
      </c>
      <c r="N711" s="20">
        <v>4.3131393780955101</v>
      </c>
      <c r="O711" s="20">
        <v>14201.670833333301</v>
      </c>
      <c r="P711" s="20">
        <v>6684.0523958317799</v>
      </c>
      <c r="Q711" s="20">
        <v>1182.7822858791001</v>
      </c>
      <c r="R711" s="20">
        <v>15980.395267902501</v>
      </c>
      <c r="S711" s="20">
        <v>39692.564194744999</v>
      </c>
      <c r="T711" s="20">
        <v>15</v>
      </c>
      <c r="U711" s="20">
        <v>1</v>
      </c>
      <c r="V711" s="20">
        <v>19886.4222740353</v>
      </c>
      <c r="W711" s="20">
        <v>22623.208945813902</v>
      </c>
      <c r="X711" s="20">
        <v>25008.013867943999</v>
      </c>
      <c r="Y711" s="20">
        <v>27400.329618001098</v>
      </c>
      <c r="Z711" s="20">
        <v>29439.3688409641</v>
      </c>
      <c r="AA711" s="20">
        <v>31352.6568783205</v>
      </c>
      <c r="AB711" s="20">
        <v>33161.398597013802</v>
      </c>
      <c r="AC711" s="20">
        <v>34784.667670078401</v>
      </c>
      <c r="AD711" s="20">
        <v>36393.305316605401</v>
      </c>
      <c r="AE711" s="20">
        <v>37917.092512181298</v>
      </c>
      <c r="AF711" t="str">
        <f t="shared" si="48"/>
        <v>NonResidential</v>
      </c>
      <c r="AG711" t="str">
        <f>tbl_Data_old[[#This Row],[All_Meas_Name_Append]]</f>
        <v>Custom Measure - Non-Lighting_70</v>
      </c>
      <c r="AH711">
        <f>AVERAGEIFS('3. Incentive Adjustment'!G:G,'3. Incentive Adjustment'!A:A,tbl_Data_old[[#This Row],[Trimmed Sector]],'3. Incentive Adjustment'!B:B,tbl_Data_old[[#This Row],[Trimmed Measure Name]])</f>
        <v>0.82269267220071174</v>
      </c>
      <c r="AI711">
        <f>$AH711*tbl_Data_old[[#This Row],[2025 ]]</f>
        <v>16360.413881137856</v>
      </c>
      <c r="AJ711">
        <f>$AH711*tbl_Data_old[[#This Row],[2026 ]]</f>
        <v>18611.948221386687</v>
      </c>
      <c r="AK711">
        <f>$AH711*tbl_Data_old[[#This Row],[2027 ]]</f>
        <v>20573.909755451306</v>
      </c>
      <c r="AL711">
        <f>$AH711*tbl_Data_old[[#This Row],[2028 ]]</f>
        <v>22542.05039261363</v>
      </c>
      <c r="AM711">
        <f>$AH711*tbl_Data_old[[#This Row],[2029 ]]</f>
        <v>24219.553019675124</v>
      </c>
      <c r="AN711">
        <f>$AH711*tbl_Data_old[[#This Row],[2030 ]]</f>
        <v>25793.601067817519</v>
      </c>
      <c r="AO711">
        <f>$AH711*tbl_Data_old[[#This Row],[2031 ]]</f>
        <v>27281.639625690219</v>
      </c>
      <c r="AP711">
        <f>$AH711*tbl_Data_old[[#This Row],[2032 ]]</f>
        <v>28617.091197110505</v>
      </c>
      <c r="AQ711">
        <f>$AH711*tbl_Data_old[[#This Row],[2033 ]]</f>
        <v>29940.505601134468</v>
      </c>
      <c r="AR711">
        <f>$AH711*tbl_Data_old[[#This Row],[2034 ]]</f>
        <v>31194.114160928031</v>
      </c>
      <c r="AS711">
        <f>SUM(tbl_Data_old[[#This Row],[Adjusted 2025]:[Adjusted 2034]])</f>
        <v>245134.82692294536</v>
      </c>
      <c r="AT711" s="3">
        <f>AVERAGEIFS('3. Incentive Adjustment'!F:F,'3. Incentive Adjustment'!A:A,tbl_Data_old[[#This Row],[Trimmed Sector]],'3. Incentive Adjustment'!B:B,tbl_Data_old[[#This Row],[Trimmed Measure Name]])</f>
        <v>3919.5698976361523</v>
      </c>
      <c r="AU711" s="3">
        <f>IFERROR(VLOOKUP(tbl_Data_old[[#This Row],[All_Meas_Name_Append]],'IRA Tax Credits'!$A$3:$D$46,4,0),0)</f>
        <v>0</v>
      </c>
      <c r="AV711" s="4">
        <f>tbl_Data_old[[#This Row],[Adj. per unit Incentive ($)]]/tbl_Data_old[[#This Row],[kWh Savings]]*tbl_Data_old[[#This Row],[Sum of Annuals]]</f>
        <v>25709.141866147595</v>
      </c>
      <c r="AW711" s="4">
        <f>IFERROR(VLOOKUP(tbl_Data_old[[#This Row],[All_Programs]],'1. Set Program Names'!$B$2:$D$15,3,0)*tbl_Data_old[[#This Row],[Sum of Annuals]],"")</f>
        <v>7758.0750895069259</v>
      </c>
      <c r="AX711" s="4">
        <f>tbl_Data_old[[#This Row],[per unit IRA tax ($)]]/tbl_Data_old[[#This Row],[kWh Savings]]*tbl_Data_old[[#This Row],[Sum of Annuals]]</f>
        <v>0</v>
      </c>
      <c r="AY711" s="4">
        <f>tbl_Data_old[[#This Row],[Avoided Costs ($/unit)]]/tbl_Data_old[[#This Row],[kWh Savings]]*tbl_Data_old[[#This Row],[Sum of Annuals]]</f>
        <v>104818.19683006375</v>
      </c>
      <c r="AZ711" s="4">
        <f>tbl_Data_old[[#This Row],[Lost Revenue ($/unit)]]/tbl_Data_old[[#This Row],[kWh Savings]]*tbl_Data_old[[#This Row],[Sum of Annuals]]</f>
        <v>260350.44419779282</v>
      </c>
      <c r="BA711" s="4">
        <f>tbl_Data_old[[#This Row],[Incremental Cost ($/unit)]]/tbl_Data_old[[#This Row],[kWh Savings]]*tbl_Data_old[[#This Row],[Sum of Annuals]]</f>
        <v>93151.233356162804</v>
      </c>
      <c r="BB711">
        <f>ROUNDUP(tbl_Data_old[[#This Row],[Adjusted 2025]]/$L711,0)</f>
        <v>1</v>
      </c>
      <c r="BC711">
        <f>ROUNDUP(tbl_Data_old[[#This Row],[Adjusted 2026]]/$L711,0)</f>
        <v>1</v>
      </c>
      <c r="BD711">
        <f>ROUNDUP(tbl_Data_old[[#This Row],[Adjusted 2027]]/$L711,0)</f>
        <v>1</v>
      </c>
      <c r="BE711">
        <f>ROUNDUP(tbl_Data_old[[#This Row],[Adjusted 2028]]/$L711,0)</f>
        <v>1</v>
      </c>
      <c r="BF711">
        <f>ROUNDUP(tbl_Data_old[[#This Row],[Adjusted 2029]]/$L711,0)</f>
        <v>1</v>
      </c>
      <c r="BG711">
        <f>ROUNDUP(tbl_Data_old[[#This Row],[Adjusted 2030]]/$L711,0)</f>
        <v>1</v>
      </c>
      <c r="BH711">
        <f>ROUNDUP(tbl_Data_old[[#This Row],[Adjusted 2031]]/$L711,0)</f>
        <v>1</v>
      </c>
      <c r="BI711">
        <f>ROUNDUP(tbl_Data_old[[#This Row],[Adjusted 2032]]/$L711,0)</f>
        <v>1</v>
      </c>
      <c r="BJ711">
        <f>ROUNDUP(tbl_Data_old[[#This Row],[Adjusted 2033]]/$L711,0)</f>
        <v>1</v>
      </c>
      <c r="BK711">
        <f>ROUNDUP(tbl_Data_old[[#This Row],[Adjusted 2034]]/$L711,0)</f>
        <v>1</v>
      </c>
      <c r="BL711" s="3">
        <f t="shared" si="47"/>
        <v>2085.6393922924676</v>
      </c>
      <c r="BM711" s="3">
        <f t="shared" si="47"/>
        <v>2372.6668933837541</v>
      </c>
      <c r="BN711" s="3">
        <f t="shared" si="47"/>
        <v>2622.7794083443559</v>
      </c>
      <c r="BO711" s="3">
        <f t="shared" si="47"/>
        <v>2873.6796405915275</v>
      </c>
      <c r="BP711" s="3">
        <f t="shared" si="47"/>
        <v>3087.5290936122251</v>
      </c>
      <c r="BQ711" s="3">
        <f t="shared" si="47"/>
        <v>3288.1900694541464</v>
      </c>
      <c r="BR711" s="3">
        <f t="shared" si="47"/>
        <v>3477.8864827660041</v>
      </c>
      <c r="BS711" s="3">
        <f t="shared" si="47"/>
        <v>3648.1309780513102</v>
      </c>
      <c r="BT711" s="3">
        <f t="shared" si="47"/>
        <v>3816.8409650609829</v>
      </c>
      <c r="BU711" s="3">
        <f t="shared" si="47"/>
        <v>3976.6520440358772</v>
      </c>
      <c r="BV711">
        <f>VLOOKUP($H711,'1. Set Program Names'!$B$2:$D$15,3,0)*V711</f>
        <v>629.36939316299095</v>
      </c>
      <c r="BW711">
        <f>VLOOKUP($H711,'1. Set Program Names'!$B$2:$D$15,3,0)*W711</f>
        <v>715.98375461516503</v>
      </c>
      <c r="BX711">
        <f>VLOOKUP($H711,'1. Set Program Names'!$B$2:$D$15,3,0)*X711</f>
        <v>791.45852860771038</v>
      </c>
      <c r="BY711">
        <f>VLOOKUP($H711,'1. Set Program Names'!$B$2:$D$15,3,0)*Y711</f>
        <v>867.17100675585641</v>
      </c>
      <c r="BZ711">
        <f>VLOOKUP($H711,'1. Set Program Names'!$B$2:$D$15,3,0)*Z711</f>
        <v>931.70292007378453</v>
      </c>
      <c r="CA711">
        <f>VLOOKUP($H711,'1. Set Program Names'!$B$2:$D$15,3,0)*AA711</f>
        <v>992.25503520156315</v>
      </c>
      <c r="CB711">
        <f>VLOOKUP($H711,'1. Set Program Names'!$B$2:$D$15,3,0)*AB711</f>
        <v>1049.4984479278883</v>
      </c>
      <c r="CC711">
        <f>VLOOKUP($H711,'1. Set Program Names'!$B$2:$D$15,3,0)*AC711</f>
        <v>1100.8719859819814</v>
      </c>
      <c r="CD711">
        <f>VLOOKUP($H711,'1. Set Program Names'!$B$2:$D$15,3,0)*AD711</f>
        <v>1151.7824657788283</v>
      </c>
      <c r="CE711">
        <f>VLOOKUP($H711,'1. Set Program Names'!$B$2:$D$15,3,0)*AE711</f>
        <v>1200.007581859225</v>
      </c>
    </row>
    <row r="712" spans="1:83" x14ac:dyDescent="0.25">
      <c r="A712" s="20" t="s">
        <v>87</v>
      </c>
      <c r="B712" s="20" t="s">
        <v>88</v>
      </c>
      <c r="C712" s="20" t="s">
        <v>176</v>
      </c>
      <c r="D712" s="20" t="s">
        <v>90</v>
      </c>
      <c r="E712" s="20" t="s">
        <v>91</v>
      </c>
      <c r="F712" s="20" t="s">
        <v>90</v>
      </c>
      <c r="G712" s="20" t="s">
        <v>92</v>
      </c>
      <c r="H712" s="20" t="s">
        <v>18</v>
      </c>
      <c r="I712" s="20" t="s">
        <v>187</v>
      </c>
      <c r="J712" s="20" t="s">
        <v>137</v>
      </c>
      <c r="K712" s="20" t="s">
        <v>98</v>
      </c>
      <c r="L712" s="20">
        <v>16575.9941666665</v>
      </c>
      <c r="M712" s="20">
        <v>1.98609088803711</v>
      </c>
      <c r="N712" s="20">
        <v>1.91315479867159</v>
      </c>
      <c r="O712" s="20">
        <v>5440</v>
      </c>
      <c r="P712" s="20">
        <v>2106.6717861739999</v>
      </c>
      <c r="Q712" s="20">
        <v>524.60031502847596</v>
      </c>
      <c r="R712" s="20">
        <v>7087.6591263841001</v>
      </c>
      <c r="S712" s="20">
        <v>17604.872789732901</v>
      </c>
      <c r="T712" s="20">
        <v>15</v>
      </c>
      <c r="U712" s="20">
        <v>1</v>
      </c>
      <c r="V712" s="20">
        <v>9492.7553855749793</v>
      </c>
      <c r="W712" s="20">
        <v>13116.920983239201</v>
      </c>
      <c r="X712" s="20">
        <v>17557.781370845802</v>
      </c>
      <c r="Y712" s="20">
        <v>22922.6433632279</v>
      </c>
      <c r="Z712" s="20">
        <v>28626.884027007301</v>
      </c>
      <c r="AA712" s="20">
        <v>34002.006633522396</v>
      </c>
      <c r="AB712" s="20">
        <v>37931.562596425698</v>
      </c>
      <c r="AC712" s="20">
        <v>39167.405052886403</v>
      </c>
      <c r="AD712" s="20">
        <v>37160.2098117606</v>
      </c>
      <c r="AE712" s="20">
        <v>32237.2543962161</v>
      </c>
      <c r="AF712" t="str">
        <f t="shared" si="48"/>
        <v>NonResidential</v>
      </c>
      <c r="AG712" t="str">
        <f>tbl_Data_old[[#This Row],[All_Meas_Name_Append]]</f>
        <v>High Efficiency Air Compressor</v>
      </c>
      <c r="AH712">
        <f>AVERAGEIFS('3. Incentive Adjustment'!G:G,'3. Incentive Adjustment'!A:A,tbl_Data_old[[#This Row],[Trimmed Sector]],'3. Incentive Adjustment'!B:B,tbl_Data_old[[#This Row],[Trimmed Measure Name]])</f>
        <v>0.94309259342294038</v>
      </c>
      <c r="AI712">
        <f>$AH712*tbl_Data_old[[#This Row],[2025 ]]</f>
        <v>8952.5472953114913</v>
      </c>
      <c r="AJ712">
        <f>$AH712*tbl_Data_old[[#This Row],[2026 ]]</f>
        <v>12370.471027806843</v>
      </c>
      <c r="AK712">
        <f>$AH712*tbl_Data_old[[#This Row],[2027 ]]</f>
        <v>16558.613567783956</v>
      </c>
      <c r="AL712">
        <f>$AH712*tbl_Data_old[[#This Row],[2028 ]]</f>
        <v>21618.175177535752</v>
      </c>
      <c r="AM712">
        <f>$AH712*tbl_Data_old[[#This Row],[2029 ]]</f>
        <v>26997.802298648065</v>
      </c>
      <c r="AN712">
        <f>$AH712*tbl_Data_old[[#This Row],[2030 ]]</f>
        <v>32067.040617592658</v>
      </c>
      <c r="AO712">
        <f>$AH712*tbl_Data_old[[#This Row],[2031 ]]</f>
        <v>35772.975741647715</v>
      </c>
      <c r="AP712">
        <f>$AH712*tbl_Data_old[[#This Row],[2032 ]]</f>
        <v>36938.489608973417</v>
      </c>
      <c r="AQ712">
        <f>$AH712*tbl_Data_old[[#This Row],[2033 ]]</f>
        <v>35045.518643513897</v>
      </c>
      <c r="AR712">
        <f>$AH712*tbl_Data_old[[#This Row],[2034 ]]</f>
        <v>30402.715853362526</v>
      </c>
      <c r="AS712">
        <f>SUM(tbl_Data_old[[#This Row],[Adjusted 2025]:[Adjusted 2034]])</f>
        <v>256724.34983217632</v>
      </c>
      <c r="AT712" s="3">
        <f>AVERAGEIFS('3. Incentive Adjustment'!F:F,'3. Incentive Adjustment'!A:A,tbl_Data_old[[#This Row],[Trimmed Sector]],'3. Incentive Adjustment'!B:B,tbl_Data_old[[#This Row],[Trimmed Measure Name]])</f>
        <v>1738.5866300231887</v>
      </c>
      <c r="AU712" s="3">
        <f>IFERROR(VLOOKUP(tbl_Data_old[[#This Row],[All_Meas_Name_Append]],'IRA Tax Credits'!$A$3:$D$46,4,0),0)</f>
        <v>0</v>
      </c>
      <c r="AV712" s="4">
        <f>tbl_Data_old[[#This Row],[Adj. per unit Incentive ($)]]/tbl_Data_old[[#This Row],[kWh Savings]]*tbl_Data_old[[#This Row],[Sum of Annuals]]</f>
        <v>26926.742235297123</v>
      </c>
      <c r="AW712" s="4">
        <f>IFERROR(VLOOKUP(tbl_Data_old[[#This Row],[All_Programs]],'1. Set Program Names'!$B$2:$D$15,3,0)*tbl_Data_old[[#This Row],[Sum of Annuals]],"")</f>
        <v>8124.8625840053601</v>
      </c>
      <c r="AX712" s="4">
        <f>tbl_Data_old[[#This Row],[per unit IRA tax ($)]]/tbl_Data_old[[#This Row],[kWh Savings]]*tbl_Data_old[[#This Row],[Sum of Annuals]]</f>
        <v>0</v>
      </c>
      <c r="AY712" s="4">
        <f>tbl_Data_old[[#This Row],[Avoided Costs ($/unit)]]/tbl_Data_old[[#This Row],[kWh Savings]]*tbl_Data_old[[#This Row],[Sum of Annuals]]</f>
        <v>109771.67720727866</v>
      </c>
      <c r="AZ712" s="4">
        <f>tbl_Data_old[[#This Row],[Lost Revenue ($/unit)]]/tbl_Data_old[[#This Row],[kWh Savings]]*tbl_Data_old[[#This Row],[Sum of Annuals]]</f>
        <v>272659.33345410082</v>
      </c>
      <c r="BA712" s="4">
        <f>tbl_Data_old[[#This Row],[Incremental Cost ($/unit)]]/tbl_Data_old[[#This Row],[kWh Savings]]*tbl_Data_old[[#This Row],[Sum of Annuals]]</f>
        <v>84253.194652752296</v>
      </c>
      <c r="BB712">
        <f>ROUNDUP(tbl_Data_old[[#This Row],[Adjusted 2025]]/$L712,0)</f>
        <v>1</v>
      </c>
      <c r="BC712">
        <f>ROUNDUP(tbl_Data_old[[#This Row],[Adjusted 2026]]/$L712,0)</f>
        <v>1</v>
      </c>
      <c r="BD712">
        <f>ROUNDUP(tbl_Data_old[[#This Row],[Adjusted 2027]]/$L712,0)</f>
        <v>1</v>
      </c>
      <c r="BE712">
        <f>ROUNDUP(tbl_Data_old[[#This Row],[Adjusted 2028]]/$L712,0)</f>
        <v>2</v>
      </c>
      <c r="BF712">
        <f>ROUNDUP(tbl_Data_old[[#This Row],[Adjusted 2029]]/$L712,0)</f>
        <v>2</v>
      </c>
      <c r="BG712">
        <f>ROUNDUP(tbl_Data_old[[#This Row],[Adjusted 2030]]/$L712,0)</f>
        <v>2</v>
      </c>
      <c r="BH712">
        <f>ROUNDUP(tbl_Data_old[[#This Row],[Adjusted 2031]]/$L712,0)</f>
        <v>3</v>
      </c>
      <c r="BI712">
        <f>ROUNDUP(tbl_Data_old[[#This Row],[Adjusted 2032]]/$L712,0)</f>
        <v>3</v>
      </c>
      <c r="BJ712">
        <f>ROUNDUP(tbl_Data_old[[#This Row],[Adjusted 2033]]/$L712,0)</f>
        <v>3</v>
      </c>
      <c r="BK712">
        <f>ROUNDUP(tbl_Data_old[[#This Row],[Adjusted 2034]]/$L712,0)</f>
        <v>2</v>
      </c>
      <c r="BL712" s="3">
        <f t="shared" si="47"/>
        <v>995.65536941548623</v>
      </c>
      <c r="BM712" s="3">
        <f t="shared" si="47"/>
        <v>1375.7789257907571</v>
      </c>
      <c r="BN712" s="3">
        <f t="shared" si="47"/>
        <v>1841.5621794563874</v>
      </c>
      <c r="BO712" s="3">
        <f t="shared" si="47"/>
        <v>2404.2600929626419</v>
      </c>
      <c r="BP712" s="3">
        <f t="shared" si="47"/>
        <v>3002.5540144472848</v>
      </c>
      <c r="BQ712" s="3">
        <f t="shared" si="47"/>
        <v>3566.3281208122048</v>
      </c>
      <c r="BR712" s="3">
        <f t="shared" si="47"/>
        <v>3978.4827940305472</v>
      </c>
      <c r="BS712" s="3">
        <f t="shared" si="47"/>
        <v>4108.1051352315571</v>
      </c>
      <c r="BT712" s="3">
        <f t="shared" si="47"/>
        <v>3897.5788298419793</v>
      </c>
      <c r="BU712" s="3">
        <f t="shared" si="47"/>
        <v>3381.2306470658532</v>
      </c>
      <c r="BV712">
        <f>VLOOKUP($H712,'1. Set Program Names'!$B$2:$D$15,3,0)*V712</f>
        <v>300.42858459586148</v>
      </c>
      <c r="BW712">
        <f>VLOOKUP($H712,'1. Set Program Names'!$B$2:$D$15,3,0)*W712</f>
        <v>415.12688836778864</v>
      </c>
      <c r="BX712">
        <f>VLOOKUP($H712,'1. Set Program Names'!$B$2:$D$15,3,0)*X712</f>
        <v>555.6721090593328</v>
      </c>
      <c r="BY712">
        <f>VLOOKUP($H712,'1. Set Program Names'!$B$2:$D$15,3,0)*Y712</f>
        <v>725.46031379625106</v>
      </c>
      <c r="BZ712">
        <f>VLOOKUP($H712,'1. Set Program Names'!$B$2:$D$15,3,0)*Z712</f>
        <v>905.98924130001217</v>
      </c>
      <c r="CA712">
        <f>VLOOKUP($H712,'1. Set Program Names'!$B$2:$D$15,3,0)*AA712</f>
        <v>1076.1021759657922</v>
      </c>
      <c r="CB712">
        <f>VLOOKUP($H712,'1. Set Program Names'!$B$2:$D$15,3,0)*AB712</f>
        <v>1200.4655339239262</v>
      </c>
      <c r="CC712">
        <f>VLOOKUP($H712,'1. Set Program Names'!$B$2:$D$15,3,0)*AC712</f>
        <v>1239.5777184159185</v>
      </c>
      <c r="CD712">
        <f>VLOOKUP($H712,'1. Set Program Names'!$B$2:$D$15,3,0)*AD712</f>
        <v>1176.0536096818716</v>
      </c>
      <c r="CE712">
        <f>VLOOKUP($H712,'1. Set Program Names'!$B$2:$D$15,3,0)*AE712</f>
        <v>1020.2509509756311</v>
      </c>
    </row>
    <row r="713" spans="1:83" x14ac:dyDescent="0.25">
      <c r="A713" s="20" t="s">
        <v>87</v>
      </c>
      <c r="B713" s="20" t="s">
        <v>88</v>
      </c>
      <c r="C713" s="20" t="s">
        <v>176</v>
      </c>
      <c r="D713" s="20" t="s">
        <v>90</v>
      </c>
      <c r="E713" s="20" t="s">
        <v>91</v>
      </c>
      <c r="F713" s="20" t="s">
        <v>90</v>
      </c>
      <c r="G713" s="20" t="s">
        <v>92</v>
      </c>
      <c r="H713" s="20" t="s">
        <v>18</v>
      </c>
      <c r="I713" s="20" t="s">
        <v>157</v>
      </c>
      <c r="J713" s="20" t="s">
        <v>158</v>
      </c>
      <c r="K713" s="20" t="s">
        <v>159</v>
      </c>
      <c r="L713" s="20">
        <v>562.52</v>
      </c>
      <c r="M713" s="20">
        <v>6.7473359330379998E-2</v>
      </c>
      <c r="N713" s="20">
        <v>6.4973258375617293E-2</v>
      </c>
      <c r="O713" s="20">
        <v>169</v>
      </c>
      <c r="P713" s="20">
        <v>55.847956108163899</v>
      </c>
      <c r="Q713" s="20">
        <v>17.802743307140101</v>
      </c>
      <c r="R713" s="20">
        <v>240.47921618074301</v>
      </c>
      <c r="S713" s="20">
        <v>597.43584258705596</v>
      </c>
      <c r="T713" s="20">
        <v>15</v>
      </c>
      <c r="U713" s="20">
        <v>0.2</v>
      </c>
      <c r="V713" s="20">
        <v>608.41479809683301</v>
      </c>
      <c r="W713" s="20">
        <v>692.17356987637004</v>
      </c>
      <c r="X713" s="20">
        <v>765.16343038608204</v>
      </c>
      <c r="Y713" s="20">
        <v>838.42551856543298</v>
      </c>
      <c r="Z713" s="20">
        <v>900.82675466876196</v>
      </c>
      <c r="AA713" s="20">
        <v>959.40179057310797</v>
      </c>
      <c r="AB713" s="20">
        <v>1014.79140599242</v>
      </c>
      <c r="AC713" s="20">
        <v>1064.4758613080101</v>
      </c>
      <c r="AD713" s="20">
        <v>1113.74164876281</v>
      </c>
      <c r="AE713" s="20">
        <v>1160.4084200635</v>
      </c>
      <c r="AF713" t="str">
        <f t="shared" si="48"/>
        <v>NonResidential</v>
      </c>
      <c r="AG713" t="str">
        <f>tbl_Data_old[[#This Row],[All_Meas_Name_Append]]</f>
        <v>LED Exterior Wall Packs</v>
      </c>
      <c r="AH713">
        <f>AVERAGEIFS('3. Incentive Adjustment'!G:G,'3. Incentive Adjustment'!A:A,tbl_Data_old[[#This Row],[Trimmed Sector]],'3. Incentive Adjustment'!B:B,tbl_Data_old[[#This Row],[Trimmed Measure Name]])</f>
        <v>0.80637708305213962</v>
      </c>
      <c r="AI713">
        <f>$AH713*tbl_Data_old[[#This Row],[2025 ]]</f>
        <v>490.61175017508066</v>
      </c>
      <c r="AJ713">
        <f>$AH713*tbl_Data_old[[#This Row],[2026 ]]</f>
        <v>558.15290424269358</v>
      </c>
      <c r="AK713">
        <f>$AH713*tbl_Data_old[[#This Row],[2027 ]]</f>
        <v>617.01025505289772</v>
      </c>
      <c r="AL713">
        <f>$AH713*tbl_Data_old[[#This Row],[2028 ]]</f>
        <v>676.08712401727144</v>
      </c>
      <c r="AM713">
        <f>$AH713*tbl_Data_old[[#This Row],[2029 ]]</f>
        <v>726.40605076512168</v>
      </c>
      <c r="AN713">
        <f>$AH713*tbl_Data_old[[#This Row],[2030 ]]</f>
        <v>773.63961735734256</v>
      </c>
      <c r="AO713">
        <f>$AH713*tbl_Data_old[[#This Row],[2031 ]]</f>
        <v>818.30453387054717</v>
      </c>
      <c r="AP713">
        <f>$AH713*tbl_Data_old[[#This Row],[2032 ]]</f>
        <v>858.3689400209671</v>
      </c>
      <c r="AQ713">
        <f>$AH713*tbl_Data_old[[#This Row],[2033 ]]</f>
        <v>898.0957420030353</v>
      </c>
      <c r="AR713">
        <f>$AH713*tbl_Data_old[[#This Row],[2034 ]]</f>
        <v>935.72675691994709</v>
      </c>
      <c r="AS713">
        <f>SUM(tbl_Data_old[[#This Row],[Adjusted 2025]:[Adjusted 2034]])</f>
        <v>7352.4036744249042</v>
      </c>
      <c r="AT713" s="3">
        <f>AVERAGEIFS('3. Incentive Adjustment'!F:F,'3. Incentive Adjustment'!A:A,tbl_Data_old[[#This Row],[Trimmed Sector]],'3. Incentive Adjustment'!B:B,tbl_Data_old[[#This Row],[Trimmed Measure Name]])</f>
        <v>8.6864493556481861</v>
      </c>
      <c r="AU713" s="3">
        <f>IFERROR(VLOOKUP(tbl_Data_old[[#This Row],[All_Meas_Name_Append]],'IRA Tax Credits'!$A$3:$D$46,4,0),0)</f>
        <v>0</v>
      </c>
      <c r="AV713" s="4">
        <f>tbl_Data_old[[#This Row],[Adj. per unit Incentive ($)]]/tbl_Data_old[[#This Row],[kWh Savings]]*tbl_Data_old[[#This Row],[Sum of Annuals]]</f>
        <v>113.53602033736323</v>
      </c>
      <c r="AW713" s="4">
        <f>IFERROR(VLOOKUP(tbl_Data_old[[#This Row],[All_Programs]],'1. Set Program Names'!$B$2:$D$15,3,0)*tbl_Data_old[[#This Row],[Sum of Annuals]],"")</f>
        <v>232.69031377775181</v>
      </c>
      <c r="AX713" s="4">
        <f>tbl_Data_old[[#This Row],[per unit IRA tax ($)]]/tbl_Data_old[[#This Row],[kWh Savings]]*tbl_Data_old[[#This Row],[Sum of Annuals]]</f>
        <v>0</v>
      </c>
      <c r="AY713" s="4">
        <f>tbl_Data_old[[#This Row],[Avoided Costs ($/unit)]]/tbl_Data_old[[#This Row],[kWh Savings]]*tbl_Data_old[[#This Row],[Sum of Annuals]]</f>
        <v>3143.1776162094075</v>
      </c>
      <c r="AZ713" s="4">
        <f>tbl_Data_old[[#This Row],[Lost Revenue ($/unit)]]/tbl_Data_old[[#This Row],[kWh Savings]]*tbl_Data_old[[#This Row],[Sum of Annuals]]</f>
        <v>7808.7703268687501</v>
      </c>
      <c r="BA713" s="4">
        <f>tbl_Data_old[[#This Row],[Incremental Cost ($/unit)]]/tbl_Data_old[[#This Row],[kWh Savings]]*tbl_Data_old[[#This Row],[Sum of Annuals]]</f>
        <v>2208.9102982610552</v>
      </c>
      <c r="BB713">
        <f>ROUNDUP(tbl_Data_old[[#This Row],[Adjusted 2025]]/$L713,0)</f>
        <v>1</v>
      </c>
      <c r="BC713">
        <f>ROUNDUP(tbl_Data_old[[#This Row],[Adjusted 2026]]/$L713,0)</f>
        <v>1</v>
      </c>
      <c r="BD713">
        <f>ROUNDUP(tbl_Data_old[[#This Row],[Adjusted 2027]]/$L713,0)</f>
        <v>2</v>
      </c>
      <c r="BE713">
        <f>ROUNDUP(tbl_Data_old[[#This Row],[Adjusted 2028]]/$L713,0)</f>
        <v>2</v>
      </c>
      <c r="BF713">
        <f>ROUNDUP(tbl_Data_old[[#This Row],[Adjusted 2029]]/$L713,0)</f>
        <v>2</v>
      </c>
      <c r="BG713">
        <f>ROUNDUP(tbl_Data_old[[#This Row],[Adjusted 2030]]/$L713,0)</f>
        <v>2</v>
      </c>
      <c r="BH713">
        <f>ROUNDUP(tbl_Data_old[[#This Row],[Adjusted 2031]]/$L713,0)</f>
        <v>2</v>
      </c>
      <c r="BI713">
        <f>ROUNDUP(tbl_Data_old[[#This Row],[Adjusted 2032]]/$L713,0)</f>
        <v>2</v>
      </c>
      <c r="BJ713">
        <f>ROUNDUP(tbl_Data_old[[#This Row],[Adjusted 2033]]/$L713,0)</f>
        <v>2</v>
      </c>
      <c r="BK713">
        <f>ROUNDUP(tbl_Data_old[[#This Row],[Adjusted 2034]]/$L713,0)</f>
        <v>2</v>
      </c>
      <c r="BL713" s="3">
        <f t="shared" si="47"/>
        <v>9.3951580937478774</v>
      </c>
      <c r="BM713" s="3">
        <f t="shared" si="47"/>
        <v>10.688563357834919</v>
      </c>
      <c r="BN713" s="3">
        <f t="shared" si="47"/>
        <v>11.815674797060971</v>
      </c>
      <c r="BO713" s="3">
        <f t="shared" si="47"/>
        <v>12.94698998347028</v>
      </c>
      <c r="BP713" s="3">
        <f t="shared" si="47"/>
        <v>13.910591592553356</v>
      </c>
      <c r="BQ713" s="3">
        <f t="shared" si="47"/>
        <v>14.815108912627977</v>
      </c>
      <c r="BR713" s="3">
        <f t="shared" si="47"/>
        <v>15.670436881711181</v>
      </c>
      <c r="BS713" s="3">
        <f t="shared" si="47"/>
        <v>16.437665611110738</v>
      </c>
      <c r="BT713" s="3">
        <f t="shared" si="47"/>
        <v>17.198429259856109</v>
      </c>
      <c r="BU713" s="3">
        <f t="shared" si="47"/>
        <v>17.919058829462632</v>
      </c>
      <c r="BV713">
        <f>VLOOKUP($H713,'1. Set Program Names'!$B$2:$D$15,3,0)*V713</f>
        <v>19.255230880294828</v>
      </c>
      <c r="BW713">
        <f>VLOOKUP($H713,'1. Set Program Names'!$B$2:$D$15,3,0)*W713</f>
        <v>21.906044920173297</v>
      </c>
      <c r="BX713">
        <f>VLOOKUP($H713,'1. Set Program Names'!$B$2:$D$15,3,0)*X713</f>
        <v>24.216042343693122</v>
      </c>
      <c r="BY713">
        <f>VLOOKUP($H713,'1. Set Program Names'!$B$2:$D$15,3,0)*Y713</f>
        <v>26.534655281903415</v>
      </c>
      <c r="BZ713">
        <f>VLOOKUP($H713,'1. Set Program Names'!$B$2:$D$15,3,0)*Z713</f>
        <v>28.509541843084914</v>
      </c>
      <c r="CA713">
        <f>VLOOKUP($H713,'1. Set Program Names'!$B$2:$D$15,3,0)*AA713</f>
        <v>30.363336069799683</v>
      </c>
      <c r="CB713">
        <f>VLOOKUP($H713,'1. Set Program Names'!$B$2:$D$15,3,0)*AB713</f>
        <v>32.116317484133795</v>
      </c>
      <c r="CC713">
        <f>VLOOKUP($H713,'1. Set Program Names'!$B$2:$D$15,3,0)*AC713</f>
        <v>33.68874087234849</v>
      </c>
      <c r="CD713">
        <f>VLOOKUP($H713,'1. Set Program Names'!$B$2:$D$15,3,0)*AD713</f>
        <v>35.247914177976611</v>
      </c>
      <c r="CE713">
        <f>VLOOKUP($H713,'1. Set Program Names'!$B$2:$D$15,3,0)*AE713</f>
        <v>36.724833310521589</v>
      </c>
    </row>
    <row r="714" spans="1:83" x14ac:dyDescent="0.25">
      <c r="A714" s="20" t="s">
        <v>87</v>
      </c>
      <c r="B714" s="20" t="s">
        <v>88</v>
      </c>
      <c r="C714" s="20" t="s">
        <v>176</v>
      </c>
      <c r="D714" s="20" t="s">
        <v>90</v>
      </c>
      <c r="E714" s="20" t="s">
        <v>91</v>
      </c>
      <c r="F714" s="20" t="s">
        <v>90</v>
      </c>
      <c r="G714" s="20" t="s">
        <v>92</v>
      </c>
      <c r="H714" s="20" t="s">
        <v>18</v>
      </c>
      <c r="I714" s="20" t="s">
        <v>162</v>
      </c>
      <c r="J714" s="20" t="s">
        <v>161</v>
      </c>
      <c r="K714" s="20" t="s">
        <v>159</v>
      </c>
      <c r="L714" s="20">
        <v>725.58416666666596</v>
      </c>
      <c r="M714" s="20">
        <v>8.6917804178563804E-2</v>
      </c>
      <c r="N714" s="20">
        <v>8.3795205289933394E-2</v>
      </c>
      <c r="O714" s="20">
        <v>179</v>
      </c>
      <c r="P714" s="20">
        <v>33.0790753554421</v>
      </c>
      <c r="Q714" s="20">
        <v>22.963430041406301</v>
      </c>
      <c r="R714" s="20">
        <v>310.45187974046598</v>
      </c>
      <c r="S714" s="20">
        <v>770.62146764617603</v>
      </c>
      <c r="T714" s="20">
        <v>15</v>
      </c>
      <c r="U714" s="20">
        <v>0.2</v>
      </c>
      <c r="V714" s="20">
        <v>3125.9948888097301</v>
      </c>
      <c r="W714" s="20">
        <v>3556.34190419271</v>
      </c>
      <c r="X714" s="20">
        <v>3931.3589675547701</v>
      </c>
      <c r="Y714" s="20">
        <v>4307.7747186320903</v>
      </c>
      <c r="Z714" s="20">
        <v>4628.3881319228203</v>
      </c>
      <c r="AA714" s="20">
        <v>4929.3427823054199</v>
      </c>
      <c r="AB714" s="20">
        <v>5213.9309534602598</v>
      </c>
      <c r="AC714" s="20">
        <v>5469.2063903097196</v>
      </c>
      <c r="AD714" s="20">
        <v>5722.3307394521498</v>
      </c>
      <c r="AE714" s="20">
        <v>5962.1015159347799</v>
      </c>
      <c r="AF714" t="str">
        <f t="shared" si="48"/>
        <v>NonResidential</v>
      </c>
      <c r="AG714" t="str">
        <f>tbl_Data_old[[#This Row],[All_Meas_Name_Append]]</f>
        <v>LED High Bay_LF Baseline</v>
      </c>
      <c r="AH714">
        <f>AVERAGEIFS('3. Incentive Adjustment'!G:G,'3. Incentive Adjustment'!A:A,tbl_Data_old[[#This Row],[Trimmed Sector]],'3. Incentive Adjustment'!B:B,tbl_Data_old[[#This Row],[Trimmed Measure Name]])</f>
        <v>0.93017466414143679</v>
      </c>
      <c r="AI714">
        <f>$AH714*tbl_Data_old[[#This Row],[2025 ]]</f>
        <v>2907.7212458064387</v>
      </c>
      <c r="AJ714">
        <f>$AH714*tbl_Data_old[[#This Row],[2026 ]]</f>
        <v>3308.0191363045719</v>
      </c>
      <c r="AK714">
        <f>$AH714*tbl_Data_old[[#This Row],[2027 ]]</f>
        <v>3656.850507264684</v>
      </c>
      <c r="AL714">
        <f>$AH714*tbl_Data_old[[#This Row],[2028 ]]</f>
        <v>4006.9829021005771</v>
      </c>
      <c r="AM714">
        <f>$AH714*tbl_Data_old[[#This Row],[2029 ]]</f>
        <v>4305.2093761275219</v>
      </c>
      <c r="AN714">
        <f>$AH714*tbl_Data_old[[#This Row],[2030 ]]</f>
        <v>4585.1497669689597</v>
      </c>
      <c r="AO714">
        <f>$AH714*tbl_Data_old[[#This Row],[2031 ]]</f>
        <v>4849.8664734915383</v>
      </c>
      <c r="AP714">
        <f>$AH714*tbl_Data_old[[#This Row],[2032 ]]</f>
        <v>5087.3172172265431</v>
      </c>
      <c r="AQ714">
        <f>$AH714*tbl_Data_old[[#This Row],[2033 ]]</f>
        <v>5322.7670736761229</v>
      </c>
      <c r="AR714">
        <f>$AH714*tbl_Data_old[[#This Row],[2034 ]]</f>
        <v>5545.7957751617851</v>
      </c>
      <c r="AS714">
        <f>SUM(tbl_Data_old[[#This Row],[Adjusted 2025]:[Adjusted 2034]])</f>
        <v>43575.679474128745</v>
      </c>
      <c r="AT714" s="3">
        <f>AVERAGEIFS('3. Incentive Adjustment'!F:F,'3. Incentive Adjustment'!A:A,tbl_Data_old[[#This Row],[Trimmed Sector]],'3. Incentive Adjustment'!B:B,tbl_Data_old[[#This Row],[Trimmed Measure Name]])</f>
        <v>23.858858929800434</v>
      </c>
      <c r="AU714" s="3">
        <f>IFERROR(VLOOKUP(tbl_Data_old[[#This Row],[All_Meas_Name_Append]],'IRA Tax Credits'!$A$3:$D$46,4,0),0)</f>
        <v>0</v>
      </c>
      <c r="AV714" s="4">
        <f>tbl_Data_old[[#This Row],[Adj. per unit Incentive ($)]]/tbl_Data_old[[#This Row],[kWh Savings]]*tbl_Data_old[[#This Row],[Sum of Annuals]]</f>
        <v>1432.8675253756765</v>
      </c>
      <c r="AW714" s="4">
        <f>IFERROR(VLOOKUP(tbl_Data_old[[#This Row],[All_Programs]],'1. Set Program Names'!$B$2:$D$15,3,0)*tbl_Data_old[[#This Row],[Sum of Annuals]],"")</f>
        <v>1379.0916520517171</v>
      </c>
      <c r="AX714" s="4">
        <f>tbl_Data_old[[#This Row],[per unit IRA tax ($)]]/tbl_Data_old[[#This Row],[kWh Savings]]*tbl_Data_old[[#This Row],[Sum of Annuals]]</f>
        <v>0</v>
      </c>
      <c r="AY714" s="4">
        <f>tbl_Data_old[[#This Row],[Avoided Costs ($/unit)]]/tbl_Data_old[[#This Row],[kWh Savings]]*tbl_Data_old[[#This Row],[Sum of Annuals]]</f>
        <v>18644.496703752018</v>
      </c>
      <c r="AZ714" s="4">
        <f>tbl_Data_old[[#This Row],[Lost Revenue ($/unit)]]/tbl_Data_old[[#This Row],[kWh Savings]]*tbl_Data_old[[#This Row],[Sum of Annuals]]</f>
        <v>46280.439420695475</v>
      </c>
      <c r="BA714" s="4">
        <f>tbl_Data_old[[#This Row],[Incremental Cost ($/unit)]]/tbl_Data_old[[#This Row],[kWh Savings]]*tbl_Data_old[[#This Row],[Sum of Annuals]]</f>
        <v>10750.023200895443</v>
      </c>
      <c r="BB714">
        <f>ROUNDUP(tbl_Data_old[[#This Row],[Adjusted 2025]]/$L714,0)</f>
        <v>5</v>
      </c>
      <c r="BC714">
        <f>ROUNDUP(tbl_Data_old[[#This Row],[Adjusted 2026]]/$L714,0)</f>
        <v>5</v>
      </c>
      <c r="BD714">
        <f>ROUNDUP(tbl_Data_old[[#This Row],[Adjusted 2027]]/$L714,0)</f>
        <v>6</v>
      </c>
      <c r="BE714">
        <f>ROUNDUP(tbl_Data_old[[#This Row],[Adjusted 2028]]/$L714,0)</f>
        <v>6</v>
      </c>
      <c r="BF714">
        <f>ROUNDUP(tbl_Data_old[[#This Row],[Adjusted 2029]]/$L714,0)</f>
        <v>6</v>
      </c>
      <c r="BG714">
        <f>ROUNDUP(tbl_Data_old[[#This Row],[Adjusted 2030]]/$L714,0)</f>
        <v>7</v>
      </c>
      <c r="BH714">
        <f>ROUNDUP(tbl_Data_old[[#This Row],[Adjusted 2031]]/$L714,0)</f>
        <v>7</v>
      </c>
      <c r="BI714">
        <f>ROUNDUP(tbl_Data_old[[#This Row],[Adjusted 2032]]/$L714,0)</f>
        <v>8</v>
      </c>
      <c r="BJ714">
        <f>ROUNDUP(tbl_Data_old[[#This Row],[Adjusted 2033]]/$L714,0)</f>
        <v>8</v>
      </c>
      <c r="BK714">
        <f>ROUNDUP(tbl_Data_old[[#This Row],[Adjusted 2034]]/$L714,0)</f>
        <v>8</v>
      </c>
      <c r="BL714" s="3">
        <f t="shared" si="47"/>
        <v>102.78982714027701</v>
      </c>
      <c r="BM714" s="3">
        <f t="shared" si="47"/>
        <v>116.94061653532745</v>
      </c>
      <c r="BN714" s="3">
        <f t="shared" si="47"/>
        <v>129.2720311693156</v>
      </c>
      <c r="BO714" s="3">
        <f t="shared" si="47"/>
        <v>141.64943783898798</v>
      </c>
      <c r="BP714" s="3">
        <f t="shared" si="47"/>
        <v>152.19193662840755</v>
      </c>
      <c r="BQ714" s="3">
        <f t="shared" si="47"/>
        <v>162.08801054734761</v>
      </c>
      <c r="BR714" s="3">
        <f t="shared" si="47"/>
        <v>171.44591737691124</v>
      </c>
      <c r="BS714" s="3">
        <f t="shared" si="47"/>
        <v>179.83995478268122</v>
      </c>
      <c r="BT714" s="3">
        <f t="shared" si="47"/>
        <v>188.16325952847129</v>
      </c>
      <c r="BU714" s="3">
        <f t="shared" si="47"/>
        <v>196.04746841063101</v>
      </c>
      <c r="BV714">
        <f>VLOOKUP($H714,'1. Set Program Names'!$B$2:$D$15,3,0)*V714</f>
        <v>98.932099454084977</v>
      </c>
      <c r="BW714">
        <f>VLOOKUP($H714,'1. Set Program Names'!$B$2:$D$15,3,0)*W714</f>
        <v>112.55180621625718</v>
      </c>
      <c r="BX714">
        <f>VLOOKUP($H714,'1. Set Program Names'!$B$2:$D$15,3,0)*X714</f>
        <v>124.42041980303149</v>
      </c>
      <c r="BY714">
        <f>VLOOKUP($H714,'1. Set Program Names'!$B$2:$D$15,3,0)*Y714</f>
        <v>136.33329933299294</v>
      </c>
      <c r="BZ714">
        <f>VLOOKUP($H714,'1. Set Program Names'!$B$2:$D$15,3,0)*Z714</f>
        <v>146.48013553017867</v>
      </c>
      <c r="CA714">
        <f>VLOOKUP($H714,'1. Set Program Names'!$B$2:$D$15,3,0)*AA714</f>
        <v>156.00480734247253</v>
      </c>
      <c r="CB714">
        <f>VLOOKUP($H714,'1. Set Program Names'!$B$2:$D$15,3,0)*AB714</f>
        <v>165.01150960962408</v>
      </c>
      <c r="CC714">
        <f>VLOOKUP($H714,'1. Set Program Names'!$B$2:$D$15,3,0)*AC714</f>
        <v>173.09051671132536</v>
      </c>
      <c r="CD714">
        <f>VLOOKUP($H714,'1. Set Program Names'!$B$2:$D$15,3,0)*AD714</f>
        <v>181.10144576730494</v>
      </c>
      <c r="CE714">
        <f>VLOOKUP($H714,'1. Set Program Names'!$B$2:$D$15,3,0)*AE714</f>
        <v>188.68975833623395</v>
      </c>
    </row>
    <row r="715" spans="1:83" x14ac:dyDescent="0.25">
      <c r="A715" s="20" t="s">
        <v>87</v>
      </c>
      <c r="B715" s="20" t="s">
        <v>88</v>
      </c>
      <c r="C715" s="20" t="s">
        <v>176</v>
      </c>
      <c r="D715" s="20" t="s">
        <v>90</v>
      </c>
      <c r="E715" s="20" t="s">
        <v>91</v>
      </c>
      <c r="F715" s="20" t="s">
        <v>90</v>
      </c>
      <c r="G715" s="20" t="s">
        <v>92</v>
      </c>
      <c r="H715" s="20" t="s">
        <v>18</v>
      </c>
      <c r="I715" s="20" t="s">
        <v>165</v>
      </c>
      <c r="J715" s="20" t="s">
        <v>161</v>
      </c>
      <c r="K715" s="20" t="s">
        <v>166</v>
      </c>
      <c r="L715" s="20">
        <v>565.38999999999896</v>
      </c>
      <c r="M715" s="20">
        <v>6.7728127941350899E-2</v>
      </c>
      <c r="N715" s="20">
        <v>6.5294935157718198E-2</v>
      </c>
      <c r="O715" s="20">
        <v>129</v>
      </c>
      <c r="P715" s="20">
        <v>15.293574707506</v>
      </c>
      <c r="Q715" s="20">
        <v>17.893573630135801</v>
      </c>
      <c r="R715" s="20">
        <v>190.6779313312</v>
      </c>
      <c r="S715" s="20">
        <v>454.767236260907</v>
      </c>
      <c r="T715" s="20">
        <v>10</v>
      </c>
      <c r="U715" s="20">
        <v>0.2</v>
      </c>
      <c r="V715" s="20">
        <v>374.02055050201699</v>
      </c>
      <c r="W715" s="20">
        <v>516.43414479511205</v>
      </c>
      <c r="X715" s="20">
        <v>690.88788086350803</v>
      </c>
      <c r="Y715" s="20">
        <v>901.24020805595501</v>
      </c>
      <c r="Z715" s="20">
        <v>1125.12725728687</v>
      </c>
      <c r="AA715" s="20">
        <v>1335.5489803155699</v>
      </c>
      <c r="AB715" s="20">
        <v>1488.4575412803599</v>
      </c>
      <c r="AC715" s="20">
        <v>1535.1359898072001</v>
      </c>
      <c r="AD715" s="20">
        <v>1453.49078996717</v>
      </c>
      <c r="AE715" s="20">
        <v>1257.82232186741</v>
      </c>
      <c r="AF715" t="str">
        <f t="shared" si="48"/>
        <v>NonResidential</v>
      </c>
      <c r="AG715" t="str">
        <f>tbl_Data_old[[#This Row],[All_Meas_Name_Append]]</f>
        <v>Occupancy Sensors_ Ceiling Mounted</v>
      </c>
      <c r="AH715">
        <f>AVERAGEIFS('3. Incentive Adjustment'!G:G,'3. Incentive Adjustment'!A:A,tbl_Data_old[[#This Row],[Trimmed Sector]],'3. Incentive Adjustment'!B:B,tbl_Data_old[[#This Row],[Trimmed Measure Name]])</f>
        <v>0.99348124042467356</v>
      </c>
      <c r="AI715">
        <f>$AH715*tbl_Data_old[[#This Row],[2025 ]]</f>
        <v>371.5824004570631</v>
      </c>
      <c r="AJ715">
        <f>$AH715*tbl_Data_old[[#This Row],[2026 ]]</f>
        <v>513.06763476870344</v>
      </c>
      <c r="AK715">
        <f>$AH715*tbl_Data_old[[#This Row],[2027 ]]</f>
        <v>686.38414887465206</v>
      </c>
      <c r="AL715">
        <f>$AH715*tbl_Data_old[[#This Row],[2028 ]]</f>
        <v>895.36523982002109</v>
      </c>
      <c r="AM715">
        <f>$AH715*tbl_Data_old[[#This Row],[2029 ]]</f>
        <v>1117.7928232049703</v>
      </c>
      <c r="AN715">
        <f>$AH715*tbl_Data_old[[#This Row],[2030 ]]</f>
        <v>1326.8428576118204</v>
      </c>
      <c r="AO715">
        <f>$AH715*tbl_Data_old[[#This Row],[2031 ]]</f>
        <v>1478.7546444306718</v>
      </c>
      <c r="AP715">
        <f>$AH715*tbl_Data_old[[#This Row],[2032 ]]</f>
        <v>1525.1288073742162</v>
      </c>
      <c r="AQ715">
        <f>$AH715*tbl_Data_old[[#This Row],[2033 ]]</f>
        <v>1444.0158329624228</v>
      </c>
      <c r="AR715">
        <f>$AH715*tbl_Data_old[[#This Row],[2034 ]]</f>
        <v>1249.6228805626774</v>
      </c>
      <c r="AS715">
        <f>SUM(tbl_Data_old[[#This Row],[Adjusted 2025]:[Adjusted 2034]])</f>
        <v>10608.557270067218</v>
      </c>
      <c r="AT715" s="3">
        <f>AVERAGEIFS('3. Incentive Adjustment'!F:F,'3. Incentive Adjustment'!A:A,tbl_Data_old[[#This Row],[Trimmed Sector]],'3. Incentive Adjustment'!B:B,tbl_Data_old[[#This Row],[Trimmed Measure Name]])</f>
        <v>19.547634357270656</v>
      </c>
      <c r="AU715" s="3">
        <f>IFERROR(VLOOKUP(tbl_Data_old[[#This Row],[All_Meas_Name_Append]],'IRA Tax Credits'!$A$3:$D$46,4,0),0)</f>
        <v>0</v>
      </c>
      <c r="AV715" s="4">
        <f>tbl_Data_old[[#This Row],[Adj. per unit Incentive ($)]]/tbl_Data_old[[#This Row],[kWh Savings]]*tbl_Data_old[[#This Row],[Sum of Annuals]]</f>
        <v>366.77726626477249</v>
      </c>
      <c r="AW715" s="4">
        <f>IFERROR(VLOOKUP(tbl_Data_old[[#This Row],[All_Programs]],'1. Set Program Names'!$B$2:$D$15,3,0)*tbl_Data_old[[#This Row],[Sum of Annuals]],"")</f>
        <v>335.74170151835068</v>
      </c>
      <c r="AX715" s="4">
        <f>tbl_Data_old[[#This Row],[per unit IRA tax ($)]]/tbl_Data_old[[#This Row],[kWh Savings]]*tbl_Data_old[[#This Row],[Sum of Annuals]]</f>
        <v>0</v>
      </c>
      <c r="AY715" s="4">
        <f>tbl_Data_old[[#This Row],[Avoided Costs ($/unit)]]/tbl_Data_old[[#This Row],[kWh Savings]]*tbl_Data_old[[#This Row],[Sum of Annuals]]</f>
        <v>3577.7388257043517</v>
      </c>
      <c r="AZ715" s="4">
        <f>tbl_Data_old[[#This Row],[Lost Revenue ($/unit)]]/tbl_Data_old[[#This Row],[kWh Savings]]*tbl_Data_old[[#This Row],[Sum of Annuals]]</f>
        <v>8532.9140423849567</v>
      </c>
      <c r="BA715" s="4">
        <f>tbl_Data_old[[#This Row],[Incremental Cost ($/unit)]]/tbl_Data_old[[#This Row],[kWh Savings]]*tbl_Data_old[[#This Row],[Sum of Annuals]]</f>
        <v>2420.4600149254029</v>
      </c>
      <c r="BB715">
        <f>ROUNDUP(tbl_Data_old[[#This Row],[Adjusted 2025]]/$L715,0)</f>
        <v>1</v>
      </c>
      <c r="BC715">
        <f>ROUNDUP(tbl_Data_old[[#This Row],[Adjusted 2026]]/$L715,0)</f>
        <v>1</v>
      </c>
      <c r="BD715">
        <f>ROUNDUP(tbl_Data_old[[#This Row],[Adjusted 2027]]/$L715,0)</f>
        <v>2</v>
      </c>
      <c r="BE715">
        <f>ROUNDUP(tbl_Data_old[[#This Row],[Adjusted 2028]]/$L715,0)</f>
        <v>2</v>
      </c>
      <c r="BF715">
        <f>ROUNDUP(tbl_Data_old[[#This Row],[Adjusted 2029]]/$L715,0)</f>
        <v>2</v>
      </c>
      <c r="BG715">
        <f>ROUNDUP(tbl_Data_old[[#This Row],[Adjusted 2030]]/$L715,0)</f>
        <v>3</v>
      </c>
      <c r="BH715">
        <f>ROUNDUP(tbl_Data_old[[#This Row],[Adjusted 2031]]/$L715,0)</f>
        <v>3</v>
      </c>
      <c r="BI715">
        <f>ROUNDUP(tbl_Data_old[[#This Row],[Adjusted 2032]]/$L715,0)</f>
        <v>3</v>
      </c>
      <c r="BJ715">
        <f>ROUNDUP(tbl_Data_old[[#This Row],[Adjusted 2033]]/$L715,0)</f>
        <v>3</v>
      </c>
      <c r="BK715">
        <f>ROUNDUP(tbl_Data_old[[#This Row],[Adjusted 2034]]/$L715,0)</f>
        <v>3</v>
      </c>
      <c r="BL715" s="3">
        <f t="shared" si="47"/>
        <v>12.931280997751154</v>
      </c>
      <c r="BM715" s="3">
        <f t="shared" si="47"/>
        <v>17.855048430401386</v>
      </c>
      <c r="BN715" s="3">
        <f t="shared" si="47"/>
        <v>23.886562685914942</v>
      </c>
      <c r="BO715" s="3">
        <f t="shared" si="47"/>
        <v>31.159224703564572</v>
      </c>
      <c r="BP715" s="3">
        <f t="shared" si="47"/>
        <v>38.899832382678433</v>
      </c>
      <c r="BQ715" s="3">
        <f t="shared" si="47"/>
        <v>46.174893672393345</v>
      </c>
      <c r="BR715" s="3">
        <f t="shared" si="47"/>
        <v>51.461511122005383</v>
      </c>
      <c r="BS715" s="3">
        <f t="shared" si="47"/>
        <v>53.075358632869303</v>
      </c>
      <c r="BT715" s="3">
        <f t="shared" si="47"/>
        <v>50.25258052660778</v>
      </c>
      <c r="BU715" s="3">
        <f t="shared" si="47"/>
        <v>43.48759411075077</v>
      </c>
      <c r="BV715">
        <f>VLOOKUP($H715,'1. Set Program Names'!$B$2:$D$15,3,0)*V715</f>
        <v>11.837075752298006</v>
      </c>
      <c r="BW715">
        <f>VLOOKUP($H715,'1. Set Program Names'!$B$2:$D$15,3,0)*W715</f>
        <v>16.344209121150985</v>
      </c>
      <c r="BX715">
        <f>VLOOKUP($H715,'1. Set Program Names'!$B$2:$D$15,3,0)*X715</f>
        <v>21.86535518208613</v>
      </c>
      <c r="BY715">
        <f>VLOOKUP($H715,'1. Set Program Names'!$B$2:$D$15,3,0)*Y715</f>
        <v>28.522626896988179</v>
      </c>
      <c r="BZ715">
        <f>VLOOKUP($H715,'1. Set Program Names'!$B$2:$D$15,3,0)*Z715</f>
        <v>35.608248150012138</v>
      </c>
      <c r="CA715">
        <f>VLOOKUP($H715,'1. Set Program Names'!$B$2:$D$15,3,0)*AA715</f>
        <v>42.267716117953007</v>
      </c>
      <c r="CB715">
        <f>VLOOKUP($H715,'1. Set Program Names'!$B$2:$D$15,3,0)*AB715</f>
        <v>47.106996250784469</v>
      </c>
      <c r="CC715">
        <f>VLOOKUP($H715,'1. Set Program Names'!$B$2:$D$15,3,0)*AC715</f>
        <v>48.584284946473318</v>
      </c>
      <c r="CD715">
        <f>VLOOKUP($H715,'1. Set Program Names'!$B$2:$D$15,3,0)*AD715</f>
        <v>46.000361645946725</v>
      </c>
      <c r="CE715">
        <f>VLOOKUP($H715,'1. Set Program Names'!$B$2:$D$15,3,0)*AE715</f>
        <v>39.807807584079811</v>
      </c>
    </row>
    <row r="716" spans="1:83" x14ac:dyDescent="0.25">
      <c r="A716" s="20" t="s">
        <v>87</v>
      </c>
      <c r="B716" s="20" t="s">
        <v>88</v>
      </c>
      <c r="C716" s="20" t="s">
        <v>176</v>
      </c>
      <c r="D716" s="20" t="s">
        <v>90</v>
      </c>
      <c r="E716" s="20" t="s">
        <v>91</v>
      </c>
      <c r="F716" s="20" t="s">
        <v>90</v>
      </c>
      <c r="G716" s="20" t="s">
        <v>92</v>
      </c>
      <c r="H716" s="20" t="s">
        <v>18</v>
      </c>
      <c r="I716" s="20" t="s">
        <v>188</v>
      </c>
      <c r="J716" s="20" t="s">
        <v>178</v>
      </c>
      <c r="K716" s="20" t="s">
        <v>189</v>
      </c>
      <c r="L716" s="20">
        <v>58755.825000000099</v>
      </c>
      <c r="M716" s="20">
        <v>7.0391882486047397</v>
      </c>
      <c r="N716" s="20">
        <v>6.7809192295770497</v>
      </c>
      <c r="O716" s="20">
        <v>15000</v>
      </c>
      <c r="P716" s="20">
        <v>3217.2191279034701</v>
      </c>
      <c r="Q716" s="20">
        <v>1859.5158754786501</v>
      </c>
      <c r="R716" s="20">
        <v>19805.726496097701</v>
      </c>
      <c r="S716" s="20">
        <v>47259.8103070086</v>
      </c>
      <c r="T716" s="20">
        <v>10</v>
      </c>
      <c r="U716" s="20">
        <v>1</v>
      </c>
      <c r="V716" s="20">
        <v>31.3673006371661</v>
      </c>
      <c r="W716" s="20">
        <v>43.334892859488797</v>
      </c>
      <c r="X716" s="20">
        <v>57.989715781924197</v>
      </c>
      <c r="Y716" s="20">
        <v>75.679426766221297</v>
      </c>
      <c r="Z716" s="20">
        <v>94.465086243524794</v>
      </c>
      <c r="AA716" s="20">
        <v>112.135436373121</v>
      </c>
      <c r="AB716" s="20">
        <v>125.008833622796</v>
      </c>
      <c r="AC716" s="20">
        <v>128.98191498825199</v>
      </c>
      <c r="AD716" s="20">
        <v>122.271588348203</v>
      </c>
      <c r="AE716" s="20">
        <v>106.043915845535</v>
      </c>
      <c r="AF716" t="str">
        <f t="shared" si="48"/>
        <v>NonResidential</v>
      </c>
      <c r="AG716" t="str">
        <f>tbl_Data_old[[#This Row],[All_Meas_Name_Append]]</f>
        <v>Strategic Energy Management</v>
      </c>
      <c r="AH716">
        <f>AVERAGEIFS('3. Incentive Adjustment'!G:G,'3. Incentive Adjustment'!A:A,tbl_Data_old[[#This Row],[Trimmed Sector]],'3. Incentive Adjustment'!B:B,tbl_Data_old[[#This Row],[Trimmed Measure Name]])</f>
        <v>1.1413908001130193</v>
      </c>
      <c r="AI716">
        <f>$AH716*tbl_Data_old[[#This Row],[2025 ]]</f>
        <v>35.802348371640633</v>
      </c>
      <c r="AJ716">
        <f>$AH716*tbl_Data_old[[#This Row],[2026 ]]</f>
        <v>49.462048033703887</v>
      </c>
      <c r="AK716">
        <f>$AH716*tbl_Data_old[[#This Row],[2027 ]]</f>
        <v>66.188928094657044</v>
      </c>
      <c r="AL716">
        <f>$AH716*tbl_Data_old[[#This Row],[2028 ]]</f>
        <v>86.379801468791982</v>
      </c>
      <c r="AM716">
        <f>$AH716*tbl_Data_old[[#This Row],[2029 ]]</f>
        <v>107.82158037024213</v>
      </c>
      <c r="AN716">
        <f>$AH716*tbl_Data_old[[#This Row],[2030 ]]</f>
        <v>127.99035544293913</v>
      </c>
      <c r="AO716">
        <f>$AH716*tbl_Data_old[[#This Row],[2031 ]]</f>
        <v>142.68393262991844</v>
      </c>
      <c r="AP716">
        <f>$AH716*tbl_Data_old[[#This Row],[2032 ]]</f>
        <v>147.21877114855036</v>
      </c>
      <c r="AQ716">
        <f>$AH716*tbl_Data_old[[#This Row],[2033 ]]</f>
        <v>139.55966605584516</v>
      </c>
      <c r="AR716">
        <f>$AH716*tbl_Data_old[[#This Row],[2034 ]]</f>
        <v>121.03754995405288</v>
      </c>
      <c r="AS716">
        <f>SUM(tbl_Data_old[[#This Row],[Adjusted 2025]:[Adjusted 2034]])</f>
        <v>1024.1449815703415</v>
      </c>
      <c r="AT716" s="3">
        <f>AVERAGEIFS('3. Incentive Adjustment'!F:F,'3. Incentive Adjustment'!A:A,tbl_Data_old[[#This Row],[Trimmed Sector]],'3. Incentive Adjustment'!B:B,tbl_Data_old[[#This Row],[Trimmed Measure Name]])</f>
        <v>6162.1674053779652</v>
      </c>
      <c r="AU716" s="3">
        <f>IFERROR(VLOOKUP(tbl_Data_old[[#This Row],[All_Meas_Name_Append]],'IRA Tax Credits'!$A$3:$D$46,4,0),0)</f>
        <v>0</v>
      </c>
      <c r="AV716" s="4">
        <f>tbl_Data_old[[#This Row],[Adj. per unit Incentive ($)]]/tbl_Data_old[[#This Row],[kWh Savings]]*tbl_Data_old[[#This Row],[Sum of Annuals]]</f>
        <v>107.40982402705033</v>
      </c>
      <c r="AW716" s="4">
        <f>IFERROR(VLOOKUP(tbl_Data_old[[#This Row],[All_Programs]],'1. Set Program Names'!$B$2:$D$15,3,0)*tbl_Data_old[[#This Row],[Sum of Annuals]],"")</f>
        <v>32.412341278874734</v>
      </c>
      <c r="AX716" s="4">
        <f>tbl_Data_old[[#This Row],[per unit IRA tax ($)]]/tbl_Data_old[[#This Row],[kWh Savings]]*tbl_Data_old[[#This Row],[Sum of Annuals]]</f>
        <v>0</v>
      </c>
      <c r="AY716" s="4">
        <f>tbl_Data_old[[#This Row],[Avoided Costs ($/unit)]]/tbl_Data_old[[#This Row],[kWh Savings]]*tbl_Data_old[[#This Row],[Sum of Annuals]]</f>
        <v>345.22424623147015</v>
      </c>
      <c r="AZ716" s="4">
        <f>tbl_Data_old[[#This Row],[Lost Revenue ($/unit)]]/tbl_Data_old[[#This Row],[kWh Savings]]*tbl_Data_old[[#This Row],[Sum of Annuals]]</f>
        <v>823.76338951736398</v>
      </c>
      <c r="BA716" s="4">
        <f>tbl_Data_old[[#This Row],[Incremental Cost ($/unit)]]/tbl_Data_old[[#This Row],[kWh Savings]]*tbl_Data_old[[#This Row],[Sum of Annuals]]</f>
        <v>261.45790180897126</v>
      </c>
      <c r="BB716">
        <f>ROUNDUP(tbl_Data_old[[#This Row],[Adjusted 2025]]/$L716,0)</f>
        <v>1</v>
      </c>
      <c r="BC716">
        <f>ROUNDUP(tbl_Data_old[[#This Row],[Adjusted 2026]]/$L716,0)</f>
        <v>1</v>
      </c>
      <c r="BD716">
        <f>ROUNDUP(tbl_Data_old[[#This Row],[Adjusted 2027]]/$L716,0)</f>
        <v>1</v>
      </c>
      <c r="BE716">
        <f>ROUNDUP(tbl_Data_old[[#This Row],[Adjusted 2028]]/$L716,0)</f>
        <v>1</v>
      </c>
      <c r="BF716">
        <f>ROUNDUP(tbl_Data_old[[#This Row],[Adjusted 2029]]/$L716,0)</f>
        <v>1</v>
      </c>
      <c r="BG716">
        <f>ROUNDUP(tbl_Data_old[[#This Row],[Adjusted 2030]]/$L716,0)</f>
        <v>1</v>
      </c>
      <c r="BH716">
        <f>ROUNDUP(tbl_Data_old[[#This Row],[Adjusted 2031]]/$L716,0)</f>
        <v>1</v>
      </c>
      <c r="BI716">
        <f>ROUNDUP(tbl_Data_old[[#This Row],[Adjusted 2032]]/$L716,0)</f>
        <v>1</v>
      </c>
      <c r="BJ716">
        <f>ROUNDUP(tbl_Data_old[[#This Row],[Adjusted 2033]]/$L716,0)</f>
        <v>1</v>
      </c>
      <c r="BK716">
        <f>ROUNDUP(tbl_Data_old[[#This Row],[Adjusted 2034]]/$L716,0)</f>
        <v>1</v>
      </c>
      <c r="BL716" s="3">
        <f t="shared" si="47"/>
        <v>3.2897258711121169</v>
      </c>
      <c r="BM716" s="3">
        <f t="shared" si="47"/>
        <v>4.5448577106063572</v>
      </c>
      <c r="BN716" s="3">
        <f t="shared" si="47"/>
        <v>6.081819741932053</v>
      </c>
      <c r="BO716" s="3">
        <f t="shared" si="47"/>
        <v>7.9370734199800079</v>
      </c>
      <c r="BP716" s="3">
        <f t="shared" si="47"/>
        <v>9.9072674989427156</v>
      </c>
      <c r="BQ716" s="3">
        <f t="shared" si="47"/>
        <v>11.760490657841665</v>
      </c>
      <c r="BR716" s="3">
        <f t="shared" si="47"/>
        <v>13.11062111602908</v>
      </c>
      <c r="BS716" s="3">
        <f t="shared" si="47"/>
        <v>13.527308184743159</v>
      </c>
      <c r="BT716" s="3">
        <f t="shared" si="47"/>
        <v>12.82354551779483</v>
      </c>
      <c r="BU716" s="3">
        <f t="shared" si="47"/>
        <v>11.121626864434269</v>
      </c>
      <c r="BV716">
        <f>VLOOKUP($H716,'1. Set Program Names'!$B$2:$D$15,3,0)*V716</f>
        <v>0.9927184837541122</v>
      </c>
      <c r="BW716">
        <f>VLOOKUP($H716,'1. Set Program Names'!$B$2:$D$15,3,0)*W716</f>
        <v>1.3714711900375127</v>
      </c>
      <c r="BX716">
        <f>VLOOKUP($H716,'1. Set Program Names'!$B$2:$D$15,3,0)*X716</f>
        <v>1.8352699006606221</v>
      </c>
      <c r="BY716">
        <f>VLOOKUP($H716,'1. Set Program Names'!$B$2:$D$15,3,0)*Y716</f>
        <v>2.395117344006529</v>
      </c>
      <c r="BZ716">
        <f>VLOOKUP($H716,'1. Set Program Names'!$B$2:$D$15,3,0)*Z716</f>
        <v>2.9896495802466267</v>
      </c>
      <c r="CA716">
        <f>VLOOKUP($H716,'1. Set Program Names'!$B$2:$D$15,3,0)*AA716</f>
        <v>3.5488842874650235</v>
      </c>
      <c r="CB716">
        <f>VLOOKUP($H716,'1. Set Program Names'!$B$2:$D$15,3,0)*AB716</f>
        <v>3.9563040889419643</v>
      </c>
      <c r="CC716">
        <f>VLOOKUP($H716,'1. Set Program Names'!$B$2:$D$15,3,0)*AC716</f>
        <v>4.0820449473782778</v>
      </c>
      <c r="CD716">
        <f>VLOOKUP($H716,'1. Set Program Names'!$B$2:$D$15,3,0)*AD716</f>
        <v>3.869675213537958</v>
      </c>
      <c r="CE716">
        <f>VLOOKUP($H716,'1. Set Program Names'!$B$2:$D$15,3,0)*AE716</f>
        <v>3.3560986508604786</v>
      </c>
    </row>
    <row r="717" spans="1:83" x14ac:dyDescent="0.25">
      <c r="A717" s="20" t="s">
        <v>87</v>
      </c>
      <c r="B717" s="20" t="s">
        <v>88</v>
      </c>
      <c r="C717" s="20" t="s">
        <v>176</v>
      </c>
      <c r="D717" s="20" t="s">
        <v>90</v>
      </c>
      <c r="E717" s="20" t="s">
        <v>91</v>
      </c>
      <c r="F717" s="20" t="s">
        <v>90</v>
      </c>
      <c r="G717" s="20" t="s">
        <v>92</v>
      </c>
      <c r="H717" s="20" t="s">
        <v>18</v>
      </c>
      <c r="I717" s="20" t="s">
        <v>194</v>
      </c>
      <c r="J717" s="20" t="s">
        <v>182</v>
      </c>
      <c r="K717" s="20" t="s">
        <v>102</v>
      </c>
      <c r="L717" s="20">
        <v>8959.2199999999993</v>
      </c>
      <c r="M717" s="20">
        <v>1.0579901286000299</v>
      </c>
      <c r="N717" s="20">
        <v>1.03235399659801</v>
      </c>
      <c r="O717" s="20">
        <v>2314.9299999999998</v>
      </c>
      <c r="P717" s="20">
        <v>512.76464645414296</v>
      </c>
      <c r="Q717" s="20">
        <v>283.54315205183201</v>
      </c>
      <c r="R717" s="20">
        <v>3866.1887556449001</v>
      </c>
      <c r="S717" s="20">
        <v>9515.3223878667595</v>
      </c>
      <c r="T717" s="20">
        <v>15</v>
      </c>
      <c r="U717" s="20">
        <v>1</v>
      </c>
      <c r="V717" s="20">
        <v>33813.802038572801</v>
      </c>
      <c r="W717" s="20">
        <v>43898.989333205602</v>
      </c>
      <c r="X717" s="20">
        <v>55576.3597258433</v>
      </c>
      <c r="Y717" s="20">
        <v>69445.368273142696</v>
      </c>
      <c r="Z717" s="20">
        <v>84083.203994452604</v>
      </c>
      <c r="AA717" s="20">
        <v>99086.7882879682</v>
      </c>
      <c r="AB717" s="20">
        <v>113114.320533044</v>
      </c>
      <c r="AC717" s="20">
        <v>124127.190743108</v>
      </c>
      <c r="AD717" s="20">
        <v>130900.39378829001</v>
      </c>
      <c r="AE717" s="20">
        <v>131752.384082081</v>
      </c>
      <c r="AF717" t="str">
        <f t="shared" si="48"/>
        <v>NonResidential</v>
      </c>
      <c r="AG717" t="str">
        <f>tbl_Data_old[[#This Row],[All_Meas_Name_Append]]</f>
        <v>VFD on HVAC Fan</v>
      </c>
      <c r="AH717">
        <f>AVERAGEIFS('3. Incentive Adjustment'!G:G,'3. Incentive Adjustment'!A:A,tbl_Data_old[[#This Row],[Trimmed Sector]],'3. Incentive Adjustment'!B:B,tbl_Data_old[[#This Row],[Trimmed Measure Name]])</f>
        <v>1.1307524828118058</v>
      </c>
      <c r="AI717">
        <f>$AH717*tbl_Data_old[[#This Row],[2025 ]]</f>
        <v>38235.0406084231</v>
      </c>
      <c r="AJ717">
        <f>$AH717*tbl_Data_old[[#This Row],[2026 ]]</f>
        <v>49638.891181451218</v>
      </c>
      <c r="AK717">
        <f>$AH717*tbl_Data_old[[#This Row],[2027 ]]</f>
        <v>62843.106745639365</v>
      </c>
      <c r="AL717">
        <f>$AH717*tbl_Data_old[[#This Row],[2028 ]]</f>
        <v>78525.522594636321</v>
      </c>
      <c r="AM717">
        <f>$AH717*tbl_Data_old[[#This Row],[2029 ]]</f>
        <v>95077.291679498827</v>
      </c>
      <c r="AN717">
        <f>$AH717*tbl_Data_old[[#This Row],[2030 ]]</f>
        <v>112042.63187046781</v>
      </c>
      <c r="AO717">
        <f>$AH717*tbl_Data_old[[#This Row],[2031 ]]</f>
        <v>127904.29878430993</v>
      </c>
      <c r="AP717">
        <f>$AH717*tbl_Data_old[[#This Row],[2032 ]]</f>
        <v>140357.12911722399</v>
      </c>
      <c r="AQ717">
        <f>$AH717*tbl_Data_old[[#This Row],[2033 ]]</f>
        <v>148015.945277152</v>
      </c>
      <c r="AR717">
        <f>$AH717*tbl_Data_old[[#This Row],[2034 ]]</f>
        <v>148979.33541718774</v>
      </c>
      <c r="AS717">
        <f>SUM(tbl_Data_old[[#This Row],[Adjusted 2025]:[Adjusted 2034]])</f>
        <v>1001619.1932759903</v>
      </c>
      <c r="AT717" s="3">
        <f>AVERAGEIFS('3. Incentive Adjustment'!F:F,'3. Incentive Adjustment'!A:A,tbl_Data_old[[#This Row],[Trimmed Sector]],'3. Incentive Adjustment'!B:B,tbl_Data_old[[#This Row],[Trimmed Measure Name]])</f>
        <v>930.02043037501858</v>
      </c>
      <c r="AU717" s="3">
        <f>IFERROR(VLOOKUP(tbl_Data_old[[#This Row],[All_Meas_Name_Append]],'IRA Tax Credits'!$A$3:$D$46,4,0),0)</f>
        <v>0</v>
      </c>
      <c r="AV717" s="4">
        <f>tbl_Data_old[[#This Row],[Adj. per unit Incentive ($)]]/tbl_Data_old[[#This Row],[kWh Savings]]*tbl_Data_old[[#This Row],[Sum of Annuals]]</f>
        <v>103974.04162442885</v>
      </c>
      <c r="AW717" s="4">
        <f>IFERROR(VLOOKUP(tbl_Data_old[[#This Row],[All_Programs]],'1. Set Program Names'!$B$2:$D$15,3,0)*tbl_Data_old[[#This Row],[Sum of Annuals]],"")</f>
        <v>31699.440712147654</v>
      </c>
      <c r="AX717" s="4">
        <f>tbl_Data_old[[#This Row],[per unit IRA tax ($)]]/tbl_Data_old[[#This Row],[kWh Savings]]*tbl_Data_old[[#This Row],[Sum of Annuals]]</f>
        <v>0</v>
      </c>
      <c r="AY717" s="4">
        <f>tbl_Data_old[[#This Row],[Avoided Costs ($/unit)]]/tbl_Data_old[[#This Row],[kWh Savings]]*tbl_Data_old[[#This Row],[Sum of Annuals]]</f>
        <v>432230.58061770443</v>
      </c>
      <c r="AZ717" s="4">
        <f>tbl_Data_old[[#This Row],[Lost Revenue ($/unit)]]/tbl_Data_old[[#This Row],[kWh Savings]]*tbl_Data_old[[#This Row],[Sum of Annuals]]</f>
        <v>1063790.0993497286</v>
      </c>
      <c r="BA717" s="4">
        <f>tbl_Data_old[[#This Row],[Incremental Cost ($/unit)]]/tbl_Data_old[[#This Row],[kWh Savings]]*tbl_Data_old[[#This Row],[Sum of Annuals]]</f>
        <v>258803.59217547823</v>
      </c>
      <c r="BB717">
        <f>ROUNDUP(tbl_Data_old[[#This Row],[Adjusted 2025]]/$L717,0)</f>
        <v>5</v>
      </c>
      <c r="BC717">
        <f>ROUNDUP(tbl_Data_old[[#This Row],[Adjusted 2026]]/$L717,0)</f>
        <v>6</v>
      </c>
      <c r="BD717">
        <f>ROUNDUP(tbl_Data_old[[#This Row],[Adjusted 2027]]/$L717,0)</f>
        <v>8</v>
      </c>
      <c r="BE717">
        <f>ROUNDUP(tbl_Data_old[[#This Row],[Adjusted 2028]]/$L717,0)</f>
        <v>9</v>
      </c>
      <c r="BF717">
        <f>ROUNDUP(tbl_Data_old[[#This Row],[Adjusted 2029]]/$L717,0)</f>
        <v>11</v>
      </c>
      <c r="BG717">
        <f>ROUNDUP(tbl_Data_old[[#This Row],[Adjusted 2030]]/$L717,0)</f>
        <v>13</v>
      </c>
      <c r="BH717">
        <f>ROUNDUP(tbl_Data_old[[#This Row],[Adjusted 2031]]/$L717,0)</f>
        <v>15</v>
      </c>
      <c r="BI717">
        <f>ROUNDUP(tbl_Data_old[[#This Row],[Adjusted 2032]]/$L717,0)</f>
        <v>16</v>
      </c>
      <c r="BJ717">
        <f>ROUNDUP(tbl_Data_old[[#This Row],[Adjusted 2033]]/$L717,0)</f>
        <v>17</v>
      </c>
      <c r="BK717">
        <f>ROUNDUP(tbl_Data_old[[#This Row],[Adjusted 2034]]/$L717,0)</f>
        <v>17</v>
      </c>
      <c r="BL717" s="3">
        <f t="shared" si="47"/>
        <v>3510.0741721410077</v>
      </c>
      <c r="BM717" s="3">
        <f t="shared" si="47"/>
        <v>4556.9767181402203</v>
      </c>
      <c r="BN717" s="3">
        <f t="shared" si="47"/>
        <v>5769.1573586657805</v>
      </c>
      <c r="BO717" s="3">
        <f t="shared" si="47"/>
        <v>7208.8431011784323</v>
      </c>
      <c r="BP717" s="3">
        <f t="shared" si="47"/>
        <v>8728.33768634226</v>
      </c>
      <c r="BQ717" s="3">
        <f t="shared" si="47"/>
        <v>10285.799153057358</v>
      </c>
      <c r="BR717" s="3">
        <f t="shared" si="47"/>
        <v>11741.940600154856</v>
      </c>
      <c r="BS717" s="3">
        <f t="shared" si="47"/>
        <v>12885.142161499252</v>
      </c>
      <c r="BT717" s="3">
        <f t="shared" si="47"/>
        <v>13588.241003931691</v>
      </c>
      <c r="BU717" s="3">
        <f t="shared" si="47"/>
        <v>13676.682674044361</v>
      </c>
      <c r="BV717">
        <f>VLOOKUP($H717,'1. Set Program Names'!$B$2:$D$15,3,0)*V717</f>
        <v>1070.1458400255376</v>
      </c>
      <c r="BW717">
        <f>VLOOKUP($H717,'1. Set Program Names'!$B$2:$D$15,3,0)*W717</f>
        <v>1389.3238258940924</v>
      </c>
      <c r="BX717">
        <f>VLOOKUP($H717,'1. Set Program Names'!$B$2:$D$15,3,0)*X717</f>
        <v>1758.8915347800482</v>
      </c>
      <c r="BY717">
        <f>VLOOKUP($H717,'1. Set Program Names'!$B$2:$D$15,3,0)*Y717</f>
        <v>2197.8206379090116</v>
      </c>
      <c r="BZ717">
        <f>VLOOKUP($H717,'1. Set Program Names'!$B$2:$D$15,3,0)*Z717</f>
        <v>2661.0817342585951</v>
      </c>
      <c r="CA717">
        <f>VLOOKUP($H717,'1. Set Program Names'!$B$2:$D$15,3,0)*AA717</f>
        <v>3135.9181131686755</v>
      </c>
      <c r="CB717">
        <f>VLOOKUP($H717,'1. Set Program Names'!$B$2:$D$15,3,0)*AB717</f>
        <v>3579.8642053817816</v>
      </c>
      <c r="CC717">
        <f>VLOOKUP($H717,'1. Set Program Names'!$B$2:$D$15,3,0)*AC717</f>
        <v>3928.4016821374894</v>
      </c>
      <c r="CD717">
        <f>VLOOKUP($H717,'1. Set Program Names'!$B$2:$D$15,3,0)*AD717</f>
        <v>4142.7613407816543</v>
      </c>
      <c r="CE717">
        <f>VLOOKUP($H717,'1. Set Program Names'!$B$2:$D$15,3,0)*AE717</f>
        <v>4169.7252967308395</v>
      </c>
    </row>
    <row r="718" spans="1:83" x14ac:dyDescent="0.25">
      <c r="A718" s="20" t="s">
        <v>87</v>
      </c>
      <c r="B718" s="20" t="s">
        <v>88</v>
      </c>
      <c r="C718" s="20" t="s">
        <v>176</v>
      </c>
      <c r="D718" s="20" t="s">
        <v>90</v>
      </c>
      <c r="E718" s="20" t="s">
        <v>91</v>
      </c>
      <c r="F718" s="20" t="s">
        <v>90</v>
      </c>
      <c r="G718" s="20" t="s">
        <v>92</v>
      </c>
      <c r="H718" s="20" t="s">
        <v>18</v>
      </c>
      <c r="I718" s="20" t="s">
        <v>195</v>
      </c>
      <c r="J718" s="20" t="s">
        <v>191</v>
      </c>
      <c r="K718" s="20" t="s">
        <v>102</v>
      </c>
      <c r="L718" s="20">
        <v>20302.931666666602</v>
      </c>
      <c r="M718" s="20">
        <v>2.3950992196012999</v>
      </c>
      <c r="N718" s="20">
        <v>2.3402323276086099</v>
      </c>
      <c r="O718" s="20">
        <v>5194</v>
      </c>
      <c r="P718" s="20">
        <v>1110.9469872966299</v>
      </c>
      <c r="Q718" s="20">
        <v>642.55116412585198</v>
      </c>
      <c r="R718" s="20">
        <v>8767.8839794133291</v>
      </c>
      <c r="S718" s="20">
        <v>21563.142798944798</v>
      </c>
      <c r="T718" s="20">
        <v>15</v>
      </c>
      <c r="U718" s="20">
        <v>1</v>
      </c>
      <c r="V718" s="20">
        <v>36102.053314017503</v>
      </c>
      <c r="W718" s="20">
        <v>46871.621551472599</v>
      </c>
      <c r="X718" s="20">
        <v>59341.5511347457</v>
      </c>
      <c r="Y718" s="20">
        <v>74152.985314774196</v>
      </c>
      <c r="Z718" s="20">
        <v>89783.730391065401</v>
      </c>
      <c r="AA718" s="20">
        <v>105805.38576485599</v>
      </c>
      <c r="AB718" s="20">
        <v>120785.15930025</v>
      </c>
      <c r="AC718" s="20">
        <v>132544.868214658</v>
      </c>
      <c r="AD718" s="20">
        <v>139779.54774884801</v>
      </c>
      <c r="AE718" s="20">
        <v>140692.984381627</v>
      </c>
      <c r="AF718" t="str">
        <f t="shared" si="48"/>
        <v>NonResidential</v>
      </c>
      <c r="AG718" t="str">
        <f>tbl_Data_old[[#This Row],[All_Meas_Name_Append]]</f>
        <v>VFD on process pump</v>
      </c>
      <c r="AH718">
        <f>AVERAGEIFS('3. Incentive Adjustment'!G:G,'3. Incentive Adjustment'!A:A,tbl_Data_old[[#This Row],[Trimmed Sector]],'3. Incentive Adjustment'!B:B,tbl_Data_old[[#This Row],[Trimmed Measure Name]])</f>
        <v>1.1380520252658823</v>
      </c>
      <c r="AI718">
        <f>$AH718*tbl_Data_old[[#This Row],[2025 ]]</f>
        <v>41086.014890274477</v>
      </c>
      <c r="AJ718">
        <f>$AH718*tbl_Data_old[[#This Row],[2026 ]]</f>
        <v>53342.343834149367</v>
      </c>
      <c r="AK718">
        <f>$AH718*tbl_Data_old[[#This Row],[2027 ]]</f>
        <v>67533.772451316268</v>
      </c>
      <c r="AL718">
        <f>$AH718*tbl_Data_old[[#This Row],[2028 ]]</f>
        <v>84389.955116990008</v>
      </c>
      <c r="AM718">
        <f>$AH718*tbl_Data_old[[#This Row],[2029 ]]</f>
        <v>102178.55620747793</v>
      </c>
      <c r="AN718">
        <f>$AH718*tbl_Data_old[[#This Row],[2030 ]]</f>
        <v>120412.03355373233</v>
      </c>
      <c r="AO718">
        <f>$AH718*tbl_Data_old[[#This Row],[2031 ]]</f>
        <v>137459.79516371174</v>
      </c>
      <c r="AP718">
        <f>$AH718*tbl_Data_old[[#This Row],[2032 ]]</f>
        <v>150842.95571029102</v>
      </c>
      <c r="AQ718">
        <f>$AH718*tbl_Data_old[[#This Row],[2033 ]]</f>
        <v>159076.39740632559</v>
      </c>
      <c r="AR718">
        <f>$AH718*tbl_Data_old[[#This Row],[2034 ]]</f>
        <v>160115.93581621177</v>
      </c>
      <c r="AS718">
        <f>SUM(tbl_Data_old[[#This Row],[Adjusted 2025]:[Adjusted 2034]])</f>
        <v>1076437.7601504805</v>
      </c>
      <c r="AT718" s="3">
        <f>AVERAGEIFS('3. Incentive Adjustment'!F:F,'3. Incentive Adjustment'!A:A,tbl_Data_old[[#This Row],[Trimmed Sector]],'3. Incentive Adjustment'!B:B,tbl_Data_old[[#This Row],[Trimmed Measure Name]])</f>
        <v>2106.0249622508104</v>
      </c>
      <c r="AU718" s="3">
        <f>IFERROR(VLOOKUP(tbl_Data_old[[#This Row],[All_Meas_Name_Append]],'IRA Tax Credits'!$A$3:$D$46,4,0),0)</f>
        <v>0</v>
      </c>
      <c r="AV718" s="4">
        <f>tbl_Data_old[[#This Row],[Adj. per unit Incentive ($)]]/tbl_Data_old[[#This Row],[kWh Savings]]*tbl_Data_old[[#This Row],[Sum of Annuals]]</f>
        <v>111658.9875002257</v>
      </c>
      <c r="AW718" s="4">
        <f>IFERROR(VLOOKUP(tbl_Data_old[[#This Row],[All_Programs]],'1. Set Program Names'!$B$2:$D$15,3,0)*tbl_Data_old[[#This Row],[Sum of Annuals]],"")</f>
        <v>34067.313393429482</v>
      </c>
      <c r="AX718" s="4">
        <f>tbl_Data_old[[#This Row],[per unit IRA tax ($)]]/tbl_Data_old[[#This Row],[kWh Savings]]*tbl_Data_old[[#This Row],[Sum of Annuals]]</f>
        <v>0</v>
      </c>
      <c r="AY718" s="4">
        <f>tbl_Data_old[[#This Row],[Avoided Costs ($/unit)]]/tbl_Data_old[[#This Row],[kWh Savings]]*tbl_Data_old[[#This Row],[Sum of Annuals]]</f>
        <v>464862.98368202802</v>
      </c>
      <c r="AZ718" s="4">
        <f>tbl_Data_old[[#This Row],[Lost Revenue ($/unit)]]/tbl_Data_old[[#This Row],[kWh Savings]]*tbl_Data_old[[#This Row],[Sum of Annuals]]</f>
        <v>1143252.6847543698</v>
      </c>
      <c r="BA718" s="4">
        <f>tbl_Data_old[[#This Row],[Incremental Cost ($/unit)]]/tbl_Data_old[[#This Row],[kWh Savings]]*tbl_Data_old[[#This Row],[Sum of Annuals]]</f>
        <v>275379.8228755772</v>
      </c>
      <c r="BB718">
        <f>ROUNDUP(tbl_Data_old[[#This Row],[Adjusted 2025]]/$L718,0)</f>
        <v>3</v>
      </c>
      <c r="BC718">
        <f>ROUNDUP(tbl_Data_old[[#This Row],[Adjusted 2026]]/$L718,0)</f>
        <v>3</v>
      </c>
      <c r="BD718">
        <f>ROUNDUP(tbl_Data_old[[#This Row],[Adjusted 2027]]/$L718,0)</f>
        <v>4</v>
      </c>
      <c r="BE718">
        <f>ROUNDUP(tbl_Data_old[[#This Row],[Adjusted 2028]]/$L718,0)</f>
        <v>5</v>
      </c>
      <c r="BF718">
        <f>ROUNDUP(tbl_Data_old[[#This Row],[Adjusted 2029]]/$L718,0)</f>
        <v>6</v>
      </c>
      <c r="BG718">
        <f>ROUNDUP(tbl_Data_old[[#This Row],[Adjusted 2030]]/$L718,0)</f>
        <v>6</v>
      </c>
      <c r="BH718">
        <f>ROUNDUP(tbl_Data_old[[#This Row],[Adjusted 2031]]/$L718,0)</f>
        <v>7</v>
      </c>
      <c r="BI718">
        <f>ROUNDUP(tbl_Data_old[[#This Row],[Adjusted 2032]]/$L718,0)</f>
        <v>8</v>
      </c>
      <c r="BJ718">
        <f>ROUNDUP(tbl_Data_old[[#This Row],[Adjusted 2033]]/$L718,0)</f>
        <v>8</v>
      </c>
      <c r="BK718">
        <f>ROUNDUP(tbl_Data_old[[#This Row],[Adjusted 2034]]/$L718,0)</f>
        <v>8</v>
      </c>
      <c r="BL718" s="3">
        <f t="shared" ref="BL718:BU743" si="49">$AT718/$L718*V718</f>
        <v>3744.869298489522</v>
      </c>
      <c r="BM718" s="3">
        <f t="shared" si="49"/>
        <v>4861.9975986345489</v>
      </c>
      <c r="BN718" s="3">
        <f t="shared" si="49"/>
        <v>6155.5045369945874</v>
      </c>
      <c r="BO718" s="3">
        <f t="shared" si="49"/>
        <v>7691.8959617407991</v>
      </c>
      <c r="BP718" s="3">
        <f t="shared" si="49"/>
        <v>9313.2745808342315</v>
      </c>
      <c r="BQ718" s="3">
        <f t="shared" si="49"/>
        <v>10975.202360908503</v>
      </c>
      <c r="BR718" s="3">
        <f t="shared" si="49"/>
        <v>12529.055642412624</v>
      </c>
      <c r="BS718" s="3">
        <f t="shared" si="49"/>
        <v>13748.891325709923</v>
      </c>
      <c r="BT718" s="3">
        <f t="shared" si="49"/>
        <v>14499.345296744284</v>
      </c>
      <c r="BU718" s="3">
        <f t="shared" si="49"/>
        <v>14594.096162365589</v>
      </c>
      <c r="BV718">
        <f>VLOOKUP($H718,'1. Set Program Names'!$B$2:$D$15,3,0)*V718</f>
        <v>1142.564865267268</v>
      </c>
      <c r="BW718">
        <f>VLOOKUP($H718,'1. Set Program Names'!$B$2:$D$15,3,0)*W718</f>
        <v>1483.4022734663424</v>
      </c>
      <c r="BX718">
        <f>VLOOKUP($H718,'1. Set Program Names'!$B$2:$D$15,3,0)*X718</f>
        <v>1878.0530510904709</v>
      </c>
      <c r="BY718">
        <f>VLOOKUP($H718,'1. Set Program Names'!$B$2:$D$15,3,0)*Y718</f>
        <v>2346.8082255156464</v>
      </c>
      <c r="BZ718">
        <f>VLOOKUP($H718,'1. Set Program Names'!$B$2:$D$15,3,0)*Z718</f>
        <v>2841.4931119064554</v>
      </c>
      <c r="CA718">
        <f>VLOOKUP($H718,'1. Set Program Names'!$B$2:$D$15,3,0)*AA718</f>
        <v>3348.5496040757243</v>
      </c>
      <c r="CB718">
        <f>VLOOKUP($H718,'1. Set Program Names'!$B$2:$D$15,3,0)*AB718</f>
        <v>3822.6324154419185</v>
      </c>
      <c r="CC718">
        <f>VLOOKUP($H718,'1. Set Program Names'!$B$2:$D$15,3,0)*AC718</f>
        <v>4194.8059900168564</v>
      </c>
      <c r="CD718">
        <f>VLOOKUP($H718,'1. Set Program Names'!$B$2:$D$15,3,0)*AD718</f>
        <v>4423.7705471110139</v>
      </c>
      <c r="CE718">
        <f>VLOOKUP($H718,'1. Set Program Names'!$B$2:$D$15,3,0)*AE718</f>
        <v>4452.6791688501571</v>
      </c>
    </row>
    <row r="719" spans="1:83" x14ac:dyDescent="0.25">
      <c r="A719" s="20" t="s">
        <v>113</v>
      </c>
      <c r="B719" s="20" t="s">
        <v>88</v>
      </c>
      <c r="C719" s="20" t="s">
        <v>176</v>
      </c>
      <c r="D719" s="20" t="s">
        <v>90</v>
      </c>
      <c r="E719" s="20" t="s">
        <v>91</v>
      </c>
      <c r="F719" s="20" t="s">
        <v>90</v>
      </c>
      <c r="G719" s="20" t="s">
        <v>92</v>
      </c>
      <c r="H719" s="20" t="s">
        <v>18</v>
      </c>
      <c r="I719" s="20" t="s">
        <v>177</v>
      </c>
      <c r="J719" s="20" t="s">
        <v>178</v>
      </c>
      <c r="K719" s="20" t="s">
        <v>102</v>
      </c>
      <c r="L719" s="20">
        <v>25265.069999999901</v>
      </c>
      <c r="M719" s="20">
        <v>3.0268587641170099</v>
      </c>
      <c r="N719" s="20">
        <v>2.9158027991200801</v>
      </c>
      <c r="O719" s="20">
        <v>7160.52</v>
      </c>
      <c r="P719" s="20">
        <v>2094.8798923726799</v>
      </c>
      <c r="Q719" s="20">
        <v>799.59389150061804</v>
      </c>
      <c r="R719" s="20">
        <v>8516.48438813961</v>
      </c>
      <c r="S719" s="20">
        <v>20321.770915365199</v>
      </c>
      <c r="T719" s="20">
        <v>10</v>
      </c>
      <c r="U719" s="20">
        <v>1</v>
      </c>
      <c r="V719" s="20">
        <v>3532.6884127345002</v>
      </c>
      <c r="W719" s="20">
        <v>6901.5514216810498</v>
      </c>
      <c r="X719" s="20">
        <v>10071.192614395901</v>
      </c>
      <c r="Y719" s="20">
        <v>13055.2131336284</v>
      </c>
      <c r="Z719" s="20">
        <v>15839.3425214951</v>
      </c>
      <c r="AA719" s="20">
        <v>18429.758613569898</v>
      </c>
      <c r="AB719" s="20">
        <v>20837.497060397</v>
      </c>
      <c r="AC719" s="20">
        <v>23066.0553313786</v>
      </c>
      <c r="AD719" s="20">
        <v>25134.5224524367</v>
      </c>
      <c r="AE719" s="20">
        <v>27054.554566169001</v>
      </c>
      <c r="AF719" t="str">
        <f t="shared" si="48"/>
        <v>NonResidential</v>
      </c>
      <c r="AG719" t="str">
        <f>tbl_Data_old[[#This Row],[All_Meas_Name_Append]]</f>
        <v>Airside economizer_13</v>
      </c>
      <c r="AH719">
        <f>AVERAGEIFS('3. Incentive Adjustment'!G:G,'3. Incentive Adjustment'!A:A,tbl_Data_old[[#This Row],[Trimmed Sector]],'3. Incentive Adjustment'!B:B,tbl_Data_old[[#This Row],[Trimmed Measure Name]])</f>
        <v>1</v>
      </c>
      <c r="AI719">
        <f>$AH719*tbl_Data_old[[#This Row],[2025 ]]</f>
        <v>3532.6884127345002</v>
      </c>
      <c r="AJ719">
        <f>$AH719*tbl_Data_old[[#This Row],[2026 ]]</f>
        <v>6901.5514216810498</v>
      </c>
      <c r="AK719">
        <f>$AH719*tbl_Data_old[[#This Row],[2027 ]]</f>
        <v>10071.192614395901</v>
      </c>
      <c r="AL719">
        <f>$AH719*tbl_Data_old[[#This Row],[2028 ]]</f>
        <v>13055.2131336284</v>
      </c>
      <c r="AM719">
        <f>$AH719*tbl_Data_old[[#This Row],[2029 ]]</f>
        <v>15839.3425214951</v>
      </c>
      <c r="AN719">
        <f>$AH719*tbl_Data_old[[#This Row],[2030 ]]</f>
        <v>18429.758613569898</v>
      </c>
      <c r="AO719">
        <f>$AH719*tbl_Data_old[[#This Row],[2031 ]]</f>
        <v>20837.497060397</v>
      </c>
      <c r="AP719">
        <f>$AH719*tbl_Data_old[[#This Row],[2032 ]]</f>
        <v>23066.0553313786</v>
      </c>
      <c r="AQ719">
        <f>$AH719*tbl_Data_old[[#This Row],[2033 ]]</f>
        <v>25134.5224524367</v>
      </c>
      <c r="AR719">
        <f>$AH719*tbl_Data_old[[#This Row],[2034 ]]</f>
        <v>27054.554566169001</v>
      </c>
      <c r="AS719">
        <f>SUM(tbl_Data_old[[#This Row],[Adjusted 2025]:[Adjusted 2034]])</f>
        <v>163922.37612788618</v>
      </c>
      <c r="AT719" s="3">
        <f>AVERAGEIFS('3. Incentive Adjustment'!F:F,'3. Incentive Adjustment'!A:A,tbl_Data_old[[#This Row],[Trimmed Sector]],'3. Incentive Adjustment'!B:B,tbl_Data_old[[#This Row],[Trimmed Measure Name]])</f>
        <v>2094.8798923726795</v>
      </c>
      <c r="AU719" s="3">
        <f>IFERROR(VLOOKUP(tbl_Data_old[[#This Row],[All_Meas_Name_Append]],'IRA Tax Credits'!$A$3:$D$46,4,0),0)</f>
        <v>0</v>
      </c>
      <c r="AV719" s="4">
        <f>tbl_Data_old[[#This Row],[Adj. per unit Incentive ($)]]/tbl_Data_old[[#This Row],[kWh Savings]]*tbl_Data_old[[#This Row],[Sum of Annuals]]</f>
        <v>13591.796486622099</v>
      </c>
      <c r="AW719" s="4">
        <f>IFERROR(VLOOKUP(tbl_Data_old[[#This Row],[All_Programs]],'1. Set Program Names'!$B$2:$D$15,3,0)*tbl_Data_old[[#This Row],[Sum of Annuals]],"")</f>
        <v>5187.8475156460991</v>
      </c>
      <c r="AX719" s="4">
        <f>tbl_Data_old[[#This Row],[per unit IRA tax ($)]]/tbl_Data_old[[#This Row],[kWh Savings]]*tbl_Data_old[[#This Row],[Sum of Annuals]]</f>
        <v>0</v>
      </c>
      <c r="AY719" s="4">
        <f>tbl_Data_old[[#This Row],[Avoided Costs ($/unit)]]/tbl_Data_old[[#This Row],[kWh Savings]]*tbl_Data_old[[#This Row],[Sum of Annuals]]</f>
        <v>55255.827795446326</v>
      </c>
      <c r="AZ719" s="4">
        <f>tbl_Data_old[[#This Row],[Lost Revenue ($/unit)]]/tbl_Data_old[[#This Row],[kWh Savings]]*tbl_Data_old[[#This Row],[Sum of Annuals]]</f>
        <v>131849.74257238334</v>
      </c>
      <c r="BA719" s="4">
        <f>tbl_Data_old[[#This Row],[Incremental Cost ($/unit)]]/tbl_Data_old[[#This Row],[kWh Savings]]*tbl_Data_old[[#This Row],[Sum of Annuals]]</f>
        <v>46458.19119880753</v>
      </c>
      <c r="BB719">
        <f>ROUNDUP(tbl_Data_old[[#This Row],[Adjusted 2025]]/$L719,0)</f>
        <v>1</v>
      </c>
      <c r="BC719">
        <f>ROUNDUP(tbl_Data_old[[#This Row],[Adjusted 2026]]/$L719,0)</f>
        <v>1</v>
      </c>
      <c r="BD719">
        <f>ROUNDUP(tbl_Data_old[[#This Row],[Adjusted 2027]]/$L719,0)</f>
        <v>1</v>
      </c>
      <c r="BE719">
        <f>ROUNDUP(tbl_Data_old[[#This Row],[Adjusted 2028]]/$L719,0)</f>
        <v>1</v>
      </c>
      <c r="BF719">
        <f>ROUNDUP(tbl_Data_old[[#This Row],[Adjusted 2029]]/$L719,0)</f>
        <v>1</v>
      </c>
      <c r="BG719">
        <f>ROUNDUP(tbl_Data_old[[#This Row],[Adjusted 2030]]/$L719,0)</f>
        <v>1</v>
      </c>
      <c r="BH719">
        <f>ROUNDUP(tbl_Data_old[[#This Row],[Adjusted 2031]]/$L719,0)</f>
        <v>1</v>
      </c>
      <c r="BI719">
        <f>ROUNDUP(tbl_Data_old[[#This Row],[Adjusted 2032]]/$L719,0)</f>
        <v>1</v>
      </c>
      <c r="BJ719">
        <f>ROUNDUP(tbl_Data_old[[#This Row],[Adjusted 2033]]/$L719,0)</f>
        <v>1</v>
      </c>
      <c r="BK719">
        <f>ROUNDUP(tbl_Data_old[[#This Row],[Adjusted 2034]]/$L719,0)</f>
        <v>2</v>
      </c>
      <c r="BL719" s="3">
        <f t="shared" si="49"/>
        <v>292.91658094972587</v>
      </c>
      <c r="BM719" s="3">
        <f t="shared" si="49"/>
        <v>572.24940597654256</v>
      </c>
      <c r="BN719" s="3">
        <f t="shared" si="49"/>
        <v>835.06354425735969</v>
      </c>
      <c r="BO719" s="3">
        <f t="shared" si="49"/>
        <v>1082.4867488701975</v>
      </c>
      <c r="BP719" s="3">
        <f t="shared" si="49"/>
        <v>1313.335769767659</v>
      </c>
      <c r="BQ719" s="3">
        <f t="shared" si="49"/>
        <v>1528.1228486938655</v>
      </c>
      <c r="BR719" s="3">
        <f t="shared" si="49"/>
        <v>1727.76301823825</v>
      </c>
      <c r="BS719" s="3">
        <f t="shared" si="49"/>
        <v>1912.5462747604047</v>
      </c>
      <c r="BT719" s="3">
        <f t="shared" si="49"/>
        <v>2084.0554049523512</v>
      </c>
      <c r="BU719" s="3">
        <f t="shared" si="49"/>
        <v>2243.2568901557415</v>
      </c>
      <c r="BV719">
        <f>VLOOKUP($H719,'1. Set Program Names'!$B$2:$D$15,3,0)*V719</f>
        <v>111.8032158785836</v>
      </c>
      <c r="BW719">
        <f>VLOOKUP($H719,'1. Set Program Names'!$B$2:$D$15,3,0)*W719</f>
        <v>218.42165324115803</v>
      </c>
      <c r="BX719">
        <f>VLOOKUP($H719,'1. Set Program Names'!$B$2:$D$15,3,0)*X719</f>
        <v>318.73507948314085</v>
      </c>
      <c r="BY719">
        <f>VLOOKUP($H719,'1. Set Program Names'!$B$2:$D$15,3,0)*Y719</f>
        <v>413.17394623834139</v>
      </c>
      <c r="BZ719">
        <f>VLOOKUP($H719,'1. Set Program Names'!$B$2:$D$15,3,0)*Z719</f>
        <v>501.28661925628955</v>
      </c>
      <c r="CA719">
        <f>VLOOKUP($H719,'1. Set Program Names'!$B$2:$D$15,3,0)*AA719</f>
        <v>583.26861588910776</v>
      </c>
      <c r="CB719">
        <f>VLOOKUP($H719,'1. Set Program Names'!$B$2:$D$15,3,0)*AB719</f>
        <v>659.46919457003514</v>
      </c>
      <c r="CC719">
        <f>VLOOKUP($H719,'1. Set Program Names'!$B$2:$D$15,3,0)*AC719</f>
        <v>729.99904389679625</v>
      </c>
      <c r="CD719">
        <f>VLOOKUP($H719,'1. Set Program Names'!$B$2:$D$15,3,0)*AD719</f>
        <v>795.46229710638283</v>
      </c>
      <c r="CE719">
        <f>VLOOKUP($H719,'1. Set Program Names'!$B$2:$D$15,3,0)*AE719</f>
        <v>856.22785008626261</v>
      </c>
    </row>
    <row r="720" spans="1:83" x14ac:dyDescent="0.25">
      <c r="A720" s="20" t="s">
        <v>113</v>
      </c>
      <c r="B720" s="20" t="s">
        <v>88</v>
      </c>
      <c r="C720" s="20" t="s">
        <v>176</v>
      </c>
      <c r="D720" s="20" t="s">
        <v>90</v>
      </c>
      <c r="E720" s="20" t="s">
        <v>91</v>
      </c>
      <c r="F720" s="20" t="s">
        <v>90</v>
      </c>
      <c r="G720" s="20" t="s">
        <v>92</v>
      </c>
      <c r="H720" s="20" t="s">
        <v>18</v>
      </c>
      <c r="I720" s="20" t="s">
        <v>185</v>
      </c>
      <c r="J720" s="20" t="s">
        <v>178</v>
      </c>
      <c r="K720" s="20" t="s">
        <v>102</v>
      </c>
      <c r="L720" s="20">
        <v>37372.818333333198</v>
      </c>
      <c r="M720" s="20">
        <v>4.4774165562178503</v>
      </c>
      <c r="N720" s="20">
        <v>4.3131393780955101</v>
      </c>
      <c r="O720" s="20">
        <v>14201.670833333301</v>
      </c>
      <c r="P720" s="20">
        <v>6684.0523958317799</v>
      </c>
      <c r="Q720" s="20">
        <v>1182.7822858791001</v>
      </c>
      <c r="R720" s="20">
        <v>15980.395267902501</v>
      </c>
      <c r="S720" s="20">
        <v>39692.564194744999</v>
      </c>
      <c r="T720" s="20">
        <v>15</v>
      </c>
      <c r="U720" s="20">
        <v>1</v>
      </c>
      <c r="V720" s="20">
        <v>19886.4222740353</v>
      </c>
      <c r="W720" s="20">
        <v>42509.631219849201</v>
      </c>
      <c r="X720" s="20">
        <v>67517.645087793193</v>
      </c>
      <c r="Y720" s="20">
        <v>94917.974705794404</v>
      </c>
      <c r="Z720" s="20">
        <v>124357.343546758</v>
      </c>
      <c r="AA720" s="20">
        <v>155710.00042507899</v>
      </c>
      <c r="AB720" s="20">
        <v>188871.39902209199</v>
      </c>
      <c r="AC720" s="20">
        <v>223656.06669217101</v>
      </c>
      <c r="AD720" s="20">
        <v>260049.372008776</v>
      </c>
      <c r="AE720" s="20">
        <v>297966.46452095802</v>
      </c>
      <c r="AF720" t="str">
        <f t="shared" si="48"/>
        <v>NonResidential</v>
      </c>
      <c r="AG720" t="str">
        <f>tbl_Data_old[[#This Row],[All_Meas_Name_Append]]</f>
        <v>Custom Measure - Non-Lighting_70</v>
      </c>
      <c r="AH720">
        <f>AVERAGEIFS('3. Incentive Adjustment'!G:G,'3. Incentive Adjustment'!A:A,tbl_Data_old[[#This Row],[Trimmed Sector]],'3. Incentive Adjustment'!B:B,tbl_Data_old[[#This Row],[Trimmed Measure Name]])</f>
        <v>0.82269267220071174</v>
      </c>
      <c r="AI720">
        <f>$AH720*tbl_Data_old[[#This Row],[2025 ]]</f>
        <v>16360.413881137856</v>
      </c>
      <c r="AJ720">
        <f>$AH720*tbl_Data_old[[#This Row],[2026 ]]</f>
        <v>34972.362102524537</v>
      </c>
      <c r="AK720">
        <f>$AH720*tbl_Data_old[[#This Row],[2027 ]]</f>
        <v>55546.271857975844</v>
      </c>
      <c r="AL720">
        <f>$AH720*tbl_Data_old[[#This Row],[2028 ]]</f>
        <v>78088.322250589568</v>
      </c>
      <c r="AM720">
        <f>$AH720*tbl_Data_old[[#This Row],[2029 ]]</f>
        <v>102307.87527026427</v>
      </c>
      <c r="AN720">
        <f>$AH720*tbl_Data_old[[#This Row],[2030 ]]</f>
        <v>128101.4763380822</v>
      </c>
      <c r="AO720">
        <f>$AH720*tbl_Data_old[[#This Row],[2031 ]]</f>
        <v>155383.11596377176</v>
      </c>
      <c r="AP720">
        <f>$AH720*tbl_Data_old[[#This Row],[2032 ]]</f>
        <v>184000.20716088277</v>
      </c>
      <c r="AQ720">
        <f>$AH720*tbl_Data_old[[#This Row],[2033 ]]</f>
        <v>213940.71276201689</v>
      </c>
      <c r="AR720">
        <f>$AH720*tbl_Data_old[[#This Row],[2034 ]]</f>
        <v>245134.82692294553</v>
      </c>
      <c r="AS720">
        <f>SUM(tbl_Data_old[[#This Row],[Adjusted 2025]:[Adjusted 2034]])</f>
        <v>1213835.5845101911</v>
      </c>
      <c r="AT720" s="3">
        <f>AVERAGEIFS('3. Incentive Adjustment'!F:F,'3. Incentive Adjustment'!A:A,tbl_Data_old[[#This Row],[Trimmed Sector]],'3. Incentive Adjustment'!B:B,tbl_Data_old[[#This Row],[Trimmed Measure Name]])</f>
        <v>3919.5698976361523</v>
      </c>
      <c r="AU720" s="3">
        <f>IFERROR(VLOOKUP(tbl_Data_old[[#This Row],[All_Meas_Name_Append]],'IRA Tax Credits'!$A$3:$D$46,4,0),0)</f>
        <v>0</v>
      </c>
      <c r="AV720" s="4">
        <f>tbl_Data_old[[#This Row],[Adj. per unit Incentive ($)]]/tbl_Data_old[[#This Row],[kWh Savings]]*tbl_Data_old[[#This Row],[Sum of Annuals]]</f>
        <v>127304.11111335095</v>
      </c>
      <c r="AW720" s="4">
        <f>IFERROR(VLOOKUP(tbl_Data_old[[#This Row],[All_Programs]],'1. Set Program Names'!$B$2:$D$15,3,0)*tbl_Data_old[[#This Row],[Sum of Annuals]],"")</f>
        <v>38415.706691508589</v>
      </c>
      <c r="AX720" s="4">
        <f>tbl_Data_old[[#This Row],[per unit IRA tax ($)]]/tbl_Data_old[[#This Row],[kWh Savings]]*tbl_Data_old[[#This Row],[Sum of Annuals]]</f>
        <v>0</v>
      </c>
      <c r="AY720" s="4">
        <f>tbl_Data_old[[#This Row],[Avoided Costs ($/unit)]]/tbl_Data_old[[#This Row],[kWh Savings]]*tbl_Data_old[[#This Row],[Sum of Annuals]]</f>
        <v>519028.89040127408</v>
      </c>
      <c r="AZ720" s="4">
        <f>tbl_Data_old[[#This Row],[Lost Revenue ($/unit)]]/tbl_Data_old[[#This Row],[kWh Savings]]*tbl_Data_old[[#This Row],[Sum of Annuals]]</f>
        <v>1289178.847319206</v>
      </c>
      <c r="BA720" s="4">
        <f>tbl_Data_old[[#This Row],[Incremental Cost ($/unit)]]/tbl_Data_old[[#This Row],[kWh Savings]]*tbl_Data_old[[#This Row],[Sum of Annuals]]</f>
        <v>461257.51778332627</v>
      </c>
      <c r="BB720">
        <f>ROUNDUP(tbl_Data_old[[#This Row],[Adjusted 2025]]/$L720,0)</f>
        <v>1</v>
      </c>
      <c r="BC720">
        <f>ROUNDUP(tbl_Data_old[[#This Row],[Adjusted 2026]]/$L720,0)</f>
        <v>1</v>
      </c>
      <c r="BD720">
        <f>ROUNDUP(tbl_Data_old[[#This Row],[Adjusted 2027]]/$L720,0)</f>
        <v>2</v>
      </c>
      <c r="BE720">
        <f>ROUNDUP(tbl_Data_old[[#This Row],[Adjusted 2028]]/$L720,0)</f>
        <v>3</v>
      </c>
      <c r="BF720">
        <f>ROUNDUP(tbl_Data_old[[#This Row],[Adjusted 2029]]/$L720,0)</f>
        <v>3</v>
      </c>
      <c r="BG720">
        <f>ROUNDUP(tbl_Data_old[[#This Row],[Adjusted 2030]]/$L720,0)</f>
        <v>4</v>
      </c>
      <c r="BH720">
        <f>ROUNDUP(tbl_Data_old[[#This Row],[Adjusted 2031]]/$L720,0)</f>
        <v>5</v>
      </c>
      <c r="BI720">
        <f>ROUNDUP(tbl_Data_old[[#This Row],[Adjusted 2032]]/$L720,0)</f>
        <v>5</v>
      </c>
      <c r="BJ720">
        <f>ROUNDUP(tbl_Data_old[[#This Row],[Adjusted 2033]]/$L720,0)</f>
        <v>6</v>
      </c>
      <c r="BK720">
        <f>ROUNDUP(tbl_Data_old[[#This Row],[Adjusted 2034]]/$L720,0)</f>
        <v>7</v>
      </c>
      <c r="BL720" s="3">
        <f t="shared" si="49"/>
        <v>2085.6393922924676</v>
      </c>
      <c r="BM720" s="3">
        <f t="shared" si="49"/>
        <v>4458.3062856762217</v>
      </c>
      <c r="BN720" s="3">
        <f t="shared" si="49"/>
        <v>7081.0856940205767</v>
      </c>
      <c r="BO720" s="3">
        <f t="shared" si="49"/>
        <v>9954.7653346121151</v>
      </c>
      <c r="BP720" s="3">
        <f t="shared" si="49"/>
        <v>13042.294428224288</v>
      </c>
      <c r="BQ720" s="3">
        <f t="shared" si="49"/>
        <v>16330.484497678486</v>
      </c>
      <c r="BR720" s="3">
        <f t="shared" si="49"/>
        <v>19808.370980444408</v>
      </c>
      <c r="BS720" s="3">
        <f t="shared" si="49"/>
        <v>23456.501958495781</v>
      </c>
      <c r="BT720" s="3">
        <f t="shared" si="49"/>
        <v>27273.34292355672</v>
      </c>
      <c r="BU720" s="3">
        <f t="shared" si="49"/>
        <v>31249.994967592673</v>
      </c>
      <c r="BV720">
        <f>VLOOKUP($H720,'1. Set Program Names'!$B$2:$D$15,3,0)*V720</f>
        <v>629.36939316299095</v>
      </c>
      <c r="BW720">
        <f>VLOOKUP($H720,'1. Set Program Names'!$B$2:$D$15,3,0)*W720</f>
        <v>1345.353147778156</v>
      </c>
      <c r="BX720">
        <f>VLOOKUP($H720,'1. Set Program Names'!$B$2:$D$15,3,0)*X720</f>
        <v>2136.8116763858661</v>
      </c>
      <c r="BY720">
        <f>VLOOKUP($H720,'1. Set Program Names'!$B$2:$D$15,3,0)*Y720</f>
        <v>3003.9826831417258</v>
      </c>
      <c r="BZ720">
        <f>VLOOKUP($H720,'1. Set Program Names'!$B$2:$D$15,3,0)*Z720</f>
        <v>3935.6856032154947</v>
      </c>
      <c r="CA720">
        <f>VLOOKUP($H720,'1. Set Program Names'!$B$2:$D$15,3,0)*AA720</f>
        <v>4927.9406384170734</v>
      </c>
      <c r="CB720">
        <f>VLOOKUP($H720,'1. Set Program Names'!$B$2:$D$15,3,0)*AB720</f>
        <v>5977.4390863449362</v>
      </c>
      <c r="CC720">
        <f>VLOOKUP($H720,'1. Set Program Names'!$B$2:$D$15,3,0)*AC720</f>
        <v>7078.3110723269374</v>
      </c>
      <c r="CD720">
        <f>VLOOKUP($H720,'1. Set Program Names'!$B$2:$D$15,3,0)*AD720</f>
        <v>8230.0935381057534</v>
      </c>
      <c r="CE720">
        <f>VLOOKUP($H720,'1. Set Program Names'!$B$2:$D$15,3,0)*AE720</f>
        <v>9430.1011199650002</v>
      </c>
    </row>
    <row r="721" spans="1:83" x14ac:dyDescent="0.25">
      <c r="A721" s="20" t="s">
        <v>113</v>
      </c>
      <c r="B721" s="20" t="s">
        <v>88</v>
      </c>
      <c r="C721" s="20" t="s">
        <v>176</v>
      </c>
      <c r="D721" s="20" t="s">
        <v>90</v>
      </c>
      <c r="E721" s="20" t="s">
        <v>91</v>
      </c>
      <c r="F721" s="20" t="s">
        <v>90</v>
      </c>
      <c r="G721" s="20" t="s">
        <v>92</v>
      </c>
      <c r="H721" s="20" t="s">
        <v>18</v>
      </c>
      <c r="I721" s="20" t="s">
        <v>187</v>
      </c>
      <c r="J721" s="20" t="s">
        <v>137</v>
      </c>
      <c r="K721" s="20" t="s">
        <v>98</v>
      </c>
      <c r="L721" s="20">
        <v>16575.9941666665</v>
      </c>
      <c r="M721" s="20">
        <v>1.98609088803711</v>
      </c>
      <c r="N721" s="20">
        <v>1.91315479867159</v>
      </c>
      <c r="O721" s="20">
        <v>5440</v>
      </c>
      <c r="P721" s="20">
        <v>2106.6717861739999</v>
      </c>
      <c r="Q721" s="20">
        <v>524.60031502847596</v>
      </c>
      <c r="R721" s="20">
        <v>7087.6591263841001</v>
      </c>
      <c r="S721" s="20">
        <v>17604.872789732901</v>
      </c>
      <c r="T721" s="20">
        <v>15</v>
      </c>
      <c r="U721" s="20">
        <v>1</v>
      </c>
      <c r="V721" s="20">
        <v>9492.7553855749793</v>
      </c>
      <c r="W721" s="20">
        <v>22609.676368814198</v>
      </c>
      <c r="X721" s="20">
        <v>40167.457739660102</v>
      </c>
      <c r="Y721" s="20">
        <v>63090.101102888002</v>
      </c>
      <c r="Z721" s="20">
        <v>91716.9851298953</v>
      </c>
      <c r="AA721" s="20">
        <v>125718.991763417</v>
      </c>
      <c r="AB721" s="20">
        <v>163650.55435984299</v>
      </c>
      <c r="AC721" s="20">
        <v>202817.95941273001</v>
      </c>
      <c r="AD721" s="20">
        <v>239978.16922449</v>
      </c>
      <c r="AE721" s="20">
        <v>272215.42362070602</v>
      </c>
      <c r="AF721" t="str">
        <f t="shared" si="48"/>
        <v>NonResidential</v>
      </c>
      <c r="AG721" t="str">
        <f>tbl_Data_old[[#This Row],[All_Meas_Name_Append]]</f>
        <v>High Efficiency Air Compressor</v>
      </c>
      <c r="AH721">
        <f>AVERAGEIFS('3. Incentive Adjustment'!G:G,'3. Incentive Adjustment'!A:A,tbl_Data_old[[#This Row],[Trimmed Sector]],'3. Incentive Adjustment'!B:B,tbl_Data_old[[#This Row],[Trimmed Measure Name]])</f>
        <v>0.94309259342294038</v>
      </c>
      <c r="AI721">
        <f>$AH721*tbl_Data_old[[#This Row],[2025 ]]</f>
        <v>8952.5472953114913</v>
      </c>
      <c r="AJ721">
        <f>$AH721*tbl_Data_old[[#This Row],[2026 ]]</f>
        <v>21323.018323118351</v>
      </c>
      <c r="AK721">
        <f>$AH721*tbl_Data_old[[#This Row],[2027 ]]</f>
        <v>37881.631890902405</v>
      </c>
      <c r="AL721">
        <f>$AH721*tbl_Data_old[[#This Row],[2028 ]]</f>
        <v>59499.80706843816</v>
      </c>
      <c r="AM721">
        <f>$AH721*tbl_Data_old[[#This Row],[2029 ]]</f>
        <v>86497.609367086217</v>
      </c>
      <c r="AN721">
        <f>$AH721*tbl_Data_old[[#This Row],[2030 ]]</f>
        <v>118564.64998467822</v>
      </c>
      <c r="AO721">
        <f>$AH721*tbl_Data_old[[#This Row],[2031 ]]</f>
        <v>154337.62572632622</v>
      </c>
      <c r="AP721">
        <f>$AH721*tbl_Data_old[[#This Row],[2032 ]]</f>
        <v>191276.11533530022</v>
      </c>
      <c r="AQ721">
        <f>$AH721*tbl_Data_old[[#This Row],[2033 ]]</f>
        <v>226321.63397881354</v>
      </c>
      <c r="AR721">
        <f>$AH721*tbl_Data_old[[#This Row],[2034 ]]</f>
        <v>256724.34983217597</v>
      </c>
      <c r="AS721">
        <f>SUM(tbl_Data_old[[#This Row],[Adjusted 2025]:[Adjusted 2034]])</f>
        <v>1161378.9888021508</v>
      </c>
      <c r="AT721" s="3">
        <f>AVERAGEIFS('3. Incentive Adjustment'!F:F,'3. Incentive Adjustment'!A:A,tbl_Data_old[[#This Row],[Trimmed Sector]],'3. Incentive Adjustment'!B:B,tbl_Data_old[[#This Row],[Trimmed Measure Name]])</f>
        <v>1738.5866300231887</v>
      </c>
      <c r="AU721" s="3">
        <f>IFERROR(VLOOKUP(tbl_Data_old[[#This Row],[All_Meas_Name_Append]],'IRA Tax Credits'!$A$3:$D$46,4,0),0)</f>
        <v>0</v>
      </c>
      <c r="AV721" s="4">
        <f>tbl_Data_old[[#This Row],[Adj. per unit Incentive ($)]]/tbl_Data_old[[#This Row],[kWh Savings]]*tbl_Data_old[[#This Row],[Sum of Annuals]]</f>
        <v>121812.17983182549</v>
      </c>
      <c r="AW721" s="4">
        <f>IFERROR(VLOOKUP(tbl_Data_old[[#This Row],[All_Programs]],'1. Set Program Names'!$B$2:$D$15,3,0)*tbl_Data_old[[#This Row],[Sum of Annuals]],"")</f>
        <v>36755.550060354726</v>
      </c>
      <c r="AX721" s="4">
        <f>tbl_Data_old[[#This Row],[per unit IRA tax ($)]]/tbl_Data_old[[#This Row],[kWh Savings]]*tbl_Data_old[[#This Row],[Sum of Annuals]]</f>
        <v>0</v>
      </c>
      <c r="AY721" s="4">
        <f>tbl_Data_old[[#This Row],[Avoided Costs ($/unit)]]/tbl_Data_old[[#This Row],[kWh Savings]]*tbl_Data_old[[#This Row],[Sum of Annuals]]</f>
        <v>496589.12198022823</v>
      </c>
      <c r="AZ721" s="4">
        <f>tbl_Data_old[[#This Row],[Lost Revenue ($/unit)]]/tbl_Data_old[[#This Row],[kWh Savings]]*tbl_Data_old[[#This Row],[Sum of Annuals]]</f>
        <v>1233466.2496229785</v>
      </c>
      <c r="BA721" s="4">
        <f>tbl_Data_old[[#This Row],[Incremental Cost ($/unit)]]/tbl_Data_old[[#This Row],[kWh Savings]]*tbl_Data_old[[#This Row],[Sum of Annuals]]</f>
        <v>381147.67871894443</v>
      </c>
      <c r="BB721">
        <f>ROUNDUP(tbl_Data_old[[#This Row],[Adjusted 2025]]/$L721,0)</f>
        <v>1</v>
      </c>
      <c r="BC721">
        <f>ROUNDUP(tbl_Data_old[[#This Row],[Adjusted 2026]]/$L721,0)</f>
        <v>2</v>
      </c>
      <c r="BD721">
        <f>ROUNDUP(tbl_Data_old[[#This Row],[Adjusted 2027]]/$L721,0)</f>
        <v>3</v>
      </c>
      <c r="BE721">
        <f>ROUNDUP(tbl_Data_old[[#This Row],[Adjusted 2028]]/$L721,0)</f>
        <v>4</v>
      </c>
      <c r="BF721">
        <f>ROUNDUP(tbl_Data_old[[#This Row],[Adjusted 2029]]/$L721,0)</f>
        <v>6</v>
      </c>
      <c r="BG721">
        <f>ROUNDUP(tbl_Data_old[[#This Row],[Adjusted 2030]]/$L721,0)</f>
        <v>8</v>
      </c>
      <c r="BH721">
        <f>ROUNDUP(tbl_Data_old[[#This Row],[Adjusted 2031]]/$L721,0)</f>
        <v>10</v>
      </c>
      <c r="BI721">
        <f>ROUNDUP(tbl_Data_old[[#This Row],[Adjusted 2032]]/$L721,0)</f>
        <v>12</v>
      </c>
      <c r="BJ721">
        <f>ROUNDUP(tbl_Data_old[[#This Row],[Adjusted 2033]]/$L721,0)</f>
        <v>14</v>
      </c>
      <c r="BK721">
        <f>ROUNDUP(tbl_Data_old[[#This Row],[Adjusted 2034]]/$L721,0)</f>
        <v>16</v>
      </c>
      <c r="BL721" s="3">
        <f t="shared" si="49"/>
        <v>995.65536941548623</v>
      </c>
      <c r="BM721" s="3">
        <f t="shared" si="49"/>
        <v>2371.4342952062452</v>
      </c>
      <c r="BN721" s="3">
        <f t="shared" si="49"/>
        <v>4212.9964746626438</v>
      </c>
      <c r="BO721" s="3">
        <f t="shared" si="49"/>
        <v>6617.2565676252852</v>
      </c>
      <c r="BP721" s="3">
        <f t="shared" si="49"/>
        <v>9619.8105820725705</v>
      </c>
      <c r="BQ721" s="3">
        <f t="shared" si="49"/>
        <v>13186.138702884702</v>
      </c>
      <c r="BR721" s="3">
        <f t="shared" si="49"/>
        <v>17164.621496915279</v>
      </c>
      <c r="BS721" s="3">
        <f t="shared" si="49"/>
        <v>21272.7266321469</v>
      </c>
      <c r="BT721" s="3">
        <f t="shared" si="49"/>
        <v>25170.305461988817</v>
      </c>
      <c r="BU721" s="3">
        <f t="shared" si="49"/>
        <v>28551.536109054661</v>
      </c>
      <c r="BV721">
        <f>VLOOKUP($H721,'1. Set Program Names'!$B$2:$D$15,3,0)*V721</f>
        <v>300.42858459586148</v>
      </c>
      <c r="BW721">
        <f>VLOOKUP($H721,'1. Set Program Names'!$B$2:$D$15,3,0)*W721</f>
        <v>715.55547296365069</v>
      </c>
      <c r="BX721">
        <f>VLOOKUP($H721,'1. Set Program Names'!$B$2:$D$15,3,0)*X721</f>
        <v>1271.2275820229868</v>
      </c>
      <c r="BY721">
        <f>VLOOKUP($H721,'1. Set Program Names'!$B$2:$D$15,3,0)*Y721</f>
        <v>1996.6878958192378</v>
      </c>
      <c r="BZ721">
        <f>VLOOKUP($H721,'1. Set Program Names'!$B$2:$D$15,3,0)*Z721</f>
        <v>2902.6771371192499</v>
      </c>
      <c r="CA721">
        <f>VLOOKUP($H721,'1. Set Program Names'!$B$2:$D$15,3,0)*AA721</f>
        <v>3978.77931308502</v>
      </c>
      <c r="CB721">
        <f>VLOOKUP($H721,'1. Set Program Names'!$B$2:$D$15,3,0)*AB721</f>
        <v>5179.2448470089557</v>
      </c>
      <c r="CC721">
        <f>VLOOKUP($H721,'1. Set Program Names'!$B$2:$D$15,3,0)*AC721</f>
        <v>6418.8225654248936</v>
      </c>
      <c r="CD721">
        <f>VLOOKUP($H721,'1. Set Program Names'!$B$2:$D$15,3,0)*AD721</f>
        <v>7594.8761751067459</v>
      </c>
      <c r="CE721">
        <f>VLOOKUP($H721,'1. Set Program Names'!$B$2:$D$15,3,0)*AE721</f>
        <v>8615.1271260823742</v>
      </c>
    </row>
    <row r="722" spans="1:83" x14ac:dyDescent="0.25">
      <c r="A722" s="20" t="s">
        <v>113</v>
      </c>
      <c r="B722" s="20" t="s">
        <v>88</v>
      </c>
      <c r="C722" s="20" t="s">
        <v>176</v>
      </c>
      <c r="D722" s="20" t="s">
        <v>90</v>
      </c>
      <c r="E722" s="20" t="s">
        <v>91</v>
      </c>
      <c r="F722" s="20" t="s">
        <v>90</v>
      </c>
      <c r="G722" s="20" t="s">
        <v>92</v>
      </c>
      <c r="H722" s="20" t="s">
        <v>18</v>
      </c>
      <c r="I722" s="20" t="s">
        <v>157</v>
      </c>
      <c r="J722" s="20" t="s">
        <v>158</v>
      </c>
      <c r="K722" s="20" t="s">
        <v>159</v>
      </c>
      <c r="L722" s="20">
        <v>562.52</v>
      </c>
      <c r="M722" s="20">
        <v>6.7473359330379998E-2</v>
      </c>
      <c r="N722" s="20">
        <v>6.4973258375617293E-2</v>
      </c>
      <c r="O722" s="20">
        <v>169</v>
      </c>
      <c r="P722" s="20">
        <v>55.847956108163899</v>
      </c>
      <c r="Q722" s="20">
        <v>17.802743307140101</v>
      </c>
      <c r="R722" s="20">
        <v>240.47921618074301</v>
      </c>
      <c r="S722" s="20">
        <v>597.43584258705596</v>
      </c>
      <c r="T722" s="20">
        <v>15</v>
      </c>
      <c r="U722" s="20">
        <v>0.2</v>
      </c>
      <c r="V722" s="20">
        <v>608.41479809683301</v>
      </c>
      <c r="W722" s="20">
        <v>1300.5883679732001</v>
      </c>
      <c r="X722" s="20">
        <v>2065.7517983592802</v>
      </c>
      <c r="Y722" s="20">
        <v>2904.1773169247099</v>
      </c>
      <c r="Z722" s="20">
        <v>3805.0040715934801</v>
      </c>
      <c r="AA722" s="20">
        <v>4764.4058621665899</v>
      </c>
      <c r="AB722" s="20">
        <v>5779.1972681590096</v>
      </c>
      <c r="AC722" s="20">
        <v>6843.6731294670299</v>
      </c>
      <c r="AD722" s="20">
        <v>7957.4147782298496</v>
      </c>
      <c r="AE722" s="20">
        <v>9117.8231982933503</v>
      </c>
      <c r="AF722" t="str">
        <f t="shared" si="48"/>
        <v>NonResidential</v>
      </c>
      <c r="AG722" t="str">
        <f>tbl_Data_old[[#This Row],[All_Meas_Name_Append]]</f>
        <v>LED Exterior Wall Packs</v>
      </c>
      <c r="AH722">
        <f>AVERAGEIFS('3. Incentive Adjustment'!G:G,'3. Incentive Adjustment'!A:A,tbl_Data_old[[#This Row],[Trimmed Sector]],'3. Incentive Adjustment'!B:B,tbl_Data_old[[#This Row],[Trimmed Measure Name]])</f>
        <v>0.80637708305213962</v>
      </c>
      <c r="AI722">
        <f>$AH722*tbl_Data_old[[#This Row],[2025 ]]</f>
        <v>490.61175017508066</v>
      </c>
      <c r="AJ722">
        <f>$AH722*tbl_Data_old[[#This Row],[2026 ]]</f>
        <v>1048.7646544177719</v>
      </c>
      <c r="AK722">
        <f>$AH722*tbl_Data_old[[#This Row],[2027 ]]</f>
        <v>1665.774909470668</v>
      </c>
      <c r="AL722">
        <f>$AH722*tbl_Data_old[[#This Row],[2028 ]]</f>
        <v>2341.862033487937</v>
      </c>
      <c r="AM722">
        <f>$AH722*tbl_Data_old[[#This Row],[2029 ]]</f>
        <v>3068.2680842530654</v>
      </c>
      <c r="AN722">
        <f>$AH722*tbl_Data_old[[#This Row],[2030 ]]</f>
        <v>3841.9077016104093</v>
      </c>
      <c r="AO722">
        <f>$AH722*tbl_Data_old[[#This Row],[2031 ]]</f>
        <v>4660.2122354809562</v>
      </c>
      <c r="AP722">
        <f>$AH722*tbl_Data_old[[#This Row],[2032 ]]</f>
        <v>5518.5811755019313</v>
      </c>
      <c r="AQ722">
        <f>$AH722*tbl_Data_old[[#This Row],[2033 ]]</f>
        <v>6416.6769175049749</v>
      </c>
      <c r="AR722">
        <f>$AH722*tbl_Data_old[[#This Row],[2034 ]]</f>
        <v>7352.4036744249224</v>
      </c>
      <c r="AS722">
        <f>SUM(tbl_Data_old[[#This Row],[Adjusted 2025]:[Adjusted 2034]])</f>
        <v>36405.063136327713</v>
      </c>
      <c r="AT722" s="3">
        <f>AVERAGEIFS('3. Incentive Adjustment'!F:F,'3. Incentive Adjustment'!A:A,tbl_Data_old[[#This Row],[Trimmed Sector]],'3. Incentive Adjustment'!B:B,tbl_Data_old[[#This Row],[Trimmed Measure Name]])</f>
        <v>8.6864493556481861</v>
      </c>
      <c r="AU722" s="3">
        <f>IFERROR(VLOOKUP(tbl_Data_old[[#This Row],[All_Meas_Name_Append]],'IRA Tax Credits'!$A$3:$D$46,4,0),0)</f>
        <v>0</v>
      </c>
      <c r="AV722" s="4">
        <f>tbl_Data_old[[#This Row],[Adj. per unit Incentive ($)]]/tbl_Data_old[[#This Row],[kWh Savings]]*tbl_Data_old[[#This Row],[Sum of Annuals]]</f>
        <v>562.16798908996191</v>
      </c>
      <c r="AW722" s="4">
        <f>IFERROR(VLOOKUP(tbl_Data_old[[#This Row],[All_Programs]],'1. Set Program Names'!$B$2:$D$15,3,0)*tbl_Data_old[[#This Row],[Sum of Annuals]],"")</f>
        <v>1152.1545795638813</v>
      </c>
      <c r="AX722" s="4">
        <f>tbl_Data_old[[#This Row],[per unit IRA tax ($)]]/tbl_Data_old[[#This Row],[kWh Savings]]*tbl_Data_old[[#This Row],[Sum of Annuals]]</f>
        <v>0</v>
      </c>
      <c r="AY722" s="4">
        <f>tbl_Data_old[[#This Row],[Avoided Costs ($/unit)]]/tbl_Data_old[[#This Row],[kWh Savings]]*tbl_Data_old[[#This Row],[Sum of Annuals]]</f>
        <v>15563.288501803581</v>
      </c>
      <c r="AZ722" s="4">
        <f>tbl_Data_old[[#This Row],[Lost Revenue ($/unit)]]/tbl_Data_old[[#This Row],[kWh Savings]]*tbl_Data_old[[#This Row],[Sum of Annuals]]</f>
        <v>38664.74004353075</v>
      </c>
      <c r="BA722" s="4">
        <f>tbl_Data_old[[#This Row],[Incremental Cost ($/unit)]]/tbl_Data_old[[#This Row],[kWh Savings]]*tbl_Data_old[[#This Row],[Sum of Annuals]]</f>
        <v>10937.310086822485</v>
      </c>
      <c r="BB722">
        <f>ROUNDUP(tbl_Data_old[[#This Row],[Adjusted 2025]]/$L722,0)</f>
        <v>1</v>
      </c>
      <c r="BC722">
        <f>ROUNDUP(tbl_Data_old[[#This Row],[Adjusted 2026]]/$L722,0)</f>
        <v>2</v>
      </c>
      <c r="BD722">
        <f>ROUNDUP(tbl_Data_old[[#This Row],[Adjusted 2027]]/$L722,0)</f>
        <v>3</v>
      </c>
      <c r="BE722">
        <f>ROUNDUP(tbl_Data_old[[#This Row],[Adjusted 2028]]/$L722,0)</f>
        <v>5</v>
      </c>
      <c r="BF722">
        <f>ROUNDUP(tbl_Data_old[[#This Row],[Adjusted 2029]]/$L722,0)</f>
        <v>6</v>
      </c>
      <c r="BG722">
        <f>ROUNDUP(tbl_Data_old[[#This Row],[Adjusted 2030]]/$L722,0)</f>
        <v>7</v>
      </c>
      <c r="BH722">
        <f>ROUNDUP(tbl_Data_old[[#This Row],[Adjusted 2031]]/$L722,0)</f>
        <v>9</v>
      </c>
      <c r="BI722">
        <f>ROUNDUP(tbl_Data_old[[#This Row],[Adjusted 2032]]/$L722,0)</f>
        <v>10</v>
      </c>
      <c r="BJ722">
        <f>ROUNDUP(tbl_Data_old[[#This Row],[Adjusted 2033]]/$L722,0)</f>
        <v>12</v>
      </c>
      <c r="BK722">
        <f>ROUNDUP(tbl_Data_old[[#This Row],[Adjusted 2034]]/$L722,0)</f>
        <v>14</v>
      </c>
      <c r="BL722" s="3">
        <f t="shared" si="49"/>
        <v>9.3951580937478774</v>
      </c>
      <c r="BM722" s="3">
        <f t="shared" si="49"/>
        <v>20.08372145158275</v>
      </c>
      <c r="BN722" s="3">
        <f t="shared" si="49"/>
        <v>31.899396248643693</v>
      </c>
      <c r="BO722" s="3">
        <f t="shared" si="49"/>
        <v>44.846386232113922</v>
      </c>
      <c r="BP722" s="3">
        <f t="shared" si="49"/>
        <v>58.756977824667409</v>
      </c>
      <c r="BQ722" s="3">
        <f t="shared" si="49"/>
        <v>73.572086737295407</v>
      </c>
      <c r="BR722" s="3">
        <f t="shared" si="49"/>
        <v>89.24252361900659</v>
      </c>
      <c r="BS722" s="3">
        <f t="shared" si="49"/>
        <v>105.68018923011748</v>
      </c>
      <c r="BT722" s="3">
        <f t="shared" si="49"/>
        <v>122.87861848997375</v>
      </c>
      <c r="BU722" s="3">
        <f t="shared" si="49"/>
        <v>140.79767731943639</v>
      </c>
      <c r="BV722">
        <f>VLOOKUP($H722,'1. Set Program Names'!$B$2:$D$15,3,0)*V722</f>
        <v>19.255230880294828</v>
      </c>
      <c r="BW722">
        <f>VLOOKUP($H722,'1. Set Program Names'!$B$2:$D$15,3,0)*W722</f>
        <v>41.161275800468033</v>
      </c>
      <c r="BX722">
        <f>VLOOKUP($H722,'1. Set Program Names'!$B$2:$D$15,3,0)*X722</f>
        <v>65.377318144161094</v>
      </c>
      <c r="BY722">
        <f>VLOOKUP($H722,'1. Set Program Names'!$B$2:$D$15,3,0)*Y722</f>
        <v>91.911973426064407</v>
      </c>
      <c r="BZ722">
        <f>VLOOKUP($H722,'1. Set Program Names'!$B$2:$D$15,3,0)*Z722</f>
        <v>120.42151526914958</v>
      </c>
      <c r="CA722">
        <f>VLOOKUP($H722,'1. Set Program Names'!$B$2:$D$15,3,0)*AA722</f>
        <v>150.78485133894932</v>
      </c>
      <c r="CB722">
        <f>VLOOKUP($H722,'1. Set Program Names'!$B$2:$D$15,3,0)*AB722</f>
        <v>182.90116882308311</v>
      </c>
      <c r="CC722">
        <f>VLOOKUP($H722,'1. Set Program Names'!$B$2:$D$15,3,0)*AC722</f>
        <v>216.58990969543191</v>
      </c>
      <c r="CD722">
        <f>VLOOKUP($H722,'1. Set Program Names'!$B$2:$D$15,3,0)*AD722</f>
        <v>251.83782387340884</v>
      </c>
      <c r="CE722">
        <f>VLOOKUP($H722,'1. Set Program Names'!$B$2:$D$15,3,0)*AE722</f>
        <v>288.56265718393047</v>
      </c>
    </row>
    <row r="723" spans="1:83" x14ac:dyDescent="0.25">
      <c r="A723" s="20" t="s">
        <v>113</v>
      </c>
      <c r="B723" s="20" t="s">
        <v>88</v>
      </c>
      <c r="C723" s="20" t="s">
        <v>176</v>
      </c>
      <c r="D723" s="20" t="s">
        <v>90</v>
      </c>
      <c r="E723" s="20" t="s">
        <v>91</v>
      </c>
      <c r="F723" s="20" t="s">
        <v>90</v>
      </c>
      <c r="G723" s="20" t="s">
        <v>92</v>
      </c>
      <c r="H723" s="20" t="s">
        <v>18</v>
      </c>
      <c r="I723" s="20" t="s">
        <v>162</v>
      </c>
      <c r="J723" s="20" t="s">
        <v>161</v>
      </c>
      <c r="K723" s="20" t="s">
        <v>159</v>
      </c>
      <c r="L723" s="20">
        <v>725.58416666666596</v>
      </c>
      <c r="M723" s="20">
        <v>8.6917804178563804E-2</v>
      </c>
      <c r="N723" s="20">
        <v>8.3795205289933394E-2</v>
      </c>
      <c r="O723" s="20">
        <v>179</v>
      </c>
      <c r="P723" s="20">
        <v>33.0790753554421</v>
      </c>
      <c r="Q723" s="20">
        <v>22.963430041406301</v>
      </c>
      <c r="R723" s="20">
        <v>310.45187974046598</v>
      </c>
      <c r="S723" s="20">
        <v>770.62146764617603</v>
      </c>
      <c r="T723" s="20">
        <v>15</v>
      </c>
      <c r="U723" s="20">
        <v>0.2</v>
      </c>
      <c r="V723" s="20">
        <v>3125.9948888097301</v>
      </c>
      <c r="W723" s="20">
        <v>6682.3367930024397</v>
      </c>
      <c r="X723" s="20">
        <v>10613.695760557201</v>
      </c>
      <c r="Y723" s="20">
        <v>14921.4704791893</v>
      </c>
      <c r="Z723" s="20">
        <v>19549.8586111121</v>
      </c>
      <c r="AA723" s="20">
        <v>24479.201393417501</v>
      </c>
      <c r="AB723" s="20">
        <v>29693.132346877799</v>
      </c>
      <c r="AC723" s="20">
        <v>35162.3387371875</v>
      </c>
      <c r="AD723" s="20">
        <v>40884.669476639698</v>
      </c>
      <c r="AE723" s="20">
        <v>46846.770992574398</v>
      </c>
      <c r="AF723" t="str">
        <f t="shared" si="48"/>
        <v>NonResidential</v>
      </c>
      <c r="AG723" t="str">
        <f>tbl_Data_old[[#This Row],[All_Meas_Name_Append]]</f>
        <v>LED High Bay_LF Baseline</v>
      </c>
      <c r="AH723">
        <f>AVERAGEIFS('3. Incentive Adjustment'!G:G,'3. Incentive Adjustment'!A:A,tbl_Data_old[[#This Row],[Trimmed Sector]],'3. Incentive Adjustment'!B:B,tbl_Data_old[[#This Row],[Trimmed Measure Name]])</f>
        <v>0.93017466414143679</v>
      </c>
      <c r="AI723">
        <f>$AH723*tbl_Data_old[[#This Row],[2025 ]]</f>
        <v>2907.7212458064387</v>
      </c>
      <c r="AJ723">
        <f>$AH723*tbl_Data_old[[#This Row],[2026 ]]</f>
        <v>6215.7403821110101</v>
      </c>
      <c r="AK723">
        <f>$AH723*tbl_Data_old[[#This Row],[2027 ]]</f>
        <v>9872.5908893756859</v>
      </c>
      <c r="AL723">
        <f>$AH723*tbl_Data_old[[#This Row],[2028 ]]</f>
        <v>13879.57379147627</v>
      </c>
      <c r="AM723">
        <f>$AH723*tbl_Data_old[[#This Row],[2029 ]]</f>
        <v>18184.783167603775</v>
      </c>
      <c r="AN723">
        <f>$AH723*tbl_Data_old[[#This Row],[2030 ]]</f>
        <v>22769.932934572716</v>
      </c>
      <c r="AO723">
        <f>$AH723*tbl_Data_old[[#This Row],[2031 ]]</f>
        <v>27619.799408064289</v>
      </c>
      <c r="AP723">
        <f>$AH723*tbl_Data_old[[#This Row],[2032 ]]</f>
        <v>32707.116625290815</v>
      </c>
      <c r="AQ723">
        <f>$AH723*tbl_Data_old[[#This Row],[2033 ]]</f>
        <v>38029.88369896698</v>
      </c>
      <c r="AR723">
        <f>$AH723*tbl_Data_old[[#This Row],[2034 ]]</f>
        <v>43575.679474128694</v>
      </c>
      <c r="AS723">
        <f>SUM(tbl_Data_old[[#This Row],[Adjusted 2025]:[Adjusted 2034]])</f>
        <v>215762.82161739666</v>
      </c>
      <c r="AT723" s="3">
        <f>AVERAGEIFS('3. Incentive Adjustment'!F:F,'3. Incentive Adjustment'!A:A,tbl_Data_old[[#This Row],[Trimmed Sector]],'3. Incentive Adjustment'!B:B,tbl_Data_old[[#This Row],[Trimmed Measure Name]])</f>
        <v>23.858858929800434</v>
      </c>
      <c r="AU723" s="3">
        <f>IFERROR(VLOOKUP(tbl_Data_old[[#This Row],[All_Meas_Name_Append]],'IRA Tax Credits'!$A$3:$D$46,4,0),0)</f>
        <v>0</v>
      </c>
      <c r="AV723" s="4">
        <f>tbl_Data_old[[#This Row],[Adj. per unit Incentive ($)]]/tbl_Data_old[[#This Row],[kWh Savings]]*tbl_Data_old[[#This Row],[Sum of Annuals]]</f>
        <v>7094.7726807689442</v>
      </c>
      <c r="AW723" s="4">
        <f>IFERROR(VLOOKUP(tbl_Data_old[[#This Row],[All_Programs]],'1. Set Program Names'!$B$2:$D$15,3,0)*tbl_Data_old[[#This Row],[Sum of Annuals]],"")</f>
        <v>6828.5041038163845</v>
      </c>
      <c r="AX723" s="4">
        <f>tbl_Data_old[[#This Row],[per unit IRA tax ($)]]/tbl_Data_old[[#This Row],[kWh Savings]]*tbl_Data_old[[#This Row],[Sum of Annuals]]</f>
        <v>0</v>
      </c>
      <c r="AY723" s="4">
        <f>tbl_Data_old[[#This Row],[Avoided Costs ($/unit)]]/tbl_Data_old[[#This Row],[kWh Savings]]*tbl_Data_old[[#This Row],[Sum of Annuals]]</f>
        <v>92317.303252291254</v>
      </c>
      <c r="AZ723" s="4">
        <f>tbl_Data_old[[#This Row],[Lost Revenue ($/unit)]]/tbl_Data_old[[#This Row],[kWh Savings]]*tbl_Data_old[[#This Row],[Sum of Annuals]]</f>
        <v>229155.30671256167</v>
      </c>
      <c r="BA723" s="4">
        <f>tbl_Data_old[[#This Row],[Incremental Cost ($/unit)]]/tbl_Data_old[[#This Row],[kWh Savings]]*tbl_Data_old[[#This Row],[Sum of Annuals]]</f>
        <v>53228.208171825747</v>
      </c>
      <c r="BB723">
        <f>ROUNDUP(tbl_Data_old[[#This Row],[Adjusted 2025]]/$L723,0)</f>
        <v>5</v>
      </c>
      <c r="BC723">
        <f>ROUNDUP(tbl_Data_old[[#This Row],[Adjusted 2026]]/$L723,0)</f>
        <v>9</v>
      </c>
      <c r="BD723">
        <f>ROUNDUP(tbl_Data_old[[#This Row],[Adjusted 2027]]/$L723,0)</f>
        <v>14</v>
      </c>
      <c r="BE723">
        <f>ROUNDUP(tbl_Data_old[[#This Row],[Adjusted 2028]]/$L723,0)</f>
        <v>20</v>
      </c>
      <c r="BF723">
        <f>ROUNDUP(tbl_Data_old[[#This Row],[Adjusted 2029]]/$L723,0)</f>
        <v>26</v>
      </c>
      <c r="BG723">
        <f>ROUNDUP(tbl_Data_old[[#This Row],[Adjusted 2030]]/$L723,0)</f>
        <v>32</v>
      </c>
      <c r="BH723">
        <f>ROUNDUP(tbl_Data_old[[#This Row],[Adjusted 2031]]/$L723,0)</f>
        <v>39</v>
      </c>
      <c r="BI723">
        <f>ROUNDUP(tbl_Data_old[[#This Row],[Adjusted 2032]]/$L723,0)</f>
        <v>46</v>
      </c>
      <c r="BJ723">
        <f>ROUNDUP(tbl_Data_old[[#This Row],[Adjusted 2033]]/$L723,0)</f>
        <v>53</v>
      </c>
      <c r="BK723">
        <f>ROUNDUP(tbl_Data_old[[#This Row],[Adjusted 2034]]/$L723,0)</f>
        <v>61</v>
      </c>
      <c r="BL723" s="3">
        <f t="shared" si="49"/>
        <v>102.78982714027701</v>
      </c>
      <c r="BM723" s="3">
        <f t="shared" si="49"/>
        <v>219.73044367560445</v>
      </c>
      <c r="BN723" s="3">
        <f t="shared" si="49"/>
        <v>349.00247484491973</v>
      </c>
      <c r="BO723" s="3">
        <f t="shared" si="49"/>
        <v>490.65191268390805</v>
      </c>
      <c r="BP723" s="3">
        <f t="shared" si="49"/>
        <v>642.84384931231489</v>
      </c>
      <c r="BQ723" s="3">
        <f t="shared" si="49"/>
        <v>804.93185985966193</v>
      </c>
      <c r="BR723" s="3">
        <f t="shared" si="49"/>
        <v>976.37777723657439</v>
      </c>
      <c r="BS723" s="3">
        <f t="shared" si="49"/>
        <v>1156.217732019255</v>
      </c>
      <c r="BT723" s="3">
        <f t="shared" si="49"/>
        <v>1344.3809915477279</v>
      </c>
      <c r="BU723" s="3">
        <f t="shared" si="49"/>
        <v>1540.4284599583561</v>
      </c>
      <c r="BV723">
        <f>VLOOKUP($H723,'1. Set Program Names'!$B$2:$D$15,3,0)*V723</f>
        <v>98.932099454084977</v>
      </c>
      <c r="BW723">
        <f>VLOOKUP($H723,'1. Set Program Names'!$B$2:$D$15,3,0)*W723</f>
        <v>211.48390567034215</v>
      </c>
      <c r="BX723">
        <f>VLOOKUP($H723,'1. Set Program Names'!$B$2:$D$15,3,0)*X723</f>
        <v>335.90432547337332</v>
      </c>
      <c r="BY723">
        <f>VLOOKUP($H723,'1. Set Program Names'!$B$2:$D$15,3,0)*Y723</f>
        <v>472.23762480636657</v>
      </c>
      <c r="BZ723">
        <f>VLOOKUP($H723,'1. Set Program Names'!$B$2:$D$15,3,0)*Z723</f>
        <v>618.71776033654464</v>
      </c>
      <c r="CA723">
        <f>VLOOKUP($H723,'1. Set Program Names'!$B$2:$D$15,3,0)*AA723</f>
        <v>774.72256767901649</v>
      </c>
      <c r="CB723">
        <f>VLOOKUP($H723,'1. Set Program Names'!$B$2:$D$15,3,0)*AB723</f>
        <v>939.73407728864186</v>
      </c>
      <c r="CC723">
        <f>VLOOKUP($H723,'1. Set Program Names'!$B$2:$D$15,3,0)*AC723</f>
        <v>1112.8245939999665</v>
      </c>
      <c r="CD723">
        <f>VLOOKUP($H723,'1. Set Program Names'!$B$2:$D$15,3,0)*AD723</f>
        <v>1293.9260397672731</v>
      </c>
      <c r="CE723">
        <f>VLOOKUP($H723,'1. Set Program Names'!$B$2:$D$15,3,0)*AE723</f>
        <v>1482.6157981035044</v>
      </c>
    </row>
    <row r="724" spans="1:83" x14ac:dyDescent="0.25">
      <c r="A724" s="20" t="s">
        <v>113</v>
      </c>
      <c r="B724" s="20" t="s">
        <v>88</v>
      </c>
      <c r="C724" s="20" t="s">
        <v>176</v>
      </c>
      <c r="D724" s="20" t="s">
        <v>90</v>
      </c>
      <c r="E724" s="20" t="s">
        <v>91</v>
      </c>
      <c r="F724" s="20" t="s">
        <v>90</v>
      </c>
      <c r="G724" s="20" t="s">
        <v>92</v>
      </c>
      <c r="H724" s="20" t="s">
        <v>18</v>
      </c>
      <c r="I724" s="20" t="s">
        <v>165</v>
      </c>
      <c r="J724" s="20" t="s">
        <v>161</v>
      </c>
      <c r="K724" s="20" t="s">
        <v>166</v>
      </c>
      <c r="L724" s="20">
        <v>565.38999999999896</v>
      </c>
      <c r="M724" s="20">
        <v>6.7728127941350899E-2</v>
      </c>
      <c r="N724" s="20">
        <v>6.5294935157718198E-2</v>
      </c>
      <c r="O724" s="20">
        <v>129</v>
      </c>
      <c r="P724" s="20">
        <v>15.293574707506</v>
      </c>
      <c r="Q724" s="20">
        <v>17.893573630135801</v>
      </c>
      <c r="R724" s="20">
        <v>190.6779313312</v>
      </c>
      <c r="S724" s="20">
        <v>454.767236260907</v>
      </c>
      <c r="T724" s="20">
        <v>10</v>
      </c>
      <c r="U724" s="20">
        <v>0.2</v>
      </c>
      <c r="V724" s="20">
        <v>374.02055050201699</v>
      </c>
      <c r="W724" s="20">
        <v>890.45469529712898</v>
      </c>
      <c r="X724" s="20">
        <v>1581.34257616063</v>
      </c>
      <c r="Y724" s="20">
        <v>2482.58278421659</v>
      </c>
      <c r="Z724" s="20">
        <v>3607.7100415034702</v>
      </c>
      <c r="AA724" s="20">
        <v>4943.2590218190398</v>
      </c>
      <c r="AB724" s="20">
        <v>6431.7165630994004</v>
      </c>
      <c r="AC724" s="20">
        <v>7966.8525529066101</v>
      </c>
      <c r="AD724" s="20">
        <v>9420.3433428737699</v>
      </c>
      <c r="AE724" s="20">
        <v>10678.1656647411</v>
      </c>
      <c r="AF724" t="str">
        <f t="shared" si="48"/>
        <v>NonResidential</v>
      </c>
      <c r="AG724" t="str">
        <f>tbl_Data_old[[#This Row],[All_Meas_Name_Append]]</f>
        <v>Occupancy Sensors_ Ceiling Mounted</v>
      </c>
      <c r="AH724">
        <f>AVERAGEIFS('3. Incentive Adjustment'!G:G,'3. Incentive Adjustment'!A:A,tbl_Data_old[[#This Row],[Trimmed Sector]],'3. Incentive Adjustment'!B:B,tbl_Data_old[[#This Row],[Trimmed Measure Name]])</f>
        <v>0.99348124042467356</v>
      </c>
      <c r="AI724">
        <f>$AH724*tbl_Data_old[[#This Row],[2025 ]]</f>
        <v>371.5824004570631</v>
      </c>
      <c r="AJ724">
        <f>$AH724*tbl_Data_old[[#This Row],[2026 ]]</f>
        <v>884.65003522576649</v>
      </c>
      <c r="AK724">
        <f>$AH724*tbl_Data_old[[#This Row],[2027 ]]</f>
        <v>1571.0341841004115</v>
      </c>
      <c r="AL724">
        <f>$AH724*tbl_Data_old[[#This Row],[2028 ]]</f>
        <v>2466.3994239204376</v>
      </c>
      <c r="AM724">
        <f>$AH724*tbl_Data_old[[#This Row],[2029 ]]</f>
        <v>3584.1922471254179</v>
      </c>
      <c r="AN724">
        <f>$AH724*tbl_Data_old[[#This Row],[2030 ]]</f>
        <v>4911.0351047372378</v>
      </c>
      <c r="AO724">
        <f>$AH724*tbl_Data_old[[#This Row],[2031 ]]</f>
        <v>6389.7897491679105</v>
      </c>
      <c r="AP724">
        <f>$AH724*tbl_Data_old[[#This Row],[2032 ]]</f>
        <v>7914.9185565421358</v>
      </c>
      <c r="AQ724">
        <f>$AH724*tbl_Data_old[[#This Row],[2033 ]]</f>
        <v>9358.9343895045495</v>
      </c>
      <c r="AR724">
        <f>$AH724*tbl_Data_old[[#This Row],[2034 ]]</f>
        <v>10608.557270067147</v>
      </c>
      <c r="AS724">
        <f>SUM(tbl_Data_old[[#This Row],[Adjusted 2025]:[Adjusted 2034]])</f>
        <v>48061.093360848077</v>
      </c>
      <c r="AT724" s="3">
        <f>AVERAGEIFS('3. Incentive Adjustment'!F:F,'3. Incentive Adjustment'!A:A,tbl_Data_old[[#This Row],[Trimmed Sector]],'3. Incentive Adjustment'!B:B,tbl_Data_old[[#This Row],[Trimmed Measure Name]])</f>
        <v>19.547634357270656</v>
      </c>
      <c r="AU724" s="3">
        <f>IFERROR(VLOOKUP(tbl_Data_old[[#This Row],[All_Meas_Name_Append]],'IRA Tax Credits'!$A$3:$D$46,4,0),0)</f>
        <v>0</v>
      </c>
      <c r="AV724" s="4">
        <f>tbl_Data_old[[#This Row],[Adj. per unit Incentive ($)]]/tbl_Data_old[[#This Row],[kWh Savings]]*tbl_Data_old[[#This Row],[Sum of Annuals]]</f>
        <v>1661.6506832956159</v>
      </c>
      <c r="AW724" s="4">
        <f>IFERROR(VLOOKUP(tbl_Data_old[[#This Row],[All_Programs]],'1. Set Program Names'!$B$2:$D$15,3,0)*tbl_Data_old[[#This Row],[Sum of Annuals]],"")</f>
        <v>1521.0469106230503</v>
      </c>
      <c r="AX724" s="4">
        <f>tbl_Data_old[[#This Row],[per unit IRA tax ($)]]/tbl_Data_old[[#This Row],[kWh Savings]]*tbl_Data_old[[#This Row],[Sum of Annuals]]</f>
        <v>0</v>
      </c>
      <c r="AY724" s="4">
        <f>tbl_Data_old[[#This Row],[Avoided Costs ($/unit)]]/tbl_Data_old[[#This Row],[kWh Savings]]*tbl_Data_old[[#This Row],[Sum of Annuals]]</f>
        <v>16208.616812398874</v>
      </c>
      <c r="AZ724" s="4">
        <f>tbl_Data_old[[#This Row],[Lost Revenue ($/unit)]]/tbl_Data_old[[#This Row],[kWh Savings]]*tbl_Data_old[[#This Row],[Sum of Annuals]]</f>
        <v>38657.582552557258</v>
      </c>
      <c r="BA724" s="4">
        <f>tbl_Data_old[[#This Row],[Incremental Cost ($/unit)]]/tbl_Data_old[[#This Row],[kWh Savings]]*tbl_Data_old[[#This Row],[Sum of Annuals]]</f>
        <v>10965.671560426277</v>
      </c>
      <c r="BB724">
        <f>ROUNDUP(tbl_Data_old[[#This Row],[Adjusted 2025]]/$L724,0)</f>
        <v>1</v>
      </c>
      <c r="BC724">
        <f>ROUNDUP(tbl_Data_old[[#This Row],[Adjusted 2026]]/$L724,0)</f>
        <v>2</v>
      </c>
      <c r="BD724">
        <f>ROUNDUP(tbl_Data_old[[#This Row],[Adjusted 2027]]/$L724,0)</f>
        <v>3</v>
      </c>
      <c r="BE724">
        <f>ROUNDUP(tbl_Data_old[[#This Row],[Adjusted 2028]]/$L724,0)</f>
        <v>5</v>
      </c>
      <c r="BF724">
        <f>ROUNDUP(tbl_Data_old[[#This Row],[Adjusted 2029]]/$L724,0)</f>
        <v>7</v>
      </c>
      <c r="BG724">
        <f>ROUNDUP(tbl_Data_old[[#This Row],[Adjusted 2030]]/$L724,0)</f>
        <v>9</v>
      </c>
      <c r="BH724">
        <f>ROUNDUP(tbl_Data_old[[#This Row],[Adjusted 2031]]/$L724,0)</f>
        <v>12</v>
      </c>
      <c r="BI724">
        <f>ROUNDUP(tbl_Data_old[[#This Row],[Adjusted 2032]]/$L724,0)</f>
        <v>14</v>
      </c>
      <c r="BJ724">
        <f>ROUNDUP(tbl_Data_old[[#This Row],[Adjusted 2033]]/$L724,0)</f>
        <v>17</v>
      </c>
      <c r="BK724">
        <f>ROUNDUP(tbl_Data_old[[#This Row],[Adjusted 2034]]/$L724,0)</f>
        <v>19</v>
      </c>
      <c r="BL724" s="3">
        <f t="shared" si="49"/>
        <v>12.931280997751154</v>
      </c>
      <c r="BM724" s="3">
        <f t="shared" si="49"/>
        <v>30.786329428152538</v>
      </c>
      <c r="BN724" s="3">
        <f t="shared" si="49"/>
        <v>54.672892114067238</v>
      </c>
      <c r="BO724" s="3">
        <f t="shared" si="49"/>
        <v>85.832116817631984</v>
      </c>
      <c r="BP724" s="3">
        <f t="shared" si="49"/>
        <v>124.73194920031077</v>
      </c>
      <c r="BQ724" s="3">
        <f t="shared" si="49"/>
        <v>170.90684287270412</v>
      </c>
      <c r="BR724" s="3">
        <f t="shared" si="49"/>
        <v>222.36835399470951</v>
      </c>
      <c r="BS724" s="3">
        <f t="shared" si="49"/>
        <v>275.44371262757915</v>
      </c>
      <c r="BT724" s="3">
        <f t="shared" si="49"/>
        <v>325.69629315418655</v>
      </c>
      <c r="BU724" s="3">
        <f t="shared" si="49"/>
        <v>369.18388726493458</v>
      </c>
      <c r="BV724">
        <f>VLOOKUP($H724,'1. Set Program Names'!$B$2:$D$15,3,0)*V724</f>
        <v>11.837075752298006</v>
      </c>
      <c r="BW724">
        <f>VLOOKUP($H724,'1. Set Program Names'!$B$2:$D$15,3,0)*W724</f>
        <v>28.181284873448988</v>
      </c>
      <c r="BX724">
        <f>VLOOKUP($H724,'1. Set Program Names'!$B$2:$D$15,3,0)*X724</f>
        <v>50.046640055534894</v>
      </c>
      <c r="BY724">
        <f>VLOOKUP($H724,'1. Set Program Names'!$B$2:$D$15,3,0)*Y724</f>
        <v>78.569266952523236</v>
      </c>
      <c r="BZ724">
        <f>VLOOKUP($H724,'1. Set Program Names'!$B$2:$D$15,3,0)*Z724</f>
        <v>114.17751510253569</v>
      </c>
      <c r="CA724">
        <f>VLOOKUP($H724,'1. Set Program Names'!$B$2:$D$15,3,0)*AA724</f>
        <v>156.44523122048869</v>
      </c>
      <c r="CB724">
        <f>VLOOKUP($H724,'1. Set Program Names'!$B$2:$D$15,3,0)*AB724</f>
        <v>203.5522274712732</v>
      </c>
      <c r="CC724">
        <f>VLOOKUP($H724,'1. Set Program Names'!$B$2:$D$15,3,0)*AC724</f>
        <v>252.13651241774681</v>
      </c>
      <c r="CD724">
        <f>VLOOKUP($H724,'1. Set Program Names'!$B$2:$D$15,3,0)*AD724</f>
        <v>298.1368740636932</v>
      </c>
      <c r="CE724">
        <f>VLOOKUP($H724,'1. Set Program Names'!$B$2:$D$15,3,0)*AE724</f>
        <v>337.94468164777049</v>
      </c>
    </row>
    <row r="725" spans="1:83" x14ac:dyDescent="0.25">
      <c r="A725" s="20" t="s">
        <v>113</v>
      </c>
      <c r="B725" s="20" t="s">
        <v>88</v>
      </c>
      <c r="C725" s="20" t="s">
        <v>176</v>
      </c>
      <c r="D725" s="20" t="s">
        <v>90</v>
      </c>
      <c r="E725" s="20" t="s">
        <v>91</v>
      </c>
      <c r="F725" s="20" t="s">
        <v>90</v>
      </c>
      <c r="G725" s="20" t="s">
        <v>92</v>
      </c>
      <c r="H725" s="20" t="s">
        <v>18</v>
      </c>
      <c r="I725" s="20" t="s">
        <v>188</v>
      </c>
      <c r="J725" s="20" t="s">
        <v>178</v>
      </c>
      <c r="K725" s="20" t="s">
        <v>189</v>
      </c>
      <c r="L725" s="20">
        <v>58755.825000000099</v>
      </c>
      <c r="M725" s="20">
        <v>7.0391882486047397</v>
      </c>
      <c r="N725" s="20">
        <v>6.7809192295770497</v>
      </c>
      <c r="O725" s="20">
        <v>15000</v>
      </c>
      <c r="P725" s="20">
        <v>3217.2191279034701</v>
      </c>
      <c r="Q725" s="20">
        <v>1859.5158754786501</v>
      </c>
      <c r="R725" s="20">
        <v>19805.726496097701</v>
      </c>
      <c r="S725" s="20">
        <v>47259.8103070086</v>
      </c>
      <c r="T725" s="20">
        <v>10</v>
      </c>
      <c r="U725" s="20">
        <v>1</v>
      </c>
      <c r="V725" s="20">
        <v>31.3673006371661</v>
      </c>
      <c r="W725" s="20">
        <v>74.7021934966549</v>
      </c>
      <c r="X725" s="20">
        <v>132.691909278579</v>
      </c>
      <c r="Y725" s="20">
        <v>208.37133604479999</v>
      </c>
      <c r="Z725" s="20">
        <v>302.83642228832502</v>
      </c>
      <c r="AA725" s="20">
        <v>414.97185866144702</v>
      </c>
      <c r="AB725" s="20">
        <v>539.98069228424299</v>
      </c>
      <c r="AC725" s="20">
        <v>668.96260727249501</v>
      </c>
      <c r="AD725" s="20">
        <v>791.23419562069898</v>
      </c>
      <c r="AE725" s="20">
        <v>897.27811146623503</v>
      </c>
      <c r="AF725" t="str">
        <f t="shared" si="48"/>
        <v>NonResidential</v>
      </c>
      <c r="AG725" t="str">
        <f>tbl_Data_old[[#This Row],[All_Meas_Name_Append]]</f>
        <v>Strategic Energy Management</v>
      </c>
      <c r="AH725">
        <f>AVERAGEIFS('3. Incentive Adjustment'!G:G,'3. Incentive Adjustment'!A:A,tbl_Data_old[[#This Row],[Trimmed Sector]],'3. Incentive Adjustment'!B:B,tbl_Data_old[[#This Row],[Trimmed Measure Name]])</f>
        <v>1.1413908001130193</v>
      </c>
      <c r="AI725">
        <f>$AH725*tbl_Data_old[[#This Row],[2025 ]]</f>
        <v>35.802348371640633</v>
      </c>
      <c r="AJ725">
        <f>$AH725*tbl_Data_old[[#This Row],[2026 ]]</f>
        <v>85.264396405344527</v>
      </c>
      <c r="AK725">
        <f>$AH725*tbl_Data_old[[#This Row],[2027 ]]</f>
        <v>151.45332450000146</v>
      </c>
      <c r="AL725">
        <f>$AH725*tbl_Data_old[[#This Row],[2028 ]]</f>
        <v>237.83312596879307</v>
      </c>
      <c r="AM725">
        <f>$AH725*tbl_Data_old[[#This Row],[2029 ]]</f>
        <v>345.6547063390355</v>
      </c>
      <c r="AN725">
        <f>$AH725*tbl_Data_old[[#This Row],[2030 ]]</f>
        <v>473.64506178197576</v>
      </c>
      <c r="AO725">
        <f>$AH725*tbl_Data_old[[#This Row],[2031 ]]</f>
        <v>616.3289944118942</v>
      </c>
      <c r="AP725">
        <f>$AH725*tbl_Data_old[[#This Row],[2032 ]]</f>
        <v>763.54776556044453</v>
      </c>
      <c r="AQ725">
        <f>$AH725*tbl_Data_old[[#This Row],[2033 ]]</f>
        <v>903.1074316162908</v>
      </c>
      <c r="AR725">
        <f>$AH725*tbl_Data_old[[#This Row],[2034 ]]</f>
        <v>1024.144981570345</v>
      </c>
      <c r="AS725">
        <f>SUM(tbl_Data_old[[#This Row],[Adjusted 2025]:[Adjusted 2034]])</f>
        <v>4636.782136525766</v>
      </c>
      <c r="AT725" s="3">
        <f>AVERAGEIFS('3. Incentive Adjustment'!F:F,'3. Incentive Adjustment'!A:A,tbl_Data_old[[#This Row],[Trimmed Sector]],'3. Incentive Adjustment'!B:B,tbl_Data_old[[#This Row],[Trimmed Measure Name]])</f>
        <v>6162.1674053779652</v>
      </c>
      <c r="AU725" s="3">
        <f>IFERROR(VLOOKUP(tbl_Data_old[[#This Row],[All_Meas_Name_Append]],'IRA Tax Credits'!$A$3:$D$46,4,0),0)</f>
        <v>0</v>
      </c>
      <c r="AV725" s="4">
        <f>tbl_Data_old[[#This Row],[Adj. per unit Incentive ($)]]/tbl_Data_old[[#This Row],[kWh Savings]]*tbl_Data_old[[#This Row],[Sum of Annuals]]</f>
        <v>486.2943843872132</v>
      </c>
      <c r="AW725" s="4">
        <f>IFERROR(VLOOKUP(tbl_Data_old[[#This Row],[All_Programs]],'1. Set Program Names'!$B$2:$D$15,3,0)*tbl_Data_old[[#This Row],[Sum of Annuals]],"")</f>
        <v>146.74579063446865</v>
      </c>
      <c r="AX725" s="4">
        <f>tbl_Data_old[[#This Row],[per unit IRA tax ($)]]/tbl_Data_old[[#This Row],[kWh Savings]]*tbl_Data_old[[#This Row],[Sum of Annuals]]</f>
        <v>0</v>
      </c>
      <c r="AY725" s="4">
        <f>tbl_Data_old[[#This Row],[Avoided Costs ($/unit)]]/tbl_Data_old[[#This Row],[kWh Savings]]*tbl_Data_old[[#This Row],[Sum of Annuals]]</f>
        <v>1562.9912237300848</v>
      </c>
      <c r="AZ725" s="4">
        <f>tbl_Data_old[[#This Row],[Lost Revenue ($/unit)]]/tbl_Data_old[[#This Row],[kWh Savings]]*tbl_Data_old[[#This Row],[Sum of Annuals]]</f>
        <v>3729.5611832041054</v>
      </c>
      <c r="BA725" s="4">
        <f>tbl_Data_old[[#This Row],[Incremental Cost ($/unit)]]/tbl_Data_old[[#This Row],[kWh Savings]]*tbl_Data_old[[#This Row],[Sum of Annuals]]</f>
        <v>1183.7419021498954</v>
      </c>
      <c r="BB725">
        <f>ROUNDUP(tbl_Data_old[[#This Row],[Adjusted 2025]]/$L725,0)</f>
        <v>1</v>
      </c>
      <c r="BC725">
        <f>ROUNDUP(tbl_Data_old[[#This Row],[Adjusted 2026]]/$L725,0)</f>
        <v>1</v>
      </c>
      <c r="BD725">
        <f>ROUNDUP(tbl_Data_old[[#This Row],[Adjusted 2027]]/$L725,0)</f>
        <v>1</v>
      </c>
      <c r="BE725">
        <f>ROUNDUP(tbl_Data_old[[#This Row],[Adjusted 2028]]/$L725,0)</f>
        <v>1</v>
      </c>
      <c r="BF725">
        <f>ROUNDUP(tbl_Data_old[[#This Row],[Adjusted 2029]]/$L725,0)</f>
        <v>1</v>
      </c>
      <c r="BG725">
        <f>ROUNDUP(tbl_Data_old[[#This Row],[Adjusted 2030]]/$L725,0)</f>
        <v>1</v>
      </c>
      <c r="BH725">
        <f>ROUNDUP(tbl_Data_old[[#This Row],[Adjusted 2031]]/$L725,0)</f>
        <v>1</v>
      </c>
      <c r="BI725">
        <f>ROUNDUP(tbl_Data_old[[#This Row],[Adjusted 2032]]/$L725,0)</f>
        <v>1</v>
      </c>
      <c r="BJ725">
        <f>ROUNDUP(tbl_Data_old[[#This Row],[Adjusted 2033]]/$L725,0)</f>
        <v>1</v>
      </c>
      <c r="BK725">
        <f>ROUNDUP(tbl_Data_old[[#This Row],[Adjusted 2034]]/$L725,0)</f>
        <v>1</v>
      </c>
      <c r="BL725" s="3">
        <f t="shared" si="49"/>
        <v>3.2897258711121169</v>
      </c>
      <c r="BM725" s="3">
        <f t="shared" si="49"/>
        <v>7.8345835817184746</v>
      </c>
      <c r="BN725" s="3">
        <f t="shared" si="49"/>
        <v>13.916403323650517</v>
      </c>
      <c r="BO725" s="3">
        <f t="shared" si="49"/>
        <v>21.853476743630491</v>
      </c>
      <c r="BP725" s="3">
        <f t="shared" si="49"/>
        <v>31.760744242573235</v>
      </c>
      <c r="BQ725" s="3">
        <f t="shared" si="49"/>
        <v>43.521234900415003</v>
      </c>
      <c r="BR725" s="3">
        <f t="shared" si="49"/>
        <v>56.631856016444083</v>
      </c>
      <c r="BS725" s="3">
        <f t="shared" si="49"/>
        <v>70.159164201187238</v>
      </c>
      <c r="BT725" s="3">
        <f t="shared" si="49"/>
        <v>82.982709718982179</v>
      </c>
      <c r="BU725" s="3">
        <f t="shared" si="49"/>
        <v>94.104336583416554</v>
      </c>
      <c r="BV725">
        <f>VLOOKUP($H725,'1. Set Program Names'!$B$2:$D$15,3,0)*V725</f>
        <v>0.9927184837541122</v>
      </c>
      <c r="BW725">
        <f>VLOOKUP($H725,'1. Set Program Names'!$B$2:$D$15,3,0)*W725</f>
        <v>2.3641896737916248</v>
      </c>
      <c r="BX725">
        <f>VLOOKUP($H725,'1. Set Program Names'!$B$2:$D$15,3,0)*X725</f>
        <v>4.199459574452244</v>
      </c>
      <c r="BY725">
        <f>VLOOKUP($H725,'1. Set Program Names'!$B$2:$D$15,3,0)*Y725</f>
        <v>6.5945769184587633</v>
      </c>
      <c r="BZ725">
        <f>VLOOKUP($H725,'1. Set Program Names'!$B$2:$D$15,3,0)*Z725</f>
        <v>9.584226498705398</v>
      </c>
      <c r="CA725">
        <f>VLOOKUP($H725,'1. Set Program Names'!$B$2:$D$15,3,0)*AA725</f>
        <v>13.133110786170453</v>
      </c>
      <c r="CB725">
        <f>VLOOKUP($H725,'1. Set Program Names'!$B$2:$D$15,3,0)*AB725</f>
        <v>17.089414875112418</v>
      </c>
      <c r="CC725">
        <f>VLOOKUP($H725,'1. Set Program Names'!$B$2:$D$15,3,0)*AC725</f>
        <v>21.171459822490696</v>
      </c>
      <c r="CD725">
        <f>VLOOKUP($H725,'1. Set Program Names'!$B$2:$D$15,3,0)*AD725</f>
        <v>25.041135036028685</v>
      </c>
      <c r="CE725">
        <f>VLOOKUP($H725,'1. Set Program Names'!$B$2:$D$15,3,0)*AE725</f>
        <v>28.397233686889194</v>
      </c>
    </row>
    <row r="726" spans="1:83" x14ac:dyDescent="0.25">
      <c r="A726" s="20" t="s">
        <v>113</v>
      </c>
      <c r="B726" s="20" t="s">
        <v>88</v>
      </c>
      <c r="C726" s="20" t="s">
        <v>176</v>
      </c>
      <c r="D726" s="20" t="s">
        <v>90</v>
      </c>
      <c r="E726" s="20" t="s">
        <v>91</v>
      </c>
      <c r="F726" s="20" t="s">
        <v>90</v>
      </c>
      <c r="G726" s="20" t="s">
        <v>92</v>
      </c>
      <c r="H726" s="20" t="s">
        <v>18</v>
      </c>
      <c r="I726" s="20" t="s">
        <v>194</v>
      </c>
      <c r="J726" s="20" t="s">
        <v>182</v>
      </c>
      <c r="K726" s="20" t="s">
        <v>102</v>
      </c>
      <c r="L726" s="20">
        <v>8959.2199999999993</v>
      </c>
      <c r="M726" s="20">
        <v>1.0579901286000299</v>
      </c>
      <c r="N726" s="20">
        <v>1.03235399659801</v>
      </c>
      <c r="O726" s="20">
        <v>2314.9299999999998</v>
      </c>
      <c r="P726" s="20">
        <v>512.76464645414296</v>
      </c>
      <c r="Q726" s="20">
        <v>283.54315205183201</v>
      </c>
      <c r="R726" s="20">
        <v>3866.1887556449001</v>
      </c>
      <c r="S726" s="20">
        <v>9515.3223878667595</v>
      </c>
      <c r="T726" s="20">
        <v>15</v>
      </c>
      <c r="U726" s="20">
        <v>1</v>
      </c>
      <c r="V726" s="20">
        <v>33813.802038572801</v>
      </c>
      <c r="W726" s="20">
        <v>77712.791371778396</v>
      </c>
      <c r="X726" s="20">
        <v>133289.15109762101</v>
      </c>
      <c r="Y726" s="20">
        <v>202734.519370764</v>
      </c>
      <c r="Z726" s="20">
        <v>286817.72336521698</v>
      </c>
      <c r="AA726" s="20">
        <v>385904.51165318501</v>
      </c>
      <c r="AB726" s="20">
        <v>499018.83218622999</v>
      </c>
      <c r="AC726" s="20">
        <v>623146.02292933897</v>
      </c>
      <c r="AD726" s="20">
        <v>754046.41671762895</v>
      </c>
      <c r="AE726" s="20">
        <v>885798.80079971103</v>
      </c>
      <c r="AF726" t="str">
        <f t="shared" si="48"/>
        <v>NonResidential</v>
      </c>
      <c r="AG726" t="str">
        <f>tbl_Data_old[[#This Row],[All_Meas_Name_Append]]</f>
        <v>VFD on HVAC Fan</v>
      </c>
      <c r="AH726">
        <f>AVERAGEIFS('3. Incentive Adjustment'!G:G,'3. Incentive Adjustment'!A:A,tbl_Data_old[[#This Row],[Trimmed Sector]],'3. Incentive Adjustment'!B:B,tbl_Data_old[[#This Row],[Trimmed Measure Name]])</f>
        <v>1.1307524828118058</v>
      </c>
      <c r="AI726">
        <f>$AH726*tbl_Data_old[[#This Row],[2025 ]]</f>
        <v>38235.0406084231</v>
      </c>
      <c r="AJ726">
        <f>$AH726*tbl_Data_old[[#This Row],[2026 ]]</f>
        <v>87873.931789874303</v>
      </c>
      <c r="AK726">
        <f>$AH726*tbl_Data_old[[#This Row],[2027 ]]</f>
        <v>150717.0385355129</v>
      </c>
      <c r="AL726">
        <f>$AH726*tbl_Data_old[[#This Row],[2028 ]]</f>
        <v>229242.56113014955</v>
      </c>
      <c r="AM726">
        <f>$AH726*tbl_Data_old[[#This Row],[2029 ]]</f>
        <v>324319.85280964879</v>
      </c>
      <c r="AN726">
        <f>$AH726*tbl_Data_old[[#This Row],[2030 ]]</f>
        <v>436362.48468011641</v>
      </c>
      <c r="AO726">
        <f>$AH726*tbl_Data_old[[#This Row],[2031 ]]</f>
        <v>564266.78346442746</v>
      </c>
      <c r="AP726">
        <f>$AH726*tbl_Data_old[[#This Row],[2032 ]]</f>
        <v>704623.91258165252</v>
      </c>
      <c r="AQ726">
        <f>$AH726*tbl_Data_old[[#This Row],[2033 ]]</f>
        <v>852639.85785880452</v>
      </c>
      <c r="AR726">
        <f>$AH726*tbl_Data_old[[#This Row],[2034 ]]</f>
        <v>1001619.1932759935</v>
      </c>
      <c r="AS726">
        <f>SUM(tbl_Data_old[[#This Row],[Adjusted 2025]:[Adjusted 2034]])</f>
        <v>4389900.6567346025</v>
      </c>
      <c r="AT726" s="3">
        <f>AVERAGEIFS('3. Incentive Adjustment'!F:F,'3. Incentive Adjustment'!A:A,tbl_Data_old[[#This Row],[Trimmed Sector]],'3. Incentive Adjustment'!B:B,tbl_Data_old[[#This Row],[Trimmed Measure Name]])</f>
        <v>930.02043037501858</v>
      </c>
      <c r="AU726" s="3">
        <f>IFERROR(VLOOKUP(tbl_Data_old[[#This Row],[All_Meas_Name_Append]],'IRA Tax Credits'!$A$3:$D$46,4,0),0)</f>
        <v>0</v>
      </c>
      <c r="AV726" s="4">
        <f>tbl_Data_old[[#This Row],[Adj. per unit Incentive ($)]]/tbl_Data_old[[#This Row],[kWh Savings]]*tbl_Data_old[[#This Row],[Sum of Annuals]]</f>
        <v>455697.85071467067</v>
      </c>
      <c r="AW726" s="4">
        <f>IFERROR(VLOOKUP(tbl_Data_old[[#This Row],[All_Programs]],'1. Set Program Names'!$B$2:$D$15,3,0)*tbl_Data_old[[#This Row],[Sum of Annuals]],"")</f>
        <v>138932.43713235494</v>
      </c>
      <c r="AX726" s="4">
        <f>tbl_Data_old[[#This Row],[per unit IRA tax ($)]]/tbl_Data_old[[#This Row],[kWh Savings]]*tbl_Data_old[[#This Row],[Sum of Annuals]]</f>
        <v>0</v>
      </c>
      <c r="AY726" s="4">
        <f>tbl_Data_old[[#This Row],[Avoided Costs ($/unit)]]/tbl_Data_old[[#This Row],[kWh Savings]]*tbl_Data_old[[#This Row],[Sum of Annuals]]</f>
        <v>1894381.9392163027</v>
      </c>
      <c r="AZ726" s="4">
        <f>tbl_Data_old[[#This Row],[Lost Revenue ($/unit)]]/tbl_Data_old[[#This Row],[kWh Savings]]*tbl_Data_old[[#This Row],[Sum of Annuals]]</f>
        <v>4662383.5556597291</v>
      </c>
      <c r="BA726" s="4">
        <f>tbl_Data_old[[#This Row],[Incremental Cost ($/unit)]]/tbl_Data_old[[#This Row],[kWh Savings]]*tbl_Data_old[[#This Row],[Sum of Annuals]]</f>
        <v>1134285.4319120005</v>
      </c>
      <c r="BB726">
        <f>ROUNDUP(tbl_Data_old[[#This Row],[Adjusted 2025]]/$L726,0)</f>
        <v>5</v>
      </c>
      <c r="BC726">
        <f>ROUNDUP(tbl_Data_old[[#This Row],[Adjusted 2026]]/$L726,0)</f>
        <v>10</v>
      </c>
      <c r="BD726">
        <f>ROUNDUP(tbl_Data_old[[#This Row],[Adjusted 2027]]/$L726,0)</f>
        <v>17</v>
      </c>
      <c r="BE726">
        <f>ROUNDUP(tbl_Data_old[[#This Row],[Adjusted 2028]]/$L726,0)</f>
        <v>26</v>
      </c>
      <c r="BF726">
        <f>ROUNDUP(tbl_Data_old[[#This Row],[Adjusted 2029]]/$L726,0)</f>
        <v>37</v>
      </c>
      <c r="BG726">
        <f>ROUNDUP(tbl_Data_old[[#This Row],[Adjusted 2030]]/$L726,0)</f>
        <v>49</v>
      </c>
      <c r="BH726">
        <f>ROUNDUP(tbl_Data_old[[#This Row],[Adjusted 2031]]/$L726,0)</f>
        <v>63</v>
      </c>
      <c r="BI726">
        <f>ROUNDUP(tbl_Data_old[[#This Row],[Adjusted 2032]]/$L726,0)</f>
        <v>79</v>
      </c>
      <c r="BJ726">
        <f>ROUNDUP(tbl_Data_old[[#This Row],[Adjusted 2033]]/$L726,0)</f>
        <v>96</v>
      </c>
      <c r="BK726">
        <f>ROUNDUP(tbl_Data_old[[#This Row],[Adjusted 2034]]/$L726,0)</f>
        <v>112</v>
      </c>
      <c r="BL726" s="3">
        <f t="shared" si="49"/>
        <v>3510.0741721410077</v>
      </c>
      <c r="BM726" s="3">
        <f t="shared" si="49"/>
        <v>8067.0508902812271</v>
      </c>
      <c r="BN726" s="3">
        <f t="shared" si="49"/>
        <v>13836.208248946938</v>
      </c>
      <c r="BO726" s="3">
        <f t="shared" si="49"/>
        <v>21045.051350125399</v>
      </c>
      <c r="BP726" s="3">
        <f t="shared" si="49"/>
        <v>29773.389036467699</v>
      </c>
      <c r="BQ726" s="3">
        <f t="shared" si="49"/>
        <v>40059.188189525041</v>
      </c>
      <c r="BR726" s="3">
        <f t="shared" si="49"/>
        <v>51801.128789679999</v>
      </c>
      <c r="BS726" s="3">
        <f t="shared" si="49"/>
        <v>64686.270951179351</v>
      </c>
      <c r="BT726" s="3">
        <f t="shared" si="49"/>
        <v>78274.51195511104</v>
      </c>
      <c r="BU726" s="3">
        <f t="shared" si="49"/>
        <v>91951.194629155507</v>
      </c>
      <c r="BV726">
        <f>VLOOKUP($H726,'1. Set Program Names'!$B$2:$D$15,3,0)*V726</f>
        <v>1070.1458400255376</v>
      </c>
      <c r="BW726">
        <f>VLOOKUP($H726,'1. Set Program Names'!$B$2:$D$15,3,0)*W726</f>
        <v>2459.4696659196297</v>
      </c>
      <c r="BX726">
        <f>VLOOKUP($H726,'1. Set Program Names'!$B$2:$D$15,3,0)*X726</f>
        <v>4218.3612006996564</v>
      </c>
      <c r="BY726">
        <f>VLOOKUP($H726,'1. Set Program Names'!$B$2:$D$15,3,0)*Y726</f>
        <v>6416.181838608677</v>
      </c>
      <c r="BZ726">
        <f>VLOOKUP($H726,'1. Set Program Names'!$B$2:$D$15,3,0)*Z726</f>
        <v>9077.2635728672849</v>
      </c>
      <c r="CA726">
        <f>VLOOKUP($H726,'1. Set Program Names'!$B$2:$D$15,3,0)*AA726</f>
        <v>12213.181686035954</v>
      </c>
      <c r="CB726">
        <f>VLOOKUP($H726,'1. Set Program Names'!$B$2:$D$15,3,0)*AB726</f>
        <v>15793.045891417767</v>
      </c>
      <c r="CC726">
        <f>VLOOKUP($H726,'1. Set Program Names'!$B$2:$D$15,3,0)*AC726</f>
        <v>19721.447573555288</v>
      </c>
      <c r="CD726">
        <f>VLOOKUP($H726,'1. Set Program Names'!$B$2:$D$15,3,0)*AD726</f>
        <v>23864.208914336941</v>
      </c>
      <c r="CE726">
        <f>VLOOKUP($H726,'1. Set Program Names'!$B$2:$D$15,3,0)*AE726</f>
        <v>28033.934211067815</v>
      </c>
    </row>
    <row r="727" spans="1:83" x14ac:dyDescent="0.25">
      <c r="A727" s="20" t="s">
        <v>113</v>
      </c>
      <c r="B727" s="20" t="s">
        <v>88</v>
      </c>
      <c r="C727" s="20" t="s">
        <v>176</v>
      </c>
      <c r="D727" s="20" t="s">
        <v>90</v>
      </c>
      <c r="E727" s="20" t="s">
        <v>91</v>
      </c>
      <c r="F727" s="20" t="s">
        <v>90</v>
      </c>
      <c r="G727" s="20" t="s">
        <v>92</v>
      </c>
      <c r="H727" s="20" t="s">
        <v>18</v>
      </c>
      <c r="I727" s="20" t="s">
        <v>195</v>
      </c>
      <c r="J727" s="20" t="s">
        <v>191</v>
      </c>
      <c r="K727" s="20" t="s">
        <v>102</v>
      </c>
      <c r="L727" s="20">
        <v>20302.931666666602</v>
      </c>
      <c r="M727" s="20">
        <v>2.3950992196012999</v>
      </c>
      <c r="N727" s="20">
        <v>2.3402323276086099</v>
      </c>
      <c r="O727" s="20">
        <v>5194</v>
      </c>
      <c r="P727" s="20">
        <v>1110.9469872966299</v>
      </c>
      <c r="Q727" s="20">
        <v>642.55116412585198</v>
      </c>
      <c r="R727" s="20">
        <v>8767.8839794133291</v>
      </c>
      <c r="S727" s="20">
        <v>21563.142798944798</v>
      </c>
      <c r="T727" s="20">
        <v>15</v>
      </c>
      <c r="U727" s="20">
        <v>1</v>
      </c>
      <c r="V727" s="20">
        <v>36102.053314017503</v>
      </c>
      <c r="W727" s="20">
        <v>82973.674865490102</v>
      </c>
      <c r="X727" s="20">
        <v>142315.22600023501</v>
      </c>
      <c r="Y727" s="20">
        <v>216468.21131501</v>
      </c>
      <c r="Z727" s="20">
        <v>306251.94170607498</v>
      </c>
      <c r="AA727" s="20">
        <v>412057.32747093099</v>
      </c>
      <c r="AB727" s="20">
        <v>532842.48677118204</v>
      </c>
      <c r="AC727" s="20">
        <v>665387.35498584097</v>
      </c>
      <c r="AD727" s="20">
        <v>805166.90273468895</v>
      </c>
      <c r="AE727" s="20">
        <v>945859.88711631706</v>
      </c>
      <c r="AF727" t="str">
        <f t="shared" si="48"/>
        <v>NonResidential</v>
      </c>
      <c r="AG727" t="str">
        <f>tbl_Data_old[[#This Row],[All_Meas_Name_Append]]</f>
        <v>VFD on process pump</v>
      </c>
      <c r="AH727">
        <f>AVERAGEIFS('3. Incentive Adjustment'!G:G,'3. Incentive Adjustment'!A:A,tbl_Data_old[[#This Row],[Trimmed Sector]],'3. Incentive Adjustment'!B:B,tbl_Data_old[[#This Row],[Trimmed Measure Name]])</f>
        <v>1.1380520252658823</v>
      </c>
      <c r="AI727">
        <f>$AH727*tbl_Data_old[[#This Row],[2025 ]]</f>
        <v>41086.014890274477</v>
      </c>
      <c r="AJ727">
        <f>$AH727*tbl_Data_old[[#This Row],[2026 ]]</f>
        <v>94428.358724423844</v>
      </c>
      <c r="AK727">
        <f>$AH727*tbl_Data_old[[#This Row],[2027 ]]</f>
        <v>161962.1311757392</v>
      </c>
      <c r="AL727">
        <f>$AH727*tbl_Data_old[[#This Row],[2028 ]]</f>
        <v>246352.08629273012</v>
      </c>
      <c r="AM727">
        <f>$AH727*tbl_Data_old[[#This Row],[2029 ]]</f>
        <v>348530.64250020758</v>
      </c>
      <c r="AN727">
        <f>$AH727*tbl_Data_old[[#This Row],[2030 ]]</f>
        <v>468942.67605393991</v>
      </c>
      <c r="AO727">
        <f>$AH727*tbl_Data_old[[#This Row],[2031 ]]</f>
        <v>606402.47121765278</v>
      </c>
      <c r="AP727">
        <f>$AH727*tbl_Data_old[[#This Row],[2032 ]]</f>
        <v>757245.42692794488</v>
      </c>
      <c r="AQ727">
        <f>$AH727*tbl_Data_old[[#This Row],[2033 ]]</f>
        <v>916321.82433427044</v>
      </c>
      <c r="AR727">
        <f>$AH727*tbl_Data_old[[#This Row],[2034 ]]</f>
        <v>1076437.7601504836</v>
      </c>
      <c r="AS727">
        <f>SUM(tbl_Data_old[[#This Row],[Adjusted 2025]:[Adjusted 2034]])</f>
        <v>4717709.3922676668</v>
      </c>
      <c r="AT727" s="3">
        <f>AVERAGEIFS('3. Incentive Adjustment'!F:F,'3. Incentive Adjustment'!A:A,tbl_Data_old[[#This Row],[Trimmed Sector]],'3. Incentive Adjustment'!B:B,tbl_Data_old[[#This Row],[Trimmed Measure Name]])</f>
        <v>2106.0249622508104</v>
      </c>
      <c r="AU727" s="3">
        <f>IFERROR(VLOOKUP(tbl_Data_old[[#This Row],[All_Meas_Name_Append]],'IRA Tax Credits'!$A$3:$D$46,4,0),0)</f>
        <v>0</v>
      </c>
      <c r="AV727" s="4">
        <f>tbl_Data_old[[#This Row],[Adj. per unit Incentive ($)]]/tbl_Data_old[[#This Row],[kWh Savings]]*tbl_Data_old[[#This Row],[Sum of Annuals]]</f>
        <v>489368.42756916326</v>
      </c>
      <c r="AW727" s="4">
        <f>IFERROR(VLOOKUP(tbl_Data_old[[#This Row],[All_Programs]],'1. Set Program Names'!$B$2:$D$15,3,0)*tbl_Data_old[[#This Row],[Sum of Annuals]],"")</f>
        <v>149306.99229934163</v>
      </c>
      <c r="AX727" s="4">
        <f>tbl_Data_old[[#This Row],[per unit IRA tax ($)]]/tbl_Data_old[[#This Row],[kWh Savings]]*tbl_Data_old[[#This Row],[Sum of Annuals]]</f>
        <v>0</v>
      </c>
      <c r="AY727" s="4">
        <f>tbl_Data_old[[#This Row],[Avoided Costs ($/unit)]]/tbl_Data_old[[#This Row],[kWh Savings]]*tbl_Data_old[[#This Row],[Sum of Annuals]]</f>
        <v>2037357.4259673795</v>
      </c>
      <c r="AZ727" s="4">
        <f>tbl_Data_old[[#This Row],[Lost Revenue ($/unit)]]/tbl_Data_old[[#This Row],[kWh Savings]]*tbl_Data_old[[#This Row],[Sum of Annuals]]</f>
        <v>5010539.5112179331</v>
      </c>
      <c r="BA727" s="4">
        <f>tbl_Data_old[[#This Row],[Incremental Cost ($/unit)]]/tbl_Data_old[[#This Row],[kWh Savings]]*tbl_Data_old[[#This Row],[Sum of Annuals]]</f>
        <v>1206908.5876730119</v>
      </c>
      <c r="BB727">
        <f>ROUNDUP(tbl_Data_old[[#This Row],[Adjusted 2025]]/$L727,0)</f>
        <v>3</v>
      </c>
      <c r="BC727">
        <f>ROUNDUP(tbl_Data_old[[#This Row],[Adjusted 2026]]/$L727,0)</f>
        <v>5</v>
      </c>
      <c r="BD727">
        <f>ROUNDUP(tbl_Data_old[[#This Row],[Adjusted 2027]]/$L727,0)</f>
        <v>8</v>
      </c>
      <c r="BE727">
        <f>ROUNDUP(tbl_Data_old[[#This Row],[Adjusted 2028]]/$L727,0)</f>
        <v>13</v>
      </c>
      <c r="BF727">
        <f>ROUNDUP(tbl_Data_old[[#This Row],[Adjusted 2029]]/$L727,0)</f>
        <v>18</v>
      </c>
      <c r="BG727">
        <f>ROUNDUP(tbl_Data_old[[#This Row],[Adjusted 2030]]/$L727,0)</f>
        <v>24</v>
      </c>
      <c r="BH727">
        <f>ROUNDUP(tbl_Data_old[[#This Row],[Adjusted 2031]]/$L727,0)</f>
        <v>30</v>
      </c>
      <c r="BI727">
        <f>ROUNDUP(tbl_Data_old[[#This Row],[Adjusted 2032]]/$L727,0)</f>
        <v>38</v>
      </c>
      <c r="BJ727">
        <f>ROUNDUP(tbl_Data_old[[#This Row],[Adjusted 2033]]/$L727,0)</f>
        <v>46</v>
      </c>
      <c r="BK727">
        <f>ROUNDUP(tbl_Data_old[[#This Row],[Adjusted 2034]]/$L727,0)</f>
        <v>54</v>
      </c>
      <c r="BL727" s="3">
        <f t="shared" si="49"/>
        <v>3744.869298489522</v>
      </c>
      <c r="BM727" s="3">
        <f t="shared" si="49"/>
        <v>8606.8668971240713</v>
      </c>
      <c r="BN727" s="3">
        <f t="shared" si="49"/>
        <v>14762.371434118575</v>
      </c>
      <c r="BO727" s="3">
        <f t="shared" si="49"/>
        <v>22454.267395859457</v>
      </c>
      <c r="BP727" s="3">
        <f t="shared" si="49"/>
        <v>31767.541976693647</v>
      </c>
      <c r="BQ727" s="3">
        <f t="shared" si="49"/>
        <v>42742.744337602147</v>
      </c>
      <c r="BR727" s="3">
        <f t="shared" si="49"/>
        <v>55271.799980014883</v>
      </c>
      <c r="BS727" s="3">
        <f t="shared" si="49"/>
        <v>69020.691305724904</v>
      </c>
      <c r="BT727" s="3">
        <f t="shared" si="49"/>
        <v>83520.036602469176</v>
      </c>
      <c r="BU727" s="3">
        <f t="shared" si="49"/>
        <v>98114.132764834882</v>
      </c>
      <c r="BV727">
        <f>VLOOKUP($H727,'1. Set Program Names'!$B$2:$D$15,3,0)*V727</f>
        <v>1142.564865267268</v>
      </c>
      <c r="BW727">
        <f>VLOOKUP($H727,'1. Set Program Names'!$B$2:$D$15,3,0)*W727</f>
        <v>2625.9671387336107</v>
      </c>
      <c r="BX727">
        <f>VLOOKUP($H727,'1. Set Program Names'!$B$2:$D$15,3,0)*X727</f>
        <v>4504.0201898240566</v>
      </c>
      <c r="BY727">
        <f>VLOOKUP($H727,'1. Set Program Names'!$B$2:$D$15,3,0)*Y727</f>
        <v>6850.8284153397281</v>
      </c>
      <c r="BZ727">
        <f>VLOOKUP($H727,'1. Set Program Names'!$B$2:$D$15,3,0)*Z727</f>
        <v>9692.3215272461712</v>
      </c>
      <c r="CA727">
        <f>VLOOKUP($H727,'1. Set Program Names'!$B$2:$D$15,3,0)*AA727</f>
        <v>13040.871131321896</v>
      </c>
      <c r="CB727">
        <f>VLOOKUP($H727,'1. Set Program Names'!$B$2:$D$15,3,0)*AB727</f>
        <v>16863.503546763848</v>
      </c>
      <c r="CC727">
        <f>VLOOKUP($H727,'1. Set Program Names'!$B$2:$D$15,3,0)*AC727</f>
        <v>21058.309536780733</v>
      </c>
      <c r="CD727">
        <f>VLOOKUP($H727,'1. Set Program Names'!$B$2:$D$15,3,0)*AD727</f>
        <v>25482.080083891746</v>
      </c>
      <c r="CE727">
        <f>VLOOKUP($H727,'1. Set Program Names'!$B$2:$D$15,3,0)*AE727</f>
        <v>29934.759252741937</v>
      </c>
    </row>
    <row r="728" spans="1:83" x14ac:dyDescent="0.25">
      <c r="A728" s="20" t="s">
        <v>114</v>
      </c>
      <c r="B728" s="20" t="s">
        <v>88</v>
      </c>
      <c r="C728" s="20" t="s">
        <v>176</v>
      </c>
      <c r="D728" s="20" t="s">
        <v>90</v>
      </c>
      <c r="E728" s="20" t="s">
        <v>91</v>
      </c>
      <c r="F728" s="20" t="s">
        <v>90</v>
      </c>
      <c r="G728" s="20" t="s">
        <v>92</v>
      </c>
      <c r="H728" s="20" t="s">
        <v>18</v>
      </c>
      <c r="I728" s="20" t="s">
        <v>177</v>
      </c>
      <c r="J728" s="20" t="s">
        <v>178</v>
      </c>
      <c r="K728" s="20" t="s">
        <v>102</v>
      </c>
      <c r="L728" s="20">
        <v>25265.069999999901</v>
      </c>
      <c r="M728" s="20">
        <v>3.0268587641170099</v>
      </c>
      <c r="N728" s="20">
        <v>2.9158027991200801</v>
      </c>
      <c r="O728" s="20">
        <v>7160.52</v>
      </c>
      <c r="P728" s="20">
        <v>2094.8798923726799</v>
      </c>
      <c r="Q728" s="20">
        <v>799.59389150061804</v>
      </c>
      <c r="R728" s="20">
        <v>8516.48438813961</v>
      </c>
      <c r="S728" s="20">
        <v>20321.770915365199</v>
      </c>
      <c r="T728" s="20">
        <v>10</v>
      </c>
      <c r="U728" s="20">
        <v>1</v>
      </c>
      <c r="V728" s="20">
        <v>0.42323052669080502</v>
      </c>
      <c r="W728" s="20">
        <v>0.40360357298592497</v>
      </c>
      <c r="X728" s="20">
        <v>0.379735984237345</v>
      </c>
      <c r="Y728" s="20">
        <v>0.35749786804247602</v>
      </c>
      <c r="Z728" s="20">
        <v>0.33355009260215202</v>
      </c>
      <c r="AA728" s="20">
        <v>0.310342447141703</v>
      </c>
      <c r="AB728" s="20">
        <v>0.28845691777145699</v>
      </c>
      <c r="AC728" s="20">
        <v>0.26699039954633902</v>
      </c>
      <c r="AD728" s="20">
        <v>0.247810824734016</v>
      </c>
      <c r="AE728" s="20">
        <v>0.23002770349880999</v>
      </c>
      <c r="AF728" t="str">
        <f t="shared" si="48"/>
        <v>NonResidential</v>
      </c>
      <c r="AG728" t="str">
        <f>tbl_Data_old[[#This Row],[All_Meas_Name_Append]]</f>
        <v>Airside economizer_13</v>
      </c>
      <c r="AH728">
        <f>AVERAGEIFS('3. Incentive Adjustment'!G:G,'3. Incentive Adjustment'!A:A,tbl_Data_old[[#This Row],[Trimmed Sector]],'3. Incentive Adjustment'!B:B,tbl_Data_old[[#This Row],[Trimmed Measure Name]])</f>
        <v>1</v>
      </c>
      <c r="AI728">
        <f>$AH728*tbl_Data_old[[#This Row],[2025 ]]</f>
        <v>0.42323052669080502</v>
      </c>
      <c r="AJ728">
        <f>$AH728*tbl_Data_old[[#This Row],[2026 ]]</f>
        <v>0.40360357298592497</v>
      </c>
      <c r="AK728">
        <f>$AH728*tbl_Data_old[[#This Row],[2027 ]]</f>
        <v>0.379735984237345</v>
      </c>
      <c r="AL728">
        <f>$AH728*tbl_Data_old[[#This Row],[2028 ]]</f>
        <v>0.35749786804247602</v>
      </c>
      <c r="AM728">
        <f>$AH728*tbl_Data_old[[#This Row],[2029 ]]</f>
        <v>0.33355009260215202</v>
      </c>
      <c r="AN728">
        <f>$AH728*tbl_Data_old[[#This Row],[2030 ]]</f>
        <v>0.310342447141703</v>
      </c>
      <c r="AO728">
        <f>$AH728*tbl_Data_old[[#This Row],[2031 ]]</f>
        <v>0.28845691777145699</v>
      </c>
      <c r="AP728">
        <f>$AH728*tbl_Data_old[[#This Row],[2032 ]]</f>
        <v>0.26699039954633902</v>
      </c>
      <c r="AQ728">
        <f>$AH728*tbl_Data_old[[#This Row],[2033 ]]</f>
        <v>0.247810824734016</v>
      </c>
      <c r="AR728">
        <f>$AH728*tbl_Data_old[[#This Row],[2034 ]]</f>
        <v>0.23002770349880999</v>
      </c>
      <c r="AS728">
        <f>SUM(tbl_Data_old[[#This Row],[Adjusted 2025]:[Adjusted 2034]])</f>
        <v>3.2412463372510283</v>
      </c>
      <c r="AT728" s="3">
        <f>AVERAGEIFS('3. Incentive Adjustment'!F:F,'3. Incentive Adjustment'!A:A,tbl_Data_old[[#This Row],[Trimmed Sector]],'3. Incentive Adjustment'!B:B,tbl_Data_old[[#This Row],[Trimmed Measure Name]])</f>
        <v>2094.8798923726795</v>
      </c>
      <c r="AU728" s="3">
        <f>IFERROR(VLOOKUP(tbl_Data_old[[#This Row],[All_Meas_Name_Append]],'IRA Tax Credits'!$A$3:$D$46,4,0),0)</f>
        <v>0</v>
      </c>
      <c r="AV728" s="4">
        <f>tbl_Data_old[[#This Row],[Adj. per unit Incentive ($)]]/tbl_Data_old[[#This Row],[kWh Savings]]*tbl_Data_old[[#This Row],[Sum of Annuals]]</f>
        <v>0.26875135426633695</v>
      </c>
      <c r="AW728" s="4">
        <f>IFERROR(VLOOKUP(tbl_Data_old[[#This Row],[All_Programs]],'1. Set Program Names'!$B$2:$D$15,3,0)*tbl_Data_old[[#This Row],[Sum of Annuals]],"")</f>
        <v>0.10257959990273842</v>
      </c>
      <c r="AX728" s="4">
        <f>tbl_Data_old[[#This Row],[per unit IRA tax ($)]]/tbl_Data_old[[#This Row],[kWh Savings]]*tbl_Data_old[[#This Row],[Sum of Annuals]]</f>
        <v>0</v>
      </c>
      <c r="AY728" s="4">
        <f>tbl_Data_old[[#This Row],[Avoided Costs ($/unit)]]/tbl_Data_old[[#This Row],[kWh Savings]]*tbl_Data_old[[#This Row],[Sum of Annuals]]</f>
        <v>1.0925765821869158</v>
      </c>
      <c r="AZ728" s="4">
        <f>tbl_Data_old[[#This Row],[Lost Revenue ($/unit)]]/tbl_Data_old[[#This Row],[kWh Savings]]*tbl_Data_old[[#This Row],[Sum of Annuals]]</f>
        <v>2.6070723550689623</v>
      </c>
      <c r="BA728" s="4">
        <f>tbl_Data_old[[#This Row],[Incremental Cost ($/unit)]]/tbl_Data_old[[#This Row],[kWh Savings]]*tbl_Data_old[[#This Row],[Sum of Annuals]]</f>
        <v>0.91862042031994462</v>
      </c>
      <c r="BB728">
        <f>ROUNDUP(tbl_Data_old[[#This Row],[Adjusted 2025]]/$L728,0)</f>
        <v>1</v>
      </c>
      <c r="BC728">
        <f>ROUNDUP(tbl_Data_old[[#This Row],[Adjusted 2026]]/$L728,0)</f>
        <v>1</v>
      </c>
      <c r="BD728">
        <f>ROUNDUP(tbl_Data_old[[#This Row],[Adjusted 2027]]/$L728,0)</f>
        <v>1</v>
      </c>
      <c r="BE728">
        <f>ROUNDUP(tbl_Data_old[[#This Row],[Adjusted 2028]]/$L728,0)</f>
        <v>1</v>
      </c>
      <c r="BF728">
        <f>ROUNDUP(tbl_Data_old[[#This Row],[Adjusted 2029]]/$L728,0)</f>
        <v>1</v>
      </c>
      <c r="BG728">
        <f>ROUNDUP(tbl_Data_old[[#This Row],[Adjusted 2030]]/$L728,0)</f>
        <v>1</v>
      </c>
      <c r="BH728">
        <f>ROUNDUP(tbl_Data_old[[#This Row],[Adjusted 2031]]/$L728,0)</f>
        <v>1</v>
      </c>
      <c r="BI728">
        <f>ROUNDUP(tbl_Data_old[[#This Row],[Adjusted 2032]]/$L728,0)</f>
        <v>1</v>
      </c>
      <c r="BJ728">
        <f>ROUNDUP(tbl_Data_old[[#This Row],[Adjusted 2033]]/$L728,0)</f>
        <v>1</v>
      </c>
      <c r="BK728">
        <f>ROUNDUP(tbl_Data_old[[#This Row],[Adjusted 2034]]/$L728,0)</f>
        <v>1</v>
      </c>
      <c r="BL728" s="3">
        <f t="shared" si="49"/>
        <v>3.5092604936494118E-2</v>
      </c>
      <c r="BM728" s="3">
        <f t="shared" si="49"/>
        <v>3.3465215395721712E-2</v>
      </c>
      <c r="BN728" s="3">
        <f t="shared" si="49"/>
        <v>3.1486209133367367E-2</v>
      </c>
      <c r="BO728" s="3">
        <f t="shared" si="49"/>
        <v>2.9642312304232185E-2</v>
      </c>
      <c r="BP728" s="3">
        <f t="shared" si="49"/>
        <v>2.7656657277866089E-2</v>
      </c>
      <c r="BQ728" s="3">
        <f t="shared" si="49"/>
        <v>2.5732370908407826E-2</v>
      </c>
      <c r="BR728" s="3">
        <f t="shared" si="49"/>
        <v>2.3917709187238626E-2</v>
      </c>
      <c r="BS728" s="3">
        <f t="shared" si="49"/>
        <v>2.21377902165391E-2</v>
      </c>
      <c r="BT728" s="3">
        <f t="shared" si="49"/>
        <v>2.0547495567896007E-2</v>
      </c>
      <c r="BU728" s="3">
        <f t="shared" si="49"/>
        <v>1.907298933857391E-2</v>
      </c>
      <c r="BV728">
        <f>VLOOKUP($H728,'1. Set Program Names'!$B$2:$D$15,3,0)*V728</f>
        <v>1.3394482732031126E-2</v>
      </c>
      <c r="BW728">
        <f>VLOOKUP($H728,'1. Set Program Names'!$B$2:$D$15,3,0)*W728</f>
        <v>1.2773325051043598E-2</v>
      </c>
      <c r="BX728">
        <f>VLOOKUP($H728,'1. Set Program Names'!$B$2:$D$15,3,0)*X728</f>
        <v>1.2017958920325835E-2</v>
      </c>
      <c r="BY728">
        <f>VLOOKUP($H728,'1. Set Program Names'!$B$2:$D$15,3,0)*Y728</f>
        <v>1.1314162656634571E-2</v>
      </c>
      <c r="BZ728">
        <f>VLOOKUP($H728,'1. Set Program Names'!$B$2:$D$15,3,0)*Z728</f>
        <v>1.0556258761766612E-2</v>
      </c>
      <c r="CA728">
        <f>VLOOKUP($H728,'1. Set Program Names'!$B$2:$D$15,3,0)*AA728</f>
        <v>9.8217786456898659E-3</v>
      </c>
      <c r="CB728">
        <f>VLOOKUP($H728,'1. Set Program Names'!$B$2:$D$15,3,0)*AB728</f>
        <v>9.1291411189897177E-3</v>
      </c>
      <c r="CC728">
        <f>VLOOKUP($H728,'1. Set Program Names'!$B$2:$D$15,3,0)*AC728</f>
        <v>8.4497645392062042E-3</v>
      </c>
      <c r="CD728">
        <f>VLOOKUP($H728,'1. Set Program Names'!$B$2:$D$15,3,0)*AD728</f>
        <v>7.8427655931707242E-3</v>
      </c>
      <c r="CE728">
        <f>VLOOKUP($H728,'1. Set Program Names'!$B$2:$D$15,3,0)*AE728</f>
        <v>7.2799618838801624E-3</v>
      </c>
    </row>
    <row r="729" spans="1:83" x14ac:dyDescent="0.25">
      <c r="A729" s="20" t="s">
        <v>114</v>
      </c>
      <c r="B729" s="20" t="s">
        <v>88</v>
      </c>
      <c r="C729" s="20" t="s">
        <v>176</v>
      </c>
      <c r="D729" s="20" t="s">
        <v>90</v>
      </c>
      <c r="E729" s="20" t="s">
        <v>91</v>
      </c>
      <c r="F729" s="20" t="s">
        <v>90</v>
      </c>
      <c r="G729" s="20" t="s">
        <v>92</v>
      </c>
      <c r="H729" s="20" t="s">
        <v>18</v>
      </c>
      <c r="I729" s="20" t="s">
        <v>185</v>
      </c>
      <c r="J729" s="20" t="s">
        <v>178</v>
      </c>
      <c r="K729" s="20" t="s">
        <v>102</v>
      </c>
      <c r="L729" s="20">
        <v>37372.818333333198</v>
      </c>
      <c r="M729" s="20">
        <v>4.4774165562178503</v>
      </c>
      <c r="N729" s="20">
        <v>4.3131393780955101</v>
      </c>
      <c r="O729" s="20">
        <v>14201.670833333301</v>
      </c>
      <c r="P729" s="20">
        <v>6684.0523958317799</v>
      </c>
      <c r="Q729" s="20">
        <v>1182.7822858791001</v>
      </c>
      <c r="R729" s="20">
        <v>15980.395267902501</v>
      </c>
      <c r="S729" s="20">
        <v>39692.564194744999</v>
      </c>
      <c r="T729" s="20">
        <v>15</v>
      </c>
      <c r="U729" s="20">
        <v>1</v>
      </c>
      <c r="V729" s="20">
        <v>2.3824747585142498</v>
      </c>
      <c r="W729" s="20">
        <v>2.7103530000149298</v>
      </c>
      <c r="X729" s="20">
        <v>2.9960623876896499</v>
      </c>
      <c r="Y729" s="20">
        <v>3.2826716032823899</v>
      </c>
      <c r="Z729" s="20">
        <v>3.5269568454132698</v>
      </c>
      <c r="AA729" s="20">
        <v>3.7561765809672401</v>
      </c>
      <c r="AB729" s="20">
        <v>3.9728712397689301</v>
      </c>
      <c r="AC729" s="20">
        <v>4.1673455167183304</v>
      </c>
      <c r="AD729" s="20">
        <v>4.3600668889004996</v>
      </c>
      <c r="AE729" s="20">
        <v>4.5426228298726903</v>
      </c>
      <c r="AF729" t="str">
        <f t="shared" si="48"/>
        <v>NonResidential</v>
      </c>
      <c r="AG729" t="str">
        <f>tbl_Data_old[[#This Row],[All_Meas_Name_Append]]</f>
        <v>Custom Measure - Non-Lighting_70</v>
      </c>
      <c r="AH729">
        <f>AVERAGEIFS('3. Incentive Adjustment'!G:G,'3. Incentive Adjustment'!A:A,tbl_Data_old[[#This Row],[Trimmed Sector]],'3. Incentive Adjustment'!B:B,tbl_Data_old[[#This Row],[Trimmed Measure Name]])</f>
        <v>0.82269267220071174</v>
      </c>
      <c r="AI729">
        <f>$AH729*tbl_Data_old[[#This Row],[2025 ]]</f>
        <v>1.9600445255328336</v>
      </c>
      <c r="AJ729">
        <f>$AH729*tbl_Data_old[[#This Row],[2026 ]]</f>
        <v>2.2297875521894985</v>
      </c>
      <c r="AK729">
        <f>$AH729*tbl_Data_old[[#This Row],[2027 ]]</f>
        <v>2.4648385718084431</v>
      </c>
      <c r="AL729">
        <f>$AH729*tbl_Data_old[[#This Row],[2028 ]]</f>
        <v>2.7006298732617839</v>
      </c>
      <c r="AM729">
        <f>$AH729*tbl_Data_old[[#This Row],[2029 ]]</f>
        <v>2.9016015518896356</v>
      </c>
      <c r="AN729">
        <f>$AH729*tbl_Data_old[[#This Row],[2030 ]]</f>
        <v>3.0901789486536719</v>
      </c>
      <c r="AO729">
        <f>$AH729*tbl_Data_old[[#This Row],[2031 ]]</f>
        <v>3.2684520565548558</v>
      </c>
      <c r="AP729">
        <f>$AH729*tbl_Data_old[[#This Row],[2032 ]]</f>
        <v>3.4284446191326592</v>
      </c>
      <c r="AQ729">
        <f>$AH729*tbl_Data_old[[#This Row],[2033 ]]</f>
        <v>3.5869950798033958</v>
      </c>
      <c r="AR729">
        <f>$AH729*tbl_Data_old[[#This Row],[2034 ]]</f>
        <v>3.7371825147079227</v>
      </c>
      <c r="AS729">
        <f>SUM(tbl_Data_old[[#This Row],[Adjusted 2025]:[Adjusted 2034]])</f>
        <v>29.368155293534702</v>
      </c>
      <c r="AT729" s="3">
        <f>AVERAGEIFS('3. Incentive Adjustment'!F:F,'3. Incentive Adjustment'!A:A,tbl_Data_old[[#This Row],[Trimmed Sector]],'3. Incentive Adjustment'!B:B,tbl_Data_old[[#This Row],[Trimmed Measure Name]])</f>
        <v>3919.5698976361523</v>
      </c>
      <c r="AU729" s="3">
        <f>IFERROR(VLOOKUP(tbl_Data_old[[#This Row],[All_Meas_Name_Append]],'IRA Tax Credits'!$A$3:$D$46,4,0),0)</f>
        <v>0</v>
      </c>
      <c r="AV729" s="4">
        <f>tbl_Data_old[[#This Row],[Adj. per unit Incentive ($)]]/tbl_Data_old[[#This Row],[kWh Savings]]*tbl_Data_old[[#This Row],[Sum of Annuals]]</f>
        <v>3.0800603907084572</v>
      </c>
      <c r="AW729" s="4">
        <f>IFERROR(VLOOKUP(tbl_Data_old[[#This Row],[All_Programs]],'1. Set Program Names'!$B$2:$D$15,3,0)*tbl_Data_old[[#This Row],[Sum of Annuals]],"")</f>
        <v>0.92944913975508214</v>
      </c>
      <c r="AX729" s="4">
        <f>tbl_Data_old[[#This Row],[per unit IRA tax ($)]]/tbl_Data_old[[#This Row],[kWh Savings]]*tbl_Data_old[[#This Row],[Sum of Annuals]]</f>
        <v>0</v>
      </c>
      <c r="AY729" s="4">
        <f>tbl_Data_old[[#This Row],[Avoided Costs ($/unit)]]/tbl_Data_old[[#This Row],[kWh Savings]]*tbl_Data_old[[#This Row],[Sum of Annuals]]</f>
        <v>12.557648869131208</v>
      </c>
      <c r="AZ729" s="4">
        <f>tbl_Data_old[[#This Row],[Lost Revenue ($/unit)]]/tbl_Data_old[[#This Row],[kWh Savings]]*tbl_Data_old[[#This Row],[Sum of Annuals]]</f>
        <v>31.191048501422998</v>
      </c>
      <c r="BA729" s="4">
        <f>tbl_Data_old[[#This Row],[Incremental Cost ($/unit)]]/tbl_Data_old[[#This Row],[kWh Savings]]*tbl_Data_old[[#This Row],[Sum of Annuals]]</f>
        <v>11.159898906767747</v>
      </c>
      <c r="BB729">
        <f>ROUNDUP(tbl_Data_old[[#This Row],[Adjusted 2025]]/$L729,0)</f>
        <v>1</v>
      </c>
      <c r="BC729">
        <f>ROUNDUP(tbl_Data_old[[#This Row],[Adjusted 2026]]/$L729,0)</f>
        <v>1</v>
      </c>
      <c r="BD729">
        <f>ROUNDUP(tbl_Data_old[[#This Row],[Adjusted 2027]]/$L729,0)</f>
        <v>1</v>
      </c>
      <c r="BE729">
        <f>ROUNDUP(tbl_Data_old[[#This Row],[Adjusted 2028]]/$L729,0)</f>
        <v>1</v>
      </c>
      <c r="BF729">
        <f>ROUNDUP(tbl_Data_old[[#This Row],[Adjusted 2029]]/$L729,0)</f>
        <v>1</v>
      </c>
      <c r="BG729">
        <f>ROUNDUP(tbl_Data_old[[#This Row],[Adjusted 2030]]/$L729,0)</f>
        <v>1</v>
      </c>
      <c r="BH729">
        <f>ROUNDUP(tbl_Data_old[[#This Row],[Adjusted 2031]]/$L729,0)</f>
        <v>1</v>
      </c>
      <c r="BI729">
        <f>ROUNDUP(tbl_Data_old[[#This Row],[Adjusted 2032]]/$L729,0)</f>
        <v>1</v>
      </c>
      <c r="BJ729">
        <f>ROUNDUP(tbl_Data_old[[#This Row],[Adjusted 2033]]/$L729,0)</f>
        <v>1</v>
      </c>
      <c r="BK729">
        <f>ROUNDUP(tbl_Data_old[[#This Row],[Adjusted 2034]]/$L729,0)</f>
        <v>1</v>
      </c>
      <c r="BL729" s="3">
        <f t="shared" si="49"/>
        <v>0.24986813309237402</v>
      </c>
      <c r="BM729" s="3">
        <f t="shared" si="49"/>
        <v>0.28425520216523842</v>
      </c>
      <c r="BN729" s="3">
        <f t="shared" si="49"/>
        <v>0.3142197048530937</v>
      </c>
      <c r="BO729" s="3">
        <f t="shared" si="49"/>
        <v>0.34427857929501549</v>
      </c>
      <c r="BP729" s="3">
        <f t="shared" si="49"/>
        <v>0.36989861878341973</v>
      </c>
      <c r="BQ729" s="3">
        <f t="shared" si="49"/>
        <v>0.39393862474197844</v>
      </c>
      <c r="BR729" s="3">
        <f t="shared" si="49"/>
        <v>0.4166650312452872</v>
      </c>
      <c r="BS729" s="3">
        <f t="shared" si="49"/>
        <v>0.43706101837681061</v>
      </c>
      <c r="BT729" s="3">
        <f t="shared" si="49"/>
        <v>0.45727316513810068</v>
      </c>
      <c r="BU729" s="3">
        <f t="shared" si="49"/>
        <v>0.47641918630480096</v>
      </c>
      <c r="BV729">
        <f>VLOOKUP($H729,'1. Set Program Names'!$B$2:$D$15,3,0)*V729</f>
        <v>7.5401028517332741E-2</v>
      </c>
      <c r="BW729">
        <f>VLOOKUP($H729,'1. Set Program Names'!$B$2:$D$15,3,0)*W729</f>
        <v>8.5777783422817222E-2</v>
      </c>
      <c r="BX729">
        <f>VLOOKUP($H729,'1. Set Program Names'!$B$2:$D$15,3,0)*X729</f>
        <v>9.4819970170334195E-2</v>
      </c>
      <c r="BY729">
        <f>VLOOKUP($H729,'1. Set Program Names'!$B$2:$D$15,3,0)*Y729</f>
        <v>0.10389063484831605</v>
      </c>
      <c r="BZ729">
        <f>VLOOKUP($H729,'1. Set Program Names'!$B$2:$D$15,3,0)*Z729</f>
        <v>0.11162182211166427</v>
      </c>
      <c r="CA729">
        <f>VLOOKUP($H729,'1. Set Program Names'!$B$2:$D$15,3,0)*AA729</f>
        <v>0.11887621326753053</v>
      </c>
      <c r="CB729">
        <f>VLOOKUP($H729,'1. Set Program Names'!$B$2:$D$15,3,0)*AB729</f>
        <v>0.12573420833734994</v>
      </c>
      <c r="CC729">
        <f>VLOOKUP($H729,'1. Set Program Names'!$B$2:$D$15,3,0)*AC729</f>
        <v>0.13188896840343092</v>
      </c>
      <c r="CD729">
        <f>VLOOKUP($H729,'1. Set Program Names'!$B$2:$D$15,3,0)*AD729</f>
        <v>0.13798825219557873</v>
      </c>
      <c r="CE729">
        <f>VLOOKUP($H729,'1. Set Program Names'!$B$2:$D$15,3,0)*AE729</f>
        <v>0.14376581842668401</v>
      </c>
    </row>
    <row r="730" spans="1:83" x14ac:dyDescent="0.25">
      <c r="A730" s="20" t="s">
        <v>114</v>
      </c>
      <c r="B730" s="20" t="s">
        <v>88</v>
      </c>
      <c r="C730" s="20" t="s">
        <v>176</v>
      </c>
      <c r="D730" s="20" t="s">
        <v>90</v>
      </c>
      <c r="E730" s="20" t="s">
        <v>91</v>
      </c>
      <c r="F730" s="20" t="s">
        <v>90</v>
      </c>
      <c r="G730" s="20" t="s">
        <v>92</v>
      </c>
      <c r="H730" s="20" t="s">
        <v>18</v>
      </c>
      <c r="I730" s="20" t="s">
        <v>187</v>
      </c>
      <c r="J730" s="20" t="s">
        <v>137</v>
      </c>
      <c r="K730" s="20" t="s">
        <v>98</v>
      </c>
      <c r="L730" s="20">
        <v>16575.9941666665</v>
      </c>
      <c r="M730" s="20">
        <v>1.98609088803711</v>
      </c>
      <c r="N730" s="20">
        <v>1.91315479867159</v>
      </c>
      <c r="O730" s="20">
        <v>5440</v>
      </c>
      <c r="P730" s="20">
        <v>2106.6717861739999</v>
      </c>
      <c r="Q730" s="20">
        <v>524.60031502847596</v>
      </c>
      <c r="R730" s="20">
        <v>7087.6591263841001</v>
      </c>
      <c r="S730" s="20">
        <v>17604.872789732901</v>
      </c>
      <c r="T730" s="20">
        <v>15</v>
      </c>
      <c r="U730" s="20">
        <v>1</v>
      </c>
      <c r="V730" s="20">
        <v>1.1375669923159699</v>
      </c>
      <c r="W730" s="20">
        <v>1.5718698886968001</v>
      </c>
      <c r="X730" s="20">
        <v>2.1040416332780798</v>
      </c>
      <c r="Y730" s="20">
        <v>2.7469413681788799</v>
      </c>
      <c r="Z730" s="20">
        <v>3.4305106409321402</v>
      </c>
      <c r="AA730" s="20">
        <v>4.0746399593926803</v>
      </c>
      <c r="AB730" s="20">
        <v>4.5455393954668297</v>
      </c>
      <c r="AC730" s="20">
        <v>4.69363692132415</v>
      </c>
      <c r="AD730" s="20">
        <v>4.4531041191297502</v>
      </c>
      <c r="AE730" s="20">
        <v>3.86316038225893</v>
      </c>
      <c r="AF730" t="str">
        <f t="shared" si="48"/>
        <v>NonResidential</v>
      </c>
      <c r="AG730" t="str">
        <f>tbl_Data_old[[#This Row],[All_Meas_Name_Append]]</f>
        <v>High Efficiency Air Compressor</v>
      </c>
      <c r="AH730">
        <f>AVERAGEIFS('3. Incentive Adjustment'!G:G,'3. Incentive Adjustment'!A:A,tbl_Data_old[[#This Row],[Trimmed Sector]],'3. Incentive Adjustment'!B:B,tbl_Data_old[[#This Row],[Trimmed Measure Name]])</f>
        <v>0.94309259342294038</v>
      </c>
      <c r="AI730">
        <f>$AH730*tbl_Data_old[[#This Row],[2025 ]]</f>
        <v>1.0728310049756022</v>
      </c>
      <c r="AJ730">
        <f>$AH730*tbl_Data_old[[#This Row],[2026 ]]</f>
        <v>1.4824188498544939</v>
      </c>
      <c r="AK730">
        <f>$AH730*tbl_Data_old[[#This Row],[2027 ]]</f>
        <v>1.9843060805980635</v>
      </c>
      <c r="AL730">
        <f>$AH730*tbl_Data_old[[#This Row],[2028 ]]</f>
        <v>2.59062005889658</v>
      </c>
      <c r="AM730">
        <f>$AH730*tbl_Data_old[[#This Row],[2029 ]]</f>
        <v>3.2352891771216856</v>
      </c>
      <c r="AN730">
        <f>$AH730*tbl_Data_old[[#This Row],[2030 ]]</f>
        <v>3.8427627665683874</v>
      </c>
      <c r="AO730">
        <f>$AH730*tbl_Data_old[[#This Row],[2031 ]]</f>
        <v>4.2868645369769567</v>
      </c>
      <c r="AP730">
        <f>$AH730*tbl_Data_old[[#This Row],[2032 ]]</f>
        <v>4.4265342167172586</v>
      </c>
      <c r="AQ730">
        <f>$AH730*tbl_Data_old[[#This Row],[2033 ]]</f>
        <v>4.1996895124924549</v>
      </c>
      <c r="AR730">
        <f>$AH730*tbl_Data_old[[#This Row],[2034 ]]</f>
        <v>3.6433179437133321</v>
      </c>
      <c r="AS730">
        <f>SUM(tbl_Data_old[[#This Row],[Adjusted 2025]:[Adjusted 2034]])</f>
        <v>30.764634147914816</v>
      </c>
      <c r="AT730" s="3">
        <f>AVERAGEIFS('3. Incentive Adjustment'!F:F,'3. Incentive Adjustment'!A:A,tbl_Data_old[[#This Row],[Trimmed Sector]],'3. Incentive Adjustment'!B:B,tbl_Data_old[[#This Row],[Trimmed Measure Name]])</f>
        <v>1738.5866300231887</v>
      </c>
      <c r="AU730" s="3">
        <f>IFERROR(VLOOKUP(tbl_Data_old[[#This Row],[All_Meas_Name_Append]],'IRA Tax Credits'!$A$3:$D$46,4,0),0)</f>
        <v>0</v>
      </c>
      <c r="AV730" s="4">
        <f>tbl_Data_old[[#This Row],[Adj. per unit Incentive ($)]]/tbl_Data_old[[#This Row],[kWh Savings]]*tbl_Data_old[[#This Row],[Sum of Annuals]]</f>
        <v>3.2267736745877476</v>
      </c>
      <c r="AW730" s="4">
        <f>IFERROR(VLOOKUP(tbl_Data_old[[#This Row],[All_Programs]],'1. Set Program Names'!$B$2:$D$15,3,0)*tbl_Data_old[[#This Row],[Sum of Annuals]],"")</f>
        <v>0.97364517647978244</v>
      </c>
      <c r="AX730" s="4">
        <f>tbl_Data_old[[#This Row],[per unit IRA tax ($)]]/tbl_Data_old[[#This Row],[kWh Savings]]*tbl_Data_old[[#This Row],[Sum of Annuals]]</f>
        <v>0</v>
      </c>
      <c r="AY730" s="4">
        <f>tbl_Data_old[[#This Row],[Avoided Costs ($/unit)]]/tbl_Data_old[[#This Row],[kWh Savings]]*tbl_Data_old[[#This Row],[Sum of Annuals]]</f>
        <v>13.154519589951507</v>
      </c>
      <c r="AZ730" s="4">
        <f>tbl_Data_old[[#This Row],[Lost Revenue ($/unit)]]/tbl_Data_old[[#This Row],[kWh Savings]]*tbl_Data_old[[#This Row],[Sum of Annuals]]</f>
        <v>32.674207359813082</v>
      </c>
      <c r="BA730" s="4">
        <f>tbl_Data_old[[#This Row],[Incremental Cost ($/unit)]]/tbl_Data_old[[#This Row],[kWh Savings]]*tbl_Data_old[[#This Row],[Sum of Annuals]]</f>
        <v>10.096505107440763</v>
      </c>
      <c r="BB730">
        <f>ROUNDUP(tbl_Data_old[[#This Row],[Adjusted 2025]]/$L730,0)</f>
        <v>1</v>
      </c>
      <c r="BC730">
        <f>ROUNDUP(tbl_Data_old[[#This Row],[Adjusted 2026]]/$L730,0)</f>
        <v>1</v>
      </c>
      <c r="BD730">
        <f>ROUNDUP(tbl_Data_old[[#This Row],[Adjusted 2027]]/$L730,0)</f>
        <v>1</v>
      </c>
      <c r="BE730">
        <f>ROUNDUP(tbl_Data_old[[#This Row],[Adjusted 2028]]/$L730,0)</f>
        <v>1</v>
      </c>
      <c r="BF730">
        <f>ROUNDUP(tbl_Data_old[[#This Row],[Adjusted 2029]]/$L730,0)</f>
        <v>1</v>
      </c>
      <c r="BG730">
        <f>ROUNDUP(tbl_Data_old[[#This Row],[Adjusted 2030]]/$L730,0)</f>
        <v>1</v>
      </c>
      <c r="BH730">
        <f>ROUNDUP(tbl_Data_old[[#This Row],[Adjusted 2031]]/$L730,0)</f>
        <v>1</v>
      </c>
      <c r="BI730">
        <f>ROUNDUP(tbl_Data_old[[#This Row],[Adjusted 2032]]/$L730,0)</f>
        <v>1</v>
      </c>
      <c r="BJ730">
        <f>ROUNDUP(tbl_Data_old[[#This Row],[Adjusted 2033]]/$L730,0)</f>
        <v>1</v>
      </c>
      <c r="BK730">
        <f>ROUNDUP(tbl_Data_old[[#This Row],[Adjusted 2034]]/$L730,0)</f>
        <v>1</v>
      </c>
      <c r="BL730" s="3">
        <f t="shared" si="49"/>
        <v>0.11931463921321904</v>
      </c>
      <c r="BM730" s="3">
        <f t="shared" si="49"/>
        <v>0.16486685173429197</v>
      </c>
      <c r="BN730" s="3">
        <f t="shared" si="49"/>
        <v>0.2206841179991241</v>
      </c>
      <c r="BO730" s="3">
        <f t="shared" si="49"/>
        <v>0.28811517958767707</v>
      </c>
      <c r="BP730" s="3">
        <f t="shared" si="49"/>
        <v>0.35981189873188352</v>
      </c>
      <c r="BQ730" s="3">
        <f t="shared" si="49"/>
        <v>0.42737192619216435</v>
      </c>
      <c r="BR730" s="3">
        <f t="shared" si="49"/>
        <v>0.4767625965442534</v>
      </c>
      <c r="BS730" s="3">
        <f t="shared" si="49"/>
        <v>0.49229592599684396</v>
      </c>
      <c r="BT730" s="3">
        <f t="shared" si="49"/>
        <v>0.46706744740470324</v>
      </c>
      <c r="BU730" s="3">
        <f t="shared" si="49"/>
        <v>0.40519071874054297</v>
      </c>
      <c r="BV730">
        <f>VLOOKUP($H730,'1. Set Program Names'!$B$2:$D$15,3,0)*V730</f>
        <v>3.600194332446266E-2</v>
      </c>
      <c r="BW730">
        <f>VLOOKUP($H730,'1. Set Program Names'!$B$2:$D$15,3,0)*W730</f>
        <v>4.9746846584463066E-2</v>
      </c>
      <c r="BX730">
        <f>VLOOKUP($H730,'1. Set Program Names'!$B$2:$D$15,3,0)*X730</f>
        <v>6.6589122350824259E-2</v>
      </c>
      <c r="BY730">
        <f>VLOOKUP($H730,'1. Set Program Names'!$B$2:$D$15,3,0)*Y730</f>
        <v>8.6935739275853463E-2</v>
      </c>
      <c r="BZ730">
        <f>VLOOKUP($H730,'1. Set Program Names'!$B$2:$D$15,3,0)*Z730</f>
        <v>0.10856947371280645</v>
      </c>
      <c r="CA730">
        <f>VLOOKUP($H730,'1. Set Program Names'!$B$2:$D$15,3,0)*AA730</f>
        <v>0.12895500473953644</v>
      </c>
      <c r="CB730">
        <f>VLOOKUP($H730,'1. Set Program Names'!$B$2:$D$15,3,0)*AB730</f>
        <v>0.14385812246673754</v>
      </c>
      <c r="CC730">
        <f>VLOOKUP($H730,'1. Set Program Names'!$B$2:$D$15,3,0)*AC730</f>
        <v>0.14854514201672764</v>
      </c>
      <c r="CD730">
        <f>VLOOKUP($H730,'1. Set Program Names'!$B$2:$D$15,3,0)*AD730</f>
        <v>0.1409327127085892</v>
      </c>
      <c r="CE730">
        <f>VLOOKUP($H730,'1. Set Program Names'!$B$2:$D$15,3,0)*AE730</f>
        <v>0.12226205759736423</v>
      </c>
    </row>
    <row r="731" spans="1:83" x14ac:dyDescent="0.25">
      <c r="A731" s="20" t="s">
        <v>114</v>
      </c>
      <c r="B731" s="20" t="s">
        <v>88</v>
      </c>
      <c r="C731" s="20" t="s">
        <v>176</v>
      </c>
      <c r="D731" s="20" t="s">
        <v>90</v>
      </c>
      <c r="E731" s="20" t="s">
        <v>91</v>
      </c>
      <c r="F731" s="20" t="s">
        <v>90</v>
      </c>
      <c r="G731" s="20" t="s">
        <v>92</v>
      </c>
      <c r="H731" s="20" t="s">
        <v>18</v>
      </c>
      <c r="I731" s="20" t="s">
        <v>157</v>
      </c>
      <c r="J731" s="20" t="s">
        <v>158</v>
      </c>
      <c r="K731" s="20" t="s">
        <v>159</v>
      </c>
      <c r="L731" s="20">
        <v>562.52</v>
      </c>
      <c r="M731" s="20">
        <v>6.7473359330379998E-2</v>
      </c>
      <c r="N731" s="20">
        <v>6.4973258375617293E-2</v>
      </c>
      <c r="O731" s="20">
        <v>169</v>
      </c>
      <c r="P731" s="20">
        <v>55.847956108163899</v>
      </c>
      <c r="Q731" s="20">
        <v>17.802743307140101</v>
      </c>
      <c r="R731" s="20">
        <v>240.47921618074301</v>
      </c>
      <c r="S731" s="20">
        <v>597.43584258705596</v>
      </c>
      <c r="T731" s="20">
        <v>15</v>
      </c>
      <c r="U731" s="20">
        <v>0.2</v>
      </c>
      <c r="V731" s="20">
        <v>7.2954904704315704E-2</v>
      </c>
      <c r="W731" s="20">
        <v>8.2998403370753607E-2</v>
      </c>
      <c r="X731" s="20">
        <v>9.1750603899938998E-2</v>
      </c>
      <c r="Y731" s="20">
        <v>0.10053544719810099</v>
      </c>
      <c r="Z731" s="20">
        <v>0.108017967754127</v>
      </c>
      <c r="AA731" s="20">
        <v>0.115041689359552</v>
      </c>
      <c r="AB731" s="20">
        <v>0.12168344779009201</v>
      </c>
      <c r="AC731" s="20">
        <v>0.12764110153910299</v>
      </c>
      <c r="AD731" s="20">
        <v>0.13354855290319001</v>
      </c>
      <c r="AE731" s="20">
        <v>0.13914435672609099</v>
      </c>
      <c r="AF731" t="str">
        <f t="shared" si="48"/>
        <v>NonResidential</v>
      </c>
      <c r="AG731" t="str">
        <f>tbl_Data_old[[#This Row],[All_Meas_Name_Append]]</f>
        <v>LED Exterior Wall Packs</v>
      </c>
      <c r="AH731">
        <f>AVERAGEIFS('3. Incentive Adjustment'!G:G,'3. Incentive Adjustment'!A:A,tbl_Data_old[[#This Row],[Trimmed Sector]],'3. Incentive Adjustment'!B:B,tbl_Data_old[[#This Row],[Trimmed Measure Name]])</f>
        <v>0.80637708305213962</v>
      </c>
      <c r="AI731">
        <f>$AH731*tbl_Data_old[[#This Row],[2025 ]]</f>
        <v>5.8829163249812917E-2</v>
      </c>
      <c r="AJ731">
        <f>$AH731*tbl_Data_old[[#This Row],[2026 ]]</f>
        <v>6.6928010408093166E-2</v>
      </c>
      <c r="AK731">
        <f>$AH731*tbl_Data_old[[#This Row],[2027 ]]</f>
        <v>7.3985584341105082E-2</v>
      </c>
      <c r="AL731">
        <f>$AH731*tbl_Data_old[[#This Row],[2028 ]]</f>
        <v>8.1069480654947082E-2</v>
      </c>
      <c r="AM731">
        <f>$AH731*tbl_Data_old[[#This Row],[2029 ]]</f>
        <v>8.7103213754793005E-2</v>
      </c>
      <c r="AN731">
        <f>$AH731*tbl_Data_old[[#This Row],[2030 ]]</f>
        <v>9.2766981895145914E-2</v>
      </c>
      <c r="AO731">
        <f>$AH731*tbl_Data_old[[#This Row],[2031 ]]</f>
        <v>9.812274368470171E-2</v>
      </c>
      <c r="AP731">
        <f>$AH731*tbl_Data_old[[#This Row],[2032 ]]</f>
        <v>0.10292685913666384</v>
      </c>
      <c r="AQ731">
        <f>$AH731*tbl_Data_old[[#This Row],[2033 ]]</f>
        <v>0.10769049253590872</v>
      </c>
      <c r="AR731">
        <f>$AH731*tbl_Data_old[[#This Row],[2034 ]]</f>
        <v>0.11220282049995162</v>
      </c>
      <c r="AS731">
        <f>SUM(tbl_Data_old[[#This Row],[Adjusted 2025]:[Adjusted 2034]])</f>
        <v>0.88162535016112309</v>
      </c>
      <c r="AT731" s="3">
        <f>AVERAGEIFS('3. Incentive Adjustment'!F:F,'3. Incentive Adjustment'!A:A,tbl_Data_old[[#This Row],[Trimmed Sector]],'3. Incentive Adjustment'!B:B,tbl_Data_old[[#This Row],[Trimmed Measure Name]])</f>
        <v>8.6864493556481861</v>
      </c>
      <c r="AU731" s="3">
        <f>IFERROR(VLOOKUP(tbl_Data_old[[#This Row],[All_Meas_Name_Append]],'IRA Tax Credits'!$A$3:$D$46,4,0),0)</f>
        <v>0</v>
      </c>
      <c r="AV731" s="4">
        <f>tbl_Data_old[[#This Row],[Adj. per unit Incentive ($)]]/tbl_Data_old[[#This Row],[kWh Savings]]*tbl_Data_old[[#This Row],[Sum of Annuals]]</f>
        <v>1.3614082974525696E-2</v>
      </c>
      <c r="AW731" s="4">
        <f>IFERROR(VLOOKUP(tbl_Data_old[[#This Row],[All_Programs]],'1. Set Program Names'!$B$2:$D$15,3,0)*tbl_Data_old[[#This Row],[Sum of Annuals]],"")</f>
        <v>2.7901852026569838E-2</v>
      </c>
      <c r="AX731" s="4">
        <f>tbl_Data_old[[#This Row],[per unit IRA tax ($)]]/tbl_Data_old[[#This Row],[kWh Savings]]*tbl_Data_old[[#This Row],[Sum of Annuals]]</f>
        <v>0</v>
      </c>
      <c r="AY731" s="4">
        <f>tbl_Data_old[[#This Row],[Avoided Costs ($/unit)]]/tbl_Data_old[[#This Row],[kWh Savings]]*tbl_Data_old[[#This Row],[Sum of Annuals]]</f>
        <v>0.37689784038224416</v>
      </c>
      <c r="AZ731" s="4">
        <f>tbl_Data_old[[#This Row],[Lost Revenue ($/unit)]]/tbl_Data_old[[#This Row],[kWh Savings]]*tbl_Data_old[[#This Row],[Sum of Annuals]]</f>
        <v>0.93634819014367288</v>
      </c>
      <c r="BA731" s="4">
        <f>tbl_Data_old[[#This Row],[Incremental Cost ($/unit)]]/tbl_Data_old[[#This Row],[kWh Savings]]*tbl_Data_old[[#This Row],[Sum of Annuals]]</f>
        <v>0.26487002093655304</v>
      </c>
      <c r="BB731">
        <f>ROUNDUP(tbl_Data_old[[#This Row],[Adjusted 2025]]/$L731,0)</f>
        <v>1</v>
      </c>
      <c r="BC731">
        <f>ROUNDUP(tbl_Data_old[[#This Row],[Adjusted 2026]]/$L731,0)</f>
        <v>1</v>
      </c>
      <c r="BD731">
        <f>ROUNDUP(tbl_Data_old[[#This Row],[Adjusted 2027]]/$L731,0)</f>
        <v>1</v>
      </c>
      <c r="BE731">
        <f>ROUNDUP(tbl_Data_old[[#This Row],[Adjusted 2028]]/$L731,0)</f>
        <v>1</v>
      </c>
      <c r="BF731">
        <f>ROUNDUP(tbl_Data_old[[#This Row],[Adjusted 2029]]/$L731,0)</f>
        <v>1</v>
      </c>
      <c r="BG731">
        <f>ROUNDUP(tbl_Data_old[[#This Row],[Adjusted 2030]]/$L731,0)</f>
        <v>1</v>
      </c>
      <c r="BH731">
        <f>ROUNDUP(tbl_Data_old[[#This Row],[Adjusted 2031]]/$L731,0)</f>
        <v>1</v>
      </c>
      <c r="BI731">
        <f>ROUNDUP(tbl_Data_old[[#This Row],[Adjusted 2032]]/$L731,0)</f>
        <v>1</v>
      </c>
      <c r="BJ731">
        <f>ROUNDUP(tbl_Data_old[[#This Row],[Adjusted 2033]]/$L731,0)</f>
        <v>1</v>
      </c>
      <c r="BK731">
        <f>ROUNDUP(tbl_Data_old[[#This Row],[Adjusted 2034]]/$L731,0)</f>
        <v>1</v>
      </c>
      <c r="BL731" s="3">
        <f t="shared" si="49"/>
        <v>1.1265716507149577E-3</v>
      </c>
      <c r="BM731" s="3">
        <f t="shared" si="49"/>
        <v>1.2816636341458276E-3</v>
      </c>
      <c r="BN731" s="3">
        <f t="shared" si="49"/>
        <v>1.4168153561241504E-3</v>
      </c>
      <c r="BO731" s="3">
        <f t="shared" si="49"/>
        <v>1.5524711486413756E-3</v>
      </c>
      <c r="BP731" s="3">
        <f t="shared" si="49"/>
        <v>1.6680164374533581E-3</v>
      </c>
      <c r="BQ731" s="3">
        <f t="shared" si="49"/>
        <v>1.7764769402153866E-3</v>
      </c>
      <c r="BR731" s="3">
        <f t="shared" si="49"/>
        <v>1.8790391570953822E-3</v>
      </c>
      <c r="BS731" s="3">
        <f t="shared" si="49"/>
        <v>1.9710374106139618E-3</v>
      </c>
      <c r="BT731" s="3">
        <f t="shared" si="49"/>
        <v>2.0622604375198439E-3</v>
      </c>
      <c r="BU731" s="3">
        <f t="shared" si="49"/>
        <v>2.1486709944987456E-3</v>
      </c>
      <c r="BV731">
        <f>VLOOKUP($H731,'1. Set Program Names'!$B$2:$D$15,3,0)*V731</f>
        <v>2.3088911353335122E-3</v>
      </c>
      <c r="BW731">
        <f>VLOOKUP($H731,'1. Set Program Names'!$B$2:$D$15,3,0)*W731</f>
        <v>2.6267497513190749E-3</v>
      </c>
      <c r="BX731">
        <f>VLOOKUP($H731,'1. Set Program Names'!$B$2:$D$15,3,0)*X731</f>
        <v>2.9037411105484428E-3</v>
      </c>
      <c r="BY731">
        <f>VLOOKUP($H731,'1. Set Program Names'!$B$2:$D$15,3,0)*Y731</f>
        <v>3.1817655545337748E-3</v>
      </c>
      <c r="BZ731">
        <f>VLOOKUP($H731,'1. Set Program Names'!$B$2:$D$15,3,0)*Z731</f>
        <v>3.4185738329049102E-3</v>
      </c>
      <c r="CA731">
        <f>VLOOKUP($H731,'1. Set Program Names'!$B$2:$D$15,3,0)*AA731</f>
        <v>3.6408619520867983E-3</v>
      </c>
      <c r="CB731">
        <f>VLOOKUP($H731,'1. Set Program Names'!$B$2:$D$15,3,0)*AB731</f>
        <v>3.8510616257818459E-3</v>
      </c>
      <c r="CC731">
        <f>VLOOKUP($H731,'1. Set Program Names'!$B$2:$D$15,3,0)*AC731</f>
        <v>4.0396106203179757E-3</v>
      </c>
      <c r="CD731">
        <f>VLOOKUP($H731,'1. Set Program Names'!$B$2:$D$15,3,0)*AD731</f>
        <v>4.2265707999280455E-3</v>
      </c>
      <c r="CE731">
        <f>VLOOKUP($H731,'1. Set Program Names'!$B$2:$D$15,3,0)*AE731</f>
        <v>4.4036678970200954E-3</v>
      </c>
    </row>
    <row r="732" spans="1:83" x14ac:dyDescent="0.25">
      <c r="A732" s="20" t="s">
        <v>114</v>
      </c>
      <c r="B732" s="20" t="s">
        <v>88</v>
      </c>
      <c r="C732" s="20" t="s">
        <v>176</v>
      </c>
      <c r="D732" s="20" t="s">
        <v>90</v>
      </c>
      <c r="E732" s="20" t="s">
        <v>91</v>
      </c>
      <c r="F732" s="20" t="s">
        <v>90</v>
      </c>
      <c r="G732" s="20" t="s">
        <v>92</v>
      </c>
      <c r="H732" s="20" t="s">
        <v>18</v>
      </c>
      <c r="I732" s="20" t="s">
        <v>162</v>
      </c>
      <c r="J732" s="20" t="s">
        <v>161</v>
      </c>
      <c r="K732" s="20" t="s">
        <v>159</v>
      </c>
      <c r="L732" s="20">
        <v>725.58416666666596</v>
      </c>
      <c r="M732" s="20">
        <v>8.6917804178563804E-2</v>
      </c>
      <c r="N732" s="20">
        <v>8.3795205289933394E-2</v>
      </c>
      <c r="O732" s="20">
        <v>179</v>
      </c>
      <c r="P732" s="20">
        <v>33.0790753554421</v>
      </c>
      <c r="Q732" s="20">
        <v>22.963430041406301</v>
      </c>
      <c r="R732" s="20">
        <v>310.45187974046598</v>
      </c>
      <c r="S732" s="20">
        <v>770.62146764617603</v>
      </c>
      <c r="T732" s="20">
        <v>15</v>
      </c>
      <c r="U732" s="20">
        <v>0.2</v>
      </c>
      <c r="V732" s="20">
        <v>0.37363118456680899</v>
      </c>
      <c r="W732" s="20">
        <v>0.42506794977328</v>
      </c>
      <c r="X732" s="20">
        <v>0.46989146183925301</v>
      </c>
      <c r="Y732" s="20">
        <v>0.51488215055345499</v>
      </c>
      <c r="Z732" s="20">
        <v>0.55320312472543698</v>
      </c>
      <c r="AA732" s="20">
        <v>0.58917440635672402</v>
      </c>
      <c r="AB732" s="20">
        <v>0.62318950212125201</v>
      </c>
      <c r="AC732" s="20">
        <v>0.65370102477354597</v>
      </c>
      <c r="AD732" s="20">
        <v>0.68395544097599803</v>
      </c>
      <c r="AE732" s="20">
        <v>0.71261378573606204</v>
      </c>
      <c r="AF732" t="str">
        <f t="shared" si="48"/>
        <v>NonResidential</v>
      </c>
      <c r="AG732" t="str">
        <f>tbl_Data_old[[#This Row],[All_Meas_Name_Append]]</f>
        <v>LED High Bay_LF Baseline</v>
      </c>
      <c r="AH732">
        <f>AVERAGEIFS('3. Incentive Adjustment'!G:G,'3. Incentive Adjustment'!A:A,tbl_Data_old[[#This Row],[Trimmed Sector]],'3. Incentive Adjustment'!B:B,tbl_Data_old[[#This Row],[Trimmed Measure Name]])</f>
        <v>0.93017466414143679</v>
      </c>
      <c r="AI732">
        <f>$AH732*tbl_Data_old[[#This Row],[2025 ]]</f>
        <v>0.34754226161719876</v>
      </c>
      <c r="AJ732">
        <f>$AH732*tbl_Data_old[[#This Row],[2026 ]]</f>
        <v>0.39538743741764987</v>
      </c>
      <c r="AK732">
        <f>$AH732*tbl_Data_old[[#This Row],[2027 ]]</f>
        <v>0.43708113269925591</v>
      </c>
      <c r="AL732">
        <f>$AH732*tbl_Data_old[[#This Row],[2028 ]]</f>
        <v>0.47893033146348069</v>
      </c>
      <c r="AM732">
        <f>$AH732*tbl_Data_old[[#This Row],[2029 ]]</f>
        <v>0.51457553074347673</v>
      </c>
      <c r="AN732">
        <f>$AH732*tbl_Data_old[[#This Row],[2030 ]]</f>
        <v>0.54803510555359614</v>
      </c>
      <c r="AO732">
        <f>$AH732*tbl_Data_old[[#This Row],[2031 ]]</f>
        <v>0.57967508583210481</v>
      </c>
      <c r="AP732">
        <f>$AH732*tbl_Data_old[[#This Row],[2032 ]]</f>
        <v>0.60805613116764612</v>
      </c>
      <c r="AQ732">
        <f>$AH732*tbl_Data_old[[#This Row],[2033 ]]</f>
        <v>0.63619802259755731</v>
      </c>
      <c r="AR732">
        <f>$AH732*tbl_Data_old[[#This Row],[2034 ]]</f>
        <v>0.66285528880959932</v>
      </c>
      <c r="AS732">
        <f>SUM(tbl_Data_old[[#This Row],[Adjusted 2025]:[Adjusted 2034]])</f>
        <v>5.2083363279015664</v>
      </c>
      <c r="AT732" s="3">
        <f>AVERAGEIFS('3. Incentive Adjustment'!F:F,'3. Incentive Adjustment'!A:A,tbl_Data_old[[#This Row],[Trimmed Sector]],'3. Incentive Adjustment'!B:B,tbl_Data_old[[#This Row],[Trimmed Measure Name]])</f>
        <v>23.858858929800434</v>
      </c>
      <c r="AU732" s="3">
        <f>IFERROR(VLOOKUP(tbl_Data_old[[#This Row],[All_Meas_Name_Append]],'IRA Tax Credits'!$A$3:$D$46,4,0),0)</f>
        <v>0</v>
      </c>
      <c r="AV732" s="4">
        <f>tbl_Data_old[[#This Row],[Adj. per unit Incentive ($)]]/tbl_Data_old[[#This Row],[kWh Savings]]*tbl_Data_old[[#This Row],[Sum of Annuals]]</f>
        <v>0.17126195335440075</v>
      </c>
      <c r="AW732" s="4">
        <f>IFERROR(VLOOKUP(tbl_Data_old[[#This Row],[All_Programs]],'1. Set Program Names'!$B$2:$D$15,3,0)*tbl_Data_old[[#This Row],[Sum of Annuals]],"")</f>
        <v>0.16483444980246881</v>
      </c>
      <c r="AX732" s="4">
        <f>tbl_Data_old[[#This Row],[per unit IRA tax ($)]]/tbl_Data_old[[#This Row],[kWh Savings]]*tbl_Data_old[[#This Row],[Sum of Annuals]]</f>
        <v>0</v>
      </c>
      <c r="AY732" s="4">
        <f>tbl_Data_old[[#This Row],[Avoided Costs ($/unit)]]/tbl_Data_old[[#This Row],[kWh Savings]]*tbl_Data_old[[#This Row],[Sum of Annuals]]</f>
        <v>2.2284634610286638</v>
      </c>
      <c r="AZ732" s="4">
        <f>tbl_Data_old[[#This Row],[Lost Revenue ($/unit)]]/tbl_Data_old[[#This Row],[kWh Savings]]*tbl_Data_old[[#This Row],[Sum of Annuals]]</f>
        <v>5.5316198580257581</v>
      </c>
      <c r="BA732" s="4">
        <f>tbl_Data_old[[#This Row],[Incremental Cost ($/unit)]]/tbl_Data_old[[#This Row],[kWh Savings]]*tbl_Data_old[[#This Row],[Sum of Annuals]]</f>
        <v>1.284884987192225</v>
      </c>
      <c r="BB732">
        <f>ROUNDUP(tbl_Data_old[[#This Row],[Adjusted 2025]]/$L732,0)</f>
        <v>1</v>
      </c>
      <c r="BC732">
        <f>ROUNDUP(tbl_Data_old[[#This Row],[Adjusted 2026]]/$L732,0)</f>
        <v>1</v>
      </c>
      <c r="BD732">
        <f>ROUNDUP(tbl_Data_old[[#This Row],[Adjusted 2027]]/$L732,0)</f>
        <v>1</v>
      </c>
      <c r="BE732">
        <f>ROUNDUP(tbl_Data_old[[#This Row],[Adjusted 2028]]/$L732,0)</f>
        <v>1</v>
      </c>
      <c r="BF732">
        <f>ROUNDUP(tbl_Data_old[[#This Row],[Adjusted 2029]]/$L732,0)</f>
        <v>1</v>
      </c>
      <c r="BG732">
        <f>ROUNDUP(tbl_Data_old[[#This Row],[Adjusted 2030]]/$L732,0)</f>
        <v>1</v>
      </c>
      <c r="BH732">
        <f>ROUNDUP(tbl_Data_old[[#This Row],[Adjusted 2031]]/$L732,0)</f>
        <v>1</v>
      </c>
      <c r="BI732">
        <f>ROUNDUP(tbl_Data_old[[#This Row],[Adjusted 2032]]/$L732,0)</f>
        <v>1</v>
      </c>
      <c r="BJ732">
        <f>ROUNDUP(tbl_Data_old[[#This Row],[Adjusted 2033]]/$L732,0)</f>
        <v>1</v>
      </c>
      <c r="BK732">
        <f>ROUNDUP(tbl_Data_old[[#This Row],[Adjusted 2034]]/$L732,0)</f>
        <v>1</v>
      </c>
      <c r="BL732" s="3">
        <f t="shared" si="49"/>
        <v>1.2285843784748701E-2</v>
      </c>
      <c r="BM732" s="3">
        <f t="shared" si="49"/>
        <v>1.3977201701920901E-2</v>
      </c>
      <c r="BN732" s="3">
        <f t="shared" si="49"/>
        <v>1.545110080315578E-2</v>
      </c>
      <c r="BO732" s="3">
        <f t="shared" si="49"/>
        <v>1.6930497053101574E-2</v>
      </c>
      <c r="BP732" s="3">
        <f t="shared" si="49"/>
        <v>1.8190577907707478E-2</v>
      </c>
      <c r="BQ732" s="3">
        <f t="shared" si="49"/>
        <v>1.9373395523350507E-2</v>
      </c>
      <c r="BR732" s="3">
        <f t="shared" si="49"/>
        <v>2.0491889295145223E-2</v>
      </c>
      <c r="BS732" s="3">
        <f t="shared" si="49"/>
        <v>2.1495177608393274E-2</v>
      </c>
      <c r="BT732" s="3">
        <f t="shared" si="49"/>
        <v>2.2490011676360725E-2</v>
      </c>
      <c r="BU732" s="3">
        <f t="shared" si="49"/>
        <v>2.343236328242336E-2</v>
      </c>
      <c r="BV732">
        <f>VLOOKUP($H732,'1. Set Program Names'!$B$2:$D$15,3,0)*V732</f>
        <v>1.1824753022800295E-2</v>
      </c>
      <c r="BW732">
        <f>VLOOKUP($H732,'1. Set Program Names'!$B$2:$D$15,3,0)*W732</f>
        <v>1.3452633858184715E-2</v>
      </c>
      <c r="BX732">
        <f>VLOOKUP($H732,'1. Set Program Names'!$B$2:$D$15,3,0)*X732</f>
        <v>1.4871217160885096E-2</v>
      </c>
      <c r="BY732">
        <f>VLOOKUP($H732,'1. Set Program Names'!$B$2:$D$15,3,0)*Y732</f>
        <v>1.6295091302942957E-2</v>
      </c>
      <c r="BZ732">
        <f>VLOOKUP($H732,'1. Set Program Names'!$B$2:$D$15,3,0)*Z732</f>
        <v>1.7507881010799288E-2</v>
      </c>
      <c r="CA732">
        <f>VLOOKUP($H732,'1. Set Program Names'!$B$2:$D$15,3,0)*AA732</f>
        <v>1.8646307188198583E-2</v>
      </c>
      <c r="CB732">
        <f>VLOOKUP($H732,'1. Set Program Names'!$B$2:$D$15,3,0)*AB732</f>
        <v>1.9722823611550078E-2</v>
      </c>
      <c r="CC732">
        <f>VLOOKUP($H732,'1. Set Program Names'!$B$2:$D$15,3,0)*AC732</f>
        <v>2.0688458265764653E-2</v>
      </c>
      <c r="CD732">
        <f>VLOOKUP($H732,'1. Set Program Names'!$B$2:$D$15,3,0)*AD732</f>
        <v>2.164595596461916E-2</v>
      </c>
      <c r="CE732">
        <f>VLOOKUP($H732,'1. Set Program Names'!$B$2:$D$15,3,0)*AE732</f>
        <v>2.255294088137047E-2</v>
      </c>
    </row>
    <row r="733" spans="1:83" x14ac:dyDescent="0.25">
      <c r="A733" s="20" t="s">
        <v>114</v>
      </c>
      <c r="B733" s="20" t="s">
        <v>88</v>
      </c>
      <c r="C733" s="20" t="s">
        <v>176</v>
      </c>
      <c r="D733" s="20" t="s">
        <v>90</v>
      </c>
      <c r="E733" s="20" t="s">
        <v>91</v>
      </c>
      <c r="F733" s="20" t="s">
        <v>90</v>
      </c>
      <c r="G733" s="20" t="s">
        <v>92</v>
      </c>
      <c r="H733" s="20" t="s">
        <v>18</v>
      </c>
      <c r="I733" s="20" t="s">
        <v>165</v>
      </c>
      <c r="J733" s="20" t="s">
        <v>161</v>
      </c>
      <c r="K733" s="20" t="s">
        <v>166</v>
      </c>
      <c r="L733" s="20">
        <v>565.38999999999896</v>
      </c>
      <c r="M733" s="20">
        <v>6.7728127941350899E-2</v>
      </c>
      <c r="N733" s="20">
        <v>6.5294935157718198E-2</v>
      </c>
      <c r="O733" s="20">
        <v>129</v>
      </c>
      <c r="P733" s="20">
        <v>15.293574707506</v>
      </c>
      <c r="Q733" s="20">
        <v>17.893573630135801</v>
      </c>
      <c r="R733" s="20">
        <v>190.6779313312</v>
      </c>
      <c r="S733" s="20">
        <v>454.767236260907</v>
      </c>
      <c r="T733" s="20">
        <v>10</v>
      </c>
      <c r="U733" s="20">
        <v>0.2</v>
      </c>
      <c r="V733" s="20">
        <v>4.4706726755555898E-2</v>
      </c>
      <c r="W733" s="20">
        <v>6.1729444876680702E-2</v>
      </c>
      <c r="X733" s="20">
        <v>8.2581925626129496E-2</v>
      </c>
      <c r="Y733" s="20">
        <v>0.10772537179080501</v>
      </c>
      <c r="Z733" s="20">
        <v>0.13448662241143</v>
      </c>
      <c r="AA733" s="20">
        <v>0.1596383619484</v>
      </c>
      <c r="AB733" s="20">
        <v>0.17791554742068399</v>
      </c>
      <c r="AC733" s="20">
        <v>0.183495033661316</v>
      </c>
      <c r="AD733" s="20">
        <v>0.17373598227959999</v>
      </c>
      <c r="AE733" s="20">
        <v>0.150347717101561</v>
      </c>
      <c r="AF733" t="str">
        <f t="shared" si="48"/>
        <v>NonResidential</v>
      </c>
      <c r="AG733" t="str">
        <f>tbl_Data_old[[#This Row],[All_Meas_Name_Append]]</f>
        <v>Occupancy Sensors_ Ceiling Mounted</v>
      </c>
      <c r="AH733">
        <f>AVERAGEIFS('3. Incentive Adjustment'!G:G,'3. Incentive Adjustment'!A:A,tbl_Data_old[[#This Row],[Trimmed Sector]],'3. Incentive Adjustment'!B:B,tbl_Data_old[[#This Row],[Trimmed Measure Name]])</f>
        <v>0.99348124042467356</v>
      </c>
      <c r="AI733">
        <f>$AH733*tbl_Data_old[[#This Row],[2025 ]]</f>
        <v>4.4415294352436616E-2</v>
      </c>
      <c r="AJ733">
        <f>$AH733*tbl_Data_old[[#This Row],[2026 ]]</f>
        <v>6.1327045466811253E-2</v>
      </c>
      <c r="AK733">
        <f>$AH733*tbl_Data_old[[#This Row],[2027 ]]</f>
        <v>8.204359390770527E-2</v>
      </c>
      <c r="AL733">
        <f>$AH733*tbl_Data_old[[#This Row],[2028 ]]</f>
        <v>0.10702313599193809</v>
      </c>
      <c r="AM733">
        <f>$AH733*tbl_Data_old[[#This Row],[2029 ]]</f>
        <v>0.13360993645383218</v>
      </c>
      <c r="AN733">
        <f>$AH733*tbl_Data_old[[#This Row],[2030 ]]</f>
        <v>0.15859771784785945</v>
      </c>
      <c r="AO733">
        <f>$AH733*tbl_Data_old[[#This Row],[2031 ]]</f>
        <v>0.17675575874233596</v>
      </c>
      <c r="AP733">
        <f>$AH733*tbl_Data_old[[#This Row],[2032 ]]</f>
        <v>0.18229887365361144</v>
      </c>
      <c r="AQ733">
        <f>$AH733*tbl_Data_old[[#This Row],[2033 ]]</f>
        <v>0.17260343918153612</v>
      </c>
      <c r="AR733">
        <f>$AH733*tbl_Data_old[[#This Row],[2034 ]]</f>
        <v>0.14936763648107673</v>
      </c>
      <c r="AS733">
        <f>SUM(tbl_Data_old[[#This Row],[Adjusted 2025]:[Adjusted 2034]])</f>
        <v>1.268042432079143</v>
      </c>
      <c r="AT733" s="3">
        <f>AVERAGEIFS('3. Incentive Adjustment'!F:F,'3. Incentive Adjustment'!A:A,tbl_Data_old[[#This Row],[Trimmed Sector]],'3. Incentive Adjustment'!B:B,tbl_Data_old[[#This Row],[Trimmed Measure Name]])</f>
        <v>19.547634357270656</v>
      </c>
      <c r="AU733" s="3">
        <f>IFERROR(VLOOKUP(tbl_Data_old[[#This Row],[All_Meas_Name_Append]],'IRA Tax Credits'!$A$3:$D$46,4,0),0)</f>
        <v>0</v>
      </c>
      <c r="AV733" s="4">
        <f>tbl_Data_old[[#This Row],[Adj. per unit Incentive ($)]]/tbl_Data_old[[#This Row],[kWh Savings]]*tbl_Data_old[[#This Row],[Sum of Annuals]]</f>
        <v>4.384094131800588E-2</v>
      </c>
      <c r="AW733" s="4">
        <f>IFERROR(VLOOKUP(tbl_Data_old[[#This Row],[All_Programs]],'1. Set Program Names'!$B$2:$D$15,3,0)*tbl_Data_old[[#This Row],[Sum of Annuals]],"")</f>
        <v>4.0131255636896006E-2</v>
      </c>
      <c r="AX733" s="4">
        <f>tbl_Data_old[[#This Row],[per unit IRA tax ($)]]/tbl_Data_old[[#This Row],[kWh Savings]]*tbl_Data_old[[#This Row],[Sum of Annuals]]</f>
        <v>0</v>
      </c>
      <c r="AY733" s="4">
        <f>tbl_Data_old[[#This Row],[Avoided Costs ($/unit)]]/tbl_Data_old[[#This Row],[kWh Savings]]*tbl_Data_old[[#This Row],[Sum of Annuals]]</f>
        <v>0.42764765522742731</v>
      </c>
      <c r="AZ733" s="4">
        <f>tbl_Data_old[[#This Row],[Lost Revenue ($/unit)]]/tbl_Data_old[[#This Row],[kWh Savings]]*tbl_Data_old[[#This Row],[Sum of Annuals]]</f>
        <v>1.0199404876248108</v>
      </c>
      <c r="BA733" s="4">
        <f>tbl_Data_old[[#This Row],[Incremental Cost ($/unit)]]/tbl_Data_old[[#This Row],[kWh Savings]]*tbl_Data_old[[#This Row],[Sum of Annuals]]</f>
        <v>0.28931794644088105</v>
      </c>
      <c r="BB733">
        <f>ROUNDUP(tbl_Data_old[[#This Row],[Adjusted 2025]]/$L733,0)</f>
        <v>1</v>
      </c>
      <c r="BC733">
        <f>ROUNDUP(tbl_Data_old[[#This Row],[Adjusted 2026]]/$L733,0)</f>
        <v>1</v>
      </c>
      <c r="BD733">
        <f>ROUNDUP(tbl_Data_old[[#This Row],[Adjusted 2027]]/$L733,0)</f>
        <v>1</v>
      </c>
      <c r="BE733">
        <f>ROUNDUP(tbl_Data_old[[#This Row],[Adjusted 2028]]/$L733,0)</f>
        <v>1</v>
      </c>
      <c r="BF733">
        <f>ROUNDUP(tbl_Data_old[[#This Row],[Adjusted 2029]]/$L733,0)</f>
        <v>1</v>
      </c>
      <c r="BG733">
        <f>ROUNDUP(tbl_Data_old[[#This Row],[Adjusted 2030]]/$L733,0)</f>
        <v>1</v>
      </c>
      <c r="BH733">
        <f>ROUNDUP(tbl_Data_old[[#This Row],[Adjusted 2031]]/$L733,0)</f>
        <v>1</v>
      </c>
      <c r="BI733">
        <f>ROUNDUP(tbl_Data_old[[#This Row],[Adjusted 2032]]/$L733,0)</f>
        <v>1</v>
      </c>
      <c r="BJ733">
        <f>ROUNDUP(tbl_Data_old[[#This Row],[Adjusted 2033]]/$L733,0)</f>
        <v>1</v>
      </c>
      <c r="BK733">
        <f>ROUNDUP(tbl_Data_old[[#This Row],[Adjusted 2034]]/$L733,0)</f>
        <v>1</v>
      </c>
      <c r="BL733" s="3">
        <f t="shared" si="49"/>
        <v>1.5456777585879081E-3</v>
      </c>
      <c r="BM733" s="3">
        <f t="shared" si="49"/>
        <v>2.1342164126119155E-3</v>
      </c>
      <c r="BN733" s="3">
        <f t="shared" si="49"/>
        <v>2.8551641993294929E-3</v>
      </c>
      <c r="BO733" s="3">
        <f t="shared" si="49"/>
        <v>3.7244666137846421E-3</v>
      </c>
      <c r="BP733" s="3">
        <f t="shared" si="49"/>
        <v>4.6497025430993818E-3</v>
      </c>
      <c r="BQ733" s="3">
        <f t="shared" si="49"/>
        <v>5.5192916902685896E-3</v>
      </c>
      <c r="BR733" s="3">
        <f t="shared" si="49"/>
        <v>6.1512019445925563E-3</v>
      </c>
      <c r="BS733" s="3">
        <f t="shared" si="49"/>
        <v>6.3441055278418128E-3</v>
      </c>
      <c r="BT733" s="3">
        <f t="shared" si="49"/>
        <v>6.0066988385059535E-3</v>
      </c>
      <c r="BU733" s="3">
        <f t="shared" si="49"/>
        <v>5.1980795563269389E-3</v>
      </c>
      <c r="BV733">
        <f>VLOOKUP($H733,'1. Set Program Names'!$B$2:$D$15,3,0)*V733</f>
        <v>1.4148872582870268E-3</v>
      </c>
      <c r="BW733">
        <f>VLOOKUP($H733,'1. Set Program Names'!$B$2:$D$15,3,0)*W733</f>
        <v>1.9536255806581223E-3</v>
      </c>
      <c r="BX733">
        <f>VLOOKUP($H733,'1. Set Program Names'!$B$2:$D$15,3,0)*X733</f>
        <v>2.613568981958555E-3</v>
      </c>
      <c r="BY733">
        <f>VLOOKUP($H733,'1. Set Program Names'!$B$2:$D$15,3,0)*Y733</f>
        <v>3.4093136984603978E-3</v>
      </c>
      <c r="BZ733">
        <f>VLOOKUP($H733,'1. Set Program Names'!$B$2:$D$15,3,0)*Z733</f>
        <v>4.2562590077419044E-3</v>
      </c>
      <c r="CA733">
        <f>VLOOKUP($H733,'1. Set Program Names'!$B$2:$D$15,3,0)*AA733</f>
        <v>5.0522661945169994E-3</v>
      </c>
      <c r="CB733">
        <f>VLOOKUP($H733,'1. Set Program Names'!$B$2:$D$15,3,0)*AB733</f>
        <v>5.6307061457010702E-3</v>
      </c>
      <c r="CC733">
        <f>VLOOKUP($H733,'1. Set Program Names'!$B$2:$D$15,3,0)*AC733</f>
        <v>5.8072868207485213E-3</v>
      </c>
      <c r="CD733">
        <f>VLOOKUP($H733,'1. Set Program Names'!$B$2:$D$15,3,0)*AD733</f>
        <v>5.4984304482286429E-3</v>
      </c>
      <c r="CE733">
        <f>VLOOKUP($H733,'1. Set Program Names'!$B$2:$D$15,3,0)*AE733</f>
        <v>4.7582340438982133E-3</v>
      </c>
    </row>
    <row r="734" spans="1:83" x14ac:dyDescent="0.25">
      <c r="A734" s="20" t="s">
        <v>114</v>
      </c>
      <c r="B734" s="20" t="s">
        <v>88</v>
      </c>
      <c r="C734" s="20" t="s">
        <v>176</v>
      </c>
      <c r="D734" s="20" t="s">
        <v>90</v>
      </c>
      <c r="E734" s="20" t="s">
        <v>91</v>
      </c>
      <c r="F734" s="20" t="s">
        <v>90</v>
      </c>
      <c r="G734" s="20" t="s">
        <v>92</v>
      </c>
      <c r="H734" s="20" t="s">
        <v>18</v>
      </c>
      <c r="I734" s="20" t="s">
        <v>188</v>
      </c>
      <c r="J734" s="20" t="s">
        <v>178</v>
      </c>
      <c r="K734" s="20" t="s">
        <v>189</v>
      </c>
      <c r="L734" s="20">
        <v>58755.825000000099</v>
      </c>
      <c r="M734" s="20">
        <v>7.0391882486047397</v>
      </c>
      <c r="N734" s="20">
        <v>6.7809192295770497</v>
      </c>
      <c r="O734" s="20">
        <v>15000</v>
      </c>
      <c r="P734" s="20">
        <v>3217.2191279034701</v>
      </c>
      <c r="Q734" s="20">
        <v>1859.5158754786501</v>
      </c>
      <c r="R734" s="20">
        <v>19805.726496097701</v>
      </c>
      <c r="S734" s="20">
        <v>47259.8103070086</v>
      </c>
      <c r="T734" s="20">
        <v>10</v>
      </c>
      <c r="U734" s="20">
        <v>1</v>
      </c>
      <c r="V734" s="20">
        <v>3.7579309631954102E-3</v>
      </c>
      <c r="W734" s="20">
        <v>5.1916974797146997E-3</v>
      </c>
      <c r="X734" s="20">
        <v>6.9474052295589199E-3</v>
      </c>
      <c r="Y734" s="20">
        <v>9.0667049871893893E-3</v>
      </c>
      <c r="Z734" s="20">
        <v>1.13173038586191E-2</v>
      </c>
      <c r="AA734" s="20">
        <v>1.34342841066369E-2</v>
      </c>
      <c r="AB734" s="20">
        <v>1.49765697717523E-2</v>
      </c>
      <c r="AC734" s="20">
        <v>1.54525611761529E-2</v>
      </c>
      <c r="AD734" s="20">
        <v>1.4648636587758E-2</v>
      </c>
      <c r="AE734" s="20">
        <v>1.2704495022509201E-2</v>
      </c>
      <c r="AF734" t="str">
        <f t="shared" si="48"/>
        <v>NonResidential</v>
      </c>
      <c r="AG734" t="str">
        <f>tbl_Data_old[[#This Row],[All_Meas_Name_Append]]</f>
        <v>Strategic Energy Management</v>
      </c>
      <c r="AH734">
        <f>AVERAGEIFS('3. Incentive Adjustment'!G:G,'3. Incentive Adjustment'!A:A,tbl_Data_old[[#This Row],[Trimmed Sector]],'3. Incentive Adjustment'!B:B,tbl_Data_old[[#This Row],[Trimmed Measure Name]])</f>
        <v>1.1413908001130193</v>
      </c>
      <c r="AI734">
        <f>$AH734*tbl_Data_old[[#This Row],[2025 ]]</f>
        <v>4.2892678288510983E-3</v>
      </c>
      <c r="AJ734">
        <f>$AH734*tbl_Data_old[[#This Row],[2026 ]]</f>
        <v>5.925755740316307E-3</v>
      </c>
      <c r="AK734">
        <f>$AH734*tbl_Data_old[[#This Row],[2027 ]]</f>
        <v>7.9297044136756294E-3</v>
      </c>
      <c r="AL734">
        <f>$AH734*tbl_Data_old[[#This Row],[2028 ]]</f>
        <v>1.03486536597168E-2</v>
      </c>
      <c r="AM734">
        <f>$AH734*tbl_Data_old[[#This Row],[2029 ]]</f>
        <v>1.2917466506311415E-2</v>
      </c>
      <c r="AN734">
        <f>$AH734*tbl_Data_old[[#This Row],[2030 ]]</f>
        <v>1.5333768285419911E-2</v>
      </c>
      <c r="AO734">
        <f>$AH734*tbl_Data_old[[#This Row],[2031 ]]</f>
        <v>1.7094118954728815E-2</v>
      </c>
      <c r="AP734">
        <f>$AH734*tbl_Data_old[[#This Row],[2032 ]]</f>
        <v>1.7637411164644536E-2</v>
      </c>
      <c r="AQ734">
        <f>$AH734*tbl_Data_old[[#This Row],[2033 ]]</f>
        <v>1.6719819035465953E-2</v>
      </c>
      <c r="AR734">
        <f>$AH734*tbl_Data_old[[#This Row],[2034 ]]</f>
        <v>1.4500793738773648E-2</v>
      </c>
      <c r="AS734">
        <f>SUM(tbl_Data_old[[#This Row],[Adjusted 2025]:[Adjusted 2034]])</f>
        <v>0.12269675932790412</v>
      </c>
      <c r="AT734" s="3">
        <f>AVERAGEIFS('3. Incentive Adjustment'!F:F,'3. Incentive Adjustment'!A:A,tbl_Data_old[[#This Row],[Trimmed Sector]],'3. Incentive Adjustment'!B:B,tbl_Data_old[[#This Row],[Trimmed Measure Name]])</f>
        <v>6162.1674053779652</v>
      </c>
      <c r="AU734" s="3">
        <f>IFERROR(VLOOKUP(tbl_Data_old[[#This Row],[All_Meas_Name_Append]],'IRA Tax Credits'!$A$3:$D$46,4,0),0)</f>
        <v>0</v>
      </c>
      <c r="AV734" s="4">
        <f>tbl_Data_old[[#This Row],[Adj. per unit Incentive ($)]]/tbl_Data_old[[#This Row],[kWh Savings]]*tbl_Data_old[[#This Row],[Sum of Annuals]]</f>
        <v>1.2868136411596882E-2</v>
      </c>
      <c r="AW734" s="4">
        <f>IFERROR(VLOOKUP(tbl_Data_old[[#This Row],[All_Programs]],'1. Set Program Names'!$B$2:$D$15,3,0)*tbl_Data_old[[#This Row],[Sum of Annuals]],"")</f>
        <v>3.8831311081075101E-3</v>
      </c>
      <c r="AX734" s="4">
        <f>tbl_Data_old[[#This Row],[per unit IRA tax ($)]]/tbl_Data_old[[#This Row],[kWh Savings]]*tbl_Data_old[[#This Row],[Sum of Annuals]]</f>
        <v>0</v>
      </c>
      <c r="AY734" s="4">
        <f>tbl_Data_old[[#This Row],[Avoided Costs ($/unit)]]/tbl_Data_old[[#This Row],[kWh Savings]]*tbl_Data_old[[#This Row],[Sum of Annuals]]</f>
        <v>4.1359277266653803E-2</v>
      </c>
      <c r="AZ734" s="4">
        <f>tbl_Data_old[[#This Row],[Lost Revenue ($/unit)]]/tbl_Data_old[[#This Row],[kWh Savings]]*tbl_Data_old[[#This Row],[Sum of Annuals]]</f>
        <v>9.8690224690427319E-2</v>
      </c>
      <c r="BA734" s="4">
        <f>tbl_Data_old[[#This Row],[Incremental Cost ($/unit)]]/tbl_Data_old[[#This Row],[kWh Savings]]*tbl_Data_old[[#This Row],[Sum of Annuals]]</f>
        <v>3.1323726454671665E-2</v>
      </c>
      <c r="BB734">
        <f>ROUNDUP(tbl_Data_old[[#This Row],[Adjusted 2025]]/$L734,0)</f>
        <v>1</v>
      </c>
      <c r="BC734">
        <f>ROUNDUP(tbl_Data_old[[#This Row],[Adjusted 2026]]/$L734,0)</f>
        <v>1</v>
      </c>
      <c r="BD734">
        <f>ROUNDUP(tbl_Data_old[[#This Row],[Adjusted 2027]]/$L734,0)</f>
        <v>1</v>
      </c>
      <c r="BE734">
        <f>ROUNDUP(tbl_Data_old[[#This Row],[Adjusted 2028]]/$L734,0)</f>
        <v>1</v>
      </c>
      <c r="BF734">
        <f>ROUNDUP(tbl_Data_old[[#This Row],[Adjusted 2029]]/$L734,0)</f>
        <v>1</v>
      </c>
      <c r="BG734">
        <f>ROUNDUP(tbl_Data_old[[#This Row],[Adjusted 2030]]/$L734,0)</f>
        <v>1</v>
      </c>
      <c r="BH734">
        <f>ROUNDUP(tbl_Data_old[[#This Row],[Adjusted 2031]]/$L734,0)</f>
        <v>1</v>
      </c>
      <c r="BI734">
        <f>ROUNDUP(tbl_Data_old[[#This Row],[Adjusted 2032]]/$L734,0)</f>
        <v>1</v>
      </c>
      <c r="BJ734">
        <f>ROUNDUP(tbl_Data_old[[#This Row],[Adjusted 2033]]/$L734,0)</f>
        <v>1</v>
      </c>
      <c r="BK734">
        <f>ROUNDUP(tbl_Data_old[[#This Row],[Adjusted 2034]]/$L734,0)</f>
        <v>1</v>
      </c>
      <c r="BL734" s="3">
        <f t="shared" si="49"/>
        <v>3.9412262006470575E-4</v>
      </c>
      <c r="BM734" s="3">
        <f t="shared" si="49"/>
        <v>5.444925501102367E-4</v>
      </c>
      <c r="BN734" s="3">
        <f t="shared" si="49"/>
        <v>7.2862689031326388E-4</v>
      </c>
      <c r="BO734" s="3">
        <f t="shared" si="49"/>
        <v>9.508938721605254E-4</v>
      </c>
      <c r="BP734" s="3">
        <f t="shared" si="49"/>
        <v>1.1869311843436933E-3</v>
      </c>
      <c r="BQ734" s="3">
        <f t="shared" si="49"/>
        <v>1.4089549016885561E-3</v>
      </c>
      <c r="BR734" s="3">
        <f t="shared" si="49"/>
        <v>1.5707060549632445E-3</v>
      </c>
      <c r="BS734" s="3">
        <f t="shared" si="49"/>
        <v>1.6206268707706552E-3</v>
      </c>
      <c r="BT734" s="3">
        <f t="shared" si="49"/>
        <v>1.5363132236558552E-3</v>
      </c>
      <c r="BU734" s="3">
        <f t="shared" si="49"/>
        <v>1.3324164051733197E-3</v>
      </c>
      <c r="BV734">
        <f>VLOOKUP($H734,'1. Set Program Names'!$B$2:$D$15,3,0)*V734</f>
        <v>1.1893173630043732E-4</v>
      </c>
      <c r="BW734">
        <f>VLOOKUP($H734,'1. Set Program Names'!$B$2:$D$15,3,0)*W734</f>
        <v>1.6430786027107924E-4</v>
      </c>
      <c r="BX734">
        <f>VLOOKUP($H734,'1. Set Program Names'!$B$2:$D$15,3,0)*X734</f>
        <v>2.1987284354782203E-4</v>
      </c>
      <c r="BY734">
        <f>VLOOKUP($H734,'1. Set Program Names'!$B$2:$D$15,3,0)*Y734</f>
        <v>2.8694485801127165E-4</v>
      </c>
      <c r="BZ734">
        <f>VLOOKUP($H734,'1. Set Program Names'!$B$2:$D$15,3,0)*Z734</f>
        <v>3.5817225258462474E-4</v>
      </c>
      <c r="CA734">
        <f>VLOOKUP($H734,'1. Set Program Names'!$B$2:$D$15,3,0)*AA734</f>
        <v>4.2517085875284433E-4</v>
      </c>
      <c r="CB734">
        <f>VLOOKUP($H734,'1. Set Program Names'!$B$2:$D$15,3,0)*AB734</f>
        <v>4.7398141802599273E-4</v>
      </c>
      <c r="CC734">
        <f>VLOOKUP($H734,'1. Set Program Names'!$B$2:$D$15,3,0)*AC734</f>
        <v>4.8904568736565898E-4</v>
      </c>
      <c r="CD734">
        <f>VLOOKUP($H734,'1. Set Program Names'!$B$2:$D$15,3,0)*AD734</f>
        <v>4.6360292428969233E-4</v>
      </c>
      <c r="CE734">
        <f>VLOOKUP($H734,'1. Set Program Names'!$B$2:$D$15,3,0)*AE734</f>
        <v>4.0207435065877056E-4</v>
      </c>
    </row>
    <row r="735" spans="1:83" x14ac:dyDescent="0.25">
      <c r="A735" s="20" t="s">
        <v>114</v>
      </c>
      <c r="B735" s="20" t="s">
        <v>88</v>
      </c>
      <c r="C735" s="20" t="s">
        <v>176</v>
      </c>
      <c r="D735" s="20" t="s">
        <v>90</v>
      </c>
      <c r="E735" s="20" t="s">
        <v>91</v>
      </c>
      <c r="F735" s="20" t="s">
        <v>90</v>
      </c>
      <c r="G735" s="20" t="s">
        <v>92</v>
      </c>
      <c r="H735" s="20" t="s">
        <v>18</v>
      </c>
      <c r="I735" s="20" t="s">
        <v>194</v>
      </c>
      <c r="J735" s="20" t="s">
        <v>182</v>
      </c>
      <c r="K735" s="20" t="s">
        <v>102</v>
      </c>
      <c r="L735" s="20">
        <v>8959.2199999999993</v>
      </c>
      <c r="M735" s="20">
        <v>1.0579901286000299</v>
      </c>
      <c r="N735" s="20">
        <v>1.03235399659801</v>
      </c>
      <c r="O735" s="20">
        <v>2314.9299999999998</v>
      </c>
      <c r="P735" s="20">
        <v>512.76464645414296</v>
      </c>
      <c r="Q735" s="20">
        <v>283.54315205183201</v>
      </c>
      <c r="R735" s="20">
        <v>3866.1887556449001</v>
      </c>
      <c r="S735" s="20">
        <v>9515.3223878667595</v>
      </c>
      <c r="T735" s="20">
        <v>15</v>
      </c>
      <c r="U735" s="20">
        <v>1</v>
      </c>
      <c r="V735" s="20">
        <v>3.9985912629941098</v>
      </c>
      <c r="W735" s="20">
        <v>5.1911986007582698</v>
      </c>
      <c r="X735" s="20">
        <v>6.5720870446586801</v>
      </c>
      <c r="Y735" s="20">
        <v>8.2121449068374002</v>
      </c>
      <c r="Z735" s="20">
        <v>9.9431179407911792</v>
      </c>
      <c r="AA735" s="20">
        <v>11.7173422231514</v>
      </c>
      <c r="AB735" s="20">
        <v>13.3761453608089</v>
      </c>
      <c r="AC735" s="20">
        <v>14.678453965249799</v>
      </c>
      <c r="AD735" s="20">
        <v>15.4794093633827</v>
      </c>
      <c r="AE735" s="20">
        <v>15.580162724421401</v>
      </c>
      <c r="AF735" t="str">
        <f t="shared" si="48"/>
        <v>NonResidential</v>
      </c>
      <c r="AG735" t="str">
        <f>tbl_Data_old[[#This Row],[All_Meas_Name_Append]]</f>
        <v>VFD on HVAC Fan</v>
      </c>
      <c r="AH735">
        <f>AVERAGEIFS('3. Incentive Adjustment'!G:G,'3. Incentive Adjustment'!A:A,tbl_Data_old[[#This Row],[Trimmed Sector]],'3. Incentive Adjustment'!B:B,tbl_Data_old[[#This Row],[Trimmed Measure Name]])</f>
        <v>1.1307524828118058</v>
      </c>
      <c r="AI735">
        <f>$AH735*tbl_Data_old[[#This Row],[2025 ]]</f>
        <v>4.5214169983801842</v>
      </c>
      <c r="AJ735">
        <f>$AH735*tbl_Data_old[[#This Row],[2026 ]]</f>
        <v>5.8699607065765864</v>
      </c>
      <c r="AK735">
        <f>$AH735*tbl_Data_old[[#This Row],[2027 ]]</f>
        <v>7.4314037430031057</v>
      </c>
      <c r="AL735">
        <f>$AH735*tbl_Data_old[[#This Row],[2028 ]]</f>
        <v>9.2859032426167154</v>
      </c>
      <c r="AM735">
        <f>$AH735*tbl_Data_old[[#This Row],[2029 ]]</f>
        <v>11.243205298440236</v>
      </c>
      <c r="AN735">
        <f>$AH735*tbl_Data_old[[#This Row],[2030 ]]</f>
        <v>13.24941381078405</v>
      </c>
      <c r="AO735">
        <f>$AH735*tbl_Data_old[[#This Row],[2031 ]]</f>
        <v>15.125109577186283</v>
      </c>
      <c r="AP735">
        <f>$AH735*tbl_Data_old[[#This Row],[2032 ]]</f>
        <v>16.597698265045008</v>
      </c>
      <c r="AQ735">
        <f>$AH735*tbl_Data_old[[#This Row],[2033 ]]</f>
        <v>17.503380570105303</v>
      </c>
      <c r="AR735">
        <f>$AH735*tbl_Data_old[[#This Row],[2034 ]]</f>
        <v>17.617307683251447</v>
      </c>
      <c r="AS735">
        <f>SUM(tbl_Data_old[[#This Row],[Adjusted 2025]:[Adjusted 2034]])</f>
        <v>118.44479989538891</v>
      </c>
      <c r="AT735" s="3">
        <f>AVERAGEIFS('3. Incentive Adjustment'!F:F,'3. Incentive Adjustment'!A:A,tbl_Data_old[[#This Row],[Trimmed Sector]],'3. Incentive Adjustment'!B:B,tbl_Data_old[[#This Row],[Trimmed Measure Name]])</f>
        <v>930.02043037501858</v>
      </c>
      <c r="AU735" s="3">
        <f>IFERROR(VLOOKUP(tbl_Data_old[[#This Row],[All_Meas_Name_Append]],'IRA Tax Credits'!$A$3:$D$46,4,0),0)</f>
        <v>0</v>
      </c>
      <c r="AV735" s="4">
        <f>tbl_Data_old[[#This Row],[Adj. per unit Incentive ($)]]/tbl_Data_old[[#This Row],[kWh Savings]]*tbl_Data_old[[#This Row],[Sum of Annuals]]</f>
        <v>12.295276126090503</v>
      </c>
      <c r="AW735" s="4">
        <f>IFERROR(VLOOKUP(tbl_Data_old[[#This Row],[All_Programs]],'1. Set Program Names'!$B$2:$D$15,3,0)*tbl_Data_old[[#This Row],[Sum of Annuals]],"")</f>
        <v>3.7485642618985899</v>
      </c>
      <c r="AX735" s="4">
        <f>tbl_Data_old[[#This Row],[per unit IRA tax ($)]]/tbl_Data_old[[#This Row],[kWh Savings]]*tbl_Data_old[[#This Row],[Sum of Annuals]]</f>
        <v>0</v>
      </c>
      <c r="AY735" s="4">
        <f>tbl_Data_old[[#This Row],[Avoided Costs ($/unit)]]/tbl_Data_old[[#This Row],[kWh Savings]]*tbl_Data_old[[#This Row],[Sum of Annuals]]</f>
        <v>51.11270328445589</v>
      </c>
      <c r="AZ735" s="4">
        <f>tbl_Data_old[[#This Row],[Lost Revenue ($/unit)]]/tbl_Data_old[[#This Row],[kWh Savings]]*tbl_Data_old[[#This Row],[Sum of Annuals]]</f>
        <v>125.79671625107908</v>
      </c>
      <c r="BA735" s="4">
        <f>tbl_Data_old[[#This Row],[Incremental Cost ($/unit)]]/tbl_Data_old[[#This Row],[kWh Savings]]*tbl_Data_old[[#This Row],[Sum of Annuals]]</f>
        <v>30.604385272583176</v>
      </c>
      <c r="BB735">
        <f>ROUNDUP(tbl_Data_old[[#This Row],[Adjusted 2025]]/$L735,0)</f>
        <v>1</v>
      </c>
      <c r="BC735">
        <f>ROUNDUP(tbl_Data_old[[#This Row],[Adjusted 2026]]/$L735,0)</f>
        <v>1</v>
      </c>
      <c r="BD735">
        <f>ROUNDUP(tbl_Data_old[[#This Row],[Adjusted 2027]]/$L735,0)</f>
        <v>1</v>
      </c>
      <c r="BE735">
        <f>ROUNDUP(tbl_Data_old[[#This Row],[Adjusted 2028]]/$L735,0)</f>
        <v>1</v>
      </c>
      <c r="BF735">
        <f>ROUNDUP(tbl_Data_old[[#This Row],[Adjusted 2029]]/$L735,0)</f>
        <v>1</v>
      </c>
      <c r="BG735">
        <f>ROUNDUP(tbl_Data_old[[#This Row],[Adjusted 2030]]/$L735,0)</f>
        <v>1</v>
      </c>
      <c r="BH735">
        <f>ROUNDUP(tbl_Data_old[[#This Row],[Adjusted 2031]]/$L735,0)</f>
        <v>1</v>
      </c>
      <c r="BI735">
        <f>ROUNDUP(tbl_Data_old[[#This Row],[Adjusted 2032]]/$L735,0)</f>
        <v>1</v>
      </c>
      <c r="BJ735">
        <f>ROUNDUP(tbl_Data_old[[#This Row],[Adjusted 2033]]/$L735,0)</f>
        <v>1</v>
      </c>
      <c r="BK735">
        <f>ROUNDUP(tbl_Data_old[[#This Row],[Adjusted 2034]]/$L735,0)</f>
        <v>1</v>
      </c>
      <c r="BL735" s="3">
        <f t="shared" si="49"/>
        <v>0.41507760355293999</v>
      </c>
      <c r="BM735" s="3">
        <f t="shared" si="49"/>
        <v>0.53887735280966431</v>
      </c>
      <c r="BN735" s="3">
        <f t="shared" si="49"/>
        <v>0.68222180298458457</v>
      </c>
      <c r="BO735" s="3">
        <f t="shared" si="49"/>
        <v>0.8524695833520034</v>
      </c>
      <c r="BP735" s="3">
        <f t="shared" si="49"/>
        <v>1.0321549003779549</v>
      </c>
      <c r="BQ735" s="3">
        <f t="shared" si="49"/>
        <v>1.2163299547534989</v>
      </c>
      <c r="BR735" s="3">
        <f t="shared" si="49"/>
        <v>1.388523606432067</v>
      </c>
      <c r="BS735" s="3">
        <f t="shared" si="49"/>
        <v>1.5237110009578421</v>
      </c>
      <c r="BT735" s="3">
        <f t="shared" si="49"/>
        <v>1.606854944747899</v>
      </c>
      <c r="BU735" s="3">
        <f t="shared" si="49"/>
        <v>1.6173137440847767</v>
      </c>
      <c r="BV735">
        <f>VLOOKUP($H735,'1. Set Program Names'!$B$2:$D$15,3,0)*V735</f>
        <v>0.12654820067776729</v>
      </c>
      <c r="BW735">
        <f>VLOOKUP($H735,'1. Set Program Names'!$B$2:$D$15,3,0)*W735</f>
        <v>0.16429207165200319</v>
      </c>
      <c r="BX735">
        <f>VLOOKUP($H735,'1. Set Program Names'!$B$2:$D$15,3,0)*X735</f>
        <v>0.2079947000075377</v>
      </c>
      <c r="BY735">
        <f>VLOOKUP($H735,'1. Set Program Names'!$B$2:$D$15,3,0)*Y735</f>
        <v>0.25989957295289939</v>
      </c>
      <c r="BZ735">
        <f>VLOOKUP($H735,'1. Set Program Names'!$B$2:$D$15,3,0)*Z735</f>
        <v>0.31468174708903818</v>
      </c>
      <c r="CA735">
        <f>VLOOKUP($H735,'1. Set Program Names'!$B$2:$D$15,3,0)*AA735</f>
        <v>0.37083274521915632</v>
      </c>
      <c r="CB735">
        <f>VLOOKUP($H735,'1. Set Program Names'!$B$2:$D$15,3,0)*AB735</f>
        <v>0.4233308723200509</v>
      </c>
      <c r="CC735">
        <f>VLOOKUP($H735,'1. Set Program Names'!$B$2:$D$15,3,0)*AC735</f>
        <v>0.46454659050170011</v>
      </c>
      <c r="CD735">
        <f>VLOOKUP($H735,'1. Set Program Names'!$B$2:$D$15,3,0)*AD735</f>
        <v>0.48989538406180161</v>
      </c>
      <c r="CE735">
        <f>VLOOKUP($H735,'1. Set Program Names'!$B$2:$D$15,3,0)*AE735</f>
        <v>0.49308404619630991</v>
      </c>
    </row>
    <row r="736" spans="1:83" x14ac:dyDescent="0.25">
      <c r="A736" s="20" t="s">
        <v>114</v>
      </c>
      <c r="B736" s="20" t="s">
        <v>88</v>
      </c>
      <c r="C736" s="20" t="s">
        <v>176</v>
      </c>
      <c r="D736" s="20" t="s">
        <v>90</v>
      </c>
      <c r="E736" s="20" t="s">
        <v>91</v>
      </c>
      <c r="F736" s="20" t="s">
        <v>90</v>
      </c>
      <c r="G736" s="20" t="s">
        <v>92</v>
      </c>
      <c r="H736" s="20" t="s">
        <v>18</v>
      </c>
      <c r="I736" s="20" t="s">
        <v>195</v>
      </c>
      <c r="J736" s="20" t="s">
        <v>191</v>
      </c>
      <c r="K736" s="20" t="s">
        <v>102</v>
      </c>
      <c r="L736" s="20">
        <v>20302.931666666602</v>
      </c>
      <c r="M736" s="20">
        <v>2.3950992196012999</v>
      </c>
      <c r="N736" s="20">
        <v>2.3402323276086099</v>
      </c>
      <c r="O736" s="20">
        <v>5194</v>
      </c>
      <c r="P736" s="20">
        <v>1110.9469872966299</v>
      </c>
      <c r="Q736" s="20">
        <v>642.55116412585198</v>
      </c>
      <c r="R736" s="20">
        <v>8767.8839794133291</v>
      </c>
      <c r="S736" s="20">
        <v>21563.142798944798</v>
      </c>
      <c r="T736" s="20">
        <v>15</v>
      </c>
      <c r="U736" s="20">
        <v>1</v>
      </c>
      <c r="V736" s="20">
        <v>4.2619662096352302</v>
      </c>
      <c r="W736" s="20">
        <v>5.5333492431503304</v>
      </c>
      <c r="X736" s="20">
        <v>7.0054655431159896</v>
      </c>
      <c r="Y736" s="20">
        <v>8.7540042154383499</v>
      </c>
      <c r="Z736" s="20">
        <v>10.5992651872424</v>
      </c>
      <c r="AA736" s="20">
        <v>12.4906744190327</v>
      </c>
      <c r="AB736" s="20">
        <v>14.2590860777789</v>
      </c>
      <c r="AC736" s="20">
        <v>15.647358466856399</v>
      </c>
      <c r="AD736" s="20">
        <v>16.501436293502898</v>
      </c>
      <c r="AE736" s="20">
        <v>16.609270612680699</v>
      </c>
      <c r="AF736" t="str">
        <f t="shared" si="48"/>
        <v>NonResidential</v>
      </c>
      <c r="AG736" t="str">
        <f>tbl_Data_old[[#This Row],[All_Meas_Name_Append]]</f>
        <v>VFD on process pump</v>
      </c>
      <c r="AH736">
        <f>AVERAGEIFS('3. Incentive Adjustment'!G:G,'3. Incentive Adjustment'!A:A,tbl_Data_old[[#This Row],[Trimmed Sector]],'3. Incentive Adjustment'!B:B,tbl_Data_old[[#This Row],[Trimmed Measure Name]])</f>
        <v>1.1380520252658823</v>
      </c>
      <c r="AI736">
        <f>$AH736*tbl_Data_old[[#This Row],[2025 ]]</f>
        <v>4.8503392764901294</v>
      </c>
      <c r="AJ736">
        <f>$AH736*tbl_Data_old[[#This Row],[2026 ]]</f>
        <v>6.2972393126706709</v>
      </c>
      <c r="AK736">
        <f>$AH736*tbl_Data_old[[#This Row],[2027 ]]</f>
        <v>7.9725842492735062</v>
      </c>
      <c r="AL736">
        <f>$AH736*tbl_Data_old[[#This Row],[2028 ]]</f>
        <v>9.9625122265656856</v>
      </c>
      <c r="AM736">
        <f>$AH736*tbl_Data_old[[#This Row],[2029 ]]</f>
        <v>12.062515212671375</v>
      </c>
      <c r="AN736">
        <f>$AH736*tbl_Data_old[[#This Row],[2030 ]]</f>
        <v>14.215037319516913</v>
      </c>
      <c r="AO736">
        <f>$AH736*tbl_Data_old[[#This Row],[2031 ]]</f>
        <v>16.227581789256824</v>
      </c>
      <c r="AP736">
        <f>$AH736*tbl_Data_old[[#This Row],[2032 ]]</f>
        <v>17.807507993267176</v>
      </c>
      <c r="AQ736">
        <f>$AH736*tbl_Data_old[[#This Row],[2033 ]]</f>
        <v>18.779492993616909</v>
      </c>
      <c r="AR736">
        <f>$AH736*tbl_Data_old[[#This Row],[2034 ]]</f>
        <v>18.902214058950374</v>
      </c>
      <c r="AS736">
        <f>SUM(tbl_Data_old[[#This Row],[Adjusted 2025]:[Adjusted 2034]])</f>
        <v>127.07702443227959</v>
      </c>
      <c r="AT736" s="3">
        <f>AVERAGEIFS('3. Incentive Adjustment'!F:F,'3. Incentive Adjustment'!A:A,tbl_Data_old[[#This Row],[Trimmed Sector]],'3. Incentive Adjustment'!B:B,tbl_Data_old[[#This Row],[Trimmed Measure Name]])</f>
        <v>2106.0249622508104</v>
      </c>
      <c r="AU736" s="3">
        <f>IFERROR(VLOOKUP(tbl_Data_old[[#This Row],[All_Meas_Name_Append]],'IRA Tax Credits'!$A$3:$D$46,4,0),0)</f>
        <v>0</v>
      </c>
      <c r="AV736" s="4">
        <f>tbl_Data_old[[#This Row],[Adj. per unit Incentive ($)]]/tbl_Data_old[[#This Row],[kWh Savings]]*tbl_Data_old[[#This Row],[Sum of Annuals]]</f>
        <v>13.1817113891157</v>
      </c>
      <c r="AW736" s="4">
        <f>IFERROR(VLOOKUP(tbl_Data_old[[#This Row],[All_Programs]],'1. Set Program Names'!$B$2:$D$15,3,0)*tbl_Data_old[[#This Row],[Sum of Annuals]],"")</f>
        <v>4.0217585973886374</v>
      </c>
      <c r="AX736" s="4">
        <f>tbl_Data_old[[#This Row],[per unit IRA tax ($)]]/tbl_Data_old[[#This Row],[kWh Savings]]*tbl_Data_old[[#This Row],[Sum of Annuals]]</f>
        <v>0</v>
      </c>
      <c r="AY736" s="4">
        <f>tbl_Data_old[[#This Row],[Avoided Costs ($/unit)]]/tbl_Data_old[[#This Row],[kWh Savings]]*tbl_Data_old[[#This Row],[Sum of Annuals]]</f>
        <v>54.8786069403263</v>
      </c>
      <c r="AZ736" s="4">
        <f>tbl_Data_old[[#This Row],[Lost Revenue ($/unit)]]/tbl_Data_old[[#This Row],[kWh Savings]]*tbl_Data_old[[#This Row],[Sum of Annuals]]</f>
        <v>134.96474643595809</v>
      </c>
      <c r="BA736" s="4">
        <f>tbl_Data_old[[#This Row],[Incremental Cost ($/unit)]]/tbl_Data_old[[#This Row],[kWh Savings]]*tbl_Data_old[[#This Row],[Sum of Annuals]]</f>
        <v>32.509495462909534</v>
      </c>
      <c r="BB736">
        <f>ROUNDUP(tbl_Data_old[[#This Row],[Adjusted 2025]]/$L736,0)</f>
        <v>1</v>
      </c>
      <c r="BC736">
        <f>ROUNDUP(tbl_Data_old[[#This Row],[Adjusted 2026]]/$L736,0)</f>
        <v>1</v>
      </c>
      <c r="BD736">
        <f>ROUNDUP(tbl_Data_old[[#This Row],[Adjusted 2027]]/$L736,0)</f>
        <v>1</v>
      </c>
      <c r="BE736">
        <f>ROUNDUP(tbl_Data_old[[#This Row],[Adjusted 2028]]/$L736,0)</f>
        <v>1</v>
      </c>
      <c r="BF736">
        <f>ROUNDUP(tbl_Data_old[[#This Row],[Adjusted 2029]]/$L736,0)</f>
        <v>1</v>
      </c>
      <c r="BG736">
        <f>ROUNDUP(tbl_Data_old[[#This Row],[Adjusted 2030]]/$L736,0)</f>
        <v>1</v>
      </c>
      <c r="BH736">
        <f>ROUNDUP(tbl_Data_old[[#This Row],[Adjusted 2031]]/$L736,0)</f>
        <v>1</v>
      </c>
      <c r="BI736">
        <f>ROUNDUP(tbl_Data_old[[#This Row],[Adjusted 2032]]/$L736,0)</f>
        <v>1</v>
      </c>
      <c r="BJ736">
        <f>ROUNDUP(tbl_Data_old[[#This Row],[Adjusted 2033]]/$L736,0)</f>
        <v>1</v>
      </c>
      <c r="BK736">
        <f>ROUNDUP(tbl_Data_old[[#This Row],[Adjusted 2034]]/$L736,0)</f>
        <v>1</v>
      </c>
      <c r="BL736" s="3">
        <f t="shared" si="49"/>
        <v>0.44209414547248688</v>
      </c>
      <c r="BM736" s="3">
        <f t="shared" si="49"/>
        <v>0.57397482404271483</v>
      </c>
      <c r="BN736" s="3">
        <f t="shared" si="49"/>
        <v>0.72667758273613448</v>
      </c>
      <c r="BO736" s="3">
        <f t="shared" si="49"/>
        <v>0.90805365944419247</v>
      </c>
      <c r="BP736" s="3">
        <f t="shared" si="49"/>
        <v>1.0994627491406739</v>
      </c>
      <c r="BQ736" s="3">
        <f t="shared" si="49"/>
        <v>1.2956588020743436</v>
      </c>
      <c r="BR736" s="3">
        <f t="shared" si="49"/>
        <v>1.4790963054852158</v>
      </c>
      <c r="BS736" s="3">
        <f t="shared" si="49"/>
        <v>1.6231019276191354</v>
      </c>
      <c r="BT736" s="3">
        <f t="shared" si="49"/>
        <v>1.7116954988409492</v>
      </c>
      <c r="BU736" s="3">
        <f t="shared" si="49"/>
        <v>1.7228811626507048</v>
      </c>
      <c r="BV736">
        <f>VLOOKUP($H736,'1. Set Program Names'!$B$2:$D$15,3,0)*V736</f>
        <v>0.13488354265420122</v>
      </c>
      <c r="BW736">
        <f>VLOOKUP($H736,'1. Set Program Names'!$B$2:$D$15,3,0)*W736</f>
        <v>0.17512052230065386</v>
      </c>
      <c r="BX736">
        <f>VLOOKUP($H736,'1. Set Program Names'!$B$2:$D$15,3,0)*X736</f>
        <v>0.22171034774071932</v>
      </c>
      <c r="BY736">
        <f>VLOOKUP($H736,'1. Set Program Names'!$B$2:$D$15,3,0)*Y736</f>
        <v>0.27704844264572309</v>
      </c>
      <c r="BZ736">
        <f>VLOOKUP($H736,'1. Set Program Names'!$B$2:$D$15,3,0)*Z736</f>
        <v>0.33544762385832277</v>
      </c>
      <c r="CA736">
        <f>VLOOKUP($H736,'1. Set Program Names'!$B$2:$D$15,3,0)*AA736</f>
        <v>0.39530731425567384</v>
      </c>
      <c r="CB736">
        <f>VLOOKUP($H736,'1. Set Program Names'!$B$2:$D$15,3,0)*AB736</f>
        <v>0.45127435333341792</v>
      </c>
      <c r="CC736">
        <f>VLOOKUP($H736,'1. Set Program Names'!$B$2:$D$15,3,0)*AC736</f>
        <v>0.49521067023439386</v>
      </c>
      <c r="CD736">
        <f>VLOOKUP($H736,'1. Set Program Names'!$B$2:$D$15,3,0)*AD736</f>
        <v>0.52224069283289309</v>
      </c>
      <c r="CE736">
        <f>VLOOKUP($H736,'1. Set Program Names'!$B$2:$D$15,3,0)*AE736</f>
        <v>0.52565345451962897</v>
      </c>
    </row>
    <row r="737" spans="1:83" x14ac:dyDescent="0.25">
      <c r="A737" s="20" t="s">
        <v>115</v>
      </c>
      <c r="B737" s="20" t="s">
        <v>88</v>
      </c>
      <c r="C737" s="20" t="s">
        <v>176</v>
      </c>
      <c r="D737" s="20" t="s">
        <v>90</v>
      </c>
      <c r="E737" s="20" t="s">
        <v>91</v>
      </c>
      <c r="F737" s="20" t="s">
        <v>90</v>
      </c>
      <c r="G737" s="20" t="s">
        <v>92</v>
      </c>
      <c r="H737" s="20" t="s">
        <v>18</v>
      </c>
      <c r="I737" s="20" t="s">
        <v>177</v>
      </c>
      <c r="J737" s="20" t="s">
        <v>178</v>
      </c>
      <c r="K737" s="20" t="s">
        <v>102</v>
      </c>
      <c r="L737" s="20">
        <v>25265.069999999901</v>
      </c>
      <c r="M737" s="20">
        <v>3.0268587641170099</v>
      </c>
      <c r="N737" s="20">
        <v>2.9158027991200801</v>
      </c>
      <c r="O737" s="20">
        <v>7160.52</v>
      </c>
      <c r="P737" s="20">
        <v>2094.8798923726799</v>
      </c>
      <c r="Q737" s="20">
        <v>799.59389150061804</v>
      </c>
      <c r="R737" s="20">
        <v>8516.48438813961</v>
      </c>
      <c r="S737" s="20">
        <v>20321.770915365199</v>
      </c>
      <c r="T737" s="20">
        <v>10</v>
      </c>
      <c r="U737" s="20">
        <v>1</v>
      </c>
      <c r="V737" s="20">
        <v>0.42323052669080502</v>
      </c>
      <c r="W737" s="20">
        <v>0.82683409967673005</v>
      </c>
      <c r="X737" s="20">
        <v>1.2065700839140701</v>
      </c>
      <c r="Y737" s="20">
        <v>1.5640679519565499</v>
      </c>
      <c r="Z737" s="20">
        <v>1.8976180445587001</v>
      </c>
      <c r="AA737" s="20">
        <v>2.2079604917003999</v>
      </c>
      <c r="AB737" s="20">
        <v>2.4964174094718601</v>
      </c>
      <c r="AC737" s="20">
        <v>2.7634078090181999</v>
      </c>
      <c r="AD737" s="20">
        <v>3.01121863375222</v>
      </c>
      <c r="AE737" s="20">
        <v>3.2412463372510301</v>
      </c>
      <c r="AF737" t="str">
        <f t="shared" si="48"/>
        <v>NonResidential</v>
      </c>
      <c r="AG737" t="str">
        <f>tbl_Data_old[[#This Row],[All_Meas_Name_Append]]</f>
        <v>Airside economizer_13</v>
      </c>
      <c r="AH737">
        <f>AVERAGEIFS('3. Incentive Adjustment'!G:G,'3. Incentive Adjustment'!A:A,tbl_Data_old[[#This Row],[Trimmed Sector]],'3. Incentive Adjustment'!B:B,tbl_Data_old[[#This Row],[Trimmed Measure Name]])</f>
        <v>1</v>
      </c>
      <c r="AI737">
        <f>$AH737*tbl_Data_old[[#This Row],[2025 ]]</f>
        <v>0.42323052669080502</v>
      </c>
      <c r="AJ737">
        <f>$AH737*tbl_Data_old[[#This Row],[2026 ]]</f>
        <v>0.82683409967673005</v>
      </c>
      <c r="AK737">
        <f>$AH737*tbl_Data_old[[#This Row],[2027 ]]</f>
        <v>1.2065700839140701</v>
      </c>
      <c r="AL737">
        <f>$AH737*tbl_Data_old[[#This Row],[2028 ]]</f>
        <v>1.5640679519565499</v>
      </c>
      <c r="AM737">
        <f>$AH737*tbl_Data_old[[#This Row],[2029 ]]</f>
        <v>1.8976180445587001</v>
      </c>
      <c r="AN737">
        <f>$AH737*tbl_Data_old[[#This Row],[2030 ]]</f>
        <v>2.2079604917003999</v>
      </c>
      <c r="AO737">
        <f>$AH737*tbl_Data_old[[#This Row],[2031 ]]</f>
        <v>2.4964174094718601</v>
      </c>
      <c r="AP737">
        <f>$AH737*tbl_Data_old[[#This Row],[2032 ]]</f>
        <v>2.7634078090181999</v>
      </c>
      <c r="AQ737">
        <f>$AH737*tbl_Data_old[[#This Row],[2033 ]]</f>
        <v>3.01121863375222</v>
      </c>
      <c r="AR737">
        <f>$AH737*tbl_Data_old[[#This Row],[2034 ]]</f>
        <v>3.2412463372510301</v>
      </c>
      <c r="AS737">
        <f>SUM(tbl_Data_old[[#This Row],[Adjusted 2025]:[Adjusted 2034]])</f>
        <v>19.638571387990563</v>
      </c>
      <c r="AT737" s="3">
        <f>AVERAGEIFS('3. Incentive Adjustment'!F:F,'3. Incentive Adjustment'!A:A,tbl_Data_old[[#This Row],[Trimmed Sector]],'3. Incentive Adjustment'!B:B,tbl_Data_old[[#This Row],[Trimmed Measure Name]])</f>
        <v>2094.8798923726795</v>
      </c>
      <c r="AU737" s="3">
        <f>IFERROR(VLOOKUP(tbl_Data_old[[#This Row],[All_Meas_Name_Append]],'IRA Tax Credits'!$A$3:$D$46,4,0),0)</f>
        <v>0</v>
      </c>
      <c r="AV737" s="4">
        <f>tbl_Data_old[[#This Row],[Adj. per unit Incentive ($)]]/tbl_Data_old[[#This Row],[kWh Savings]]*tbl_Data_old[[#This Row],[Sum of Annuals]]</f>
        <v>1.6283528332051727</v>
      </c>
      <c r="AW737" s="4">
        <f>IFERROR(VLOOKUP(tbl_Data_old[[#This Row],[All_Programs]],'1. Set Program Names'!$B$2:$D$15,3,0)*tbl_Data_old[[#This Row],[Sum of Annuals]],"")</f>
        <v>0.62152535970159983</v>
      </c>
      <c r="AX737" s="4">
        <f>tbl_Data_old[[#This Row],[per unit IRA tax ($)]]/tbl_Data_old[[#This Row],[kWh Savings]]*tbl_Data_old[[#This Row],[Sum of Annuals]]</f>
        <v>0</v>
      </c>
      <c r="AY737" s="4">
        <f>tbl_Data_old[[#This Row],[Avoided Costs ($/unit)]]/tbl_Data_old[[#This Row],[kWh Savings]]*tbl_Data_old[[#This Row],[Sum of Annuals]]</f>
        <v>6.6198742624179356</v>
      </c>
      <c r="AZ737" s="4">
        <f>tbl_Data_old[[#This Row],[Lost Revenue ($/unit)]]/tbl_Data_old[[#This Row],[kWh Savings]]*tbl_Data_old[[#This Row],[Sum of Annuals]]</f>
        <v>15.796138655138948</v>
      </c>
      <c r="BA737" s="4">
        <f>tbl_Data_old[[#This Row],[Incremental Cost ($/unit)]]/tbl_Data_old[[#This Row],[kWh Savings]]*tbl_Data_old[[#This Row],[Sum of Annuals]]</f>
        <v>5.5658814004922501</v>
      </c>
      <c r="BB737">
        <f>ROUNDUP(tbl_Data_old[[#This Row],[Adjusted 2025]]/$L737,0)</f>
        <v>1</v>
      </c>
      <c r="BC737">
        <f>ROUNDUP(tbl_Data_old[[#This Row],[Adjusted 2026]]/$L737,0)</f>
        <v>1</v>
      </c>
      <c r="BD737">
        <f>ROUNDUP(tbl_Data_old[[#This Row],[Adjusted 2027]]/$L737,0)</f>
        <v>1</v>
      </c>
      <c r="BE737">
        <f>ROUNDUP(tbl_Data_old[[#This Row],[Adjusted 2028]]/$L737,0)</f>
        <v>1</v>
      </c>
      <c r="BF737">
        <f>ROUNDUP(tbl_Data_old[[#This Row],[Adjusted 2029]]/$L737,0)</f>
        <v>1</v>
      </c>
      <c r="BG737">
        <f>ROUNDUP(tbl_Data_old[[#This Row],[Adjusted 2030]]/$L737,0)</f>
        <v>1</v>
      </c>
      <c r="BH737">
        <f>ROUNDUP(tbl_Data_old[[#This Row],[Adjusted 2031]]/$L737,0)</f>
        <v>1</v>
      </c>
      <c r="BI737">
        <f>ROUNDUP(tbl_Data_old[[#This Row],[Adjusted 2032]]/$L737,0)</f>
        <v>1</v>
      </c>
      <c r="BJ737">
        <f>ROUNDUP(tbl_Data_old[[#This Row],[Adjusted 2033]]/$L737,0)</f>
        <v>1</v>
      </c>
      <c r="BK737">
        <f>ROUNDUP(tbl_Data_old[[#This Row],[Adjusted 2034]]/$L737,0)</f>
        <v>1</v>
      </c>
      <c r="BL737" s="3">
        <f t="shared" si="49"/>
        <v>3.5092604936494118E-2</v>
      </c>
      <c r="BM737" s="3">
        <f t="shared" si="49"/>
        <v>6.855782033221583E-2</v>
      </c>
      <c r="BN737" s="3">
        <f t="shared" si="49"/>
        <v>0.10004402946558279</v>
      </c>
      <c r="BO737" s="3">
        <f t="shared" si="49"/>
        <v>0.12968634176981528</v>
      </c>
      <c r="BP737" s="3">
        <f t="shared" si="49"/>
        <v>0.15734299904768123</v>
      </c>
      <c r="BQ737" s="3">
        <f t="shared" si="49"/>
        <v>0.18307536995608878</v>
      </c>
      <c r="BR737" s="3">
        <f t="shared" si="49"/>
        <v>0.20699307914332768</v>
      </c>
      <c r="BS737" s="3">
        <f t="shared" si="49"/>
        <v>0.22913086935986685</v>
      </c>
      <c r="BT737" s="3">
        <f t="shared" si="49"/>
        <v>0.24967836492776319</v>
      </c>
      <c r="BU737" s="3">
        <f t="shared" si="49"/>
        <v>0.26875135426633712</v>
      </c>
      <c r="BV737">
        <f>VLOOKUP($H737,'1. Set Program Names'!$B$2:$D$15,3,0)*V737</f>
        <v>1.3394482732031126E-2</v>
      </c>
      <c r="BW737">
        <f>VLOOKUP($H737,'1. Set Program Names'!$B$2:$D$15,3,0)*W737</f>
        <v>2.6167807783074728E-2</v>
      </c>
      <c r="BX737">
        <f>VLOOKUP($H737,'1. Set Program Names'!$B$2:$D$15,3,0)*X737</f>
        <v>3.8185766703400403E-2</v>
      </c>
      <c r="BY737">
        <f>VLOOKUP($H737,'1. Set Program Names'!$B$2:$D$15,3,0)*Y737</f>
        <v>4.9499929360035097E-2</v>
      </c>
      <c r="BZ737">
        <f>VLOOKUP($H737,'1. Set Program Names'!$B$2:$D$15,3,0)*Z737</f>
        <v>6.0056188121801649E-2</v>
      </c>
      <c r="CA737">
        <f>VLOOKUP($H737,'1. Set Program Names'!$B$2:$D$15,3,0)*AA737</f>
        <v>6.9877966767491417E-2</v>
      </c>
      <c r="CB737">
        <f>VLOOKUP($H737,'1. Set Program Names'!$B$2:$D$15,3,0)*AB737</f>
        <v>7.9007107886481229E-2</v>
      </c>
      <c r="CC737">
        <f>VLOOKUP($H737,'1. Set Program Names'!$B$2:$D$15,3,0)*AC737</f>
        <v>8.7456872425687462E-2</v>
      </c>
      <c r="CD737">
        <f>VLOOKUP($H737,'1. Set Program Names'!$B$2:$D$15,3,0)*AD737</f>
        <v>9.529963801885831E-2</v>
      </c>
      <c r="CE737">
        <f>VLOOKUP($H737,'1. Set Program Names'!$B$2:$D$15,3,0)*AE737</f>
        <v>0.10257959990273847</v>
      </c>
    </row>
    <row r="738" spans="1:83" x14ac:dyDescent="0.25">
      <c r="A738" s="20" t="s">
        <v>115</v>
      </c>
      <c r="B738" s="20" t="s">
        <v>88</v>
      </c>
      <c r="C738" s="20" t="s">
        <v>176</v>
      </c>
      <c r="D738" s="20" t="s">
        <v>90</v>
      </c>
      <c r="E738" s="20" t="s">
        <v>91</v>
      </c>
      <c r="F738" s="20" t="s">
        <v>90</v>
      </c>
      <c r="G738" s="20" t="s">
        <v>92</v>
      </c>
      <c r="H738" s="20" t="s">
        <v>18</v>
      </c>
      <c r="I738" s="20" t="s">
        <v>185</v>
      </c>
      <c r="J738" s="20" t="s">
        <v>178</v>
      </c>
      <c r="K738" s="20" t="s">
        <v>102</v>
      </c>
      <c r="L738" s="20">
        <v>37372.818333333198</v>
      </c>
      <c r="M738" s="20">
        <v>4.4774165562178503</v>
      </c>
      <c r="N738" s="20">
        <v>4.3131393780955101</v>
      </c>
      <c r="O738" s="20">
        <v>14201.670833333301</v>
      </c>
      <c r="P738" s="20">
        <v>6684.0523958317799</v>
      </c>
      <c r="Q738" s="20">
        <v>1182.7822858791001</v>
      </c>
      <c r="R738" s="20">
        <v>15980.395267902501</v>
      </c>
      <c r="S738" s="20">
        <v>39692.564194744999</v>
      </c>
      <c r="T738" s="20">
        <v>15</v>
      </c>
      <c r="U738" s="20">
        <v>1</v>
      </c>
      <c r="V738" s="20">
        <v>2.3824747585142498</v>
      </c>
      <c r="W738" s="20">
        <v>5.0928277585291903</v>
      </c>
      <c r="X738" s="20">
        <v>8.0888901462188407</v>
      </c>
      <c r="Y738" s="20">
        <v>11.3715617495012</v>
      </c>
      <c r="Z738" s="20">
        <v>14.898518594914499</v>
      </c>
      <c r="AA738" s="20">
        <v>18.654695175881699</v>
      </c>
      <c r="AB738" s="20">
        <v>22.627566415650701</v>
      </c>
      <c r="AC738" s="20">
        <v>26.794911932369001</v>
      </c>
      <c r="AD738" s="20">
        <v>31.154978821269498</v>
      </c>
      <c r="AE738" s="20">
        <v>35.6976016511422</v>
      </c>
      <c r="AF738" t="str">
        <f t="shared" si="48"/>
        <v>NonResidential</v>
      </c>
      <c r="AG738" t="str">
        <f>tbl_Data_old[[#This Row],[All_Meas_Name_Append]]</f>
        <v>Custom Measure - Non-Lighting_70</v>
      </c>
      <c r="AH738">
        <f>AVERAGEIFS('3. Incentive Adjustment'!G:G,'3. Incentive Adjustment'!A:A,tbl_Data_old[[#This Row],[Trimmed Sector]],'3. Incentive Adjustment'!B:B,tbl_Data_old[[#This Row],[Trimmed Measure Name]])</f>
        <v>0.82269267220071174</v>
      </c>
      <c r="AI738">
        <f>$AH738*tbl_Data_old[[#This Row],[2025 ]]</f>
        <v>1.9600445255328336</v>
      </c>
      <c r="AJ738">
        <f>$AH738*tbl_Data_old[[#This Row],[2026 ]]</f>
        <v>4.1898320777223406</v>
      </c>
      <c r="AK738">
        <f>$AH738*tbl_Data_old[[#This Row],[2027 ]]</f>
        <v>6.6546706495307841</v>
      </c>
      <c r="AL738">
        <f>$AH738*tbl_Data_old[[#This Row],[2028 ]]</f>
        <v>9.3553005227925432</v>
      </c>
      <c r="AM738">
        <f>$AH738*tbl_Data_old[[#This Row],[2029 ]]</f>
        <v>12.256902074682202</v>
      </c>
      <c r="AN738">
        <f>$AH738*tbl_Data_old[[#This Row],[2030 ]]</f>
        <v>15.347081023335841</v>
      </c>
      <c r="AO738">
        <f>$AH738*tbl_Data_old[[#This Row],[2031 ]]</f>
        <v>18.615533079890756</v>
      </c>
      <c r="AP738">
        <f>$AH738*tbl_Data_old[[#This Row],[2032 ]]</f>
        <v>22.04397769902339</v>
      </c>
      <c r="AQ738">
        <f>$AH738*tbl_Data_old[[#This Row],[2033 ]]</f>
        <v>25.630972778826784</v>
      </c>
      <c r="AR738">
        <f>$AH738*tbl_Data_old[[#This Row],[2034 ]]</f>
        <v>29.368155293534716</v>
      </c>
      <c r="AS738">
        <f>SUM(tbl_Data_old[[#This Row],[Adjusted 2025]:[Adjusted 2034]])</f>
        <v>145.4224697248722</v>
      </c>
      <c r="AT738" s="3">
        <f>AVERAGEIFS('3. Incentive Adjustment'!F:F,'3. Incentive Adjustment'!A:A,tbl_Data_old[[#This Row],[Trimmed Sector]],'3. Incentive Adjustment'!B:B,tbl_Data_old[[#This Row],[Trimmed Measure Name]])</f>
        <v>3919.5698976361523</v>
      </c>
      <c r="AU738" s="3">
        <f>IFERROR(VLOOKUP(tbl_Data_old[[#This Row],[All_Meas_Name_Append]],'IRA Tax Credits'!$A$3:$D$46,4,0),0)</f>
        <v>0</v>
      </c>
      <c r="AV738" s="4">
        <f>tbl_Data_old[[#This Row],[Adj. per unit Incentive ($)]]/tbl_Data_old[[#This Row],[kWh Savings]]*tbl_Data_old[[#This Row],[Sum of Annuals]]</f>
        <v>15.251553406801294</v>
      </c>
      <c r="AW738" s="4">
        <f>IFERROR(VLOOKUP(tbl_Data_old[[#This Row],[All_Programs]],'1. Set Program Names'!$B$2:$D$15,3,0)*tbl_Data_old[[#This Row],[Sum of Annuals]],"")</f>
        <v>4.6023588487560732</v>
      </c>
      <c r="AX738" s="4">
        <f>tbl_Data_old[[#This Row],[per unit IRA tax ($)]]/tbl_Data_old[[#This Row],[kWh Savings]]*tbl_Data_old[[#This Row],[Sum of Annuals]]</f>
        <v>0</v>
      </c>
      <c r="AY738" s="4">
        <f>tbl_Data_old[[#This Row],[Avoided Costs ($/unit)]]/tbl_Data_old[[#This Row],[kWh Savings]]*tbl_Data_old[[#This Row],[Sum of Annuals]]</f>
        <v>62.181784801745195</v>
      </c>
      <c r="AZ738" s="4">
        <f>tbl_Data_old[[#This Row],[Lost Revenue ($/unit)]]/tbl_Data_old[[#This Row],[kWh Savings]]*tbl_Data_old[[#This Row],[Sum of Annuals]]</f>
        <v>154.44890089449248</v>
      </c>
      <c r="BA738" s="4">
        <f>tbl_Data_old[[#This Row],[Incremental Cost ($/unit)]]/tbl_Data_old[[#This Row],[kWh Savings]]*tbl_Data_old[[#This Row],[Sum of Annuals]]</f>
        <v>55.260537976634268</v>
      </c>
      <c r="BB738">
        <f>ROUNDUP(tbl_Data_old[[#This Row],[Adjusted 2025]]/$L738,0)</f>
        <v>1</v>
      </c>
      <c r="BC738">
        <f>ROUNDUP(tbl_Data_old[[#This Row],[Adjusted 2026]]/$L738,0)</f>
        <v>1</v>
      </c>
      <c r="BD738">
        <f>ROUNDUP(tbl_Data_old[[#This Row],[Adjusted 2027]]/$L738,0)</f>
        <v>1</v>
      </c>
      <c r="BE738">
        <f>ROUNDUP(tbl_Data_old[[#This Row],[Adjusted 2028]]/$L738,0)</f>
        <v>1</v>
      </c>
      <c r="BF738">
        <f>ROUNDUP(tbl_Data_old[[#This Row],[Adjusted 2029]]/$L738,0)</f>
        <v>1</v>
      </c>
      <c r="BG738">
        <f>ROUNDUP(tbl_Data_old[[#This Row],[Adjusted 2030]]/$L738,0)</f>
        <v>1</v>
      </c>
      <c r="BH738">
        <f>ROUNDUP(tbl_Data_old[[#This Row],[Adjusted 2031]]/$L738,0)</f>
        <v>1</v>
      </c>
      <c r="BI738">
        <f>ROUNDUP(tbl_Data_old[[#This Row],[Adjusted 2032]]/$L738,0)</f>
        <v>1</v>
      </c>
      <c r="BJ738">
        <f>ROUNDUP(tbl_Data_old[[#This Row],[Adjusted 2033]]/$L738,0)</f>
        <v>1</v>
      </c>
      <c r="BK738">
        <f>ROUNDUP(tbl_Data_old[[#This Row],[Adjusted 2034]]/$L738,0)</f>
        <v>1</v>
      </c>
      <c r="BL738" s="3">
        <f t="shared" si="49"/>
        <v>0.24986813309237402</v>
      </c>
      <c r="BM738" s="3">
        <f t="shared" si="49"/>
        <v>0.53412333525761357</v>
      </c>
      <c r="BN738" s="3">
        <f t="shared" si="49"/>
        <v>0.84834304011070738</v>
      </c>
      <c r="BO738" s="3">
        <f t="shared" si="49"/>
        <v>1.1926216194057195</v>
      </c>
      <c r="BP738" s="3">
        <f t="shared" si="49"/>
        <v>1.5625202381891423</v>
      </c>
      <c r="BQ738" s="3">
        <f t="shared" si="49"/>
        <v>1.9564588629311166</v>
      </c>
      <c r="BR738" s="3">
        <f t="shared" si="49"/>
        <v>2.3731238941764112</v>
      </c>
      <c r="BS738" s="3">
        <f t="shared" si="49"/>
        <v>2.8101849125532188</v>
      </c>
      <c r="BT738" s="3">
        <f t="shared" si="49"/>
        <v>3.2674580776913191</v>
      </c>
      <c r="BU738" s="3">
        <f t="shared" si="49"/>
        <v>3.7438772639961213</v>
      </c>
      <c r="BV738">
        <f>VLOOKUP($H738,'1. Set Program Names'!$B$2:$D$15,3,0)*V738</f>
        <v>7.5401028517332741E-2</v>
      </c>
      <c r="BW738">
        <f>VLOOKUP($H738,'1. Set Program Names'!$B$2:$D$15,3,0)*W738</f>
        <v>0.1611788119401503</v>
      </c>
      <c r="BX738">
        <f>VLOOKUP($H738,'1. Set Program Names'!$B$2:$D$15,3,0)*X738</f>
        <v>0.25599878211048449</v>
      </c>
      <c r="BY738">
        <f>VLOOKUP($H738,'1. Set Program Names'!$B$2:$D$15,3,0)*Y738</f>
        <v>0.35988941695879961</v>
      </c>
      <c r="BZ738">
        <f>VLOOKUP($H738,'1. Set Program Names'!$B$2:$D$15,3,0)*Z738</f>
        <v>0.47151123907046477</v>
      </c>
      <c r="CA738">
        <f>VLOOKUP($H738,'1. Set Program Names'!$B$2:$D$15,3,0)*AA738</f>
        <v>0.59038745233799406</v>
      </c>
      <c r="CB738">
        <f>VLOOKUP($H738,'1. Set Program Names'!$B$2:$D$15,3,0)*AB738</f>
        <v>0.71612166067534633</v>
      </c>
      <c r="CC738">
        <f>VLOOKUP($H738,'1. Set Program Names'!$B$2:$D$15,3,0)*AC738</f>
        <v>0.84801062907877622</v>
      </c>
      <c r="CD738">
        <f>VLOOKUP($H738,'1. Set Program Names'!$B$2:$D$15,3,0)*AD738</f>
        <v>0.98599888127435487</v>
      </c>
      <c r="CE738">
        <f>VLOOKUP($H738,'1. Set Program Names'!$B$2:$D$15,3,0)*AE738</f>
        <v>1.1297646997010393</v>
      </c>
    </row>
    <row r="739" spans="1:83" x14ac:dyDescent="0.25">
      <c r="A739" s="20" t="s">
        <v>115</v>
      </c>
      <c r="B739" s="20" t="s">
        <v>88</v>
      </c>
      <c r="C739" s="20" t="s">
        <v>176</v>
      </c>
      <c r="D739" s="20" t="s">
        <v>90</v>
      </c>
      <c r="E739" s="20" t="s">
        <v>91</v>
      </c>
      <c r="F739" s="20" t="s">
        <v>90</v>
      </c>
      <c r="G739" s="20" t="s">
        <v>92</v>
      </c>
      <c r="H739" s="20" t="s">
        <v>18</v>
      </c>
      <c r="I739" s="20" t="s">
        <v>187</v>
      </c>
      <c r="J739" s="20" t="s">
        <v>137</v>
      </c>
      <c r="K739" s="20" t="s">
        <v>98</v>
      </c>
      <c r="L739" s="20">
        <v>16575.9941666665</v>
      </c>
      <c r="M739" s="20">
        <v>1.98609088803711</v>
      </c>
      <c r="N739" s="20">
        <v>1.91315479867159</v>
      </c>
      <c r="O739" s="20">
        <v>5440</v>
      </c>
      <c r="P739" s="20">
        <v>2106.6717861739999</v>
      </c>
      <c r="Q739" s="20">
        <v>524.60031502847596</v>
      </c>
      <c r="R739" s="20">
        <v>7087.6591263841001</v>
      </c>
      <c r="S739" s="20">
        <v>17604.872789732901</v>
      </c>
      <c r="T739" s="20">
        <v>15</v>
      </c>
      <c r="U739" s="20">
        <v>1</v>
      </c>
      <c r="V739" s="20">
        <v>1.1375669923159699</v>
      </c>
      <c r="W739" s="20">
        <v>2.7094368810127798</v>
      </c>
      <c r="X739" s="20">
        <v>4.8134785142908596</v>
      </c>
      <c r="Y739" s="20">
        <v>7.5604198824697502</v>
      </c>
      <c r="Z739" s="20">
        <v>10.990930523401801</v>
      </c>
      <c r="AA739" s="20">
        <v>15.065570482794501</v>
      </c>
      <c r="AB739" s="20">
        <v>19.611109878261399</v>
      </c>
      <c r="AC739" s="20">
        <v>24.304746799585502</v>
      </c>
      <c r="AD739" s="20">
        <v>28.757850918715299</v>
      </c>
      <c r="AE739" s="20">
        <v>32.621011300974203</v>
      </c>
      <c r="AF739" t="str">
        <f t="shared" si="48"/>
        <v>NonResidential</v>
      </c>
      <c r="AG739" t="str">
        <f>tbl_Data_old[[#This Row],[All_Meas_Name_Append]]</f>
        <v>High Efficiency Air Compressor</v>
      </c>
      <c r="AH739">
        <f>AVERAGEIFS('3. Incentive Adjustment'!G:G,'3. Incentive Adjustment'!A:A,tbl_Data_old[[#This Row],[Trimmed Sector]],'3. Incentive Adjustment'!B:B,tbl_Data_old[[#This Row],[Trimmed Measure Name]])</f>
        <v>0.94309259342294038</v>
      </c>
      <c r="AI739">
        <f>$AH739*tbl_Data_old[[#This Row],[2025 ]]</f>
        <v>1.0728310049756022</v>
      </c>
      <c r="AJ739">
        <f>$AH739*tbl_Data_old[[#This Row],[2026 ]]</f>
        <v>2.5552498548301052</v>
      </c>
      <c r="AK739">
        <f>$AH739*tbl_Data_old[[#This Row],[2027 ]]</f>
        <v>4.5395559354281687</v>
      </c>
      <c r="AL739">
        <f>$AH739*tbl_Data_old[[#This Row],[2028 ]]</f>
        <v>7.1301759943247589</v>
      </c>
      <c r="AM739">
        <f>$AH739*tbl_Data_old[[#This Row],[2029 ]]</f>
        <v>10.36546517144636</v>
      </c>
      <c r="AN739">
        <f>$AH739*tbl_Data_old[[#This Row],[2030 ]]</f>
        <v>14.208227938014765</v>
      </c>
      <c r="AO739">
        <f>$AH739*tbl_Data_old[[#This Row],[2031 ]]</f>
        <v>18.495092474991786</v>
      </c>
      <c r="AP739">
        <f>$AH739*tbl_Data_old[[#This Row],[2032 ]]</f>
        <v>22.921626691709001</v>
      </c>
      <c r="AQ739">
        <f>$AH739*tbl_Data_old[[#This Row],[2033 ]]</f>
        <v>27.121316204201499</v>
      </c>
      <c r="AR739">
        <f>$AH739*tbl_Data_old[[#This Row],[2034 ]]</f>
        <v>30.764634147914808</v>
      </c>
      <c r="AS739">
        <f>SUM(tbl_Data_old[[#This Row],[Adjusted 2025]:[Adjusted 2034]])</f>
        <v>139.17417541783686</v>
      </c>
      <c r="AT739" s="3">
        <f>AVERAGEIFS('3. Incentive Adjustment'!F:F,'3. Incentive Adjustment'!A:A,tbl_Data_old[[#This Row],[Trimmed Sector]],'3. Incentive Adjustment'!B:B,tbl_Data_old[[#This Row],[Trimmed Measure Name]])</f>
        <v>1738.5866300231887</v>
      </c>
      <c r="AU739" s="3">
        <f>IFERROR(VLOOKUP(tbl_Data_old[[#This Row],[All_Meas_Name_Append]],'IRA Tax Credits'!$A$3:$D$46,4,0),0)</f>
        <v>0</v>
      </c>
      <c r="AV739" s="4">
        <f>tbl_Data_old[[#This Row],[Adj. per unit Incentive ($)]]/tbl_Data_old[[#This Row],[kWh Savings]]*tbl_Data_old[[#This Row],[Sum of Annuals]]</f>
        <v>14.597396584063443</v>
      </c>
      <c r="AW739" s="4">
        <f>IFERROR(VLOOKUP(tbl_Data_old[[#This Row],[All_Programs]],'1. Set Program Names'!$B$2:$D$15,3,0)*tbl_Data_old[[#This Row],[Sum of Annuals]],"")</f>
        <v>4.4046116048258739</v>
      </c>
      <c r="AX739" s="4">
        <f>tbl_Data_old[[#This Row],[per unit IRA tax ($)]]/tbl_Data_old[[#This Row],[kWh Savings]]*tbl_Data_old[[#This Row],[Sum of Annuals]]</f>
        <v>0</v>
      </c>
      <c r="AY739" s="4">
        <f>tbl_Data_old[[#This Row],[Avoided Costs ($/unit)]]/tbl_Data_old[[#This Row],[kWh Savings]]*tbl_Data_old[[#This Row],[Sum of Annuals]]</f>
        <v>59.508896096310949</v>
      </c>
      <c r="AZ739" s="4">
        <f>tbl_Data_old[[#This Row],[Lost Revenue ($/unit)]]/tbl_Data_old[[#This Row],[kWh Savings]]*tbl_Data_old[[#This Row],[Sum of Annuals]]</f>
        <v>147.81277244740511</v>
      </c>
      <c r="BA739" s="4">
        <f>tbl_Data_old[[#This Row],[Incremental Cost ($/unit)]]/tbl_Data_old[[#This Row],[kWh Savings]]*tbl_Data_old[[#This Row],[Sum of Annuals]]</f>
        <v>45.674938508094925</v>
      </c>
      <c r="BB739">
        <f>ROUNDUP(tbl_Data_old[[#This Row],[Adjusted 2025]]/$L739,0)</f>
        <v>1</v>
      </c>
      <c r="BC739">
        <f>ROUNDUP(tbl_Data_old[[#This Row],[Adjusted 2026]]/$L739,0)</f>
        <v>1</v>
      </c>
      <c r="BD739">
        <f>ROUNDUP(tbl_Data_old[[#This Row],[Adjusted 2027]]/$L739,0)</f>
        <v>1</v>
      </c>
      <c r="BE739">
        <f>ROUNDUP(tbl_Data_old[[#This Row],[Adjusted 2028]]/$L739,0)</f>
        <v>1</v>
      </c>
      <c r="BF739">
        <f>ROUNDUP(tbl_Data_old[[#This Row],[Adjusted 2029]]/$L739,0)</f>
        <v>1</v>
      </c>
      <c r="BG739">
        <f>ROUNDUP(tbl_Data_old[[#This Row],[Adjusted 2030]]/$L739,0)</f>
        <v>1</v>
      </c>
      <c r="BH739">
        <f>ROUNDUP(tbl_Data_old[[#This Row],[Adjusted 2031]]/$L739,0)</f>
        <v>1</v>
      </c>
      <c r="BI739">
        <f>ROUNDUP(tbl_Data_old[[#This Row],[Adjusted 2032]]/$L739,0)</f>
        <v>1</v>
      </c>
      <c r="BJ739">
        <f>ROUNDUP(tbl_Data_old[[#This Row],[Adjusted 2033]]/$L739,0)</f>
        <v>1</v>
      </c>
      <c r="BK739">
        <f>ROUNDUP(tbl_Data_old[[#This Row],[Adjusted 2034]]/$L739,0)</f>
        <v>1</v>
      </c>
      <c r="BL739" s="3">
        <f t="shared" si="49"/>
        <v>0.11931463921321904</v>
      </c>
      <c r="BM739" s="3">
        <f t="shared" si="49"/>
        <v>0.28418149094751205</v>
      </c>
      <c r="BN739" s="3">
        <f t="shared" si="49"/>
        <v>0.50486560894663612</v>
      </c>
      <c r="BO739" s="3">
        <f t="shared" si="49"/>
        <v>0.79298078853431431</v>
      </c>
      <c r="BP739" s="3">
        <f t="shared" si="49"/>
        <v>1.1527926872661884</v>
      </c>
      <c r="BQ739" s="3">
        <f t="shared" si="49"/>
        <v>1.5801646134583549</v>
      </c>
      <c r="BR739" s="3">
        <f t="shared" si="49"/>
        <v>2.0569272100026152</v>
      </c>
      <c r="BS739" s="3">
        <f t="shared" si="49"/>
        <v>2.5492231359994544</v>
      </c>
      <c r="BT739" s="3">
        <f t="shared" si="49"/>
        <v>3.0162905834041625</v>
      </c>
      <c r="BU739" s="3">
        <f t="shared" si="49"/>
        <v>3.421481302144703</v>
      </c>
      <c r="BV739">
        <f>VLOOKUP($H739,'1. Set Program Names'!$B$2:$D$15,3,0)*V739</f>
        <v>3.600194332446266E-2</v>
      </c>
      <c r="BW739">
        <f>VLOOKUP($H739,'1. Set Program Names'!$B$2:$D$15,3,0)*W739</f>
        <v>8.5748789908926037E-2</v>
      </c>
      <c r="BX739">
        <f>VLOOKUP($H739,'1. Set Program Names'!$B$2:$D$15,3,0)*X739</f>
        <v>0.1523379122597503</v>
      </c>
      <c r="BY739">
        <f>VLOOKUP($H739,'1. Set Program Names'!$B$2:$D$15,3,0)*Y739</f>
        <v>0.23927365153560409</v>
      </c>
      <c r="BZ739">
        <f>VLOOKUP($H739,'1. Set Program Names'!$B$2:$D$15,3,0)*Z739</f>
        <v>0.34784312524840771</v>
      </c>
      <c r="CA739">
        <f>VLOOKUP($H739,'1. Set Program Names'!$B$2:$D$15,3,0)*AA739</f>
        <v>0.47679812998794474</v>
      </c>
      <c r="CB739">
        <f>VLOOKUP($H739,'1. Set Program Names'!$B$2:$D$15,3,0)*AB739</f>
        <v>0.62065625245468448</v>
      </c>
      <c r="CC739">
        <f>VLOOKUP($H739,'1. Set Program Names'!$B$2:$D$15,3,0)*AC739</f>
        <v>0.76920139447141056</v>
      </c>
      <c r="CD739">
        <f>VLOOKUP($H739,'1. Set Program Names'!$B$2:$D$15,3,0)*AD739</f>
        <v>0.91013410718000132</v>
      </c>
      <c r="CE739">
        <f>VLOOKUP($H739,'1. Set Program Names'!$B$2:$D$15,3,0)*AE739</f>
        <v>1.0323961647773647</v>
      </c>
    </row>
    <row r="740" spans="1:83" x14ac:dyDescent="0.25">
      <c r="A740" s="20" t="s">
        <v>115</v>
      </c>
      <c r="B740" s="20" t="s">
        <v>88</v>
      </c>
      <c r="C740" s="20" t="s">
        <v>176</v>
      </c>
      <c r="D740" s="20" t="s">
        <v>90</v>
      </c>
      <c r="E740" s="20" t="s">
        <v>91</v>
      </c>
      <c r="F740" s="20" t="s">
        <v>90</v>
      </c>
      <c r="G740" s="20" t="s">
        <v>92</v>
      </c>
      <c r="H740" s="20" t="s">
        <v>18</v>
      </c>
      <c r="I740" s="20" t="s">
        <v>157</v>
      </c>
      <c r="J740" s="20" t="s">
        <v>158</v>
      </c>
      <c r="K740" s="20" t="s">
        <v>159</v>
      </c>
      <c r="L740" s="20">
        <v>562.52</v>
      </c>
      <c r="M740" s="20">
        <v>6.7473359330379998E-2</v>
      </c>
      <c r="N740" s="20">
        <v>6.4973258375617293E-2</v>
      </c>
      <c r="O740" s="20">
        <v>169</v>
      </c>
      <c r="P740" s="20">
        <v>55.847956108163899</v>
      </c>
      <c r="Q740" s="20">
        <v>17.802743307140101</v>
      </c>
      <c r="R740" s="20">
        <v>240.47921618074301</v>
      </c>
      <c r="S740" s="20">
        <v>597.43584258705596</v>
      </c>
      <c r="T740" s="20">
        <v>15</v>
      </c>
      <c r="U740" s="20">
        <v>0.2</v>
      </c>
      <c r="V740" s="20">
        <v>7.2954904704315704E-2</v>
      </c>
      <c r="W740" s="20">
        <v>0.15595330807506899</v>
      </c>
      <c r="X740" s="20">
        <v>0.24770391197500799</v>
      </c>
      <c r="Y740" s="20">
        <v>0.348239359173109</v>
      </c>
      <c r="Z740" s="20">
        <v>0.45625732692723697</v>
      </c>
      <c r="AA740" s="20">
        <v>0.57129901628678903</v>
      </c>
      <c r="AB740" s="20">
        <v>0.69298246407688202</v>
      </c>
      <c r="AC740" s="20">
        <v>0.82062356561598504</v>
      </c>
      <c r="AD740" s="20">
        <v>0.95417211851917605</v>
      </c>
      <c r="AE740" s="20">
        <v>1.09331647524526</v>
      </c>
      <c r="AF740" t="str">
        <f t="shared" si="48"/>
        <v>NonResidential</v>
      </c>
      <c r="AG740" t="str">
        <f>tbl_Data_old[[#This Row],[All_Meas_Name_Append]]</f>
        <v>LED Exterior Wall Packs</v>
      </c>
      <c r="AH740">
        <f>AVERAGEIFS('3. Incentive Adjustment'!G:G,'3. Incentive Adjustment'!A:A,tbl_Data_old[[#This Row],[Trimmed Sector]],'3. Incentive Adjustment'!B:B,tbl_Data_old[[#This Row],[Trimmed Measure Name]])</f>
        <v>0.80637708305213962</v>
      </c>
      <c r="AI740">
        <f>$AH740*tbl_Data_old[[#This Row],[2025 ]]</f>
        <v>5.8829163249812917E-2</v>
      </c>
      <c r="AJ740">
        <f>$AH740*tbl_Data_old[[#This Row],[2026 ]]</f>
        <v>0.12575717365790581</v>
      </c>
      <c r="AK740">
        <f>$AH740*tbl_Data_old[[#This Row],[2027 ]]</f>
        <v>0.19974275799901089</v>
      </c>
      <c r="AL740">
        <f>$AH740*tbl_Data_old[[#This Row],[2028 ]]</f>
        <v>0.28081223865395799</v>
      </c>
      <c r="AM740">
        <f>$AH740*tbl_Data_old[[#This Row],[2029 ]]</f>
        <v>0.36791545240875179</v>
      </c>
      <c r="AN740">
        <f>$AH740*tbl_Data_old[[#This Row],[2030 ]]</f>
        <v>0.46068243430389777</v>
      </c>
      <c r="AO740">
        <f>$AH740*tbl_Data_old[[#This Row],[2031 ]]</f>
        <v>0.5588051779886003</v>
      </c>
      <c r="AP740">
        <f>$AH740*tbl_Data_old[[#This Row],[2032 ]]</f>
        <v>0.66173203712526407</v>
      </c>
      <c r="AQ740">
        <f>$AH740*tbl_Data_old[[#This Row],[2033 ]]</f>
        <v>0.76942252966117364</v>
      </c>
      <c r="AR740">
        <f>$AH740*tbl_Data_old[[#This Row],[2034 ]]</f>
        <v>0.88162535016111954</v>
      </c>
      <c r="AS740">
        <f>SUM(tbl_Data_old[[#This Row],[Adjusted 2025]:[Adjusted 2034]])</f>
        <v>4.3653243152094943</v>
      </c>
      <c r="AT740" s="3">
        <f>AVERAGEIFS('3. Incentive Adjustment'!F:F,'3. Incentive Adjustment'!A:A,tbl_Data_old[[#This Row],[Trimmed Sector]],'3. Incentive Adjustment'!B:B,tbl_Data_old[[#This Row],[Trimmed Measure Name]])</f>
        <v>8.6864493556481861</v>
      </c>
      <c r="AU740" s="3">
        <f>IFERROR(VLOOKUP(tbl_Data_old[[#This Row],[All_Meas_Name_Append]],'IRA Tax Credits'!$A$3:$D$46,4,0),0)</f>
        <v>0</v>
      </c>
      <c r="AV740" s="4">
        <f>tbl_Data_old[[#This Row],[Adj. per unit Incentive ($)]]/tbl_Data_old[[#This Row],[kWh Savings]]*tbl_Data_old[[#This Row],[Sum of Annuals]]</f>
        <v>6.7409458481559534E-2</v>
      </c>
      <c r="AW740" s="4">
        <f>IFERROR(VLOOKUP(tbl_Data_old[[#This Row],[All_Programs]],'1. Set Program Names'!$B$2:$D$15,3,0)*tbl_Data_old[[#This Row],[Sum of Annuals]],"")</f>
        <v>0.13815464025473259</v>
      </c>
      <c r="AX740" s="4">
        <f>tbl_Data_old[[#This Row],[per unit IRA tax ($)]]/tbl_Data_old[[#This Row],[kWh Savings]]*tbl_Data_old[[#This Row],[Sum of Annuals]]</f>
        <v>0</v>
      </c>
      <c r="AY740" s="4">
        <f>tbl_Data_old[[#This Row],[Avoided Costs ($/unit)]]/tbl_Data_old[[#This Row],[kWh Savings]]*tbl_Data_old[[#This Row],[Sum of Annuals]]</f>
        <v>1.8661910148907024</v>
      </c>
      <c r="AZ740" s="4">
        <f>tbl_Data_old[[#This Row],[Lost Revenue ($/unit)]]/tbl_Data_old[[#This Row],[kWh Savings]]*tbl_Data_old[[#This Row],[Sum of Annuals]]</f>
        <v>4.6362817507341028</v>
      </c>
      <c r="BA740" s="4">
        <f>tbl_Data_old[[#This Row],[Incremental Cost ($/unit)]]/tbl_Data_old[[#This Row],[kWh Savings]]*tbl_Data_old[[#This Row],[Sum of Annuals]]</f>
        <v>1.3114908079186598</v>
      </c>
      <c r="BB740">
        <f>ROUNDUP(tbl_Data_old[[#This Row],[Adjusted 2025]]/$L740,0)</f>
        <v>1</v>
      </c>
      <c r="BC740">
        <f>ROUNDUP(tbl_Data_old[[#This Row],[Adjusted 2026]]/$L740,0)</f>
        <v>1</v>
      </c>
      <c r="BD740">
        <f>ROUNDUP(tbl_Data_old[[#This Row],[Adjusted 2027]]/$L740,0)</f>
        <v>1</v>
      </c>
      <c r="BE740">
        <f>ROUNDUP(tbl_Data_old[[#This Row],[Adjusted 2028]]/$L740,0)</f>
        <v>1</v>
      </c>
      <c r="BF740">
        <f>ROUNDUP(tbl_Data_old[[#This Row],[Adjusted 2029]]/$L740,0)</f>
        <v>1</v>
      </c>
      <c r="BG740">
        <f>ROUNDUP(tbl_Data_old[[#This Row],[Adjusted 2030]]/$L740,0)</f>
        <v>1</v>
      </c>
      <c r="BH740">
        <f>ROUNDUP(tbl_Data_old[[#This Row],[Adjusted 2031]]/$L740,0)</f>
        <v>1</v>
      </c>
      <c r="BI740">
        <f>ROUNDUP(tbl_Data_old[[#This Row],[Adjusted 2032]]/$L740,0)</f>
        <v>1</v>
      </c>
      <c r="BJ740">
        <f>ROUNDUP(tbl_Data_old[[#This Row],[Adjusted 2033]]/$L740,0)</f>
        <v>1</v>
      </c>
      <c r="BK740">
        <f>ROUNDUP(tbl_Data_old[[#This Row],[Adjusted 2034]]/$L740,0)</f>
        <v>1</v>
      </c>
      <c r="BL740" s="3">
        <f t="shared" si="49"/>
        <v>1.1265716507149577E-3</v>
      </c>
      <c r="BM740" s="3">
        <f t="shared" si="49"/>
        <v>2.4082352848607803E-3</v>
      </c>
      <c r="BN740" s="3">
        <f t="shared" si="49"/>
        <v>3.8250506409849305E-3</v>
      </c>
      <c r="BO740" s="3">
        <f t="shared" si="49"/>
        <v>5.3775217896263067E-3</v>
      </c>
      <c r="BP740" s="3">
        <f t="shared" si="49"/>
        <v>7.0455382270796793E-3</v>
      </c>
      <c r="BQ740" s="3">
        <f t="shared" si="49"/>
        <v>8.8220151672950674E-3</v>
      </c>
      <c r="BR740" s="3">
        <f t="shared" si="49"/>
        <v>1.0701054324390464E-2</v>
      </c>
      <c r="BS740" s="3">
        <f t="shared" si="49"/>
        <v>1.2672091735004427E-2</v>
      </c>
      <c r="BT740" s="3">
        <f t="shared" si="49"/>
        <v>1.4734352172524286E-2</v>
      </c>
      <c r="BU740" s="3">
        <f t="shared" si="49"/>
        <v>1.6883023167022924E-2</v>
      </c>
      <c r="BV740">
        <f>VLOOKUP($H740,'1. Set Program Names'!$B$2:$D$15,3,0)*V740</f>
        <v>2.3088911353335122E-3</v>
      </c>
      <c r="BW740">
        <f>VLOOKUP($H740,'1. Set Program Names'!$B$2:$D$15,3,0)*W740</f>
        <v>4.9356408866525767E-3</v>
      </c>
      <c r="BX740">
        <f>VLOOKUP($H740,'1. Set Program Names'!$B$2:$D$15,3,0)*X740</f>
        <v>7.8393819972010191E-3</v>
      </c>
      <c r="BY740">
        <f>VLOOKUP($H740,'1. Set Program Names'!$B$2:$D$15,3,0)*Y740</f>
        <v>1.1021147551734795E-2</v>
      </c>
      <c r="BZ740">
        <f>VLOOKUP($H740,'1. Set Program Names'!$B$2:$D$15,3,0)*Z740</f>
        <v>1.4439721384639736E-2</v>
      </c>
      <c r="CA740">
        <f>VLOOKUP($H740,'1. Set Program Names'!$B$2:$D$15,3,0)*AA740</f>
        <v>1.8080583336726536E-2</v>
      </c>
      <c r="CB740">
        <f>VLOOKUP($H740,'1. Set Program Names'!$B$2:$D$15,3,0)*AB740</f>
        <v>2.1931644962508413E-2</v>
      </c>
      <c r="CC740">
        <f>VLOOKUP($H740,'1. Set Program Names'!$B$2:$D$15,3,0)*AC740</f>
        <v>2.597125558282639E-2</v>
      </c>
      <c r="CD740">
        <f>VLOOKUP($H740,'1. Set Program Names'!$B$2:$D$15,3,0)*AD740</f>
        <v>3.0197826382754468E-2</v>
      </c>
      <c r="CE740">
        <f>VLOOKUP($H740,'1. Set Program Names'!$B$2:$D$15,3,0)*AE740</f>
        <v>3.4601494279774339E-2</v>
      </c>
    </row>
    <row r="741" spans="1:83" x14ac:dyDescent="0.25">
      <c r="A741" s="20" t="s">
        <v>115</v>
      </c>
      <c r="B741" s="20" t="s">
        <v>88</v>
      </c>
      <c r="C741" s="20" t="s">
        <v>176</v>
      </c>
      <c r="D741" s="20" t="s">
        <v>90</v>
      </c>
      <c r="E741" s="20" t="s">
        <v>91</v>
      </c>
      <c r="F741" s="20" t="s">
        <v>90</v>
      </c>
      <c r="G741" s="20" t="s">
        <v>92</v>
      </c>
      <c r="H741" s="20" t="s">
        <v>18</v>
      </c>
      <c r="I741" s="20" t="s">
        <v>162</v>
      </c>
      <c r="J741" s="20" t="s">
        <v>161</v>
      </c>
      <c r="K741" s="20" t="s">
        <v>159</v>
      </c>
      <c r="L741" s="20">
        <v>725.58416666666596</v>
      </c>
      <c r="M741" s="20">
        <v>8.6917804178563804E-2</v>
      </c>
      <c r="N741" s="20">
        <v>8.3795205289933394E-2</v>
      </c>
      <c r="O741" s="20">
        <v>179</v>
      </c>
      <c r="P741" s="20">
        <v>33.0790753554421</v>
      </c>
      <c r="Q741" s="20">
        <v>22.963430041406301</v>
      </c>
      <c r="R741" s="20">
        <v>310.45187974046598</v>
      </c>
      <c r="S741" s="20">
        <v>770.62146764617603</v>
      </c>
      <c r="T741" s="20">
        <v>15</v>
      </c>
      <c r="U741" s="20">
        <v>0.2</v>
      </c>
      <c r="V741" s="20">
        <v>0.37363118456680899</v>
      </c>
      <c r="W741" s="20">
        <v>0.79869913434008999</v>
      </c>
      <c r="X741" s="20">
        <v>1.26859059617934</v>
      </c>
      <c r="Y741" s="20">
        <v>1.7834727467328</v>
      </c>
      <c r="Z741" s="20">
        <v>2.3366758714582301</v>
      </c>
      <c r="AA741" s="20">
        <v>2.92585027781496</v>
      </c>
      <c r="AB741" s="20">
        <v>3.5490397799362099</v>
      </c>
      <c r="AC741" s="20">
        <v>4.2027408047097596</v>
      </c>
      <c r="AD741" s="20">
        <v>4.8866962456857497</v>
      </c>
      <c r="AE741" s="20">
        <v>5.5993100314218198</v>
      </c>
      <c r="AF741" t="str">
        <f t="shared" si="48"/>
        <v>NonResidential</v>
      </c>
      <c r="AG741" t="str">
        <f>tbl_Data_old[[#This Row],[All_Meas_Name_Append]]</f>
        <v>LED High Bay_LF Baseline</v>
      </c>
      <c r="AH741">
        <f>AVERAGEIFS('3. Incentive Adjustment'!G:G,'3. Incentive Adjustment'!A:A,tbl_Data_old[[#This Row],[Trimmed Sector]],'3. Incentive Adjustment'!B:B,tbl_Data_old[[#This Row],[Trimmed Measure Name]])</f>
        <v>0.93017466414143679</v>
      </c>
      <c r="AI741">
        <f>$AH741*tbl_Data_old[[#This Row],[2025 ]]</f>
        <v>0.34754226161719876</v>
      </c>
      <c r="AJ741">
        <f>$AH741*tbl_Data_old[[#This Row],[2026 ]]</f>
        <v>0.74292969903484951</v>
      </c>
      <c r="AK741">
        <f>$AH741*tbl_Data_old[[#This Row],[2027 ]]</f>
        <v>1.1800108317341027</v>
      </c>
      <c r="AL741">
        <f>$AH741*tbl_Data_old[[#This Row],[2028 ]]</f>
        <v>1.6589411631975879</v>
      </c>
      <c r="AM741">
        <f>$AH741*tbl_Data_old[[#This Row],[2029 ]]</f>
        <v>2.1735166939410582</v>
      </c>
      <c r="AN741">
        <f>$AH741*tbl_Data_old[[#This Row],[2030 ]]</f>
        <v>2.7215517994946601</v>
      </c>
      <c r="AO741">
        <f>$AH741*tbl_Data_old[[#This Row],[2031 ]]</f>
        <v>3.3012268853267628</v>
      </c>
      <c r="AP741">
        <f>$AH741*tbl_Data_old[[#This Row],[2032 ]]</f>
        <v>3.9092830164944123</v>
      </c>
      <c r="AQ741">
        <f>$AH741*tbl_Data_old[[#This Row],[2033 ]]</f>
        <v>4.5454810390919622</v>
      </c>
      <c r="AR741">
        <f>$AH741*tbl_Data_old[[#This Row],[2034 ]]</f>
        <v>5.2083363279015691</v>
      </c>
      <c r="AS741">
        <f>SUM(tbl_Data_old[[#This Row],[Adjusted 2025]:[Adjusted 2034]])</f>
        <v>25.788819717834166</v>
      </c>
      <c r="AT741" s="3">
        <f>AVERAGEIFS('3. Incentive Adjustment'!F:F,'3. Incentive Adjustment'!A:A,tbl_Data_old[[#This Row],[Trimmed Sector]],'3. Incentive Adjustment'!B:B,tbl_Data_old[[#This Row],[Trimmed Measure Name]])</f>
        <v>23.858858929800434</v>
      </c>
      <c r="AU741" s="3">
        <f>IFERROR(VLOOKUP(tbl_Data_old[[#This Row],[All_Meas_Name_Append]],'IRA Tax Credits'!$A$3:$D$46,4,0),0)</f>
        <v>0</v>
      </c>
      <c r="AV741" s="4">
        <f>tbl_Data_old[[#This Row],[Adj. per unit Incentive ($)]]/tbl_Data_old[[#This Row],[kWh Savings]]*tbl_Data_old[[#This Row],[Sum of Annuals]]</f>
        <v>0.84799509123870775</v>
      </c>
      <c r="AW741" s="4">
        <f>IFERROR(VLOOKUP(tbl_Data_old[[#This Row],[All_Programs]],'1. Set Program Names'!$B$2:$D$15,3,0)*tbl_Data_old[[#This Row],[Sum of Annuals]],"")</f>
        <v>0.81616962531237525</v>
      </c>
      <c r="AX741" s="4">
        <f>tbl_Data_old[[#This Row],[per unit IRA tax ($)]]/tbl_Data_old[[#This Row],[kWh Savings]]*tbl_Data_old[[#This Row],[Sum of Annuals]]</f>
        <v>0</v>
      </c>
      <c r="AY741" s="4">
        <f>tbl_Data_old[[#This Row],[Avoided Costs ($/unit)]]/tbl_Data_old[[#This Row],[kWh Savings]]*tbl_Data_old[[#This Row],[Sum of Annuals]]</f>
        <v>11.03412660514636</v>
      </c>
      <c r="AZ741" s="4">
        <f>tbl_Data_old[[#This Row],[Lost Revenue ($/unit)]]/tbl_Data_old[[#This Row],[kWh Savings]]*tbl_Data_old[[#This Row],[Sum of Annuals]]</f>
        <v>27.389542127302065</v>
      </c>
      <c r="BA741" s="4">
        <f>tbl_Data_old[[#This Row],[Incremental Cost ($/unit)]]/tbl_Data_old[[#This Row],[kWh Savings]]*tbl_Data_old[[#This Row],[Sum of Annuals]]</f>
        <v>6.3620444623249357</v>
      </c>
      <c r="BB741">
        <f>ROUNDUP(tbl_Data_old[[#This Row],[Adjusted 2025]]/$L741,0)</f>
        <v>1</v>
      </c>
      <c r="BC741">
        <f>ROUNDUP(tbl_Data_old[[#This Row],[Adjusted 2026]]/$L741,0)</f>
        <v>1</v>
      </c>
      <c r="BD741">
        <f>ROUNDUP(tbl_Data_old[[#This Row],[Adjusted 2027]]/$L741,0)</f>
        <v>1</v>
      </c>
      <c r="BE741">
        <f>ROUNDUP(tbl_Data_old[[#This Row],[Adjusted 2028]]/$L741,0)</f>
        <v>1</v>
      </c>
      <c r="BF741">
        <f>ROUNDUP(tbl_Data_old[[#This Row],[Adjusted 2029]]/$L741,0)</f>
        <v>1</v>
      </c>
      <c r="BG741">
        <f>ROUNDUP(tbl_Data_old[[#This Row],[Adjusted 2030]]/$L741,0)</f>
        <v>1</v>
      </c>
      <c r="BH741">
        <f>ROUNDUP(tbl_Data_old[[#This Row],[Adjusted 2031]]/$L741,0)</f>
        <v>1</v>
      </c>
      <c r="BI741">
        <f>ROUNDUP(tbl_Data_old[[#This Row],[Adjusted 2032]]/$L741,0)</f>
        <v>1</v>
      </c>
      <c r="BJ741">
        <f>ROUNDUP(tbl_Data_old[[#This Row],[Adjusted 2033]]/$L741,0)</f>
        <v>1</v>
      </c>
      <c r="BK741">
        <f>ROUNDUP(tbl_Data_old[[#This Row],[Adjusted 2034]]/$L741,0)</f>
        <v>1</v>
      </c>
      <c r="BL741" s="3">
        <f t="shared" si="49"/>
        <v>1.2285843784748701E-2</v>
      </c>
      <c r="BM741" s="3">
        <f t="shared" si="49"/>
        <v>2.6263045486669637E-2</v>
      </c>
      <c r="BN741" s="3">
        <f t="shared" si="49"/>
        <v>4.1714146289825317E-2</v>
      </c>
      <c r="BO741" s="3">
        <f t="shared" si="49"/>
        <v>5.8644643342927058E-2</v>
      </c>
      <c r="BP741" s="3">
        <f t="shared" si="49"/>
        <v>7.6835221250634314E-2</v>
      </c>
      <c r="BQ741" s="3">
        <f t="shared" si="49"/>
        <v>9.6208616773985012E-2</v>
      </c>
      <c r="BR741" s="3">
        <f t="shared" si="49"/>
        <v>0.11670050606913016</v>
      </c>
      <c r="BS741" s="3">
        <f t="shared" si="49"/>
        <v>0.13819568367752355</v>
      </c>
      <c r="BT741" s="3">
        <f t="shared" si="49"/>
        <v>0.16068569535388402</v>
      </c>
      <c r="BU741" s="3">
        <f t="shared" si="49"/>
        <v>0.18411805863630765</v>
      </c>
      <c r="BV741">
        <f>VLOOKUP($H741,'1. Set Program Names'!$B$2:$D$15,3,0)*V741</f>
        <v>1.1824753022800295E-2</v>
      </c>
      <c r="BW741">
        <f>VLOOKUP($H741,'1. Set Program Names'!$B$2:$D$15,3,0)*W741</f>
        <v>2.5277386880985041E-2</v>
      </c>
      <c r="BX741">
        <f>VLOOKUP($H741,'1. Set Program Names'!$B$2:$D$15,3,0)*X741</f>
        <v>4.014860404187004E-2</v>
      </c>
      <c r="BY741">
        <f>VLOOKUP($H741,'1. Set Program Names'!$B$2:$D$15,3,0)*Y741</f>
        <v>5.6443695344813159E-2</v>
      </c>
      <c r="BZ741">
        <f>VLOOKUP($H741,'1. Set Program Names'!$B$2:$D$15,3,0)*Z741</f>
        <v>7.3951576355612225E-2</v>
      </c>
      <c r="CA741">
        <f>VLOOKUP($H741,'1. Set Program Names'!$B$2:$D$15,3,0)*AA741</f>
        <v>9.2597883543811002E-2</v>
      </c>
      <c r="CB741">
        <f>VLOOKUP($H741,'1. Set Program Names'!$B$2:$D$15,3,0)*AB741</f>
        <v>0.11232070715536101</v>
      </c>
      <c r="CC741">
        <f>VLOOKUP($H741,'1. Set Program Names'!$B$2:$D$15,3,0)*AC741</f>
        <v>0.13300916542112579</v>
      </c>
      <c r="CD741">
        <f>VLOOKUP($H741,'1. Set Program Names'!$B$2:$D$15,3,0)*AD741</f>
        <v>0.15465512138574469</v>
      </c>
      <c r="CE741">
        <f>VLOOKUP($H741,'1. Set Program Names'!$B$2:$D$15,3,0)*AE741</f>
        <v>0.17720806226711541</v>
      </c>
    </row>
    <row r="742" spans="1:83" x14ac:dyDescent="0.25">
      <c r="A742" s="20" t="s">
        <v>115</v>
      </c>
      <c r="B742" s="20" t="s">
        <v>88</v>
      </c>
      <c r="C742" s="20" t="s">
        <v>176</v>
      </c>
      <c r="D742" s="20" t="s">
        <v>90</v>
      </c>
      <c r="E742" s="20" t="s">
        <v>91</v>
      </c>
      <c r="F742" s="20" t="s">
        <v>90</v>
      </c>
      <c r="G742" s="20" t="s">
        <v>92</v>
      </c>
      <c r="H742" s="20" t="s">
        <v>18</v>
      </c>
      <c r="I742" s="20" t="s">
        <v>165</v>
      </c>
      <c r="J742" s="20" t="s">
        <v>161</v>
      </c>
      <c r="K742" s="20" t="s">
        <v>166</v>
      </c>
      <c r="L742" s="20">
        <v>565.38999999999896</v>
      </c>
      <c r="M742" s="20">
        <v>6.7728127941350899E-2</v>
      </c>
      <c r="N742" s="20">
        <v>6.5294935157718198E-2</v>
      </c>
      <c r="O742" s="20">
        <v>129</v>
      </c>
      <c r="P742" s="20">
        <v>15.293574707506</v>
      </c>
      <c r="Q742" s="20">
        <v>17.893573630135801</v>
      </c>
      <c r="R742" s="20">
        <v>190.6779313312</v>
      </c>
      <c r="S742" s="20">
        <v>454.767236260907</v>
      </c>
      <c r="T742" s="20">
        <v>10</v>
      </c>
      <c r="U742" s="20">
        <v>0.2</v>
      </c>
      <c r="V742" s="20">
        <v>4.4706726755555898E-2</v>
      </c>
      <c r="W742" s="20">
        <v>0.106436171632236</v>
      </c>
      <c r="X742" s="20">
        <v>0.18901809725836599</v>
      </c>
      <c r="Y742" s="20">
        <v>0.29674346904917198</v>
      </c>
      <c r="Z742" s="20">
        <v>0.43123009146060198</v>
      </c>
      <c r="AA742" s="20">
        <v>0.59086845340900296</v>
      </c>
      <c r="AB742" s="20">
        <v>0.76878400082968801</v>
      </c>
      <c r="AC742" s="20">
        <v>0.95227903449100404</v>
      </c>
      <c r="AD742" s="20">
        <v>1.1260150167706</v>
      </c>
      <c r="AE742" s="20">
        <v>1.2763627338721599</v>
      </c>
      <c r="AF742" t="str">
        <f t="shared" si="48"/>
        <v>NonResidential</v>
      </c>
      <c r="AG742" t="str">
        <f>tbl_Data_old[[#This Row],[All_Meas_Name_Append]]</f>
        <v>Occupancy Sensors_ Ceiling Mounted</v>
      </c>
      <c r="AH742">
        <f>AVERAGEIFS('3. Incentive Adjustment'!G:G,'3. Incentive Adjustment'!A:A,tbl_Data_old[[#This Row],[Trimmed Sector]],'3. Incentive Adjustment'!B:B,tbl_Data_old[[#This Row],[Trimmed Measure Name]])</f>
        <v>0.99348124042467356</v>
      </c>
      <c r="AI742">
        <f>$AH742*tbl_Data_old[[#This Row],[2025 ]]</f>
        <v>4.4415294352436616E-2</v>
      </c>
      <c r="AJ742">
        <f>$AH742*tbl_Data_old[[#This Row],[2026 ]]</f>
        <v>0.10574233981924727</v>
      </c>
      <c r="AK742">
        <f>$AH742*tbl_Data_old[[#This Row],[2027 ]]</f>
        <v>0.18778593372695304</v>
      </c>
      <c r="AL742">
        <f>$AH742*tbl_Data_old[[#This Row],[2028 ]]</f>
        <v>0.29480906971889209</v>
      </c>
      <c r="AM742">
        <f>$AH742*tbl_Data_old[[#This Row],[2029 ]]</f>
        <v>0.42841900617272427</v>
      </c>
      <c r="AN742">
        <f>$AH742*tbl_Data_old[[#This Row],[2030 ]]</f>
        <v>0.58701672402058469</v>
      </c>
      <c r="AO742">
        <f>$AH742*tbl_Data_old[[#This Row],[2031 ]]</f>
        <v>0.76377248276292176</v>
      </c>
      <c r="AP742">
        <f>$AH742*tbl_Data_old[[#This Row],[2032 ]]</f>
        <v>0.94607135641653317</v>
      </c>
      <c r="AQ742">
        <f>$AH742*tbl_Data_old[[#This Row],[2033 ]]</f>
        <v>1.1186747955980654</v>
      </c>
      <c r="AR742">
        <f>$AH742*tbl_Data_old[[#This Row],[2034 ]]</f>
        <v>1.268042432079141</v>
      </c>
      <c r="AS742">
        <f>SUM(tbl_Data_old[[#This Row],[Adjusted 2025]:[Adjusted 2034]])</f>
        <v>5.744749434667499</v>
      </c>
      <c r="AT742" s="3">
        <f>AVERAGEIFS('3. Incentive Adjustment'!F:F,'3. Incentive Adjustment'!A:A,tbl_Data_old[[#This Row],[Trimmed Sector]],'3. Incentive Adjustment'!B:B,tbl_Data_old[[#This Row],[Trimmed Measure Name]])</f>
        <v>19.547634357270656</v>
      </c>
      <c r="AU742" s="3">
        <f>IFERROR(VLOOKUP(tbl_Data_old[[#This Row],[All_Meas_Name_Append]],'IRA Tax Credits'!$A$3:$D$46,4,0),0)</f>
        <v>0</v>
      </c>
      <c r="AV742" s="4">
        <f>tbl_Data_old[[#This Row],[Adj. per unit Incentive ($)]]/tbl_Data_old[[#This Row],[kWh Savings]]*tbl_Data_old[[#This Row],[Sum of Annuals]]</f>
        <v>0.19861734629727759</v>
      </c>
      <c r="AW742" s="4">
        <f>IFERROR(VLOOKUP(tbl_Data_old[[#This Row],[All_Programs]],'1. Set Program Names'!$B$2:$D$15,3,0)*tbl_Data_old[[#This Row],[Sum of Annuals]],"")</f>
        <v>0.18181095703125977</v>
      </c>
      <c r="AX742" s="4">
        <f>tbl_Data_old[[#This Row],[per unit IRA tax ($)]]/tbl_Data_old[[#This Row],[kWh Savings]]*tbl_Data_old[[#This Row],[Sum of Annuals]]</f>
        <v>0</v>
      </c>
      <c r="AY742" s="4">
        <f>tbl_Data_old[[#This Row],[Avoided Costs ($/unit)]]/tbl_Data_old[[#This Row],[kWh Savings]]*tbl_Data_old[[#This Row],[Sum of Annuals]]</f>
        <v>1.937418309871914</v>
      </c>
      <c r="AZ742" s="4">
        <f>tbl_Data_old[[#This Row],[Lost Revenue ($/unit)]]/tbl_Data_old[[#This Row],[kWh Savings]]*tbl_Data_old[[#This Row],[Sum of Annuals]]</f>
        <v>4.62074642886353</v>
      </c>
      <c r="BA742" s="4">
        <f>tbl_Data_old[[#This Row],[Incremental Cost ($/unit)]]/tbl_Data_old[[#This Row],[kWh Savings]]*tbl_Data_old[[#This Row],[Sum of Annuals]]</f>
        <v>1.3107283062525137</v>
      </c>
      <c r="BB742">
        <f>ROUNDUP(tbl_Data_old[[#This Row],[Adjusted 2025]]/$L742,0)</f>
        <v>1</v>
      </c>
      <c r="BC742">
        <f>ROUNDUP(tbl_Data_old[[#This Row],[Adjusted 2026]]/$L742,0)</f>
        <v>1</v>
      </c>
      <c r="BD742">
        <f>ROUNDUP(tbl_Data_old[[#This Row],[Adjusted 2027]]/$L742,0)</f>
        <v>1</v>
      </c>
      <c r="BE742">
        <f>ROUNDUP(tbl_Data_old[[#This Row],[Adjusted 2028]]/$L742,0)</f>
        <v>1</v>
      </c>
      <c r="BF742">
        <f>ROUNDUP(tbl_Data_old[[#This Row],[Adjusted 2029]]/$L742,0)</f>
        <v>1</v>
      </c>
      <c r="BG742">
        <f>ROUNDUP(tbl_Data_old[[#This Row],[Adjusted 2030]]/$L742,0)</f>
        <v>1</v>
      </c>
      <c r="BH742">
        <f>ROUNDUP(tbl_Data_old[[#This Row],[Adjusted 2031]]/$L742,0)</f>
        <v>1</v>
      </c>
      <c r="BI742">
        <f>ROUNDUP(tbl_Data_old[[#This Row],[Adjusted 2032]]/$L742,0)</f>
        <v>1</v>
      </c>
      <c r="BJ742">
        <f>ROUNDUP(tbl_Data_old[[#This Row],[Adjusted 2033]]/$L742,0)</f>
        <v>1</v>
      </c>
      <c r="BK742">
        <f>ROUNDUP(tbl_Data_old[[#This Row],[Adjusted 2034]]/$L742,0)</f>
        <v>1</v>
      </c>
      <c r="BL742" s="3">
        <f t="shared" si="49"/>
        <v>1.5456777585879081E-3</v>
      </c>
      <c r="BM742" s="3">
        <f t="shared" si="49"/>
        <v>3.6798941711998026E-3</v>
      </c>
      <c r="BN742" s="3">
        <f t="shared" si="49"/>
        <v>6.5350583705293128E-3</v>
      </c>
      <c r="BO742" s="3">
        <f t="shared" si="49"/>
        <v>1.0259524984313989E-2</v>
      </c>
      <c r="BP742" s="3">
        <f t="shared" si="49"/>
        <v>1.4909227527413371E-2</v>
      </c>
      <c r="BQ742" s="3">
        <f t="shared" si="49"/>
        <v>2.0428519217681997E-2</v>
      </c>
      <c r="BR742" s="3">
        <f t="shared" si="49"/>
        <v>2.6579721162274587E-2</v>
      </c>
      <c r="BS742" s="3">
        <f t="shared" si="49"/>
        <v>3.2923826690116405E-2</v>
      </c>
      <c r="BT742" s="3">
        <f t="shared" si="49"/>
        <v>3.8930525528622216E-2</v>
      </c>
      <c r="BU742" s="3">
        <f t="shared" si="49"/>
        <v>4.4128605084949118E-2</v>
      </c>
      <c r="BV742">
        <f>VLOOKUP($H742,'1. Set Program Names'!$B$2:$D$15,3,0)*V742</f>
        <v>1.4148872582870268E-3</v>
      </c>
      <c r="BW742">
        <f>VLOOKUP($H742,'1. Set Program Names'!$B$2:$D$15,3,0)*W742</f>
        <v>3.3685128389451301E-3</v>
      </c>
      <c r="BX742">
        <f>VLOOKUP($H742,'1. Set Program Names'!$B$2:$D$15,3,0)*X742</f>
        <v>5.9820818209037011E-3</v>
      </c>
      <c r="BY742">
        <f>VLOOKUP($H742,'1. Set Program Names'!$B$2:$D$15,3,0)*Y742</f>
        <v>9.3913955193641301E-3</v>
      </c>
      <c r="BZ742">
        <f>VLOOKUP($H742,'1. Set Program Names'!$B$2:$D$15,3,0)*Z742</f>
        <v>1.3647654527106035E-2</v>
      </c>
      <c r="CA742">
        <f>VLOOKUP($H742,'1. Set Program Names'!$B$2:$D$15,3,0)*AA742</f>
        <v>1.8699920721623065E-2</v>
      </c>
      <c r="CB742">
        <f>VLOOKUP($H742,'1. Set Program Names'!$B$2:$D$15,3,0)*AB742</f>
        <v>2.4330626867324168E-2</v>
      </c>
      <c r="CC742">
        <f>VLOOKUP($H742,'1. Set Program Names'!$B$2:$D$15,3,0)*AC742</f>
        <v>3.0137913688072691E-2</v>
      </c>
      <c r="CD742">
        <f>VLOOKUP($H742,'1. Set Program Names'!$B$2:$D$15,3,0)*AD742</f>
        <v>3.5636344136301207E-2</v>
      </c>
      <c r="CE742">
        <f>VLOOKUP($H742,'1. Set Program Names'!$B$2:$D$15,3,0)*AE742</f>
        <v>4.0394578180199384E-2</v>
      </c>
    </row>
    <row r="743" spans="1:83" x14ac:dyDescent="0.25">
      <c r="A743" s="20" t="s">
        <v>115</v>
      </c>
      <c r="B743" s="20" t="s">
        <v>88</v>
      </c>
      <c r="C743" s="20" t="s">
        <v>176</v>
      </c>
      <c r="D743" s="20" t="s">
        <v>90</v>
      </c>
      <c r="E743" s="20" t="s">
        <v>91</v>
      </c>
      <c r="F743" s="20" t="s">
        <v>90</v>
      </c>
      <c r="G743" s="20" t="s">
        <v>92</v>
      </c>
      <c r="H743" s="20" t="s">
        <v>18</v>
      </c>
      <c r="I743" s="20" t="s">
        <v>188</v>
      </c>
      <c r="J743" s="20" t="s">
        <v>178</v>
      </c>
      <c r="K743" s="20" t="s">
        <v>189</v>
      </c>
      <c r="L743" s="20">
        <v>58755.825000000099</v>
      </c>
      <c r="M743" s="20">
        <v>7.0391882486047397</v>
      </c>
      <c r="N743" s="20">
        <v>6.7809192295770497</v>
      </c>
      <c r="O743" s="20">
        <v>15000</v>
      </c>
      <c r="P743" s="20">
        <v>3217.2191279034701</v>
      </c>
      <c r="Q743" s="20">
        <v>1859.5158754786501</v>
      </c>
      <c r="R743" s="20">
        <v>19805.726496097701</v>
      </c>
      <c r="S743" s="20">
        <v>47259.8103070086</v>
      </c>
      <c r="T743" s="20">
        <v>10</v>
      </c>
      <c r="U743" s="20">
        <v>1</v>
      </c>
      <c r="V743" s="20">
        <v>3.7579309631954102E-3</v>
      </c>
      <c r="W743" s="20">
        <v>8.9496284429101194E-3</v>
      </c>
      <c r="X743" s="20">
        <v>1.5897033672468999E-2</v>
      </c>
      <c r="Y743" s="20">
        <v>2.49637386596584E-2</v>
      </c>
      <c r="Z743" s="20">
        <v>3.6281042518277497E-2</v>
      </c>
      <c r="AA743" s="20">
        <v>4.9715326624914499E-2</v>
      </c>
      <c r="AB743" s="20">
        <v>6.4691896396666795E-2</v>
      </c>
      <c r="AC743" s="20">
        <v>8.0144457572819794E-2</v>
      </c>
      <c r="AD743" s="20">
        <v>9.4793094160577906E-2</v>
      </c>
      <c r="AE743" s="20">
        <v>0.10749758918308699</v>
      </c>
      <c r="AF743" t="str">
        <f t="shared" si="48"/>
        <v>NonResidential</v>
      </c>
      <c r="AG743" t="str">
        <f>tbl_Data_old[[#This Row],[All_Meas_Name_Append]]</f>
        <v>Strategic Energy Management</v>
      </c>
      <c r="AH743">
        <f>AVERAGEIFS('3. Incentive Adjustment'!G:G,'3. Incentive Adjustment'!A:A,tbl_Data_old[[#This Row],[Trimmed Sector]],'3. Incentive Adjustment'!B:B,tbl_Data_old[[#This Row],[Trimmed Measure Name]])</f>
        <v>1.1413908001130193</v>
      </c>
      <c r="AI743">
        <f>$AH743*tbl_Data_old[[#This Row],[2025 ]]</f>
        <v>4.2892678288510983E-3</v>
      </c>
      <c r="AJ743">
        <f>$AH743*tbl_Data_old[[#This Row],[2026 ]]</f>
        <v>1.0215023569167416E-2</v>
      </c>
      <c r="AK743">
        <f>$AH743*tbl_Data_old[[#This Row],[2027 ]]</f>
        <v>1.8144727982843001E-2</v>
      </c>
      <c r="AL743">
        <f>$AH743*tbl_Data_old[[#This Row],[2028 ]]</f>
        <v>2.8493381642559813E-2</v>
      </c>
      <c r="AM743">
        <f>$AH743*tbl_Data_old[[#This Row],[2029 ]]</f>
        <v>4.1410848148871228E-2</v>
      </c>
      <c r="AN743">
        <f>$AH743*tbl_Data_old[[#This Row],[2030 ]]</f>
        <v>5.6744616434291253E-2</v>
      </c>
      <c r="AO743">
        <f>$AH743*tbl_Data_old[[#This Row],[2031 ]]</f>
        <v>7.3838735389020069E-2</v>
      </c>
      <c r="AP743">
        <f>$AH743*tbl_Data_old[[#This Row],[2032 ]]</f>
        <v>9.1476146553664719E-2</v>
      </c>
      <c r="AQ743">
        <f>$AH743*tbl_Data_old[[#This Row],[2033 ]]</f>
        <v>0.10819596558913079</v>
      </c>
      <c r="AR743">
        <f>$AH743*tbl_Data_old[[#This Row],[2034 ]]</f>
        <v>0.12269675932790432</v>
      </c>
      <c r="AS743">
        <f>SUM(tbl_Data_old[[#This Row],[Adjusted 2025]:[Adjusted 2034]])</f>
        <v>0.55550547246630377</v>
      </c>
      <c r="AT743" s="3">
        <f>AVERAGEIFS('3. Incentive Adjustment'!F:F,'3. Incentive Adjustment'!A:A,tbl_Data_old[[#This Row],[Trimmed Sector]],'3. Incentive Adjustment'!B:B,tbl_Data_old[[#This Row],[Trimmed Measure Name]])</f>
        <v>6162.1674053779652</v>
      </c>
      <c r="AU743" s="3">
        <f>IFERROR(VLOOKUP(tbl_Data_old[[#This Row],[All_Meas_Name_Append]],'IRA Tax Credits'!$A$3:$D$46,4,0),0)</f>
        <v>0</v>
      </c>
      <c r="AV743" s="4">
        <f>tbl_Data_old[[#This Row],[Adj. per unit Incentive ($)]]/tbl_Data_old[[#This Row],[kWh Savings]]*tbl_Data_old[[#This Row],[Sum of Annuals]]</f>
        <v>5.8260057040147729E-2</v>
      </c>
      <c r="AW743" s="4">
        <f>IFERROR(VLOOKUP(tbl_Data_old[[#This Row],[All_Programs]],'1. Set Program Names'!$B$2:$D$15,3,0)*tbl_Data_old[[#This Row],[Sum of Annuals]],"")</f>
        <v>1.758074616374394E-2</v>
      </c>
      <c r="AX743" s="4">
        <f>tbl_Data_old[[#This Row],[per unit IRA tax ($)]]/tbl_Data_old[[#This Row],[kWh Savings]]*tbl_Data_old[[#This Row],[Sum of Annuals]]</f>
        <v>0</v>
      </c>
      <c r="AY743" s="4">
        <f>tbl_Data_old[[#This Row],[Avoided Costs ($/unit)]]/tbl_Data_old[[#This Row],[kWh Savings]]*tbl_Data_old[[#This Row],[Sum of Annuals]]</f>
        <v>0.18725274395777994</v>
      </c>
      <c r="AZ743" s="4">
        <f>tbl_Data_old[[#This Row],[Lost Revenue ($/unit)]]/tbl_Data_old[[#This Row],[kWh Savings]]*tbl_Data_old[[#This Row],[Sum of Annuals]]</f>
        <v>0.44681669014540532</v>
      </c>
      <c r="BA743" s="4">
        <f>tbl_Data_old[[#This Row],[Incremental Cost ($/unit)]]/tbl_Data_old[[#This Row],[kWh Savings]]*tbl_Data_old[[#This Row],[Sum of Annuals]]</f>
        <v>0.14181712344256153</v>
      </c>
      <c r="BB743">
        <f>ROUNDUP(tbl_Data_old[[#This Row],[Adjusted 2025]]/$L743,0)</f>
        <v>1</v>
      </c>
      <c r="BC743">
        <f>ROUNDUP(tbl_Data_old[[#This Row],[Adjusted 2026]]/$L743,0)</f>
        <v>1</v>
      </c>
      <c r="BD743">
        <f>ROUNDUP(tbl_Data_old[[#This Row],[Adjusted 2027]]/$L743,0)</f>
        <v>1</v>
      </c>
      <c r="BE743">
        <f>ROUNDUP(tbl_Data_old[[#This Row],[Adjusted 2028]]/$L743,0)</f>
        <v>1</v>
      </c>
      <c r="BF743">
        <f>ROUNDUP(tbl_Data_old[[#This Row],[Adjusted 2029]]/$L743,0)</f>
        <v>1</v>
      </c>
      <c r="BG743">
        <f>ROUNDUP(tbl_Data_old[[#This Row],[Adjusted 2030]]/$L743,0)</f>
        <v>1</v>
      </c>
      <c r="BH743">
        <f>ROUNDUP(tbl_Data_old[[#This Row],[Adjusted 2031]]/$L743,0)</f>
        <v>1</v>
      </c>
      <c r="BI743">
        <f>ROUNDUP(tbl_Data_old[[#This Row],[Adjusted 2032]]/$L743,0)</f>
        <v>1</v>
      </c>
      <c r="BJ743">
        <f>ROUNDUP(tbl_Data_old[[#This Row],[Adjusted 2033]]/$L743,0)</f>
        <v>1</v>
      </c>
      <c r="BK743">
        <f>ROUNDUP(tbl_Data_old[[#This Row],[Adjusted 2034]]/$L743,0)</f>
        <v>1</v>
      </c>
      <c r="BL743" s="3">
        <f t="shared" si="49"/>
        <v>3.9412262006470575E-4</v>
      </c>
      <c r="BM743" s="3">
        <f t="shared" si="49"/>
        <v>9.3861517017494343E-4</v>
      </c>
      <c r="BN743" s="3">
        <f t="shared" si="49"/>
        <v>1.667242060488203E-3</v>
      </c>
      <c r="BO743" s="3">
        <f t="shared" si="49"/>
        <v>2.6181359326487297E-3</v>
      </c>
      <c r="BP743" s="3">
        <f t="shared" si="49"/>
        <v>3.8050671169924228E-3</v>
      </c>
      <c r="BQ743" s="3">
        <f t="shared" ref="BQ743:BU764" si="50">$AT743/$L743*AA743</f>
        <v>5.2140220186809895E-3</v>
      </c>
      <c r="BR743" s="3">
        <f t="shared" si="50"/>
        <v>6.7847280736442334E-3</v>
      </c>
      <c r="BS743" s="3">
        <f t="shared" si="50"/>
        <v>8.405354944414899E-3</v>
      </c>
      <c r="BT743" s="3">
        <f t="shared" si="50"/>
        <v>9.9416681680707664E-3</v>
      </c>
      <c r="BU743" s="3">
        <f t="shared" si="50"/>
        <v>1.1274084573244074E-2</v>
      </c>
      <c r="BV743">
        <f>VLOOKUP($H743,'1. Set Program Names'!$B$2:$D$15,3,0)*V743</f>
        <v>1.1893173630043732E-4</v>
      </c>
      <c r="BW743">
        <f>VLOOKUP($H743,'1. Set Program Names'!$B$2:$D$15,3,0)*W743</f>
        <v>2.8323959657151687E-4</v>
      </c>
      <c r="BX743">
        <f>VLOOKUP($H743,'1. Set Program Names'!$B$2:$D$15,3,0)*X743</f>
        <v>5.0311244011933757E-4</v>
      </c>
      <c r="BY743">
        <f>VLOOKUP($H743,'1. Set Program Names'!$B$2:$D$15,3,0)*Y743</f>
        <v>7.9005729813060965E-4</v>
      </c>
      <c r="BZ743">
        <f>VLOOKUP($H743,'1. Set Program Names'!$B$2:$D$15,3,0)*Z743</f>
        <v>1.1482295507152342E-3</v>
      </c>
      <c r="CA743">
        <f>VLOOKUP($H743,'1. Set Program Names'!$B$2:$D$15,3,0)*AA743</f>
        <v>1.5734004094680818E-3</v>
      </c>
      <c r="CB743">
        <f>VLOOKUP($H743,'1. Set Program Names'!$B$2:$D$15,3,0)*AB743</f>
        <v>2.0473818274940746E-3</v>
      </c>
      <c r="CC743">
        <f>VLOOKUP($H743,'1. Set Program Names'!$B$2:$D$15,3,0)*AC743</f>
        <v>2.5364275148597364E-3</v>
      </c>
      <c r="CD743">
        <f>VLOOKUP($H743,'1. Set Program Names'!$B$2:$D$15,3,0)*AD743</f>
        <v>3.0000304391494324E-3</v>
      </c>
      <c r="CE743">
        <f>VLOOKUP($H743,'1. Set Program Names'!$B$2:$D$15,3,0)*AE743</f>
        <v>3.4021047898081993E-3</v>
      </c>
    </row>
    <row r="744" spans="1:83" x14ac:dyDescent="0.25">
      <c r="A744" s="20" t="s">
        <v>115</v>
      </c>
      <c r="B744" s="20" t="s">
        <v>88</v>
      </c>
      <c r="C744" s="20" t="s">
        <v>176</v>
      </c>
      <c r="D744" s="20" t="s">
        <v>90</v>
      </c>
      <c r="E744" s="20" t="s">
        <v>91</v>
      </c>
      <c r="F744" s="20" t="s">
        <v>90</v>
      </c>
      <c r="G744" s="20" t="s">
        <v>92</v>
      </c>
      <c r="H744" s="20" t="s">
        <v>18</v>
      </c>
      <c r="I744" s="20" t="s">
        <v>194</v>
      </c>
      <c r="J744" s="20" t="s">
        <v>182</v>
      </c>
      <c r="K744" s="20" t="s">
        <v>102</v>
      </c>
      <c r="L744" s="20">
        <v>8959.2199999999993</v>
      </c>
      <c r="M744" s="20">
        <v>1.0579901286000299</v>
      </c>
      <c r="N744" s="20">
        <v>1.03235399659801</v>
      </c>
      <c r="O744" s="20">
        <v>2314.9299999999998</v>
      </c>
      <c r="P744" s="20">
        <v>512.76464645414296</v>
      </c>
      <c r="Q744" s="20">
        <v>283.54315205183201</v>
      </c>
      <c r="R744" s="20">
        <v>3866.1887556449001</v>
      </c>
      <c r="S744" s="20">
        <v>9515.3223878667595</v>
      </c>
      <c r="T744" s="20">
        <v>15</v>
      </c>
      <c r="U744" s="20">
        <v>1</v>
      </c>
      <c r="V744" s="20">
        <v>3.9985912629941098</v>
      </c>
      <c r="W744" s="20">
        <v>9.1897898637523898</v>
      </c>
      <c r="X744" s="20">
        <v>15.761876908411001</v>
      </c>
      <c r="Y744" s="20">
        <v>23.974021815248399</v>
      </c>
      <c r="Z744" s="20">
        <v>33.917139756039603</v>
      </c>
      <c r="AA744" s="20">
        <v>45.634481979191101</v>
      </c>
      <c r="AB744" s="20">
        <v>59.010627339999999</v>
      </c>
      <c r="AC744" s="20">
        <v>73.6890813052499</v>
      </c>
      <c r="AD744" s="20">
        <v>89.1684906686326</v>
      </c>
      <c r="AE744" s="20">
        <v>104.748653393054</v>
      </c>
      <c r="AF744" t="str">
        <f t="shared" si="48"/>
        <v>NonResidential</v>
      </c>
      <c r="AG744" t="str">
        <f>tbl_Data_old[[#This Row],[All_Meas_Name_Append]]</f>
        <v>VFD on HVAC Fan</v>
      </c>
      <c r="AH744">
        <f>AVERAGEIFS('3. Incentive Adjustment'!G:G,'3. Incentive Adjustment'!A:A,tbl_Data_old[[#This Row],[Trimmed Sector]],'3. Incentive Adjustment'!B:B,tbl_Data_old[[#This Row],[Trimmed Measure Name]])</f>
        <v>1.1307524828118058</v>
      </c>
      <c r="AI744">
        <f>$AH744*tbl_Data_old[[#This Row],[2025 ]]</f>
        <v>4.5214169983801842</v>
      </c>
      <c r="AJ744">
        <f>$AH744*tbl_Data_old[[#This Row],[2026 ]]</f>
        <v>10.391377704956781</v>
      </c>
      <c r="AK744">
        <f>$AH744*tbl_Data_old[[#This Row],[2027 ]]</f>
        <v>17.822781447959809</v>
      </c>
      <c r="AL744">
        <f>$AH744*tbl_Data_old[[#This Row],[2028 ]]</f>
        <v>27.108684690576524</v>
      </c>
      <c r="AM744">
        <f>$AH744*tbl_Data_old[[#This Row],[2029 ]]</f>
        <v>38.35188998901679</v>
      </c>
      <c r="AN744">
        <f>$AH744*tbl_Data_old[[#This Row],[2030 ]]</f>
        <v>51.601303799800952</v>
      </c>
      <c r="AO744">
        <f>$AH744*tbl_Data_old[[#This Row],[2031 ]]</f>
        <v>66.726413376987225</v>
      </c>
      <c r="AP744">
        <f>$AH744*tbl_Data_old[[#This Row],[2032 ]]</f>
        <v>83.324111642032349</v>
      </c>
      <c r="AQ744">
        <f>$AH744*tbl_Data_old[[#This Row],[2033 ]]</f>
        <v>100.82749221213766</v>
      </c>
      <c r="AR744">
        <f>$AH744*tbl_Data_old[[#This Row],[2034 ]]</f>
        <v>118.4447998953891</v>
      </c>
      <c r="AS744">
        <f>SUM(tbl_Data_old[[#This Row],[Adjusted 2025]:[Adjusted 2034]])</f>
        <v>519.12027175723733</v>
      </c>
      <c r="AT744" s="3">
        <f>AVERAGEIFS('3. Incentive Adjustment'!F:F,'3. Incentive Adjustment'!A:A,tbl_Data_old[[#This Row],[Trimmed Sector]],'3. Incentive Adjustment'!B:B,tbl_Data_old[[#This Row],[Trimmed Measure Name]])</f>
        <v>930.02043037501858</v>
      </c>
      <c r="AU744" s="3">
        <f>IFERROR(VLOOKUP(tbl_Data_old[[#This Row],[All_Meas_Name_Append]],'IRA Tax Credits'!$A$3:$D$46,4,0),0)</f>
        <v>0</v>
      </c>
      <c r="AV744" s="4">
        <f>tbl_Data_old[[#This Row],[Adj. per unit Incentive ($)]]/tbl_Data_old[[#This Row],[kWh Savings]]*tbl_Data_old[[#This Row],[Sum of Annuals]]</f>
        <v>53.887778015950325</v>
      </c>
      <c r="AW744" s="4">
        <f>IFERROR(VLOOKUP(tbl_Data_old[[#This Row],[All_Programs]],'1. Set Program Names'!$B$2:$D$15,3,0)*tbl_Data_old[[#This Row],[Sum of Annuals]],"")</f>
        <v>16.429220194174352</v>
      </c>
      <c r="AX744" s="4">
        <f>tbl_Data_old[[#This Row],[per unit IRA tax ($)]]/tbl_Data_old[[#This Row],[kWh Savings]]*tbl_Data_old[[#This Row],[Sum of Annuals]]</f>
        <v>0</v>
      </c>
      <c r="AY744" s="4">
        <f>tbl_Data_old[[#This Row],[Avoided Costs ($/unit)]]/tbl_Data_old[[#This Row],[kWh Savings]]*tbl_Data_old[[#This Row],[Sum of Annuals]]</f>
        <v>224.01692976566665</v>
      </c>
      <c r="AZ744" s="4">
        <f>tbl_Data_old[[#This Row],[Lost Revenue ($/unit)]]/tbl_Data_old[[#This Row],[kWh Savings]]*tbl_Data_old[[#This Row],[Sum of Annuals]]</f>
        <v>551.34227576140756</v>
      </c>
      <c r="BA744" s="4">
        <f>tbl_Data_old[[#This Row],[Incremental Cost ($/unit)]]/tbl_Data_old[[#This Row],[kWh Savings]]*tbl_Data_old[[#This Row],[Sum of Annuals]]</f>
        <v>134.13300384397095</v>
      </c>
      <c r="BB744">
        <f>ROUNDUP(tbl_Data_old[[#This Row],[Adjusted 2025]]/$L744,0)</f>
        <v>1</v>
      </c>
      <c r="BC744">
        <f>ROUNDUP(tbl_Data_old[[#This Row],[Adjusted 2026]]/$L744,0)</f>
        <v>1</v>
      </c>
      <c r="BD744">
        <f>ROUNDUP(tbl_Data_old[[#This Row],[Adjusted 2027]]/$L744,0)</f>
        <v>1</v>
      </c>
      <c r="BE744">
        <f>ROUNDUP(tbl_Data_old[[#This Row],[Adjusted 2028]]/$L744,0)</f>
        <v>1</v>
      </c>
      <c r="BF744">
        <f>ROUNDUP(tbl_Data_old[[#This Row],[Adjusted 2029]]/$L744,0)</f>
        <v>1</v>
      </c>
      <c r="BG744">
        <f>ROUNDUP(tbl_Data_old[[#This Row],[Adjusted 2030]]/$L744,0)</f>
        <v>1</v>
      </c>
      <c r="BH744">
        <f>ROUNDUP(tbl_Data_old[[#This Row],[Adjusted 2031]]/$L744,0)</f>
        <v>1</v>
      </c>
      <c r="BI744">
        <f>ROUNDUP(tbl_Data_old[[#This Row],[Adjusted 2032]]/$L744,0)</f>
        <v>1</v>
      </c>
      <c r="BJ744">
        <f>ROUNDUP(tbl_Data_old[[#This Row],[Adjusted 2033]]/$L744,0)</f>
        <v>1</v>
      </c>
      <c r="BK744">
        <f>ROUNDUP(tbl_Data_old[[#This Row],[Adjusted 2034]]/$L744,0)</f>
        <v>1</v>
      </c>
      <c r="BL744" s="3">
        <f t="shared" ref="BL744:BU765" si="51">$AT744/$L744*V744</f>
        <v>0.41507760355293999</v>
      </c>
      <c r="BM744" s="3">
        <f t="shared" si="51"/>
        <v>0.95395495636260541</v>
      </c>
      <c r="BN744" s="3">
        <f t="shared" si="51"/>
        <v>1.6361767593471828</v>
      </c>
      <c r="BO744" s="3">
        <f t="shared" si="51"/>
        <v>2.4886463426991861</v>
      </c>
      <c r="BP744" s="3">
        <f t="shared" si="51"/>
        <v>3.5208012430771434</v>
      </c>
      <c r="BQ744" s="3">
        <f t="shared" si="50"/>
        <v>4.7371311978306521</v>
      </c>
      <c r="BR744" s="3">
        <f t="shared" si="50"/>
        <v>6.1256548042627195</v>
      </c>
      <c r="BS744" s="3">
        <f t="shared" si="50"/>
        <v>7.6493658052205715</v>
      </c>
      <c r="BT744" s="3">
        <f t="shared" si="50"/>
        <v>9.2562207499684703</v>
      </c>
      <c r="BU744" s="3">
        <f t="shared" si="50"/>
        <v>10.873534494053247</v>
      </c>
      <c r="BV744">
        <f>VLOOKUP($H744,'1. Set Program Names'!$B$2:$D$15,3,0)*V744</f>
        <v>0.12654820067776729</v>
      </c>
      <c r="BW744">
        <f>VLOOKUP($H744,'1. Set Program Names'!$B$2:$D$15,3,0)*W744</f>
        <v>0.29084027232977078</v>
      </c>
      <c r="BX744">
        <f>VLOOKUP($H744,'1. Set Program Names'!$B$2:$D$15,3,0)*X744</f>
        <v>0.49883497233730628</v>
      </c>
      <c r="BY744">
        <f>VLOOKUP($H744,'1. Set Program Names'!$B$2:$D$15,3,0)*Y744</f>
        <v>0.75873454529020568</v>
      </c>
      <c r="BZ744">
        <f>VLOOKUP($H744,'1. Set Program Names'!$B$2:$D$15,3,0)*Z744</f>
        <v>1.0734162923792447</v>
      </c>
      <c r="CA744">
        <f>VLOOKUP($H744,'1. Set Program Names'!$B$2:$D$15,3,0)*AA744</f>
        <v>1.4442490375984041</v>
      </c>
      <c r="CB744">
        <f>VLOOKUP($H744,'1. Set Program Names'!$B$2:$D$15,3,0)*AB744</f>
        <v>1.8675799099184549</v>
      </c>
      <c r="CC744">
        <f>VLOOKUP($H744,'1. Set Program Names'!$B$2:$D$15,3,0)*AC744</f>
        <v>2.3321265004201583</v>
      </c>
      <c r="CD744">
        <f>VLOOKUP($H744,'1. Set Program Names'!$B$2:$D$15,3,0)*AD744</f>
        <v>2.82202188448196</v>
      </c>
      <c r="CE744">
        <f>VLOOKUP($H744,'1. Set Program Names'!$B$2:$D$15,3,0)*AE744</f>
        <v>3.3151059306782695</v>
      </c>
    </row>
    <row r="745" spans="1:83" x14ac:dyDescent="0.25">
      <c r="A745" s="20" t="s">
        <v>115</v>
      </c>
      <c r="B745" s="20" t="s">
        <v>88</v>
      </c>
      <c r="C745" s="20" t="s">
        <v>176</v>
      </c>
      <c r="D745" s="20" t="s">
        <v>90</v>
      </c>
      <c r="E745" s="20" t="s">
        <v>91</v>
      </c>
      <c r="F745" s="20" t="s">
        <v>90</v>
      </c>
      <c r="G745" s="20" t="s">
        <v>92</v>
      </c>
      <c r="H745" s="20" t="s">
        <v>18</v>
      </c>
      <c r="I745" s="20" t="s">
        <v>195</v>
      </c>
      <c r="J745" s="20" t="s">
        <v>191</v>
      </c>
      <c r="K745" s="20" t="s">
        <v>102</v>
      </c>
      <c r="L745" s="20">
        <v>20302.931666666602</v>
      </c>
      <c r="M745" s="20">
        <v>2.3950992196012999</v>
      </c>
      <c r="N745" s="20">
        <v>2.3402323276086099</v>
      </c>
      <c r="O745" s="20">
        <v>5194</v>
      </c>
      <c r="P745" s="20">
        <v>1110.9469872966299</v>
      </c>
      <c r="Q745" s="20">
        <v>642.55116412585198</v>
      </c>
      <c r="R745" s="20">
        <v>8767.8839794133291</v>
      </c>
      <c r="S745" s="20">
        <v>21563.142798944798</v>
      </c>
      <c r="T745" s="20">
        <v>15</v>
      </c>
      <c r="U745" s="20">
        <v>1</v>
      </c>
      <c r="V745" s="20">
        <v>4.2619662096352302</v>
      </c>
      <c r="W745" s="20">
        <v>9.7953154527855695</v>
      </c>
      <c r="X745" s="20">
        <v>16.800780995901501</v>
      </c>
      <c r="Y745" s="20">
        <v>25.554785211339901</v>
      </c>
      <c r="Z745" s="20">
        <v>36.154050398582299</v>
      </c>
      <c r="AA745" s="20">
        <v>48.644724817615099</v>
      </c>
      <c r="AB745" s="20">
        <v>62.903810895394003</v>
      </c>
      <c r="AC745" s="20">
        <v>78.551169362250405</v>
      </c>
      <c r="AD745" s="20">
        <v>95.052605655753396</v>
      </c>
      <c r="AE745" s="20">
        <v>111.661876268434</v>
      </c>
      <c r="AF745" t="str">
        <f t="shared" si="48"/>
        <v>NonResidential</v>
      </c>
      <c r="AG745" t="str">
        <f>tbl_Data_old[[#This Row],[All_Meas_Name_Append]]</f>
        <v>VFD on process pump</v>
      </c>
      <c r="AH745">
        <f>AVERAGEIFS('3. Incentive Adjustment'!G:G,'3. Incentive Adjustment'!A:A,tbl_Data_old[[#This Row],[Trimmed Sector]],'3. Incentive Adjustment'!B:B,tbl_Data_old[[#This Row],[Trimmed Measure Name]])</f>
        <v>1.1380520252658823</v>
      </c>
      <c r="AI745">
        <f>$AH745*tbl_Data_old[[#This Row],[2025 ]]</f>
        <v>4.8503392764901294</v>
      </c>
      <c r="AJ745">
        <f>$AH745*tbl_Data_old[[#This Row],[2026 ]]</f>
        <v>11.14757858916081</v>
      </c>
      <c r="AK745">
        <f>$AH745*tbl_Data_old[[#This Row],[2027 ]]</f>
        <v>19.120162838434251</v>
      </c>
      <c r="AL745">
        <f>$AH745*tbl_Data_old[[#This Row],[2028 ]]</f>
        <v>29.082675064999993</v>
      </c>
      <c r="AM745">
        <f>$AH745*tbl_Data_old[[#This Row],[2029 ]]</f>
        <v>41.145190277671368</v>
      </c>
      <c r="AN745">
        <f>$AH745*tbl_Data_old[[#This Row],[2030 ]]</f>
        <v>55.360227597188391</v>
      </c>
      <c r="AO745">
        <f>$AH745*tbl_Data_old[[#This Row],[2031 ]]</f>
        <v>71.587809386445215</v>
      </c>
      <c r="AP745">
        <f>$AH745*tbl_Data_old[[#This Row],[2032 ]]</f>
        <v>89.395317379712395</v>
      </c>
      <c r="AQ745">
        <f>$AH745*tbl_Data_old[[#This Row],[2033 ]]</f>
        <v>108.17481037332942</v>
      </c>
      <c r="AR745">
        <f>$AH745*tbl_Data_old[[#This Row],[2034 ]]</f>
        <v>127.07702443227967</v>
      </c>
      <c r="AS745">
        <f>SUM(tbl_Data_old[[#This Row],[Adjusted 2025]:[Adjusted 2034]])</f>
        <v>556.9411352157116</v>
      </c>
      <c r="AT745" s="3">
        <f>AVERAGEIFS('3. Incentive Adjustment'!F:F,'3. Incentive Adjustment'!A:A,tbl_Data_old[[#This Row],[Trimmed Sector]],'3. Incentive Adjustment'!B:B,tbl_Data_old[[#This Row],[Trimmed Measure Name]])</f>
        <v>2106.0249622508104</v>
      </c>
      <c r="AU745" s="3">
        <f>IFERROR(VLOOKUP(tbl_Data_old[[#This Row],[All_Meas_Name_Append]],'IRA Tax Credits'!$A$3:$D$46,4,0),0)</f>
        <v>0</v>
      </c>
      <c r="AV745" s="4">
        <f>tbl_Data_old[[#This Row],[Adj. per unit Incentive ($)]]/tbl_Data_old[[#This Row],[kWh Savings]]*tbl_Data_old[[#This Row],[Sum of Annuals]]</f>
        <v>57.771554991455481</v>
      </c>
      <c r="AW745" s="4">
        <f>IFERROR(VLOOKUP(tbl_Data_old[[#This Row],[All_Programs]],'1. Set Program Names'!$B$2:$D$15,3,0)*tbl_Data_old[[#This Row],[Sum of Annuals]],"")</f>
        <v>17.626182300065015</v>
      </c>
      <c r="AX745" s="4">
        <f>tbl_Data_old[[#This Row],[per unit IRA tax ($)]]/tbl_Data_old[[#This Row],[kWh Savings]]*tbl_Data_old[[#This Row],[Sum of Annuals]]</f>
        <v>0</v>
      </c>
      <c r="AY745" s="4">
        <f>tbl_Data_old[[#This Row],[Avoided Costs ($/unit)]]/tbl_Data_old[[#This Row],[kWh Savings]]*tbl_Data_old[[#This Row],[Sum of Annuals]]</f>
        <v>240.51675576248681</v>
      </c>
      <c r="AZ745" s="4">
        <f>tbl_Data_old[[#This Row],[Lost Revenue ($/unit)]]/tbl_Data_old[[#This Row],[kWh Savings]]*tbl_Data_old[[#This Row],[Sum of Annuals]]</f>
        <v>591.51069542236962</v>
      </c>
      <c r="BA745" s="4">
        <f>tbl_Data_old[[#This Row],[Incremental Cost ($/unit)]]/tbl_Data_old[[#This Row],[kWh Savings]]*tbl_Data_old[[#This Row],[Sum of Annuals]]</f>
        <v>142.47953467034188</v>
      </c>
      <c r="BB745">
        <f>ROUNDUP(tbl_Data_old[[#This Row],[Adjusted 2025]]/$L745,0)</f>
        <v>1</v>
      </c>
      <c r="BC745">
        <f>ROUNDUP(tbl_Data_old[[#This Row],[Adjusted 2026]]/$L745,0)</f>
        <v>1</v>
      </c>
      <c r="BD745">
        <f>ROUNDUP(tbl_Data_old[[#This Row],[Adjusted 2027]]/$L745,0)</f>
        <v>1</v>
      </c>
      <c r="BE745">
        <f>ROUNDUP(tbl_Data_old[[#This Row],[Adjusted 2028]]/$L745,0)</f>
        <v>1</v>
      </c>
      <c r="BF745">
        <f>ROUNDUP(tbl_Data_old[[#This Row],[Adjusted 2029]]/$L745,0)</f>
        <v>1</v>
      </c>
      <c r="BG745">
        <f>ROUNDUP(tbl_Data_old[[#This Row],[Adjusted 2030]]/$L745,0)</f>
        <v>1</v>
      </c>
      <c r="BH745">
        <f>ROUNDUP(tbl_Data_old[[#This Row],[Adjusted 2031]]/$L745,0)</f>
        <v>1</v>
      </c>
      <c r="BI745">
        <f>ROUNDUP(tbl_Data_old[[#This Row],[Adjusted 2032]]/$L745,0)</f>
        <v>1</v>
      </c>
      <c r="BJ745">
        <f>ROUNDUP(tbl_Data_old[[#This Row],[Adjusted 2033]]/$L745,0)</f>
        <v>1</v>
      </c>
      <c r="BK745">
        <f>ROUNDUP(tbl_Data_old[[#This Row],[Adjusted 2034]]/$L745,0)</f>
        <v>1</v>
      </c>
      <c r="BL745" s="3">
        <f t="shared" si="51"/>
        <v>0.44209414547248688</v>
      </c>
      <c r="BM745" s="3">
        <f t="shared" si="51"/>
        <v>1.0160689695152025</v>
      </c>
      <c r="BN745" s="3">
        <f t="shared" si="51"/>
        <v>1.742746552251331</v>
      </c>
      <c r="BO745" s="3">
        <f t="shared" si="51"/>
        <v>2.6508002116955289</v>
      </c>
      <c r="BP745" s="3">
        <f t="shared" si="51"/>
        <v>3.7502629608362024</v>
      </c>
      <c r="BQ745" s="3">
        <f t="shared" si="50"/>
        <v>5.0459217629105559</v>
      </c>
      <c r="BR745" s="3">
        <f t="shared" si="50"/>
        <v>6.5250180683957728</v>
      </c>
      <c r="BS745" s="3">
        <f t="shared" si="50"/>
        <v>8.1481199960149073</v>
      </c>
      <c r="BT745" s="3">
        <f t="shared" si="50"/>
        <v>9.8598154948558676</v>
      </c>
      <c r="BU745" s="3">
        <f t="shared" si="50"/>
        <v>11.582696657506562</v>
      </c>
      <c r="BV745">
        <f>VLOOKUP($H745,'1. Set Program Names'!$B$2:$D$15,3,0)*V745</f>
        <v>0.13488354265420122</v>
      </c>
      <c r="BW745">
        <f>VLOOKUP($H745,'1. Set Program Names'!$B$2:$D$15,3,0)*W745</f>
        <v>0.31000406495485533</v>
      </c>
      <c r="BX745">
        <f>VLOOKUP($H745,'1. Set Program Names'!$B$2:$D$15,3,0)*X745</f>
        <v>0.53171441269557285</v>
      </c>
      <c r="BY745">
        <f>VLOOKUP($H745,'1. Set Program Names'!$B$2:$D$15,3,0)*Y745</f>
        <v>0.80876285534129755</v>
      </c>
      <c r="BZ745">
        <f>VLOOKUP($H745,'1. Set Program Names'!$B$2:$D$15,3,0)*Z745</f>
        <v>1.1442104791996202</v>
      </c>
      <c r="CA745">
        <f>VLOOKUP($H745,'1. Set Program Names'!$B$2:$D$15,3,0)*AA745</f>
        <v>1.5395177934552973</v>
      </c>
      <c r="CB745">
        <f>VLOOKUP($H745,'1. Set Program Names'!$B$2:$D$15,3,0)*AB745</f>
        <v>1.9907921467887153</v>
      </c>
      <c r="CC745">
        <f>VLOOKUP($H745,'1. Set Program Names'!$B$2:$D$15,3,0)*AC745</f>
        <v>2.4860028170231092</v>
      </c>
      <c r="CD745">
        <f>VLOOKUP($H745,'1. Set Program Names'!$B$2:$D$15,3,0)*AD745</f>
        <v>3.0082435098560052</v>
      </c>
      <c r="CE745">
        <f>VLOOKUP($H745,'1. Set Program Names'!$B$2:$D$15,3,0)*AE745</f>
        <v>3.5338969643756313</v>
      </c>
    </row>
    <row r="746" spans="1:83" x14ac:dyDescent="0.25">
      <c r="A746" s="20" t="s">
        <v>116</v>
      </c>
      <c r="B746" s="20" t="s">
        <v>88</v>
      </c>
      <c r="C746" s="20" t="s">
        <v>176</v>
      </c>
      <c r="D746" s="20" t="s">
        <v>90</v>
      </c>
      <c r="E746" s="20" t="s">
        <v>91</v>
      </c>
      <c r="F746" s="20" t="s">
        <v>90</v>
      </c>
      <c r="G746" s="20" t="s">
        <v>92</v>
      </c>
      <c r="H746" s="20" t="s">
        <v>18</v>
      </c>
      <c r="I746" s="20" t="s">
        <v>177</v>
      </c>
      <c r="J746" s="20" t="s">
        <v>178</v>
      </c>
      <c r="K746" s="20" t="s">
        <v>102</v>
      </c>
      <c r="L746" s="20">
        <v>25265.069999999901</v>
      </c>
      <c r="M746" s="20">
        <v>3.0268587641170099</v>
      </c>
      <c r="N746" s="20">
        <v>2.9158027991200801</v>
      </c>
      <c r="O746" s="20">
        <v>7160.52</v>
      </c>
      <c r="P746" s="20">
        <v>2094.8798923726799</v>
      </c>
      <c r="Q746" s="20">
        <v>799.59389150061804</v>
      </c>
      <c r="R746" s="20">
        <v>8516.48438813961</v>
      </c>
      <c r="S746" s="20">
        <v>20321.770915365199</v>
      </c>
      <c r="T746" s="20">
        <v>10</v>
      </c>
      <c r="U746" s="20">
        <v>1</v>
      </c>
      <c r="V746" s="20">
        <v>0.407702126385177</v>
      </c>
      <c r="W746" s="20">
        <v>0.38879528896371501</v>
      </c>
      <c r="X746" s="20">
        <v>0.36580340612254197</v>
      </c>
      <c r="Y746" s="20">
        <v>0.34438121020879497</v>
      </c>
      <c r="Z746" s="20">
        <v>0.32131208273929202</v>
      </c>
      <c r="AA746" s="20">
        <v>0.29895592975430002</v>
      </c>
      <c r="AB746" s="20">
        <v>0.27787338419436503</v>
      </c>
      <c r="AC746" s="20">
        <v>0.25719447618908098</v>
      </c>
      <c r="AD746" s="20">
        <v>0.23871860325220201</v>
      </c>
      <c r="AE746" s="20">
        <v>0.221587947772202</v>
      </c>
      <c r="AF746" t="str">
        <f t="shared" si="48"/>
        <v>NonResidential</v>
      </c>
      <c r="AG746" t="str">
        <f>tbl_Data_old[[#This Row],[All_Meas_Name_Append]]</f>
        <v>Airside economizer_13</v>
      </c>
      <c r="AH746">
        <f>AVERAGEIFS('3. Incentive Adjustment'!G:G,'3. Incentive Adjustment'!A:A,tbl_Data_old[[#This Row],[Trimmed Sector]],'3. Incentive Adjustment'!B:B,tbl_Data_old[[#This Row],[Trimmed Measure Name]])</f>
        <v>1</v>
      </c>
      <c r="AI746">
        <f>$AH746*tbl_Data_old[[#This Row],[2025 ]]</f>
        <v>0.407702126385177</v>
      </c>
      <c r="AJ746">
        <f>$AH746*tbl_Data_old[[#This Row],[2026 ]]</f>
        <v>0.38879528896371501</v>
      </c>
      <c r="AK746">
        <f>$AH746*tbl_Data_old[[#This Row],[2027 ]]</f>
        <v>0.36580340612254197</v>
      </c>
      <c r="AL746">
        <f>$AH746*tbl_Data_old[[#This Row],[2028 ]]</f>
        <v>0.34438121020879497</v>
      </c>
      <c r="AM746">
        <f>$AH746*tbl_Data_old[[#This Row],[2029 ]]</f>
        <v>0.32131208273929202</v>
      </c>
      <c r="AN746">
        <f>$AH746*tbl_Data_old[[#This Row],[2030 ]]</f>
        <v>0.29895592975430002</v>
      </c>
      <c r="AO746">
        <f>$AH746*tbl_Data_old[[#This Row],[2031 ]]</f>
        <v>0.27787338419436503</v>
      </c>
      <c r="AP746">
        <f>$AH746*tbl_Data_old[[#This Row],[2032 ]]</f>
        <v>0.25719447618908098</v>
      </c>
      <c r="AQ746">
        <f>$AH746*tbl_Data_old[[#This Row],[2033 ]]</f>
        <v>0.23871860325220201</v>
      </c>
      <c r="AR746">
        <f>$AH746*tbl_Data_old[[#This Row],[2034 ]]</f>
        <v>0.221587947772202</v>
      </c>
      <c r="AS746">
        <f>SUM(tbl_Data_old[[#This Row],[Adjusted 2025]:[Adjusted 2034]])</f>
        <v>3.1223244555816709</v>
      </c>
      <c r="AT746" s="3">
        <f>AVERAGEIFS('3. Incentive Adjustment'!F:F,'3. Incentive Adjustment'!A:A,tbl_Data_old[[#This Row],[Trimmed Sector]],'3. Incentive Adjustment'!B:B,tbl_Data_old[[#This Row],[Trimmed Measure Name]])</f>
        <v>2094.8798923726795</v>
      </c>
      <c r="AU746" s="3">
        <f>IFERROR(VLOOKUP(tbl_Data_old[[#This Row],[All_Meas_Name_Append]],'IRA Tax Credits'!$A$3:$D$46,4,0),0)</f>
        <v>0</v>
      </c>
      <c r="AV746" s="4">
        <f>tbl_Data_old[[#This Row],[Adj. per unit Incentive ($)]]/tbl_Data_old[[#This Row],[kWh Savings]]*tbl_Data_old[[#This Row],[Sum of Annuals]]</f>
        <v>0.25889082117965795</v>
      </c>
      <c r="AW746" s="4">
        <f>IFERROR(VLOOKUP(tbl_Data_old[[#This Row],[All_Programs]],'1. Set Program Names'!$B$2:$D$15,3,0)*tbl_Data_old[[#This Row],[Sum of Annuals]],"")</f>
        <v>9.8815936863270185E-2</v>
      </c>
      <c r="AX746" s="4">
        <f>tbl_Data_old[[#This Row],[per unit IRA tax ($)]]/tbl_Data_old[[#This Row],[kWh Savings]]*tbl_Data_old[[#This Row],[Sum of Annuals]]</f>
        <v>0</v>
      </c>
      <c r="AY746" s="4">
        <f>tbl_Data_old[[#This Row],[Avoided Costs ($/unit)]]/tbl_Data_old[[#This Row],[kWh Savings]]*tbl_Data_old[[#This Row],[Sum of Annuals]]</f>
        <v>1.0524897607910015</v>
      </c>
      <c r="AZ746" s="4">
        <f>tbl_Data_old[[#This Row],[Lost Revenue ($/unit)]]/tbl_Data_old[[#This Row],[kWh Savings]]*tbl_Data_old[[#This Row],[Sum of Annuals]]</f>
        <v>2.5114184251131437</v>
      </c>
      <c r="BA746" s="4">
        <f>tbl_Data_old[[#This Row],[Incremental Cost ($/unit)]]/tbl_Data_old[[#This Row],[kWh Savings]]*tbl_Data_old[[#This Row],[Sum of Annuals]]</f>
        <v>0.88491608021199841</v>
      </c>
      <c r="BB746">
        <f>ROUNDUP(tbl_Data_old[[#This Row],[Adjusted 2025]]/$L746,0)</f>
        <v>1</v>
      </c>
      <c r="BC746">
        <f>ROUNDUP(tbl_Data_old[[#This Row],[Adjusted 2026]]/$L746,0)</f>
        <v>1</v>
      </c>
      <c r="BD746">
        <f>ROUNDUP(tbl_Data_old[[#This Row],[Adjusted 2027]]/$L746,0)</f>
        <v>1</v>
      </c>
      <c r="BE746">
        <f>ROUNDUP(tbl_Data_old[[#This Row],[Adjusted 2028]]/$L746,0)</f>
        <v>1</v>
      </c>
      <c r="BF746">
        <f>ROUNDUP(tbl_Data_old[[#This Row],[Adjusted 2029]]/$L746,0)</f>
        <v>1</v>
      </c>
      <c r="BG746">
        <f>ROUNDUP(tbl_Data_old[[#This Row],[Adjusted 2030]]/$L746,0)</f>
        <v>1</v>
      </c>
      <c r="BH746">
        <f>ROUNDUP(tbl_Data_old[[#This Row],[Adjusted 2031]]/$L746,0)</f>
        <v>1</v>
      </c>
      <c r="BI746">
        <f>ROUNDUP(tbl_Data_old[[#This Row],[Adjusted 2032]]/$L746,0)</f>
        <v>1</v>
      </c>
      <c r="BJ746">
        <f>ROUNDUP(tbl_Data_old[[#This Row],[Adjusted 2033]]/$L746,0)</f>
        <v>1</v>
      </c>
      <c r="BK746">
        <f>ROUNDUP(tbl_Data_old[[#This Row],[Adjusted 2034]]/$L746,0)</f>
        <v>1</v>
      </c>
      <c r="BL746" s="3">
        <f t="shared" si="51"/>
        <v>3.3805051268090511E-2</v>
      </c>
      <c r="BM746" s="3">
        <f t="shared" si="51"/>
        <v>3.2237370927502486E-2</v>
      </c>
      <c r="BN746" s="3">
        <f t="shared" si="51"/>
        <v>3.0330974742898132E-2</v>
      </c>
      <c r="BO746" s="3">
        <f t="shared" si="51"/>
        <v>2.855473080333347E-2</v>
      </c>
      <c r="BP746" s="3">
        <f t="shared" si="51"/>
        <v>2.6641929799004403E-2</v>
      </c>
      <c r="BQ746" s="3">
        <f t="shared" si="50"/>
        <v>2.4788245825080428E-2</v>
      </c>
      <c r="BR746" s="3">
        <f t="shared" si="50"/>
        <v>2.3040164352377646E-2</v>
      </c>
      <c r="BS746" s="3">
        <f t="shared" si="50"/>
        <v>2.1325550912696136E-2</v>
      </c>
      <c r="BT746" s="3">
        <f t="shared" si="50"/>
        <v>1.9793604446309915E-2</v>
      </c>
      <c r="BU746" s="3">
        <f t="shared" si="50"/>
        <v>1.8373198102364856E-2</v>
      </c>
      <c r="BV746">
        <f>VLOOKUP($H746,'1. Set Program Names'!$B$2:$D$15,3,0)*V746</f>
        <v>1.2903036873018801E-2</v>
      </c>
      <c r="BW746">
        <f>VLOOKUP($H746,'1. Set Program Names'!$B$2:$D$15,3,0)*W746</f>
        <v>1.2304669573431017E-2</v>
      </c>
      <c r="BX746">
        <f>VLOOKUP($H746,'1. Set Program Names'!$B$2:$D$15,3,0)*X746</f>
        <v>1.1577017955054347E-2</v>
      </c>
      <c r="BY746">
        <f>VLOOKUP($H746,'1. Set Program Names'!$B$2:$D$15,3,0)*Y746</f>
        <v>1.0899044096475619E-2</v>
      </c>
      <c r="BZ746">
        <f>VLOOKUP($H746,'1. Set Program Names'!$B$2:$D$15,3,0)*Z746</f>
        <v>1.0168947824948815E-2</v>
      </c>
      <c r="CA746">
        <f>VLOOKUP($H746,'1. Set Program Names'!$B$2:$D$15,3,0)*AA746</f>
        <v>9.4614159097689676E-3</v>
      </c>
      <c r="CB746">
        <f>VLOOKUP($H746,'1. Set Program Names'!$B$2:$D$15,3,0)*AB746</f>
        <v>8.7941913722154388E-3</v>
      </c>
      <c r="CC746">
        <f>VLOOKUP($H746,'1. Set Program Names'!$B$2:$D$15,3,0)*AC746</f>
        <v>8.1397412351713536E-3</v>
      </c>
      <c r="CD746">
        <f>VLOOKUP($H746,'1. Set Program Names'!$B$2:$D$15,3,0)*AD746</f>
        <v>7.5550131841321108E-3</v>
      </c>
      <c r="CE746">
        <f>VLOOKUP($H746,'1. Set Program Names'!$B$2:$D$15,3,0)*AE746</f>
        <v>7.0128588390537235E-3</v>
      </c>
    </row>
    <row r="747" spans="1:83" x14ac:dyDescent="0.25">
      <c r="A747" s="20" t="s">
        <v>116</v>
      </c>
      <c r="B747" s="20" t="s">
        <v>88</v>
      </c>
      <c r="C747" s="20" t="s">
        <v>176</v>
      </c>
      <c r="D747" s="20" t="s">
        <v>90</v>
      </c>
      <c r="E747" s="20" t="s">
        <v>91</v>
      </c>
      <c r="F747" s="20" t="s">
        <v>90</v>
      </c>
      <c r="G747" s="20" t="s">
        <v>92</v>
      </c>
      <c r="H747" s="20" t="s">
        <v>18</v>
      </c>
      <c r="I747" s="20" t="s">
        <v>185</v>
      </c>
      <c r="J747" s="20" t="s">
        <v>178</v>
      </c>
      <c r="K747" s="20" t="s">
        <v>102</v>
      </c>
      <c r="L747" s="20">
        <v>37372.818333333198</v>
      </c>
      <c r="M747" s="20">
        <v>4.4774165562178503</v>
      </c>
      <c r="N747" s="20">
        <v>4.3131393780955101</v>
      </c>
      <c r="O747" s="20">
        <v>14201.670833333301</v>
      </c>
      <c r="P747" s="20">
        <v>6684.0523958317799</v>
      </c>
      <c r="Q747" s="20">
        <v>1182.7822858791001</v>
      </c>
      <c r="R747" s="20">
        <v>15980.395267902501</v>
      </c>
      <c r="S747" s="20">
        <v>39692.564194744999</v>
      </c>
      <c r="T747" s="20">
        <v>15</v>
      </c>
      <c r="U747" s="20">
        <v>1</v>
      </c>
      <c r="V747" s="20">
        <v>2.2950613527338799</v>
      </c>
      <c r="W747" s="20">
        <v>2.6109096855572802</v>
      </c>
      <c r="X747" s="20">
        <v>2.8861363470033901</v>
      </c>
      <c r="Y747" s="20">
        <v>3.1622298215275402</v>
      </c>
      <c r="Z747" s="20">
        <v>3.3975521964044302</v>
      </c>
      <c r="AA747" s="20">
        <v>3.6183618207136798</v>
      </c>
      <c r="AB747" s="20">
        <v>3.8271059154757801</v>
      </c>
      <c r="AC747" s="20">
        <v>4.0144448979906597</v>
      </c>
      <c r="AD747" s="20">
        <v>4.2000952901135804</v>
      </c>
      <c r="AE747" s="20">
        <v>4.3759532224337203</v>
      </c>
      <c r="AF747" t="str">
        <f t="shared" si="48"/>
        <v>NonResidential</v>
      </c>
      <c r="AG747" t="str">
        <f>tbl_Data_old[[#This Row],[All_Meas_Name_Append]]</f>
        <v>Custom Measure - Non-Lighting_70</v>
      </c>
      <c r="AH747">
        <f>AVERAGEIFS('3. Incentive Adjustment'!G:G,'3. Incentive Adjustment'!A:A,tbl_Data_old[[#This Row],[Trimmed Sector]],'3. Incentive Adjustment'!B:B,tbl_Data_old[[#This Row],[Trimmed Measure Name]])</f>
        <v>0.82269267220071174</v>
      </c>
      <c r="AI747">
        <f>$AH747*tbl_Data_old[[#This Row],[2025 ]]</f>
        <v>1.8881301571452158</v>
      </c>
      <c r="AJ747">
        <f>$AH747*tbl_Data_old[[#This Row],[2026 ]]</f>
        <v>2.147976266085839</v>
      </c>
      <c r="AK747">
        <f>$AH747*tbl_Data_old[[#This Row],[2027 ]]</f>
        <v>2.3744032236518198</v>
      </c>
      <c r="AL747">
        <f>$AH747*tbl_Data_old[[#This Row],[2028 ]]</f>
        <v>2.6015433019852718</v>
      </c>
      <c r="AM747">
        <f>$AH747*tbl_Data_old[[#This Row],[2029 ]]</f>
        <v>2.7951412954013581</v>
      </c>
      <c r="AN747">
        <f>$AH747*tbl_Data_old[[#This Row],[2030 ]]</f>
        <v>2.97679975527197</v>
      </c>
      <c r="AO747">
        <f>$AH747*tbl_Data_old[[#This Row],[2031 ]]</f>
        <v>3.1485319923979209</v>
      </c>
      <c r="AP747">
        <f>$AH747*tbl_Data_old[[#This Row],[2032 ]]</f>
        <v>3.3026544005304497</v>
      </c>
      <c r="AQ747">
        <f>$AH747*tbl_Data_old[[#This Row],[2033 ]]</f>
        <v>3.4553876177211649</v>
      </c>
      <c r="AR747">
        <f>$AH747*tbl_Data_old[[#This Row],[2034 ]]</f>
        <v>3.6000646499893127</v>
      </c>
      <c r="AS747">
        <f>SUM(tbl_Data_old[[#This Row],[Adjusted 2025]:[Adjusted 2034]])</f>
        <v>28.290632660180322</v>
      </c>
      <c r="AT747" s="3">
        <f>AVERAGEIFS('3. Incentive Adjustment'!F:F,'3. Incentive Adjustment'!A:A,tbl_Data_old[[#This Row],[Trimmed Sector]],'3. Incentive Adjustment'!B:B,tbl_Data_old[[#This Row],[Trimmed Measure Name]])</f>
        <v>3919.5698976361523</v>
      </c>
      <c r="AU747" s="3">
        <f>IFERROR(VLOOKUP(tbl_Data_old[[#This Row],[All_Meas_Name_Append]],'IRA Tax Credits'!$A$3:$D$46,4,0),0)</f>
        <v>0</v>
      </c>
      <c r="AV747" s="4">
        <f>tbl_Data_old[[#This Row],[Adj. per unit Incentive ($)]]/tbl_Data_old[[#This Row],[kWh Savings]]*tbl_Data_old[[#This Row],[Sum of Annuals]]</f>
        <v>2.9670524489458594</v>
      </c>
      <c r="AW747" s="4">
        <f>IFERROR(VLOOKUP(tbl_Data_old[[#This Row],[All_Programs]],'1. Set Program Names'!$B$2:$D$15,3,0)*tbl_Data_old[[#This Row],[Sum of Annuals]],"")</f>
        <v>0.89534749208168074</v>
      </c>
      <c r="AX747" s="4">
        <f>tbl_Data_old[[#This Row],[per unit IRA tax ($)]]/tbl_Data_old[[#This Row],[kWh Savings]]*tbl_Data_old[[#This Row],[Sum of Annuals]]</f>
        <v>0</v>
      </c>
      <c r="AY747" s="4">
        <f>tbl_Data_old[[#This Row],[Avoided Costs ($/unit)]]/tbl_Data_old[[#This Row],[kWh Savings]]*tbl_Data_old[[#This Row],[Sum of Annuals]]</f>
        <v>12.096906587467206</v>
      </c>
      <c r="AZ747" s="4">
        <f>tbl_Data_old[[#This Row],[Lost Revenue ($/unit)]]/tbl_Data_old[[#This Row],[kWh Savings]]*tbl_Data_old[[#This Row],[Sum of Annuals]]</f>
        <v>30.046643604948738</v>
      </c>
      <c r="BA747" s="4">
        <f>tbl_Data_old[[#This Row],[Incremental Cost ($/unit)]]/tbl_Data_old[[#This Row],[kWh Savings]]*tbl_Data_old[[#This Row],[Sum of Annuals]]</f>
        <v>10.750440309937311</v>
      </c>
      <c r="BB747">
        <f>ROUNDUP(tbl_Data_old[[#This Row],[Adjusted 2025]]/$L747,0)</f>
        <v>1</v>
      </c>
      <c r="BC747">
        <f>ROUNDUP(tbl_Data_old[[#This Row],[Adjusted 2026]]/$L747,0)</f>
        <v>1</v>
      </c>
      <c r="BD747">
        <f>ROUNDUP(tbl_Data_old[[#This Row],[Adjusted 2027]]/$L747,0)</f>
        <v>1</v>
      </c>
      <c r="BE747">
        <f>ROUNDUP(tbl_Data_old[[#This Row],[Adjusted 2028]]/$L747,0)</f>
        <v>1</v>
      </c>
      <c r="BF747">
        <f>ROUNDUP(tbl_Data_old[[#This Row],[Adjusted 2029]]/$L747,0)</f>
        <v>1</v>
      </c>
      <c r="BG747">
        <f>ROUNDUP(tbl_Data_old[[#This Row],[Adjusted 2030]]/$L747,0)</f>
        <v>1</v>
      </c>
      <c r="BH747">
        <f>ROUNDUP(tbl_Data_old[[#This Row],[Adjusted 2031]]/$L747,0)</f>
        <v>1</v>
      </c>
      <c r="BI747">
        <f>ROUNDUP(tbl_Data_old[[#This Row],[Adjusted 2032]]/$L747,0)</f>
        <v>1</v>
      </c>
      <c r="BJ747">
        <f>ROUNDUP(tbl_Data_old[[#This Row],[Adjusted 2033]]/$L747,0)</f>
        <v>1</v>
      </c>
      <c r="BK747">
        <f>ROUNDUP(tbl_Data_old[[#This Row],[Adjusted 2034]]/$L747,0)</f>
        <v>1</v>
      </c>
      <c r="BL747" s="3">
        <f t="shared" si="51"/>
        <v>0.24070042861553495</v>
      </c>
      <c r="BM747" s="3">
        <f t="shared" si="51"/>
        <v>0.27382583025132728</v>
      </c>
      <c r="BN747" s="3">
        <f t="shared" si="51"/>
        <v>0.30269093021808313</v>
      </c>
      <c r="BO747" s="3">
        <f t="shared" si="51"/>
        <v>0.33164693942313245</v>
      </c>
      <c r="BP747" s="3">
        <f t="shared" si="51"/>
        <v>0.35632697528719365</v>
      </c>
      <c r="BQ747" s="3">
        <f t="shared" si="50"/>
        <v>0.37948494932146537</v>
      </c>
      <c r="BR747" s="3">
        <f t="shared" si="50"/>
        <v>0.40137752008884275</v>
      </c>
      <c r="BS747" s="3">
        <f t="shared" si="50"/>
        <v>0.42102517496918634</v>
      </c>
      <c r="BT747" s="3">
        <f t="shared" si="50"/>
        <v>0.44049573461387687</v>
      </c>
      <c r="BU747" s="3">
        <f t="shared" si="50"/>
        <v>0.45893928499412134</v>
      </c>
      <c r="BV747">
        <f>VLOOKUP($H747,'1. Set Program Names'!$B$2:$D$15,3,0)*V747</f>
        <v>7.263455190368201E-2</v>
      </c>
      <c r="BW747">
        <f>VLOOKUP($H747,'1. Set Program Names'!$B$2:$D$15,3,0)*W747</f>
        <v>8.2630581899492253E-2</v>
      </c>
      <c r="BX747">
        <f>VLOOKUP($H747,'1. Set Program Names'!$B$2:$D$15,3,0)*X747</f>
        <v>9.1341009270974646E-2</v>
      </c>
      <c r="BY747">
        <f>VLOOKUP($H747,'1. Set Program Names'!$B$2:$D$15,3,0)*Y747</f>
        <v>0.10007886971278986</v>
      </c>
      <c r="BZ747">
        <f>VLOOKUP($H747,'1. Set Program Names'!$B$2:$D$15,3,0)*Z747</f>
        <v>0.10752639839507652</v>
      </c>
      <c r="CA747">
        <f>VLOOKUP($H747,'1. Set Program Names'!$B$2:$D$15,3,0)*AA747</f>
        <v>0.11451462470049434</v>
      </c>
      <c r="CB747">
        <f>VLOOKUP($H747,'1. Set Program Names'!$B$2:$D$15,3,0)*AB747</f>
        <v>0.1211209987599607</v>
      </c>
      <c r="CC747">
        <f>VLOOKUP($H747,'1. Set Program Names'!$B$2:$D$15,3,0)*AC747</f>
        <v>0.12704993962807781</v>
      </c>
      <c r="CD747">
        <f>VLOOKUP($H747,'1. Set Program Names'!$B$2:$D$15,3,0)*AD747</f>
        <v>0.13292543965622663</v>
      </c>
      <c r="CE747">
        <f>VLOOKUP($H747,'1. Set Program Names'!$B$2:$D$15,3,0)*AE747</f>
        <v>0.13849102599559213</v>
      </c>
    </row>
    <row r="748" spans="1:83" x14ac:dyDescent="0.25">
      <c r="A748" s="20" t="s">
        <v>116</v>
      </c>
      <c r="B748" s="20" t="s">
        <v>88</v>
      </c>
      <c r="C748" s="20" t="s">
        <v>176</v>
      </c>
      <c r="D748" s="20" t="s">
        <v>90</v>
      </c>
      <c r="E748" s="20" t="s">
        <v>91</v>
      </c>
      <c r="F748" s="20" t="s">
        <v>90</v>
      </c>
      <c r="G748" s="20" t="s">
        <v>92</v>
      </c>
      <c r="H748" s="20" t="s">
        <v>18</v>
      </c>
      <c r="I748" s="20" t="s">
        <v>187</v>
      </c>
      <c r="J748" s="20" t="s">
        <v>137</v>
      </c>
      <c r="K748" s="20" t="s">
        <v>98</v>
      </c>
      <c r="L748" s="20">
        <v>16575.9941666665</v>
      </c>
      <c r="M748" s="20">
        <v>1.98609088803711</v>
      </c>
      <c r="N748" s="20">
        <v>1.91315479867159</v>
      </c>
      <c r="O748" s="20">
        <v>5440</v>
      </c>
      <c r="P748" s="20">
        <v>2106.6717861739999</v>
      </c>
      <c r="Q748" s="20">
        <v>524.60031502847596</v>
      </c>
      <c r="R748" s="20">
        <v>7087.6591263841001</v>
      </c>
      <c r="S748" s="20">
        <v>17604.872789732901</v>
      </c>
      <c r="T748" s="20">
        <v>15</v>
      </c>
      <c r="U748" s="20">
        <v>1</v>
      </c>
      <c r="V748" s="20">
        <v>1.0957401254938901</v>
      </c>
      <c r="W748" s="20">
        <v>1.5140742661618201</v>
      </c>
      <c r="X748" s="20">
        <v>2.0266787440788598</v>
      </c>
      <c r="Y748" s="20">
        <v>2.64593988734218</v>
      </c>
      <c r="Z748" s="20">
        <v>3.3043752021586701</v>
      </c>
      <c r="AA748" s="20">
        <v>3.9248207187847499</v>
      </c>
      <c r="AB748" s="20">
        <v>4.3784057917204597</v>
      </c>
      <c r="AC748" s="20">
        <v>4.5210579631216898</v>
      </c>
      <c r="AD748" s="20">
        <v>4.2893692409258097</v>
      </c>
      <c r="AE748" s="20">
        <v>3.72111697214548</v>
      </c>
      <c r="AF748" t="str">
        <f t="shared" si="48"/>
        <v>NonResidential</v>
      </c>
      <c r="AG748" t="str">
        <f>tbl_Data_old[[#This Row],[All_Meas_Name_Append]]</f>
        <v>High Efficiency Air Compressor</v>
      </c>
      <c r="AH748">
        <f>AVERAGEIFS('3. Incentive Adjustment'!G:G,'3. Incentive Adjustment'!A:A,tbl_Data_old[[#This Row],[Trimmed Sector]],'3. Incentive Adjustment'!B:B,tbl_Data_old[[#This Row],[Trimmed Measure Name]])</f>
        <v>0.94309259342294038</v>
      </c>
      <c r="AI748">
        <f>$AH748*tbl_Data_old[[#This Row],[2025 ]]</f>
        <v>1.033384396669611</v>
      </c>
      <c r="AJ748">
        <f>$AH748*tbl_Data_old[[#This Row],[2026 ]]</f>
        <v>1.4279122263094861</v>
      </c>
      <c r="AK748">
        <f>$AH748*tbl_Data_old[[#This Row],[2027 ]]</f>
        <v>1.9113457127884796</v>
      </c>
      <c r="AL748">
        <f>$AH748*tbl_Data_old[[#This Row],[2028 ]]</f>
        <v>2.4953663103947394</v>
      </c>
      <c r="AM748">
        <f>$AH748*tbl_Data_old[[#This Row],[2029 ]]</f>
        <v>3.116331779046273</v>
      </c>
      <c r="AN748">
        <f>$AH748*tbl_Data_old[[#This Row],[2030 ]]</f>
        <v>3.7014693503987988</v>
      </c>
      <c r="AO748">
        <f>$AH748*tbl_Data_old[[#This Row],[2031 ]]</f>
        <v>4.129242073171671</v>
      </c>
      <c r="AP748">
        <f>$AH748*tbl_Data_old[[#This Row],[2032 ]]</f>
        <v>4.2637762794558709</v>
      </c>
      <c r="AQ748">
        <f>$AH748*tbl_Data_old[[#This Row],[2033 ]]</f>
        <v>4.0452723615733115</v>
      </c>
      <c r="AR748">
        <f>$AH748*tbl_Data_old[[#This Row],[2034 ]]</f>
        <v>3.5093578556908001</v>
      </c>
      <c r="AS748">
        <f>SUM(tbl_Data_old[[#This Row],[Adjusted 2025]:[Adjusted 2034]])</f>
        <v>29.633458345499044</v>
      </c>
      <c r="AT748" s="3">
        <f>AVERAGEIFS('3. Incentive Adjustment'!F:F,'3. Incentive Adjustment'!A:A,tbl_Data_old[[#This Row],[Trimmed Sector]],'3. Incentive Adjustment'!B:B,tbl_Data_old[[#This Row],[Trimmed Measure Name]])</f>
        <v>1738.5866300231887</v>
      </c>
      <c r="AU748" s="3">
        <f>IFERROR(VLOOKUP(tbl_Data_old[[#This Row],[All_Meas_Name_Append]],'IRA Tax Credits'!$A$3:$D$46,4,0),0)</f>
        <v>0</v>
      </c>
      <c r="AV748" s="4">
        <f>tbl_Data_old[[#This Row],[Adj. per unit Incentive ($)]]/tbl_Data_old[[#This Row],[kWh Savings]]*tbl_Data_old[[#This Row],[Sum of Annuals]]</f>
        <v>3.1081293805253956</v>
      </c>
      <c r="AW748" s="4">
        <f>IFERROR(VLOOKUP(tbl_Data_old[[#This Row],[All_Programs]],'1. Set Program Names'!$B$2:$D$15,3,0)*tbl_Data_old[[#This Row],[Sum of Annuals]],"")</f>
        <v>0.93784550278701362</v>
      </c>
      <c r="AX748" s="4">
        <f>tbl_Data_old[[#This Row],[per unit IRA tax ($)]]/tbl_Data_old[[#This Row],[kWh Savings]]*tbl_Data_old[[#This Row],[Sum of Annuals]]</f>
        <v>0</v>
      </c>
      <c r="AY748" s="4">
        <f>tbl_Data_old[[#This Row],[Avoided Costs ($/unit)]]/tbl_Data_old[[#This Row],[kWh Savings]]*tbl_Data_old[[#This Row],[Sum of Annuals]]</f>
        <v>12.670844920491284</v>
      </c>
      <c r="AZ748" s="4">
        <f>tbl_Data_old[[#This Row],[Lost Revenue ($/unit)]]/tbl_Data_old[[#This Row],[kWh Savings]]*tbl_Data_old[[#This Row],[Sum of Annuals]]</f>
        <v>31.472819020500062</v>
      </c>
      <c r="BA748" s="4">
        <f>tbl_Data_old[[#This Row],[Incremental Cost ($/unit)]]/tbl_Data_old[[#This Row],[kWh Savings]]*tbl_Data_old[[#This Row],[Sum of Annuals]]</f>
        <v>9.7252696748465368</v>
      </c>
      <c r="BB748">
        <f>ROUNDUP(tbl_Data_old[[#This Row],[Adjusted 2025]]/$L748,0)</f>
        <v>1</v>
      </c>
      <c r="BC748">
        <f>ROUNDUP(tbl_Data_old[[#This Row],[Adjusted 2026]]/$L748,0)</f>
        <v>1</v>
      </c>
      <c r="BD748">
        <f>ROUNDUP(tbl_Data_old[[#This Row],[Adjusted 2027]]/$L748,0)</f>
        <v>1</v>
      </c>
      <c r="BE748">
        <f>ROUNDUP(tbl_Data_old[[#This Row],[Adjusted 2028]]/$L748,0)</f>
        <v>1</v>
      </c>
      <c r="BF748">
        <f>ROUNDUP(tbl_Data_old[[#This Row],[Adjusted 2029]]/$L748,0)</f>
        <v>1</v>
      </c>
      <c r="BG748">
        <f>ROUNDUP(tbl_Data_old[[#This Row],[Adjusted 2030]]/$L748,0)</f>
        <v>1</v>
      </c>
      <c r="BH748">
        <f>ROUNDUP(tbl_Data_old[[#This Row],[Adjusted 2031]]/$L748,0)</f>
        <v>1</v>
      </c>
      <c r="BI748">
        <f>ROUNDUP(tbl_Data_old[[#This Row],[Adjusted 2032]]/$L748,0)</f>
        <v>1</v>
      </c>
      <c r="BJ748">
        <f>ROUNDUP(tbl_Data_old[[#This Row],[Adjusted 2033]]/$L748,0)</f>
        <v>1</v>
      </c>
      <c r="BK748">
        <f>ROUNDUP(tbl_Data_old[[#This Row],[Adjusted 2034]]/$L748,0)</f>
        <v>1</v>
      </c>
      <c r="BL748" s="3">
        <f t="shared" si="51"/>
        <v>0.1149275942672897</v>
      </c>
      <c r="BM748" s="3">
        <f t="shared" si="51"/>
        <v>0.1588049108574516</v>
      </c>
      <c r="BN748" s="3">
        <f t="shared" si="51"/>
        <v>0.21256984844344301</v>
      </c>
      <c r="BO748" s="3">
        <f t="shared" si="51"/>
        <v>0.27752155712198195</v>
      </c>
      <c r="BP748" s="3">
        <f t="shared" si="51"/>
        <v>0.34658208064563806</v>
      </c>
      <c r="BQ748" s="3">
        <f t="shared" si="50"/>
        <v>0.41165801328762347</v>
      </c>
      <c r="BR748" s="3">
        <f t="shared" si="50"/>
        <v>0.45923265257954282</v>
      </c>
      <c r="BS748" s="3">
        <f t="shared" si="50"/>
        <v>0.47419484160110376</v>
      </c>
      <c r="BT748" s="3">
        <f t="shared" si="50"/>
        <v>0.44989398153281618</v>
      </c>
      <c r="BU748" s="3">
        <f t="shared" si="50"/>
        <v>0.39029238014177836</v>
      </c>
      <c r="BV748">
        <f>VLOOKUP($H748,'1. Set Program Names'!$B$2:$D$15,3,0)*V748</f>
        <v>3.4678198438280079E-2</v>
      </c>
      <c r="BW748">
        <f>VLOOKUP($H748,'1. Set Program Names'!$B$2:$D$15,3,0)*W748</f>
        <v>4.7917719384956169E-2</v>
      </c>
      <c r="BX748">
        <f>VLOOKUP($H748,'1. Set Program Names'!$B$2:$D$15,3,0)*X748</f>
        <v>6.4140726457500574E-2</v>
      </c>
      <c r="BY748">
        <f>VLOOKUP($H748,'1. Set Program Names'!$B$2:$D$15,3,0)*Y748</f>
        <v>8.3739224597305484E-2</v>
      </c>
      <c r="BZ748">
        <f>VLOOKUP($H748,'1. Set Program Names'!$B$2:$D$15,3,0)*Z748</f>
        <v>0.10457751460305464</v>
      </c>
      <c r="CA748">
        <f>VLOOKUP($H748,'1. Set Program Names'!$B$2:$D$15,3,0)*AA748</f>
        <v>0.12421349602337763</v>
      </c>
      <c r="CB748">
        <f>VLOOKUP($H748,'1. Set Program Names'!$B$2:$D$15,3,0)*AB748</f>
        <v>0.13856864538948888</v>
      </c>
      <c r="CC748">
        <f>VLOOKUP($H748,'1. Set Program Names'!$B$2:$D$15,3,0)*AC748</f>
        <v>0.14308332929346076</v>
      </c>
      <c r="CD748">
        <f>VLOOKUP($H748,'1. Set Program Names'!$B$2:$D$15,3,0)*AD748</f>
        <v>0.1357507991640208</v>
      </c>
      <c r="CE748">
        <f>VLOOKUP($H748,'1. Set Program Names'!$B$2:$D$15,3,0)*AE748</f>
        <v>0.1177666398900461</v>
      </c>
    </row>
    <row r="749" spans="1:83" x14ac:dyDescent="0.25">
      <c r="A749" s="20" t="s">
        <v>116</v>
      </c>
      <c r="B749" s="20" t="s">
        <v>88</v>
      </c>
      <c r="C749" s="20" t="s">
        <v>176</v>
      </c>
      <c r="D749" s="20" t="s">
        <v>90</v>
      </c>
      <c r="E749" s="20" t="s">
        <v>91</v>
      </c>
      <c r="F749" s="20" t="s">
        <v>90</v>
      </c>
      <c r="G749" s="20" t="s">
        <v>92</v>
      </c>
      <c r="H749" s="20" t="s">
        <v>18</v>
      </c>
      <c r="I749" s="20" t="s">
        <v>157</v>
      </c>
      <c r="J749" s="20" t="s">
        <v>158</v>
      </c>
      <c r="K749" s="20" t="s">
        <v>159</v>
      </c>
      <c r="L749" s="20">
        <v>562.52</v>
      </c>
      <c r="M749" s="20">
        <v>6.7473359330379998E-2</v>
      </c>
      <c r="N749" s="20">
        <v>6.4973258375617293E-2</v>
      </c>
      <c r="O749" s="20">
        <v>169</v>
      </c>
      <c r="P749" s="20">
        <v>55.847956108163899</v>
      </c>
      <c r="Q749" s="20">
        <v>17.802743307140101</v>
      </c>
      <c r="R749" s="20">
        <v>240.47921618074301</v>
      </c>
      <c r="S749" s="20">
        <v>597.43584258705596</v>
      </c>
      <c r="T749" s="20">
        <v>15</v>
      </c>
      <c r="U749" s="20">
        <v>0.2</v>
      </c>
      <c r="V749" s="20">
        <v>7.0258766430940506E-2</v>
      </c>
      <c r="W749" s="20">
        <v>7.9931095245770398E-2</v>
      </c>
      <c r="X749" s="20">
        <v>8.8359847434934899E-2</v>
      </c>
      <c r="Y749" s="20">
        <v>9.6820036039382301E-2</v>
      </c>
      <c r="Z749" s="20">
        <v>0.104026030841119</v>
      </c>
      <c r="AA749" s="20">
        <v>0.110790182172021</v>
      </c>
      <c r="AB749" s="20">
        <v>0.117186486247166</v>
      </c>
      <c r="AC749" s="20">
        <v>0.12292396757107001</v>
      </c>
      <c r="AD749" s="20">
        <v>0.128613101800957</v>
      </c>
      <c r="AE749" s="20">
        <v>0.13400210580802199</v>
      </c>
      <c r="AF749" t="str">
        <f t="shared" si="48"/>
        <v>NonResidential</v>
      </c>
      <c r="AG749" t="str">
        <f>tbl_Data_old[[#This Row],[All_Meas_Name_Append]]</f>
        <v>LED Exterior Wall Packs</v>
      </c>
      <c r="AH749">
        <f>AVERAGEIFS('3. Incentive Adjustment'!G:G,'3. Incentive Adjustment'!A:A,tbl_Data_old[[#This Row],[Trimmed Sector]],'3. Incentive Adjustment'!B:B,tbl_Data_old[[#This Row],[Trimmed Measure Name]])</f>
        <v>0.80637708305213962</v>
      </c>
      <c r="AI749">
        <f>$AH749*tbl_Data_old[[#This Row],[2025 ]]</f>
        <v>5.6655059133423391E-2</v>
      </c>
      <c r="AJ749">
        <f>$AH749*tbl_Data_old[[#This Row],[2026 ]]</f>
        <v>6.4454603429447074E-2</v>
      </c>
      <c r="AK749">
        <f>$AH749*tbl_Data_old[[#This Row],[2027 ]]</f>
        <v>7.1251356033514887E-2</v>
      </c>
      <c r="AL749">
        <f>$AH749*tbl_Data_old[[#This Row],[2028 ]]</f>
        <v>7.8073458242440136E-2</v>
      </c>
      <c r="AM749">
        <f>$AH749*tbl_Data_old[[#This Row],[2029 ]]</f>
        <v>8.3884207311153453E-2</v>
      </c>
      <c r="AN749">
        <f>$AH749*tbl_Data_old[[#This Row],[2030 ]]</f>
        <v>8.9338663930689455E-2</v>
      </c>
      <c r="AO749">
        <f>$AH749*tbl_Data_old[[#This Row],[2031 ]]</f>
        <v>9.4496496953119402E-2</v>
      </c>
      <c r="AP749">
        <f>$AH749*tbl_Data_old[[#This Row],[2032 ]]</f>
        <v>9.9123070407155234E-2</v>
      </c>
      <c r="AQ749">
        <f>$AH749*tbl_Data_old[[#This Row],[2033 ]]</f>
        <v>0.10371065787254359</v>
      </c>
      <c r="AR749">
        <f>$AH749*tbl_Data_old[[#This Row],[2034 ]]</f>
        <v>0.10805622720431696</v>
      </c>
      <c r="AS749">
        <f>SUM(tbl_Data_old[[#This Row],[Adjusted 2025]:[Adjusted 2034]])</f>
        <v>0.84904380051780359</v>
      </c>
      <c r="AT749" s="3">
        <f>AVERAGEIFS('3. Incentive Adjustment'!F:F,'3. Incentive Adjustment'!A:A,tbl_Data_old[[#This Row],[Trimmed Sector]],'3. Incentive Adjustment'!B:B,tbl_Data_old[[#This Row],[Trimmed Measure Name]])</f>
        <v>8.6864493556481861</v>
      </c>
      <c r="AU749" s="3">
        <f>IFERROR(VLOOKUP(tbl_Data_old[[#This Row],[All_Meas_Name_Append]],'IRA Tax Credits'!$A$3:$D$46,4,0),0)</f>
        <v>0</v>
      </c>
      <c r="AV749" s="4">
        <f>tbl_Data_old[[#This Row],[Adj. per unit Incentive ($)]]/tbl_Data_old[[#This Row],[kWh Savings]]*tbl_Data_old[[#This Row],[Sum of Annuals]]</f>
        <v>1.3110957786256421E-2</v>
      </c>
      <c r="AW749" s="4">
        <f>IFERROR(VLOOKUP(tbl_Data_old[[#This Row],[All_Programs]],'1. Set Program Names'!$B$2:$D$15,3,0)*tbl_Data_old[[#This Row],[Sum of Annuals]],"")</f>
        <v>2.6870704752074953E-2</v>
      </c>
      <c r="AX749" s="4">
        <f>tbl_Data_old[[#This Row],[per unit IRA tax ($)]]/tbl_Data_old[[#This Row],[kWh Savings]]*tbl_Data_old[[#This Row],[Sum of Annuals]]</f>
        <v>0</v>
      </c>
      <c r="AY749" s="4">
        <f>tbl_Data_old[[#This Row],[Avoided Costs ($/unit)]]/tbl_Data_old[[#This Row],[kWh Savings]]*tbl_Data_old[[#This Row],[Sum of Annuals]]</f>
        <v>0.36296911692320372</v>
      </c>
      <c r="AZ749" s="4">
        <f>tbl_Data_old[[#This Row],[Lost Revenue ($/unit)]]/tbl_Data_old[[#This Row],[kWh Savings]]*tbl_Data_old[[#This Row],[Sum of Annuals]]</f>
        <v>0.90174429061308092</v>
      </c>
      <c r="BA749" s="4">
        <f>tbl_Data_old[[#This Row],[Incremental Cost ($/unit)]]/tbl_Data_old[[#This Row],[kWh Savings]]*tbl_Data_old[[#This Row],[Sum of Annuals]]</f>
        <v>0.25508142339385054</v>
      </c>
      <c r="BB749">
        <f>ROUNDUP(tbl_Data_old[[#This Row],[Adjusted 2025]]/$L749,0)</f>
        <v>1</v>
      </c>
      <c r="BC749">
        <f>ROUNDUP(tbl_Data_old[[#This Row],[Adjusted 2026]]/$L749,0)</f>
        <v>1</v>
      </c>
      <c r="BD749">
        <f>ROUNDUP(tbl_Data_old[[#This Row],[Adjusted 2027]]/$L749,0)</f>
        <v>1</v>
      </c>
      <c r="BE749">
        <f>ROUNDUP(tbl_Data_old[[#This Row],[Adjusted 2028]]/$L749,0)</f>
        <v>1</v>
      </c>
      <c r="BF749">
        <f>ROUNDUP(tbl_Data_old[[#This Row],[Adjusted 2029]]/$L749,0)</f>
        <v>1</v>
      </c>
      <c r="BG749">
        <f>ROUNDUP(tbl_Data_old[[#This Row],[Adjusted 2030]]/$L749,0)</f>
        <v>1</v>
      </c>
      <c r="BH749">
        <f>ROUNDUP(tbl_Data_old[[#This Row],[Adjusted 2031]]/$L749,0)</f>
        <v>1</v>
      </c>
      <c r="BI749">
        <f>ROUNDUP(tbl_Data_old[[#This Row],[Adjusted 2032]]/$L749,0)</f>
        <v>1</v>
      </c>
      <c r="BJ749">
        <f>ROUNDUP(tbl_Data_old[[#This Row],[Adjusted 2033]]/$L749,0)</f>
        <v>1</v>
      </c>
      <c r="BK749">
        <f>ROUNDUP(tbl_Data_old[[#This Row],[Adjusted 2034]]/$L749,0)</f>
        <v>1</v>
      </c>
      <c r="BL749" s="3">
        <f t="shared" si="51"/>
        <v>1.0849378091315502E-3</v>
      </c>
      <c r="BM749" s="3">
        <f t="shared" si="51"/>
        <v>1.234298177476136E-3</v>
      </c>
      <c r="BN749" s="3">
        <f t="shared" si="51"/>
        <v>1.3644552012663767E-3</v>
      </c>
      <c r="BO749" s="3">
        <f t="shared" si="51"/>
        <v>1.4950976670485077E-3</v>
      </c>
      <c r="BP749" s="3">
        <f t="shared" si="51"/>
        <v>1.6063728375355125E-3</v>
      </c>
      <c r="BQ749" s="3">
        <f t="shared" si="50"/>
        <v>1.7108250489587871E-3</v>
      </c>
      <c r="BR749" s="3">
        <f t="shared" si="50"/>
        <v>1.8095969529125545E-3</v>
      </c>
      <c r="BS749" s="3">
        <f t="shared" si="50"/>
        <v>1.8981952977697497E-3</v>
      </c>
      <c r="BT749" s="3">
        <f t="shared" si="50"/>
        <v>1.9860470654676056E-3</v>
      </c>
      <c r="BU749" s="3">
        <f t="shared" si="50"/>
        <v>2.0692642139863342E-3</v>
      </c>
      <c r="BV749">
        <f>VLOOKUP($H749,'1. Set Program Names'!$B$2:$D$15,3,0)*V749</f>
        <v>2.2235632223678312E-3</v>
      </c>
      <c r="BW749">
        <f>VLOOKUP($H749,'1. Set Program Names'!$B$2:$D$15,3,0)*W749</f>
        <v>2.529674982078903E-3</v>
      </c>
      <c r="BX749">
        <f>VLOOKUP($H749,'1. Set Program Names'!$B$2:$D$15,3,0)*X749</f>
        <v>2.7964297847938137E-3</v>
      </c>
      <c r="BY749">
        <f>VLOOKUP($H749,'1. Set Program Names'!$B$2:$D$15,3,0)*Y749</f>
        <v>3.0641794933463449E-3</v>
      </c>
      <c r="BZ749">
        <f>VLOOKUP($H749,'1. Set Program Names'!$B$2:$D$15,3,0)*Z749</f>
        <v>3.2922362304008586E-3</v>
      </c>
      <c r="CA749">
        <f>VLOOKUP($H749,'1. Set Program Names'!$B$2:$D$15,3,0)*AA749</f>
        <v>3.5063094186158533E-3</v>
      </c>
      <c r="CB749">
        <f>VLOOKUP($H749,'1. Set Program Names'!$B$2:$D$15,3,0)*AB749</f>
        <v>3.7087409047216295E-3</v>
      </c>
      <c r="CC749">
        <f>VLOOKUP($H749,'1. Set Program Names'!$B$2:$D$15,3,0)*AC749</f>
        <v>3.8903218391576921E-3</v>
      </c>
      <c r="CD749">
        <f>VLOOKUP($H749,'1. Set Program Names'!$B$2:$D$15,3,0)*AD749</f>
        <v>4.0703726752782622E-3</v>
      </c>
      <c r="CE749">
        <f>VLOOKUP($H749,'1. Set Program Names'!$B$2:$D$15,3,0)*AE749</f>
        <v>4.2409249312317003E-3</v>
      </c>
    </row>
    <row r="750" spans="1:83" x14ac:dyDescent="0.25">
      <c r="A750" s="20" t="s">
        <v>116</v>
      </c>
      <c r="B750" s="20" t="s">
        <v>88</v>
      </c>
      <c r="C750" s="20" t="s">
        <v>176</v>
      </c>
      <c r="D750" s="20" t="s">
        <v>90</v>
      </c>
      <c r="E750" s="20" t="s">
        <v>91</v>
      </c>
      <c r="F750" s="20" t="s">
        <v>90</v>
      </c>
      <c r="G750" s="20" t="s">
        <v>92</v>
      </c>
      <c r="H750" s="20" t="s">
        <v>18</v>
      </c>
      <c r="I750" s="20" t="s">
        <v>162</v>
      </c>
      <c r="J750" s="20" t="s">
        <v>161</v>
      </c>
      <c r="K750" s="20" t="s">
        <v>159</v>
      </c>
      <c r="L750" s="20">
        <v>725.58416666666596</v>
      </c>
      <c r="M750" s="20">
        <v>8.6917804178563804E-2</v>
      </c>
      <c r="N750" s="20">
        <v>8.3795205289933394E-2</v>
      </c>
      <c r="O750" s="20">
        <v>179</v>
      </c>
      <c r="P750" s="20">
        <v>33.0790753554421</v>
      </c>
      <c r="Q750" s="20">
        <v>22.963430041406301</v>
      </c>
      <c r="R750" s="20">
        <v>310.45187974046598</v>
      </c>
      <c r="S750" s="20">
        <v>770.62146764617603</v>
      </c>
      <c r="T750" s="20">
        <v>15</v>
      </c>
      <c r="U750" s="20">
        <v>0.2</v>
      </c>
      <c r="V750" s="20">
        <v>0.36088388817047201</v>
      </c>
      <c r="W750" s="20">
        <v>0.41056576856315002</v>
      </c>
      <c r="X750" s="20">
        <v>0.453860022319241</v>
      </c>
      <c r="Y750" s="20">
        <v>0.497315749103592</v>
      </c>
      <c r="Z750" s="20">
        <v>0.53432931416160201</v>
      </c>
      <c r="AA750" s="20">
        <v>0.56907335190198705</v>
      </c>
      <c r="AB750" s="20">
        <v>0.601927943603763</v>
      </c>
      <c r="AC750" s="20">
        <v>0.63139849473435905</v>
      </c>
      <c r="AD750" s="20">
        <v>0.66062071119931398</v>
      </c>
      <c r="AE750" s="20">
        <v>0.68830130990933003</v>
      </c>
      <c r="AF750" t="str">
        <f t="shared" si="48"/>
        <v>NonResidential</v>
      </c>
      <c r="AG750" t="str">
        <f>tbl_Data_old[[#This Row],[All_Meas_Name_Append]]</f>
        <v>LED High Bay_LF Baseline</v>
      </c>
      <c r="AH750">
        <f>AVERAGEIFS('3. Incentive Adjustment'!G:G,'3. Incentive Adjustment'!A:A,tbl_Data_old[[#This Row],[Trimmed Sector]],'3. Incentive Adjustment'!B:B,tbl_Data_old[[#This Row],[Trimmed Measure Name]])</f>
        <v>0.93017466414143679</v>
      </c>
      <c r="AI750">
        <f>$AH750*tbl_Data_old[[#This Row],[2025 ]]</f>
        <v>0.33568504947302463</v>
      </c>
      <c r="AJ750">
        <f>$AH750*tbl_Data_old[[#This Row],[2026 ]]</f>
        <v>0.38189787588119894</v>
      </c>
      <c r="AK750">
        <f>$AH750*tbl_Data_old[[#This Row],[2027 ]]</f>
        <v>0.42216909382802498</v>
      </c>
      <c r="AL750">
        <f>$AH750*tbl_Data_old[[#This Row],[2028 ]]</f>
        <v>0.46259050989468076</v>
      </c>
      <c r="AM750">
        <f>$AH750*tbl_Data_old[[#This Row],[2029 ]]</f>
        <v>0.49701959034119242</v>
      </c>
      <c r="AN750">
        <f>$AH750*tbl_Data_old[[#This Row],[2030 ]]</f>
        <v>0.52933761397727253</v>
      </c>
      <c r="AO750">
        <f>$AH750*tbl_Data_old[[#This Row],[2031 ]]</f>
        <v>0.55989812277897599</v>
      </c>
      <c r="AP750">
        <f>$AH750*tbl_Data_old[[#This Row],[2032 ]]</f>
        <v>0.58731088277894117</v>
      </c>
      <c r="AQ750">
        <f>$AH750*tbl_Data_old[[#This Row],[2033 ]]</f>
        <v>0.61449264816469895</v>
      </c>
      <c r="AR750">
        <f>$AH750*tbl_Data_old[[#This Row],[2034 ]]</f>
        <v>0.64024043977302203</v>
      </c>
      <c r="AS750">
        <f>SUM(tbl_Data_old[[#This Row],[Adjusted 2025]:[Adjusted 2034]])</f>
        <v>5.0306418268910322</v>
      </c>
      <c r="AT750" s="3">
        <f>AVERAGEIFS('3. Incentive Adjustment'!F:F,'3. Incentive Adjustment'!A:A,tbl_Data_old[[#This Row],[Trimmed Sector]],'3. Incentive Adjustment'!B:B,tbl_Data_old[[#This Row],[Trimmed Measure Name]])</f>
        <v>23.858858929800434</v>
      </c>
      <c r="AU750" s="3">
        <f>IFERROR(VLOOKUP(tbl_Data_old[[#This Row],[All_Meas_Name_Append]],'IRA Tax Credits'!$A$3:$D$46,4,0),0)</f>
        <v>0</v>
      </c>
      <c r="AV750" s="4">
        <f>tbl_Data_old[[#This Row],[Adj. per unit Incentive ($)]]/tbl_Data_old[[#This Row],[kWh Savings]]*tbl_Data_old[[#This Row],[Sum of Annuals]]</f>
        <v>0.16541895370394216</v>
      </c>
      <c r="AW750" s="4">
        <f>IFERROR(VLOOKUP(tbl_Data_old[[#This Row],[All_Programs]],'1. Set Program Names'!$B$2:$D$15,3,0)*tbl_Data_old[[#This Row],[Sum of Annuals]],"")</f>
        <v>0.1592107393769179</v>
      </c>
      <c r="AX750" s="4">
        <f>tbl_Data_old[[#This Row],[per unit IRA tax ($)]]/tbl_Data_old[[#This Row],[kWh Savings]]*tbl_Data_old[[#This Row],[Sum of Annuals]]</f>
        <v>0</v>
      </c>
      <c r="AY750" s="4">
        <f>tbl_Data_old[[#This Row],[Avoided Costs ($/unit)]]/tbl_Data_old[[#This Row],[kWh Savings]]*tbl_Data_old[[#This Row],[Sum of Annuals]]</f>
        <v>2.152434249818481</v>
      </c>
      <c r="AZ750" s="4">
        <f>tbl_Data_old[[#This Row],[Lost Revenue ($/unit)]]/tbl_Data_old[[#This Row],[kWh Savings]]*tbl_Data_old[[#This Row],[Sum of Annuals]]</f>
        <v>5.3428957878872474</v>
      </c>
      <c r="BA750" s="4">
        <f>tbl_Data_old[[#This Row],[Incremental Cost ($/unit)]]/tbl_Data_old[[#This Row],[kWh Savings]]*tbl_Data_old[[#This Row],[Sum of Annuals]]</f>
        <v>1.241048149038757</v>
      </c>
      <c r="BB750">
        <f>ROUNDUP(tbl_Data_old[[#This Row],[Adjusted 2025]]/$L750,0)</f>
        <v>1</v>
      </c>
      <c r="BC750">
        <f>ROUNDUP(tbl_Data_old[[#This Row],[Adjusted 2026]]/$L750,0)</f>
        <v>1</v>
      </c>
      <c r="BD750">
        <f>ROUNDUP(tbl_Data_old[[#This Row],[Adjusted 2027]]/$L750,0)</f>
        <v>1</v>
      </c>
      <c r="BE750">
        <f>ROUNDUP(tbl_Data_old[[#This Row],[Adjusted 2028]]/$L750,0)</f>
        <v>1</v>
      </c>
      <c r="BF750">
        <f>ROUNDUP(tbl_Data_old[[#This Row],[Adjusted 2029]]/$L750,0)</f>
        <v>1</v>
      </c>
      <c r="BG750">
        <f>ROUNDUP(tbl_Data_old[[#This Row],[Adjusted 2030]]/$L750,0)</f>
        <v>1</v>
      </c>
      <c r="BH750">
        <f>ROUNDUP(tbl_Data_old[[#This Row],[Adjusted 2031]]/$L750,0)</f>
        <v>1</v>
      </c>
      <c r="BI750">
        <f>ROUNDUP(tbl_Data_old[[#This Row],[Adjusted 2032]]/$L750,0)</f>
        <v>1</v>
      </c>
      <c r="BJ750">
        <f>ROUNDUP(tbl_Data_old[[#This Row],[Adjusted 2033]]/$L750,0)</f>
        <v>1</v>
      </c>
      <c r="BK750">
        <f>ROUNDUP(tbl_Data_old[[#This Row],[Adjusted 2034]]/$L750,0)</f>
        <v>1</v>
      </c>
      <c r="BL750" s="3">
        <f t="shared" si="51"/>
        <v>1.1866683664629545E-2</v>
      </c>
      <c r="BM750" s="3">
        <f t="shared" si="51"/>
        <v>1.3500336974763964E-2</v>
      </c>
      <c r="BN750" s="3">
        <f t="shared" si="51"/>
        <v>1.4923950581966747E-2</v>
      </c>
      <c r="BO750" s="3">
        <f t="shared" si="51"/>
        <v>1.6352873789873639E-2</v>
      </c>
      <c r="BP750" s="3">
        <f t="shared" si="51"/>
        <v>1.7569964056968385E-2</v>
      </c>
      <c r="BQ750" s="3">
        <f t="shared" si="50"/>
        <v>1.871242710010192E-2</v>
      </c>
      <c r="BR750" s="3">
        <f t="shared" si="50"/>
        <v>1.9792760856845781E-2</v>
      </c>
      <c r="BS750" s="3">
        <f t="shared" si="50"/>
        <v>2.0761819657065413E-2</v>
      </c>
      <c r="BT750" s="3">
        <f t="shared" si="50"/>
        <v>2.1722712648234763E-2</v>
      </c>
      <c r="BU750" s="3">
        <f t="shared" si="50"/>
        <v>2.2632913738686741E-2</v>
      </c>
      <c r="BV750">
        <f>VLOOKUP($H750,'1. Set Program Names'!$B$2:$D$15,3,0)*V750</f>
        <v>1.1421324085866462E-2</v>
      </c>
      <c r="BW750">
        <f>VLOOKUP($H750,'1. Set Program Names'!$B$2:$D$15,3,0)*W750</f>
        <v>1.2993665982415718E-2</v>
      </c>
      <c r="BX750">
        <f>VLOOKUP($H750,'1. Set Program Names'!$B$2:$D$15,3,0)*X750</f>
        <v>1.4363851018136897E-2</v>
      </c>
      <c r="BY750">
        <f>VLOOKUP($H750,'1. Set Program Names'!$B$2:$D$15,3,0)*Y750</f>
        <v>1.5739146383931923E-2</v>
      </c>
      <c r="BZ750">
        <f>VLOOKUP($H750,'1. Set Program Names'!$B$2:$D$15,3,0)*Z750</f>
        <v>1.6910558951680421E-2</v>
      </c>
      <c r="CA750">
        <f>VLOOKUP($H750,'1. Set Program Names'!$B$2:$D$15,3,0)*AA750</f>
        <v>1.8010145073677267E-2</v>
      </c>
      <c r="CB750">
        <f>VLOOKUP($H750,'1. Set Program Names'!$B$2:$D$15,3,0)*AB750</f>
        <v>1.9049933636799674E-2</v>
      </c>
      <c r="CC750">
        <f>VLOOKUP($H750,'1. Set Program Names'!$B$2:$D$15,3,0)*AC750</f>
        <v>1.9982623420092629E-2</v>
      </c>
      <c r="CD750">
        <f>VLOOKUP($H750,'1. Set Program Names'!$B$2:$D$15,3,0)*AD750</f>
        <v>2.0907453859172621E-2</v>
      </c>
      <c r="CE750">
        <f>VLOOKUP($H750,'1. Set Program Names'!$B$2:$D$15,3,0)*AE750</f>
        <v>2.1783494877131757E-2</v>
      </c>
    </row>
    <row r="751" spans="1:83" x14ac:dyDescent="0.25">
      <c r="A751" s="20" t="s">
        <v>116</v>
      </c>
      <c r="B751" s="20" t="s">
        <v>88</v>
      </c>
      <c r="C751" s="20" t="s">
        <v>176</v>
      </c>
      <c r="D751" s="20" t="s">
        <v>90</v>
      </c>
      <c r="E751" s="20" t="s">
        <v>91</v>
      </c>
      <c r="F751" s="20" t="s">
        <v>90</v>
      </c>
      <c r="G751" s="20" t="s">
        <v>92</v>
      </c>
      <c r="H751" s="20" t="s">
        <v>18</v>
      </c>
      <c r="I751" s="20" t="s">
        <v>165</v>
      </c>
      <c r="J751" s="20" t="s">
        <v>161</v>
      </c>
      <c r="K751" s="20" t="s">
        <v>166</v>
      </c>
      <c r="L751" s="20">
        <v>565.38999999999896</v>
      </c>
      <c r="M751" s="20">
        <v>6.7728127941350899E-2</v>
      </c>
      <c r="N751" s="20">
        <v>6.5294935157718198E-2</v>
      </c>
      <c r="O751" s="20">
        <v>129</v>
      </c>
      <c r="P751" s="20">
        <v>15.293574707506</v>
      </c>
      <c r="Q751" s="20">
        <v>17.893573630135801</v>
      </c>
      <c r="R751" s="20">
        <v>190.6779313312</v>
      </c>
      <c r="S751" s="20">
        <v>454.767236260907</v>
      </c>
      <c r="T751" s="20">
        <v>10</v>
      </c>
      <c r="U751" s="20">
        <v>0.2</v>
      </c>
      <c r="V751" s="20">
        <v>4.3179563081078301E-2</v>
      </c>
      <c r="W751" s="20">
        <v>5.9620790401529497E-2</v>
      </c>
      <c r="X751" s="20">
        <v>7.9760957073380698E-2</v>
      </c>
      <c r="Y751" s="20">
        <v>0.10404550990453899</v>
      </c>
      <c r="Z751" s="20">
        <v>0.12989260583735701</v>
      </c>
      <c r="AA751" s="20">
        <v>0.15418516998076301</v>
      </c>
      <c r="AB751" s="20">
        <v>0.17183801046261099</v>
      </c>
      <c r="AC751" s="20">
        <v>0.177226899641035</v>
      </c>
      <c r="AD751" s="20">
        <v>0.167801205079812</v>
      </c>
      <c r="AE751" s="20">
        <v>0.145211862857442</v>
      </c>
      <c r="AF751" t="str">
        <f t="shared" si="48"/>
        <v>NonResidential</v>
      </c>
      <c r="AG751" t="str">
        <f>tbl_Data_old[[#This Row],[All_Meas_Name_Append]]</f>
        <v>Occupancy Sensors_ Ceiling Mounted</v>
      </c>
      <c r="AH751">
        <f>AVERAGEIFS('3. Incentive Adjustment'!G:G,'3. Incentive Adjustment'!A:A,tbl_Data_old[[#This Row],[Trimmed Sector]],'3. Incentive Adjustment'!B:B,tbl_Data_old[[#This Row],[Trimmed Measure Name]])</f>
        <v>0.99348124042467356</v>
      </c>
      <c r="AI751">
        <f>$AH751*tbl_Data_old[[#This Row],[2025 ]]</f>
        <v>4.2898085890785108E-2</v>
      </c>
      <c r="AJ751">
        <f>$AH751*tbl_Data_old[[#This Row],[2026 ]]</f>
        <v>5.9232136803210995E-2</v>
      </c>
      <c r="AK751">
        <f>$AH751*tbl_Data_old[[#This Row],[2027 ]]</f>
        <v>7.9241014570721399E-2</v>
      </c>
      <c r="AL751">
        <f>$AH751*tbl_Data_old[[#This Row],[2028 ]]</f>
        <v>0.10336726224057906</v>
      </c>
      <c r="AM751">
        <f>$AH751*tbl_Data_old[[#This Row],[2029 ]]</f>
        <v>0.12904586716929065</v>
      </c>
      <c r="AN751">
        <f>$AH751*tbl_Data_old[[#This Row],[2030 ]]</f>
        <v>0.15318007392757757</v>
      </c>
      <c r="AO751">
        <f>$AH751*tbl_Data_old[[#This Row],[2031 ]]</f>
        <v>0.17071783978650279</v>
      </c>
      <c r="AP751">
        <f>$AH751*tbl_Data_old[[#This Row],[2032 ]]</f>
        <v>0.17607160009199457</v>
      </c>
      <c r="AQ751">
        <f>$AH751*tbl_Data_old[[#This Row],[2033 ]]</f>
        <v>0.16670734936744666</v>
      </c>
      <c r="AR751">
        <f>$AH751*tbl_Data_old[[#This Row],[2034 ]]</f>
        <v>0.14426526163598907</v>
      </c>
      <c r="AS751">
        <f>SUM(tbl_Data_old[[#This Row],[Adjusted 2025]:[Adjusted 2034]])</f>
        <v>1.2247264914840978</v>
      </c>
      <c r="AT751" s="3">
        <f>AVERAGEIFS('3. Incentive Adjustment'!F:F,'3. Incentive Adjustment'!A:A,tbl_Data_old[[#This Row],[Trimmed Sector]],'3. Incentive Adjustment'!B:B,tbl_Data_old[[#This Row],[Trimmed Measure Name]])</f>
        <v>19.547634357270656</v>
      </c>
      <c r="AU751" s="3">
        <f>IFERROR(VLOOKUP(tbl_Data_old[[#This Row],[All_Meas_Name_Append]],'IRA Tax Credits'!$A$3:$D$46,4,0),0)</f>
        <v>0</v>
      </c>
      <c r="AV751" s="4">
        <f>tbl_Data_old[[#This Row],[Adj. per unit Incentive ($)]]/tbl_Data_old[[#This Row],[kWh Savings]]*tbl_Data_old[[#This Row],[Sum of Annuals]]</f>
        <v>4.2343348207775418E-2</v>
      </c>
      <c r="AW751" s="4">
        <f>IFERROR(VLOOKUP(tbl_Data_old[[#This Row],[All_Programs]],'1. Set Program Names'!$B$2:$D$15,3,0)*tbl_Data_old[[#This Row],[Sum of Annuals]],"")</f>
        <v>3.876038425184139E-2</v>
      </c>
      <c r="AX751" s="4">
        <f>tbl_Data_old[[#This Row],[per unit IRA tax ($)]]/tbl_Data_old[[#This Row],[kWh Savings]]*tbl_Data_old[[#This Row],[Sum of Annuals]]</f>
        <v>0</v>
      </c>
      <c r="AY751" s="4">
        <f>tbl_Data_old[[#This Row],[Avoided Costs ($/unit)]]/tbl_Data_old[[#This Row],[kWh Savings]]*tbl_Data_old[[#This Row],[Sum of Annuals]]</f>
        <v>0.41303934247635571</v>
      </c>
      <c r="AZ751" s="4">
        <f>tbl_Data_old[[#This Row],[Lost Revenue ($/unit)]]/tbl_Data_old[[#This Row],[kWh Savings]]*tbl_Data_old[[#This Row],[Sum of Annuals]]</f>
        <v>0.98509963336412298</v>
      </c>
      <c r="BA751" s="4">
        <f>tbl_Data_old[[#This Row],[Incremental Cost ($/unit)]]/tbl_Data_old[[#This Row],[kWh Savings]]*tbl_Data_old[[#This Row],[Sum of Annuals]]</f>
        <v>0.27943493411883641</v>
      </c>
      <c r="BB751">
        <f>ROUNDUP(tbl_Data_old[[#This Row],[Adjusted 2025]]/$L751,0)</f>
        <v>1</v>
      </c>
      <c r="BC751">
        <f>ROUNDUP(tbl_Data_old[[#This Row],[Adjusted 2026]]/$L751,0)</f>
        <v>1</v>
      </c>
      <c r="BD751">
        <f>ROUNDUP(tbl_Data_old[[#This Row],[Adjusted 2027]]/$L751,0)</f>
        <v>1</v>
      </c>
      <c r="BE751">
        <f>ROUNDUP(tbl_Data_old[[#This Row],[Adjusted 2028]]/$L751,0)</f>
        <v>1</v>
      </c>
      <c r="BF751">
        <f>ROUNDUP(tbl_Data_old[[#This Row],[Adjusted 2029]]/$L751,0)</f>
        <v>1</v>
      </c>
      <c r="BG751">
        <f>ROUNDUP(tbl_Data_old[[#This Row],[Adjusted 2030]]/$L751,0)</f>
        <v>1</v>
      </c>
      <c r="BH751">
        <f>ROUNDUP(tbl_Data_old[[#This Row],[Adjusted 2031]]/$L751,0)</f>
        <v>1</v>
      </c>
      <c r="BI751">
        <f>ROUNDUP(tbl_Data_old[[#This Row],[Adjusted 2032]]/$L751,0)</f>
        <v>1</v>
      </c>
      <c r="BJ751">
        <f>ROUNDUP(tbl_Data_old[[#This Row],[Adjusted 2033]]/$L751,0)</f>
        <v>1</v>
      </c>
      <c r="BK751">
        <f>ROUNDUP(tbl_Data_old[[#This Row],[Adjusted 2034]]/$L751,0)</f>
        <v>1</v>
      </c>
      <c r="BL751" s="3">
        <f t="shared" si="51"/>
        <v>1.4928780325361667E-3</v>
      </c>
      <c r="BM751" s="3">
        <f t="shared" si="51"/>
        <v>2.0613123876626269E-3</v>
      </c>
      <c r="BN751" s="3">
        <f t="shared" si="51"/>
        <v>2.7576328284129705E-3</v>
      </c>
      <c r="BO751" s="3">
        <f t="shared" si="51"/>
        <v>3.5972401070583394E-3</v>
      </c>
      <c r="BP751" s="3">
        <f t="shared" si="51"/>
        <v>4.4908703100899191E-3</v>
      </c>
      <c r="BQ751" s="3">
        <f t="shared" si="50"/>
        <v>5.3307545695848611E-3</v>
      </c>
      <c r="BR751" s="3">
        <f t="shared" si="50"/>
        <v>5.9410788963440726E-3</v>
      </c>
      <c r="BS751" s="3">
        <f t="shared" si="50"/>
        <v>6.1273928305340744E-3</v>
      </c>
      <c r="BT751" s="3">
        <f t="shared" si="50"/>
        <v>5.8015115258663198E-3</v>
      </c>
      <c r="BU751" s="3">
        <f t="shared" si="50"/>
        <v>5.0205139805716637E-3</v>
      </c>
      <c r="BV751">
        <f>VLOOKUP($H751,'1. Set Program Names'!$B$2:$D$15,3,0)*V751</f>
        <v>1.3665552827399996E-3</v>
      </c>
      <c r="BW751">
        <f>VLOOKUP($H751,'1. Set Program Names'!$B$2:$D$15,3,0)*W751</f>
        <v>1.8868904701828161E-3</v>
      </c>
      <c r="BX751">
        <f>VLOOKUP($H751,'1. Set Program Names'!$B$2:$D$15,3,0)*X751</f>
        <v>2.5242904158238369E-3</v>
      </c>
      <c r="BY751">
        <f>VLOOKUP($H751,'1. Set Program Names'!$B$2:$D$15,3,0)*Y751</f>
        <v>3.2928527076210991E-3</v>
      </c>
      <c r="BZ751">
        <f>VLOOKUP($H751,'1. Set Program Names'!$B$2:$D$15,3,0)*Z751</f>
        <v>4.1108666700170786E-3</v>
      </c>
      <c r="CA751">
        <f>VLOOKUP($H751,'1. Set Program Names'!$B$2:$D$15,3,0)*AA751</f>
        <v>4.8796825053959011E-3</v>
      </c>
      <c r="CB751">
        <f>VLOOKUP($H751,'1. Set Program Names'!$B$2:$D$15,3,0)*AB751</f>
        <v>5.4383630638475695E-3</v>
      </c>
      <c r="CC751">
        <f>VLOOKUP($H751,'1. Set Program Names'!$B$2:$D$15,3,0)*AC751</f>
        <v>5.6089116856816524E-3</v>
      </c>
      <c r="CD751">
        <f>VLOOKUP($H751,'1. Set Program Names'!$B$2:$D$15,3,0)*AD751</f>
        <v>5.310605455209917E-3</v>
      </c>
      <c r="CE751">
        <f>VLOOKUP($H751,'1. Set Program Names'!$B$2:$D$15,3,0)*AE751</f>
        <v>4.5956935213017948E-3</v>
      </c>
    </row>
    <row r="752" spans="1:83" x14ac:dyDescent="0.25">
      <c r="A752" s="20" t="s">
        <v>116</v>
      </c>
      <c r="B752" s="20" t="s">
        <v>88</v>
      </c>
      <c r="C752" s="20" t="s">
        <v>176</v>
      </c>
      <c r="D752" s="20" t="s">
        <v>90</v>
      </c>
      <c r="E752" s="20" t="s">
        <v>91</v>
      </c>
      <c r="F752" s="20" t="s">
        <v>90</v>
      </c>
      <c r="G752" s="20" t="s">
        <v>92</v>
      </c>
      <c r="H752" s="20" t="s">
        <v>18</v>
      </c>
      <c r="I752" s="20" t="s">
        <v>188</v>
      </c>
      <c r="J752" s="20" t="s">
        <v>178</v>
      </c>
      <c r="K752" s="20" t="s">
        <v>189</v>
      </c>
      <c r="L752" s="20">
        <v>58755.825000000099</v>
      </c>
      <c r="M752" s="20">
        <v>7.0391882486047397</v>
      </c>
      <c r="N752" s="20">
        <v>6.7809192295770497</v>
      </c>
      <c r="O752" s="20">
        <v>15000</v>
      </c>
      <c r="P752" s="20">
        <v>3217.2191279034701</v>
      </c>
      <c r="Q752" s="20">
        <v>1859.5158754786501</v>
      </c>
      <c r="R752" s="20">
        <v>19805.726496097701</v>
      </c>
      <c r="S752" s="20">
        <v>47259.8103070086</v>
      </c>
      <c r="T752" s="20">
        <v>10</v>
      </c>
      <c r="U752" s="20">
        <v>1</v>
      </c>
      <c r="V752" s="20">
        <v>3.62005183435827E-3</v>
      </c>
      <c r="W752" s="20">
        <v>5.0012132125209401E-3</v>
      </c>
      <c r="X752" s="20">
        <v>6.6925037451751697E-3</v>
      </c>
      <c r="Y752" s="20">
        <v>8.7340460327539893E-3</v>
      </c>
      <c r="Z752" s="20">
        <v>1.0902070047222901E-2</v>
      </c>
      <c r="AA752" s="20">
        <v>1.2941377928392801E-2</v>
      </c>
      <c r="AB752" s="20">
        <v>1.4427076869056201E-2</v>
      </c>
      <c r="AC752" s="20">
        <v>1.4885604067537301E-2</v>
      </c>
      <c r="AD752" s="20">
        <v>1.4111175609588701E-2</v>
      </c>
      <c r="AE752" s="20">
        <v>1.2238364930398701E-2</v>
      </c>
      <c r="AF752" t="str">
        <f t="shared" si="48"/>
        <v>NonResidential</v>
      </c>
      <c r="AG752" t="str">
        <f>tbl_Data_old[[#This Row],[All_Meas_Name_Append]]</f>
        <v>Strategic Energy Management</v>
      </c>
      <c r="AH752">
        <f>AVERAGEIFS('3. Incentive Adjustment'!G:G,'3. Incentive Adjustment'!A:A,tbl_Data_old[[#This Row],[Trimmed Sector]],'3. Incentive Adjustment'!B:B,tbl_Data_old[[#This Row],[Trimmed Measure Name]])</f>
        <v>1.1413908001130193</v>
      </c>
      <c r="AI752">
        <f>$AH752*tbl_Data_old[[#This Row],[2025 ]]</f>
        <v>4.1318938596687886E-3</v>
      </c>
      <c r="AJ752">
        <f>$AH752*tbl_Data_old[[#This Row],[2026 ]]</f>
        <v>5.7083387501750795E-3</v>
      </c>
      <c r="AK752">
        <f>$AH752*tbl_Data_old[[#This Row],[2027 ]]</f>
        <v>7.6387622044648655E-3</v>
      </c>
      <c r="AL752">
        <f>$AH752*tbl_Data_old[[#This Row],[2028 ]]</f>
        <v>9.9689597895490176E-3</v>
      </c>
      <c r="AM752">
        <f>$AH752*tbl_Data_old[[#This Row],[2029 ]]</f>
        <v>1.2443522454087929E-2</v>
      </c>
      <c r="AN752">
        <f>$AH752*tbl_Data_old[[#This Row],[2030 ]]</f>
        <v>1.4771169708253228E-2</v>
      </c>
      <c r="AO752">
        <f>$AH752*tbl_Data_old[[#This Row],[2031 ]]</f>
        <v>1.6466932810864091E-2</v>
      </c>
      <c r="AP752">
        <f>$AH752*tbl_Data_old[[#This Row],[2032 ]]</f>
        <v>1.6990291536812013E-2</v>
      </c>
      <c r="AQ752">
        <f>$AH752*tbl_Data_old[[#This Row],[2033 ]]</f>
        <v>1.6106366019563771E-2</v>
      </c>
      <c r="AR752">
        <f>$AH752*tbl_Data_old[[#This Row],[2034 ]]</f>
        <v>1.3968757139982888E-2</v>
      </c>
      <c r="AS752">
        <f>SUM(tbl_Data_old[[#This Row],[Adjusted 2025]:[Adjusted 2034]])</f>
        <v>0.11819499427342167</v>
      </c>
      <c r="AT752" s="3">
        <f>AVERAGEIFS('3. Incentive Adjustment'!F:F,'3. Incentive Adjustment'!A:A,tbl_Data_old[[#This Row],[Trimmed Sector]],'3. Incentive Adjustment'!B:B,tbl_Data_old[[#This Row],[Trimmed Measure Name]])</f>
        <v>6162.1674053779652</v>
      </c>
      <c r="AU752" s="3">
        <f>IFERROR(VLOOKUP(tbl_Data_old[[#This Row],[All_Meas_Name_Append]],'IRA Tax Credits'!$A$3:$D$46,4,0),0)</f>
        <v>0</v>
      </c>
      <c r="AV752" s="4">
        <f>tbl_Data_old[[#This Row],[Adj. per unit Incentive ($)]]/tbl_Data_old[[#This Row],[kWh Savings]]*tbl_Data_old[[#This Row],[Sum of Annuals]]</f>
        <v>1.2396002288973274E-2</v>
      </c>
      <c r="AW752" s="4">
        <f>IFERROR(VLOOKUP(tbl_Data_old[[#This Row],[All_Programs]],'1. Set Program Names'!$B$2:$D$15,3,0)*tbl_Data_old[[#This Row],[Sum of Annuals]],"")</f>
        <v>3.7406583645712712E-3</v>
      </c>
      <c r="AX752" s="4">
        <f>tbl_Data_old[[#This Row],[per unit IRA tax ($)]]/tbl_Data_old[[#This Row],[kWh Savings]]*tbl_Data_old[[#This Row],[Sum of Annuals]]</f>
        <v>0</v>
      </c>
      <c r="AY752" s="4">
        <f>tbl_Data_old[[#This Row],[Avoided Costs ($/unit)]]/tbl_Data_old[[#This Row],[kWh Savings]]*tbl_Data_old[[#This Row],[Sum of Annuals]]</f>
        <v>3.9841798320204333E-2</v>
      </c>
      <c r="AZ752" s="4">
        <f>tbl_Data_old[[#This Row],[Lost Revenue ($/unit)]]/tbl_Data_old[[#This Row],[kWh Savings]]*tbl_Data_old[[#This Row],[Sum of Annuals]]</f>
        <v>9.5069263491745132E-2</v>
      </c>
      <c r="BA752" s="4">
        <f>tbl_Data_old[[#This Row],[Incremental Cost ($/unit)]]/tbl_Data_old[[#This Row],[kWh Savings]]*tbl_Data_old[[#This Row],[Sum of Annuals]]</f>
        <v>3.0174453581433364E-2</v>
      </c>
      <c r="BB752">
        <f>ROUNDUP(tbl_Data_old[[#This Row],[Adjusted 2025]]/$L752,0)</f>
        <v>1</v>
      </c>
      <c r="BC752">
        <f>ROUNDUP(tbl_Data_old[[#This Row],[Adjusted 2026]]/$L752,0)</f>
        <v>1</v>
      </c>
      <c r="BD752">
        <f>ROUNDUP(tbl_Data_old[[#This Row],[Adjusted 2027]]/$L752,0)</f>
        <v>1</v>
      </c>
      <c r="BE752">
        <f>ROUNDUP(tbl_Data_old[[#This Row],[Adjusted 2028]]/$L752,0)</f>
        <v>1</v>
      </c>
      <c r="BF752">
        <f>ROUNDUP(tbl_Data_old[[#This Row],[Adjusted 2029]]/$L752,0)</f>
        <v>1</v>
      </c>
      <c r="BG752">
        <f>ROUNDUP(tbl_Data_old[[#This Row],[Adjusted 2030]]/$L752,0)</f>
        <v>1</v>
      </c>
      <c r="BH752">
        <f>ROUNDUP(tbl_Data_old[[#This Row],[Adjusted 2031]]/$L752,0)</f>
        <v>1</v>
      </c>
      <c r="BI752">
        <f>ROUNDUP(tbl_Data_old[[#This Row],[Adjusted 2032]]/$L752,0)</f>
        <v>1</v>
      </c>
      <c r="BJ752">
        <f>ROUNDUP(tbl_Data_old[[#This Row],[Adjusted 2033]]/$L752,0)</f>
        <v>1</v>
      </c>
      <c r="BK752">
        <f>ROUNDUP(tbl_Data_old[[#This Row],[Adjusted 2034]]/$L752,0)</f>
        <v>1</v>
      </c>
      <c r="BL752" s="3">
        <f t="shared" si="51"/>
        <v>3.7966219382437751E-4</v>
      </c>
      <c r="BM752" s="3">
        <f t="shared" si="51"/>
        <v>5.2451502545563969E-4</v>
      </c>
      <c r="BN752" s="3">
        <f t="shared" si="51"/>
        <v>7.0189344526927022E-4</v>
      </c>
      <c r="BO752" s="3">
        <f t="shared" si="51"/>
        <v>9.1600541359273353E-4</v>
      </c>
      <c r="BP752" s="3">
        <f t="shared" si="51"/>
        <v>1.1433824764803195E-3</v>
      </c>
      <c r="BQ752" s="3">
        <f t="shared" si="50"/>
        <v>1.3572601057175147E-3</v>
      </c>
      <c r="BR752" s="3">
        <f t="shared" si="50"/>
        <v>1.5130765815539202E-3</v>
      </c>
      <c r="BS752" s="3">
        <f t="shared" si="50"/>
        <v>1.5611657941036461E-3</v>
      </c>
      <c r="BT752" s="3">
        <f t="shared" si="50"/>
        <v>1.4799456291009765E-3</v>
      </c>
      <c r="BU752" s="3">
        <f t="shared" si="50"/>
        <v>1.2835298197110417E-3</v>
      </c>
      <c r="BV752">
        <f>VLOOKUP($H752,'1. Set Program Names'!$B$2:$D$15,3,0)*V752</f>
        <v>1.1456811058384107E-4</v>
      </c>
      <c r="BW752">
        <f>VLOOKUP($H752,'1. Set Program Names'!$B$2:$D$15,3,0)*W752</f>
        <v>1.5827937681644791E-4</v>
      </c>
      <c r="BX752">
        <f>VLOOKUP($H752,'1. Set Program Names'!$B$2:$D$15,3,0)*X752</f>
        <v>2.1180567136711218E-4</v>
      </c>
      <c r="BY752">
        <f>VLOOKUP($H752,'1. Set Program Names'!$B$2:$D$15,3,0)*Y752</f>
        <v>2.7641680216501717E-4</v>
      </c>
      <c r="BZ752">
        <f>VLOOKUP($H752,'1. Set Program Names'!$B$2:$D$15,3,0)*Z752</f>
        <v>3.450308514669187E-4</v>
      </c>
      <c r="CA752">
        <f>VLOOKUP($H752,'1. Set Program Names'!$B$2:$D$15,3,0)*AA752</f>
        <v>4.0957126733248022E-4</v>
      </c>
      <c r="CB752">
        <f>VLOOKUP($H752,'1. Set Program Names'!$B$2:$D$15,3,0)*AB752</f>
        <v>4.5659095884979626E-4</v>
      </c>
      <c r="CC752">
        <f>VLOOKUP($H752,'1. Set Program Names'!$B$2:$D$15,3,0)*AC752</f>
        <v>4.7110251757464367E-4</v>
      </c>
      <c r="CD752">
        <f>VLOOKUP($H752,'1. Set Program Names'!$B$2:$D$15,3,0)*AD752</f>
        <v>4.4659325382117118E-4</v>
      </c>
      <c r="CE752">
        <f>VLOOKUP($H752,'1. Set Program Names'!$B$2:$D$15,3,0)*AE752</f>
        <v>3.8732217406491282E-4</v>
      </c>
    </row>
    <row r="753" spans="1:83" x14ac:dyDescent="0.25">
      <c r="A753" s="20" t="s">
        <v>116</v>
      </c>
      <c r="B753" s="20" t="s">
        <v>88</v>
      </c>
      <c r="C753" s="20" t="s">
        <v>176</v>
      </c>
      <c r="D753" s="20" t="s">
        <v>90</v>
      </c>
      <c r="E753" s="20" t="s">
        <v>91</v>
      </c>
      <c r="F753" s="20" t="s">
        <v>90</v>
      </c>
      <c r="G753" s="20" t="s">
        <v>92</v>
      </c>
      <c r="H753" s="20" t="s">
        <v>18</v>
      </c>
      <c r="I753" s="20" t="s">
        <v>194</v>
      </c>
      <c r="J753" s="20" t="s">
        <v>182</v>
      </c>
      <c r="K753" s="20" t="s">
        <v>102</v>
      </c>
      <c r="L753" s="20">
        <v>8959.2199999999993</v>
      </c>
      <c r="M753" s="20">
        <v>1.0579901286000299</v>
      </c>
      <c r="N753" s="20">
        <v>1.03235399659801</v>
      </c>
      <c r="O753" s="20">
        <v>2314.9299999999998</v>
      </c>
      <c r="P753" s="20">
        <v>512.76464645414296</v>
      </c>
      <c r="Q753" s="20">
        <v>283.54315205183201</v>
      </c>
      <c r="R753" s="20">
        <v>3866.1887556449001</v>
      </c>
      <c r="S753" s="20">
        <v>9515.3223878667595</v>
      </c>
      <c r="T753" s="20">
        <v>15</v>
      </c>
      <c r="U753" s="20">
        <v>1</v>
      </c>
      <c r="V753" s="20">
        <v>3.8971416815059001</v>
      </c>
      <c r="W753" s="20">
        <v>5.0594898496473801</v>
      </c>
      <c r="X753" s="20">
        <v>6.4053419231911404</v>
      </c>
      <c r="Y753" s="20">
        <v>8.0037870119427996</v>
      </c>
      <c r="Z753" s="20">
        <v>9.6908415580859497</v>
      </c>
      <c r="AA753" s="20">
        <v>11.4200497650295</v>
      </c>
      <c r="AB753" s="20">
        <v>13.0367650825912</v>
      </c>
      <c r="AC753" s="20">
        <v>14.306031442140601</v>
      </c>
      <c r="AD753" s="20">
        <v>15.086663668554699</v>
      </c>
      <c r="AE753" s="20">
        <v>15.184858513806599</v>
      </c>
      <c r="AF753" t="str">
        <f t="shared" si="48"/>
        <v>NonResidential</v>
      </c>
      <c r="AG753" t="str">
        <f>tbl_Data_old[[#This Row],[All_Meas_Name_Append]]</f>
        <v>VFD on HVAC Fan</v>
      </c>
      <c r="AH753">
        <f>AVERAGEIFS('3. Incentive Adjustment'!G:G,'3. Incentive Adjustment'!A:A,tbl_Data_old[[#This Row],[Trimmed Sector]],'3. Incentive Adjustment'!B:B,tbl_Data_old[[#This Row],[Trimmed Measure Name]])</f>
        <v>1.1307524828118058</v>
      </c>
      <c r="AI753">
        <f>$AH753*tbl_Data_old[[#This Row],[2025 ]]</f>
        <v>4.4067026322321725</v>
      </c>
      <c r="AJ753">
        <f>$AH753*tbl_Data_old[[#This Row],[2026 ]]</f>
        <v>5.7210307092499058</v>
      </c>
      <c r="AK753">
        <f>$AH753*tbl_Data_old[[#This Row],[2027 ]]</f>
        <v>7.2428562829069296</v>
      </c>
      <c r="AL753">
        <f>$AH753*tbl_Data_old[[#This Row],[2028 ]]</f>
        <v>9.0503020356512049</v>
      </c>
      <c r="AM753">
        <f>$AH753*tbl_Data_old[[#This Row],[2029 ]]</f>
        <v>10.957943152341517</v>
      </c>
      <c r="AN753">
        <f>$AH753*tbl_Data_old[[#This Row],[2030 ]]</f>
        <v>12.913249625641487</v>
      </c>
      <c r="AO753">
        <f>$AH753*tbl_Data_old[[#This Row],[2031 ]]</f>
        <v>14.741354484974257</v>
      </c>
      <c r="AP753">
        <f>$AH753*tbl_Data_old[[#This Row],[2032 ]]</f>
        <v>16.176580572384243</v>
      </c>
      <c r="AQ753">
        <f>$AH753*tbl_Data_old[[#This Row],[2033 ]]</f>
        <v>17.059282400564893</v>
      </c>
      <c r="AR753">
        <f>$AH753*tbl_Data_old[[#This Row],[2034 ]]</f>
        <v>17.170316465632801</v>
      </c>
      <c r="AS753">
        <f>SUM(tbl_Data_old[[#This Row],[Adjusted 2025]:[Adjusted 2034]])</f>
        <v>115.43961836157939</v>
      </c>
      <c r="AT753" s="3">
        <f>AVERAGEIFS('3. Incentive Adjustment'!F:F,'3. Incentive Adjustment'!A:A,tbl_Data_old[[#This Row],[Trimmed Sector]],'3. Incentive Adjustment'!B:B,tbl_Data_old[[#This Row],[Trimmed Measure Name]])</f>
        <v>930.02043037501858</v>
      </c>
      <c r="AU753" s="3">
        <f>IFERROR(VLOOKUP(tbl_Data_old[[#This Row],[All_Meas_Name_Append]],'IRA Tax Credits'!$A$3:$D$46,4,0),0)</f>
        <v>0</v>
      </c>
      <c r="AV753" s="4">
        <f>tbl_Data_old[[#This Row],[Adj. per unit Incentive ($)]]/tbl_Data_old[[#This Row],[kWh Savings]]*tbl_Data_old[[#This Row],[Sum of Annuals]]</f>
        <v>11.983320372863259</v>
      </c>
      <c r="AW753" s="4">
        <f>IFERROR(VLOOKUP(tbl_Data_old[[#This Row],[All_Programs]],'1. Set Program Names'!$B$2:$D$15,3,0)*tbl_Data_old[[#This Row],[Sum of Annuals]],"")</f>
        <v>3.6534556872029902</v>
      </c>
      <c r="AX753" s="4">
        <f>tbl_Data_old[[#This Row],[per unit IRA tax ($)]]/tbl_Data_old[[#This Row],[kWh Savings]]*tbl_Data_old[[#This Row],[Sum of Annuals]]</f>
        <v>0</v>
      </c>
      <c r="AY753" s="4">
        <f>tbl_Data_old[[#This Row],[Avoided Costs ($/unit)]]/tbl_Data_old[[#This Row],[kWh Savings]]*tbl_Data_old[[#This Row],[Sum of Annuals]]</f>
        <v>49.815871746142726</v>
      </c>
      <c r="AZ753" s="4">
        <f>tbl_Data_old[[#This Row],[Lost Revenue ($/unit)]]/tbl_Data_old[[#This Row],[kWh Savings]]*tbl_Data_old[[#This Row],[Sum of Annuals]]</f>
        <v>122.60500189109445</v>
      </c>
      <c r="BA753" s="4">
        <f>tbl_Data_old[[#This Row],[Incremental Cost ($/unit)]]/tbl_Data_old[[#This Row],[kWh Savings]]*tbl_Data_old[[#This Row],[Sum of Annuals]]</f>
        <v>29.827890791137058</v>
      </c>
      <c r="BB753">
        <f>ROUNDUP(tbl_Data_old[[#This Row],[Adjusted 2025]]/$L753,0)</f>
        <v>1</v>
      </c>
      <c r="BC753">
        <f>ROUNDUP(tbl_Data_old[[#This Row],[Adjusted 2026]]/$L753,0)</f>
        <v>1</v>
      </c>
      <c r="BD753">
        <f>ROUNDUP(tbl_Data_old[[#This Row],[Adjusted 2027]]/$L753,0)</f>
        <v>1</v>
      </c>
      <c r="BE753">
        <f>ROUNDUP(tbl_Data_old[[#This Row],[Adjusted 2028]]/$L753,0)</f>
        <v>1</v>
      </c>
      <c r="BF753">
        <f>ROUNDUP(tbl_Data_old[[#This Row],[Adjusted 2029]]/$L753,0)</f>
        <v>1</v>
      </c>
      <c r="BG753">
        <f>ROUNDUP(tbl_Data_old[[#This Row],[Adjusted 2030]]/$L753,0)</f>
        <v>1</v>
      </c>
      <c r="BH753">
        <f>ROUNDUP(tbl_Data_old[[#This Row],[Adjusted 2031]]/$L753,0)</f>
        <v>1</v>
      </c>
      <c r="BI753">
        <f>ROUNDUP(tbl_Data_old[[#This Row],[Adjusted 2032]]/$L753,0)</f>
        <v>1</v>
      </c>
      <c r="BJ753">
        <f>ROUNDUP(tbl_Data_old[[#This Row],[Adjusted 2033]]/$L753,0)</f>
        <v>1</v>
      </c>
      <c r="BK753">
        <f>ROUNDUP(tbl_Data_old[[#This Row],[Adjusted 2034]]/$L753,0)</f>
        <v>1</v>
      </c>
      <c r="BL753" s="3">
        <f t="shared" si="51"/>
        <v>0.40454653238412952</v>
      </c>
      <c r="BM753" s="3">
        <f t="shared" si="51"/>
        <v>0.52520519949806954</v>
      </c>
      <c r="BN753" s="3">
        <f t="shared" si="51"/>
        <v>0.66491266562327678</v>
      </c>
      <c r="BO753" s="3">
        <f t="shared" si="51"/>
        <v>0.83084079210880268</v>
      </c>
      <c r="BP753" s="3">
        <f t="shared" si="51"/>
        <v>1.005967108358452</v>
      </c>
      <c r="BQ753" s="3">
        <f t="shared" si="50"/>
        <v>1.1854692258228803</v>
      </c>
      <c r="BR753" s="3">
        <f t="shared" si="50"/>
        <v>1.3532939109441986</v>
      </c>
      <c r="BS753" s="3">
        <f t="shared" si="50"/>
        <v>1.4850513235279577</v>
      </c>
      <c r="BT753" s="3">
        <f t="shared" si="50"/>
        <v>1.5660856009733435</v>
      </c>
      <c r="BU753" s="3">
        <f t="shared" si="50"/>
        <v>1.5762788111235329</v>
      </c>
      <c r="BV753">
        <f>VLOOKUP($H753,'1. Set Program Names'!$B$2:$D$15,3,0)*V753</f>
        <v>0.12333750442189834</v>
      </c>
      <c r="BW753">
        <f>VLOOKUP($H753,'1. Set Program Names'!$B$2:$D$15,3,0)*W753</f>
        <v>0.1601237272601039</v>
      </c>
      <c r="BX753">
        <f>VLOOKUP($H753,'1. Set Program Names'!$B$2:$D$15,3,0)*X753</f>
        <v>0.20271751769365637</v>
      </c>
      <c r="BY753">
        <f>VLOOKUP($H753,'1. Set Program Names'!$B$2:$D$15,3,0)*Y753</f>
        <v>0.25330542142259882</v>
      </c>
      <c r="BZ753">
        <f>VLOOKUP($H753,'1. Set Program Names'!$B$2:$D$15,3,0)*Z753</f>
        <v>0.30669765464120513</v>
      </c>
      <c r="CA753">
        <f>VLOOKUP($H753,'1. Set Program Names'!$B$2:$D$15,3,0)*AA753</f>
        <v>0.36142397518592567</v>
      </c>
      <c r="CB753">
        <f>VLOOKUP($H753,'1. Set Program Names'!$B$2:$D$15,3,0)*AB753</f>
        <v>0.41259009870024088</v>
      </c>
      <c r="CC753">
        <f>VLOOKUP($H753,'1. Set Program Names'!$B$2:$D$15,3,0)*AC753</f>
        <v>0.45276008943380819</v>
      </c>
      <c r="CD753">
        <f>VLOOKUP($H753,'1. Set Program Names'!$B$2:$D$15,3,0)*AD753</f>
        <v>0.47746569126864347</v>
      </c>
      <c r="CE753">
        <f>VLOOKUP($H753,'1. Set Program Names'!$B$2:$D$15,3,0)*AE753</f>
        <v>0.480573380993638</v>
      </c>
    </row>
    <row r="754" spans="1:83" x14ac:dyDescent="0.25">
      <c r="A754" s="20" t="s">
        <v>116</v>
      </c>
      <c r="B754" s="20" t="s">
        <v>88</v>
      </c>
      <c r="C754" s="20" t="s">
        <v>176</v>
      </c>
      <c r="D754" s="20" t="s">
        <v>90</v>
      </c>
      <c r="E754" s="20" t="s">
        <v>91</v>
      </c>
      <c r="F754" s="20" t="s">
        <v>90</v>
      </c>
      <c r="G754" s="20" t="s">
        <v>92</v>
      </c>
      <c r="H754" s="20" t="s">
        <v>18</v>
      </c>
      <c r="I754" s="20" t="s">
        <v>195</v>
      </c>
      <c r="J754" s="20" t="s">
        <v>191</v>
      </c>
      <c r="K754" s="20" t="s">
        <v>102</v>
      </c>
      <c r="L754" s="20">
        <v>20302.931666666602</v>
      </c>
      <c r="M754" s="20">
        <v>2.3950992196012999</v>
      </c>
      <c r="N754" s="20">
        <v>2.3402323276086099</v>
      </c>
      <c r="O754" s="20">
        <v>5194</v>
      </c>
      <c r="P754" s="20">
        <v>1110.9469872966299</v>
      </c>
      <c r="Q754" s="20">
        <v>642.55116412585198</v>
      </c>
      <c r="R754" s="20">
        <v>8767.8839794133291</v>
      </c>
      <c r="S754" s="20">
        <v>21563.142798944798</v>
      </c>
      <c r="T754" s="20">
        <v>15</v>
      </c>
      <c r="U754" s="20">
        <v>1</v>
      </c>
      <c r="V754" s="20">
        <v>4.1653294733961301</v>
      </c>
      <c r="W754" s="20">
        <v>5.4078849144168499</v>
      </c>
      <c r="X754" s="20">
        <v>6.8466221571087704</v>
      </c>
      <c r="Y754" s="20">
        <v>8.5555141277066795</v>
      </c>
      <c r="Z754" s="20">
        <v>10.358935279983299</v>
      </c>
      <c r="AA754" s="20">
        <v>12.2074583208557</v>
      </c>
      <c r="AB754" s="20">
        <v>13.9357726642884</v>
      </c>
      <c r="AC754" s="20">
        <v>15.292567083301</v>
      </c>
      <c r="AD754" s="20">
        <v>16.127279397640699</v>
      </c>
      <c r="AE754" s="20">
        <v>16.2326686966959</v>
      </c>
      <c r="AF754" t="str">
        <f t="shared" si="48"/>
        <v>NonResidential</v>
      </c>
      <c r="AG754" t="str">
        <f>tbl_Data_old[[#This Row],[All_Meas_Name_Append]]</f>
        <v>VFD on process pump</v>
      </c>
      <c r="AH754">
        <f>AVERAGEIFS('3. Incentive Adjustment'!G:G,'3. Incentive Adjustment'!A:A,tbl_Data_old[[#This Row],[Trimmed Sector]],'3. Incentive Adjustment'!B:B,tbl_Data_old[[#This Row],[Trimmed Measure Name]])</f>
        <v>1.1380520252658823</v>
      </c>
      <c r="AI754">
        <f>$AH754*tbl_Data_old[[#This Row],[2025 ]]</f>
        <v>4.7403616430981375</v>
      </c>
      <c r="AJ754">
        <f>$AH754*tbl_Data_old[[#This Row],[2026 ]]</f>
        <v>6.1544543792569089</v>
      </c>
      <c r="AK754">
        <f>$AH754*tbl_Data_old[[#This Row],[2027 ]]</f>
        <v>7.7918122121279003</v>
      </c>
      <c r="AL754">
        <f>$AH754*tbl_Data_old[[#This Row],[2028 ]]</f>
        <v>9.7366201802274546</v>
      </c>
      <c r="AM754">
        <f>$AH754*tbl_Data_old[[#This Row],[2029 ]]</f>
        <v>11.789007274983193</v>
      </c>
      <c r="AN754">
        <f>$AH754*tbl_Data_old[[#This Row],[2030 ]]</f>
        <v>13.892722665398678</v>
      </c>
      <c r="AO754">
        <f>$AH754*tbl_Data_old[[#This Row],[2031 ]]</f>
        <v>15.859634304238336</v>
      </c>
      <c r="AP754">
        <f>$AH754*tbl_Data_old[[#This Row],[2032 ]]</f>
        <v>17.40373694066507</v>
      </c>
      <c r="AQ754">
        <f>$AH754*tbl_Data_old[[#This Row],[2033 ]]</f>
        <v>18.353682980513735</v>
      </c>
      <c r="AR754">
        <f>$AH754*tbl_Data_old[[#This Row],[2034 ]]</f>
        <v>18.473621485744861</v>
      </c>
      <c r="AS754">
        <f>SUM(tbl_Data_old[[#This Row],[Adjusted 2025]:[Adjusted 2034]])</f>
        <v>124.19565406625428</v>
      </c>
      <c r="AT754" s="3">
        <f>AVERAGEIFS('3. Incentive Adjustment'!F:F,'3. Incentive Adjustment'!A:A,tbl_Data_old[[#This Row],[Trimmed Sector]],'3. Incentive Adjustment'!B:B,tbl_Data_old[[#This Row],[Trimmed Measure Name]])</f>
        <v>2106.0249622508104</v>
      </c>
      <c r="AU754" s="3">
        <f>IFERROR(VLOOKUP(tbl_Data_old[[#This Row],[All_Meas_Name_Append]],'IRA Tax Credits'!$A$3:$D$46,4,0),0)</f>
        <v>0</v>
      </c>
      <c r="AV754" s="4">
        <f>tbl_Data_old[[#This Row],[Adj. per unit Incentive ($)]]/tbl_Data_old[[#This Row],[kWh Savings]]*tbl_Data_old[[#This Row],[Sum of Annuals]]</f>
        <v>12.882826577012336</v>
      </c>
      <c r="AW754" s="4">
        <f>IFERROR(VLOOKUP(tbl_Data_old[[#This Row],[All_Programs]],'1. Set Program Names'!$B$2:$D$15,3,0)*tbl_Data_old[[#This Row],[Sum of Annuals]],"")</f>
        <v>3.9305684228185798</v>
      </c>
      <c r="AX754" s="4">
        <f>tbl_Data_old[[#This Row],[per unit IRA tax ($)]]/tbl_Data_old[[#This Row],[kWh Savings]]*tbl_Data_old[[#This Row],[Sum of Annuals]]</f>
        <v>0</v>
      </c>
      <c r="AY754" s="4">
        <f>tbl_Data_old[[#This Row],[Avoided Costs ($/unit)]]/tbl_Data_old[[#This Row],[kWh Savings]]*tbl_Data_old[[#This Row],[Sum of Annuals]]</f>
        <v>53.634278215499464</v>
      </c>
      <c r="AZ754" s="4">
        <f>tbl_Data_old[[#This Row],[Lost Revenue ($/unit)]]/tbl_Data_old[[#This Row],[kWh Savings]]*tbl_Data_old[[#This Row],[Sum of Annuals]]</f>
        <v>131.90452825272601</v>
      </c>
      <c r="BA754" s="4">
        <f>tbl_Data_old[[#This Row],[Incremental Cost ($/unit)]]/tbl_Data_old[[#This Row],[kWh Savings]]*tbl_Data_old[[#This Row],[Sum of Annuals]]</f>
        <v>31.772368533319042</v>
      </c>
      <c r="BB754">
        <f>ROUNDUP(tbl_Data_old[[#This Row],[Adjusted 2025]]/$L754,0)</f>
        <v>1</v>
      </c>
      <c r="BC754">
        <f>ROUNDUP(tbl_Data_old[[#This Row],[Adjusted 2026]]/$L754,0)</f>
        <v>1</v>
      </c>
      <c r="BD754">
        <f>ROUNDUP(tbl_Data_old[[#This Row],[Adjusted 2027]]/$L754,0)</f>
        <v>1</v>
      </c>
      <c r="BE754">
        <f>ROUNDUP(tbl_Data_old[[#This Row],[Adjusted 2028]]/$L754,0)</f>
        <v>1</v>
      </c>
      <c r="BF754">
        <f>ROUNDUP(tbl_Data_old[[#This Row],[Adjusted 2029]]/$L754,0)</f>
        <v>1</v>
      </c>
      <c r="BG754">
        <f>ROUNDUP(tbl_Data_old[[#This Row],[Adjusted 2030]]/$L754,0)</f>
        <v>1</v>
      </c>
      <c r="BH754">
        <f>ROUNDUP(tbl_Data_old[[#This Row],[Adjusted 2031]]/$L754,0)</f>
        <v>1</v>
      </c>
      <c r="BI754">
        <f>ROUNDUP(tbl_Data_old[[#This Row],[Adjusted 2032]]/$L754,0)</f>
        <v>1</v>
      </c>
      <c r="BJ754">
        <f>ROUNDUP(tbl_Data_old[[#This Row],[Adjusted 2033]]/$L754,0)</f>
        <v>1</v>
      </c>
      <c r="BK754">
        <f>ROUNDUP(tbl_Data_old[[#This Row],[Adjusted 2034]]/$L754,0)</f>
        <v>1</v>
      </c>
      <c r="BL754" s="3">
        <f t="shared" si="51"/>
        <v>0.43207000796705802</v>
      </c>
      <c r="BM754" s="3">
        <f t="shared" si="51"/>
        <v>0.56096039772621553</v>
      </c>
      <c r="BN754" s="3">
        <f t="shared" si="51"/>
        <v>0.7102007437499267</v>
      </c>
      <c r="BO754" s="3">
        <f t="shared" si="51"/>
        <v>0.88746426445506554</v>
      </c>
      <c r="BP754" s="3">
        <f t="shared" si="51"/>
        <v>1.0745333058379576</v>
      </c>
      <c r="BQ754" s="3">
        <f t="shared" si="50"/>
        <v>1.2662807702578198</v>
      </c>
      <c r="BR754" s="3">
        <f t="shared" si="50"/>
        <v>1.4455589754768887</v>
      </c>
      <c r="BS754" s="3">
        <f t="shared" si="50"/>
        <v>1.5862993848914797</v>
      </c>
      <c r="BT754" s="3">
        <f t="shared" si="50"/>
        <v>1.6728841697471424</v>
      </c>
      <c r="BU754" s="3">
        <f t="shared" si="50"/>
        <v>1.6838162113955302</v>
      </c>
      <c r="BV754">
        <f>VLOOKUP($H754,'1. Set Program Names'!$B$2:$D$15,3,0)*V754</f>
        <v>0.13182516426889132</v>
      </c>
      <c r="BW754">
        <f>VLOOKUP($H754,'1. Set Program Names'!$B$2:$D$15,3,0)*W754</f>
        <v>0.17114980261309642</v>
      </c>
      <c r="BX754">
        <f>VLOOKUP($H754,'1. Set Program Names'!$B$2:$D$15,3,0)*X754</f>
        <v>0.21668324110073586</v>
      </c>
      <c r="BY754">
        <f>VLOOKUP($H754,'1. Set Program Names'!$B$2:$D$15,3,0)*Y754</f>
        <v>0.27076658941224041</v>
      </c>
      <c r="BZ754">
        <f>VLOOKUP($H754,'1. Set Program Names'!$B$2:$D$15,3,0)*Z754</f>
        <v>0.3278416158088977</v>
      </c>
      <c r="CA754">
        <f>VLOOKUP($H754,'1. Set Program Names'!$B$2:$D$15,3,0)*AA754</f>
        <v>0.38634403562327868</v>
      </c>
      <c r="CB754">
        <f>VLOOKUP($H754,'1. Set Program Names'!$B$2:$D$15,3,0)*AB754</f>
        <v>0.44104206700026244</v>
      </c>
      <c r="CC754">
        <f>VLOOKUP($H754,'1. Set Program Names'!$B$2:$D$15,3,0)*AC754</f>
        <v>0.48398216292972579</v>
      </c>
      <c r="CD754">
        <f>VLOOKUP($H754,'1. Set Program Names'!$B$2:$D$15,3,0)*AD754</f>
        <v>0.51039930199588979</v>
      </c>
      <c r="CE754">
        <f>VLOOKUP($H754,'1. Set Program Names'!$B$2:$D$15,3,0)*AE754</f>
        <v>0.51373468320615634</v>
      </c>
    </row>
    <row r="755" spans="1:83" x14ac:dyDescent="0.25">
      <c r="A755" s="20" t="s">
        <v>117</v>
      </c>
      <c r="B755" s="20" t="s">
        <v>88</v>
      </c>
      <c r="C755" s="20" t="s">
        <v>176</v>
      </c>
      <c r="D755" s="20" t="s">
        <v>90</v>
      </c>
      <c r="E755" s="20" t="s">
        <v>91</v>
      </c>
      <c r="F755" s="20" t="s">
        <v>90</v>
      </c>
      <c r="G755" s="20" t="s">
        <v>92</v>
      </c>
      <c r="H755" s="20" t="s">
        <v>18</v>
      </c>
      <c r="I755" s="20" t="s">
        <v>177</v>
      </c>
      <c r="J755" s="20" t="s">
        <v>178</v>
      </c>
      <c r="K755" s="20" t="s">
        <v>102</v>
      </c>
      <c r="L755" s="20">
        <v>25265.069999999901</v>
      </c>
      <c r="M755" s="20">
        <v>3.0268587641170099</v>
      </c>
      <c r="N755" s="20">
        <v>2.9158027991200801</v>
      </c>
      <c r="O755" s="20">
        <v>7160.52</v>
      </c>
      <c r="P755" s="20">
        <v>2094.8798923726799</v>
      </c>
      <c r="Q755" s="20">
        <v>799.59389150061804</v>
      </c>
      <c r="R755" s="20">
        <v>8516.48438813961</v>
      </c>
      <c r="S755" s="20">
        <v>20321.770915365199</v>
      </c>
      <c r="T755" s="20">
        <v>10</v>
      </c>
      <c r="U755" s="20">
        <v>1</v>
      </c>
      <c r="V755" s="20">
        <v>0.407702126385177</v>
      </c>
      <c r="W755" s="20">
        <v>0.79649741534889296</v>
      </c>
      <c r="X755" s="20">
        <v>1.1623008214714301</v>
      </c>
      <c r="Y755" s="20">
        <v>1.5066820316802301</v>
      </c>
      <c r="Z755" s="20">
        <v>1.82799411441952</v>
      </c>
      <c r="AA755" s="20">
        <v>2.1269500441738201</v>
      </c>
      <c r="AB755" s="20">
        <v>2.40482342836818</v>
      </c>
      <c r="AC755" s="20">
        <v>2.6620179045572701</v>
      </c>
      <c r="AD755" s="20">
        <v>2.9007365078094698</v>
      </c>
      <c r="AE755" s="20">
        <v>3.12232445558167</v>
      </c>
      <c r="AF755" t="str">
        <f t="shared" si="48"/>
        <v>NonResidential</v>
      </c>
      <c r="AG755" t="str">
        <f>tbl_Data_old[[#This Row],[All_Meas_Name_Append]]</f>
        <v>Airside economizer_13</v>
      </c>
      <c r="AH755">
        <f>AVERAGEIFS('3. Incentive Adjustment'!G:G,'3. Incentive Adjustment'!A:A,tbl_Data_old[[#This Row],[Trimmed Sector]],'3. Incentive Adjustment'!B:B,tbl_Data_old[[#This Row],[Trimmed Measure Name]])</f>
        <v>1</v>
      </c>
      <c r="AI755">
        <f>$AH755*tbl_Data_old[[#This Row],[2025 ]]</f>
        <v>0.407702126385177</v>
      </c>
      <c r="AJ755">
        <f>$AH755*tbl_Data_old[[#This Row],[2026 ]]</f>
        <v>0.79649741534889296</v>
      </c>
      <c r="AK755">
        <f>$AH755*tbl_Data_old[[#This Row],[2027 ]]</f>
        <v>1.1623008214714301</v>
      </c>
      <c r="AL755">
        <f>$AH755*tbl_Data_old[[#This Row],[2028 ]]</f>
        <v>1.5066820316802301</v>
      </c>
      <c r="AM755">
        <f>$AH755*tbl_Data_old[[#This Row],[2029 ]]</f>
        <v>1.82799411441952</v>
      </c>
      <c r="AN755">
        <f>$AH755*tbl_Data_old[[#This Row],[2030 ]]</f>
        <v>2.1269500441738201</v>
      </c>
      <c r="AO755">
        <f>$AH755*tbl_Data_old[[#This Row],[2031 ]]</f>
        <v>2.40482342836818</v>
      </c>
      <c r="AP755">
        <f>$AH755*tbl_Data_old[[#This Row],[2032 ]]</f>
        <v>2.6620179045572701</v>
      </c>
      <c r="AQ755">
        <f>$AH755*tbl_Data_old[[#This Row],[2033 ]]</f>
        <v>2.9007365078094698</v>
      </c>
      <c r="AR755">
        <f>$AH755*tbl_Data_old[[#This Row],[2034 ]]</f>
        <v>3.12232445558167</v>
      </c>
      <c r="AS755">
        <f>SUM(tbl_Data_old[[#This Row],[Adjusted 2025]:[Adjusted 2034]])</f>
        <v>18.918028849795661</v>
      </c>
      <c r="AT755" s="3">
        <f>AVERAGEIFS('3. Incentive Adjustment'!F:F,'3. Incentive Adjustment'!A:A,tbl_Data_old[[#This Row],[Trimmed Sector]],'3. Incentive Adjustment'!B:B,tbl_Data_old[[#This Row],[Trimmed Measure Name]])</f>
        <v>2094.8798923726795</v>
      </c>
      <c r="AU755" s="3">
        <f>IFERROR(VLOOKUP(tbl_Data_old[[#This Row],[All_Meas_Name_Append]],'IRA Tax Credits'!$A$3:$D$46,4,0),0)</f>
        <v>0</v>
      </c>
      <c r="AV755" s="4">
        <f>tbl_Data_old[[#This Row],[Adj. per unit Incentive ($)]]/tbl_Data_old[[#This Row],[kWh Savings]]*tbl_Data_old[[#This Row],[Sum of Annuals]]</f>
        <v>1.5686082896569586</v>
      </c>
      <c r="AW755" s="4">
        <f>IFERROR(VLOOKUP(tbl_Data_old[[#This Row],[All_Programs]],'1. Set Program Names'!$B$2:$D$15,3,0)*tbl_Data_old[[#This Row],[Sum of Annuals]],"")</f>
        <v>0.5987214881070626</v>
      </c>
      <c r="AX755" s="4">
        <f>tbl_Data_old[[#This Row],[per unit IRA tax ($)]]/tbl_Data_old[[#This Row],[kWh Savings]]*tbl_Data_old[[#This Row],[Sum of Annuals]]</f>
        <v>0</v>
      </c>
      <c r="AY755" s="4">
        <f>tbl_Data_old[[#This Row],[Avoided Costs ($/unit)]]/tbl_Data_old[[#This Row],[kWh Savings]]*tbl_Data_old[[#This Row],[Sum of Annuals]]</f>
        <v>6.3769899451559056</v>
      </c>
      <c r="AZ755" s="4">
        <f>tbl_Data_old[[#This Row],[Lost Revenue ($/unit)]]/tbl_Data_old[[#This Row],[kWh Savings]]*tbl_Data_old[[#This Row],[Sum of Annuals]]</f>
        <v>15.216575630141485</v>
      </c>
      <c r="BA755" s="4">
        <f>tbl_Data_old[[#This Row],[Incremental Cost ($/unit)]]/tbl_Data_old[[#This Row],[kWh Savings]]*tbl_Data_old[[#This Row],[Sum of Annuals]]</f>
        <v>5.3616682613402356</v>
      </c>
      <c r="BB755">
        <f>ROUNDUP(tbl_Data_old[[#This Row],[Adjusted 2025]]/$L755,0)</f>
        <v>1</v>
      </c>
      <c r="BC755">
        <f>ROUNDUP(tbl_Data_old[[#This Row],[Adjusted 2026]]/$L755,0)</f>
        <v>1</v>
      </c>
      <c r="BD755">
        <f>ROUNDUP(tbl_Data_old[[#This Row],[Adjusted 2027]]/$L755,0)</f>
        <v>1</v>
      </c>
      <c r="BE755">
        <f>ROUNDUP(tbl_Data_old[[#This Row],[Adjusted 2028]]/$L755,0)</f>
        <v>1</v>
      </c>
      <c r="BF755">
        <f>ROUNDUP(tbl_Data_old[[#This Row],[Adjusted 2029]]/$L755,0)</f>
        <v>1</v>
      </c>
      <c r="BG755">
        <f>ROUNDUP(tbl_Data_old[[#This Row],[Adjusted 2030]]/$L755,0)</f>
        <v>1</v>
      </c>
      <c r="BH755">
        <f>ROUNDUP(tbl_Data_old[[#This Row],[Adjusted 2031]]/$L755,0)</f>
        <v>1</v>
      </c>
      <c r="BI755">
        <f>ROUNDUP(tbl_Data_old[[#This Row],[Adjusted 2032]]/$L755,0)</f>
        <v>1</v>
      </c>
      <c r="BJ755">
        <f>ROUNDUP(tbl_Data_old[[#This Row],[Adjusted 2033]]/$L755,0)</f>
        <v>1</v>
      </c>
      <c r="BK755">
        <f>ROUNDUP(tbl_Data_old[[#This Row],[Adjusted 2034]]/$L755,0)</f>
        <v>1</v>
      </c>
      <c r="BL755" s="3">
        <f t="shared" si="51"/>
        <v>3.3805051268090511E-2</v>
      </c>
      <c r="BM755" s="3">
        <f t="shared" si="51"/>
        <v>6.6042422195593073E-2</v>
      </c>
      <c r="BN755" s="3">
        <f t="shared" si="51"/>
        <v>9.6373396938490799E-2</v>
      </c>
      <c r="BO755" s="3">
        <f t="shared" si="51"/>
        <v>0.12492812774182468</v>
      </c>
      <c r="BP755" s="3">
        <f t="shared" si="51"/>
        <v>0.15157005754082892</v>
      </c>
      <c r="BQ755" s="3">
        <f t="shared" si="50"/>
        <v>0.17635830336590935</v>
      </c>
      <c r="BR755" s="3">
        <f t="shared" si="50"/>
        <v>0.19939846771828657</v>
      </c>
      <c r="BS755" s="3">
        <f t="shared" si="50"/>
        <v>0.22072401863098345</v>
      </c>
      <c r="BT755" s="3">
        <f t="shared" si="50"/>
        <v>0.24051762307729319</v>
      </c>
      <c r="BU755" s="3">
        <f t="shared" si="50"/>
        <v>0.25889082117965789</v>
      </c>
      <c r="BV755">
        <f>VLOOKUP($H755,'1. Set Program Names'!$B$2:$D$15,3,0)*V755</f>
        <v>1.2903036873018801E-2</v>
      </c>
      <c r="BW755">
        <f>VLOOKUP($H755,'1. Set Program Names'!$B$2:$D$15,3,0)*W755</f>
        <v>2.5207706446449849E-2</v>
      </c>
      <c r="BX755">
        <f>VLOOKUP($H755,'1. Set Program Names'!$B$2:$D$15,3,0)*X755</f>
        <v>3.6784724401504043E-2</v>
      </c>
      <c r="BY755">
        <f>VLOOKUP($H755,'1. Set Program Names'!$B$2:$D$15,3,0)*Y755</f>
        <v>4.7683768497979818E-2</v>
      </c>
      <c r="BZ755">
        <f>VLOOKUP($H755,'1. Set Program Names'!$B$2:$D$15,3,0)*Z755</f>
        <v>5.7852716322928571E-2</v>
      </c>
      <c r="CA755">
        <f>VLOOKUP($H755,'1. Set Program Names'!$B$2:$D$15,3,0)*AA755</f>
        <v>6.7314132232697541E-2</v>
      </c>
      <c r="CB755">
        <f>VLOOKUP($H755,'1. Set Program Names'!$B$2:$D$15,3,0)*AB755</f>
        <v>7.610832360491282E-2</v>
      </c>
      <c r="CC755">
        <f>VLOOKUP($H755,'1. Set Program Names'!$B$2:$D$15,3,0)*AC755</f>
        <v>8.4248064840084458E-2</v>
      </c>
      <c r="CD755">
        <f>VLOOKUP($H755,'1. Set Program Names'!$B$2:$D$15,3,0)*AD755</f>
        <v>9.18030780242165E-2</v>
      </c>
      <c r="CE755">
        <f>VLOOKUP($H755,'1. Set Program Names'!$B$2:$D$15,3,0)*AE755</f>
        <v>9.8815936863270157E-2</v>
      </c>
    </row>
    <row r="756" spans="1:83" x14ac:dyDescent="0.25">
      <c r="A756" s="20" t="s">
        <v>117</v>
      </c>
      <c r="B756" s="20" t="s">
        <v>88</v>
      </c>
      <c r="C756" s="20" t="s">
        <v>176</v>
      </c>
      <c r="D756" s="20" t="s">
        <v>90</v>
      </c>
      <c r="E756" s="20" t="s">
        <v>91</v>
      </c>
      <c r="F756" s="20" t="s">
        <v>90</v>
      </c>
      <c r="G756" s="20" t="s">
        <v>92</v>
      </c>
      <c r="H756" s="20" t="s">
        <v>18</v>
      </c>
      <c r="I756" s="20" t="s">
        <v>185</v>
      </c>
      <c r="J756" s="20" t="s">
        <v>178</v>
      </c>
      <c r="K756" s="20" t="s">
        <v>102</v>
      </c>
      <c r="L756" s="20">
        <v>37372.818333333198</v>
      </c>
      <c r="M756" s="20">
        <v>4.4774165562178503</v>
      </c>
      <c r="N756" s="20">
        <v>4.3131393780955101</v>
      </c>
      <c r="O756" s="20">
        <v>14201.670833333301</v>
      </c>
      <c r="P756" s="20">
        <v>6684.0523958317799</v>
      </c>
      <c r="Q756" s="20">
        <v>1182.7822858791001</v>
      </c>
      <c r="R756" s="20">
        <v>15980.395267902501</v>
      </c>
      <c r="S756" s="20">
        <v>39692.564194744999</v>
      </c>
      <c r="T756" s="20">
        <v>15</v>
      </c>
      <c r="U756" s="20">
        <v>1</v>
      </c>
      <c r="V756" s="20">
        <v>2.2950613527338799</v>
      </c>
      <c r="W756" s="20">
        <v>4.9059710382911703</v>
      </c>
      <c r="X756" s="20">
        <v>7.7921073852945604</v>
      </c>
      <c r="Y756" s="20">
        <v>10.9543372068221</v>
      </c>
      <c r="Z756" s="20">
        <v>14.351889403226499</v>
      </c>
      <c r="AA756" s="20">
        <v>17.970251223940199</v>
      </c>
      <c r="AB756" s="20">
        <v>21.797357139416</v>
      </c>
      <c r="AC756" s="20">
        <v>25.811802037406601</v>
      </c>
      <c r="AD756" s="20">
        <v>30.011897327520199</v>
      </c>
      <c r="AE756" s="20">
        <v>34.387850549953903</v>
      </c>
      <c r="AF756" t="str">
        <f t="shared" si="48"/>
        <v>NonResidential</v>
      </c>
      <c r="AG756" t="str">
        <f>tbl_Data_old[[#This Row],[All_Meas_Name_Append]]</f>
        <v>Custom Measure - Non-Lighting_70</v>
      </c>
      <c r="AH756">
        <f>AVERAGEIFS('3. Incentive Adjustment'!G:G,'3. Incentive Adjustment'!A:A,tbl_Data_old[[#This Row],[Trimmed Sector]],'3. Incentive Adjustment'!B:B,tbl_Data_old[[#This Row],[Trimmed Measure Name]])</f>
        <v>0.82269267220071174</v>
      </c>
      <c r="AI756">
        <f>$AH756*tbl_Data_old[[#This Row],[2025 ]]</f>
        <v>1.8881301571452158</v>
      </c>
      <c r="AJ756">
        <f>$AH756*tbl_Data_old[[#This Row],[2026 ]]</f>
        <v>4.0361064232310628</v>
      </c>
      <c r="AK756">
        <f>$AH756*tbl_Data_old[[#This Row],[2027 ]]</f>
        <v>6.4105096468828826</v>
      </c>
      <c r="AL756">
        <f>$AH756*tbl_Data_old[[#This Row],[2028 ]]</f>
        <v>9.0120529488681544</v>
      </c>
      <c r="AM756">
        <f>$AH756*tbl_Data_old[[#This Row],[2029 ]]</f>
        <v>11.807194244269487</v>
      </c>
      <c r="AN756">
        <f>$AH756*tbl_Data_old[[#This Row],[2030 ]]</f>
        <v>14.783993999541472</v>
      </c>
      <c r="AO756">
        <f>$AH756*tbl_Data_old[[#This Row],[2031 ]]</f>
        <v>17.932525991939411</v>
      </c>
      <c r="AP756">
        <f>$AH756*tbl_Data_old[[#This Row],[2032 ]]</f>
        <v>21.235180392469811</v>
      </c>
      <c r="AQ756">
        <f>$AH756*tbl_Data_old[[#This Row],[2033 ]]</f>
        <v>24.69056801019099</v>
      </c>
      <c r="AR756">
        <f>$AH756*tbl_Data_old[[#This Row],[2034 ]]</f>
        <v>28.29063266018029</v>
      </c>
      <c r="AS756">
        <f>SUM(tbl_Data_old[[#This Row],[Adjusted 2025]:[Adjusted 2034]])</f>
        <v>140.08689447471878</v>
      </c>
      <c r="AT756" s="3">
        <f>AVERAGEIFS('3. Incentive Adjustment'!F:F,'3. Incentive Adjustment'!A:A,tbl_Data_old[[#This Row],[Trimmed Sector]],'3. Incentive Adjustment'!B:B,tbl_Data_old[[#This Row],[Trimmed Measure Name]])</f>
        <v>3919.5698976361523</v>
      </c>
      <c r="AU756" s="3">
        <f>IFERROR(VLOOKUP(tbl_Data_old[[#This Row],[All_Meas_Name_Append]],'IRA Tax Credits'!$A$3:$D$46,4,0),0)</f>
        <v>0</v>
      </c>
      <c r="AV756" s="4">
        <f>tbl_Data_old[[#This Row],[Adj. per unit Incentive ($)]]/tbl_Data_old[[#This Row],[kWh Savings]]*tbl_Data_old[[#This Row],[Sum of Annuals]]</f>
        <v>14.691971307572208</v>
      </c>
      <c r="AW756" s="4">
        <f>IFERROR(VLOOKUP(tbl_Data_old[[#This Row],[All_Programs]],'1. Set Program Names'!$B$2:$D$15,3,0)*tbl_Data_old[[#This Row],[Sum of Annuals]],"")</f>
        <v>4.4334975165822632</v>
      </c>
      <c r="AX756" s="4">
        <f>tbl_Data_old[[#This Row],[per unit IRA tax ($)]]/tbl_Data_old[[#This Row],[kWh Savings]]*tbl_Data_old[[#This Row],[Sum of Annuals]]</f>
        <v>0</v>
      </c>
      <c r="AY756" s="4">
        <f>tbl_Data_old[[#This Row],[Avoided Costs ($/unit)]]/tbl_Data_old[[#This Row],[kWh Savings]]*tbl_Data_old[[#This Row],[Sum of Annuals]]</f>
        <v>59.900324497665288</v>
      </c>
      <c r="AZ756" s="4">
        <f>tbl_Data_old[[#This Row],[Lost Revenue ($/unit)]]/tbl_Data_old[[#This Row],[kWh Savings]]*tbl_Data_old[[#This Row],[Sum of Annuals]]</f>
        <v>148.78214434314842</v>
      </c>
      <c r="BA756" s="4">
        <f>tbl_Data_old[[#This Row],[Incremental Cost ($/unit)]]/tbl_Data_old[[#This Row],[kWh Savings]]*tbl_Data_old[[#This Row],[Sum of Annuals]]</f>
        <v>53.233019400611454</v>
      </c>
      <c r="BB756">
        <f>ROUNDUP(tbl_Data_old[[#This Row],[Adjusted 2025]]/$L756,0)</f>
        <v>1</v>
      </c>
      <c r="BC756">
        <f>ROUNDUP(tbl_Data_old[[#This Row],[Adjusted 2026]]/$L756,0)</f>
        <v>1</v>
      </c>
      <c r="BD756">
        <f>ROUNDUP(tbl_Data_old[[#This Row],[Adjusted 2027]]/$L756,0)</f>
        <v>1</v>
      </c>
      <c r="BE756">
        <f>ROUNDUP(tbl_Data_old[[#This Row],[Adjusted 2028]]/$L756,0)</f>
        <v>1</v>
      </c>
      <c r="BF756">
        <f>ROUNDUP(tbl_Data_old[[#This Row],[Adjusted 2029]]/$L756,0)</f>
        <v>1</v>
      </c>
      <c r="BG756">
        <f>ROUNDUP(tbl_Data_old[[#This Row],[Adjusted 2030]]/$L756,0)</f>
        <v>1</v>
      </c>
      <c r="BH756">
        <f>ROUNDUP(tbl_Data_old[[#This Row],[Adjusted 2031]]/$L756,0)</f>
        <v>1</v>
      </c>
      <c r="BI756">
        <f>ROUNDUP(tbl_Data_old[[#This Row],[Adjusted 2032]]/$L756,0)</f>
        <v>1</v>
      </c>
      <c r="BJ756">
        <f>ROUNDUP(tbl_Data_old[[#This Row],[Adjusted 2033]]/$L756,0)</f>
        <v>1</v>
      </c>
      <c r="BK756">
        <f>ROUNDUP(tbl_Data_old[[#This Row],[Adjusted 2034]]/$L756,0)</f>
        <v>1</v>
      </c>
      <c r="BL756" s="3">
        <f t="shared" si="51"/>
        <v>0.24070042861553495</v>
      </c>
      <c r="BM756" s="3">
        <f t="shared" si="51"/>
        <v>0.51452625886686332</v>
      </c>
      <c r="BN756" s="3">
        <f t="shared" si="51"/>
        <v>0.81721718908494634</v>
      </c>
      <c r="BO756" s="3">
        <f t="shared" si="51"/>
        <v>1.1488641285080787</v>
      </c>
      <c r="BP756" s="3">
        <f t="shared" si="51"/>
        <v>1.5051911037952692</v>
      </c>
      <c r="BQ756" s="3">
        <f t="shared" si="50"/>
        <v>1.8846760531167366</v>
      </c>
      <c r="BR756" s="3">
        <f t="shared" si="50"/>
        <v>2.2860535732055816</v>
      </c>
      <c r="BS756" s="3">
        <f t="shared" si="50"/>
        <v>2.7070787481747618</v>
      </c>
      <c r="BT756" s="3">
        <f t="shared" si="50"/>
        <v>3.1475744827886403</v>
      </c>
      <c r="BU756" s="3">
        <f t="shared" si="50"/>
        <v>3.6065137677827601</v>
      </c>
      <c r="BV756">
        <f>VLOOKUP($H756,'1. Set Program Names'!$B$2:$D$15,3,0)*V756</f>
        <v>7.263455190368201E-2</v>
      </c>
      <c r="BW756">
        <f>VLOOKUP($H756,'1. Set Program Names'!$B$2:$D$15,3,0)*W756</f>
        <v>0.15526513380317458</v>
      </c>
      <c r="BX756">
        <f>VLOOKUP($H756,'1. Set Program Names'!$B$2:$D$15,3,0)*X756</f>
        <v>0.24660614307414924</v>
      </c>
      <c r="BY756">
        <f>VLOOKUP($H756,'1. Set Program Names'!$B$2:$D$15,3,0)*Y756</f>
        <v>0.34668501278693908</v>
      </c>
      <c r="BZ756">
        <f>VLOOKUP($H756,'1. Set Program Names'!$B$2:$D$15,3,0)*Z756</f>
        <v>0.45421141118201463</v>
      </c>
      <c r="CA756">
        <f>VLOOKUP($H756,'1. Set Program Names'!$B$2:$D$15,3,0)*AA756</f>
        <v>0.56872603588250958</v>
      </c>
      <c r="CB756">
        <f>VLOOKUP($H756,'1. Set Program Names'!$B$2:$D$15,3,0)*AB756</f>
        <v>0.68984703464247099</v>
      </c>
      <c r="CC756">
        <f>VLOOKUP($H756,'1. Set Program Names'!$B$2:$D$15,3,0)*AC756</f>
        <v>0.81689697427054686</v>
      </c>
      <c r="CD756">
        <f>VLOOKUP($H756,'1. Set Program Names'!$B$2:$D$15,3,0)*AD756</f>
        <v>0.94982241392677402</v>
      </c>
      <c r="CE756">
        <f>VLOOKUP($H756,'1. Set Program Names'!$B$2:$D$15,3,0)*AE756</f>
        <v>1.0883134399223657</v>
      </c>
    </row>
    <row r="757" spans="1:83" x14ac:dyDescent="0.25">
      <c r="A757" s="20" t="s">
        <v>117</v>
      </c>
      <c r="B757" s="20" t="s">
        <v>88</v>
      </c>
      <c r="C757" s="20" t="s">
        <v>176</v>
      </c>
      <c r="D757" s="20" t="s">
        <v>90</v>
      </c>
      <c r="E757" s="20" t="s">
        <v>91</v>
      </c>
      <c r="F757" s="20" t="s">
        <v>90</v>
      </c>
      <c r="G757" s="20" t="s">
        <v>92</v>
      </c>
      <c r="H757" s="20" t="s">
        <v>18</v>
      </c>
      <c r="I757" s="20" t="s">
        <v>187</v>
      </c>
      <c r="J757" s="20" t="s">
        <v>137</v>
      </c>
      <c r="K757" s="20" t="s">
        <v>98</v>
      </c>
      <c r="L757" s="20">
        <v>16575.9941666665</v>
      </c>
      <c r="M757" s="20">
        <v>1.98609088803711</v>
      </c>
      <c r="N757" s="20">
        <v>1.91315479867159</v>
      </c>
      <c r="O757" s="20">
        <v>5440</v>
      </c>
      <c r="P757" s="20">
        <v>2106.6717861739999</v>
      </c>
      <c r="Q757" s="20">
        <v>524.60031502847596</v>
      </c>
      <c r="R757" s="20">
        <v>7087.6591263841001</v>
      </c>
      <c r="S757" s="20">
        <v>17604.872789732901</v>
      </c>
      <c r="T757" s="20">
        <v>15</v>
      </c>
      <c r="U757" s="20">
        <v>1</v>
      </c>
      <c r="V757" s="20">
        <v>1.0957401254938901</v>
      </c>
      <c r="W757" s="20">
        <v>2.6098143916557199</v>
      </c>
      <c r="X757" s="20">
        <v>4.6364931357345798</v>
      </c>
      <c r="Y757" s="20">
        <v>7.28243302307677</v>
      </c>
      <c r="Z757" s="20">
        <v>10.5868082252354</v>
      </c>
      <c r="AA757" s="20">
        <v>14.511628944020201</v>
      </c>
      <c r="AB757" s="20">
        <v>18.890034735740599</v>
      </c>
      <c r="AC757" s="20">
        <v>23.411092698862301</v>
      </c>
      <c r="AD757" s="20">
        <v>27.700461939788099</v>
      </c>
      <c r="AE757" s="20">
        <v>31.421578911933601</v>
      </c>
      <c r="AF757" t="str">
        <f t="shared" si="48"/>
        <v>NonResidential</v>
      </c>
      <c r="AG757" t="str">
        <f>tbl_Data_old[[#This Row],[All_Meas_Name_Append]]</f>
        <v>High Efficiency Air Compressor</v>
      </c>
      <c r="AH757">
        <f>AVERAGEIFS('3. Incentive Adjustment'!G:G,'3. Incentive Adjustment'!A:A,tbl_Data_old[[#This Row],[Trimmed Sector]],'3. Incentive Adjustment'!B:B,tbl_Data_old[[#This Row],[Trimmed Measure Name]])</f>
        <v>0.94309259342294038</v>
      </c>
      <c r="AI757">
        <f>$AH757*tbl_Data_old[[#This Row],[2025 ]]</f>
        <v>1.033384396669611</v>
      </c>
      <c r="AJ757">
        <f>$AH757*tbl_Data_old[[#This Row],[2026 ]]</f>
        <v>2.4612966229791065</v>
      </c>
      <c r="AK757">
        <f>$AH757*tbl_Data_old[[#This Row],[2027 ]]</f>
        <v>4.3726423357675861</v>
      </c>
      <c r="AL757">
        <f>$AH757*tbl_Data_old[[#This Row],[2028 ]]</f>
        <v>6.8680086461623349</v>
      </c>
      <c r="AM757">
        <f>$AH757*tbl_Data_old[[#This Row],[2029 ]]</f>
        <v>9.9843404252085701</v>
      </c>
      <c r="AN757">
        <f>$AH757*tbl_Data_old[[#This Row],[2030 ]]</f>
        <v>13.685809775607417</v>
      </c>
      <c r="AO757">
        <f>$AH757*tbl_Data_old[[#This Row],[2031 ]]</f>
        <v>17.815051848779031</v>
      </c>
      <c r="AP757">
        <f>$AH757*tbl_Data_old[[#This Row],[2032 ]]</f>
        <v>22.078828128234914</v>
      </c>
      <c r="AQ757">
        <f>$AH757*tbl_Data_old[[#This Row],[2033 ]]</f>
        <v>26.12410048980821</v>
      </c>
      <c r="AR757">
        <f>$AH757*tbl_Data_old[[#This Row],[2034 ]]</f>
        <v>29.633458345499033</v>
      </c>
      <c r="AS757">
        <f>SUM(tbl_Data_old[[#This Row],[Adjusted 2025]:[Adjusted 2034]])</f>
        <v>134.05692101471581</v>
      </c>
      <c r="AT757" s="3">
        <f>AVERAGEIFS('3. Incentive Adjustment'!F:F,'3. Incentive Adjustment'!A:A,tbl_Data_old[[#This Row],[Trimmed Sector]],'3. Incentive Adjustment'!B:B,tbl_Data_old[[#This Row],[Trimmed Measure Name]])</f>
        <v>1738.5866300231887</v>
      </c>
      <c r="AU757" s="3">
        <f>IFERROR(VLOOKUP(tbl_Data_old[[#This Row],[All_Meas_Name_Append]],'IRA Tax Credits'!$A$3:$D$46,4,0),0)</f>
        <v>0</v>
      </c>
      <c r="AV757" s="4">
        <f>tbl_Data_old[[#This Row],[Adj. per unit Incentive ($)]]/tbl_Data_old[[#This Row],[kWh Savings]]*tbl_Data_old[[#This Row],[Sum of Annuals]]</f>
        <v>14.060669193944992</v>
      </c>
      <c r="AW757" s="4">
        <f>IFERROR(VLOOKUP(tbl_Data_old[[#This Row],[All_Programs]],'1. Set Program Names'!$B$2:$D$15,3,0)*tbl_Data_old[[#This Row],[Sum of Annuals]],"")</f>
        <v>4.2426597336460103</v>
      </c>
      <c r="AX757" s="4">
        <f>tbl_Data_old[[#This Row],[per unit IRA tax ($)]]/tbl_Data_old[[#This Row],[kWh Savings]]*tbl_Data_old[[#This Row],[Sum of Annuals]]</f>
        <v>0</v>
      </c>
      <c r="AY757" s="4">
        <f>tbl_Data_old[[#This Row],[Avoided Costs ($/unit)]]/tbl_Data_old[[#This Row],[kWh Savings]]*tbl_Data_old[[#This Row],[Sum of Annuals]]</f>
        <v>57.320830963828818</v>
      </c>
      <c r="AZ757" s="4">
        <f>tbl_Data_old[[#This Row],[Lost Revenue ($/unit)]]/tbl_Data_old[[#This Row],[kWh Savings]]*tbl_Data_old[[#This Row],[Sum of Annuals]]</f>
        <v>142.37788800585466</v>
      </c>
      <c r="BA757" s="4">
        <f>tbl_Data_old[[#This Row],[Incremental Cost ($/unit)]]/tbl_Data_old[[#This Row],[kWh Savings]]*tbl_Data_old[[#This Row],[Sum of Annuals]]</f>
        <v>43.995530101390784</v>
      </c>
      <c r="BB757">
        <f>ROUNDUP(tbl_Data_old[[#This Row],[Adjusted 2025]]/$L757,0)</f>
        <v>1</v>
      </c>
      <c r="BC757">
        <f>ROUNDUP(tbl_Data_old[[#This Row],[Adjusted 2026]]/$L757,0)</f>
        <v>1</v>
      </c>
      <c r="BD757">
        <f>ROUNDUP(tbl_Data_old[[#This Row],[Adjusted 2027]]/$L757,0)</f>
        <v>1</v>
      </c>
      <c r="BE757">
        <f>ROUNDUP(tbl_Data_old[[#This Row],[Adjusted 2028]]/$L757,0)</f>
        <v>1</v>
      </c>
      <c r="BF757">
        <f>ROUNDUP(tbl_Data_old[[#This Row],[Adjusted 2029]]/$L757,0)</f>
        <v>1</v>
      </c>
      <c r="BG757">
        <f>ROUNDUP(tbl_Data_old[[#This Row],[Adjusted 2030]]/$L757,0)</f>
        <v>1</v>
      </c>
      <c r="BH757">
        <f>ROUNDUP(tbl_Data_old[[#This Row],[Adjusted 2031]]/$L757,0)</f>
        <v>1</v>
      </c>
      <c r="BI757">
        <f>ROUNDUP(tbl_Data_old[[#This Row],[Adjusted 2032]]/$L757,0)</f>
        <v>1</v>
      </c>
      <c r="BJ757">
        <f>ROUNDUP(tbl_Data_old[[#This Row],[Adjusted 2033]]/$L757,0)</f>
        <v>1</v>
      </c>
      <c r="BK757">
        <f>ROUNDUP(tbl_Data_old[[#This Row],[Adjusted 2034]]/$L757,0)</f>
        <v>1</v>
      </c>
      <c r="BL757" s="3">
        <f t="shared" si="51"/>
        <v>0.1149275942672897</v>
      </c>
      <c r="BM757" s="3">
        <f t="shared" si="51"/>
        <v>0.27373250512474234</v>
      </c>
      <c r="BN757" s="3">
        <f t="shared" si="51"/>
        <v>0.48630235356818535</v>
      </c>
      <c r="BO757" s="3">
        <f t="shared" si="51"/>
        <v>0.76382391069016831</v>
      </c>
      <c r="BP757" s="3">
        <f t="shared" si="51"/>
        <v>1.1104059913358022</v>
      </c>
      <c r="BQ757" s="3">
        <f t="shared" si="50"/>
        <v>1.5220640046234311</v>
      </c>
      <c r="BR757" s="3">
        <f t="shared" si="50"/>
        <v>1.9812966572029675</v>
      </c>
      <c r="BS757" s="3">
        <f t="shared" si="50"/>
        <v>2.4554914988040726</v>
      </c>
      <c r="BT757" s="3">
        <f t="shared" si="50"/>
        <v>2.9053854803368875</v>
      </c>
      <c r="BU757" s="3">
        <f t="shared" si="50"/>
        <v>3.2956778604786678</v>
      </c>
      <c r="BV757">
        <f>VLOOKUP($H757,'1. Set Program Names'!$B$2:$D$15,3,0)*V757</f>
        <v>3.4678198438280079E-2</v>
      </c>
      <c r="BW757">
        <f>VLOOKUP($H757,'1. Set Program Names'!$B$2:$D$15,3,0)*W757</f>
        <v>8.2595917823236567E-2</v>
      </c>
      <c r="BX757">
        <f>VLOOKUP($H757,'1. Set Program Names'!$B$2:$D$15,3,0)*X757</f>
        <v>0.14673664428073713</v>
      </c>
      <c r="BY757">
        <f>VLOOKUP($H757,'1. Set Program Names'!$B$2:$D$15,3,0)*Y757</f>
        <v>0.23047586887804294</v>
      </c>
      <c r="BZ757">
        <f>VLOOKUP($H757,'1. Set Program Names'!$B$2:$D$15,3,0)*Z757</f>
        <v>0.33505338348109631</v>
      </c>
      <c r="CA757">
        <f>VLOOKUP($H757,'1. Set Program Names'!$B$2:$D$15,3,0)*AA757</f>
        <v>0.45926687950447553</v>
      </c>
      <c r="CB757">
        <f>VLOOKUP($H757,'1. Set Program Names'!$B$2:$D$15,3,0)*AB757</f>
        <v>0.59783552489396252</v>
      </c>
      <c r="CC757">
        <f>VLOOKUP($H757,'1. Set Program Names'!$B$2:$D$15,3,0)*AC757</f>
        <v>0.74091885418742365</v>
      </c>
      <c r="CD757">
        <f>VLOOKUP($H757,'1. Set Program Names'!$B$2:$D$15,3,0)*AD757</f>
        <v>0.87666965335144409</v>
      </c>
      <c r="CE757">
        <f>VLOOKUP($H757,'1. Set Program Names'!$B$2:$D$15,3,0)*AE757</f>
        <v>0.99443629324149085</v>
      </c>
    </row>
    <row r="758" spans="1:83" x14ac:dyDescent="0.25">
      <c r="A758" s="20" t="s">
        <v>117</v>
      </c>
      <c r="B758" s="20" t="s">
        <v>88</v>
      </c>
      <c r="C758" s="20" t="s">
        <v>176</v>
      </c>
      <c r="D758" s="20" t="s">
        <v>90</v>
      </c>
      <c r="E758" s="20" t="s">
        <v>91</v>
      </c>
      <c r="F758" s="20" t="s">
        <v>90</v>
      </c>
      <c r="G758" s="20" t="s">
        <v>92</v>
      </c>
      <c r="H758" s="20" t="s">
        <v>18</v>
      </c>
      <c r="I758" s="20" t="s">
        <v>157</v>
      </c>
      <c r="J758" s="20" t="s">
        <v>158</v>
      </c>
      <c r="K758" s="20" t="s">
        <v>159</v>
      </c>
      <c r="L758" s="20">
        <v>562.52</v>
      </c>
      <c r="M758" s="20">
        <v>6.7473359330379998E-2</v>
      </c>
      <c r="N758" s="20">
        <v>6.4973258375617293E-2</v>
      </c>
      <c r="O758" s="20">
        <v>169</v>
      </c>
      <c r="P758" s="20">
        <v>55.847956108163899</v>
      </c>
      <c r="Q758" s="20">
        <v>17.802743307140101</v>
      </c>
      <c r="R758" s="20">
        <v>240.47921618074301</v>
      </c>
      <c r="S758" s="20">
        <v>597.43584258705596</v>
      </c>
      <c r="T758" s="20">
        <v>15</v>
      </c>
      <c r="U758" s="20">
        <v>0.2</v>
      </c>
      <c r="V758" s="20">
        <v>7.0258766430940506E-2</v>
      </c>
      <c r="W758" s="20">
        <v>0.15018986167671</v>
      </c>
      <c r="X758" s="20">
        <v>0.238549709111645</v>
      </c>
      <c r="Y758" s="20">
        <v>0.33536974515102802</v>
      </c>
      <c r="Z758" s="20">
        <v>0.43939577599214702</v>
      </c>
      <c r="AA758" s="20">
        <v>0.55018595816416904</v>
      </c>
      <c r="AB758" s="20">
        <v>0.66737244441133603</v>
      </c>
      <c r="AC758" s="20">
        <v>0.79029641198240597</v>
      </c>
      <c r="AD758" s="20">
        <v>0.91890951378336405</v>
      </c>
      <c r="AE758" s="20">
        <v>1.0529116195913799</v>
      </c>
      <c r="AF758" t="str">
        <f t="shared" si="48"/>
        <v>NonResidential</v>
      </c>
      <c r="AG758" t="str">
        <f>tbl_Data_old[[#This Row],[All_Meas_Name_Append]]</f>
        <v>LED Exterior Wall Packs</v>
      </c>
      <c r="AH758">
        <f>AVERAGEIFS('3. Incentive Adjustment'!G:G,'3. Incentive Adjustment'!A:A,tbl_Data_old[[#This Row],[Trimmed Sector]],'3. Incentive Adjustment'!B:B,tbl_Data_old[[#This Row],[Trimmed Measure Name]])</f>
        <v>0.80637708305213962</v>
      </c>
      <c r="AI758">
        <f>$AH758*tbl_Data_old[[#This Row],[2025 ]]</f>
        <v>5.6655059133423391E-2</v>
      </c>
      <c r="AJ758">
        <f>$AH758*tbl_Data_old[[#This Row],[2026 ]]</f>
        <v>0.12110966256286974</v>
      </c>
      <c r="AK758">
        <f>$AH758*tbl_Data_old[[#This Row],[2027 ]]</f>
        <v>0.19236101859638471</v>
      </c>
      <c r="AL758">
        <f>$AH758*tbl_Data_old[[#This Row],[2028 ]]</f>
        <v>0.27043447683882543</v>
      </c>
      <c r="AM758">
        <f>$AH758*tbl_Data_old[[#This Row],[2029 ]]</f>
        <v>0.35431868414997886</v>
      </c>
      <c r="AN758">
        <f>$AH758*tbl_Data_old[[#This Row],[2030 ]]</f>
        <v>0.44365734808066914</v>
      </c>
      <c r="AO758">
        <f>$AH758*tbl_Data_old[[#This Row],[2031 ]]</f>
        <v>0.53815384503378938</v>
      </c>
      <c r="AP758">
        <f>$AH758*tbl_Data_old[[#This Row],[2032 ]]</f>
        <v>0.63727691544094456</v>
      </c>
      <c r="AQ758">
        <f>$AH758*tbl_Data_old[[#This Row],[2033 ]]</f>
        <v>0.74098757331348897</v>
      </c>
      <c r="AR758">
        <f>$AH758*tbl_Data_old[[#This Row],[2034 ]]</f>
        <v>0.84904380051780104</v>
      </c>
      <c r="AS758">
        <f>SUM(tbl_Data_old[[#This Row],[Adjusted 2025]:[Adjusted 2034]])</f>
        <v>4.2039983836681749</v>
      </c>
      <c r="AT758" s="3">
        <f>AVERAGEIFS('3. Incentive Adjustment'!F:F,'3. Incentive Adjustment'!A:A,tbl_Data_old[[#This Row],[Trimmed Sector]],'3. Incentive Adjustment'!B:B,tbl_Data_old[[#This Row],[Trimmed Measure Name]])</f>
        <v>8.6864493556481861</v>
      </c>
      <c r="AU758" s="3">
        <f>IFERROR(VLOOKUP(tbl_Data_old[[#This Row],[All_Meas_Name_Append]],'IRA Tax Credits'!$A$3:$D$46,4,0),0)</f>
        <v>0</v>
      </c>
      <c r="AV758" s="4">
        <f>tbl_Data_old[[#This Row],[Adj. per unit Incentive ($)]]/tbl_Data_old[[#This Row],[kWh Savings]]*tbl_Data_old[[#This Row],[Sum of Annuals]]</f>
        <v>6.4918258996943104E-2</v>
      </c>
      <c r="AW758" s="4">
        <f>IFERROR(VLOOKUP(tbl_Data_old[[#This Row],[All_Programs]],'1. Set Program Names'!$B$2:$D$15,3,0)*tbl_Data_old[[#This Row],[Sum of Annuals]],"")</f>
        <v>0.1330489655266956</v>
      </c>
      <c r="AX758" s="4">
        <f>tbl_Data_old[[#This Row],[per unit IRA tax ($)]]/tbl_Data_old[[#This Row],[kWh Savings]]*tbl_Data_old[[#This Row],[Sum of Annuals]]</f>
        <v>0</v>
      </c>
      <c r="AY758" s="4">
        <f>tbl_Data_old[[#This Row],[Avoided Costs ($/unit)]]/tbl_Data_old[[#This Row],[kWh Savings]]*tbl_Data_old[[#This Row],[Sum of Annuals]]</f>
        <v>1.7972236296125172</v>
      </c>
      <c r="AZ758" s="4">
        <f>tbl_Data_old[[#This Row],[Lost Revenue ($/unit)]]/tbl_Data_old[[#This Row],[kWh Savings]]*tbl_Data_old[[#This Row],[Sum of Annuals]]</f>
        <v>4.464942253753498</v>
      </c>
      <c r="BA758" s="4">
        <f>tbl_Data_old[[#This Row],[Incremental Cost ($/unit)]]/tbl_Data_old[[#This Row],[kWh Savings]]*tbl_Data_old[[#This Row],[Sum of Annuals]]</f>
        <v>1.2630230513402574</v>
      </c>
      <c r="BB758">
        <f>ROUNDUP(tbl_Data_old[[#This Row],[Adjusted 2025]]/$L758,0)</f>
        <v>1</v>
      </c>
      <c r="BC758">
        <f>ROUNDUP(tbl_Data_old[[#This Row],[Adjusted 2026]]/$L758,0)</f>
        <v>1</v>
      </c>
      <c r="BD758">
        <f>ROUNDUP(tbl_Data_old[[#This Row],[Adjusted 2027]]/$L758,0)</f>
        <v>1</v>
      </c>
      <c r="BE758">
        <f>ROUNDUP(tbl_Data_old[[#This Row],[Adjusted 2028]]/$L758,0)</f>
        <v>1</v>
      </c>
      <c r="BF758">
        <f>ROUNDUP(tbl_Data_old[[#This Row],[Adjusted 2029]]/$L758,0)</f>
        <v>1</v>
      </c>
      <c r="BG758">
        <f>ROUNDUP(tbl_Data_old[[#This Row],[Adjusted 2030]]/$L758,0)</f>
        <v>1</v>
      </c>
      <c r="BH758">
        <f>ROUNDUP(tbl_Data_old[[#This Row],[Adjusted 2031]]/$L758,0)</f>
        <v>1</v>
      </c>
      <c r="BI758">
        <f>ROUNDUP(tbl_Data_old[[#This Row],[Adjusted 2032]]/$L758,0)</f>
        <v>1</v>
      </c>
      <c r="BJ758">
        <f>ROUNDUP(tbl_Data_old[[#This Row],[Adjusted 2033]]/$L758,0)</f>
        <v>1</v>
      </c>
      <c r="BK758">
        <f>ROUNDUP(tbl_Data_old[[#This Row],[Adjusted 2034]]/$L758,0)</f>
        <v>1</v>
      </c>
      <c r="BL758" s="3">
        <f t="shared" si="51"/>
        <v>1.0849378091315502E-3</v>
      </c>
      <c r="BM758" s="3">
        <f t="shared" si="51"/>
        <v>2.3192359866076721E-3</v>
      </c>
      <c r="BN758" s="3">
        <f t="shared" si="51"/>
        <v>3.6836911878740503E-3</v>
      </c>
      <c r="BO758" s="3">
        <f t="shared" si="51"/>
        <v>5.1787888549225695E-3</v>
      </c>
      <c r="BP758" s="3">
        <f t="shared" si="51"/>
        <v>6.7851616924580818E-3</v>
      </c>
      <c r="BQ758" s="3">
        <f t="shared" si="50"/>
        <v>8.495986741416885E-3</v>
      </c>
      <c r="BR758" s="3">
        <f t="shared" si="50"/>
        <v>1.0305583694329455E-2</v>
      </c>
      <c r="BS758" s="3">
        <f t="shared" si="50"/>
        <v>1.2203778992099203E-2</v>
      </c>
      <c r="BT758" s="3">
        <f t="shared" si="50"/>
        <v>1.4189826057566825E-2</v>
      </c>
      <c r="BU758" s="3">
        <f t="shared" si="50"/>
        <v>1.6259090271553065E-2</v>
      </c>
      <c r="BV758">
        <f>VLOOKUP($H758,'1. Set Program Names'!$B$2:$D$15,3,0)*V758</f>
        <v>2.2235632223678312E-3</v>
      </c>
      <c r="BW758">
        <f>VLOOKUP($H758,'1. Set Program Names'!$B$2:$D$15,3,0)*W758</f>
        <v>4.7532382044467051E-3</v>
      </c>
      <c r="BX758">
        <f>VLOOKUP($H758,'1. Set Program Names'!$B$2:$D$15,3,0)*X758</f>
        <v>7.5496679892405223E-3</v>
      </c>
      <c r="BY758">
        <f>VLOOKUP($H758,'1. Set Program Names'!$B$2:$D$15,3,0)*Y758</f>
        <v>1.061384748258689E-2</v>
      </c>
      <c r="BZ758">
        <f>VLOOKUP($H758,'1. Set Program Names'!$B$2:$D$15,3,0)*Z758</f>
        <v>1.3906083712987748E-2</v>
      </c>
      <c r="CA758">
        <f>VLOOKUP($H758,'1. Set Program Names'!$B$2:$D$15,3,0)*AA758</f>
        <v>1.7412393131603632E-2</v>
      </c>
      <c r="CB758">
        <f>VLOOKUP($H758,'1. Set Program Names'!$B$2:$D$15,3,0)*AB758</f>
        <v>2.1121134036325293E-2</v>
      </c>
      <c r="CC758">
        <f>VLOOKUP($H758,'1. Set Program Names'!$B$2:$D$15,3,0)*AC758</f>
        <v>2.5011455875482987E-2</v>
      </c>
      <c r="CD758">
        <f>VLOOKUP($H758,'1. Set Program Names'!$B$2:$D$15,3,0)*AD758</f>
        <v>2.9081828550761281E-2</v>
      </c>
      <c r="CE758">
        <f>VLOOKUP($H758,'1. Set Program Names'!$B$2:$D$15,3,0)*AE758</f>
        <v>3.332275348199279E-2</v>
      </c>
    </row>
    <row r="759" spans="1:83" x14ac:dyDescent="0.25">
      <c r="A759" s="20" t="s">
        <v>117</v>
      </c>
      <c r="B759" s="20" t="s">
        <v>88</v>
      </c>
      <c r="C759" s="20" t="s">
        <v>176</v>
      </c>
      <c r="D759" s="20" t="s">
        <v>90</v>
      </c>
      <c r="E759" s="20" t="s">
        <v>91</v>
      </c>
      <c r="F759" s="20" t="s">
        <v>90</v>
      </c>
      <c r="G759" s="20" t="s">
        <v>92</v>
      </c>
      <c r="H759" s="20" t="s">
        <v>18</v>
      </c>
      <c r="I759" s="20" t="s">
        <v>162</v>
      </c>
      <c r="J759" s="20" t="s">
        <v>161</v>
      </c>
      <c r="K759" s="20" t="s">
        <v>159</v>
      </c>
      <c r="L759" s="20">
        <v>725.58416666666596</v>
      </c>
      <c r="M759" s="20">
        <v>8.6917804178563804E-2</v>
      </c>
      <c r="N759" s="20">
        <v>8.3795205289933394E-2</v>
      </c>
      <c r="O759" s="20">
        <v>179</v>
      </c>
      <c r="P759" s="20">
        <v>33.0790753554421</v>
      </c>
      <c r="Q759" s="20">
        <v>22.963430041406301</v>
      </c>
      <c r="R759" s="20">
        <v>310.45187974046598</v>
      </c>
      <c r="S759" s="20">
        <v>770.62146764617603</v>
      </c>
      <c r="T759" s="20">
        <v>15</v>
      </c>
      <c r="U759" s="20">
        <v>0.2</v>
      </c>
      <c r="V759" s="20">
        <v>0.36088388817047201</v>
      </c>
      <c r="W759" s="20">
        <v>0.77144965673362198</v>
      </c>
      <c r="X759" s="20">
        <v>1.2253096790528599</v>
      </c>
      <c r="Y759" s="20">
        <v>1.7226254281564499</v>
      </c>
      <c r="Z759" s="20">
        <v>2.25695474231805</v>
      </c>
      <c r="AA759" s="20">
        <v>2.8260280942200402</v>
      </c>
      <c r="AB759" s="20">
        <v>3.4279560378238001</v>
      </c>
      <c r="AC759" s="20">
        <v>4.0593545325581601</v>
      </c>
      <c r="AD759" s="20">
        <v>4.7199752437574798</v>
      </c>
      <c r="AE759" s="20">
        <v>5.40827655366681</v>
      </c>
      <c r="AF759" t="str">
        <f t="shared" si="48"/>
        <v>NonResidential</v>
      </c>
      <c r="AG759" t="str">
        <f>tbl_Data_old[[#This Row],[All_Meas_Name_Append]]</f>
        <v>LED High Bay_LF Baseline</v>
      </c>
      <c r="AH759">
        <f>AVERAGEIFS('3. Incentive Adjustment'!G:G,'3. Incentive Adjustment'!A:A,tbl_Data_old[[#This Row],[Trimmed Sector]],'3. Incentive Adjustment'!B:B,tbl_Data_old[[#This Row],[Trimmed Measure Name]])</f>
        <v>0.93017466414143679</v>
      </c>
      <c r="AI759">
        <f>$AH759*tbl_Data_old[[#This Row],[2025 ]]</f>
        <v>0.33568504947302463</v>
      </c>
      <c r="AJ759">
        <f>$AH759*tbl_Data_old[[#This Row],[2026 ]]</f>
        <v>0.71758292535422352</v>
      </c>
      <c r="AK759">
        <f>$AH759*tbl_Data_old[[#This Row],[2027 ]]</f>
        <v>1.1397520191822457</v>
      </c>
      <c r="AL759">
        <f>$AH759*tbl_Data_old[[#This Row],[2028 ]]</f>
        <v>1.6023425290769246</v>
      </c>
      <c r="AM759">
        <f>$AH759*tbl_Data_old[[#This Row],[2029 ]]</f>
        <v>2.0993621194181151</v>
      </c>
      <c r="AN759">
        <f>$AH759*tbl_Data_old[[#This Row],[2030 ]]</f>
        <v>2.6286997333953908</v>
      </c>
      <c r="AO759">
        <f>$AH759*tbl_Data_old[[#This Row],[2031 ]]</f>
        <v>3.1885978561743635</v>
      </c>
      <c r="AP759">
        <f>$AH759*tbl_Data_old[[#This Row],[2032 ]]</f>
        <v>3.7759087389533059</v>
      </c>
      <c r="AQ759">
        <f>$AH759*tbl_Data_old[[#This Row],[2033 ]]</f>
        <v>4.3904013871180103</v>
      </c>
      <c r="AR759">
        <f>$AH759*tbl_Data_old[[#This Row],[2034 ]]</f>
        <v>5.0306418268910322</v>
      </c>
      <c r="AS759">
        <f>SUM(tbl_Data_old[[#This Row],[Adjusted 2025]:[Adjusted 2034]])</f>
        <v>24.908974185036637</v>
      </c>
      <c r="AT759" s="3">
        <f>AVERAGEIFS('3. Incentive Adjustment'!F:F,'3. Incentive Adjustment'!A:A,tbl_Data_old[[#This Row],[Trimmed Sector]],'3. Incentive Adjustment'!B:B,tbl_Data_old[[#This Row],[Trimmed Measure Name]])</f>
        <v>23.858858929800434</v>
      </c>
      <c r="AU759" s="3">
        <f>IFERROR(VLOOKUP(tbl_Data_old[[#This Row],[All_Meas_Name_Append]],'IRA Tax Credits'!$A$3:$D$46,4,0),0)</f>
        <v>0</v>
      </c>
      <c r="AV759" s="4">
        <f>tbl_Data_old[[#This Row],[Adj. per unit Incentive ($)]]/tbl_Data_old[[#This Row],[kWh Savings]]*tbl_Data_old[[#This Row],[Sum of Annuals]]</f>
        <v>0.81906376747034459</v>
      </c>
      <c r="AW759" s="4">
        <f>IFERROR(VLOOKUP(tbl_Data_old[[#This Row],[All_Programs]],'1. Set Program Names'!$B$2:$D$15,3,0)*tbl_Data_old[[#This Row],[Sum of Annuals]],"")</f>
        <v>0.78832410129486763</v>
      </c>
      <c r="AX759" s="4">
        <f>tbl_Data_old[[#This Row],[per unit IRA tax ($)]]/tbl_Data_old[[#This Row],[kWh Savings]]*tbl_Data_old[[#This Row],[Sum of Annuals]]</f>
        <v>0</v>
      </c>
      <c r="AY759" s="4">
        <f>tbl_Data_old[[#This Row],[Avoided Costs ($/unit)]]/tbl_Data_old[[#This Row],[kWh Savings]]*tbl_Data_old[[#This Row],[Sum of Annuals]]</f>
        <v>10.657671726323557</v>
      </c>
      <c r="AZ759" s="4">
        <f>tbl_Data_old[[#This Row],[Lost Revenue ($/unit)]]/tbl_Data_old[[#This Row],[kWh Savings]]*tbl_Data_old[[#This Row],[Sum of Annuals]]</f>
        <v>26.455084228501402</v>
      </c>
      <c r="BA759" s="4">
        <f>tbl_Data_old[[#This Row],[Incremental Cost ($/unit)]]/tbl_Data_old[[#This Row],[kWh Savings]]*tbl_Data_old[[#This Row],[Sum of Annuals]]</f>
        <v>6.1449885264239672</v>
      </c>
      <c r="BB759">
        <f>ROUNDUP(tbl_Data_old[[#This Row],[Adjusted 2025]]/$L759,0)</f>
        <v>1</v>
      </c>
      <c r="BC759">
        <f>ROUNDUP(tbl_Data_old[[#This Row],[Adjusted 2026]]/$L759,0)</f>
        <v>1</v>
      </c>
      <c r="BD759">
        <f>ROUNDUP(tbl_Data_old[[#This Row],[Adjusted 2027]]/$L759,0)</f>
        <v>1</v>
      </c>
      <c r="BE759">
        <f>ROUNDUP(tbl_Data_old[[#This Row],[Adjusted 2028]]/$L759,0)</f>
        <v>1</v>
      </c>
      <c r="BF759">
        <f>ROUNDUP(tbl_Data_old[[#This Row],[Adjusted 2029]]/$L759,0)</f>
        <v>1</v>
      </c>
      <c r="BG759">
        <f>ROUNDUP(tbl_Data_old[[#This Row],[Adjusted 2030]]/$L759,0)</f>
        <v>1</v>
      </c>
      <c r="BH759">
        <f>ROUNDUP(tbl_Data_old[[#This Row],[Adjusted 2031]]/$L759,0)</f>
        <v>1</v>
      </c>
      <c r="BI759">
        <f>ROUNDUP(tbl_Data_old[[#This Row],[Adjusted 2032]]/$L759,0)</f>
        <v>1</v>
      </c>
      <c r="BJ759">
        <f>ROUNDUP(tbl_Data_old[[#This Row],[Adjusted 2033]]/$L759,0)</f>
        <v>1</v>
      </c>
      <c r="BK759">
        <f>ROUNDUP(tbl_Data_old[[#This Row],[Adjusted 2034]]/$L759,0)</f>
        <v>1</v>
      </c>
      <c r="BL759" s="3">
        <f t="shared" si="51"/>
        <v>1.1866683664629545E-2</v>
      </c>
      <c r="BM759" s="3">
        <f t="shared" si="51"/>
        <v>2.5367020639393507E-2</v>
      </c>
      <c r="BN759" s="3">
        <f t="shared" si="51"/>
        <v>4.0290971221360154E-2</v>
      </c>
      <c r="BO759" s="3">
        <f t="shared" si="51"/>
        <v>5.6643845011233727E-2</v>
      </c>
      <c r="BP759" s="3">
        <f t="shared" si="51"/>
        <v>7.4213809068202047E-2</v>
      </c>
      <c r="BQ759" s="3">
        <f t="shared" si="50"/>
        <v>9.2926236168304074E-2</v>
      </c>
      <c r="BR759" s="3">
        <f t="shared" si="50"/>
        <v>0.11271899702514974</v>
      </c>
      <c r="BS759" s="3">
        <f t="shared" si="50"/>
        <v>0.1334808166822152</v>
      </c>
      <c r="BT759" s="3">
        <f t="shared" si="50"/>
        <v>0.15520352933045015</v>
      </c>
      <c r="BU759" s="3">
        <f t="shared" si="50"/>
        <v>0.1778364430691369</v>
      </c>
      <c r="BV759">
        <f>VLOOKUP($H759,'1. Set Program Names'!$B$2:$D$15,3,0)*V759</f>
        <v>1.1421324085866462E-2</v>
      </c>
      <c r="BW759">
        <f>VLOOKUP($H759,'1. Set Program Names'!$B$2:$D$15,3,0)*W759</f>
        <v>2.4414990068282176E-2</v>
      </c>
      <c r="BX759">
        <f>VLOOKUP($H759,'1. Set Program Names'!$B$2:$D$15,3,0)*X759</f>
        <v>3.8778841086418978E-2</v>
      </c>
      <c r="BY759">
        <f>VLOOKUP($H759,'1. Set Program Names'!$B$2:$D$15,3,0)*Y759</f>
        <v>5.4517987470350839E-2</v>
      </c>
      <c r="BZ759">
        <f>VLOOKUP($H759,'1. Set Program Names'!$B$2:$D$15,3,0)*Z759</f>
        <v>7.1428546422031197E-2</v>
      </c>
      <c r="CA759">
        <f>VLOOKUP($H759,'1. Set Program Names'!$B$2:$D$15,3,0)*AA759</f>
        <v>8.9438691495708572E-2</v>
      </c>
      <c r="CB759">
        <f>VLOOKUP($H759,'1. Set Program Names'!$B$2:$D$15,3,0)*AB759</f>
        <v>0.10848862513250815</v>
      </c>
      <c r="CC759">
        <f>VLOOKUP($H759,'1. Set Program Names'!$B$2:$D$15,3,0)*AC759</f>
        <v>0.12847124855260081</v>
      </c>
      <c r="CD759">
        <f>VLOOKUP($H759,'1. Set Program Names'!$B$2:$D$15,3,0)*AD759</f>
        <v>0.14937870241177362</v>
      </c>
      <c r="CE759">
        <f>VLOOKUP($H759,'1. Set Program Names'!$B$2:$D$15,3,0)*AE759</f>
        <v>0.17116219728890536</v>
      </c>
    </row>
    <row r="760" spans="1:83" x14ac:dyDescent="0.25">
      <c r="A760" s="20" t="s">
        <v>117</v>
      </c>
      <c r="B760" s="20" t="s">
        <v>88</v>
      </c>
      <c r="C760" s="20" t="s">
        <v>176</v>
      </c>
      <c r="D760" s="20" t="s">
        <v>90</v>
      </c>
      <c r="E760" s="20" t="s">
        <v>91</v>
      </c>
      <c r="F760" s="20" t="s">
        <v>90</v>
      </c>
      <c r="G760" s="20" t="s">
        <v>92</v>
      </c>
      <c r="H760" s="20" t="s">
        <v>18</v>
      </c>
      <c r="I760" s="20" t="s">
        <v>165</v>
      </c>
      <c r="J760" s="20" t="s">
        <v>161</v>
      </c>
      <c r="K760" s="20" t="s">
        <v>166</v>
      </c>
      <c r="L760" s="20">
        <v>565.38999999999896</v>
      </c>
      <c r="M760" s="20">
        <v>6.7728127941350899E-2</v>
      </c>
      <c r="N760" s="20">
        <v>6.5294935157718198E-2</v>
      </c>
      <c r="O760" s="20">
        <v>129</v>
      </c>
      <c r="P760" s="20">
        <v>15.293574707506</v>
      </c>
      <c r="Q760" s="20">
        <v>17.893573630135801</v>
      </c>
      <c r="R760" s="20">
        <v>190.6779313312</v>
      </c>
      <c r="S760" s="20">
        <v>454.767236260907</v>
      </c>
      <c r="T760" s="20">
        <v>10</v>
      </c>
      <c r="U760" s="20">
        <v>0.2</v>
      </c>
      <c r="V760" s="20">
        <v>4.3179563081078301E-2</v>
      </c>
      <c r="W760" s="20">
        <v>0.10280035348260699</v>
      </c>
      <c r="X760" s="20">
        <v>0.18256131055598801</v>
      </c>
      <c r="Y760" s="20">
        <v>0.28660682046052799</v>
      </c>
      <c r="Z760" s="20">
        <v>0.416499426297885</v>
      </c>
      <c r="AA760" s="20">
        <v>0.57068459627864898</v>
      </c>
      <c r="AB760" s="20">
        <v>0.74252260674126103</v>
      </c>
      <c r="AC760" s="20">
        <v>0.91974950638229602</v>
      </c>
      <c r="AD760" s="20">
        <v>1.0875507114620999</v>
      </c>
      <c r="AE760" s="20">
        <v>1.2327625743195501</v>
      </c>
      <c r="AF760" t="str">
        <f t="shared" si="48"/>
        <v>NonResidential</v>
      </c>
      <c r="AG760" t="str">
        <f>tbl_Data_old[[#This Row],[All_Meas_Name_Append]]</f>
        <v>Occupancy Sensors_ Ceiling Mounted</v>
      </c>
      <c r="AH760">
        <f>AVERAGEIFS('3. Incentive Adjustment'!G:G,'3. Incentive Adjustment'!A:A,tbl_Data_old[[#This Row],[Trimmed Sector]],'3. Incentive Adjustment'!B:B,tbl_Data_old[[#This Row],[Trimmed Measure Name]])</f>
        <v>0.99348124042467356</v>
      </c>
      <c r="AI760">
        <f>$AH760*tbl_Data_old[[#This Row],[2025 ]]</f>
        <v>4.2898085890785108E-2</v>
      </c>
      <c r="AJ760">
        <f>$AH760*tbl_Data_old[[#This Row],[2026 ]]</f>
        <v>0.10213022269399531</v>
      </c>
      <c r="AK760">
        <f>$AH760*tbl_Data_old[[#This Row],[2027 ]]</f>
        <v>0.18137123726471702</v>
      </c>
      <c r="AL760">
        <f>$AH760*tbl_Data_old[[#This Row],[2028 ]]</f>
        <v>0.28473849950529706</v>
      </c>
      <c r="AM760">
        <f>$AH760*tbl_Data_old[[#This Row],[2029 ]]</f>
        <v>0.41378436667458768</v>
      </c>
      <c r="AN760">
        <f>$AH760*tbl_Data_old[[#This Row],[2030 ]]</f>
        <v>0.56696444060216622</v>
      </c>
      <c r="AO760">
        <f>$AH760*tbl_Data_old[[#This Row],[2031 ]]</f>
        <v>0.73768228038867012</v>
      </c>
      <c r="AP760">
        <f>$AH760*tbl_Data_old[[#This Row],[2032 ]]</f>
        <v>0.91375388048066464</v>
      </c>
      <c r="AQ760">
        <f>$AH760*tbl_Data_old[[#This Row],[2033 ]]</f>
        <v>1.0804612298481033</v>
      </c>
      <c r="AR760">
        <f>$AH760*tbl_Data_old[[#This Row],[2034 ]]</f>
        <v>1.2247264914841005</v>
      </c>
      <c r="AS760">
        <f>SUM(tbl_Data_old[[#This Row],[Adjusted 2025]:[Adjusted 2034]])</f>
        <v>5.5485107348330871</v>
      </c>
      <c r="AT760" s="3">
        <f>AVERAGEIFS('3. Incentive Adjustment'!F:F,'3. Incentive Adjustment'!A:A,tbl_Data_old[[#This Row],[Trimmed Sector]],'3. Incentive Adjustment'!B:B,tbl_Data_old[[#This Row],[Trimmed Measure Name]])</f>
        <v>19.547634357270656</v>
      </c>
      <c r="AU760" s="3">
        <f>IFERROR(VLOOKUP(tbl_Data_old[[#This Row],[All_Meas_Name_Append]],'IRA Tax Credits'!$A$3:$D$46,4,0),0)</f>
        <v>0</v>
      </c>
      <c r="AV760" s="4">
        <f>tbl_Data_old[[#This Row],[Adj. per unit Incentive ($)]]/tbl_Data_old[[#This Row],[kWh Savings]]*tbl_Data_old[[#This Row],[Sum of Annuals]]</f>
        <v>0.19183264485029539</v>
      </c>
      <c r="AW760" s="4">
        <f>IFERROR(VLOOKUP(tbl_Data_old[[#This Row],[All_Programs]],'1. Set Program Names'!$B$2:$D$15,3,0)*tbl_Data_old[[#This Row],[Sum of Annuals]],"")</f>
        <v>0.17560035616359468</v>
      </c>
      <c r="AX760" s="4">
        <f>tbl_Data_old[[#This Row],[per unit IRA tax ($)]]/tbl_Data_old[[#This Row],[kWh Savings]]*tbl_Data_old[[#This Row],[Sum of Annuals]]</f>
        <v>0</v>
      </c>
      <c r="AY760" s="4">
        <f>tbl_Data_old[[#This Row],[Avoided Costs ($/unit)]]/tbl_Data_old[[#This Row],[kWh Savings]]*tbl_Data_old[[#This Row],[Sum of Annuals]]</f>
        <v>1.8712367549601716</v>
      </c>
      <c r="AZ760" s="4">
        <f>tbl_Data_old[[#This Row],[Lost Revenue ($/unit)]]/tbl_Data_old[[#This Row],[kWh Savings]]*tbl_Data_old[[#This Row],[Sum of Annuals]]</f>
        <v>4.462903291964877</v>
      </c>
      <c r="BA760" s="4">
        <f>tbl_Data_old[[#This Row],[Incremental Cost ($/unit)]]/tbl_Data_old[[#This Row],[kWh Savings]]*tbl_Data_old[[#This Row],[Sum of Annuals]]</f>
        <v>1.2659542701382578</v>
      </c>
      <c r="BB760">
        <f>ROUNDUP(tbl_Data_old[[#This Row],[Adjusted 2025]]/$L760,0)</f>
        <v>1</v>
      </c>
      <c r="BC760">
        <f>ROUNDUP(tbl_Data_old[[#This Row],[Adjusted 2026]]/$L760,0)</f>
        <v>1</v>
      </c>
      <c r="BD760">
        <f>ROUNDUP(tbl_Data_old[[#This Row],[Adjusted 2027]]/$L760,0)</f>
        <v>1</v>
      </c>
      <c r="BE760">
        <f>ROUNDUP(tbl_Data_old[[#This Row],[Adjusted 2028]]/$L760,0)</f>
        <v>1</v>
      </c>
      <c r="BF760">
        <f>ROUNDUP(tbl_Data_old[[#This Row],[Adjusted 2029]]/$L760,0)</f>
        <v>1</v>
      </c>
      <c r="BG760">
        <f>ROUNDUP(tbl_Data_old[[#This Row],[Adjusted 2030]]/$L760,0)</f>
        <v>1</v>
      </c>
      <c r="BH760">
        <f>ROUNDUP(tbl_Data_old[[#This Row],[Adjusted 2031]]/$L760,0)</f>
        <v>1</v>
      </c>
      <c r="BI760">
        <f>ROUNDUP(tbl_Data_old[[#This Row],[Adjusted 2032]]/$L760,0)</f>
        <v>1</v>
      </c>
      <c r="BJ760">
        <f>ROUNDUP(tbl_Data_old[[#This Row],[Adjusted 2033]]/$L760,0)</f>
        <v>1</v>
      </c>
      <c r="BK760">
        <f>ROUNDUP(tbl_Data_old[[#This Row],[Adjusted 2034]]/$L760,0)</f>
        <v>1</v>
      </c>
      <c r="BL760" s="3">
        <f t="shared" si="51"/>
        <v>1.4928780325361667E-3</v>
      </c>
      <c r="BM760" s="3">
        <f t="shared" si="51"/>
        <v>3.554190420198766E-3</v>
      </c>
      <c r="BN760" s="3">
        <f t="shared" si="51"/>
        <v>6.3118232486117469E-3</v>
      </c>
      <c r="BO760" s="3">
        <f t="shared" si="51"/>
        <v>9.909063355670121E-3</v>
      </c>
      <c r="BP760" s="3">
        <f t="shared" si="51"/>
        <v>1.4399933665760039E-2</v>
      </c>
      <c r="BQ760" s="3">
        <f t="shared" si="50"/>
        <v>1.9730688235344934E-2</v>
      </c>
      <c r="BR760" s="3">
        <f t="shared" si="50"/>
        <v>2.5671767131689043E-2</v>
      </c>
      <c r="BS760" s="3">
        <f t="shared" si="50"/>
        <v>3.1799159962223121E-2</v>
      </c>
      <c r="BT760" s="3">
        <f t="shared" si="50"/>
        <v>3.7600671488089155E-2</v>
      </c>
      <c r="BU760" s="3">
        <f t="shared" si="50"/>
        <v>4.2621185468661102E-2</v>
      </c>
      <c r="BV760">
        <f>VLOOKUP($H760,'1. Set Program Names'!$B$2:$D$15,3,0)*V760</f>
        <v>1.3665552827399996E-3</v>
      </c>
      <c r="BW760">
        <f>VLOOKUP($H760,'1. Set Program Names'!$B$2:$D$15,3,0)*W760</f>
        <v>3.2534457529227903E-3</v>
      </c>
      <c r="BX760">
        <f>VLOOKUP($H760,'1. Set Program Names'!$B$2:$D$15,3,0)*X760</f>
        <v>5.7777361687466368E-3</v>
      </c>
      <c r="BY760">
        <f>VLOOKUP($H760,'1. Set Program Names'!$B$2:$D$15,3,0)*Y760</f>
        <v>9.0705888763677675E-3</v>
      </c>
      <c r="BZ760">
        <f>VLOOKUP($H760,'1. Set Program Names'!$B$2:$D$15,3,0)*Z760</f>
        <v>1.3181455546384845E-2</v>
      </c>
      <c r="CA760">
        <f>VLOOKUP($H760,'1. Set Program Names'!$B$2:$D$15,3,0)*AA760</f>
        <v>1.8061138051780778E-2</v>
      </c>
      <c r="CB760">
        <f>VLOOKUP($H760,'1. Set Program Names'!$B$2:$D$15,3,0)*AB760</f>
        <v>2.3499501115628381E-2</v>
      </c>
      <c r="CC760">
        <f>VLOOKUP($H760,'1. Set Program Names'!$B$2:$D$15,3,0)*AC760</f>
        <v>2.9108412801310032E-2</v>
      </c>
      <c r="CD760">
        <f>VLOOKUP($H760,'1. Set Program Names'!$B$2:$D$15,3,0)*AD760</f>
        <v>3.441901825651969E-2</v>
      </c>
      <c r="CE760">
        <f>VLOOKUP($H760,'1. Set Program Names'!$B$2:$D$15,3,0)*AE760</f>
        <v>3.9014711777821745E-2</v>
      </c>
    </row>
    <row r="761" spans="1:83" x14ac:dyDescent="0.25">
      <c r="A761" s="20" t="s">
        <v>117</v>
      </c>
      <c r="B761" s="20" t="s">
        <v>88</v>
      </c>
      <c r="C761" s="20" t="s">
        <v>176</v>
      </c>
      <c r="D761" s="20" t="s">
        <v>90</v>
      </c>
      <c r="E761" s="20" t="s">
        <v>91</v>
      </c>
      <c r="F761" s="20" t="s">
        <v>90</v>
      </c>
      <c r="G761" s="20" t="s">
        <v>92</v>
      </c>
      <c r="H761" s="20" t="s">
        <v>18</v>
      </c>
      <c r="I761" s="20" t="s">
        <v>188</v>
      </c>
      <c r="J761" s="20" t="s">
        <v>178</v>
      </c>
      <c r="K761" s="20" t="s">
        <v>189</v>
      </c>
      <c r="L761" s="20">
        <v>58755.825000000099</v>
      </c>
      <c r="M761" s="20">
        <v>7.0391882486047397</v>
      </c>
      <c r="N761" s="20">
        <v>6.7809192295770497</v>
      </c>
      <c r="O761" s="20">
        <v>15000</v>
      </c>
      <c r="P761" s="20">
        <v>3217.2191279034701</v>
      </c>
      <c r="Q761" s="20">
        <v>1859.5158754786501</v>
      </c>
      <c r="R761" s="20">
        <v>19805.726496097701</v>
      </c>
      <c r="S761" s="20">
        <v>47259.8103070086</v>
      </c>
      <c r="T761" s="20">
        <v>10</v>
      </c>
      <c r="U761" s="20">
        <v>1</v>
      </c>
      <c r="V761" s="20">
        <v>3.62005183435827E-3</v>
      </c>
      <c r="W761" s="20">
        <v>8.6212650468792205E-3</v>
      </c>
      <c r="X761" s="20">
        <v>1.53137687920544E-2</v>
      </c>
      <c r="Y761" s="20">
        <v>2.4047814824808299E-2</v>
      </c>
      <c r="Z761" s="20">
        <v>3.4949884872031302E-2</v>
      </c>
      <c r="AA761" s="20">
        <v>4.7891262800424203E-2</v>
      </c>
      <c r="AB761" s="20">
        <v>6.2318339669480402E-2</v>
      </c>
      <c r="AC761" s="20">
        <v>7.7203943737017694E-2</v>
      </c>
      <c r="AD761" s="20">
        <v>9.1315119346606397E-2</v>
      </c>
      <c r="AE761" s="20">
        <v>0.103553484277005</v>
      </c>
      <c r="AF761" t="str">
        <f t="shared" si="48"/>
        <v>NonResidential</v>
      </c>
      <c r="AG761" t="str">
        <f>tbl_Data_old[[#This Row],[All_Meas_Name_Append]]</f>
        <v>Strategic Energy Management</v>
      </c>
      <c r="AH761">
        <f>AVERAGEIFS('3. Incentive Adjustment'!G:G,'3. Incentive Adjustment'!A:A,tbl_Data_old[[#This Row],[Trimmed Sector]],'3. Incentive Adjustment'!B:B,tbl_Data_old[[#This Row],[Trimmed Measure Name]])</f>
        <v>1.1413908001130193</v>
      </c>
      <c r="AI761">
        <f>$AH761*tbl_Data_old[[#This Row],[2025 ]]</f>
        <v>4.1318938596687886E-3</v>
      </c>
      <c r="AJ761">
        <f>$AH761*tbl_Data_old[[#This Row],[2026 ]]</f>
        <v>9.8402326098438811E-3</v>
      </c>
      <c r="AK761">
        <f>$AH761*tbl_Data_old[[#This Row],[2027 ]]</f>
        <v>1.7478994814308757E-2</v>
      </c>
      <c r="AL761">
        <f>$AH761*tbl_Data_old[[#This Row],[2028 ]]</f>
        <v>2.7447954603857672E-2</v>
      </c>
      <c r="AM761">
        <f>$AH761*tbl_Data_old[[#This Row],[2029 ]]</f>
        <v>3.9891477057945719E-2</v>
      </c>
      <c r="AN761">
        <f>$AH761*tbl_Data_old[[#This Row],[2030 ]]</f>
        <v>5.4662646766199058E-2</v>
      </c>
      <c r="AO761">
        <f>$AH761*tbl_Data_old[[#This Row],[2031 ]]</f>
        <v>7.1129579577063146E-2</v>
      </c>
      <c r="AP761">
        <f>$AH761*tbl_Data_old[[#This Row],[2032 ]]</f>
        <v>8.8119871113875148E-2</v>
      </c>
      <c r="AQ761">
        <f>$AH761*tbl_Data_old[[#This Row],[2033 ]]</f>
        <v>0.10422623713343893</v>
      </c>
      <c r="AR761">
        <f>$AH761*tbl_Data_old[[#This Row],[2034 ]]</f>
        <v>0.1181949942734217</v>
      </c>
      <c r="AS761">
        <f>SUM(tbl_Data_old[[#This Row],[Adjusted 2025]:[Adjusted 2034]])</f>
        <v>0.53512388180962278</v>
      </c>
      <c r="AT761" s="3">
        <f>AVERAGEIFS('3. Incentive Adjustment'!F:F,'3. Incentive Adjustment'!A:A,tbl_Data_old[[#This Row],[Trimmed Sector]],'3. Incentive Adjustment'!B:B,tbl_Data_old[[#This Row],[Trimmed Measure Name]])</f>
        <v>6162.1674053779652</v>
      </c>
      <c r="AU761" s="3">
        <f>IFERROR(VLOOKUP(tbl_Data_old[[#This Row],[All_Meas_Name_Append]],'IRA Tax Credits'!$A$3:$D$46,4,0),0)</f>
        <v>0</v>
      </c>
      <c r="AV761" s="4">
        <f>tbl_Data_old[[#This Row],[Adj. per unit Incentive ($)]]/tbl_Data_old[[#This Row],[kWh Savings]]*tbl_Data_old[[#This Row],[Sum of Annuals]]</f>
        <v>5.612248559741239E-2</v>
      </c>
      <c r="AW761" s="4">
        <f>IFERROR(VLOOKUP(tbl_Data_old[[#This Row],[All_Programs]],'1. Set Program Names'!$B$2:$D$15,3,0)*tbl_Data_old[[#This Row],[Sum of Annuals]],"")</f>
        <v>1.6935705584471918E-2</v>
      </c>
      <c r="AX761" s="4">
        <f>tbl_Data_old[[#This Row],[per unit IRA tax ($)]]/tbl_Data_old[[#This Row],[kWh Savings]]*tbl_Data_old[[#This Row],[Sum of Annuals]]</f>
        <v>0</v>
      </c>
      <c r="AY761" s="4">
        <f>tbl_Data_old[[#This Row],[Avoided Costs ($/unit)]]/tbl_Data_old[[#This Row],[kWh Savings]]*tbl_Data_old[[#This Row],[Sum of Annuals]]</f>
        <v>0.18038240880204615</v>
      </c>
      <c r="AZ761" s="4">
        <f>tbl_Data_old[[#This Row],[Lost Revenue ($/unit)]]/tbl_Data_old[[#This Row],[kWh Savings]]*tbl_Data_old[[#This Row],[Sum of Annuals]]</f>
        <v>0.43042290947447032</v>
      </c>
      <c r="BA761" s="4">
        <f>tbl_Data_old[[#This Row],[Incremental Cost ($/unit)]]/tbl_Data_old[[#This Row],[kWh Savings]]*tbl_Data_old[[#This Row],[Sum of Annuals]]</f>
        <v>0.13661382896324456</v>
      </c>
      <c r="BB761">
        <f>ROUNDUP(tbl_Data_old[[#This Row],[Adjusted 2025]]/$L761,0)</f>
        <v>1</v>
      </c>
      <c r="BC761">
        <f>ROUNDUP(tbl_Data_old[[#This Row],[Adjusted 2026]]/$L761,0)</f>
        <v>1</v>
      </c>
      <c r="BD761">
        <f>ROUNDUP(tbl_Data_old[[#This Row],[Adjusted 2027]]/$L761,0)</f>
        <v>1</v>
      </c>
      <c r="BE761">
        <f>ROUNDUP(tbl_Data_old[[#This Row],[Adjusted 2028]]/$L761,0)</f>
        <v>1</v>
      </c>
      <c r="BF761">
        <f>ROUNDUP(tbl_Data_old[[#This Row],[Adjusted 2029]]/$L761,0)</f>
        <v>1</v>
      </c>
      <c r="BG761">
        <f>ROUNDUP(tbl_Data_old[[#This Row],[Adjusted 2030]]/$L761,0)</f>
        <v>1</v>
      </c>
      <c r="BH761">
        <f>ROUNDUP(tbl_Data_old[[#This Row],[Adjusted 2031]]/$L761,0)</f>
        <v>1</v>
      </c>
      <c r="BI761">
        <f>ROUNDUP(tbl_Data_old[[#This Row],[Adjusted 2032]]/$L761,0)</f>
        <v>1</v>
      </c>
      <c r="BJ761">
        <f>ROUNDUP(tbl_Data_old[[#This Row],[Adjusted 2033]]/$L761,0)</f>
        <v>1</v>
      </c>
      <c r="BK761">
        <f>ROUNDUP(tbl_Data_old[[#This Row],[Adjusted 2034]]/$L761,0)</f>
        <v>1</v>
      </c>
      <c r="BL761" s="3">
        <f t="shared" si="51"/>
        <v>3.7966219382437751E-4</v>
      </c>
      <c r="BM761" s="3">
        <f t="shared" si="51"/>
        <v>9.0417721928001823E-4</v>
      </c>
      <c r="BN761" s="3">
        <f t="shared" si="51"/>
        <v>1.6060706645492895E-3</v>
      </c>
      <c r="BO761" s="3">
        <f t="shared" si="51"/>
        <v>2.5220760781420135E-3</v>
      </c>
      <c r="BP761" s="3">
        <f t="shared" si="51"/>
        <v>3.6654585546223436E-3</v>
      </c>
      <c r="BQ761" s="3">
        <f t="shared" si="50"/>
        <v>5.0227186603398694E-3</v>
      </c>
      <c r="BR761" s="3">
        <f t="shared" si="50"/>
        <v>6.5357952418937893E-3</v>
      </c>
      <c r="BS761" s="3">
        <f t="shared" si="50"/>
        <v>8.0969610359974339E-3</v>
      </c>
      <c r="BT761" s="3">
        <f t="shared" si="50"/>
        <v>9.5769066650984117E-3</v>
      </c>
      <c r="BU761" s="3">
        <f t="shared" si="50"/>
        <v>1.0860436484809442E-2</v>
      </c>
      <c r="BV761">
        <f>VLOOKUP($H761,'1. Set Program Names'!$B$2:$D$15,3,0)*V761</f>
        <v>1.1456811058384107E-4</v>
      </c>
      <c r="BW761">
        <f>VLOOKUP($H761,'1. Set Program Names'!$B$2:$D$15,3,0)*W761</f>
        <v>2.7284748740028934E-4</v>
      </c>
      <c r="BX761">
        <f>VLOOKUP($H761,'1. Set Program Names'!$B$2:$D$15,3,0)*X761</f>
        <v>4.8465315876740182E-4</v>
      </c>
      <c r="BY761">
        <f>VLOOKUP($H761,'1. Set Program Names'!$B$2:$D$15,3,0)*Y761</f>
        <v>7.6106996093241617E-4</v>
      </c>
      <c r="BZ761">
        <f>VLOOKUP($H761,'1. Set Program Names'!$B$2:$D$15,3,0)*Z761</f>
        <v>1.106100812399338E-3</v>
      </c>
      <c r="CA761">
        <f>VLOOKUP($H761,'1. Set Program Names'!$B$2:$D$15,3,0)*AA761</f>
        <v>1.5156720797318214E-3</v>
      </c>
      <c r="CB761">
        <f>VLOOKUP($H761,'1. Set Program Names'!$B$2:$D$15,3,0)*AB761</f>
        <v>1.9722630385816176E-3</v>
      </c>
      <c r="CC761">
        <f>VLOOKUP($H761,'1. Set Program Names'!$B$2:$D$15,3,0)*AC761</f>
        <v>2.4433655561562611E-3</v>
      </c>
      <c r="CD761">
        <f>VLOOKUP($H761,'1. Set Program Names'!$B$2:$D$15,3,0)*AD761</f>
        <v>2.8899588099774325E-3</v>
      </c>
      <c r="CE761">
        <f>VLOOKUP($H761,'1. Set Program Names'!$B$2:$D$15,3,0)*AE761</f>
        <v>3.277280984042342E-3</v>
      </c>
    </row>
    <row r="762" spans="1:83" x14ac:dyDescent="0.25">
      <c r="A762" s="20" t="s">
        <v>117</v>
      </c>
      <c r="B762" s="20" t="s">
        <v>88</v>
      </c>
      <c r="C762" s="20" t="s">
        <v>176</v>
      </c>
      <c r="D762" s="20" t="s">
        <v>90</v>
      </c>
      <c r="E762" s="20" t="s">
        <v>91</v>
      </c>
      <c r="F762" s="20" t="s">
        <v>90</v>
      </c>
      <c r="G762" s="20" t="s">
        <v>92</v>
      </c>
      <c r="H762" s="20" t="s">
        <v>18</v>
      </c>
      <c r="I762" s="20" t="s">
        <v>194</v>
      </c>
      <c r="J762" s="20" t="s">
        <v>182</v>
      </c>
      <c r="K762" s="20" t="s">
        <v>102</v>
      </c>
      <c r="L762" s="20">
        <v>8959.2199999999993</v>
      </c>
      <c r="M762" s="20">
        <v>1.0579901286000299</v>
      </c>
      <c r="N762" s="20">
        <v>1.03235399659801</v>
      </c>
      <c r="O762" s="20">
        <v>2314.9299999999998</v>
      </c>
      <c r="P762" s="20">
        <v>512.76464645414296</v>
      </c>
      <c r="Q762" s="20">
        <v>283.54315205183201</v>
      </c>
      <c r="R762" s="20">
        <v>3866.1887556449001</v>
      </c>
      <c r="S762" s="20">
        <v>9515.3223878667595</v>
      </c>
      <c r="T762" s="20">
        <v>15</v>
      </c>
      <c r="U762" s="20">
        <v>1</v>
      </c>
      <c r="V762" s="20">
        <v>3.8971416815059001</v>
      </c>
      <c r="W762" s="20">
        <v>8.95663153115329</v>
      </c>
      <c r="X762" s="20">
        <v>15.361973454344399</v>
      </c>
      <c r="Y762" s="20">
        <v>23.365760466287199</v>
      </c>
      <c r="Z762" s="20">
        <v>33.056602024373198</v>
      </c>
      <c r="AA762" s="20">
        <v>44.476651789402702</v>
      </c>
      <c r="AB762" s="20">
        <v>57.513416871993897</v>
      </c>
      <c r="AC762" s="20">
        <v>71.819448314134604</v>
      </c>
      <c r="AD762" s="20">
        <v>86.906111982689296</v>
      </c>
      <c r="AE762" s="20">
        <v>102.090970496496</v>
      </c>
      <c r="AF762" t="str">
        <f t="shared" si="48"/>
        <v>NonResidential</v>
      </c>
      <c r="AG762" t="str">
        <f>tbl_Data_old[[#This Row],[All_Meas_Name_Append]]</f>
        <v>VFD on HVAC Fan</v>
      </c>
      <c r="AH762">
        <f>AVERAGEIFS('3. Incentive Adjustment'!G:G,'3. Incentive Adjustment'!A:A,tbl_Data_old[[#This Row],[Trimmed Sector]],'3. Incentive Adjustment'!B:B,tbl_Data_old[[#This Row],[Trimmed Measure Name]])</f>
        <v>1.1307524828118058</v>
      </c>
      <c r="AI762">
        <f>$AH762*tbl_Data_old[[#This Row],[2025 ]]</f>
        <v>4.4067026322321725</v>
      </c>
      <c r="AJ762">
        <f>$AH762*tbl_Data_old[[#This Row],[2026 ]]</f>
        <v>10.127733341482088</v>
      </c>
      <c r="AK762">
        <f>$AH762*tbl_Data_old[[#This Row],[2027 ]]</f>
        <v>17.370589624388984</v>
      </c>
      <c r="AL762">
        <f>$AH762*tbl_Data_old[[#This Row],[2028 ]]</f>
        <v>26.420891660040187</v>
      </c>
      <c r="AM762">
        <f>$AH762*tbl_Data_old[[#This Row],[2029 ]]</f>
        <v>37.378834812381761</v>
      </c>
      <c r="AN762">
        <f>$AH762*tbl_Data_old[[#This Row],[2030 ]]</f>
        <v>50.292084438023252</v>
      </c>
      <c r="AO762">
        <f>$AH762*tbl_Data_old[[#This Row],[2031 ]]</f>
        <v>65.033438922997505</v>
      </c>
      <c r="AP762">
        <f>$AH762*tbl_Data_old[[#This Row],[2032 ]]</f>
        <v>81.210019495381871</v>
      </c>
      <c r="AQ762">
        <f>$AH762*tbl_Data_old[[#This Row],[2033 ]]</f>
        <v>98.269301895946754</v>
      </c>
      <c r="AR762">
        <f>$AH762*tbl_Data_old[[#This Row],[2034 ]]</f>
        <v>115.43961836157968</v>
      </c>
      <c r="AS762">
        <f>SUM(tbl_Data_old[[#This Row],[Adjusted 2025]:[Adjusted 2034]])</f>
        <v>505.9492151844542</v>
      </c>
      <c r="AT762" s="3">
        <f>AVERAGEIFS('3. Incentive Adjustment'!F:F,'3. Incentive Adjustment'!A:A,tbl_Data_old[[#This Row],[Trimmed Sector]],'3. Incentive Adjustment'!B:B,tbl_Data_old[[#This Row],[Trimmed Measure Name]])</f>
        <v>930.02043037501858</v>
      </c>
      <c r="AU762" s="3">
        <f>IFERROR(VLOOKUP(tbl_Data_old[[#This Row],[All_Meas_Name_Append]],'IRA Tax Credits'!$A$3:$D$46,4,0),0)</f>
        <v>0</v>
      </c>
      <c r="AV762" s="4">
        <f>tbl_Data_old[[#This Row],[Adj. per unit Incentive ($)]]/tbl_Data_old[[#This Row],[kWh Savings]]*tbl_Data_old[[#This Row],[Sum of Annuals]]</f>
        <v>52.520543847985536</v>
      </c>
      <c r="AW762" s="4">
        <f>IFERROR(VLOOKUP(tbl_Data_old[[#This Row],[All_Programs]],'1. Set Program Names'!$B$2:$D$15,3,0)*tbl_Data_old[[#This Row],[Sum of Annuals]],"")</f>
        <v>16.012380012049132</v>
      </c>
      <c r="AX762" s="4">
        <f>tbl_Data_old[[#This Row],[per unit IRA tax ($)]]/tbl_Data_old[[#This Row],[kWh Savings]]*tbl_Data_old[[#This Row],[Sum of Annuals]]</f>
        <v>0</v>
      </c>
      <c r="AY762" s="4">
        <f>tbl_Data_old[[#This Row],[Avoided Costs ($/unit)]]/tbl_Data_old[[#This Row],[kWh Savings]]*tbl_Data_old[[#This Row],[Sum of Annuals]]</f>
        <v>218.3331993938645</v>
      </c>
      <c r="AZ762" s="4">
        <f>tbl_Data_old[[#This Row],[Lost Revenue ($/unit)]]/tbl_Data_old[[#This Row],[kWh Savings]]*tbl_Data_old[[#This Row],[Sum of Annuals]]</f>
        <v>537.35368641112223</v>
      </c>
      <c r="BA762" s="4">
        <f>tbl_Data_old[[#This Row],[Incremental Cost ($/unit)]]/tbl_Data_old[[#This Row],[kWh Savings]]*tbl_Data_old[[#This Row],[Sum of Annuals]]</f>
        <v>130.7297975389541</v>
      </c>
      <c r="BB762">
        <f>ROUNDUP(tbl_Data_old[[#This Row],[Adjusted 2025]]/$L762,0)</f>
        <v>1</v>
      </c>
      <c r="BC762">
        <f>ROUNDUP(tbl_Data_old[[#This Row],[Adjusted 2026]]/$L762,0)</f>
        <v>1</v>
      </c>
      <c r="BD762">
        <f>ROUNDUP(tbl_Data_old[[#This Row],[Adjusted 2027]]/$L762,0)</f>
        <v>1</v>
      </c>
      <c r="BE762">
        <f>ROUNDUP(tbl_Data_old[[#This Row],[Adjusted 2028]]/$L762,0)</f>
        <v>1</v>
      </c>
      <c r="BF762">
        <f>ROUNDUP(tbl_Data_old[[#This Row],[Adjusted 2029]]/$L762,0)</f>
        <v>1</v>
      </c>
      <c r="BG762">
        <f>ROUNDUP(tbl_Data_old[[#This Row],[Adjusted 2030]]/$L762,0)</f>
        <v>1</v>
      </c>
      <c r="BH762">
        <f>ROUNDUP(tbl_Data_old[[#This Row],[Adjusted 2031]]/$L762,0)</f>
        <v>1</v>
      </c>
      <c r="BI762">
        <f>ROUNDUP(tbl_Data_old[[#This Row],[Adjusted 2032]]/$L762,0)</f>
        <v>1</v>
      </c>
      <c r="BJ762">
        <f>ROUNDUP(tbl_Data_old[[#This Row],[Adjusted 2033]]/$L762,0)</f>
        <v>1</v>
      </c>
      <c r="BK762">
        <f>ROUNDUP(tbl_Data_old[[#This Row],[Adjusted 2034]]/$L762,0)</f>
        <v>1</v>
      </c>
      <c r="BL762" s="3">
        <f t="shared" si="51"/>
        <v>0.40454653238412952</v>
      </c>
      <c r="BM762" s="3">
        <f t="shared" si="51"/>
        <v>0.92975173188220006</v>
      </c>
      <c r="BN762" s="3">
        <f t="shared" si="51"/>
        <v>1.5946643975054737</v>
      </c>
      <c r="BO762" s="3">
        <f t="shared" si="51"/>
        <v>2.4255051896142761</v>
      </c>
      <c r="BP762" s="3">
        <f t="shared" si="51"/>
        <v>3.4314722979727335</v>
      </c>
      <c r="BQ762" s="3">
        <f t="shared" si="50"/>
        <v>4.6169415237956137</v>
      </c>
      <c r="BR762" s="3">
        <f t="shared" si="50"/>
        <v>5.9702354347398119</v>
      </c>
      <c r="BS762" s="3">
        <f t="shared" si="50"/>
        <v>7.4552867582677811</v>
      </c>
      <c r="BT762" s="3">
        <f t="shared" si="50"/>
        <v>9.0213723592411235</v>
      </c>
      <c r="BU762" s="3">
        <f t="shared" si="50"/>
        <v>10.597651170364667</v>
      </c>
      <c r="BV762">
        <f>VLOOKUP($H762,'1. Set Program Names'!$B$2:$D$15,3,0)*V762</f>
        <v>0.12333750442189834</v>
      </c>
      <c r="BW762">
        <f>VLOOKUP($H762,'1. Set Program Names'!$B$2:$D$15,3,0)*W762</f>
        <v>0.28346123168200255</v>
      </c>
      <c r="BX762">
        <f>VLOOKUP($H762,'1. Set Program Names'!$B$2:$D$15,3,0)*X762</f>
        <v>0.48617874937565797</v>
      </c>
      <c r="BY762">
        <f>VLOOKUP($H762,'1. Set Program Names'!$B$2:$D$15,3,0)*Y762</f>
        <v>0.73948417079825679</v>
      </c>
      <c r="BZ762">
        <f>VLOOKUP($H762,'1. Set Program Names'!$B$2:$D$15,3,0)*Z762</f>
        <v>1.0461818254394635</v>
      </c>
      <c r="CA762">
        <f>VLOOKUP($H762,'1. Set Program Names'!$B$2:$D$15,3,0)*AA762</f>
        <v>1.4076058006253893</v>
      </c>
      <c r="CB762">
        <f>VLOOKUP($H762,'1. Set Program Names'!$B$2:$D$15,3,0)*AB762</f>
        <v>1.82019589932563</v>
      </c>
      <c r="CC762">
        <f>VLOOKUP($H762,'1. Set Program Names'!$B$2:$D$15,3,0)*AC762</f>
        <v>2.2729559887594415</v>
      </c>
      <c r="CD762">
        <f>VLOOKUP($H762,'1. Set Program Names'!$B$2:$D$15,3,0)*AD762</f>
        <v>2.7504216800280847</v>
      </c>
      <c r="CE762">
        <f>VLOOKUP($H762,'1. Set Program Names'!$B$2:$D$15,3,0)*AE762</f>
        <v>3.230995061021726</v>
      </c>
    </row>
    <row r="763" spans="1:83" x14ac:dyDescent="0.25">
      <c r="A763" s="20" t="s">
        <v>117</v>
      </c>
      <c r="B763" s="20" t="s">
        <v>88</v>
      </c>
      <c r="C763" s="20" t="s">
        <v>176</v>
      </c>
      <c r="D763" s="20" t="s">
        <v>90</v>
      </c>
      <c r="E763" s="20" t="s">
        <v>91</v>
      </c>
      <c r="F763" s="20" t="s">
        <v>90</v>
      </c>
      <c r="G763" s="20" t="s">
        <v>92</v>
      </c>
      <c r="H763" s="20" t="s">
        <v>18</v>
      </c>
      <c r="I763" s="20" t="s">
        <v>195</v>
      </c>
      <c r="J763" s="20" t="s">
        <v>191</v>
      </c>
      <c r="K763" s="20" t="s">
        <v>102</v>
      </c>
      <c r="L763" s="20">
        <v>20302.931666666602</v>
      </c>
      <c r="M763" s="20">
        <v>2.3950992196012999</v>
      </c>
      <c r="N763" s="20">
        <v>2.3402323276086099</v>
      </c>
      <c r="O763" s="20">
        <v>5194</v>
      </c>
      <c r="P763" s="20">
        <v>1110.9469872966299</v>
      </c>
      <c r="Q763" s="20">
        <v>642.55116412585198</v>
      </c>
      <c r="R763" s="20">
        <v>8767.8839794133291</v>
      </c>
      <c r="S763" s="20">
        <v>21563.142798944798</v>
      </c>
      <c r="T763" s="20">
        <v>15</v>
      </c>
      <c r="U763" s="20">
        <v>1</v>
      </c>
      <c r="V763" s="20">
        <v>4.1653294733961301</v>
      </c>
      <c r="W763" s="20">
        <v>9.5732143878129801</v>
      </c>
      <c r="X763" s="20">
        <v>16.419836544921701</v>
      </c>
      <c r="Y763" s="20">
        <v>24.975350672628402</v>
      </c>
      <c r="Z763" s="20">
        <v>35.334285952611701</v>
      </c>
      <c r="AA763" s="20">
        <v>47.541744273467401</v>
      </c>
      <c r="AB763" s="20">
        <v>61.477516937755901</v>
      </c>
      <c r="AC763" s="20">
        <v>76.770084021056903</v>
      </c>
      <c r="AD763" s="20">
        <v>92.897363418697694</v>
      </c>
      <c r="AE763" s="20">
        <v>109.13003211539301</v>
      </c>
      <c r="AF763" t="str">
        <f t="shared" si="48"/>
        <v>NonResidential</v>
      </c>
      <c r="AG763" t="str">
        <f>tbl_Data_old[[#This Row],[All_Meas_Name_Append]]</f>
        <v>VFD on process pump</v>
      </c>
      <c r="AH763">
        <f>AVERAGEIFS('3. Incentive Adjustment'!G:G,'3. Incentive Adjustment'!A:A,tbl_Data_old[[#This Row],[Trimmed Sector]],'3. Incentive Adjustment'!B:B,tbl_Data_old[[#This Row],[Trimmed Measure Name]])</f>
        <v>1.1380520252658823</v>
      </c>
      <c r="AI763">
        <f>$AH763*tbl_Data_old[[#This Row],[2025 ]]</f>
        <v>4.7403616430981375</v>
      </c>
      <c r="AJ763">
        <f>$AH763*tbl_Data_old[[#This Row],[2026 ]]</f>
        <v>10.894816022355046</v>
      </c>
      <c r="AK763">
        <f>$AH763*tbl_Data_old[[#This Row],[2027 ]]</f>
        <v>18.686628234482889</v>
      </c>
      <c r="AL763">
        <f>$AH763*tbl_Data_old[[#This Row],[2028 ]]</f>
        <v>28.423248414710368</v>
      </c>
      <c r="AM763">
        <f>$AH763*tbl_Data_old[[#This Row],[2029 ]]</f>
        <v>40.212255689693563</v>
      </c>
      <c r="AN763">
        <f>$AH763*tbl_Data_old[[#This Row],[2030 ]]</f>
        <v>54.104978355092243</v>
      </c>
      <c r="AO763">
        <f>$AH763*tbl_Data_old[[#This Row],[2031 ]]</f>
        <v>69.964612659330683</v>
      </c>
      <c r="AP763">
        <f>$AH763*tbl_Data_old[[#This Row],[2032 ]]</f>
        <v>87.368349599995767</v>
      </c>
      <c r="AQ763">
        <f>$AH763*tbl_Data_old[[#This Row],[2033 ]]</f>
        <v>105.72203258050961</v>
      </c>
      <c r="AR763">
        <f>$AH763*tbl_Data_old[[#This Row],[2034 ]]</f>
        <v>124.19565406625379</v>
      </c>
      <c r="AS763">
        <f>SUM(tbl_Data_old[[#This Row],[Adjusted 2025]:[Adjusted 2034]])</f>
        <v>544.31293726552212</v>
      </c>
      <c r="AT763" s="3">
        <f>AVERAGEIFS('3. Incentive Adjustment'!F:F,'3. Incentive Adjustment'!A:A,tbl_Data_old[[#This Row],[Trimmed Sector]],'3. Incentive Adjustment'!B:B,tbl_Data_old[[#This Row],[Trimmed Measure Name]])</f>
        <v>2106.0249622508104</v>
      </c>
      <c r="AU763" s="3">
        <f>IFERROR(VLOOKUP(tbl_Data_old[[#This Row],[All_Meas_Name_Append]],'IRA Tax Credits'!$A$3:$D$46,4,0),0)</f>
        <v>0</v>
      </c>
      <c r="AV763" s="4">
        <f>tbl_Data_old[[#This Row],[Adj. per unit Incentive ($)]]/tbl_Data_old[[#This Row],[kWh Savings]]*tbl_Data_old[[#This Row],[Sum of Annuals]]</f>
        <v>56.461630860892221</v>
      </c>
      <c r="AW763" s="4">
        <f>IFERROR(VLOOKUP(tbl_Data_old[[#This Row],[All_Programs]],'1. Set Program Names'!$B$2:$D$15,3,0)*tbl_Data_old[[#This Row],[Sum of Annuals]],"")</f>
        <v>17.22652261411789</v>
      </c>
      <c r="AX763" s="4">
        <f>tbl_Data_old[[#This Row],[per unit IRA tax ($)]]/tbl_Data_old[[#This Row],[kWh Savings]]*tbl_Data_old[[#This Row],[Sum of Annuals]]</f>
        <v>0</v>
      </c>
      <c r="AY763" s="4">
        <f>tbl_Data_old[[#This Row],[Avoided Costs ($/unit)]]/tbl_Data_old[[#This Row],[kWh Savings]]*tbl_Data_old[[#This Row],[Sum of Annuals]]</f>
        <v>235.06322933023708</v>
      </c>
      <c r="AZ763" s="4">
        <f>tbl_Data_old[[#This Row],[Lost Revenue ($/unit)]]/tbl_Data_old[[#This Row],[kWh Savings]]*tbl_Data_old[[#This Row],[Sum of Annuals]]</f>
        <v>578.09866014766374</v>
      </c>
      <c r="BA763" s="4">
        <f>tbl_Data_old[[#This Row],[Incremental Cost ($/unit)]]/tbl_Data_old[[#This Row],[kWh Savings]]*tbl_Data_old[[#This Row],[Sum of Annuals]]</f>
        <v>139.24892437079723</v>
      </c>
      <c r="BB763">
        <f>ROUNDUP(tbl_Data_old[[#This Row],[Adjusted 2025]]/$L763,0)</f>
        <v>1</v>
      </c>
      <c r="BC763">
        <f>ROUNDUP(tbl_Data_old[[#This Row],[Adjusted 2026]]/$L763,0)</f>
        <v>1</v>
      </c>
      <c r="BD763">
        <f>ROUNDUP(tbl_Data_old[[#This Row],[Adjusted 2027]]/$L763,0)</f>
        <v>1</v>
      </c>
      <c r="BE763">
        <f>ROUNDUP(tbl_Data_old[[#This Row],[Adjusted 2028]]/$L763,0)</f>
        <v>1</v>
      </c>
      <c r="BF763">
        <f>ROUNDUP(tbl_Data_old[[#This Row],[Adjusted 2029]]/$L763,0)</f>
        <v>1</v>
      </c>
      <c r="BG763">
        <f>ROUNDUP(tbl_Data_old[[#This Row],[Adjusted 2030]]/$L763,0)</f>
        <v>1</v>
      </c>
      <c r="BH763">
        <f>ROUNDUP(tbl_Data_old[[#This Row],[Adjusted 2031]]/$L763,0)</f>
        <v>1</v>
      </c>
      <c r="BI763">
        <f>ROUNDUP(tbl_Data_old[[#This Row],[Adjusted 2032]]/$L763,0)</f>
        <v>1</v>
      </c>
      <c r="BJ763">
        <f>ROUNDUP(tbl_Data_old[[#This Row],[Adjusted 2033]]/$L763,0)</f>
        <v>1</v>
      </c>
      <c r="BK763">
        <f>ROUNDUP(tbl_Data_old[[#This Row],[Adjusted 2034]]/$L763,0)</f>
        <v>1</v>
      </c>
      <c r="BL763" s="3">
        <f t="shared" si="51"/>
        <v>0.43207000796705802</v>
      </c>
      <c r="BM763" s="3">
        <f t="shared" si="51"/>
        <v>0.99303040569327361</v>
      </c>
      <c r="BN763" s="3">
        <f t="shared" si="51"/>
        <v>1.7032311494431951</v>
      </c>
      <c r="BO763" s="3">
        <f t="shared" si="51"/>
        <v>2.590695413898263</v>
      </c>
      <c r="BP763" s="3">
        <f t="shared" si="51"/>
        <v>3.6652287197362203</v>
      </c>
      <c r="BQ763" s="3">
        <f t="shared" si="50"/>
        <v>4.9315094899940402</v>
      </c>
      <c r="BR763" s="3">
        <f t="shared" si="50"/>
        <v>6.3770684654709395</v>
      </c>
      <c r="BS763" s="3">
        <f t="shared" si="50"/>
        <v>7.9633678503624195</v>
      </c>
      <c r="BT763" s="3">
        <f t="shared" si="50"/>
        <v>9.6362520201095716</v>
      </c>
      <c r="BU763" s="3">
        <f t="shared" si="50"/>
        <v>11.32006823150504</v>
      </c>
      <c r="BV763">
        <f>VLOOKUP($H763,'1. Set Program Names'!$B$2:$D$15,3,0)*V763</f>
        <v>0.13182516426889132</v>
      </c>
      <c r="BW763">
        <f>VLOOKUP($H763,'1. Set Program Names'!$B$2:$D$15,3,0)*W763</f>
        <v>0.30297496688198777</v>
      </c>
      <c r="BX763">
        <f>VLOOKUP($H763,'1. Set Program Names'!$B$2:$D$15,3,0)*X763</f>
        <v>0.519658207982722</v>
      </c>
      <c r="BY763">
        <f>VLOOKUP($H763,'1. Set Program Names'!$B$2:$D$15,3,0)*Y763</f>
        <v>0.79042479739496319</v>
      </c>
      <c r="BZ763">
        <f>VLOOKUP($H763,'1. Set Program Names'!$B$2:$D$15,3,0)*Z763</f>
        <v>1.1182664132038609</v>
      </c>
      <c r="CA763">
        <f>VLOOKUP($H763,'1. Set Program Names'!$B$2:$D$15,3,0)*AA763</f>
        <v>1.5046104488271395</v>
      </c>
      <c r="CB763">
        <f>VLOOKUP($H763,'1. Set Program Names'!$B$2:$D$15,3,0)*AB763</f>
        <v>1.9456525158274049</v>
      </c>
      <c r="CC763">
        <f>VLOOKUP($H763,'1. Set Program Names'!$B$2:$D$15,3,0)*AC763</f>
        <v>2.429634678757131</v>
      </c>
      <c r="CD763">
        <f>VLOOKUP($H763,'1. Set Program Names'!$B$2:$D$15,3,0)*AD763</f>
        <v>2.9400339807530238</v>
      </c>
      <c r="CE763">
        <f>VLOOKUP($H763,'1. Set Program Names'!$B$2:$D$15,3,0)*AE763</f>
        <v>3.4537686639591616</v>
      </c>
    </row>
    <row r="764" spans="1:83" x14ac:dyDescent="0.25">
      <c r="A764" s="20" t="s">
        <v>87</v>
      </c>
      <c r="B764" s="20" t="s">
        <v>88</v>
      </c>
      <c r="C764" s="20" t="s">
        <v>176</v>
      </c>
      <c r="D764" s="20" t="s">
        <v>90</v>
      </c>
      <c r="E764" s="20" t="s">
        <v>91</v>
      </c>
      <c r="F764" s="20" t="s">
        <v>90</v>
      </c>
      <c r="G764" s="20" t="s">
        <v>92</v>
      </c>
      <c r="H764" s="20" t="s">
        <v>20</v>
      </c>
      <c r="I764" s="20" t="s">
        <v>196</v>
      </c>
      <c r="J764" s="20" t="s">
        <v>129</v>
      </c>
      <c r="K764" s="20" t="s">
        <v>102</v>
      </c>
      <c r="L764" s="20">
        <v>450182.94333333202</v>
      </c>
      <c r="M764" s="20">
        <v>53.933758643237098</v>
      </c>
      <c r="N764" s="20">
        <v>51.954919827550498</v>
      </c>
      <c r="O764" s="20">
        <v>125734.46</v>
      </c>
      <c r="P764" s="20">
        <v>37957.822069457201</v>
      </c>
      <c r="Q764" s="20">
        <v>27010.9765999999</v>
      </c>
      <c r="R764" s="20">
        <v>216071.26156350001</v>
      </c>
      <c r="S764" s="20">
        <v>564970.75021643203</v>
      </c>
      <c r="T764" s="20">
        <v>20</v>
      </c>
      <c r="U764" s="20">
        <v>1</v>
      </c>
      <c r="V764" s="20">
        <v>976.33772694862398</v>
      </c>
      <c r="W764" s="20">
        <v>1037.1518410393501</v>
      </c>
      <c r="X764" s="20">
        <v>1083.75242356792</v>
      </c>
      <c r="Y764" s="20">
        <v>1192.90655321592</v>
      </c>
      <c r="Z764" s="20">
        <v>1216.9629104471201</v>
      </c>
      <c r="AA764" s="20">
        <v>1269.2369790683799</v>
      </c>
      <c r="AB764" s="20">
        <v>1337.05240183401</v>
      </c>
      <c r="AC764" s="20">
        <v>1365.8179576779901</v>
      </c>
      <c r="AD764" s="20">
        <v>1431.0064422988901</v>
      </c>
      <c r="AE764" s="20">
        <v>1492.5208528482599</v>
      </c>
      <c r="AF764" t="str">
        <f t="shared" si="48"/>
        <v>NonResidential</v>
      </c>
      <c r="AG764" t="str">
        <f>tbl_Data_old[[#This Row],[All_Meas_Name_Append]]</f>
        <v>LEED New Construction Whole Building</v>
      </c>
      <c r="AH764">
        <f>AVERAGEIFS('3. Incentive Adjustment'!G:G,'3. Incentive Adjustment'!A:A,tbl_Data_old[[#This Row],[Trimmed Sector]],'3. Incentive Adjustment'!B:B,tbl_Data_old[[#This Row],[Trimmed Measure Name]])</f>
        <v>0.99860907400071952</v>
      </c>
      <c r="AI764">
        <f>$AH764*tbl_Data_old[[#This Row],[2025 ]]</f>
        <v>974.97971342013273</v>
      </c>
      <c r="AJ764">
        <f>$AH764*tbl_Data_old[[#This Row],[2026 ]]</f>
        <v>1035.7092395784468</v>
      </c>
      <c r="AK764">
        <f>$AH764*tbl_Data_old[[#This Row],[2027 ]]</f>
        <v>1082.2450041451962</v>
      </c>
      <c r="AL764">
        <f>$AH764*tbl_Data_old[[#This Row],[2028 ]]</f>
        <v>1191.2473084763399</v>
      </c>
      <c r="AM764">
        <f>$AH764*tbl_Data_old[[#This Row],[2029 ]]</f>
        <v>1215.2702050948192</v>
      </c>
      <c r="AN764">
        <f>$AH764*tbl_Data_old[[#This Row],[2030 ]]</f>
        <v>1267.4715643549455</v>
      </c>
      <c r="AO764">
        <f>$AH764*tbl_Data_old[[#This Row],[2031 ]]</f>
        <v>1335.1926608858987</v>
      </c>
      <c r="AP764">
        <f>$AH764*tbl_Data_old[[#This Row],[2032 ]]</f>
        <v>1363.9182059703717</v>
      </c>
      <c r="AQ764">
        <f>$AH764*tbl_Data_old[[#This Row],[2033 ]]</f>
        <v>1429.0160182331588</v>
      </c>
      <c r="AR764">
        <f>$AH764*tbl_Data_old[[#This Row],[2034 ]]</f>
        <v>1490.4448667895649</v>
      </c>
      <c r="AS764">
        <f>SUM(tbl_Data_old[[#This Row],[Adjusted 2025]:[Adjusted 2034]])</f>
        <v>12385.494786948873</v>
      </c>
      <c r="AT764" s="3">
        <f>AVERAGEIFS('3. Incentive Adjustment'!F:F,'3. Incentive Adjustment'!A:A,tbl_Data_old[[#This Row],[Trimmed Sector]],'3. Incentive Adjustment'!B:B,tbl_Data_old[[#This Row],[Trimmed Measure Name]])</f>
        <v>37720.338000000003</v>
      </c>
      <c r="AU764" s="3">
        <f>IFERROR(VLOOKUP(tbl_Data_old[[#This Row],[All_Meas_Name_Append]],'IRA Tax Credits'!$A$3:$D$46,4,0),0)</f>
        <v>0</v>
      </c>
      <c r="AV764" s="4">
        <f>tbl_Data_old[[#This Row],[Adj. per unit Incentive ($)]]/tbl_Data_old[[#This Row],[kWh Savings]]*tbl_Data_old[[#This Row],[Sum of Annuals]]</f>
        <v>1037.767104639121</v>
      </c>
      <c r="AW764" s="4" t="str">
        <f>IFERROR(VLOOKUP(tbl_Data_old[[#This Row],[All_Programs]],'1. Set Program Names'!$B$2:$D$15,3,0)*tbl_Data_old[[#This Row],[Sum of Annuals]],"")</f>
        <v/>
      </c>
      <c r="AX764" s="4">
        <f>tbl_Data_old[[#This Row],[per unit IRA tax ($)]]/tbl_Data_old[[#This Row],[kWh Savings]]*tbl_Data_old[[#This Row],[Sum of Annuals]]</f>
        <v>0</v>
      </c>
      <c r="AY764" s="4">
        <f>tbl_Data_old[[#This Row],[Avoided Costs ($/unit)]]/tbl_Data_old[[#This Row],[kWh Savings]]*tbl_Data_old[[#This Row],[Sum of Annuals]]</f>
        <v>5944.5821378502924</v>
      </c>
      <c r="AZ764" s="4">
        <f>tbl_Data_old[[#This Row],[Lost Revenue ($/unit)]]/tbl_Data_old[[#This Row],[kWh Savings]]*tbl_Data_old[[#This Row],[Sum of Annuals]]</f>
        <v>15543.552649446003</v>
      </c>
      <c r="BA764" s="4">
        <f>tbl_Data_old[[#This Row],[Incremental Cost ($/unit)]]/tbl_Data_old[[#This Row],[kWh Savings]]*tbl_Data_old[[#This Row],[Sum of Annuals]]</f>
        <v>3459.2236821304036</v>
      </c>
      <c r="BB764">
        <f>ROUNDUP(tbl_Data_old[[#This Row],[Adjusted 2025]]/$L764,0)</f>
        <v>1</v>
      </c>
      <c r="BC764">
        <f>ROUNDUP(tbl_Data_old[[#This Row],[Adjusted 2026]]/$L764,0)</f>
        <v>1</v>
      </c>
      <c r="BD764">
        <f>ROUNDUP(tbl_Data_old[[#This Row],[Adjusted 2027]]/$L764,0)</f>
        <v>1</v>
      </c>
      <c r="BE764">
        <f>ROUNDUP(tbl_Data_old[[#This Row],[Adjusted 2028]]/$L764,0)</f>
        <v>1</v>
      </c>
      <c r="BF764">
        <f>ROUNDUP(tbl_Data_old[[#This Row],[Adjusted 2029]]/$L764,0)</f>
        <v>1</v>
      </c>
      <c r="BG764">
        <f>ROUNDUP(tbl_Data_old[[#This Row],[Adjusted 2030]]/$L764,0)</f>
        <v>1</v>
      </c>
      <c r="BH764">
        <f>ROUNDUP(tbl_Data_old[[#This Row],[Adjusted 2031]]/$L764,0)</f>
        <v>1</v>
      </c>
      <c r="BI764">
        <f>ROUNDUP(tbl_Data_old[[#This Row],[Adjusted 2032]]/$L764,0)</f>
        <v>1</v>
      </c>
      <c r="BJ764">
        <f>ROUNDUP(tbl_Data_old[[#This Row],[Adjusted 2033]]/$L764,0)</f>
        <v>1</v>
      </c>
      <c r="BK764">
        <f>ROUNDUP(tbl_Data_old[[#This Row],[Adjusted 2034]]/$L764,0)</f>
        <v>1</v>
      </c>
      <c r="BL764" s="3">
        <f t="shared" si="51"/>
        <v>81.806273667248107</v>
      </c>
      <c r="BM764" s="3">
        <f t="shared" si="51"/>
        <v>86.901821982978589</v>
      </c>
      <c r="BN764" s="3">
        <f t="shared" si="51"/>
        <v>90.806433985732809</v>
      </c>
      <c r="BO764" s="3">
        <f t="shared" si="51"/>
        <v>99.952339501237333</v>
      </c>
      <c r="BP764" s="3">
        <f t="shared" si="51"/>
        <v>101.96799544566464</v>
      </c>
      <c r="BQ764" s="3">
        <f t="shared" si="50"/>
        <v>106.3479826624818</v>
      </c>
      <c r="BR764" s="3">
        <f t="shared" si="50"/>
        <v>112.03016299875101</v>
      </c>
      <c r="BS764" s="3">
        <f t="shared" si="50"/>
        <v>114.44039756063533</v>
      </c>
      <c r="BT764" s="3">
        <f t="shared" si="50"/>
        <v>119.90246961383497</v>
      </c>
      <c r="BU764" s="3">
        <f t="shared" si="50"/>
        <v>125.05669500632152</v>
      </c>
      <c r="BV764" t="e">
        <f>VLOOKUP($H764,'1. Set Program Names'!$B$2:$D$15,3,0)*V764</f>
        <v>#N/A</v>
      </c>
      <c r="BW764" t="e">
        <f>VLOOKUP($H764,'1. Set Program Names'!$B$2:$D$15,3,0)*W764</f>
        <v>#N/A</v>
      </c>
      <c r="BX764" t="e">
        <f>VLOOKUP($H764,'1. Set Program Names'!$B$2:$D$15,3,0)*X764</f>
        <v>#N/A</v>
      </c>
      <c r="BY764" t="e">
        <f>VLOOKUP($H764,'1. Set Program Names'!$B$2:$D$15,3,0)*Y764</f>
        <v>#N/A</v>
      </c>
      <c r="BZ764" t="e">
        <f>VLOOKUP($H764,'1. Set Program Names'!$B$2:$D$15,3,0)*Z764</f>
        <v>#N/A</v>
      </c>
      <c r="CA764" t="e">
        <f>VLOOKUP($H764,'1. Set Program Names'!$B$2:$D$15,3,0)*AA764</f>
        <v>#N/A</v>
      </c>
      <c r="CB764" t="e">
        <f>VLOOKUP($H764,'1. Set Program Names'!$B$2:$D$15,3,0)*AB764</f>
        <v>#N/A</v>
      </c>
      <c r="CC764" t="e">
        <f>VLOOKUP($H764,'1. Set Program Names'!$B$2:$D$15,3,0)*AC764</f>
        <v>#N/A</v>
      </c>
      <c r="CD764" t="e">
        <f>VLOOKUP($H764,'1. Set Program Names'!$B$2:$D$15,3,0)*AD764</f>
        <v>#N/A</v>
      </c>
      <c r="CE764" t="e">
        <f>VLOOKUP($H764,'1. Set Program Names'!$B$2:$D$15,3,0)*AE764</f>
        <v>#N/A</v>
      </c>
    </row>
    <row r="765" spans="1:83" x14ac:dyDescent="0.25">
      <c r="A765" s="20" t="s">
        <v>87</v>
      </c>
      <c r="B765" s="20" t="s">
        <v>88</v>
      </c>
      <c r="C765" s="20" t="s">
        <v>176</v>
      </c>
      <c r="D765" s="20" t="s">
        <v>90</v>
      </c>
      <c r="E765" s="20" t="s">
        <v>91</v>
      </c>
      <c r="F765" s="20" t="s">
        <v>90</v>
      </c>
      <c r="G765" s="20" t="s">
        <v>92</v>
      </c>
      <c r="H765" s="20" t="s">
        <v>20</v>
      </c>
      <c r="I765" s="20" t="s">
        <v>155</v>
      </c>
      <c r="J765" s="20" t="s">
        <v>129</v>
      </c>
      <c r="K765" s="20" t="s">
        <v>102</v>
      </c>
      <c r="L765" s="20">
        <v>47228.7699999998</v>
      </c>
      <c r="M765" s="20">
        <v>5.6581998938837703</v>
      </c>
      <c r="N765" s="20">
        <v>5.4505995734426298</v>
      </c>
      <c r="O765" s="20">
        <v>11124</v>
      </c>
      <c r="P765" s="20">
        <v>2435.8852359673701</v>
      </c>
      <c r="Q765" s="20">
        <v>2833.7261999999801</v>
      </c>
      <c r="R765" s="20">
        <v>16918.542729362998</v>
      </c>
      <c r="S765" s="20">
        <v>40712.4661763408</v>
      </c>
      <c r="T765" s="20">
        <v>11</v>
      </c>
      <c r="U765" s="20">
        <v>0.05</v>
      </c>
      <c r="V765" s="20">
        <v>160.24151741415</v>
      </c>
      <c r="W765" s="20">
        <v>133.943791299368</v>
      </c>
      <c r="X765" s="20">
        <v>110.939156989282</v>
      </c>
      <c r="Y765" s="20">
        <v>92.501282228507307</v>
      </c>
      <c r="Z765" s="20">
        <v>76.859279122896595</v>
      </c>
      <c r="AA765" s="20">
        <v>64.184702362303597</v>
      </c>
      <c r="AB765" s="20">
        <v>54.040943180967297</v>
      </c>
      <c r="AC765" s="20">
        <v>45.638155508679297</v>
      </c>
      <c r="AD765" s="20">
        <v>39.134752829977501</v>
      </c>
      <c r="AE765" s="20">
        <v>33.933490277934403</v>
      </c>
      <c r="AF765" t="str">
        <f t="shared" si="48"/>
        <v>NonResidential</v>
      </c>
      <c r="AG765" t="str">
        <f>tbl_Data_old[[#This Row],[All_Meas_Name_Append]]</f>
        <v>Smart thermostat</v>
      </c>
      <c r="AH765">
        <f>AVERAGEIFS('3. Incentive Adjustment'!G:G,'3. Incentive Adjustment'!A:A,tbl_Data_old[[#This Row],[Trimmed Sector]],'3. Incentive Adjustment'!B:B,tbl_Data_old[[#This Row],[Trimmed Measure Name]])</f>
        <v>0.87546479230069263</v>
      </c>
      <c r="AI765">
        <f>$AH765*tbl_Data_old[[#This Row],[2025 ]]</f>
        <v>140.28580676092665</v>
      </c>
      <c r="AJ765">
        <f>$AH765*tbl_Data_old[[#This Row],[2026 ]]</f>
        <v>117.26307342986853</v>
      </c>
      <c r="AK765">
        <f>$AH765*tbl_Data_old[[#This Row],[2027 ]]</f>
        <v>97.123326031635699</v>
      </c>
      <c r="AL765">
        <f>$AH765*tbl_Data_old[[#This Row],[2028 ]]</f>
        <v>80.981615833727901</v>
      </c>
      <c r="AM765">
        <f>$AH765*tbl_Data_old[[#This Row],[2029 ]]</f>
        <v>67.287592833707635</v>
      </c>
      <c r="AN765">
        <f>$AH765*tbl_Data_old[[#This Row],[2030 ]]</f>
        <v>56.191447122495894</v>
      </c>
      <c r="AO765">
        <f>$AH765*tbl_Data_old[[#This Row],[2031 ]]</f>
        <v>47.310943097659063</v>
      </c>
      <c r="AP765">
        <f>$AH765*tbl_Data_old[[#This Row],[2032 ]]</f>
        <v>39.954598333392632</v>
      </c>
      <c r="AQ765">
        <f>$AH765*tbl_Data_old[[#This Row],[2033 ]]</f>
        <v>34.261098258035197</v>
      </c>
      <c r="AR765">
        <f>$AH765*tbl_Data_old[[#This Row],[2034 ]]</f>
        <v>29.707576018209416</v>
      </c>
      <c r="AS765">
        <f>SUM(tbl_Data_old[[#This Row],[Adjusted 2025]:[Adjusted 2034]])</f>
        <v>710.36707771965871</v>
      </c>
      <c r="AT765" s="3">
        <f>AVERAGEIFS('3. Incentive Adjustment'!F:F,'3. Incentive Adjustment'!A:A,tbl_Data_old[[#This Row],[Trimmed Sector]],'3. Incentive Adjustment'!B:B,tbl_Data_old[[#This Row],[Trimmed Measure Name]])</f>
        <v>50</v>
      </c>
      <c r="AU765" s="3">
        <f>IFERROR(VLOOKUP(tbl_Data_old[[#This Row],[All_Meas_Name_Append]],'IRA Tax Credits'!$A$3:$D$46,4,0),0)</f>
        <v>0</v>
      </c>
      <c r="AV765" s="4">
        <f>tbl_Data_old[[#This Row],[Adj. per unit Incentive ($)]]/tbl_Data_old[[#This Row],[kWh Savings]]*tbl_Data_old[[#This Row],[Sum of Annuals]]</f>
        <v>0.75204909816586563</v>
      </c>
      <c r="AW765" s="4" t="str">
        <f>IFERROR(VLOOKUP(tbl_Data_old[[#This Row],[All_Programs]],'1. Set Program Names'!$B$2:$D$15,3,0)*tbl_Data_old[[#This Row],[Sum of Annuals]],"")</f>
        <v/>
      </c>
      <c r="AX765" s="4">
        <f>tbl_Data_old[[#This Row],[per unit IRA tax ($)]]/tbl_Data_old[[#This Row],[kWh Savings]]*tbl_Data_old[[#This Row],[Sum of Annuals]]</f>
        <v>0</v>
      </c>
      <c r="AY765" s="4">
        <f>tbl_Data_old[[#This Row],[Avoided Costs ($/unit)]]/tbl_Data_old[[#This Row],[kWh Savings]]*tbl_Data_old[[#This Row],[Sum of Annuals]]</f>
        <v>254.47149603796208</v>
      </c>
      <c r="AZ765" s="4">
        <f>tbl_Data_old[[#This Row],[Lost Revenue ($/unit)]]/tbl_Data_old[[#This Row],[kWh Savings]]*tbl_Data_old[[#This Row],[Sum of Annuals]]</f>
        <v>612.35546944050805</v>
      </c>
      <c r="BA765" s="4">
        <f>tbl_Data_old[[#This Row],[Incremental Cost ($/unit)]]/tbl_Data_old[[#This Row],[kWh Savings]]*tbl_Data_old[[#This Row],[Sum of Annuals]]</f>
        <v>167.31588335994175</v>
      </c>
      <c r="BB765">
        <f>ROUNDUP(tbl_Data_old[[#This Row],[Adjusted 2025]]/$L765,0)</f>
        <v>1</v>
      </c>
      <c r="BC765">
        <f>ROUNDUP(tbl_Data_old[[#This Row],[Adjusted 2026]]/$L765,0)</f>
        <v>1</v>
      </c>
      <c r="BD765">
        <f>ROUNDUP(tbl_Data_old[[#This Row],[Adjusted 2027]]/$L765,0)</f>
        <v>1</v>
      </c>
      <c r="BE765">
        <f>ROUNDUP(tbl_Data_old[[#This Row],[Adjusted 2028]]/$L765,0)</f>
        <v>1</v>
      </c>
      <c r="BF765">
        <f>ROUNDUP(tbl_Data_old[[#This Row],[Adjusted 2029]]/$L765,0)</f>
        <v>1</v>
      </c>
      <c r="BG765">
        <f>ROUNDUP(tbl_Data_old[[#This Row],[Adjusted 2030]]/$L765,0)</f>
        <v>1</v>
      </c>
      <c r="BH765">
        <f>ROUNDUP(tbl_Data_old[[#This Row],[Adjusted 2031]]/$L765,0)</f>
        <v>1</v>
      </c>
      <c r="BI765">
        <f>ROUNDUP(tbl_Data_old[[#This Row],[Adjusted 2032]]/$L765,0)</f>
        <v>1</v>
      </c>
      <c r="BJ765">
        <f>ROUNDUP(tbl_Data_old[[#This Row],[Adjusted 2033]]/$L765,0)</f>
        <v>1</v>
      </c>
      <c r="BK765">
        <f>ROUNDUP(tbl_Data_old[[#This Row],[Adjusted 2034]]/$L765,0)</f>
        <v>1</v>
      </c>
      <c r="BL765" s="3">
        <f t="shared" si="51"/>
        <v>0.16964396639394874</v>
      </c>
      <c r="BM765" s="3">
        <f t="shared" si="51"/>
        <v>0.14180317558489092</v>
      </c>
      <c r="BN765" s="3">
        <f t="shared" si="51"/>
        <v>0.11744870445417324</v>
      </c>
      <c r="BO765" s="3">
        <f t="shared" si="51"/>
        <v>9.7928955410555588E-2</v>
      </c>
      <c r="BP765" s="3">
        <f t="shared" si="51"/>
        <v>8.1369130641023385E-2</v>
      </c>
      <c r="BQ765" s="3">
        <f t="shared" si="51"/>
        <v>6.7950851104426252E-2</v>
      </c>
      <c r="BR765" s="3">
        <f t="shared" si="51"/>
        <v>5.721188925835622E-2</v>
      </c>
      <c r="BS765" s="3">
        <f t="shared" si="51"/>
        <v>4.8316053444414808E-2</v>
      </c>
      <c r="BT765" s="3">
        <f t="shared" si="51"/>
        <v>4.1431052333119903E-2</v>
      </c>
      <c r="BU765" s="3">
        <f t="shared" si="51"/>
        <v>3.5924596679031182E-2</v>
      </c>
      <c r="BV765" t="e">
        <f>VLOOKUP($H765,'1. Set Program Names'!$B$2:$D$15,3,0)*V765</f>
        <v>#N/A</v>
      </c>
      <c r="BW765" t="e">
        <f>VLOOKUP($H765,'1. Set Program Names'!$B$2:$D$15,3,0)*W765</f>
        <v>#N/A</v>
      </c>
      <c r="BX765" t="e">
        <f>VLOOKUP($H765,'1. Set Program Names'!$B$2:$D$15,3,0)*X765</f>
        <v>#N/A</v>
      </c>
      <c r="BY765" t="e">
        <f>VLOOKUP($H765,'1. Set Program Names'!$B$2:$D$15,3,0)*Y765</f>
        <v>#N/A</v>
      </c>
      <c r="BZ765" t="e">
        <f>VLOOKUP($H765,'1. Set Program Names'!$B$2:$D$15,3,0)*Z765</f>
        <v>#N/A</v>
      </c>
      <c r="CA765" t="e">
        <f>VLOOKUP($H765,'1. Set Program Names'!$B$2:$D$15,3,0)*AA765</f>
        <v>#N/A</v>
      </c>
      <c r="CB765" t="e">
        <f>VLOOKUP($H765,'1. Set Program Names'!$B$2:$D$15,3,0)*AB765</f>
        <v>#N/A</v>
      </c>
      <c r="CC765" t="e">
        <f>VLOOKUP($H765,'1. Set Program Names'!$B$2:$D$15,3,0)*AC765</f>
        <v>#N/A</v>
      </c>
      <c r="CD765" t="e">
        <f>VLOOKUP($H765,'1. Set Program Names'!$B$2:$D$15,3,0)*AD765</f>
        <v>#N/A</v>
      </c>
      <c r="CE765" t="e">
        <f>VLOOKUP($H765,'1. Set Program Names'!$B$2:$D$15,3,0)*AE765</f>
        <v>#N/A</v>
      </c>
    </row>
    <row r="766" spans="1:83" x14ac:dyDescent="0.25">
      <c r="A766" s="20" t="s">
        <v>113</v>
      </c>
      <c r="B766" s="20" t="s">
        <v>88</v>
      </c>
      <c r="C766" s="20" t="s">
        <v>176</v>
      </c>
      <c r="D766" s="20" t="s">
        <v>90</v>
      </c>
      <c r="E766" s="20" t="s">
        <v>91</v>
      </c>
      <c r="F766" s="20" t="s">
        <v>90</v>
      </c>
      <c r="G766" s="20" t="s">
        <v>92</v>
      </c>
      <c r="H766" s="20" t="s">
        <v>20</v>
      </c>
      <c r="I766" s="20" t="s">
        <v>196</v>
      </c>
      <c r="J766" s="20" t="s">
        <v>129</v>
      </c>
      <c r="K766" s="20" t="s">
        <v>102</v>
      </c>
      <c r="L766" s="20">
        <v>450182.94333333202</v>
      </c>
      <c r="M766" s="20">
        <v>53.933758643237098</v>
      </c>
      <c r="N766" s="20">
        <v>51.954919827550498</v>
      </c>
      <c r="O766" s="20">
        <v>125734.46</v>
      </c>
      <c r="P766" s="20">
        <v>37957.822069457201</v>
      </c>
      <c r="Q766" s="20">
        <v>27010.9765999999</v>
      </c>
      <c r="R766" s="20">
        <v>216071.26156350001</v>
      </c>
      <c r="S766" s="20">
        <v>564970.75021643203</v>
      </c>
      <c r="T766" s="20">
        <v>20</v>
      </c>
      <c r="U766" s="20">
        <v>1</v>
      </c>
      <c r="V766" s="20">
        <v>976.33772694862398</v>
      </c>
      <c r="W766" s="20">
        <v>2013.4895679879801</v>
      </c>
      <c r="X766" s="20">
        <v>3097.2419915558999</v>
      </c>
      <c r="Y766" s="20">
        <v>4290.1485447718196</v>
      </c>
      <c r="Z766" s="20">
        <v>5507.1114552189501</v>
      </c>
      <c r="AA766" s="20">
        <v>6776.3484342873298</v>
      </c>
      <c r="AB766" s="20">
        <v>8113.40083612135</v>
      </c>
      <c r="AC766" s="20">
        <v>9479.2187937993494</v>
      </c>
      <c r="AD766" s="20">
        <v>10910.2252360982</v>
      </c>
      <c r="AE766" s="20">
        <v>12402.7460889465</v>
      </c>
      <c r="AF766" t="str">
        <f t="shared" si="48"/>
        <v>NonResidential</v>
      </c>
      <c r="AG766" t="str">
        <f>tbl_Data_old[[#This Row],[All_Meas_Name_Append]]</f>
        <v>LEED New Construction Whole Building</v>
      </c>
      <c r="AH766">
        <f>AVERAGEIFS('3. Incentive Adjustment'!G:G,'3. Incentive Adjustment'!A:A,tbl_Data_old[[#This Row],[Trimmed Sector]],'3. Incentive Adjustment'!B:B,tbl_Data_old[[#This Row],[Trimmed Measure Name]])</f>
        <v>0.99860907400071952</v>
      </c>
      <c r="AI766">
        <f>$AH766*tbl_Data_old[[#This Row],[2025 ]]</f>
        <v>974.97971342013273</v>
      </c>
      <c r="AJ766">
        <f>$AH766*tbl_Data_old[[#This Row],[2026 ]]</f>
        <v>2010.6889529985856</v>
      </c>
      <c r="AK766">
        <f>$AH766*tbl_Data_old[[#This Row],[2027 ]]</f>
        <v>3092.9339571437813</v>
      </c>
      <c r="AL766">
        <f>$AH766*tbl_Data_old[[#This Row],[2028 ]]</f>
        <v>4284.1812656201209</v>
      </c>
      <c r="AM766">
        <f>$AH766*tbl_Data_old[[#This Row],[2029 ]]</f>
        <v>5499.451470714951</v>
      </c>
      <c r="AN766">
        <f>$AH766*tbl_Data_old[[#This Row],[2030 ]]</f>
        <v>6766.9230350698963</v>
      </c>
      <c r="AO766">
        <f>$AH766*tbl_Data_old[[#This Row],[2031 ]]</f>
        <v>8102.1156959558048</v>
      </c>
      <c r="AP766">
        <f>$AH766*tbl_Data_old[[#This Row],[2032 ]]</f>
        <v>9466.0339019261864</v>
      </c>
      <c r="AQ766">
        <f>$AH766*tbl_Data_old[[#This Row],[2033 ]]</f>
        <v>10895.049920159305</v>
      </c>
      <c r="AR766">
        <f>$AH766*tbl_Data_old[[#This Row],[2034 ]]</f>
        <v>12385.49478694891</v>
      </c>
      <c r="AS766">
        <f>SUM(tbl_Data_old[[#This Row],[Adjusted 2025]:[Adjusted 2034]])</f>
        <v>63477.852699957679</v>
      </c>
      <c r="AT766" s="3">
        <f>AVERAGEIFS('3. Incentive Adjustment'!F:F,'3. Incentive Adjustment'!A:A,tbl_Data_old[[#This Row],[Trimmed Sector]],'3. Incentive Adjustment'!B:B,tbl_Data_old[[#This Row],[Trimmed Measure Name]])</f>
        <v>37720.338000000003</v>
      </c>
      <c r="AU766" s="3">
        <f>IFERROR(VLOOKUP(tbl_Data_old[[#This Row],[All_Meas_Name_Append]],'IRA Tax Credits'!$A$3:$D$46,4,0),0)</f>
        <v>0</v>
      </c>
      <c r="AV766" s="4">
        <f>tbl_Data_old[[#This Row],[Adj. per unit Incentive ($)]]/tbl_Data_old[[#This Row],[kWh Savings]]*tbl_Data_old[[#This Row],[Sum of Annuals]]</f>
        <v>5318.7400695981278</v>
      </c>
      <c r="AW766" s="4" t="str">
        <f>IFERROR(VLOOKUP(tbl_Data_old[[#This Row],[All_Programs]],'1. Set Program Names'!$B$2:$D$15,3,0)*tbl_Data_old[[#This Row],[Sum of Annuals]],"")</f>
        <v/>
      </c>
      <c r="AX766" s="4">
        <f>tbl_Data_old[[#This Row],[per unit IRA tax ($)]]/tbl_Data_old[[#This Row],[kWh Savings]]*tbl_Data_old[[#This Row],[Sum of Annuals]]</f>
        <v>0</v>
      </c>
      <c r="AY766" s="4">
        <f>tbl_Data_old[[#This Row],[Avoided Costs ($/unit)]]/tbl_Data_old[[#This Row],[kWh Savings]]*tbl_Data_old[[#This Row],[Sum of Annuals]]</f>
        <v>30467.035495981112</v>
      </c>
      <c r="AZ766" s="4">
        <f>tbl_Data_old[[#This Row],[Lost Revenue ($/unit)]]/tbl_Data_old[[#This Row],[kWh Savings]]*tbl_Data_old[[#This Row],[Sum of Annuals]]</f>
        <v>79663.458140991526</v>
      </c>
      <c r="BA766" s="4">
        <f>tbl_Data_old[[#This Row],[Incremental Cost ($/unit)]]/tbl_Data_old[[#This Row],[kWh Savings]]*tbl_Data_old[[#This Row],[Sum of Annuals]]</f>
        <v>17729.133565327094</v>
      </c>
      <c r="BB766">
        <f>ROUNDUP(tbl_Data_old[[#This Row],[Adjusted 2025]]/$L766,0)</f>
        <v>1</v>
      </c>
      <c r="BC766">
        <f>ROUNDUP(tbl_Data_old[[#This Row],[Adjusted 2026]]/$L766,0)</f>
        <v>1</v>
      </c>
      <c r="BD766">
        <f>ROUNDUP(tbl_Data_old[[#This Row],[Adjusted 2027]]/$L766,0)</f>
        <v>1</v>
      </c>
      <c r="BE766">
        <f>ROUNDUP(tbl_Data_old[[#This Row],[Adjusted 2028]]/$L766,0)</f>
        <v>1</v>
      </c>
      <c r="BF766">
        <f>ROUNDUP(tbl_Data_old[[#This Row],[Adjusted 2029]]/$L766,0)</f>
        <v>1</v>
      </c>
      <c r="BG766">
        <f>ROUNDUP(tbl_Data_old[[#This Row],[Adjusted 2030]]/$L766,0)</f>
        <v>1</v>
      </c>
      <c r="BH766">
        <f>ROUNDUP(tbl_Data_old[[#This Row],[Adjusted 2031]]/$L766,0)</f>
        <v>1</v>
      </c>
      <c r="BI766">
        <f>ROUNDUP(tbl_Data_old[[#This Row],[Adjusted 2032]]/$L766,0)</f>
        <v>1</v>
      </c>
      <c r="BJ766">
        <f>ROUNDUP(tbl_Data_old[[#This Row],[Adjusted 2033]]/$L766,0)</f>
        <v>1</v>
      </c>
      <c r="BK766">
        <f>ROUNDUP(tbl_Data_old[[#This Row],[Adjusted 2034]]/$L766,0)</f>
        <v>1</v>
      </c>
      <c r="BL766" s="3">
        <f t="shared" ref="BL766:BU781" si="52">$AT766/$L766*V766</f>
        <v>81.806273667248107</v>
      </c>
      <c r="BM766" s="3">
        <f t="shared" si="52"/>
        <v>168.70809565022719</v>
      </c>
      <c r="BN766" s="3">
        <f t="shared" si="52"/>
        <v>259.51452963596</v>
      </c>
      <c r="BO766" s="3">
        <f t="shared" si="52"/>
        <v>359.46686913719731</v>
      </c>
      <c r="BP766" s="3">
        <f t="shared" si="52"/>
        <v>461.43486458286282</v>
      </c>
      <c r="BQ766" s="3">
        <f t="shared" si="52"/>
        <v>567.78284724534456</v>
      </c>
      <c r="BR766" s="3">
        <f t="shared" si="52"/>
        <v>679.81301024409652</v>
      </c>
      <c r="BS766" s="3">
        <f t="shared" si="52"/>
        <v>794.25340780473255</v>
      </c>
      <c r="BT766" s="3">
        <f t="shared" si="52"/>
        <v>914.15587741856427</v>
      </c>
      <c r="BU766" s="3">
        <f t="shared" si="52"/>
        <v>1039.2125724248892</v>
      </c>
      <c r="BV766" t="e">
        <f>VLOOKUP($H766,'1. Set Program Names'!$B$2:$D$15,3,0)*V766</f>
        <v>#N/A</v>
      </c>
      <c r="BW766" t="e">
        <f>VLOOKUP($H766,'1. Set Program Names'!$B$2:$D$15,3,0)*W766</f>
        <v>#N/A</v>
      </c>
      <c r="BX766" t="e">
        <f>VLOOKUP($H766,'1. Set Program Names'!$B$2:$D$15,3,0)*X766</f>
        <v>#N/A</v>
      </c>
      <c r="BY766" t="e">
        <f>VLOOKUP($H766,'1. Set Program Names'!$B$2:$D$15,3,0)*Y766</f>
        <v>#N/A</v>
      </c>
      <c r="BZ766" t="e">
        <f>VLOOKUP($H766,'1. Set Program Names'!$B$2:$D$15,3,0)*Z766</f>
        <v>#N/A</v>
      </c>
      <c r="CA766" t="e">
        <f>VLOOKUP($H766,'1. Set Program Names'!$B$2:$D$15,3,0)*AA766</f>
        <v>#N/A</v>
      </c>
      <c r="CB766" t="e">
        <f>VLOOKUP($H766,'1. Set Program Names'!$B$2:$D$15,3,0)*AB766</f>
        <v>#N/A</v>
      </c>
      <c r="CC766" t="e">
        <f>VLOOKUP($H766,'1. Set Program Names'!$B$2:$D$15,3,0)*AC766</f>
        <v>#N/A</v>
      </c>
      <c r="CD766" t="e">
        <f>VLOOKUP($H766,'1. Set Program Names'!$B$2:$D$15,3,0)*AD766</f>
        <v>#N/A</v>
      </c>
      <c r="CE766" t="e">
        <f>VLOOKUP($H766,'1. Set Program Names'!$B$2:$D$15,3,0)*AE766</f>
        <v>#N/A</v>
      </c>
    </row>
    <row r="767" spans="1:83" x14ac:dyDescent="0.25">
      <c r="A767" s="20" t="s">
        <v>113</v>
      </c>
      <c r="B767" s="20" t="s">
        <v>88</v>
      </c>
      <c r="C767" s="20" t="s">
        <v>176</v>
      </c>
      <c r="D767" s="20" t="s">
        <v>90</v>
      </c>
      <c r="E767" s="20" t="s">
        <v>91</v>
      </c>
      <c r="F767" s="20" t="s">
        <v>90</v>
      </c>
      <c r="G767" s="20" t="s">
        <v>92</v>
      </c>
      <c r="H767" s="20" t="s">
        <v>20</v>
      </c>
      <c r="I767" s="20" t="s">
        <v>155</v>
      </c>
      <c r="J767" s="20" t="s">
        <v>129</v>
      </c>
      <c r="K767" s="20" t="s">
        <v>102</v>
      </c>
      <c r="L767" s="20">
        <v>47228.7699999998</v>
      </c>
      <c r="M767" s="20">
        <v>5.6581998938837703</v>
      </c>
      <c r="N767" s="20">
        <v>5.4505995734426298</v>
      </c>
      <c r="O767" s="20">
        <v>11124</v>
      </c>
      <c r="P767" s="20">
        <v>2435.8852359673701</v>
      </c>
      <c r="Q767" s="20">
        <v>2833.7261999999801</v>
      </c>
      <c r="R767" s="20">
        <v>16918.542729362998</v>
      </c>
      <c r="S767" s="20">
        <v>40712.4661763408</v>
      </c>
      <c r="T767" s="20">
        <v>11</v>
      </c>
      <c r="U767" s="20">
        <v>0.05</v>
      </c>
      <c r="V767" s="20">
        <v>160.24151741415</v>
      </c>
      <c r="W767" s="20">
        <v>294.185308713518</v>
      </c>
      <c r="X767" s="20">
        <v>405.12446570280002</v>
      </c>
      <c r="Y767" s="20">
        <v>497.62574793130801</v>
      </c>
      <c r="Z767" s="20">
        <v>574.48502705420401</v>
      </c>
      <c r="AA767" s="20">
        <v>638.66972941650795</v>
      </c>
      <c r="AB767" s="20">
        <v>692.71067259747497</v>
      </c>
      <c r="AC767" s="20">
        <v>738.348828106155</v>
      </c>
      <c r="AD767" s="20">
        <v>777.48358093613194</v>
      </c>
      <c r="AE767" s="20">
        <v>811.41707121406603</v>
      </c>
      <c r="AF767" t="str">
        <f t="shared" si="48"/>
        <v>NonResidential</v>
      </c>
      <c r="AG767" t="str">
        <f>tbl_Data_old[[#This Row],[All_Meas_Name_Append]]</f>
        <v>Smart thermostat</v>
      </c>
      <c r="AH767">
        <f>AVERAGEIFS('3. Incentive Adjustment'!G:G,'3. Incentive Adjustment'!A:A,tbl_Data_old[[#This Row],[Trimmed Sector]],'3. Incentive Adjustment'!B:B,tbl_Data_old[[#This Row],[Trimmed Measure Name]])</f>
        <v>0.87546479230069263</v>
      </c>
      <c r="AI767">
        <f>$AH767*tbl_Data_old[[#This Row],[2025 ]]</f>
        <v>140.28580676092665</v>
      </c>
      <c r="AJ767">
        <f>$AH767*tbl_Data_old[[#This Row],[2026 ]]</f>
        <v>257.54888019079516</v>
      </c>
      <c r="AK767">
        <f>$AH767*tbl_Data_old[[#This Row],[2027 ]]</f>
        <v>354.67220622243087</v>
      </c>
      <c r="AL767">
        <f>$AH767*tbl_Data_old[[#This Row],[2028 ]]</f>
        <v>435.65382205615941</v>
      </c>
      <c r="AM767">
        <f>$AH767*tbl_Data_old[[#This Row],[2029 ]]</f>
        <v>502.94141488986651</v>
      </c>
      <c r="AN767">
        <f>$AH767*tbl_Data_old[[#This Row],[2030 ]]</f>
        <v>559.13286201236269</v>
      </c>
      <c r="AO767">
        <f>$AH767*tbl_Data_old[[#This Row],[2031 ]]</f>
        <v>606.44380511002157</v>
      </c>
      <c r="AP767">
        <f>$AH767*tbl_Data_old[[#This Row],[2032 ]]</f>
        <v>646.39840344341474</v>
      </c>
      <c r="AQ767">
        <f>$AH767*tbl_Data_old[[#This Row],[2033 ]]</f>
        <v>680.65950170144947</v>
      </c>
      <c r="AR767">
        <f>$AH767*tbl_Data_old[[#This Row],[2034 ]]</f>
        <v>710.3670777196586</v>
      </c>
      <c r="AS767">
        <f>SUM(tbl_Data_old[[#This Row],[Adjusted 2025]:[Adjusted 2034]])</f>
        <v>4894.1037801070852</v>
      </c>
      <c r="AT767" s="3">
        <f>AVERAGEIFS('3. Incentive Adjustment'!F:F,'3. Incentive Adjustment'!A:A,tbl_Data_old[[#This Row],[Trimmed Sector]],'3. Incentive Adjustment'!B:B,tbl_Data_old[[#This Row],[Trimmed Measure Name]])</f>
        <v>50</v>
      </c>
      <c r="AU767" s="3">
        <f>IFERROR(VLOOKUP(tbl_Data_old[[#This Row],[All_Meas_Name_Append]],'IRA Tax Credits'!$A$3:$D$46,4,0),0)</f>
        <v>0</v>
      </c>
      <c r="AV767" s="4">
        <f>tbl_Data_old[[#This Row],[Adj. per unit Incentive ($)]]/tbl_Data_old[[#This Row],[kWh Savings]]*tbl_Data_old[[#This Row],[Sum of Annuals]]</f>
        <v>5.1812738084298049</v>
      </c>
      <c r="AW767" s="4" t="str">
        <f>IFERROR(VLOOKUP(tbl_Data_old[[#This Row],[All_Programs]],'1. Set Program Names'!$B$2:$D$15,3,0)*tbl_Data_old[[#This Row],[Sum of Annuals]],"")</f>
        <v/>
      </c>
      <c r="AX767" s="4">
        <f>tbl_Data_old[[#This Row],[per unit IRA tax ($)]]/tbl_Data_old[[#This Row],[kWh Savings]]*tbl_Data_old[[#This Row],[Sum of Annuals]]</f>
        <v>0</v>
      </c>
      <c r="AY767" s="4">
        <f>tbl_Data_old[[#This Row],[Avoided Costs ($/unit)]]/tbl_Data_old[[#This Row],[kWh Savings]]*tbl_Data_old[[#This Row],[Sum of Annuals]]</f>
        <v>1753.1920464089799</v>
      </c>
      <c r="AZ767" s="4">
        <f>tbl_Data_old[[#This Row],[Lost Revenue ($/unit)]]/tbl_Data_old[[#This Row],[kWh Savings]]*tbl_Data_old[[#This Row],[Sum of Annuals]]</f>
        <v>4218.8486935211777</v>
      </c>
      <c r="BA767" s="4">
        <f>tbl_Data_old[[#This Row],[Incremental Cost ($/unit)]]/tbl_Data_old[[#This Row],[kWh Savings]]*tbl_Data_old[[#This Row],[Sum of Annuals]]</f>
        <v>1152.7297968994628</v>
      </c>
      <c r="BB767">
        <f>ROUNDUP(tbl_Data_old[[#This Row],[Adjusted 2025]]/$L767,0)</f>
        <v>1</v>
      </c>
      <c r="BC767">
        <f>ROUNDUP(tbl_Data_old[[#This Row],[Adjusted 2026]]/$L767,0)</f>
        <v>1</v>
      </c>
      <c r="BD767">
        <f>ROUNDUP(tbl_Data_old[[#This Row],[Adjusted 2027]]/$L767,0)</f>
        <v>1</v>
      </c>
      <c r="BE767">
        <f>ROUNDUP(tbl_Data_old[[#This Row],[Adjusted 2028]]/$L767,0)</f>
        <v>1</v>
      </c>
      <c r="BF767">
        <f>ROUNDUP(tbl_Data_old[[#This Row],[Adjusted 2029]]/$L767,0)</f>
        <v>1</v>
      </c>
      <c r="BG767">
        <f>ROUNDUP(tbl_Data_old[[#This Row],[Adjusted 2030]]/$L767,0)</f>
        <v>1</v>
      </c>
      <c r="BH767">
        <f>ROUNDUP(tbl_Data_old[[#This Row],[Adjusted 2031]]/$L767,0)</f>
        <v>1</v>
      </c>
      <c r="BI767">
        <f>ROUNDUP(tbl_Data_old[[#This Row],[Adjusted 2032]]/$L767,0)</f>
        <v>1</v>
      </c>
      <c r="BJ767">
        <f>ROUNDUP(tbl_Data_old[[#This Row],[Adjusted 2033]]/$L767,0)</f>
        <v>1</v>
      </c>
      <c r="BK767">
        <f>ROUNDUP(tbl_Data_old[[#This Row],[Adjusted 2034]]/$L767,0)</f>
        <v>1</v>
      </c>
      <c r="BL767" s="3">
        <f t="shared" si="52"/>
        <v>0.16964396639394874</v>
      </c>
      <c r="BM767" s="3">
        <f t="shared" si="52"/>
        <v>0.31144714197883966</v>
      </c>
      <c r="BN767" s="3">
        <f t="shared" si="52"/>
        <v>0.42889584643301293</v>
      </c>
      <c r="BO767" s="3">
        <f t="shared" si="52"/>
        <v>0.52682480184356928</v>
      </c>
      <c r="BP767" s="3">
        <f t="shared" si="52"/>
        <v>0.60819393248459197</v>
      </c>
      <c r="BQ767" s="3">
        <f t="shared" si="52"/>
        <v>0.67614478358901864</v>
      </c>
      <c r="BR767" s="3">
        <f t="shared" si="52"/>
        <v>0.73335667284737449</v>
      </c>
      <c r="BS767" s="3">
        <f t="shared" si="52"/>
        <v>0.78167272629179008</v>
      </c>
      <c r="BT767" s="3">
        <f t="shared" si="52"/>
        <v>0.82310377862490947</v>
      </c>
      <c r="BU767" s="3">
        <f t="shared" si="52"/>
        <v>0.85902837530394027</v>
      </c>
      <c r="BV767" t="e">
        <f>VLOOKUP($H767,'1. Set Program Names'!$B$2:$D$15,3,0)*V767</f>
        <v>#N/A</v>
      </c>
      <c r="BW767" t="e">
        <f>VLOOKUP($H767,'1. Set Program Names'!$B$2:$D$15,3,0)*W767</f>
        <v>#N/A</v>
      </c>
      <c r="BX767" t="e">
        <f>VLOOKUP($H767,'1. Set Program Names'!$B$2:$D$15,3,0)*X767</f>
        <v>#N/A</v>
      </c>
      <c r="BY767" t="e">
        <f>VLOOKUP($H767,'1. Set Program Names'!$B$2:$D$15,3,0)*Y767</f>
        <v>#N/A</v>
      </c>
      <c r="BZ767" t="e">
        <f>VLOOKUP($H767,'1. Set Program Names'!$B$2:$D$15,3,0)*Z767</f>
        <v>#N/A</v>
      </c>
      <c r="CA767" t="e">
        <f>VLOOKUP($H767,'1. Set Program Names'!$B$2:$D$15,3,0)*AA767</f>
        <v>#N/A</v>
      </c>
      <c r="CB767" t="e">
        <f>VLOOKUP($H767,'1. Set Program Names'!$B$2:$D$15,3,0)*AB767</f>
        <v>#N/A</v>
      </c>
      <c r="CC767" t="e">
        <f>VLOOKUP($H767,'1. Set Program Names'!$B$2:$D$15,3,0)*AC767</f>
        <v>#N/A</v>
      </c>
      <c r="CD767" t="e">
        <f>VLOOKUP($H767,'1. Set Program Names'!$B$2:$D$15,3,0)*AD767</f>
        <v>#N/A</v>
      </c>
      <c r="CE767" t="e">
        <f>VLOOKUP($H767,'1. Set Program Names'!$B$2:$D$15,3,0)*AE767</f>
        <v>#N/A</v>
      </c>
    </row>
    <row r="768" spans="1:83" x14ac:dyDescent="0.25">
      <c r="A768" s="20" t="s">
        <v>114</v>
      </c>
      <c r="B768" s="20" t="s">
        <v>88</v>
      </c>
      <c r="C768" s="20" t="s">
        <v>176</v>
      </c>
      <c r="D768" s="20" t="s">
        <v>90</v>
      </c>
      <c r="E768" s="20" t="s">
        <v>91</v>
      </c>
      <c r="F768" s="20" t="s">
        <v>90</v>
      </c>
      <c r="G768" s="20" t="s">
        <v>92</v>
      </c>
      <c r="H768" s="20" t="s">
        <v>20</v>
      </c>
      <c r="I768" s="20" t="s">
        <v>196</v>
      </c>
      <c r="J768" s="20" t="s">
        <v>129</v>
      </c>
      <c r="K768" s="20" t="s">
        <v>102</v>
      </c>
      <c r="L768" s="20">
        <v>450182.94333333202</v>
      </c>
      <c r="M768" s="20">
        <v>53.933758643237098</v>
      </c>
      <c r="N768" s="20">
        <v>51.954919827550498</v>
      </c>
      <c r="O768" s="20">
        <v>125734.46</v>
      </c>
      <c r="P768" s="20">
        <v>37957.822069457201</v>
      </c>
      <c r="Q768" s="20">
        <v>27010.9765999999</v>
      </c>
      <c r="R768" s="20">
        <v>216071.26156350001</v>
      </c>
      <c r="S768" s="20">
        <v>564970.75021643203</v>
      </c>
      <c r="T768" s="20">
        <v>20</v>
      </c>
      <c r="U768" s="20">
        <v>1</v>
      </c>
      <c r="V768" s="20">
        <v>0.116969254609329</v>
      </c>
      <c r="W768" s="20">
        <v>0.124255034312989</v>
      </c>
      <c r="X768" s="20">
        <v>0.12983797477741499</v>
      </c>
      <c r="Y768" s="20">
        <v>0.14291508613964801</v>
      </c>
      <c r="Z768" s="20">
        <v>0.14579713616832399</v>
      </c>
      <c r="AA768" s="20">
        <v>0.15205978348108801</v>
      </c>
      <c r="AB768" s="20">
        <v>0.16018434861154099</v>
      </c>
      <c r="AC768" s="20">
        <v>0.16363057990284799</v>
      </c>
      <c r="AD768" s="20">
        <v>0.171440427094811</v>
      </c>
      <c r="AE768" s="20">
        <v>0.17881010517964799</v>
      </c>
      <c r="AF768" t="str">
        <f t="shared" si="48"/>
        <v>NonResidential</v>
      </c>
      <c r="AG768" t="str">
        <f>tbl_Data_old[[#This Row],[All_Meas_Name_Append]]</f>
        <v>LEED New Construction Whole Building</v>
      </c>
      <c r="AH768">
        <f>AVERAGEIFS('3. Incentive Adjustment'!G:G,'3. Incentive Adjustment'!A:A,tbl_Data_old[[#This Row],[Trimmed Sector]],'3. Incentive Adjustment'!B:B,tbl_Data_old[[#This Row],[Trimmed Measure Name]])</f>
        <v>0.99860907400071952</v>
      </c>
      <c r="AI768">
        <f>$AH768*tbl_Data_old[[#This Row],[2025 ]]</f>
        <v>0.11680655903197643</v>
      </c>
      <c r="AJ768">
        <f>$AH768*tbl_Data_old[[#This Row],[2026 ]]</f>
        <v>0.12408220475522157</v>
      </c>
      <c r="AK768">
        <f>$AH768*tbl_Data_old[[#This Row],[2027 ]]</f>
        <v>0.12965737976260316</v>
      </c>
      <c r="AL768">
        <f>$AH768*tbl_Data_old[[#This Row],[2028 ]]</f>
        <v>0.14271630183064696</v>
      </c>
      <c r="AM768">
        <f>$AH768*tbl_Data_old[[#This Row],[2029 ]]</f>
        <v>0.14559434314100683</v>
      </c>
      <c r="AN768">
        <f>$AH768*tbl_Data_old[[#This Row],[2030 ]]</f>
        <v>0.15184827957479921</v>
      </c>
      <c r="AO768">
        <f>$AH768*tbl_Data_old[[#This Row],[2031 ]]</f>
        <v>0.15996154403637938</v>
      </c>
      <c r="AP768">
        <f>$AH768*tbl_Data_old[[#This Row],[2032 ]]</f>
        <v>0.16340298187498378</v>
      </c>
      <c r="AQ768">
        <f>$AH768*tbl_Data_old[[#This Row],[2033 ]]</f>
        <v>0.17120196614743707</v>
      </c>
      <c r="AR768">
        <f>$AH768*tbl_Data_old[[#This Row],[2034 ]]</f>
        <v>0.17856139355541953</v>
      </c>
      <c r="AS768">
        <f>SUM(tbl_Data_old[[#This Row],[Adjusted 2025]:[Adjusted 2034]])</f>
        <v>1.483832953710474</v>
      </c>
      <c r="AT768" s="3">
        <f>AVERAGEIFS('3. Incentive Adjustment'!F:F,'3. Incentive Adjustment'!A:A,tbl_Data_old[[#This Row],[Trimmed Sector]],'3. Incentive Adjustment'!B:B,tbl_Data_old[[#This Row],[Trimmed Measure Name]])</f>
        <v>37720.338000000003</v>
      </c>
      <c r="AU768" s="3">
        <f>IFERROR(VLOOKUP(tbl_Data_old[[#This Row],[All_Meas_Name_Append]],'IRA Tax Credits'!$A$3:$D$46,4,0),0)</f>
        <v>0</v>
      </c>
      <c r="AV768" s="4">
        <f>tbl_Data_old[[#This Row],[Adj. per unit Incentive ($)]]/tbl_Data_old[[#This Row],[kWh Savings]]*tbl_Data_old[[#This Row],[Sum of Annuals]]</f>
        <v>0.12432874540974041</v>
      </c>
      <c r="AW768" s="4" t="str">
        <f>IFERROR(VLOOKUP(tbl_Data_old[[#This Row],[All_Programs]],'1. Set Program Names'!$B$2:$D$15,3,0)*tbl_Data_old[[#This Row],[Sum of Annuals]],"")</f>
        <v/>
      </c>
      <c r="AX768" s="4">
        <f>tbl_Data_old[[#This Row],[per unit IRA tax ($)]]/tbl_Data_old[[#This Row],[kWh Savings]]*tbl_Data_old[[#This Row],[Sum of Annuals]]</f>
        <v>0</v>
      </c>
      <c r="AY768" s="4">
        <f>tbl_Data_old[[#This Row],[Avoided Costs ($/unit)]]/tbl_Data_old[[#This Row],[kWh Savings]]*tbl_Data_old[[#This Row],[Sum of Annuals]]</f>
        <v>0.71218526380356983</v>
      </c>
      <c r="AZ768" s="4">
        <f>tbl_Data_old[[#This Row],[Lost Revenue ($/unit)]]/tbl_Data_old[[#This Row],[kWh Savings]]*tbl_Data_old[[#This Row],[Sum of Annuals]]</f>
        <v>1.8621812075917459</v>
      </c>
      <c r="BA768" s="4">
        <f>tbl_Data_old[[#This Row],[Incremental Cost ($/unit)]]/tbl_Data_old[[#This Row],[kWh Savings]]*tbl_Data_old[[#This Row],[Sum of Annuals]]</f>
        <v>0.41442915136580138</v>
      </c>
      <c r="BB768">
        <f>ROUNDUP(tbl_Data_old[[#This Row],[Adjusted 2025]]/$L768,0)</f>
        <v>1</v>
      </c>
      <c r="BC768">
        <f>ROUNDUP(tbl_Data_old[[#This Row],[Adjusted 2026]]/$L768,0)</f>
        <v>1</v>
      </c>
      <c r="BD768">
        <f>ROUNDUP(tbl_Data_old[[#This Row],[Adjusted 2027]]/$L768,0)</f>
        <v>1</v>
      </c>
      <c r="BE768">
        <f>ROUNDUP(tbl_Data_old[[#This Row],[Adjusted 2028]]/$L768,0)</f>
        <v>1</v>
      </c>
      <c r="BF768">
        <f>ROUNDUP(tbl_Data_old[[#This Row],[Adjusted 2029]]/$L768,0)</f>
        <v>1</v>
      </c>
      <c r="BG768">
        <f>ROUNDUP(tbl_Data_old[[#This Row],[Adjusted 2030]]/$L768,0)</f>
        <v>1</v>
      </c>
      <c r="BH768">
        <f>ROUNDUP(tbl_Data_old[[#This Row],[Adjusted 2031]]/$L768,0)</f>
        <v>1</v>
      </c>
      <c r="BI768">
        <f>ROUNDUP(tbl_Data_old[[#This Row],[Adjusted 2032]]/$L768,0)</f>
        <v>1</v>
      </c>
      <c r="BJ768">
        <f>ROUNDUP(tbl_Data_old[[#This Row],[Adjusted 2033]]/$L768,0)</f>
        <v>1</v>
      </c>
      <c r="BK768">
        <f>ROUNDUP(tbl_Data_old[[#This Row],[Adjusted 2034]]/$L768,0)</f>
        <v>1</v>
      </c>
      <c r="BL768" s="3">
        <f t="shared" si="52"/>
        <v>9.8007263154016293E-3</v>
      </c>
      <c r="BM768" s="3">
        <f t="shared" si="52"/>
        <v>1.0411193853289013E-2</v>
      </c>
      <c r="BN768" s="3">
        <f t="shared" si="52"/>
        <v>1.0878982347879082E-2</v>
      </c>
      <c r="BO768" s="3">
        <f t="shared" si="52"/>
        <v>1.1974699251311012E-2</v>
      </c>
      <c r="BP768" s="3">
        <f t="shared" si="52"/>
        <v>1.2216183080995055E-2</v>
      </c>
      <c r="BQ768" s="3">
        <f t="shared" si="52"/>
        <v>1.2740923471341958E-2</v>
      </c>
      <c r="BR768" s="3">
        <f t="shared" si="52"/>
        <v>1.3421671925635982E-2</v>
      </c>
      <c r="BS768" s="3">
        <f t="shared" si="52"/>
        <v>1.3710427888204793E-2</v>
      </c>
      <c r="BT768" s="3">
        <f t="shared" si="52"/>
        <v>1.4364806469560929E-2</v>
      </c>
      <c r="BU768" s="3">
        <f t="shared" si="52"/>
        <v>1.498230376133507E-2</v>
      </c>
      <c r="BV768" t="e">
        <f>VLOOKUP($H768,'1. Set Program Names'!$B$2:$D$15,3,0)*V768</f>
        <v>#N/A</v>
      </c>
      <c r="BW768" t="e">
        <f>VLOOKUP($H768,'1. Set Program Names'!$B$2:$D$15,3,0)*W768</f>
        <v>#N/A</v>
      </c>
      <c r="BX768" t="e">
        <f>VLOOKUP($H768,'1. Set Program Names'!$B$2:$D$15,3,0)*X768</f>
        <v>#N/A</v>
      </c>
      <c r="BY768" t="e">
        <f>VLOOKUP($H768,'1. Set Program Names'!$B$2:$D$15,3,0)*Y768</f>
        <v>#N/A</v>
      </c>
      <c r="BZ768" t="e">
        <f>VLOOKUP($H768,'1. Set Program Names'!$B$2:$D$15,3,0)*Z768</f>
        <v>#N/A</v>
      </c>
      <c r="CA768" t="e">
        <f>VLOOKUP($H768,'1. Set Program Names'!$B$2:$D$15,3,0)*AA768</f>
        <v>#N/A</v>
      </c>
      <c r="CB768" t="e">
        <f>VLOOKUP($H768,'1. Set Program Names'!$B$2:$D$15,3,0)*AB768</f>
        <v>#N/A</v>
      </c>
      <c r="CC768" t="e">
        <f>VLOOKUP($H768,'1. Set Program Names'!$B$2:$D$15,3,0)*AC768</f>
        <v>#N/A</v>
      </c>
      <c r="CD768" t="e">
        <f>VLOOKUP($H768,'1. Set Program Names'!$B$2:$D$15,3,0)*AD768</f>
        <v>#N/A</v>
      </c>
      <c r="CE768" t="e">
        <f>VLOOKUP($H768,'1. Set Program Names'!$B$2:$D$15,3,0)*AE768</f>
        <v>#N/A</v>
      </c>
    </row>
    <row r="769" spans="1:83" x14ac:dyDescent="0.25">
      <c r="A769" s="20" t="s">
        <v>114</v>
      </c>
      <c r="B769" s="20" t="s">
        <v>88</v>
      </c>
      <c r="C769" s="20" t="s">
        <v>176</v>
      </c>
      <c r="D769" s="20" t="s">
        <v>90</v>
      </c>
      <c r="E769" s="20" t="s">
        <v>91</v>
      </c>
      <c r="F769" s="20" t="s">
        <v>90</v>
      </c>
      <c r="G769" s="20" t="s">
        <v>92</v>
      </c>
      <c r="H769" s="20" t="s">
        <v>20</v>
      </c>
      <c r="I769" s="20" t="s">
        <v>155</v>
      </c>
      <c r="J769" s="20" t="s">
        <v>129</v>
      </c>
      <c r="K769" s="20" t="s">
        <v>102</v>
      </c>
      <c r="L769" s="20">
        <v>47228.7699999998</v>
      </c>
      <c r="M769" s="20">
        <v>5.6581998938837703</v>
      </c>
      <c r="N769" s="20">
        <v>5.4505995734426298</v>
      </c>
      <c r="O769" s="20">
        <v>11124</v>
      </c>
      <c r="P769" s="20">
        <v>2435.8852359673701</v>
      </c>
      <c r="Q769" s="20">
        <v>2833.7261999999801</v>
      </c>
      <c r="R769" s="20">
        <v>16918.542729362998</v>
      </c>
      <c r="S769" s="20">
        <v>40712.4661763408</v>
      </c>
      <c r="T769" s="20">
        <v>11</v>
      </c>
      <c r="U769" s="20">
        <v>0.05</v>
      </c>
      <c r="V769" s="20">
        <v>1.9197589452965302E-2</v>
      </c>
      <c r="W769" s="20">
        <v>1.6047014260936202E-2</v>
      </c>
      <c r="X769" s="20">
        <v>1.32909649415878E-2</v>
      </c>
      <c r="Y769" s="20">
        <v>1.10820321022431E-2</v>
      </c>
      <c r="Z769" s="20">
        <v>9.2080561271690696E-3</v>
      </c>
      <c r="AA769" s="20">
        <v>7.6895899701675497E-3</v>
      </c>
      <c r="AB769" s="20">
        <v>6.4743261146104304E-3</v>
      </c>
      <c r="AC769" s="20">
        <v>5.4676377694414203E-3</v>
      </c>
      <c r="AD769" s="20">
        <v>4.6885035182950398E-3</v>
      </c>
      <c r="AE769" s="20">
        <v>4.0653709823422401E-3</v>
      </c>
      <c r="AF769" t="str">
        <f t="shared" si="48"/>
        <v>NonResidential</v>
      </c>
      <c r="AG769" t="str">
        <f>tbl_Data_old[[#This Row],[All_Meas_Name_Append]]</f>
        <v>Smart thermostat</v>
      </c>
      <c r="AH769">
        <f>AVERAGEIFS('3. Incentive Adjustment'!G:G,'3. Incentive Adjustment'!A:A,tbl_Data_old[[#This Row],[Trimmed Sector]],'3. Incentive Adjustment'!B:B,tbl_Data_old[[#This Row],[Trimmed Measure Name]])</f>
        <v>0.87546479230069263</v>
      </c>
      <c r="AI769">
        <f>$AH769*tbl_Data_old[[#This Row],[2025 ]]</f>
        <v>1.6806813663114234E-2</v>
      </c>
      <c r="AJ769">
        <f>$AH769*tbl_Data_old[[#This Row],[2026 ]]</f>
        <v>1.4048596006996764E-2</v>
      </c>
      <c r="AK769">
        <f>$AH769*tbl_Data_old[[#This Row],[2027 ]]</f>
        <v>1.163577186206295E-2</v>
      </c>
      <c r="AL769">
        <f>$AH769*tbl_Data_old[[#This Row],[2028 ]]</f>
        <v>9.7019289326598628E-3</v>
      </c>
      <c r="AM769">
        <f>$AH769*tbl_Data_old[[#This Row],[2029 ]]</f>
        <v>8.0613289448651891E-3</v>
      </c>
      <c r="AN769">
        <f>$AH769*tbl_Data_old[[#This Row],[2030 ]]</f>
        <v>6.7319652861102235E-3</v>
      </c>
      <c r="AO769">
        <f>$AH769*tbl_Data_old[[#This Row],[2031 ]]</f>
        <v>5.6680445672143706E-3</v>
      </c>
      <c r="AP769">
        <f>$AH769*tbl_Data_old[[#This Row],[2032 ]]</f>
        <v>4.7867243641994553E-3</v>
      </c>
      <c r="AQ769">
        <f>$AH769*tbl_Data_old[[#This Row],[2033 ]]</f>
        <v>4.1046197588452335E-3</v>
      </c>
      <c r="AR769">
        <f>$AH769*tbl_Data_old[[#This Row],[2034 ]]</f>
        <v>3.559089162681512E-3</v>
      </c>
      <c r="AS769">
        <f>SUM(tbl_Data_old[[#This Row],[Adjusted 2025]:[Adjusted 2034]])</f>
        <v>8.5104882548749802E-2</v>
      </c>
      <c r="AT769" s="3">
        <f>AVERAGEIFS('3. Incentive Adjustment'!F:F,'3. Incentive Adjustment'!A:A,tbl_Data_old[[#This Row],[Trimmed Sector]],'3. Incentive Adjustment'!B:B,tbl_Data_old[[#This Row],[Trimmed Measure Name]])</f>
        <v>50</v>
      </c>
      <c r="AU769" s="3">
        <f>IFERROR(VLOOKUP(tbl_Data_old[[#This Row],[All_Meas_Name_Append]],'IRA Tax Credits'!$A$3:$D$46,4,0),0)</f>
        <v>0</v>
      </c>
      <c r="AV769" s="4">
        <f>tbl_Data_old[[#This Row],[Adj. per unit Incentive ($)]]/tbl_Data_old[[#This Row],[kWh Savings]]*tbl_Data_old[[#This Row],[Sum of Annuals]]</f>
        <v>9.0098559150227886E-5</v>
      </c>
      <c r="AW769" s="4" t="str">
        <f>IFERROR(VLOOKUP(tbl_Data_old[[#This Row],[All_Programs]],'1. Set Program Names'!$B$2:$D$15,3,0)*tbl_Data_old[[#This Row],[Sum of Annuals]],"")</f>
        <v/>
      </c>
      <c r="AX769" s="4">
        <f>tbl_Data_old[[#This Row],[per unit IRA tax ($)]]/tbl_Data_old[[#This Row],[kWh Savings]]*tbl_Data_old[[#This Row],[Sum of Annuals]]</f>
        <v>0</v>
      </c>
      <c r="AY769" s="4">
        <f>tbl_Data_old[[#This Row],[Avoided Costs ($/unit)]]/tbl_Data_old[[#This Row],[kWh Savings]]*tbl_Data_old[[#This Row],[Sum of Annuals]]</f>
        <v>3.0486726456743399E-2</v>
      </c>
      <c r="AZ769" s="4">
        <f>tbl_Data_old[[#This Row],[Lost Revenue ($/unit)]]/tbl_Data_old[[#This Row],[kWh Savings]]*tbl_Data_old[[#This Row],[Sum of Annuals]]</f>
        <v>7.3362690838813874E-2</v>
      </c>
      <c r="BA769" s="4">
        <f>tbl_Data_old[[#This Row],[Incremental Cost ($/unit)]]/tbl_Data_old[[#This Row],[kWh Savings]]*tbl_Data_old[[#This Row],[Sum of Annuals]]</f>
        <v>2.00451274397427E-2</v>
      </c>
      <c r="BB769">
        <f>ROUNDUP(tbl_Data_old[[#This Row],[Adjusted 2025]]/$L769,0)</f>
        <v>1</v>
      </c>
      <c r="BC769">
        <f>ROUNDUP(tbl_Data_old[[#This Row],[Adjusted 2026]]/$L769,0)</f>
        <v>1</v>
      </c>
      <c r="BD769">
        <f>ROUNDUP(tbl_Data_old[[#This Row],[Adjusted 2027]]/$L769,0)</f>
        <v>1</v>
      </c>
      <c r="BE769">
        <f>ROUNDUP(tbl_Data_old[[#This Row],[Adjusted 2028]]/$L769,0)</f>
        <v>1</v>
      </c>
      <c r="BF769">
        <f>ROUNDUP(tbl_Data_old[[#This Row],[Adjusted 2029]]/$L769,0)</f>
        <v>1</v>
      </c>
      <c r="BG769">
        <f>ROUNDUP(tbl_Data_old[[#This Row],[Adjusted 2030]]/$L769,0)</f>
        <v>1</v>
      </c>
      <c r="BH769">
        <f>ROUNDUP(tbl_Data_old[[#This Row],[Adjusted 2031]]/$L769,0)</f>
        <v>1</v>
      </c>
      <c r="BI769">
        <f>ROUNDUP(tbl_Data_old[[#This Row],[Adjusted 2032]]/$L769,0)</f>
        <v>1</v>
      </c>
      <c r="BJ769">
        <f>ROUNDUP(tbl_Data_old[[#This Row],[Adjusted 2033]]/$L769,0)</f>
        <v>1</v>
      </c>
      <c r="BK769">
        <f>ROUNDUP(tbl_Data_old[[#This Row],[Adjusted 2034]]/$L769,0)</f>
        <v>1</v>
      </c>
      <c r="BL769" s="3">
        <f t="shared" si="52"/>
        <v>2.0324041313129035E-5</v>
      </c>
      <c r="BM769" s="3">
        <f t="shared" si="52"/>
        <v>1.6988600656904966E-5</v>
      </c>
      <c r="BN769" s="3">
        <f t="shared" si="52"/>
        <v>1.4070835363262538E-5</v>
      </c>
      <c r="BO769" s="3">
        <f t="shared" si="52"/>
        <v>1.1732289558084137E-5</v>
      </c>
      <c r="BP769" s="3">
        <f t="shared" si="52"/>
        <v>9.74835479218399E-6</v>
      </c>
      <c r="BQ769" s="3">
        <f t="shared" si="52"/>
        <v>8.140789999578204E-6</v>
      </c>
      <c r="BR769" s="3">
        <f t="shared" si="52"/>
        <v>6.8542184293709727E-6</v>
      </c>
      <c r="BS769" s="3">
        <f t="shared" si="52"/>
        <v>5.7884608994067006E-6</v>
      </c>
      <c r="BT769" s="3">
        <f t="shared" si="52"/>
        <v>4.9636095946338001E-6</v>
      </c>
      <c r="BU769" s="3">
        <f t="shared" si="52"/>
        <v>4.3039136762848763E-6</v>
      </c>
      <c r="BV769" t="e">
        <f>VLOOKUP($H769,'1. Set Program Names'!$B$2:$D$15,3,0)*V769</f>
        <v>#N/A</v>
      </c>
      <c r="BW769" t="e">
        <f>VLOOKUP($H769,'1. Set Program Names'!$B$2:$D$15,3,0)*W769</f>
        <v>#N/A</v>
      </c>
      <c r="BX769" t="e">
        <f>VLOOKUP($H769,'1. Set Program Names'!$B$2:$D$15,3,0)*X769</f>
        <v>#N/A</v>
      </c>
      <c r="BY769" t="e">
        <f>VLOOKUP($H769,'1. Set Program Names'!$B$2:$D$15,3,0)*Y769</f>
        <v>#N/A</v>
      </c>
      <c r="BZ769" t="e">
        <f>VLOOKUP($H769,'1. Set Program Names'!$B$2:$D$15,3,0)*Z769</f>
        <v>#N/A</v>
      </c>
      <c r="CA769" t="e">
        <f>VLOOKUP($H769,'1. Set Program Names'!$B$2:$D$15,3,0)*AA769</f>
        <v>#N/A</v>
      </c>
      <c r="CB769" t="e">
        <f>VLOOKUP($H769,'1. Set Program Names'!$B$2:$D$15,3,0)*AB769</f>
        <v>#N/A</v>
      </c>
      <c r="CC769" t="e">
        <f>VLOOKUP($H769,'1. Set Program Names'!$B$2:$D$15,3,0)*AC769</f>
        <v>#N/A</v>
      </c>
      <c r="CD769" t="e">
        <f>VLOOKUP($H769,'1. Set Program Names'!$B$2:$D$15,3,0)*AD769</f>
        <v>#N/A</v>
      </c>
      <c r="CE769" t="e">
        <f>VLOOKUP($H769,'1. Set Program Names'!$B$2:$D$15,3,0)*AE769</f>
        <v>#N/A</v>
      </c>
    </row>
    <row r="770" spans="1:83" x14ac:dyDescent="0.25">
      <c r="A770" s="20" t="s">
        <v>115</v>
      </c>
      <c r="B770" s="20" t="s">
        <v>88</v>
      </c>
      <c r="C770" s="20" t="s">
        <v>176</v>
      </c>
      <c r="D770" s="20" t="s">
        <v>90</v>
      </c>
      <c r="E770" s="20" t="s">
        <v>91</v>
      </c>
      <c r="F770" s="20" t="s">
        <v>90</v>
      </c>
      <c r="G770" s="20" t="s">
        <v>92</v>
      </c>
      <c r="H770" s="20" t="s">
        <v>20</v>
      </c>
      <c r="I770" s="20" t="s">
        <v>196</v>
      </c>
      <c r="J770" s="20" t="s">
        <v>129</v>
      </c>
      <c r="K770" s="20" t="s">
        <v>102</v>
      </c>
      <c r="L770" s="20">
        <v>450182.94333333202</v>
      </c>
      <c r="M770" s="20">
        <v>53.933758643237098</v>
      </c>
      <c r="N770" s="20">
        <v>51.954919827550498</v>
      </c>
      <c r="O770" s="20">
        <v>125734.46</v>
      </c>
      <c r="P770" s="20">
        <v>37957.822069457201</v>
      </c>
      <c r="Q770" s="20">
        <v>27010.9765999999</v>
      </c>
      <c r="R770" s="20">
        <v>216071.26156350001</v>
      </c>
      <c r="S770" s="20">
        <v>564970.75021643203</v>
      </c>
      <c r="T770" s="20">
        <v>20</v>
      </c>
      <c r="U770" s="20">
        <v>1</v>
      </c>
      <c r="V770" s="20">
        <v>0.116969254609329</v>
      </c>
      <c r="W770" s="20">
        <v>0.24122428892231801</v>
      </c>
      <c r="X770" s="20">
        <v>0.371062263699733</v>
      </c>
      <c r="Y770" s="20">
        <v>0.51397734983938104</v>
      </c>
      <c r="Z770" s="20">
        <v>0.65977448600770605</v>
      </c>
      <c r="AA770" s="20">
        <v>0.811834269488794</v>
      </c>
      <c r="AB770" s="20">
        <v>0.97201861810033596</v>
      </c>
      <c r="AC770" s="20">
        <v>1.13564919800318</v>
      </c>
      <c r="AD770" s="20">
        <v>1.30708962509799</v>
      </c>
      <c r="AE770" s="20">
        <v>1.48589973027764</v>
      </c>
      <c r="AF770" t="str">
        <f t="shared" ref="AF770:AF833" si="53">IF(C770="Residential","Residential","NonResidential")</f>
        <v>NonResidential</v>
      </c>
      <c r="AG770" t="str">
        <f>tbl_Data_old[[#This Row],[All_Meas_Name_Append]]</f>
        <v>LEED New Construction Whole Building</v>
      </c>
      <c r="AH770">
        <f>AVERAGEIFS('3. Incentive Adjustment'!G:G,'3. Incentive Adjustment'!A:A,tbl_Data_old[[#This Row],[Trimmed Sector]],'3. Incentive Adjustment'!B:B,tbl_Data_old[[#This Row],[Trimmed Measure Name]])</f>
        <v>0.99860907400071952</v>
      </c>
      <c r="AI770">
        <f>$AH770*tbl_Data_old[[#This Row],[2025 ]]</f>
        <v>0.11680655903197643</v>
      </c>
      <c r="AJ770">
        <f>$AH770*tbl_Data_old[[#This Row],[2026 ]]</f>
        <v>0.24088876378719801</v>
      </c>
      <c r="AK770">
        <f>$AH770*tbl_Data_old[[#This Row],[2027 ]]</f>
        <v>0.37054614354980114</v>
      </c>
      <c r="AL770">
        <f>$AH770*tbl_Data_old[[#This Row],[2028 ]]</f>
        <v>0.51326244538044818</v>
      </c>
      <c r="AM770">
        <f>$AH770*tbl_Data_old[[#This Row],[2029 ]]</f>
        <v>0.65885678852145602</v>
      </c>
      <c r="AN770">
        <f>$AH770*tbl_Data_old[[#This Row],[2030 ]]</f>
        <v>0.8107050680962552</v>
      </c>
      <c r="AO770">
        <f>$AH770*tbl_Data_old[[#This Row],[2031 ]]</f>
        <v>0.9706666121326355</v>
      </c>
      <c r="AP770">
        <f>$AH770*tbl_Data_old[[#This Row],[2032 ]]</f>
        <v>1.1340695940076153</v>
      </c>
      <c r="AQ770">
        <f>$AH770*tbl_Data_old[[#This Row],[2033 ]]</f>
        <v>1.3052715601550515</v>
      </c>
      <c r="AR770">
        <f>$AH770*tbl_Data_old[[#This Row],[2034 ]]</f>
        <v>1.4838329537104731</v>
      </c>
      <c r="AS770">
        <f>SUM(tbl_Data_old[[#This Row],[Adjusted 2025]:[Adjusted 2034]])</f>
        <v>7.6049064883729098</v>
      </c>
      <c r="AT770" s="3">
        <f>AVERAGEIFS('3. Incentive Adjustment'!F:F,'3. Incentive Adjustment'!A:A,tbl_Data_old[[#This Row],[Trimmed Sector]],'3. Incentive Adjustment'!B:B,tbl_Data_old[[#This Row],[Trimmed Measure Name]])</f>
        <v>37720.338000000003</v>
      </c>
      <c r="AU770" s="3">
        <f>IFERROR(VLOOKUP(tbl_Data_old[[#This Row],[All_Meas_Name_Append]],'IRA Tax Credits'!$A$3:$D$46,4,0),0)</f>
        <v>0</v>
      </c>
      <c r="AV770" s="4">
        <f>tbl_Data_old[[#This Row],[Adj. per unit Incentive ($)]]/tbl_Data_old[[#This Row],[kWh Savings]]*tbl_Data_old[[#This Row],[Sum of Annuals]]</f>
        <v>0.63720682324345146</v>
      </c>
      <c r="AW770" s="4" t="str">
        <f>IFERROR(VLOOKUP(tbl_Data_old[[#This Row],[All_Programs]],'1. Set Program Names'!$B$2:$D$15,3,0)*tbl_Data_old[[#This Row],[Sum of Annuals]],"")</f>
        <v/>
      </c>
      <c r="AX770" s="4">
        <f>tbl_Data_old[[#This Row],[per unit IRA tax ($)]]/tbl_Data_old[[#This Row],[kWh Savings]]*tbl_Data_old[[#This Row],[Sum of Annuals]]</f>
        <v>0</v>
      </c>
      <c r="AY770" s="4">
        <f>tbl_Data_old[[#This Row],[Avoided Costs ($/unit)]]/tbl_Data_old[[#This Row],[kWh Savings]]*tbl_Data_old[[#This Row],[Sum of Annuals]]</f>
        <v>3.650075515629863</v>
      </c>
      <c r="AZ770" s="4">
        <f>tbl_Data_old[[#This Row],[Lost Revenue ($/unit)]]/tbl_Data_old[[#This Row],[kWh Savings]]*tbl_Data_old[[#This Row],[Sum of Annuals]]</f>
        <v>9.5440082475104582</v>
      </c>
      <c r="BA770" s="4">
        <f>tbl_Data_old[[#This Row],[Incremental Cost ($/unit)]]/tbl_Data_old[[#This Row],[kWh Savings]]*tbl_Data_old[[#This Row],[Sum of Annuals]]</f>
        <v>2.1240227441448383</v>
      </c>
      <c r="BB770">
        <f>ROUNDUP(tbl_Data_old[[#This Row],[Adjusted 2025]]/$L770,0)</f>
        <v>1</v>
      </c>
      <c r="BC770">
        <f>ROUNDUP(tbl_Data_old[[#This Row],[Adjusted 2026]]/$L770,0)</f>
        <v>1</v>
      </c>
      <c r="BD770">
        <f>ROUNDUP(tbl_Data_old[[#This Row],[Adjusted 2027]]/$L770,0)</f>
        <v>1</v>
      </c>
      <c r="BE770">
        <f>ROUNDUP(tbl_Data_old[[#This Row],[Adjusted 2028]]/$L770,0)</f>
        <v>1</v>
      </c>
      <c r="BF770">
        <f>ROUNDUP(tbl_Data_old[[#This Row],[Adjusted 2029]]/$L770,0)</f>
        <v>1</v>
      </c>
      <c r="BG770">
        <f>ROUNDUP(tbl_Data_old[[#This Row],[Adjusted 2030]]/$L770,0)</f>
        <v>1</v>
      </c>
      <c r="BH770">
        <f>ROUNDUP(tbl_Data_old[[#This Row],[Adjusted 2031]]/$L770,0)</f>
        <v>1</v>
      </c>
      <c r="BI770">
        <f>ROUNDUP(tbl_Data_old[[#This Row],[Adjusted 2032]]/$L770,0)</f>
        <v>1</v>
      </c>
      <c r="BJ770">
        <f>ROUNDUP(tbl_Data_old[[#This Row],[Adjusted 2033]]/$L770,0)</f>
        <v>1</v>
      </c>
      <c r="BK770">
        <f>ROUNDUP(tbl_Data_old[[#This Row],[Adjusted 2034]]/$L770,0)</f>
        <v>1</v>
      </c>
      <c r="BL770" s="3">
        <f t="shared" si="52"/>
        <v>9.8007263154016293E-3</v>
      </c>
      <c r="BM770" s="3">
        <f t="shared" si="52"/>
        <v>2.0211920168690646E-2</v>
      </c>
      <c r="BN770" s="3">
        <f t="shared" si="52"/>
        <v>3.1090902516569728E-2</v>
      </c>
      <c r="BO770" s="3">
        <f t="shared" si="52"/>
        <v>4.306560176788074E-2</v>
      </c>
      <c r="BP770" s="3">
        <f t="shared" si="52"/>
        <v>5.528178484887588E-2</v>
      </c>
      <c r="BQ770" s="3">
        <f t="shared" si="52"/>
        <v>6.802270832021784E-2</v>
      </c>
      <c r="BR770" s="3">
        <f t="shared" si="52"/>
        <v>8.1444380245853903E-2</v>
      </c>
      <c r="BS770" s="3">
        <f t="shared" si="52"/>
        <v>9.5154808134058355E-2</v>
      </c>
      <c r="BT770" s="3">
        <f t="shared" si="52"/>
        <v>0.10951961460361921</v>
      </c>
      <c r="BU770" s="3">
        <f t="shared" si="52"/>
        <v>0.12450191836495444</v>
      </c>
      <c r="BV770" t="e">
        <f>VLOOKUP($H770,'1. Set Program Names'!$B$2:$D$15,3,0)*V770</f>
        <v>#N/A</v>
      </c>
      <c r="BW770" t="e">
        <f>VLOOKUP($H770,'1. Set Program Names'!$B$2:$D$15,3,0)*W770</f>
        <v>#N/A</v>
      </c>
      <c r="BX770" t="e">
        <f>VLOOKUP($H770,'1. Set Program Names'!$B$2:$D$15,3,0)*X770</f>
        <v>#N/A</v>
      </c>
      <c r="BY770" t="e">
        <f>VLOOKUP($H770,'1. Set Program Names'!$B$2:$D$15,3,0)*Y770</f>
        <v>#N/A</v>
      </c>
      <c r="BZ770" t="e">
        <f>VLOOKUP($H770,'1. Set Program Names'!$B$2:$D$15,3,0)*Z770</f>
        <v>#N/A</v>
      </c>
      <c r="CA770" t="e">
        <f>VLOOKUP($H770,'1. Set Program Names'!$B$2:$D$15,3,0)*AA770</f>
        <v>#N/A</v>
      </c>
      <c r="CB770" t="e">
        <f>VLOOKUP($H770,'1. Set Program Names'!$B$2:$D$15,3,0)*AB770</f>
        <v>#N/A</v>
      </c>
      <c r="CC770" t="e">
        <f>VLOOKUP($H770,'1. Set Program Names'!$B$2:$D$15,3,0)*AC770</f>
        <v>#N/A</v>
      </c>
      <c r="CD770" t="e">
        <f>VLOOKUP($H770,'1. Set Program Names'!$B$2:$D$15,3,0)*AD770</f>
        <v>#N/A</v>
      </c>
      <c r="CE770" t="e">
        <f>VLOOKUP($H770,'1. Set Program Names'!$B$2:$D$15,3,0)*AE770</f>
        <v>#N/A</v>
      </c>
    </row>
    <row r="771" spans="1:83" x14ac:dyDescent="0.25">
      <c r="A771" s="20" t="s">
        <v>115</v>
      </c>
      <c r="B771" s="20" t="s">
        <v>88</v>
      </c>
      <c r="C771" s="20" t="s">
        <v>176</v>
      </c>
      <c r="D771" s="20" t="s">
        <v>90</v>
      </c>
      <c r="E771" s="20" t="s">
        <v>91</v>
      </c>
      <c r="F771" s="20" t="s">
        <v>90</v>
      </c>
      <c r="G771" s="20" t="s">
        <v>92</v>
      </c>
      <c r="H771" s="20" t="s">
        <v>20</v>
      </c>
      <c r="I771" s="20" t="s">
        <v>155</v>
      </c>
      <c r="J771" s="20" t="s">
        <v>129</v>
      </c>
      <c r="K771" s="20" t="s">
        <v>102</v>
      </c>
      <c r="L771" s="20">
        <v>47228.7699999998</v>
      </c>
      <c r="M771" s="20">
        <v>5.6581998938837703</v>
      </c>
      <c r="N771" s="20">
        <v>5.4505995734426298</v>
      </c>
      <c r="O771" s="20">
        <v>11124</v>
      </c>
      <c r="P771" s="20">
        <v>2435.8852359673701</v>
      </c>
      <c r="Q771" s="20">
        <v>2833.7261999999801</v>
      </c>
      <c r="R771" s="20">
        <v>16918.542729362998</v>
      </c>
      <c r="S771" s="20">
        <v>40712.4661763408</v>
      </c>
      <c r="T771" s="20">
        <v>11</v>
      </c>
      <c r="U771" s="20">
        <v>0.05</v>
      </c>
      <c r="V771" s="20">
        <v>1.9197589452965302E-2</v>
      </c>
      <c r="W771" s="20">
        <v>3.52446037139015E-2</v>
      </c>
      <c r="X771" s="20">
        <v>4.85355686554894E-2</v>
      </c>
      <c r="Y771" s="20">
        <v>5.9617600757732502E-2</v>
      </c>
      <c r="Z771" s="20">
        <v>6.8825656884901595E-2</v>
      </c>
      <c r="AA771" s="20">
        <v>7.6515246855069094E-2</v>
      </c>
      <c r="AB771" s="20">
        <v>8.2989572969679598E-2</v>
      </c>
      <c r="AC771" s="20">
        <v>8.8457210739120995E-2</v>
      </c>
      <c r="AD771" s="20">
        <v>9.3145714257415996E-2</v>
      </c>
      <c r="AE771" s="20">
        <v>9.7211085239758299E-2</v>
      </c>
      <c r="AF771" t="str">
        <f t="shared" si="53"/>
        <v>NonResidential</v>
      </c>
      <c r="AG771" t="str">
        <f>tbl_Data_old[[#This Row],[All_Meas_Name_Append]]</f>
        <v>Smart thermostat</v>
      </c>
      <c r="AH771">
        <f>AVERAGEIFS('3. Incentive Adjustment'!G:G,'3. Incentive Adjustment'!A:A,tbl_Data_old[[#This Row],[Trimmed Sector]],'3. Incentive Adjustment'!B:B,tbl_Data_old[[#This Row],[Trimmed Measure Name]])</f>
        <v>0.87546479230069263</v>
      </c>
      <c r="AI771">
        <f>$AH771*tbl_Data_old[[#This Row],[2025 ]]</f>
        <v>1.6806813663114234E-2</v>
      </c>
      <c r="AJ771">
        <f>$AH771*tbl_Data_old[[#This Row],[2026 ]]</f>
        <v>3.0855409670110998E-2</v>
      </c>
      <c r="AK771">
        <f>$AH771*tbl_Data_old[[#This Row],[2027 ]]</f>
        <v>4.2491181532174037E-2</v>
      </c>
      <c r="AL771">
        <f>$AH771*tbl_Data_old[[#This Row],[2028 ]]</f>
        <v>5.2193110464833901E-2</v>
      </c>
      <c r="AM771">
        <f>$AH771*tbl_Data_old[[#This Row],[2029 ]]</f>
        <v>6.0254439409699108E-2</v>
      </c>
      <c r="AN771">
        <f>$AH771*tbl_Data_old[[#This Row],[2030 ]]</f>
        <v>6.6986404695809285E-2</v>
      </c>
      <c r="AO771">
        <f>$AH771*tbl_Data_old[[#This Row],[2031 ]]</f>
        <v>7.2654449263023724E-2</v>
      </c>
      <c r="AP771">
        <f>$AH771*tbl_Data_old[[#This Row],[2032 ]]</f>
        <v>7.7441173627223164E-2</v>
      </c>
      <c r="AQ771">
        <f>$AH771*tbl_Data_old[[#This Row],[2033 ]]</f>
        <v>8.1545793386068363E-2</v>
      </c>
      <c r="AR771">
        <f>$AH771*tbl_Data_old[[#This Row],[2034 ]]</f>
        <v>8.5104882548749927E-2</v>
      </c>
      <c r="AS771">
        <f>SUM(tbl_Data_old[[#This Row],[Adjusted 2025]:[Adjusted 2034]])</f>
        <v>0.58633365826080674</v>
      </c>
      <c r="AT771" s="3">
        <f>AVERAGEIFS('3. Incentive Adjustment'!F:F,'3. Incentive Adjustment'!A:A,tbl_Data_old[[#This Row],[Trimmed Sector]],'3. Incentive Adjustment'!B:B,tbl_Data_old[[#This Row],[Trimmed Measure Name]])</f>
        <v>50</v>
      </c>
      <c r="AU771" s="3">
        <f>IFERROR(VLOOKUP(tbl_Data_old[[#This Row],[All_Meas_Name_Append]],'IRA Tax Credits'!$A$3:$D$46,4,0),0)</f>
        <v>0</v>
      </c>
      <c r="AV771" s="4">
        <f>tbl_Data_old[[#This Row],[Adj. per unit Incentive ($)]]/tbl_Data_old[[#This Row],[kWh Savings]]*tbl_Data_old[[#This Row],[Sum of Annuals]]</f>
        <v>6.2073780267918181E-4</v>
      </c>
      <c r="AW771" s="4" t="str">
        <f>IFERROR(VLOOKUP(tbl_Data_old[[#This Row],[All_Programs]],'1. Set Program Names'!$B$2:$D$15,3,0)*tbl_Data_old[[#This Row],[Sum of Annuals]],"")</f>
        <v/>
      </c>
      <c r="AX771" s="4">
        <f>tbl_Data_old[[#This Row],[per unit IRA tax ($)]]/tbl_Data_old[[#This Row],[kWh Savings]]*tbl_Data_old[[#This Row],[Sum of Annuals]]</f>
        <v>0</v>
      </c>
      <c r="AY771" s="4">
        <f>tbl_Data_old[[#This Row],[Avoided Costs ($/unit)]]/tbl_Data_old[[#This Row],[kWh Savings]]*tbl_Data_old[[#This Row],[Sum of Annuals]]</f>
        <v>0.21003958076717269</v>
      </c>
      <c r="AZ771" s="4">
        <f>tbl_Data_old[[#This Row],[Lost Revenue ($/unit)]]/tbl_Data_old[[#This Row],[kWh Savings]]*tbl_Data_old[[#This Row],[Sum of Annuals]]</f>
        <v>0.50543533591904599</v>
      </c>
      <c r="BA771" s="4">
        <f>tbl_Data_old[[#This Row],[Incremental Cost ($/unit)]]/tbl_Data_old[[#This Row],[kWh Savings]]*tbl_Data_old[[#This Row],[Sum of Annuals]]</f>
        <v>0.13810174634006436</v>
      </c>
      <c r="BB771">
        <f>ROUNDUP(tbl_Data_old[[#This Row],[Adjusted 2025]]/$L771,0)</f>
        <v>1</v>
      </c>
      <c r="BC771">
        <f>ROUNDUP(tbl_Data_old[[#This Row],[Adjusted 2026]]/$L771,0)</f>
        <v>1</v>
      </c>
      <c r="BD771">
        <f>ROUNDUP(tbl_Data_old[[#This Row],[Adjusted 2027]]/$L771,0)</f>
        <v>1</v>
      </c>
      <c r="BE771">
        <f>ROUNDUP(tbl_Data_old[[#This Row],[Adjusted 2028]]/$L771,0)</f>
        <v>1</v>
      </c>
      <c r="BF771">
        <f>ROUNDUP(tbl_Data_old[[#This Row],[Adjusted 2029]]/$L771,0)</f>
        <v>1</v>
      </c>
      <c r="BG771">
        <f>ROUNDUP(tbl_Data_old[[#This Row],[Adjusted 2030]]/$L771,0)</f>
        <v>1</v>
      </c>
      <c r="BH771">
        <f>ROUNDUP(tbl_Data_old[[#This Row],[Adjusted 2031]]/$L771,0)</f>
        <v>1</v>
      </c>
      <c r="BI771">
        <f>ROUNDUP(tbl_Data_old[[#This Row],[Adjusted 2032]]/$L771,0)</f>
        <v>1</v>
      </c>
      <c r="BJ771">
        <f>ROUNDUP(tbl_Data_old[[#This Row],[Adjusted 2033]]/$L771,0)</f>
        <v>1</v>
      </c>
      <c r="BK771">
        <f>ROUNDUP(tbl_Data_old[[#This Row],[Adjusted 2034]]/$L771,0)</f>
        <v>1</v>
      </c>
      <c r="BL771" s="3">
        <f t="shared" si="52"/>
        <v>2.0324041313129035E-5</v>
      </c>
      <c r="BM771" s="3">
        <f t="shared" si="52"/>
        <v>3.7312641970033994E-5</v>
      </c>
      <c r="BN771" s="3">
        <f t="shared" si="52"/>
        <v>5.138347733329664E-5</v>
      </c>
      <c r="BO771" s="3">
        <f t="shared" si="52"/>
        <v>6.3115766891380784E-5</v>
      </c>
      <c r="BP771" s="3">
        <f t="shared" si="52"/>
        <v>7.2864121683564794E-5</v>
      </c>
      <c r="BQ771" s="3">
        <f t="shared" si="52"/>
        <v>8.1004911683142946E-5</v>
      </c>
      <c r="BR771" s="3">
        <f t="shared" si="52"/>
        <v>8.7859130112513998E-5</v>
      </c>
      <c r="BS771" s="3">
        <f t="shared" si="52"/>
        <v>9.364759101192067E-5</v>
      </c>
      <c r="BT771" s="3">
        <f t="shared" si="52"/>
        <v>9.8611200606554434E-5</v>
      </c>
      <c r="BU771" s="3">
        <f t="shared" si="52"/>
        <v>1.0291511428283938E-4</v>
      </c>
      <c r="BV771" t="e">
        <f>VLOOKUP($H771,'1. Set Program Names'!$B$2:$D$15,3,0)*V771</f>
        <v>#N/A</v>
      </c>
      <c r="BW771" t="e">
        <f>VLOOKUP($H771,'1. Set Program Names'!$B$2:$D$15,3,0)*W771</f>
        <v>#N/A</v>
      </c>
      <c r="BX771" t="e">
        <f>VLOOKUP($H771,'1. Set Program Names'!$B$2:$D$15,3,0)*X771</f>
        <v>#N/A</v>
      </c>
      <c r="BY771" t="e">
        <f>VLOOKUP($H771,'1. Set Program Names'!$B$2:$D$15,3,0)*Y771</f>
        <v>#N/A</v>
      </c>
      <c r="BZ771" t="e">
        <f>VLOOKUP($H771,'1. Set Program Names'!$B$2:$D$15,3,0)*Z771</f>
        <v>#N/A</v>
      </c>
      <c r="CA771" t="e">
        <f>VLOOKUP($H771,'1. Set Program Names'!$B$2:$D$15,3,0)*AA771</f>
        <v>#N/A</v>
      </c>
      <c r="CB771" t="e">
        <f>VLOOKUP($H771,'1. Set Program Names'!$B$2:$D$15,3,0)*AB771</f>
        <v>#N/A</v>
      </c>
      <c r="CC771" t="e">
        <f>VLOOKUP($H771,'1. Set Program Names'!$B$2:$D$15,3,0)*AC771</f>
        <v>#N/A</v>
      </c>
      <c r="CD771" t="e">
        <f>VLOOKUP($H771,'1. Set Program Names'!$B$2:$D$15,3,0)*AD771</f>
        <v>#N/A</v>
      </c>
      <c r="CE771" t="e">
        <f>VLOOKUP($H771,'1. Set Program Names'!$B$2:$D$15,3,0)*AE771</f>
        <v>#N/A</v>
      </c>
    </row>
    <row r="772" spans="1:83" x14ac:dyDescent="0.25">
      <c r="A772" s="20" t="s">
        <v>116</v>
      </c>
      <c r="B772" s="20" t="s">
        <v>88</v>
      </c>
      <c r="C772" s="20" t="s">
        <v>176</v>
      </c>
      <c r="D772" s="20" t="s">
        <v>90</v>
      </c>
      <c r="E772" s="20" t="s">
        <v>91</v>
      </c>
      <c r="F772" s="20" t="s">
        <v>90</v>
      </c>
      <c r="G772" s="20" t="s">
        <v>92</v>
      </c>
      <c r="H772" s="20" t="s">
        <v>20</v>
      </c>
      <c r="I772" s="20" t="s">
        <v>196</v>
      </c>
      <c r="J772" s="20" t="s">
        <v>129</v>
      </c>
      <c r="K772" s="20" t="s">
        <v>102</v>
      </c>
      <c r="L772" s="20">
        <v>450182.94333333202</v>
      </c>
      <c r="M772" s="20">
        <v>53.933758643237098</v>
      </c>
      <c r="N772" s="20">
        <v>51.954919827550498</v>
      </c>
      <c r="O772" s="20">
        <v>125734.46</v>
      </c>
      <c r="P772" s="20">
        <v>37957.822069457201</v>
      </c>
      <c r="Q772" s="20">
        <v>27010.9765999999</v>
      </c>
      <c r="R772" s="20">
        <v>216071.26156350001</v>
      </c>
      <c r="S772" s="20">
        <v>564970.75021643203</v>
      </c>
      <c r="T772" s="20">
        <v>20</v>
      </c>
      <c r="U772" s="20">
        <v>1</v>
      </c>
      <c r="V772" s="20">
        <v>0.112677632681142</v>
      </c>
      <c r="W772" s="20">
        <v>0.11969609588317399</v>
      </c>
      <c r="X772" s="20">
        <v>0.12507419730847799</v>
      </c>
      <c r="Y772" s="20">
        <v>0.13767150722145899</v>
      </c>
      <c r="Z772" s="20">
        <v>0.140447814342373</v>
      </c>
      <c r="AA772" s="20">
        <v>0.146480684055667</v>
      </c>
      <c r="AB772" s="20">
        <v>0.15430715750393101</v>
      </c>
      <c r="AC772" s="20">
        <v>0.15762694598059601</v>
      </c>
      <c r="AD772" s="20">
        <v>0.16515024854528301</v>
      </c>
      <c r="AE772" s="20">
        <v>0.17224953188255801</v>
      </c>
      <c r="AF772" t="str">
        <f t="shared" si="53"/>
        <v>NonResidential</v>
      </c>
      <c r="AG772" t="str">
        <f>tbl_Data_old[[#This Row],[All_Meas_Name_Append]]</f>
        <v>LEED New Construction Whole Building</v>
      </c>
      <c r="AH772">
        <f>AVERAGEIFS('3. Incentive Adjustment'!G:G,'3. Incentive Adjustment'!A:A,tbl_Data_old[[#This Row],[Trimmed Sector]],'3. Incentive Adjustment'!B:B,tbl_Data_old[[#This Row],[Trimmed Measure Name]])</f>
        <v>0.99860907400071952</v>
      </c>
      <c r="AI772">
        <f>$AH772*tbl_Data_old[[#This Row],[2025 ]]</f>
        <v>0.11252090643230843</v>
      </c>
      <c r="AJ772">
        <f>$AH772*tbl_Data_old[[#This Row],[2026 ]]</f>
        <v>0.11952960747139772</v>
      </c>
      <c r="AK772">
        <f>$AH772*tbl_Data_old[[#This Row],[2027 ]]</f>
        <v>0.12490022835560249</v>
      </c>
      <c r="AL772">
        <f>$AH772*tbl_Data_old[[#This Row],[2028 ]]</f>
        <v>0.13748001634270454</v>
      </c>
      <c r="AM772">
        <f>$AH772*tbl_Data_old[[#This Row],[2029 ]]</f>
        <v>0.14025246182586207</v>
      </c>
      <c r="AN772">
        <f>$AH772*tbl_Data_old[[#This Row],[2030 ]]</f>
        <v>0.14627694026382157</v>
      </c>
      <c r="AO772">
        <f>$AH772*tbl_Data_old[[#This Row],[2031 ]]</f>
        <v>0.15409252766668372</v>
      </c>
      <c r="AP772">
        <f>$AH772*tbl_Data_old[[#This Row],[2032 ]]</f>
        <v>0.15740769856324441</v>
      </c>
      <c r="AQ772">
        <f>$AH772*tbl_Data_old[[#This Row],[2033 ]]</f>
        <v>0.16492053677079374</v>
      </c>
      <c r="AR772">
        <f>$AH772*tbl_Data_old[[#This Row],[2034 ]]</f>
        <v>0.17200994553029866</v>
      </c>
      <c r="AS772">
        <f>SUM(tbl_Data_old[[#This Row],[Adjusted 2025]:[Adjusted 2034]])</f>
        <v>1.4293908692227173</v>
      </c>
      <c r="AT772" s="3">
        <f>AVERAGEIFS('3. Incentive Adjustment'!F:F,'3. Incentive Adjustment'!A:A,tbl_Data_old[[#This Row],[Trimmed Sector]],'3. Incentive Adjustment'!B:B,tbl_Data_old[[#This Row],[Trimmed Measure Name]])</f>
        <v>37720.338000000003</v>
      </c>
      <c r="AU772" s="3">
        <f>IFERROR(VLOOKUP(tbl_Data_old[[#This Row],[All_Meas_Name_Append]],'IRA Tax Credits'!$A$3:$D$46,4,0),0)</f>
        <v>0</v>
      </c>
      <c r="AV772" s="4">
        <f>tbl_Data_old[[#This Row],[Adj. per unit Incentive ($)]]/tbl_Data_old[[#This Row],[kWh Savings]]*tbl_Data_old[[#This Row],[Sum of Annuals]]</f>
        <v>0.11976710250719669</v>
      </c>
      <c r="AW772" s="4" t="str">
        <f>IFERROR(VLOOKUP(tbl_Data_old[[#This Row],[All_Programs]],'1. Set Program Names'!$B$2:$D$15,3,0)*tbl_Data_old[[#This Row],[Sum of Annuals]],"")</f>
        <v/>
      </c>
      <c r="AX772" s="4">
        <f>tbl_Data_old[[#This Row],[per unit IRA tax ($)]]/tbl_Data_old[[#This Row],[kWh Savings]]*tbl_Data_old[[#This Row],[Sum of Annuals]]</f>
        <v>0</v>
      </c>
      <c r="AY772" s="4">
        <f>tbl_Data_old[[#This Row],[Avoided Costs ($/unit)]]/tbl_Data_old[[#This Row],[kWh Savings]]*tbl_Data_old[[#This Row],[Sum of Annuals]]</f>
        <v>0.68605506484419665</v>
      </c>
      <c r="AZ772" s="4">
        <f>tbl_Data_old[[#This Row],[Lost Revenue ($/unit)]]/tbl_Data_old[[#This Row],[kWh Savings]]*tbl_Data_old[[#This Row],[Sum of Annuals]]</f>
        <v>1.7938574610529532</v>
      </c>
      <c r="BA772" s="4">
        <f>tbl_Data_old[[#This Row],[Incremental Cost ($/unit)]]/tbl_Data_old[[#This Row],[kWh Savings]]*tbl_Data_old[[#This Row],[Sum of Annuals]]</f>
        <v>0.39922367502398898</v>
      </c>
      <c r="BB772">
        <f>ROUNDUP(tbl_Data_old[[#This Row],[Adjusted 2025]]/$L772,0)</f>
        <v>1</v>
      </c>
      <c r="BC772">
        <f>ROUNDUP(tbl_Data_old[[#This Row],[Adjusted 2026]]/$L772,0)</f>
        <v>1</v>
      </c>
      <c r="BD772">
        <f>ROUNDUP(tbl_Data_old[[#This Row],[Adjusted 2027]]/$L772,0)</f>
        <v>1</v>
      </c>
      <c r="BE772">
        <f>ROUNDUP(tbl_Data_old[[#This Row],[Adjusted 2028]]/$L772,0)</f>
        <v>1</v>
      </c>
      <c r="BF772">
        <f>ROUNDUP(tbl_Data_old[[#This Row],[Adjusted 2029]]/$L772,0)</f>
        <v>1</v>
      </c>
      <c r="BG772">
        <f>ROUNDUP(tbl_Data_old[[#This Row],[Adjusted 2030]]/$L772,0)</f>
        <v>1</v>
      </c>
      <c r="BH772">
        <f>ROUNDUP(tbl_Data_old[[#This Row],[Adjusted 2031]]/$L772,0)</f>
        <v>1</v>
      </c>
      <c r="BI772">
        <f>ROUNDUP(tbl_Data_old[[#This Row],[Adjusted 2032]]/$L772,0)</f>
        <v>1</v>
      </c>
      <c r="BJ772">
        <f>ROUNDUP(tbl_Data_old[[#This Row],[Adjusted 2033]]/$L772,0)</f>
        <v>1</v>
      </c>
      <c r="BK772">
        <f>ROUNDUP(tbl_Data_old[[#This Row],[Adjusted 2034]]/$L772,0)</f>
        <v>1</v>
      </c>
      <c r="BL772" s="3">
        <f t="shared" si="52"/>
        <v>9.4411359930744645E-3</v>
      </c>
      <c r="BM772" s="3">
        <f t="shared" si="52"/>
        <v>1.0029205372738159E-2</v>
      </c>
      <c r="BN772" s="3">
        <f t="shared" si="52"/>
        <v>1.0479830627570482E-2</v>
      </c>
      <c r="BO772" s="3">
        <f t="shared" si="52"/>
        <v>1.1535345490683715E-2</v>
      </c>
      <c r="BP772" s="3">
        <f t="shared" si="52"/>
        <v>1.1767969237414924E-2</v>
      </c>
      <c r="BQ772" s="3">
        <f t="shared" si="52"/>
        <v>1.2273456813222339E-2</v>
      </c>
      <c r="BR772" s="3">
        <f t="shared" si="52"/>
        <v>1.2929228490466793E-2</v>
      </c>
      <c r="BS772" s="3">
        <f t="shared" si="52"/>
        <v>1.3207389947453822E-2</v>
      </c>
      <c r="BT772" s="3">
        <f t="shared" si="52"/>
        <v>1.3837759266902113E-2</v>
      </c>
      <c r="BU772" s="3">
        <f t="shared" si="52"/>
        <v>1.4432600477581881E-2</v>
      </c>
      <c r="BV772" t="e">
        <f>VLOOKUP($H772,'1. Set Program Names'!$B$2:$D$15,3,0)*V772</f>
        <v>#N/A</v>
      </c>
      <c r="BW772" t="e">
        <f>VLOOKUP($H772,'1. Set Program Names'!$B$2:$D$15,3,0)*W772</f>
        <v>#N/A</v>
      </c>
      <c r="BX772" t="e">
        <f>VLOOKUP($H772,'1. Set Program Names'!$B$2:$D$15,3,0)*X772</f>
        <v>#N/A</v>
      </c>
      <c r="BY772" t="e">
        <f>VLOOKUP($H772,'1. Set Program Names'!$B$2:$D$15,3,0)*Y772</f>
        <v>#N/A</v>
      </c>
      <c r="BZ772" t="e">
        <f>VLOOKUP($H772,'1. Set Program Names'!$B$2:$D$15,3,0)*Z772</f>
        <v>#N/A</v>
      </c>
      <c r="CA772" t="e">
        <f>VLOOKUP($H772,'1. Set Program Names'!$B$2:$D$15,3,0)*AA772</f>
        <v>#N/A</v>
      </c>
      <c r="CB772" t="e">
        <f>VLOOKUP($H772,'1. Set Program Names'!$B$2:$D$15,3,0)*AB772</f>
        <v>#N/A</v>
      </c>
      <c r="CC772" t="e">
        <f>VLOOKUP($H772,'1. Set Program Names'!$B$2:$D$15,3,0)*AC772</f>
        <v>#N/A</v>
      </c>
      <c r="CD772" t="e">
        <f>VLOOKUP($H772,'1. Set Program Names'!$B$2:$D$15,3,0)*AD772</f>
        <v>#N/A</v>
      </c>
      <c r="CE772" t="e">
        <f>VLOOKUP($H772,'1. Set Program Names'!$B$2:$D$15,3,0)*AE772</f>
        <v>#N/A</v>
      </c>
    </row>
    <row r="773" spans="1:83" x14ac:dyDescent="0.25">
      <c r="A773" s="20" t="s">
        <v>116</v>
      </c>
      <c r="B773" s="20" t="s">
        <v>88</v>
      </c>
      <c r="C773" s="20" t="s">
        <v>176</v>
      </c>
      <c r="D773" s="20" t="s">
        <v>90</v>
      </c>
      <c r="E773" s="20" t="s">
        <v>91</v>
      </c>
      <c r="F773" s="20" t="s">
        <v>90</v>
      </c>
      <c r="G773" s="20" t="s">
        <v>92</v>
      </c>
      <c r="H773" s="20" t="s">
        <v>20</v>
      </c>
      <c r="I773" s="20" t="s">
        <v>155</v>
      </c>
      <c r="J773" s="20" t="s">
        <v>129</v>
      </c>
      <c r="K773" s="20" t="s">
        <v>102</v>
      </c>
      <c r="L773" s="20">
        <v>47228.7699999998</v>
      </c>
      <c r="M773" s="20">
        <v>5.6581998938837703</v>
      </c>
      <c r="N773" s="20">
        <v>5.4505995734426298</v>
      </c>
      <c r="O773" s="20">
        <v>11124</v>
      </c>
      <c r="P773" s="20">
        <v>2435.8852359673701</v>
      </c>
      <c r="Q773" s="20">
        <v>2833.7261999999801</v>
      </c>
      <c r="R773" s="20">
        <v>16918.542729362998</v>
      </c>
      <c r="S773" s="20">
        <v>40712.4661763408</v>
      </c>
      <c r="T773" s="20">
        <v>11</v>
      </c>
      <c r="U773" s="20">
        <v>0.05</v>
      </c>
      <c r="V773" s="20">
        <v>1.8493226617279399E-2</v>
      </c>
      <c r="W773" s="20">
        <v>1.54582465671163E-2</v>
      </c>
      <c r="X773" s="20">
        <v>1.2803317167986101E-2</v>
      </c>
      <c r="Y773" s="20">
        <v>1.0675430451769099E-2</v>
      </c>
      <c r="Z773" s="20">
        <v>8.8702109752671898E-3</v>
      </c>
      <c r="AA773" s="20">
        <v>7.4074576008969998E-3</v>
      </c>
      <c r="AB773" s="20">
        <v>6.23678198374887E-3</v>
      </c>
      <c r="AC773" s="20">
        <v>5.2670292058911803E-3</v>
      </c>
      <c r="AD773" s="20">
        <v>4.5164815234836498E-3</v>
      </c>
      <c r="AE773" s="20">
        <v>3.9162118266965196E-3</v>
      </c>
      <c r="AF773" t="str">
        <f t="shared" si="53"/>
        <v>NonResidential</v>
      </c>
      <c r="AG773" t="str">
        <f>tbl_Data_old[[#This Row],[All_Meas_Name_Append]]</f>
        <v>Smart thermostat</v>
      </c>
      <c r="AH773">
        <f>AVERAGEIFS('3. Incentive Adjustment'!G:G,'3. Incentive Adjustment'!A:A,tbl_Data_old[[#This Row],[Trimmed Sector]],'3. Incentive Adjustment'!B:B,tbl_Data_old[[#This Row],[Trimmed Measure Name]])</f>
        <v>0.87546479230069263</v>
      </c>
      <c r="AI773">
        <f>$AH773*tbl_Data_old[[#This Row],[2025 ]]</f>
        <v>1.6190168799466151E-2</v>
      </c>
      <c r="AJ773">
        <f>$AH773*tbl_Data_old[[#This Row],[2026 ]]</f>
        <v>1.3533150620213366E-2</v>
      </c>
      <c r="AK773">
        <f>$AH773*tbl_Data_old[[#This Row],[2027 ]]</f>
        <v>1.1208853405230843E-2</v>
      </c>
      <c r="AL773">
        <f>$AH773*tbl_Data_old[[#This Row],[2028 ]]</f>
        <v>9.3459635031785237E-3</v>
      </c>
      <c r="AM773">
        <f>$AH773*tbl_Data_old[[#This Row],[2029 ]]</f>
        <v>7.7655574091256147E-3</v>
      </c>
      <c r="AN773">
        <f>$AH773*tbl_Data_old[[#This Row],[2030 ]]</f>
        <v>6.4849683300454786E-3</v>
      </c>
      <c r="AO773">
        <f>$AH773*tbl_Data_old[[#This Row],[2031 ]]</f>
        <v>5.460083044027406E-3</v>
      </c>
      <c r="AP773">
        <f>$AH773*tbl_Data_old[[#This Row],[2032 ]]</f>
        <v>4.6110986297772045E-3</v>
      </c>
      <c r="AQ773">
        <f>$AH773*tbl_Data_old[[#This Row],[2033 ]]</f>
        <v>3.954020558886529E-3</v>
      </c>
      <c r="AR773">
        <f>$AH773*tbl_Data_old[[#This Row],[2034 ]]</f>
        <v>3.4285055734643846E-3</v>
      </c>
      <c r="AS773">
        <f>SUM(tbl_Data_old[[#This Row],[Adjusted 2025]:[Adjusted 2034]])</f>
        <v>8.198236987341552E-2</v>
      </c>
      <c r="AT773" s="3">
        <f>AVERAGEIFS('3. Incentive Adjustment'!F:F,'3. Incentive Adjustment'!A:A,tbl_Data_old[[#This Row],[Trimmed Sector]],'3. Incentive Adjustment'!B:B,tbl_Data_old[[#This Row],[Trimmed Measure Name]])</f>
        <v>50</v>
      </c>
      <c r="AU773" s="3">
        <f>IFERROR(VLOOKUP(tbl_Data_old[[#This Row],[All_Meas_Name_Append]],'IRA Tax Credits'!$A$3:$D$46,4,0),0)</f>
        <v>0</v>
      </c>
      <c r="AV773" s="4">
        <f>tbl_Data_old[[#This Row],[Adj. per unit Incentive ($)]]/tbl_Data_old[[#This Row],[kWh Savings]]*tbl_Data_old[[#This Row],[Sum of Annuals]]</f>
        <v>8.6792827627541294E-5</v>
      </c>
      <c r="AW773" s="4" t="str">
        <f>IFERROR(VLOOKUP(tbl_Data_old[[#This Row],[All_Programs]],'1. Set Program Names'!$B$2:$D$15,3,0)*tbl_Data_old[[#This Row],[Sum of Annuals]],"")</f>
        <v/>
      </c>
      <c r="AX773" s="4">
        <f>tbl_Data_old[[#This Row],[per unit IRA tax ($)]]/tbl_Data_old[[#This Row],[kWh Savings]]*tbl_Data_old[[#This Row],[Sum of Annuals]]</f>
        <v>0</v>
      </c>
      <c r="AY773" s="4">
        <f>tbl_Data_old[[#This Row],[Avoided Costs ($/unit)]]/tbl_Data_old[[#This Row],[kWh Savings]]*tbl_Data_old[[#This Row],[Sum of Annuals]]</f>
        <v>2.9368163256375892E-2</v>
      </c>
      <c r="AZ773" s="4">
        <f>tbl_Data_old[[#This Row],[Lost Revenue ($/unit)]]/tbl_Data_old[[#This Row],[kWh Savings]]*tbl_Data_old[[#This Row],[Sum of Annuals]]</f>
        <v>7.0671001182705043E-2</v>
      </c>
      <c r="BA773" s="4">
        <f>tbl_Data_old[[#This Row],[Incremental Cost ($/unit)]]/tbl_Data_old[[#This Row],[kWh Savings]]*tbl_Data_old[[#This Row],[Sum of Annuals]]</f>
        <v>1.9309668290575385E-2</v>
      </c>
      <c r="BB773">
        <f>ROUNDUP(tbl_Data_old[[#This Row],[Adjusted 2025]]/$L773,0)</f>
        <v>1</v>
      </c>
      <c r="BC773">
        <f>ROUNDUP(tbl_Data_old[[#This Row],[Adjusted 2026]]/$L773,0)</f>
        <v>1</v>
      </c>
      <c r="BD773">
        <f>ROUNDUP(tbl_Data_old[[#This Row],[Adjusted 2027]]/$L773,0)</f>
        <v>1</v>
      </c>
      <c r="BE773">
        <f>ROUNDUP(tbl_Data_old[[#This Row],[Adjusted 2028]]/$L773,0)</f>
        <v>1</v>
      </c>
      <c r="BF773">
        <f>ROUNDUP(tbl_Data_old[[#This Row],[Adjusted 2029]]/$L773,0)</f>
        <v>1</v>
      </c>
      <c r="BG773">
        <f>ROUNDUP(tbl_Data_old[[#This Row],[Adjusted 2030]]/$L773,0)</f>
        <v>1</v>
      </c>
      <c r="BH773">
        <f>ROUNDUP(tbl_Data_old[[#This Row],[Adjusted 2031]]/$L773,0)</f>
        <v>1</v>
      </c>
      <c r="BI773">
        <f>ROUNDUP(tbl_Data_old[[#This Row],[Adjusted 2032]]/$L773,0)</f>
        <v>1</v>
      </c>
      <c r="BJ773">
        <f>ROUNDUP(tbl_Data_old[[#This Row],[Adjusted 2033]]/$L773,0)</f>
        <v>1</v>
      </c>
      <c r="BK773">
        <f>ROUNDUP(tbl_Data_old[[#This Row],[Adjusted 2034]]/$L773,0)</f>
        <v>1</v>
      </c>
      <c r="BL773" s="3">
        <f t="shared" si="52"/>
        <v>1.9578348766312862E-5</v>
      </c>
      <c r="BM773" s="3">
        <f t="shared" si="52"/>
        <v>1.6365285997408322E-5</v>
      </c>
      <c r="BN773" s="3">
        <f t="shared" si="52"/>
        <v>1.3554574010699576E-5</v>
      </c>
      <c r="BO773" s="3">
        <f t="shared" si="52"/>
        <v>1.1301829850501236E-5</v>
      </c>
      <c r="BP773" s="3">
        <f t="shared" si="52"/>
        <v>9.3906859899879111E-6</v>
      </c>
      <c r="BQ773" s="3">
        <f t="shared" si="52"/>
        <v>7.8421030241704703E-6</v>
      </c>
      <c r="BR773" s="3">
        <f t="shared" si="52"/>
        <v>6.6027359846010143E-6</v>
      </c>
      <c r="BS773" s="3">
        <f t="shared" si="52"/>
        <v>5.576081280426319E-6</v>
      </c>
      <c r="BT773" s="3">
        <f t="shared" si="52"/>
        <v>4.7814939108976042E-6</v>
      </c>
      <c r="BU773" s="3">
        <f t="shared" si="52"/>
        <v>4.1460023484589337E-6</v>
      </c>
      <c r="BV773" t="e">
        <f>VLOOKUP($H773,'1. Set Program Names'!$B$2:$D$15,3,0)*V773</f>
        <v>#N/A</v>
      </c>
      <c r="BW773" t="e">
        <f>VLOOKUP($H773,'1. Set Program Names'!$B$2:$D$15,3,0)*W773</f>
        <v>#N/A</v>
      </c>
      <c r="BX773" t="e">
        <f>VLOOKUP($H773,'1. Set Program Names'!$B$2:$D$15,3,0)*X773</f>
        <v>#N/A</v>
      </c>
      <c r="BY773" t="e">
        <f>VLOOKUP($H773,'1. Set Program Names'!$B$2:$D$15,3,0)*Y773</f>
        <v>#N/A</v>
      </c>
      <c r="BZ773" t="e">
        <f>VLOOKUP($H773,'1. Set Program Names'!$B$2:$D$15,3,0)*Z773</f>
        <v>#N/A</v>
      </c>
      <c r="CA773" t="e">
        <f>VLOOKUP($H773,'1. Set Program Names'!$B$2:$D$15,3,0)*AA773</f>
        <v>#N/A</v>
      </c>
      <c r="CB773" t="e">
        <f>VLOOKUP($H773,'1. Set Program Names'!$B$2:$D$15,3,0)*AB773</f>
        <v>#N/A</v>
      </c>
      <c r="CC773" t="e">
        <f>VLOOKUP($H773,'1. Set Program Names'!$B$2:$D$15,3,0)*AC773</f>
        <v>#N/A</v>
      </c>
      <c r="CD773" t="e">
        <f>VLOOKUP($H773,'1. Set Program Names'!$B$2:$D$15,3,0)*AD773</f>
        <v>#N/A</v>
      </c>
      <c r="CE773" t="e">
        <f>VLOOKUP($H773,'1. Set Program Names'!$B$2:$D$15,3,0)*AE773</f>
        <v>#N/A</v>
      </c>
    </row>
    <row r="774" spans="1:83" x14ac:dyDescent="0.25">
      <c r="A774" s="20" t="s">
        <v>117</v>
      </c>
      <c r="B774" s="20" t="s">
        <v>88</v>
      </c>
      <c r="C774" s="20" t="s">
        <v>176</v>
      </c>
      <c r="D774" s="20" t="s">
        <v>90</v>
      </c>
      <c r="E774" s="20" t="s">
        <v>91</v>
      </c>
      <c r="F774" s="20" t="s">
        <v>90</v>
      </c>
      <c r="G774" s="20" t="s">
        <v>92</v>
      </c>
      <c r="H774" s="20" t="s">
        <v>20</v>
      </c>
      <c r="I774" s="20" t="s">
        <v>196</v>
      </c>
      <c r="J774" s="20" t="s">
        <v>129</v>
      </c>
      <c r="K774" s="20" t="s">
        <v>102</v>
      </c>
      <c r="L774" s="20">
        <v>450182.94333333202</v>
      </c>
      <c r="M774" s="20">
        <v>53.933758643237098</v>
      </c>
      <c r="N774" s="20">
        <v>51.954919827550498</v>
      </c>
      <c r="O774" s="20">
        <v>125734.46</v>
      </c>
      <c r="P774" s="20">
        <v>37957.822069457201</v>
      </c>
      <c r="Q774" s="20">
        <v>27010.9765999999</v>
      </c>
      <c r="R774" s="20">
        <v>216071.26156350001</v>
      </c>
      <c r="S774" s="20">
        <v>564970.75021643203</v>
      </c>
      <c r="T774" s="20">
        <v>20</v>
      </c>
      <c r="U774" s="20">
        <v>1</v>
      </c>
      <c r="V774" s="20">
        <v>0.112677632681142</v>
      </c>
      <c r="W774" s="20">
        <v>0.23237372856431601</v>
      </c>
      <c r="X774" s="20">
        <v>0.357447925872795</v>
      </c>
      <c r="Y774" s="20">
        <v>0.49511943309425399</v>
      </c>
      <c r="Z774" s="20">
        <v>0.63556724743662796</v>
      </c>
      <c r="AA774" s="20">
        <v>0.78204793149229501</v>
      </c>
      <c r="AB774" s="20">
        <v>0.93635508899622699</v>
      </c>
      <c r="AC774" s="20">
        <v>1.0939820349768199</v>
      </c>
      <c r="AD774" s="20">
        <v>1.2591322835220999</v>
      </c>
      <c r="AE774" s="20">
        <v>1.43138181540466</v>
      </c>
      <c r="AF774" t="str">
        <f t="shared" si="53"/>
        <v>NonResidential</v>
      </c>
      <c r="AG774" t="str">
        <f>tbl_Data_old[[#This Row],[All_Meas_Name_Append]]</f>
        <v>LEED New Construction Whole Building</v>
      </c>
      <c r="AH774">
        <f>AVERAGEIFS('3. Incentive Adjustment'!G:G,'3. Incentive Adjustment'!A:A,tbl_Data_old[[#This Row],[Trimmed Sector]],'3. Incentive Adjustment'!B:B,tbl_Data_old[[#This Row],[Trimmed Measure Name]])</f>
        <v>0.99860907400071952</v>
      </c>
      <c r="AI774">
        <f>$AH774*tbl_Data_old[[#This Row],[2025 ]]</f>
        <v>0.11252090643230843</v>
      </c>
      <c r="AJ774">
        <f>$AH774*tbl_Data_old[[#This Row],[2026 ]]</f>
        <v>0.23205051390370615</v>
      </c>
      <c r="AK774">
        <f>$AH774*tbl_Data_old[[#This Row],[2027 ]]</f>
        <v>0.35695074225930967</v>
      </c>
      <c r="AL774">
        <f>$AH774*tbl_Data_old[[#This Row],[2028 ]]</f>
        <v>0.49443075860201419</v>
      </c>
      <c r="AM774">
        <f>$AH774*tbl_Data_old[[#This Row],[2029 ]]</f>
        <v>0.63468322042787717</v>
      </c>
      <c r="AN774">
        <f>$AH774*tbl_Data_old[[#This Row],[2030 ]]</f>
        <v>0.78096016069169882</v>
      </c>
      <c r="AO774">
        <f>$AH774*tbl_Data_old[[#This Row],[2031 ]]</f>
        <v>0.93505268835838351</v>
      </c>
      <c r="AP774">
        <f>$AH774*tbl_Data_old[[#This Row],[2032 ]]</f>
        <v>1.0924603869216249</v>
      </c>
      <c r="AQ774">
        <f>$AH774*tbl_Data_old[[#This Row],[2033 ]]</f>
        <v>1.2573809236924156</v>
      </c>
      <c r="AR774">
        <f>$AH774*tbl_Data_old[[#This Row],[2034 ]]</f>
        <v>1.4293908692227164</v>
      </c>
      <c r="AS774">
        <f>SUM(tbl_Data_old[[#This Row],[Adjusted 2025]:[Adjusted 2034]])</f>
        <v>7.325881170512055</v>
      </c>
      <c r="AT774" s="3">
        <f>AVERAGEIFS('3. Incentive Adjustment'!F:F,'3. Incentive Adjustment'!A:A,tbl_Data_old[[#This Row],[Trimmed Sector]],'3. Incentive Adjustment'!B:B,tbl_Data_old[[#This Row],[Trimmed Measure Name]])</f>
        <v>37720.338000000003</v>
      </c>
      <c r="AU774" s="3">
        <f>IFERROR(VLOOKUP(tbl_Data_old[[#This Row],[All_Meas_Name_Append]],'IRA Tax Credits'!$A$3:$D$46,4,0),0)</f>
        <v>0</v>
      </c>
      <c r="AV774" s="4">
        <f>tbl_Data_old[[#This Row],[Adj. per unit Incentive ($)]]/tbl_Data_old[[#This Row],[kWh Savings]]*tbl_Data_old[[#This Row],[Sum of Annuals]]</f>
        <v>0.61382759607340776</v>
      </c>
      <c r="AW774" s="4" t="str">
        <f>IFERROR(VLOOKUP(tbl_Data_old[[#This Row],[All_Programs]],'1. Set Program Names'!$B$2:$D$15,3,0)*tbl_Data_old[[#This Row],[Sum of Annuals]],"")</f>
        <v/>
      </c>
      <c r="AX774" s="4">
        <f>tbl_Data_old[[#This Row],[per unit IRA tax ($)]]/tbl_Data_old[[#This Row],[kWh Savings]]*tbl_Data_old[[#This Row],[Sum of Annuals]]</f>
        <v>0</v>
      </c>
      <c r="AY774" s="4">
        <f>tbl_Data_old[[#This Row],[Avoided Costs ($/unit)]]/tbl_Data_old[[#This Row],[kWh Savings]]*tbl_Data_old[[#This Row],[Sum of Annuals]]</f>
        <v>3.5161536215839773</v>
      </c>
      <c r="AZ774" s="4">
        <f>tbl_Data_old[[#This Row],[Lost Revenue ($/unit)]]/tbl_Data_old[[#This Row],[kWh Savings]]*tbl_Data_old[[#This Row],[Sum of Annuals]]</f>
        <v>9.193836954937737</v>
      </c>
      <c r="BA774" s="4">
        <f>tbl_Data_old[[#This Row],[Incremental Cost ($/unit)]]/tbl_Data_old[[#This Row],[kWh Savings]]*tbl_Data_old[[#This Row],[Sum of Annuals]]</f>
        <v>2.0460919869113594</v>
      </c>
      <c r="BB774">
        <f>ROUNDUP(tbl_Data_old[[#This Row],[Adjusted 2025]]/$L774,0)</f>
        <v>1</v>
      </c>
      <c r="BC774">
        <f>ROUNDUP(tbl_Data_old[[#This Row],[Adjusted 2026]]/$L774,0)</f>
        <v>1</v>
      </c>
      <c r="BD774">
        <f>ROUNDUP(tbl_Data_old[[#This Row],[Adjusted 2027]]/$L774,0)</f>
        <v>1</v>
      </c>
      <c r="BE774">
        <f>ROUNDUP(tbl_Data_old[[#This Row],[Adjusted 2028]]/$L774,0)</f>
        <v>1</v>
      </c>
      <c r="BF774">
        <f>ROUNDUP(tbl_Data_old[[#This Row],[Adjusted 2029]]/$L774,0)</f>
        <v>1</v>
      </c>
      <c r="BG774">
        <f>ROUNDUP(tbl_Data_old[[#This Row],[Adjusted 2030]]/$L774,0)</f>
        <v>1</v>
      </c>
      <c r="BH774">
        <f>ROUNDUP(tbl_Data_old[[#This Row],[Adjusted 2031]]/$L774,0)</f>
        <v>1</v>
      </c>
      <c r="BI774">
        <f>ROUNDUP(tbl_Data_old[[#This Row],[Adjusted 2032]]/$L774,0)</f>
        <v>1</v>
      </c>
      <c r="BJ774">
        <f>ROUNDUP(tbl_Data_old[[#This Row],[Adjusted 2033]]/$L774,0)</f>
        <v>1</v>
      </c>
      <c r="BK774">
        <f>ROUNDUP(tbl_Data_old[[#This Row],[Adjusted 2034]]/$L774,0)</f>
        <v>1</v>
      </c>
      <c r="BL774" s="3">
        <f t="shared" si="52"/>
        <v>9.4411359930744645E-3</v>
      </c>
      <c r="BM774" s="3">
        <f t="shared" si="52"/>
        <v>1.9470341365812625E-2</v>
      </c>
      <c r="BN774" s="3">
        <f t="shared" si="52"/>
        <v>2.9950171993383193E-2</v>
      </c>
      <c r="BO774" s="3">
        <f t="shared" si="52"/>
        <v>4.1485517484066904E-2</v>
      </c>
      <c r="BP774" s="3">
        <f t="shared" si="52"/>
        <v>5.3253486721481912E-2</v>
      </c>
      <c r="BQ774" s="3">
        <f t="shared" si="52"/>
        <v>6.5526943534704257E-2</v>
      </c>
      <c r="BR774" s="3">
        <f t="shared" si="52"/>
        <v>7.8456172025171134E-2</v>
      </c>
      <c r="BS774" s="3">
        <f t="shared" si="52"/>
        <v>9.1663561972624694E-2</v>
      </c>
      <c r="BT774" s="3">
        <f t="shared" si="52"/>
        <v>0.10550132123952656</v>
      </c>
      <c r="BU774" s="3">
        <f t="shared" si="52"/>
        <v>0.11993392171710861</v>
      </c>
      <c r="BV774" t="e">
        <f>VLOOKUP($H774,'1. Set Program Names'!$B$2:$D$15,3,0)*V774</f>
        <v>#N/A</v>
      </c>
      <c r="BW774" t="e">
        <f>VLOOKUP($H774,'1. Set Program Names'!$B$2:$D$15,3,0)*W774</f>
        <v>#N/A</v>
      </c>
      <c r="BX774" t="e">
        <f>VLOOKUP($H774,'1. Set Program Names'!$B$2:$D$15,3,0)*X774</f>
        <v>#N/A</v>
      </c>
      <c r="BY774" t="e">
        <f>VLOOKUP($H774,'1. Set Program Names'!$B$2:$D$15,3,0)*Y774</f>
        <v>#N/A</v>
      </c>
      <c r="BZ774" t="e">
        <f>VLOOKUP($H774,'1. Set Program Names'!$B$2:$D$15,3,0)*Z774</f>
        <v>#N/A</v>
      </c>
      <c r="CA774" t="e">
        <f>VLOOKUP($H774,'1. Set Program Names'!$B$2:$D$15,3,0)*AA774</f>
        <v>#N/A</v>
      </c>
      <c r="CB774" t="e">
        <f>VLOOKUP($H774,'1. Set Program Names'!$B$2:$D$15,3,0)*AB774</f>
        <v>#N/A</v>
      </c>
      <c r="CC774" t="e">
        <f>VLOOKUP($H774,'1. Set Program Names'!$B$2:$D$15,3,0)*AC774</f>
        <v>#N/A</v>
      </c>
      <c r="CD774" t="e">
        <f>VLOOKUP($H774,'1. Set Program Names'!$B$2:$D$15,3,0)*AD774</f>
        <v>#N/A</v>
      </c>
      <c r="CE774" t="e">
        <f>VLOOKUP($H774,'1. Set Program Names'!$B$2:$D$15,3,0)*AE774</f>
        <v>#N/A</v>
      </c>
    </row>
    <row r="775" spans="1:83" x14ac:dyDescent="0.25">
      <c r="A775" s="20" t="s">
        <v>117</v>
      </c>
      <c r="B775" s="20" t="s">
        <v>88</v>
      </c>
      <c r="C775" s="20" t="s">
        <v>176</v>
      </c>
      <c r="D775" s="20" t="s">
        <v>90</v>
      </c>
      <c r="E775" s="20" t="s">
        <v>91</v>
      </c>
      <c r="F775" s="20" t="s">
        <v>90</v>
      </c>
      <c r="G775" s="20" t="s">
        <v>92</v>
      </c>
      <c r="H775" s="20" t="s">
        <v>20</v>
      </c>
      <c r="I775" s="20" t="s">
        <v>155</v>
      </c>
      <c r="J775" s="20" t="s">
        <v>129</v>
      </c>
      <c r="K775" s="20" t="s">
        <v>102</v>
      </c>
      <c r="L775" s="20">
        <v>47228.7699999998</v>
      </c>
      <c r="M775" s="20">
        <v>5.6581998938837703</v>
      </c>
      <c r="N775" s="20">
        <v>5.4505995734426298</v>
      </c>
      <c r="O775" s="20">
        <v>11124</v>
      </c>
      <c r="P775" s="20">
        <v>2435.8852359673701</v>
      </c>
      <c r="Q775" s="20">
        <v>2833.7261999999801</v>
      </c>
      <c r="R775" s="20">
        <v>16918.542729362998</v>
      </c>
      <c r="S775" s="20">
        <v>40712.4661763408</v>
      </c>
      <c r="T775" s="20">
        <v>11</v>
      </c>
      <c r="U775" s="20">
        <v>0.05</v>
      </c>
      <c r="V775" s="20">
        <v>1.8493226617279399E-2</v>
      </c>
      <c r="W775" s="20">
        <v>3.39514731843958E-2</v>
      </c>
      <c r="X775" s="20">
        <v>4.6754790352382003E-2</v>
      </c>
      <c r="Y775" s="20">
        <v>5.7430220804151097E-2</v>
      </c>
      <c r="Z775" s="20">
        <v>6.6300431779418301E-2</v>
      </c>
      <c r="AA775" s="20">
        <v>7.3707889380315306E-2</v>
      </c>
      <c r="AB775" s="20">
        <v>7.9944671364064204E-2</v>
      </c>
      <c r="AC775" s="20">
        <v>8.5211700569955404E-2</v>
      </c>
      <c r="AD775" s="20">
        <v>8.9728182093438996E-2</v>
      </c>
      <c r="AE775" s="20">
        <v>9.3644393920135599E-2</v>
      </c>
      <c r="AF775" t="str">
        <f t="shared" si="53"/>
        <v>NonResidential</v>
      </c>
      <c r="AG775" t="str">
        <f>tbl_Data_old[[#This Row],[All_Meas_Name_Append]]</f>
        <v>Smart thermostat</v>
      </c>
      <c r="AH775">
        <f>AVERAGEIFS('3. Incentive Adjustment'!G:G,'3. Incentive Adjustment'!A:A,tbl_Data_old[[#This Row],[Trimmed Sector]],'3. Incentive Adjustment'!B:B,tbl_Data_old[[#This Row],[Trimmed Measure Name]])</f>
        <v>0.87546479230069263</v>
      </c>
      <c r="AI775">
        <f>$AH775*tbl_Data_old[[#This Row],[2025 ]]</f>
        <v>1.6190168799466151E-2</v>
      </c>
      <c r="AJ775">
        <f>$AH775*tbl_Data_old[[#This Row],[2026 ]]</f>
        <v>2.9723319419679605E-2</v>
      </c>
      <c r="AK775">
        <f>$AH775*tbl_Data_old[[#This Row],[2027 ]]</f>
        <v>4.0932172824910538E-2</v>
      </c>
      <c r="AL775">
        <f>$AH775*tbl_Data_old[[#This Row],[2028 ]]</f>
        <v>5.0278136328089057E-2</v>
      </c>
      <c r="AM775">
        <f>$AH775*tbl_Data_old[[#This Row],[2029 ]]</f>
        <v>5.8043693737214686E-2</v>
      </c>
      <c r="AN775">
        <f>$AH775*tbl_Data_old[[#This Row],[2030 ]]</f>
        <v>6.452866206726017E-2</v>
      </c>
      <c r="AO775">
        <f>$AH775*tbl_Data_old[[#This Row],[2031 ]]</f>
        <v>6.9988745111287595E-2</v>
      </c>
      <c r="AP775">
        <f>$AH775*tbl_Data_old[[#This Row],[2032 ]]</f>
        <v>7.459984374106482E-2</v>
      </c>
      <c r="AQ775">
        <f>$AH775*tbl_Data_old[[#This Row],[2033 ]]</f>
        <v>7.8553864299951301E-2</v>
      </c>
      <c r="AR775">
        <f>$AH775*tbl_Data_old[[#This Row],[2034 ]]</f>
        <v>8.1982369873415756E-2</v>
      </c>
      <c r="AS775">
        <f>SUM(tbl_Data_old[[#This Row],[Adjusted 2025]:[Adjusted 2034]])</f>
        <v>0.56482097620233973</v>
      </c>
      <c r="AT775" s="3">
        <f>AVERAGEIFS('3. Incentive Adjustment'!F:F,'3. Incentive Adjustment'!A:A,tbl_Data_old[[#This Row],[Trimmed Sector]],'3. Incentive Adjustment'!B:B,tbl_Data_old[[#This Row],[Trimmed Measure Name]])</f>
        <v>50</v>
      </c>
      <c r="AU775" s="3">
        <f>IFERROR(VLOOKUP(tbl_Data_old[[#This Row],[All_Meas_Name_Append]],'IRA Tax Credits'!$A$3:$D$46,4,0),0)</f>
        <v>0</v>
      </c>
      <c r="AV775" s="4">
        <f>tbl_Data_old[[#This Row],[Adj. per unit Incentive ($)]]/tbl_Data_old[[#This Row],[kWh Savings]]*tbl_Data_old[[#This Row],[Sum of Annuals]]</f>
        <v>5.9796282668629966E-4</v>
      </c>
      <c r="AW775" s="4" t="str">
        <f>IFERROR(VLOOKUP(tbl_Data_old[[#This Row],[All_Programs]],'1. Set Program Names'!$B$2:$D$15,3,0)*tbl_Data_old[[#This Row],[Sum of Annuals]],"")</f>
        <v/>
      </c>
      <c r="AX775" s="4">
        <f>tbl_Data_old[[#This Row],[per unit IRA tax ($)]]/tbl_Data_old[[#This Row],[kWh Savings]]*tbl_Data_old[[#This Row],[Sum of Annuals]]</f>
        <v>0</v>
      </c>
      <c r="AY775" s="4">
        <f>tbl_Data_old[[#This Row],[Avoided Costs ($/unit)]]/tbl_Data_old[[#This Row],[kWh Savings]]*tbl_Data_old[[#This Row],[Sum of Annuals]]</f>
        <v>0.2023331926772568</v>
      </c>
      <c r="AZ775" s="4">
        <f>tbl_Data_old[[#This Row],[Lost Revenue ($/unit)]]/tbl_Data_old[[#This Row],[kWh Savings]]*tbl_Data_old[[#This Row],[Sum of Annuals]]</f>
        <v>0.48689082712350218</v>
      </c>
      <c r="BA775" s="4">
        <f>tbl_Data_old[[#This Row],[Incremental Cost ($/unit)]]/tbl_Data_old[[#This Row],[kWh Savings]]*tbl_Data_old[[#This Row],[Sum of Annuals]]</f>
        <v>0.13303476968116792</v>
      </c>
      <c r="BB775">
        <f>ROUNDUP(tbl_Data_old[[#This Row],[Adjusted 2025]]/$L775,0)</f>
        <v>1</v>
      </c>
      <c r="BC775">
        <f>ROUNDUP(tbl_Data_old[[#This Row],[Adjusted 2026]]/$L775,0)</f>
        <v>1</v>
      </c>
      <c r="BD775">
        <f>ROUNDUP(tbl_Data_old[[#This Row],[Adjusted 2027]]/$L775,0)</f>
        <v>1</v>
      </c>
      <c r="BE775">
        <f>ROUNDUP(tbl_Data_old[[#This Row],[Adjusted 2028]]/$L775,0)</f>
        <v>1</v>
      </c>
      <c r="BF775">
        <f>ROUNDUP(tbl_Data_old[[#This Row],[Adjusted 2029]]/$L775,0)</f>
        <v>1</v>
      </c>
      <c r="BG775">
        <f>ROUNDUP(tbl_Data_old[[#This Row],[Adjusted 2030]]/$L775,0)</f>
        <v>1</v>
      </c>
      <c r="BH775">
        <f>ROUNDUP(tbl_Data_old[[#This Row],[Adjusted 2031]]/$L775,0)</f>
        <v>1</v>
      </c>
      <c r="BI775">
        <f>ROUNDUP(tbl_Data_old[[#This Row],[Adjusted 2032]]/$L775,0)</f>
        <v>1</v>
      </c>
      <c r="BJ775">
        <f>ROUNDUP(tbl_Data_old[[#This Row],[Adjusted 2033]]/$L775,0)</f>
        <v>1</v>
      </c>
      <c r="BK775">
        <f>ROUNDUP(tbl_Data_old[[#This Row],[Adjusted 2034]]/$L775,0)</f>
        <v>1</v>
      </c>
      <c r="BL775" s="3">
        <f t="shared" si="52"/>
        <v>1.9578348766312862E-5</v>
      </c>
      <c r="BM775" s="3">
        <f t="shared" si="52"/>
        <v>3.5943634763721293E-5</v>
      </c>
      <c r="BN775" s="3">
        <f t="shared" si="52"/>
        <v>4.9498208774420975E-5</v>
      </c>
      <c r="BO775" s="3">
        <f t="shared" si="52"/>
        <v>6.0800038624922204E-5</v>
      </c>
      <c r="BP775" s="3">
        <f t="shared" si="52"/>
        <v>7.0190724614910139E-5</v>
      </c>
      <c r="BQ775" s="3">
        <f t="shared" si="52"/>
        <v>7.8032827639080602E-5</v>
      </c>
      <c r="BR775" s="3">
        <f t="shared" si="52"/>
        <v>8.4635563623681654E-5</v>
      </c>
      <c r="BS775" s="3">
        <f t="shared" si="52"/>
        <v>9.0211644904107988E-5</v>
      </c>
      <c r="BT775" s="3">
        <f t="shared" si="52"/>
        <v>9.4993138815005541E-5</v>
      </c>
      <c r="BU775" s="3">
        <f t="shared" si="52"/>
        <v>9.9139141163464558E-5</v>
      </c>
      <c r="BV775" t="e">
        <f>VLOOKUP($H775,'1. Set Program Names'!$B$2:$D$15,3,0)*V775</f>
        <v>#N/A</v>
      </c>
      <c r="BW775" t="e">
        <f>VLOOKUP($H775,'1. Set Program Names'!$B$2:$D$15,3,0)*W775</f>
        <v>#N/A</v>
      </c>
      <c r="BX775" t="e">
        <f>VLOOKUP($H775,'1. Set Program Names'!$B$2:$D$15,3,0)*X775</f>
        <v>#N/A</v>
      </c>
      <c r="BY775" t="e">
        <f>VLOOKUP($H775,'1. Set Program Names'!$B$2:$D$15,3,0)*Y775</f>
        <v>#N/A</v>
      </c>
      <c r="BZ775" t="e">
        <f>VLOOKUP($H775,'1. Set Program Names'!$B$2:$D$15,3,0)*Z775</f>
        <v>#N/A</v>
      </c>
      <c r="CA775" t="e">
        <f>VLOOKUP($H775,'1. Set Program Names'!$B$2:$D$15,3,0)*AA775</f>
        <v>#N/A</v>
      </c>
      <c r="CB775" t="e">
        <f>VLOOKUP($H775,'1. Set Program Names'!$B$2:$D$15,3,0)*AB775</f>
        <v>#N/A</v>
      </c>
      <c r="CC775" t="e">
        <f>VLOOKUP($H775,'1. Set Program Names'!$B$2:$D$15,3,0)*AC775</f>
        <v>#N/A</v>
      </c>
      <c r="CD775" t="e">
        <f>VLOOKUP($H775,'1. Set Program Names'!$B$2:$D$15,3,0)*AD775</f>
        <v>#N/A</v>
      </c>
      <c r="CE775" t="e">
        <f>VLOOKUP($H775,'1. Set Program Names'!$B$2:$D$15,3,0)*AE775</f>
        <v>#N/A</v>
      </c>
    </row>
    <row r="776" spans="1:83" x14ac:dyDescent="0.25">
      <c r="A776" s="20" t="s">
        <v>87</v>
      </c>
      <c r="B776" s="20" t="s">
        <v>88</v>
      </c>
      <c r="C776" s="20" t="s">
        <v>176</v>
      </c>
      <c r="D776" s="20" t="s">
        <v>90</v>
      </c>
      <c r="E776" s="20" t="s">
        <v>91</v>
      </c>
      <c r="F776" s="20" t="s">
        <v>90</v>
      </c>
      <c r="G776" s="20" t="s">
        <v>92</v>
      </c>
      <c r="H776" s="20" t="s">
        <v>268</v>
      </c>
      <c r="I776" s="20" t="s">
        <v>179</v>
      </c>
      <c r="J776" s="20" t="s">
        <v>180</v>
      </c>
      <c r="K776" s="20" t="s">
        <v>98</v>
      </c>
      <c r="L776" s="20">
        <v>2684</v>
      </c>
      <c r="M776" s="20">
        <v>0.32197664062426901</v>
      </c>
      <c r="N776" s="20">
        <v>0.310035778837426</v>
      </c>
      <c r="O776" s="20">
        <v>1119</v>
      </c>
      <c r="P776" s="20">
        <v>579.10793250784297</v>
      </c>
      <c r="Q776" s="20">
        <v>2.6840000000000002</v>
      </c>
      <c r="R776" s="20">
        <v>1432.5808011563199</v>
      </c>
      <c r="S776" s="20">
        <v>4046.00364167834</v>
      </c>
      <c r="T776" s="20">
        <v>30</v>
      </c>
      <c r="U776" s="20">
        <v>1</v>
      </c>
      <c r="V776" s="20">
        <v>1520.6752405846701</v>
      </c>
      <c r="W776" s="20">
        <v>2107.8130807850298</v>
      </c>
      <c r="X776" s="20">
        <v>2767.6414547388199</v>
      </c>
      <c r="Y776" s="20">
        <v>3510.2737179697301</v>
      </c>
      <c r="Z776" s="20">
        <v>4221.1634014786596</v>
      </c>
      <c r="AA776" s="20">
        <v>4884.8612398682399</v>
      </c>
      <c r="AB776" s="20">
        <v>5460.5737892699899</v>
      </c>
      <c r="AC776" s="20">
        <v>5905.8434560841397</v>
      </c>
      <c r="AD776" s="20">
        <v>6267.6321721021504</v>
      </c>
      <c r="AE776" s="20">
        <v>6545.3133609985898</v>
      </c>
      <c r="AF776" t="str">
        <f t="shared" si="53"/>
        <v>NonResidential</v>
      </c>
      <c r="AG776" t="str">
        <f>tbl_Data_old[[#This Row],[All_Meas_Name_Append]]</f>
        <v>Energy Efficient Transformers</v>
      </c>
      <c r="AH776">
        <f>AVERAGEIFS('3. Incentive Adjustment'!G:G,'3. Incentive Adjustment'!A:A,tbl_Data_old[[#This Row],[Trimmed Sector]],'3. Incentive Adjustment'!B:B,tbl_Data_old[[#This Row],[Trimmed Measure Name]])</f>
        <v>0.56592396099637965</v>
      </c>
      <c r="AI776">
        <f>$AH776*tbl_Data_old[[#This Row],[2025 ]]</f>
        <v>860.58655554079905</v>
      </c>
      <c r="AJ776">
        <f>$AH776*tbl_Data_old[[#This Row],[2026 ]]</f>
        <v>1192.8619277178461</v>
      </c>
      <c r="AK776">
        <f>$AH776*tbl_Data_old[[#This Row],[2027 ]]</f>
        <v>1566.2746146835752</v>
      </c>
      <c r="AL776">
        <f>$AH776*tbl_Data_old[[#This Row],[2028 ]]</f>
        <v>1986.548006654918</v>
      </c>
      <c r="AM776">
        <f>$AH776*tbl_Data_old[[#This Row],[2029 ]]</f>
        <v>2388.8575121777544</v>
      </c>
      <c r="AN776">
        <f>$AH776*tbl_Data_old[[#This Row],[2030 ]]</f>
        <v>2764.4600217839206</v>
      </c>
      <c r="AO776">
        <f>$AH776*tbl_Data_old[[#This Row],[2031 ]]</f>
        <v>3090.2695481366827</v>
      </c>
      <c r="AP776">
        <f>$AH776*tbl_Data_old[[#This Row],[2032 ]]</f>
        <v>3342.2583216916846</v>
      </c>
      <c r="AQ776">
        <f>$AH776*tbl_Data_old[[#This Row],[2033 ]]</f>
        <v>3547.0032249043916</v>
      </c>
      <c r="AR776">
        <f>$AH776*tbl_Data_old[[#This Row],[2034 ]]</f>
        <v>3704.1496632188487</v>
      </c>
      <c r="AS776">
        <f>SUM(tbl_Data_old[[#This Row],[Adjusted 2025]:[Adjusted 2034]])</f>
        <v>24443.269396510423</v>
      </c>
      <c r="AT776" s="3">
        <f>AVERAGEIFS('3. Incentive Adjustment'!F:F,'3. Incentive Adjustment'!A:A,tbl_Data_old[[#This Row],[Trimmed Sector]],'3. Incentive Adjustment'!B:B,tbl_Data_old[[#This Row],[Trimmed Measure Name]])</f>
        <v>0</v>
      </c>
      <c r="AU776" s="3">
        <f>IFERROR(VLOOKUP(tbl_Data_old[[#This Row],[All_Meas_Name_Append]],'IRA Tax Credits'!$A$3:$D$46,4,0),0)</f>
        <v>0</v>
      </c>
      <c r="AV776" s="4">
        <f>tbl_Data_old[[#This Row],[Adj. per unit Incentive ($)]]/tbl_Data_old[[#This Row],[kWh Savings]]*tbl_Data_old[[#This Row],[Sum of Annuals]]</f>
        <v>0</v>
      </c>
      <c r="AW776" s="4" t="str">
        <f>IFERROR(VLOOKUP(tbl_Data_old[[#This Row],[All_Programs]],'1. Set Program Names'!$B$2:$D$15,3,0)*tbl_Data_old[[#This Row],[Sum of Annuals]],"")</f>
        <v/>
      </c>
      <c r="AX776" s="4">
        <f>tbl_Data_old[[#This Row],[per unit IRA tax ($)]]/tbl_Data_old[[#This Row],[kWh Savings]]*tbl_Data_old[[#This Row],[Sum of Annuals]]</f>
        <v>0</v>
      </c>
      <c r="AY776" s="4">
        <f>tbl_Data_old[[#This Row],[Avoided Costs ($/unit)]]/tbl_Data_old[[#This Row],[kWh Savings]]*tbl_Data_old[[#This Row],[Sum of Annuals]]</f>
        <v>13046.556801390707</v>
      </c>
      <c r="AZ776" s="4">
        <f>tbl_Data_old[[#This Row],[Lost Revenue ($/unit)]]/tbl_Data_old[[#This Row],[kWh Savings]]*tbl_Data_old[[#This Row],[Sum of Annuals]]</f>
        <v>36847.077866172091</v>
      </c>
      <c r="BA776" s="4">
        <f>tbl_Data_old[[#This Row],[Incremental Cost ($/unit)]]/tbl_Data_old[[#This Row],[kWh Savings]]*tbl_Data_old[[#This Row],[Sum of Annuals]]</f>
        <v>10190.766935430389</v>
      </c>
      <c r="BB776">
        <f>ROUNDUP(tbl_Data_old[[#This Row],[Adjusted 2025]]/$L776,0)</f>
        <v>1</v>
      </c>
      <c r="BC776">
        <f>ROUNDUP(tbl_Data_old[[#This Row],[Adjusted 2026]]/$L776,0)</f>
        <v>1</v>
      </c>
      <c r="BD776">
        <f>ROUNDUP(tbl_Data_old[[#This Row],[Adjusted 2027]]/$L776,0)</f>
        <v>1</v>
      </c>
      <c r="BE776">
        <f>ROUNDUP(tbl_Data_old[[#This Row],[Adjusted 2028]]/$L776,0)</f>
        <v>1</v>
      </c>
      <c r="BF776">
        <f>ROUNDUP(tbl_Data_old[[#This Row],[Adjusted 2029]]/$L776,0)</f>
        <v>1</v>
      </c>
      <c r="BG776">
        <f>ROUNDUP(tbl_Data_old[[#This Row],[Adjusted 2030]]/$L776,0)</f>
        <v>2</v>
      </c>
      <c r="BH776">
        <f>ROUNDUP(tbl_Data_old[[#This Row],[Adjusted 2031]]/$L776,0)</f>
        <v>2</v>
      </c>
      <c r="BI776">
        <f>ROUNDUP(tbl_Data_old[[#This Row],[Adjusted 2032]]/$L776,0)</f>
        <v>2</v>
      </c>
      <c r="BJ776">
        <f>ROUNDUP(tbl_Data_old[[#This Row],[Adjusted 2033]]/$L776,0)</f>
        <v>2</v>
      </c>
      <c r="BK776">
        <f>ROUNDUP(tbl_Data_old[[#This Row],[Adjusted 2034]]/$L776,0)</f>
        <v>2</v>
      </c>
      <c r="BL776" s="3">
        <f t="shared" si="52"/>
        <v>0</v>
      </c>
      <c r="BM776" s="3">
        <f t="shared" si="52"/>
        <v>0</v>
      </c>
      <c r="BN776" s="3">
        <f t="shared" si="52"/>
        <v>0</v>
      </c>
      <c r="BO776" s="3">
        <f t="shared" si="52"/>
        <v>0</v>
      </c>
      <c r="BP776" s="3">
        <f t="shared" si="52"/>
        <v>0</v>
      </c>
      <c r="BQ776" s="3">
        <f t="shared" si="52"/>
        <v>0</v>
      </c>
      <c r="BR776" s="3">
        <f t="shared" si="52"/>
        <v>0</v>
      </c>
      <c r="BS776" s="3">
        <f t="shared" si="52"/>
        <v>0</v>
      </c>
      <c r="BT776" s="3">
        <f t="shared" si="52"/>
        <v>0</v>
      </c>
      <c r="BU776" s="3">
        <f t="shared" si="52"/>
        <v>0</v>
      </c>
      <c r="BV776" t="e">
        <f>VLOOKUP($H776,'1. Set Program Names'!$B$2:$D$15,3,0)*V776</f>
        <v>#N/A</v>
      </c>
      <c r="BW776" t="e">
        <f>VLOOKUP($H776,'1. Set Program Names'!$B$2:$D$15,3,0)*W776</f>
        <v>#N/A</v>
      </c>
      <c r="BX776" t="e">
        <f>VLOOKUP($H776,'1. Set Program Names'!$B$2:$D$15,3,0)*X776</f>
        <v>#N/A</v>
      </c>
      <c r="BY776" t="e">
        <f>VLOOKUP($H776,'1. Set Program Names'!$B$2:$D$15,3,0)*Y776</f>
        <v>#N/A</v>
      </c>
      <c r="BZ776" t="e">
        <f>VLOOKUP($H776,'1. Set Program Names'!$B$2:$D$15,3,0)*Z776</f>
        <v>#N/A</v>
      </c>
      <c r="CA776" t="e">
        <f>VLOOKUP($H776,'1. Set Program Names'!$B$2:$D$15,3,0)*AA776</f>
        <v>#N/A</v>
      </c>
      <c r="CB776" t="e">
        <f>VLOOKUP($H776,'1. Set Program Names'!$B$2:$D$15,3,0)*AB776</f>
        <v>#N/A</v>
      </c>
      <c r="CC776" t="e">
        <f>VLOOKUP($H776,'1. Set Program Names'!$B$2:$D$15,3,0)*AC776</f>
        <v>#N/A</v>
      </c>
      <c r="CD776" t="e">
        <f>VLOOKUP($H776,'1. Set Program Names'!$B$2:$D$15,3,0)*AD776</f>
        <v>#N/A</v>
      </c>
      <c r="CE776" t="e">
        <f>VLOOKUP($H776,'1. Set Program Names'!$B$2:$D$15,3,0)*AE776</f>
        <v>#N/A</v>
      </c>
    </row>
    <row r="777" spans="1:83" x14ac:dyDescent="0.25">
      <c r="A777" s="20" t="s">
        <v>87</v>
      </c>
      <c r="B777" s="20" t="s">
        <v>88</v>
      </c>
      <c r="C777" s="20" t="s">
        <v>176</v>
      </c>
      <c r="D777" s="20" t="s">
        <v>90</v>
      </c>
      <c r="E777" s="20" t="s">
        <v>91</v>
      </c>
      <c r="F777" s="20" t="s">
        <v>90</v>
      </c>
      <c r="G777" s="20" t="s">
        <v>92</v>
      </c>
      <c r="H777" s="20" t="s">
        <v>268</v>
      </c>
      <c r="I777" s="20" t="s">
        <v>186</v>
      </c>
      <c r="J777" s="20" t="s">
        <v>180</v>
      </c>
      <c r="K777" s="20" t="s">
        <v>102</v>
      </c>
      <c r="L777" s="20">
        <v>27897.5999999999</v>
      </c>
      <c r="M777" s="20">
        <v>3.34663767864367</v>
      </c>
      <c r="N777" s="20">
        <v>3.2225238985450702</v>
      </c>
      <c r="O777" s="20">
        <v>8000</v>
      </c>
      <c r="P777" s="20">
        <v>2762.04801865338</v>
      </c>
      <c r="Q777" s="20">
        <v>27.897599999999901</v>
      </c>
      <c r="R777" s="20">
        <v>11926.089110639999</v>
      </c>
      <c r="S777" s="20">
        <v>29629.215249514</v>
      </c>
      <c r="T777" s="20">
        <v>15</v>
      </c>
      <c r="U777" s="20">
        <v>1</v>
      </c>
      <c r="V777" s="20">
        <v>246.588705635108</v>
      </c>
      <c r="W777" s="20">
        <v>277.76366884599901</v>
      </c>
      <c r="X777" s="20">
        <v>308.98234088690998</v>
      </c>
      <c r="Y777" s="20">
        <v>347.96520375986898</v>
      </c>
      <c r="Z777" s="20">
        <v>382.56998432543003</v>
      </c>
      <c r="AA777" s="20">
        <v>421.13769278041002</v>
      </c>
      <c r="AB777" s="20">
        <v>463.07939838853599</v>
      </c>
      <c r="AC777" s="20">
        <v>502.85935695549898</v>
      </c>
      <c r="AD777" s="20">
        <v>547.84888579587198</v>
      </c>
      <c r="AE777" s="20">
        <v>593.42986866625097</v>
      </c>
      <c r="AF777" t="str">
        <f t="shared" si="53"/>
        <v>NonResidential</v>
      </c>
      <c r="AG777" t="str">
        <f>tbl_Data_old[[#This Row],[All_Meas_Name_Append]]</f>
        <v>Grain Bin Aeration Control System</v>
      </c>
      <c r="AH777">
        <f>AVERAGEIFS('3. Incentive Adjustment'!G:G,'3. Incentive Adjustment'!A:A,tbl_Data_old[[#This Row],[Trimmed Sector]],'3. Incentive Adjustment'!B:B,tbl_Data_old[[#This Row],[Trimmed Measure Name]])</f>
        <v>0.77010279279185057</v>
      </c>
      <c r="AI777">
        <f>$AH777*tbl_Data_old[[#This Row],[2025 ]]</f>
        <v>189.8986508805242</v>
      </c>
      <c r="AJ777">
        <f>$AH777*tbl_Data_old[[#This Row],[2026 ]]</f>
        <v>213.90657711441457</v>
      </c>
      <c r="AK777">
        <f>$AH777*tbl_Data_old[[#This Row],[2027 ]]</f>
        <v>237.94816364037297</v>
      </c>
      <c r="AL777">
        <f>$AH777*tbl_Data_old[[#This Row],[2028 ]]</f>
        <v>267.96897520986045</v>
      </c>
      <c r="AM777">
        <f>$AH777*tbl_Data_old[[#This Row],[2029 ]]</f>
        <v>294.61821336734818</v>
      </c>
      <c r="AN777">
        <f>$AH777*tbl_Data_old[[#This Row],[2030 ]]</f>
        <v>324.31931336011013</v>
      </c>
      <c r="AO777">
        <f>$AH777*tbl_Data_old[[#This Row],[2031 ]]</f>
        <v>356.61873798338155</v>
      </c>
      <c r="AP777">
        <f>$AH777*tbl_Data_old[[#This Row],[2032 ]]</f>
        <v>387.25339517294384</v>
      </c>
      <c r="AQ777">
        <f>$AH777*tbl_Data_old[[#This Row],[2033 ]]</f>
        <v>421.89995697930459</v>
      </c>
      <c r="AR777">
        <f>$AH777*tbl_Data_old[[#This Row],[2034 ]]</f>
        <v>457.00199918598099</v>
      </c>
      <c r="AS777">
        <f>SUM(tbl_Data_old[[#This Row],[Adjusted 2025]:[Adjusted 2034]])</f>
        <v>3151.4339828942411</v>
      </c>
      <c r="AT777" s="3">
        <f>AVERAGEIFS('3. Incentive Adjustment'!F:F,'3. Incentive Adjustment'!A:A,tbl_Data_old[[#This Row],[Trimmed Sector]],'3. Incentive Adjustment'!B:B,tbl_Data_old[[#This Row],[Trimmed Measure Name]])</f>
        <v>0</v>
      </c>
      <c r="AU777" s="3">
        <f>IFERROR(VLOOKUP(tbl_Data_old[[#This Row],[All_Meas_Name_Append]],'IRA Tax Credits'!$A$3:$D$46,4,0),0)</f>
        <v>0</v>
      </c>
      <c r="AV777" s="4">
        <f>tbl_Data_old[[#This Row],[Adj. per unit Incentive ($)]]/tbl_Data_old[[#This Row],[kWh Savings]]*tbl_Data_old[[#This Row],[Sum of Annuals]]</f>
        <v>0</v>
      </c>
      <c r="AW777" s="4" t="str">
        <f>IFERROR(VLOOKUP(tbl_Data_old[[#This Row],[All_Programs]],'1. Set Program Names'!$B$2:$D$15,3,0)*tbl_Data_old[[#This Row],[Sum of Annuals]],"")</f>
        <v/>
      </c>
      <c r="AX777" s="4">
        <f>tbl_Data_old[[#This Row],[per unit IRA tax ($)]]/tbl_Data_old[[#This Row],[kWh Savings]]*tbl_Data_old[[#This Row],[Sum of Annuals]]</f>
        <v>0</v>
      </c>
      <c r="AY777" s="4">
        <f>tbl_Data_old[[#This Row],[Avoided Costs ($/unit)]]/tbl_Data_old[[#This Row],[kWh Savings]]*tbl_Data_old[[#This Row],[Sum of Annuals]]</f>
        <v>1347.2227899997126</v>
      </c>
      <c r="AZ777" s="4">
        <f>tbl_Data_old[[#This Row],[Lost Revenue ($/unit)]]/tbl_Data_old[[#This Row],[kWh Savings]]*tbl_Data_old[[#This Row],[Sum of Annuals]]</f>
        <v>3347.0447573915685</v>
      </c>
      <c r="BA777" s="4">
        <f>tbl_Data_old[[#This Row],[Incremental Cost ($/unit)]]/tbl_Data_old[[#This Row],[kWh Savings]]*tbl_Data_old[[#This Row],[Sum of Annuals]]</f>
        <v>903.71472324336219</v>
      </c>
      <c r="BB777">
        <f>ROUNDUP(tbl_Data_old[[#This Row],[Adjusted 2025]]/$L777,0)</f>
        <v>1</v>
      </c>
      <c r="BC777">
        <f>ROUNDUP(tbl_Data_old[[#This Row],[Adjusted 2026]]/$L777,0)</f>
        <v>1</v>
      </c>
      <c r="BD777">
        <f>ROUNDUP(tbl_Data_old[[#This Row],[Adjusted 2027]]/$L777,0)</f>
        <v>1</v>
      </c>
      <c r="BE777">
        <f>ROUNDUP(tbl_Data_old[[#This Row],[Adjusted 2028]]/$L777,0)</f>
        <v>1</v>
      </c>
      <c r="BF777">
        <f>ROUNDUP(tbl_Data_old[[#This Row],[Adjusted 2029]]/$L777,0)</f>
        <v>1</v>
      </c>
      <c r="BG777">
        <f>ROUNDUP(tbl_Data_old[[#This Row],[Adjusted 2030]]/$L777,0)</f>
        <v>1</v>
      </c>
      <c r="BH777">
        <f>ROUNDUP(tbl_Data_old[[#This Row],[Adjusted 2031]]/$L777,0)</f>
        <v>1</v>
      </c>
      <c r="BI777">
        <f>ROUNDUP(tbl_Data_old[[#This Row],[Adjusted 2032]]/$L777,0)</f>
        <v>1</v>
      </c>
      <c r="BJ777">
        <f>ROUNDUP(tbl_Data_old[[#This Row],[Adjusted 2033]]/$L777,0)</f>
        <v>1</v>
      </c>
      <c r="BK777">
        <f>ROUNDUP(tbl_Data_old[[#This Row],[Adjusted 2034]]/$L777,0)</f>
        <v>1</v>
      </c>
      <c r="BL777" s="3">
        <f t="shared" si="52"/>
        <v>0</v>
      </c>
      <c r="BM777" s="3">
        <f t="shared" si="52"/>
        <v>0</v>
      </c>
      <c r="BN777" s="3">
        <f t="shared" si="52"/>
        <v>0</v>
      </c>
      <c r="BO777" s="3">
        <f t="shared" si="52"/>
        <v>0</v>
      </c>
      <c r="BP777" s="3">
        <f t="shared" si="52"/>
        <v>0</v>
      </c>
      <c r="BQ777" s="3">
        <f t="shared" si="52"/>
        <v>0</v>
      </c>
      <c r="BR777" s="3">
        <f t="shared" si="52"/>
        <v>0</v>
      </c>
      <c r="BS777" s="3">
        <f t="shared" si="52"/>
        <v>0</v>
      </c>
      <c r="BT777" s="3">
        <f t="shared" si="52"/>
        <v>0</v>
      </c>
      <c r="BU777" s="3">
        <f t="shared" si="52"/>
        <v>0</v>
      </c>
      <c r="BV777" t="e">
        <f>VLOOKUP($H777,'1. Set Program Names'!$B$2:$D$15,3,0)*V777</f>
        <v>#N/A</v>
      </c>
      <c r="BW777" t="e">
        <f>VLOOKUP($H777,'1. Set Program Names'!$B$2:$D$15,3,0)*W777</f>
        <v>#N/A</v>
      </c>
      <c r="BX777" t="e">
        <f>VLOOKUP($H777,'1. Set Program Names'!$B$2:$D$15,3,0)*X777</f>
        <v>#N/A</v>
      </c>
      <c r="BY777" t="e">
        <f>VLOOKUP($H777,'1. Set Program Names'!$B$2:$D$15,3,0)*Y777</f>
        <v>#N/A</v>
      </c>
      <c r="BZ777" t="e">
        <f>VLOOKUP($H777,'1. Set Program Names'!$B$2:$D$15,3,0)*Z777</f>
        <v>#N/A</v>
      </c>
      <c r="CA777" t="e">
        <f>VLOOKUP($H777,'1. Set Program Names'!$B$2:$D$15,3,0)*AA777</f>
        <v>#N/A</v>
      </c>
      <c r="CB777" t="e">
        <f>VLOOKUP($H777,'1. Set Program Names'!$B$2:$D$15,3,0)*AB777</f>
        <v>#N/A</v>
      </c>
      <c r="CC777" t="e">
        <f>VLOOKUP($H777,'1. Set Program Names'!$B$2:$D$15,3,0)*AC777</f>
        <v>#N/A</v>
      </c>
      <c r="CD777" t="e">
        <f>VLOOKUP($H777,'1. Set Program Names'!$B$2:$D$15,3,0)*AD777</f>
        <v>#N/A</v>
      </c>
      <c r="CE777" t="e">
        <f>VLOOKUP($H777,'1. Set Program Names'!$B$2:$D$15,3,0)*AE777</f>
        <v>#N/A</v>
      </c>
    </row>
    <row r="778" spans="1:83" x14ac:dyDescent="0.25">
      <c r="A778" s="20" t="s">
        <v>87</v>
      </c>
      <c r="B778" s="20" t="s">
        <v>88</v>
      </c>
      <c r="C778" s="20" t="s">
        <v>176</v>
      </c>
      <c r="D778" s="20" t="s">
        <v>90</v>
      </c>
      <c r="E778" s="20" t="s">
        <v>91</v>
      </c>
      <c r="F778" s="20" t="s">
        <v>90</v>
      </c>
      <c r="G778" s="20" t="s">
        <v>92</v>
      </c>
      <c r="H778" s="20" t="s">
        <v>268</v>
      </c>
      <c r="I778" s="20" t="s">
        <v>181</v>
      </c>
      <c r="J778" s="20" t="s">
        <v>182</v>
      </c>
      <c r="K778" s="20" t="s">
        <v>98</v>
      </c>
      <c r="L778" s="20">
        <v>21140.159999999902</v>
      </c>
      <c r="M778" s="20">
        <v>2.4928340912459501</v>
      </c>
      <c r="N778" s="20">
        <v>2.4353939910039801</v>
      </c>
      <c r="O778" s="20">
        <v>4269.76</v>
      </c>
      <c r="P778" s="20">
        <v>17.441519984740999</v>
      </c>
      <c r="Q778" s="20">
        <v>21.140159999999899</v>
      </c>
      <c r="R778" s="20">
        <v>7174.5673333962905</v>
      </c>
      <c r="S778" s="20">
        <v>17003.9302734632</v>
      </c>
      <c r="T778" s="20">
        <v>10</v>
      </c>
      <c r="U778" s="20">
        <v>1</v>
      </c>
      <c r="V778" s="20">
        <v>6455.5166184284399</v>
      </c>
      <c r="W778" s="20">
        <v>7348.0945665218196</v>
      </c>
      <c r="X778" s="20">
        <v>8127.3714554568396</v>
      </c>
      <c r="Y778" s="20">
        <v>8900.0644647950903</v>
      </c>
      <c r="Z778" s="20">
        <v>9570.3204532270702</v>
      </c>
      <c r="AA778" s="20">
        <v>10195.041347030699</v>
      </c>
      <c r="AB778" s="20">
        <v>10783.149731571801</v>
      </c>
      <c r="AC778" s="20">
        <v>11316.8529498558</v>
      </c>
      <c r="AD778" s="20">
        <v>11840.077487357799</v>
      </c>
      <c r="AE778" s="20">
        <v>12336.1873247683</v>
      </c>
      <c r="AF778" t="str">
        <f t="shared" si="53"/>
        <v>NonResidential</v>
      </c>
      <c r="AG778" t="str">
        <f>tbl_Data_old[[#This Row],[All_Meas_Name_Append]]</f>
        <v>High Volume Low Speed Fan (HVLS)</v>
      </c>
      <c r="AH778">
        <f>AVERAGEIFS('3. Incentive Adjustment'!G:G,'3. Incentive Adjustment'!A:A,tbl_Data_old[[#This Row],[Trimmed Sector]],'3. Incentive Adjustment'!B:B,tbl_Data_old[[#This Row],[Trimmed Measure Name]])</f>
        <v>0.99782547587781634</v>
      </c>
      <c r="AI778">
        <f>$AH778*tbl_Data_old[[#This Row],[2025 ]]</f>
        <v>6441.47894182051</v>
      </c>
      <c r="AJ778">
        <f>$AH778*tbl_Data_old[[#This Row],[2026 ]]</f>
        <v>7332.1159576348309</v>
      </c>
      <c r="AK778">
        <f>$AH778*tbl_Data_old[[#This Row],[2027 ]]</f>
        <v>8109.6982901770016</v>
      </c>
      <c r="AL778">
        <f>$AH778*tbl_Data_old[[#This Row],[2028 ]]</f>
        <v>8880.7110599274038</v>
      </c>
      <c r="AM778">
        <f>$AH778*tbl_Data_old[[#This Row],[2029 ]]</f>
        <v>9549.5095605445003</v>
      </c>
      <c r="AN778">
        <f>$AH778*tbl_Data_old[[#This Row],[2030 ]]</f>
        <v>10172.871983694922</v>
      </c>
      <c r="AO778">
        <f>$AH778*tbl_Data_old[[#This Row],[2031 ]]</f>
        <v>10759.701512367379</v>
      </c>
      <c r="AP778">
        <f>$AH778*tbl_Data_old[[#This Row],[2032 ]]</f>
        <v>11292.244180129133</v>
      </c>
      <c r="AQ778">
        <f>$AH778*tbl_Data_old[[#This Row],[2033 ]]</f>
        <v>11814.330953253017</v>
      </c>
      <c r="AR778">
        <f>$AH778*tbl_Data_old[[#This Row],[2034 ]]</f>
        <v>12309.361987854814</v>
      </c>
      <c r="AS778">
        <f>SUM(tbl_Data_old[[#This Row],[Adjusted 2025]:[Adjusted 2034]])</f>
        <v>96662.024427403507</v>
      </c>
      <c r="AT778" s="3">
        <f>AVERAGEIFS('3. Incentive Adjustment'!F:F,'3. Incentive Adjustment'!A:A,tbl_Data_old[[#This Row],[Trimmed Sector]],'3. Incentive Adjustment'!B:B,tbl_Data_old[[#This Row],[Trimmed Measure Name]])</f>
        <v>0</v>
      </c>
      <c r="AU778" s="3">
        <f>IFERROR(VLOOKUP(tbl_Data_old[[#This Row],[All_Meas_Name_Append]],'IRA Tax Credits'!$A$3:$D$46,4,0),0)</f>
        <v>0</v>
      </c>
      <c r="AV778" s="4">
        <f>tbl_Data_old[[#This Row],[Adj. per unit Incentive ($)]]/tbl_Data_old[[#This Row],[kWh Savings]]*tbl_Data_old[[#This Row],[Sum of Annuals]]</f>
        <v>0</v>
      </c>
      <c r="AW778" s="4" t="str">
        <f>IFERROR(VLOOKUP(tbl_Data_old[[#This Row],[All_Programs]],'1. Set Program Names'!$B$2:$D$15,3,0)*tbl_Data_old[[#This Row],[Sum of Annuals]],"")</f>
        <v/>
      </c>
      <c r="AX778" s="4">
        <f>tbl_Data_old[[#This Row],[per unit IRA tax ($)]]/tbl_Data_old[[#This Row],[kWh Savings]]*tbl_Data_old[[#This Row],[Sum of Annuals]]</f>
        <v>0</v>
      </c>
      <c r="AY778" s="4">
        <f>tbl_Data_old[[#This Row],[Avoided Costs ($/unit)]]/tbl_Data_old[[#This Row],[kWh Savings]]*tbl_Data_old[[#This Row],[Sum of Annuals]]</f>
        <v>32805.248533445665</v>
      </c>
      <c r="AZ778" s="4">
        <f>tbl_Data_old[[#This Row],[Lost Revenue ($/unit)]]/tbl_Data_old[[#This Row],[kWh Savings]]*tbl_Data_old[[#This Row],[Sum of Annuals]]</f>
        <v>77749.379543739182</v>
      </c>
      <c r="BA778" s="4">
        <f>tbl_Data_old[[#This Row],[Incremental Cost ($/unit)]]/tbl_Data_old[[#This Row],[kWh Savings]]*tbl_Data_old[[#This Row],[Sum of Annuals]]</f>
        <v>19523.203486593873</v>
      </c>
      <c r="BB778">
        <f>ROUNDUP(tbl_Data_old[[#This Row],[Adjusted 2025]]/$L778,0)</f>
        <v>1</v>
      </c>
      <c r="BC778">
        <f>ROUNDUP(tbl_Data_old[[#This Row],[Adjusted 2026]]/$L778,0)</f>
        <v>1</v>
      </c>
      <c r="BD778">
        <f>ROUNDUP(tbl_Data_old[[#This Row],[Adjusted 2027]]/$L778,0)</f>
        <v>1</v>
      </c>
      <c r="BE778">
        <f>ROUNDUP(tbl_Data_old[[#This Row],[Adjusted 2028]]/$L778,0)</f>
        <v>1</v>
      </c>
      <c r="BF778">
        <f>ROUNDUP(tbl_Data_old[[#This Row],[Adjusted 2029]]/$L778,0)</f>
        <v>1</v>
      </c>
      <c r="BG778">
        <f>ROUNDUP(tbl_Data_old[[#This Row],[Adjusted 2030]]/$L778,0)</f>
        <v>1</v>
      </c>
      <c r="BH778">
        <f>ROUNDUP(tbl_Data_old[[#This Row],[Adjusted 2031]]/$L778,0)</f>
        <v>1</v>
      </c>
      <c r="BI778">
        <f>ROUNDUP(tbl_Data_old[[#This Row],[Adjusted 2032]]/$L778,0)</f>
        <v>1</v>
      </c>
      <c r="BJ778">
        <f>ROUNDUP(tbl_Data_old[[#This Row],[Adjusted 2033]]/$L778,0)</f>
        <v>1</v>
      </c>
      <c r="BK778">
        <f>ROUNDUP(tbl_Data_old[[#This Row],[Adjusted 2034]]/$L778,0)</f>
        <v>1</v>
      </c>
      <c r="BL778" s="3">
        <f t="shared" si="52"/>
        <v>0</v>
      </c>
      <c r="BM778" s="3">
        <f t="shared" si="52"/>
        <v>0</v>
      </c>
      <c r="BN778" s="3">
        <f t="shared" si="52"/>
        <v>0</v>
      </c>
      <c r="BO778" s="3">
        <f t="shared" si="52"/>
        <v>0</v>
      </c>
      <c r="BP778" s="3">
        <f t="shared" si="52"/>
        <v>0</v>
      </c>
      <c r="BQ778" s="3">
        <f t="shared" si="52"/>
        <v>0</v>
      </c>
      <c r="BR778" s="3">
        <f t="shared" si="52"/>
        <v>0</v>
      </c>
      <c r="BS778" s="3">
        <f t="shared" si="52"/>
        <v>0</v>
      </c>
      <c r="BT778" s="3">
        <f t="shared" si="52"/>
        <v>0</v>
      </c>
      <c r="BU778" s="3">
        <f t="shared" si="52"/>
        <v>0</v>
      </c>
      <c r="BV778" t="e">
        <f>VLOOKUP($H778,'1. Set Program Names'!$B$2:$D$15,3,0)*V778</f>
        <v>#N/A</v>
      </c>
      <c r="BW778" t="e">
        <f>VLOOKUP($H778,'1. Set Program Names'!$B$2:$D$15,3,0)*W778</f>
        <v>#N/A</v>
      </c>
      <c r="BX778" t="e">
        <f>VLOOKUP($H778,'1. Set Program Names'!$B$2:$D$15,3,0)*X778</f>
        <v>#N/A</v>
      </c>
      <c r="BY778" t="e">
        <f>VLOOKUP($H778,'1. Set Program Names'!$B$2:$D$15,3,0)*Y778</f>
        <v>#N/A</v>
      </c>
      <c r="BZ778" t="e">
        <f>VLOOKUP($H778,'1. Set Program Names'!$B$2:$D$15,3,0)*Z778</f>
        <v>#N/A</v>
      </c>
      <c r="CA778" t="e">
        <f>VLOOKUP($H778,'1. Set Program Names'!$B$2:$D$15,3,0)*AA778</f>
        <v>#N/A</v>
      </c>
      <c r="CB778" t="e">
        <f>VLOOKUP($H778,'1. Set Program Names'!$B$2:$D$15,3,0)*AB778</f>
        <v>#N/A</v>
      </c>
      <c r="CC778" t="e">
        <f>VLOOKUP($H778,'1. Set Program Names'!$B$2:$D$15,3,0)*AC778</f>
        <v>#N/A</v>
      </c>
      <c r="CD778" t="e">
        <f>VLOOKUP($H778,'1. Set Program Names'!$B$2:$D$15,3,0)*AD778</f>
        <v>#N/A</v>
      </c>
      <c r="CE778" t="e">
        <f>VLOOKUP($H778,'1. Set Program Names'!$B$2:$D$15,3,0)*AE778</f>
        <v>#N/A</v>
      </c>
    </row>
    <row r="779" spans="1:83" x14ac:dyDescent="0.25">
      <c r="A779" s="20" t="s">
        <v>87</v>
      </c>
      <c r="B779" s="20" t="s">
        <v>88</v>
      </c>
      <c r="C779" s="20" t="s">
        <v>176</v>
      </c>
      <c r="D779" s="20" t="s">
        <v>90</v>
      </c>
      <c r="E779" s="20" t="s">
        <v>91</v>
      </c>
      <c r="F779" s="20" t="s">
        <v>90</v>
      </c>
      <c r="G779" s="20" t="s">
        <v>92</v>
      </c>
      <c r="H779" s="20" t="s">
        <v>268</v>
      </c>
      <c r="I779" s="20" t="s">
        <v>183</v>
      </c>
      <c r="J779" s="20" t="s">
        <v>178</v>
      </c>
      <c r="K779" s="20" t="s">
        <v>130</v>
      </c>
      <c r="L779" s="20">
        <v>113444.97999999901</v>
      </c>
      <c r="M779" s="20">
        <v>13.5911727914499</v>
      </c>
      <c r="N779" s="20">
        <v>13.0925103405659</v>
      </c>
      <c r="O779" s="20">
        <v>42343.199999999997</v>
      </c>
      <c r="P779" s="20">
        <v>19818.792281260001</v>
      </c>
      <c r="Q779" s="20">
        <v>113.44497999999901</v>
      </c>
      <c r="R779" s="20">
        <v>54449.419529642699</v>
      </c>
      <c r="S779" s="20">
        <v>142371.22131797599</v>
      </c>
      <c r="T779" s="20">
        <v>20</v>
      </c>
      <c r="U779" s="20">
        <v>1</v>
      </c>
      <c r="V779" s="20">
        <v>773.44617177048201</v>
      </c>
      <c r="W779" s="20">
        <v>759.38428378725905</v>
      </c>
      <c r="X779" s="20">
        <v>738.67283051772597</v>
      </c>
      <c r="Y779" s="20">
        <v>717.56141423041004</v>
      </c>
      <c r="Z779" s="20">
        <v>697.36112439901297</v>
      </c>
      <c r="AA779" s="20">
        <v>675.39367441493403</v>
      </c>
      <c r="AB779" s="20">
        <v>653.17341482955601</v>
      </c>
      <c r="AC779" s="20">
        <v>632.222922265021</v>
      </c>
      <c r="AD779" s="20">
        <v>611.21472444608901</v>
      </c>
      <c r="AE779" s="20">
        <v>590.90303134032501</v>
      </c>
      <c r="AF779" t="str">
        <f t="shared" si="53"/>
        <v>NonResidential</v>
      </c>
      <c r="AG779" t="str">
        <f>tbl_Data_old[[#This Row],[All_Meas_Name_Append]]</f>
        <v>Industrial Duct Sealing</v>
      </c>
      <c r="AH779">
        <f>AVERAGEIFS('3. Incentive Adjustment'!G:G,'3. Incentive Adjustment'!A:A,tbl_Data_old[[#This Row],[Trimmed Sector]],'3. Incentive Adjustment'!B:B,tbl_Data_old[[#This Row],[Trimmed Measure Name]])</f>
        <v>0.63068496474049041</v>
      </c>
      <c r="AI779">
        <f>$AH779*tbl_Data_old[[#This Row],[2025 ]]</f>
        <v>487.80087157173375</v>
      </c>
      <c r="AJ779">
        <f>$AH779*tbl_Data_old[[#This Row],[2026 ]]</f>
        <v>478.93225024485002</v>
      </c>
      <c r="AK779">
        <f>$AH779*tbl_Data_old[[#This Row],[2027 ]]</f>
        <v>465.86984806983025</v>
      </c>
      <c r="AL779">
        <f>$AH779*tbl_Data_old[[#This Row],[2028 ]]</f>
        <v>452.55519523304258</v>
      </c>
      <c r="AM779">
        <f>$AH779*tbl_Data_old[[#This Row],[2029 ]]</f>
        <v>439.81517615298026</v>
      </c>
      <c r="AN779">
        <f>$AH779*tbl_Data_old[[#This Row],[2030 ]]</f>
        <v>425.96063573433293</v>
      </c>
      <c r="AO779">
        <f>$AH779*tbl_Data_old[[#This Row],[2031 ]]</f>
        <v>411.94665210120422</v>
      </c>
      <c r="AP779">
        <f>$AH779*tbl_Data_old[[#This Row],[2032 ]]</f>
        <v>398.73349143684459</v>
      </c>
      <c r="AQ779">
        <f>$AH779*tbl_Data_old[[#This Row],[2033 ]]</f>
        <v>385.4839369361502</v>
      </c>
      <c r="AR779">
        <f>$AH779*tbl_Data_old[[#This Row],[2034 ]]</f>
        <v>372.67365748592175</v>
      </c>
      <c r="AS779">
        <f>SUM(tbl_Data_old[[#This Row],[Adjusted 2025]:[Adjusted 2034]])</f>
        <v>4319.7717149668906</v>
      </c>
      <c r="AT779" s="3">
        <f>AVERAGEIFS('3. Incentive Adjustment'!F:F,'3. Incentive Adjustment'!A:A,tbl_Data_old[[#This Row],[Trimmed Sector]],'3. Incentive Adjustment'!B:B,tbl_Data_old[[#This Row],[Trimmed Measure Name]])</f>
        <v>0</v>
      </c>
      <c r="AU779" s="3">
        <f>IFERROR(VLOOKUP(tbl_Data_old[[#This Row],[All_Meas_Name_Append]],'IRA Tax Credits'!$A$3:$D$46,4,0),0)</f>
        <v>0</v>
      </c>
      <c r="AV779" s="4">
        <f>tbl_Data_old[[#This Row],[Adj. per unit Incentive ($)]]/tbl_Data_old[[#This Row],[kWh Savings]]*tbl_Data_old[[#This Row],[Sum of Annuals]]</f>
        <v>0</v>
      </c>
      <c r="AW779" s="4" t="str">
        <f>IFERROR(VLOOKUP(tbl_Data_old[[#This Row],[All_Programs]],'1. Set Program Names'!$B$2:$D$15,3,0)*tbl_Data_old[[#This Row],[Sum of Annuals]],"")</f>
        <v/>
      </c>
      <c r="AX779" s="4">
        <f>tbl_Data_old[[#This Row],[per unit IRA tax ($)]]/tbl_Data_old[[#This Row],[kWh Savings]]*tbl_Data_old[[#This Row],[Sum of Annuals]]</f>
        <v>0</v>
      </c>
      <c r="AY779" s="4">
        <f>tbl_Data_old[[#This Row],[Avoided Costs ($/unit)]]/tbl_Data_old[[#This Row],[kWh Savings]]*tbl_Data_old[[#This Row],[Sum of Annuals]]</f>
        <v>2073.3316042765259</v>
      </c>
      <c r="AZ779" s="4">
        <f>tbl_Data_old[[#This Row],[Lost Revenue ($/unit)]]/tbl_Data_old[[#This Row],[kWh Savings]]*tbl_Data_old[[#This Row],[Sum of Annuals]]</f>
        <v>5421.2286420667469</v>
      </c>
      <c r="BA779" s="4">
        <f>tbl_Data_old[[#This Row],[Incremental Cost ($/unit)]]/tbl_Data_old[[#This Row],[kWh Savings]]*tbl_Data_old[[#This Row],[Sum of Annuals]]</f>
        <v>1612.3495079393342</v>
      </c>
      <c r="BB779">
        <f>ROUNDUP(tbl_Data_old[[#This Row],[Adjusted 2025]]/$L779,0)</f>
        <v>1</v>
      </c>
      <c r="BC779">
        <f>ROUNDUP(tbl_Data_old[[#This Row],[Adjusted 2026]]/$L779,0)</f>
        <v>1</v>
      </c>
      <c r="BD779">
        <f>ROUNDUP(tbl_Data_old[[#This Row],[Adjusted 2027]]/$L779,0)</f>
        <v>1</v>
      </c>
      <c r="BE779">
        <f>ROUNDUP(tbl_Data_old[[#This Row],[Adjusted 2028]]/$L779,0)</f>
        <v>1</v>
      </c>
      <c r="BF779">
        <f>ROUNDUP(tbl_Data_old[[#This Row],[Adjusted 2029]]/$L779,0)</f>
        <v>1</v>
      </c>
      <c r="BG779">
        <f>ROUNDUP(tbl_Data_old[[#This Row],[Adjusted 2030]]/$L779,0)</f>
        <v>1</v>
      </c>
      <c r="BH779">
        <f>ROUNDUP(tbl_Data_old[[#This Row],[Adjusted 2031]]/$L779,0)</f>
        <v>1</v>
      </c>
      <c r="BI779">
        <f>ROUNDUP(tbl_Data_old[[#This Row],[Adjusted 2032]]/$L779,0)</f>
        <v>1</v>
      </c>
      <c r="BJ779">
        <f>ROUNDUP(tbl_Data_old[[#This Row],[Adjusted 2033]]/$L779,0)</f>
        <v>1</v>
      </c>
      <c r="BK779">
        <f>ROUNDUP(tbl_Data_old[[#This Row],[Adjusted 2034]]/$L779,0)</f>
        <v>1</v>
      </c>
      <c r="BL779" s="3">
        <f t="shared" si="52"/>
        <v>0</v>
      </c>
      <c r="BM779" s="3">
        <f t="shared" si="52"/>
        <v>0</v>
      </c>
      <c r="BN779" s="3">
        <f t="shared" si="52"/>
        <v>0</v>
      </c>
      <c r="BO779" s="3">
        <f t="shared" si="52"/>
        <v>0</v>
      </c>
      <c r="BP779" s="3">
        <f t="shared" si="52"/>
        <v>0</v>
      </c>
      <c r="BQ779" s="3">
        <f t="shared" si="52"/>
        <v>0</v>
      </c>
      <c r="BR779" s="3">
        <f t="shared" si="52"/>
        <v>0</v>
      </c>
      <c r="BS779" s="3">
        <f t="shared" si="52"/>
        <v>0</v>
      </c>
      <c r="BT779" s="3">
        <f t="shared" si="52"/>
        <v>0</v>
      </c>
      <c r="BU779" s="3">
        <f t="shared" si="52"/>
        <v>0</v>
      </c>
      <c r="BV779" t="e">
        <f>VLOOKUP($H779,'1. Set Program Names'!$B$2:$D$15,3,0)*V779</f>
        <v>#N/A</v>
      </c>
      <c r="BW779" t="e">
        <f>VLOOKUP($H779,'1. Set Program Names'!$B$2:$D$15,3,0)*W779</f>
        <v>#N/A</v>
      </c>
      <c r="BX779" t="e">
        <f>VLOOKUP($H779,'1. Set Program Names'!$B$2:$D$15,3,0)*X779</f>
        <v>#N/A</v>
      </c>
      <c r="BY779" t="e">
        <f>VLOOKUP($H779,'1. Set Program Names'!$B$2:$D$15,3,0)*Y779</f>
        <v>#N/A</v>
      </c>
      <c r="BZ779" t="e">
        <f>VLOOKUP($H779,'1. Set Program Names'!$B$2:$D$15,3,0)*Z779</f>
        <v>#N/A</v>
      </c>
      <c r="CA779" t="e">
        <f>VLOOKUP($H779,'1. Set Program Names'!$B$2:$D$15,3,0)*AA779</f>
        <v>#N/A</v>
      </c>
      <c r="CB779" t="e">
        <f>VLOOKUP($H779,'1. Set Program Names'!$B$2:$D$15,3,0)*AB779</f>
        <v>#N/A</v>
      </c>
      <c r="CC779" t="e">
        <f>VLOOKUP($H779,'1. Set Program Names'!$B$2:$D$15,3,0)*AC779</f>
        <v>#N/A</v>
      </c>
      <c r="CD779" t="e">
        <f>VLOOKUP($H779,'1. Set Program Names'!$B$2:$D$15,3,0)*AD779</f>
        <v>#N/A</v>
      </c>
      <c r="CE779" t="e">
        <f>VLOOKUP($H779,'1. Set Program Names'!$B$2:$D$15,3,0)*AE779</f>
        <v>#N/A</v>
      </c>
    </row>
    <row r="780" spans="1:83" x14ac:dyDescent="0.25">
      <c r="A780" s="20" t="s">
        <v>87</v>
      </c>
      <c r="B780" s="20" t="s">
        <v>88</v>
      </c>
      <c r="C780" s="20" t="s">
        <v>176</v>
      </c>
      <c r="D780" s="20" t="s">
        <v>90</v>
      </c>
      <c r="E780" s="20" t="s">
        <v>91</v>
      </c>
      <c r="F780" s="20" t="s">
        <v>90</v>
      </c>
      <c r="G780" s="20" t="s">
        <v>92</v>
      </c>
      <c r="H780" s="20" t="s">
        <v>268</v>
      </c>
      <c r="I780" s="20" t="s">
        <v>270</v>
      </c>
      <c r="J780" s="20" t="s">
        <v>191</v>
      </c>
      <c r="K780" s="20" t="s">
        <v>98</v>
      </c>
      <c r="L780" s="20">
        <v>2628</v>
      </c>
      <c r="M780" s="20">
        <v>0.31001938633530801</v>
      </c>
      <c r="N780" s="20">
        <v>0.30291717485841702</v>
      </c>
      <c r="O780" s="20">
        <v>810.229999999999</v>
      </c>
      <c r="P780" s="20">
        <v>281.60244658368498</v>
      </c>
      <c r="Q780" s="20">
        <v>2.6280000000000001</v>
      </c>
      <c r="R780" s="20">
        <v>891.847172411815</v>
      </c>
      <c r="S780" s="20">
        <v>2113.8122303076898</v>
      </c>
      <c r="T780" s="20">
        <v>10</v>
      </c>
      <c r="U780" s="20">
        <v>1</v>
      </c>
      <c r="V780" s="20">
        <v>17757.925645048901</v>
      </c>
      <c r="W780" s="20">
        <v>24614.677632301002</v>
      </c>
      <c r="X780" s="20">
        <v>32325.625381252801</v>
      </c>
      <c r="Y780" s="20">
        <v>40858.532634287199</v>
      </c>
      <c r="Z780" s="20">
        <v>49197.3510688444</v>
      </c>
      <c r="AA780" s="20">
        <v>56908.928057603298</v>
      </c>
      <c r="AB780" s="20">
        <v>63541.077499630301</v>
      </c>
      <c r="AC780" s="20">
        <v>68777.384380288699</v>
      </c>
      <c r="AD780" s="20">
        <v>72926.699804166798</v>
      </c>
      <c r="AE780" s="20">
        <v>76111.473149937796</v>
      </c>
      <c r="AF780" t="str">
        <f t="shared" si="53"/>
        <v>NonResidential</v>
      </c>
      <c r="AG780" t="str">
        <f>tbl_Data_old[[#This Row],[All_Meas_Name_Append]]</f>
        <v>Low Energy Livestock Waterer</v>
      </c>
      <c r="AH780">
        <f>AVERAGEIFS('3. Incentive Adjustment'!G:G,'3. Incentive Adjustment'!A:A,tbl_Data_old[[#This Row],[Trimmed Sector]],'3. Incentive Adjustment'!B:B,tbl_Data_old[[#This Row],[Trimmed Measure Name]])</f>
        <v>0.7537232854794027</v>
      </c>
      <c r="AI780">
        <f>$AH780*tbl_Data_old[[#This Row],[2025 ]]</f>
        <v>13384.562060485199</v>
      </c>
      <c r="AJ780">
        <f>$AH780*tbl_Data_old[[#This Row],[2026 ]]</f>
        <v>18552.655696034275</v>
      </c>
      <c r="AK780">
        <f>$AH780*tbl_Data_old[[#This Row],[2027 ]]</f>
        <v>24364.57656753423</v>
      </c>
      <c r="AL780">
        <f>$AH780*tbl_Data_old[[#This Row],[2028 ]]</f>
        <v>30796.027456982341</v>
      </c>
      <c r="AM780">
        <f>$AH780*tbl_Data_old[[#This Row],[2029 ]]</f>
        <v>37081.189084493002</v>
      </c>
      <c r="AN780">
        <f>$AH780*tbl_Data_old[[#This Row],[2030 ]]</f>
        <v>42893.584228687723</v>
      </c>
      <c r="AO780">
        <f>$AH780*tbl_Data_old[[#This Row],[2031 ]]</f>
        <v>47892.389695922699</v>
      </c>
      <c r="AP780">
        <f>$AH780*tbl_Data_old[[#This Row],[2032 ]]</f>
        <v>51839.116121790954</v>
      </c>
      <c r="AQ780">
        <f>$AH780*tbl_Data_old[[#This Row],[2033 ]]</f>
        <v>54966.55177556671</v>
      </c>
      <c r="AR780">
        <f>$AH780*tbl_Data_old[[#This Row],[2034 ]]</f>
        <v>57366.989605248462</v>
      </c>
      <c r="AS780">
        <f>SUM(tbl_Data_old[[#This Row],[Adjusted 2025]:[Adjusted 2034]])</f>
        <v>379137.64229274559</v>
      </c>
      <c r="AT780" s="3">
        <f>AVERAGEIFS('3. Incentive Adjustment'!F:F,'3. Incentive Adjustment'!A:A,tbl_Data_old[[#This Row],[Trimmed Sector]],'3. Incentive Adjustment'!B:B,tbl_Data_old[[#This Row],[Trimmed Measure Name]])</f>
        <v>0</v>
      </c>
      <c r="AU780" s="3">
        <f>IFERROR(VLOOKUP(tbl_Data_old[[#This Row],[All_Meas_Name_Append]],'IRA Tax Credits'!$A$3:$D$46,4,0),0)</f>
        <v>0</v>
      </c>
      <c r="AV780" s="4">
        <f>tbl_Data_old[[#This Row],[Adj. per unit Incentive ($)]]/tbl_Data_old[[#This Row],[kWh Savings]]*tbl_Data_old[[#This Row],[Sum of Annuals]]</f>
        <v>0</v>
      </c>
      <c r="AW780" s="4" t="str">
        <f>IFERROR(VLOOKUP(tbl_Data_old[[#This Row],[All_Programs]],'1. Set Program Names'!$B$2:$D$15,3,0)*tbl_Data_old[[#This Row],[Sum of Annuals]],"")</f>
        <v/>
      </c>
      <c r="AX780" s="4">
        <f>tbl_Data_old[[#This Row],[per unit IRA tax ($)]]/tbl_Data_old[[#This Row],[kWh Savings]]*tbl_Data_old[[#This Row],[Sum of Annuals]]</f>
        <v>0</v>
      </c>
      <c r="AY780" s="4">
        <f>tbl_Data_old[[#This Row],[Avoided Costs ($/unit)]]/tbl_Data_old[[#This Row],[kWh Savings]]*tbl_Data_old[[#This Row],[Sum of Annuals]]</f>
        <v>128665.46203716412</v>
      </c>
      <c r="AZ780" s="4">
        <f>tbl_Data_old[[#This Row],[Lost Revenue ($/unit)]]/tbl_Data_old[[#This Row],[kWh Savings]]*tbl_Data_old[[#This Row],[Sum of Annuals]]</f>
        <v>304956.53928783396</v>
      </c>
      <c r="BA780" s="4">
        <f>tbl_Data_old[[#This Row],[Incremental Cost ($/unit)]]/tbl_Data_old[[#This Row],[kWh Savings]]*tbl_Data_old[[#This Row],[Sum of Annuals]]</f>
        <v>116890.67424461601</v>
      </c>
      <c r="BB780">
        <f>ROUNDUP(tbl_Data_old[[#This Row],[Adjusted 2025]]/$L780,0)</f>
        <v>6</v>
      </c>
      <c r="BC780">
        <f>ROUNDUP(tbl_Data_old[[#This Row],[Adjusted 2026]]/$L780,0)</f>
        <v>8</v>
      </c>
      <c r="BD780">
        <f>ROUNDUP(tbl_Data_old[[#This Row],[Adjusted 2027]]/$L780,0)</f>
        <v>10</v>
      </c>
      <c r="BE780">
        <f>ROUNDUP(tbl_Data_old[[#This Row],[Adjusted 2028]]/$L780,0)</f>
        <v>12</v>
      </c>
      <c r="BF780">
        <f>ROUNDUP(tbl_Data_old[[#This Row],[Adjusted 2029]]/$L780,0)</f>
        <v>15</v>
      </c>
      <c r="BG780">
        <f>ROUNDUP(tbl_Data_old[[#This Row],[Adjusted 2030]]/$L780,0)</f>
        <v>17</v>
      </c>
      <c r="BH780">
        <f>ROUNDUP(tbl_Data_old[[#This Row],[Adjusted 2031]]/$L780,0)</f>
        <v>19</v>
      </c>
      <c r="BI780">
        <f>ROUNDUP(tbl_Data_old[[#This Row],[Adjusted 2032]]/$L780,0)</f>
        <v>20</v>
      </c>
      <c r="BJ780">
        <f>ROUNDUP(tbl_Data_old[[#This Row],[Adjusted 2033]]/$L780,0)</f>
        <v>21</v>
      </c>
      <c r="BK780">
        <f>ROUNDUP(tbl_Data_old[[#This Row],[Adjusted 2034]]/$L780,0)</f>
        <v>22</v>
      </c>
      <c r="BL780" s="3">
        <f t="shared" si="52"/>
        <v>0</v>
      </c>
      <c r="BM780" s="3">
        <f t="shared" si="52"/>
        <v>0</v>
      </c>
      <c r="BN780" s="3">
        <f t="shared" si="52"/>
        <v>0</v>
      </c>
      <c r="BO780" s="3">
        <f t="shared" si="52"/>
        <v>0</v>
      </c>
      <c r="BP780" s="3">
        <f t="shared" si="52"/>
        <v>0</v>
      </c>
      <c r="BQ780" s="3">
        <f t="shared" si="52"/>
        <v>0</v>
      </c>
      <c r="BR780" s="3">
        <f t="shared" si="52"/>
        <v>0</v>
      </c>
      <c r="BS780" s="3">
        <f t="shared" si="52"/>
        <v>0</v>
      </c>
      <c r="BT780" s="3">
        <f t="shared" si="52"/>
        <v>0</v>
      </c>
      <c r="BU780" s="3">
        <f t="shared" si="52"/>
        <v>0</v>
      </c>
      <c r="BV780" t="e">
        <f>VLOOKUP($H780,'1. Set Program Names'!$B$2:$D$15,3,0)*V780</f>
        <v>#N/A</v>
      </c>
      <c r="BW780" t="e">
        <f>VLOOKUP($H780,'1. Set Program Names'!$B$2:$D$15,3,0)*W780</f>
        <v>#N/A</v>
      </c>
      <c r="BX780" t="e">
        <f>VLOOKUP($H780,'1. Set Program Names'!$B$2:$D$15,3,0)*X780</f>
        <v>#N/A</v>
      </c>
      <c r="BY780" t="e">
        <f>VLOOKUP($H780,'1. Set Program Names'!$B$2:$D$15,3,0)*Y780</f>
        <v>#N/A</v>
      </c>
      <c r="BZ780" t="e">
        <f>VLOOKUP($H780,'1. Set Program Names'!$B$2:$D$15,3,0)*Z780</f>
        <v>#N/A</v>
      </c>
      <c r="CA780" t="e">
        <f>VLOOKUP($H780,'1. Set Program Names'!$B$2:$D$15,3,0)*AA780</f>
        <v>#N/A</v>
      </c>
      <c r="CB780" t="e">
        <f>VLOOKUP($H780,'1. Set Program Names'!$B$2:$D$15,3,0)*AB780</f>
        <v>#N/A</v>
      </c>
      <c r="CC780" t="e">
        <f>VLOOKUP($H780,'1. Set Program Names'!$B$2:$D$15,3,0)*AC780</f>
        <v>#N/A</v>
      </c>
      <c r="CD780" t="e">
        <f>VLOOKUP($H780,'1. Set Program Names'!$B$2:$D$15,3,0)*AD780</f>
        <v>#N/A</v>
      </c>
      <c r="CE780" t="e">
        <f>VLOOKUP($H780,'1. Set Program Names'!$B$2:$D$15,3,0)*AE780</f>
        <v>#N/A</v>
      </c>
    </row>
    <row r="781" spans="1:83" x14ac:dyDescent="0.25">
      <c r="A781" s="20" t="s">
        <v>87</v>
      </c>
      <c r="B781" s="20" t="s">
        <v>88</v>
      </c>
      <c r="C781" s="20" t="s">
        <v>176</v>
      </c>
      <c r="D781" s="20" t="s">
        <v>90</v>
      </c>
      <c r="E781" s="20" t="s">
        <v>91</v>
      </c>
      <c r="F781" s="20" t="s">
        <v>90</v>
      </c>
      <c r="G781" s="20" t="s">
        <v>92</v>
      </c>
      <c r="H781" s="20" t="s">
        <v>268</v>
      </c>
      <c r="I781" s="20" t="s">
        <v>184</v>
      </c>
      <c r="J781" s="20" t="s">
        <v>180</v>
      </c>
      <c r="K781" s="20" t="s">
        <v>98</v>
      </c>
      <c r="L781" s="20">
        <v>3514.8091666666501</v>
      </c>
      <c r="M781" s="20">
        <v>0.421134949485237</v>
      </c>
      <c r="N781" s="20">
        <v>0.40566942535109901</v>
      </c>
      <c r="O781" s="20">
        <v>1028.8599999999999</v>
      </c>
      <c r="P781" s="20">
        <v>322.03243304134497</v>
      </c>
      <c r="Q781" s="20">
        <v>3.5148091666666499</v>
      </c>
      <c r="R781" s="20">
        <v>1184.78167438478</v>
      </c>
      <c r="S781" s="20">
        <v>2827.1105797935802</v>
      </c>
      <c r="T781" s="20">
        <v>10</v>
      </c>
      <c r="U781" s="20">
        <v>1</v>
      </c>
      <c r="V781" s="20">
        <v>2075.1848667627501</v>
      </c>
      <c r="W781" s="20">
        <v>2861.9768850515302</v>
      </c>
      <c r="X781" s="20">
        <v>3821.6282047044001</v>
      </c>
      <c r="Y781" s="20">
        <v>4973.9184923495804</v>
      </c>
      <c r="Z781" s="20">
        <v>6189.1416718868204</v>
      </c>
      <c r="AA781" s="20">
        <v>7320.0537724446003</v>
      </c>
      <c r="AB781" s="20">
        <v>8127.9395750396898</v>
      </c>
      <c r="AC781" s="20">
        <v>8353.2161213847303</v>
      </c>
      <c r="AD781" s="20">
        <v>7890.2447413034097</v>
      </c>
      <c r="AE781" s="20">
        <v>6819.6472687124797</v>
      </c>
      <c r="AF781" t="str">
        <f t="shared" si="53"/>
        <v>NonResidential</v>
      </c>
      <c r="AG781" t="str">
        <f>tbl_Data_old[[#This Row],[All_Meas_Name_Append]]</f>
        <v>Low Pressure-drop Filters</v>
      </c>
      <c r="AH781">
        <f>AVERAGEIFS('3. Incentive Adjustment'!G:G,'3. Incentive Adjustment'!A:A,tbl_Data_old[[#This Row],[Trimmed Sector]],'3. Incentive Adjustment'!B:B,tbl_Data_old[[#This Row],[Trimmed Measure Name]])</f>
        <v>0.78525588861759776</v>
      </c>
      <c r="AI781">
        <f>$AH781*tbl_Data_old[[#This Row],[2025 ]]</f>
        <v>1629.5511365955745</v>
      </c>
      <c r="AJ781">
        <f>$AH781*tbl_Data_old[[#This Row],[2026 ]]</f>
        <v>2247.3842020741636</v>
      </c>
      <c r="AK781">
        <f>$AH781*tbl_Data_old[[#This Row],[2027 ]]</f>
        <v>3000.9560518512285</v>
      </c>
      <c r="AL781">
        <f>$AH781*tbl_Data_old[[#This Row],[2028 ]]</f>
        <v>3905.7987856214718</v>
      </c>
      <c r="AM781">
        <f>$AH781*tbl_Data_old[[#This Row],[2029 ]]</f>
        <v>4860.0599433376901</v>
      </c>
      <c r="AN781">
        <f>$AH781*tbl_Data_old[[#This Row],[2030 ]]</f>
        <v>5748.1153298095833</v>
      </c>
      <c r="AO781">
        <f>$AH781*tbl_Data_old[[#This Row],[2031 ]]</f>
        <v>6382.5124136279319</v>
      </c>
      <c r="AP781">
        <f>$AH781*tbl_Data_old[[#This Row],[2032 ]]</f>
        <v>6559.4121482128094</v>
      </c>
      <c r="AQ781">
        <f>$AH781*tbl_Data_old[[#This Row],[2033 ]]</f>
        <v>6195.8611457425368</v>
      </c>
      <c r="AR781">
        <f>$AH781*tbl_Data_old[[#This Row],[2034 ]]</f>
        <v>5355.168176051392</v>
      </c>
      <c r="AS781">
        <f>SUM(tbl_Data_old[[#This Row],[Adjusted 2025]:[Adjusted 2034]])</f>
        <v>45884.81933292438</v>
      </c>
      <c r="AT781" s="3">
        <f>AVERAGEIFS('3. Incentive Adjustment'!F:F,'3. Incentive Adjustment'!A:A,tbl_Data_old[[#This Row],[Trimmed Sector]],'3. Incentive Adjustment'!B:B,tbl_Data_old[[#This Row],[Trimmed Measure Name]])</f>
        <v>0</v>
      </c>
      <c r="AU781" s="3">
        <f>IFERROR(VLOOKUP(tbl_Data_old[[#This Row],[All_Meas_Name_Append]],'IRA Tax Credits'!$A$3:$D$46,4,0),0)</f>
        <v>0</v>
      </c>
      <c r="AV781" s="4">
        <f>tbl_Data_old[[#This Row],[Adj. per unit Incentive ($)]]/tbl_Data_old[[#This Row],[kWh Savings]]*tbl_Data_old[[#This Row],[Sum of Annuals]]</f>
        <v>0</v>
      </c>
      <c r="AW781" s="4" t="str">
        <f>IFERROR(VLOOKUP(tbl_Data_old[[#This Row],[All_Programs]],'1. Set Program Names'!$B$2:$D$15,3,0)*tbl_Data_old[[#This Row],[Sum of Annuals]],"")</f>
        <v/>
      </c>
      <c r="AX781" s="4">
        <f>tbl_Data_old[[#This Row],[per unit IRA tax ($)]]/tbl_Data_old[[#This Row],[kWh Savings]]*tbl_Data_old[[#This Row],[Sum of Annuals]]</f>
        <v>0</v>
      </c>
      <c r="AY781" s="4">
        <f>tbl_Data_old[[#This Row],[Avoided Costs ($/unit)]]/tbl_Data_old[[#This Row],[kWh Savings]]*tbl_Data_old[[#This Row],[Sum of Annuals]]</f>
        <v>15466.982843242708</v>
      </c>
      <c r="AZ781" s="4">
        <f>tbl_Data_old[[#This Row],[Lost Revenue ($/unit)]]/tbl_Data_old[[#This Row],[kWh Savings]]*tbl_Data_old[[#This Row],[Sum of Annuals]]</f>
        <v>36907.112744061676</v>
      </c>
      <c r="BA781" s="4">
        <f>tbl_Data_old[[#This Row],[Incremental Cost ($/unit)]]/tbl_Data_old[[#This Row],[kWh Savings]]*tbl_Data_old[[#This Row],[Sum of Annuals]]</f>
        <v>13431.470381546878</v>
      </c>
      <c r="BB781">
        <f>ROUNDUP(tbl_Data_old[[#This Row],[Adjusted 2025]]/$L781,0)</f>
        <v>1</v>
      </c>
      <c r="BC781">
        <f>ROUNDUP(tbl_Data_old[[#This Row],[Adjusted 2026]]/$L781,0)</f>
        <v>1</v>
      </c>
      <c r="BD781">
        <f>ROUNDUP(tbl_Data_old[[#This Row],[Adjusted 2027]]/$L781,0)</f>
        <v>1</v>
      </c>
      <c r="BE781">
        <f>ROUNDUP(tbl_Data_old[[#This Row],[Adjusted 2028]]/$L781,0)</f>
        <v>2</v>
      </c>
      <c r="BF781">
        <f>ROUNDUP(tbl_Data_old[[#This Row],[Adjusted 2029]]/$L781,0)</f>
        <v>2</v>
      </c>
      <c r="BG781">
        <f>ROUNDUP(tbl_Data_old[[#This Row],[Adjusted 2030]]/$L781,0)</f>
        <v>2</v>
      </c>
      <c r="BH781">
        <f>ROUNDUP(tbl_Data_old[[#This Row],[Adjusted 2031]]/$L781,0)</f>
        <v>2</v>
      </c>
      <c r="BI781">
        <f>ROUNDUP(tbl_Data_old[[#This Row],[Adjusted 2032]]/$L781,0)</f>
        <v>2</v>
      </c>
      <c r="BJ781">
        <f>ROUNDUP(tbl_Data_old[[#This Row],[Adjusted 2033]]/$L781,0)</f>
        <v>2</v>
      </c>
      <c r="BK781">
        <f>ROUNDUP(tbl_Data_old[[#This Row],[Adjusted 2034]]/$L781,0)</f>
        <v>2</v>
      </c>
      <c r="BL781" s="3">
        <f t="shared" si="52"/>
        <v>0</v>
      </c>
      <c r="BM781" s="3">
        <f t="shared" si="52"/>
        <v>0</v>
      </c>
      <c r="BN781" s="3">
        <f t="shared" si="52"/>
        <v>0</v>
      </c>
      <c r="BO781" s="3">
        <f t="shared" si="52"/>
        <v>0</v>
      </c>
      <c r="BP781" s="3">
        <f t="shared" si="52"/>
        <v>0</v>
      </c>
      <c r="BQ781" s="3">
        <f t="shared" si="52"/>
        <v>0</v>
      </c>
      <c r="BR781" s="3">
        <f t="shared" si="52"/>
        <v>0</v>
      </c>
      <c r="BS781" s="3">
        <f t="shared" si="52"/>
        <v>0</v>
      </c>
      <c r="BT781" s="3">
        <f t="shared" si="52"/>
        <v>0</v>
      </c>
      <c r="BU781" s="3">
        <f t="shared" si="52"/>
        <v>0</v>
      </c>
      <c r="BV781" t="e">
        <f>VLOOKUP($H781,'1. Set Program Names'!$B$2:$D$15,3,0)*V781</f>
        <v>#N/A</v>
      </c>
      <c r="BW781" t="e">
        <f>VLOOKUP($H781,'1. Set Program Names'!$B$2:$D$15,3,0)*W781</f>
        <v>#N/A</v>
      </c>
      <c r="BX781" t="e">
        <f>VLOOKUP($H781,'1. Set Program Names'!$B$2:$D$15,3,0)*X781</f>
        <v>#N/A</v>
      </c>
      <c r="BY781" t="e">
        <f>VLOOKUP($H781,'1. Set Program Names'!$B$2:$D$15,3,0)*Y781</f>
        <v>#N/A</v>
      </c>
      <c r="BZ781" t="e">
        <f>VLOOKUP($H781,'1. Set Program Names'!$B$2:$D$15,3,0)*Z781</f>
        <v>#N/A</v>
      </c>
      <c r="CA781" t="e">
        <f>VLOOKUP($H781,'1. Set Program Names'!$B$2:$D$15,3,0)*AA781</f>
        <v>#N/A</v>
      </c>
      <c r="CB781" t="e">
        <f>VLOOKUP($H781,'1. Set Program Names'!$B$2:$D$15,3,0)*AB781</f>
        <v>#N/A</v>
      </c>
      <c r="CC781" t="e">
        <f>VLOOKUP($H781,'1. Set Program Names'!$B$2:$D$15,3,0)*AC781</f>
        <v>#N/A</v>
      </c>
      <c r="CD781" t="e">
        <f>VLOOKUP($H781,'1. Set Program Names'!$B$2:$D$15,3,0)*AD781</f>
        <v>#N/A</v>
      </c>
      <c r="CE781" t="e">
        <f>VLOOKUP($H781,'1. Set Program Names'!$B$2:$D$15,3,0)*AE781</f>
        <v>#N/A</v>
      </c>
    </row>
    <row r="782" spans="1:83" x14ac:dyDescent="0.25">
      <c r="A782" s="20" t="s">
        <v>87</v>
      </c>
      <c r="B782" s="20" t="s">
        <v>88</v>
      </c>
      <c r="C782" s="20" t="s">
        <v>176</v>
      </c>
      <c r="D782" s="20" t="s">
        <v>90</v>
      </c>
      <c r="E782" s="20" t="s">
        <v>91</v>
      </c>
      <c r="F782" s="20" t="s">
        <v>90</v>
      </c>
      <c r="G782" s="20" t="s">
        <v>92</v>
      </c>
      <c r="H782" s="20" t="s">
        <v>268</v>
      </c>
      <c r="I782" s="20" t="s">
        <v>271</v>
      </c>
      <c r="J782" s="20" t="s">
        <v>180</v>
      </c>
      <c r="K782" s="20" t="s">
        <v>272</v>
      </c>
      <c r="L782" s="20">
        <v>8742.5400000000009</v>
      </c>
      <c r="M782" s="20">
        <v>1.04876812955413</v>
      </c>
      <c r="N782" s="20">
        <v>1.0098733971376099</v>
      </c>
      <c r="O782" s="20">
        <v>3543.39</v>
      </c>
      <c r="P782" s="20">
        <v>1784.8102698461601</v>
      </c>
      <c r="Q782" s="20">
        <v>8.74254</v>
      </c>
      <c r="R782" s="20">
        <v>3737.3935784201899</v>
      </c>
      <c r="S782" s="20">
        <v>9285.1929731405908</v>
      </c>
      <c r="T782" s="20">
        <v>15</v>
      </c>
      <c r="U782" s="20">
        <v>1</v>
      </c>
      <c r="V782" s="20">
        <v>161.956173444244</v>
      </c>
      <c r="W782" s="20">
        <v>210.16542129091999</v>
      </c>
      <c r="X782" s="20">
        <v>265.88412398359702</v>
      </c>
      <c r="Y782" s="20">
        <v>331.916342045036</v>
      </c>
      <c r="Z782" s="20">
        <v>401.44653400581302</v>
      </c>
      <c r="AA782" s="20">
        <v>472.493390659358</v>
      </c>
      <c r="AB782" s="20">
        <v>538.63730713517896</v>
      </c>
      <c r="AC782" s="20">
        <v>590.20095491972199</v>
      </c>
      <c r="AD782" s="20">
        <v>621.36605882966705</v>
      </c>
      <c r="AE782" s="20">
        <v>624.613948913679</v>
      </c>
      <c r="AF782" t="str">
        <f t="shared" si="53"/>
        <v>NonResidential</v>
      </c>
      <c r="AG782" t="str">
        <f>tbl_Data_old[[#This Row],[All_Meas_Name_Append]]</f>
        <v>Milk Pre-Cooler</v>
      </c>
      <c r="AH782">
        <f>AVERAGEIFS('3. Incentive Adjustment'!G:G,'3. Incentive Adjustment'!A:A,tbl_Data_old[[#This Row],[Trimmed Sector]],'3. Incentive Adjustment'!B:B,tbl_Data_old[[#This Row],[Trimmed Measure Name]])</f>
        <v>0.58352930274688986</v>
      </c>
      <c r="AI782">
        <f>$AH782*tbl_Data_old[[#This Row],[2025 ]]</f>
        <v>94.506172965474065</v>
      </c>
      <c r="AJ782">
        <f>$AH782*tbl_Data_old[[#This Row],[2026 ]]</f>
        <v>122.63768174739691</v>
      </c>
      <c r="AK782">
        <f>$AH782*tbl_Data_old[[#This Row],[2027 ]]</f>
        <v>155.151177479616</v>
      </c>
      <c r="AL782">
        <f>$AH782*tbl_Data_old[[#This Row],[2028 ]]</f>
        <v>193.68291164383805</v>
      </c>
      <c r="AM782">
        <f>$AH782*tbl_Data_old[[#This Row],[2029 ]]</f>
        <v>234.25581607856768</v>
      </c>
      <c r="AN782">
        <f>$AH782*tbl_Data_old[[#This Row],[2030 ]]</f>
        <v>275.71373880396902</v>
      </c>
      <c r="AO782">
        <f>$AH782*tbl_Data_old[[#This Row],[2031 ]]</f>
        <v>314.31065226605335</v>
      </c>
      <c r="AP782">
        <f>$AH782*tbl_Data_old[[#This Row],[2032 ]]</f>
        <v>344.39955170485393</v>
      </c>
      <c r="AQ782">
        <f>$AH782*tbl_Data_old[[#This Row],[2033 ]]</f>
        <v>362.58530305945857</v>
      </c>
      <c r="AR782">
        <f>$AH782*tbl_Data_old[[#This Row],[2034 ]]</f>
        <v>364.48054209558057</v>
      </c>
      <c r="AS782">
        <f>SUM(tbl_Data_old[[#This Row],[Adjusted 2025]:[Adjusted 2034]])</f>
        <v>2461.7235478448079</v>
      </c>
      <c r="AT782" s="3">
        <f>AVERAGEIFS('3. Incentive Adjustment'!F:F,'3. Incentive Adjustment'!A:A,tbl_Data_old[[#This Row],[Trimmed Sector]],'3. Incentive Adjustment'!B:B,tbl_Data_old[[#This Row],[Trimmed Measure Name]])</f>
        <v>0</v>
      </c>
      <c r="AU782" s="3">
        <f>IFERROR(VLOOKUP(tbl_Data_old[[#This Row],[All_Meas_Name_Append]],'IRA Tax Credits'!$A$3:$D$46,4,0),0)</f>
        <v>0</v>
      </c>
      <c r="AV782" s="4">
        <f>tbl_Data_old[[#This Row],[Adj. per unit Incentive ($)]]/tbl_Data_old[[#This Row],[kWh Savings]]*tbl_Data_old[[#This Row],[Sum of Annuals]]</f>
        <v>0</v>
      </c>
      <c r="AW782" s="4" t="str">
        <f>IFERROR(VLOOKUP(tbl_Data_old[[#This Row],[All_Programs]],'1. Set Program Names'!$B$2:$D$15,3,0)*tbl_Data_old[[#This Row],[Sum of Annuals]],"")</f>
        <v/>
      </c>
      <c r="AX782" s="4">
        <f>tbl_Data_old[[#This Row],[per unit IRA tax ($)]]/tbl_Data_old[[#This Row],[kWh Savings]]*tbl_Data_old[[#This Row],[Sum of Annuals]]</f>
        <v>0</v>
      </c>
      <c r="AY782" s="4">
        <f>tbl_Data_old[[#This Row],[Avoided Costs ($/unit)]]/tbl_Data_old[[#This Row],[kWh Savings]]*tbl_Data_old[[#This Row],[Sum of Annuals]]</f>
        <v>1052.3749138763965</v>
      </c>
      <c r="AZ782" s="4">
        <f>tbl_Data_old[[#This Row],[Lost Revenue ($/unit)]]/tbl_Data_old[[#This Row],[kWh Savings]]*tbl_Data_old[[#This Row],[Sum of Annuals]]</f>
        <v>2614.5237183087906</v>
      </c>
      <c r="BA782" s="4">
        <f>tbl_Data_old[[#This Row],[Incremental Cost ($/unit)]]/tbl_Data_old[[#This Row],[kWh Savings]]*tbl_Data_old[[#This Row],[Sum of Annuals]]</f>
        <v>997.7474054677258</v>
      </c>
      <c r="BB782">
        <f>ROUNDUP(tbl_Data_old[[#This Row],[Adjusted 2025]]/$L782,0)</f>
        <v>1</v>
      </c>
      <c r="BC782">
        <f>ROUNDUP(tbl_Data_old[[#This Row],[Adjusted 2026]]/$L782,0)</f>
        <v>1</v>
      </c>
      <c r="BD782">
        <f>ROUNDUP(tbl_Data_old[[#This Row],[Adjusted 2027]]/$L782,0)</f>
        <v>1</v>
      </c>
      <c r="BE782">
        <f>ROUNDUP(tbl_Data_old[[#This Row],[Adjusted 2028]]/$L782,0)</f>
        <v>1</v>
      </c>
      <c r="BF782">
        <f>ROUNDUP(tbl_Data_old[[#This Row],[Adjusted 2029]]/$L782,0)</f>
        <v>1</v>
      </c>
      <c r="BG782">
        <f>ROUNDUP(tbl_Data_old[[#This Row],[Adjusted 2030]]/$L782,0)</f>
        <v>1</v>
      </c>
      <c r="BH782">
        <f>ROUNDUP(tbl_Data_old[[#This Row],[Adjusted 2031]]/$L782,0)</f>
        <v>1</v>
      </c>
      <c r="BI782">
        <f>ROUNDUP(tbl_Data_old[[#This Row],[Adjusted 2032]]/$L782,0)</f>
        <v>1</v>
      </c>
      <c r="BJ782">
        <f>ROUNDUP(tbl_Data_old[[#This Row],[Adjusted 2033]]/$L782,0)</f>
        <v>1</v>
      </c>
      <c r="BK782">
        <f>ROUNDUP(tbl_Data_old[[#This Row],[Adjusted 2034]]/$L782,0)</f>
        <v>1</v>
      </c>
      <c r="BL782" s="3">
        <f t="shared" ref="BL782:BU807" si="54">$AT782/$L782*V782</f>
        <v>0</v>
      </c>
      <c r="BM782" s="3">
        <f t="shared" si="54"/>
        <v>0</v>
      </c>
      <c r="BN782" s="3">
        <f t="shared" si="54"/>
        <v>0</v>
      </c>
      <c r="BO782" s="3">
        <f t="shared" si="54"/>
        <v>0</v>
      </c>
      <c r="BP782" s="3">
        <f t="shared" si="54"/>
        <v>0</v>
      </c>
      <c r="BQ782" s="3">
        <f t="shared" si="54"/>
        <v>0</v>
      </c>
      <c r="BR782" s="3">
        <f t="shared" si="54"/>
        <v>0</v>
      </c>
      <c r="BS782" s="3">
        <f t="shared" si="54"/>
        <v>0</v>
      </c>
      <c r="BT782" s="3">
        <f t="shared" si="54"/>
        <v>0</v>
      </c>
      <c r="BU782" s="3">
        <f t="shared" si="54"/>
        <v>0</v>
      </c>
      <c r="BV782" t="e">
        <f>VLOOKUP($H782,'1. Set Program Names'!$B$2:$D$15,3,0)*V782</f>
        <v>#N/A</v>
      </c>
      <c r="BW782" t="e">
        <f>VLOOKUP($H782,'1. Set Program Names'!$B$2:$D$15,3,0)*W782</f>
        <v>#N/A</v>
      </c>
      <c r="BX782" t="e">
        <f>VLOOKUP($H782,'1. Set Program Names'!$B$2:$D$15,3,0)*X782</f>
        <v>#N/A</v>
      </c>
      <c r="BY782" t="e">
        <f>VLOOKUP($H782,'1. Set Program Names'!$B$2:$D$15,3,0)*Y782</f>
        <v>#N/A</v>
      </c>
      <c r="BZ782" t="e">
        <f>VLOOKUP($H782,'1. Set Program Names'!$B$2:$D$15,3,0)*Z782</f>
        <v>#N/A</v>
      </c>
      <c r="CA782" t="e">
        <f>VLOOKUP($H782,'1. Set Program Names'!$B$2:$D$15,3,0)*AA782</f>
        <v>#N/A</v>
      </c>
      <c r="CB782" t="e">
        <f>VLOOKUP($H782,'1. Set Program Names'!$B$2:$D$15,3,0)*AB782</f>
        <v>#N/A</v>
      </c>
      <c r="CC782" t="e">
        <f>VLOOKUP($H782,'1. Set Program Names'!$B$2:$D$15,3,0)*AC782</f>
        <v>#N/A</v>
      </c>
      <c r="CD782" t="e">
        <f>VLOOKUP($H782,'1. Set Program Names'!$B$2:$D$15,3,0)*AD782</f>
        <v>#N/A</v>
      </c>
      <c r="CE782" t="e">
        <f>VLOOKUP($H782,'1. Set Program Names'!$B$2:$D$15,3,0)*AE782</f>
        <v>#N/A</v>
      </c>
    </row>
    <row r="783" spans="1:83" x14ac:dyDescent="0.25">
      <c r="A783" s="20" t="s">
        <v>87</v>
      </c>
      <c r="B783" s="20" t="s">
        <v>88</v>
      </c>
      <c r="C783" s="20" t="s">
        <v>176</v>
      </c>
      <c r="D783" s="20" t="s">
        <v>90</v>
      </c>
      <c r="E783" s="20" t="s">
        <v>91</v>
      </c>
      <c r="F783" s="20" t="s">
        <v>90</v>
      </c>
      <c r="G783" s="20" t="s">
        <v>92</v>
      </c>
      <c r="H783" s="20" t="s">
        <v>268</v>
      </c>
      <c r="I783" s="20" t="s">
        <v>190</v>
      </c>
      <c r="J783" s="20" t="s">
        <v>191</v>
      </c>
      <c r="K783" s="20" t="s">
        <v>98</v>
      </c>
      <c r="L783" s="20">
        <v>1561.28</v>
      </c>
      <c r="M783" s="20">
        <v>0.18418077149832199</v>
      </c>
      <c r="N783" s="20">
        <v>0.17996138765713399</v>
      </c>
      <c r="O783" s="20">
        <v>490</v>
      </c>
      <c r="P783" s="20">
        <v>175.94534756551599</v>
      </c>
      <c r="Q783" s="20">
        <v>1.56128</v>
      </c>
      <c r="R783" s="20">
        <v>649.62503581485396</v>
      </c>
      <c r="S783" s="20">
        <v>1586.7572850213601</v>
      </c>
      <c r="T783" s="20">
        <v>14</v>
      </c>
      <c r="U783" s="20">
        <v>0.999999999999999</v>
      </c>
      <c r="V783" s="20">
        <v>14479.720529730301</v>
      </c>
      <c r="W783" s="20">
        <v>16472.087990718199</v>
      </c>
      <c r="X783" s="20">
        <v>18208.468111883602</v>
      </c>
      <c r="Y783" s="20">
        <v>19926.867392344298</v>
      </c>
      <c r="Z783" s="20">
        <v>21417.056904142901</v>
      </c>
      <c r="AA783" s="20">
        <v>22804.387345598901</v>
      </c>
      <c r="AB783" s="20">
        <v>24109.685687388599</v>
      </c>
      <c r="AC783" s="20">
        <v>25295.995584773598</v>
      </c>
      <c r="AD783" s="20">
        <v>26458.363912956898</v>
      </c>
      <c r="AE783" s="20">
        <v>27561.2752682028</v>
      </c>
      <c r="AF783" t="str">
        <f t="shared" si="53"/>
        <v>NonResidential</v>
      </c>
      <c r="AG783" t="str">
        <f>tbl_Data_old[[#This Row],[All_Meas_Name_Append]]</f>
        <v>Synchronous Belt on 15hp ODP Motor</v>
      </c>
      <c r="AH783">
        <f>AVERAGEIFS('3. Incentive Adjustment'!G:G,'3. Incentive Adjustment'!A:A,tbl_Data_old[[#This Row],[Trimmed Sector]],'3. Incentive Adjustment'!B:B,tbl_Data_old[[#This Row],[Trimmed Measure Name]])</f>
        <v>0.74278916032473408</v>
      </c>
      <c r="AI783">
        <f>$AH783*tbl_Data_old[[#This Row],[2025 ]]</f>
        <v>10755.379454015183</v>
      </c>
      <c r="AJ783">
        <f>$AH783*tbl_Data_old[[#This Row],[2026 ]]</f>
        <v>12235.288407420707</v>
      </c>
      <c r="AK783">
        <f>$AH783*tbl_Data_old[[#This Row],[2027 ]]</f>
        <v>13525.052739625717</v>
      </c>
      <c r="AL783">
        <f>$AH783*tbl_Data_old[[#This Row],[2028 ]]</f>
        <v>14801.461098261745</v>
      </c>
      <c r="AM783">
        <f>$AH783*tbl_Data_old[[#This Row],[2029 ]]</f>
        <v>15908.357714455355</v>
      </c>
      <c r="AN783">
        <f>$AH783*tbl_Data_old[[#This Row],[2030 ]]</f>
        <v>16938.851728157399</v>
      </c>
      <c r="AO783">
        <f>$AH783*tbl_Data_old[[#This Row],[2031 ]]</f>
        <v>17908.413187428636</v>
      </c>
      <c r="AP783">
        <f>$AH783*tbl_Data_old[[#This Row],[2032 ]]</f>
        <v>18789.591319992163</v>
      </c>
      <c r="AQ783">
        <f>$AH783*tbl_Data_old[[#This Row],[2033 ]]</f>
        <v>19652.985914471501</v>
      </c>
      <c r="AR783">
        <f>$AH783*tbl_Data_old[[#This Row],[2034 ]]</f>
        <v>20472.216513947216</v>
      </c>
      <c r="AS783">
        <f>SUM(tbl_Data_old[[#This Row],[Adjusted 2025]:[Adjusted 2034]])</f>
        <v>160987.59807777562</v>
      </c>
      <c r="AT783" s="3">
        <f>AVERAGEIFS('3. Incentive Adjustment'!F:F,'3. Incentive Adjustment'!A:A,tbl_Data_old[[#This Row],[Trimmed Sector]],'3. Incentive Adjustment'!B:B,tbl_Data_old[[#This Row],[Trimmed Measure Name]])</f>
        <v>0</v>
      </c>
      <c r="AU783" s="3">
        <f>IFERROR(VLOOKUP(tbl_Data_old[[#This Row],[All_Meas_Name_Append]],'IRA Tax Credits'!$A$3:$D$46,4,0),0)</f>
        <v>0</v>
      </c>
      <c r="AV783" s="4">
        <f>tbl_Data_old[[#This Row],[Adj. per unit Incentive ($)]]/tbl_Data_old[[#This Row],[kWh Savings]]*tbl_Data_old[[#This Row],[Sum of Annuals]]</f>
        <v>0</v>
      </c>
      <c r="AW783" s="4" t="str">
        <f>IFERROR(VLOOKUP(tbl_Data_old[[#This Row],[All_Programs]],'1. Set Program Names'!$B$2:$D$15,3,0)*tbl_Data_old[[#This Row],[Sum of Annuals]],"")</f>
        <v/>
      </c>
      <c r="AX783" s="4">
        <f>tbl_Data_old[[#This Row],[per unit IRA tax ($)]]/tbl_Data_old[[#This Row],[kWh Savings]]*tbl_Data_old[[#This Row],[Sum of Annuals]]</f>
        <v>0</v>
      </c>
      <c r="AY783" s="4">
        <f>tbl_Data_old[[#This Row],[Avoided Costs ($/unit)]]/tbl_Data_old[[#This Row],[kWh Savings]]*tbl_Data_old[[#This Row],[Sum of Annuals]]</f>
        <v>66984.508971499221</v>
      </c>
      <c r="AZ783" s="4">
        <f>tbl_Data_old[[#This Row],[Lost Revenue ($/unit)]]/tbl_Data_old[[#This Row],[kWh Savings]]*tbl_Data_old[[#This Row],[Sum of Annuals]]</f>
        <v>163614.62649108499</v>
      </c>
      <c r="BA783" s="4">
        <f>tbl_Data_old[[#This Row],[Incremental Cost ($/unit)]]/tbl_Data_old[[#This Row],[kWh Savings]]*tbl_Data_old[[#This Row],[Sum of Annuals]]</f>
        <v>50525.160802745217</v>
      </c>
      <c r="BB783">
        <f>ROUNDUP(tbl_Data_old[[#This Row],[Adjusted 2025]]/$L783,0)</f>
        <v>7</v>
      </c>
      <c r="BC783">
        <f>ROUNDUP(tbl_Data_old[[#This Row],[Adjusted 2026]]/$L783,0)</f>
        <v>8</v>
      </c>
      <c r="BD783">
        <f>ROUNDUP(tbl_Data_old[[#This Row],[Adjusted 2027]]/$L783,0)</f>
        <v>9</v>
      </c>
      <c r="BE783">
        <f>ROUNDUP(tbl_Data_old[[#This Row],[Adjusted 2028]]/$L783,0)</f>
        <v>10</v>
      </c>
      <c r="BF783">
        <f>ROUNDUP(tbl_Data_old[[#This Row],[Adjusted 2029]]/$L783,0)</f>
        <v>11</v>
      </c>
      <c r="BG783">
        <f>ROUNDUP(tbl_Data_old[[#This Row],[Adjusted 2030]]/$L783,0)</f>
        <v>11</v>
      </c>
      <c r="BH783">
        <f>ROUNDUP(tbl_Data_old[[#This Row],[Adjusted 2031]]/$L783,0)</f>
        <v>12</v>
      </c>
      <c r="BI783">
        <f>ROUNDUP(tbl_Data_old[[#This Row],[Adjusted 2032]]/$L783,0)</f>
        <v>13</v>
      </c>
      <c r="BJ783">
        <f>ROUNDUP(tbl_Data_old[[#This Row],[Adjusted 2033]]/$L783,0)</f>
        <v>13</v>
      </c>
      <c r="BK783">
        <f>ROUNDUP(tbl_Data_old[[#This Row],[Adjusted 2034]]/$L783,0)</f>
        <v>14</v>
      </c>
      <c r="BL783" s="3">
        <f t="shared" si="54"/>
        <v>0</v>
      </c>
      <c r="BM783" s="3">
        <f t="shared" si="54"/>
        <v>0</v>
      </c>
      <c r="BN783" s="3">
        <f t="shared" si="54"/>
        <v>0</v>
      </c>
      <c r="BO783" s="3">
        <f t="shared" si="54"/>
        <v>0</v>
      </c>
      <c r="BP783" s="3">
        <f t="shared" si="54"/>
        <v>0</v>
      </c>
      <c r="BQ783" s="3">
        <f t="shared" si="54"/>
        <v>0</v>
      </c>
      <c r="BR783" s="3">
        <f t="shared" si="54"/>
        <v>0</v>
      </c>
      <c r="BS783" s="3">
        <f t="shared" si="54"/>
        <v>0</v>
      </c>
      <c r="BT783" s="3">
        <f t="shared" si="54"/>
        <v>0</v>
      </c>
      <c r="BU783" s="3">
        <f t="shared" si="54"/>
        <v>0</v>
      </c>
      <c r="BV783" t="e">
        <f>VLOOKUP($H783,'1. Set Program Names'!$B$2:$D$15,3,0)*V783</f>
        <v>#N/A</v>
      </c>
      <c r="BW783" t="e">
        <f>VLOOKUP($H783,'1. Set Program Names'!$B$2:$D$15,3,0)*W783</f>
        <v>#N/A</v>
      </c>
      <c r="BX783" t="e">
        <f>VLOOKUP($H783,'1. Set Program Names'!$B$2:$D$15,3,0)*X783</f>
        <v>#N/A</v>
      </c>
      <c r="BY783" t="e">
        <f>VLOOKUP($H783,'1. Set Program Names'!$B$2:$D$15,3,0)*Y783</f>
        <v>#N/A</v>
      </c>
      <c r="BZ783" t="e">
        <f>VLOOKUP($H783,'1. Set Program Names'!$B$2:$D$15,3,0)*Z783</f>
        <v>#N/A</v>
      </c>
      <c r="CA783" t="e">
        <f>VLOOKUP($H783,'1. Set Program Names'!$B$2:$D$15,3,0)*AA783</f>
        <v>#N/A</v>
      </c>
      <c r="CB783" t="e">
        <f>VLOOKUP($H783,'1. Set Program Names'!$B$2:$D$15,3,0)*AB783</f>
        <v>#N/A</v>
      </c>
      <c r="CC783" t="e">
        <f>VLOOKUP($H783,'1. Set Program Names'!$B$2:$D$15,3,0)*AC783</f>
        <v>#N/A</v>
      </c>
      <c r="CD783" t="e">
        <f>VLOOKUP($H783,'1. Set Program Names'!$B$2:$D$15,3,0)*AD783</f>
        <v>#N/A</v>
      </c>
      <c r="CE783" t="e">
        <f>VLOOKUP($H783,'1. Set Program Names'!$B$2:$D$15,3,0)*AE783</f>
        <v>#N/A</v>
      </c>
    </row>
    <row r="784" spans="1:83" x14ac:dyDescent="0.25">
      <c r="A784" s="20" t="s">
        <v>87</v>
      </c>
      <c r="B784" s="20" t="s">
        <v>88</v>
      </c>
      <c r="C784" s="20" t="s">
        <v>176</v>
      </c>
      <c r="D784" s="20" t="s">
        <v>90</v>
      </c>
      <c r="E784" s="20" t="s">
        <v>91</v>
      </c>
      <c r="F784" s="20" t="s">
        <v>90</v>
      </c>
      <c r="G784" s="20" t="s">
        <v>92</v>
      </c>
      <c r="H784" s="20" t="s">
        <v>268</v>
      </c>
      <c r="I784" s="20" t="s">
        <v>192</v>
      </c>
      <c r="J784" s="20" t="s">
        <v>191</v>
      </c>
      <c r="K784" s="20" t="s">
        <v>98</v>
      </c>
      <c r="L784" s="20">
        <v>437.76000000000101</v>
      </c>
      <c r="M784" s="20">
        <v>5.1641585449826798E-2</v>
      </c>
      <c r="N784" s="20">
        <v>5.0458532140799497E-2</v>
      </c>
      <c r="O784" s="20">
        <v>163</v>
      </c>
      <c r="P784" s="20">
        <v>74.943684252843894</v>
      </c>
      <c r="Q784" s="20">
        <v>0.43776000000000098</v>
      </c>
      <c r="R784" s="20">
        <v>182.14532670521001</v>
      </c>
      <c r="S784" s="20">
        <v>444.90345683730902</v>
      </c>
      <c r="T784" s="20">
        <v>14</v>
      </c>
      <c r="U784" s="20">
        <v>0.999999999999999</v>
      </c>
      <c r="V784" s="20">
        <v>14439.389637877401</v>
      </c>
      <c r="W784" s="20">
        <v>16420.9237073043</v>
      </c>
      <c r="X784" s="20">
        <v>18146.664106687102</v>
      </c>
      <c r="Y784" s="20">
        <v>19854.0929404034</v>
      </c>
      <c r="Z784" s="20">
        <v>21333.9141469309</v>
      </c>
      <c r="AA784" s="20">
        <v>22711.1940616303</v>
      </c>
      <c r="AB784" s="20">
        <v>24006.7833524542</v>
      </c>
      <c r="AC784" s="20">
        <v>25183.967242324499</v>
      </c>
      <c r="AD784" s="20">
        <v>26337.435059047799</v>
      </c>
      <c r="AE784" s="20">
        <v>27431.859230558101</v>
      </c>
      <c r="AF784" t="str">
        <f t="shared" si="53"/>
        <v>NonResidential</v>
      </c>
      <c r="AG784" t="str">
        <f>tbl_Data_old[[#This Row],[All_Meas_Name_Append]]</f>
        <v>Synchronous Belt on 5hp ODP Motor</v>
      </c>
      <c r="AH784">
        <f>AVERAGEIFS('3. Incentive Adjustment'!G:G,'3. Incentive Adjustment'!A:A,tbl_Data_old[[#This Row],[Trimmed Sector]],'3. Incentive Adjustment'!B:B,tbl_Data_old[[#This Row],[Trimmed Measure Name]])</f>
        <v>0.63653870706597271</v>
      </c>
      <c r="AI784">
        <f>$AH784*tbl_Data_old[[#This Row],[2025 ]]</f>
        <v>9191.2304109162851</v>
      </c>
      <c r="AJ784">
        <f>$AH784*tbl_Data_old[[#This Row],[2026 ]]</f>
        <v>10452.553545476459</v>
      </c>
      <c r="AK784">
        <f>$AH784*tbl_Data_old[[#This Row],[2027 ]]</f>
        <v>11551.054108031103</v>
      </c>
      <c r="AL784">
        <f>$AH784*tbl_Data_old[[#This Row],[2028 ]]</f>
        <v>12637.898650252037</v>
      </c>
      <c r="AM784">
        <f>$AH784*tbl_Data_old[[#This Row],[2029 ]]</f>
        <v>13579.86212774386</v>
      </c>
      <c r="AN784">
        <f>$AH784*tbl_Data_old[[#This Row],[2030 ]]</f>
        <v>14456.554103914548</v>
      </c>
      <c r="AO784">
        <f>$AH784*tbl_Data_old[[#This Row],[2031 ]]</f>
        <v>15281.246835984115</v>
      </c>
      <c r="AP784">
        <f>$AH784*tbl_Data_old[[#This Row],[2032 ]]</f>
        <v>16030.569947221047</v>
      </c>
      <c r="AQ784">
        <f>$AH784*tbl_Data_old[[#This Row],[2033 ]]</f>
        <v>16764.796859920305</v>
      </c>
      <c r="AR784">
        <f>$AH784*tbl_Data_old[[#This Row],[2034 ]]</f>
        <v>17461.440207035223</v>
      </c>
      <c r="AS784">
        <f>SUM(tbl_Data_old[[#This Row],[Adjusted 2025]:[Adjusted 2034]])</f>
        <v>137407.20679649495</v>
      </c>
      <c r="AT784" s="3">
        <f>AVERAGEIFS('3. Incentive Adjustment'!F:F,'3. Incentive Adjustment'!A:A,tbl_Data_old[[#This Row],[Trimmed Sector]],'3. Incentive Adjustment'!B:B,tbl_Data_old[[#This Row],[Trimmed Measure Name]])</f>
        <v>0</v>
      </c>
      <c r="AU784" s="3">
        <f>IFERROR(VLOOKUP(tbl_Data_old[[#This Row],[All_Meas_Name_Append]],'IRA Tax Credits'!$A$3:$D$46,4,0),0)</f>
        <v>0</v>
      </c>
      <c r="AV784" s="4">
        <f>tbl_Data_old[[#This Row],[Adj. per unit Incentive ($)]]/tbl_Data_old[[#This Row],[kWh Savings]]*tbl_Data_old[[#This Row],[Sum of Annuals]]</f>
        <v>0</v>
      </c>
      <c r="AW784" s="4" t="str">
        <f>IFERROR(VLOOKUP(tbl_Data_old[[#This Row],[All_Programs]],'1. Set Program Names'!$B$2:$D$15,3,0)*tbl_Data_old[[#This Row],[Sum of Annuals]],"")</f>
        <v/>
      </c>
      <c r="AX784" s="4">
        <f>tbl_Data_old[[#This Row],[per unit IRA tax ($)]]/tbl_Data_old[[#This Row],[kWh Savings]]*tbl_Data_old[[#This Row],[Sum of Annuals]]</f>
        <v>0</v>
      </c>
      <c r="AY784" s="4">
        <f>tbl_Data_old[[#This Row],[Avoided Costs ($/unit)]]/tbl_Data_old[[#This Row],[kWh Savings]]*tbl_Data_old[[#This Row],[Sum of Annuals]]</f>
        <v>57173.06417579922</v>
      </c>
      <c r="AZ784" s="4">
        <f>tbl_Data_old[[#This Row],[Lost Revenue ($/unit)]]/tbl_Data_old[[#This Row],[kWh Savings]]*tbl_Data_old[[#This Row],[Sum of Annuals]]</f>
        <v>139649.44558232697</v>
      </c>
      <c r="BA784" s="4">
        <f>tbl_Data_old[[#This Row],[Incremental Cost ($/unit)]]/tbl_Data_old[[#This Row],[kWh Savings]]*tbl_Data_old[[#This Row],[Sum of Annuals]]</f>
        <v>51163.593539447706</v>
      </c>
      <c r="BB784">
        <f>ROUNDUP(tbl_Data_old[[#This Row],[Adjusted 2025]]/$L784,0)</f>
        <v>21</v>
      </c>
      <c r="BC784">
        <f>ROUNDUP(tbl_Data_old[[#This Row],[Adjusted 2026]]/$L784,0)</f>
        <v>24</v>
      </c>
      <c r="BD784">
        <f>ROUNDUP(tbl_Data_old[[#This Row],[Adjusted 2027]]/$L784,0)</f>
        <v>27</v>
      </c>
      <c r="BE784">
        <f>ROUNDUP(tbl_Data_old[[#This Row],[Adjusted 2028]]/$L784,0)</f>
        <v>29</v>
      </c>
      <c r="BF784">
        <f>ROUNDUP(tbl_Data_old[[#This Row],[Adjusted 2029]]/$L784,0)</f>
        <v>32</v>
      </c>
      <c r="BG784">
        <f>ROUNDUP(tbl_Data_old[[#This Row],[Adjusted 2030]]/$L784,0)</f>
        <v>34</v>
      </c>
      <c r="BH784">
        <f>ROUNDUP(tbl_Data_old[[#This Row],[Adjusted 2031]]/$L784,0)</f>
        <v>35</v>
      </c>
      <c r="BI784">
        <f>ROUNDUP(tbl_Data_old[[#This Row],[Adjusted 2032]]/$L784,0)</f>
        <v>37</v>
      </c>
      <c r="BJ784">
        <f>ROUNDUP(tbl_Data_old[[#This Row],[Adjusted 2033]]/$L784,0)</f>
        <v>39</v>
      </c>
      <c r="BK784">
        <f>ROUNDUP(tbl_Data_old[[#This Row],[Adjusted 2034]]/$L784,0)</f>
        <v>40</v>
      </c>
      <c r="BL784" s="3">
        <f t="shared" si="54"/>
        <v>0</v>
      </c>
      <c r="BM784" s="3">
        <f t="shared" si="54"/>
        <v>0</v>
      </c>
      <c r="BN784" s="3">
        <f t="shared" si="54"/>
        <v>0</v>
      </c>
      <c r="BO784" s="3">
        <f t="shared" si="54"/>
        <v>0</v>
      </c>
      <c r="BP784" s="3">
        <f t="shared" si="54"/>
        <v>0</v>
      </c>
      <c r="BQ784" s="3">
        <f t="shared" si="54"/>
        <v>0</v>
      </c>
      <c r="BR784" s="3">
        <f t="shared" si="54"/>
        <v>0</v>
      </c>
      <c r="BS784" s="3">
        <f t="shared" si="54"/>
        <v>0</v>
      </c>
      <c r="BT784" s="3">
        <f t="shared" si="54"/>
        <v>0</v>
      </c>
      <c r="BU784" s="3">
        <f t="shared" si="54"/>
        <v>0</v>
      </c>
      <c r="BV784" t="e">
        <f>VLOOKUP($H784,'1. Set Program Names'!$B$2:$D$15,3,0)*V784</f>
        <v>#N/A</v>
      </c>
      <c r="BW784" t="e">
        <f>VLOOKUP($H784,'1. Set Program Names'!$B$2:$D$15,3,0)*W784</f>
        <v>#N/A</v>
      </c>
      <c r="BX784" t="e">
        <f>VLOOKUP($H784,'1. Set Program Names'!$B$2:$D$15,3,0)*X784</f>
        <v>#N/A</v>
      </c>
      <c r="BY784" t="e">
        <f>VLOOKUP($H784,'1. Set Program Names'!$B$2:$D$15,3,0)*Y784</f>
        <v>#N/A</v>
      </c>
      <c r="BZ784" t="e">
        <f>VLOOKUP($H784,'1. Set Program Names'!$B$2:$D$15,3,0)*Z784</f>
        <v>#N/A</v>
      </c>
      <c r="CA784" t="e">
        <f>VLOOKUP($H784,'1. Set Program Names'!$B$2:$D$15,3,0)*AA784</f>
        <v>#N/A</v>
      </c>
      <c r="CB784" t="e">
        <f>VLOOKUP($H784,'1. Set Program Names'!$B$2:$D$15,3,0)*AB784</f>
        <v>#N/A</v>
      </c>
      <c r="CC784" t="e">
        <f>VLOOKUP($H784,'1. Set Program Names'!$B$2:$D$15,3,0)*AC784</f>
        <v>#N/A</v>
      </c>
      <c r="CD784" t="e">
        <f>VLOOKUP($H784,'1. Set Program Names'!$B$2:$D$15,3,0)*AD784</f>
        <v>#N/A</v>
      </c>
      <c r="CE784" t="e">
        <f>VLOOKUP($H784,'1. Set Program Names'!$B$2:$D$15,3,0)*AE784</f>
        <v>#N/A</v>
      </c>
    </row>
    <row r="785" spans="1:83" x14ac:dyDescent="0.25">
      <c r="A785" s="20" t="s">
        <v>87</v>
      </c>
      <c r="B785" s="20" t="s">
        <v>88</v>
      </c>
      <c r="C785" s="20" t="s">
        <v>176</v>
      </c>
      <c r="D785" s="20" t="s">
        <v>90</v>
      </c>
      <c r="E785" s="20" t="s">
        <v>91</v>
      </c>
      <c r="F785" s="20" t="s">
        <v>90</v>
      </c>
      <c r="G785" s="20" t="s">
        <v>92</v>
      </c>
      <c r="H785" s="20" t="s">
        <v>268</v>
      </c>
      <c r="I785" s="20" t="s">
        <v>193</v>
      </c>
      <c r="J785" s="20" t="s">
        <v>191</v>
      </c>
      <c r="K785" s="20" t="s">
        <v>98</v>
      </c>
      <c r="L785" s="20">
        <v>12009.57</v>
      </c>
      <c r="M785" s="20">
        <v>1.41674258810918</v>
      </c>
      <c r="N785" s="20">
        <v>1.38428653564094</v>
      </c>
      <c r="O785" s="20">
        <v>2450</v>
      </c>
      <c r="P785" s="20">
        <v>34.250530181900103</v>
      </c>
      <c r="Q785" s="20">
        <v>12.00957</v>
      </c>
      <c r="R785" s="20">
        <v>4997.0007566682498</v>
      </c>
      <c r="S785" s="20">
        <v>12205.544609214199</v>
      </c>
      <c r="T785" s="20">
        <v>14</v>
      </c>
      <c r="U785" s="20">
        <v>0.999999999999999</v>
      </c>
      <c r="V785" s="20">
        <v>14531.962918957101</v>
      </c>
      <c r="W785" s="20">
        <v>16541.2381498414</v>
      </c>
      <c r="X785" s="20">
        <v>18295.462253498401</v>
      </c>
      <c r="Y785" s="20">
        <v>20034.865437340501</v>
      </c>
      <c r="Z785" s="20">
        <v>21543.6734454088</v>
      </c>
      <c r="AA785" s="20">
        <v>22949.977758457298</v>
      </c>
      <c r="AB785" s="20">
        <v>24273.863938547402</v>
      </c>
      <c r="AC785" s="20">
        <v>25475.279074818602</v>
      </c>
      <c r="AD785" s="20">
        <v>26653.105734820299</v>
      </c>
      <c r="AE785" s="20">
        <v>27769.894705728901</v>
      </c>
      <c r="AF785" t="str">
        <f t="shared" si="53"/>
        <v>NonResidential</v>
      </c>
      <c r="AG785" t="str">
        <f>tbl_Data_old[[#This Row],[All_Meas_Name_Append]]</f>
        <v>Synchronous Belt on 75hp ODP Motor</v>
      </c>
      <c r="AH785">
        <f>AVERAGEIFS('3. Incentive Adjustment'!G:G,'3. Incentive Adjustment'!A:A,tbl_Data_old[[#This Row],[Trimmed Sector]],'3. Incentive Adjustment'!B:B,tbl_Data_old[[#This Row],[Trimmed Measure Name]])</f>
        <v>0.99250334293493969</v>
      </c>
      <c r="AI785">
        <f>$AH785*tbl_Data_old[[#This Row],[2025 ]]</f>
        <v>14423.021776471507</v>
      </c>
      <c r="AJ785">
        <f>$AH785*tbl_Data_old[[#This Row],[2026 ]]</f>
        <v>16417.234160000546</v>
      </c>
      <c r="AK785">
        <f>$AH785*tbl_Data_old[[#This Row],[2027 ]]</f>
        <v>18158.307447137169</v>
      </c>
      <c r="AL785">
        <f>$AH785*tbl_Data_old[[#This Row],[2028 ]]</f>
        <v>19884.670921812129</v>
      </c>
      <c r="AM785">
        <f>$AH785*tbl_Data_old[[#This Row],[2029 ]]</f>
        <v>21382.167913666923</v>
      </c>
      <c r="AN785">
        <f>$AH785*tbl_Data_old[[#This Row],[2030 ]]</f>
        <v>22777.929645551383</v>
      </c>
      <c r="AO785">
        <f>$AH785*tbl_Data_old[[#This Row],[2031 ]]</f>
        <v>24091.891104956179</v>
      </c>
      <c r="AP785">
        <f>$AH785*tbl_Data_old[[#This Row],[2032 ]]</f>
        <v>25284.29964395798</v>
      </c>
      <c r="AQ785">
        <f>$AH785*tbl_Data_old[[#This Row],[2033 ]]</f>
        <v>26453.296541407559</v>
      </c>
      <c r="AR785">
        <f>$AH785*tbl_Data_old[[#This Row],[2034 ]]</f>
        <v>27561.713328387217</v>
      </c>
      <c r="AS785">
        <f>SUM(tbl_Data_old[[#This Row],[Adjusted 2025]:[Adjusted 2034]])</f>
        <v>216434.53248334859</v>
      </c>
      <c r="AT785" s="3">
        <f>AVERAGEIFS('3. Incentive Adjustment'!F:F,'3. Incentive Adjustment'!A:A,tbl_Data_old[[#This Row],[Trimmed Sector]],'3. Incentive Adjustment'!B:B,tbl_Data_old[[#This Row],[Trimmed Measure Name]])</f>
        <v>0</v>
      </c>
      <c r="AU785" s="3">
        <f>IFERROR(VLOOKUP(tbl_Data_old[[#This Row],[All_Meas_Name_Append]],'IRA Tax Credits'!$A$3:$D$46,4,0),0)</f>
        <v>0</v>
      </c>
      <c r="AV785" s="4">
        <f>tbl_Data_old[[#This Row],[Adj. per unit Incentive ($)]]/tbl_Data_old[[#This Row],[kWh Savings]]*tbl_Data_old[[#This Row],[Sum of Annuals]]</f>
        <v>0</v>
      </c>
      <c r="AW785" s="4" t="str">
        <f>IFERROR(VLOOKUP(tbl_Data_old[[#This Row],[All_Programs]],'1. Set Program Names'!$B$2:$D$15,3,0)*tbl_Data_old[[#This Row],[Sum of Annuals]],"")</f>
        <v/>
      </c>
      <c r="AX785" s="4">
        <f>tbl_Data_old[[#This Row],[per unit IRA tax ($)]]/tbl_Data_old[[#This Row],[kWh Savings]]*tbl_Data_old[[#This Row],[Sum of Annuals]]</f>
        <v>0</v>
      </c>
      <c r="AY785" s="4">
        <f>tbl_Data_old[[#This Row],[Avoided Costs ($/unit)]]/tbl_Data_old[[#This Row],[kWh Savings]]*tbl_Data_old[[#This Row],[Sum of Annuals]]</f>
        <v>90055.141240563302</v>
      </c>
      <c r="AZ785" s="4">
        <f>tbl_Data_old[[#This Row],[Lost Revenue ($/unit)]]/tbl_Data_old[[#This Row],[kWh Savings]]*tbl_Data_old[[#This Row],[Sum of Annuals]]</f>
        <v>219966.35526500375</v>
      </c>
      <c r="BA785" s="4">
        <f>tbl_Data_old[[#This Row],[Incremental Cost ($/unit)]]/tbl_Data_old[[#This Row],[kWh Savings]]*tbl_Data_old[[#This Row],[Sum of Annuals]]</f>
        <v>44153.504628742252</v>
      </c>
      <c r="BB785">
        <f>ROUNDUP(tbl_Data_old[[#This Row],[Adjusted 2025]]/$L785,0)</f>
        <v>2</v>
      </c>
      <c r="BC785">
        <f>ROUNDUP(tbl_Data_old[[#This Row],[Adjusted 2026]]/$L785,0)</f>
        <v>2</v>
      </c>
      <c r="BD785">
        <f>ROUNDUP(tbl_Data_old[[#This Row],[Adjusted 2027]]/$L785,0)</f>
        <v>2</v>
      </c>
      <c r="BE785">
        <f>ROUNDUP(tbl_Data_old[[#This Row],[Adjusted 2028]]/$L785,0)</f>
        <v>2</v>
      </c>
      <c r="BF785">
        <f>ROUNDUP(tbl_Data_old[[#This Row],[Adjusted 2029]]/$L785,0)</f>
        <v>2</v>
      </c>
      <c r="BG785">
        <f>ROUNDUP(tbl_Data_old[[#This Row],[Adjusted 2030]]/$L785,0)</f>
        <v>2</v>
      </c>
      <c r="BH785">
        <f>ROUNDUP(tbl_Data_old[[#This Row],[Adjusted 2031]]/$L785,0)</f>
        <v>3</v>
      </c>
      <c r="BI785">
        <f>ROUNDUP(tbl_Data_old[[#This Row],[Adjusted 2032]]/$L785,0)</f>
        <v>3</v>
      </c>
      <c r="BJ785">
        <f>ROUNDUP(tbl_Data_old[[#This Row],[Adjusted 2033]]/$L785,0)</f>
        <v>3</v>
      </c>
      <c r="BK785">
        <f>ROUNDUP(tbl_Data_old[[#This Row],[Adjusted 2034]]/$L785,0)</f>
        <v>3</v>
      </c>
      <c r="BL785" s="3">
        <f t="shared" si="54"/>
        <v>0</v>
      </c>
      <c r="BM785" s="3">
        <f t="shared" si="54"/>
        <v>0</v>
      </c>
      <c r="BN785" s="3">
        <f t="shared" si="54"/>
        <v>0</v>
      </c>
      <c r="BO785" s="3">
        <f t="shared" si="54"/>
        <v>0</v>
      </c>
      <c r="BP785" s="3">
        <f t="shared" si="54"/>
        <v>0</v>
      </c>
      <c r="BQ785" s="3">
        <f t="shared" si="54"/>
        <v>0</v>
      </c>
      <c r="BR785" s="3">
        <f t="shared" si="54"/>
        <v>0</v>
      </c>
      <c r="BS785" s="3">
        <f t="shared" si="54"/>
        <v>0</v>
      </c>
      <c r="BT785" s="3">
        <f t="shared" si="54"/>
        <v>0</v>
      </c>
      <c r="BU785" s="3">
        <f t="shared" si="54"/>
        <v>0</v>
      </c>
      <c r="BV785" t="e">
        <f>VLOOKUP($H785,'1. Set Program Names'!$B$2:$D$15,3,0)*V785</f>
        <v>#N/A</v>
      </c>
      <c r="BW785" t="e">
        <f>VLOOKUP($H785,'1. Set Program Names'!$B$2:$D$15,3,0)*W785</f>
        <v>#N/A</v>
      </c>
      <c r="BX785" t="e">
        <f>VLOOKUP($H785,'1. Set Program Names'!$B$2:$D$15,3,0)*X785</f>
        <v>#N/A</v>
      </c>
      <c r="BY785" t="e">
        <f>VLOOKUP($H785,'1. Set Program Names'!$B$2:$D$15,3,0)*Y785</f>
        <v>#N/A</v>
      </c>
      <c r="BZ785" t="e">
        <f>VLOOKUP($H785,'1. Set Program Names'!$B$2:$D$15,3,0)*Z785</f>
        <v>#N/A</v>
      </c>
      <c r="CA785" t="e">
        <f>VLOOKUP($H785,'1. Set Program Names'!$B$2:$D$15,3,0)*AA785</f>
        <v>#N/A</v>
      </c>
      <c r="CB785" t="e">
        <f>VLOOKUP($H785,'1. Set Program Names'!$B$2:$D$15,3,0)*AB785</f>
        <v>#N/A</v>
      </c>
      <c r="CC785" t="e">
        <f>VLOOKUP($H785,'1. Set Program Names'!$B$2:$D$15,3,0)*AC785</f>
        <v>#N/A</v>
      </c>
      <c r="CD785" t="e">
        <f>VLOOKUP($H785,'1. Set Program Names'!$B$2:$D$15,3,0)*AD785</f>
        <v>#N/A</v>
      </c>
      <c r="CE785" t="e">
        <f>VLOOKUP($H785,'1. Set Program Names'!$B$2:$D$15,3,0)*AE785</f>
        <v>#N/A</v>
      </c>
    </row>
    <row r="786" spans="1:83" x14ac:dyDescent="0.25">
      <c r="A786" s="20" t="s">
        <v>113</v>
      </c>
      <c r="B786" s="20" t="s">
        <v>88</v>
      </c>
      <c r="C786" s="20" t="s">
        <v>176</v>
      </c>
      <c r="D786" s="20" t="s">
        <v>90</v>
      </c>
      <c r="E786" s="20" t="s">
        <v>91</v>
      </c>
      <c r="F786" s="20" t="s">
        <v>90</v>
      </c>
      <c r="G786" s="20" t="s">
        <v>92</v>
      </c>
      <c r="H786" s="20" t="s">
        <v>268</v>
      </c>
      <c r="I786" s="20" t="s">
        <v>179</v>
      </c>
      <c r="J786" s="20" t="s">
        <v>180</v>
      </c>
      <c r="K786" s="20" t="s">
        <v>98</v>
      </c>
      <c r="L786" s="20">
        <v>2684</v>
      </c>
      <c r="M786" s="20">
        <v>0.32197664062426901</v>
      </c>
      <c r="N786" s="20">
        <v>0.310035778837426</v>
      </c>
      <c r="O786" s="20">
        <v>1119</v>
      </c>
      <c r="P786" s="20">
        <v>579.10793250784297</v>
      </c>
      <c r="Q786" s="20">
        <v>2.6840000000000002</v>
      </c>
      <c r="R786" s="20">
        <v>1432.5808011563199</v>
      </c>
      <c r="S786" s="20">
        <v>4046.00364167834</v>
      </c>
      <c r="T786" s="20">
        <v>30</v>
      </c>
      <c r="U786" s="20">
        <v>1</v>
      </c>
      <c r="V786" s="20">
        <v>1520.6752405846701</v>
      </c>
      <c r="W786" s="20">
        <v>3628.4883213697099</v>
      </c>
      <c r="X786" s="20">
        <v>6396.1297761085298</v>
      </c>
      <c r="Y786" s="20">
        <v>9906.4034940782694</v>
      </c>
      <c r="Z786" s="20">
        <v>14127.5668955569</v>
      </c>
      <c r="AA786" s="20">
        <v>19012.4281354251</v>
      </c>
      <c r="AB786" s="20">
        <v>24473.001924695101</v>
      </c>
      <c r="AC786" s="20">
        <v>30378.845380779301</v>
      </c>
      <c r="AD786" s="20">
        <v>36646.477552881399</v>
      </c>
      <c r="AE786" s="20">
        <v>43191.790913880002</v>
      </c>
      <c r="AF786" t="str">
        <f t="shared" si="53"/>
        <v>NonResidential</v>
      </c>
      <c r="AG786" t="str">
        <f>tbl_Data_old[[#This Row],[All_Meas_Name_Append]]</f>
        <v>Energy Efficient Transformers</v>
      </c>
      <c r="AH786">
        <f>AVERAGEIFS('3. Incentive Adjustment'!G:G,'3. Incentive Adjustment'!A:A,tbl_Data_old[[#This Row],[Trimmed Sector]],'3. Incentive Adjustment'!B:B,tbl_Data_old[[#This Row],[Trimmed Measure Name]])</f>
        <v>0.56592396099637965</v>
      </c>
      <c r="AI786">
        <f>$AH786*tbl_Data_old[[#This Row],[2025 ]]</f>
        <v>860.58655554079905</v>
      </c>
      <c r="AJ786">
        <f>$AH786*tbl_Data_old[[#This Row],[2026 ]]</f>
        <v>2053.4484832586509</v>
      </c>
      <c r="AK786">
        <f>$AH786*tbl_Data_old[[#This Row],[2027 ]]</f>
        <v>3619.7230979422261</v>
      </c>
      <c r="AL786">
        <f>$AH786*tbl_Data_old[[#This Row],[2028 ]]</f>
        <v>5606.27110459715</v>
      </c>
      <c r="AM786">
        <f>$AH786*tbl_Data_old[[#This Row],[2029 ]]</f>
        <v>7995.1286167748876</v>
      </c>
      <c r="AN786">
        <f>$AH786*tbl_Data_old[[#This Row],[2030 ]]</f>
        <v>10759.588638558786</v>
      </c>
      <c r="AO786">
        <f>$AH786*tbl_Data_old[[#This Row],[2031 ]]</f>
        <v>13849.858186695476</v>
      </c>
      <c r="AP786">
        <f>$AH786*tbl_Data_old[[#This Row],[2032 ]]</f>
        <v>17192.116508387193</v>
      </c>
      <c r="AQ786">
        <f>$AH786*tbl_Data_old[[#This Row],[2033 ]]</f>
        <v>20739.119733291554</v>
      </c>
      <c r="AR786">
        <f>$AH786*tbl_Data_old[[#This Row],[2034 ]]</f>
        <v>24443.269396510412</v>
      </c>
      <c r="AS786">
        <f>SUM(tbl_Data_old[[#This Row],[Adjusted 2025]:[Adjusted 2034]])</f>
        <v>107119.11032155715</v>
      </c>
      <c r="AT786" s="3">
        <f>AVERAGEIFS('3. Incentive Adjustment'!F:F,'3. Incentive Adjustment'!A:A,tbl_Data_old[[#This Row],[Trimmed Sector]],'3. Incentive Adjustment'!B:B,tbl_Data_old[[#This Row],[Trimmed Measure Name]])</f>
        <v>0</v>
      </c>
      <c r="AU786" s="3">
        <f>IFERROR(VLOOKUP(tbl_Data_old[[#This Row],[All_Meas_Name_Append]],'IRA Tax Credits'!$A$3:$D$46,4,0),0)</f>
        <v>0</v>
      </c>
      <c r="AV786" s="4">
        <f>tbl_Data_old[[#This Row],[Adj. per unit Incentive ($)]]/tbl_Data_old[[#This Row],[kWh Savings]]*tbl_Data_old[[#This Row],[Sum of Annuals]]</f>
        <v>0</v>
      </c>
      <c r="AW786" s="4" t="str">
        <f>IFERROR(VLOOKUP(tbl_Data_old[[#This Row],[All_Programs]],'1. Set Program Names'!$B$2:$D$15,3,0)*tbl_Data_old[[#This Row],[Sum of Annuals]],"")</f>
        <v/>
      </c>
      <c r="AX786" s="4">
        <f>tbl_Data_old[[#This Row],[per unit IRA tax ($)]]/tbl_Data_old[[#This Row],[kWh Savings]]*tbl_Data_old[[#This Row],[Sum of Annuals]]</f>
        <v>0</v>
      </c>
      <c r="AY786" s="4">
        <f>tbl_Data_old[[#This Row],[Avoided Costs ($/unit)]]/tbl_Data_old[[#This Row],[kWh Savings]]*tbl_Data_old[[#This Row],[Sum of Annuals]]</f>
        <v>57174.657557231207</v>
      </c>
      <c r="AZ786" s="4">
        <f>tbl_Data_old[[#This Row],[Lost Revenue ($/unit)]]/tbl_Data_old[[#This Row],[kWh Savings]]*tbl_Data_old[[#This Row],[Sum of Annuals]]</f>
        <v>161477.0158175723</v>
      </c>
      <c r="BA786" s="4">
        <f>tbl_Data_old[[#This Row],[Incremental Cost ($/unit)]]/tbl_Data_old[[#This Row],[kWh Savings]]*tbl_Data_old[[#This Row],[Sum of Annuals]]</f>
        <v>44659.569467146968</v>
      </c>
      <c r="BB786">
        <f>ROUNDUP(tbl_Data_old[[#This Row],[Adjusted 2025]]/$L786,0)</f>
        <v>1</v>
      </c>
      <c r="BC786">
        <f>ROUNDUP(tbl_Data_old[[#This Row],[Adjusted 2026]]/$L786,0)</f>
        <v>1</v>
      </c>
      <c r="BD786">
        <f>ROUNDUP(tbl_Data_old[[#This Row],[Adjusted 2027]]/$L786,0)</f>
        <v>2</v>
      </c>
      <c r="BE786">
        <f>ROUNDUP(tbl_Data_old[[#This Row],[Adjusted 2028]]/$L786,0)</f>
        <v>3</v>
      </c>
      <c r="BF786">
        <f>ROUNDUP(tbl_Data_old[[#This Row],[Adjusted 2029]]/$L786,0)</f>
        <v>3</v>
      </c>
      <c r="BG786">
        <f>ROUNDUP(tbl_Data_old[[#This Row],[Adjusted 2030]]/$L786,0)</f>
        <v>5</v>
      </c>
      <c r="BH786">
        <f>ROUNDUP(tbl_Data_old[[#This Row],[Adjusted 2031]]/$L786,0)</f>
        <v>6</v>
      </c>
      <c r="BI786">
        <f>ROUNDUP(tbl_Data_old[[#This Row],[Adjusted 2032]]/$L786,0)</f>
        <v>7</v>
      </c>
      <c r="BJ786">
        <f>ROUNDUP(tbl_Data_old[[#This Row],[Adjusted 2033]]/$L786,0)</f>
        <v>8</v>
      </c>
      <c r="BK786">
        <f>ROUNDUP(tbl_Data_old[[#This Row],[Adjusted 2034]]/$L786,0)</f>
        <v>10</v>
      </c>
      <c r="BL786" s="3">
        <f t="shared" si="54"/>
        <v>0</v>
      </c>
      <c r="BM786" s="3">
        <f t="shared" si="54"/>
        <v>0</v>
      </c>
      <c r="BN786" s="3">
        <f t="shared" si="54"/>
        <v>0</v>
      </c>
      <c r="BO786" s="3">
        <f t="shared" si="54"/>
        <v>0</v>
      </c>
      <c r="BP786" s="3">
        <f t="shared" si="54"/>
        <v>0</v>
      </c>
      <c r="BQ786" s="3">
        <f t="shared" si="54"/>
        <v>0</v>
      </c>
      <c r="BR786" s="3">
        <f t="shared" si="54"/>
        <v>0</v>
      </c>
      <c r="BS786" s="3">
        <f t="shared" si="54"/>
        <v>0</v>
      </c>
      <c r="BT786" s="3">
        <f t="shared" si="54"/>
        <v>0</v>
      </c>
      <c r="BU786" s="3">
        <f t="shared" si="54"/>
        <v>0</v>
      </c>
      <c r="BV786" t="e">
        <f>VLOOKUP($H786,'1. Set Program Names'!$B$2:$D$15,3,0)*V786</f>
        <v>#N/A</v>
      </c>
      <c r="BW786" t="e">
        <f>VLOOKUP($H786,'1. Set Program Names'!$B$2:$D$15,3,0)*W786</f>
        <v>#N/A</v>
      </c>
      <c r="BX786" t="e">
        <f>VLOOKUP($H786,'1. Set Program Names'!$B$2:$D$15,3,0)*X786</f>
        <v>#N/A</v>
      </c>
      <c r="BY786" t="e">
        <f>VLOOKUP($H786,'1. Set Program Names'!$B$2:$D$15,3,0)*Y786</f>
        <v>#N/A</v>
      </c>
      <c r="BZ786" t="e">
        <f>VLOOKUP($H786,'1. Set Program Names'!$B$2:$D$15,3,0)*Z786</f>
        <v>#N/A</v>
      </c>
      <c r="CA786" t="e">
        <f>VLOOKUP($H786,'1. Set Program Names'!$B$2:$D$15,3,0)*AA786</f>
        <v>#N/A</v>
      </c>
      <c r="CB786" t="e">
        <f>VLOOKUP($H786,'1. Set Program Names'!$B$2:$D$15,3,0)*AB786</f>
        <v>#N/A</v>
      </c>
      <c r="CC786" t="e">
        <f>VLOOKUP($H786,'1. Set Program Names'!$B$2:$D$15,3,0)*AC786</f>
        <v>#N/A</v>
      </c>
      <c r="CD786" t="e">
        <f>VLOOKUP($H786,'1. Set Program Names'!$B$2:$D$15,3,0)*AD786</f>
        <v>#N/A</v>
      </c>
      <c r="CE786" t="e">
        <f>VLOOKUP($H786,'1. Set Program Names'!$B$2:$D$15,3,0)*AE786</f>
        <v>#N/A</v>
      </c>
    </row>
    <row r="787" spans="1:83" x14ac:dyDescent="0.25">
      <c r="A787" s="20" t="s">
        <v>113</v>
      </c>
      <c r="B787" s="20" t="s">
        <v>88</v>
      </c>
      <c r="C787" s="20" t="s">
        <v>176</v>
      </c>
      <c r="D787" s="20" t="s">
        <v>90</v>
      </c>
      <c r="E787" s="20" t="s">
        <v>91</v>
      </c>
      <c r="F787" s="20" t="s">
        <v>90</v>
      </c>
      <c r="G787" s="20" t="s">
        <v>92</v>
      </c>
      <c r="H787" s="20" t="s">
        <v>268</v>
      </c>
      <c r="I787" s="20" t="s">
        <v>186</v>
      </c>
      <c r="J787" s="20" t="s">
        <v>180</v>
      </c>
      <c r="K787" s="20" t="s">
        <v>102</v>
      </c>
      <c r="L787" s="20">
        <v>27897.5999999999</v>
      </c>
      <c r="M787" s="20">
        <v>3.34663767864367</v>
      </c>
      <c r="N787" s="20">
        <v>3.2225238985450702</v>
      </c>
      <c r="O787" s="20">
        <v>8000</v>
      </c>
      <c r="P787" s="20">
        <v>2762.04801865338</v>
      </c>
      <c r="Q787" s="20">
        <v>27.897599999999901</v>
      </c>
      <c r="R787" s="20">
        <v>11926.089110639999</v>
      </c>
      <c r="S787" s="20">
        <v>29629.215249514</v>
      </c>
      <c r="T787" s="20">
        <v>15</v>
      </c>
      <c r="U787" s="20">
        <v>1</v>
      </c>
      <c r="V787" s="20">
        <v>246.588705635108</v>
      </c>
      <c r="W787" s="20">
        <v>524.35237448110695</v>
      </c>
      <c r="X787" s="20">
        <v>833.33471536801699</v>
      </c>
      <c r="Y787" s="20">
        <v>1181.29991912788</v>
      </c>
      <c r="Z787" s="20">
        <v>1563.8699034533099</v>
      </c>
      <c r="AA787" s="20">
        <v>1985.0075962337201</v>
      </c>
      <c r="AB787" s="20">
        <v>2448.0869946222601</v>
      </c>
      <c r="AC787" s="20">
        <v>2950.9463515777602</v>
      </c>
      <c r="AD787" s="20">
        <v>3498.7952373736298</v>
      </c>
      <c r="AE787" s="20">
        <v>4092.2251060398798</v>
      </c>
      <c r="AF787" t="str">
        <f t="shared" si="53"/>
        <v>NonResidential</v>
      </c>
      <c r="AG787" t="str">
        <f>tbl_Data_old[[#This Row],[All_Meas_Name_Append]]</f>
        <v>Grain Bin Aeration Control System</v>
      </c>
      <c r="AH787">
        <f>AVERAGEIFS('3. Incentive Adjustment'!G:G,'3. Incentive Adjustment'!A:A,tbl_Data_old[[#This Row],[Trimmed Sector]],'3. Incentive Adjustment'!B:B,tbl_Data_old[[#This Row],[Trimmed Measure Name]])</f>
        <v>0.77010279279185057</v>
      </c>
      <c r="AI787">
        <f>$AH787*tbl_Data_old[[#This Row],[2025 ]]</f>
        <v>189.8986508805242</v>
      </c>
      <c r="AJ787">
        <f>$AH787*tbl_Data_old[[#This Row],[2026 ]]</f>
        <v>403.80522799493872</v>
      </c>
      <c r="AK787">
        <f>$AH787*tbl_Data_old[[#This Row],[2027 ]]</f>
        <v>641.7533916353118</v>
      </c>
      <c r="AL787">
        <f>$AH787*tbl_Data_old[[#This Row],[2028 ]]</f>
        <v>909.72236684516758</v>
      </c>
      <c r="AM787">
        <f>$AH787*tbl_Data_old[[#This Row],[2029 ]]</f>
        <v>1204.3405802125158</v>
      </c>
      <c r="AN787">
        <f>$AH787*tbl_Data_old[[#This Row],[2030 ]]</f>
        <v>1528.6598935726258</v>
      </c>
      <c r="AO787">
        <f>$AH787*tbl_Data_old[[#This Row],[2031 ]]</f>
        <v>1885.2786315560106</v>
      </c>
      <c r="AP787">
        <f>$AH787*tbl_Data_old[[#This Row],[2032 ]]</f>
        <v>2272.5320267289553</v>
      </c>
      <c r="AQ787">
        <f>$AH787*tbl_Data_old[[#This Row],[2033 ]]</f>
        <v>2694.431983708258</v>
      </c>
      <c r="AR787">
        <f>$AH787*tbl_Data_old[[#This Row],[2034 ]]</f>
        <v>3151.4339828942384</v>
      </c>
      <c r="AS787">
        <f>SUM(tbl_Data_old[[#This Row],[Adjusted 2025]:[Adjusted 2034]])</f>
        <v>14881.856736028549</v>
      </c>
      <c r="AT787" s="3">
        <f>AVERAGEIFS('3. Incentive Adjustment'!F:F,'3. Incentive Adjustment'!A:A,tbl_Data_old[[#This Row],[Trimmed Sector]],'3. Incentive Adjustment'!B:B,tbl_Data_old[[#This Row],[Trimmed Measure Name]])</f>
        <v>0</v>
      </c>
      <c r="AU787" s="3">
        <f>IFERROR(VLOOKUP(tbl_Data_old[[#This Row],[All_Meas_Name_Append]],'IRA Tax Credits'!$A$3:$D$46,4,0),0)</f>
        <v>0</v>
      </c>
      <c r="AV787" s="4">
        <f>tbl_Data_old[[#This Row],[Adj. per unit Incentive ($)]]/tbl_Data_old[[#This Row],[kWh Savings]]*tbl_Data_old[[#This Row],[Sum of Annuals]]</f>
        <v>0</v>
      </c>
      <c r="AW787" s="4" t="str">
        <f>IFERROR(VLOOKUP(tbl_Data_old[[#This Row],[All_Programs]],'1. Set Program Names'!$B$2:$D$15,3,0)*tbl_Data_old[[#This Row],[Sum of Annuals]],"")</f>
        <v/>
      </c>
      <c r="AX787" s="4">
        <f>tbl_Data_old[[#This Row],[per unit IRA tax ($)]]/tbl_Data_old[[#This Row],[kWh Savings]]*tbl_Data_old[[#This Row],[Sum of Annuals]]</f>
        <v>0</v>
      </c>
      <c r="AY787" s="4">
        <f>tbl_Data_old[[#This Row],[Avoided Costs ($/unit)]]/tbl_Data_old[[#This Row],[kWh Savings]]*tbl_Data_old[[#This Row],[Sum of Annuals]]</f>
        <v>6361.9217984936058</v>
      </c>
      <c r="AZ787" s="4">
        <f>tbl_Data_old[[#This Row],[Lost Revenue ($/unit)]]/tbl_Data_old[[#This Row],[kWh Savings]]*tbl_Data_old[[#This Row],[Sum of Annuals]]</f>
        <v>15805.579567569299</v>
      </c>
      <c r="BA787" s="4">
        <f>tbl_Data_old[[#This Row],[Incremental Cost ($/unit)]]/tbl_Data_old[[#This Row],[kWh Savings]]*tbl_Data_old[[#This Row],[Sum of Annuals]]</f>
        <v>4267.5661665601638</v>
      </c>
      <c r="BB787">
        <f>ROUNDUP(tbl_Data_old[[#This Row],[Adjusted 2025]]/$L787,0)</f>
        <v>1</v>
      </c>
      <c r="BC787">
        <f>ROUNDUP(tbl_Data_old[[#This Row],[Adjusted 2026]]/$L787,0)</f>
        <v>1</v>
      </c>
      <c r="BD787">
        <f>ROUNDUP(tbl_Data_old[[#This Row],[Adjusted 2027]]/$L787,0)</f>
        <v>1</v>
      </c>
      <c r="BE787">
        <f>ROUNDUP(tbl_Data_old[[#This Row],[Adjusted 2028]]/$L787,0)</f>
        <v>1</v>
      </c>
      <c r="BF787">
        <f>ROUNDUP(tbl_Data_old[[#This Row],[Adjusted 2029]]/$L787,0)</f>
        <v>1</v>
      </c>
      <c r="BG787">
        <f>ROUNDUP(tbl_Data_old[[#This Row],[Adjusted 2030]]/$L787,0)</f>
        <v>1</v>
      </c>
      <c r="BH787">
        <f>ROUNDUP(tbl_Data_old[[#This Row],[Adjusted 2031]]/$L787,0)</f>
        <v>1</v>
      </c>
      <c r="BI787">
        <f>ROUNDUP(tbl_Data_old[[#This Row],[Adjusted 2032]]/$L787,0)</f>
        <v>1</v>
      </c>
      <c r="BJ787">
        <f>ROUNDUP(tbl_Data_old[[#This Row],[Adjusted 2033]]/$L787,0)</f>
        <v>1</v>
      </c>
      <c r="BK787">
        <f>ROUNDUP(tbl_Data_old[[#This Row],[Adjusted 2034]]/$L787,0)</f>
        <v>1</v>
      </c>
      <c r="BL787" s="3">
        <f t="shared" si="54"/>
        <v>0</v>
      </c>
      <c r="BM787" s="3">
        <f t="shared" si="54"/>
        <v>0</v>
      </c>
      <c r="BN787" s="3">
        <f t="shared" si="54"/>
        <v>0</v>
      </c>
      <c r="BO787" s="3">
        <f t="shared" si="54"/>
        <v>0</v>
      </c>
      <c r="BP787" s="3">
        <f t="shared" si="54"/>
        <v>0</v>
      </c>
      <c r="BQ787" s="3">
        <f t="shared" si="54"/>
        <v>0</v>
      </c>
      <c r="BR787" s="3">
        <f t="shared" si="54"/>
        <v>0</v>
      </c>
      <c r="BS787" s="3">
        <f t="shared" si="54"/>
        <v>0</v>
      </c>
      <c r="BT787" s="3">
        <f t="shared" si="54"/>
        <v>0</v>
      </c>
      <c r="BU787" s="3">
        <f t="shared" si="54"/>
        <v>0</v>
      </c>
      <c r="BV787" t="e">
        <f>VLOOKUP($H787,'1. Set Program Names'!$B$2:$D$15,3,0)*V787</f>
        <v>#N/A</v>
      </c>
      <c r="BW787" t="e">
        <f>VLOOKUP($H787,'1. Set Program Names'!$B$2:$D$15,3,0)*W787</f>
        <v>#N/A</v>
      </c>
      <c r="BX787" t="e">
        <f>VLOOKUP($H787,'1. Set Program Names'!$B$2:$D$15,3,0)*X787</f>
        <v>#N/A</v>
      </c>
      <c r="BY787" t="e">
        <f>VLOOKUP($H787,'1. Set Program Names'!$B$2:$D$15,3,0)*Y787</f>
        <v>#N/A</v>
      </c>
      <c r="BZ787" t="e">
        <f>VLOOKUP($H787,'1. Set Program Names'!$B$2:$D$15,3,0)*Z787</f>
        <v>#N/A</v>
      </c>
      <c r="CA787" t="e">
        <f>VLOOKUP($H787,'1. Set Program Names'!$B$2:$D$15,3,0)*AA787</f>
        <v>#N/A</v>
      </c>
      <c r="CB787" t="e">
        <f>VLOOKUP($H787,'1. Set Program Names'!$B$2:$D$15,3,0)*AB787</f>
        <v>#N/A</v>
      </c>
      <c r="CC787" t="e">
        <f>VLOOKUP($H787,'1. Set Program Names'!$B$2:$D$15,3,0)*AC787</f>
        <v>#N/A</v>
      </c>
      <c r="CD787" t="e">
        <f>VLOOKUP($H787,'1. Set Program Names'!$B$2:$D$15,3,0)*AD787</f>
        <v>#N/A</v>
      </c>
      <c r="CE787" t="e">
        <f>VLOOKUP($H787,'1. Set Program Names'!$B$2:$D$15,3,0)*AE787</f>
        <v>#N/A</v>
      </c>
    </row>
    <row r="788" spans="1:83" x14ac:dyDescent="0.25">
      <c r="A788" s="20" t="s">
        <v>113</v>
      </c>
      <c r="B788" s="20" t="s">
        <v>88</v>
      </c>
      <c r="C788" s="20" t="s">
        <v>176</v>
      </c>
      <c r="D788" s="20" t="s">
        <v>90</v>
      </c>
      <c r="E788" s="20" t="s">
        <v>91</v>
      </c>
      <c r="F788" s="20" t="s">
        <v>90</v>
      </c>
      <c r="G788" s="20" t="s">
        <v>92</v>
      </c>
      <c r="H788" s="20" t="s">
        <v>268</v>
      </c>
      <c r="I788" s="20" t="s">
        <v>181</v>
      </c>
      <c r="J788" s="20" t="s">
        <v>182</v>
      </c>
      <c r="K788" s="20" t="s">
        <v>98</v>
      </c>
      <c r="L788" s="20">
        <v>21140.159999999902</v>
      </c>
      <c r="M788" s="20">
        <v>2.4928340912459501</v>
      </c>
      <c r="N788" s="20">
        <v>2.4353939910039801</v>
      </c>
      <c r="O788" s="20">
        <v>4269.76</v>
      </c>
      <c r="P788" s="20">
        <v>17.441519984740999</v>
      </c>
      <c r="Q788" s="20">
        <v>21.140159999999899</v>
      </c>
      <c r="R788" s="20">
        <v>7174.5673333962905</v>
      </c>
      <c r="S788" s="20">
        <v>17003.9302734632</v>
      </c>
      <c r="T788" s="20">
        <v>10</v>
      </c>
      <c r="U788" s="20">
        <v>1</v>
      </c>
      <c r="V788" s="20">
        <v>6455.5166184284399</v>
      </c>
      <c r="W788" s="20">
        <v>13803.611184950199</v>
      </c>
      <c r="X788" s="20">
        <v>21930.982640407099</v>
      </c>
      <c r="Y788" s="20">
        <v>30831.0471052022</v>
      </c>
      <c r="Z788" s="20">
        <v>40401.3675584292</v>
      </c>
      <c r="AA788" s="20">
        <v>50596.408905459997</v>
      </c>
      <c r="AB788" s="20">
        <v>61379.5586370319</v>
      </c>
      <c r="AC788" s="20">
        <v>72696.411586887698</v>
      </c>
      <c r="AD788" s="20">
        <v>84536.489074245605</v>
      </c>
      <c r="AE788" s="20">
        <v>96872.676399013901</v>
      </c>
      <c r="AF788" t="str">
        <f t="shared" si="53"/>
        <v>NonResidential</v>
      </c>
      <c r="AG788" t="str">
        <f>tbl_Data_old[[#This Row],[All_Meas_Name_Append]]</f>
        <v>High Volume Low Speed Fan (HVLS)</v>
      </c>
      <c r="AH788">
        <f>AVERAGEIFS('3. Incentive Adjustment'!G:G,'3. Incentive Adjustment'!A:A,tbl_Data_old[[#This Row],[Trimmed Sector]],'3. Incentive Adjustment'!B:B,tbl_Data_old[[#This Row],[Trimmed Measure Name]])</f>
        <v>0.99782547587781634</v>
      </c>
      <c r="AI788">
        <f>$AH788*tbl_Data_old[[#This Row],[2025 ]]</f>
        <v>6441.47894182051</v>
      </c>
      <c r="AJ788">
        <f>$AH788*tbl_Data_old[[#This Row],[2026 ]]</f>
        <v>13773.594899455282</v>
      </c>
      <c r="AK788">
        <f>$AH788*tbl_Data_old[[#This Row],[2027 ]]</f>
        <v>21883.293189632343</v>
      </c>
      <c r="AL788">
        <f>$AH788*tbl_Data_old[[#This Row],[2028 ]]</f>
        <v>30764.004249559759</v>
      </c>
      <c r="AM788">
        <f>$AH788*tbl_Data_old[[#This Row],[2029 ]]</f>
        <v>40313.513810104188</v>
      </c>
      <c r="AN788">
        <f>$AH788*tbl_Data_old[[#This Row],[2030 ]]</f>
        <v>50486.385793799207</v>
      </c>
      <c r="AO788">
        <f>$AH788*tbl_Data_old[[#This Row],[2031 ]]</f>
        <v>61246.087306166686</v>
      </c>
      <c r="AP788">
        <f>$AH788*tbl_Data_old[[#This Row],[2032 ]]</f>
        <v>72538.331486295821</v>
      </c>
      <c r="AQ788">
        <f>$AH788*tbl_Data_old[[#This Row],[2033 ]]</f>
        <v>84352.662439548949</v>
      </c>
      <c r="AR788">
        <f>$AH788*tbl_Data_old[[#This Row],[2034 ]]</f>
        <v>96662.024427403754</v>
      </c>
      <c r="AS788">
        <f>SUM(tbl_Data_old[[#This Row],[Adjusted 2025]:[Adjusted 2034]])</f>
        <v>478461.37654378649</v>
      </c>
      <c r="AT788" s="3">
        <f>AVERAGEIFS('3. Incentive Adjustment'!F:F,'3. Incentive Adjustment'!A:A,tbl_Data_old[[#This Row],[Trimmed Sector]],'3. Incentive Adjustment'!B:B,tbl_Data_old[[#This Row],[Trimmed Measure Name]])</f>
        <v>0</v>
      </c>
      <c r="AU788" s="3">
        <f>IFERROR(VLOOKUP(tbl_Data_old[[#This Row],[All_Meas_Name_Append]],'IRA Tax Credits'!$A$3:$D$46,4,0),0)</f>
        <v>0</v>
      </c>
      <c r="AV788" s="4">
        <f>tbl_Data_old[[#This Row],[Adj. per unit Incentive ($)]]/tbl_Data_old[[#This Row],[kWh Savings]]*tbl_Data_old[[#This Row],[Sum of Annuals]]</f>
        <v>0</v>
      </c>
      <c r="AW788" s="4" t="str">
        <f>IFERROR(VLOOKUP(tbl_Data_old[[#This Row],[All_Programs]],'1. Set Program Names'!$B$2:$D$15,3,0)*tbl_Data_old[[#This Row],[Sum of Annuals]],"")</f>
        <v/>
      </c>
      <c r="AX788" s="4">
        <f>tbl_Data_old[[#This Row],[per unit IRA tax ($)]]/tbl_Data_old[[#This Row],[kWh Savings]]*tbl_Data_old[[#This Row],[Sum of Annuals]]</f>
        <v>0</v>
      </c>
      <c r="AY788" s="4">
        <f>tbl_Data_old[[#This Row],[Avoided Costs ($/unit)]]/tbl_Data_old[[#This Row],[kWh Savings]]*tbl_Data_old[[#This Row],[Sum of Annuals]]</f>
        <v>162380.67083895716</v>
      </c>
      <c r="AZ788" s="4">
        <f>tbl_Data_old[[#This Row],[Lost Revenue ($/unit)]]/tbl_Data_old[[#This Row],[kWh Savings]]*tbl_Data_old[[#This Row],[Sum of Annuals]]</f>
        <v>384846.84530750022</v>
      </c>
      <c r="BA788" s="4">
        <f>tbl_Data_old[[#This Row],[Incremental Cost ($/unit)]]/tbl_Data_old[[#This Row],[kWh Savings]]*tbl_Data_old[[#This Row],[Sum of Annuals]]</f>
        <v>96636.697504257652</v>
      </c>
      <c r="BB788">
        <f>ROUNDUP(tbl_Data_old[[#This Row],[Adjusted 2025]]/$L788,0)</f>
        <v>1</v>
      </c>
      <c r="BC788">
        <f>ROUNDUP(tbl_Data_old[[#This Row],[Adjusted 2026]]/$L788,0)</f>
        <v>1</v>
      </c>
      <c r="BD788">
        <f>ROUNDUP(tbl_Data_old[[#This Row],[Adjusted 2027]]/$L788,0)</f>
        <v>2</v>
      </c>
      <c r="BE788">
        <f>ROUNDUP(tbl_Data_old[[#This Row],[Adjusted 2028]]/$L788,0)</f>
        <v>2</v>
      </c>
      <c r="BF788">
        <f>ROUNDUP(tbl_Data_old[[#This Row],[Adjusted 2029]]/$L788,0)</f>
        <v>2</v>
      </c>
      <c r="BG788">
        <f>ROUNDUP(tbl_Data_old[[#This Row],[Adjusted 2030]]/$L788,0)</f>
        <v>3</v>
      </c>
      <c r="BH788">
        <f>ROUNDUP(tbl_Data_old[[#This Row],[Adjusted 2031]]/$L788,0)</f>
        <v>3</v>
      </c>
      <c r="BI788">
        <f>ROUNDUP(tbl_Data_old[[#This Row],[Adjusted 2032]]/$L788,0)</f>
        <v>4</v>
      </c>
      <c r="BJ788">
        <f>ROUNDUP(tbl_Data_old[[#This Row],[Adjusted 2033]]/$L788,0)</f>
        <v>4</v>
      </c>
      <c r="BK788">
        <f>ROUNDUP(tbl_Data_old[[#This Row],[Adjusted 2034]]/$L788,0)</f>
        <v>5</v>
      </c>
      <c r="BL788" s="3">
        <f t="shared" si="54"/>
        <v>0</v>
      </c>
      <c r="BM788" s="3">
        <f t="shared" si="54"/>
        <v>0</v>
      </c>
      <c r="BN788" s="3">
        <f t="shared" si="54"/>
        <v>0</v>
      </c>
      <c r="BO788" s="3">
        <f t="shared" si="54"/>
        <v>0</v>
      </c>
      <c r="BP788" s="3">
        <f t="shared" si="54"/>
        <v>0</v>
      </c>
      <c r="BQ788" s="3">
        <f t="shared" si="54"/>
        <v>0</v>
      </c>
      <c r="BR788" s="3">
        <f t="shared" si="54"/>
        <v>0</v>
      </c>
      <c r="BS788" s="3">
        <f t="shared" si="54"/>
        <v>0</v>
      </c>
      <c r="BT788" s="3">
        <f t="shared" si="54"/>
        <v>0</v>
      </c>
      <c r="BU788" s="3">
        <f t="shared" si="54"/>
        <v>0</v>
      </c>
      <c r="BV788" t="e">
        <f>VLOOKUP($H788,'1. Set Program Names'!$B$2:$D$15,3,0)*V788</f>
        <v>#N/A</v>
      </c>
      <c r="BW788" t="e">
        <f>VLOOKUP($H788,'1. Set Program Names'!$B$2:$D$15,3,0)*W788</f>
        <v>#N/A</v>
      </c>
      <c r="BX788" t="e">
        <f>VLOOKUP($H788,'1. Set Program Names'!$B$2:$D$15,3,0)*X788</f>
        <v>#N/A</v>
      </c>
      <c r="BY788" t="e">
        <f>VLOOKUP($H788,'1. Set Program Names'!$B$2:$D$15,3,0)*Y788</f>
        <v>#N/A</v>
      </c>
      <c r="BZ788" t="e">
        <f>VLOOKUP($H788,'1. Set Program Names'!$B$2:$D$15,3,0)*Z788</f>
        <v>#N/A</v>
      </c>
      <c r="CA788" t="e">
        <f>VLOOKUP($H788,'1. Set Program Names'!$B$2:$D$15,3,0)*AA788</f>
        <v>#N/A</v>
      </c>
      <c r="CB788" t="e">
        <f>VLOOKUP($H788,'1. Set Program Names'!$B$2:$D$15,3,0)*AB788</f>
        <v>#N/A</v>
      </c>
      <c r="CC788" t="e">
        <f>VLOOKUP($H788,'1. Set Program Names'!$B$2:$D$15,3,0)*AC788</f>
        <v>#N/A</v>
      </c>
      <c r="CD788" t="e">
        <f>VLOOKUP($H788,'1. Set Program Names'!$B$2:$D$15,3,0)*AD788</f>
        <v>#N/A</v>
      </c>
      <c r="CE788" t="e">
        <f>VLOOKUP($H788,'1. Set Program Names'!$B$2:$D$15,3,0)*AE788</f>
        <v>#N/A</v>
      </c>
    </row>
    <row r="789" spans="1:83" x14ac:dyDescent="0.25">
      <c r="A789" s="20" t="s">
        <v>113</v>
      </c>
      <c r="B789" s="20" t="s">
        <v>88</v>
      </c>
      <c r="C789" s="20" t="s">
        <v>176</v>
      </c>
      <c r="D789" s="20" t="s">
        <v>90</v>
      </c>
      <c r="E789" s="20" t="s">
        <v>91</v>
      </c>
      <c r="F789" s="20" t="s">
        <v>90</v>
      </c>
      <c r="G789" s="20" t="s">
        <v>92</v>
      </c>
      <c r="H789" s="20" t="s">
        <v>268</v>
      </c>
      <c r="I789" s="20" t="s">
        <v>183</v>
      </c>
      <c r="J789" s="20" t="s">
        <v>178</v>
      </c>
      <c r="K789" s="20" t="s">
        <v>130</v>
      </c>
      <c r="L789" s="20">
        <v>113444.97999999901</v>
      </c>
      <c r="M789" s="20">
        <v>13.5911727914499</v>
      </c>
      <c r="N789" s="20">
        <v>13.0925103405659</v>
      </c>
      <c r="O789" s="20">
        <v>42343.199999999997</v>
      </c>
      <c r="P789" s="20">
        <v>19818.792281260001</v>
      </c>
      <c r="Q789" s="20">
        <v>113.44497999999901</v>
      </c>
      <c r="R789" s="20">
        <v>54449.419529642699</v>
      </c>
      <c r="S789" s="20">
        <v>142371.22131797599</v>
      </c>
      <c r="T789" s="20">
        <v>20</v>
      </c>
      <c r="U789" s="20">
        <v>1</v>
      </c>
      <c r="V789" s="20">
        <v>773.44617177048201</v>
      </c>
      <c r="W789" s="20">
        <v>1532.8304555577399</v>
      </c>
      <c r="X789" s="20">
        <v>2271.50328607546</v>
      </c>
      <c r="Y789" s="20">
        <v>2989.0647003058698</v>
      </c>
      <c r="Z789" s="20">
        <v>3686.4258247048901</v>
      </c>
      <c r="AA789" s="20">
        <v>4361.8194991198197</v>
      </c>
      <c r="AB789" s="20">
        <v>5014.9929139493797</v>
      </c>
      <c r="AC789" s="20">
        <v>5647.2158362144</v>
      </c>
      <c r="AD789" s="20">
        <v>6258.4305606604903</v>
      </c>
      <c r="AE789" s="20">
        <v>6849.3335920008103</v>
      </c>
      <c r="AF789" t="str">
        <f t="shared" si="53"/>
        <v>NonResidential</v>
      </c>
      <c r="AG789" t="str">
        <f>tbl_Data_old[[#This Row],[All_Meas_Name_Append]]</f>
        <v>Industrial Duct Sealing</v>
      </c>
      <c r="AH789">
        <f>AVERAGEIFS('3. Incentive Adjustment'!G:G,'3. Incentive Adjustment'!A:A,tbl_Data_old[[#This Row],[Trimmed Sector]],'3. Incentive Adjustment'!B:B,tbl_Data_old[[#This Row],[Trimmed Measure Name]])</f>
        <v>0.63068496474049041</v>
      </c>
      <c r="AI789">
        <f>$AH789*tbl_Data_old[[#This Row],[2025 ]]</f>
        <v>487.80087157173375</v>
      </c>
      <c r="AJ789">
        <f>$AH789*tbl_Data_old[[#This Row],[2026 ]]</f>
        <v>966.73312181658309</v>
      </c>
      <c r="AK789">
        <f>$AH789*tbl_Data_old[[#This Row],[2027 ]]</f>
        <v>1432.6029698864095</v>
      </c>
      <c r="AL789">
        <f>$AH789*tbl_Data_old[[#This Row],[2028 ]]</f>
        <v>1885.158165119452</v>
      </c>
      <c r="AM789">
        <f>$AH789*tbl_Data_old[[#This Row],[2029 ]]</f>
        <v>2324.9733412724368</v>
      </c>
      <c r="AN789">
        <f>$AH789*tbl_Data_old[[#This Row],[2030 ]]</f>
        <v>2750.9339770067672</v>
      </c>
      <c r="AO789">
        <f>$AH789*tbl_Data_old[[#This Row],[2031 ]]</f>
        <v>3162.8806291079736</v>
      </c>
      <c r="AP789">
        <f>$AH789*tbl_Data_old[[#This Row],[2032 ]]</f>
        <v>3561.614120544818</v>
      </c>
      <c r="AQ789">
        <f>$AH789*tbl_Data_old[[#This Row],[2033 ]]</f>
        <v>3947.0980574809691</v>
      </c>
      <c r="AR789">
        <f>$AH789*tbl_Data_old[[#This Row],[2034 ]]</f>
        <v>4319.7717149668879</v>
      </c>
      <c r="AS789">
        <f>SUM(tbl_Data_old[[#This Row],[Adjusted 2025]:[Adjusted 2034]])</f>
        <v>24839.56696877403</v>
      </c>
      <c r="AT789" s="3">
        <f>AVERAGEIFS('3. Incentive Adjustment'!F:F,'3. Incentive Adjustment'!A:A,tbl_Data_old[[#This Row],[Trimmed Sector]],'3. Incentive Adjustment'!B:B,tbl_Data_old[[#This Row],[Trimmed Measure Name]])</f>
        <v>0</v>
      </c>
      <c r="AU789" s="3">
        <f>IFERROR(VLOOKUP(tbl_Data_old[[#This Row],[All_Meas_Name_Append]],'IRA Tax Credits'!$A$3:$D$46,4,0),0)</f>
        <v>0</v>
      </c>
      <c r="AV789" s="4">
        <f>tbl_Data_old[[#This Row],[Adj. per unit Incentive ($)]]/tbl_Data_old[[#This Row],[kWh Savings]]*tbl_Data_old[[#This Row],[Sum of Annuals]]</f>
        <v>0</v>
      </c>
      <c r="AW789" s="4" t="str">
        <f>IFERROR(VLOOKUP(tbl_Data_old[[#This Row],[All_Programs]],'1. Set Program Names'!$B$2:$D$15,3,0)*tbl_Data_old[[#This Row],[Sum of Annuals]],"")</f>
        <v/>
      </c>
      <c r="AX789" s="4">
        <f>tbl_Data_old[[#This Row],[per unit IRA tax ($)]]/tbl_Data_old[[#This Row],[kWh Savings]]*tbl_Data_old[[#This Row],[Sum of Annuals]]</f>
        <v>0</v>
      </c>
      <c r="AY789" s="4">
        <f>tbl_Data_old[[#This Row],[Avoided Costs ($/unit)]]/tbl_Data_old[[#This Row],[kWh Savings]]*tbl_Data_old[[#This Row],[Sum of Annuals]]</f>
        <v>11922.078903953654</v>
      </c>
      <c r="AZ789" s="4">
        <f>tbl_Data_old[[#This Row],[Lost Revenue ($/unit)]]/tbl_Data_old[[#This Row],[kWh Savings]]*tbl_Data_old[[#This Row],[Sum of Annuals]]</f>
        <v>31173.168582285831</v>
      </c>
      <c r="BA789" s="4">
        <f>tbl_Data_old[[#This Row],[Incremental Cost ($/unit)]]/tbl_Data_old[[#This Row],[kWh Savings]]*tbl_Data_old[[#This Row],[Sum of Annuals]]</f>
        <v>9271.3379831544917</v>
      </c>
      <c r="BB789">
        <f>ROUNDUP(tbl_Data_old[[#This Row],[Adjusted 2025]]/$L789,0)</f>
        <v>1</v>
      </c>
      <c r="BC789">
        <f>ROUNDUP(tbl_Data_old[[#This Row],[Adjusted 2026]]/$L789,0)</f>
        <v>1</v>
      </c>
      <c r="BD789">
        <f>ROUNDUP(tbl_Data_old[[#This Row],[Adjusted 2027]]/$L789,0)</f>
        <v>1</v>
      </c>
      <c r="BE789">
        <f>ROUNDUP(tbl_Data_old[[#This Row],[Adjusted 2028]]/$L789,0)</f>
        <v>1</v>
      </c>
      <c r="BF789">
        <f>ROUNDUP(tbl_Data_old[[#This Row],[Adjusted 2029]]/$L789,0)</f>
        <v>1</v>
      </c>
      <c r="BG789">
        <f>ROUNDUP(tbl_Data_old[[#This Row],[Adjusted 2030]]/$L789,0)</f>
        <v>1</v>
      </c>
      <c r="BH789">
        <f>ROUNDUP(tbl_Data_old[[#This Row],[Adjusted 2031]]/$L789,0)</f>
        <v>1</v>
      </c>
      <c r="BI789">
        <f>ROUNDUP(tbl_Data_old[[#This Row],[Adjusted 2032]]/$L789,0)</f>
        <v>1</v>
      </c>
      <c r="BJ789">
        <f>ROUNDUP(tbl_Data_old[[#This Row],[Adjusted 2033]]/$L789,0)</f>
        <v>1</v>
      </c>
      <c r="BK789">
        <f>ROUNDUP(tbl_Data_old[[#This Row],[Adjusted 2034]]/$L789,0)</f>
        <v>1</v>
      </c>
      <c r="BL789" s="3">
        <f t="shared" si="54"/>
        <v>0</v>
      </c>
      <c r="BM789" s="3">
        <f t="shared" si="54"/>
        <v>0</v>
      </c>
      <c r="BN789" s="3">
        <f t="shared" si="54"/>
        <v>0</v>
      </c>
      <c r="BO789" s="3">
        <f t="shared" si="54"/>
        <v>0</v>
      </c>
      <c r="BP789" s="3">
        <f t="shared" si="54"/>
        <v>0</v>
      </c>
      <c r="BQ789" s="3">
        <f t="shared" si="54"/>
        <v>0</v>
      </c>
      <c r="BR789" s="3">
        <f t="shared" si="54"/>
        <v>0</v>
      </c>
      <c r="BS789" s="3">
        <f t="shared" si="54"/>
        <v>0</v>
      </c>
      <c r="BT789" s="3">
        <f t="shared" si="54"/>
        <v>0</v>
      </c>
      <c r="BU789" s="3">
        <f t="shared" si="54"/>
        <v>0</v>
      </c>
      <c r="BV789" t="e">
        <f>VLOOKUP($H789,'1. Set Program Names'!$B$2:$D$15,3,0)*V789</f>
        <v>#N/A</v>
      </c>
      <c r="BW789" t="e">
        <f>VLOOKUP($H789,'1. Set Program Names'!$B$2:$D$15,3,0)*W789</f>
        <v>#N/A</v>
      </c>
      <c r="BX789" t="e">
        <f>VLOOKUP($H789,'1. Set Program Names'!$B$2:$D$15,3,0)*X789</f>
        <v>#N/A</v>
      </c>
      <c r="BY789" t="e">
        <f>VLOOKUP($H789,'1. Set Program Names'!$B$2:$D$15,3,0)*Y789</f>
        <v>#N/A</v>
      </c>
      <c r="BZ789" t="e">
        <f>VLOOKUP($H789,'1. Set Program Names'!$B$2:$D$15,3,0)*Z789</f>
        <v>#N/A</v>
      </c>
      <c r="CA789" t="e">
        <f>VLOOKUP($H789,'1. Set Program Names'!$B$2:$D$15,3,0)*AA789</f>
        <v>#N/A</v>
      </c>
      <c r="CB789" t="e">
        <f>VLOOKUP($H789,'1. Set Program Names'!$B$2:$D$15,3,0)*AB789</f>
        <v>#N/A</v>
      </c>
      <c r="CC789" t="e">
        <f>VLOOKUP($H789,'1. Set Program Names'!$B$2:$D$15,3,0)*AC789</f>
        <v>#N/A</v>
      </c>
      <c r="CD789" t="e">
        <f>VLOOKUP($H789,'1. Set Program Names'!$B$2:$D$15,3,0)*AD789</f>
        <v>#N/A</v>
      </c>
      <c r="CE789" t="e">
        <f>VLOOKUP($H789,'1. Set Program Names'!$B$2:$D$15,3,0)*AE789</f>
        <v>#N/A</v>
      </c>
    </row>
    <row r="790" spans="1:83" x14ac:dyDescent="0.25">
      <c r="A790" s="20" t="s">
        <v>113</v>
      </c>
      <c r="B790" s="20" t="s">
        <v>88</v>
      </c>
      <c r="C790" s="20" t="s">
        <v>176</v>
      </c>
      <c r="D790" s="20" t="s">
        <v>90</v>
      </c>
      <c r="E790" s="20" t="s">
        <v>91</v>
      </c>
      <c r="F790" s="20" t="s">
        <v>90</v>
      </c>
      <c r="G790" s="20" t="s">
        <v>92</v>
      </c>
      <c r="H790" s="20" t="s">
        <v>268</v>
      </c>
      <c r="I790" s="20" t="s">
        <v>270</v>
      </c>
      <c r="J790" s="20" t="s">
        <v>191</v>
      </c>
      <c r="K790" s="20" t="s">
        <v>98</v>
      </c>
      <c r="L790" s="20">
        <v>2628</v>
      </c>
      <c r="M790" s="20">
        <v>0.31001938633530801</v>
      </c>
      <c r="N790" s="20">
        <v>0.30291717485841702</v>
      </c>
      <c r="O790" s="20">
        <v>810.229999999999</v>
      </c>
      <c r="P790" s="20">
        <v>281.60244658368498</v>
      </c>
      <c r="Q790" s="20">
        <v>2.6280000000000001</v>
      </c>
      <c r="R790" s="20">
        <v>891.847172411815</v>
      </c>
      <c r="S790" s="20">
        <v>2113.8122303076898</v>
      </c>
      <c r="T790" s="20">
        <v>10</v>
      </c>
      <c r="U790" s="20">
        <v>1</v>
      </c>
      <c r="V790" s="20">
        <v>17757.925645048901</v>
      </c>
      <c r="W790" s="20">
        <v>42372.603277349997</v>
      </c>
      <c r="X790" s="20">
        <v>74698.228658602893</v>
      </c>
      <c r="Y790" s="20">
        <v>115556.76129289001</v>
      </c>
      <c r="Z790" s="20">
        <v>164754.11236173401</v>
      </c>
      <c r="AA790" s="20">
        <v>221663.04041933699</v>
      </c>
      <c r="AB790" s="20">
        <v>285204.11791896803</v>
      </c>
      <c r="AC790" s="20">
        <v>353981.50229925697</v>
      </c>
      <c r="AD790" s="20">
        <v>426908.20210342301</v>
      </c>
      <c r="AE790" s="20">
        <v>503019.675253361</v>
      </c>
      <c r="AF790" t="str">
        <f t="shared" si="53"/>
        <v>NonResidential</v>
      </c>
      <c r="AG790" t="str">
        <f>tbl_Data_old[[#This Row],[All_Meas_Name_Append]]</f>
        <v>Low Energy Livestock Waterer</v>
      </c>
      <c r="AH790">
        <f>AVERAGEIFS('3. Incentive Adjustment'!G:G,'3. Incentive Adjustment'!A:A,tbl_Data_old[[#This Row],[Trimmed Sector]],'3. Incentive Adjustment'!B:B,tbl_Data_old[[#This Row],[Trimmed Measure Name]])</f>
        <v>0.7537232854794027</v>
      </c>
      <c r="AI790">
        <f>$AH790*tbl_Data_old[[#This Row],[2025 ]]</f>
        <v>13384.562060485199</v>
      </c>
      <c r="AJ790">
        <f>$AH790*tbl_Data_old[[#This Row],[2026 ]]</f>
        <v>31937.217756519545</v>
      </c>
      <c r="AK790">
        <f>$AH790*tbl_Data_old[[#This Row],[2027 ]]</f>
        <v>56301.794324053852</v>
      </c>
      <c r="AL790">
        <f>$AH790*tbl_Data_old[[#This Row],[2028 ]]</f>
        <v>87097.821781036124</v>
      </c>
      <c r="AM790">
        <f>$AH790*tbl_Data_old[[#This Row],[2029 ]]</f>
        <v>124179.01086552883</v>
      </c>
      <c r="AN790">
        <f>$AH790*tbl_Data_old[[#This Row],[2030 ]]</f>
        <v>167072.59509421632</v>
      </c>
      <c r="AO790">
        <f>$AH790*tbl_Data_old[[#This Row],[2031 ]]</f>
        <v>214964.98479013957</v>
      </c>
      <c r="AP790">
        <f>$AH790*tbl_Data_old[[#This Row],[2032 ]]</f>
        <v>266804.10091193073</v>
      </c>
      <c r="AQ790">
        <f>$AH790*tbl_Data_old[[#This Row],[2033 ]]</f>
        <v>321770.65268749685</v>
      </c>
      <c r="AR790">
        <f>$AH790*tbl_Data_old[[#This Row],[2034 ]]</f>
        <v>379137.64229274547</v>
      </c>
      <c r="AS790">
        <f>SUM(tbl_Data_old[[#This Row],[Adjusted 2025]:[Adjusted 2034]])</f>
        <v>1662650.3825641526</v>
      </c>
      <c r="AT790" s="3">
        <f>AVERAGEIFS('3. Incentive Adjustment'!F:F,'3. Incentive Adjustment'!A:A,tbl_Data_old[[#This Row],[Trimmed Sector]],'3. Incentive Adjustment'!B:B,tbl_Data_old[[#This Row],[Trimmed Measure Name]])</f>
        <v>0</v>
      </c>
      <c r="AU790" s="3">
        <f>IFERROR(VLOOKUP(tbl_Data_old[[#This Row],[All_Meas_Name_Append]],'IRA Tax Credits'!$A$3:$D$46,4,0),0)</f>
        <v>0</v>
      </c>
      <c r="AV790" s="4">
        <f>tbl_Data_old[[#This Row],[Adj. per unit Incentive ($)]]/tbl_Data_old[[#This Row],[kWh Savings]]*tbl_Data_old[[#This Row],[Sum of Annuals]]</f>
        <v>0</v>
      </c>
      <c r="AW790" s="4" t="str">
        <f>IFERROR(VLOOKUP(tbl_Data_old[[#This Row],[All_Programs]],'1. Set Program Names'!$B$2:$D$15,3,0)*tbl_Data_old[[#This Row],[Sum of Annuals]],"")</f>
        <v/>
      </c>
      <c r="AX790" s="4">
        <f>tbl_Data_old[[#This Row],[per unit IRA tax ($)]]/tbl_Data_old[[#This Row],[kWh Savings]]*tbl_Data_old[[#This Row],[Sum of Annuals]]</f>
        <v>0</v>
      </c>
      <c r="AY790" s="4">
        <f>tbl_Data_old[[#This Row],[Avoided Costs ($/unit)]]/tbl_Data_old[[#This Row],[kWh Savings]]*tbl_Data_old[[#This Row],[Sum of Annuals]]</f>
        <v>564242.78630108899</v>
      </c>
      <c r="AZ790" s="4">
        <f>tbl_Data_old[[#This Row],[Lost Revenue ($/unit)]]/tbl_Data_old[[#This Row],[kWh Savings]]*tbl_Data_old[[#This Row],[Sum of Annuals]]</f>
        <v>1337340.4541057325</v>
      </c>
      <c r="BA790" s="4">
        <f>tbl_Data_old[[#This Row],[Incremental Cost ($/unit)]]/tbl_Data_old[[#This Row],[kWh Savings]]*tbl_Data_old[[#This Row],[Sum of Annuals]]</f>
        <v>512606.2478938172</v>
      </c>
      <c r="BB790">
        <f>ROUNDUP(tbl_Data_old[[#This Row],[Adjusted 2025]]/$L790,0)</f>
        <v>6</v>
      </c>
      <c r="BC790">
        <f>ROUNDUP(tbl_Data_old[[#This Row],[Adjusted 2026]]/$L790,0)</f>
        <v>13</v>
      </c>
      <c r="BD790">
        <f>ROUNDUP(tbl_Data_old[[#This Row],[Adjusted 2027]]/$L790,0)</f>
        <v>22</v>
      </c>
      <c r="BE790">
        <f>ROUNDUP(tbl_Data_old[[#This Row],[Adjusted 2028]]/$L790,0)</f>
        <v>34</v>
      </c>
      <c r="BF790">
        <f>ROUNDUP(tbl_Data_old[[#This Row],[Adjusted 2029]]/$L790,0)</f>
        <v>48</v>
      </c>
      <c r="BG790">
        <f>ROUNDUP(tbl_Data_old[[#This Row],[Adjusted 2030]]/$L790,0)</f>
        <v>64</v>
      </c>
      <c r="BH790">
        <f>ROUNDUP(tbl_Data_old[[#This Row],[Adjusted 2031]]/$L790,0)</f>
        <v>82</v>
      </c>
      <c r="BI790">
        <f>ROUNDUP(tbl_Data_old[[#This Row],[Adjusted 2032]]/$L790,0)</f>
        <v>102</v>
      </c>
      <c r="BJ790">
        <f>ROUNDUP(tbl_Data_old[[#This Row],[Adjusted 2033]]/$L790,0)</f>
        <v>123</v>
      </c>
      <c r="BK790">
        <f>ROUNDUP(tbl_Data_old[[#This Row],[Adjusted 2034]]/$L790,0)</f>
        <v>145</v>
      </c>
      <c r="BL790" s="3">
        <f t="shared" si="54"/>
        <v>0</v>
      </c>
      <c r="BM790" s="3">
        <f t="shared" si="54"/>
        <v>0</v>
      </c>
      <c r="BN790" s="3">
        <f t="shared" si="54"/>
        <v>0</v>
      </c>
      <c r="BO790" s="3">
        <f t="shared" si="54"/>
        <v>0</v>
      </c>
      <c r="BP790" s="3">
        <f t="shared" si="54"/>
        <v>0</v>
      </c>
      <c r="BQ790" s="3">
        <f t="shared" si="54"/>
        <v>0</v>
      </c>
      <c r="BR790" s="3">
        <f t="shared" si="54"/>
        <v>0</v>
      </c>
      <c r="BS790" s="3">
        <f t="shared" si="54"/>
        <v>0</v>
      </c>
      <c r="BT790" s="3">
        <f t="shared" si="54"/>
        <v>0</v>
      </c>
      <c r="BU790" s="3">
        <f t="shared" si="54"/>
        <v>0</v>
      </c>
      <c r="BV790" t="e">
        <f>VLOOKUP($H790,'1. Set Program Names'!$B$2:$D$15,3,0)*V790</f>
        <v>#N/A</v>
      </c>
      <c r="BW790" t="e">
        <f>VLOOKUP($H790,'1. Set Program Names'!$B$2:$D$15,3,0)*W790</f>
        <v>#N/A</v>
      </c>
      <c r="BX790" t="e">
        <f>VLOOKUP($H790,'1. Set Program Names'!$B$2:$D$15,3,0)*X790</f>
        <v>#N/A</v>
      </c>
      <c r="BY790" t="e">
        <f>VLOOKUP($H790,'1. Set Program Names'!$B$2:$D$15,3,0)*Y790</f>
        <v>#N/A</v>
      </c>
      <c r="BZ790" t="e">
        <f>VLOOKUP($H790,'1. Set Program Names'!$B$2:$D$15,3,0)*Z790</f>
        <v>#N/A</v>
      </c>
      <c r="CA790" t="e">
        <f>VLOOKUP($H790,'1. Set Program Names'!$B$2:$D$15,3,0)*AA790</f>
        <v>#N/A</v>
      </c>
      <c r="CB790" t="e">
        <f>VLOOKUP($H790,'1. Set Program Names'!$B$2:$D$15,3,0)*AB790</f>
        <v>#N/A</v>
      </c>
      <c r="CC790" t="e">
        <f>VLOOKUP($H790,'1. Set Program Names'!$B$2:$D$15,3,0)*AC790</f>
        <v>#N/A</v>
      </c>
      <c r="CD790" t="e">
        <f>VLOOKUP($H790,'1. Set Program Names'!$B$2:$D$15,3,0)*AD790</f>
        <v>#N/A</v>
      </c>
      <c r="CE790" t="e">
        <f>VLOOKUP($H790,'1. Set Program Names'!$B$2:$D$15,3,0)*AE790</f>
        <v>#N/A</v>
      </c>
    </row>
    <row r="791" spans="1:83" x14ac:dyDescent="0.25">
      <c r="A791" s="20" t="s">
        <v>113</v>
      </c>
      <c r="B791" s="20" t="s">
        <v>88</v>
      </c>
      <c r="C791" s="20" t="s">
        <v>176</v>
      </c>
      <c r="D791" s="20" t="s">
        <v>90</v>
      </c>
      <c r="E791" s="20" t="s">
        <v>91</v>
      </c>
      <c r="F791" s="20" t="s">
        <v>90</v>
      </c>
      <c r="G791" s="20" t="s">
        <v>92</v>
      </c>
      <c r="H791" s="20" t="s">
        <v>268</v>
      </c>
      <c r="I791" s="20" t="s">
        <v>184</v>
      </c>
      <c r="J791" s="20" t="s">
        <v>180</v>
      </c>
      <c r="K791" s="20" t="s">
        <v>98</v>
      </c>
      <c r="L791" s="20">
        <v>3514.8091666666501</v>
      </c>
      <c r="M791" s="20">
        <v>0.421134949485237</v>
      </c>
      <c r="N791" s="20">
        <v>0.40566942535109901</v>
      </c>
      <c r="O791" s="20">
        <v>1028.8599999999999</v>
      </c>
      <c r="P791" s="20">
        <v>322.03243304134497</v>
      </c>
      <c r="Q791" s="20">
        <v>3.5148091666666499</v>
      </c>
      <c r="R791" s="20">
        <v>1184.78167438478</v>
      </c>
      <c r="S791" s="20">
        <v>2827.1105797935802</v>
      </c>
      <c r="T791" s="20">
        <v>10</v>
      </c>
      <c r="U791" s="20">
        <v>1</v>
      </c>
      <c r="V791" s="20">
        <v>2075.1848667627501</v>
      </c>
      <c r="W791" s="20">
        <v>4937.1617518142803</v>
      </c>
      <c r="X791" s="20">
        <v>8758.7899565186799</v>
      </c>
      <c r="Y791" s="20">
        <v>13732.708448868199</v>
      </c>
      <c r="Z791" s="20">
        <v>19921.850120755</v>
      </c>
      <c r="AA791" s="20">
        <v>27241.903893199698</v>
      </c>
      <c r="AB791" s="20">
        <v>35369.843468239298</v>
      </c>
      <c r="AC791" s="20">
        <v>43723.059589624099</v>
      </c>
      <c r="AD791" s="20">
        <v>51613.304330927502</v>
      </c>
      <c r="AE791" s="20">
        <v>58432.95159964</v>
      </c>
      <c r="AF791" t="str">
        <f t="shared" si="53"/>
        <v>NonResidential</v>
      </c>
      <c r="AG791" t="str">
        <f>tbl_Data_old[[#This Row],[All_Meas_Name_Append]]</f>
        <v>Low Pressure-drop Filters</v>
      </c>
      <c r="AH791">
        <f>AVERAGEIFS('3. Incentive Adjustment'!G:G,'3. Incentive Adjustment'!A:A,tbl_Data_old[[#This Row],[Trimmed Sector]],'3. Incentive Adjustment'!B:B,tbl_Data_old[[#This Row],[Trimmed Measure Name]])</f>
        <v>0.78525588861759776</v>
      </c>
      <c r="AI791">
        <f>$AH791*tbl_Data_old[[#This Row],[2025 ]]</f>
        <v>1629.5511365955745</v>
      </c>
      <c r="AJ791">
        <f>$AH791*tbl_Data_old[[#This Row],[2026 ]]</f>
        <v>3876.9353386697385</v>
      </c>
      <c r="AK791">
        <f>$AH791*tbl_Data_old[[#This Row],[2027 ]]</f>
        <v>6877.8913905209665</v>
      </c>
      <c r="AL791">
        <f>$AH791*tbl_Data_old[[#This Row],[2028 ]]</f>
        <v>10783.690176142391</v>
      </c>
      <c r="AM791">
        <f>$AH791*tbl_Data_old[[#This Row],[2029 ]]</f>
        <v>15643.750119480064</v>
      </c>
      <c r="AN791">
        <f>$AH791*tbl_Data_old[[#This Row],[2030 ]]</f>
        <v>21391.865449289726</v>
      </c>
      <c r="AO791">
        <f>$AH791*tbl_Data_old[[#This Row],[2031 ]]</f>
        <v>27774.377862917587</v>
      </c>
      <c r="AP791">
        <f>$AH791*tbl_Data_old[[#This Row],[2032 ]]</f>
        <v>34333.790011130448</v>
      </c>
      <c r="AQ791">
        <f>$AH791*tbl_Data_old[[#This Row],[2033 ]]</f>
        <v>40529.651156872984</v>
      </c>
      <c r="AR791">
        <f>$AH791*tbl_Data_old[[#This Row],[2034 ]]</f>
        <v>45884.819332924388</v>
      </c>
      <c r="AS791">
        <f>SUM(tbl_Data_old[[#This Row],[Adjusted 2025]:[Adjusted 2034]])</f>
        <v>208726.32197454385</v>
      </c>
      <c r="AT791" s="3">
        <f>AVERAGEIFS('3. Incentive Adjustment'!F:F,'3. Incentive Adjustment'!A:A,tbl_Data_old[[#This Row],[Trimmed Sector]],'3. Incentive Adjustment'!B:B,tbl_Data_old[[#This Row],[Trimmed Measure Name]])</f>
        <v>0</v>
      </c>
      <c r="AU791" s="3">
        <f>IFERROR(VLOOKUP(tbl_Data_old[[#This Row],[All_Meas_Name_Append]],'IRA Tax Credits'!$A$3:$D$46,4,0),0)</f>
        <v>0</v>
      </c>
      <c r="AV791" s="4">
        <f>tbl_Data_old[[#This Row],[Adj. per unit Incentive ($)]]/tbl_Data_old[[#This Row],[kWh Savings]]*tbl_Data_old[[#This Row],[Sum of Annuals]]</f>
        <v>0</v>
      </c>
      <c r="AW791" s="4" t="str">
        <f>IFERROR(VLOOKUP(tbl_Data_old[[#This Row],[All_Programs]],'1. Set Program Names'!$B$2:$D$15,3,0)*tbl_Data_old[[#This Row],[Sum of Annuals]],"")</f>
        <v/>
      </c>
      <c r="AX791" s="4">
        <f>tbl_Data_old[[#This Row],[per unit IRA tax ($)]]/tbl_Data_old[[#This Row],[kWh Savings]]*tbl_Data_old[[#This Row],[Sum of Annuals]]</f>
        <v>0</v>
      </c>
      <c r="AY791" s="4">
        <f>tbl_Data_old[[#This Row],[Avoided Costs ($/unit)]]/tbl_Data_old[[#This Row],[kWh Savings]]*tbl_Data_old[[#This Row],[Sum of Annuals]]</f>
        <v>70358.050611238388</v>
      </c>
      <c r="AZ791" s="4">
        <f>tbl_Data_old[[#This Row],[Lost Revenue ($/unit)]]/tbl_Data_old[[#This Row],[kWh Savings]]*tbl_Data_old[[#This Row],[Sum of Annuals]]</f>
        <v>167887.46277660981</v>
      </c>
      <c r="BA791" s="4">
        <f>tbl_Data_old[[#This Row],[Incremental Cost ($/unit)]]/tbl_Data_old[[#This Row],[kWh Savings]]*tbl_Data_old[[#This Row],[Sum of Annuals]]</f>
        <v>61098.669499144504</v>
      </c>
      <c r="BB791">
        <f>ROUNDUP(tbl_Data_old[[#This Row],[Adjusted 2025]]/$L791,0)</f>
        <v>1</v>
      </c>
      <c r="BC791">
        <f>ROUNDUP(tbl_Data_old[[#This Row],[Adjusted 2026]]/$L791,0)</f>
        <v>2</v>
      </c>
      <c r="BD791">
        <f>ROUNDUP(tbl_Data_old[[#This Row],[Adjusted 2027]]/$L791,0)</f>
        <v>2</v>
      </c>
      <c r="BE791">
        <f>ROUNDUP(tbl_Data_old[[#This Row],[Adjusted 2028]]/$L791,0)</f>
        <v>4</v>
      </c>
      <c r="BF791">
        <f>ROUNDUP(tbl_Data_old[[#This Row],[Adjusted 2029]]/$L791,0)</f>
        <v>5</v>
      </c>
      <c r="BG791">
        <f>ROUNDUP(tbl_Data_old[[#This Row],[Adjusted 2030]]/$L791,0)</f>
        <v>7</v>
      </c>
      <c r="BH791">
        <f>ROUNDUP(tbl_Data_old[[#This Row],[Adjusted 2031]]/$L791,0)</f>
        <v>8</v>
      </c>
      <c r="BI791">
        <f>ROUNDUP(tbl_Data_old[[#This Row],[Adjusted 2032]]/$L791,0)</f>
        <v>10</v>
      </c>
      <c r="BJ791">
        <f>ROUNDUP(tbl_Data_old[[#This Row],[Adjusted 2033]]/$L791,0)</f>
        <v>12</v>
      </c>
      <c r="BK791">
        <f>ROUNDUP(tbl_Data_old[[#This Row],[Adjusted 2034]]/$L791,0)</f>
        <v>14</v>
      </c>
      <c r="BL791" s="3">
        <f t="shared" si="54"/>
        <v>0</v>
      </c>
      <c r="BM791" s="3">
        <f t="shared" si="54"/>
        <v>0</v>
      </c>
      <c r="BN791" s="3">
        <f t="shared" si="54"/>
        <v>0</v>
      </c>
      <c r="BO791" s="3">
        <f t="shared" si="54"/>
        <v>0</v>
      </c>
      <c r="BP791" s="3">
        <f t="shared" si="54"/>
        <v>0</v>
      </c>
      <c r="BQ791" s="3">
        <f t="shared" si="54"/>
        <v>0</v>
      </c>
      <c r="BR791" s="3">
        <f t="shared" si="54"/>
        <v>0</v>
      </c>
      <c r="BS791" s="3">
        <f t="shared" si="54"/>
        <v>0</v>
      </c>
      <c r="BT791" s="3">
        <f t="shared" si="54"/>
        <v>0</v>
      </c>
      <c r="BU791" s="3">
        <f t="shared" si="54"/>
        <v>0</v>
      </c>
      <c r="BV791" t="e">
        <f>VLOOKUP($H791,'1. Set Program Names'!$B$2:$D$15,3,0)*V791</f>
        <v>#N/A</v>
      </c>
      <c r="BW791" t="e">
        <f>VLOOKUP($H791,'1. Set Program Names'!$B$2:$D$15,3,0)*W791</f>
        <v>#N/A</v>
      </c>
      <c r="BX791" t="e">
        <f>VLOOKUP($H791,'1. Set Program Names'!$B$2:$D$15,3,0)*X791</f>
        <v>#N/A</v>
      </c>
      <c r="BY791" t="e">
        <f>VLOOKUP($H791,'1. Set Program Names'!$B$2:$D$15,3,0)*Y791</f>
        <v>#N/A</v>
      </c>
      <c r="BZ791" t="e">
        <f>VLOOKUP($H791,'1. Set Program Names'!$B$2:$D$15,3,0)*Z791</f>
        <v>#N/A</v>
      </c>
      <c r="CA791" t="e">
        <f>VLOOKUP($H791,'1. Set Program Names'!$B$2:$D$15,3,0)*AA791</f>
        <v>#N/A</v>
      </c>
      <c r="CB791" t="e">
        <f>VLOOKUP($H791,'1. Set Program Names'!$B$2:$D$15,3,0)*AB791</f>
        <v>#N/A</v>
      </c>
      <c r="CC791" t="e">
        <f>VLOOKUP($H791,'1. Set Program Names'!$B$2:$D$15,3,0)*AC791</f>
        <v>#N/A</v>
      </c>
      <c r="CD791" t="e">
        <f>VLOOKUP($H791,'1. Set Program Names'!$B$2:$D$15,3,0)*AD791</f>
        <v>#N/A</v>
      </c>
      <c r="CE791" t="e">
        <f>VLOOKUP($H791,'1. Set Program Names'!$B$2:$D$15,3,0)*AE791</f>
        <v>#N/A</v>
      </c>
    </row>
    <row r="792" spans="1:83" x14ac:dyDescent="0.25">
      <c r="A792" s="20" t="s">
        <v>113</v>
      </c>
      <c r="B792" s="20" t="s">
        <v>88</v>
      </c>
      <c r="C792" s="20" t="s">
        <v>176</v>
      </c>
      <c r="D792" s="20" t="s">
        <v>90</v>
      </c>
      <c r="E792" s="20" t="s">
        <v>91</v>
      </c>
      <c r="F792" s="20" t="s">
        <v>90</v>
      </c>
      <c r="G792" s="20" t="s">
        <v>92</v>
      </c>
      <c r="H792" s="20" t="s">
        <v>268</v>
      </c>
      <c r="I792" s="20" t="s">
        <v>271</v>
      </c>
      <c r="J792" s="20" t="s">
        <v>180</v>
      </c>
      <c r="K792" s="20" t="s">
        <v>272</v>
      </c>
      <c r="L792" s="20">
        <v>8742.5400000000009</v>
      </c>
      <c r="M792" s="20">
        <v>1.04876812955413</v>
      </c>
      <c r="N792" s="20">
        <v>1.0098733971376099</v>
      </c>
      <c r="O792" s="20">
        <v>3543.39</v>
      </c>
      <c r="P792" s="20">
        <v>1784.8102698461601</v>
      </c>
      <c r="Q792" s="20">
        <v>8.74254</v>
      </c>
      <c r="R792" s="20">
        <v>3737.3935784201899</v>
      </c>
      <c r="S792" s="20">
        <v>9285.1929731405908</v>
      </c>
      <c r="T792" s="20">
        <v>15</v>
      </c>
      <c r="U792" s="20">
        <v>1</v>
      </c>
      <c r="V792" s="20">
        <v>161.956173444244</v>
      </c>
      <c r="W792" s="20">
        <v>372.12159473516499</v>
      </c>
      <c r="X792" s="20">
        <v>638.00571871876195</v>
      </c>
      <c r="Y792" s="20">
        <v>969.92206076379796</v>
      </c>
      <c r="Z792" s="20">
        <v>1371.3685947696099</v>
      </c>
      <c r="AA792" s="20">
        <v>1843.86198542897</v>
      </c>
      <c r="AB792" s="20">
        <v>2382.49929256415</v>
      </c>
      <c r="AC792" s="20">
        <v>2972.70024748387</v>
      </c>
      <c r="AD792" s="20">
        <v>3594.0663063135298</v>
      </c>
      <c r="AE792" s="20">
        <v>4218.6802552272102</v>
      </c>
      <c r="AF792" t="str">
        <f t="shared" si="53"/>
        <v>NonResidential</v>
      </c>
      <c r="AG792" t="str">
        <f>tbl_Data_old[[#This Row],[All_Meas_Name_Append]]</f>
        <v>Milk Pre-Cooler</v>
      </c>
      <c r="AH792">
        <f>AVERAGEIFS('3. Incentive Adjustment'!G:G,'3. Incentive Adjustment'!A:A,tbl_Data_old[[#This Row],[Trimmed Sector]],'3. Incentive Adjustment'!B:B,tbl_Data_old[[#This Row],[Trimmed Measure Name]])</f>
        <v>0.58352930274688986</v>
      </c>
      <c r="AI792">
        <f>$AH792*tbl_Data_old[[#This Row],[2025 ]]</f>
        <v>94.506172965474065</v>
      </c>
      <c r="AJ792">
        <f>$AH792*tbl_Data_old[[#This Row],[2026 ]]</f>
        <v>217.14385471287156</v>
      </c>
      <c r="AK792">
        <f>$AH792*tbl_Data_old[[#This Row],[2027 ]]</f>
        <v>372.2950321924875</v>
      </c>
      <c r="AL792">
        <f>$AH792*tbl_Data_old[[#This Row],[2028 ]]</f>
        <v>565.97794383632561</v>
      </c>
      <c r="AM792">
        <f>$AH792*tbl_Data_old[[#This Row],[2029 ]]</f>
        <v>800.23375991489263</v>
      </c>
      <c r="AN792">
        <f>$AH792*tbl_Data_old[[#This Row],[2030 ]]</f>
        <v>1075.9474987188628</v>
      </c>
      <c r="AO792">
        <f>$AH792*tbl_Data_old[[#This Row],[2031 ]]</f>
        <v>1390.2581509849167</v>
      </c>
      <c r="AP792">
        <f>$AH792*tbl_Data_old[[#This Row],[2032 ]]</f>
        <v>1734.6577026897696</v>
      </c>
      <c r="AQ792">
        <f>$AH792*tbl_Data_old[[#This Row],[2033 ]]</f>
        <v>2097.2430057492238</v>
      </c>
      <c r="AR792">
        <f>$AH792*tbl_Data_old[[#This Row],[2034 ]]</f>
        <v>2461.7235478448051</v>
      </c>
      <c r="AS792">
        <f>SUM(tbl_Data_old[[#This Row],[Adjusted 2025]:[Adjusted 2034]])</f>
        <v>10809.986669609629</v>
      </c>
      <c r="AT792" s="3">
        <f>AVERAGEIFS('3. Incentive Adjustment'!F:F,'3. Incentive Adjustment'!A:A,tbl_Data_old[[#This Row],[Trimmed Sector]],'3. Incentive Adjustment'!B:B,tbl_Data_old[[#This Row],[Trimmed Measure Name]])</f>
        <v>0</v>
      </c>
      <c r="AU792" s="3">
        <f>IFERROR(VLOOKUP(tbl_Data_old[[#This Row],[All_Meas_Name_Append]],'IRA Tax Credits'!$A$3:$D$46,4,0),0)</f>
        <v>0</v>
      </c>
      <c r="AV792" s="4">
        <f>tbl_Data_old[[#This Row],[Adj. per unit Incentive ($)]]/tbl_Data_old[[#This Row],[kWh Savings]]*tbl_Data_old[[#This Row],[Sum of Annuals]]</f>
        <v>0</v>
      </c>
      <c r="AW792" s="4" t="str">
        <f>IFERROR(VLOOKUP(tbl_Data_old[[#This Row],[All_Programs]],'1. Set Program Names'!$B$2:$D$15,3,0)*tbl_Data_old[[#This Row],[Sum of Annuals]],"")</f>
        <v/>
      </c>
      <c r="AX792" s="4">
        <f>tbl_Data_old[[#This Row],[per unit IRA tax ($)]]/tbl_Data_old[[#This Row],[kWh Savings]]*tbl_Data_old[[#This Row],[Sum of Annuals]]</f>
        <v>0</v>
      </c>
      <c r="AY792" s="4">
        <f>tbl_Data_old[[#This Row],[Avoided Costs ($/unit)]]/tbl_Data_old[[#This Row],[kWh Savings]]*tbl_Data_old[[#This Row],[Sum of Annuals]]</f>
        <v>4621.2170332428423</v>
      </c>
      <c r="AZ792" s="4">
        <f>tbl_Data_old[[#This Row],[Lost Revenue ($/unit)]]/tbl_Data_old[[#This Row],[kWh Savings]]*tbl_Data_old[[#This Row],[Sum of Annuals]]</f>
        <v>11480.966888844978</v>
      </c>
      <c r="BA792" s="4">
        <f>tbl_Data_old[[#This Row],[Incremental Cost ($/unit)]]/tbl_Data_old[[#This Row],[kWh Savings]]*tbl_Data_old[[#This Row],[Sum of Annuals]]</f>
        <v>4381.335248706675</v>
      </c>
      <c r="BB792">
        <f>ROUNDUP(tbl_Data_old[[#This Row],[Adjusted 2025]]/$L792,0)</f>
        <v>1</v>
      </c>
      <c r="BC792">
        <f>ROUNDUP(tbl_Data_old[[#This Row],[Adjusted 2026]]/$L792,0)</f>
        <v>1</v>
      </c>
      <c r="BD792">
        <f>ROUNDUP(tbl_Data_old[[#This Row],[Adjusted 2027]]/$L792,0)</f>
        <v>1</v>
      </c>
      <c r="BE792">
        <f>ROUNDUP(tbl_Data_old[[#This Row],[Adjusted 2028]]/$L792,0)</f>
        <v>1</v>
      </c>
      <c r="BF792">
        <f>ROUNDUP(tbl_Data_old[[#This Row],[Adjusted 2029]]/$L792,0)</f>
        <v>1</v>
      </c>
      <c r="BG792">
        <f>ROUNDUP(tbl_Data_old[[#This Row],[Adjusted 2030]]/$L792,0)</f>
        <v>1</v>
      </c>
      <c r="BH792">
        <f>ROUNDUP(tbl_Data_old[[#This Row],[Adjusted 2031]]/$L792,0)</f>
        <v>1</v>
      </c>
      <c r="BI792">
        <f>ROUNDUP(tbl_Data_old[[#This Row],[Adjusted 2032]]/$L792,0)</f>
        <v>1</v>
      </c>
      <c r="BJ792">
        <f>ROUNDUP(tbl_Data_old[[#This Row],[Adjusted 2033]]/$L792,0)</f>
        <v>1</v>
      </c>
      <c r="BK792">
        <f>ROUNDUP(tbl_Data_old[[#This Row],[Adjusted 2034]]/$L792,0)</f>
        <v>1</v>
      </c>
      <c r="BL792" s="3">
        <f t="shared" si="54"/>
        <v>0</v>
      </c>
      <c r="BM792" s="3">
        <f t="shared" si="54"/>
        <v>0</v>
      </c>
      <c r="BN792" s="3">
        <f t="shared" si="54"/>
        <v>0</v>
      </c>
      <c r="BO792" s="3">
        <f t="shared" si="54"/>
        <v>0</v>
      </c>
      <c r="BP792" s="3">
        <f t="shared" si="54"/>
        <v>0</v>
      </c>
      <c r="BQ792" s="3">
        <f t="shared" si="54"/>
        <v>0</v>
      </c>
      <c r="BR792" s="3">
        <f t="shared" si="54"/>
        <v>0</v>
      </c>
      <c r="BS792" s="3">
        <f t="shared" si="54"/>
        <v>0</v>
      </c>
      <c r="BT792" s="3">
        <f t="shared" si="54"/>
        <v>0</v>
      </c>
      <c r="BU792" s="3">
        <f t="shared" si="54"/>
        <v>0</v>
      </c>
      <c r="BV792" t="e">
        <f>VLOOKUP($H792,'1. Set Program Names'!$B$2:$D$15,3,0)*V792</f>
        <v>#N/A</v>
      </c>
      <c r="BW792" t="e">
        <f>VLOOKUP($H792,'1. Set Program Names'!$B$2:$D$15,3,0)*W792</f>
        <v>#N/A</v>
      </c>
      <c r="BX792" t="e">
        <f>VLOOKUP($H792,'1. Set Program Names'!$B$2:$D$15,3,0)*X792</f>
        <v>#N/A</v>
      </c>
      <c r="BY792" t="e">
        <f>VLOOKUP($H792,'1. Set Program Names'!$B$2:$D$15,3,0)*Y792</f>
        <v>#N/A</v>
      </c>
      <c r="BZ792" t="e">
        <f>VLOOKUP($H792,'1. Set Program Names'!$B$2:$D$15,3,0)*Z792</f>
        <v>#N/A</v>
      </c>
      <c r="CA792" t="e">
        <f>VLOOKUP($H792,'1. Set Program Names'!$B$2:$D$15,3,0)*AA792</f>
        <v>#N/A</v>
      </c>
      <c r="CB792" t="e">
        <f>VLOOKUP($H792,'1. Set Program Names'!$B$2:$D$15,3,0)*AB792</f>
        <v>#N/A</v>
      </c>
      <c r="CC792" t="e">
        <f>VLOOKUP($H792,'1. Set Program Names'!$B$2:$D$15,3,0)*AC792</f>
        <v>#N/A</v>
      </c>
      <c r="CD792" t="e">
        <f>VLOOKUP($H792,'1. Set Program Names'!$B$2:$D$15,3,0)*AD792</f>
        <v>#N/A</v>
      </c>
      <c r="CE792" t="e">
        <f>VLOOKUP($H792,'1. Set Program Names'!$B$2:$D$15,3,0)*AE792</f>
        <v>#N/A</v>
      </c>
    </row>
    <row r="793" spans="1:83" x14ac:dyDescent="0.25">
      <c r="A793" s="20" t="s">
        <v>113</v>
      </c>
      <c r="B793" s="20" t="s">
        <v>88</v>
      </c>
      <c r="C793" s="20" t="s">
        <v>176</v>
      </c>
      <c r="D793" s="20" t="s">
        <v>90</v>
      </c>
      <c r="E793" s="20" t="s">
        <v>91</v>
      </c>
      <c r="F793" s="20" t="s">
        <v>90</v>
      </c>
      <c r="G793" s="20" t="s">
        <v>92</v>
      </c>
      <c r="H793" s="20" t="s">
        <v>268</v>
      </c>
      <c r="I793" s="20" t="s">
        <v>190</v>
      </c>
      <c r="J793" s="20" t="s">
        <v>191</v>
      </c>
      <c r="K793" s="20" t="s">
        <v>98</v>
      </c>
      <c r="L793" s="20">
        <v>1561.28</v>
      </c>
      <c r="M793" s="20">
        <v>0.18418077149832199</v>
      </c>
      <c r="N793" s="20">
        <v>0.17996138765713399</v>
      </c>
      <c r="O793" s="20">
        <v>490</v>
      </c>
      <c r="P793" s="20">
        <v>175.94534756551599</v>
      </c>
      <c r="Q793" s="20">
        <v>1.56128</v>
      </c>
      <c r="R793" s="20">
        <v>649.62503581485396</v>
      </c>
      <c r="S793" s="20">
        <v>1586.7572850213601</v>
      </c>
      <c r="T793" s="20">
        <v>14</v>
      </c>
      <c r="U793" s="20">
        <v>0.999999999999999</v>
      </c>
      <c r="V793" s="20">
        <v>14479.720529730301</v>
      </c>
      <c r="W793" s="20">
        <v>30951.808520448601</v>
      </c>
      <c r="X793" s="20">
        <v>49160.276632332301</v>
      </c>
      <c r="Y793" s="20">
        <v>69087.144024676702</v>
      </c>
      <c r="Z793" s="20">
        <v>90504.2009288197</v>
      </c>
      <c r="AA793" s="20">
        <v>113308.588274418</v>
      </c>
      <c r="AB793" s="20">
        <v>137418.27396180699</v>
      </c>
      <c r="AC793" s="20">
        <v>162714.26954658001</v>
      </c>
      <c r="AD793" s="20">
        <v>189172.633459537</v>
      </c>
      <c r="AE793" s="20">
        <v>216733.90872774</v>
      </c>
      <c r="AF793" t="str">
        <f t="shared" si="53"/>
        <v>NonResidential</v>
      </c>
      <c r="AG793" t="str">
        <f>tbl_Data_old[[#This Row],[All_Meas_Name_Append]]</f>
        <v>Synchronous Belt on 15hp ODP Motor</v>
      </c>
      <c r="AH793">
        <f>AVERAGEIFS('3. Incentive Adjustment'!G:G,'3. Incentive Adjustment'!A:A,tbl_Data_old[[#This Row],[Trimmed Sector]],'3. Incentive Adjustment'!B:B,tbl_Data_old[[#This Row],[Trimmed Measure Name]])</f>
        <v>0.74278916032473408</v>
      </c>
      <c r="AI793">
        <f>$AH793*tbl_Data_old[[#This Row],[2025 ]]</f>
        <v>10755.379454015183</v>
      </c>
      <c r="AJ793">
        <f>$AH793*tbl_Data_old[[#This Row],[2026 ]]</f>
        <v>22990.667861435966</v>
      </c>
      <c r="AK793">
        <f>$AH793*tbl_Data_old[[#This Row],[2027 ]]</f>
        <v>36515.720601061759</v>
      </c>
      <c r="AL793">
        <f>$AH793*tbl_Data_old[[#This Row],[2028 ]]</f>
        <v>51317.181699323577</v>
      </c>
      <c r="AM793">
        <f>$AH793*tbl_Data_old[[#This Row],[2029 ]]</f>
        <v>67225.539413778999</v>
      </c>
      <c r="AN793">
        <f>$AH793*tbl_Data_old[[#This Row],[2030 ]]</f>
        <v>84164.39114193595</v>
      </c>
      <c r="AO793">
        <f>$AH793*tbl_Data_old[[#This Row],[2031 ]]</f>
        <v>102072.80432936488</v>
      </c>
      <c r="AP793">
        <f>$AH793*tbl_Data_old[[#This Row],[2032 ]]</f>
        <v>120862.39564935661</v>
      </c>
      <c r="AQ793">
        <f>$AH793*tbl_Data_old[[#This Row],[2033 ]]</f>
        <v>140515.38156382818</v>
      </c>
      <c r="AR793">
        <f>$AH793*tbl_Data_old[[#This Row],[2034 ]]</f>
        <v>160987.59807777553</v>
      </c>
      <c r="AS793">
        <f>SUM(tbl_Data_old[[#This Row],[Adjusted 2025]:[Adjusted 2034]])</f>
        <v>797407.05979187659</v>
      </c>
      <c r="AT793" s="3">
        <f>AVERAGEIFS('3. Incentive Adjustment'!F:F,'3. Incentive Adjustment'!A:A,tbl_Data_old[[#This Row],[Trimmed Sector]],'3. Incentive Adjustment'!B:B,tbl_Data_old[[#This Row],[Trimmed Measure Name]])</f>
        <v>0</v>
      </c>
      <c r="AU793" s="3">
        <f>IFERROR(VLOOKUP(tbl_Data_old[[#This Row],[All_Meas_Name_Append]],'IRA Tax Credits'!$A$3:$D$46,4,0),0)</f>
        <v>0</v>
      </c>
      <c r="AV793" s="4">
        <f>tbl_Data_old[[#This Row],[Adj. per unit Incentive ($)]]/tbl_Data_old[[#This Row],[kWh Savings]]*tbl_Data_old[[#This Row],[Sum of Annuals]]</f>
        <v>0</v>
      </c>
      <c r="AW793" s="4" t="str">
        <f>IFERROR(VLOOKUP(tbl_Data_old[[#This Row],[All_Programs]],'1. Set Program Names'!$B$2:$D$15,3,0)*tbl_Data_old[[#This Row],[Sum of Annuals]],"")</f>
        <v/>
      </c>
      <c r="AX793" s="4">
        <f>tbl_Data_old[[#This Row],[per unit IRA tax ($)]]/tbl_Data_old[[#This Row],[kWh Savings]]*tbl_Data_old[[#This Row],[Sum of Annuals]]</f>
        <v>0</v>
      </c>
      <c r="AY793" s="4">
        <f>tbl_Data_old[[#This Row],[Avoided Costs ($/unit)]]/tbl_Data_old[[#This Row],[kWh Savings]]*tbl_Data_old[[#This Row],[Sum of Annuals]]</f>
        <v>331789.03833797603</v>
      </c>
      <c r="AZ793" s="4">
        <f>tbl_Data_old[[#This Row],[Lost Revenue ($/unit)]]/tbl_Data_old[[#This Row],[kWh Savings]]*tbl_Data_old[[#This Row],[Sum of Annuals]]</f>
        <v>810419.31059913873</v>
      </c>
      <c r="BA793" s="4">
        <f>tbl_Data_old[[#This Row],[Incremental Cost ($/unit)]]/tbl_Data_old[[#This Row],[kWh Savings]]*tbl_Data_old[[#This Row],[Sum of Annuals]]</f>
        <v>250262.2587223429</v>
      </c>
      <c r="BB793">
        <f>ROUNDUP(tbl_Data_old[[#This Row],[Adjusted 2025]]/$L793,0)</f>
        <v>7</v>
      </c>
      <c r="BC793">
        <f>ROUNDUP(tbl_Data_old[[#This Row],[Adjusted 2026]]/$L793,0)</f>
        <v>15</v>
      </c>
      <c r="BD793">
        <f>ROUNDUP(tbl_Data_old[[#This Row],[Adjusted 2027]]/$L793,0)</f>
        <v>24</v>
      </c>
      <c r="BE793">
        <f>ROUNDUP(tbl_Data_old[[#This Row],[Adjusted 2028]]/$L793,0)</f>
        <v>33</v>
      </c>
      <c r="BF793">
        <f>ROUNDUP(tbl_Data_old[[#This Row],[Adjusted 2029]]/$L793,0)</f>
        <v>44</v>
      </c>
      <c r="BG793">
        <f>ROUNDUP(tbl_Data_old[[#This Row],[Adjusted 2030]]/$L793,0)</f>
        <v>54</v>
      </c>
      <c r="BH793">
        <f>ROUNDUP(tbl_Data_old[[#This Row],[Adjusted 2031]]/$L793,0)</f>
        <v>66</v>
      </c>
      <c r="BI793">
        <f>ROUNDUP(tbl_Data_old[[#This Row],[Adjusted 2032]]/$L793,0)</f>
        <v>78</v>
      </c>
      <c r="BJ793">
        <f>ROUNDUP(tbl_Data_old[[#This Row],[Adjusted 2033]]/$L793,0)</f>
        <v>91</v>
      </c>
      <c r="BK793">
        <f>ROUNDUP(tbl_Data_old[[#This Row],[Adjusted 2034]]/$L793,0)</f>
        <v>104</v>
      </c>
      <c r="BL793" s="3">
        <f t="shared" si="54"/>
        <v>0</v>
      </c>
      <c r="BM793" s="3">
        <f t="shared" si="54"/>
        <v>0</v>
      </c>
      <c r="BN793" s="3">
        <f t="shared" si="54"/>
        <v>0</v>
      </c>
      <c r="BO793" s="3">
        <f t="shared" si="54"/>
        <v>0</v>
      </c>
      <c r="BP793" s="3">
        <f t="shared" si="54"/>
        <v>0</v>
      </c>
      <c r="BQ793" s="3">
        <f t="shared" si="54"/>
        <v>0</v>
      </c>
      <c r="BR793" s="3">
        <f t="shared" si="54"/>
        <v>0</v>
      </c>
      <c r="BS793" s="3">
        <f t="shared" si="54"/>
        <v>0</v>
      </c>
      <c r="BT793" s="3">
        <f t="shared" si="54"/>
        <v>0</v>
      </c>
      <c r="BU793" s="3">
        <f t="shared" si="54"/>
        <v>0</v>
      </c>
      <c r="BV793" t="e">
        <f>VLOOKUP($H793,'1. Set Program Names'!$B$2:$D$15,3,0)*V793</f>
        <v>#N/A</v>
      </c>
      <c r="BW793" t="e">
        <f>VLOOKUP($H793,'1. Set Program Names'!$B$2:$D$15,3,0)*W793</f>
        <v>#N/A</v>
      </c>
      <c r="BX793" t="e">
        <f>VLOOKUP($H793,'1. Set Program Names'!$B$2:$D$15,3,0)*X793</f>
        <v>#N/A</v>
      </c>
      <c r="BY793" t="e">
        <f>VLOOKUP($H793,'1. Set Program Names'!$B$2:$D$15,3,0)*Y793</f>
        <v>#N/A</v>
      </c>
      <c r="BZ793" t="e">
        <f>VLOOKUP($H793,'1. Set Program Names'!$B$2:$D$15,3,0)*Z793</f>
        <v>#N/A</v>
      </c>
      <c r="CA793" t="e">
        <f>VLOOKUP($H793,'1. Set Program Names'!$B$2:$D$15,3,0)*AA793</f>
        <v>#N/A</v>
      </c>
      <c r="CB793" t="e">
        <f>VLOOKUP($H793,'1. Set Program Names'!$B$2:$D$15,3,0)*AB793</f>
        <v>#N/A</v>
      </c>
      <c r="CC793" t="e">
        <f>VLOOKUP($H793,'1. Set Program Names'!$B$2:$D$15,3,0)*AC793</f>
        <v>#N/A</v>
      </c>
      <c r="CD793" t="e">
        <f>VLOOKUP($H793,'1. Set Program Names'!$B$2:$D$15,3,0)*AD793</f>
        <v>#N/A</v>
      </c>
      <c r="CE793" t="e">
        <f>VLOOKUP($H793,'1. Set Program Names'!$B$2:$D$15,3,0)*AE793</f>
        <v>#N/A</v>
      </c>
    </row>
    <row r="794" spans="1:83" x14ac:dyDescent="0.25">
      <c r="A794" s="20" t="s">
        <v>113</v>
      </c>
      <c r="B794" s="20" t="s">
        <v>88</v>
      </c>
      <c r="C794" s="20" t="s">
        <v>176</v>
      </c>
      <c r="D794" s="20" t="s">
        <v>90</v>
      </c>
      <c r="E794" s="20" t="s">
        <v>91</v>
      </c>
      <c r="F794" s="20" t="s">
        <v>90</v>
      </c>
      <c r="G794" s="20" t="s">
        <v>92</v>
      </c>
      <c r="H794" s="20" t="s">
        <v>268</v>
      </c>
      <c r="I794" s="20" t="s">
        <v>192</v>
      </c>
      <c r="J794" s="20" t="s">
        <v>191</v>
      </c>
      <c r="K794" s="20" t="s">
        <v>98</v>
      </c>
      <c r="L794" s="20">
        <v>437.76000000000101</v>
      </c>
      <c r="M794" s="20">
        <v>5.1641585449826798E-2</v>
      </c>
      <c r="N794" s="20">
        <v>5.0458532140799497E-2</v>
      </c>
      <c r="O794" s="20">
        <v>163</v>
      </c>
      <c r="P794" s="20">
        <v>74.943684252843894</v>
      </c>
      <c r="Q794" s="20">
        <v>0.43776000000000098</v>
      </c>
      <c r="R794" s="20">
        <v>182.14532670521001</v>
      </c>
      <c r="S794" s="20">
        <v>444.90345683730902</v>
      </c>
      <c r="T794" s="20">
        <v>14</v>
      </c>
      <c r="U794" s="20">
        <v>0.999999999999999</v>
      </c>
      <c r="V794" s="20">
        <v>14439.389637877401</v>
      </c>
      <c r="W794" s="20">
        <v>30860.313345181701</v>
      </c>
      <c r="X794" s="20">
        <v>49006.977451868901</v>
      </c>
      <c r="Y794" s="20">
        <v>68861.070392272406</v>
      </c>
      <c r="Z794" s="20">
        <v>90194.984539203404</v>
      </c>
      <c r="AA794" s="20">
        <v>112906.17860083299</v>
      </c>
      <c r="AB794" s="20">
        <v>136912.96195328701</v>
      </c>
      <c r="AC794" s="20">
        <v>162096.929195612</v>
      </c>
      <c r="AD794" s="20">
        <v>188434.36425466</v>
      </c>
      <c r="AE794" s="20">
        <v>215866.22348521801</v>
      </c>
      <c r="AF794" t="str">
        <f t="shared" si="53"/>
        <v>NonResidential</v>
      </c>
      <c r="AG794" t="str">
        <f>tbl_Data_old[[#This Row],[All_Meas_Name_Append]]</f>
        <v>Synchronous Belt on 5hp ODP Motor</v>
      </c>
      <c r="AH794">
        <f>AVERAGEIFS('3. Incentive Adjustment'!G:G,'3. Incentive Adjustment'!A:A,tbl_Data_old[[#This Row],[Trimmed Sector]],'3. Incentive Adjustment'!B:B,tbl_Data_old[[#This Row],[Trimmed Measure Name]])</f>
        <v>0.63653870706597271</v>
      </c>
      <c r="AI794">
        <f>$AH794*tbl_Data_old[[#This Row],[2025 ]]</f>
        <v>9191.2304109162851</v>
      </c>
      <c r="AJ794">
        <f>$AH794*tbl_Data_old[[#This Row],[2026 ]]</f>
        <v>19643.783956392745</v>
      </c>
      <c r="AK794">
        <f>$AH794*tbl_Data_old[[#This Row],[2027 ]]</f>
        <v>31194.838064423908</v>
      </c>
      <c r="AL794">
        <f>$AH794*tbl_Data_old[[#This Row],[2028 ]]</f>
        <v>43832.736714676008</v>
      </c>
      <c r="AM794">
        <f>$AH794*tbl_Data_old[[#This Row],[2029 ]]</f>
        <v>57412.598842419931</v>
      </c>
      <c r="AN794">
        <f>$AH794*tbl_Data_old[[#This Row],[2030 ]]</f>
        <v>71869.152946334027</v>
      </c>
      <c r="AO794">
        <f>$AH794*tbl_Data_old[[#This Row],[2031 ]]</f>
        <v>87150.399782318025</v>
      </c>
      <c r="AP794">
        <f>$AH794*tbl_Data_old[[#This Row],[2032 ]]</f>
        <v>103180.96972953939</v>
      </c>
      <c r="AQ794">
        <f>$AH794*tbl_Data_old[[#This Row],[2033 ]]</f>
        <v>119945.76658945982</v>
      </c>
      <c r="AR794">
        <f>$AH794*tbl_Data_old[[#This Row],[2034 ]]</f>
        <v>137407.20679649498</v>
      </c>
      <c r="AS794">
        <f>SUM(tbl_Data_old[[#This Row],[Adjusted 2025]:[Adjusted 2034]])</f>
        <v>680828.68383297522</v>
      </c>
      <c r="AT794" s="3">
        <f>AVERAGEIFS('3. Incentive Adjustment'!F:F,'3. Incentive Adjustment'!A:A,tbl_Data_old[[#This Row],[Trimmed Sector]],'3. Incentive Adjustment'!B:B,tbl_Data_old[[#This Row],[Trimmed Measure Name]])</f>
        <v>0</v>
      </c>
      <c r="AU794" s="3">
        <f>IFERROR(VLOOKUP(tbl_Data_old[[#This Row],[All_Meas_Name_Append]],'IRA Tax Credits'!$A$3:$D$46,4,0),0)</f>
        <v>0</v>
      </c>
      <c r="AV794" s="4">
        <f>tbl_Data_old[[#This Row],[Adj. per unit Incentive ($)]]/tbl_Data_old[[#This Row],[kWh Savings]]*tbl_Data_old[[#This Row],[Sum of Annuals]]</f>
        <v>0</v>
      </c>
      <c r="AW794" s="4" t="str">
        <f>IFERROR(VLOOKUP(tbl_Data_old[[#This Row],[All_Programs]],'1. Set Program Names'!$B$2:$D$15,3,0)*tbl_Data_old[[#This Row],[Sum of Annuals]],"")</f>
        <v/>
      </c>
      <c r="AX794" s="4">
        <f>tbl_Data_old[[#This Row],[per unit IRA tax ($)]]/tbl_Data_old[[#This Row],[kWh Savings]]*tbl_Data_old[[#This Row],[Sum of Annuals]]</f>
        <v>0</v>
      </c>
      <c r="AY794" s="4">
        <f>tbl_Data_old[[#This Row],[Avoided Costs ($/unit)]]/tbl_Data_old[[#This Row],[kWh Savings]]*tbl_Data_old[[#This Row],[Sum of Annuals]]</f>
        <v>283282.53620028123</v>
      </c>
      <c r="AZ794" s="4">
        <f>tbl_Data_old[[#This Row],[Lost Revenue ($/unit)]]/tbl_Data_old[[#This Row],[kWh Savings]]*tbl_Data_old[[#This Row],[Sum of Annuals]]</f>
        <v>691938.58495816274</v>
      </c>
      <c r="BA794" s="4">
        <f>tbl_Data_old[[#This Row],[Incremental Cost ($/unit)]]/tbl_Data_old[[#This Row],[kWh Savings]]*tbl_Data_old[[#This Row],[Sum of Annuals]]</f>
        <v>253506.65996156502</v>
      </c>
      <c r="BB794">
        <f>ROUNDUP(tbl_Data_old[[#This Row],[Adjusted 2025]]/$L794,0)</f>
        <v>21</v>
      </c>
      <c r="BC794">
        <f>ROUNDUP(tbl_Data_old[[#This Row],[Adjusted 2026]]/$L794,0)</f>
        <v>45</v>
      </c>
      <c r="BD794">
        <f>ROUNDUP(tbl_Data_old[[#This Row],[Adjusted 2027]]/$L794,0)</f>
        <v>72</v>
      </c>
      <c r="BE794">
        <f>ROUNDUP(tbl_Data_old[[#This Row],[Adjusted 2028]]/$L794,0)</f>
        <v>101</v>
      </c>
      <c r="BF794">
        <f>ROUNDUP(tbl_Data_old[[#This Row],[Adjusted 2029]]/$L794,0)</f>
        <v>132</v>
      </c>
      <c r="BG794">
        <f>ROUNDUP(tbl_Data_old[[#This Row],[Adjusted 2030]]/$L794,0)</f>
        <v>165</v>
      </c>
      <c r="BH794">
        <f>ROUNDUP(tbl_Data_old[[#This Row],[Adjusted 2031]]/$L794,0)</f>
        <v>200</v>
      </c>
      <c r="BI794">
        <f>ROUNDUP(tbl_Data_old[[#This Row],[Adjusted 2032]]/$L794,0)</f>
        <v>236</v>
      </c>
      <c r="BJ794">
        <f>ROUNDUP(tbl_Data_old[[#This Row],[Adjusted 2033]]/$L794,0)</f>
        <v>274</v>
      </c>
      <c r="BK794">
        <f>ROUNDUP(tbl_Data_old[[#This Row],[Adjusted 2034]]/$L794,0)</f>
        <v>314</v>
      </c>
      <c r="BL794" s="3">
        <f t="shared" si="54"/>
        <v>0</v>
      </c>
      <c r="BM794" s="3">
        <f t="shared" si="54"/>
        <v>0</v>
      </c>
      <c r="BN794" s="3">
        <f t="shared" si="54"/>
        <v>0</v>
      </c>
      <c r="BO794" s="3">
        <f t="shared" si="54"/>
        <v>0</v>
      </c>
      <c r="BP794" s="3">
        <f t="shared" si="54"/>
        <v>0</v>
      </c>
      <c r="BQ794" s="3">
        <f t="shared" si="54"/>
        <v>0</v>
      </c>
      <c r="BR794" s="3">
        <f t="shared" si="54"/>
        <v>0</v>
      </c>
      <c r="BS794" s="3">
        <f t="shared" si="54"/>
        <v>0</v>
      </c>
      <c r="BT794" s="3">
        <f t="shared" si="54"/>
        <v>0</v>
      </c>
      <c r="BU794" s="3">
        <f t="shared" si="54"/>
        <v>0</v>
      </c>
      <c r="BV794" t="e">
        <f>VLOOKUP($H794,'1. Set Program Names'!$B$2:$D$15,3,0)*V794</f>
        <v>#N/A</v>
      </c>
      <c r="BW794" t="e">
        <f>VLOOKUP($H794,'1. Set Program Names'!$B$2:$D$15,3,0)*W794</f>
        <v>#N/A</v>
      </c>
      <c r="BX794" t="e">
        <f>VLOOKUP($H794,'1. Set Program Names'!$B$2:$D$15,3,0)*X794</f>
        <v>#N/A</v>
      </c>
      <c r="BY794" t="e">
        <f>VLOOKUP($H794,'1. Set Program Names'!$B$2:$D$15,3,0)*Y794</f>
        <v>#N/A</v>
      </c>
      <c r="BZ794" t="e">
        <f>VLOOKUP($H794,'1. Set Program Names'!$B$2:$D$15,3,0)*Z794</f>
        <v>#N/A</v>
      </c>
      <c r="CA794" t="e">
        <f>VLOOKUP($H794,'1. Set Program Names'!$B$2:$D$15,3,0)*AA794</f>
        <v>#N/A</v>
      </c>
      <c r="CB794" t="e">
        <f>VLOOKUP($H794,'1. Set Program Names'!$B$2:$D$15,3,0)*AB794</f>
        <v>#N/A</v>
      </c>
      <c r="CC794" t="e">
        <f>VLOOKUP($H794,'1. Set Program Names'!$B$2:$D$15,3,0)*AC794</f>
        <v>#N/A</v>
      </c>
      <c r="CD794" t="e">
        <f>VLOOKUP($H794,'1. Set Program Names'!$B$2:$D$15,3,0)*AD794</f>
        <v>#N/A</v>
      </c>
      <c r="CE794" t="e">
        <f>VLOOKUP($H794,'1. Set Program Names'!$B$2:$D$15,3,0)*AE794</f>
        <v>#N/A</v>
      </c>
    </row>
    <row r="795" spans="1:83" x14ac:dyDescent="0.25">
      <c r="A795" s="20" t="s">
        <v>113</v>
      </c>
      <c r="B795" s="20" t="s">
        <v>88</v>
      </c>
      <c r="C795" s="20" t="s">
        <v>176</v>
      </c>
      <c r="D795" s="20" t="s">
        <v>90</v>
      </c>
      <c r="E795" s="20" t="s">
        <v>91</v>
      </c>
      <c r="F795" s="20" t="s">
        <v>90</v>
      </c>
      <c r="G795" s="20" t="s">
        <v>92</v>
      </c>
      <c r="H795" s="20" t="s">
        <v>268</v>
      </c>
      <c r="I795" s="20" t="s">
        <v>193</v>
      </c>
      <c r="J795" s="20" t="s">
        <v>191</v>
      </c>
      <c r="K795" s="20" t="s">
        <v>98</v>
      </c>
      <c r="L795" s="20">
        <v>12009.57</v>
      </c>
      <c r="M795" s="20">
        <v>1.41674258810918</v>
      </c>
      <c r="N795" s="20">
        <v>1.38428653564094</v>
      </c>
      <c r="O795" s="20">
        <v>2450</v>
      </c>
      <c r="P795" s="20">
        <v>34.250530181900103</v>
      </c>
      <c r="Q795" s="20">
        <v>12.00957</v>
      </c>
      <c r="R795" s="20">
        <v>4997.0007566682498</v>
      </c>
      <c r="S795" s="20">
        <v>12205.544609214199</v>
      </c>
      <c r="T795" s="20">
        <v>14</v>
      </c>
      <c r="U795" s="20">
        <v>0.999999999999999</v>
      </c>
      <c r="V795" s="20">
        <v>14531.962918957101</v>
      </c>
      <c r="W795" s="20">
        <v>31073.2010687986</v>
      </c>
      <c r="X795" s="20">
        <v>49368.663322296998</v>
      </c>
      <c r="Y795" s="20">
        <v>69403.5287596376</v>
      </c>
      <c r="Z795" s="20">
        <v>90947.2022050464</v>
      </c>
      <c r="AA795" s="20">
        <v>113897.179963503</v>
      </c>
      <c r="AB795" s="20">
        <v>138171.04390205099</v>
      </c>
      <c r="AC795" s="20">
        <v>163646.32297686901</v>
      </c>
      <c r="AD795" s="20">
        <v>190299.42871169001</v>
      </c>
      <c r="AE795" s="20">
        <v>218069.32341741899</v>
      </c>
      <c r="AF795" t="str">
        <f t="shared" si="53"/>
        <v>NonResidential</v>
      </c>
      <c r="AG795" t="str">
        <f>tbl_Data_old[[#This Row],[All_Meas_Name_Append]]</f>
        <v>Synchronous Belt on 75hp ODP Motor</v>
      </c>
      <c r="AH795">
        <f>AVERAGEIFS('3. Incentive Adjustment'!G:G,'3. Incentive Adjustment'!A:A,tbl_Data_old[[#This Row],[Trimmed Sector]],'3. Incentive Adjustment'!B:B,tbl_Data_old[[#This Row],[Trimmed Measure Name]])</f>
        <v>0.99250334293493969</v>
      </c>
      <c r="AI795">
        <f>$AH795*tbl_Data_old[[#This Row],[2025 ]]</f>
        <v>14423.021776471507</v>
      </c>
      <c r="AJ795">
        <f>$AH795*tbl_Data_old[[#This Row],[2026 ]]</f>
        <v>30840.255936472153</v>
      </c>
      <c r="AK795">
        <f>$AH795*tbl_Data_old[[#This Row],[2027 ]]</f>
        <v>48998.563383609318</v>
      </c>
      <c r="AL795">
        <f>$AH795*tbl_Data_old[[#This Row],[2028 ]]</f>
        <v>68883.234305421545</v>
      </c>
      <c r="AM795">
        <f>$AH795*tbl_Data_old[[#This Row],[2029 ]]</f>
        <v>90265.402219088472</v>
      </c>
      <c r="AN795">
        <f>$AH795*tbl_Data_old[[#This Row],[2030 ]]</f>
        <v>113043.33186463917</v>
      </c>
      <c r="AO795">
        <f>$AH795*tbl_Data_old[[#This Row],[2031 ]]</f>
        <v>137135.22296959592</v>
      </c>
      <c r="AP795">
        <f>$AH795*tbl_Data_old[[#This Row],[2032 ]]</f>
        <v>162419.52261355333</v>
      </c>
      <c r="AQ795">
        <f>$AH795*tbl_Data_old[[#This Row],[2033 ]]</f>
        <v>188872.81915496159</v>
      </c>
      <c r="AR795">
        <f>$AH795*tbl_Data_old[[#This Row],[2034 ]]</f>
        <v>216434.53248334886</v>
      </c>
      <c r="AS795">
        <f>SUM(tbl_Data_old[[#This Row],[Adjusted 2025]:[Adjusted 2034]])</f>
        <v>1071315.906707162</v>
      </c>
      <c r="AT795" s="3">
        <f>AVERAGEIFS('3. Incentive Adjustment'!F:F,'3. Incentive Adjustment'!A:A,tbl_Data_old[[#This Row],[Trimmed Sector]],'3. Incentive Adjustment'!B:B,tbl_Data_old[[#This Row],[Trimmed Measure Name]])</f>
        <v>0</v>
      </c>
      <c r="AU795" s="3">
        <f>IFERROR(VLOOKUP(tbl_Data_old[[#This Row],[All_Meas_Name_Append]],'IRA Tax Credits'!$A$3:$D$46,4,0),0)</f>
        <v>0</v>
      </c>
      <c r="AV795" s="4">
        <f>tbl_Data_old[[#This Row],[Adj. per unit Incentive ($)]]/tbl_Data_old[[#This Row],[kWh Savings]]*tbl_Data_old[[#This Row],[Sum of Annuals]]</f>
        <v>0</v>
      </c>
      <c r="AW795" s="4" t="str">
        <f>IFERROR(VLOOKUP(tbl_Data_old[[#This Row],[All_Programs]],'1. Set Program Names'!$B$2:$D$15,3,0)*tbl_Data_old[[#This Row],[Sum of Annuals]],"")</f>
        <v/>
      </c>
      <c r="AX795" s="4">
        <f>tbl_Data_old[[#This Row],[per unit IRA tax ($)]]/tbl_Data_old[[#This Row],[kWh Savings]]*tbl_Data_old[[#This Row],[Sum of Annuals]]</f>
        <v>0</v>
      </c>
      <c r="AY795" s="4">
        <f>tbl_Data_old[[#This Row],[Avoided Costs ($/unit)]]/tbl_Data_old[[#This Row],[kWh Savings]]*tbl_Data_old[[#This Row],[Sum of Annuals]]</f>
        <v>445758.37406721647</v>
      </c>
      <c r="AZ795" s="4">
        <f>tbl_Data_old[[#This Row],[Lost Revenue ($/unit)]]/tbl_Data_old[[#This Row],[kWh Savings]]*tbl_Data_old[[#This Row],[Sum of Annuals]]</f>
        <v>1088797.857864605</v>
      </c>
      <c r="BA795" s="4">
        <f>tbl_Data_old[[#This Row],[Incremental Cost ($/unit)]]/tbl_Data_old[[#This Row],[kWh Savings]]*tbl_Data_old[[#This Row],[Sum of Annuals]]</f>
        <v>218552.70183966178</v>
      </c>
      <c r="BB795">
        <f>ROUNDUP(tbl_Data_old[[#This Row],[Adjusted 2025]]/$L795,0)</f>
        <v>2</v>
      </c>
      <c r="BC795">
        <f>ROUNDUP(tbl_Data_old[[#This Row],[Adjusted 2026]]/$L795,0)</f>
        <v>3</v>
      </c>
      <c r="BD795">
        <f>ROUNDUP(tbl_Data_old[[#This Row],[Adjusted 2027]]/$L795,0)</f>
        <v>5</v>
      </c>
      <c r="BE795">
        <f>ROUNDUP(tbl_Data_old[[#This Row],[Adjusted 2028]]/$L795,0)</f>
        <v>6</v>
      </c>
      <c r="BF795">
        <f>ROUNDUP(tbl_Data_old[[#This Row],[Adjusted 2029]]/$L795,0)</f>
        <v>8</v>
      </c>
      <c r="BG795">
        <f>ROUNDUP(tbl_Data_old[[#This Row],[Adjusted 2030]]/$L795,0)</f>
        <v>10</v>
      </c>
      <c r="BH795">
        <f>ROUNDUP(tbl_Data_old[[#This Row],[Adjusted 2031]]/$L795,0)</f>
        <v>12</v>
      </c>
      <c r="BI795">
        <f>ROUNDUP(tbl_Data_old[[#This Row],[Adjusted 2032]]/$L795,0)</f>
        <v>14</v>
      </c>
      <c r="BJ795">
        <f>ROUNDUP(tbl_Data_old[[#This Row],[Adjusted 2033]]/$L795,0)</f>
        <v>16</v>
      </c>
      <c r="BK795">
        <f>ROUNDUP(tbl_Data_old[[#This Row],[Adjusted 2034]]/$L795,0)</f>
        <v>19</v>
      </c>
      <c r="BL795" s="3">
        <f t="shared" si="54"/>
        <v>0</v>
      </c>
      <c r="BM795" s="3">
        <f t="shared" si="54"/>
        <v>0</v>
      </c>
      <c r="BN795" s="3">
        <f t="shared" si="54"/>
        <v>0</v>
      </c>
      <c r="BO795" s="3">
        <f t="shared" si="54"/>
        <v>0</v>
      </c>
      <c r="BP795" s="3">
        <f t="shared" si="54"/>
        <v>0</v>
      </c>
      <c r="BQ795" s="3">
        <f t="shared" si="54"/>
        <v>0</v>
      </c>
      <c r="BR795" s="3">
        <f t="shared" si="54"/>
        <v>0</v>
      </c>
      <c r="BS795" s="3">
        <f t="shared" si="54"/>
        <v>0</v>
      </c>
      <c r="BT795" s="3">
        <f t="shared" si="54"/>
        <v>0</v>
      </c>
      <c r="BU795" s="3">
        <f t="shared" si="54"/>
        <v>0</v>
      </c>
      <c r="BV795" t="e">
        <f>VLOOKUP($H795,'1. Set Program Names'!$B$2:$D$15,3,0)*V795</f>
        <v>#N/A</v>
      </c>
      <c r="BW795" t="e">
        <f>VLOOKUP($H795,'1. Set Program Names'!$B$2:$D$15,3,0)*W795</f>
        <v>#N/A</v>
      </c>
      <c r="BX795" t="e">
        <f>VLOOKUP($H795,'1. Set Program Names'!$B$2:$D$15,3,0)*X795</f>
        <v>#N/A</v>
      </c>
      <c r="BY795" t="e">
        <f>VLOOKUP($H795,'1. Set Program Names'!$B$2:$D$15,3,0)*Y795</f>
        <v>#N/A</v>
      </c>
      <c r="BZ795" t="e">
        <f>VLOOKUP($H795,'1. Set Program Names'!$B$2:$D$15,3,0)*Z795</f>
        <v>#N/A</v>
      </c>
      <c r="CA795" t="e">
        <f>VLOOKUP($H795,'1. Set Program Names'!$B$2:$D$15,3,0)*AA795</f>
        <v>#N/A</v>
      </c>
      <c r="CB795" t="e">
        <f>VLOOKUP($H795,'1. Set Program Names'!$B$2:$D$15,3,0)*AB795</f>
        <v>#N/A</v>
      </c>
      <c r="CC795" t="e">
        <f>VLOOKUP($H795,'1. Set Program Names'!$B$2:$D$15,3,0)*AC795</f>
        <v>#N/A</v>
      </c>
      <c r="CD795" t="e">
        <f>VLOOKUP($H795,'1. Set Program Names'!$B$2:$D$15,3,0)*AD795</f>
        <v>#N/A</v>
      </c>
      <c r="CE795" t="e">
        <f>VLOOKUP($H795,'1. Set Program Names'!$B$2:$D$15,3,0)*AE795</f>
        <v>#N/A</v>
      </c>
    </row>
    <row r="796" spans="1:83" x14ac:dyDescent="0.25">
      <c r="A796" s="20" t="s">
        <v>114</v>
      </c>
      <c r="B796" s="20" t="s">
        <v>88</v>
      </c>
      <c r="C796" s="20" t="s">
        <v>176</v>
      </c>
      <c r="D796" s="20" t="s">
        <v>90</v>
      </c>
      <c r="E796" s="20" t="s">
        <v>91</v>
      </c>
      <c r="F796" s="20" t="s">
        <v>90</v>
      </c>
      <c r="G796" s="20" t="s">
        <v>92</v>
      </c>
      <c r="H796" s="20" t="s">
        <v>268</v>
      </c>
      <c r="I796" s="20" t="s">
        <v>179</v>
      </c>
      <c r="J796" s="20" t="s">
        <v>180</v>
      </c>
      <c r="K796" s="20" t="s">
        <v>98</v>
      </c>
      <c r="L796" s="20">
        <v>2684</v>
      </c>
      <c r="M796" s="20">
        <v>0.32197664062426901</v>
      </c>
      <c r="N796" s="20">
        <v>0.310035778837426</v>
      </c>
      <c r="O796" s="20">
        <v>1119</v>
      </c>
      <c r="P796" s="20">
        <v>579.10793250784297</v>
      </c>
      <c r="Q796" s="20">
        <v>2.6840000000000002</v>
      </c>
      <c r="R796" s="20">
        <v>1432.5808011563199</v>
      </c>
      <c r="S796" s="20">
        <v>4046.00364167834</v>
      </c>
      <c r="T796" s="20">
        <v>30</v>
      </c>
      <c r="U796" s="20">
        <v>1</v>
      </c>
      <c r="V796" s="20">
        <v>0.18242246849625701</v>
      </c>
      <c r="W796" s="20">
        <v>0.25285639896239098</v>
      </c>
      <c r="X796" s="20">
        <v>0.33201039420613698</v>
      </c>
      <c r="Y796" s="20">
        <v>0.421097667430536</v>
      </c>
      <c r="Z796" s="20">
        <v>0.50637705347772499</v>
      </c>
      <c r="AA796" s="20">
        <v>0.58599523544280196</v>
      </c>
      <c r="AB796" s="20">
        <v>0.65505857099481801</v>
      </c>
      <c r="AC796" s="20">
        <v>0.70847378392056504</v>
      </c>
      <c r="AD796" s="20">
        <v>0.75187449755664904</v>
      </c>
      <c r="AE796" s="20">
        <v>0.78518554687312703</v>
      </c>
      <c r="AF796" t="str">
        <f t="shared" si="53"/>
        <v>NonResidential</v>
      </c>
      <c r="AG796" t="str">
        <f>tbl_Data_old[[#This Row],[All_Meas_Name_Append]]</f>
        <v>Energy Efficient Transformers</v>
      </c>
      <c r="AH796">
        <f>AVERAGEIFS('3. Incentive Adjustment'!G:G,'3. Incentive Adjustment'!A:A,tbl_Data_old[[#This Row],[Trimmed Sector]],'3. Incentive Adjustment'!B:B,tbl_Data_old[[#This Row],[Trimmed Measure Name]])</f>
        <v>0.56592396099637965</v>
      </c>
      <c r="AI796">
        <f>$AH796*tbl_Data_old[[#This Row],[2025 ]]</f>
        <v>0.10323724594613905</v>
      </c>
      <c r="AJ796">
        <f>$AH796*tbl_Data_old[[#This Row],[2026 ]]</f>
        <v>0.14309749486407716</v>
      </c>
      <c r="AK796">
        <f>$AH796*tbl_Data_old[[#This Row],[2027 ]]</f>
        <v>0.18789263738110651</v>
      </c>
      <c r="AL796">
        <f>$AH796*tbl_Data_old[[#This Row],[2028 ]]</f>
        <v>0.23830925991862512</v>
      </c>
      <c r="AM796">
        <f>$AH796*tbl_Data_old[[#This Row],[2029 ]]</f>
        <v>0.28657090786178968</v>
      </c>
      <c r="AN796">
        <f>$AH796*tbl_Data_old[[#This Row],[2030 ]]</f>
        <v>0.33162874476679655</v>
      </c>
      <c r="AO796">
        <f>$AH796*tbl_Data_old[[#This Row],[2031 ]]</f>
        <v>0.3707133411820156</v>
      </c>
      <c r="AP796">
        <f>$AH796*tbl_Data_old[[#This Row],[2032 ]]</f>
        <v>0.40094229005841936</v>
      </c>
      <c r="AQ796">
        <f>$AH796*tbl_Data_old[[#This Row],[2033 ]]</f>
        <v>0.42550379382942161</v>
      </c>
      <c r="AR796">
        <f>$AH796*tbl_Data_old[[#This Row],[2034 ]]</f>
        <v>0.44435531480354856</v>
      </c>
      <c r="AS796">
        <f>SUM(tbl_Data_old[[#This Row],[Adjusted 2025]:[Adjusted 2034]])</f>
        <v>2.9322510306119391</v>
      </c>
      <c r="AT796" s="3">
        <f>AVERAGEIFS('3. Incentive Adjustment'!F:F,'3. Incentive Adjustment'!A:A,tbl_Data_old[[#This Row],[Trimmed Sector]],'3. Incentive Adjustment'!B:B,tbl_Data_old[[#This Row],[Trimmed Measure Name]])</f>
        <v>0</v>
      </c>
      <c r="AU796" s="3">
        <f>IFERROR(VLOOKUP(tbl_Data_old[[#This Row],[All_Meas_Name_Append]],'IRA Tax Credits'!$A$3:$D$46,4,0),0)</f>
        <v>0</v>
      </c>
      <c r="AV796" s="4">
        <f>tbl_Data_old[[#This Row],[Adj. per unit Incentive ($)]]/tbl_Data_old[[#This Row],[kWh Savings]]*tbl_Data_old[[#This Row],[Sum of Annuals]]</f>
        <v>0</v>
      </c>
      <c r="AW796" s="4" t="str">
        <f>IFERROR(VLOOKUP(tbl_Data_old[[#This Row],[All_Programs]],'1. Set Program Names'!$B$2:$D$15,3,0)*tbl_Data_old[[#This Row],[Sum of Annuals]],"")</f>
        <v/>
      </c>
      <c r="AX796" s="4">
        <f>tbl_Data_old[[#This Row],[per unit IRA tax ($)]]/tbl_Data_old[[#This Row],[kWh Savings]]*tbl_Data_old[[#This Row],[Sum of Annuals]]</f>
        <v>0</v>
      </c>
      <c r="AY796" s="4">
        <f>tbl_Data_old[[#This Row],[Avoided Costs ($/unit)]]/tbl_Data_old[[#This Row],[kWh Savings]]*tbl_Data_old[[#This Row],[Sum of Annuals]]</f>
        <v>1.5650844003820776</v>
      </c>
      <c r="AZ796" s="4">
        <f>tbl_Data_old[[#This Row],[Lost Revenue ($/unit)]]/tbl_Data_old[[#This Row],[kWh Savings]]*tbl_Data_old[[#This Row],[Sum of Annuals]]</f>
        <v>4.4202303830741325</v>
      </c>
      <c r="BA796" s="4">
        <f>tbl_Data_old[[#This Row],[Incremental Cost ($/unit)]]/tbl_Data_old[[#This Row],[kWh Savings]]*tbl_Data_old[[#This Row],[Sum of Annuals]]</f>
        <v>1.2224995913765873</v>
      </c>
      <c r="BB796">
        <f>ROUNDUP(tbl_Data_old[[#This Row],[Adjusted 2025]]/$L796,0)</f>
        <v>1</v>
      </c>
      <c r="BC796">
        <f>ROUNDUP(tbl_Data_old[[#This Row],[Adjusted 2026]]/$L796,0)</f>
        <v>1</v>
      </c>
      <c r="BD796">
        <f>ROUNDUP(tbl_Data_old[[#This Row],[Adjusted 2027]]/$L796,0)</f>
        <v>1</v>
      </c>
      <c r="BE796">
        <f>ROUNDUP(tbl_Data_old[[#This Row],[Adjusted 2028]]/$L796,0)</f>
        <v>1</v>
      </c>
      <c r="BF796">
        <f>ROUNDUP(tbl_Data_old[[#This Row],[Adjusted 2029]]/$L796,0)</f>
        <v>1</v>
      </c>
      <c r="BG796">
        <f>ROUNDUP(tbl_Data_old[[#This Row],[Adjusted 2030]]/$L796,0)</f>
        <v>1</v>
      </c>
      <c r="BH796">
        <f>ROUNDUP(tbl_Data_old[[#This Row],[Adjusted 2031]]/$L796,0)</f>
        <v>1</v>
      </c>
      <c r="BI796">
        <f>ROUNDUP(tbl_Data_old[[#This Row],[Adjusted 2032]]/$L796,0)</f>
        <v>1</v>
      </c>
      <c r="BJ796">
        <f>ROUNDUP(tbl_Data_old[[#This Row],[Adjusted 2033]]/$L796,0)</f>
        <v>1</v>
      </c>
      <c r="BK796">
        <f>ROUNDUP(tbl_Data_old[[#This Row],[Adjusted 2034]]/$L796,0)</f>
        <v>1</v>
      </c>
      <c r="BL796" s="3">
        <f t="shared" si="54"/>
        <v>0</v>
      </c>
      <c r="BM796" s="3">
        <f t="shared" si="54"/>
        <v>0</v>
      </c>
      <c r="BN796" s="3">
        <f t="shared" si="54"/>
        <v>0</v>
      </c>
      <c r="BO796" s="3">
        <f t="shared" si="54"/>
        <v>0</v>
      </c>
      <c r="BP796" s="3">
        <f t="shared" si="54"/>
        <v>0</v>
      </c>
      <c r="BQ796" s="3">
        <f t="shared" si="54"/>
        <v>0</v>
      </c>
      <c r="BR796" s="3">
        <f t="shared" si="54"/>
        <v>0</v>
      </c>
      <c r="BS796" s="3">
        <f t="shared" si="54"/>
        <v>0</v>
      </c>
      <c r="BT796" s="3">
        <f t="shared" si="54"/>
        <v>0</v>
      </c>
      <c r="BU796" s="3">
        <f t="shared" si="54"/>
        <v>0</v>
      </c>
      <c r="BV796" t="e">
        <f>VLOOKUP($H796,'1. Set Program Names'!$B$2:$D$15,3,0)*V796</f>
        <v>#N/A</v>
      </c>
      <c r="BW796" t="e">
        <f>VLOOKUP($H796,'1. Set Program Names'!$B$2:$D$15,3,0)*W796</f>
        <v>#N/A</v>
      </c>
      <c r="BX796" t="e">
        <f>VLOOKUP($H796,'1. Set Program Names'!$B$2:$D$15,3,0)*X796</f>
        <v>#N/A</v>
      </c>
      <c r="BY796" t="e">
        <f>VLOOKUP($H796,'1. Set Program Names'!$B$2:$D$15,3,0)*Y796</f>
        <v>#N/A</v>
      </c>
      <c r="BZ796" t="e">
        <f>VLOOKUP($H796,'1. Set Program Names'!$B$2:$D$15,3,0)*Z796</f>
        <v>#N/A</v>
      </c>
      <c r="CA796" t="e">
        <f>VLOOKUP($H796,'1. Set Program Names'!$B$2:$D$15,3,0)*AA796</f>
        <v>#N/A</v>
      </c>
      <c r="CB796" t="e">
        <f>VLOOKUP($H796,'1. Set Program Names'!$B$2:$D$15,3,0)*AB796</f>
        <v>#N/A</v>
      </c>
      <c r="CC796" t="e">
        <f>VLOOKUP($H796,'1. Set Program Names'!$B$2:$D$15,3,0)*AC796</f>
        <v>#N/A</v>
      </c>
      <c r="CD796" t="e">
        <f>VLOOKUP($H796,'1. Set Program Names'!$B$2:$D$15,3,0)*AD796</f>
        <v>#N/A</v>
      </c>
      <c r="CE796" t="e">
        <f>VLOOKUP($H796,'1. Set Program Names'!$B$2:$D$15,3,0)*AE796</f>
        <v>#N/A</v>
      </c>
    </row>
    <row r="797" spans="1:83" x14ac:dyDescent="0.25">
      <c r="A797" s="20" t="s">
        <v>114</v>
      </c>
      <c r="B797" s="20" t="s">
        <v>88</v>
      </c>
      <c r="C797" s="20" t="s">
        <v>176</v>
      </c>
      <c r="D797" s="20" t="s">
        <v>90</v>
      </c>
      <c r="E797" s="20" t="s">
        <v>91</v>
      </c>
      <c r="F797" s="20" t="s">
        <v>90</v>
      </c>
      <c r="G797" s="20" t="s">
        <v>92</v>
      </c>
      <c r="H797" s="20" t="s">
        <v>268</v>
      </c>
      <c r="I797" s="20" t="s">
        <v>186</v>
      </c>
      <c r="J797" s="20" t="s">
        <v>180</v>
      </c>
      <c r="K797" s="20" t="s">
        <v>102</v>
      </c>
      <c r="L797" s="20">
        <v>27897.5999999999</v>
      </c>
      <c r="M797" s="20">
        <v>3.34663767864367</v>
      </c>
      <c r="N797" s="20">
        <v>3.2225238985450702</v>
      </c>
      <c r="O797" s="20">
        <v>8000</v>
      </c>
      <c r="P797" s="20">
        <v>2762.04801865338</v>
      </c>
      <c r="Q797" s="20">
        <v>27.897599999999901</v>
      </c>
      <c r="R797" s="20">
        <v>11926.089110639999</v>
      </c>
      <c r="S797" s="20">
        <v>29629.215249514</v>
      </c>
      <c r="T797" s="20">
        <v>15</v>
      </c>
      <c r="U797" s="20">
        <v>1</v>
      </c>
      <c r="V797" s="20">
        <v>2.95811486796866E-2</v>
      </c>
      <c r="W797" s="20">
        <v>3.3320943734168003E-2</v>
      </c>
      <c r="X797" s="20">
        <v>3.70659821650485E-2</v>
      </c>
      <c r="Y797" s="20">
        <v>4.1742424501021599E-2</v>
      </c>
      <c r="Z797" s="20">
        <v>4.5893665557668203E-2</v>
      </c>
      <c r="AA797" s="20">
        <v>5.0520305350854097E-2</v>
      </c>
      <c r="AB797" s="20">
        <v>5.5551694871627699E-2</v>
      </c>
      <c r="AC797" s="20">
        <v>6.0323757995161001E-2</v>
      </c>
      <c r="AD797" s="20">
        <v>6.5720768933794402E-2</v>
      </c>
      <c r="AE797" s="20">
        <v>7.1188731579456405E-2</v>
      </c>
      <c r="AF797" t="str">
        <f t="shared" si="53"/>
        <v>NonResidential</v>
      </c>
      <c r="AG797" t="str">
        <f>tbl_Data_old[[#This Row],[All_Meas_Name_Append]]</f>
        <v>Grain Bin Aeration Control System</v>
      </c>
      <c r="AH797">
        <f>AVERAGEIFS('3. Incentive Adjustment'!G:G,'3. Incentive Adjustment'!A:A,tbl_Data_old[[#This Row],[Trimmed Sector]],'3. Incentive Adjustment'!B:B,tbl_Data_old[[#This Row],[Trimmed Measure Name]])</f>
        <v>0.77010279279185057</v>
      </c>
      <c r="AI797">
        <f>$AH797*tbl_Data_old[[#This Row],[2025 ]]</f>
        <v>2.2780525212217614E-2</v>
      </c>
      <c r="AJ797">
        <f>$AH797*tbl_Data_old[[#This Row],[2026 ]]</f>
        <v>2.5660551828142891E-2</v>
      </c>
      <c r="AK797">
        <f>$AH797*tbl_Data_old[[#This Row],[2027 ]]</f>
        <v>2.8544616382876774E-2</v>
      </c>
      <c r="AL797">
        <f>$AH797*tbl_Data_old[[#This Row],[2028 ]]</f>
        <v>3.2145957686139703E-2</v>
      </c>
      <c r="AM797">
        <f>$AH797*tbl_Data_old[[#This Row],[2029 ]]</f>
        <v>3.5342840017415444E-2</v>
      </c>
      <c r="AN797">
        <f>$AH797*tbl_Data_old[[#This Row],[2030 ]]</f>
        <v>3.8905828243389812E-2</v>
      </c>
      <c r="AO797">
        <f>$AH797*tbl_Data_old[[#This Row],[2031 ]]</f>
        <v>4.2780515364961212E-2</v>
      </c>
      <c r="AP797">
        <f>$AH797*tbl_Data_old[[#This Row],[2032 ]]</f>
        <v>4.6455494503773211E-2</v>
      </c>
      <c r="AQ797">
        <f>$AH797*tbl_Data_old[[#This Row],[2033 ]]</f>
        <v>5.0611747700342963E-2</v>
      </c>
      <c r="AR797">
        <f>$AH797*tbl_Data_old[[#This Row],[2034 ]]</f>
        <v>5.4822641004648787E-2</v>
      </c>
      <c r="AS797">
        <f>SUM(tbl_Data_old[[#This Row],[Adjusted 2025]:[Adjusted 2034]])</f>
        <v>0.37805071794390838</v>
      </c>
      <c r="AT797" s="3">
        <f>AVERAGEIFS('3. Incentive Adjustment'!F:F,'3. Incentive Adjustment'!A:A,tbl_Data_old[[#This Row],[Trimmed Sector]],'3. Incentive Adjustment'!B:B,tbl_Data_old[[#This Row],[Trimmed Measure Name]])</f>
        <v>0</v>
      </c>
      <c r="AU797" s="3">
        <f>IFERROR(VLOOKUP(tbl_Data_old[[#This Row],[All_Meas_Name_Append]],'IRA Tax Credits'!$A$3:$D$46,4,0),0)</f>
        <v>0</v>
      </c>
      <c r="AV797" s="4">
        <f>tbl_Data_old[[#This Row],[Adj. per unit Incentive ($)]]/tbl_Data_old[[#This Row],[kWh Savings]]*tbl_Data_old[[#This Row],[Sum of Annuals]]</f>
        <v>0</v>
      </c>
      <c r="AW797" s="4" t="str">
        <f>IFERROR(VLOOKUP(tbl_Data_old[[#This Row],[All_Programs]],'1. Set Program Names'!$B$2:$D$15,3,0)*tbl_Data_old[[#This Row],[Sum of Annuals]],"")</f>
        <v/>
      </c>
      <c r="AX797" s="4">
        <f>tbl_Data_old[[#This Row],[per unit IRA tax ($)]]/tbl_Data_old[[#This Row],[kWh Savings]]*tbl_Data_old[[#This Row],[Sum of Annuals]]</f>
        <v>0</v>
      </c>
      <c r="AY797" s="4">
        <f>tbl_Data_old[[#This Row],[Avoided Costs ($/unit)]]/tbl_Data_old[[#This Row],[kWh Savings]]*tbl_Data_old[[#This Row],[Sum of Annuals]]</f>
        <v>0.16161485398530681</v>
      </c>
      <c r="AZ797" s="4">
        <f>tbl_Data_old[[#This Row],[Lost Revenue ($/unit)]]/tbl_Data_old[[#This Row],[kWh Savings]]*tbl_Data_old[[#This Row],[Sum of Annuals]]</f>
        <v>0.40151647801937818</v>
      </c>
      <c r="BA797" s="4">
        <f>tbl_Data_old[[#This Row],[Incremental Cost ($/unit)]]/tbl_Data_old[[#This Row],[kWh Savings]]*tbl_Data_old[[#This Row],[Sum of Annuals]]</f>
        <v>0.10841096522823748</v>
      </c>
      <c r="BB797">
        <f>ROUNDUP(tbl_Data_old[[#This Row],[Adjusted 2025]]/$L797,0)</f>
        <v>1</v>
      </c>
      <c r="BC797">
        <f>ROUNDUP(tbl_Data_old[[#This Row],[Adjusted 2026]]/$L797,0)</f>
        <v>1</v>
      </c>
      <c r="BD797">
        <f>ROUNDUP(tbl_Data_old[[#This Row],[Adjusted 2027]]/$L797,0)</f>
        <v>1</v>
      </c>
      <c r="BE797">
        <f>ROUNDUP(tbl_Data_old[[#This Row],[Adjusted 2028]]/$L797,0)</f>
        <v>1</v>
      </c>
      <c r="BF797">
        <f>ROUNDUP(tbl_Data_old[[#This Row],[Adjusted 2029]]/$L797,0)</f>
        <v>1</v>
      </c>
      <c r="BG797">
        <f>ROUNDUP(tbl_Data_old[[#This Row],[Adjusted 2030]]/$L797,0)</f>
        <v>1</v>
      </c>
      <c r="BH797">
        <f>ROUNDUP(tbl_Data_old[[#This Row],[Adjusted 2031]]/$L797,0)</f>
        <v>1</v>
      </c>
      <c r="BI797">
        <f>ROUNDUP(tbl_Data_old[[#This Row],[Adjusted 2032]]/$L797,0)</f>
        <v>1</v>
      </c>
      <c r="BJ797">
        <f>ROUNDUP(tbl_Data_old[[#This Row],[Adjusted 2033]]/$L797,0)</f>
        <v>1</v>
      </c>
      <c r="BK797">
        <f>ROUNDUP(tbl_Data_old[[#This Row],[Adjusted 2034]]/$L797,0)</f>
        <v>1</v>
      </c>
      <c r="BL797" s="3">
        <f t="shared" si="54"/>
        <v>0</v>
      </c>
      <c r="BM797" s="3">
        <f t="shared" si="54"/>
        <v>0</v>
      </c>
      <c r="BN797" s="3">
        <f t="shared" si="54"/>
        <v>0</v>
      </c>
      <c r="BO797" s="3">
        <f t="shared" si="54"/>
        <v>0</v>
      </c>
      <c r="BP797" s="3">
        <f t="shared" si="54"/>
        <v>0</v>
      </c>
      <c r="BQ797" s="3">
        <f t="shared" si="54"/>
        <v>0</v>
      </c>
      <c r="BR797" s="3">
        <f t="shared" si="54"/>
        <v>0</v>
      </c>
      <c r="BS797" s="3">
        <f t="shared" si="54"/>
        <v>0</v>
      </c>
      <c r="BT797" s="3">
        <f t="shared" si="54"/>
        <v>0</v>
      </c>
      <c r="BU797" s="3">
        <f t="shared" si="54"/>
        <v>0</v>
      </c>
      <c r="BV797" t="e">
        <f>VLOOKUP($H797,'1. Set Program Names'!$B$2:$D$15,3,0)*V797</f>
        <v>#N/A</v>
      </c>
      <c r="BW797" t="e">
        <f>VLOOKUP($H797,'1. Set Program Names'!$B$2:$D$15,3,0)*W797</f>
        <v>#N/A</v>
      </c>
      <c r="BX797" t="e">
        <f>VLOOKUP($H797,'1. Set Program Names'!$B$2:$D$15,3,0)*X797</f>
        <v>#N/A</v>
      </c>
      <c r="BY797" t="e">
        <f>VLOOKUP($H797,'1. Set Program Names'!$B$2:$D$15,3,0)*Y797</f>
        <v>#N/A</v>
      </c>
      <c r="BZ797" t="e">
        <f>VLOOKUP($H797,'1. Set Program Names'!$B$2:$D$15,3,0)*Z797</f>
        <v>#N/A</v>
      </c>
      <c r="CA797" t="e">
        <f>VLOOKUP($H797,'1. Set Program Names'!$B$2:$D$15,3,0)*AA797</f>
        <v>#N/A</v>
      </c>
      <c r="CB797" t="e">
        <f>VLOOKUP($H797,'1. Set Program Names'!$B$2:$D$15,3,0)*AB797</f>
        <v>#N/A</v>
      </c>
      <c r="CC797" t="e">
        <f>VLOOKUP($H797,'1. Set Program Names'!$B$2:$D$15,3,0)*AC797</f>
        <v>#N/A</v>
      </c>
      <c r="CD797" t="e">
        <f>VLOOKUP($H797,'1. Set Program Names'!$B$2:$D$15,3,0)*AD797</f>
        <v>#N/A</v>
      </c>
      <c r="CE797" t="e">
        <f>VLOOKUP($H797,'1. Set Program Names'!$B$2:$D$15,3,0)*AE797</f>
        <v>#N/A</v>
      </c>
    </row>
    <row r="798" spans="1:83" x14ac:dyDescent="0.25">
      <c r="A798" s="20" t="s">
        <v>114</v>
      </c>
      <c r="B798" s="20" t="s">
        <v>88</v>
      </c>
      <c r="C798" s="20" t="s">
        <v>176</v>
      </c>
      <c r="D798" s="20" t="s">
        <v>90</v>
      </c>
      <c r="E798" s="20" t="s">
        <v>91</v>
      </c>
      <c r="F798" s="20" t="s">
        <v>90</v>
      </c>
      <c r="G798" s="20" t="s">
        <v>92</v>
      </c>
      <c r="H798" s="20" t="s">
        <v>268</v>
      </c>
      <c r="I798" s="20" t="s">
        <v>181</v>
      </c>
      <c r="J798" s="20" t="s">
        <v>182</v>
      </c>
      <c r="K798" s="20" t="s">
        <v>98</v>
      </c>
      <c r="L798" s="20">
        <v>21140.159999999902</v>
      </c>
      <c r="M798" s="20">
        <v>2.4928340912459501</v>
      </c>
      <c r="N798" s="20">
        <v>2.4353939910039801</v>
      </c>
      <c r="O798" s="20">
        <v>4269.76</v>
      </c>
      <c r="P798" s="20">
        <v>17.441519984740999</v>
      </c>
      <c r="Q798" s="20">
        <v>21.140159999999899</v>
      </c>
      <c r="R798" s="20">
        <v>7174.5673333962905</v>
      </c>
      <c r="S798" s="20">
        <v>17003.9302734632</v>
      </c>
      <c r="T798" s="20">
        <v>10</v>
      </c>
      <c r="U798" s="20">
        <v>1</v>
      </c>
      <c r="V798" s="20">
        <v>0.76123037399070004</v>
      </c>
      <c r="W798" s="20">
        <v>0.86648259242715298</v>
      </c>
      <c r="X798" s="20">
        <v>0.95837442272821505</v>
      </c>
      <c r="Y798" s="20">
        <v>1.0494898861753099</v>
      </c>
      <c r="Z798" s="20">
        <v>1.12852604190095</v>
      </c>
      <c r="AA798" s="20">
        <v>1.2021927285101099</v>
      </c>
      <c r="AB798" s="20">
        <v>1.27154209153913</v>
      </c>
      <c r="AC798" s="20">
        <v>1.3344760323014599</v>
      </c>
      <c r="AD798" s="20">
        <v>1.3961743337552499</v>
      </c>
      <c r="AE798" s="20">
        <v>1.4546752871869799</v>
      </c>
      <c r="AF798" t="str">
        <f t="shared" si="53"/>
        <v>NonResidential</v>
      </c>
      <c r="AG798" t="str">
        <f>tbl_Data_old[[#This Row],[All_Meas_Name_Append]]</f>
        <v>High Volume Low Speed Fan (HVLS)</v>
      </c>
      <c r="AH798">
        <f>AVERAGEIFS('3. Incentive Adjustment'!G:G,'3. Incentive Adjustment'!A:A,tbl_Data_old[[#This Row],[Trimmed Sector]],'3. Incentive Adjustment'!B:B,tbl_Data_old[[#This Row],[Trimmed Measure Name]])</f>
        <v>0.99782547587781634</v>
      </c>
      <c r="AI798">
        <f>$AH798*tbl_Data_old[[#This Row],[2025 ]]</f>
        <v>0.75957506017991838</v>
      </c>
      <c r="AJ798">
        <f>$AH798*tbl_Data_old[[#This Row],[2026 ]]</f>
        <v>0.86459840512846786</v>
      </c>
      <c r="AK798">
        <f>$AH798*tbl_Data_old[[#This Row],[2027 ]]</f>
        <v>0.95629041442790874</v>
      </c>
      <c r="AL798">
        <f>$AH798*tbl_Data_old[[#This Row],[2028 ]]</f>
        <v>1.047207745101834</v>
      </c>
      <c r="AM798">
        <f>$AH798*tbl_Data_old[[#This Row],[2029 ]]</f>
        <v>1.1260720348003239</v>
      </c>
      <c r="AN798">
        <f>$AH798*tbl_Data_old[[#This Row],[2030 ]]</f>
        <v>1.199578531422451</v>
      </c>
      <c r="AO798">
        <f>$AH798*tbl_Data_old[[#This Row],[2031 ]]</f>
        <v>1.2687770925887063</v>
      </c>
      <c r="AP798">
        <f>$AH798*tbl_Data_old[[#This Row],[2032 ]]</f>
        <v>1.3315741819787446</v>
      </c>
      <c r="AQ798">
        <f>$AH798*tbl_Data_old[[#This Row],[2033 ]]</f>
        <v>1.3931383189877253</v>
      </c>
      <c r="AR798">
        <f>$AH798*tbl_Data_old[[#This Row],[2034 ]]</f>
        <v>1.4515120606850473</v>
      </c>
      <c r="AS798">
        <f>SUM(tbl_Data_old[[#This Row],[Adjusted 2025]:[Adjusted 2034]])</f>
        <v>11.398323845301128</v>
      </c>
      <c r="AT798" s="3">
        <f>AVERAGEIFS('3. Incentive Adjustment'!F:F,'3. Incentive Adjustment'!A:A,tbl_Data_old[[#This Row],[Trimmed Sector]],'3. Incentive Adjustment'!B:B,tbl_Data_old[[#This Row],[Trimmed Measure Name]])</f>
        <v>0</v>
      </c>
      <c r="AU798" s="3">
        <f>IFERROR(VLOOKUP(tbl_Data_old[[#This Row],[All_Meas_Name_Append]],'IRA Tax Credits'!$A$3:$D$46,4,0),0)</f>
        <v>0</v>
      </c>
      <c r="AV798" s="4">
        <f>tbl_Data_old[[#This Row],[Adj. per unit Incentive ($)]]/tbl_Data_old[[#This Row],[kWh Savings]]*tbl_Data_old[[#This Row],[Sum of Annuals]]</f>
        <v>0</v>
      </c>
      <c r="AW798" s="4" t="str">
        <f>IFERROR(VLOOKUP(tbl_Data_old[[#This Row],[All_Programs]],'1. Set Program Names'!$B$2:$D$15,3,0)*tbl_Data_old[[#This Row],[Sum of Annuals]],"")</f>
        <v/>
      </c>
      <c r="AX798" s="4">
        <f>tbl_Data_old[[#This Row],[per unit IRA tax ($)]]/tbl_Data_old[[#This Row],[kWh Savings]]*tbl_Data_old[[#This Row],[Sum of Annuals]]</f>
        <v>0</v>
      </c>
      <c r="AY798" s="4">
        <f>tbl_Data_old[[#This Row],[Avoided Costs ($/unit)]]/tbl_Data_old[[#This Row],[kWh Savings]]*tbl_Data_old[[#This Row],[Sum of Annuals]]</f>
        <v>3.8683738399316674</v>
      </c>
      <c r="AZ798" s="4">
        <f>tbl_Data_old[[#This Row],[Lost Revenue ($/unit)]]/tbl_Data_old[[#This Row],[kWh Savings]]*tbl_Data_old[[#This Row],[Sum of Annuals]]</f>
        <v>9.1681569060903154</v>
      </c>
      <c r="BA798" s="4">
        <f>tbl_Data_old[[#This Row],[Incremental Cost ($/unit)]]/tbl_Data_old[[#This Row],[kWh Savings]]*tbl_Data_old[[#This Row],[Sum of Annuals]]</f>
        <v>2.3021636175749465</v>
      </c>
      <c r="BB798">
        <f>ROUNDUP(tbl_Data_old[[#This Row],[Adjusted 2025]]/$L798,0)</f>
        <v>1</v>
      </c>
      <c r="BC798">
        <f>ROUNDUP(tbl_Data_old[[#This Row],[Adjusted 2026]]/$L798,0)</f>
        <v>1</v>
      </c>
      <c r="BD798">
        <f>ROUNDUP(tbl_Data_old[[#This Row],[Adjusted 2027]]/$L798,0)</f>
        <v>1</v>
      </c>
      <c r="BE798">
        <f>ROUNDUP(tbl_Data_old[[#This Row],[Adjusted 2028]]/$L798,0)</f>
        <v>1</v>
      </c>
      <c r="BF798">
        <f>ROUNDUP(tbl_Data_old[[#This Row],[Adjusted 2029]]/$L798,0)</f>
        <v>1</v>
      </c>
      <c r="BG798">
        <f>ROUNDUP(tbl_Data_old[[#This Row],[Adjusted 2030]]/$L798,0)</f>
        <v>1</v>
      </c>
      <c r="BH798">
        <f>ROUNDUP(tbl_Data_old[[#This Row],[Adjusted 2031]]/$L798,0)</f>
        <v>1</v>
      </c>
      <c r="BI798">
        <f>ROUNDUP(tbl_Data_old[[#This Row],[Adjusted 2032]]/$L798,0)</f>
        <v>1</v>
      </c>
      <c r="BJ798">
        <f>ROUNDUP(tbl_Data_old[[#This Row],[Adjusted 2033]]/$L798,0)</f>
        <v>1</v>
      </c>
      <c r="BK798">
        <f>ROUNDUP(tbl_Data_old[[#This Row],[Adjusted 2034]]/$L798,0)</f>
        <v>1</v>
      </c>
      <c r="BL798" s="3">
        <f t="shared" si="54"/>
        <v>0</v>
      </c>
      <c r="BM798" s="3">
        <f t="shared" si="54"/>
        <v>0</v>
      </c>
      <c r="BN798" s="3">
        <f t="shared" si="54"/>
        <v>0</v>
      </c>
      <c r="BO798" s="3">
        <f t="shared" si="54"/>
        <v>0</v>
      </c>
      <c r="BP798" s="3">
        <f t="shared" si="54"/>
        <v>0</v>
      </c>
      <c r="BQ798" s="3">
        <f t="shared" si="54"/>
        <v>0</v>
      </c>
      <c r="BR798" s="3">
        <f t="shared" si="54"/>
        <v>0</v>
      </c>
      <c r="BS798" s="3">
        <f t="shared" si="54"/>
        <v>0</v>
      </c>
      <c r="BT798" s="3">
        <f t="shared" si="54"/>
        <v>0</v>
      </c>
      <c r="BU798" s="3">
        <f t="shared" si="54"/>
        <v>0</v>
      </c>
      <c r="BV798" t="e">
        <f>VLOOKUP($H798,'1. Set Program Names'!$B$2:$D$15,3,0)*V798</f>
        <v>#N/A</v>
      </c>
      <c r="BW798" t="e">
        <f>VLOOKUP($H798,'1. Set Program Names'!$B$2:$D$15,3,0)*W798</f>
        <v>#N/A</v>
      </c>
      <c r="BX798" t="e">
        <f>VLOOKUP($H798,'1. Set Program Names'!$B$2:$D$15,3,0)*X798</f>
        <v>#N/A</v>
      </c>
      <c r="BY798" t="e">
        <f>VLOOKUP($H798,'1. Set Program Names'!$B$2:$D$15,3,0)*Y798</f>
        <v>#N/A</v>
      </c>
      <c r="BZ798" t="e">
        <f>VLOOKUP($H798,'1. Set Program Names'!$B$2:$D$15,3,0)*Z798</f>
        <v>#N/A</v>
      </c>
      <c r="CA798" t="e">
        <f>VLOOKUP($H798,'1. Set Program Names'!$B$2:$D$15,3,0)*AA798</f>
        <v>#N/A</v>
      </c>
      <c r="CB798" t="e">
        <f>VLOOKUP($H798,'1. Set Program Names'!$B$2:$D$15,3,0)*AB798</f>
        <v>#N/A</v>
      </c>
      <c r="CC798" t="e">
        <f>VLOOKUP($H798,'1. Set Program Names'!$B$2:$D$15,3,0)*AC798</f>
        <v>#N/A</v>
      </c>
      <c r="CD798" t="e">
        <f>VLOOKUP($H798,'1. Set Program Names'!$B$2:$D$15,3,0)*AD798</f>
        <v>#N/A</v>
      </c>
      <c r="CE798" t="e">
        <f>VLOOKUP($H798,'1. Set Program Names'!$B$2:$D$15,3,0)*AE798</f>
        <v>#N/A</v>
      </c>
    </row>
    <row r="799" spans="1:83" x14ac:dyDescent="0.25">
      <c r="A799" s="20" t="s">
        <v>114</v>
      </c>
      <c r="B799" s="20" t="s">
        <v>88</v>
      </c>
      <c r="C799" s="20" t="s">
        <v>176</v>
      </c>
      <c r="D799" s="20" t="s">
        <v>90</v>
      </c>
      <c r="E799" s="20" t="s">
        <v>91</v>
      </c>
      <c r="F799" s="20" t="s">
        <v>90</v>
      </c>
      <c r="G799" s="20" t="s">
        <v>92</v>
      </c>
      <c r="H799" s="20" t="s">
        <v>268</v>
      </c>
      <c r="I799" s="20" t="s">
        <v>183</v>
      </c>
      <c r="J799" s="20" t="s">
        <v>178</v>
      </c>
      <c r="K799" s="20" t="s">
        <v>130</v>
      </c>
      <c r="L799" s="20">
        <v>113444.97999999901</v>
      </c>
      <c r="M799" s="20">
        <v>13.5911727914499</v>
      </c>
      <c r="N799" s="20">
        <v>13.0925103405659</v>
      </c>
      <c r="O799" s="20">
        <v>42343.199999999997</v>
      </c>
      <c r="P799" s="20">
        <v>19818.792281260001</v>
      </c>
      <c r="Q799" s="20">
        <v>113.44497999999901</v>
      </c>
      <c r="R799" s="20">
        <v>54449.419529642699</v>
      </c>
      <c r="S799" s="20">
        <v>142371.22131797599</v>
      </c>
      <c r="T799" s="20">
        <v>20</v>
      </c>
      <c r="U799" s="20">
        <v>1</v>
      </c>
      <c r="V799" s="20">
        <v>9.2662016119339496E-2</v>
      </c>
      <c r="W799" s="20">
        <v>9.0977344401348997E-2</v>
      </c>
      <c r="X799" s="20">
        <v>8.8496027553761097E-2</v>
      </c>
      <c r="Y799" s="20">
        <v>8.5966793500097893E-2</v>
      </c>
      <c r="Z799" s="20">
        <v>8.3546716123946999E-2</v>
      </c>
      <c r="AA799" s="20">
        <v>8.0914925730743603E-2</v>
      </c>
      <c r="AB799" s="20">
        <v>7.8252847712873205E-2</v>
      </c>
      <c r="AC799" s="20">
        <v>7.5742892979657306E-2</v>
      </c>
      <c r="AD799" s="20">
        <v>7.3226024920849703E-2</v>
      </c>
      <c r="AE799" s="20">
        <v>7.0792600976596301E-2</v>
      </c>
      <c r="AF799" t="str">
        <f t="shared" si="53"/>
        <v>NonResidential</v>
      </c>
      <c r="AG799" t="str">
        <f>tbl_Data_old[[#This Row],[All_Meas_Name_Append]]</f>
        <v>Industrial Duct Sealing</v>
      </c>
      <c r="AH799">
        <f>AVERAGEIFS('3. Incentive Adjustment'!G:G,'3. Incentive Adjustment'!A:A,tbl_Data_old[[#This Row],[Trimmed Sector]],'3. Incentive Adjustment'!B:B,tbl_Data_old[[#This Row],[Trimmed Measure Name]])</f>
        <v>0.63068496474049041</v>
      </c>
      <c r="AI799">
        <f>$AH799*tbl_Data_old[[#This Row],[2025 ]]</f>
        <v>5.8440540369008386E-2</v>
      </c>
      <c r="AJ799">
        <f>$AH799*tbl_Data_old[[#This Row],[2026 ]]</f>
        <v>5.7378043245948245E-2</v>
      </c>
      <c r="AK799">
        <f>$AH799*tbl_Data_old[[#This Row],[2027 ]]</f>
        <v>5.5813114017417287E-2</v>
      </c>
      <c r="AL799">
        <f>$AH799*tbl_Data_old[[#This Row],[2028 ]]</f>
        <v>5.4217964127462256E-2</v>
      </c>
      <c r="AM799">
        <f>$AH799*tbl_Data_old[[#This Row],[2029 ]]</f>
        <v>5.2691657712815275E-2</v>
      </c>
      <c r="AN799">
        <f>$AH799*tbl_Data_old[[#This Row],[2030 ]]</f>
        <v>5.1031827081473427E-2</v>
      </c>
      <c r="AO799">
        <f>$AH799*tbl_Data_old[[#This Row],[2031 ]]</f>
        <v>4.9352894500636402E-2</v>
      </c>
      <c r="AP799">
        <f>$AH799*tbl_Data_old[[#This Row],[2032 ]]</f>
        <v>4.7769903788217903E-2</v>
      </c>
      <c r="AQ799">
        <f>$AH799*tbl_Data_old[[#This Row],[2033 ]]</f>
        <v>4.6182552945292367E-2</v>
      </c>
      <c r="AR799">
        <f>$AH799*tbl_Data_old[[#This Row],[2034 ]]</f>
        <v>4.4647829050812243E-2</v>
      </c>
      <c r="AS799">
        <f>SUM(tbl_Data_old[[#This Row],[Adjusted 2025]:[Adjusted 2034]])</f>
        <v>0.51752632683908373</v>
      </c>
      <c r="AT799" s="3">
        <f>AVERAGEIFS('3. Incentive Adjustment'!F:F,'3. Incentive Adjustment'!A:A,tbl_Data_old[[#This Row],[Trimmed Sector]],'3. Incentive Adjustment'!B:B,tbl_Data_old[[#This Row],[Trimmed Measure Name]])</f>
        <v>0</v>
      </c>
      <c r="AU799" s="3">
        <f>IFERROR(VLOOKUP(tbl_Data_old[[#This Row],[All_Meas_Name_Append]],'IRA Tax Credits'!$A$3:$D$46,4,0),0)</f>
        <v>0</v>
      </c>
      <c r="AV799" s="4">
        <f>tbl_Data_old[[#This Row],[Adj. per unit Incentive ($)]]/tbl_Data_old[[#This Row],[kWh Savings]]*tbl_Data_old[[#This Row],[Sum of Annuals]]</f>
        <v>0</v>
      </c>
      <c r="AW799" s="4" t="str">
        <f>IFERROR(VLOOKUP(tbl_Data_old[[#This Row],[All_Programs]],'1. Set Program Names'!$B$2:$D$15,3,0)*tbl_Data_old[[#This Row],[Sum of Annuals]],"")</f>
        <v/>
      </c>
      <c r="AX799" s="4">
        <f>tbl_Data_old[[#This Row],[per unit IRA tax ($)]]/tbl_Data_old[[#This Row],[kWh Savings]]*tbl_Data_old[[#This Row],[Sum of Annuals]]</f>
        <v>0</v>
      </c>
      <c r="AY799" s="4">
        <f>tbl_Data_old[[#This Row],[Avoided Costs ($/unit)]]/tbl_Data_old[[#This Row],[kWh Savings]]*tbl_Data_old[[#This Row],[Sum of Annuals]]</f>
        <v>0.24839360972778612</v>
      </c>
      <c r="AZ799" s="4">
        <f>tbl_Data_old[[#This Row],[Lost Revenue ($/unit)]]/tbl_Data_old[[#This Row],[kWh Savings]]*tbl_Data_old[[#This Row],[Sum of Annuals]]</f>
        <v>0.64948537358186331</v>
      </c>
      <c r="BA799" s="4">
        <f>tbl_Data_old[[#This Row],[Incremental Cost ($/unit)]]/tbl_Data_old[[#This Row],[kWh Savings]]*tbl_Data_old[[#This Row],[Sum of Annuals]]</f>
        <v>0.19316606836735201</v>
      </c>
      <c r="BB799">
        <f>ROUNDUP(tbl_Data_old[[#This Row],[Adjusted 2025]]/$L799,0)</f>
        <v>1</v>
      </c>
      <c r="BC799">
        <f>ROUNDUP(tbl_Data_old[[#This Row],[Adjusted 2026]]/$L799,0)</f>
        <v>1</v>
      </c>
      <c r="BD799">
        <f>ROUNDUP(tbl_Data_old[[#This Row],[Adjusted 2027]]/$L799,0)</f>
        <v>1</v>
      </c>
      <c r="BE799">
        <f>ROUNDUP(tbl_Data_old[[#This Row],[Adjusted 2028]]/$L799,0)</f>
        <v>1</v>
      </c>
      <c r="BF799">
        <f>ROUNDUP(tbl_Data_old[[#This Row],[Adjusted 2029]]/$L799,0)</f>
        <v>1</v>
      </c>
      <c r="BG799">
        <f>ROUNDUP(tbl_Data_old[[#This Row],[Adjusted 2030]]/$L799,0)</f>
        <v>1</v>
      </c>
      <c r="BH799">
        <f>ROUNDUP(tbl_Data_old[[#This Row],[Adjusted 2031]]/$L799,0)</f>
        <v>1</v>
      </c>
      <c r="BI799">
        <f>ROUNDUP(tbl_Data_old[[#This Row],[Adjusted 2032]]/$L799,0)</f>
        <v>1</v>
      </c>
      <c r="BJ799">
        <f>ROUNDUP(tbl_Data_old[[#This Row],[Adjusted 2033]]/$L799,0)</f>
        <v>1</v>
      </c>
      <c r="BK799">
        <f>ROUNDUP(tbl_Data_old[[#This Row],[Adjusted 2034]]/$L799,0)</f>
        <v>1</v>
      </c>
      <c r="BL799" s="3">
        <f t="shared" si="54"/>
        <v>0</v>
      </c>
      <c r="BM799" s="3">
        <f t="shared" si="54"/>
        <v>0</v>
      </c>
      <c r="BN799" s="3">
        <f t="shared" si="54"/>
        <v>0</v>
      </c>
      <c r="BO799" s="3">
        <f t="shared" si="54"/>
        <v>0</v>
      </c>
      <c r="BP799" s="3">
        <f t="shared" si="54"/>
        <v>0</v>
      </c>
      <c r="BQ799" s="3">
        <f t="shared" si="54"/>
        <v>0</v>
      </c>
      <c r="BR799" s="3">
        <f t="shared" si="54"/>
        <v>0</v>
      </c>
      <c r="BS799" s="3">
        <f t="shared" si="54"/>
        <v>0</v>
      </c>
      <c r="BT799" s="3">
        <f t="shared" si="54"/>
        <v>0</v>
      </c>
      <c r="BU799" s="3">
        <f t="shared" si="54"/>
        <v>0</v>
      </c>
      <c r="BV799" t="e">
        <f>VLOOKUP($H799,'1. Set Program Names'!$B$2:$D$15,3,0)*V799</f>
        <v>#N/A</v>
      </c>
      <c r="BW799" t="e">
        <f>VLOOKUP($H799,'1. Set Program Names'!$B$2:$D$15,3,0)*W799</f>
        <v>#N/A</v>
      </c>
      <c r="BX799" t="e">
        <f>VLOOKUP($H799,'1. Set Program Names'!$B$2:$D$15,3,0)*X799</f>
        <v>#N/A</v>
      </c>
      <c r="BY799" t="e">
        <f>VLOOKUP($H799,'1. Set Program Names'!$B$2:$D$15,3,0)*Y799</f>
        <v>#N/A</v>
      </c>
      <c r="BZ799" t="e">
        <f>VLOOKUP($H799,'1. Set Program Names'!$B$2:$D$15,3,0)*Z799</f>
        <v>#N/A</v>
      </c>
      <c r="CA799" t="e">
        <f>VLOOKUP($H799,'1. Set Program Names'!$B$2:$D$15,3,0)*AA799</f>
        <v>#N/A</v>
      </c>
      <c r="CB799" t="e">
        <f>VLOOKUP($H799,'1. Set Program Names'!$B$2:$D$15,3,0)*AB799</f>
        <v>#N/A</v>
      </c>
      <c r="CC799" t="e">
        <f>VLOOKUP($H799,'1. Set Program Names'!$B$2:$D$15,3,0)*AC799</f>
        <v>#N/A</v>
      </c>
      <c r="CD799" t="e">
        <f>VLOOKUP($H799,'1. Set Program Names'!$B$2:$D$15,3,0)*AD799</f>
        <v>#N/A</v>
      </c>
      <c r="CE799" t="e">
        <f>VLOOKUP($H799,'1. Set Program Names'!$B$2:$D$15,3,0)*AE799</f>
        <v>#N/A</v>
      </c>
    </row>
    <row r="800" spans="1:83" x14ac:dyDescent="0.25">
      <c r="A800" s="20" t="s">
        <v>114</v>
      </c>
      <c r="B800" s="20" t="s">
        <v>88</v>
      </c>
      <c r="C800" s="20" t="s">
        <v>176</v>
      </c>
      <c r="D800" s="20" t="s">
        <v>90</v>
      </c>
      <c r="E800" s="20" t="s">
        <v>91</v>
      </c>
      <c r="F800" s="20" t="s">
        <v>90</v>
      </c>
      <c r="G800" s="20" t="s">
        <v>92</v>
      </c>
      <c r="H800" s="20" t="s">
        <v>268</v>
      </c>
      <c r="I800" s="20" t="s">
        <v>270</v>
      </c>
      <c r="J800" s="20" t="s">
        <v>191</v>
      </c>
      <c r="K800" s="20" t="s">
        <v>98</v>
      </c>
      <c r="L800" s="20">
        <v>2628</v>
      </c>
      <c r="M800" s="20">
        <v>0.31001938633530801</v>
      </c>
      <c r="N800" s="20">
        <v>0.30291717485841702</v>
      </c>
      <c r="O800" s="20">
        <v>810.229999999999</v>
      </c>
      <c r="P800" s="20">
        <v>281.60244658368498</v>
      </c>
      <c r="Q800" s="20">
        <v>2.6280000000000001</v>
      </c>
      <c r="R800" s="20">
        <v>891.847172411815</v>
      </c>
      <c r="S800" s="20">
        <v>2113.8122303076898</v>
      </c>
      <c r="T800" s="20">
        <v>10</v>
      </c>
      <c r="U800" s="20">
        <v>1</v>
      </c>
      <c r="V800" s="20">
        <v>2.0940031881399599</v>
      </c>
      <c r="W800" s="20">
        <v>2.9025469791538701</v>
      </c>
      <c r="X800" s="20">
        <v>3.8118169858332598</v>
      </c>
      <c r="Y800" s="20">
        <v>4.8180119293816501</v>
      </c>
      <c r="Z800" s="20">
        <v>5.8013200440967001</v>
      </c>
      <c r="AA800" s="20">
        <v>6.7106642503300398</v>
      </c>
      <c r="AB800" s="20">
        <v>7.4927230534480298</v>
      </c>
      <c r="AC800" s="20">
        <v>8.1101849981225893</v>
      </c>
      <c r="AD800" s="20">
        <v>8.5994696082663094</v>
      </c>
      <c r="AE800" s="20">
        <v>8.9750160359768607</v>
      </c>
      <c r="AF800" t="str">
        <f t="shared" si="53"/>
        <v>NonResidential</v>
      </c>
      <c r="AG800" t="str">
        <f>tbl_Data_old[[#This Row],[All_Meas_Name_Append]]</f>
        <v>Low Energy Livestock Waterer</v>
      </c>
      <c r="AH800">
        <f>AVERAGEIFS('3. Incentive Adjustment'!G:G,'3. Incentive Adjustment'!A:A,tbl_Data_old[[#This Row],[Trimmed Sector]],'3. Incentive Adjustment'!B:B,tbl_Data_old[[#This Row],[Trimmed Measure Name]])</f>
        <v>0.7537232854794027</v>
      </c>
      <c r="AI800">
        <f>$AH800*tbl_Data_old[[#This Row],[2025 ]]</f>
        <v>1.5782989627691943</v>
      </c>
      <c r="AJ800">
        <f>$AH800*tbl_Data_old[[#This Row],[2026 ]]</f>
        <v>2.1877172453861702</v>
      </c>
      <c r="AK800">
        <f>$AH800*tbl_Data_old[[#This Row],[2027 ]]</f>
        <v>2.8730552222084382</v>
      </c>
      <c r="AL800">
        <f>$AH800*tbl_Data_old[[#This Row],[2028 ]]</f>
        <v>3.6314477808924934</v>
      </c>
      <c r="AM800">
        <f>$AH800*tbl_Data_old[[#This Row],[2029 ]]</f>
        <v>4.3725900037540786</v>
      </c>
      <c r="AN800">
        <f>$AH800*tbl_Data_old[[#This Row],[2030 ]]</f>
        <v>5.0579839065079302</v>
      </c>
      <c r="AO800">
        <f>$AH800*tbl_Data_old[[#This Row],[2031 ]]</f>
        <v>5.6474398370321115</v>
      </c>
      <c r="AP800">
        <f>$AH800*tbl_Data_old[[#This Row],[2032 ]]</f>
        <v>6.1128352826307211</v>
      </c>
      <c r="AQ800">
        <f>$AH800*tbl_Data_old[[#This Row],[2033 ]]</f>
        <v>6.4816204865227549</v>
      </c>
      <c r="AR800">
        <f>$AH800*tbl_Data_old[[#This Row],[2034 ]]</f>
        <v>6.7646785738668047</v>
      </c>
      <c r="AS800">
        <f>SUM(tbl_Data_old[[#This Row],[Adjusted 2025]:[Adjusted 2034]])</f>
        <v>44.707667301570694</v>
      </c>
      <c r="AT800" s="3">
        <f>AVERAGEIFS('3. Incentive Adjustment'!F:F,'3. Incentive Adjustment'!A:A,tbl_Data_old[[#This Row],[Trimmed Sector]],'3. Incentive Adjustment'!B:B,tbl_Data_old[[#This Row],[Trimmed Measure Name]])</f>
        <v>0</v>
      </c>
      <c r="AU800" s="3">
        <f>IFERROR(VLOOKUP(tbl_Data_old[[#This Row],[All_Meas_Name_Append]],'IRA Tax Credits'!$A$3:$D$46,4,0),0)</f>
        <v>0</v>
      </c>
      <c r="AV800" s="4">
        <f>tbl_Data_old[[#This Row],[Adj. per unit Incentive ($)]]/tbl_Data_old[[#This Row],[kWh Savings]]*tbl_Data_old[[#This Row],[Sum of Annuals]]</f>
        <v>0</v>
      </c>
      <c r="AW800" s="4" t="str">
        <f>IFERROR(VLOOKUP(tbl_Data_old[[#This Row],[All_Programs]],'1. Set Program Names'!$B$2:$D$15,3,0)*tbl_Data_old[[#This Row],[Sum of Annuals]],"")</f>
        <v/>
      </c>
      <c r="AX800" s="4">
        <f>tbl_Data_old[[#This Row],[per unit IRA tax ($)]]/tbl_Data_old[[#This Row],[kWh Savings]]*tbl_Data_old[[#This Row],[Sum of Annuals]]</f>
        <v>0</v>
      </c>
      <c r="AY800" s="4">
        <f>tbl_Data_old[[#This Row],[Avoided Costs ($/unit)]]/tbl_Data_old[[#This Row],[kWh Savings]]*tbl_Data_old[[#This Row],[Sum of Annuals]]</f>
        <v>15.172148656025108</v>
      </c>
      <c r="AZ800" s="4">
        <f>tbl_Data_old[[#This Row],[Lost Revenue ($/unit)]]/tbl_Data_old[[#This Row],[kWh Savings]]*tbl_Data_old[[#This Row],[Sum of Annuals]]</f>
        <v>35.960279273435056</v>
      </c>
      <c r="BA800" s="4">
        <f>tbl_Data_old[[#This Row],[Incremental Cost ($/unit)]]/tbl_Data_old[[#This Row],[kWh Savings]]*tbl_Data_old[[#This Row],[Sum of Annuals]]</f>
        <v>13.783673241153569</v>
      </c>
      <c r="BB800">
        <f>ROUNDUP(tbl_Data_old[[#This Row],[Adjusted 2025]]/$L800,0)</f>
        <v>1</v>
      </c>
      <c r="BC800">
        <f>ROUNDUP(tbl_Data_old[[#This Row],[Adjusted 2026]]/$L800,0)</f>
        <v>1</v>
      </c>
      <c r="BD800">
        <f>ROUNDUP(tbl_Data_old[[#This Row],[Adjusted 2027]]/$L800,0)</f>
        <v>1</v>
      </c>
      <c r="BE800">
        <f>ROUNDUP(tbl_Data_old[[#This Row],[Adjusted 2028]]/$L800,0)</f>
        <v>1</v>
      </c>
      <c r="BF800">
        <f>ROUNDUP(tbl_Data_old[[#This Row],[Adjusted 2029]]/$L800,0)</f>
        <v>1</v>
      </c>
      <c r="BG800">
        <f>ROUNDUP(tbl_Data_old[[#This Row],[Adjusted 2030]]/$L800,0)</f>
        <v>1</v>
      </c>
      <c r="BH800">
        <f>ROUNDUP(tbl_Data_old[[#This Row],[Adjusted 2031]]/$L800,0)</f>
        <v>1</v>
      </c>
      <c r="BI800">
        <f>ROUNDUP(tbl_Data_old[[#This Row],[Adjusted 2032]]/$L800,0)</f>
        <v>1</v>
      </c>
      <c r="BJ800">
        <f>ROUNDUP(tbl_Data_old[[#This Row],[Adjusted 2033]]/$L800,0)</f>
        <v>1</v>
      </c>
      <c r="BK800">
        <f>ROUNDUP(tbl_Data_old[[#This Row],[Adjusted 2034]]/$L800,0)</f>
        <v>1</v>
      </c>
      <c r="BL800" s="3">
        <f t="shared" si="54"/>
        <v>0</v>
      </c>
      <c r="BM800" s="3">
        <f t="shared" si="54"/>
        <v>0</v>
      </c>
      <c r="BN800" s="3">
        <f t="shared" si="54"/>
        <v>0</v>
      </c>
      <c r="BO800" s="3">
        <f t="shared" si="54"/>
        <v>0</v>
      </c>
      <c r="BP800" s="3">
        <f t="shared" si="54"/>
        <v>0</v>
      </c>
      <c r="BQ800" s="3">
        <f t="shared" si="54"/>
        <v>0</v>
      </c>
      <c r="BR800" s="3">
        <f t="shared" si="54"/>
        <v>0</v>
      </c>
      <c r="BS800" s="3">
        <f t="shared" si="54"/>
        <v>0</v>
      </c>
      <c r="BT800" s="3">
        <f t="shared" si="54"/>
        <v>0</v>
      </c>
      <c r="BU800" s="3">
        <f t="shared" si="54"/>
        <v>0</v>
      </c>
      <c r="BV800" t="e">
        <f>VLOOKUP($H800,'1. Set Program Names'!$B$2:$D$15,3,0)*V800</f>
        <v>#N/A</v>
      </c>
      <c r="BW800" t="e">
        <f>VLOOKUP($H800,'1. Set Program Names'!$B$2:$D$15,3,0)*W800</f>
        <v>#N/A</v>
      </c>
      <c r="BX800" t="e">
        <f>VLOOKUP($H800,'1. Set Program Names'!$B$2:$D$15,3,0)*X800</f>
        <v>#N/A</v>
      </c>
      <c r="BY800" t="e">
        <f>VLOOKUP($H800,'1. Set Program Names'!$B$2:$D$15,3,0)*Y800</f>
        <v>#N/A</v>
      </c>
      <c r="BZ800" t="e">
        <f>VLOOKUP($H800,'1. Set Program Names'!$B$2:$D$15,3,0)*Z800</f>
        <v>#N/A</v>
      </c>
      <c r="CA800" t="e">
        <f>VLOOKUP($H800,'1. Set Program Names'!$B$2:$D$15,3,0)*AA800</f>
        <v>#N/A</v>
      </c>
      <c r="CB800" t="e">
        <f>VLOOKUP($H800,'1. Set Program Names'!$B$2:$D$15,3,0)*AB800</f>
        <v>#N/A</v>
      </c>
      <c r="CC800" t="e">
        <f>VLOOKUP($H800,'1. Set Program Names'!$B$2:$D$15,3,0)*AC800</f>
        <v>#N/A</v>
      </c>
      <c r="CD800" t="e">
        <f>VLOOKUP($H800,'1. Set Program Names'!$B$2:$D$15,3,0)*AD800</f>
        <v>#N/A</v>
      </c>
      <c r="CE800" t="e">
        <f>VLOOKUP($H800,'1. Set Program Names'!$B$2:$D$15,3,0)*AE800</f>
        <v>#N/A</v>
      </c>
    </row>
    <row r="801" spans="1:83" x14ac:dyDescent="0.25">
      <c r="A801" s="20" t="s">
        <v>114</v>
      </c>
      <c r="B801" s="20" t="s">
        <v>88</v>
      </c>
      <c r="C801" s="20" t="s">
        <v>176</v>
      </c>
      <c r="D801" s="20" t="s">
        <v>90</v>
      </c>
      <c r="E801" s="20" t="s">
        <v>91</v>
      </c>
      <c r="F801" s="20" t="s">
        <v>90</v>
      </c>
      <c r="G801" s="20" t="s">
        <v>92</v>
      </c>
      <c r="H801" s="20" t="s">
        <v>268</v>
      </c>
      <c r="I801" s="20" t="s">
        <v>184</v>
      </c>
      <c r="J801" s="20" t="s">
        <v>180</v>
      </c>
      <c r="K801" s="20" t="s">
        <v>98</v>
      </c>
      <c r="L801" s="20">
        <v>3514.8091666666501</v>
      </c>
      <c r="M801" s="20">
        <v>0.421134949485237</v>
      </c>
      <c r="N801" s="20">
        <v>0.40566942535109901</v>
      </c>
      <c r="O801" s="20">
        <v>1028.8599999999999</v>
      </c>
      <c r="P801" s="20">
        <v>322.03243304134497</v>
      </c>
      <c r="Q801" s="20">
        <v>3.5148091666666499</v>
      </c>
      <c r="R801" s="20">
        <v>1184.78167438478</v>
      </c>
      <c r="S801" s="20">
        <v>2827.1105797935802</v>
      </c>
      <c r="T801" s="20">
        <v>10</v>
      </c>
      <c r="U801" s="20">
        <v>1</v>
      </c>
      <c r="V801" s="20">
        <v>0.248684347310377</v>
      </c>
      <c r="W801" s="20">
        <v>0.34297130771599799</v>
      </c>
      <c r="X801" s="20">
        <v>0.45797324998070199</v>
      </c>
      <c r="Y801" s="20">
        <v>0.59606051847848496</v>
      </c>
      <c r="Z801" s="20">
        <v>0.74168950233027497</v>
      </c>
      <c r="AA801" s="20">
        <v>0.87721489745457304</v>
      </c>
      <c r="AB801" s="20">
        <v>0.97402973351224398</v>
      </c>
      <c r="AC801" s="20">
        <v>1.00102629904116</v>
      </c>
      <c r="AD801" s="20">
        <v>0.94554513384255201</v>
      </c>
      <c r="AE801" s="20">
        <v>0.81724772183904404</v>
      </c>
      <c r="AF801" t="str">
        <f t="shared" si="53"/>
        <v>NonResidential</v>
      </c>
      <c r="AG801" t="str">
        <f>tbl_Data_old[[#This Row],[All_Meas_Name_Append]]</f>
        <v>Low Pressure-drop Filters</v>
      </c>
      <c r="AH801">
        <f>AVERAGEIFS('3. Incentive Adjustment'!G:G,'3. Incentive Adjustment'!A:A,tbl_Data_old[[#This Row],[Trimmed Sector]],'3. Incentive Adjustment'!B:B,tbl_Data_old[[#This Row],[Trimmed Measure Name]])</f>
        <v>0.78525588861759776</v>
      </c>
      <c r="AI801">
        <f>$AH801*tbl_Data_old[[#This Row],[2025 ]]</f>
        <v>0.19528084813249741</v>
      </c>
      <c r="AJ801">
        <f>$AH801*tbl_Data_old[[#This Row],[2026 ]]</f>
        <v>0.26932023901086555</v>
      </c>
      <c r="AK801">
        <f>$AH801*tbl_Data_old[[#This Row],[2027 ]]</f>
        <v>0.35962619137668539</v>
      </c>
      <c r="AL801">
        <f>$AH801*tbl_Data_old[[#This Row],[2028 ]]</f>
        <v>0.46806003210768876</v>
      </c>
      <c r="AM801">
        <f>$AH801*tbl_Data_old[[#This Row],[2029 ]]</f>
        <v>0.58241604923070389</v>
      </c>
      <c r="AN801">
        <f>$AH801*tbl_Data_old[[#This Row],[2030 ]]</f>
        <v>0.68883816380928564</v>
      </c>
      <c r="AO801">
        <f>$AH801*tbl_Data_old[[#This Row],[2031 ]]</f>
        <v>0.7648625839291191</v>
      </c>
      <c r="AP801">
        <f>$AH801*tbl_Data_old[[#This Row],[2032 ]]</f>
        <v>0.78606179598315129</v>
      </c>
      <c r="AQ801">
        <f>$AH801*tbl_Data_old[[#This Row],[2033 ]]</f>
        <v>0.74249488430357857</v>
      </c>
      <c r="AR801">
        <f>$AH801*tbl_Data_old[[#This Row],[2034 ]]</f>
        <v>0.64174858603342588</v>
      </c>
      <c r="AS801">
        <f>SUM(tbl_Data_old[[#This Row],[Adjusted 2025]:[Adjusted 2034]])</f>
        <v>5.4987093739170021</v>
      </c>
      <c r="AT801" s="3">
        <f>AVERAGEIFS('3. Incentive Adjustment'!F:F,'3. Incentive Adjustment'!A:A,tbl_Data_old[[#This Row],[Trimmed Sector]],'3. Incentive Adjustment'!B:B,tbl_Data_old[[#This Row],[Trimmed Measure Name]])</f>
        <v>0</v>
      </c>
      <c r="AU801" s="3">
        <f>IFERROR(VLOOKUP(tbl_Data_old[[#This Row],[All_Meas_Name_Append]],'IRA Tax Credits'!$A$3:$D$46,4,0),0)</f>
        <v>0</v>
      </c>
      <c r="AV801" s="4">
        <f>tbl_Data_old[[#This Row],[Adj. per unit Incentive ($)]]/tbl_Data_old[[#This Row],[kWh Savings]]*tbl_Data_old[[#This Row],[Sum of Annuals]]</f>
        <v>0</v>
      </c>
      <c r="AW801" s="4" t="str">
        <f>IFERROR(VLOOKUP(tbl_Data_old[[#This Row],[All_Programs]],'1. Set Program Names'!$B$2:$D$15,3,0)*tbl_Data_old[[#This Row],[Sum of Annuals]],"")</f>
        <v/>
      </c>
      <c r="AX801" s="4">
        <f>tbl_Data_old[[#This Row],[per unit IRA tax ($)]]/tbl_Data_old[[#This Row],[kWh Savings]]*tbl_Data_old[[#This Row],[Sum of Annuals]]</f>
        <v>0</v>
      </c>
      <c r="AY801" s="4">
        <f>tbl_Data_old[[#This Row],[Avoided Costs ($/unit)]]/tbl_Data_old[[#This Row],[kWh Savings]]*tbl_Data_old[[#This Row],[Sum of Annuals]]</f>
        <v>1.8535202880340451</v>
      </c>
      <c r="AZ801" s="4">
        <f>tbl_Data_old[[#This Row],[Lost Revenue ($/unit)]]/tbl_Data_old[[#This Row],[kWh Savings]]*tbl_Data_old[[#This Row],[Sum of Annuals]]</f>
        <v>4.4228459381633467</v>
      </c>
      <c r="BA801" s="4">
        <f>tbl_Data_old[[#This Row],[Incremental Cost ($/unit)]]/tbl_Data_old[[#This Row],[kWh Savings]]*tbl_Data_old[[#This Row],[Sum of Annuals]]</f>
        <v>1.6095901251485507</v>
      </c>
      <c r="BB801">
        <f>ROUNDUP(tbl_Data_old[[#This Row],[Adjusted 2025]]/$L801,0)</f>
        <v>1</v>
      </c>
      <c r="BC801">
        <f>ROUNDUP(tbl_Data_old[[#This Row],[Adjusted 2026]]/$L801,0)</f>
        <v>1</v>
      </c>
      <c r="BD801">
        <f>ROUNDUP(tbl_Data_old[[#This Row],[Adjusted 2027]]/$L801,0)</f>
        <v>1</v>
      </c>
      <c r="BE801">
        <f>ROUNDUP(tbl_Data_old[[#This Row],[Adjusted 2028]]/$L801,0)</f>
        <v>1</v>
      </c>
      <c r="BF801">
        <f>ROUNDUP(tbl_Data_old[[#This Row],[Adjusted 2029]]/$L801,0)</f>
        <v>1</v>
      </c>
      <c r="BG801">
        <f>ROUNDUP(tbl_Data_old[[#This Row],[Adjusted 2030]]/$L801,0)</f>
        <v>1</v>
      </c>
      <c r="BH801">
        <f>ROUNDUP(tbl_Data_old[[#This Row],[Adjusted 2031]]/$L801,0)</f>
        <v>1</v>
      </c>
      <c r="BI801">
        <f>ROUNDUP(tbl_Data_old[[#This Row],[Adjusted 2032]]/$L801,0)</f>
        <v>1</v>
      </c>
      <c r="BJ801">
        <f>ROUNDUP(tbl_Data_old[[#This Row],[Adjusted 2033]]/$L801,0)</f>
        <v>1</v>
      </c>
      <c r="BK801">
        <f>ROUNDUP(tbl_Data_old[[#This Row],[Adjusted 2034]]/$L801,0)</f>
        <v>1</v>
      </c>
      <c r="BL801" s="3">
        <f t="shared" si="54"/>
        <v>0</v>
      </c>
      <c r="BM801" s="3">
        <f t="shared" si="54"/>
        <v>0</v>
      </c>
      <c r="BN801" s="3">
        <f t="shared" si="54"/>
        <v>0</v>
      </c>
      <c r="BO801" s="3">
        <f t="shared" si="54"/>
        <v>0</v>
      </c>
      <c r="BP801" s="3">
        <f t="shared" si="54"/>
        <v>0</v>
      </c>
      <c r="BQ801" s="3">
        <f t="shared" si="54"/>
        <v>0</v>
      </c>
      <c r="BR801" s="3">
        <f t="shared" si="54"/>
        <v>0</v>
      </c>
      <c r="BS801" s="3">
        <f t="shared" si="54"/>
        <v>0</v>
      </c>
      <c r="BT801" s="3">
        <f t="shared" si="54"/>
        <v>0</v>
      </c>
      <c r="BU801" s="3">
        <f t="shared" si="54"/>
        <v>0</v>
      </c>
      <c r="BV801" t="e">
        <f>VLOOKUP($H801,'1. Set Program Names'!$B$2:$D$15,3,0)*V801</f>
        <v>#N/A</v>
      </c>
      <c r="BW801" t="e">
        <f>VLOOKUP($H801,'1. Set Program Names'!$B$2:$D$15,3,0)*W801</f>
        <v>#N/A</v>
      </c>
      <c r="BX801" t="e">
        <f>VLOOKUP($H801,'1. Set Program Names'!$B$2:$D$15,3,0)*X801</f>
        <v>#N/A</v>
      </c>
      <c r="BY801" t="e">
        <f>VLOOKUP($H801,'1. Set Program Names'!$B$2:$D$15,3,0)*Y801</f>
        <v>#N/A</v>
      </c>
      <c r="BZ801" t="e">
        <f>VLOOKUP($H801,'1. Set Program Names'!$B$2:$D$15,3,0)*Z801</f>
        <v>#N/A</v>
      </c>
      <c r="CA801" t="e">
        <f>VLOOKUP($H801,'1. Set Program Names'!$B$2:$D$15,3,0)*AA801</f>
        <v>#N/A</v>
      </c>
      <c r="CB801" t="e">
        <f>VLOOKUP($H801,'1. Set Program Names'!$B$2:$D$15,3,0)*AB801</f>
        <v>#N/A</v>
      </c>
      <c r="CC801" t="e">
        <f>VLOOKUP($H801,'1. Set Program Names'!$B$2:$D$15,3,0)*AC801</f>
        <v>#N/A</v>
      </c>
      <c r="CD801" t="e">
        <f>VLOOKUP($H801,'1. Set Program Names'!$B$2:$D$15,3,0)*AD801</f>
        <v>#N/A</v>
      </c>
      <c r="CE801" t="e">
        <f>VLOOKUP($H801,'1. Set Program Names'!$B$2:$D$15,3,0)*AE801</f>
        <v>#N/A</v>
      </c>
    </row>
    <row r="802" spans="1:83" x14ac:dyDescent="0.25">
      <c r="A802" s="20" t="s">
        <v>114</v>
      </c>
      <c r="B802" s="20" t="s">
        <v>88</v>
      </c>
      <c r="C802" s="20" t="s">
        <v>176</v>
      </c>
      <c r="D802" s="20" t="s">
        <v>90</v>
      </c>
      <c r="E802" s="20" t="s">
        <v>91</v>
      </c>
      <c r="F802" s="20" t="s">
        <v>90</v>
      </c>
      <c r="G802" s="20" t="s">
        <v>92</v>
      </c>
      <c r="H802" s="20" t="s">
        <v>268</v>
      </c>
      <c r="I802" s="20" t="s">
        <v>271</v>
      </c>
      <c r="J802" s="20" t="s">
        <v>180</v>
      </c>
      <c r="K802" s="20" t="s">
        <v>272</v>
      </c>
      <c r="L802" s="20">
        <v>8742.5400000000009</v>
      </c>
      <c r="M802" s="20">
        <v>1.04876812955413</v>
      </c>
      <c r="N802" s="20">
        <v>1.0098733971376099</v>
      </c>
      <c r="O802" s="20">
        <v>3543.39</v>
      </c>
      <c r="P802" s="20">
        <v>1784.8102698461601</v>
      </c>
      <c r="Q802" s="20">
        <v>8.74254</v>
      </c>
      <c r="R802" s="20">
        <v>3737.3935784201899</v>
      </c>
      <c r="S802" s="20">
        <v>9285.1929731405908</v>
      </c>
      <c r="T802" s="20">
        <v>15</v>
      </c>
      <c r="U802" s="20">
        <v>1</v>
      </c>
      <c r="V802" s="20">
        <v>1.9428503969426001E-2</v>
      </c>
      <c r="W802" s="20">
        <v>2.5211757199193299E-2</v>
      </c>
      <c r="X802" s="20">
        <v>3.18958558254714E-2</v>
      </c>
      <c r="Y802" s="20">
        <v>3.98171791281507E-2</v>
      </c>
      <c r="Z802" s="20">
        <v>4.8158124593684203E-2</v>
      </c>
      <c r="AA802" s="20">
        <v>5.6681011416419798E-2</v>
      </c>
      <c r="AB802" s="20">
        <v>6.4615734227379998E-2</v>
      </c>
      <c r="AC802" s="20">
        <v>7.0801386273579806E-2</v>
      </c>
      <c r="AD802" s="20">
        <v>7.4539998591623802E-2</v>
      </c>
      <c r="AE802" s="20">
        <v>7.4929620327230106E-2</v>
      </c>
      <c r="AF802" t="str">
        <f t="shared" si="53"/>
        <v>NonResidential</v>
      </c>
      <c r="AG802" t="str">
        <f>tbl_Data_old[[#This Row],[All_Meas_Name_Append]]</f>
        <v>Milk Pre-Cooler</v>
      </c>
      <c r="AH802">
        <f>AVERAGEIFS('3. Incentive Adjustment'!G:G,'3. Incentive Adjustment'!A:A,tbl_Data_old[[#This Row],[Trimmed Sector]],'3. Incentive Adjustment'!B:B,tbl_Data_old[[#This Row],[Trimmed Measure Name]])</f>
        <v>0.58352930274688986</v>
      </c>
      <c r="AI802">
        <f>$AH802*tbl_Data_old[[#This Row],[2025 ]]</f>
        <v>1.1337101374694337E-2</v>
      </c>
      <c r="AJ802">
        <f>$AH802*tbl_Data_old[[#This Row],[2026 ]]</f>
        <v>1.4711799099469146E-2</v>
      </c>
      <c r="AK802">
        <f>$AH802*tbl_Data_old[[#This Row],[2027 ]]</f>
        <v>1.8612166510352652E-2</v>
      </c>
      <c r="AL802">
        <f>$AH802*tbl_Data_old[[#This Row],[2028 ]]</f>
        <v>2.3234490773997793E-2</v>
      </c>
      <c r="AM802">
        <f>$AH802*tbl_Data_old[[#This Row],[2029 ]]</f>
        <v>2.8101676865750391E-2</v>
      </c>
      <c r="AN802">
        <f>$AH802*tbl_Data_old[[#This Row],[2030 ]]</f>
        <v>3.3075031070811951E-2</v>
      </c>
      <c r="AO802">
        <f>$AH802*tbl_Data_old[[#This Row],[2031 ]]</f>
        <v>3.7705174340181398E-2</v>
      </c>
      <c r="AP802">
        <f>$AH802*tbl_Data_old[[#This Row],[2032 ]]</f>
        <v>4.1314683565735241E-2</v>
      </c>
      <c r="AQ802">
        <f>$AH802*tbl_Data_old[[#This Row],[2033 ]]</f>
        <v>4.3496273404924388E-2</v>
      </c>
      <c r="AR802">
        <f>$AH802*tbl_Data_old[[#This Row],[2034 ]]</f>
        <v>4.3723629104637771E-2</v>
      </c>
      <c r="AS802">
        <f>SUM(tbl_Data_old[[#This Row],[Adjusted 2025]:[Adjusted 2034]])</f>
        <v>0.29531202611055507</v>
      </c>
      <c r="AT802" s="3">
        <f>AVERAGEIFS('3. Incentive Adjustment'!F:F,'3. Incentive Adjustment'!A:A,tbl_Data_old[[#This Row],[Trimmed Sector]],'3. Incentive Adjustment'!B:B,tbl_Data_old[[#This Row],[Trimmed Measure Name]])</f>
        <v>0</v>
      </c>
      <c r="AU802" s="3">
        <f>IFERROR(VLOOKUP(tbl_Data_old[[#This Row],[All_Meas_Name_Append]],'IRA Tax Credits'!$A$3:$D$46,4,0),0)</f>
        <v>0</v>
      </c>
      <c r="AV802" s="4">
        <f>tbl_Data_old[[#This Row],[Adj. per unit Incentive ($)]]/tbl_Data_old[[#This Row],[kWh Savings]]*tbl_Data_old[[#This Row],[Sum of Annuals]]</f>
        <v>0</v>
      </c>
      <c r="AW802" s="4" t="str">
        <f>IFERROR(VLOOKUP(tbl_Data_old[[#This Row],[All_Programs]],'1. Set Program Names'!$B$2:$D$15,3,0)*tbl_Data_old[[#This Row],[Sum of Annuals]],"")</f>
        <v/>
      </c>
      <c r="AX802" s="4">
        <f>tbl_Data_old[[#This Row],[per unit IRA tax ($)]]/tbl_Data_old[[#This Row],[kWh Savings]]*tbl_Data_old[[#This Row],[Sum of Annuals]]</f>
        <v>0</v>
      </c>
      <c r="AY802" s="4">
        <f>tbl_Data_old[[#This Row],[Avoided Costs ($/unit)]]/tbl_Data_old[[#This Row],[kWh Savings]]*tbl_Data_old[[#This Row],[Sum of Annuals]]</f>
        <v>0.1262444632813626</v>
      </c>
      <c r="AZ802" s="4">
        <f>tbl_Data_old[[#This Row],[Lost Revenue ($/unit)]]/tbl_Data_old[[#This Row],[kWh Savings]]*tbl_Data_old[[#This Row],[Sum of Annuals]]</f>
        <v>0.31364216231502934</v>
      </c>
      <c r="BA802" s="4">
        <f>tbl_Data_old[[#This Row],[Incremental Cost ($/unit)]]/tbl_Data_old[[#This Row],[kWh Savings]]*tbl_Data_old[[#This Row],[Sum of Annuals]]</f>
        <v>0.11969126594786864</v>
      </c>
      <c r="BB802">
        <f>ROUNDUP(tbl_Data_old[[#This Row],[Adjusted 2025]]/$L802,0)</f>
        <v>1</v>
      </c>
      <c r="BC802">
        <f>ROUNDUP(tbl_Data_old[[#This Row],[Adjusted 2026]]/$L802,0)</f>
        <v>1</v>
      </c>
      <c r="BD802">
        <f>ROUNDUP(tbl_Data_old[[#This Row],[Adjusted 2027]]/$L802,0)</f>
        <v>1</v>
      </c>
      <c r="BE802">
        <f>ROUNDUP(tbl_Data_old[[#This Row],[Adjusted 2028]]/$L802,0)</f>
        <v>1</v>
      </c>
      <c r="BF802">
        <f>ROUNDUP(tbl_Data_old[[#This Row],[Adjusted 2029]]/$L802,0)</f>
        <v>1</v>
      </c>
      <c r="BG802">
        <f>ROUNDUP(tbl_Data_old[[#This Row],[Adjusted 2030]]/$L802,0)</f>
        <v>1</v>
      </c>
      <c r="BH802">
        <f>ROUNDUP(tbl_Data_old[[#This Row],[Adjusted 2031]]/$L802,0)</f>
        <v>1</v>
      </c>
      <c r="BI802">
        <f>ROUNDUP(tbl_Data_old[[#This Row],[Adjusted 2032]]/$L802,0)</f>
        <v>1</v>
      </c>
      <c r="BJ802">
        <f>ROUNDUP(tbl_Data_old[[#This Row],[Adjusted 2033]]/$L802,0)</f>
        <v>1</v>
      </c>
      <c r="BK802">
        <f>ROUNDUP(tbl_Data_old[[#This Row],[Adjusted 2034]]/$L802,0)</f>
        <v>1</v>
      </c>
      <c r="BL802" s="3">
        <f t="shared" si="54"/>
        <v>0</v>
      </c>
      <c r="BM802" s="3">
        <f t="shared" si="54"/>
        <v>0</v>
      </c>
      <c r="BN802" s="3">
        <f t="shared" si="54"/>
        <v>0</v>
      </c>
      <c r="BO802" s="3">
        <f t="shared" si="54"/>
        <v>0</v>
      </c>
      <c r="BP802" s="3">
        <f t="shared" si="54"/>
        <v>0</v>
      </c>
      <c r="BQ802" s="3">
        <f t="shared" si="54"/>
        <v>0</v>
      </c>
      <c r="BR802" s="3">
        <f t="shared" si="54"/>
        <v>0</v>
      </c>
      <c r="BS802" s="3">
        <f t="shared" si="54"/>
        <v>0</v>
      </c>
      <c r="BT802" s="3">
        <f t="shared" si="54"/>
        <v>0</v>
      </c>
      <c r="BU802" s="3">
        <f t="shared" si="54"/>
        <v>0</v>
      </c>
      <c r="BV802" t="e">
        <f>VLOOKUP($H802,'1. Set Program Names'!$B$2:$D$15,3,0)*V802</f>
        <v>#N/A</v>
      </c>
      <c r="BW802" t="e">
        <f>VLOOKUP($H802,'1. Set Program Names'!$B$2:$D$15,3,0)*W802</f>
        <v>#N/A</v>
      </c>
      <c r="BX802" t="e">
        <f>VLOOKUP($H802,'1. Set Program Names'!$B$2:$D$15,3,0)*X802</f>
        <v>#N/A</v>
      </c>
      <c r="BY802" t="e">
        <f>VLOOKUP($H802,'1. Set Program Names'!$B$2:$D$15,3,0)*Y802</f>
        <v>#N/A</v>
      </c>
      <c r="BZ802" t="e">
        <f>VLOOKUP($H802,'1. Set Program Names'!$B$2:$D$15,3,0)*Z802</f>
        <v>#N/A</v>
      </c>
      <c r="CA802" t="e">
        <f>VLOOKUP($H802,'1. Set Program Names'!$B$2:$D$15,3,0)*AA802</f>
        <v>#N/A</v>
      </c>
      <c r="CB802" t="e">
        <f>VLOOKUP($H802,'1. Set Program Names'!$B$2:$D$15,3,0)*AB802</f>
        <v>#N/A</v>
      </c>
      <c r="CC802" t="e">
        <f>VLOOKUP($H802,'1. Set Program Names'!$B$2:$D$15,3,0)*AC802</f>
        <v>#N/A</v>
      </c>
      <c r="CD802" t="e">
        <f>VLOOKUP($H802,'1. Set Program Names'!$B$2:$D$15,3,0)*AD802</f>
        <v>#N/A</v>
      </c>
      <c r="CE802" t="e">
        <f>VLOOKUP($H802,'1. Set Program Names'!$B$2:$D$15,3,0)*AE802</f>
        <v>#N/A</v>
      </c>
    </row>
    <row r="803" spans="1:83" x14ac:dyDescent="0.25">
      <c r="A803" s="20" t="s">
        <v>114</v>
      </c>
      <c r="B803" s="20" t="s">
        <v>88</v>
      </c>
      <c r="C803" s="20" t="s">
        <v>176</v>
      </c>
      <c r="D803" s="20" t="s">
        <v>90</v>
      </c>
      <c r="E803" s="20" t="s">
        <v>91</v>
      </c>
      <c r="F803" s="20" t="s">
        <v>90</v>
      </c>
      <c r="G803" s="20" t="s">
        <v>92</v>
      </c>
      <c r="H803" s="20" t="s">
        <v>268</v>
      </c>
      <c r="I803" s="20" t="s">
        <v>190</v>
      </c>
      <c r="J803" s="20" t="s">
        <v>191</v>
      </c>
      <c r="K803" s="20" t="s">
        <v>98</v>
      </c>
      <c r="L803" s="20">
        <v>1561.28</v>
      </c>
      <c r="M803" s="20">
        <v>0.18418077149832199</v>
      </c>
      <c r="N803" s="20">
        <v>0.17996138765713399</v>
      </c>
      <c r="O803" s="20">
        <v>490</v>
      </c>
      <c r="P803" s="20">
        <v>175.94534756551599</v>
      </c>
      <c r="Q803" s="20">
        <v>1.56128</v>
      </c>
      <c r="R803" s="20">
        <v>649.62503581485396</v>
      </c>
      <c r="S803" s="20">
        <v>1586.7572850213601</v>
      </c>
      <c r="T803" s="20">
        <v>14</v>
      </c>
      <c r="U803" s="20">
        <v>0.999999999999999</v>
      </c>
      <c r="V803" s="20">
        <v>1.7088084855508201</v>
      </c>
      <c r="W803" s="20">
        <v>1.94393558359897</v>
      </c>
      <c r="X803" s="20">
        <v>2.1488526013566802</v>
      </c>
      <c r="Y803" s="20">
        <v>2.3516475911353201</v>
      </c>
      <c r="Z803" s="20">
        <v>2.5275106789439601</v>
      </c>
      <c r="AA803" s="20">
        <v>2.6912349529129802</v>
      </c>
      <c r="AB803" s="20">
        <v>2.8452782956182499</v>
      </c>
      <c r="AC803" s="20">
        <v>2.9852793865633398</v>
      </c>
      <c r="AD803" s="20">
        <v>3.1224550271812399</v>
      </c>
      <c r="AE803" s="20">
        <v>3.2526139313623998</v>
      </c>
      <c r="AF803" t="str">
        <f t="shared" si="53"/>
        <v>NonResidential</v>
      </c>
      <c r="AG803" t="str">
        <f>tbl_Data_old[[#This Row],[All_Meas_Name_Append]]</f>
        <v>Synchronous Belt on 15hp ODP Motor</v>
      </c>
      <c r="AH803">
        <f>AVERAGEIFS('3. Incentive Adjustment'!G:G,'3. Incentive Adjustment'!A:A,tbl_Data_old[[#This Row],[Trimmed Sector]],'3. Incentive Adjustment'!B:B,tbl_Data_old[[#This Row],[Trimmed Measure Name]])</f>
        <v>0.74278916032473408</v>
      </c>
      <c r="AI803">
        <f>$AH803*tbl_Data_old[[#This Row],[2025 ]]</f>
        <v>1.2692844201380742</v>
      </c>
      <c r="AJ803">
        <f>$AH803*tbl_Data_old[[#This Row],[2026 ]]</f>
        <v>1.4439342798668509</v>
      </c>
      <c r="AK803">
        <f>$AH803*tbl_Data_old[[#This Row],[2027 ]]</f>
        <v>1.5961444194233489</v>
      </c>
      <c r="AL803">
        <f>$AH803*tbl_Data_old[[#This Row],[2028 ]]</f>
        <v>1.7467783395990879</v>
      </c>
      <c r="AM803">
        <f>$AH803*tbl_Data_old[[#This Row],[2029 ]]</f>
        <v>1.8774075349245827</v>
      </c>
      <c r="AN803">
        <f>$AH803*tbl_Data_old[[#This Row],[2030 ]]</f>
        <v>1.9990201509108079</v>
      </c>
      <c r="AO803">
        <f>$AH803*tbl_Data_old[[#This Row],[2031 ]]</f>
        <v>2.1134418760924705</v>
      </c>
      <c r="AP803">
        <f>$AH803*tbl_Data_old[[#This Row],[2032 ]]</f>
        <v>2.2174331688801203</v>
      </c>
      <c r="AQ803">
        <f>$AH803*tbl_Data_old[[#This Row],[2033 ]]</f>
        <v>2.319325747791698</v>
      </c>
      <c r="AR803">
        <f>$AH803*tbl_Data_old[[#This Row],[2034 ]]</f>
        <v>2.4160063709372093</v>
      </c>
      <c r="AS803">
        <f>SUM(tbl_Data_old[[#This Row],[Adjusted 2025]:[Adjusted 2034]])</f>
        <v>18.998776308564253</v>
      </c>
      <c r="AT803" s="3">
        <f>AVERAGEIFS('3. Incentive Adjustment'!F:F,'3. Incentive Adjustment'!A:A,tbl_Data_old[[#This Row],[Trimmed Sector]],'3. Incentive Adjustment'!B:B,tbl_Data_old[[#This Row],[Trimmed Measure Name]])</f>
        <v>0</v>
      </c>
      <c r="AU803" s="3">
        <f>IFERROR(VLOOKUP(tbl_Data_old[[#This Row],[All_Meas_Name_Append]],'IRA Tax Credits'!$A$3:$D$46,4,0),0)</f>
        <v>0</v>
      </c>
      <c r="AV803" s="4">
        <f>tbl_Data_old[[#This Row],[Adj. per unit Incentive ($)]]/tbl_Data_old[[#This Row],[kWh Savings]]*tbl_Data_old[[#This Row],[Sum of Annuals]]</f>
        <v>0</v>
      </c>
      <c r="AW803" s="4" t="str">
        <f>IFERROR(VLOOKUP(tbl_Data_old[[#This Row],[All_Programs]],'1. Set Program Names'!$B$2:$D$15,3,0)*tbl_Data_old[[#This Row],[Sum of Annuals]],"")</f>
        <v/>
      </c>
      <c r="AX803" s="4">
        <f>tbl_Data_old[[#This Row],[per unit IRA tax ($)]]/tbl_Data_old[[#This Row],[kWh Savings]]*tbl_Data_old[[#This Row],[Sum of Annuals]]</f>
        <v>0</v>
      </c>
      <c r="AY803" s="4">
        <f>tbl_Data_old[[#This Row],[Avoided Costs ($/unit)]]/tbl_Data_old[[#This Row],[kWh Savings]]*tbl_Data_old[[#This Row],[Sum of Annuals]]</f>
        <v>7.9051039787158306</v>
      </c>
      <c r="AZ803" s="4">
        <f>tbl_Data_old[[#This Row],[Lost Revenue ($/unit)]]/tbl_Data_old[[#This Row],[kWh Savings]]*tbl_Data_old[[#This Row],[Sum of Annuals]]</f>
        <v>19.308802209792958</v>
      </c>
      <c r="BA803" s="4">
        <f>tbl_Data_old[[#This Row],[Incremental Cost ($/unit)]]/tbl_Data_old[[#This Row],[kWh Savings]]*tbl_Data_old[[#This Row],[Sum of Annuals]]</f>
        <v>5.962671904588853</v>
      </c>
      <c r="BB803">
        <f>ROUNDUP(tbl_Data_old[[#This Row],[Adjusted 2025]]/$L803,0)</f>
        <v>1</v>
      </c>
      <c r="BC803">
        <f>ROUNDUP(tbl_Data_old[[#This Row],[Adjusted 2026]]/$L803,0)</f>
        <v>1</v>
      </c>
      <c r="BD803">
        <f>ROUNDUP(tbl_Data_old[[#This Row],[Adjusted 2027]]/$L803,0)</f>
        <v>1</v>
      </c>
      <c r="BE803">
        <f>ROUNDUP(tbl_Data_old[[#This Row],[Adjusted 2028]]/$L803,0)</f>
        <v>1</v>
      </c>
      <c r="BF803">
        <f>ROUNDUP(tbl_Data_old[[#This Row],[Adjusted 2029]]/$L803,0)</f>
        <v>1</v>
      </c>
      <c r="BG803">
        <f>ROUNDUP(tbl_Data_old[[#This Row],[Adjusted 2030]]/$L803,0)</f>
        <v>1</v>
      </c>
      <c r="BH803">
        <f>ROUNDUP(tbl_Data_old[[#This Row],[Adjusted 2031]]/$L803,0)</f>
        <v>1</v>
      </c>
      <c r="BI803">
        <f>ROUNDUP(tbl_Data_old[[#This Row],[Adjusted 2032]]/$L803,0)</f>
        <v>1</v>
      </c>
      <c r="BJ803">
        <f>ROUNDUP(tbl_Data_old[[#This Row],[Adjusted 2033]]/$L803,0)</f>
        <v>1</v>
      </c>
      <c r="BK803">
        <f>ROUNDUP(tbl_Data_old[[#This Row],[Adjusted 2034]]/$L803,0)</f>
        <v>1</v>
      </c>
      <c r="BL803" s="3">
        <f t="shared" si="54"/>
        <v>0</v>
      </c>
      <c r="BM803" s="3">
        <f t="shared" si="54"/>
        <v>0</v>
      </c>
      <c r="BN803" s="3">
        <f t="shared" si="54"/>
        <v>0</v>
      </c>
      <c r="BO803" s="3">
        <f t="shared" si="54"/>
        <v>0</v>
      </c>
      <c r="BP803" s="3">
        <f t="shared" si="54"/>
        <v>0</v>
      </c>
      <c r="BQ803" s="3">
        <f t="shared" si="54"/>
        <v>0</v>
      </c>
      <c r="BR803" s="3">
        <f t="shared" si="54"/>
        <v>0</v>
      </c>
      <c r="BS803" s="3">
        <f t="shared" si="54"/>
        <v>0</v>
      </c>
      <c r="BT803" s="3">
        <f t="shared" si="54"/>
        <v>0</v>
      </c>
      <c r="BU803" s="3">
        <f t="shared" si="54"/>
        <v>0</v>
      </c>
      <c r="BV803" t="e">
        <f>VLOOKUP($H803,'1. Set Program Names'!$B$2:$D$15,3,0)*V803</f>
        <v>#N/A</v>
      </c>
      <c r="BW803" t="e">
        <f>VLOOKUP($H803,'1. Set Program Names'!$B$2:$D$15,3,0)*W803</f>
        <v>#N/A</v>
      </c>
      <c r="BX803" t="e">
        <f>VLOOKUP($H803,'1. Set Program Names'!$B$2:$D$15,3,0)*X803</f>
        <v>#N/A</v>
      </c>
      <c r="BY803" t="e">
        <f>VLOOKUP($H803,'1. Set Program Names'!$B$2:$D$15,3,0)*Y803</f>
        <v>#N/A</v>
      </c>
      <c r="BZ803" t="e">
        <f>VLOOKUP($H803,'1. Set Program Names'!$B$2:$D$15,3,0)*Z803</f>
        <v>#N/A</v>
      </c>
      <c r="CA803" t="e">
        <f>VLOOKUP($H803,'1. Set Program Names'!$B$2:$D$15,3,0)*AA803</f>
        <v>#N/A</v>
      </c>
      <c r="CB803" t="e">
        <f>VLOOKUP($H803,'1. Set Program Names'!$B$2:$D$15,3,0)*AB803</f>
        <v>#N/A</v>
      </c>
      <c r="CC803" t="e">
        <f>VLOOKUP($H803,'1. Set Program Names'!$B$2:$D$15,3,0)*AC803</f>
        <v>#N/A</v>
      </c>
      <c r="CD803" t="e">
        <f>VLOOKUP($H803,'1. Set Program Names'!$B$2:$D$15,3,0)*AD803</f>
        <v>#N/A</v>
      </c>
      <c r="CE803" t="e">
        <f>VLOOKUP($H803,'1. Set Program Names'!$B$2:$D$15,3,0)*AE803</f>
        <v>#N/A</v>
      </c>
    </row>
    <row r="804" spans="1:83" x14ac:dyDescent="0.25">
      <c r="A804" s="20" t="s">
        <v>114</v>
      </c>
      <c r="B804" s="20" t="s">
        <v>88</v>
      </c>
      <c r="C804" s="20" t="s">
        <v>176</v>
      </c>
      <c r="D804" s="20" t="s">
        <v>90</v>
      </c>
      <c r="E804" s="20" t="s">
        <v>91</v>
      </c>
      <c r="F804" s="20" t="s">
        <v>90</v>
      </c>
      <c r="G804" s="20" t="s">
        <v>92</v>
      </c>
      <c r="H804" s="20" t="s">
        <v>268</v>
      </c>
      <c r="I804" s="20" t="s">
        <v>192</v>
      </c>
      <c r="J804" s="20" t="s">
        <v>191</v>
      </c>
      <c r="K804" s="20" t="s">
        <v>98</v>
      </c>
      <c r="L804" s="20">
        <v>437.76000000000101</v>
      </c>
      <c r="M804" s="20">
        <v>5.1641585449826798E-2</v>
      </c>
      <c r="N804" s="20">
        <v>5.0458532140799497E-2</v>
      </c>
      <c r="O804" s="20">
        <v>163</v>
      </c>
      <c r="P804" s="20">
        <v>74.943684252843894</v>
      </c>
      <c r="Q804" s="20">
        <v>0.43776000000000098</v>
      </c>
      <c r="R804" s="20">
        <v>182.14532670521001</v>
      </c>
      <c r="S804" s="20">
        <v>444.90345683730902</v>
      </c>
      <c r="T804" s="20">
        <v>14</v>
      </c>
      <c r="U804" s="20">
        <v>0.999999999999999</v>
      </c>
      <c r="V804" s="20">
        <v>1.7040495366723001</v>
      </c>
      <c r="W804" s="20">
        <v>1.93789832007414</v>
      </c>
      <c r="X804" s="20">
        <v>2.14155987571763</v>
      </c>
      <c r="Y804" s="20">
        <v>2.34306037865578</v>
      </c>
      <c r="Z804" s="20">
        <v>2.5177000308080899</v>
      </c>
      <c r="AA804" s="20">
        <v>2.6802383662395601</v>
      </c>
      <c r="AB804" s="20">
        <v>2.8331360637362599</v>
      </c>
      <c r="AC804" s="20">
        <v>2.97206030711722</v>
      </c>
      <c r="AD804" s="20">
        <v>3.1081857081961202</v>
      </c>
      <c r="AE804" s="20">
        <v>3.2373431444966401</v>
      </c>
      <c r="AF804" t="str">
        <f t="shared" si="53"/>
        <v>NonResidential</v>
      </c>
      <c r="AG804" t="str">
        <f>tbl_Data_old[[#This Row],[All_Meas_Name_Append]]</f>
        <v>Synchronous Belt on 5hp ODP Motor</v>
      </c>
      <c r="AH804">
        <f>AVERAGEIFS('3. Incentive Adjustment'!G:G,'3. Incentive Adjustment'!A:A,tbl_Data_old[[#This Row],[Trimmed Sector]],'3. Incentive Adjustment'!B:B,tbl_Data_old[[#This Row],[Trimmed Measure Name]])</f>
        <v>0.63653870706597271</v>
      </c>
      <c r="AI804">
        <f>$AH804*tbl_Data_old[[#This Row],[2025 ]]</f>
        <v>1.0846934888497557</v>
      </c>
      <c r="AJ804">
        <f>$AH804*tbl_Data_old[[#This Row],[2026 ]]</f>
        <v>1.2335472910853136</v>
      </c>
      <c r="AK804">
        <f>$AH804*tbl_Data_old[[#This Row],[2027 ]]</f>
        <v>1.3631857543936654</v>
      </c>
      <c r="AL804">
        <f>$AH804*tbl_Data_old[[#This Row],[2028 ]]</f>
        <v>1.4914486240070586</v>
      </c>
      <c r="AM804">
        <f>$AH804*tbl_Data_old[[#This Row],[2029 ]]</f>
        <v>1.6026135223905411</v>
      </c>
      <c r="AN804">
        <f>$AH804*tbl_Data_old[[#This Row],[2030 ]]</f>
        <v>1.7060754642747447</v>
      </c>
      <c r="AO804">
        <f>$AH804*tbl_Data_old[[#This Row],[2031 ]]</f>
        <v>1.8034007669526582</v>
      </c>
      <c r="AP804">
        <f>$AH804*tbl_Data_old[[#This Row],[2032 ]]</f>
        <v>1.891831425214493</v>
      </c>
      <c r="AQ804">
        <f>$AH804*tbl_Data_old[[#This Row],[2033 ]]</f>
        <v>1.9784805120160931</v>
      </c>
      <c r="AR804">
        <f>$AH804*tbl_Data_old[[#This Row],[2034 ]]</f>
        <v>2.0606942195267819</v>
      </c>
      <c r="AS804">
        <f>SUM(tbl_Data_old[[#This Row],[Adjusted 2025]:[Adjusted 2034]])</f>
        <v>16.215971068711106</v>
      </c>
      <c r="AT804" s="3">
        <f>AVERAGEIFS('3. Incentive Adjustment'!F:F,'3. Incentive Adjustment'!A:A,tbl_Data_old[[#This Row],[Trimmed Sector]],'3. Incentive Adjustment'!B:B,tbl_Data_old[[#This Row],[Trimmed Measure Name]])</f>
        <v>0</v>
      </c>
      <c r="AU804" s="3">
        <f>IFERROR(VLOOKUP(tbl_Data_old[[#This Row],[All_Meas_Name_Append]],'IRA Tax Credits'!$A$3:$D$46,4,0),0)</f>
        <v>0</v>
      </c>
      <c r="AV804" s="4">
        <f>tbl_Data_old[[#This Row],[Adj. per unit Incentive ($)]]/tbl_Data_old[[#This Row],[kWh Savings]]*tbl_Data_old[[#This Row],[Sum of Annuals]]</f>
        <v>0</v>
      </c>
      <c r="AW804" s="4" t="str">
        <f>IFERROR(VLOOKUP(tbl_Data_old[[#This Row],[All_Programs]],'1. Set Program Names'!$B$2:$D$15,3,0)*tbl_Data_old[[#This Row],[Sum of Annuals]],"")</f>
        <v/>
      </c>
      <c r="AX804" s="4">
        <f>tbl_Data_old[[#This Row],[per unit IRA tax ($)]]/tbl_Data_old[[#This Row],[kWh Savings]]*tbl_Data_old[[#This Row],[Sum of Annuals]]</f>
        <v>0</v>
      </c>
      <c r="AY804" s="4">
        <f>tbl_Data_old[[#This Row],[Avoided Costs ($/unit)]]/tbl_Data_old[[#This Row],[kWh Savings]]*tbl_Data_old[[#This Row],[Sum of Annuals]]</f>
        <v>6.7472207331702547</v>
      </c>
      <c r="AZ804" s="4">
        <f>tbl_Data_old[[#This Row],[Lost Revenue ($/unit)]]/tbl_Data_old[[#This Row],[kWh Savings]]*tbl_Data_old[[#This Row],[Sum of Annuals]]</f>
        <v>16.480586587270071</v>
      </c>
      <c r="BA804" s="4">
        <f>tbl_Data_old[[#This Row],[Incremental Cost ($/unit)]]/tbl_Data_old[[#This Row],[kWh Savings]]*tbl_Data_old[[#This Row],[Sum of Annuals]]</f>
        <v>6.0380191981905709</v>
      </c>
      <c r="BB804">
        <f>ROUNDUP(tbl_Data_old[[#This Row],[Adjusted 2025]]/$L804,0)</f>
        <v>1</v>
      </c>
      <c r="BC804">
        <f>ROUNDUP(tbl_Data_old[[#This Row],[Adjusted 2026]]/$L804,0)</f>
        <v>1</v>
      </c>
      <c r="BD804">
        <f>ROUNDUP(tbl_Data_old[[#This Row],[Adjusted 2027]]/$L804,0)</f>
        <v>1</v>
      </c>
      <c r="BE804">
        <f>ROUNDUP(tbl_Data_old[[#This Row],[Adjusted 2028]]/$L804,0)</f>
        <v>1</v>
      </c>
      <c r="BF804">
        <f>ROUNDUP(tbl_Data_old[[#This Row],[Adjusted 2029]]/$L804,0)</f>
        <v>1</v>
      </c>
      <c r="BG804">
        <f>ROUNDUP(tbl_Data_old[[#This Row],[Adjusted 2030]]/$L804,0)</f>
        <v>1</v>
      </c>
      <c r="BH804">
        <f>ROUNDUP(tbl_Data_old[[#This Row],[Adjusted 2031]]/$L804,0)</f>
        <v>1</v>
      </c>
      <c r="BI804">
        <f>ROUNDUP(tbl_Data_old[[#This Row],[Adjusted 2032]]/$L804,0)</f>
        <v>1</v>
      </c>
      <c r="BJ804">
        <f>ROUNDUP(tbl_Data_old[[#This Row],[Adjusted 2033]]/$L804,0)</f>
        <v>1</v>
      </c>
      <c r="BK804">
        <f>ROUNDUP(tbl_Data_old[[#This Row],[Adjusted 2034]]/$L804,0)</f>
        <v>1</v>
      </c>
      <c r="BL804" s="3">
        <f t="shared" si="54"/>
        <v>0</v>
      </c>
      <c r="BM804" s="3">
        <f t="shared" si="54"/>
        <v>0</v>
      </c>
      <c r="BN804" s="3">
        <f t="shared" si="54"/>
        <v>0</v>
      </c>
      <c r="BO804" s="3">
        <f t="shared" si="54"/>
        <v>0</v>
      </c>
      <c r="BP804" s="3">
        <f t="shared" si="54"/>
        <v>0</v>
      </c>
      <c r="BQ804" s="3">
        <f t="shared" si="54"/>
        <v>0</v>
      </c>
      <c r="BR804" s="3">
        <f t="shared" si="54"/>
        <v>0</v>
      </c>
      <c r="BS804" s="3">
        <f t="shared" si="54"/>
        <v>0</v>
      </c>
      <c r="BT804" s="3">
        <f t="shared" si="54"/>
        <v>0</v>
      </c>
      <c r="BU804" s="3">
        <f t="shared" si="54"/>
        <v>0</v>
      </c>
      <c r="BV804" t="e">
        <f>VLOOKUP($H804,'1. Set Program Names'!$B$2:$D$15,3,0)*V804</f>
        <v>#N/A</v>
      </c>
      <c r="BW804" t="e">
        <f>VLOOKUP($H804,'1. Set Program Names'!$B$2:$D$15,3,0)*W804</f>
        <v>#N/A</v>
      </c>
      <c r="BX804" t="e">
        <f>VLOOKUP($H804,'1. Set Program Names'!$B$2:$D$15,3,0)*X804</f>
        <v>#N/A</v>
      </c>
      <c r="BY804" t="e">
        <f>VLOOKUP($H804,'1. Set Program Names'!$B$2:$D$15,3,0)*Y804</f>
        <v>#N/A</v>
      </c>
      <c r="BZ804" t="e">
        <f>VLOOKUP($H804,'1. Set Program Names'!$B$2:$D$15,3,0)*Z804</f>
        <v>#N/A</v>
      </c>
      <c r="CA804" t="e">
        <f>VLOOKUP($H804,'1. Set Program Names'!$B$2:$D$15,3,0)*AA804</f>
        <v>#N/A</v>
      </c>
      <c r="CB804" t="e">
        <f>VLOOKUP($H804,'1. Set Program Names'!$B$2:$D$15,3,0)*AB804</f>
        <v>#N/A</v>
      </c>
      <c r="CC804" t="e">
        <f>VLOOKUP($H804,'1. Set Program Names'!$B$2:$D$15,3,0)*AC804</f>
        <v>#N/A</v>
      </c>
      <c r="CD804" t="e">
        <f>VLOOKUP($H804,'1. Set Program Names'!$B$2:$D$15,3,0)*AD804</f>
        <v>#N/A</v>
      </c>
      <c r="CE804" t="e">
        <f>VLOOKUP($H804,'1. Set Program Names'!$B$2:$D$15,3,0)*AE804</f>
        <v>#N/A</v>
      </c>
    </row>
    <row r="805" spans="1:83" x14ac:dyDescent="0.25">
      <c r="A805" s="20" t="s">
        <v>114</v>
      </c>
      <c r="B805" s="20" t="s">
        <v>88</v>
      </c>
      <c r="C805" s="20" t="s">
        <v>176</v>
      </c>
      <c r="D805" s="20" t="s">
        <v>90</v>
      </c>
      <c r="E805" s="20" t="s">
        <v>91</v>
      </c>
      <c r="F805" s="20" t="s">
        <v>90</v>
      </c>
      <c r="G805" s="20" t="s">
        <v>92</v>
      </c>
      <c r="H805" s="20" t="s">
        <v>268</v>
      </c>
      <c r="I805" s="20" t="s">
        <v>193</v>
      </c>
      <c r="J805" s="20" t="s">
        <v>191</v>
      </c>
      <c r="K805" s="20" t="s">
        <v>98</v>
      </c>
      <c r="L805" s="20">
        <v>12009.57</v>
      </c>
      <c r="M805" s="20">
        <v>1.41674258810918</v>
      </c>
      <c r="N805" s="20">
        <v>1.38428653564094</v>
      </c>
      <c r="O805" s="20">
        <v>2450</v>
      </c>
      <c r="P805" s="20">
        <v>34.250530181900103</v>
      </c>
      <c r="Q805" s="20">
        <v>12.00957</v>
      </c>
      <c r="R805" s="20">
        <v>4997.0007566682498</v>
      </c>
      <c r="S805" s="20">
        <v>12205.544609214199</v>
      </c>
      <c r="T805" s="20">
        <v>14</v>
      </c>
      <c r="U805" s="20">
        <v>0.999999999999999</v>
      </c>
      <c r="V805" s="20">
        <v>1.7149733387239501</v>
      </c>
      <c r="W805" s="20">
        <v>1.95209570617988</v>
      </c>
      <c r="X805" s="20">
        <v>2.1591185003265698</v>
      </c>
      <c r="Y805" s="20">
        <v>2.3643922202098899</v>
      </c>
      <c r="Z805" s="20">
        <v>2.5424525085219898</v>
      </c>
      <c r="AA805" s="20">
        <v>2.7084159379954098</v>
      </c>
      <c r="AB805" s="20">
        <v>2.8646528837557002</v>
      </c>
      <c r="AC805" s="20">
        <v>3.00643654635758</v>
      </c>
      <c r="AD805" s="20">
        <v>3.1454364413343399</v>
      </c>
      <c r="AE805" s="20">
        <v>3.2772330417502999</v>
      </c>
      <c r="AF805" t="str">
        <f t="shared" si="53"/>
        <v>NonResidential</v>
      </c>
      <c r="AG805" t="str">
        <f>tbl_Data_old[[#This Row],[All_Meas_Name_Append]]</f>
        <v>Synchronous Belt on 75hp ODP Motor</v>
      </c>
      <c r="AH805">
        <f>AVERAGEIFS('3. Incentive Adjustment'!G:G,'3. Incentive Adjustment'!A:A,tbl_Data_old[[#This Row],[Trimmed Sector]],'3. Incentive Adjustment'!B:B,tbl_Data_old[[#This Row],[Trimmed Measure Name]])</f>
        <v>0.99250334293493969</v>
      </c>
      <c r="AI805">
        <f>$AH805*tbl_Data_old[[#This Row],[2025 ]]</f>
        <v>1.7021167717278152</v>
      </c>
      <c r="AJ805">
        <f>$AH805*tbl_Data_old[[#This Row],[2026 ]]</f>
        <v>1.9374615141124727</v>
      </c>
      <c r="AK805">
        <f>$AH805*tbl_Data_old[[#This Row],[2027 ]]</f>
        <v>2.1429323293667943</v>
      </c>
      <c r="AL805">
        <f>$AH805*tbl_Data_old[[#This Row],[2028 ]]</f>
        <v>2.3466671825676797</v>
      </c>
      <c r="AM805">
        <f>$AH805*tbl_Data_old[[#This Row],[2029 ]]</f>
        <v>2.523392613961398</v>
      </c>
      <c r="AN805">
        <f>$AH805*tbl_Data_old[[#This Row],[2030 ]]</f>
        <v>2.6881118725187148</v>
      </c>
      <c r="AO805">
        <f>$AH805*tbl_Data_old[[#This Row],[2031 ]]</f>
        <v>2.8431775634757477</v>
      </c>
      <c r="AP805">
        <f>$AH805*tbl_Data_old[[#This Row],[2032 ]]</f>
        <v>2.9838983225816729</v>
      </c>
      <c r="AQ805">
        <f>$AH805*tbl_Data_old[[#This Row],[2033 ]]</f>
        <v>3.1218561830137128</v>
      </c>
      <c r="AR805">
        <f>$AH805*tbl_Data_old[[#This Row],[2034 ]]</f>
        <v>3.2526647495140133</v>
      </c>
      <c r="AS805">
        <f>SUM(tbl_Data_old[[#This Row],[Adjusted 2025]:[Adjusted 2034]])</f>
        <v>25.542279102840023</v>
      </c>
      <c r="AT805" s="3">
        <f>AVERAGEIFS('3. Incentive Adjustment'!F:F,'3. Incentive Adjustment'!A:A,tbl_Data_old[[#This Row],[Trimmed Sector]],'3. Incentive Adjustment'!B:B,tbl_Data_old[[#This Row],[Trimmed Measure Name]])</f>
        <v>0</v>
      </c>
      <c r="AU805" s="3">
        <f>IFERROR(VLOOKUP(tbl_Data_old[[#This Row],[All_Meas_Name_Append]],'IRA Tax Credits'!$A$3:$D$46,4,0),0)</f>
        <v>0</v>
      </c>
      <c r="AV805" s="4">
        <f>tbl_Data_old[[#This Row],[Adj. per unit Incentive ($)]]/tbl_Data_old[[#This Row],[kWh Savings]]*tbl_Data_old[[#This Row],[Sum of Annuals]]</f>
        <v>0</v>
      </c>
      <c r="AW805" s="4" t="str">
        <f>IFERROR(VLOOKUP(tbl_Data_old[[#This Row],[All_Programs]],'1. Set Program Names'!$B$2:$D$15,3,0)*tbl_Data_old[[#This Row],[Sum of Annuals]],"")</f>
        <v/>
      </c>
      <c r="AX805" s="4">
        <f>tbl_Data_old[[#This Row],[per unit IRA tax ($)]]/tbl_Data_old[[#This Row],[kWh Savings]]*tbl_Data_old[[#This Row],[Sum of Annuals]]</f>
        <v>0</v>
      </c>
      <c r="AY805" s="4">
        <f>tbl_Data_old[[#This Row],[Avoided Costs ($/unit)]]/tbl_Data_old[[#This Row],[kWh Savings]]*tbl_Data_old[[#This Row],[Sum of Annuals]]</f>
        <v>10.627756697693858</v>
      </c>
      <c r="AZ805" s="4">
        <f>tbl_Data_old[[#This Row],[Lost Revenue ($/unit)]]/tbl_Data_old[[#This Row],[kWh Savings]]*tbl_Data_old[[#This Row],[Sum of Annuals]]</f>
        <v>25.959083215361879</v>
      </c>
      <c r="BA805" s="4">
        <f>tbl_Data_old[[#This Row],[Incremental Cost ($/unit)]]/tbl_Data_old[[#This Row],[kWh Savings]]*tbl_Data_old[[#This Row],[Sum of Annuals]]</f>
        <v>5.2107264291692426</v>
      </c>
      <c r="BB805">
        <f>ROUNDUP(tbl_Data_old[[#This Row],[Adjusted 2025]]/$L805,0)</f>
        <v>1</v>
      </c>
      <c r="BC805">
        <f>ROUNDUP(tbl_Data_old[[#This Row],[Adjusted 2026]]/$L805,0)</f>
        <v>1</v>
      </c>
      <c r="BD805">
        <f>ROUNDUP(tbl_Data_old[[#This Row],[Adjusted 2027]]/$L805,0)</f>
        <v>1</v>
      </c>
      <c r="BE805">
        <f>ROUNDUP(tbl_Data_old[[#This Row],[Adjusted 2028]]/$L805,0)</f>
        <v>1</v>
      </c>
      <c r="BF805">
        <f>ROUNDUP(tbl_Data_old[[#This Row],[Adjusted 2029]]/$L805,0)</f>
        <v>1</v>
      </c>
      <c r="BG805">
        <f>ROUNDUP(tbl_Data_old[[#This Row],[Adjusted 2030]]/$L805,0)</f>
        <v>1</v>
      </c>
      <c r="BH805">
        <f>ROUNDUP(tbl_Data_old[[#This Row],[Adjusted 2031]]/$L805,0)</f>
        <v>1</v>
      </c>
      <c r="BI805">
        <f>ROUNDUP(tbl_Data_old[[#This Row],[Adjusted 2032]]/$L805,0)</f>
        <v>1</v>
      </c>
      <c r="BJ805">
        <f>ROUNDUP(tbl_Data_old[[#This Row],[Adjusted 2033]]/$L805,0)</f>
        <v>1</v>
      </c>
      <c r="BK805">
        <f>ROUNDUP(tbl_Data_old[[#This Row],[Adjusted 2034]]/$L805,0)</f>
        <v>1</v>
      </c>
      <c r="BL805" s="3">
        <f t="shared" si="54"/>
        <v>0</v>
      </c>
      <c r="BM805" s="3">
        <f t="shared" si="54"/>
        <v>0</v>
      </c>
      <c r="BN805" s="3">
        <f t="shared" si="54"/>
        <v>0</v>
      </c>
      <c r="BO805" s="3">
        <f t="shared" si="54"/>
        <v>0</v>
      </c>
      <c r="BP805" s="3">
        <f t="shared" si="54"/>
        <v>0</v>
      </c>
      <c r="BQ805" s="3">
        <f t="shared" si="54"/>
        <v>0</v>
      </c>
      <c r="BR805" s="3">
        <f t="shared" si="54"/>
        <v>0</v>
      </c>
      <c r="BS805" s="3">
        <f t="shared" si="54"/>
        <v>0</v>
      </c>
      <c r="BT805" s="3">
        <f t="shared" si="54"/>
        <v>0</v>
      </c>
      <c r="BU805" s="3">
        <f t="shared" si="54"/>
        <v>0</v>
      </c>
      <c r="BV805" t="e">
        <f>VLOOKUP($H805,'1. Set Program Names'!$B$2:$D$15,3,0)*V805</f>
        <v>#N/A</v>
      </c>
      <c r="BW805" t="e">
        <f>VLOOKUP($H805,'1. Set Program Names'!$B$2:$D$15,3,0)*W805</f>
        <v>#N/A</v>
      </c>
      <c r="BX805" t="e">
        <f>VLOOKUP($H805,'1. Set Program Names'!$B$2:$D$15,3,0)*X805</f>
        <v>#N/A</v>
      </c>
      <c r="BY805" t="e">
        <f>VLOOKUP($H805,'1. Set Program Names'!$B$2:$D$15,3,0)*Y805</f>
        <v>#N/A</v>
      </c>
      <c r="BZ805" t="e">
        <f>VLOOKUP($H805,'1. Set Program Names'!$B$2:$D$15,3,0)*Z805</f>
        <v>#N/A</v>
      </c>
      <c r="CA805" t="e">
        <f>VLOOKUP($H805,'1. Set Program Names'!$B$2:$D$15,3,0)*AA805</f>
        <v>#N/A</v>
      </c>
      <c r="CB805" t="e">
        <f>VLOOKUP($H805,'1. Set Program Names'!$B$2:$D$15,3,0)*AB805</f>
        <v>#N/A</v>
      </c>
      <c r="CC805" t="e">
        <f>VLOOKUP($H805,'1. Set Program Names'!$B$2:$D$15,3,0)*AC805</f>
        <v>#N/A</v>
      </c>
      <c r="CD805" t="e">
        <f>VLOOKUP($H805,'1. Set Program Names'!$B$2:$D$15,3,0)*AD805</f>
        <v>#N/A</v>
      </c>
      <c r="CE805" t="e">
        <f>VLOOKUP($H805,'1. Set Program Names'!$B$2:$D$15,3,0)*AE805</f>
        <v>#N/A</v>
      </c>
    </row>
    <row r="806" spans="1:83" x14ac:dyDescent="0.25">
      <c r="A806" s="20" t="s">
        <v>115</v>
      </c>
      <c r="B806" s="20" t="s">
        <v>88</v>
      </c>
      <c r="C806" s="20" t="s">
        <v>176</v>
      </c>
      <c r="D806" s="20" t="s">
        <v>90</v>
      </c>
      <c r="E806" s="20" t="s">
        <v>91</v>
      </c>
      <c r="F806" s="20" t="s">
        <v>90</v>
      </c>
      <c r="G806" s="20" t="s">
        <v>92</v>
      </c>
      <c r="H806" s="20" t="s">
        <v>268</v>
      </c>
      <c r="I806" s="20" t="s">
        <v>179</v>
      </c>
      <c r="J806" s="20" t="s">
        <v>180</v>
      </c>
      <c r="K806" s="20" t="s">
        <v>98</v>
      </c>
      <c r="L806" s="20">
        <v>2684</v>
      </c>
      <c r="M806" s="20">
        <v>0.32197664062426901</v>
      </c>
      <c r="N806" s="20">
        <v>0.310035778837426</v>
      </c>
      <c r="O806" s="20">
        <v>1119</v>
      </c>
      <c r="P806" s="20">
        <v>579.10793250784297</v>
      </c>
      <c r="Q806" s="20">
        <v>2.6840000000000002</v>
      </c>
      <c r="R806" s="20">
        <v>1432.5808011563199</v>
      </c>
      <c r="S806" s="20">
        <v>4046.00364167834</v>
      </c>
      <c r="T806" s="20">
        <v>30</v>
      </c>
      <c r="U806" s="20">
        <v>1</v>
      </c>
      <c r="V806" s="20">
        <v>0.18242246849625701</v>
      </c>
      <c r="W806" s="20">
        <v>0.43527886745864902</v>
      </c>
      <c r="X806" s="20">
        <v>0.76728926166478695</v>
      </c>
      <c r="Y806" s="20">
        <v>1.18838692909532</v>
      </c>
      <c r="Z806" s="20">
        <v>1.6947639825730401</v>
      </c>
      <c r="AA806" s="20">
        <v>2.28075921801585</v>
      </c>
      <c r="AB806" s="20">
        <v>2.93581778901066</v>
      </c>
      <c r="AC806" s="20">
        <v>3.64429157293123</v>
      </c>
      <c r="AD806" s="20">
        <v>4.3961660704878804</v>
      </c>
      <c r="AE806" s="20">
        <v>5.1813516173610097</v>
      </c>
      <c r="AF806" t="str">
        <f t="shared" si="53"/>
        <v>NonResidential</v>
      </c>
      <c r="AG806" t="str">
        <f>tbl_Data_old[[#This Row],[All_Meas_Name_Append]]</f>
        <v>Energy Efficient Transformers</v>
      </c>
      <c r="AH806">
        <f>AVERAGEIFS('3. Incentive Adjustment'!G:G,'3. Incentive Adjustment'!A:A,tbl_Data_old[[#This Row],[Trimmed Sector]],'3. Incentive Adjustment'!B:B,tbl_Data_old[[#This Row],[Trimmed Measure Name]])</f>
        <v>0.56592396099637965</v>
      </c>
      <c r="AI806">
        <f>$AH806*tbl_Data_old[[#This Row],[2025 ]]</f>
        <v>0.10323724594613905</v>
      </c>
      <c r="AJ806">
        <f>$AH806*tbl_Data_old[[#This Row],[2026 ]]</f>
        <v>0.24633474081021681</v>
      </c>
      <c r="AK806">
        <f>$AH806*tbl_Data_old[[#This Row],[2027 ]]</f>
        <v>0.43422737819132384</v>
      </c>
      <c r="AL806">
        <f>$AH806*tbl_Data_old[[#This Row],[2028 ]]</f>
        <v>0.67253663810994724</v>
      </c>
      <c r="AM806">
        <f>$AH806*tbl_Data_old[[#This Row],[2029 ]]</f>
        <v>0.9591075459717342</v>
      </c>
      <c r="AN806">
        <f>$AH806*tbl_Data_old[[#This Row],[2030 ]]</f>
        <v>1.2907362907385354</v>
      </c>
      <c r="AO806">
        <f>$AH806*tbl_Data_old[[#This Row],[2031 ]]</f>
        <v>1.6614496319205463</v>
      </c>
      <c r="AP806">
        <f>$AH806*tbl_Data_old[[#This Row],[2032 ]]</f>
        <v>2.0623919219789686</v>
      </c>
      <c r="AQ806">
        <f>$AH806*tbl_Data_old[[#This Row],[2033 ]]</f>
        <v>2.4878957158083908</v>
      </c>
      <c r="AR806">
        <f>$AH806*tbl_Data_old[[#This Row],[2034 ]]</f>
        <v>2.9322510306119405</v>
      </c>
      <c r="AS806">
        <f>SUM(tbl_Data_old[[#This Row],[Adjusted 2025]:[Adjusted 2034]])</f>
        <v>12.850168140087742</v>
      </c>
      <c r="AT806" s="3">
        <f>AVERAGEIFS('3. Incentive Adjustment'!F:F,'3. Incentive Adjustment'!A:A,tbl_Data_old[[#This Row],[Trimmed Sector]],'3. Incentive Adjustment'!B:B,tbl_Data_old[[#This Row],[Trimmed Measure Name]])</f>
        <v>0</v>
      </c>
      <c r="AU806" s="3">
        <f>IFERROR(VLOOKUP(tbl_Data_old[[#This Row],[All_Meas_Name_Append]],'IRA Tax Credits'!$A$3:$D$46,4,0),0)</f>
        <v>0</v>
      </c>
      <c r="AV806" s="4">
        <f>tbl_Data_old[[#This Row],[Adj. per unit Incentive ($)]]/tbl_Data_old[[#This Row],[kWh Savings]]*tbl_Data_old[[#This Row],[Sum of Annuals]]</f>
        <v>0</v>
      </c>
      <c r="AW806" s="4" t="str">
        <f>IFERROR(VLOOKUP(tbl_Data_old[[#This Row],[All_Programs]],'1. Set Program Names'!$B$2:$D$15,3,0)*tbl_Data_old[[#This Row],[Sum of Annuals]],"")</f>
        <v/>
      </c>
      <c r="AX806" s="4">
        <f>tbl_Data_old[[#This Row],[per unit IRA tax ($)]]/tbl_Data_old[[#This Row],[kWh Savings]]*tbl_Data_old[[#This Row],[Sum of Annuals]]</f>
        <v>0</v>
      </c>
      <c r="AY806" s="4">
        <f>tbl_Data_old[[#This Row],[Avoided Costs ($/unit)]]/tbl_Data_old[[#This Row],[kWh Savings]]*tbl_Data_old[[#This Row],[Sum of Annuals]]</f>
        <v>6.8587571419971374</v>
      </c>
      <c r="AZ806" s="4">
        <f>tbl_Data_old[[#This Row],[Lost Revenue ($/unit)]]/tbl_Data_old[[#This Row],[kWh Savings]]*tbl_Data_old[[#This Row],[Sum of Annuals]]</f>
        <v>19.371023506324139</v>
      </c>
      <c r="BA806" s="4">
        <f>tbl_Data_old[[#This Row],[Incremental Cost ($/unit)]]/tbl_Data_old[[#This Row],[kWh Savings]]*tbl_Data_old[[#This Row],[Sum of Annuals]]</f>
        <v>5.357428520401708</v>
      </c>
      <c r="BB806">
        <f>ROUNDUP(tbl_Data_old[[#This Row],[Adjusted 2025]]/$L806,0)</f>
        <v>1</v>
      </c>
      <c r="BC806">
        <f>ROUNDUP(tbl_Data_old[[#This Row],[Adjusted 2026]]/$L806,0)</f>
        <v>1</v>
      </c>
      <c r="BD806">
        <f>ROUNDUP(tbl_Data_old[[#This Row],[Adjusted 2027]]/$L806,0)</f>
        <v>1</v>
      </c>
      <c r="BE806">
        <f>ROUNDUP(tbl_Data_old[[#This Row],[Adjusted 2028]]/$L806,0)</f>
        <v>1</v>
      </c>
      <c r="BF806">
        <f>ROUNDUP(tbl_Data_old[[#This Row],[Adjusted 2029]]/$L806,0)</f>
        <v>1</v>
      </c>
      <c r="BG806">
        <f>ROUNDUP(tbl_Data_old[[#This Row],[Adjusted 2030]]/$L806,0)</f>
        <v>1</v>
      </c>
      <c r="BH806">
        <f>ROUNDUP(tbl_Data_old[[#This Row],[Adjusted 2031]]/$L806,0)</f>
        <v>1</v>
      </c>
      <c r="BI806">
        <f>ROUNDUP(tbl_Data_old[[#This Row],[Adjusted 2032]]/$L806,0)</f>
        <v>1</v>
      </c>
      <c r="BJ806">
        <f>ROUNDUP(tbl_Data_old[[#This Row],[Adjusted 2033]]/$L806,0)</f>
        <v>1</v>
      </c>
      <c r="BK806">
        <f>ROUNDUP(tbl_Data_old[[#This Row],[Adjusted 2034]]/$L806,0)</f>
        <v>1</v>
      </c>
      <c r="BL806" s="3">
        <f t="shared" si="54"/>
        <v>0</v>
      </c>
      <c r="BM806" s="3">
        <f t="shared" si="54"/>
        <v>0</v>
      </c>
      <c r="BN806" s="3">
        <f t="shared" si="54"/>
        <v>0</v>
      </c>
      <c r="BO806" s="3">
        <f t="shared" si="54"/>
        <v>0</v>
      </c>
      <c r="BP806" s="3">
        <f t="shared" si="54"/>
        <v>0</v>
      </c>
      <c r="BQ806" s="3">
        <f t="shared" si="54"/>
        <v>0</v>
      </c>
      <c r="BR806" s="3">
        <f t="shared" si="54"/>
        <v>0</v>
      </c>
      <c r="BS806" s="3">
        <f t="shared" si="54"/>
        <v>0</v>
      </c>
      <c r="BT806" s="3">
        <f t="shared" si="54"/>
        <v>0</v>
      </c>
      <c r="BU806" s="3">
        <f t="shared" si="54"/>
        <v>0</v>
      </c>
      <c r="BV806" t="e">
        <f>VLOOKUP($H806,'1. Set Program Names'!$B$2:$D$15,3,0)*V806</f>
        <v>#N/A</v>
      </c>
      <c r="BW806" t="e">
        <f>VLOOKUP($H806,'1. Set Program Names'!$B$2:$D$15,3,0)*W806</f>
        <v>#N/A</v>
      </c>
      <c r="BX806" t="e">
        <f>VLOOKUP($H806,'1. Set Program Names'!$B$2:$D$15,3,0)*X806</f>
        <v>#N/A</v>
      </c>
      <c r="BY806" t="e">
        <f>VLOOKUP($H806,'1. Set Program Names'!$B$2:$D$15,3,0)*Y806</f>
        <v>#N/A</v>
      </c>
      <c r="BZ806" t="e">
        <f>VLOOKUP($H806,'1. Set Program Names'!$B$2:$D$15,3,0)*Z806</f>
        <v>#N/A</v>
      </c>
      <c r="CA806" t="e">
        <f>VLOOKUP($H806,'1. Set Program Names'!$B$2:$D$15,3,0)*AA806</f>
        <v>#N/A</v>
      </c>
      <c r="CB806" t="e">
        <f>VLOOKUP($H806,'1. Set Program Names'!$B$2:$D$15,3,0)*AB806</f>
        <v>#N/A</v>
      </c>
      <c r="CC806" t="e">
        <f>VLOOKUP($H806,'1. Set Program Names'!$B$2:$D$15,3,0)*AC806</f>
        <v>#N/A</v>
      </c>
      <c r="CD806" t="e">
        <f>VLOOKUP($H806,'1. Set Program Names'!$B$2:$D$15,3,0)*AD806</f>
        <v>#N/A</v>
      </c>
      <c r="CE806" t="e">
        <f>VLOOKUP($H806,'1. Set Program Names'!$B$2:$D$15,3,0)*AE806</f>
        <v>#N/A</v>
      </c>
    </row>
    <row r="807" spans="1:83" x14ac:dyDescent="0.25">
      <c r="A807" s="20" t="s">
        <v>115</v>
      </c>
      <c r="B807" s="20" t="s">
        <v>88</v>
      </c>
      <c r="C807" s="20" t="s">
        <v>176</v>
      </c>
      <c r="D807" s="20" t="s">
        <v>90</v>
      </c>
      <c r="E807" s="20" t="s">
        <v>91</v>
      </c>
      <c r="F807" s="20" t="s">
        <v>90</v>
      </c>
      <c r="G807" s="20" t="s">
        <v>92</v>
      </c>
      <c r="H807" s="20" t="s">
        <v>268</v>
      </c>
      <c r="I807" s="20" t="s">
        <v>186</v>
      </c>
      <c r="J807" s="20" t="s">
        <v>180</v>
      </c>
      <c r="K807" s="20" t="s">
        <v>102</v>
      </c>
      <c r="L807" s="20">
        <v>27897.5999999999</v>
      </c>
      <c r="M807" s="20">
        <v>3.34663767864367</v>
      </c>
      <c r="N807" s="20">
        <v>3.2225238985450702</v>
      </c>
      <c r="O807" s="20">
        <v>8000</v>
      </c>
      <c r="P807" s="20">
        <v>2762.04801865338</v>
      </c>
      <c r="Q807" s="20">
        <v>27.897599999999901</v>
      </c>
      <c r="R807" s="20">
        <v>11926.089110639999</v>
      </c>
      <c r="S807" s="20">
        <v>29629.215249514</v>
      </c>
      <c r="T807" s="20">
        <v>15</v>
      </c>
      <c r="U807" s="20">
        <v>1</v>
      </c>
      <c r="V807" s="20">
        <v>2.95811486796866E-2</v>
      </c>
      <c r="W807" s="20">
        <v>6.2902092413854693E-2</v>
      </c>
      <c r="X807" s="20">
        <v>9.9968074578903193E-2</v>
      </c>
      <c r="Y807" s="20">
        <v>0.141710499079924</v>
      </c>
      <c r="Z807" s="20">
        <v>0.187604164637593</v>
      </c>
      <c r="AA807" s="20">
        <v>0.238124469988447</v>
      </c>
      <c r="AB807" s="20">
        <v>0.29367616486007497</v>
      </c>
      <c r="AC807" s="20">
        <v>0.35399992285523602</v>
      </c>
      <c r="AD807" s="20">
        <v>0.41972069178902999</v>
      </c>
      <c r="AE807" s="20">
        <v>0.49090942336848697</v>
      </c>
      <c r="AF807" t="str">
        <f t="shared" si="53"/>
        <v>NonResidential</v>
      </c>
      <c r="AG807" t="str">
        <f>tbl_Data_old[[#This Row],[All_Meas_Name_Append]]</f>
        <v>Grain Bin Aeration Control System</v>
      </c>
      <c r="AH807">
        <f>AVERAGEIFS('3. Incentive Adjustment'!G:G,'3. Incentive Adjustment'!A:A,tbl_Data_old[[#This Row],[Trimmed Sector]],'3. Incentive Adjustment'!B:B,tbl_Data_old[[#This Row],[Trimmed Measure Name]])</f>
        <v>0.77010279279185057</v>
      </c>
      <c r="AI807">
        <f>$AH807*tbl_Data_old[[#This Row],[2025 ]]</f>
        <v>2.2780525212217614E-2</v>
      </c>
      <c r="AJ807">
        <f>$AH807*tbl_Data_old[[#This Row],[2026 ]]</f>
        <v>4.8441077040360575E-2</v>
      </c>
      <c r="AK807">
        <f>$AH807*tbl_Data_old[[#This Row],[2027 ]]</f>
        <v>7.6985693423237356E-2</v>
      </c>
      <c r="AL807">
        <f>$AH807*tbl_Data_old[[#This Row],[2028 ]]</f>
        <v>0.10913165110937645</v>
      </c>
      <c r="AM807">
        <f>$AH807*tbl_Data_old[[#This Row],[2029 ]]</f>
        <v>0.1444744911267925</v>
      </c>
      <c r="AN807">
        <f>$AH807*tbl_Data_old[[#This Row],[2030 ]]</f>
        <v>0.18338031937018223</v>
      </c>
      <c r="AO807">
        <f>$AH807*tbl_Data_old[[#This Row],[2031 ]]</f>
        <v>0.22616083473514367</v>
      </c>
      <c r="AP807">
        <f>$AH807*tbl_Data_old[[#This Row],[2032 ]]</f>
        <v>0.27261632923891693</v>
      </c>
      <c r="AQ807">
        <f>$AH807*tbl_Data_old[[#This Row],[2033 ]]</f>
        <v>0.32322807693925953</v>
      </c>
      <c r="AR807">
        <f>$AH807*tbl_Data_old[[#This Row],[2034 ]]</f>
        <v>0.37805071794390877</v>
      </c>
      <c r="AS807">
        <f>SUM(tbl_Data_old[[#This Row],[Adjusted 2025]:[Adjusted 2034]])</f>
        <v>1.7852497161393956</v>
      </c>
      <c r="AT807" s="3">
        <f>AVERAGEIFS('3. Incentive Adjustment'!F:F,'3. Incentive Adjustment'!A:A,tbl_Data_old[[#This Row],[Trimmed Sector]],'3. Incentive Adjustment'!B:B,tbl_Data_old[[#This Row],[Trimmed Measure Name]])</f>
        <v>0</v>
      </c>
      <c r="AU807" s="3">
        <f>IFERROR(VLOOKUP(tbl_Data_old[[#This Row],[All_Meas_Name_Append]],'IRA Tax Credits'!$A$3:$D$46,4,0),0)</f>
        <v>0</v>
      </c>
      <c r="AV807" s="4">
        <f>tbl_Data_old[[#This Row],[Adj. per unit Incentive ($)]]/tbl_Data_old[[#This Row],[kWh Savings]]*tbl_Data_old[[#This Row],[Sum of Annuals]]</f>
        <v>0</v>
      </c>
      <c r="AW807" s="4" t="str">
        <f>IFERROR(VLOOKUP(tbl_Data_old[[#This Row],[All_Programs]],'1. Set Program Names'!$B$2:$D$15,3,0)*tbl_Data_old[[#This Row],[Sum of Annuals]],"")</f>
        <v/>
      </c>
      <c r="AX807" s="4">
        <f>tbl_Data_old[[#This Row],[per unit IRA tax ($)]]/tbl_Data_old[[#This Row],[kWh Savings]]*tbl_Data_old[[#This Row],[Sum of Annuals]]</f>
        <v>0</v>
      </c>
      <c r="AY807" s="4">
        <f>tbl_Data_old[[#This Row],[Avoided Costs ($/unit)]]/tbl_Data_old[[#This Row],[kWh Savings]]*tbl_Data_old[[#This Row],[Sum of Annuals]]</f>
        <v>0.76318562168155224</v>
      </c>
      <c r="AZ807" s="4">
        <f>tbl_Data_old[[#This Row],[Lost Revenue ($/unit)]]/tbl_Data_old[[#This Row],[kWh Savings]]*tbl_Data_old[[#This Row],[Sum of Annuals]]</f>
        <v>1.8960608838619848</v>
      </c>
      <c r="BA807" s="4">
        <f>tbl_Data_old[[#This Row],[Incremental Cost ($/unit)]]/tbl_Data_old[[#This Row],[kWh Savings]]*tbl_Data_old[[#This Row],[Sum of Annuals]]</f>
        <v>0.51194359834233827</v>
      </c>
      <c r="BB807">
        <f>ROUNDUP(tbl_Data_old[[#This Row],[Adjusted 2025]]/$L807,0)</f>
        <v>1</v>
      </c>
      <c r="BC807">
        <f>ROUNDUP(tbl_Data_old[[#This Row],[Adjusted 2026]]/$L807,0)</f>
        <v>1</v>
      </c>
      <c r="BD807">
        <f>ROUNDUP(tbl_Data_old[[#This Row],[Adjusted 2027]]/$L807,0)</f>
        <v>1</v>
      </c>
      <c r="BE807">
        <f>ROUNDUP(tbl_Data_old[[#This Row],[Adjusted 2028]]/$L807,0)</f>
        <v>1</v>
      </c>
      <c r="BF807">
        <f>ROUNDUP(tbl_Data_old[[#This Row],[Adjusted 2029]]/$L807,0)</f>
        <v>1</v>
      </c>
      <c r="BG807">
        <f>ROUNDUP(tbl_Data_old[[#This Row],[Adjusted 2030]]/$L807,0)</f>
        <v>1</v>
      </c>
      <c r="BH807">
        <f>ROUNDUP(tbl_Data_old[[#This Row],[Adjusted 2031]]/$L807,0)</f>
        <v>1</v>
      </c>
      <c r="BI807">
        <f>ROUNDUP(tbl_Data_old[[#This Row],[Adjusted 2032]]/$L807,0)</f>
        <v>1</v>
      </c>
      <c r="BJ807">
        <f>ROUNDUP(tbl_Data_old[[#This Row],[Adjusted 2033]]/$L807,0)</f>
        <v>1</v>
      </c>
      <c r="BK807">
        <f>ROUNDUP(tbl_Data_old[[#This Row],[Adjusted 2034]]/$L807,0)</f>
        <v>1</v>
      </c>
      <c r="BL807" s="3">
        <f t="shared" si="54"/>
        <v>0</v>
      </c>
      <c r="BM807" s="3">
        <f t="shared" si="54"/>
        <v>0</v>
      </c>
      <c r="BN807" s="3">
        <f t="shared" si="54"/>
        <v>0</v>
      </c>
      <c r="BO807" s="3">
        <f t="shared" si="54"/>
        <v>0</v>
      </c>
      <c r="BP807" s="3">
        <f t="shared" si="54"/>
        <v>0</v>
      </c>
      <c r="BQ807" s="3">
        <f t="shared" ref="BQ807:BU835" si="55">$AT807/$L807*AA807</f>
        <v>0</v>
      </c>
      <c r="BR807" s="3">
        <f t="shared" si="55"/>
        <v>0</v>
      </c>
      <c r="BS807" s="3">
        <f t="shared" si="55"/>
        <v>0</v>
      </c>
      <c r="BT807" s="3">
        <f t="shared" si="55"/>
        <v>0</v>
      </c>
      <c r="BU807" s="3">
        <f t="shared" si="55"/>
        <v>0</v>
      </c>
      <c r="BV807" t="e">
        <f>VLOOKUP($H807,'1. Set Program Names'!$B$2:$D$15,3,0)*V807</f>
        <v>#N/A</v>
      </c>
      <c r="BW807" t="e">
        <f>VLOOKUP($H807,'1. Set Program Names'!$B$2:$D$15,3,0)*W807</f>
        <v>#N/A</v>
      </c>
      <c r="BX807" t="e">
        <f>VLOOKUP($H807,'1. Set Program Names'!$B$2:$D$15,3,0)*X807</f>
        <v>#N/A</v>
      </c>
      <c r="BY807" t="e">
        <f>VLOOKUP($H807,'1. Set Program Names'!$B$2:$D$15,3,0)*Y807</f>
        <v>#N/A</v>
      </c>
      <c r="BZ807" t="e">
        <f>VLOOKUP($H807,'1. Set Program Names'!$B$2:$D$15,3,0)*Z807</f>
        <v>#N/A</v>
      </c>
      <c r="CA807" t="e">
        <f>VLOOKUP($H807,'1. Set Program Names'!$B$2:$D$15,3,0)*AA807</f>
        <v>#N/A</v>
      </c>
      <c r="CB807" t="e">
        <f>VLOOKUP($H807,'1. Set Program Names'!$B$2:$D$15,3,0)*AB807</f>
        <v>#N/A</v>
      </c>
      <c r="CC807" t="e">
        <f>VLOOKUP($H807,'1. Set Program Names'!$B$2:$D$15,3,0)*AC807</f>
        <v>#N/A</v>
      </c>
      <c r="CD807" t="e">
        <f>VLOOKUP($H807,'1. Set Program Names'!$B$2:$D$15,3,0)*AD807</f>
        <v>#N/A</v>
      </c>
      <c r="CE807" t="e">
        <f>VLOOKUP($H807,'1. Set Program Names'!$B$2:$D$15,3,0)*AE807</f>
        <v>#N/A</v>
      </c>
    </row>
    <row r="808" spans="1:83" x14ac:dyDescent="0.25">
      <c r="A808" s="20" t="s">
        <v>115</v>
      </c>
      <c r="B808" s="20" t="s">
        <v>88</v>
      </c>
      <c r="C808" s="20" t="s">
        <v>176</v>
      </c>
      <c r="D808" s="20" t="s">
        <v>90</v>
      </c>
      <c r="E808" s="20" t="s">
        <v>91</v>
      </c>
      <c r="F808" s="20" t="s">
        <v>90</v>
      </c>
      <c r="G808" s="20" t="s">
        <v>92</v>
      </c>
      <c r="H808" s="20" t="s">
        <v>268</v>
      </c>
      <c r="I808" s="20" t="s">
        <v>181</v>
      </c>
      <c r="J808" s="20" t="s">
        <v>182</v>
      </c>
      <c r="K808" s="20" t="s">
        <v>98</v>
      </c>
      <c r="L808" s="20">
        <v>21140.159999999902</v>
      </c>
      <c r="M808" s="20">
        <v>2.4928340912459501</v>
      </c>
      <c r="N808" s="20">
        <v>2.4353939910039801</v>
      </c>
      <c r="O808" s="20">
        <v>4269.76</v>
      </c>
      <c r="P808" s="20">
        <v>17.441519984740999</v>
      </c>
      <c r="Q808" s="20">
        <v>21.140159999999899</v>
      </c>
      <c r="R808" s="20">
        <v>7174.5673333962905</v>
      </c>
      <c r="S808" s="20">
        <v>17003.9302734632</v>
      </c>
      <c r="T808" s="20">
        <v>10</v>
      </c>
      <c r="U808" s="20">
        <v>1</v>
      </c>
      <c r="V808" s="20">
        <v>0.76123037399070004</v>
      </c>
      <c r="W808" s="20">
        <v>1.62771296641785</v>
      </c>
      <c r="X808" s="20">
        <v>2.5860873891460701</v>
      </c>
      <c r="Y808" s="20">
        <v>3.63557727532138</v>
      </c>
      <c r="Z808" s="20">
        <v>4.7641033172223404</v>
      </c>
      <c r="AA808" s="20">
        <v>5.9662960457324603</v>
      </c>
      <c r="AB808" s="20">
        <v>7.2378381372715896</v>
      </c>
      <c r="AC808" s="20">
        <v>8.57231416957306</v>
      </c>
      <c r="AD808" s="20">
        <v>9.9684885033283201</v>
      </c>
      <c r="AE808" s="20">
        <v>11.4231637905153</v>
      </c>
      <c r="AF808" t="str">
        <f t="shared" si="53"/>
        <v>NonResidential</v>
      </c>
      <c r="AG808" t="str">
        <f>tbl_Data_old[[#This Row],[All_Meas_Name_Append]]</f>
        <v>High Volume Low Speed Fan (HVLS)</v>
      </c>
      <c r="AH808">
        <f>AVERAGEIFS('3. Incentive Adjustment'!G:G,'3. Incentive Adjustment'!A:A,tbl_Data_old[[#This Row],[Trimmed Sector]],'3. Incentive Adjustment'!B:B,tbl_Data_old[[#This Row],[Trimmed Measure Name]])</f>
        <v>0.99782547587781634</v>
      </c>
      <c r="AI808">
        <f>$AH808*tbl_Data_old[[#This Row],[2025 ]]</f>
        <v>0.75957506017991838</v>
      </c>
      <c r="AJ808">
        <f>$AH808*tbl_Data_old[[#This Row],[2026 ]]</f>
        <v>1.6241734653083832</v>
      </c>
      <c r="AK808">
        <f>$AH808*tbl_Data_old[[#This Row],[2027 ]]</f>
        <v>2.5804638797362971</v>
      </c>
      <c r="AL808">
        <f>$AH808*tbl_Data_old[[#This Row],[2028 ]]</f>
        <v>3.6276716248381309</v>
      </c>
      <c r="AM808">
        <f>$AH808*tbl_Data_old[[#This Row],[2029 ]]</f>
        <v>4.7537436596384648</v>
      </c>
      <c r="AN808">
        <f>$AH808*tbl_Data_old[[#This Row],[2030 ]]</f>
        <v>5.9533221910609262</v>
      </c>
      <c r="AO808">
        <f>$AH808*tbl_Data_old[[#This Row],[2031 ]]</f>
        <v>7.2220992836496318</v>
      </c>
      <c r="AP808">
        <f>$AH808*tbl_Data_old[[#This Row],[2032 ]]</f>
        <v>8.5536734656283873</v>
      </c>
      <c r="AQ808">
        <f>$AH808*tbl_Data_old[[#This Row],[2033 ]]</f>
        <v>9.9468117846161217</v>
      </c>
      <c r="AR808">
        <f>$AH808*tbl_Data_old[[#This Row],[2034 ]]</f>
        <v>11.398323845301169</v>
      </c>
      <c r="AS808">
        <f>SUM(tbl_Data_old[[#This Row],[Adjusted 2025]:[Adjusted 2034]])</f>
        <v>56.419858259957429</v>
      </c>
      <c r="AT808" s="3">
        <f>AVERAGEIFS('3. Incentive Adjustment'!F:F,'3. Incentive Adjustment'!A:A,tbl_Data_old[[#This Row],[Trimmed Sector]],'3. Incentive Adjustment'!B:B,tbl_Data_old[[#This Row],[Trimmed Measure Name]])</f>
        <v>0</v>
      </c>
      <c r="AU808" s="3">
        <f>IFERROR(VLOOKUP(tbl_Data_old[[#This Row],[All_Meas_Name_Append]],'IRA Tax Credits'!$A$3:$D$46,4,0),0)</f>
        <v>0</v>
      </c>
      <c r="AV808" s="4">
        <f>tbl_Data_old[[#This Row],[Adj. per unit Incentive ($)]]/tbl_Data_old[[#This Row],[kWh Savings]]*tbl_Data_old[[#This Row],[Sum of Annuals]]</f>
        <v>0</v>
      </c>
      <c r="AW808" s="4" t="str">
        <f>IFERROR(VLOOKUP(tbl_Data_old[[#This Row],[All_Programs]],'1. Set Program Names'!$B$2:$D$15,3,0)*tbl_Data_old[[#This Row],[Sum of Annuals]],"")</f>
        <v/>
      </c>
      <c r="AX808" s="4">
        <f>tbl_Data_old[[#This Row],[per unit IRA tax ($)]]/tbl_Data_old[[#This Row],[kWh Savings]]*tbl_Data_old[[#This Row],[Sum of Annuals]]</f>
        <v>0</v>
      </c>
      <c r="AY808" s="4">
        <f>tbl_Data_old[[#This Row],[Avoided Costs ($/unit)]]/tbl_Data_old[[#This Row],[kWh Savings]]*tbl_Data_old[[#This Row],[Sum of Annuals]]</f>
        <v>19.147824426434866</v>
      </c>
      <c r="AZ808" s="4">
        <f>tbl_Data_old[[#This Row],[Lost Revenue ($/unit)]]/tbl_Data_old[[#This Row],[kWh Savings]]*tbl_Data_old[[#This Row],[Sum of Annuals]]</f>
        <v>45.380892854689719</v>
      </c>
      <c r="BA808" s="4">
        <f>tbl_Data_old[[#This Row],[Incremental Cost ($/unit)]]/tbl_Data_old[[#This Row],[kWh Savings]]*tbl_Data_old[[#This Row],[Sum of Annuals]]</f>
        <v>11.395337310788422</v>
      </c>
      <c r="BB808">
        <f>ROUNDUP(tbl_Data_old[[#This Row],[Adjusted 2025]]/$L808,0)</f>
        <v>1</v>
      </c>
      <c r="BC808">
        <f>ROUNDUP(tbl_Data_old[[#This Row],[Adjusted 2026]]/$L808,0)</f>
        <v>1</v>
      </c>
      <c r="BD808">
        <f>ROUNDUP(tbl_Data_old[[#This Row],[Adjusted 2027]]/$L808,0)</f>
        <v>1</v>
      </c>
      <c r="BE808">
        <f>ROUNDUP(tbl_Data_old[[#This Row],[Adjusted 2028]]/$L808,0)</f>
        <v>1</v>
      </c>
      <c r="BF808">
        <f>ROUNDUP(tbl_Data_old[[#This Row],[Adjusted 2029]]/$L808,0)</f>
        <v>1</v>
      </c>
      <c r="BG808">
        <f>ROUNDUP(tbl_Data_old[[#This Row],[Adjusted 2030]]/$L808,0)</f>
        <v>1</v>
      </c>
      <c r="BH808">
        <f>ROUNDUP(tbl_Data_old[[#This Row],[Adjusted 2031]]/$L808,0)</f>
        <v>1</v>
      </c>
      <c r="BI808">
        <f>ROUNDUP(tbl_Data_old[[#This Row],[Adjusted 2032]]/$L808,0)</f>
        <v>1</v>
      </c>
      <c r="BJ808">
        <f>ROUNDUP(tbl_Data_old[[#This Row],[Adjusted 2033]]/$L808,0)</f>
        <v>1</v>
      </c>
      <c r="BK808">
        <f>ROUNDUP(tbl_Data_old[[#This Row],[Adjusted 2034]]/$L808,0)</f>
        <v>1</v>
      </c>
      <c r="BL808" s="3">
        <f t="shared" ref="BL808:BP835" si="56">$AT808/$L808*V808</f>
        <v>0</v>
      </c>
      <c r="BM808" s="3">
        <f t="shared" si="56"/>
        <v>0</v>
      </c>
      <c r="BN808" s="3">
        <f t="shared" si="56"/>
        <v>0</v>
      </c>
      <c r="BO808" s="3">
        <f t="shared" si="56"/>
        <v>0</v>
      </c>
      <c r="BP808" s="3">
        <f t="shared" si="56"/>
        <v>0</v>
      </c>
      <c r="BQ808" s="3">
        <f t="shared" si="55"/>
        <v>0</v>
      </c>
      <c r="BR808" s="3">
        <f t="shared" si="55"/>
        <v>0</v>
      </c>
      <c r="BS808" s="3">
        <f t="shared" si="55"/>
        <v>0</v>
      </c>
      <c r="BT808" s="3">
        <f t="shared" si="55"/>
        <v>0</v>
      </c>
      <c r="BU808" s="3">
        <f t="shared" si="55"/>
        <v>0</v>
      </c>
      <c r="BV808" t="e">
        <f>VLOOKUP($H808,'1. Set Program Names'!$B$2:$D$15,3,0)*V808</f>
        <v>#N/A</v>
      </c>
      <c r="BW808" t="e">
        <f>VLOOKUP($H808,'1. Set Program Names'!$B$2:$D$15,3,0)*W808</f>
        <v>#N/A</v>
      </c>
      <c r="BX808" t="e">
        <f>VLOOKUP($H808,'1. Set Program Names'!$B$2:$D$15,3,0)*X808</f>
        <v>#N/A</v>
      </c>
      <c r="BY808" t="e">
        <f>VLOOKUP($H808,'1. Set Program Names'!$B$2:$D$15,3,0)*Y808</f>
        <v>#N/A</v>
      </c>
      <c r="BZ808" t="e">
        <f>VLOOKUP($H808,'1. Set Program Names'!$B$2:$D$15,3,0)*Z808</f>
        <v>#N/A</v>
      </c>
      <c r="CA808" t="e">
        <f>VLOOKUP($H808,'1. Set Program Names'!$B$2:$D$15,3,0)*AA808</f>
        <v>#N/A</v>
      </c>
      <c r="CB808" t="e">
        <f>VLOOKUP($H808,'1. Set Program Names'!$B$2:$D$15,3,0)*AB808</f>
        <v>#N/A</v>
      </c>
      <c r="CC808" t="e">
        <f>VLOOKUP($H808,'1. Set Program Names'!$B$2:$D$15,3,0)*AC808</f>
        <v>#N/A</v>
      </c>
      <c r="CD808" t="e">
        <f>VLOOKUP($H808,'1. Set Program Names'!$B$2:$D$15,3,0)*AD808</f>
        <v>#N/A</v>
      </c>
      <c r="CE808" t="e">
        <f>VLOOKUP($H808,'1. Set Program Names'!$B$2:$D$15,3,0)*AE808</f>
        <v>#N/A</v>
      </c>
    </row>
    <row r="809" spans="1:83" x14ac:dyDescent="0.25">
      <c r="A809" s="20" t="s">
        <v>115</v>
      </c>
      <c r="B809" s="20" t="s">
        <v>88</v>
      </c>
      <c r="C809" s="20" t="s">
        <v>176</v>
      </c>
      <c r="D809" s="20" t="s">
        <v>90</v>
      </c>
      <c r="E809" s="20" t="s">
        <v>91</v>
      </c>
      <c r="F809" s="20" t="s">
        <v>90</v>
      </c>
      <c r="G809" s="20" t="s">
        <v>92</v>
      </c>
      <c r="H809" s="20" t="s">
        <v>268</v>
      </c>
      <c r="I809" s="20" t="s">
        <v>183</v>
      </c>
      <c r="J809" s="20" t="s">
        <v>178</v>
      </c>
      <c r="K809" s="20" t="s">
        <v>130</v>
      </c>
      <c r="L809" s="20">
        <v>113444.97999999901</v>
      </c>
      <c r="M809" s="20">
        <v>13.5911727914499</v>
      </c>
      <c r="N809" s="20">
        <v>13.0925103405659</v>
      </c>
      <c r="O809" s="20">
        <v>42343.199999999997</v>
      </c>
      <c r="P809" s="20">
        <v>19818.792281260001</v>
      </c>
      <c r="Q809" s="20">
        <v>113.44497999999901</v>
      </c>
      <c r="R809" s="20">
        <v>54449.419529642699</v>
      </c>
      <c r="S809" s="20">
        <v>142371.22131797599</v>
      </c>
      <c r="T809" s="20">
        <v>20</v>
      </c>
      <c r="U809" s="20">
        <v>1</v>
      </c>
      <c r="V809" s="20">
        <v>9.2662016119339496E-2</v>
      </c>
      <c r="W809" s="20">
        <v>0.18363936052068799</v>
      </c>
      <c r="X809" s="20">
        <v>0.27213538807444898</v>
      </c>
      <c r="Y809" s="20">
        <v>0.35810218157454698</v>
      </c>
      <c r="Z809" s="20">
        <v>0.44164889769849403</v>
      </c>
      <c r="AA809" s="20">
        <v>0.52256382342923802</v>
      </c>
      <c r="AB809" s="20">
        <v>0.60081667114211101</v>
      </c>
      <c r="AC809" s="20">
        <v>0.67655956412176799</v>
      </c>
      <c r="AD809" s="20">
        <v>0.74978558904261805</v>
      </c>
      <c r="AE809" s="20">
        <v>0.82057819001921495</v>
      </c>
      <c r="AF809" t="str">
        <f t="shared" si="53"/>
        <v>NonResidential</v>
      </c>
      <c r="AG809" t="str">
        <f>tbl_Data_old[[#This Row],[All_Meas_Name_Append]]</f>
        <v>Industrial Duct Sealing</v>
      </c>
      <c r="AH809">
        <f>AVERAGEIFS('3. Incentive Adjustment'!G:G,'3. Incentive Adjustment'!A:A,tbl_Data_old[[#This Row],[Trimmed Sector]],'3. Incentive Adjustment'!B:B,tbl_Data_old[[#This Row],[Trimmed Measure Name]])</f>
        <v>0.63068496474049041</v>
      </c>
      <c r="AI809">
        <f>$AH809*tbl_Data_old[[#This Row],[2025 ]]</f>
        <v>5.8440540369008386E-2</v>
      </c>
      <c r="AJ809">
        <f>$AH809*tbl_Data_old[[#This Row],[2026 ]]</f>
        <v>0.11581858361495631</v>
      </c>
      <c r="AK809">
        <f>$AH809*tbl_Data_old[[#This Row],[2027 ]]</f>
        <v>0.17163169763237354</v>
      </c>
      <c r="AL809">
        <f>$AH809*tbl_Data_old[[#This Row],[2028 ]]</f>
        <v>0.22584966175983587</v>
      </c>
      <c r="AM809">
        <f>$AH809*tbl_Data_old[[#This Row],[2029 ]]</f>
        <v>0.27854131947265115</v>
      </c>
      <c r="AN809">
        <f>$AH809*tbl_Data_old[[#This Row],[2030 ]]</f>
        <v>0.32957314655412484</v>
      </c>
      <c r="AO809">
        <f>$AH809*tbl_Data_old[[#This Row],[2031 ]]</f>
        <v>0.37892604105476113</v>
      </c>
      <c r="AP809">
        <f>$AH809*tbl_Data_old[[#This Row],[2032 ]]</f>
        <v>0.42669594484297879</v>
      </c>
      <c r="AQ809">
        <f>$AH809*tbl_Data_old[[#This Row],[2033 ]]</f>
        <v>0.4728784977882714</v>
      </c>
      <c r="AR809">
        <f>$AH809*tbl_Data_old[[#This Row],[2034 ]]</f>
        <v>0.51752632683908406</v>
      </c>
      <c r="AS809">
        <f>SUM(tbl_Data_old[[#This Row],[Adjusted 2025]:[Adjusted 2034]])</f>
        <v>2.9758817599280456</v>
      </c>
      <c r="AT809" s="3">
        <f>AVERAGEIFS('3. Incentive Adjustment'!F:F,'3. Incentive Adjustment'!A:A,tbl_Data_old[[#This Row],[Trimmed Sector]],'3. Incentive Adjustment'!B:B,tbl_Data_old[[#This Row],[Trimmed Measure Name]])</f>
        <v>0</v>
      </c>
      <c r="AU809" s="3">
        <f>IFERROR(VLOOKUP(tbl_Data_old[[#This Row],[All_Meas_Name_Append]],'IRA Tax Credits'!$A$3:$D$46,4,0),0)</f>
        <v>0</v>
      </c>
      <c r="AV809" s="4">
        <f>tbl_Data_old[[#This Row],[Adj. per unit Incentive ($)]]/tbl_Data_old[[#This Row],[kWh Savings]]*tbl_Data_old[[#This Row],[Sum of Annuals]]</f>
        <v>0</v>
      </c>
      <c r="AW809" s="4" t="str">
        <f>IFERROR(VLOOKUP(tbl_Data_old[[#This Row],[All_Programs]],'1. Set Program Names'!$B$2:$D$15,3,0)*tbl_Data_old[[#This Row],[Sum of Annuals]],"")</f>
        <v/>
      </c>
      <c r="AX809" s="4">
        <f>tbl_Data_old[[#This Row],[per unit IRA tax ($)]]/tbl_Data_old[[#This Row],[kWh Savings]]*tbl_Data_old[[#This Row],[Sum of Annuals]]</f>
        <v>0</v>
      </c>
      <c r="AY809" s="4">
        <f>tbl_Data_old[[#This Row],[Avoided Costs ($/unit)]]/tbl_Data_old[[#This Row],[kWh Savings]]*tbl_Data_old[[#This Row],[Sum of Annuals]]</f>
        <v>1.4283138347499822</v>
      </c>
      <c r="AZ809" s="4">
        <f>tbl_Data_old[[#This Row],[Lost Revenue ($/unit)]]/tbl_Data_old[[#This Row],[kWh Savings]]*tbl_Data_old[[#This Row],[Sum of Annuals]]</f>
        <v>3.7346731486827127</v>
      </c>
      <c r="BA809" s="4">
        <f>tbl_Data_old[[#This Row],[Incremental Cost ($/unit)]]/tbl_Data_old[[#This Row],[kWh Savings]]*tbl_Data_old[[#This Row],[Sum of Annuals]]</f>
        <v>1.1107442262935416</v>
      </c>
      <c r="BB809">
        <f>ROUNDUP(tbl_Data_old[[#This Row],[Adjusted 2025]]/$L809,0)</f>
        <v>1</v>
      </c>
      <c r="BC809">
        <f>ROUNDUP(tbl_Data_old[[#This Row],[Adjusted 2026]]/$L809,0)</f>
        <v>1</v>
      </c>
      <c r="BD809">
        <f>ROUNDUP(tbl_Data_old[[#This Row],[Adjusted 2027]]/$L809,0)</f>
        <v>1</v>
      </c>
      <c r="BE809">
        <f>ROUNDUP(tbl_Data_old[[#This Row],[Adjusted 2028]]/$L809,0)</f>
        <v>1</v>
      </c>
      <c r="BF809">
        <f>ROUNDUP(tbl_Data_old[[#This Row],[Adjusted 2029]]/$L809,0)</f>
        <v>1</v>
      </c>
      <c r="BG809">
        <f>ROUNDUP(tbl_Data_old[[#This Row],[Adjusted 2030]]/$L809,0)</f>
        <v>1</v>
      </c>
      <c r="BH809">
        <f>ROUNDUP(tbl_Data_old[[#This Row],[Adjusted 2031]]/$L809,0)</f>
        <v>1</v>
      </c>
      <c r="BI809">
        <f>ROUNDUP(tbl_Data_old[[#This Row],[Adjusted 2032]]/$L809,0)</f>
        <v>1</v>
      </c>
      <c r="BJ809">
        <f>ROUNDUP(tbl_Data_old[[#This Row],[Adjusted 2033]]/$L809,0)</f>
        <v>1</v>
      </c>
      <c r="BK809">
        <f>ROUNDUP(tbl_Data_old[[#This Row],[Adjusted 2034]]/$L809,0)</f>
        <v>1</v>
      </c>
      <c r="BL809" s="3">
        <f t="shared" si="56"/>
        <v>0</v>
      </c>
      <c r="BM809" s="3">
        <f t="shared" si="56"/>
        <v>0</v>
      </c>
      <c r="BN809" s="3">
        <f t="shared" si="56"/>
        <v>0</v>
      </c>
      <c r="BO809" s="3">
        <f t="shared" si="56"/>
        <v>0</v>
      </c>
      <c r="BP809" s="3">
        <f t="shared" si="56"/>
        <v>0</v>
      </c>
      <c r="BQ809" s="3">
        <f t="shared" si="55"/>
        <v>0</v>
      </c>
      <c r="BR809" s="3">
        <f t="shared" si="55"/>
        <v>0</v>
      </c>
      <c r="BS809" s="3">
        <f t="shared" si="55"/>
        <v>0</v>
      </c>
      <c r="BT809" s="3">
        <f t="shared" si="55"/>
        <v>0</v>
      </c>
      <c r="BU809" s="3">
        <f t="shared" si="55"/>
        <v>0</v>
      </c>
      <c r="BV809" t="e">
        <f>VLOOKUP($H809,'1. Set Program Names'!$B$2:$D$15,3,0)*V809</f>
        <v>#N/A</v>
      </c>
      <c r="BW809" t="e">
        <f>VLOOKUP($H809,'1. Set Program Names'!$B$2:$D$15,3,0)*W809</f>
        <v>#N/A</v>
      </c>
      <c r="BX809" t="e">
        <f>VLOOKUP($H809,'1. Set Program Names'!$B$2:$D$15,3,0)*X809</f>
        <v>#N/A</v>
      </c>
      <c r="BY809" t="e">
        <f>VLOOKUP($H809,'1. Set Program Names'!$B$2:$D$15,3,0)*Y809</f>
        <v>#N/A</v>
      </c>
      <c r="BZ809" t="e">
        <f>VLOOKUP($H809,'1. Set Program Names'!$B$2:$D$15,3,0)*Z809</f>
        <v>#N/A</v>
      </c>
      <c r="CA809" t="e">
        <f>VLOOKUP($H809,'1. Set Program Names'!$B$2:$D$15,3,0)*AA809</f>
        <v>#N/A</v>
      </c>
      <c r="CB809" t="e">
        <f>VLOOKUP($H809,'1. Set Program Names'!$B$2:$D$15,3,0)*AB809</f>
        <v>#N/A</v>
      </c>
      <c r="CC809" t="e">
        <f>VLOOKUP($H809,'1. Set Program Names'!$B$2:$D$15,3,0)*AC809</f>
        <v>#N/A</v>
      </c>
      <c r="CD809" t="e">
        <f>VLOOKUP($H809,'1. Set Program Names'!$B$2:$D$15,3,0)*AD809</f>
        <v>#N/A</v>
      </c>
      <c r="CE809" t="e">
        <f>VLOOKUP($H809,'1. Set Program Names'!$B$2:$D$15,3,0)*AE809</f>
        <v>#N/A</v>
      </c>
    </row>
    <row r="810" spans="1:83" x14ac:dyDescent="0.25">
      <c r="A810" s="20" t="s">
        <v>115</v>
      </c>
      <c r="B810" s="20" t="s">
        <v>88</v>
      </c>
      <c r="C810" s="20" t="s">
        <v>176</v>
      </c>
      <c r="D810" s="20" t="s">
        <v>90</v>
      </c>
      <c r="E810" s="20" t="s">
        <v>91</v>
      </c>
      <c r="F810" s="20" t="s">
        <v>90</v>
      </c>
      <c r="G810" s="20" t="s">
        <v>92</v>
      </c>
      <c r="H810" s="20" t="s">
        <v>268</v>
      </c>
      <c r="I810" s="20" t="s">
        <v>270</v>
      </c>
      <c r="J810" s="20" t="s">
        <v>191</v>
      </c>
      <c r="K810" s="20" t="s">
        <v>98</v>
      </c>
      <c r="L810" s="20">
        <v>2628</v>
      </c>
      <c r="M810" s="20">
        <v>0.31001938633530801</v>
      </c>
      <c r="N810" s="20">
        <v>0.30291717485841702</v>
      </c>
      <c r="O810" s="20">
        <v>810.229999999999</v>
      </c>
      <c r="P810" s="20">
        <v>281.60244658368498</v>
      </c>
      <c r="Q810" s="20">
        <v>2.6280000000000001</v>
      </c>
      <c r="R810" s="20">
        <v>891.847172411815</v>
      </c>
      <c r="S810" s="20">
        <v>2113.8122303076898</v>
      </c>
      <c r="T810" s="20">
        <v>10</v>
      </c>
      <c r="U810" s="20">
        <v>1</v>
      </c>
      <c r="V810" s="20">
        <v>2.0940031881399599</v>
      </c>
      <c r="W810" s="20">
        <v>4.9965501672938402</v>
      </c>
      <c r="X810" s="20">
        <v>8.8083671531271008</v>
      </c>
      <c r="Y810" s="20">
        <v>13.6263790825087</v>
      </c>
      <c r="Z810" s="20">
        <v>19.4276991266054</v>
      </c>
      <c r="AA810" s="20">
        <v>26.138363376935501</v>
      </c>
      <c r="AB810" s="20">
        <v>33.631086430383498</v>
      </c>
      <c r="AC810" s="20">
        <v>41.741271428506103</v>
      </c>
      <c r="AD810" s="20">
        <v>50.3407410367724</v>
      </c>
      <c r="AE810" s="20">
        <v>59.3157570727493</v>
      </c>
      <c r="AF810" t="str">
        <f t="shared" si="53"/>
        <v>NonResidential</v>
      </c>
      <c r="AG810" t="str">
        <f>tbl_Data_old[[#This Row],[All_Meas_Name_Append]]</f>
        <v>Low Energy Livestock Waterer</v>
      </c>
      <c r="AH810">
        <f>AVERAGEIFS('3. Incentive Adjustment'!G:G,'3. Incentive Adjustment'!A:A,tbl_Data_old[[#This Row],[Trimmed Sector]],'3. Incentive Adjustment'!B:B,tbl_Data_old[[#This Row],[Trimmed Measure Name]])</f>
        <v>0.7537232854794027</v>
      </c>
      <c r="AI810">
        <f>$AH810*tbl_Data_old[[#This Row],[2025 ]]</f>
        <v>1.5782989627691943</v>
      </c>
      <c r="AJ810">
        <f>$AH810*tbl_Data_old[[#This Row],[2026 ]]</f>
        <v>3.7660162081553725</v>
      </c>
      <c r="AK810">
        <f>$AH810*tbl_Data_old[[#This Row],[2027 ]]</f>
        <v>6.6390714303638116</v>
      </c>
      <c r="AL810">
        <f>$AH810*tbl_Data_old[[#This Row],[2028 ]]</f>
        <v>10.270519211256266</v>
      </c>
      <c r="AM810">
        <f>$AH810*tbl_Data_old[[#This Row],[2029 ]]</f>
        <v>14.643109215010345</v>
      </c>
      <c r="AN810">
        <f>$AH810*tbl_Data_old[[#This Row],[2030 ]]</f>
        <v>19.701093121518323</v>
      </c>
      <c r="AO810">
        <f>$AH810*tbl_Data_old[[#This Row],[2031 ]]</f>
        <v>25.348532958550408</v>
      </c>
      <c r="AP810">
        <f>$AH810*tbl_Data_old[[#This Row],[2032 ]]</f>
        <v>31.461368241181141</v>
      </c>
      <c r="AQ810">
        <f>$AH810*tbl_Data_old[[#This Row],[2033 ]]</f>
        <v>37.942988727703884</v>
      </c>
      <c r="AR810">
        <f>$AH810*tbl_Data_old[[#This Row],[2034 ]]</f>
        <v>44.707667301570723</v>
      </c>
      <c r="AS810">
        <f>SUM(tbl_Data_old[[#This Row],[Adjusted 2025]:[Adjusted 2034]])</f>
        <v>196.05866537807947</v>
      </c>
      <c r="AT810" s="3">
        <f>AVERAGEIFS('3. Incentive Adjustment'!F:F,'3. Incentive Adjustment'!A:A,tbl_Data_old[[#This Row],[Trimmed Sector]],'3. Incentive Adjustment'!B:B,tbl_Data_old[[#This Row],[Trimmed Measure Name]])</f>
        <v>0</v>
      </c>
      <c r="AU810" s="3">
        <f>IFERROR(VLOOKUP(tbl_Data_old[[#This Row],[All_Meas_Name_Append]],'IRA Tax Credits'!$A$3:$D$46,4,0),0)</f>
        <v>0</v>
      </c>
      <c r="AV810" s="4">
        <f>tbl_Data_old[[#This Row],[Adj. per unit Incentive ($)]]/tbl_Data_old[[#This Row],[kWh Savings]]*tbl_Data_old[[#This Row],[Sum of Annuals]]</f>
        <v>0</v>
      </c>
      <c r="AW810" s="4" t="str">
        <f>IFERROR(VLOOKUP(tbl_Data_old[[#This Row],[All_Programs]],'1. Set Program Names'!$B$2:$D$15,3,0)*tbl_Data_old[[#This Row],[Sum of Annuals]],"")</f>
        <v/>
      </c>
      <c r="AX810" s="4">
        <f>tbl_Data_old[[#This Row],[per unit IRA tax ($)]]/tbl_Data_old[[#This Row],[kWh Savings]]*tbl_Data_old[[#This Row],[Sum of Annuals]]</f>
        <v>0</v>
      </c>
      <c r="AY810" s="4">
        <f>tbl_Data_old[[#This Row],[Avoided Costs ($/unit)]]/tbl_Data_old[[#This Row],[kWh Savings]]*tbl_Data_old[[#This Row],[Sum of Annuals]]</f>
        <v>66.535147010758891</v>
      </c>
      <c r="AZ810" s="4">
        <f>tbl_Data_old[[#This Row],[Lost Revenue ($/unit)]]/tbl_Data_old[[#This Row],[kWh Savings]]*tbl_Data_old[[#This Row],[Sum of Annuals]]</f>
        <v>157.69832752434826</v>
      </c>
      <c r="BA810" s="4">
        <f>tbl_Data_old[[#This Row],[Incremental Cost ($/unit)]]/tbl_Data_old[[#This Row],[kWh Savings]]*tbl_Data_old[[#This Row],[Sum of Annuals]]</f>
        <v>60.446199562131326</v>
      </c>
      <c r="BB810">
        <f>ROUNDUP(tbl_Data_old[[#This Row],[Adjusted 2025]]/$L810,0)</f>
        <v>1</v>
      </c>
      <c r="BC810">
        <f>ROUNDUP(tbl_Data_old[[#This Row],[Adjusted 2026]]/$L810,0)</f>
        <v>1</v>
      </c>
      <c r="BD810">
        <f>ROUNDUP(tbl_Data_old[[#This Row],[Adjusted 2027]]/$L810,0)</f>
        <v>1</v>
      </c>
      <c r="BE810">
        <f>ROUNDUP(tbl_Data_old[[#This Row],[Adjusted 2028]]/$L810,0)</f>
        <v>1</v>
      </c>
      <c r="BF810">
        <f>ROUNDUP(tbl_Data_old[[#This Row],[Adjusted 2029]]/$L810,0)</f>
        <v>1</v>
      </c>
      <c r="BG810">
        <f>ROUNDUP(tbl_Data_old[[#This Row],[Adjusted 2030]]/$L810,0)</f>
        <v>1</v>
      </c>
      <c r="BH810">
        <f>ROUNDUP(tbl_Data_old[[#This Row],[Adjusted 2031]]/$L810,0)</f>
        <v>1</v>
      </c>
      <c r="BI810">
        <f>ROUNDUP(tbl_Data_old[[#This Row],[Adjusted 2032]]/$L810,0)</f>
        <v>1</v>
      </c>
      <c r="BJ810">
        <f>ROUNDUP(tbl_Data_old[[#This Row],[Adjusted 2033]]/$L810,0)</f>
        <v>1</v>
      </c>
      <c r="BK810">
        <f>ROUNDUP(tbl_Data_old[[#This Row],[Adjusted 2034]]/$L810,0)</f>
        <v>1</v>
      </c>
      <c r="BL810" s="3">
        <f t="shared" si="56"/>
        <v>0</v>
      </c>
      <c r="BM810" s="3">
        <f t="shared" si="56"/>
        <v>0</v>
      </c>
      <c r="BN810" s="3">
        <f t="shared" si="56"/>
        <v>0</v>
      </c>
      <c r="BO810" s="3">
        <f t="shared" si="56"/>
        <v>0</v>
      </c>
      <c r="BP810" s="3">
        <f t="shared" si="56"/>
        <v>0</v>
      </c>
      <c r="BQ810" s="3">
        <f t="shared" si="55"/>
        <v>0</v>
      </c>
      <c r="BR810" s="3">
        <f t="shared" si="55"/>
        <v>0</v>
      </c>
      <c r="BS810" s="3">
        <f t="shared" si="55"/>
        <v>0</v>
      </c>
      <c r="BT810" s="3">
        <f t="shared" si="55"/>
        <v>0</v>
      </c>
      <c r="BU810" s="3">
        <f t="shared" si="55"/>
        <v>0</v>
      </c>
      <c r="BV810" t="e">
        <f>VLOOKUP($H810,'1. Set Program Names'!$B$2:$D$15,3,0)*V810</f>
        <v>#N/A</v>
      </c>
      <c r="BW810" t="e">
        <f>VLOOKUP($H810,'1. Set Program Names'!$B$2:$D$15,3,0)*W810</f>
        <v>#N/A</v>
      </c>
      <c r="BX810" t="e">
        <f>VLOOKUP($H810,'1. Set Program Names'!$B$2:$D$15,3,0)*X810</f>
        <v>#N/A</v>
      </c>
      <c r="BY810" t="e">
        <f>VLOOKUP($H810,'1. Set Program Names'!$B$2:$D$15,3,0)*Y810</f>
        <v>#N/A</v>
      </c>
      <c r="BZ810" t="e">
        <f>VLOOKUP($H810,'1. Set Program Names'!$B$2:$D$15,3,0)*Z810</f>
        <v>#N/A</v>
      </c>
      <c r="CA810" t="e">
        <f>VLOOKUP($H810,'1. Set Program Names'!$B$2:$D$15,3,0)*AA810</f>
        <v>#N/A</v>
      </c>
      <c r="CB810" t="e">
        <f>VLOOKUP($H810,'1. Set Program Names'!$B$2:$D$15,3,0)*AB810</f>
        <v>#N/A</v>
      </c>
      <c r="CC810" t="e">
        <f>VLOOKUP($H810,'1. Set Program Names'!$B$2:$D$15,3,0)*AC810</f>
        <v>#N/A</v>
      </c>
      <c r="CD810" t="e">
        <f>VLOOKUP($H810,'1. Set Program Names'!$B$2:$D$15,3,0)*AD810</f>
        <v>#N/A</v>
      </c>
      <c r="CE810" t="e">
        <f>VLOOKUP($H810,'1. Set Program Names'!$B$2:$D$15,3,0)*AE810</f>
        <v>#N/A</v>
      </c>
    </row>
    <row r="811" spans="1:83" x14ac:dyDescent="0.25">
      <c r="A811" s="20" t="s">
        <v>115</v>
      </c>
      <c r="B811" s="20" t="s">
        <v>88</v>
      </c>
      <c r="C811" s="20" t="s">
        <v>176</v>
      </c>
      <c r="D811" s="20" t="s">
        <v>90</v>
      </c>
      <c r="E811" s="20" t="s">
        <v>91</v>
      </c>
      <c r="F811" s="20" t="s">
        <v>90</v>
      </c>
      <c r="G811" s="20" t="s">
        <v>92</v>
      </c>
      <c r="H811" s="20" t="s">
        <v>268</v>
      </c>
      <c r="I811" s="20" t="s">
        <v>184</v>
      </c>
      <c r="J811" s="20" t="s">
        <v>180</v>
      </c>
      <c r="K811" s="20" t="s">
        <v>98</v>
      </c>
      <c r="L811" s="20">
        <v>3514.8091666666501</v>
      </c>
      <c r="M811" s="20">
        <v>0.421134949485237</v>
      </c>
      <c r="N811" s="20">
        <v>0.40566942535109901</v>
      </c>
      <c r="O811" s="20">
        <v>1028.8599999999999</v>
      </c>
      <c r="P811" s="20">
        <v>322.03243304134497</v>
      </c>
      <c r="Q811" s="20">
        <v>3.5148091666666499</v>
      </c>
      <c r="R811" s="20">
        <v>1184.78167438478</v>
      </c>
      <c r="S811" s="20">
        <v>2827.1105797935802</v>
      </c>
      <c r="T811" s="20">
        <v>10</v>
      </c>
      <c r="U811" s="20">
        <v>1</v>
      </c>
      <c r="V811" s="20">
        <v>0.248684347310377</v>
      </c>
      <c r="W811" s="20">
        <v>0.59165565502637496</v>
      </c>
      <c r="X811" s="20">
        <v>1.04962890500707</v>
      </c>
      <c r="Y811" s="20">
        <v>1.6456894234855599</v>
      </c>
      <c r="Z811" s="20">
        <v>2.3873789258158302</v>
      </c>
      <c r="AA811" s="20">
        <v>3.2645938232704101</v>
      </c>
      <c r="AB811" s="20">
        <v>4.2386235567826498</v>
      </c>
      <c r="AC811" s="20">
        <v>5.23964985582381</v>
      </c>
      <c r="AD811" s="20">
        <v>6.1851949896663703</v>
      </c>
      <c r="AE811" s="20">
        <v>7.0024427115054104</v>
      </c>
      <c r="AF811" t="str">
        <f t="shared" si="53"/>
        <v>NonResidential</v>
      </c>
      <c r="AG811" t="str">
        <f>tbl_Data_old[[#This Row],[All_Meas_Name_Append]]</f>
        <v>Low Pressure-drop Filters</v>
      </c>
      <c r="AH811">
        <f>AVERAGEIFS('3. Incentive Adjustment'!G:G,'3. Incentive Adjustment'!A:A,tbl_Data_old[[#This Row],[Trimmed Sector]],'3. Incentive Adjustment'!B:B,tbl_Data_old[[#This Row],[Trimmed Measure Name]])</f>
        <v>0.78525588861759776</v>
      </c>
      <c r="AI811">
        <f>$AH811*tbl_Data_old[[#This Row],[2025 ]]</f>
        <v>0.19528084813249741</v>
      </c>
      <c r="AJ811">
        <f>$AH811*tbl_Data_old[[#This Row],[2026 ]]</f>
        <v>0.46460108714336296</v>
      </c>
      <c r="AK811">
        <f>$AH811*tbl_Data_old[[#This Row],[2027 ]]</f>
        <v>0.82422727852004285</v>
      </c>
      <c r="AL811">
        <f>$AH811*tbl_Data_old[[#This Row],[2028 ]]</f>
        <v>1.2922873106277355</v>
      </c>
      <c r="AM811">
        <f>$AH811*tbl_Data_old[[#This Row],[2029 ]]</f>
        <v>1.8747033598584357</v>
      </c>
      <c r="AN811">
        <f>$AH811*tbl_Data_old[[#This Row],[2030 ]]</f>
        <v>2.5635415236677268</v>
      </c>
      <c r="AO811">
        <f>$AH811*tbl_Data_old[[#This Row],[2031 ]]</f>
        <v>3.3284041075968425</v>
      </c>
      <c r="AP811">
        <f>$AH811*tbl_Data_old[[#This Row],[2032 ]]</f>
        <v>4.114465903579994</v>
      </c>
      <c r="AQ811">
        <f>$AH811*tbl_Data_old[[#This Row],[2033 ]]</f>
        <v>4.8569607878835788</v>
      </c>
      <c r="AR811">
        <f>$AH811*tbl_Data_old[[#This Row],[2034 ]]</f>
        <v>5.4987093739170021</v>
      </c>
      <c r="AS811">
        <f>SUM(tbl_Data_old[[#This Row],[Adjusted 2025]:[Adjusted 2034]])</f>
        <v>25.01318158092722</v>
      </c>
      <c r="AT811" s="3">
        <f>AVERAGEIFS('3. Incentive Adjustment'!F:F,'3. Incentive Adjustment'!A:A,tbl_Data_old[[#This Row],[Trimmed Sector]],'3. Incentive Adjustment'!B:B,tbl_Data_old[[#This Row],[Trimmed Measure Name]])</f>
        <v>0</v>
      </c>
      <c r="AU811" s="3">
        <f>IFERROR(VLOOKUP(tbl_Data_old[[#This Row],[All_Meas_Name_Append]],'IRA Tax Credits'!$A$3:$D$46,4,0),0)</f>
        <v>0</v>
      </c>
      <c r="AV811" s="4">
        <f>tbl_Data_old[[#This Row],[Adj. per unit Incentive ($)]]/tbl_Data_old[[#This Row],[kWh Savings]]*tbl_Data_old[[#This Row],[Sum of Annuals]]</f>
        <v>0</v>
      </c>
      <c r="AW811" s="4" t="str">
        <f>IFERROR(VLOOKUP(tbl_Data_old[[#This Row],[All_Programs]],'1. Set Program Names'!$B$2:$D$15,3,0)*tbl_Data_old[[#This Row],[Sum of Annuals]],"")</f>
        <v/>
      </c>
      <c r="AX811" s="4">
        <f>tbl_Data_old[[#This Row],[per unit IRA tax ($)]]/tbl_Data_old[[#This Row],[kWh Savings]]*tbl_Data_old[[#This Row],[Sum of Annuals]]</f>
        <v>0</v>
      </c>
      <c r="AY811" s="4">
        <f>tbl_Data_old[[#This Row],[Avoided Costs ($/unit)]]/tbl_Data_old[[#This Row],[kWh Savings]]*tbl_Data_old[[#This Row],[Sum of Annuals]]</f>
        <v>8.4315129925664429</v>
      </c>
      <c r="AZ811" s="4">
        <f>tbl_Data_old[[#This Row],[Lost Revenue ($/unit)]]/tbl_Data_old[[#This Row],[kWh Savings]]*tbl_Data_old[[#This Row],[Sum of Annuals]]</f>
        <v>20.119166341198966</v>
      </c>
      <c r="BA811" s="4">
        <f>tbl_Data_old[[#This Row],[Incremental Cost ($/unit)]]/tbl_Data_old[[#This Row],[kWh Savings]]*tbl_Data_old[[#This Row],[Sum of Annuals]]</f>
        <v>7.3218945271385003</v>
      </c>
      <c r="BB811">
        <f>ROUNDUP(tbl_Data_old[[#This Row],[Adjusted 2025]]/$L811,0)</f>
        <v>1</v>
      </c>
      <c r="BC811">
        <f>ROUNDUP(tbl_Data_old[[#This Row],[Adjusted 2026]]/$L811,0)</f>
        <v>1</v>
      </c>
      <c r="BD811">
        <f>ROUNDUP(tbl_Data_old[[#This Row],[Adjusted 2027]]/$L811,0)</f>
        <v>1</v>
      </c>
      <c r="BE811">
        <f>ROUNDUP(tbl_Data_old[[#This Row],[Adjusted 2028]]/$L811,0)</f>
        <v>1</v>
      </c>
      <c r="BF811">
        <f>ROUNDUP(tbl_Data_old[[#This Row],[Adjusted 2029]]/$L811,0)</f>
        <v>1</v>
      </c>
      <c r="BG811">
        <f>ROUNDUP(tbl_Data_old[[#This Row],[Adjusted 2030]]/$L811,0)</f>
        <v>1</v>
      </c>
      <c r="BH811">
        <f>ROUNDUP(tbl_Data_old[[#This Row],[Adjusted 2031]]/$L811,0)</f>
        <v>1</v>
      </c>
      <c r="BI811">
        <f>ROUNDUP(tbl_Data_old[[#This Row],[Adjusted 2032]]/$L811,0)</f>
        <v>1</v>
      </c>
      <c r="BJ811">
        <f>ROUNDUP(tbl_Data_old[[#This Row],[Adjusted 2033]]/$L811,0)</f>
        <v>1</v>
      </c>
      <c r="BK811">
        <f>ROUNDUP(tbl_Data_old[[#This Row],[Adjusted 2034]]/$L811,0)</f>
        <v>1</v>
      </c>
      <c r="BL811" s="3">
        <f t="shared" si="56"/>
        <v>0</v>
      </c>
      <c r="BM811" s="3">
        <f t="shared" si="56"/>
        <v>0</v>
      </c>
      <c r="BN811" s="3">
        <f t="shared" si="56"/>
        <v>0</v>
      </c>
      <c r="BO811" s="3">
        <f t="shared" si="56"/>
        <v>0</v>
      </c>
      <c r="BP811" s="3">
        <f t="shared" si="56"/>
        <v>0</v>
      </c>
      <c r="BQ811" s="3">
        <f t="shared" si="55"/>
        <v>0</v>
      </c>
      <c r="BR811" s="3">
        <f t="shared" si="55"/>
        <v>0</v>
      </c>
      <c r="BS811" s="3">
        <f t="shared" si="55"/>
        <v>0</v>
      </c>
      <c r="BT811" s="3">
        <f t="shared" si="55"/>
        <v>0</v>
      </c>
      <c r="BU811" s="3">
        <f t="shared" si="55"/>
        <v>0</v>
      </c>
      <c r="BV811" t="e">
        <f>VLOOKUP($H811,'1. Set Program Names'!$B$2:$D$15,3,0)*V811</f>
        <v>#N/A</v>
      </c>
      <c r="BW811" t="e">
        <f>VLOOKUP($H811,'1. Set Program Names'!$B$2:$D$15,3,0)*W811</f>
        <v>#N/A</v>
      </c>
      <c r="BX811" t="e">
        <f>VLOOKUP($H811,'1. Set Program Names'!$B$2:$D$15,3,0)*X811</f>
        <v>#N/A</v>
      </c>
      <c r="BY811" t="e">
        <f>VLOOKUP($H811,'1. Set Program Names'!$B$2:$D$15,3,0)*Y811</f>
        <v>#N/A</v>
      </c>
      <c r="BZ811" t="e">
        <f>VLOOKUP($H811,'1. Set Program Names'!$B$2:$D$15,3,0)*Z811</f>
        <v>#N/A</v>
      </c>
      <c r="CA811" t="e">
        <f>VLOOKUP($H811,'1. Set Program Names'!$B$2:$D$15,3,0)*AA811</f>
        <v>#N/A</v>
      </c>
      <c r="CB811" t="e">
        <f>VLOOKUP($H811,'1. Set Program Names'!$B$2:$D$15,3,0)*AB811</f>
        <v>#N/A</v>
      </c>
      <c r="CC811" t="e">
        <f>VLOOKUP($H811,'1. Set Program Names'!$B$2:$D$15,3,0)*AC811</f>
        <v>#N/A</v>
      </c>
      <c r="CD811" t="e">
        <f>VLOOKUP($H811,'1. Set Program Names'!$B$2:$D$15,3,0)*AD811</f>
        <v>#N/A</v>
      </c>
      <c r="CE811" t="e">
        <f>VLOOKUP($H811,'1. Set Program Names'!$B$2:$D$15,3,0)*AE811</f>
        <v>#N/A</v>
      </c>
    </row>
    <row r="812" spans="1:83" x14ac:dyDescent="0.25">
      <c r="A812" s="20" t="s">
        <v>115</v>
      </c>
      <c r="B812" s="20" t="s">
        <v>88</v>
      </c>
      <c r="C812" s="20" t="s">
        <v>176</v>
      </c>
      <c r="D812" s="20" t="s">
        <v>90</v>
      </c>
      <c r="E812" s="20" t="s">
        <v>91</v>
      </c>
      <c r="F812" s="20" t="s">
        <v>90</v>
      </c>
      <c r="G812" s="20" t="s">
        <v>92</v>
      </c>
      <c r="H812" s="20" t="s">
        <v>268</v>
      </c>
      <c r="I812" s="20" t="s">
        <v>271</v>
      </c>
      <c r="J812" s="20" t="s">
        <v>180</v>
      </c>
      <c r="K812" s="20" t="s">
        <v>272</v>
      </c>
      <c r="L812" s="20">
        <v>8742.5400000000009</v>
      </c>
      <c r="M812" s="20">
        <v>1.04876812955413</v>
      </c>
      <c r="N812" s="20">
        <v>1.0098733971376099</v>
      </c>
      <c r="O812" s="20">
        <v>3543.39</v>
      </c>
      <c r="P812" s="20">
        <v>1784.8102698461601</v>
      </c>
      <c r="Q812" s="20">
        <v>8.74254</v>
      </c>
      <c r="R812" s="20">
        <v>3737.3935784201899</v>
      </c>
      <c r="S812" s="20">
        <v>9285.1929731405908</v>
      </c>
      <c r="T812" s="20">
        <v>15</v>
      </c>
      <c r="U812" s="20">
        <v>1</v>
      </c>
      <c r="V812" s="20">
        <v>1.9428503969426001E-2</v>
      </c>
      <c r="W812" s="20">
        <v>4.46402611686193E-2</v>
      </c>
      <c r="X812" s="20">
        <v>7.6536116994090797E-2</v>
      </c>
      <c r="Y812" s="20">
        <v>0.116353296122241</v>
      </c>
      <c r="Z812" s="20">
        <v>0.16451142071592501</v>
      </c>
      <c r="AA812" s="20">
        <v>0.22119243213234499</v>
      </c>
      <c r="AB812" s="20">
        <v>0.285808166359725</v>
      </c>
      <c r="AC812" s="20">
        <v>0.35660955263330502</v>
      </c>
      <c r="AD812" s="20">
        <v>0.43114955122492898</v>
      </c>
      <c r="AE812" s="20">
        <v>0.50607917155215898</v>
      </c>
      <c r="AF812" t="str">
        <f t="shared" si="53"/>
        <v>NonResidential</v>
      </c>
      <c r="AG812" t="str">
        <f>tbl_Data_old[[#This Row],[All_Meas_Name_Append]]</f>
        <v>Milk Pre-Cooler</v>
      </c>
      <c r="AH812">
        <f>AVERAGEIFS('3. Incentive Adjustment'!G:G,'3. Incentive Adjustment'!A:A,tbl_Data_old[[#This Row],[Trimmed Sector]],'3. Incentive Adjustment'!B:B,tbl_Data_old[[#This Row],[Trimmed Measure Name]])</f>
        <v>0.58352930274688986</v>
      </c>
      <c r="AI812">
        <f>$AH812*tbl_Data_old[[#This Row],[2025 ]]</f>
        <v>1.1337101374694337E-2</v>
      </c>
      <c r="AJ812">
        <f>$AH812*tbl_Data_old[[#This Row],[2026 ]]</f>
        <v>2.6048900474163483E-2</v>
      </c>
      <c r="AK812">
        <f>$AH812*tbl_Data_old[[#This Row],[2027 ]]</f>
        <v>4.466106698451619E-2</v>
      </c>
      <c r="AL812">
        <f>$AH812*tbl_Data_old[[#This Row],[2028 ]]</f>
        <v>6.7895557758513692E-2</v>
      </c>
      <c r="AM812">
        <f>$AH812*tbl_Data_old[[#This Row],[2029 ]]</f>
        <v>9.5997234624263975E-2</v>
      </c>
      <c r="AN812">
        <f>$AH812*tbl_Data_old[[#This Row],[2030 ]]</f>
        <v>0.12907226569507602</v>
      </c>
      <c r="AO812">
        <f>$AH812*tbl_Data_old[[#This Row],[2031 ]]</f>
        <v>0.16677744003525743</v>
      </c>
      <c r="AP812">
        <f>$AH812*tbl_Data_old[[#This Row],[2032 ]]</f>
        <v>0.2080921236009928</v>
      </c>
      <c r="AQ812">
        <f>$AH812*tbl_Data_old[[#This Row],[2033 ]]</f>
        <v>0.25158839700591729</v>
      </c>
      <c r="AR812">
        <f>$AH812*tbl_Data_old[[#This Row],[2034 ]]</f>
        <v>0.29531202611055496</v>
      </c>
      <c r="AS812">
        <f>SUM(tbl_Data_old[[#This Row],[Adjusted 2025]:[Adjusted 2034]])</f>
        <v>1.2967821136639501</v>
      </c>
      <c r="AT812" s="3">
        <f>AVERAGEIFS('3. Incentive Adjustment'!F:F,'3. Incentive Adjustment'!A:A,tbl_Data_old[[#This Row],[Trimmed Sector]],'3. Incentive Adjustment'!B:B,tbl_Data_old[[#This Row],[Trimmed Measure Name]])</f>
        <v>0</v>
      </c>
      <c r="AU812" s="3">
        <f>IFERROR(VLOOKUP(tbl_Data_old[[#This Row],[All_Meas_Name_Append]],'IRA Tax Credits'!$A$3:$D$46,4,0),0)</f>
        <v>0</v>
      </c>
      <c r="AV812" s="4">
        <f>tbl_Data_old[[#This Row],[Adj. per unit Incentive ($)]]/tbl_Data_old[[#This Row],[kWh Savings]]*tbl_Data_old[[#This Row],[Sum of Annuals]]</f>
        <v>0</v>
      </c>
      <c r="AW812" s="4" t="str">
        <f>IFERROR(VLOOKUP(tbl_Data_old[[#This Row],[All_Programs]],'1. Set Program Names'!$B$2:$D$15,3,0)*tbl_Data_old[[#This Row],[Sum of Annuals]],"")</f>
        <v/>
      </c>
      <c r="AX812" s="4">
        <f>tbl_Data_old[[#This Row],[per unit IRA tax ($)]]/tbl_Data_old[[#This Row],[kWh Savings]]*tbl_Data_old[[#This Row],[Sum of Annuals]]</f>
        <v>0</v>
      </c>
      <c r="AY812" s="4">
        <f>tbl_Data_old[[#This Row],[Avoided Costs ($/unit)]]/tbl_Data_old[[#This Row],[kWh Savings]]*tbl_Data_old[[#This Row],[Sum of Annuals]]</f>
        <v>0.55436808344231858</v>
      </c>
      <c r="AZ812" s="4">
        <f>tbl_Data_old[[#This Row],[Lost Revenue ($/unit)]]/tbl_Data_old[[#This Row],[kWh Savings]]*tbl_Data_old[[#This Row],[Sum of Annuals]]</f>
        <v>1.3772739008900059</v>
      </c>
      <c r="BA812" s="4">
        <f>tbl_Data_old[[#This Row],[Incremental Cost ($/unit)]]/tbl_Data_old[[#This Row],[kWh Savings]]*tbl_Data_old[[#This Row],[Sum of Annuals]]</f>
        <v>0.52559150701463231</v>
      </c>
      <c r="BB812">
        <f>ROUNDUP(tbl_Data_old[[#This Row],[Adjusted 2025]]/$L812,0)</f>
        <v>1</v>
      </c>
      <c r="BC812">
        <f>ROUNDUP(tbl_Data_old[[#This Row],[Adjusted 2026]]/$L812,0)</f>
        <v>1</v>
      </c>
      <c r="BD812">
        <f>ROUNDUP(tbl_Data_old[[#This Row],[Adjusted 2027]]/$L812,0)</f>
        <v>1</v>
      </c>
      <c r="BE812">
        <f>ROUNDUP(tbl_Data_old[[#This Row],[Adjusted 2028]]/$L812,0)</f>
        <v>1</v>
      </c>
      <c r="BF812">
        <f>ROUNDUP(tbl_Data_old[[#This Row],[Adjusted 2029]]/$L812,0)</f>
        <v>1</v>
      </c>
      <c r="BG812">
        <f>ROUNDUP(tbl_Data_old[[#This Row],[Adjusted 2030]]/$L812,0)</f>
        <v>1</v>
      </c>
      <c r="BH812">
        <f>ROUNDUP(tbl_Data_old[[#This Row],[Adjusted 2031]]/$L812,0)</f>
        <v>1</v>
      </c>
      <c r="BI812">
        <f>ROUNDUP(tbl_Data_old[[#This Row],[Adjusted 2032]]/$L812,0)</f>
        <v>1</v>
      </c>
      <c r="BJ812">
        <f>ROUNDUP(tbl_Data_old[[#This Row],[Adjusted 2033]]/$L812,0)</f>
        <v>1</v>
      </c>
      <c r="BK812">
        <f>ROUNDUP(tbl_Data_old[[#This Row],[Adjusted 2034]]/$L812,0)</f>
        <v>1</v>
      </c>
      <c r="BL812" s="3">
        <f t="shared" si="56"/>
        <v>0</v>
      </c>
      <c r="BM812" s="3">
        <f t="shared" si="56"/>
        <v>0</v>
      </c>
      <c r="BN812" s="3">
        <f t="shared" si="56"/>
        <v>0</v>
      </c>
      <c r="BO812" s="3">
        <f t="shared" si="56"/>
        <v>0</v>
      </c>
      <c r="BP812" s="3">
        <f t="shared" si="56"/>
        <v>0</v>
      </c>
      <c r="BQ812" s="3">
        <f t="shared" si="55"/>
        <v>0</v>
      </c>
      <c r="BR812" s="3">
        <f t="shared" si="55"/>
        <v>0</v>
      </c>
      <c r="BS812" s="3">
        <f t="shared" si="55"/>
        <v>0</v>
      </c>
      <c r="BT812" s="3">
        <f t="shared" si="55"/>
        <v>0</v>
      </c>
      <c r="BU812" s="3">
        <f t="shared" si="55"/>
        <v>0</v>
      </c>
      <c r="BV812" t="e">
        <f>VLOOKUP($H812,'1. Set Program Names'!$B$2:$D$15,3,0)*V812</f>
        <v>#N/A</v>
      </c>
      <c r="BW812" t="e">
        <f>VLOOKUP($H812,'1. Set Program Names'!$B$2:$D$15,3,0)*W812</f>
        <v>#N/A</v>
      </c>
      <c r="BX812" t="e">
        <f>VLOOKUP($H812,'1. Set Program Names'!$B$2:$D$15,3,0)*X812</f>
        <v>#N/A</v>
      </c>
      <c r="BY812" t="e">
        <f>VLOOKUP($H812,'1. Set Program Names'!$B$2:$D$15,3,0)*Y812</f>
        <v>#N/A</v>
      </c>
      <c r="BZ812" t="e">
        <f>VLOOKUP($H812,'1. Set Program Names'!$B$2:$D$15,3,0)*Z812</f>
        <v>#N/A</v>
      </c>
      <c r="CA812" t="e">
        <f>VLOOKUP($H812,'1. Set Program Names'!$B$2:$D$15,3,0)*AA812</f>
        <v>#N/A</v>
      </c>
      <c r="CB812" t="e">
        <f>VLOOKUP($H812,'1. Set Program Names'!$B$2:$D$15,3,0)*AB812</f>
        <v>#N/A</v>
      </c>
      <c r="CC812" t="e">
        <f>VLOOKUP($H812,'1. Set Program Names'!$B$2:$D$15,3,0)*AC812</f>
        <v>#N/A</v>
      </c>
      <c r="CD812" t="e">
        <f>VLOOKUP($H812,'1. Set Program Names'!$B$2:$D$15,3,0)*AD812</f>
        <v>#N/A</v>
      </c>
      <c r="CE812" t="e">
        <f>VLOOKUP($H812,'1. Set Program Names'!$B$2:$D$15,3,0)*AE812</f>
        <v>#N/A</v>
      </c>
    </row>
    <row r="813" spans="1:83" x14ac:dyDescent="0.25">
      <c r="A813" s="20" t="s">
        <v>115</v>
      </c>
      <c r="B813" s="20" t="s">
        <v>88</v>
      </c>
      <c r="C813" s="20" t="s">
        <v>176</v>
      </c>
      <c r="D813" s="20" t="s">
        <v>90</v>
      </c>
      <c r="E813" s="20" t="s">
        <v>91</v>
      </c>
      <c r="F813" s="20" t="s">
        <v>90</v>
      </c>
      <c r="G813" s="20" t="s">
        <v>92</v>
      </c>
      <c r="H813" s="20" t="s">
        <v>268</v>
      </c>
      <c r="I813" s="20" t="s">
        <v>190</v>
      </c>
      <c r="J813" s="20" t="s">
        <v>191</v>
      </c>
      <c r="K813" s="20" t="s">
        <v>98</v>
      </c>
      <c r="L813" s="20">
        <v>1561.28</v>
      </c>
      <c r="M813" s="20">
        <v>0.18418077149832199</v>
      </c>
      <c r="N813" s="20">
        <v>0.17996138765713399</v>
      </c>
      <c r="O813" s="20">
        <v>490</v>
      </c>
      <c r="P813" s="20">
        <v>175.94534756551599</v>
      </c>
      <c r="Q813" s="20">
        <v>1.56128</v>
      </c>
      <c r="R813" s="20">
        <v>649.62503581485396</v>
      </c>
      <c r="S813" s="20">
        <v>1586.7572850213601</v>
      </c>
      <c r="T813" s="20">
        <v>14</v>
      </c>
      <c r="U813" s="20">
        <v>0.999999999999999</v>
      </c>
      <c r="V813" s="20">
        <v>1.7088084855508201</v>
      </c>
      <c r="W813" s="20">
        <v>3.6527440691497999</v>
      </c>
      <c r="X813" s="20">
        <v>5.8015966705064796</v>
      </c>
      <c r="Y813" s="20">
        <v>8.1532442616418006</v>
      </c>
      <c r="Z813" s="20">
        <v>10.6807549405857</v>
      </c>
      <c r="AA813" s="20">
        <v>13.3719898934987</v>
      </c>
      <c r="AB813" s="20">
        <v>16.217268189117</v>
      </c>
      <c r="AC813" s="20">
        <v>19.202547575680299</v>
      </c>
      <c r="AD813" s="20">
        <v>22.325002602861598</v>
      </c>
      <c r="AE813" s="20">
        <v>25.577616534223999</v>
      </c>
      <c r="AF813" t="str">
        <f t="shared" si="53"/>
        <v>NonResidential</v>
      </c>
      <c r="AG813" t="str">
        <f>tbl_Data_old[[#This Row],[All_Meas_Name_Append]]</f>
        <v>Synchronous Belt on 15hp ODP Motor</v>
      </c>
      <c r="AH813">
        <f>AVERAGEIFS('3. Incentive Adjustment'!G:G,'3. Incentive Adjustment'!A:A,tbl_Data_old[[#This Row],[Trimmed Sector]],'3. Incentive Adjustment'!B:B,tbl_Data_old[[#This Row],[Trimmed Measure Name]])</f>
        <v>0.74278916032473408</v>
      </c>
      <c r="AI813">
        <f>$AH813*tbl_Data_old[[#This Row],[2025 ]]</f>
        <v>1.2692844201380742</v>
      </c>
      <c r="AJ813">
        <f>$AH813*tbl_Data_old[[#This Row],[2026 ]]</f>
        <v>2.7132187000049321</v>
      </c>
      <c r="AK813">
        <f>$AH813*tbl_Data_old[[#This Row],[2027 ]]</f>
        <v>4.3093631194282809</v>
      </c>
      <c r="AL813">
        <f>$AH813*tbl_Data_old[[#This Row],[2028 ]]</f>
        <v>6.0561414590273692</v>
      </c>
      <c r="AM813">
        <f>$AH813*tbl_Data_old[[#This Row],[2029 ]]</f>
        <v>7.9335489939519075</v>
      </c>
      <c r="AN813">
        <f>$AH813*tbl_Data_old[[#This Row],[2030 ]]</f>
        <v>9.9325691448627289</v>
      </c>
      <c r="AO813">
        <f>$AH813*tbl_Data_old[[#This Row],[2031 ]]</f>
        <v>12.046011020955238</v>
      </c>
      <c r="AP813">
        <f>$AH813*tbl_Data_old[[#This Row],[2032 ]]</f>
        <v>14.263444189835328</v>
      </c>
      <c r="AQ813">
        <f>$AH813*tbl_Data_old[[#This Row],[2033 ]]</f>
        <v>16.58276993762707</v>
      </c>
      <c r="AR813">
        <f>$AH813*tbl_Data_old[[#This Row],[2034 ]]</f>
        <v>18.998776308564278</v>
      </c>
      <c r="AS813">
        <f>SUM(tbl_Data_old[[#This Row],[Adjusted 2025]:[Adjusted 2034]])</f>
        <v>94.105127294395189</v>
      </c>
      <c r="AT813" s="3">
        <f>AVERAGEIFS('3. Incentive Adjustment'!F:F,'3. Incentive Adjustment'!A:A,tbl_Data_old[[#This Row],[Trimmed Sector]],'3. Incentive Adjustment'!B:B,tbl_Data_old[[#This Row],[Trimmed Measure Name]])</f>
        <v>0</v>
      </c>
      <c r="AU813" s="3">
        <f>IFERROR(VLOOKUP(tbl_Data_old[[#This Row],[All_Meas_Name_Append]],'IRA Tax Credits'!$A$3:$D$46,4,0),0)</f>
        <v>0</v>
      </c>
      <c r="AV813" s="4">
        <f>tbl_Data_old[[#This Row],[Adj. per unit Incentive ($)]]/tbl_Data_old[[#This Row],[kWh Savings]]*tbl_Data_old[[#This Row],[Sum of Annuals]]</f>
        <v>0</v>
      </c>
      <c r="AW813" s="4" t="str">
        <f>IFERROR(VLOOKUP(tbl_Data_old[[#This Row],[All_Programs]],'1. Set Program Names'!$B$2:$D$15,3,0)*tbl_Data_old[[#This Row],[Sum of Annuals]],"")</f>
        <v/>
      </c>
      <c r="AX813" s="4">
        <f>tbl_Data_old[[#This Row],[per unit IRA tax ($)]]/tbl_Data_old[[#This Row],[kWh Savings]]*tbl_Data_old[[#This Row],[Sum of Annuals]]</f>
        <v>0</v>
      </c>
      <c r="AY813" s="4">
        <f>tbl_Data_old[[#This Row],[Avoided Costs ($/unit)]]/tbl_Data_old[[#This Row],[kWh Savings]]*tbl_Data_old[[#This Row],[Sum of Annuals]]</f>
        <v>39.155722669209155</v>
      </c>
      <c r="AZ813" s="4">
        <f>tbl_Data_old[[#This Row],[Lost Revenue ($/unit)]]/tbl_Data_old[[#This Row],[kWh Savings]]*tbl_Data_old[[#This Row],[Sum of Annuals]]</f>
        <v>95.640753927702903</v>
      </c>
      <c r="BA813" s="4">
        <f>tbl_Data_old[[#This Row],[Incremental Cost ($/unit)]]/tbl_Data_old[[#This Row],[kWh Savings]]*tbl_Data_old[[#This Row],[Sum of Annuals]]</f>
        <v>29.534428401218001</v>
      </c>
      <c r="BB813">
        <f>ROUNDUP(tbl_Data_old[[#This Row],[Adjusted 2025]]/$L813,0)</f>
        <v>1</v>
      </c>
      <c r="BC813">
        <f>ROUNDUP(tbl_Data_old[[#This Row],[Adjusted 2026]]/$L813,0)</f>
        <v>1</v>
      </c>
      <c r="BD813">
        <f>ROUNDUP(tbl_Data_old[[#This Row],[Adjusted 2027]]/$L813,0)</f>
        <v>1</v>
      </c>
      <c r="BE813">
        <f>ROUNDUP(tbl_Data_old[[#This Row],[Adjusted 2028]]/$L813,0)</f>
        <v>1</v>
      </c>
      <c r="BF813">
        <f>ROUNDUP(tbl_Data_old[[#This Row],[Adjusted 2029]]/$L813,0)</f>
        <v>1</v>
      </c>
      <c r="BG813">
        <f>ROUNDUP(tbl_Data_old[[#This Row],[Adjusted 2030]]/$L813,0)</f>
        <v>1</v>
      </c>
      <c r="BH813">
        <f>ROUNDUP(tbl_Data_old[[#This Row],[Adjusted 2031]]/$L813,0)</f>
        <v>1</v>
      </c>
      <c r="BI813">
        <f>ROUNDUP(tbl_Data_old[[#This Row],[Adjusted 2032]]/$L813,0)</f>
        <v>1</v>
      </c>
      <c r="BJ813">
        <f>ROUNDUP(tbl_Data_old[[#This Row],[Adjusted 2033]]/$L813,0)</f>
        <v>1</v>
      </c>
      <c r="BK813">
        <f>ROUNDUP(tbl_Data_old[[#This Row],[Adjusted 2034]]/$L813,0)</f>
        <v>1</v>
      </c>
      <c r="BL813" s="3">
        <f t="shared" si="56"/>
        <v>0</v>
      </c>
      <c r="BM813" s="3">
        <f t="shared" si="56"/>
        <v>0</v>
      </c>
      <c r="BN813" s="3">
        <f t="shared" si="56"/>
        <v>0</v>
      </c>
      <c r="BO813" s="3">
        <f t="shared" si="56"/>
        <v>0</v>
      </c>
      <c r="BP813" s="3">
        <f t="shared" si="56"/>
        <v>0</v>
      </c>
      <c r="BQ813" s="3">
        <f t="shared" si="55"/>
        <v>0</v>
      </c>
      <c r="BR813" s="3">
        <f t="shared" si="55"/>
        <v>0</v>
      </c>
      <c r="BS813" s="3">
        <f t="shared" si="55"/>
        <v>0</v>
      </c>
      <c r="BT813" s="3">
        <f t="shared" si="55"/>
        <v>0</v>
      </c>
      <c r="BU813" s="3">
        <f t="shared" si="55"/>
        <v>0</v>
      </c>
      <c r="BV813" t="e">
        <f>VLOOKUP($H813,'1. Set Program Names'!$B$2:$D$15,3,0)*V813</f>
        <v>#N/A</v>
      </c>
      <c r="BW813" t="e">
        <f>VLOOKUP($H813,'1. Set Program Names'!$B$2:$D$15,3,0)*W813</f>
        <v>#N/A</v>
      </c>
      <c r="BX813" t="e">
        <f>VLOOKUP($H813,'1. Set Program Names'!$B$2:$D$15,3,0)*X813</f>
        <v>#N/A</v>
      </c>
      <c r="BY813" t="e">
        <f>VLOOKUP($H813,'1. Set Program Names'!$B$2:$D$15,3,0)*Y813</f>
        <v>#N/A</v>
      </c>
      <c r="BZ813" t="e">
        <f>VLOOKUP($H813,'1. Set Program Names'!$B$2:$D$15,3,0)*Z813</f>
        <v>#N/A</v>
      </c>
      <c r="CA813" t="e">
        <f>VLOOKUP($H813,'1. Set Program Names'!$B$2:$D$15,3,0)*AA813</f>
        <v>#N/A</v>
      </c>
      <c r="CB813" t="e">
        <f>VLOOKUP($H813,'1. Set Program Names'!$B$2:$D$15,3,0)*AB813</f>
        <v>#N/A</v>
      </c>
      <c r="CC813" t="e">
        <f>VLOOKUP($H813,'1. Set Program Names'!$B$2:$D$15,3,0)*AC813</f>
        <v>#N/A</v>
      </c>
      <c r="CD813" t="e">
        <f>VLOOKUP($H813,'1. Set Program Names'!$B$2:$D$15,3,0)*AD813</f>
        <v>#N/A</v>
      </c>
      <c r="CE813" t="e">
        <f>VLOOKUP($H813,'1. Set Program Names'!$B$2:$D$15,3,0)*AE813</f>
        <v>#N/A</v>
      </c>
    </row>
    <row r="814" spans="1:83" x14ac:dyDescent="0.25">
      <c r="A814" s="20" t="s">
        <v>115</v>
      </c>
      <c r="B814" s="20" t="s">
        <v>88</v>
      </c>
      <c r="C814" s="20" t="s">
        <v>176</v>
      </c>
      <c r="D814" s="20" t="s">
        <v>90</v>
      </c>
      <c r="E814" s="20" t="s">
        <v>91</v>
      </c>
      <c r="F814" s="20" t="s">
        <v>90</v>
      </c>
      <c r="G814" s="20" t="s">
        <v>92</v>
      </c>
      <c r="H814" s="20" t="s">
        <v>268</v>
      </c>
      <c r="I814" s="20" t="s">
        <v>192</v>
      </c>
      <c r="J814" s="20" t="s">
        <v>191</v>
      </c>
      <c r="K814" s="20" t="s">
        <v>98</v>
      </c>
      <c r="L814" s="20">
        <v>437.76000000000101</v>
      </c>
      <c r="M814" s="20">
        <v>5.1641585449826798E-2</v>
      </c>
      <c r="N814" s="20">
        <v>5.0458532140799497E-2</v>
      </c>
      <c r="O814" s="20">
        <v>163</v>
      </c>
      <c r="P814" s="20">
        <v>74.943684252843894</v>
      </c>
      <c r="Q814" s="20">
        <v>0.43776000000000098</v>
      </c>
      <c r="R814" s="20">
        <v>182.14532670521001</v>
      </c>
      <c r="S814" s="20">
        <v>444.90345683730902</v>
      </c>
      <c r="T814" s="20">
        <v>14</v>
      </c>
      <c r="U814" s="20">
        <v>0.999999999999999</v>
      </c>
      <c r="V814" s="20">
        <v>1.7040495366723001</v>
      </c>
      <c r="W814" s="20">
        <v>3.6419478567464401</v>
      </c>
      <c r="X814" s="20">
        <v>5.78350773246407</v>
      </c>
      <c r="Y814" s="20">
        <v>8.12656811111985</v>
      </c>
      <c r="Z814" s="20">
        <v>10.644268141927901</v>
      </c>
      <c r="AA814" s="20">
        <v>13.3245065081675</v>
      </c>
      <c r="AB814" s="20">
        <v>16.1576425719037</v>
      </c>
      <c r="AC814" s="20">
        <v>19.129702879021</v>
      </c>
      <c r="AD814" s="20">
        <v>22.2378885872171</v>
      </c>
      <c r="AE814" s="20">
        <v>25.475231731713698</v>
      </c>
      <c r="AF814" t="str">
        <f t="shared" si="53"/>
        <v>NonResidential</v>
      </c>
      <c r="AG814" t="str">
        <f>tbl_Data_old[[#This Row],[All_Meas_Name_Append]]</f>
        <v>Synchronous Belt on 5hp ODP Motor</v>
      </c>
      <c r="AH814">
        <f>AVERAGEIFS('3. Incentive Adjustment'!G:G,'3. Incentive Adjustment'!A:A,tbl_Data_old[[#This Row],[Trimmed Sector]],'3. Incentive Adjustment'!B:B,tbl_Data_old[[#This Row],[Trimmed Measure Name]])</f>
        <v>0.63653870706597271</v>
      </c>
      <c r="AI814">
        <f>$AH814*tbl_Data_old[[#This Row],[2025 ]]</f>
        <v>1.0846934888497557</v>
      </c>
      <c r="AJ814">
        <f>$AH814*tbl_Data_old[[#This Row],[2026 ]]</f>
        <v>2.3182407799350693</v>
      </c>
      <c r="AK814">
        <f>$AH814*tbl_Data_old[[#This Row],[2027 ]]</f>
        <v>3.6814265343287347</v>
      </c>
      <c r="AL814">
        <f>$AH814*tbl_Data_old[[#This Row],[2028 ]]</f>
        <v>5.1728751583357937</v>
      </c>
      <c r="AM814">
        <f>$AH814*tbl_Data_old[[#This Row],[2029 ]]</f>
        <v>6.7754886807263093</v>
      </c>
      <c r="AN814">
        <f>$AH814*tbl_Data_old[[#This Row],[2030 ]]</f>
        <v>8.4815641450010801</v>
      </c>
      <c r="AO814">
        <f>$AH814*tbl_Data_old[[#This Row],[2031 ]]</f>
        <v>10.284964911953699</v>
      </c>
      <c r="AP814">
        <f>$AH814*tbl_Data_old[[#This Row],[2032 ]]</f>
        <v>12.176796337168243</v>
      </c>
      <c r="AQ814">
        <f>$AH814*tbl_Data_old[[#This Row],[2033 ]]</f>
        <v>14.155276849184323</v>
      </c>
      <c r="AR814">
        <f>$AH814*tbl_Data_old[[#This Row],[2034 ]]</f>
        <v>16.215971068711077</v>
      </c>
      <c r="AS814">
        <f>SUM(tbl_Data_old[[#This Row],[Adjusted 2025]:[Adjusted 2034]])</f>
        <v>80.34729795419409</v>
      </c>
      <c r="AT814" s="3">
        <f>AVERAGEIFS('3. Incentive Adjustment'!F:F,'3. Incentive Adjustment'!A:A,tbl_Data_old[[#This Row],[Trimmed Sector]],'3. Incentive Adjustment'!B:B,tbl_Data_old[[#This Row],[Trimmed Measure Name]])</f>
        <v>0</v>
      </c>
      <c r="AU814" s="3">
        <f>IFERROR(VLOOKUP(tbl_Data_old[[#This Row],[All_Meas_Name_Append]],'IRA Tax Credits'!$A$3:$D$46,4,0),0)</f>
        <v>0</v>
      </c>
      <c r="AV814" s="4">
        <f>tbl_Data_old[[#This Row],[Adj. per unit Incentive ($)]]/tbl_Data_old[[#This Row],[kWh Savings]]*tbl_Data_old[[#This Row],[Sum of Annuals]]</f>
        <v>0</v>
      </c>
      <c r="AW814" s="4" t="str">
        <f>IFERROR(VLOOKUP(tbl_Data_old[[#This Row],[All_Programs]],'1. Set Program Names'!$B$2:$D$15,3,0)*tbl_Data_old[[#This Row],[Sum of Annuals]],"")</f>
        <v/>
      </c>
      <c r="AX814" s="4">
        <f>tbl_Data_old[[#This Row],[per unit IRA tax ($)]]/tbl_Data_old[[#This Row],[kWh Savings]]*tbl_Data_old[[#This Row],[Sum of Annuals]]</f>
        <v>0</v>
      </c>
      <c r="AY814" s="4">
        <f>tbl_Data_old[[#This Row],[Avoided Costs ($/unit)]]/tbl_Data_old[[#This Row],[kWh Savings]]*tbl_Data_old[[#This Row],[Sum of Annuals]]</f>
        <v>33.431297596279926</v>
      </c>
      <c r="AZ814" s="4">
        <f>tbl_Data_old[[#This Row],[Lost Revenue ($/unit)]]/tbl_Data_old[[#This Row],[kWh Savings]]*tbl_Data_old[[#This Row],[Sum of Annuals]]</f>
        <v>81.658421526311486</v>
      </c>
      <c r="BA814" s="4">
        <f>tbl_Data_old[[#This Row],[Incremental Cost ($/unit)]]/tbl_Data_old[[#This Row],[kWh Savings]]*tbl_Data_old[[#This Row],[Sum of Annuals]]</f>
        <v>29.91732813992509</v>
      </c>
      <c r="BB814">
        <f>ROUNDUP(tbl_Data_old[[#This Row],[Adjusted 2025]]/$L814,0)</f>
        <v>1</v>
      </c>
      <c r="BC814">
        <f>ROUNDUP(tbl_Data_old[[#This Row],[Adjusted 2026]]/$L814,0)</f>
        <v>1</v>
      </c>
      <c r="BD814">
        <f>ROUNDUP(tbl_Data_old[[#This Row],[Adjusted 2027]]/$L814,0)</f>
        <v>1</v>
      </c>
      <c r="BE814">
        <f>ROUNDUP(tbl_Data_old[[#This Row],[Adjusted 2028]]/$L814,0)</f>
        <v>1</v>
      </c>
      <c r="BF814">
        <f>ROUNDUP(tbl_Data_old[[#This Row],[Adjusted 2029]]/$L814,0)</f>
        <v>1</v>
      </c>
      <c r="BG814">
        <f>ROUNDUP(tbl_Data_old[[#This Row],[Adjusted 2030]]/$L814,0)</f>
        <v>1</v>
      </c>
      <c r="BH814">
        <f>ROUNDUP(tbl_Data_old[[#This Row],[Adjusted 2031]]/$L814,0)</f>
        <v>1</v>
      </c>
      <c r="BI814">
        <f>ROUNDUP(tbl_Data_old[[#This Row],[Adjusted 2032]]/$L814,0)</f>
        <v>1</v>
      </c>
      <c r="BJ814">
        <f>ROUNDUP(tbl_Data_old[[#This Row],[Adjusted 2033]]/$L814,0)</f>
        <v>1</v>
      </c>
      <c r="BK814">
        <f>ROUNDUP(tbl_Data_old[[#This Row],[Adjusted 2034]]/$L814,0)</f>
        <v>1</v>
      </c>
      <c r="BL814" s="3">
        <f t="shared" si="56"/>
        <v>0</v>
      </c>
      <c r="BM814" s="3">
        <f t="shared" si="56"/>
        <v>0</v>
      </c>
      <c r="BN814" s="3">
        <f t="shared" si="56"/>
        <v>0</v>
      </c>
      <c r="BO814" s="3">
        <f t="shared" si="56"/>
        <v>0</v>
      </c>
      <c r="BP814" s="3">
        <f t="shared" si="56"/>
        <v>0</v>
      </c>
      <c r="BQ814" s="3">
        <f t="shared" si="55"/>
        <v>0</v>
      </c>
      <c r="BR814" s="3">
        <f t="shared" si="55"/>
        <v>0</v>
      </c>
      <c r="BS814" s="3">
        <f t="shared" si="55"/>
        <v>0</v>
      </c>
      <c r="BT814" s="3">
        <f t="shared" si="55"/>
        <v>0</v>
      </c>
      <c r="BU814" s="3">
        <f t="shared" si="55"/>
        <v>0</v>
      </c>
      <c r="BV814" t="e">
        <f>VLOOKUP($H814,'1. Set Program Names'!$B$2:$D$15,3,0)*V814</f>
        <v>#N/A</v>
      </c>
      <c r="BW814" t="e">
        <f>VLOOKUP($H814,'1. Set Program Names'!$B$2:$D$15,3,0)*W814</f>
        <v>#N/A</v>
      </c>
      <c r="BX814" t="e">
        <f>VLOOKUP($H814,'1. Set Program Names'!$B$2:$D$15,3,0)*X814</f>
        <v>#N/A</v>
      </c>
      <c r="BY814" t="e">
        <f>VLOOKUP($H814,'1. Set Program Names'!$B$2:$D$15,3,0)*Y814</f>
        <v>#N/A</v>
      </c>
      <c r="BZ814" t="e">
        <f>VLOOKUP($H814,'1. Set Program Names'!$B$2:$D$15,3,0)*Z814</f>
        <v>#N/A</v>
      </c>
      <c r="CA814" t="e">
        <f>VLOOKUP($H814,'1. Set Program Names'!$B$2:$D$15,3,0)*AA814</f>
        <v>#N/A</v>
      </c>
      <c r="CB814" t="e">
        <f>VLOOKUP($H814,'1. Set Program Names'!$B$2:$D$15,3,0)*AB814</f>
        <v>#N/A</v>
      </c>
      <c r="CC814" t="e">
        <f>VLOOKUP($H814,'1. Set Program Names'!$B$2:$D$15,3,0)*AC814</f>
        <v>#N/A</v>
      </c>
      <c r="CD814" t="e">
        <f>VLOOKUP($H814,'1. Set Program Names'!$B$2:$D$15,3,0)*AD814</f>
        <v>#N/A</v>
      </c>
      <c r="CE814" t="e">
        <f>VLOOKUP($H814,'1. Set Program Names'!$B$2:$D$15,3,0)*AE814</f>
        <v>#N/A</v>
      </c>
    </row>
    <row r="815" spans="1:83" x14ac:dyDescent="0.25">
      <c r="A815" s="20" t="s">
        <v>115</v>
      </c>
      <c r="B815" s="20" t="s">
        <v>88</v>
      </c>
      <c r="C815" s="20" t="s">
        <v>176</v>
      </c>
      <c r="D815" s="20" t="s">
        <v>90</v>
      </c>
      <c r="E815" s="20" t="s">
        <v>91</v>
      </c>
      <c r="F815" s="20" t="s">
        <v>90</v>
      </c>
      <c r="G815" s="20" t="s">
        <v>92</v>
      </c>
      <c r="H815" s="20" t="s">
        <v>268</v>
      </c>
      <c r="I815" s="20" t="s">
        <v>193</v>
      </c>
      <c r="J815" s="20" t="s">
        <v>191</v>
      </c>
      <c r="K815" s="20" t="s">
        <v>98</v>
      </c>
      <c r="L815" s="20">
        <v>12009.57</v>
      </c>
      <c r="M815" s="20">
        <v>1.41674258810918</v>
      </c>
      <c r="N815" s="20">
        <v>1.38428653564094</v>
      </c>
      <c r="O815" s="20">
        <v>2450</v>
      </c>
      <c r="P815" s="20">
        <v>34.250530181900103</v>
      </c>
      <c r="Q815" s="20">
        <v>12.00957</v>
      </c>
      <c r="R815" s="20">
        <v>4997.0007566682498</v>
      </c>
      <c r="S815" s="20">
        <v>12205.544609214199</v>
      </c>
      <c r="T815" s="20">
        <v>14</v>
      </c>
      <c r="U815" s="20">
        <v>0.999999999999999</v>
      </c>
      <c r="V815" s="20">
        <v>1.7149733387239501</v>
      </c>
      <c r="W815" s="20">
        <v>3.6670690449038301</v>
      </c>
      <c r="X815" s="20">
        <v>5.8261875452304102</v>
      </c>
      <c r="Y815" s="20">
        <v>8.1905797654403099</v>
      </c>
      <c r="Z815" s="20">
        <v>10.7330322739623</v>
      </c>
      <c r="AA815" s="20">
        <v>13.441448211957701</v>
      </c>
      <c r="AB815" s="20">
        <v>16.306101095713402</v>
      </c>
      <c r="AC815" s="20">
        <v>19.312537642071</v>
      </c>
      <c r="AD815" s="20">
        <v>22.457974083405301</v>
      </c>
      <c r="AE815" s="20">
        <v>25.7352071251556</v>
      </c>
      <c r="AF815" t="str">
        <f t="shared" si="53"/>
        <v>NonResidential</v>
      </c>
      <c r="AG815" t="str">
        <f>tbl_Data_old[[#This Row],[All_Meas_Name_Append]]</f>
        <v>Synchronous Belt on 75hp ODP Motor</v>
      </c>
      <c r="AH815">
        <f>AVERAGEIFS('3. Incentive Adjustment'!G:G,'3. Incentive Adjustment'!A:A,tbl_Data_old[[#This Row],[Trimmed Sector]],'3. Incentive Adjustment'!B:B,tbl_Data_old[[#This Row],[Trimmed Measure Name]])</f>
        <v>0.99250334293493969</v>
      </c>
      <c r="AI815">
        <f>$AH815*tbl_Data_old[[#This Row],[2025 ]]</f>
        <v>1.7021167717278152</v>
      </c>
      <c r="AJ815">
        <f>$AH815*tbl_Data_old[[#This Row],[2026 ]]</f>
        <v>3.6395782858402881</v>
      </c>
      <c r="AK815">
        <f>$AH815*tbl_Data_old[[#This Row],[2027 ]]</f>
        <v>5.7825106152070926</v>
      </c>
      <c r="AL815">
        <f>$AH815*tbl_Data_old[[#This Row],[2028 ]]</f>
        <v>8.1291777977747817</v>
      </c>
      <c r="AM815">
        <f>$AH815*tbl_Data_old[[#This Row],[2029 ]]</f>
        <v>10.65257041173618</v>
      </c>
      <c r="AN815">
        <f>$AH815*tbl_Data_old[[#This Row],[2030 ]]</f>
        <v>13.340682284254886</v>
      </c>
      <c r="AO815">
        <f>$AH815*tbl_Data_old[[#This Row],[2031 ]]</f>
        <v>16.183859847730634</v>
      </c>
      <c r="AP815">
        <f>$AH815*tbl_Data_old[[#This Row],[2032 ]]</f>
        <v>19.167758170312325</v>
      </c>
      <c r="AQ815">
        <f>$AH815*tbl_Data_old[[#This Row],[2033 ]]</f>
        <v>22.289614353325998</v>
      </c>
      <c r="AR815">
        <f>$AH815*tbl_Data_old[[#This Row],[2034 ]]</f>
        <v>25.542279102840013</v>
      </c>
      <c r="AS815">
        <f>SUM(tbl_Data_old[[#This Row],[Adjusted 2025]:[Adjusted 2034]])</f>
        <v>126.43014764075001</v>
      </c>
      <c r="AT815" s="3">
        <f>AVERAGEIFS('3. Incentive Adjustment'!F:F,'3. Incentive Adjustment'!A:A,tbl_Data_old[[#This Row],[Trimmed Sector]],'3. Incentive Adjustment'!B:B,tbl_Data_old[[#This Row],[Trimmed Measure Name]])</f>
        <v>0</v>
      </c>
      <c r="AU815" s="3">
        <f>IFERROR(VLOOKUP(tbl_Data_old[[#This Row],[All_Meas_Name_Append]],'IRA Tax Credits'!$A$3:$D$46,4,0),0)</f>
        <v>0</v>
      </c>
      <c r="AV815" s="4">
        <f>tbl_Data_old[[#This Row],[Adj. per unit Incentive ($)]]/tbl_Data_old[[#This Row],[kWh Savings]]*tbl_Data_old[[#This Row],[Sum of Annuals]]</f>
        <v>0</v>
      </c>
      <c r="AW815" s="4" t="str">
        <f>IFERROR(VLOOKUP(tbl_Data_old[[#This Row],[All_Programs]],'1. Set Program Names'!$B$2:$D$15,3,0)*tbl_Data_old[[#This Row],[Sum of Annuals]],"")</f>
        <v/>
      </c>
      <c r="AX815" s="4">
        <f>tbl_Data_old[[#This Row],[per unit IRA tax ($)]]/tbl_Data_old[[#This Row],[kWh Savings]]*tbl_Data_old[[#This Row],[Sum of Annuals]]</f>
        <v>0</v>
      </c>
      <c r="AY815" s="4">
        <f>tbl_Data_old[[#This Row],[Avoided Costs ($/unit)]]/tbl_Data_old[[#This Row],[kWh Savings]]*tbl_Data_old[[#This Row],[Sum of Annuals]]</f>
        <v>52.605675592590437</v>
      </c>
      <c r="AZ815" s="4">
        <f>tbl_Data_old[[#This Row],[Lost Revenue ($/unit)]]/tbl_Data_old[[#This Row],[kWh Savings]]*tbl_Data_old[[#This Row],[Sum of Annuals]]</f>
        <v>128.49326053961229</v>
      </c>
      <c r="BA815" s="4">
        <f>tbl_Data_old[[#This Row],[Incremental Cost ($/unit)]]/tbl_Data_old[[#This Row],[kWh Savings]]*tbl_Data_old[[#This Row],[Sum of Annuals]]</f>
        <v>25.792252488626779</v>
      </c>
      <c r="BB815">
        <f>ROUNDUP(tbl_Data_old[[#This Row],[Adjusted 2025]]/$L815,0)</f>
        <v>1</v>
      </c>
      <c r="BC815">
        <f>ROUNDUP(tbl_Data_old[[#This Row],[Adjusted 2026]]/$L815,0)</f>
        <v>1</v>
      </c>
      <c r="BD815">
        <f>ROUNDUP(tbl_Data_old[[#This Row],[Adjusted 2027]]/$L815,0)</f>
        <v>1</v>
      </c>
      <c r="BE815">
        <f>ROUNDUP(tbl_Data_old[[#This Row],[Adjusted 2028]]/$L815,0)</f>
        <v>1</v>
      </c>
      <c r="BF815">
        <f>ROUNDUP(tbl_Data_old[[#This Row],[Adjusted 2029]]/$L815,0)</f>
        <v>1</v>
      </c>
      <c r="BG815">
        <f>ROUNDUP(tbl_Data_old[[#This Row],[Adjusted 2030]]/$L815,0)</f>
        <v>1</v>
      </c>
      <c r="BH815">
        <f>ROUNDUP(tbl_Data_old[[#This Row],[Adjusted 2031]]/$L815,0)</f>
        <v>1</v>
      </c>
      <c r="BI815">
        <f>ROUNDUP(tbl_Data_old[[#This Row],[Adjusted 2032]]/$L815,0)</f>
        <v>1</v>
      </c>
      <c r="BJ815">
        <f>ROUNDUP(tbl_Data_old[[#This Row],[Adjusted 2033]]/$L815,0)</f>
        <v>1</v>
      </c>
      <c r="BK815">
        <f>ROUNDUP(tbl_Data_old[[#This Row],[Adjusted 2034]]/$L815,0)</f>
        <v>1</v>
      </c>
      <c r="BL815" s="3">
        <f t="shared" si="56"/>
        <v>0</v>
      </c>
      <c r="BM815" s="3">
        <f t="shared" si="56"/>
        <v>0</v>
      </c>
      <c r="BN815" s="3">
        <f t="shared" si="56"/>
        <v>0</v>
      </c>
      <c r="BO815" s="3">
        <f t="shared" si="56"/>
        <v>0</v>
      </c>
      <c r="BP815" s="3">
        <f t="shared" si="56"/>
        <v>0</v>
      </c>
      <c r="BQ815" s="3">
        <f t="shared" si="55"/>
        <v>0</v>
      </c>
      <c r="BR815" s="3">
        <f t="shared" si="55"/>
        <v>0</v>
      </c>
      <c r="BS815" s="3">
        <f t="shared" si="55"/>
        <v>0</v>
      </c>
      <c r="BT815" s="3">
        <f t="shared" si="55"/>
        <v>0</v>
      </c>
      <c r="BU815" s="3">
        <f t="shared" si="55"/>
        <v>0</v>
      </c>
      <c r="BV815" t="e">
        <f>VLOOKUP($H815,'1. Set Program Names'!$B$2:$D$15,3,0)*V815</f>
        <v>#N/A</v>
      </c>
      <c r="BW815" t="e">
        <f>VLOOKUP($H815,'1. Set Program Names'!$B$2:$D$15,3,0)*W815</f>
        <v>#N/A</v>
      </c>
      <c r="BX815" t="e">
        <f>VLOOKUP($H815,'1. Set Program Names'!$B$2:$D$15,3,0)*X815</f>
        <v>#N/A</v>
      </c>
      <c r="BY815" t="e">
        <f>VLOOKUP($H815,'1. Set Program Names'!$B$2:$D$15,3,0)*Y815</f>
        <v>#N/A</v>
      </c>
      <c r="BZ815" t="e">
        <f>VLOOKUP($H815,'1. Set Program Names'!$B$2:$D$15,3,0)*Z815</f>
        <v>#N/A</v>
      </c>
      <c r="CA815" t="e">
        <f>VLOOKUP($H815,'1. Set Program Names'!$B$2:$D$15,3,0)*AA815</f>
        <v>#N/A</v>
      </c>
      <c r="CB815" t="e">
        <f>VLOOKUP($H815,'1. Set Program Names'!$B$2:$D$15,3,0)*AB815</f>
        <v>#N/A</v>
      </c>
      <c r="CC815" t="e">
        <f>VLOOKUP($H815,'1. Set Program Names'!$B$2:$D$15,3,0)*AC815</f>
        <v>#N/A</v>
      </c>
      <c r="CD815" t="e">
        <f>VLOOKUP($H815,'1. Set Program Names'!$B$2:$D$15,3,0)*AD815</f>
        <v>#N/A</v>
      </c>
      <c r="CE815" t="e">
        <f>VLOOKUP($H815,'1. Set Program Names'!$B$2:$D$15,3,0)*AE815</f>
        <v>#N/A</v>
      </c>
    </row>
    <row r="816" spans="1:83" x14ac:dyDescent="0.25">
      <c r="A816" s="20" t="s">
        <v>116</v>
      </c>
      <c r="B816" s="20" t="s">
        <v>88</v>
      </c>
      <c r="C816" s="20" t="s">
        <v>176</v>
      </c>
      <c r="D816" s="20" t="s">
        <v>90</v>
      </c>
      <c r="E816" s="20" t="s">
        <v>91</v>
      </c>
      <c r="F816" s="20" t="s">
        <v>90</v>
      </c>
      <c r="G816" s="20" t="s">
        <v>92</v>
      </c>
      <c r="H816" s="20" t="s">
        <v>268</v>
      </c>
      <c r="I816" s="20" t="s">
        <v>179</v>
      </c>
      <c r="J816" s="20" t="s">
        <v>180</v>
      </c>
      <c r="K816" s="20" t="s">
        <v>98</v>
      </c>
      <c r="L816" s="20">
        <v>2684</v>
      </c>
      <c r="M816" s="20">
        <v>0.32197664062426901</v>
      </c>
      <c r="N816" s="20">
        <v>0.310035778837426</v>
      </c>
      <c r="O816" s="20">
        <v>1119</v>
      </c>
      <c r="P816" s="20">
        <v>579.10793250784297</v>
      </c>
      <c r="Q816" s="20">
        <v>2.6840000000000002</v>
      </c>
      <c r="R816" s="20">
        <v>1432.5808011563199</v>
      </c>
      <c r="S816" s="20">
        <v>4046.00364167834</v>
      </c>
      <c r="T816" s="20">
        <v>30</v>
      </c>
      <c r="U816" s="20">
        <v>1</v>
      </c>
      <c r="V816" s="20">
        <v>0.17565712838057301</v>
      </c>
      <c r="W816" s="20">
        <v>0.243478938205999</v>
      </c>
      <c r="X816" s="20">
        <v>0.319697419509202</v>
      </c>
      <c r="Y816" s="20">
        <v>0.40548079213237498</v>
      </c>
      <c r="Z816" s="20">
        <v>0.487597497309044</v>
      </c>
      <c r="AA816" s="20">
        <v>0.56426295045279595</v>
      </c>
      <c r="AB816" s="20">
        <v>0.63076499540072895</v>
      </c>
      <c r="AC816" s="20">
        <v>0.68219924575222202</v>
      </c>
      <c r="AD816" s="20">
        <v>0.72399039565730305</v>
      </c>
      <c r="AE816" s="20">
        <v>0.75606606766475704</v>
      </c>
      <c r="AF816" t="str">
        <f t="shared" si="53"/>
        <v>NonResidential</v>
      </c>
      <c r="AG816" t="str">
        <f>tbl_Data_old[[#This Row],[All_Meas_Name_Append]]</f>
        <v>Energy Efficient Transformers</v>
      </c>
      <c r="AH816">
        <f>AVERAGEIFS('3. Incentive Adjustment'!G:G,'3. Incentive Adjustment'!A:A,tbl_Data_old[[#This Row],[Trimmed Sector]],'3. Incentive Adjustment'!B:B,tbl_Data_old[[#This Row],[Trimmed Measure Name]])</f>
        <v>0.56592396099637965</v>
      </c>
      <c r="AI816">
        <f>$AH816*tbl_Data_old[[#This Row],[2025 ]]</f>
        <v>9.9408577870383458E-2</v>
      </c>
      <c r="AJ816">
        <f>$AH816*tbl_Data_old[[#This Row],[2026 ]]</f>
        <v>0.13779056512873172</v>
      </c>
      <c r="AK816">
        <f>$AH816*tbl_Data_old[[#This Row],[2027 ]]</f>
        <v>0.18092442996896885</v>
      </c>
      <c r="AL816">
        <f>$AH816*tbl_Data_old[[#This Row],[2028 ]]</f>
        <v>0.22947129599150329</v>
      </c>
      <c r="AM816">
        <f>$AH816*tbl_Data_old[[#This Row],[2029 ]]</f>
        <v>0.27594310704905572</v>
      </c>
      <c r="AN816">
        <f>$AH816*tbl_Data_old[[#This Row],[2030 ]]</f>
        <v>0.31932992396375021</v>
      </c>
      <c r="AO816">
        <f>$AH816*tbl_Data_old[[#This Row],[2031 ]]</f>
        <v>0.35696502465504371</v>
      </c>
      <c r="AP816">
        <f>$AH816*tbl_Data_old[[#This Row],[2032 ]]</f>
        <v>0.38607289934484013</v>
      </c>
      <c r="AQ816">
        <f>$AH816*tbl_Data_old[[#This Row],[2033 ]]</f>
        <v>0.40972351243371702</v>
      </c>
      <c r="AR816">
        <f>$AH816*tbl_Data_old[[#This Row],[2034 ]]</f>
        <v>0.42787590378779611</v>
      </c>
      <c r="AS816">
        <f>SUM(tbl_Data_old[[#This Row],[Adjusted 2025]:[Adjusted 2034]])</f>
        <v>2.8235052401937901</v>
      </c>
      <c r="AT816" s="3">
        <f>AVERAGEIFS('3. Incentive Adjustment'!F:F,'3. Incentive Adjustment'!A:A,tbl_Data_old[[#This Row],[Trimmed Sector]],'3. Incentive Adjustment'!B:B,tbl_Data_old[[#This Row],[Trimmed Measure Name]])</f>
        <v>0</v>
      </c>
      <c r="AU816" s="3">
        <f>IFERROR(VLOOKUP(tbl_Data_old[[#This Row],[All_Meas_Name_Append]],'IRA Tax Credits'!$A$3:$D$46,4,0),0)</f>
        <v>0</v>
      </c>
      <c r="AV816" s="4">
        <f>tbl_Data_old[[#This Row],[Adj. per unit Incentive ($)]]/tbl_Data_old[[#This Row],[kWh Savings]]*tbl_Data_old[[#This Row],[Sum of Annuals]]</f>
        <v>0</v>
      </c>
      <c r="AW816" s="4" t="str">
        <f>IFERROR(VLOOKUP(tbl_Data_old[[#This Row],[All_Programs]],'1. Set Program Names'!$B$2:$D$15,3,0)*tbl_Data_old[[#This Row],[Sum of Annuals]],"")</f>
        <v/>
      </c>
      <c r="AX816" s="4">
        <f>tbl_Data_old[[#This Row],[per unit IRA tax ($)]]/tbl_Data_old[[#This Row],[kWh Savings]]*tbl_Data_old[[#This Row],[Sum of Annuals]]</f>
        <v>0</v>
      </c>
      <c r="AY816" s="4">
        <f>tbl_Data_old[[#This Row],[Avoided Costs ($/unit)]]/tbl_Data_old[[#This Row],[kWh Savings]]*tbl_Data_old[[#This Row],[Sum of Annuals]]</f>
        <v>1.5070415048680654</v>
      </c>
      <c r="AZ816" s="4">
        <f>tbl_Data_old[[#This Row],[Lost Revenue ($/unit)]]/tbl_Data_old[[#This Row],[kWh Savings]]*tbl_Data_old[[#This Row],[Sum of Annuals]]</f>
        <v>4.2563012235923807</v>
      </c>
      <c r="BA816" s="4">
        <f>tbl_Data_old[[#This Row],[Incremental Cost ($/unit)]]/tbl_Data_old[[#This Row],[kWh Savings]]*tbl_Data_old[[#This Row],[Sum of Annuals]]</f>
        <v>1.1771618344921204</v>
      </c>
      <c r="BB816">
        <f>ROUNDUP(tbl_Data_old[[#This Row],[Adjusted 2025]]/$L816,0)</f>
        <v>1</v>
      </c>
      <c r="BC816">
        <f>ROUNDUP(tbl_Data_old[[#This Row],[Adjusted 2026]]/$L816,0)</f>
        <v>1</v>
      </c>
      <c r="BD816">
        <f>ROUNDUP(tbl_Data_old[[#This Row],[Adjusted 2027]]/$L816,0)</f>
        <v>1</v>
      </c>
      <c r="BE816">
        <f>ROUNDUP(tbl_Data_old[[#This Row],[Adjusted 2028]]/$L816,0)</f>
        <v>1</v>
      </c>
      <c r="BF816">
        <f>ROUNDUP(tbl_Data_old[[#This Row],[Adjusted 2029]]/$L816,0)</f>
        <v>1</v>
      </c>
      <c r="BG816">
        <f>ROUNDUP(tbl_Data_old[[#This Row],[Adjusted 2030]]/$L816,0)</f>
        <v>1</v>
      </c>
      <c r="BH816">
        <f>ROUNDUP(tbl_Data_old[[#This Row],[Adjusted 2031]]/$L816,0)</f>
        <v>1</v>
      </c>
      <c r="BI816">
        <f>ROUNDUP(tbl_Data_old[[#This Row],[Adjusted 2032]]/$L816,0)</f>
        <v>1</v>
      </c>
      <c r="BJ816">
        <f>ROUNDUP(tbl_Data_old[[#This Row],[Adjusted 2033]]/$L816,0)</f>
        <v>1</v>
      </c>
      <c r="BK816">
        <f>ROUNDUP(tbl_Data_old[[#This Row],[Adjusted 2034]]/$L816,0)</f>
        <v>1</v>
      </c>
      <c r="BL816" s="3">
        <f t="shared" si="56"/>
        <v>0</v>
      </c>
      <c r="BM816" s="3">
        <f t="shared" si="56"/>
        <v>0</v>
      </c>
      <c r="BN816" s="3">
        <f t="shared" si="56"/>
        <v>0</v>
      </c>
      <c r="BO816" s="3">
        <f t="shared" si="56"/>
        <v>0</v>
      </c>
      <c r="BP816" s="3">
        <f t="shared" si="56"/>
        <v>0</v>
      </c>
      <c r="BQ816" s="3">
        <f t="shared" si="55"/>
        <v>0</v>
      </c>
      <c r="BR816" s="3">
        <f t="shared" si="55"/>
        <v>0</v>
      </c>
      <c r="BS816" s="3">
        <f t="shared" si="55"/>
        <v>0</v>
      </c>
      <c r="BT816" s="3">
        <f t="shared" si="55"/>
        <v>0</v>
      </c>
      <c r="BU816" s="3">
        <f t="shared" si="55"/>
        <v>0</v>
      </c>
      <c r="BV816" t="e">
        <f>VLOOKUP($H816,'1. Set Program Names'!$B$2:$D$15,3,0)*V816</f>
        <v>#N/A</v>
      </c>
      <c r="BW816" t="e">
        <f>VLOOKUP($H816,'1. Set Program Names'!$B$2:$D$15,3,0)*W816</f>
        <v>#N/A</v>
      </c>
      <c r="BX816" t="e">
        <f>VLOOKUP($H816,'1. Set Program Names'!$B$2:$D$15,3,0)*X816</f>
        <v>#N/A</v>
      </c>
      <c r="BY816" t="e">
        <f>VLOOKUP($H816,'1. Set Program Names'!$B$2:$D$15,3,0)*Y816</f>
        <v>#N/A</v>
      </c>
      <c r="BZ816" t="e">
        <f>VLOOKUP($H816,'1. Set Program Names'!$B$2:$D$15,3,0)*Z816</f>
        <v>#N/A</v>
      </c>
      <c r="CA816" t="e">
        <f>VLOOKUP($H816,'1. Set Program Names'!$B$2:$D$15,3,0)*AA816</f>
        <v>#N/A</v>
      </c>
      <c r="CB816" t="e">
        <f>VLOOKUP($H816,'1. Set Program Names'!$B$2:$D$15,3,0)*AB816</f>
        <v>#N/A</v>
      </c>
      <c r="CC816" t="e">
        <f>VLOOKUP($H816,'1. Set Program Names'!$B$2:$D$15,3,0)*AC816</f>
        <v>#N/A</v>
      </c>
      <c r="CD816" t="e">
        <f>VLOOKUP($H816,'1. Set Program Names'!$B$2:$D$15,3,0)*AD816</f>
        <v>#N/A</v>
      </c>
      <c r="CE816" t="e">
        <f>VLOOKUP($H816,'1. Set Program Names'!$B$2:$D$15,3,0)*AE816</f>
        <v>#N/A</v>
      </c>
    </row>
    <row r="817" spans="1:83" x14ac:dyDescent="0.25">
      <c r="A817" s="20" t="s">
        <v>116</v>
      </c>
      <c r="B817" s="20" t="s">
        <v>88</v>
      </c>
      <c r="C817" s="20" t="s">
        <v>176</v>
      </c>
      <c r="D817" s="20" t="s">
        <v>90</v>
      </c>
      <c r="E817" s="20" t="s">
        <v>91</v>
      </c>
      <c r="F817" s="20" t="s">
        <v>90</v>
      </c>
      <c r="G817" s="20" t="s">
        <v>92</v>
      </c>
      <c r="H817" s="20" t="s">
        <v>268</v>
      </c>
      <c r="I817" s="20" t="s">
        <v>186</v>
      </c>
      <c r="J817" s="20" t="s">
        <v>180</v>
      </c>
      <c r="K817" s="20" t="s">
        <v>102</v>
      </c>
      <c r="L817" s="20">
        <v>27897.5999999999</v>
      </c>
      <c r="M817" s="20">
        <v>3.34663767864367</v>
      </c>
      <c r="N817" s="20">
        <v>3.2225238985450702</v>
      </c>
      <c r="O817" s="20">
        <v>8000</v>
      </c>
      <c r="P817" s="20">
        <v>2762.04801865338</v>
      </c>
      <c r="Q817" s="20">
        <v>27.897599999999901</v>
      </c>
      <c r="R817" s="20">
        <v>11926.089110639999</v>
      </c>
      <c r="S817" s="20">
        <v>29629.215249514</v>
      </c>
      <c r="T817" s="20">
        <v>15</v>
      </c>
      <c r="U817" s="20">
        <v>1</v>
      </c>
      <c r="V817" s="20">
        <v>2.8484098883790401E-2</v>
      </c>
      <c r="W817" s="20">
        <v>3.2085199479661097E-2</v>
      </c>
      <c r="X817" s="20">
        <v>3.56913489954859E-2</v>
      </c>
      <c r="Y817" s="20">
        <v>4.0194360266771499E-2</v>
      </c>
      <c r="Z817" s="20">
        <v>4.4191647932249098E-2</v>
      </c>
      <c r="AA817" s="20">
        <v>4.8646703643431898E-2</v>
      </c>
      <c r="AB817" s="20">
        <v>5.3491498488433903E-2</v>
      </c>
      <c r="AC817" s="20">
        <v>5.8086584344033299E-2</v>
      </c>
      <c r="AD817" s="20">
        <v>6.3283441130007306E-2</v>
      </c>
      <c r="AE817" s="20">
        <v>6.8548618300049394E-2</v>
      </c>
      <c r="AF817" t="str">
        <f t="shared" si="53"/>
        <v>NonResidential</v>
      </c>
      <c r="AG817" t="str">
        <f>tbl_Data_old[[#This Row],[All_Meas_Name_Append]]</f>
        <v>Grain Bin Aeration Control System</v>
      </c>
      <c r="AH817">
        <f>AVERAGEIFS('3. Incentive Adjustment'!G:G,'3. Incentive Adjustment'!A:A,tbl_Data_old[[#This Row],[Trimmed Sector]],'3. Incentive Adjustment'!B:B,tbl_Data_old[[#This Row],[Trimmed Measure Name]])</f>
        <v>0.77010279279185057</v>
      </c>
      <c r="AI817">
        <f>$AH817*tbl_Data_old[[#This Row],[2025 ]]</f>
        <v>2.1935684100566222E-2</v>
      </c>
      <c r="AJ817">
        <f>$AH817*tbl_Data_old[[#This Row],[2026 ]]</f>
        <v>2.4708901726570642E-2</v>
      </c>
      <c r="AK817">
        <f>$AH817*tbl_Data_old[[#This Row],[2027 ]]</f>
        <v>2.74860075399323E-2</v>
      </c>
      <c r="AL817">
        <f>$AH817*tbl_Data_old[[#This Row],[2028 ]]</f>
        <v>3.0953789095922522E-2</v>
      </c>
      <c r="AM817">
        <f>$AH817*tbl_Data_old[[#This Row],[2029 ]]</f>
        <v>3.4032111490699242E-2</v>
      </c>
      <c r="AN817">
        <f>$AH817*tbl_Data_old[[#This Row],[2030 ]]</f>
        <v>3.7462962335924395E-2</v>
      </c>
      <c r="AO817">
        <f>$AH817*tbl_Data_old[[#This Row],[2031 ]]</f>
        <v>4.1193952376564001E-2</v>
      </c>
      <c r="AP817">
        <f>$AH817*tbl_Data_old[[#This Row],[2032 ]]</f>
        <v>4.473264082707943E-2</v>
      </c>
      <c r="AQ817">
        <f>$AH817*tbl_Data_old[[#This Row],[2033 ]]</f>
        <v>4.8734754751697293E-2</v>
      </c>
      <c r="AR817">
        <f>$AH817*tbl_Data_old[[#This Row],[2034 ]]</f>
        <v>5.2789482394890591E-2</v>
      </c>
      <c r="AS817">
        <f>SUM(tbl_Data_old[[#This Row],[Adjusted 2025]:[Adjusted 2034]])</f>
        <v>0.3640302866398466</v>
      </c>
      <c r="AT817" s="3">
        <f>AVERAGEIFS('3. Incentive Adjustment'!F:F,'3. Incentive Adjustment'!A:A,tbl_Data_old[[#This Row],[Trimmed Sector]],'3. Incentive Adjustment'!B:B,tbl_Data_old[[#This Row],[Trimmed Measure Name]])</f>
        <v>0</v>
      </c>
      <c r="AU817" s="3">
        <f>IFERROR(VLOOKUP(tbl_Data_old[[#This Row],[All_Meas_Name_Append]],'IRA Tax Credits'!$A$3:$D$46,4,0),0)</f>
        <v>0</v>
      </c>
      <c r="AV817" s="4">
        <f>tbl_Data_old[[#This Row],[Adj. per unit Incentive ($)]]/tbl_Data_old[[#This Row],[kWh Savings]]*tbl_Data_old[[#This Row],[Sum of Annuals]]</f>
        <v>0</v>
      </c>
      <c r="AW817" s="4" t="str">
        <f>IFERROR(VLOOKUP(tbl_Data_old[[#This Row],[All_Programs]],'1. Set Program Names'!$B$2:$D$15,3,0)*tbl_Data_old[[#This Row],[Sum of Annuals]],"")</f>
        <v/>
      </c>
      <c r="AX817" s="4">
        <f>tbl_Data_old[[#This Row],[per unit IRA tax ($)]]/tbl_Data_old[[#This Row],[kWh Savings]]*tbl_Data_old[[#This Row],[Sum of Annuals]]</f>
        <v>0</v>
      </c>
      <c r="AY817" s="4">
        <f>tbl_Data_old[[#This Row],[Avoided Costs ($/unit)]]/tbl_Data_old[[#This Row],[kWh Savings]]*tbl_Data_old[[#This Row],[Sum of Annuals]]</f>
        <v>0.1556211873938492</v>
      </c>
      <c r="AZ817" s="4">
        <f>tbl_Data_old[[#This Row],[Lost Revenue ($/unit)]]/tbl_Data_old[[#This Row],[kWh Savings]]*tbl_Data_old[[#This Row],[Sum of Annuals]]</f>
        <v>0.38662579290671362</v>
      </c>
      <c r="BA817" s="4">
        <f>tbl_Data_old[[#This Row],[Incremental Cost ($/unit)]]/tbl_Data_old[[#This Row],[kWh Savings]]*tbl_Data_old[[#This Row],[Sum of Annuals]]</f>
        <v>0.10439042401922687</v>
      </c>
      <c r="BB817">
        <f>ROUNDUP(tbl_Data_old[[#This Row],[Adjusted 2025]]/$L817,0)</f>
        <v>1</v>
      </c>
      <c r="BC817">
        <f>ROUNDUP(tbl_Data_old[[#This Row],[Adjusted 2026]]/$L817,0)</f>
        <v>1</v>
      </c>
      <c r="BD817">
        <f>ROUNDUP(tbl_Data_old[[#This Row],[Adjusted 2027]]/$L817,0)</f>
        <v>1</v>
      </c>
      <c r="BE817">
        <f>ROUNDUP(tbl_Data_old[[#This Row],[Adjusted 2028]]/$L817,0)</f>
        <v>1</v>
      </c>
      <c r="BF817">
        <f>ROUNDUP(tbl_Data_old[[#This Row],[Adjusted 2029]]/$L817,0)</f>
        <v>1</v>
      </c>
      <c r="BG817">
        <f>ROUNDUP(tbl_Data_old[[#This Row],[Adjusted 2030]]/$L817,0)</f>
        <v>1</v>
      </c>
      <c r="BH817">
        <f>ROUNDUP(tbl_Data_old[[#This Row],[Adjusted 2031]]/$L817,0)</f>
        <v>1</v>
      </c>
      <c r="BI817">
        <f>ROUNDUP(tbl_Data_old[[#This Row],[Adjusted 2032]]/$L817,0)</f>
        <v>1</v>
      </c>
      <c r="BJ817">
        <f>ROUNDUP(tbl_Data_old[[#This Row],[Adjusted 2033]]/$L817,0)</f>
        <v>1</v>
      </c>
      <c r="BK817">
        <f>ROUNDUP(tbl_Data_old[[#This Row],[Adjusted 2034]]/$L817,0)</f>
        <v>1</v>
      </c>
      <c r="BL817" s="3">
        <f t="shared" si="56"/>
        <v>0</v>
      </c>
      <c r="BM817" s="3">
        <f t="shared" si="56"/>
        <v>0</v>
      </c>
      <c r="BN817" s="3">
        <f t="shared" si="56"/>
        <v>0</v>
      </c>
      <c r="BO817" s="3">
        <f t="shared" si="56"/>
        <v>0</v>
      </c>
      <c r="BP817" s="3">
        <f t="shared" si="56"/>
        <v>0</v>
      </c>
      <c r="BQ817" s="3">
        <f t="shared" si="55"/>
        <v>0</v>
      </c>
      <c r="BR817" s="3">
        <f t="shared" si="55"/>
        <v>0</v>
      </c>
      <c r="BS817" s="3">
        <f t="shared" si="55"/>
        <v>0</v>
      </c>
      <c r="BT817" s="3">
        <f t="shared" si="55"/>
        <v>0</v>
      </c>
      <c r="BU817" s="3">
        <f t="shared" si="55"/>
        <v>0</v>
      </c>
      <c r="BV817" t="e">
        <f>VLOOKUP($H817,'1. Set Program Names'!$B$2:$D$15,3,0)*V817</f>
        <v>#N/A</v>
      </c>
      <c r="BW817" t="e">
        <f>VLOOKUP($H817,'1. Set Program Names'!$B$2:$D$15,3,0)*W817</f>
        <v>#N/A</v>
      </c>
      <c r="BX817" t="e">
        <f>VLOOKUP($H817,'1. Set Program Names'!$B$2:$D$15,3,0)*X817</f>
        <v>#N/A</v>
      </c>
      <c r="BY817" t="e">
        <f>VLOOKUP($H817,'1. Set Program Names'!$B$2:$D$15,3,0)*Y817</f>
        <v>#N/A</v>
      </c>
      <c r="BZ817" t="e">
        <f>VLOOKUP($H817,'1. Set Program Names'!$B$2:$D$15,3,0)*Z817</f>
        <v>#N/A</v>
      </c>
      <c r="CA817" t="e">
        <f>VLOOKUP($H817,'1. Set Program Names'!$B$2:$D$15,3,0)*AA817</f>
        <v>#N/A</v>
      </c>
      <c r="CB817" t="e">
        <f>VLOOKUP($H817,'1. Set Program Names'!$B$2:$D$15,3,0)*AB817</f>
        <v>#N/A</v>
      </c>
      <c r="CC817" t="e">
        <f>VLOOKUP($H817,'1. Set Program Names'!$B$2:$D$15,3,0)*AC817</f>
        <v>#N/A</v>
      </c>
      <c r="CD817" t="e">
        <f>VLOOKUP($H817,'1. Set Program Names'!$B$2:$D$15,3,0)*AD817</f>
        <v>#N/A</v>
      </c>
      <c r="CE817" t="e">
        <f>VLOOKUP($H817,'1. Set Program Names'!$B$2:$D$15,3,0)*AE817</f>
        <v>#N/A</v>
      </c>
    </row>
    <row r="818" spans="1:83" x14ac:dyDescent="0.25">
      <c r="A818" s="20" t="s">
        <v>116</v>
      </c>
      <c r="B818" s="20" t="s">
        <v>88</v>
      </c>
      <c r="C818" s="20" t="s">
        <v>176</v>
      </c>
      <c r="D818" s="20" t="s">
        <v>90</v>
      </c>
      <c r="E818" s="20" t="s">
        <v>91</v>
      </c>
      <c r="F818" s="20" t="s">
        <v>90</v>
      </c>
      <c r="G818" s="20" t="s">
        <v>92</v>
      </c>
      <c r="H818" s="20" t="s">
        <v>268</v>
      </c>
      <c r="I818" s="20" t="s">
        <v>181</v>
      </c>
      <c r="J818" s="20" t="s">
        <v>182</v>
      </c>
      <c r="K818" s="20" t="s">
        <v>98</v>
      </c>
      <c r="L818" s="20">
        <v>21140.159999999902</v>
      </c>
      <c r="M818" s="20">
        <v>2.4928340912459501</v>
      </c>
      <c r="N818" s="20">
        <v>2.4353939910039801</v>
      </c>
      <c r="O818" s="20">
        <v>4269.76</v>
      </c>
      <c r="P818" s="20">
        <v>17.441519984740999</v>
      </c>
      <c r="Q818" s="20">
        <v>21.140159999999899</v>
      </c>
      <c r="R818" s="20">
        <v>7174.5673333962905</v>
      </c>
      <c r="S818" s="20">
        <v>17003.9302734632</v>
      </c>
      <c r="T818" s="20">
        <v>10</v>
      </c>
      <c r="U818" s="20">
        <v>1</v>
      </c>
      <c r="V818" s="20">
        <v>0.74369003741442796</v>
      </c>
      <c r="W818" s="20">
        <v>0.84651702506680604</v>
      </c>
      <c r="X818" s="20">
        <v>0.93629147581082195</v>
      </c>
      <c r="Y818" s="20">
        <v>1.0253074488135401</v>
      </c>
      <c r="Z818" s="20">
        <v>1.10252244655536</v>
      </c>
      <c r="AA818" s="20">
        <v>1.1744916989557299</v>
      </c>
      <c r="AB818" s="20">
        <v>1.2422431079219001</v>
      </c>
      <c r="AC818" s="20">
        <v>1.3037269193400001</v>
      </c>
      <c r="AD818" s="20">
        <v>1.36400356315813</v>
      </c>
      <c r="AE818" s="20">
        <v>1.42115653252578</v>
      </c>
      <c r="AF818" t="str">
        <f t="shared" si="53"/>
        <v>NonResidential</v>
      </c>
      <c r="AG818" t="str">
        <f>tbl_Data_old[[#This Row],[All_Meas_Name_Append]]</f>
        <v>High Volume Low Speed Fan (HVLS)</v>
      </c>
      <c r="AH818">
        <f>AVERAGEIFS('3. Incentive Adjustment'!G:G,'3. Incentive Adjustment'!A:A,tbl_Data_old[[#This Row],[Trimmed Sector]],'3. Incentive Adjustment'!B:B,tbl_Data_old[[#This Row],[Trimmed Measure Name]])</f>
        <v>0.99782547587781634</v>
      </c>
      <c r="AI818">
        <f>$AH818*tbl_Data_old[[#This Row],[2025 ]]</f>
        <v>0.7420728654886426</v>
      </c>
      <c r="AJ818">
        <f>$AH818*tbl_Data_old[[#This Row],[2026 ]]</f>
        <v>0.84467625337595909</v>
      </c>
      <c r="AK818">
        <f>$AH818*tbl_Data_old[[#This Row],[2027 ]]</f>
        <v>0.9342554874112764</v>
      </c>
      <c r="AL818">
        <f>$AH818*tbl_Data_old[[#This Row],[2028 ]]</f>
        <v>1.0230778930334405</v>
      </c>
      <c r="AM818">
        <f>$AH818*tbl_Data_old[[#This Row],[2029 ]]</f>
        <v>1.1001249849000765</v>
      </c>
      <c r="AN818">
        <f>$AH818*tbl_Data_old[[#This Row],[2030 ]]</f>
        <v>1.1719377384250462</v>
      </c>
      <c r="AO818">
        <f>$AH818*tbl_Data_old[[#This Row],[2031 ]]</f>
        <v>1.2395418203181074</v>
      </c>
      <c r="AP818">
        <f>$AH818*tbl_Data_old[[#This Row],[2032 ]]</f>
        <v>1.300891933705155</v>
      </c>
      <c r="AQ818">
        <f>$AH818*tbl_Data_old[[#This Row],[2033 ]]</f>
        <v>1.3610375045072982</v>
      </c>
      <c r="AR818">
        <f>$AH818*tbl_Data_old[[#This Row],[2034 ]]</f>
        <v>1.4180661933644039</v>
      </c>
      <c r="AS818">
        <f>SUM(tbl_Data_old[[#This Row],[Adjusted 2025]:[Adjusted 2034]])</f>
        <v>11.135682674529406</v>
      </c>
      <c r="AT818" s="3">
        <f>AVERAGEIFS('3. Incentive Adjustment'!F:F,'3. Incentive Adjustment'!A:A,tbl_Data_old[[#This Row],[Trimmed Sector]],'3. Incentive Adjustment'!B:B,tbl_Data_old[[#This Row],[Trimmed Measure Name]])</f>
        <v>0</v>
      </c>
      <c r="AU818" s="3">
        <f>IFERROR(VLOOKUP(tbl_Data_old[[#This Row],[All_Meas_Name_Append]],'IRA Tax Credits'!$A$3:$D$46,4,0),0)</f>
        <v>0</v>
      </c>
      <c r="AV818" s="4">
        <f>tbl_Data_old[[#This Row],[Adj. per unit Incentive ($)]]/tbl_Data_old[[#This Row],[kWh Savings]]*tbl_Data_old[[#This Row],[Sum of Annuals]]</f>
        <v>0</v>
      </c>
      <c r="AW818" s="4" t="str">
        <f>IFERROR(VLOOKUP(tbl_Data_old[[#This Row],[All_Programs]],'1. Set Program Names'!$B$2:$D$15,3,0)*tbl_Data_old[[#This Row],[Sum of Annuals]],"")</f>
        <v/>
      </c>
      <c r="AX818" s="4">
        <f>tbl_Data_old[[#This Row],[per unit IRA tax ($)]]/tbl_Data_old[[#This Row],[kWh Savings]]*tbl_Data_old[[#This Row],[Sum of Annuals]]</f>
        <v>0</v>
      </c>
      <c r="AY818" s="4">
        <f>tbl_Data_old[[#This Row],[Avoided Costs ($/unit)]]/tbl_Data_old[[#This Row],[kWh Savings]]*tbl_Data_old[[#This Row],[Sum of Annuals]]</f>
        <v>3.7792384329989024</v>
      </c>
      <c r="AZ818" s="4">
        <f>tbl_Data_old[[#This Row],[Lost Revenue ($/unit)]]/tbl_Data_old[[#This Row],[kWh Savings]]*tbl_Data_old[[#This Row],[Sum of Annuals]]</f>
        <v>8.95690343616657</v>
      </c>
      <c r="BA818" s="4">
        <f>tbl_Data_old[[#This Row],[Incremental Cost ($/unit)]]/tbl_Data_old[[#This Row],[kWh Savings]]*tbl_Data_old[[#This Row],[Sum of Annuals]]</f>
        <v>2.2491169629936056</v>
      </c>
      <c r="BB818">
        <f>ROUNDUP(tbl_Data_old[[#This Row],[Adjusted 2025]]/$L818,0)</f>
        <v>1</v>
      </c>
      <c r="BC818">
        <f>ROUNDUP(tbl_Data_old[[#This Row],[Adjusted 2026]]/$L818,0)</f>
        <v>1</v>
      </c>
      <c r="BD818">
        <f>ROUNDUP(tbl_Data_old[[#This Row],[Adjusted 2027]]/$L818,0)</f>
        <v>1</v>
      </c>
      <c r="BE818">
        <f>ROUNDUP(tbl_Data_old[[#This Row],[Adjusted 2028]]/$L818,0)</f>
        <v>1</v>
      </c>
      <c r="BF818">
        <f>ROUNDUP(tbl_Data_old[[#This Row],[Adjusted 2029]]/$L818,0)</f>
        <v>1</v>
      </c>
      <c r="BG818">
        <f>ROUNDUP(tbl_Data_old[[#This Row],[Adjusted 2030]]/$L818,0)</f>
        <v>1</v>
      </c>
      <c r="BH818">
        <f>ROUNDUP(tbl_Data_old[[#This Row],[Adjusted 2031]]/$L818,0)</f>
        <v>1</v>
      </c>
      <c r="BI818">
        <f>ROUNDUP(tbl_Data_old[[#This Row],[Adjusted 2032]]/$L818,0)</f>
        <v>1</v>
      </c>
      <c r="BJ818">
        <f>ROUNDUP(tbl_Data_old[[#This Row],[Adjusted 2033]]/$L818,0)</f>
        <v>1</v>
      </c>
      <c r="BK818">
        <f>ROUNDUP(tbl_Data_old[[#This Row],[Adjusted 2034]]/$L818,0)</f>
        <v>1</v>
      </c>
      <c r="BL818" s="3">
        <f t="shared" si="56"/>
        <v>0</v>
      </c>
      <c r="BM818" s="3">
        <f t="shared" si="56"/>
        <v>0</v>
      </c>
      <c r="BN818" s="3">
        <f t="shared" si="56"/>
        <v>0</v>
      </c>
      <c r="BO818" s="3">
        <f t="shared" si="56"/>
        <v>0</v>
      </c>
      <c r="BP818" s="3">
        <f t="shared" si="56"/>
        <v>0</v>
      </c>
      <c r="BQ818" s="3">
        <f t="shared" si="55"/>
        <v>0</v>
      </c>
      <c r="BR818" s="3">
        <f t="shared" si="55"/>
        <v>0</v>
      </c>
      <c r="BS818" s="3">
        <f t="shared" si="55"/>
        <v>0</v>
      </c>
      <c r="BT818" s="3">
        <f t="shared" si="55"/>
        <v>0</v>
      </c>
      <c r="BU818" s="3">
        <f t="shared" si="55"/>
        <v>0</v>
      </c>
      <c r="BV818" t="e">
        <f>VLOOKUP($H818,'1. Set Program Names'!$B$2:$D$15,3,0)*V818</f>
        <v>#N/A</v>
      </c>
      <c r="BW818" t="e">
        <f>VLOOKUP($H818,'1. Set Program Names'!$B$2:$D$15,3,0)*W818</f>
        <v>#N/A</v>
      </c>
      <c r="BX818" t="e">
        <f>VLOOKUP($H818,'1. Set Program Names'!$B$2:$D$15,3,0)*X818</f>
        <v>#N/A</v>
      </c>
      <c r="BY818" t="e">
        <f>VLOOKUP($H818,'1. Set Program Names'!$B$2:$D$15,3,0)*Y818</f>
        <v>#N/A</v>
      </c>
      <c r="BZ818" t="e">
        <f>VLOOKUP($H818,'1. Set Program Names'!$B$2:$D$15,3,0)*Z818</f>
        <v>#N/A</v>
      </c>
      <c r="CA818" t="e">
        <f>VLOOKUP($H818,'1. Set Program Names'!$B$2:$D$15,3,0)*AA818</f>
        <v>#N/A</v>
      </c>
      <c r="CB818" t="e">
        <f>VLOOKUP($H818,'1. Set Program Names'!$B$2:$D$15,3,0)*AB818</f>
        <v>#N/A</v>
      </c>
      <c r="CC818" t="e">
        <f>VLOOKUP($H818,'1. Set Program Names'!$B$2:$D$15,3,0)*AC818</f>
        <v>#N/A</v>
      </c>
      <c r="CD818" t="e">
        <f>VLOOKUP($H818,'1. Set Program Names'!$B$2:$D$15,3,0)*AD818</f>
        <v>#N/A</v>
      </c>
      <c r="CE818" t="e">
        <f>VLOOKUP($H818,'1. Set Program Names'!$B$2:$D$15,3,0)*AE818</f>
        <v>#N/A</v>
      </c>
    </row>
    <row r="819" spans="1:83" x14ac:dyDescent="0.25">
      <c r="A819" s="20" t="s">
        <v>116</v>
      </c>
      <c r="B819" s="20" t="s">
        <v>88</v>
      </c>
      <c r="C819" s="20" t="s">
        <v>176</v>
      </c>
      <c r="D819" s="20" t="s">
        <v>90</v>
      </c>
      <c r="E819" s="20" t="s">
        <v>91</v>
      </c>
      <c r="F819" s="20" t="s">
        <v>90</v>
      </c>
      <c r="G819" s="20" t="s">
        <v>92</v>
      </c>
      <c r="H819" s="20" t="s">
        <v>268</v>
      </c>
      <c r="I819" s="20" t="s">
        <v>183</v>
      </c>
      <c r="J819" s="20" t="s">
        <v>178</v>
      </c>
      <c r="K819" s="20" t="s">
        <v>130</v>
      </c>
      <c r="L819" s="20">
        <v>113444.97999999901</v>
      </c>
      <c r="M819" s="20">
        <v>13.5911727914499</v>
      </c>
      <c r="N819" s="20">
        <v>13.0925103405659</v>
      </c>
      <c r="O819" s="20">
        <v>42343.199999999997</v>
      </c>
      <c r="P819" s="20">
        <v>19818.792281260001</v>
      </c>
      <c r="Q819" s="20">
        <v>113.44497999999901</v>
      </c>
      <c r="R819" s="20">
        <v>54449.419529642699</v>
      </c>
      <c r="S819" s="20">
        <v>142371.22131797599</v>
      </c>
      <c r="T819" s="20">
        <v>20</v>
      </c>
      <c r="U819" s="20">
        <v>1</v>
      </c>
      <c r="V819" s="20">
        <v>8.9262230922656796E-2</v>
      </c>
      <c r="W819" s="20">
        <v>8.7639370097715705E-2</v>
      </c>
      <c r="X819" s="20">
        <v>8.5249093189037006E-2</v>
      </c>
      <c r="Y819" s="20">
        <v>8.2812657164757497E-2</v>
      </c>
      <c r="Z819" s="20">
        <v>8.0481372840849996E-2</v>
      </c>
      <c r="AA819" s="20">
        <v>7.7946143286643094E-2</v>
      </c>
      <c r="AB819" s="20">
        <v>7.5381737365890794E-2</v>
      </c>
      <c r="AC819" s="20">
        <v>7.2963873300498597E-2</v>
      </c>
      <c r="AD819" s="20">
        <v>7.0539349560611503E-2</v>
      </c>
      <c r="AE819" s="20">
        <v>6.8195208356464601E-2</v>
      </c>
      <c r="AF819" t="str">
        <f t="shared" si="53"/>
        <v>NonResidential</v>
      </c>
      <c r="AG819" t="str">
        <f>tbl_Data_old[[#This Row],[All_Meas_Name_Append]]</f>
        <v>Industrial Duct Sealing</v>
      </c>
      <c r="AH819">
        <f>AVERAGEIFS('3. Incentive Adjustment'!G:G,'3. Incentive Adjustment'!A:A,tbl_Data_old[[#This Row],[Trimmed Sector]],'3. Incentive Adjustment'!B:B,tbl_Data_old[[#This Row],[Trimmed Measure Name]])</f>
        <v>0.63068496474049041</v>
      </c>
      <c r="AI819">
        <f>$AH819*tbl_Data_old[[#This Row],[2025 ]]</f>
        <v>5.6296346962113317E-2</v>
      </c>
      <c r="AJ819">
        <f>$AH819*tbl_Data_old[[#This Row],[2026 ]]</f>
        <v>5.5272833039956622E-2</v>
      </c>
      <c r="AK819">
        <f>$AH819*tbl_Data_old[[#This Row],[2027 ]]</f>
        <v>5.3765321332086585E-2</v>
      </c>
      <c r="AL819">
        <f>$AH819*tbl_Data_old[[#This Row],[2028 ]]</f>
        <v>5.2228697764021399E-2</v>
      </c>
      <c r="AM819">
        <f>$AH819*tbl_Data_old[[#This Row],[2029 ]]</f>
        <v>5.0758391792397745E-2</v>
      </c>
      <c r="AN819">
        <f>$AH819*tbl_Data_old[[#This Row],[2030 ]]</f>
        <v>4.9159460630393711E-2</v>
      </c>
      <c r="AO819">
        <f>$AH819*tbl_Data_old[[#This Row],[2031 ]]</f>
        <v>4.7542128372683741E-2</v>
      </c>
      <c r="AP819">
        <f>$AH819*tbl_Data_old[[#This Row],[2032 ]]</f>
        <v>4.6017217859854569E-2</v>
      </c>
      <c r="AQ819">
        <f>$AH819*tbl_Data_old[[#This Row],[2033 ]]</f>
        <v>4.448810719045139E-2</v>
      </c>
      <c r="AR819">
        <f>$AH819*tbl_Data_old[[#This Row],[2034 ]]</f>
        <v>4.3009692577767274E-2</v>
      </c>
      <c r="AS819">
        <f>SUM(tbl_Data_old[[#This Row],[Adjusted 2025]:[Adjusted 2034]])</f>
        <v>0.49853819752172635</v>
      </c>
      <c r="AT819" s="3">
        <f>AVERAGEIFS('3. Incentive Adjustment'!F:F,'3. Incentive Adjustment'!A:A,tbl_Data_old[[#This Row],[Trimmed Sector]],'3. Incentive Adjustment'!B:B,tbl_Data_old[[#This Row],[Trimmed Measure Name]])</f>
        <v>0</v>
      </c>
      <c r="AU819" s="3">
        <f>IFERROR(VLOOKUP(tbl_Data_old[[#This Row],[All_Meas_Name_Append]],'IRA Tax Credits'!$A$3:$D$46,4,0),0)</f>
        <v>0</v>
      </c>
      <c r="AV819" s="4">
        <f>tbl_Data_old[[#This Row],[Adj. per unit Incentive ($)]]/tbl_Data_old[[#This Row],[kWh Savings]]*tbl_Data_old[[#This Row],[Sum of Annuals]]</f>
        <v>0</v>
      </c>
      <c r="AW819" s="4" t="str">
        <f>IFERROR(VLOOKUP(tbl_Data_old[[#This Row],[All_Programs]],'1. Set Program Names'!$B$2:$D$15,3,0)*tbl_Data_old[[#This Row],[Sum of Annuals]],"")</f>
        <v/>
      </c>
      <c r="AX819" s="4">
        <f>tbl_Data_old[[#This Row],[per unit IRA tax ($)]]/tbl_Data_old[[#This Row],[kWh Savings]]*tbl_Data_old[[#This Row],[Sum of Annuals]]</f>
        <v>0</v>
      </c>
      <c r="AY819" s="4">
        <f>tbl_Data_old[[#This Row],[Avoided Costs ($/unit)]]/tbl_Data_old[[#This Row],[kWh Savings]]*tbl_Data_old[[#This Row],[Sum of Annuals]]</f>
        <v>0.23928000576502012</v>
      </c>
      <c r="AZ819" s="4">
        <f>tbl_Data_old[[#This Row],[Lost Revenue ($/unit)]]/tbl_Data_old[[#This Row],[kWh Savings]]*tbl_Data_old[[#This Row],[Sum of Annuals]]</f>
        <v>0.62565564430291365</v>
      </c>
      <c r="BA819" s="4">
        <f>tbl_Data_old[[#This Row],[Incremental Cost ($/unit)]]/tbl_Data_old[[#This Row],[kWh Savings]]*tbl_Data_old[[#This Row],[Sum of Annuals]]</f>
        <v>0.18607877232912506</v>
      </c>
      <c r="BB819">
        <f>ROUNDUP(tbl_Data_old[[#This Row],[Adjusted 2025]]/$L819,0)</f>
        <v>1</v>
      </c>
      <c r="BC819">
        <f>ROUNDUP(tbl_Data_old[[#This Row],[Adjusted 2026]]/$L819,0)</f>
        <v>1</v>
      </c>
      <c r="BD819">
        <f>ROUNDUP(tbl_Data_old[[#This Row],[Adjusted 2027]]/$L819,0)</f>
        <v>1</v>
      </c>
      <c r="BE819">
        <f>ROUNDUP(tbl_Data_old[[#This Row],[Adjusted 2028]]/$L819,0)</f>
        <v>1</v>
      </c>
      <c r="BF819">
        <f>ROUNDUP(tbl_Data_old[[#This Row],[Adjusted 2029]]/$L819,0)</f>
        <v>1</v>
      </c>
      <c r="BG819">
        <f>ROUNDUP(tbl_Data_old[[#This Row],[Adjusted 2030]]/$L819,0)</f>
        <v>1</v>
      </c>
      <c r="BH819">
        <f>ROUNDUP(tbl_Data_old[[#This Row],[Adjusted 2031]]/$L819,0)</f>
        <v>1</v>
      </c>
      <c r="BI819">
        <f>ROUNDUP(tbl_Data_old[[#This Row],[Adjusted 2032]]/$L819,0)</f>
        <v>1</v>
      </c>
      <c r="BJ819">
        <f>ROUNDUP(tbl_Data_old[[#This Row],[Adjusted 2033]]/$L819,0)</f>
        <v>1</v>
      </c>
      <c r="BK819">
        <f>ROUNDUP(tbl_Data_old[[#This Row],[Adjusted 2034]]/$L819,0)</f>
        <v>1</v>
      </c>
      <c r="BL819" s="3">
        <f t="shared" si="56"/>
        <v>0</v>
      </c>
      <c r="BM819" s="3">
        <f t="shared" si="56"/>
        <v>0</v>
      </c>
      <c r="BN819" s="3">
        <f t="shared" si="56"/>
        <v>0</v>
      </c>
      <c r="BO819" s="3">
        <f t="shared" si="56"/>
        <v>0</v>
      </c>
      <c r="BP819" s="3">
        <f t="shared" si="56"/>
        <v>0</v>
      </c>
      <c r="BQ819" s="3">
        <f t="shared" si="55"/>
        <v>0</v>
      </c>
      <c r="BR819" s="3">
        <f t="shared" si="55"/>
        <v>0</v>
      </c>
      <c r="BS819" s="3">
        <f t="shared" si="55"/>
        <v>0</v>
      </c>
      <c r="BT819" s="3">
        <f t="shared" si="55"/>
        <v>0</v>
      </c>
      <c r="BU819" s="3">
        <f t="shared" si="55"/>
        <v>0</v>
      </c>
      <c r="BV819" t="e">
        <f>VLOOKUP($H819,'1. Set Program Names'!$B$2:$D$15,3,0)*V819</f>
        <v>#N/A</v>
      </c>
      <c r="BW819" t="e">
        <f>VLOOKUP($H819,'1. Set Program Names'!$B$2:$D$15,3,0)*W819</f>
        <v>#N/A</v>
      </c>
      <c r="BX819" t="e">
        <f>VLOOKUP($H819,'1. Set Program Names'!$B$2:$D$15,3,0)*X819</f>
        <v>#N/A</v>
      </c>
      <c r="BY819" t="e">
        <f>VLOOKUP($H819,'1. Set Program Names'!$B$2:$D$15,3,0)*Y819</f>
        <v>#N/A</v>
      </c>
      <c r="BZ819" t="e">
        <f>VLOOKUP($H819,'1. Set Program Names'!$B$2:$D$15,3,0)*Z819</f>
        <v>#N/A</v>
      </c>
      <c r="CA819" t="e">
        <f>VLOOKUP($H819,'1. Set Program Names'!$B$2:$D$15,3,0)*AA819</f>
        <v>#N/A</v>
      </c>
      <c r="CB819" t="e">
        <f>VLOOKUP($H819,'1. Set Program Names'!$B$2:$D$15,3,0)*AB819</f>
        <v>#N/A</v>
      </c>
      <c r="CC819" t="e">
        <f>VLOOKUP($H819,'1. Set Program Names'!$B$2:$D$15,3,0)*AC819</f>
        <v>#N/A</v>
      </c>
      <c r="CD819" t="e">
        <f>VLOOKUP($H819,'1. Set Program Names'!$B$2:$D$15,3,0)*AD819</f>
        <v>#N/A</v>
      </c>
      <c r="CE819" t="e">
        <f>VLOOKUP($H819,'1. Set Program Names'!$B$2:$D$15,3,0)*AE819</f>
        <v>#N/A</v>
      </c>
    </row>
    <row r="820" spans="1:83" x14ac:dyDescent="0.25">
      <c r="A820" s="20" t="s">
        <v>116</v>
      </c>
      <c r="B820" s="20" t="s">
        <v>88</v>
      </c>
      <c r="C820" s="20" t="s">
        <v>176</v>
      </c>
      <c r="D820" s="20" t="s">
        <v>90</v>
      </c>
      <c r="E820" s="20" t="s">
        <v>91</v>
      </c>
      <c r="F820" s="20" t="s">
        <v>90</v>
      </c>
      <c r="G820" s="20" t="s">
        <v>92</v>
      </c>
      <c r="H820" s="20" t="s">
        <v>268</v>
      </c>
      <c r="I820" s="20" t="s">
        <v>270</v>
      </c>
      <c r="J820" s="20" t="s">
        <v>191</v>
      </c>
      <c r="K820" s="20" t="s">
        <v>98</v>
      </c>
      <c r="L820" s="20">
        <v>2628</v>
      </c>
      <c r="M820" s="20">
        <v>0.31001938633530801</v>
      </c>
      <c r="N820" s="20">
        <v>0.30291717485841702</v>
      </c>
      <c r="O820" s="20">
        <v>810.229999999999</v>
      </c>
      <c r="P820" s="20">
        <v>281.60244658368498</v>
      </c>
      <c r="Q820" s="20">
        <v>2.6280000000000001</v>
      </c>
      <c r="R820" s="20">
        <v>891.847172411815</v>
      </c>
      <c r="S820" s="20">
        <v>2113.8122303076898</v>
      </c>
      <c r="T820" s="20">
        <v>10</v>
      </c>
      <c r="U820" s="20">
        <v>1</v>
      </c>
      <c r="V820" s="20">
        <v>2.0457529843032298</v>
      </c>
      <c r="W820" s="20">
        <v>2.8356662388650902</v>
      </c>
      <c r="X820" s="20">
        <v>3.7239847668584001</v>
      </c>
      <c r="Y820" s="20">
        <v>4.7069948788837603</v>
      </c>
      <c r="Z820" s="20">
        <v>5.6676455223790798</v>
      </c>
      <c r="AA820" s="20">
        <v>6.5560365402137597</v>
      </c>
      <c r="AB820" s="20">
        <v>7.3200750762774902</v>
      </c>
      <c r="AC820" s="20">
        <v>7.9233094090454701</v>
      </c>
      <c r="AD820" s="20">
        <v>8.4013198805883906</v>
      </c>
      <c r="AE820" s="20">
        <v>8.7682129348036995</v>
      </c>
      <c r="AF820" t="str">
        <f t="shared" si="53"/>
        <v>NonResidential</v>
      </c>
      <c r="AG820" t="str">
        <f>tbl_Data_old[[#This Row],[All_Meas_Name_Append]]</f>
        <v>Low Energy Livestock Waterer</v>
      </c>
      <c r="AH820">
        <f>AVERAGEIFS('3. Incentive Adjustment'!G:G,'3. Incentive Adjustment'!A:A,tbl_Data_old[[#This Row],[Trimmed Sector]],'3. Incentive Adjustment'!B:B,tbl_Data_old[[#This Row],[Trimmed Measure Name]])</f>
        <v>0.7537232854794027</v>
      </c>
      <c r="AI820">
        <f>$AH820*tbl_Data_old[[#This Row],[2025 ]]</f>
        <v>1.5419316606083233</v>
      </c>
      <c r="AJ820">
        <f>$AH820*tbl_Data_old[[#This Row],[2026 ]]</f>
        <v>2.1373076740804167</v>
      </c>
      <c r="AK820">
        <f>$AH820*tbl_Data_old[[#This Row],[2027 ]]</f>
        <v>2.8068540335517609</v>
      </c>
      <c r="AL820">
        <f>$AH820*tbl_Data_old[[#This Row],[2028 ]]</f>
        <v>3.5477716448469909</v>
      </c>
      <c r="AM820">
        <f>$AH820*tbl_Data_old[[#This Row],[2029 ]]</f>
        <v>4.2718364040601857</v>
      </c>
      <c r="AN820">
        <f>$AH820*tbl_Data_old[[#This Row],[2030 ]]</f>
        <v>4.9414374008129309</v>
      </c>
      <c r="AO820">
        <f>$AH820*tbl_Data_old[[#This Row],[2031 ]]</f>
        <v>5.5173110364477589</v>
      </c>
      <c r="AP820">
        <f>$AH820*tbl_Data_old[[#This Row],[2032 ]]</f>
        <v>5.9719827996556161</v>
      </c>
      <c r="AQ820">
        <f>$AH820*tbl_Data_old[[#This Row],[2033 ]]</f>
        <v>6.3322704227605051</v>
      </c>
      <c r="AR820">
        <f>$AH820*tbl_Data_old[[#This Row],[2034 ]]</f>
        <v>6.6088062610032399</v>
      </c>
      <c r="AS820">
        <f>SUM(tbl_Data_old[[#This Row],[Adjusted 2025]:[Adjusted 2034]])</f>
        <v>43.677509337827729</v>
      </c>
      <c r="AT820" s="3">
        <f>AVERAGEIFS('3. Incentive Adjustment'!F:F,'3. Incentive Adjustment'!A:A,tbl_Data_old[[#This Row],[Trimmed Sector]],'3. Incentive Adjustment'!B:B,tbl_Data_old[[#This Row],[Trimmed Measure Name]])</f>
        <v>0</v>
      </c>
      <c r="AU820" s="3">
        <f>IFERROR(VLOOKUP(tbl_Data_old[[#This Row],[All_Meas_Name_Append]],'IRA Tax Credits'!$A$3:$D$46,4,0),0)</f>
        <v>0</v>
      </c>
      <c r="AV820" s="4">
        <f>tbl_Data_old[[#This Row],[Adj. per unit Incentive ($)]]/tbl_Data_old[[#This Row],[kWh Savings]]*tbl_Data_old[[#This Row],[Sum of Annuals]]</f>
        <v>0</v>
      </c>
      <c r="AW820" s="4" t="str">
        <f>IFERROR(VLOOKUP(tbl_Data_old[[#This Row],[All_Programs]],'1. Set Program Names'!$B$2:$D$15,3,0)*tbl_Data_old[[#This Row],[Sum of Annuals]],"")</f>
        <v/>
      </c>
      <c r="AX820" s="4">
        <f>tbl_Data_old[[#This Row],[per unit IRA tax ($)]]/tbl_Data_old[[#This Row],[kWh Savings]]*tbl_Data_old[[#This Row],[Sum of Annuals]]</f>
        <v>0</v>
      </c>
      <c r="AY820" s="4">
        <f>tbl_Data_old[[#This Row],[Avoided Costs ($/unit)]]/tbl_Data_old[[#This Row],[kWh Savings]]*tbl_Data_old[[#This Row],[Sum of Annuals]]</f>
        <v>14.822550685286265</v>
      </c>
      <c r="AZ820" s="4">
        <f>tbl_Data_old[[#This Row],[Lost Revenue ($/unit)]]/tbl_Data_old[[#This Row],[kWh Savings]]*tbl_Data_old[[#This Row],[Sum of Annuals]]</f>
        <v>35.131679386483476</v>
      </c>
      <c r="BA820" s="4">
        <f>tbl_Data_old[[#This Row],[Incremental Cost ($/unit)]]/tbl_Data_old[[#This Row],[kWh Savings]]*tbl_Data_old[[#This Row],[Sum of Annuals]]</f>
        <v>13.466068641852402</v>
      </c>
      <c r="BB820">
        <f>ROUNDUP(tbl_Data_old[[#This Row],[Adjusted 2025]]/$L820,0)</f>
        <v>1</v>
      </c>
      <c r="BC820">
        <f>ROUNDUP(tbl_Data_old[[#This Row],[Adjusted 2026]]/$L820,0)</f>
        <v>1</v>
      </c>
      <c r="BD820">
        <f>ROUNDUP(tbl_Data_old[[#This Row],[Adjusted 2027]]/$L820,0)</f>
        <v>1</v>
      </c>
      <c r="BE820">
        <f>ROUNDUP(tbl_Data_old[[#This Row],[Adjusted 2028]]/$L820,0)</f>
        <v>1</v>
      </c>
      <c r="BF820">
        <f>ROUNDUP(tbl_Data_old[[#This Row],[Adjusted 2029]]/$L820,0)</f>
        <v>1</v>
      </c>
      <c r="BG820">
        <f>ROUNDUP(tbl_Data_old[[#This Row],[Adjusted 2030]]/$L820,0)</f>
        <v>1</v>
      </c>
      <c r="BH820">
        <f>ROUNDUP(tbl_Data_old[[#This Row],[Adjusted 2031]]/$L820,0)</f>
        <v>1</v>
      </c>
      <c r="BI820">
        <f>ROUNDUP(tbl_Data_old[[#This Row],[Adjusted 2032]]/$L820,0)</f>
        <v>1</v>
      </c>
      <c r="BJ820">
        <f>ROUNDUP(tbl_Data_old[[#This Row],[Adjusted 2033]]/$L820,0)</f>
        <v>1</v>
      </c>
      <c r="BK820">
        <f>ROUNDUP(tbl_Data_old[[#This Row],[Adjusted 2034]]/$L820,0)</f>
        <v>1</v>
      </c>
      <c r="BL820" s="3">
        <f t="shared" si="56"/>
        <v>0</v>
      </c>
      <c r="BM820" s="3">
        <f t="shared" si="56"/>
        <v>0</v>
      </c>
      <c r="BN820" s="3">
        <f t="shared" si="56"/>
        <v>0</v>
      </c>
      <c r="BO820" s="3">
        <f t="shared" si="56"/>
        <v>0</v>
      </c>
      <c r="BP820" s="3">
        <f t="shared" si="56"/>
        <v>0</v>
      </c>
      <c r="BQ820" s="3">
        <f t="shared" si="55"/>
        <v>0</v>
      </c>
      <c r="BR820" s="3">
        <f t="shared" si="55"/>
        <v>0</v>
      </c>
      <c r="BS820" s="3">
        <f t="shared" si="55"/>
        <v>0</v>
      </c>
      <c r="BT820" s="3">
        <f t="shared" si="55"/>
        <v>0</v>
      </c>
      <c r="BU820" s="3">
        <f t="shared" si="55"/>
        <v>0</v>
      </c>
      <c r="BV820" t="e">
        <f>VLOOKUP($H820,'1. Set Program Names'!$B$2:$D$15,3,0)*V820</f>
        <v>#N/A</v>
      </c>
      <c r="BW820" t="e">
        <f>VLOOKUP($H820,'1. Set Program Names'!$B$2:$D$15,3,0)*W820</f>
        <v>#N/A</v>
      </c>
      <c r="BX820" t="e">
        <f>VLOOKUP($H820,'1. Set Program Names'!$B$2:$D$15,3,0)*X820</f>
        <v>#N/A</v>
      </c>
      <c r="BY820" t="e">
        <f>VLOOKUP($H820,'1. Set Program Names'!$B$2:$D$15,3,0)*Y820</f>
        <v>#N/A</v>
      </c>
      <c r="BZ820" t="e">
        <f>VLOOKUP($H820,'1. Set Program Names'!$B$2:$D$15,3,0)*Z820</f>
        <v>#N/A</v>
      </c>
      <c r="CA820" t="e">
        <f>VLOOKUP($H820,'1. Set Program Names'!$B$2:$D$15,3,0)*AA820</f>
        <v>#N/A</v>
      </c>
      <c r="CB820" t="e">
        <f>VLOOKUP($H820,'1. Set Program Names'!$B$2:$D$15,3,0)*AB820</f>
        <v>#N/A</v>
      </c>
      <c r="CC820" t="e">
        <f>VLOOKUP($H820,'1. Set Program Names'!$B$2:$D$15,3,0)*AC820</f>
        <v>#N/A</v>
      </c>
      <c r="CD820" t="e">
        <f>VLOOKUP($H820,'1. Set Program Names'!$B$2:$D$15,3,0)*AD820</f>
        <v>#N/A</v>
      </c>
      <c r="CE820" t="e">
        <f>VLOOKUP($H820,'1. Set Program Names'!$B$2:$D$15,3,0)*AE820</f>
        <v>#N/A</v>
      </c>
    </row>
    <row r="821" spans="1:83" x14ac:dyDescent="0.25">
      <c r="A821" s="20" t="s">
        <v>116</v>
      </c>
      <c r="B821" s="20" t="s">
        <v>88</v>
      </c>
      <c r="C821" s="20" t="s">
        <v>176</v>
      </c>
      <c r="D821" s="20" t="s">
        <v>90</v>
      </c>
      <c r="E821" s="20" t="s">
        <v>91</v>
      </c>
      <c r="F821" s="20" t="s">
        <v>90</v>
      </c>
      <c r="G821" s="20" t="s">
        <v>92</v>
      </c>
      <c r="H821" s="20" t="s">
        <v>268</v>
      </c>
      <c r="I821" s="20" t="s">
        <v>184</v>
      </c>
      <c r="J821" s="20" t="s">
        <v>180</v>
      </c>
      <c r="K821" s="20" t="s">
        <v>98</v>
      </c>
      <c r="L821" s="20">
        <v>3514.8091666666501</v>
      </c>
      <c r="M821" s="20">
        <v>0.421134949485237</v>
      </c>
      <c r="N821" s="20">
        <v>0.40566942535109901</v>
      </c>
      <c r="O821" s="20">
        <v>1028.8599999999999</v>
      </c>
      <c r="P821" s="20">
        <v>322.03243304134497</v>
      </c>
      <c r="Q821" s="20">
        <v>3.5148091666666499</v>
      </c>
      <c r="R821" s="20">
        <v>1184.78167438478</v>
      </c>
      <c r="S821" s="20">
        <v>2827.1105797935802</v>
      </c>
      <c r="T821" s="20">
        <v>10</v>
      </c>
      <c r="U821" s="20">
        <v>1</v>
      </c>
      <c r="V821" s="20">
        <v>0.23953934200494201</v>
      </c>
      <c r="W821" s="20">
        <v>0.33035903451674498</v>
      </c>
      <c r="X821" s="20">
        <v>0.44113194346399098</v>
      </c>
      <c r="Y821" s="20">
        <v>0.57414124590228399</v>
      </c>
      <c r="Z821" s="20">
        <v>0.71441492394478501</v>
      </c>
      <c r="AA821" s="20">
        <v>0.84495655350682597</v>
      </c>
      <c r="AB821" s="20">
        <v>0.93821114595470501</v>
      </c>
      <c r="AC821" s="20">
        <v>0.96421493555896798</v>
      </c>
      <c r="AD821" s="20">
        <v>0.91077400066750203</v>
      </c>
      <c r="AE821" s="20">
        <v>0.787194541510705</v>
      </c>
      <c r="AF821" t="str">
        <f t="shared" si="53"/>
        <v>NonResidential</v>
      </c>
      <c r="AG821" t="str">
        <f>tbl_Data_old[[#This Row],[All_Meas_Name_Append]]</f>
        <v>Low Pressure-drop Filters</v>
      </c>
      <c r="AH821">
        <f>AVERAGEIFS('3. Incentive Adjustment'!G:G,'3. Incentive Adjustment'!A:A,tbl_Data_old[[#This Row],[Trimmed Sector]],'3. Incentive Adjustment'!B:B,tbl_Data_old[[#This Row],[Trimmed Measure Name]])</f>
        <v>0.78525588861759776</v>
      </c>
      <c r="AI821">
        <f>$AH821*tbl_Data_old[[#This Row],[2025 ]]</f>
        <v>0.1880996788649654</v>
      </c>
      <c r="AJ821">
        <f>$AH821*tbl_Data_old[[#This Row],[2026 ]]</f>
        <v>0.25941637721229821</v>
      </c>
      <c r="AK821">
        <f>$AH821*tbl_Data_old[[#This Row],[2027 ]]</f>
        <v>0.34640145626242413</v>
      </c>
      <c r="AL821">
        <f>$AH821*tbl_Data_old[[#This Row],[2028 ]]</f>
        <v>0.45084779424301274</v>
      </c>
      <c r="AM821">
        <f>$AH821*tbl_Data_old[[#This Row],[2029 ]]</f>
        <v>0.56099852594393562</v>
      </c>
      <c r="AN821">
        <f>$AH821*tbl_Data_old[[#This Row],[2030 ]]</f>
        <v>0.66350710926726542</v>
      </c>
      <c r="AO821">
        <f>$AH821*tbl_Data_old[[#This Row],[2031 ]]</f>
        <v>0.73673582712759655</v>
      </c>
      <c r="AP821">
        <f>$AH821*tbl_Data_old[[#This Row],[2032 ]]</f>
        <v>0.75715545604071721</v>
      </c>
      <c r="AQ821">
        <f>$AH821*tbl_Data_old[[#This Row],[2033 ]]</f>
        <v>0.71519064722396386</v>
      </c>
      <c r="AR821">
        <f>$AH821*tbl_Data_old[[#This Row],[2034 ]]</f>
        <v>0.61814914920891106</v>
      </c>
      <c r="AS821">
        <f>SUM(tbl_Data_old[[#This Row],[Adjusted 2025]:[Adjusted 2034]])</f>
        <v>5.2965020213950895</v>
      </c>
      <c r="AT821" s="3">
        <f>AVERAGEIFS('3. Incentive Adjustment'!F:F,'3. Incentive Adjustment'!A:A,tbl_Data_old[[#This Row],[Trimmed Sector]],'3. Incentive Adjustment'!B:B,tbl_Data_old[[#This Row],[Trimmed Measure Name]])</f>
        <v>0</v>
      </c>
      <c r="AU821" s="3">
        <f>IFERROR(VLOOKUP(tbl_Data_old[[#This Row],[All_Meas_Name_Append]],'IRA Tax Credits'!$A$3:$D$46,4,0),0)</f>
        <v>0</v>
      </c>
      <c r="AV821" s="4">
        <f>tbl_Data_old[[#This Row],[Adj. per unit Incentive ($)]]/tbl_Data_old[[#This Row],[kWh Savings]]*tbl_Data_old[[#This Row],[Sum of Annuals]]</f>
        <v>0</v>
      </c>
      <c r="AW821" s="4" t="str">
        <f>IFERROR(VLOOKUP(tbl_Data_old[[#This Row],[All_Programs]],'1. Set Program Names'!$B$2:$D$15,3,0)*tbl_Data_old[[#This Row],[Sum of Annuals]],"")</f>
        <v/>
      </c>
      <c r="AX821" s="4">
        <f>tbl_Data_old[[#This Row],[per unit IRA tax ($)]]/tbl_Data_old[[#This Row],[kWh Savings]]*tbl_Data_old[[#This Row],[Sum of Annuals]]</f>
        <v>0</v>
      </c>
      <c r="AY821" s="4">
        <f>tbl_Data_old[[#This Row],[Avoided Costs ($/unit)]]/tbl_Data_old[[#This Row],[kWh Savings]]*tbl_Data_old[[#This Row],[Sum of Annuals]]</f>
        <v>1.7853596698230063</v>
      </c>
      <c r="AZ821" s="4">
        <f>tbl_Data_old[[#This Row],[Lost Revenue ($/unit)]]/tbl_Data_old[[#This Row],[kWh Savings]]*tbl_Data_old[[#This Row],[Sum of Annuals]]</f>
        <v>4.2602019599217344</v>
      </c>
      <c r="BA821" s="4">
        <f>tbl_Data_old[[#This Row],[Incremental Cost ($/unit)]]/tbl_Data_old[[#This Row],[kWh Savings]]*tbl_Data_old[[#This Row],[Sum of Annuals]]</f>
        <v>1.5503996977737986</v>
      </c>
      <c r="BB821">
        <f>ROUNDUP(tbl_Data_old[[#This Row],[Adjusted 2025]]/$L821,0)</f>
        <v>1</v>
      </c>
      <c r="BC821">
        <f>ROUNDUP(tbl_Data_old[[#This Row],[Adjusted 2026]]/$L821,0)</f>
        <v>1</v>
      </c>
      <c r="BD821">
        <f>ROUNDUP(tbl_Data_old[[#This Row],[Adjusted 2027]]/$L821,0)</f>
        <v>1</v>
      </c>
      <c r="BE821">
        <f>ROUNDUP(tbl_Data_old[[#This Row],[Adjusted 2028]]/$L821,0)</f>
        <v>1</v>
      </c>
      <c r="BF821">
        <f>ROUNDUP(tbl_Data_old[[#This Row],[Adjusted 2029]]/$L821,0)</f>
        <v>1</v>
      </c>
      <c r="BG821">
        <f>ROUNDUP(tbl_Data_old[[#This Row],[Adjusted 2030]]/$L821,0)</f>
        <v>1</v>
      </c>
      <c r="BH821">
        <f>ROUNDUP(tbl_Data_old[[#This Row],[Adjusted 2031]]/$L821,0)</f>
        <v>1</v>
      </c>
      <c r="BI821">
        <f>ROUNDUP(tbl_Data_old[[#This Row],[Adjusted 2032]]/$L821,0)</f>
        <v>1</v>
      </c>
      <c r="BJ821">
        <f>ROUNDUP(tbl_Data_old[[#This Row],[Adjusted 2033]]/$L821,0)</f>
        <v>1</v>
      </c>
      <c r="BK821">
        <f>ROUNDUP(tbl_Data_old[[#This Row],[Adjusted 2034]]/$L821,0)</f>
        <v>1</v>
      </c>
      <c r="BL821" s="3">
        <f t="shared" si="56"/>
        <v>0</v>
      </c>
      <c r="BM821" s="3">
        <f t="shared" si="56"/>
        <v>0</v>
      </c>
      <c r="BN821" s="3">
        <f t="shared" si="56"/>
        <v>0</v>
      </c>
      <c r="BO821" s="3">
        <f t="shared" si="56"/>
        <v>0</v>
      </c>
      <c r="BP821" s="3">
        <f t="shared" si="56"/>
        <v>0</v>
      </c>
      <c r="BQ821" s="3">
        <f t="shared" si="55"/>
        <v>0</v>
      </c>
      <c r="BR821" s="3">
        <f t="shared" si="55"/>
        <v>0</v>
      </c>
      <c r="BS821" s="3">
        <f t="shared" si="55"/>
        <v>0</v>
      </c>
      <c r="BT821" s="3">
        <f t="shared" si="55"/>
        <v>0</v>
      </c>
      <c r="BU821" s="3">
        <f t="shared" si="55"/>
        <v>0</v>
      </c>
      <c r="BV821" t="e">
        <f>VLOOKUP($H821,'1. Set Program Names'!$B$2:$D$15,3,0)*V821</f>
        <v>#N/A</v>
      </c>
      <c r="BW821" t="e">
        <f>VLOOKUP($H821,'1. Set Program Names'!$B$2:$D$15,3,0)*W821</f>
        <v>#N/A</v>
      </c>
      <c r="BX821" t="e">
        <f>VLOOKUP($H821,'1. Set Program Names'!$B$2:$D$15,3,0)*X821</f>
        <v>#N/A</v>
      </c>
      <c r="BY821" t="e">
        <f>VLOOKUP($H821,'1. Set Program Names'!$B$2:$D$15,3,0)*Y821</f>
        <v>#N/A</v>
      </c>
      <c r="BZ821" t="e">
        <f>VLOOKUP($H821,'1. Set Program Names'!$B$2:$D$15,3,0)*Z821</f>
        <v>#N/A</v>
      </c>
      <c r="CA821" t="e">
        <f>VLOOKUP($H821,'1. Set Program Names'!$B$2:$D$15,3,0)*AA821</f>
        <v>#N/A</v>
      </c>
      <c r="CB821" t="e">
        <f>VLOOKUP($H821,'1. Set Program Names'!$B$2:$D$15,3,0)*AB821</f>
        <v>#N/A</v>
      </c>
      <c r="CC821" t="e">
        <f>VLOOKUP($H821,'1. Set Program Names'!$B$2:$D$15,3,0)*AC821</f>
        <v>#N/A</v>
      </c>
      <c r="CD821" t="e">
        <f>VLOOKUP($H821,'1. Set Program Names'!$B$2:$D$15,3,0)*AD821</f>
        <v>#N/A</v>
      </c>
      <c r="CE821" t="e">
        <f>VLOOKUP($H821,'1. Set Program Names'!$B$2:$D$15,3,0)*AE821</f>
        <v>#N/A</v>
      </c>
    </row>
    <row r="822" spans="1:83" x14ac:dyDescent="0.25">
      <c r="A822" s="20" t="s">
        <v>116</v>
      </c>
      <c r="B822" s="20" t="s">
        <v>88</v>
      </c>
      <c r="C822" s="20" t="s">
        <v>176</v>
      </c>
      <c r="D822" s="20" t="s">
        <v>90</v>
      </c>
      <c r="E822" s="20" t="s">
        <v>91</v>
      </c>
      <c r="F822" s="20" t="s">
        <v>90</v>
      </c>
      <c r="G822" s="20" t="s">
        <v>92</v>
      </c>
      <c r="H822" s="20" t="s">
        <v>268</v>
      </c>
      <c r="I822" s="20" t="s">
        <v>271</v>
      </c>
      <c r="J822" s="20" t="s">
        <v>180</v>
      </c>
      <c r="K822" s="20" t="s">
        <v>272</v>
      </c>
      <c r="L822" s="20">
        <v>8742.5400000000009</v>
      </c>
      <c r="M822" s="20">
        <v>1.04876812955413</v>
      </c>
      <c r="N822" s="20">
        <v>1.0098733971376099</v>
      </c>
      <c r="O822" s="20">
        <v>3543.39</v>
      </c>
      <c r="P822" s="20">
        <v>1784.8102698461601</v>
      </c>
      <c r="Q822" s="20">
        <v>8.74254</v>
      </c>
      <c r="R822" s="20">
        <v>3737.3935784201899</v>
      </c>
      <c r="S822" s="20">
        <v>9285.1929731405908</v>
      </c>
      <c r="T822" s="20">
        <v>15</v>
      </c>
      <c r="U822" s="20">
        <v>1</v>
      </c>
      <c r="V822" s="20">
        <v>1.8707976293336599E-2</v>
      </c>
      <c r="W822" s="20">
        <v>2.4276751145538799E-2</v>
      </c>
      <c r="X822" s="20">
        <v>3.07129625408946E-2</v>
      </c>
      <c r="Y822" s="20">
        <v>3.8340514759613302E-2</v>
      </c>
      <c r="Z822" s="20">
        <v>4.6372126986616101E-2</v>
      </c>
      <c r="AA822" s="20">
        <v>5.4578933073252699E-2</v>
      </c>
      <c r="AB822" s="20">
        <v>6.2219387864586202E-2</v>
      </c>
      <c r="AC822" s="20">
        <v>6.8175638125606799E-2</v>
      </c>
      <c r="AD822" s="20">
        <v>7.1775599848136196E-2</v>
      </c>
      <c r="AE822" s="20">
        <v>7.2150772028380397E-2</v>
      </c>
      <c r="AF822" t="str">
        <f t="shared" si="53"/>
        <v>NonResidential</v>
      </c>
      <c r="AG822" t="str">
        <f>tbl_Data_old[[#This Row],[All_Meas_Name_Append]]</f>
        <v>Milk Pre-Cooler</v>
      </c>
      <c r="AH822">
        <f>AVERAGEIFS('3. Incentive Adjustment'!G:G,'3. Incentive Adjustment'!A:A,tbl_Data_old[[#This Row],[Trimmed Sector]],'3. Incentive Adjustment'!B:B,tbl_Data_old[[#This Row],[Trimmed Measure Name]])</f>
        <v>0.58352930274688986</v>
      </c>
      <c r="AI822">
        <f>$AH822*tbl_Data_old[[#This Row],[2025 ]]</f>
        <v>1.091665236225605E-2</v>
      </c>
      <c r="AJ822">
        <f>$AH822*tbl_Data_old[[#This Row],[2026 ]]</f>
        <v>1.4166195668916014E-2</v>
      </c>
      <c r="AK822">
        <f>$AH822*tbl_Data_old[[#This Row],[2027 ]]</f>
        <v>1.7921913616779573E-2</v>
      </c>
      <c r="AL822">
        <f>$AH822*tbl_Data_old[[#This Row],[2028 ]]</f>
        <v>2.237281384463399E-2</v>
      </c>
      <c r="AM822">
        <f>$AH822*tbl_Data_old[[#This Row],[2029 ]]</f>
        <v>2.7059494927390328E-2</v>
      </c>
      <c r="AN822">
        <f>$AH822*tbl_Data_old[[#This Row],[2030 ]]</f>
        <v>3.1848406760904314E-2</v>
      </c>
      <c r="AO822">
        <f>$AH822*tbl_Data_old[[#This Row],[2031 ]]</f>
        <v>3.6306836017960288E-2</v>
      </c>
      <c r="AP822">
        <f>$AH822*tbl_Data_old[[#This Row],[2032 ]]</f>
        <v>3.9782482579759616E-2</v>
      </c>
      <c r="AQ822">
        <f>$AH822*tbl_Data_old[[#This Row],[2033 ]]</f>
        <v>4.188316573362269E-2</v>
      </c>
      <c r="AR822">
        <f>$AH822*tbl_Data_old[[#This Row],[2034 ]]</f>
        <v>4.2102089694370619E-2</v>
      </c>
      <c r="AS822">
        <f>SUM(tbl_Data_old[[#This Row],[Adjusted 2025]:[Adjusted 2034]])</f>
        <v>0.28436005120659347</v>
      </c>
      <c r="AT822" s="3">
        <f>AVERAGEIFS('3. Incentive Adjustment'!F:F,'3. Incentive Adjustment'!A:A,tbl_Data_old[[#This Row],[Trimmed Sector]],'3. Incentive Adjustment'!B:B,tbl_Data_old[[#This Row],[Trimmed Measure Name]])</f>
        <v>0</v>
      </c>
      <c r="AU822" s="3">
        <f>IFERROR(VLOOKUP(tbl_Data_old[[#This Row],[All_Meas_Name_Append]],'IRA Tax Credits'!$A$3:$D$46,4,0),0)</f>
        <v>0</v>
      </c>
      <c r="AV822" s="4">
        <f>tbl_Data_old[[#This Row],[Adj. per unit Incentive ($)]]/tbl_Data_old[[#This Row],[kWh Savings]]*tbl_Data_old[[#This Row],[Sum of Annuals]]</f>
        <v>0</v>
      </c>
      <c r="AW822" s="4" t="str">
        <f>IFERROR(VLOOKUP(tbl_Data_old[[#This Row],[All_Programs]],'1. Set Program Names'!$B$2:$D$15,3,0)*tbl_Data_old[[#This Row],[Sum of Annuals]],"")</f>
        <v/>
      </c>
      <c r="AX822" s="4">
        <f>tbl_Data_old[[#This Row],[per unit IRA tax ($)]]/tbl_Data_old[[#This Row],[kWh Savings]]*tbl_Data_old[[#This Row],[Sum of Annuals]]</f>
        <v>0</v>
      </c>
      <c r="AY822" s="4">
        <f>tbl_Data_old[[#This Row],[Avoided Costs ($/unit)]]/tbl_Data_old[[#This Row],[kWh Savings]]*tbl_Data_old[[#This Row],[Sum of Annuals]]</f>
        <v>0.12156254696447014</v>
      </c>
      <c r="AZ822" s="4">
        <f>tbl_Data_old[[#This Row],[Lost Revenue ($/unit)]]/tbl_Data_old[[#This Row],[kWh Savings]]*tbl_Data_old[[#This Row],[Sum of Annuals]]</f>
        <v>0.3020103939250332</v>
      </c>
      <c r="BA822" s="4">
        <f>tbl_Data_old[[#This Row],[Incremental Cost ($/unit)]]/tbl_Data_old[[#This Row],[kWh Savings]]*tbl_Data_old[[#This Row],[Sum of Annuals]]</f>
        <v>0.11525238224188063</v>
      </c>
      <c r="BB822">
        <f>ROUNDUP(tbl_Data_old[[#This Row],[Adjusted 2025]]/$L822,0)</f>
        <v>1</v>
      </c>
      <c r="BC822">
        <f>ROUNDUP(tbl_Data_old[[#This Row],[Adjusted 2026]]/$L822,0)</f>
        <v>1</v>
      </c>
      <c r="BD822">
        <f>ROUNDUP(tbl_Data_old[[#This Row],[Adjusted 2027]]/$L822,0)</f>
        <v>1</v>
      </c>
      <c r="BE822">
        <f>ROUNDUP(tbl_Data_old[[#This Row],[Adjusted 2028]]/$L822,0)</f>
        <v>1</v>
      </c>
      <c r="BF822">
        <f>ROUNDUP(tbl_Data_old[[#This Row],[Adjusted 2029]]/$L822,0)</f>
        <v>1</v>
      </c>
      <c r="BG822">
        <f>ROUNDUP(tbl_Data_old[[#This Row],[Adjusted 2030]]/$L822,0)</f>
        <v>1</v>
      </c>
      <c r="BH822">
        <f>ROUNDUP(tbl_Data_old[[#This Row],[Adjusted 2031]]/$L822,0)</f>
        <v>1</v>
      </c>
      <c r="BI822">
        <f>ROUNDUP(tbl_Data_old[[#This Row],[Adjusted 2032]]/$L822,0)</f>
        <v>1</v>
      </c>
      <c r="BJ822">
        <f>ROUNDUP(tbl_Data_old[[#This Row],[Adjusted 2033]]/$L822,0)</f>
        <v>1</v>
      </c>
      <c r="BK822">
        <f>ROUNDUP(tbl_Data_old[[#This Row],[Adjusted 2034]]/$L822,0)</f>
        <v>1</v>
      </c>
      <c r="BL822" s="3">
        <f t="shared" si="56"/>
        <v>0</v>
      </c>
      <c r="BM822" s="3">
        <f t="shared" si="56"/>
        <v>0</v>
      </c>
      <c r="BN822" s="3">
        <f t="shared" si="56"/>
        <v>0</v>
      </c>
      <c r="BO822" s="3">
        <f t="shared" si="56"/>
        <v>0</v>
      </c>
      <c r="BP822" s="3">
        <f t="shared" si="56"/>
        <v>0</v>
      </c>
      <c r="BQ822" s="3">
        <f t="shared" si="55"/>
        <v>0</v>
      </c>
      <c r="BR822" s="3">
        <f t="shared" si="55"/>
        <v>0</v>
      </c>
      <c r="BS822" s="3">
        <f t="shared" si="55"/>
        <v>0</v>
      </c>
      <c r="BT822" s="3">
        <f t="shared" si="55"/>
        <v>0</v>
      </c>
      <c r="BU822" s="3">
        <f t="shared" si="55"/>
        <v>0</v>
      </c>
      <c r="BV822" t="e">
        <f>VLOOKUP($H822,'1. Set Program Names'!$B$2:$D$15,3,0)*V822</f>
        <v>#N/A</v>
      </c>
      <c r="BW822" t="e">
        <f>VLOOKUP($H822,'1. Set Program Names'!$B$2:$D$15,3,0)*W822</f>
        <v>#N/A</v>
      </c>
      <c r="BX822" t="e">
        <f>VLOOKUP($H822,'1. Set Program Names'!$B$2:$D$15,3,0)*X822</f>
        <v>#N/A</v>
      </c>
      <c r="BY822" t="e">
        <f>VLOOKUP($H822,'1. Set Program Names'!$B$2:$D$15,3,0)*Y822</f>
        <v>#N/A</v>
      </c>
      <c r="BZ822" t="e">
        <f>VLOOKUP($H822,'1. Set Program Names'!$B$2:$D$15,3,0)*Z822</f>
        <v>#N/A</v>
      </c>
      <c r="CA822" t="e">
        <f>VLOOKUP($H822,'1. Set Program Names'!$B$2:$D$15,3,0)*AA822</f>
        <v>#N/A</v>
      </c>
      <c r="CB822" t="e">
        <f>VLOOKUP($H822,'1. Set Program Names'!$B$2:$D$15,3,0)*AB822</f>
        <v>#N/A</v>
      </c>
      <c r="CC822" t="e">
        <f>VLOOKUP($H822,'1. Set Program Names'!$B$2:$D$15,3,0)*AC822</f>
        <v>#N/A</v>
      </c>
      <c r="CD822" t="e">
        <f>VLOOKUP($H822,'1. Set Program Names'!$B$2:$D$15,3,0)*AD822</f>
        <v>#N/A</v>
      </c>
      <c r="CE822" t="e">
        <f>VLOOKUP($H822,'1. Set Program Names'!$B$2:$D$15,3,0)*AE822</f>
        <v>#N/A</v>
      </c>
    </row>
    <row r="823" spans="1:83" x14ac:dyDescent="0.25">
      <c r="A823" s="20" t="s">
        <v>116</v>
      </c>
      <c r="B823" s="20" t="s">
        <v>88</v>
      </c>
      <c r="C823" s="20" t="s">
        <v>176</v>
      </c>
      <c r="D823" s="20" t="s">
        <v>90</v>
      </c>
      <c r="E823" s="20" t="s">
        <v>91</v>
      </c>
      <c r="F823" s="20" t="s">
        <v>90</v>
      </c>
      <c r="G823" s="20" t="s">
        <v>92</v>
      </c>
      <c r="H823" s="20" t="s">
        <v>268</v>
      </c>
      <c r="I823" s="20" t="s">
        <v>190</v>
      </c>
      <c r="J823" s="20" t="s">
        <v>191</v>
      </c>
      <c r="K823" s="20" t="s">
        <v>98</v>
      </c>
      <c r="L823" s="20">
        <v>1561.28</v>
      </c>
      <c r="M823" s="20">
        <v>0.18418077149832199</v>
      </c>
      <c r="N823" s="20">
        <v>0.17996138765713399</v>
      </c>
      <c r="O823" s="20">
        <v>490</v>
      </c>
      <c r="P823" s="20">
        <v>175.94534756551599</v>
      </c>
      <c r="Q823" s="20">
        <v>1.56128</v>
      </c>
      <c r="R823" s="20">
        <v>649.62503581485396</v>
      </c>
      <c r="S823" s="20">
        <v>1586.7572850213601</v>
      </c>
      <c r="T823" s="20">
        <v>14</v>
      </c>
      <c r="U823" s="20">
        <v>0.999999999999999</v>
      </c>
      <c r="V823" s="20">
        <v>1.6698779221195199</v>
      </c>
      <c r="W823" s="20">
        <v>1.8996482928847001</v>
      </c>
      <c r="X823" s="20">
        <v>2.09989683398822</v>
      </c>
      <c r="Y823" s="20">
        <v>2.2980716792544702</v>
      </c>
      <c r="Z823" s="20">
        <v>2.4699282012386798</v>
      </c>
      <c r="AA823" s="20">
        <v>2.6299224552884901</v>
      </c>
      <c r="AB823" s="20">
        <v>2.7804563311207602</v>
      </c>
      <c r="AC823" s="20">
        <v>2.9172678828181899</v>
      </c>
      <c r="AD823" s="20">
        <v>3.05131835050096</v>
      </c>
      <c r="AE823" s="20">
        <v>3.1785119434559701</v>
      </c>
      <c r="AF823" t="str">
        <f t="shared" si="53"/>
        <v>NonResidential</v>
      </c>
      <c r="AG823" t="str">
        <f>tbl_Data_old[[#This Row],[All_Meas_Name_Append]]</f>
        <v>Synchronous Belt on 15hp ODP Motor</v>
      </c>
      <c r="AH823">
        <f>AVERAGEIFS('3. Incentive Adjustment'!G:G,'3. Incentive Adjustment'!A:A,tbl_Data_old[[#This Row],[Trimmed Sector]],'3. Incentive Adjustment'!B:B,tbl_Data_old[[#This Row],[Trimmed Measure Name]])</f>
        <v>0.74278916032473408</v>
      </c>
      <c r="AI823">
        <f>$AH823*tbl_Data_old[[#This Row],[2025 ]]</f>
        <v>1.2403672196159699</v>
      </c>
      <c r="AJ823">
        <f>$AH823*tbl_Data_old[[#This Row],[2026 ]]</f>
        <v>1.4110381603841409</v>
      </c>
      <c r="AK823">
        <f>$AH823*tbl_Data_old[[#This Row],[2027 ]]</f>
        <v>1.5597806060866775</v>
      </c>
      <c r="AL823">
        <f>$AH823*tbl_Data_old[[#This Row],[2028 ]]</f>
        <v>1.7069827329994796</v>
      </c>
      <c r="AM823">
        <f>$AH823*tbl_Data_old[[#This Row],[2029 ]]</f>
        <v>1.8346358946604597</v>
      </c>
      <c r="AN823">
        <f>$AH823*tbl_Data_old[[#This Row],[2030 ]]</f>
        <v>1.9534778922829006</v>
      </c>
      <c r="AO823">
        <f>$AH823*tbl_Data_old[[#This Row],[2031 ]]</f>
        <v>2.0652928235127801</v>
      </c>
      <c r="AP823">
        <f>$AH823*tbl_Data_old[[#This Row],[2032 ]]</f>
        <v>2.1669149611208378</v>
      </c>
      <c r="AQ823">
        <f>$AH823*tbl_Data_old[[#This Row],[2033 ]]</f>
        <v>2.2664861954520608</v>
      </c>
      <c r="AR823">
        <f>$AH823*tbl_Data_old[[#This Row],[2034 ]]</f>
        <v>2.3609642175617989</v>
      </c>
      <c r="AS823">
        <f>SUM(tbl_Data_old[[#This Row],[Adjusted 2025]:[Adjusted 2034]])</f>
        <v>18.565940703677107</v>
      </c>
      <c r="AT823" s="3">
        <f>AVERAGEIFS('3. Incentive Adjustment'!F:F,'3. Incentive Adjustment'!A:A,tbl_Data_old[[#This Row],[Trimmed Sector]],'3. Incentive Adjustment'!B:B,tbl_Data_old[[#This Row],[Trimmed Measure Name]])</f>
        <v>0</v>
      </c>
      <c r="AU823" s="3">
        <f>IFERROR(VLOOKUP(tbl_Data_old[[#This Row],[All_Meas_Name_Append]],'IRA Tax Credits'!$A$3:$D$46,4,0),0)</f>
        <v>0</v>
      </c>
      <c r="AV823" s="4">
        <f>tbl_Data_old[[#This Row],[Adj. per unit Incentive ($)]]/tbl_Data_old[[#This Row],[kWh Savings]]*tbl_Data_old[[#This Row],[Sum of Annuals]]</f>
        <v>0</v>
      </c>
      <c r="AW823" s="4" t="str">
        <f>IFERROR(VLOOKUP(tbl_Data_old[[#This Row],[All_Programs]],'1. Set Program Names'!$B$2:$D$15,3,0)*tbl_Data_old[[#This Row],[Sum of Annuals]],"")</f>
        <v/>
      </c>
      <c r="AX823" s="4">
        <f>tbl_Data_old[[#This Row],[per unit IRA tax ($)]]/tbl_Data_old[[#This Row],[kWh Savings]]*tbl_Data_old[[#This Row],[Sum of Annuals]]</f>
        <v>0</v>
      </c>
      <c r="AY823" s="4">
        <f>tbl_Data_old[[#This Row],[Avoided Costs ($/unit)]]/tbl_Data_old[[#This Row],[kWh Savings]]*tbl_Data_old[[#This Row],[Sum of Annuals]]</f>
        <v>7.7250076184686263</v>
      </c>
      <c r="AZ823" s="4">
        <f>tbl_Data_old[[#This Row],[Lost Revenue ($/unit)]]/tbl_Data_old[[#This Row],[kWh Savings]]*tbl_Data_old[[#This Row],[Sum of Annuals]]</f>
        <v>18.868903505350897</v>
      </c>
      <c r="BA823" s="4">
        <f>tbl_Data_old[[#This Row],[Incremental Cost ($/unit)]]/tbl_Data_old[[#This Row],[kWh Savings]]*tbl_Data_old[[#This Row],[Sum of Annuals]]</f>
        <v>5.8268285924381162</v>
      </c>
      <c r="BB823">
        <f>ROUNDUP(tbl_Data_old[[#This Row],[Adjusted 2025]]/$L823,0)</f>
        <v>1</v>
      </c>
      <c r="BC823">
        <f>ROUNDUP(tbl_Data_old[[#This Row],[Adjusted 2026]]/$L823,0)</f>
        <v>1</v>
      </c>
      <c r="BD823">
        <f>ROUNDUP(tbl_Data_old[[#This Row],[Adjusted 2027]]/$L823,0)</f>
        <v>1</v>
      </c>
      <c r="BE823">
        <f>ROUNDUP(tbl_Data_old[[#This Row],[Adjusted 2028]]/$L823,0)</f>
        <v>1</v>
      </c>
      <c r="BF823">
        <f>ROUNDUP(tbl_Data_old[[#This Row],[Adjusted 2029]]/$L823,0)</f>
        <v>1</v>
      </c>
      <c r="BG823">
        <f>ROUNDUP(tbl_Data_old[[#This Row],[Adjusted 2030]]/$L823,0)</f>
        <v>1</v>
      </c>
      <c r="BH823">
        <f>ROUNDUP(tbl_Data_old[[#This Row],[Adjusted 2031]]/$L823,0)</f>
        <v>1</v>
      </c>
      <c r="BI823">
        <f>ROUNDUP(tbl_Data_old[[#This Row],[Adjusted 2032]]/$L823,0)</f>
        <v>1</v>
      </c>
      <c r="BJ823">
        <f>ROUNDUP(tbl_Data_old[[#This Row],[Adjusted 2033]]/$L823,0)</f>
        <v>1</v>
      </c>
      <c r="BK823">
        <f>ROUNDUP(tbl_Data_old[[#This Row],[Adjusted 2034]]/$L823,0)</f>
        <v>1</v>
      </c>
      <c r="BL823" s="3">
        <f t="shared" si="56"/>
        <v>0</v>
      </c>
      <c r="BM823" s="3">
        <f t="shared" si="56"/>
        <v>0</v>
      </c>
      <c r="BN823" s="3">
        <f t="shared" si="56"/>
        <v>0</v>
      </c>
      <c r="BO823" s="3">
        <f t="shared" si="56"/>
        <v>0</v>
      </c>
      <c r="BP823" s="3">
        <f t="shared" si="56"/>
        <v>0</v>
      </c>
      <c r="BQ823" s="3">
        <f t="shared" si="55"/>
        <v>0</v>
      </c>
      <c r="BR823" s="3">
        <f t="shared" si="55"/>
        <v>0</v>
      </c>
      <c r="BS823" s="3">
        <f t="shared" si="55"/>
        <v>0</v>
      </c>
      <c r="BT823" s="3">
        <f t="shared" si="55"/>
        <v>0</v>
      </c>
      <c r="BU823" s="3">
        <f t="shared" si="55"/>
        <v>0</v>
      </c>
      <c r="BV823" t="e">
        <f>VLOOKUP($H823,'1. Set Program Names'!$B$2:$D$15,3,0)*V823</f>
        <v>#N/A</v>
      </c>
      <c r="BW823" t="e">
        <f>VLOOKUP($H823,'1. Set Program Names'!$B$2:$D$15,3,0)*W823</f>
        <v>#N/A</v>
      </c>
      <c r="BX823" t="e">
        <f>VLOOKUP($H823,'1. Set Program Names'!$B$2:$D$15,3,0)*X823</f>
        <v>#N/A</v>
      </c>
      <c r="BY823" t="e">
        <f>VLOOKUP($H823,'1. Set Program Names'!$B$2:$D$15,3,0)*Y823</f>
        <v>#N/A</v>
      </c>
      <c r="BZ823" t="e">
        <f>VLOOKUP($H823,'1. Set Program Names'!$B$2:$D$15,3,0)*Z823</f>
        <v>#N/A</v>
      </c>
      <c r="CA823" t="e">
        <f>VLOOKUP($H823,'1. Set Program Names'!$B$2:$D$15,3,0)*AA823</f>
        <v>#N/A</v>
      </c>
      <c r="CB823" t="e">
        <f>VLOOKUP($H823,'1. Set Program Names'!$B$2:$D$15,3,0)*AB823</f>
        <v>#N/A</v>
      </c>
      <c r="CC823" t="e">
        <f>VLOOKUP($H823,'1. Set Program Names'!$B$2:$D$15,3,0)*AC823</f>
        <v>#N/A</v>
      </c>
      <c r="CD823" t="e">
        <f>VLOOKUP($H823,'1. Set Program Names'!$B$2:$D$15,3,0)*AD823</f>
        <v>#N/A</v>
      </c>
      <c r="CE823" t="e">
        <f>VLOOKUP($H823,'1. Set Program Names'!$B$2:$D$15,3,0)*AE823</f>
        <v>#N/A</v>
      </c>
    </row>
    <row r="824" spans="1:83" x14ac:dyDescent="0.25">
      <c r="A824" s="20" t="s">
        <v>116</v>
      </c>
      <c r="B824" s="20" t="s">
        <v>88</v>
      </c>
      <c r="C824" s="20" t="s">
        <v>176</v>
      </c>
      <c r="D824" s="20" t="s">
        <v>90</v>
      </c>
      <c r="E824" s="20" t="s">
        <v>91</v>
      </c>
      <c r="F824" s="20" t="s">
        <v>90</v>
      </c>
      <c r="G824" s="20" t="s">
        <v>92</v>
      </c>
      <c r="H824" s="20" t="s">
        <v>268</v>
      </c>
      <c r="I824" s="20" t="s">
        <v>192</v>
      </c>
      <c r="J824" s="20" t="s">
        <v>191</v>
      </c>
      <c r="K824" s="20" t="s">
        <v>98</v>
      </c>
      <c r="L824" s="20">
        <v>437.76000000000101</v>
      </c>
      <c r="M824" s="20">
        <v>5.1641585449826798E-2</v>
      </c>
      <c r="N824" s="20">
        <v>5.0458532140799497E-2</v>
      </c>
      <c r="O824" s="20">
        <v>163</v>
      </c>
      <c r="P824" s="20">
        <v>74.943684252843894</v>
      </c>
      <c r="Q824" s="20">
        <v>0.43776000000000098</v>
      </c>
      <c r="R824" s="20">
        <v>182.14532670521001</v>
      </c>
      <c r="S824" s="20">
        <v>444.90345683730902</v>
      </c>
      <c r="T824" s="20">
        <v>14</v>
      </c>
      <c r="U824" s="20">
        <v>0.999999999999999</v>
      </c>
      <c r="V824" s="20">
        <v>1.6652276060025999</v>
      </c>
      <c r="W824" s="20">
        <v>1.8937488421676101</v>
      </c>
      <c r="X824" s="20">
        <v>2.0927705795345601</v>
      </c>
      <c r="Y824" s="20">
        <v>2.2896804871667298</v>
      </c>
      <c r="Z824" s="20">
        <v>2.4603415007890899</v>
      </c>
      <c r="AA824" s="20">
        <v>2.61917688765159</v>
      </c>
      <c r="AB824" s="20">
        <v>2.7685912698481898</v>
      </c>
      <c r="AC824" s="20">
        <v>2.9043505550780799</v>
      </c>
      <c r="AD824" s="20">
        <v>3.03737475694526</v>
      </c>
      <c r="AE824" s="20">
        <v>3.1635897424217001</v>
      </c>
      <c r="AF824" t="str">
        <f t="shared" si="53"/>
        <v>NonResidential</v>
      </c>
      <c r="AG824" t="str">
        <f>tbl_Data_old[[#This Row],[All_Meas_Name_Append]]</f>
        <v>Synchronous Belt on 5hp ODP Motor</v>
      </c>
      <c r="AH824">
        <f>AVERAGEIFS('3. Incentive Adjustment'!G:G,'3. Incentive Adjustment'!A:A,tbl_Data_old[[#This Row],[Trimmed Sector]],'3. Incentive Adjustment'!B:B,tbl_Data_old[[#This Row],[Trimmed Measure Name]])</f>
        <v>0.63653870706597271</v>
      </c>
      <c r="AI824">
        <f>$AH824*tbl_Data_old[[#This Row],[2025 ]]</f>
        <v>1.05998182729546</v>
      </c>
      <c r="AJ824">
        <f>$AH824*tbl_Data_old[[#This Row],[2026 ]]</f>
        <v>1.2054444395010533</v>
      </c>
      <c r="AK824">
        <f>$AH824*tbl_Data_old[[#This Row],[2027 ]]</f>
        <v>1.3321294788826352</v>
      </c>
      <c r="AL824">
        <f>$AH824*tbl_Data_old[[#This Row],[2028 ]]</f>
        <v>1.4574702568952966</v>
      </c>
      <c r="AM824">
        <f>$AH824*tbl_Data_old[[#This Row],[2029 ]]</f>
        <v>1.5661025978530421</v>
      </c>
      <c r="AN824">
        <f>$AH824*tbl_Data_old[[#This Row],[2030 ]]</f>
        <v>1.6672074696428216</v>
      </c>
      <c r="AO824">
        <f>$AH824*tbl_Data_old[[#This Row],[2031 ]]</f>
        <v>1.7623155073033063</v>
      </c>
      <c r="AP824">
        <f>$AH824*tbl_Data_old[[#This Row],[2032 ]]</f>
        <v>1.8487315471957411</v>
      </c>
      <c r="AQ824">
        <f>$AH824*tbl_Data_old[[#This Row],[2033 ]]</f>
        <v>1.9334066006607589</v>
      </c>
      <c r="AR824">
        <f>$AH824*tbl_Data_old[[#This Row],[2034 ]]</f>
        <v>2.0137473243282824</v>
      </c>
      <c r="AS824">
        <f>SUM(tbl_Data_old[[#This Row],[Adjusted 2025]:[Adjusted 2034]])</f>
        <v>15.846537049558398</v>
      </c>
      <c r="AT824" s="3">
        <f>AVERAGEIFS('3. Incentive Adjustment'!F:F,'3. Incentive Adjustment'!A:A,tbl_Data_old[[#This Row],[Trimmed Sector]],'3. Incentive Adjustment'!B:B,tbl_Data_old[[#This Row],[Trimmed Measure Name]])</f>
        <v>0</v>
      </c>
      <c r="AU824" s="3">
        <f>IFERROR(VLOOKUP(tbl_Data_old[[#This Row],[All_Meas_Name_Append]],'IRA Tax Credits'!$A$3:$D$46,4,0),0)</f>
        <v>0</v>
      </c>
      <c r="AV824" s="4">
        <f>tbl_Data_old[[#This Row],[Adj. per unit Incentive ($)]]/tbl_Data_old[[#This Row],[kWh Savings]]*tbl_Data_old[[#This Row],[Sum of Annuals]]</f>
        <v>0</v>
      </c>
      <c r="AW824" s="4" t="str">
        <f>IFERROR(VLOOKUP(tbl_Data_old[[#This Row],[All_Programs]],'1. Set Program Names'!$B$2:$D$15,3,0)*tbl_Data_old[[#This Row],[Sum of Annuals]],"")</f>
        <v/>
      </c>
      <c r="AX824" s="4">
        <f>tbl_Data_old[[#This Row],[per unit IRA tax ($)]]/tbl_Data_old[[#This Row],[kWh Savings]]*tbl_Data_old[[#This Row],[Sum of Annuals]]</f>
        <v>0</v>
      </c>
      <c r="AY824" s="4">
        <f>tbl_Data_old[[#This Row],[Avoided Costs ($/unit)]]/tbl_Data_old[[#This Row],[kWh Savings]]*tbl_Data_old[[#This Row],[Sum of Annuals]]</f>
        <v>6.5935048155108333</v>
      </c>
      <c r="AZ824" s="4">
        <f>tbl_Data_old[[#This Row],[Lost Revenue ($/unit)]]/tbl_Data_old[[#This Row],[kWh Savings]]*tbl_Data_old[[#This Row],[Sum of Annuals]]</f>
        <v>16.105124068551277</v>
      </c>
      <c r="BA824" s="4">
        <f>tbl_Data_old[[#This Row],[Incremental Cost ($/unit)]]/tbl_Data_old[[#This Row],[kWh Savings]]*tbl_Data_old[[#This Row],[Sum of Annuals]]</f>
        <v>5.9004603871482386</v>
      </c>
      <c r="BB824">
        <f>ROUNDUP(tbl_Data_old[[#This Row],[Adjusted 2025]]/$L824,0)</f>
        <v>1</v>
      </c>
      <c r="BC824">
        <f>ROUNDUP(tbl_Data_old[[#This Row],[Adjusted 2026]]/$L824,0)</f>
        <v>1</v>
      </c>
      <c r="BD824">
        <f>ROUNDUP(tbl_Data_old[[#This Row],[Adjusted 2027]]/$L824,0)</f>
        <v>1</v>
      </c>
      <c r="BE824">
        <f>ROUNDUP(tbl_Data_old[[#This Row],[Adjusted 2028]]/$L824,0)</f>
        <v>1</v>
      </c>
      <c r="BF824">
        <f>ROUNDUP(tbl_Data_old[[#This Row],[Adjusted 2029]]/$L824,0)</f>
        <v>1</v>
      </c>
      <c r="BG824">
        <f>ROUNDUP(tbl_Data_old[[#This Row],[Adjusted 2030]]/$L824,0)</f>
        <v>1</v>
      </c>
      <c r="BH824">
        <f>ROUNDUP(tbl_Data_old[[#This Row],[Adjusted 2031]]/$L824,0)</f>
        <v>1</v>
      </c>
      <c r="BI824">
        <f>ROUNDUP(tbl_Data_old[[#This Row],[Adjusted 2032]]/$L824,0)</f>
        <v>1</v>
      </c>
      <c r="BJ824">
        <f>ROUNDUP(tbl_Data_old[[#This Row],[Adjusted 2033]]/$L824,0)</f>
        <v>1</v>
      </c>
      <c r="BK824">
        <f>ROUNDUP(tbl_Data_old[[#This Row],[Adjusted 2034]]/$L824,0)</f>
        <v>1</v>
      </c>
      <c r="BL824" s="3">
        <f t="shared" si="56"/>
        <v>0</v>
      </c>
      <c r="BM824" s="3">
        <f t="shared" si="56"/>
        <v>0</v>
      </c>
      <c r="BN824" s="3">
        <f t="shared" si="56"/>
        <v>0</v>
      </c>
      <c r="BO824" s="3">
        <f t="shared" si="56"/>
        <v>0</v>
      </c>
      <c r="BP824" s="3">
        <f t="shared" si="56"/>
        <v>0</v>
      </c>
      <c r="BQ824" s="3">
        <f t="shared" si="55"/>
        <v>0</v>
      </c>
      <c r="BR824" s="3">
        <f t="shared" si="55"/>
        <v>0</v>
      </c>
      <c r="BS824" s="3">
        <f t="shared" si="55"/>
        <v>0</v>
      </c>
      <c r="BT824" s="3">
        <f t="shared" si="55"/>
        <v>0</v>
      </c>
      <c r="BU824" s="3">
        <f t="shared" si="55"/>
        <v>0</v>
      </c>
      <c r="BV824" t="e">
        <f>VLOOKUP($H824,'1. Set Program Names'!$B$2:$D$15,3,0)*V824</f>
        <v>#N/A</v>
      </c>
      <c r="BW824" t="e">
        <f>VLOOKUP($H824,'1. Set Program Names'!$B$2:$D$15,3,0)*W824</f>
        <v>#N/A</v>
      </c>
      <c r="BX824" t="e">
        <f>VLOOKUP($H824,'1. Set Program Names'!$B$2:$D$15,3,0)*X824</f>
        <v>#N/A</v>
      </c>
      <c r="BY824" t="e">
        <f>VLOOKUP($H824,'1. Set Program Names'!$B$2:$D$15,3,0)*Y824</f>
        <v>#N/A</v>
      </c>
      <c r="BZ824" t="e">
        <f>VLOOKUP($H824,'1. Set Program Names'!$B$2:$D$15,3,0)*Z824</f>
        <v>#N/A</v>
      </c>
      <c r="CA824" t="e">
        <f>VLOOKUP($H824,'1. Set Program Names'!$B$2:$D$15,3,0)*AA824</f>
        <v>#N/A</v>
      </c>
      <c r="CB824" t="e">
        <f>VLOOKUP($H824,'1. Set Program Names'!$B$2:$D$15,3,0)*AB824</f>
        <v>#N/A</v>
      </c>
      <c r="CC824" t="e">
        <f>VLOOKUP($H824,'1. Set Program Names'!$B$2:$D$15,3,0)*AC824</f>
        <v>#N/A</v>
      </c>
      <c r="CD824" t="e">
        <f>VLOOKUP($H824,'1. Set Program Names'!$B$2:$D$15,3,0)*AD824</f>
        <v>#N/A</v>
      </c>
      <c r="CE824" t="e">
        <f>VLOOKUP($H824,'1. Set Program Names'!$B$2:$D$15,3,0)*AE824</f>
        <v>#N/A</v>
      </c>
    </row>
    <row r="825" spans="1:83" x14ac:dyDescent="0.25">
      <c r="A825" s="20" t="s">
        <v>116</v>
      </c>
      <c r="B825" s="20" t="s">
        <v>88</v>
      </c>
      <c r="C825" s="20" t="s">
        <v>176</v>
      </c>
      <c r="D825" s="20" t="s">
        <v>90</v>
      </c>
      <c r="E825" s="20" t="s">
        <v>91</v>
      </c>
      <c r="F825" s="20" t="s">
        <v>90</v>
      </c>
      <c r="G825" s="20" t="s">
        <v>92</v>
      </c>
      <c r="H825" s="20" t="s">
        <v>268</v>
      </c>
      <c r="I825" s="20" t="s">
        <v>193</v>
      </c>
      <c r="J825" s="20" t="s">
        <v>191</v>
      </c>
      <c r="K825" s="20" t="s">
        <v>98</v>
      </c>
      <c r="L825" s="20">
        <v>12009.57</v>
      </c>
      <c r="M825" s="20">
        <v>1.41674258810918</v>
      </c>
      <c r="N825" s="20">
        <v>1.38428653564094</v>
      </c>
      <c r="O825" s="20">
        <v>2450</v>
      </c>
      <c r="P825" s="20">
        <v>34.250530181900103</v>
      </c>
      <c r="Q825" s="20">
        <v>12.00957</v>
      </c>
      <c r="R825" s="20">
        <v>4997.0007566682498</v>
      </c>
      <c r="S825" s="20">
        <v>12205.544609214199</v>
      </c>
      <c r="T825" s="20">
        <v>14</v>
      </c>
      <c r="U825" s="20">
        <v>0.999999999999999</v>
      </c>
      <c r="V825" s="20">
        <v>1.67590217174394</v>
      </c>
      <c r="W825" s="20">
        <v>1.9076223283290901</v>
      </c>
      <c r="X825" s="20">
        <v>2.10992865139362</v>
      </c>
      <c r="Y825" s="20">
        <v>2.31052574826183</v>
      </c>
      <c r="Z825" s="20">
        <v>2.48452940018195</v>
      </c>
      <c r="AA825" s="20">
        <v>2.64671178844667</v>
      </c>
      <c r="AB825" s="20">
        <v>2.7993892854048101</v>
      </c>
      <c r="AC825" s="20">
        <v>2.93794277933207</v>
      </c>
      <c r="AD825" s="20">
        <v>3.0737759264742102</v>
      </c>
      <c r="AE825" s="20">
        <v>3.2025698872187598</v>
      </c>
      <c r="AF825" t="str">
        <f t="shared" si="53"/>
        <v>NonResidential</v>
      </c>
      <c r="AG825" t="str">
        <f>tbl_Data_old[[#This Row],[All_Meas_Name_Append]]</f>
        <v>Synchronous Belt on 75hp ODP Motor</v>
      </c>
      <c r="AH825">
        <f>AVERAGEIFS('3. Incentive Adjustment'!G:G,'3. Incentive Adjustment'!A:A,tbl_Data_old[[#This Row],[Trimmed Sector]],'3. Incentive Adjustment'!B:B,tbl_Data_old[[#This Row],[Trimmed Measure Name]])</f>
        <v>0.99250334293493969</v>
      </c>
      <c r="AI825">
        <f>$AH825*tbl_Data_old[[#This Row],[2025 ]]</f>
        <v>1.6633385078877858</v>
      </c>
      <c r="AJ825">
        <f>$AH825*tbl_Data_old[[#This Row],[2026 ]]</f>
        <v>1.893321537923955</v>
      </c>
      <c r="AK825">
        <f>$AH825*tbl_Data_old[[#This Row],[2027 ]]</f>
        <v>2.0941112398623769</v>
      </c>
      <c r="AL825">
        <f>$AH825*tbl_Data_old[[#This Row],[2028 ]]</f>
        <v>2.2932045290871192</v>
      </c>
      <c r="AM825">
        <f>$AH825*tbl_Data_old[[#This Row],[2029 ]]</f>
        <v>2.465903735300726</v>
      </c>
      <c r="AN825">
        <f>$AH825*tbl_Data_old[[#This Row],[2030 ]]</f>
        <v>2.6268702978186327</v>
      </c>
      <c r="AO825">
        <f>$AH825*tbl_Data_old[[#This Row],[2031 ]]</f>
        <v>2.7784032239405261</v>
      </c>
      <c r="AP825">
        <f>$AH825*tbl_Data_old[[#This Row],[2032 ]]</f>
        <v>2.9159180298386476</v>
      </c>
      <c r="AQ825">
        <f>$AH825*tbl_Data_old[[#This Row],[2033 ]]</f>
        <v>3.0507328824585951</v>
      </c>
      <c r="AR825">
        <f>$AH825*tbl_Data_old[[#This Row],[2034 ]]</f>
        <v>3.1785613190473918</v>
      </c>
      <c r="AS825">
        <f>SUM(tbl_Data_old[[#This Row],[Adjusted 2025]:[Adjusted 2034]])</f>
        <v>24.960365303165755</v>
      </c>
      <c r="AT825" s="3">
        <f>AVERAGEIFS('3. Incentive Adjustment'!F:F,'3. Incentive Adjustment'!A:A,tbl_Data_old[[#This Row],[Trimmed Sector]],'3. Incentive Adjustment'!B:B,tbl_Data_old[[#This Row],[Trimmed Measure Name]])</f>
        <v>0</v>
      </c>
      <c r="AU825" s="3">
        <f>IFERROR(VLOOKUP(tbl_Data_old[[#This Row],[All_Meas_Name_Append]],'IRA Tax Credits'!$A$3:$D$46,4,0),0)</f>
        <v>0</v>
      </c>
      <c r="AV825" s="4">
        <f>tbl_Data_old[[#This Row],[Adj. per unit Incentive ($)]]/tbl_Data_old[[#This Row],[kWh Savings]]*tbl_Data_old[[#This Row],[Sum of Annuals]]</f>
        <v>0</v>
      </c>
      <c r="AW825" s="4" t="str">
        <f>IFERROR(VLOOKUP(tbl_Data_old[[#This Row],[All_Programs]],'1. Set Program Names'!$B$2:$D$15,3,0)*tbl_Data_old[[#This Row],[Sum of Annuals]],"")</f>
        <v/>
      </c>
      <c r="AX825" s="4">
        <f>tbl_Data_old[[#This Row],[per unit IRA tax ($)]]/tbl_Data_old[[#This Row],[kWh Savings]]*tbl_Data_old[[#This Row],[Sum of Annuals]]</f>
        <v>0</v>
      </c>
      <c r="AY825" s="4">
        <f>tbl_Data_old[[#This Row],[Avoided Costs ($/unit)]]/tbl_Data_old[[#This Row],[kWh Savings]]*tbl_Data_old[[#This Row],[Sum of Annuals]]</f>
        <v>10.385631151376378</v>
      </c>
      <c r="AZ825" s="4">
        <f>tbl_Data_old[[#This Row],[Lost Revenue ($/unit)]]/tbl_Data_old[[#This Row],[kWh Savings]]*tbl_Data_old[[#This Row],[Sum of Annuals]]</f>
        <v>25.367673627787834</v>
      </c>
      <c r="BA825" s="4">
        <f>tbl_Data_old[[#This Row],[Incremental Cost ($/unit)]]/tbl_Data_old[[#This Row],[kWh Savings]]*tbl_Data_old[[#This Row],[Sum of Annuals]]</f>
        <v>5.0920137018024878</v>
      </c>
      <c r="BB825">
        <f>ROUNDUP(tbl_Data_old[[#This Row],[Adjusted 2025]]/$L825,0)</f>
        <v>1</v>
      </c>
      <c r="BC825">
        <f>ROUNDUP(tbl_Data_old[[#This Row],[Adjusted 2026]]/$L825,0)</f>
        <v>1</v>
      </c>
      <c r="BD825">
        <f>ROUNDUP(tbl_Data_old[[#This Row],[Adjusted 2027]]/$L825,0)</f>
        <v>1</v>
      </c>
      <c r="BE825">
        <f>ROUNDUP(tbl_Data_old[[#This Row],[Adjusted 2028]]/$L825,0)</f>
        <v>1</v>
      </c>
      <c r="BF825">
        <f>ROUNDUP(tbl_Data_old[[#This Row],[Adjusted 2029]]/$L825,0)</f>
        <v>1</v>
      </c>
      <c r="BG825">
        <f>ROUNDUP(tbl_Data_old[[#This Row],[Adjusted 2030]]/$L825,0)</f>
        <v>1</v>
      </c>
      <c r="BH825">
        <f>ROUNDUP(tbl_Data_old[[#This Row],[Adjusted 2031]]/$L825,0)</f>
        <v>1</v>
      </c>
      <c r="BI825">
        <f>ROUNDUP(tbl_Data_old[[#This Row],[Adjusted 2032]]/$L825,0)</f>
        <v>1</v>
      </c>
      <c r="BJ825">
        <f>ROUNDUP(tbl_Data_old[[#This Row],[Adjusted 2033]]/$L825,0)</f>
        <v>1</v>
      </c>
      <c r="BK825">
        <f>ROUNDUP(tbl_Data_old[[#This Row],[Adjusted 2034]]/$L825,0)</f>
        <v>1</v>
      </c>
      <c r="BL825" s="3">
        <f t="shared" si="56"/>
        <v>0</v>
      </c>
      <c r="BM825" s="3">
        <f t="shared" si="56"/>
        <v>0</v>
      </c>
      <c r="BN825" s="3">
        <f t="shared" si="56"/>
        <v>0</v>
      </c>
      <c r="BO825" s="3">
        <f t="shared" si="56"/>
        <v>0</v>
      </c>
      <c r="BP825" s="3">
        <f t="shared" si="56"/>
        <v>0</v>
      </c>
      <c r="BQ825" s="3">
        <f t="shared" si="55"/>
        <v>0</v>
      </c>
      <c r="BR825" s="3">
        <f t="shared" si="55"/>
        <v>0</v>
      </c>
      <c r="BS825" s="3">
        <f t="shared" si="55"/>
        <v>0</v>
      </c>
      <c r="BT825" s="3">
        <f t="shared" si="55"/>
        <v>0</v>
      </c>
      <c r="BU825" s="3">
        <f t="shared" si="55"/>
        <v>0</v>
      </c>
      <c r="BV825" t="e">
        <f>VLOOKUP($H825,'1. Set Program Names'!$B$2:$D$15,3,0)*V825</f>
        <v>#N/A</v>
      </c>
      <c r="BW825" t="e">
        <f>VLOOKUP($H825,'1. Set Program Names'!$B$2:$D$15,3,0)*W825</f>
        <v>#N/A</v>
      </c>
      <c r="BX825" t="e">
        <f>VLOOKUP($H825,'1. Set Program Names'!$B$2:$D$15,3,0)*X825</f>
        <v>#N/A</v>
      </c>
      <c r="BY825" t="e">
        <f>VLOOKUP($H825,'1. Set Program Names'!$B$2:$D$15,3,0)*Y825</f>
        <v>#N/A</v>
      </c>
      <c r="BZ825" t="e">
        <f>VLOOKUP($H825,'1. Set Program Names'!$B$2:$D$15,3,0)*Z825</f>
        <v>#N/A</v>
      </c>
      <c r="CA825" t="e">
        <f>VLOOKUP($H825,'1. Set Program Names'!$B$2:$D$15,3,0)*AA825</f>
        <v>#N/A</v>
      </c>
      <c r="CB825" t="e">
        <f>VLOOKUP($H825,'1. Set Program Names'!$B$2:$D$15,3,0)*AB825</f>
        <v>#N/A</v>
      </c>
      <c r="CC825" t="e">
        <f>VLOOKUP($H825,'1. Set Program Names'!$B$2:$D$15,3,0)*AC825</f>
        <v>#N/A</v>
      </c>
      <c r="CD825" t="e">
        <f>VLOOKUP($H825,'1. Set Program Names'!$B$2:$D$15,3,0)*AD825</f>
        <v>#N/A</v>
      </c>
      <c r="CE825" t="e">
        <f>VLOOKUP($H825,'1. Set Program Names'!$B$2:$D$15,3,0)*AE825</f>
        <v>#N/A</v>
      </c>
    </row>
    <row r="826" spans="1:83" x14ac:dyDescent="0.25">
      <c r="A826" s="20" t="s">
        <v>117</v>
      </c>
      <c r="B826" s="20" t="s">
        <v>88</v>
      </c>
      <c r="C826" s="20" t="s">
        <v>176</v>
      </c>
      <c r="D826" s="20" t="s">
        <v>90</v>
      </c>
      <c r="E826" s="20" t="s">
        <v>91</v>
      </c>
      <c r="F826" s="20" t="s">
        <v>90</v>
      </c>
      <c r="G826" s="20" t="s">
        <v>92</v>
      </c>
      <c r="H826" s="20" t="s">
        <v>268</v>
      </c>
      <c r="I826" s="20" t="s">
        <v>179</v>
      </c>
      <c r="J826" s="20" t="s">
        <v>180</v>
      </c>
      <c r="K826" s="20" t="s">
        <v>98</v>
      </c>
      <c r="L826" s="20">
        <v>2684</v>
      </c>
      <c r="M826" s="20">
        <v>0.32197664062426901</v>
      </c>
      <c r="N826" s="20">
        <v>0.310035778837426</v>
      </c>
      <c r="O826" s="20">
        <v>1119</v>
      </c>
      <c r="P826" s="20">
        <v>579.10793250784297</v>
      </c>
      <c r="Q826" s="20">
        <v>2.6840000000000002</v>
      </c>
      <c r="R826" s="20">
        <v>1432.5808011563199</v>
      </c>
      <c r="S826" s="20">
        <v>4046.00364167834</v>
      </c>
      <c r="T826" s="20">
        <v>30</v>
      </c>
      <c r="U826" s="20">
        <v>1</v>
      </c>
      <c r="V826" s="20">
        <v>0.17565712838057301</v>
      </c>
      <c r="W826" s="20">
        <v>0.41913606658657299</v>
      </c>
      <c r="X826" s="20">
        <v>0.73883348609577504</v>
      </c>
      <c r="Y826" s="20">
        <v>1.1443142782281499</v>
      </c>
      <c r="Z826" s="20">
        <v>1.6319117755371899</v>
      </c>
      <c r="AA826" s="20">
        <v>2.19617472598999</v>
      </c>
      <c r="AB826" s="20">
        <v>2.8269397213907199</v>
      </c>
      <c r="AC826" s="20">
        <v>3.50913896714294</v>
      </c>
      <c r="AD826" s="20">
        <v>4.2331293628002404</v>
      </c>
      <c r="AE826" s="20">
        <v>4.9891954304650001</v>
      </c>
      <c r="AF826" t="str">
        <f t="shared" si="53"/>
        <v>NonResidential</v>
      </c>
      <c r="AG826" t="str">
        <f>tbl_Data_old[[#This Row],[All_Meas_Name_Append]]</f>
        <v>Energy Efficient Transformers</v>
      </c>
      <c r="AH826">
        <f>AVERAGEIFS('3. Incentive Adjustment'!G:G,'3. Incentive Adjustment'!A:A,tbl_Data_old[[#This Row],[Trimmed Sector]],'3. Incentive Adjustment'!B:B,tbl_Data_old[[#This Row],[Trimmed Measure Name]])</f>
        <v>0.56592396099637965</v>
      </c>
      <c r="AI826">
        <f>$AH826*tbl_Data_old[[#This Row],[2025 ]]</f>
        <v>9.9408577870383458E-2</v>
      </c>
      <c r="AJ826">
        <f>$AH826*tbl_Data_old[[#This Row],[2026 ]]</f>
        <v>0.23719914299911571</v>
      </c>
      <c r="AK826">
        <f>$AH826*tbl_Data_old[[#This Row],[2027 ]]</f>
        <v>0.41812357296808461</v>
      </c>
      <c r="AL826">
        <f>$AH826*tbl_Data_old[[#This Row],[2028 ]]</f>
        <v>0.64759486895958784</v>
      </c>
      <c r="AM826">
        <f>$AH826*tbl_Data_old[[#This Row],[2029 ]]</f>
        <v>0.92353797600864129</v>
      </c>
      <c r="AN826">
        <f>$AH826*tbl_Data_old[[#This Row],[2030 ]]</f>
        <v>1.2428678999723939</v>
      </c>
      <c r="AO826">
        <f>$AH826*tbl_Data_old[[#This Row],[2031 ]]</f>
        <v>1.5998329246274381</v>
      </c>
      <c r="AP826">
        <f>$AH826*tbl_Data_old[[#This Row],[2032 ]]</f>
        <v>1.9859058239722771</v>
      </c>
      <c r="AQ826">
        <f>$AH826*tbl_Data_old[[#This Row],[2033 ]]</f>
        <v>2.3956293364059928</v>
      </c>
      <c r="AR826">
        <f>$AH826*tbl_Data_old[[#This Row],[2034 ]]</f>
        <v>2.8235052401937901</v>
      </c>
      <c r="AS826">
        <f>SUM(tbl_Data_old[[#This Row],[Adjusted 2025]:[Adjusted 2034]])</f>
        <v>12.373605363977706</v>
      </c>
      <c r="AT826" s="3">
        <f>AVERAGEIFS('3. Incentive Adjustment'!F:F,'3. Incentive Adjustment'!A:A,tbl_Data_old[[#This Row],[Trimmed Sector]],'3. Incentive Adjustment'!B:B,tbl_Data_old[[#This Row],[Trimmed Measure Name]])</f>
        <v>0</v>
      </c>
      <c r="AU826" s="3">
        <f>IFERROR(VLOOKUP(tbl_Data_old[[#This Row],[All_Meas_Name_Append]],'IRA Tax Credits'!$A$3:$D$46,4,0),0)</f>
        <v>0</v>
      </c>
      <c r="AV826" s="4">
        <f>tbl_Data_old[[#This Row],[Adj. per unit Incentive ($)]]/tbl_Data_old[[#This Row],[kWh Savings]]*tbl_Data_old[[#This Row],[Sum of Annuals]]</f>
        <v>0</v>
      </c>
      <c r="AW826" s="4" t="str">
        <f>IFERROR(VLOOKUP(tbl_Data_old[[#This Row],[All_Programs]],'1. Set Program Names'!$B$2:$D$15,3,0)*tbl_Data_old[[#This Row],[Sum of Annuals]],"")</f>
        <v/>
      </c>
      <c r="AX826" s="4">
        <f>tbl_Data_old[[#This Row],[per unit IRA tax ($)]]/tbl_Data_old[[#This Row],[kWh Savings]]*tbl_Data_old[[#This Row],[Sum of Annuals]]</f>
        <v>0</v>
      </c>
      <c r="AY826" s="4">
        <f>tbl_Data_old[[#This Row],[Avoided Costs ($/unit)]]/tbl_Data_old[[#This Row],[kWh Savings]]*tbl_Data_old[[#This Row],[Sum of Annuals]]</f>
        <v>6.6043925057821609</v>
      </c>
      <c r="AZ826" s="4">
        <f>tbl_Data_old[[#This Row],[Lost Revenue ($/unit)]]/tbl_Data_old[[#This Row],[kWh Savings]]*tbl_Data_old[[#This Row],[Sum of Annuals]]</f>
        <v>18.652627557132803</v>
      </c>
      <c r="BA826" s="4">
        <f>tbl_Data_old[[#This Row],[Incremental Cost ($/unit)]]/tbl_Data_old[[#This Row],[kWh Savings]]*tbl_Data_old[[#This Row],[Sum of Annuals]]</f>
        <v>5.158742325741823</v>
      </c>
      <c r="BB826">
        <f>ROUNDUP(tbl_Data_old[[#This Row],[Adjusted 2025]]/$L826,0)</f>
        <v>1</v>
      </c>
      <c r="BC826">
        <f>ROUNDUP(tbl_Data_old[[#This Row],[Adjusted 2026]]/$L826,0)</f>
        <v>1</v>
      </c>
      <c r="BD826">
        <f>ROUNDUP(tbl_Data_old[[#This Row],[Adjusted 2027]]/$L826,0)</f>
        <v>1</v>
      </c>
      <c r="BE826">
        <f>ROUNDUP(tbl_Data_old[[#This Row],[Adjusted 2028]]/$L826,0)</f>
        <v>1</v>
      </c>
      <c r="BF826">
        <f>ROUNDUP(tbl_Data_old[[#This Row],[Adjusted 2029]]/$L826,0)</f>
        <v>1</v>
      </c>
      <c r="BG826">
        <f>ROUNDUP(tbl_Data_old[[#This Row],[Adjusted 2030]]/$L826,0)</f>
        <v>1</v>
      </c>
      <c r="BH826">
        <f>ROUNDUP(tbl_Data_old[[#This Row],[Adjusted 2031]]/$L826,0)</f>
        <v>1</v>
      </c>
      <c r="BI826">
        <f>ROUNDUP(tbl_Data_old[[#This Row],[Adjusted 2032]]/$L826,0)</f>
        <v>1</v>
      </c>
      <c r="BJ826">
        <f>ROUNDUP(tbl_Data_old[[#This Row],[Adjusted 2033]]/$L826,0)</f>
        <v>1</v>
      </c>
      <c r="BK826">
        <f>ROUNDUP(tbl_Data_old[[#This Row],[Adjusted 2034]]/$L826,0)</f>
        <v>1</v>
      </c>
      <c r="BL826" s="3">
        <f t="shared" si="56"/>
        <v>0</v>
      </c>
      <c r="BM826" s="3">
        <f t="shared" si="56"/>
        <v>0</v>
      </c>
      <c r="BN826" s="3">
        <f t="shared" si="56"/>
        <v>0</v>
      </c>
      <c r="BO826" s="3">
        <f t="shared" si="56"/>
        <v>0</v>
      </c>
      <c r="BP826" s="3">
        <f t="shared" si="56"/>
        <v>0</v>
      </c>
      <c r="BQ826" s="3">
        <f t="shared" si="55"/>
        <v>0</v>
      </c>
      <c r="BR826" s="3">
        <f t="shared" si="55"/>
        <v>0</v>
      </c>
      <c r="BS826" s="3">
        <f t="shared" si="55"/>
        <v>0</v>
      </c>
      <c r="BT826" s="3">
        <f t="shared" si="55"/>
        <v>0</v>
      </c>
      <c r="BU826" s="3">
        <f t="shared" si="55"/>
        <v>0</v>
      </c>
      <c r="BV826" t="e">
        <f>VLOOKUP($H826,'1. Set Program Names'!$B$2:$D$15,3,0)*V826</f>
        <v>#N/A</v>
      </c>
      <c r="BW826" t="e">
        <f>VLOOKUP($H826,'1. Set Program Names'!$B$2:$D$15,3,0)*W826</f>
        <v>#N/A</v>
      </c>
      <c r="BX826" t="e">
        <f>VLOOKUP($H826,'1. Set Program Names'!$B$2:$D$15,3,0)*X826</f>
        <v>#N/A</v>
      </c>
      <c r="BY826" t="e">
        <f>VLOOKUP($H826,'1. Set Program Names'!$B$2:$D$15,3,0)*Y826</f>
        <v>#N/A</v>
      </c>
      <c r="BZ826" t="e">
        <f>VLOOKUP($H826,'1. Set Program Names'!$B$2:$D$15,3,0)*Z826</f>
        <v>#N/A</v>
      </c>
      <c r="CA826" t="e">
        <f>VLOOKUP($H826,'1. Set Program Names'!$B$2:$D$15,3,0)*AA826</f>
        <v>#N/A</v>
      </c>
      <c r="CB826" t="e">
        <f>VLOOKUP($H826,'1. Set Program Names'!$B$2:$D$15,3,0)*AB826</f>
        <v>#N/A</v>
      </c>
      <c r="CC826" t="e">
        <f>VLOOKUP($H826,'1. Set Program Names'!$B$2:$D$15,3,0)*AC826</f>
        <v>#N/A</v>
      </c>
      <c r="CD826" t="e">
        <f>VLOOKUP($H826,'1. Set Program Names'!$B$2:$D$15,3,0)*AD826</f>
        <v>#N/A</v>
      </c>
      <c r="CE826" t="e">
        <f>VLOOKUP($H826,'1. Set Program Names'!$B$2:$D$15,3,0)*AE826</f>
        <v>#N/A</v>
      </c>
    </row>
    <row r="827" spans="1:83" x14ac:dyDescent="0.25">
      <c r="A827" s="20" t="s">
        <v>117</v>
      </c>
      <c r="B827" s="20" t="s">
        <v>88</v>
      </c>
      <c r="C827" s="20" t="s">
        <v>176</v>
      </c>
      <c r="D827" s="20" t="s">
        <v>90</v>
      </c>
      <c r="E827" s="20" t="s">
        <v>91</v>
      </c>
      <c r="F827" s="20" t="s">
        <v>90</v>
      </c>
      <c r="G827" s="20" t="s">
        <v>92</v>
      </c>
      <c r="H827" s="20" t="s">
        <v>268</v>
      </c>
      <c r="I827" s="20" t="s">
        <v>186</v>
      </c>
      <c r="J827" s="20" t="s">
        <v>180</v>
      </c>
      <c r="K827" s="20" t="s">
        <v>102</v>
      </c>
      <c r="L827" s="20">
        <v>27897.5999999999</v>
      </c>
      <c r="M827" s="20">
        <v>3.34663767864367</v>
      </c>
      <c r="N827" s="20">
        <v>3.2225238985450702</v>
      </c>
      <c r="O827" s="20">
        <v>8000</v>
      </c>
      <c r="P827" s="20">
        <v>2762.04801865338</v>
      </c>
      <c r="Q827" s="20">
        <v>27.897599999999901</v>
      </c>
      <c r="R827" s="20">
        <v>11926.089110639999</v>
      </c>
      <c r="S827" s="20">
        <v>29629.215249514</v>
      </c>
      <c r="T827" s="20">
        <v>15</v>
      </c>
      <c r="U827" s="20">
        <v>1</v>
      </c>
      <c r="V827" s="20">
        <v>2.8484098883790401E-2</v>
      </c>
      <c r="W827" s="20">
        <v>6.0569298363451499E-2</v>
      </c>
      <c r="X827" s="20">
        <v>9.6260647358937496E-2</v>
      </c>
      <c r="Y827" s="20">
        <v>0.136455007625709</v>
      </c>
      <c r="Z827" s="20">
        <v>0.180646655557958</v>
      </c>
      <c r="AA827" s="20">
        <v>0.22929335920138999</v>
      </c>
      <c r="AB827" s="20">
        <v>0.28278485768982398</v>
      </c>
      <c r="AC827" s="20">
        <v>0.340871442033857</v>
      </c>
      <c r="AD827" s="20">
        <v>0.404154883163864</v>
      </c>
      <c r="AE827" s="20">
        <v>0.47270350146391399</v>
      </c>
      <c r="AF827" t="str">
        <f t="shared" si="53"/>
        <v>NonResidential</v>
      </c>
      <c r="AG827" t="str">
        <f>tbl_Data_old[[#This Row],[All_Meas_Name_Append]]</f>
        <v>Grain Bin Aeration Control System</v>
      </c>
      <c r="AH827">
        <f>AVERAGEIFS('3. Incentive Adjustment'!G:G,'3. Incentive Adjustment'!A:A,tbl_Data_old[[#This Row],[Trimmed Sector]],'3. Incentive Adjustment'!B:B,tbl_Data_old[[#This Row],[Trimmed Measure Name]])</f>
        <v>0.77010279279185057</v>
      </c>
      <c r="AI827">
        <f>$AH827*tbl_Data_old[[#This Row],[2025 ]]</f>
        <v>2.1935684100566222E-2</v>
      </c>
      <c r="AJ827">
        <f>$AH827*tbl_Data_old[[#This Row],[2026 ]]</f>
        <v>4.6644585827136861E-2</v>
      </c>
      <c r="AK827">
        <f>$AH827*tbl_Data_old[[#This Row],[2027 ]]</f>
        <v>7.4130593367069245E-2</v>
      </c>
      <c r="AL827">
        <f>$AH827*tbl_Data_old[[#This Row],[2028 ]]</f>
        <v>0.10508438246299177</v>
      </c>
      <c r="AM827">
        <f>$AH827*tbl_Data_old[[#This Row],[2029 ]]</f>
        <v>0.13911649395369094</v>
      </c>
      <c r="AN827">
        <f>$AH827*tbl_Data_old[[#This Row],[2030 ]]</f>
        <v>0.17657945628961541</v>
      </c>
      <c r="AO827">
        <f>$AH827*tbl_Data_old[[#This Row],[2031 ]]</f>
        <v>0.21777340866617947</v>
      </c>
      <c r="AP827">
        <f>$AH827*tbl_Data_old[[#This Row],[2032 ]]</f>
        <v>0.26250604949325868</v>
      </c>
      <c r="AQ827">
        <f>$AH827*tbl_Data_old[[#This Row],[2033 ]]</f>
        <v>0.3112408042449557</v>
      </c>
      <c r="AR827">
        <f>$AH827*tbl_Data_old[[#This Row],[2034 ]]</f>
        <v>0.36403028663984677</v>
      </c>
      <c r="AS827">
        <f>SUM(tbl_Data_old[[#This Row],[Adjusted 2025]:[Adjusted 2034]])</f>
        <v>1.719041745045311</v>
      </c>
      <c r="AT827" s="3">
        <f>AVERAGEIFS('3. Incentive Adjustment'!F:F,'3. Incentive Adjustment'!A:A,tbl_Data_old[[#This Row],[Trimmed Sector]],'3. Incentive Adjustment'!B:B,tbl_Data_old[[#This Row],[Trimmed Measure Name]])</f>
        <v>0</v>
      </c>
      <c r="AU827" s="3">
        <f>IFERROR(VLOOKUP(tbl_Data_old[[#This Row],[All_Meas_Name_Append]],'IRA Tax Credits'!$A$3:$D$46,4,0),0)</f>
        <v>0</v>
      </c>
      <c r="AV827" s="4">
        <f>tbl_Data_old[[#This Row],[Adj. per unit Incentive ($)]]/tbl_Data_old[[#This Row],[kWh Savings]]*tbl_Data_old[[#This Row],[Sum of Annuals]]</f>
        <v>0</v>
      </c>
      <c r="AW827" s="4" t="str">
        <f>IFERROR(VLOOKUP(tbl_Data_old[[#This Row],[All_Programs]],'1. Set Program Names'!$B$2:$D$15,3,0)*tbl_Data_old[[#This Row],[Sum of Annuals]],"")</f>
        <v/>
      </c>
      <c r="AX827" s="4">
        <f>tbl_Data_old[[#This Row],[per unit IRA tax ($)]]/tbl_Data_old[[#This Row],[kWh Savings]]*tbl_Data_old[[#This Row],[Sum of Annuals]]</f>
        <v>0</v>
      </c>
      <c r="AY827" s="4">
        <f>tbl_Data_old[[#This Row],[Avoided Costs ($/unit)]]/tbl_Data_old[[#This Row],[kWh Savings]]*tbl_Data_old[[#This Row],[Sum of Annuals]]</f>
        <v>0.73488203416496545</v>
      </c>
      <c r="AZ827" s="4">
        <f>tbl_Data_old[[#This Row],[Lost Revenue ($/unit)]]/tbl_Data_old[[#This Row],[kWh Savings]]*tbl_Data_old[[#This Row],[Sum of Annuals]]</f>
        <v>1.8257433573801283</v>
      </c>
      <c r="BA827" s="4">
        <f>tbl_Data_old[[#This Row],[Incremental Cost ($/unit)]]/tbl_Data_old[[#This Row],[kWh Savings]]*tbl_Data_old[[#This Row],[Sum of Annuals]]</f>
        <v>0.49295760066681499</v>
      </c>
      <c r="BB827">
        <f>ROUNDUP(tbl_Data_old[[#This Row],[Adjusted 2025]]/$L827,0)</f>
        <v>1</v>
      </c>
      <c r="BC827">
        <f>ROUNDUP(tbl_Data_old[[#This Row],[Adjusted 2026]]/$L827,0)</f>
        <v>1</v>
      </c>
      <c r="BD827">
        <f>ROUNDUP(tbl_Data_old[[#This Row],[Adjusted 2027]]/$L827,0)</f>
        <v>1</v>
      </c>
      <c r="BE827">
        <f>ROUNDUP(tbl_Data_old[[#This Row],[Adjusted 2028]]/$L827,0)</f>
        <v>1</v>
      </c>
      <c r="BF827">
        <f>ROUNDUP(tbl_Data_old[[#This Row],[Adjusted 2029]]/$L827,0)</f>
        <v>1</v>
      </c>
      <c r="BG827">
        <f>ROUNDUP(tbl_Data_old[[#This Row],[Adjusted 2030]]/$L827,0)</f>
        <v>1</v>
      </c>
      <c r="BH827">
        <f>ROUNDUP(tbl_Data_old[[#This Row],[Adjusted 2031]]/$L827,0)</f>
        <v>1</v>
      </c>
      <c r="BI827">
        <f>ROUNDUP(tbl_Data_old[[#This Row],[Adjusted 2032]]/$L827,0)</f>
        <v>1</v>
      </c>
      <c r="BJ827">
        <f>ROUNDUP(tbl_Data_old[[#This Row],[Adjusted 2033]]/$L827,0)</f>
        <v>1</v>
      </c>
      <c r="BK827">
        <f>ROUNDUP(tbl_Data_old[[#This Row],[Adjusted 2034]]/$L827,0)</f>
        <v>1</v>
      </c>
      <c r="BL827" s="3">
        <f t="shared" si="56"/>
        <v>0</v>
      </c>
      <c r="BM827" s="3">
        <f t="shared" si="56"/>
        <v>0</v>
      </c>
      <c r="BN827" s="3">
        <f t="shared" si="56"/>
        <v>0</v>
      </c>
      <c r="BO827" s="3">
        <f t="shared" si="56"/>
        <v>0</v>
      </c>
      <c r="BP827" s="3">
        <f t="shared" si="56"/>
        <v>0</v>
      </c>
      <c r="BQ827" s="3">
        <f t="shared" si="55"/>
        <v>0</v>
      </c>
      <c r="BR827" s="3">
        <f t="shared" si="55"/>
        <v>0</v>
      </c>
      <c r="BS827" s="3">
        <f t="shared" si="55"/>
        <v>0</v>
      </c>
      <c r="BT827" s="3">
        <f t="shared" si="55"/>
        <v>0</v>
      </c>
      <c r="BU827" s="3">
        <f t="shared" si="55"/>
        <v>0</v>
      </c>
      <c r="BV827" t="e">
        <f>VLOOKUP($H827,'1. Set Program Names'!$B$2:$D$15,3,0)*V827</f>
        <v>#N/A</v>
      </c>
      <c r="BW827" t="e">
        <f>VLOOKUP($H827,'1. Set Program Names'!$B$2:$D$15,3,0)*W827</f>
        <v>#N/A</v>
      </c>
      <c r="BX827" t="e">
        <f>VLOOKUP($H827,'1. Set Program Names'!$B$2:$D$15,3,0)*X827</f>
        <v>#N/A</v>
      </c>
      <c r="BY827" t="e">
        <f>VLOOKUP($H827,'1. Set Program Names'!$B$2:$D$15,3,0)*Y827</f>
        <v>#N/A</v>
      </c>
      <c r="BZ827" t="e">
        <f>VLOOKUP($H827,'1. Set Program Names'!$B$2:$D$15,3,0)*Z827</f>
        <v>#N/A</v>
      </c>
      <c r="CA827" t="e">
        <f>VLOOKUP($H827,'1. Set Program Names'!$B$2:$D$15,3,0)*AA827</f>
        <v>#N/A</v>
      </c>
      <c r="CB827" t="e">
        <f>VLOOKUP($H827,'1. Set Program Names'!$B$2:$D$15,3,0)*AB827</f>
        <v>#N/A</v>
      </c>
      <c r="CC827" t="e">
        <f>VLOOKUP($H827,'1. Set Program Names'!$B$2:$D$15,3,0)*AC827</f>
        <v>#N/A</v>
      </c>
      <c r="CD827" t="e">
        <f>VLOOKUP($H827,'1. Set Program Names'!$B$2:$D$15,3,0)*AD827</f>
        <v>#N/A</v>
      </c>
      <c r="CE827" t="e">
        <f>VLOOKUP($H827,'1. Set Program Names'!$B$2:$D$15,3,0)*AE827</f>
        <v>#N/A</v>
      </c>
    </row>
    <row r="828" spans="1:83" x14ac:dyDescent="0.25">
      <c r="A828" s="20" t="s">
        <v>117</v>
      </c>
      <c r="B828" s="20" t="s">
        <v>88</v>
      </c>
      <c r="C828" s="20" t="s">
        <v>176</v>
      </c>
      <c r="D828" s="20" t="s">
        <v>90</v>
      </c>
      <c r="E828" s="20" t="s">
        <v>91</v>
      </c>
      <c r="F828" s="20" t="s">
        <v>90</v>
      </c>
      <c r="G828" s="20" t="s">
        <v>92</v>
      </c>
      <c r="H828" s="20" t="s">
        <v>268</v>
      </c>
      <c r="I828" s="20" t="s">
        <v>181</v>
      </c>
      <c r="J828" s="20" t="s">
        <v>182</v>
      </c>
      <c r="K828" s="20" t="s">
        <v>98</v>
      </c>
      <c r="L828" s="20">
        <v>21140.159999999902</v>
      </c>
      <c r="M828" s="20">
        <v>2.4928340912459501</v>
      </c>
      <c r="N828" s="20">
        <v>2.4353939910039801</v>
      </c>
      <c r="O828" s="20">
        <v>4269.76</v>
      </c>
      <c r="P828" s="20">
        <v>17.441519984740999</v>
      </c>
      <c r="Q828" s="20">
        <v>21.140159999999899</v>
      </c>
      <c r="R828" s="20">
        <v>7174.5673333962905</v>
      </c>
      <c r="S828" s="20">
        <v>17003.9302734632</v>
      </c>
      <c r="T828" s="20">
        <v>10</v>
      </c>
      <c r="U828" s="20">
        <v>1</v>
      </c>
      <c r="V828" s="20">
        <v>0.74369003741442796</v>
      </c>
      <c r="W828" s="20">
        <v>1.5902070624812299</v>
      </c>
      <c r="X828" s="20">
        <v>2.5264985382920502</v>
      </c>
      <c r="Y828" s="20">
        <v>3.5518059871055998</v>
      </c>
      <c r="Z828" s="20">
        <v>4.6543284336609601</v>
      </c>
      <c r="AA828" s="20">
        <v>5.8288201326166904</v>
      </c>
      <c r="AB828" s="20">
        <v>7.0710632405385896</v>
      </c>
      <c r="AC828" s="20">
        <v>8.3747901598785894</v>
      </c>
      <c r="AD828" s="20">
        <v>9.7387937230367196</v>
      </c>
      <c r="AE828" s="20">
        <v>11.159950255562499</v>
      </c>
      <c r="AF828" t="str">
        <f t="shared" si="53"/>
        <v>NonResidential</v>
      </c>
      <c r="AG828" t="str">
        <f>tbl_Data_old[[#This Row],[All_Meas_Name_Append]]</f>
        <v>High Volume Low Speed Fan (HVLS)</v>
      </c>
      <c r="AH828">
        <f>AVERAGEIFS('3. Incentive Adjustment'!G:G,'3. Incentive Adjustment'!A:A,tbl_Data_old[[#This Row],[Trimmed Sector]],'3. Incentive Adjustment'!B:B,tbl_Data_old[[#This Row],[Trimmed Measure Name]])</f>
        <v>0.99782547587781634</v>
      </c>
      <c r="AI828">
        <f>$AH828*tbl_Data_old[[#This Row],[2025 ]]</f>
        <v>0.7420728654886426</v>
      </c>
      <c r="AJ828">
        <f>$AH828*tbl_Data_old[[#This Row],[2026 ]]</f>
        <v>1.5867491188645977</v>
      </c>
      <c r="AK828">
        <f>$AH828*tbl_Data_old[[#This Row],[2027 ]]</f>
        <v>2.5210046062758722</v>
      </c>
      <c r="AL828">
        <f>$AH828*tbl_Data_old[[#This Row],[2028 ]]</f>
        <v>3.5440824993093223</v>
      </c>
      <c r="AM828">
        <f>$AH828*tbl_Data_old[[#This Row],[2029 ]]</f>
        <v>4.6442074842093986</v>
      </c>
      <c r="AN828">
        <f>$AH828*tbl_Data_old[[#This Row],[2030 ]]</f>
        <v>5.8161452226344457</v>
      </c>
      <c r="AO828">
        <f>$AH828*tbl_Data_old[[#This Row],[2031 ]]</f>
        <v>7.0556870429525524</v>
      </c>
      <c r="AP828">
        <f>$AH828*tbl_Data_old[[#This Row],[2032 ]]</f>
        <v>8.3565789766577065</v>
      </c>
      <c r="AQ828">
        <f>$AH828*tbl_Data_old[[#This Row],[2033 ]]</f>
        <v>9.7176164811650061</v>
      </c>
      <c r="AR828">
        <f>$AH828*tbl_Data_old[[#This Row],[2034 ]]</f>
        <v>11.135682674529409</v>
      </c>
      <c r="AS828">
        <f>SUM(tbl_Data_old[[#This Row],[Adjusted 2025]:[Adjusted 2034]])</f>
        <v>55.119826972086955</v>
      </c>
      <c r="AT828" s="3">
        <f>AVERAGEIFS('3. Incentive Adjustment'!F:F,'3. Incentive Adjustment'!A:A,tbl_Data_old[[#This Row],[Trimmed Sector]],'3. Incentive Adjustment'!B:B,tbl_Data_old[[#This Row],[Trimmed Measure Name]])</f>
        <v>0</v>
      </c>
      <c r="AU828" s="3">
        <f>IFERROR(VLOOKUP(tbl_Data_old[[#This Row],[All_Meas_Name_Append]],'IRA Tax Credits'!$A$3:$D$46,4,0),0)</f>
        <v>0</v>
      </c>
      <c r="AV828" s="4">
        <f>tbl_Data_old[[#This Row],[Adj. per unit Incentive ($)]]/tbl_Data_old[[#This Row],[kWh Savings]]*tbl_Data_old[[#This Row],[Sum of Annuals]]</f>
        <v>0</v>
      </c>
      <c r="AW828" s="4" t="str">
        <f>IFERROR(VLOOKUP(tbl_Data_old[[#This Row],[All_Programs]],'1. Set Program Names'!$B$2:$D$15,3,0)*tbl_Data_old[[#This Row],[Sum of Annuals]],"")</f>
        <v/>
      </c>
      <c r="AX828" s="4">
        <f>tbl_Data_old[[#This Row],[per unit IRA tax ($)]]/tbl_Data_old[[#This Row],[kWh Savings]]*tbl_Data_old[[#This Row],[Sum of Annuals]]</f>
        <v>0</v>
      </c>
      <c r="AY828" s="4">
        <f>tbl_Data_old[[#This Row],[Avoided Costs ($/unit)]]/tbl_Data_old[[#This Row],[kWh Savings]]*tbl_Data_old[[#This Row],[Sum of Annuals]]</f>
        <v>18.706618588335786</v>
      </c>
      <c r="AZ828" s="4">
        <f>tbl_Data_old[[#This Row],[Lost Revenue ($/unit)]]/tbl_Data_old[[#This Row],[kWh Savings]]*tbl_Data_old[[#This Row],[Sum of Annuals]]</f>
        <v>44.335222369117695</v>
      </c>
      <c r="BA828" s="4">
        <f>tbl_Data_old[[#This Row],[Incremental Cost ($/unit)]]/tbl_Data_old[[#This Row],[kWh Savings]]*tbl_Data_old[[#This Row],[Sum of Annuals]]</f>
        <v>11.132764956005021</v>
      </c>
      <c r="BB828">
        <f>ROUNDUP(tbl_Data_old[[#This Row],[Adjusted 2025]]/$L828,0)</f>
        <v>1</v>
      </c>
      <c r="BC828">
        <f>ROUNDUP(tbl_Data_old[[#This Row],[Adjusted 2026]]/$L828,0)</f>
        <v>1</v>
      </c>
      <c r="BD828">
        <f>ROUNDUP(tbl_Data_old[[#This Row],[Adjusted 2027]]/$L828,0)</f>
        <v>1</v>
      </c>
      <c r="BE828">
        <f>ROUNDUP(tbl_Data_old[[#This Row],[Adjusted 2028]]/$L828,0)</f>
        <v>1</v>
      </c>
      <c r="BF828">
        <f>ROUNDUP(tbl_Data_old[[#This Row],[Adjusted 2029]]/$L828,0)</f>
        <v>1</v>
      </c>
      <c r="BG828">
        <f>ROUNDUP(tbl_Data_old[[#This Row],[Adjusted 2030]]/$L828,0)</f>
        <v>1</v>
      </c>
      <c r="BH828">
        <f>ROUNDUP(tbl_Data_old[[#This Row],[Adjusted 2031]]/$L828,0)</f>
        <v>1</v>
      </c>
      <c r="BI828">
        <f>ROUNDUP(tbl_Data_old[[#This Row],[Adjusted 2032]]/$L828,0)</f>
        <v>1</v>
      </c>
      <c r="BJ828">
        <f>ROUNDUP(tbl_Data_old[[#This Row],[Adjusted 2033]]/$L828,0)</f>
        <v>1</v>
      </c>
      <c r="BK828">
        <f>ROUNDUP(tbl_Data_old[[#This Row],[Adjusted 2034]]/$L828,0)</f>
        <v>1</v>
      </c>
      <c r="BL828" s="3">
        <f t="shared" si="56"/>
        <v>0</v>
      </c>
      <c r="BM828" s="3">
        <f t="shared" si="56"/>
        <v>0</v>
      </c>
      <c r="BN828" s="3">
        <f t="shared" si="56"/>
        <v>0</v>
      </c>
      <c r="BO828" s="3">
        <f t="shared" si="56"/>
        <v>0</v>
      </c>
      <c r="BP828" s="3">
        <f t="shared" si="56"/>
        <v>0</v>
      </c>
      <c r="BQ828" s="3">
        <f t="shared" si="55"/>
        <v>0</v>
      </c>
      <c r="BR828" s="3">
        <f t="shared" si="55"/>
        <v>0</v>
      </c>
      <c r="BS828" s="3">
        <f t="shared" si="55"/>
        <v>0</v>
      </c>
      <c r="BT828" s="3">
        <f t="shared" si="55"/>
        <v>0</v>
      </c>
      <c r="BU828" s="3">
        <f t="shared" si="55"/>
        <v>0</v>
      </c>
      <c r="BV828" t="e">
        <f>VLOOKUP($H828,'1. Set Program Names'!$B$2:$D$15,3,0)*V828</f>
        <v>#N/A</v>
      </c>
      <c r="BW828" t="e">
        <f>VLOOKUP($H828,'1. Set Program Names'!$B$2:$D$15,3,0)*W828</f>
        <v>#N/A</v>
      </c>
      <c r="BX828" t="e">
        <f>VLOOKUP($H828,'1. Set Program Names'!$B$2:$D$15,3,0)*X828</f>
        <v>#N/A</v>
      </c>
      <c r="BY828" t="e">
        <f>VLOOKUP($H828,'1. Set Program Names'!$B$2:$D$15,3,0)*Y828</f>
        <v>#N/A</v>
      </c>
      <c r="BZ828" t="e">
        <f>VLOOKUP($H828,'1. Set Program Names'!$B$2:$D$15,3,0)*Z828</f>
        <v>#N/A</v>
      </c>
      <c r="CA828" t="e">
        <f>VLOOKUP($H828,'1. Set Program Names'!$B$2:$D$15,3,0)*AA828</f>
        <v>#N/A</v>
      </c>
      <c r="CB828" t="e">
        <f>VLOOKUP($H828,'1. Set Program Names'!$B$2:$D$15,3,0)*AB828</f>
        <v>#N/A</v>
      </c>
      <c r="CC828" t="e">
        <f>VLOOKUP($H828,'1. Set Program Names'!$B$2:$D$15,3,0)*AC828</f>
        <v>#N/A</v>
      </c>
      <c r="CD828" t="e">
        <f>VLOOKUP($H828,'1. Set Program Names'!$B$2:$D$15,3,0)*AD828</f>
        <v>#N/A</v>
      </c>
      <c r="CE828" t="e">
        <f>VLOOKUP($H828,'1. Set Program Names'!$B$2:$D$15,3,0)*AE828</f>
        <v>#N/A</v>
      </c>
    </row>
    <row r="829" spans="1:83" x14ac:dyDescent="0.25">
      <c r="A829" s="20" t="s">
        <v>117</v>
      </c>
      <c r="B829" s="20" t="s">
        <v>88</v>
      </c>
      <c r="C829" s="20" t="s">
        <v>176</v>
      </c>
      <c r="D829" s="20" t="s">
        <v>90</v>
      </c>
      <c r="E829" s="20" t="s">
        <v>91</v>
      </c>
      <c r="F829" s="20" t="s">
        <v>90</v>
      </c>
      <c r="G829" s="20" t="s">
        <v>92</v>
      </c>
      <c r="H829" s="20" t="s">
        <v>268</v>
      </c>
      <c r="I829" s="20" t="s">
        <v>183</v>
      </c>
      <c r="J829" s="20" t="s">
        <v>178</v>
      </c>
      <c r="K829" s="20" t="s">
        <v>130</v>
      </c>
      <c r="L829" s="20">
        <v>113444.97999999901</v>
      </c>
      <c r="M829" s="20">
        <v>13.5911727914499</v>
      </c>
      <c r="N829" s="20">
        <v>13.0925103405659</v>
      </c>
      <c r="O829" s="20">
        <v>42343.199999999997</v>
      </c>
      <c r="P829" s="20">
        <v>19818.792281260001</v>
      </c>
      <c r="Q829" s="20">
        <v>113.44497999999901</v>
      </c>
      <c r="R829" s="20">
        <v>54449.419529642699</v>
      </c>
      <c r="S829" s="20">
        <v>142371.22131797599</v>
      </c>
      <c r="T829" s="20">
        <v>20</v>
      </c>
      <c r="U829" s="20">
        <v>1</v>
      </c>
      <c r="V829" s="20">
        <v>8.9262230922656796E-2</v>
      </c>
      <c r="W829" s="20">
        <v>0.176901601020372</v>
      </c>
      <c r="X829" s="20">
        <v>0.26215069420940901</v>
      </c>
      <c r="Y829" s="20">
        <v>0.344963351374167</v>
      </c>
      <c r="Z829" s="20">
        <v>0.425444724215017</v>
      </c>
      <c r="AA829" s="20">
        <v>0.50339086750165996</v>
      </c>
      <c r="AB829" s="20">
        <v>0.578772604867551</v>
      </c>
      <c r="AC829" s="20">
        <v>0.65173647816804903</v>
      </c>
      <c r="AD829" s="20">
        <v>0.72227582772866095</v>
      </c>
      <c r="AE829" s="20">
        <v>0.79047103608512503</v>
      </c>
      <c r="AF829" t="str">
        <f t="shared" si="53"/>
        <v>NonResidential</v>
      </c>
      <c r="AG829" t="str">
        <f>tbl_Data_old[[#This Row],[All_Meas_Name_Append]]</f>
        <v>Industrial Duct Sealing</v>
      </c>
      <c r="AH829">
        <f>AVERAGEIFS('3. Incentive Adjustment'!G:G,'3. Incentive Adjustment'!A:A,tbl_Data_old[[#This Row],[Trimmed Sector]],'3. Incentive Adjustment'!B:B,tbl_Data_old[[#This Row],[Trimmed Measure Name]])</f>
        <v>0.63068496474049041</v>
      </c>
      <c r="AI829">
        <f>$AH829*tbl_Data_old[[#This Row],[2025 ]]</f>
        <v>5.6296346962113317E-2</v>
      </c>
      <c r="AJ829">
        <f>$AH829*tbl_Data_old[[#This Row],[2026 ]]</f>
        <v>0.11156918000206961</v>
      </c>
      <c r="AK829">
        <f>$AH829*tbl_Data_old[[#This Row],[2027 ]]</f>
        <v>0.1653345013341562</v>
      </c>
      <c r="AL829">
        <f>$AH829*tbl_Data_old[[#This Row],[2028 ]]</f>
        <v>0.21756319909817792</v>
      </c>
      <c r="AM829">
        <f>$AH829*tbl_Data_old[[#This Row],[2029 ]]</f>
        <v>0.26832159089057567</v>
      </c>
      <c r="AN829">
        <f>$AH829*tbl_Data_old[[#This Row],[2030 ]]</f>
        <v>0.31748105152096928</v>
      </c>
      <c r="AO829">
        <f>$AH829*tbl_Data_old[[#This Row],[2031 ]]</f>
        <v>0.36502317989365318</v>
      </c>
      <c r="AP829">
        <f>$AH829*tbl_Data_old[[#This Row],[2032 ]]</f>
        <v>0.41104039775350737</v>
      </c>
      <c r="AQ829">
        <f>$AH829*tbl_Data_old[[#This Row],[2033 ]]</f>
        <v>0.45552850494395908</v>
      </c>
      <c r="AR829">
        <f>$AH829*tbl_Data_old[[#This Row],[2034 ]]</f>
        <v>0.49853819752172601</v>
      </c>
      <c r="AS829">
        <f>SUM(tbl_Data_old[[#This Row],[Adjusted 2025]:[Adjusted 2034]])</f>
        <v>2.8666961499209078</v>
      </c>
      <c r="AT829" s="3">
        <f>AVERAGEIFS('3. Incentive Adjustment'!F:F,'3. Incentive Adjustment'!A:A,tbl_Data_old[[#This Row],[Trimmed Sector]],'3. Incentive Adjustment'!B:B,tbl_Data_old[[#This Row],[Trimmed Measure Name]])</f>
        <v>0</v>
      </c>
      <c r="AU829" s="3">
        <f>IFERROR(VLOOKUP(tbl_Data_old[[#This Row],[All_Meas_Name_Append]],'IRA Tax Credits'!$A$3:$D$46,4,0),0)</f>
        <v>0</v>
      </c>
      <c r="AV829" s="4">
        <f>tbl_Data_old[[#This Row],[Adj. per unit Incentive ($)]]/tbl_Data_old[[#This Row],[kWh Savings]]*tbl_Data_old[[#This Row],[Sum of Annuals]]</f>
        <v>0</v>
      </c>
      <c r="AW829" s="4" t="str">
        <f>IFERROR(VLOOKUP(tbl_Data_old[[#This Row],[All_Programs]],'1. Set Program Names'!$B$2:$D$15,3,0)*tbl_Data_old[[#This Row],[Sum of Annuals]],"")</f>
        <v/>
      </c>
      <c r="AX829" s="4">
        <f>tbl_Data_old[[#This Row],[per unit IRA tax ($)]]/tbl_Data_old[[#This Row],[kWh Savings]]*tbl_Data_old[[#This Row],[Sum of Annuals]]</f>
        <v>0</v>
      </c>
      <c r="AY829" s="4">
        <f>tbl_Data_old[[#This Row],[Avoided Costs ($/unit)]]/tbl_Data_old[[#This Row],[kWh Savings]]*tbl_Data_old[[#This Row],[Sum of Annuals]]</f>
        <v>1.3759087562187096</v>
      </c>
      <c r="AZ829" s="4">
        <f>tbl_Data_old[[#This Row],[Lost Revenue ($/unit)]]/tbl_Data_old[[#This Row],[kWh Savings]]*tbl_Data_old[[#This Row],[Sum of Annuals]]</f>
        <v>3.5976473530321291</v>
      </c>
      <c r="BA829" s="4">
        <f>tbl_Data_old[[#This Row],[Incremental Cost ($/unit)]]/tbl_Data_old[[#This Row],[kWh Savings]]*tbl_Data_old[[#This Row],[Sum of Annuals]]</f>
        <v>1.0699908309325987</v>
      </c>
      <c r="BB829">
        <f>ROUNDUP(tbl_Data_old[[#This Row],[Adjusted 2025]]/$L829,0)</f>
        <v>1</v>
      </c>
      <c r="BC829">
        <f>ROUNDUP(tbl_Data_old[[#This Row],[Adjusted 2026]]/$L829,0)</f>
        <v>1</v>
      </c>
      <c r="BD829">
        <f>ROUNDUP(tbl_Data_old[[#This Row],[Adjusted 2027]]/$L829,0)</f>
        <v>1</v>
      </c>
      <c r="BE829">
        <f>ROUNDUP(tbl_Data_old[[#This Row],[Adjusted 2028]]/$L829,0)</f>
        <v>1</v>
      </c>
      <c r="BF829">
        <f>ROUNDUP(tbl_Data_old[[#This Row],[Adjusted 2029]]/$L829,0)</f>
        <v>1</v>
      </c>
      <c r="BG829">
        <f>ROUNDUP(tbl_Data_old[[#This Row],[Adjusted 2030]]/$L829,0)</f>
        <v>1</v>
      </c>
      <c r="BH829">
        <f>ROUNDUP(tbl_Data_old[[#This Row],[Adjusted 2031]]/$L829,0)</f>
        <v>1</v>
      </c>
      <c r="BI829">
        <f>ROUNDUP(tbl_Data_old[[#This Row],[Adjusted 2032]]/$L829,0)</f>
        <v>1</v>
      </c>
      <c r="BJ829">
        <f>ROUNDUP(tbl_Data_old[[#This Row],[Adjusted 2033]]/$L829,0)</f>
        <v>1</v>
      </c>
      <c r="BK829">
        <f>ROUNDUP(tbl_Data_old[[#This Row],[Adjusted 2034]]/$L829,0)</f>
        <v>1</v>
      </c>
      <c r="BL829" s="3">
        <f t="shared" si="56"/>
        <v>0</v>
      </c>
      <c r="BM829" s="3">
        <f t="shared" si="56"/>
        <v>0</v>
      </c>
      <c r="BN829" s="3">
        <f t="shared" si="56"/>
        <v>0</v>
      </c>
      <c r="BO829" s="3">
        <f t="shared" si="56"/>
        <v>0</v>
      </c>
      <c r="BP829" s="3">
        <f t="shared" si="56"/>
        <v>0</v>
      </c>
      <c r="BQ829" s="3">
        <f t="shared" si="55"/>
        <v>0</v>
      </c>
      <c r="BR829" s="3">
        <f t="shared" si="55"/>
        <v>0</v>
      </c>
      <c r="BS829" s="3">
        <f t="shared" si="55"/>
        <v>0</v>
      </c>
      <c r="BT829" s="3">
        <f t="shared" si="55"/>
        <v>0</v>
      </c>
      <c r="BU829" s="3">
        <f t="shared" si="55"/>
        <v>0</v>
      </c>
      <c r="BV829" t="e">
        <f>VLOOKUP($H829,'1. Set Program Names'!$B$2:$D$15,3,0)*V829</f>
        <v>#N/A</v>
      </c>
      <c r="BW829" t="e">
        <f>VLOOKUP($H829,'1. Set Program Names'!$B$2:$D$15,3,0)*W829</f>
        <v>#N/A</v>
      </c>
      <c r="BX829" t="e">
        <f>VLOOKUP($H829,'1. Set Program Names'!$B$2:$D$15,3,0)*X829</f>
        <v>#N/A</v>
      </c>
      <c r="BY829" t="e">
        <f>VLOOKUP($H829,'1. Set Program Names'!$B$2:$D$15,3,0)*Y829</f>
        <v>#N/A</v>
      </c>
      <c r="BZ829" t="e">
        <f>VLOOKUP($H829,'1. Set Program Names'!$B$2:$D$15,3,0)*Z829</f>
        <v>#N/A</v>
      </c>
      <c r="CA829" t="e">
        <f>VLOOKUP($H829,'1. Set Program Names'!$B$2:$D$15,3,0)*AA829</f>
        <v>#N/A</v>
      </c>
      <c r="CB829" t="e">
        <f>VLOOKUP($H829,'1. Set Program Names'!$B$2:$D$15,3,0)*AB829</f>
        <v>#N/A</v>
      </c>
      <c r="CC829" t="e">
        <f>VLOOKUP($H829,'1. Set Program Names'!$B$2:$D$15,3,0)*AC829</f>
        <v>#N/A</v>
      </c>
      <c r="CD829" t="e">
        <f>VLOOKUP($H829,'1. Set Program Names'!$B$2:$D$15,3,0)*AD829</f>
        <v>#N/A</v>
      </c>
      <c r="CE829" t="e">
        <f>VLOOKUP($H829,'1. Set Program Names'!$B$2:$D$15,3,0)*AE829</f>
        <v>#N/A</v>
      </c>
    </row>
    <row r="830" spans="1:83" x14ac:dyDescent="0.25">
      <c r="A830" s="20" t="s">
        <v>117</v>
      </c>
      <c r="B830" s="20" t="s">
        <v>88</v>
      </c>
      <c r="C830" s="20" t="s">
        <v>176</v>
      </c>
      <c r="D830" s="20" t="s">
        <v>90</v>
      </c>
      <c r="E830" s="20" t="s">
        <v>91</v>
      </c>
      <c r="F830" s="20" t="s">
        <v>90</v>
      </c>
      <c r="G830" s="20" t="s">
        <v>92</v>
      </c>
      <c r="H830" s="20" t="s">
        <v>268</v>
      </c>
      <c r="I830" s="20" t="s">
        <v>270</v>
      </c>
      <c r="J830" s="20" t="s">
        <v>191</v>
      </c>
      <c r="K830" s="20" t="s">
        <v>98</v>
      </c>
      <c r="L830" s="20">
        <v>2628</v>
      </c>
      <c r="M830" s="20">
        <v>0.31001938633530801</v>
      </c>
      <c r="N830" s="20">
        <v>0.30291717485841702</v>
      </c>
      <c r="O830" s="20">
        <v>810.229999999999</v>
      </c>
      <c r="P830" s="20">
        <v>281.60244658368498</v>
      </c>
      <c r="Q830" s="20">
        <v>2.6280000000000001</v>
      </c>
      <c r="R830" s="20">
        <v>891.847172411815</v>
      </c>
      <c r="S830" s="20">
        <v>2113.8122303076898</v>
      </c>
      <c r="T830" s="20">
        <v>10</v>
      </c>
      <c r="U830" s="20">
        <v>1</v>
      </c>
      <c r="V830" s="20">
        <v>2.0457529843032298</v>
      </c>
      <c r="W830" s="20">
        <v>4.8814192231683302</v>
      </c>
      <c r="X830" s="20">
        <v>8.6054039900267298</v>
      </c>
      <c r="Y830" s="20">
        <v>13.3123988689104</v>
      </c>
      <c r="Z830" s="20">
        <v>18.9800443912895</v>
      </c>
      <c r="AA830" s="20">
        <v>25.536080931503299</v>
      </c>
      <c r="AB830" s="20">
        <v>32.856156007780797</v>
      </c>
      <c r="AC830" s="20">
        <v>40.779465416826298</v>
      </c>
      <c r="AD830" s="20">
        <v>49.180785297414701</v>
      </c>
      <c r="AE830" s="20">
        <v>57.948998232218401</v>
      </c>
      <c r="AF830" t="str">
        <f t="shared" si="53"/>
        <v>NonResidential</v>
      </c>
      <c r="AG830" t="str">
        <f>tbl_Data_old[[#This Row],[All_Meas_Name_Append]]</f>
        <v>Low Energy Livestock Waterer</v>
      </c>
      <c r="AH830">
        <f>AVERAGEIFS('3. Incentive Adjustment'!G:G,'3. Incentive Adjustment'!A:A,tbl_Data_old[[#This Row],[Trimmed Sector]],'3. Incentive Adjustment'!B:B,tbl_Data_old[[#This Row],[Trimmed Measure Name]])</f>
        <v>0.7537232854794027</v>
      </c>
      <c r="AI830">
        <f>$AH830*tbl_Data_old[[#This Row],[2025 ]]</f>
        <v>1.5419316606083233</v>
      </c>
      <c r="AJ830">
        <f>$AH830*tbl_Data_old[[#This Row],[2026 ]]</f>
        <v>3.6792393346887478</v>
      </c>
      <c r="AK830">
        <f>$AH830*tbl_Data_old[[#This Row],[2027 ]]</f>
        <v>6.4860933682405078</v>
      </c>
      <c r="AL830">
        <f>$AH830*tbl_Data_old[[#This Row],[2028 ]]</f>
        <v>10.03386501308743</v>
      </c>
      <c r="AM830">
        <f>$AH830*tbl_Data_old[[#This Row],[2029 ]]</f>
        <v>14.305701417147631</v>
      </c>
      <c r="AN830">
        <f>$AH830*tbl_Data_old[[#This Row],[2030 ]]</f>
        <v>19.247138817960593</v>
      </c>
      <c r="AO830">
        <f>$AH830*tbl_Data_old[[#This Row],[2031 ]]</f>
        <v>24.764449854408358</v>
      </c>
      <c r="AP830">
        <f>$AH830*tbl_Data_old[[#This Row],[2032 ]]</f>
        <v>30.736432654063996</v>
      </c>
      <c r="AQ830">
        <f>$AH830*tbl_Data_old[[#This Row],[2033 ]]</f>
        <v>37.068703076824512</v>
      </c>
      <c r="AR830">
        <f>$AH830*tbl_Data_old[[#This Row],[2034 ]]</f>
        <v>43.67750933782775</v>
      </c>
      <c r="AS830">
        <f>SUM(tbl_Data_old[[#This Row],[Adjusted 2025]:[Adjusted 2034]])</f>
        <v>191.54106453485784</v>
      </c>
      <c r="AT830" s="3">
        <f>AVERAGEIFS('3. Incentive Adjustment'!F:F,'3. Incentive Adjustment'!A:A,tbl_Data_old[[#This Row],[Trimmed Sector]],'3. Incentive Adjustment'!B:B,tbl_Data_old[[#This Row],[Trimmed Measure Name]])</f>
        <v>0</v>
      </c>
      <c r="AU830" s="3">
        <f>IFERROR(VLOOKUP(tbl_Data_old[[#This Row],[All_Meas_Name_Append]],'IRA Tax Credits'!$A$3:$D$46,4,0),0)</f>
        <v>0</v>
      </c>
      <c r="AV830" s="4">
        <f>tbl_Data_old[[#This Row],[Adj. per unit Incentive ($)]]/tbl_Data_old[[#This Row],[kWh Savings]]*tbl_Data_old[[#This Row],[Sum of Annuals]]</f>
        <v>0</v>
      </c>
      <c r="AW830" s="4" t="str">
        <f>IFERROR(VLOOKUP(tbl_Data_old[[#This Row],[All_Programs]],'1. Set Program Names'!$B$2:$D$15,3,0)*tbl_Data_old[[#This Row],[Sum of Annuals]],"")</f>
        <v/>
      </c>
      <c r="AX830" s="4">
        <f>tbl_Data_old[[#This Row],[per unit IRA tax ($)]]/tbl_Data_old[[#This Row],[kWh Savings]]*tbl_Data_old[[#This Row],[Sum of Annuals]]</f>
        <v>0</v>
      </c>
      <c r="AY830" s="4">
        <f>tbl_Data_old[[#This Row],[Avoided Costs ($/unit)]]/tbl_Data_old[[#This Row],[kWh Savings]]*tbl_Data_old[[#This Row],[Sum of Annuals]]</f>
        <v>65.002038358509111</v>
      </c>
      <c r="AZ830" s="4">
        <f>tbl_Data_old[[#This Row],[Lost Revenue ($/unit)]]/tbl_Data_old[[#This Row],[kWh Savings]]*tbl_Data_old[[#This Row],[Sum of Annuals]]</f>
        <v>154.06462892691667</v>
      </c>
      <c r="BA830" s="4">
        <f>tbl_Data_old[[#This Row],[Incremental Cost ($/unit)]]/tbl_Data_old[[#This Row],[kWh Savings]]*tbl_Data_old[[#This Row],[Sum of Annuals]]</f>
        <v>59.053392967305051</v>
      </c>
      <c r="BB830">
        <f>ROUNDUP(tbl_Data_old[[#This Row],[Adjusted 2025]]/$L830,0)</f>
        <v>1</v>
      </c>
      <c r="BC830">
        <f>ROUNDUP(tbl_Data_old[[#This Row],[Adjusted 2026]]/$L830,0)</f>
        <v>1</v>
      </c>
      <c r="BD830">
        <f>ROUNDUP(tbl_Data_old[[#This Row],[Adjusted 2027]]/$L830,0)</f>
        <v>1</v>
      </c>
      <c r="BE830">
        <f>ROUNDUP(tbl_Data_old[[#This Row],[Adjusted 2028]]/$L830,0)</f>
        <v>1</v>
      </c>
      <c r="BF830">
        <f>ROUNDUP(tbl_Data_old[[#This Row],[Adjusted 2029]]/$L830,0)</f>
        <v>1</v>
      </c>
      <c r="BG830">
        <f>ROUNDUP(tbl_Data_old[[#This Row],[Adjusted 2030]]/$L830,0)</f>
        <v>1</v>
      </c>
      <c r="BH830">
        <f>ROUNDUP(tbl_Data_old[[#This Row],[Adjusted 2031]]/$L830,0)</f>
        <v>1</v>
      </c>
      <c r="BI830">
        <f>ROUNDUP(tbl_Data_old[[#This Row],[Adjusted 2032]]/$L830,0)</f>
        <v>1</v>
      </c>
      <c r="BJ830">
        <f>ROUNDUP(tbl_Data_old[[#This Row],[Adjusted 2033]]/$L830,0)</f>
        <v>1</v>
      </c>
      <c r="BK830">
        <f>ROUNDUP(tbl_Data_old[[#This Row],[Adjusted 2034]]/$L830,0)</f>
        <v>1</v>
      </c>
      <c r="BL830" s="3">
        <f t="shared" si="56"/>
        <v>0</v>
      </c>
      <c r="BM830" s="3">
        <f t="shared" si="56"/>
        <v>0</v>
      </c>
      <c r="BN830" s="3">
        <f t="shared" si="56"/>
        <v>0</v>
      </c>
      <c r="BO830" s="3">
        <f t="shared" si="56"/>
        <v>0</v>
      </c>
      <c r="BP830" s="3">
        <f t="shared" si="56"/>
        <v>0</v>
      </c>
      <c r="BQ830" s="3">
        <f t="shared" si="55"/>
        <v>0</v>
      </c>
      <c r="BR830" s="3">
        <f t="shared" si="55"/>
        <v>0</v>
      </c>
      <c r="BS830" s="3">
        <f t="shared" si="55"/>
        <v>0</v>
      </c>
      <c r="BT830" s="3">
        <f t="shared" si="55"/>
        <v>0</v>
      </c>
      <c r="BU830" s="3">
        <f t="shared" si="55"/>
        <v>0</v>
      </c>
      <c r="BV830" t="e">
        <f>VLOOKUP($H830,'1. Set Program Names'!$B$2:$D$15,3,0)*V830</f>
        <v>#N/A</v>
      </c>
      <c r="BW830" t="e">
        <f>VLOOKUP($H830,'1. Set Program Names'!$B$2:$D$15,3,0)*W830</f>
        <v>#N/A</v>
      </c>
      <c r="BX830" t="e">
        <f>VLOOKUP($H830,'1. Set Program Names'!$B$2:$D$15,3,0)*X830</f>
        <v>#N/A</v>
      </c>
      <c r="BY830" t="e">
        <f>VLOOKUP($H830,'1. Set Program Names'!$B$2:$D$15,3,0)*Y830</f>
        <v>#N/A</v>
      </c>
      <c r="BZ830" t="e">
        <f>VLOOKUP($H830,'1. Set Program Names'!$B$2:$D$15,3,0)*Z830</f>
        <v>#N/A</v>
      </c>
      <c r="CA830" t="e">
        <f>VLOOKUP($H830,'1. Set Program Names'!$B$2:$D$15,3,0)*AA830</f>
        <v>#N/A</v>
      </c>
      <c r="CB830" t="e">
        <f>VLOOKUP($H830,'1. Set Program Names'!$B$2:$D$15,3,0)*AB830</f>
        <v>#N/A</v>
      </c>
      <c r="CC830" t="e">
        <f>VLOOKUP($H830,'1. Set Program Names'!$B$2:$D$15,3,0)*AC830</f>
        <v>#N/A</v>
      </c>
      <c r="CD830" t="e">
        <f>VLOOKUP($H830,'1. Set Program Names'!$B$2:$D$15,3,0)*AD830</f>
        <v>#N/A</v>
      </c>
      <c r="CE830" t="e">
        <f>VLOOKUP($H830,'1. Set Program Names'!$B$2:$D$15,3,0)*AE830</f>
        <v>#N/A</v>
      </c>
    </row>
    <row r="831" spans="1:83" x14ac:dyDescent="0.25">
      <c r="A831" s="20" t="s">
        <v>117</v>
      </c>
      <c r="B831" s="20" t="s">
        <v>88</v>
      </c>
      <c r="C831" s="20" t="s">
        <v>176</v>
      </c>
      <c r="D831" s="20" t="s">
        <v>90</v>
      </c>
      <c r="E831" s="20" t="s">
        <v>91</v>
      </c>
      <c r="F831" s="20" t="s">
        <v>90</v>
      </c>
      <c r="G831" s="20" t="s">
        <v>92</v>
      </c>
      <c r="H831" s="20" t="s">
        <v>268</v>
      </c>
      <c r="I831" s="20" t="s">
        <v>184</v>
      </c>
      <c r="J831" s="20" t="s">
        <v>180</v>
      </c>
      <c r="K831" s="20" t="s">
        <v>98</v>
      </c>
      <c r="L831" s="20">
        <v>3514.8091666666501</v>
      </c>
      <c r="M831" s="20">
        <v>0.421134949485237</v>
      </c>
      <c r="N831" s="20">
        <v>0.40566942535109901</v>
      </c>
      <c r="O831" s="20">
        <v>1028.8599999999999</v>
      </c>
      <c r="P831" s="20">
        <v>322.03243304134497</v>
      </c>
      <c r="Q831" s="20">
        <v>3.5148091666666499</v>
      </c>
      <c r="R831" s="20">
        <v>1184.78167438478</v>
      </c>
      <c r="S831" s="20">
        <v>2827.1105797935802</v>
      </c>
      <c r="T831" s="20">
        <v>10</v>
      </c>
      <c r="U831" s="20">
        <v>1</v>
      </c>
      <c r="V831" s="20">
        <v>0.23953934200494201</v>
      </c>
      <c r="W831" s="20">
        <v>0.56989837652168795</v>
      </c>
      <c r="X831" s="20">
        <v>1.0110303199856701</v>
      </c>
      <c r="Y831" s="20">
        <v>1.5851715658879599</v>
      </c>
      <c r="Z831" s="20">
        <v>2.2995864898327398</v>
      </c>
      <c r="AA831" s="20">
        <v>3.1445430433395698</v>
      </c>
      <c r="AB831" s="20">
        <v>4.0827541892942802</v>
      </c>
      <c r="AC831" s="20">
        <v>5.0469691248532502</v>
      </c>
      <c r="AD831" s="20">
        <v>5.95774312552075</v>
      </c>
      <c r="AE831" s="20">
        <v>6.7449376670314498</v>
      </c>
      <c r="AF831" t="str">
        <f t="shared" si="53"/>
        <v>NonResidential</v>
      </c>
      <c r="AG831" t="str">
        <f>tbl_Data_old[[#This Row],[All_Meas_Name_Append]]</f>
        <v>Low Pressure-drop Filters</v>
      </c>
      <c r="AH831">
        <f>AVERAGEIFS('3. Incentive Adjustment'!G:G,'3. Incentive Adjustment'!A:A,tbl_Data_old[[#This Row],[Trimmed Sector]],'3. Incentive Adjustment'!B:B,tbl_Data_old[[#This Row],[Trimmed Measure Name]])</f>
        <v>0.78525588861759776</v>
      </c>
      <c r="AI831">
        <f>$AH831*tbl_Data_old[[#This Row],[2025 ]]</f>
        <v>0.1880996788649654</v>
      </c>
      <c r="AJ831">
        <f>$AH831*tbl_Data_old[[#This Row],[2026 ]]</f>
        <v>0.44751605607726441</v>
      </c>
      <c r="AK831">
        <f>$AH831*tbl_Data_old[[#This Row],[2027 ]]</f>
        <v>0.79391751233968155</v>
      </c>
      <c r="AL831">
        <f>$AH831*tbl_Data_old[[#This Row],[2028 ]]</f>
        <v>1.2447653065826989</v>
      </c>
      <c r="AM831">
        <f>$AH831*tbl_Data_old[[#This Row],[2029 ]]</f>
        <v>1.8057638325266305</v>
      </c>
      <c r="AN831">
        <f>$AH831*tbl_Data_old[[#This Row],[2030 ]]</f>
        <v>2.4692709417938992</v>
      </c>
      <c r="AO831">
        <f>$AH831*tbl_Data_old[[#This Row],[2031 ]]</f>
        <v>3.2060067689215002</v>
      </c>
      <c r="AP831">
        <f>$AH831*tbl_Data_old[[#This Row],[2032 ]]</f>
        <v>3.9631622249622187</v>
      </c>
      <c r="AQ831">
        <f>$AH831*tbl_Data_old[[#This Row],[2033 ]]</f>
        <v>4.6783528721861805</v>
      </c>
      <c r="AR831">
        <f>$AH831*tbl_Data_old[[#This Row],[2034 ]]</f>
        <v>5.2965020213950877</v>
      </c>
      <c r="AS831">
        <f>SUM(tbl_Data_old[[#This Row],[Adjusted 2025]:[Adjusted 2034]])</f>
        <v>24.09335721565013</v>
      </c>
      <c r="AT831" s="3">
        <f>AVERAGEIFS('3. Incentive Adjustment'!F:F,'3. Incentive Adjustment'!A:A,tbl_Data_old[[#This Row],[Trimmed Sector]],'3. Incentive Adjustment'!B:B,tbl_Data_old[[#This Row],[Trimmed Measure Name]])</f>
        <v>0</v>
      </c>
      <c r="AU831" s="3">
        <f>IFERROR(VLOOKUP(tbl_Data_old[[#This Row],[All_Meas_Name_Append]],'IRA Tax Credits'!$A$3:$D$46,4,0),0)</f>
        <v>0</v>
      </c>
      <c r="AV831" s="4">
        <f>tbl_Data_old[[#This Row],[Adj. per unit Incentive ($)]]/tbl_Data_old[[#This Row],[kWh Savings]]*tbl_Data_old[[#This Row],[Sum of Annuals]]</f>
        <v>0</v>
      </c>
      <c r="AW831" s="4" t="str">
        <f>IFERROR(VLOOKUP(tbl_Data_old[[#This Row],[All_Programs]],'1. Set Program Names'!$B$2:$D$15,3,0)*tbl_Data_old[[#This Row],[Sum of Annuals]],"")</f>
        <v/>
      </c>
      <c r="AX831" s="4">
        <f>tbl_Data_old[[#This Row],[per unit IRA tax ($)]]/tbl_Data_old[[#This Row],[kWh Savings]]*tbl_Data_old[[#This Row],[Sum of Annuals]]</f>
        <v>0</v>
      </c>
      <c r="AY831" s="4">
        <f>tbl_Data_old[[#This Row],[Avoided Costs ($/unit)]]/tbl_Data_old[[#This Row],[kWh Savings]]*tbl_Data_old[[#This Row],[Sum of Annuals]]</f>
        <v>8.1214560307353008</v>
      </c>
      <c r="AZ831" s="4">
        <f>tbl_Data_old[[#This Row],[Lost Revenue ($/unit)]]/tbl_Data_old[[#This Row],[kWh Savings]]*tbl_Data_old[[#This Row],[Sum of Annuals]]</f>
        <v>19.379312462562087</v>
      </c>
      <c r="BA831" s="4">
        <f>tbl_Data_old[[#This Row],[Incremental Cost ($/unit)]]/tbl_Data_old[[#This Row],[kWh Savings]]*tbl_Data_old[[#This Row],[Sum of Annuals]]</f>
        <v>7.0526422145423942</v>
      </c>
      <c r="BB831">
        <f>ROUNDUP(tbl_Data_old[[#This Row],[Adjusted 2025]]/$L831,0)</f>
        <v>1</v>
      </c>
      <c r="BC831">
        <f>ROUNDUP(tbl_Data_old[[#This Row],[Adjusted 2026]]/$L831,0)</f>
        <v>1</v>
      </c>
      <c r="BD831">
        <f>ROUNDUP(tbl_Data_old[[#This Row],[Adjusted 2027]]/$L831,0)</f>
        <v>1</v>
      </c>
      <c r="BE831">
        <f>ROUNDUP(tbl_Data_old[[#This Row],[Adjusted 2028]]/$L831,0)</f>
        <v>1</v>
      </c>
      <c r="BF831">
        <f>ROUNDUP(tbl_Data_old[[#This Row],[Adjusted 2029]]/$L831,0)</f>
        <v>1</v>
      </c>
      <c r="BG831">
        <f>ROUNDUP(tbl_Data_old[[#This Row],[Adjusted 2030]]/$L831,0)</f>
        <v>1</v>
      </c>
      <c r="BH831">
        <f>ROUNDUP(tbl_Data_old[[#This Row],[Adjusted 2031]]/$L831,0)</f>
        <v>1</v>
      </c>
      <c r="BI831">
        <f>ROUNDUP(tbl_Data_old[[#This Row],[Adjusted 2032]]/$L831,0)</f>
        <v>1</v>
      </c>
      <c r="BJ831">
        <f>ROUNDUP(tbl_Data_old[[#This Row],[Adjusted 2033]]/$L831,0)</f>
        <v>1</v>
      </c>
      <c r="BK831">
        <f>ROUNDUP(tbl_Data_old[[#This Row],[Adjusted 2034]]/$L831,0)</f>
        <v>1</v>
      </c>
      <c r="BL831" s="3">
        <f t="shared" si="56"/>
        <v>0</v>
      </c>
      <c r="BM831" s="3">
        <f t="shared" si="56"/>
        <v>0</v>
      </c>
      <c r="BN831" s="3">
        <f t="shared" si="56"/>
        <v>0</v>
      </c>
      <c r="BO831" s="3">
        <f t="shared" si="56"/>
        <v>0</v>
      </c>
      <c r="BP831" s="3">
        <f t="shared" si="56"/>
        <v>0</v>
      </c>
      <c r="BQ831" s="3">
        <f t="shared" si="55"/>
        <v>0</v>
      </c>
      <c r="BR831" s="3">
        <f t="shared" si="55"/>
        <v>0</v>
      </c>
      <c r="BS831" s="3">
        <f t="shared" si="55"/>
        <v>0</v>
      </c>
      <c r="BT831" s="3">
        <f t="shared" si="55"/>
        <v>0</v>
      </c>
      <c r="BU831" s="3">
        <f t="shared" si="55"/>
        <v>0</v>
      </c>
      <c r="BV831" t="e">
        <f>VLOOKUP($H831,'1. Set Program Names'!$B$2:$D$15,3,0)*V831</f>
        <v>#N/A</v>
      </c>
      <c r="BW831" t="e">
        <f>VLOOKUP($H831,'1. Set Program Names'!$B$2:$D$15,3,0)*W831</f>
        <v>#N/A</v>
      </c>
      <c r="BX831" t="e">
        <f>VLOOKUP($H831,'1. Set Program Names'!$B$2:$D$15,3,0)*X831</f>
        <v>#N/A</v>
      </c>
      <c r="BY831" t="e">
        <f>VLOOKUP($H831,'1. Set Program Names'!$B$2:$D$15,3,0)*Y831</f>
        <v>#N/A</v>
      </c>
      <c r="BZ831" t="e">
        <f>VLOOKUP($H831,'1. Set Program Names'!$B$2:$D$15,3,0)*Z831</f>
        <v>#N/A</v>
      </c>
      <c r="CA831" t="e">
        <f>VLOOKUP($H831,'1. Set Program Names'!$B$2:$D$15,3,0)*AA831</f>
        <v>#N/A</v>
      </c>
      <c r="CB831" t="e">
        <f>VLOOKUP($H831,'1. Set Program Names'!$B$2:$D$15,3,0)*AB831</f>
        <v>#N/A</v>
      </c>
      <c r="CC831" t="e">
        <f>VLOOKUP($H831,'1. Set Program Names'!$B$2:$D$15,3,0)*AC831</f>
        <v>#N/A</v>
      </c>
      <c r="CD831" t="e">
        <f>VLOOKUP($H831,'1. Set Program Names'!$B$2:$D$15,3,0)*AD831</f>
        <v>#N/A</v>
      </c>
      <c r="CE831" t="e">
        <f>VLOOKUP($H831,'1. Set Program Names'!$B$2:$D$15,3,0)*AE831</f>
        <v>#N/A</v>
      </c>
    </row>
    <row r="832" spans="1:83" x14ac:dyDescent="0.25">
      <c r="A832" s="20" t="s">
        <v>117</v>
      </c>
      <c r="B832" s="20" t="s">
        <v>88</v>
      </c>
      <c r="C832" s="20" t="s">
        <v>176</v>
      </c>
      <c r="D832" s="20" t="s">
        <v>90</v>
      </c>
      <c r="E832" s="20" t="s">
        <v>91</v>
      </c>
      <c r="F832" s="20" t="s">
        <v>90</v>
      </c>
      <c r="G832" s="20" t="s">
        <v>92</v>
      </c>
      <c r="H832" s="20" t="s">
        <v>268</v>
      </c>
      <c r="I832" s="20" t="s">
        <v>271</v>
      </c>
      <c r="J832" s="20" t="s">
        <v>180</v>
      </c>
      <c r="K832" s="20" t="s">
        <v>272</v>
      </c>
      <c r="L832" s="20">
        <v>8742.5400000000009</v>
      </c>
      <c r="M832" s="20">
        <v>1.04876812955413</v>
      </c>
      <c r="N832" s="20">
        <v>1.0098733971376099</v>
      </c>
      <c r="O832" s="20">
        <v>3543.39</v>
      </c>
      <c r="P832" s="20">
        <v>1784.8102698461601</v>
      </c>
      <c r="Q832" s="20">
        <v>8.74254</v>
      </c>
      <c r="R832" s="20">
        <v>3737.3935784201899</v>
      </c>
      <c r="S832" s="20">
        <v>9285.1929731405908</v>
      </c>
      <c r="T832" s="20">
        <v>15</v>
      </c>
      <c r="U832" s="20">
        <v>1</v>
      </c>
      <c r="V832" s="20">
        <v>1.8707976293336599E-2</v>
      </c>
      <c r="W832" s="20">
        <v>4.2984727438875499E-2</v>
      </c>
      <c r="X832" s="20">
        <v>7.3697689979770206E-2</v>
      </c>
      <c r="Y832" s="20">
        <v>0.112038204739383</v>
      </c>
      <c r="Z832" s="20">
        <v>0.158410331725999</v>
      </c>
      <c r="AA832" s="20">
        <v>0.21298926479925201</v>
      </c>
      <c r="AB832" s="20">
        <v>0.27520865266383798</v>
      </c>
      <c r="AC832" s="20">
        <v>0.34338429078944499</v>
      </c>
      <c r="AD832" s="20">
        <v>0.41515989063758102</v>
      </c>
      <c r="AE832" s="20">
        <v>0.48731066266596201</v>
      </c>
      <c r="AF832" t="str">
        <f t="shared" si="53"/>
        <v>NonResidential</v>
      </c>
      <c r="AG832" t="str">
        <f>tbl_Data_old[[#This Row],[All_Meas_Name_Append]]</f>
        <v>Milk Pre-Cooler</v>
      </c>
      <c r="AH832">
        <f>AVERAGEIFS('3. Incentive Adjustment'!G:G,'3. Incentive Adjustment'!A:A,tbl_Data_old[[#This Row],[Trimmed Sector]],'3. Incentive Adjustment'!B:B,tbl_Data_old[[#This Row],[Trimmed Measure Name]])</f>
        <v>0.58352930274688986</v>
      </c>
      <c r="AI832">
        <f>$AH832*tbl_Data_old[[#This Row],[2025 ]]</f>
        <v>1.091665236225605E-2</v>
      </c>
      <c r="AJ832">
        <f>$AH832*tbl_Data_old[[#This Row],[2026 ]]</f>
        <v>2.5082848031172125E-2</v>
      </c>
      <c r="AK832">
        <f>$AH832*tbl_Data_old[[#This Row],[2027 ]]</f>
        <v>4.3004761647951757E-2</v>
      </c>
      <c r="AL832">
        <f>$AH832*tbl_Data_old[[#This Row],[2028 ]]</f>
        <v>6.5377575492585452E-2</v>
      </c>
      <c r="AM832">
        <f>$AH832*tbl_Data_old[[#This Row],[2029 ]]</f>
        <v>9.2437070419975717E-2</v>
      </c>
      <c r="AN832">
        <f>$AH832*tbl_Data_old[[#This Row],[2030 ]]</f>
        <v>0.12428547718088022</v>
      </c>
      <c r="AO832">
        <f>$AH832*tbl_Data_old[[#This Row],[2031 ]]</f>
        <v>0.16059231319884038</v>
      </c>
      <c r="AP832">
        <f>$AH832*tbl_Data_old[[#This Row],[2032 ]]</f>
        <v>0.2003747957786001</v>
      </c>
      <c r="AQ832">
        <f>$AH832*tbl_Data_old[[#This Row],[2033 ]]</f>
        <v>0.2422579615122227</v>
      </c>
      <c r="AR832">
        <f>$AH832*tbl_Data_old[[#This Row],[2034 ]]</f>
        <v>0.28436005120659369</v>
      </c>
      <c r="AS832">
        <f>SUM(tbl_Data_old[[#This Row],[Adjusted 2025]:[Adjusted 2034]])</f>
        <v>1.2486895068310782</v>
      </c>
      <c r="AT832" s="3">
        <f>AVERAGEIFS('3. Incentive Adjustment'!F:F,'3. Incentive Adjustment'!A:A,tbl_Data_old[[#This Row],[Trimmed Sector]],'3. Incentive Adjustment'!B:B,tbl_Data_old[[#This Row],[Trimmed Measure Name]])</f>
        <v>0</v>
      </c>
      <c r="AU832" s="3">
        <f>IFERROR(VLOOKUP(tbl_Data_old[[#This Row],[All_Meas_Name_Append]],'IRA Tax Credits'!$A$3:$D$46,4,0),0)</f>
        <v>0</v>
      </c>
      <c r="AV832" s="4">
        <f>tbl_Data_old[[#This Row],[Adj. per unit Incentive ($)]]/tbl_Data_old[[#This Row],[kWh Savings]]*tbl_Data_old[[#This Row],[Sum of Annuals]]</f>
        <v>0</v>
      </c>
      <c r="AW832" s="4" t="str">
        <f>IFERROR(VLOOKUP(tbl_Data_old[[#This Row],[All_Programs]],'1. Set Program Names'!$B$2:$D$15,3,0)*tbl_Data_old[[#This Row],[Sum of Annuals]],"")</f>
        <v/>
      </c>
      <c r="AX832" s="4">
        <f>tbl_Data_old[[#This Row],[per unit IRA tax ($)]]/tbl_Data_old[[#This Row],[kWh Savings]]*tbl_Data_old[[#This Row],[Sum of Annuals]]</f>
        <v>0</v>
      </c>
      <c r="AY832" s="4">
        <f>tbl_Data_old[[#This Row],[Avoided Costs ($/unit)]]/tbl_Data_old[[#This Row],[kWh Savings]]*tbl_Data_old[[#This Row],[Sum of Annuals]]</f>
        <v>0.53380872655671519</v>
      </c>
      <c r="AZ832" s="4">
        <f>tbl_Data_old[[#This Row],[Lost Revenue ($/unit)]]/tbl_Data_old[[#This Row],[kWh Savings]]*tbl_Data_old[[#This Row],[Sum of Annuals]]</f>
        <v>1.3261961666131714</v>
      </c>
      <c r="BA832" s="4">
        <f>tbl_Data_old[[#This Row],[Incremental Cost ($/unit)]]/tbl_Data_old[[#This Row],[kWh Savings]]*tbl_Data_old[[#This Row],[Sum of Annuals]]</f>
        <v>0.50609936146819723</v>
      </c>
      <c r="BB832">
        <f>ROUNDUP(tbl_Data_old[[#This Row],[Adjusted 2025]]/$L832,0)</f>
        <v>1</v>
      </c>
      <c r="BC832">
        <f>ROUNDUP(tbl_Data_old[[#This Row],[Adjusted 2026]]/$L832,0)</f>
        <v>1</v>
      </c>
      <c r="BD832">
        <f>ROUNDUP(tbl_Data_old[[#This Row],[Adjusted 2027]]/$L832,0)</f>
        <v>1</v>
      </c>
      <c r="BE832">
        <f>ROUNDUP(tbl_Data_old[[#This Row],[Adjusted 2028]]/$L832,0)</f>
        <v>1</v>
      </c>
      <c r="BF832">
        <f>ROUNDUP(tbl_Data_old[[#This Row],[Adjusted 2029]]/$L832,0)</f>
        <v>1</v>
      </c>
      <c r="BG832">
        <f>ROUNDUP(tbl_Data_old[[#This Row],[Adjusted 2030]]/$L832,0)</f>
        <v>1</v>
      </c>
      <c r="BH832">
        <f>ROUNDUP(tbl_Data_old[[#This Row],[Adjusted 2031]]/$L832,0)</f>
        <v>1</v>
      </c>
      <c r="BI832">
        <f>ROUNDUP(tbl_Data_old[[#This Row],[Adjusted 2032]]/$L832,0)</f>
        <v>1</v>
      </c>
      <c r="BJ832">
        <f>ROUNDUP(tbl_Data_old[[#This Row],[Adjusted 2033]]/$L832,0)</f>
        <v>1</v>
      </c>
      <c r="BK832">
        <f>ROUNDUP(tbl_Data_old[[#This Row],[Adjusted 2034]]/$L832,0)</f>
        <v>1</v>
      </c>
      <c r="BL832" s="3">
        <f t="shared" si="56"/>
        <v>0</v>
      </c>
      <c r="BM832" s="3">
        <f t="shared" si="56"/>
        <v>0</v>
      </c>
      <c r="BN832" s="3">
        <f t="shared" si="56"/>
        <v>0</v>
      </c>
      <c r="BO832" s="3">
        <f t="shared" si="56"/>
        <v>0</v>
      </c>
      <c r="BP832" s="3">
        <f t="shared" si="56"/>
        <v>0</v>
      </c>
      <c r="BQ832" s="3">
        <f t="shared" si="55"/>
        <v>0</v>
      </c>
      <c r="BR832" s="3">
        <f t="shared" si="55"/>
        <v>0</v>
      </c>
      <c r="BS832" s="3">
        <f t="shared" si="55"/>
        <v>0</v>
      </c>
      <c r="BT832" s="3">
        <f t="shared" si="55"/>
        <v>0</v>
      </c>
      <c r="BU832" s="3">
        <f t="shared" si="55"/>
        <v>0</v>
      </c>
      <c r="BV832" t="e">
        <f>VLOOKUP($H832,'1. Set Program Names'!$B$2:$D$15,3,0)*V832</f>
        <v>#N/A</v>
      </c>
      <c r="BW832" t="e">
        <f>VLOOKUP($H832,'1. Set Program Names'!$B$2:$D$15,3,0)*W832</f>
        <v>#N/A</v>
      </c>
      <c r="BX832" t="e">
        <f>VLOOKUP($H832,'1. Set Program Names'!$B$2:$D$15,3,0)*X832</f>
        <v>#N/A</v>
      </c>
      <c r="BY832" t="e">
        <f>VLOOKUP($H832,'1. Set Program Names'!$B$2:$D$15,3,0)*Y832</f>
        <v>#N/A</v>
      </c>
      <c r="BZ832" t="e">
        <f>VLOOKUP($H832,'1. Set Program Names'!$B$2:$D$15,3,0)*Z832</f>
        <v>#N/A</v>
      </c>
      <c r="CA832" t="e">
        <f>VLOOKUP($H832,'1. Set Program Names'!$B$2:$D$15,3,0)*AA832</f>
        <v>#N/A</v>
      </c>
      <c r="CB832" t="e">
        <f>VLOOKUP($H832,'1. Set Program Names'!$B$2:$D$15,3,0)*AB832</f>
        <v>#N/A</v>
      </c>
      <c r="CC832" t="e">
        <f>VLOOKUP($H832,'1. Set Program Names'!$B$2:$D$15,3,0)*AC832</f>
        <v>#N/A</v>
      </c>
      <c r="CD832" t="e">
        <f>VLOOKUP($H832,'1. Set Program Names'!$B$2:$D$15,3,0)*AD832</f>
        <v>#N/A</v>
      </c>
      <c r="CE832" t="e">
        <f>VLOOKUP($H832,'1. Set Program Names'!$B$2:$D$15,3,0)*AE832</f>
        <v>#N/A</v>
      </c>
    </row>
    <row r="833" spans="1:83" x14ac:dyDescent="0.25">
      <c r="A833" s="20" t="s">
        <v>117</v>
      </c>
      <c r="B833" s="20" t="s">
        <v>88</v>
      </c>
      <c r="C833" s="20" t="s">
        <v>176</v>
      </c>
      <c r="D833" s="20" t="s">
        <v>90</v>
      </c>
      <c r="E833" s="20" t="s">
        <v>91</v>
      </c>
      <c r="F833" s="20" t="s">
        <v>90</v>
      </c>
      <c r="G833" s="20" t="s">
        <v>92</v>
      </c>
      <c r="H833" s="20" t="s">
        <v>268</v>
      </c>
      <c r="I833" s="20" t="s">
        <v>190</v>
      </c>
      <c r="J833" s="20" t="s">
        <v>191</v>
      </c>
      <c r="K833" s="20" t="s">
        <v>98</v>
      </c>
      <c r="L833" s="20">
        <v>1561.28</v>
      </c>
      <c r="M833" s="20">
        <v>0.18418077149832199</v>
      </c>
      <c r="N833" s="20">
        <v>0.17996138765713399</v>
      </c>
      <c r="O833" s="20">
        <v>490</v>
      </c>
      <c r="P833" s="20">
        <v>175.94534756551599</v>
      </c>
      <c r="Q833" s="20">
        <v>1.56128</v>
      </c>
      <c r="R833" s="20">
        <v>649.62503581485396</v>
      </c>
      <c r="S833" s="20">
        <v>1586.7572850213601</v>
      </c>
      <c r="T833" s="20">
        <v>14</v>
      </c>
      <c r="U833" s="20">
        <v>0.999999999999999</v>
      </c>
      <c r="V833" s="20">
        <v>1.6698779221195199</v>
      </c>
      <c r="W833" s="20">
        <v>3.56952621500422</v>
      </c>
      <c r="X833" s="20">
        <v>5.6694230489924502</v>
      </c>
      <c r="Y833" s="20">
        <v>7.9674947282469297</v>
      </c>
      <c r="Z833" s="20">
        <v>10.437422929485599</v>
      </c>
      <c r="AA833" s="20">
        <v>13.0673453847741</v>
      </c>
      <c r="AB833" s="20">
        <v>15.8478017158948</v>
      </c>
      <c r="AC833" s="20">
        <v>18.765069598713001</v>
      </c>
      <c r="AD833" s="20">
        <v>21.816387949214</v>
      </c>
      <c r="AE833" s="20">
        <v>24.994899892669999</v>
      </c>
      <c r="AF833" t="str">
        <f t="shared" si="53"/>
        <v>NonResidential</v>
      </c>
      <c r="AG833" t="str">
        <f>tbl_Data_old[[#This Row],[All_Meas_Name_Append]]</f>
        <v>Synchronous Belt on 15hp ODP Motor</v>
      </c>
      <c r="AH833">
        <f>AVERAGEIFS('3. Incentive Adjustment'!G:G,'3. Incentive Adjustment'!A:A,tbl_Data_old[[#This Row],[Trimmed Sector]],'3. Incentive Adjustment'!B:B,tbl_Data_old[[#This Row],[Trimmed Measure Name]])</f>
        <v>0.74278916032473408</v>
      </c>
      <c r="AI833">
        <f>$AH833*tbl_Data_old[[#This Row],[2025 ]]</f>
        <v>1.2403672196159699</v>
      </c>
      <c r="AJ833">
        <f>$AH833*tbl_Data_old[[#This Row],[2026 ]]</f>
        <v>2.6514053800001109</v>
      </c>
      <c r="AK833">
        <f>$AH833*tbl_Data_old[[#This Row],[2027 ]]</f>
        <v>4.2111859860867957</v>
      </c>
      <c r="AL833">
        <f>$AH833*tbl_Data_old[[#This Row],[2028 ]]</f>
        <v>5.9181687190862826</v>
      </c>
      <c r="AM833">
        <f>$AH833*tbl_Data_old[[#This Row],[2029 ]]</f>
        <v>7.7528046137467346</v>
      </c>
      <c r="AN833">
        <f>$AH833*tbl_Data_old[[#This Row],[2030 ]]</f>
        <v>9.7062825060296429</v>
      </c>
      <c r="AO833">
        <f>$AH833*tbl_Data_old[[#This Row],[2031 ]]</f>
        <v>11.771575329542378</v>
      </c>
      <c r="AP833">
        <f>$AH833*tbl_Data_old[[#This Row],[2032 ]]</f>
        <v>13.938490290663225</v>
      </c>
      <c r="AQ833">
        <f>$AH833*tbl_Data_old[[#This Row],[2033 ]]</f>
        <v>16.204976486115314</v>
      </c>
      <c r="AR833">
        <f>$AH833*tbl_Data_old[[#This Row],[2034 ]]</f>
        <v>18.565940703677136</v>
      </c>
      <c r="AS833">
        <f>SUM(tbl_Data_old[[#This Row],[Adjusted 2025]:[Adjusted 2034]])</f>
        <v>91.961197234563599</v>
      </c>
      <c r="AT833" s="3">
        <f>AVERAGEIFS('3. Incentive Adjustment'!F:F,'3. Incentive Adjustment'!A:A,tbl_Data_old[[#This Row],[Trimmed Sector]],'3. Incentive Adjustment'!B:B,tbl_Data_old[[#This Row],[Trimmed Measure Name]])</f>
        <v>0</v>
      </c>
      <c r="AU833" s="3">
        <f>IFERROR(VLOOKUP(tbl_Data_old[[#This Row],[All_Meas_Name_Append]],'IRA Tax Credits'!$A$3:$D$46,4,0),0)</f>
        <v>0</v>
      </c>
      <c r="AV833" s="4">
        <f>tbl_Data_old[[#This Row],[Adj. per unit Incentive ($)]]/tbl_Data_old[[#This Row],[kWh Savings]]*tbl_Data_old[[#This Row],[Sum of Annuals]]</f>
        <v>0</v>
      </c>
      <c r="AW833" s="4" t="str">
        <f>IFERROR(VLOOKUP(tbl_Data_old[[#This Row],[All_Programs]],'1. Set Program Names'!$B$2:$D$15,3,0)*tbl_Data_old[[#This Row],[Sum of Annuals]],"")</f>
        <v/>
      </c>
      <c r="AX833" s="4">
        <f>tbl_Data_old[[#This Row],[per unit IRA tax ($)]]/tbl_Data_old[[#This Row],[kWh Savings]]*tbl_Data_old[[#This Row],[Sum of Annuals]]</f>
        <v>0</v>
      </c>
      <c r="AY833" s="4">
        <f>tbl_Data_old[[#This Row],[Avoided Costs ($/unit)]]/tbl_Data_old[[#This Row],[kWh Savings]]*tbl_Data_old[[#This Row],[Sum of Annuals]]</f>
        <v>38.263665740341409</v>
      </c>
      <c r="AZ833" s="4">
        <f>tbl_Data_old[[#This Row],[Lost Revenue ($/unit)]]/tbl_Data_old[[#This Row],[kWh Savings]]*tbl_Data_old[[#This Row],[Sum of Annuals]]</f>
        <v>93.46183878050698</v>
      </c>
      <c r="BA833" s="4">
        <f>tbl_Data_old[[#This Row],[Incremental Cost ($/unit)]]/tbl_Data_old[[#This Row],[kWh Savings]]*tbl_Data_old[[#This Row],[Sum of Annuals]]</f>
        <v>28.861566563932264</v>
      </c>
      <c r="BB833">
        <f>ROUNDUP(tbl_Data_old[[#This Row],[Adjusted 2025]]/$L833,0)</f>
        <v>1</v>
      </c>
      <c r="BC833">
        <f>ROUNDUP(tbl_Data_old[[#This Row],[Adjusted 2026]]/$L833,0)</f>
        <v>1</v>
      </c>
      <c r="BD833">
        <f>ROUNDUP(tbl_Data_old[[#This Row],[Adjusted 2027]]/$L833,0)</f>
        <v>1</v>
      </c>
      <c r="BE833">
        <f>ROUNDUP(tbl_Data_old[[#This Row],[Adjusted 2028]]/$L833,0)</f>
        <v>1</v>
      </c>
      <c r="BF833">
        <f>ROUNDUP(tbl_Data_old[[#This Row],[Adjusted 2029]]/$L833,0)</f>
        <v>1</v>
      </c>
      <c r="BG833">
        <f>ROUNDUP(tbl_Data_old[[#This Row],[Adjusted 2030]]/$L833,0)</f>
        <v>1</v>
      </c>
      <c r="BH833">
        <f>ROUNDUP(tbl_Data_old[[#This Row],[Adjusted 2031]]/$L833,0)</f>
        <v>1</v>
      </c>
      <c r="BI833">
        <f>ROUNDUP(tbl_Data_old[[#This Row],[Adjusted 2032]]/$L833,0)</f>
        <v>1</v>
      </c>
      <c r="BJ833">
        <f>ROUNDUP(tbl_Data_old[[#This Row],[Adjusted 2033]]/$L833,0)</f>
        <v>1</v>
      </c>
      <c r="BK833">
        <f>ROUNDUP(tbl_Data_old[[#This Row],[Adjusted 2034]]/$L833,0)</f>
        <v>1</v>
      </c>
      <c r="BL833" s="3">
        <f t="shared" si="56"/>
        <v>0</v>
      </c>
      <c r="BM833" s="3">
        <f t="shared" si="56"/>
        <v>0</v>
      </c>
      <c r="BN833" s="3">
        <f t="shared" si="56"/>
        <v>0</v>
      </c>
      <c r="BO833" s="3">
        <f t="shared" si="56"/>
        <v>0</v>
      </c>
      <c r="BP833" s="3">
        <f t="shared" si="56"/>
        <v>0</v>
      </c>
      <c r="BQ833" s="3">
        <f t="shared" si="55"/>
        <v>0</v>
      </c>
      <c r="BR833" s="3">
        <f t="shared" si="55"/>
        <v>0</v>
      </c>
      <c r="BS833" s="3">
        <f t="shared" si="55"/>
        <v>0</v>
      </c>
      <c r="BT833" s="3">
        <f t="shared" si="55"/>
        <v>0</v>
      </c>
      <c r="BU833" s="3">
        <f t="shared" si="55"/>
        <v>0</v>
      </c>
      <c r="BV833" t="e">
        <f>VLOOKUP($H833,'1. Set Program Names'!$B$2:$D$15,3,0)*V833</f>
        <v>#N/A</v>
      </c>
      <c r="BW833" t="e">
        <f>VLOOKUP($H833,'1. Set Program Names'!$B$2:$D$15,3,0)*W833</f>
        <v>#N/A</v>
      </c>
      <c r="BX833" t="e">
        <f>VLOOKUP($H833,'1. Set Program Names'!$B$2:$D$15,3,0)*X833</f>
        <v>#N/A</v>
      </c>
      <c r="BY833" t="e">
        <f>VLOOKUP($H833,'1. Set Program Names'!$B$2:$D$15,3,0)*Y833</f>
        <v>#N/A</v>
      </c>
      <c r="BZ833" t="e">
        <f>VLOOKUP($H833,'1. Set Program Names'!$B$2:$D$15,3,0)*Z833</f>
        <v>#N/A</v>
      </c>
      <c r="CA833" t="e">
        <f>VLOOKUP($H833,'1. Set Program Names'!$B$2:$D$15,3,0)*AA833</f>
        <v>#N/A</v>
      </c>
      <c r="CB833" t="e">
        <f>VLOOKUP($H833,'1. Set Program Names'!$B$2:$D$15,3,0)*AB833</f>
        <v>#N/A</v>
      </c>
      <c r="CC833" t="e">
        <f>VLOOKUP($H833,'1. Set Program Names'!$B$2:$D$15,3,0)*AC833</f>
        <v>#N/A</v>
      </c>
      <c r="CD833" t="e">
        <f>VLOOKUP($H833,'1. Set Program Names'!$B$2:$D$15,3,0)*AD833</f>
        <v>#N/A</v>
      </c>
      <c r="CE833" t="e">
        <f>VLOOKUP($H833,'1. Set Program Names'!$B$2:$D$15,3,0)*AE833</f>
        <v>#N/A</v>
      </c>
    </row>
    <row r="834" spans="1:83" x14ac:dyDescent="0.25">
      <c r="A834" s="20" t="s">
        <v>117</v>
      </c>
      <c r="B834" s="20" t="s">
        <v>88</v>
      </c>
      <c r="C834" s="20" t="s">
        <v>176</v>
      </c>
      <c r="D834" s="20" t="s">
        <v>90</v>
      </c>
      <c r="E834" s="20" t="s">
        <v>91</v>
      </c>
      <c r="F834" s="20" t="s">
        <v>90</v>
      </c>
      <c r="G834" s="20" t="s">
        <v>92</v>
      </c>
      <c r="H834" s="20" t="s">
        <v>268</v>
      </c>
      <c r="I834" s="20" t="s">
        <v>192</v>
      </c>
      <c r="J834" s="20" t="s">
        <v>191</v>
      </c>
      <c r="K834" s="20" t="s">
        <v>98</v>
      </c>
      <c r="L834" s="20">
        <v>437.76000000000101</v>
      </c>
      <c r="M834" s="20">
        <v>5.1641585449826798E-2</v>
      </c>
      <c r="N834" s="20">
        <v>5.0458532140799497E-2</v>
      </c>
      <c r="O834" s="20">
        <v>163</v>
      </c>
      <c r="P834" s="20">
        <v>74.943684252843894</v>
      </c>
      <c r="Q834" s="20">
        <v>0.43776000000000098</v>
      </c>
      <c r="R834" s="20">
        <v>182.14532670521001</v>
      </c>
      <c r="S834" s="20">
        <v>444.90345683730902</v>
      </c>
      <c r="T834" s="20">
        <v>14</v>
      </c>
      <c r="U834" s="20">
        <v>0.999999999999999</v>
      </c>
      <c r="V834" s="20">
        <v>1.6652276060025999</v>
      </c>
      <c r="W834" s="20">
        <v>3.55897644817022</v>
      </c>
      <c r="X834" s="20">
        <v>5.6517470277047801</v>
      </c>
      <c r="Y834" s="20">
        <v>7.9414275148715099</v>
      </c>
      <c r="Z834" s="20">
        <v>10.4017690156606</v>
      </c>
      <c r="AA834" s="20">
        <v>13.020945903312199</v>
      </c>
      <c r="AB834" s="20">
        <v>15.789537173160401</v>
      </c>
      <c r="AC834" s="20">
        <v>18.693887728238401</v>
      </c>
      <c r="AD834" s="20">
        <v>21.731262485183699</v>
      </c>
      <c r="AE834" s="20">
        <v>24.894852227605401</v>
      </c>
      <c r="AF834" t="str">
        <f t="shared" ref="AF834:AF835" si="57">IF(C834="Residential","Residential","NonResidential")</f>
        <v>NonResidential</v>
      </c>
      <c r="AG834" t="str">
        <f>tbl_Data_old[[#This Row],[All_Meas_Name_Append]]</f>
        <v>Synchronous Belt on 5hp ODP Motor</v>
      </c>
      <c r="AH834">
        <f>AVERAGEIFS('3. Incentive Adjustment'!G:G,'3. Incentive Adjustment'!A:A,tbl_Data_old[[#This Row],[Trimmed Sector]],'3. Incentive Adjustment'!B:B,tbl_Data_old[[#This Row],[Trimmed Measure Name]])</f>
        <v>0.63653870706597271</v>
      </c>
      <c r="AI834">
        <f>$AH834*tbl_Data_old[[#This Row],[2025 ]]</f>
        <v>1.05998182729546</v>
      </c>
      <c r="AJ834">
        <f>$AH834*tbl_Data_old[[#This Row],[2026 ]]</f>
        <v>2.2654262667965197</v>
      </c>
      <c r="AK834">
        <f>$AH834*tbl_Data_old[[#This Row],[2027 ]]</f>
        <v>3.5975557456791551</v>
      </c>
      <c r="AL834">
        <f>$AH834*tbl_Data_old[[#This Row],[2028 ]]</f>
        <v>5.0550260025744516</v>
      </c>
      <c r="AM834">
        <f>$AH834*tbl_Data_old[[#This Row],[2029 ]]</f>
        <v>6.6211286004274941</v>
      </c>
      <c r="AN834">
        <f>$AH834*tbl_Data_old[[#This Row],[2030 ]]</f>
        <v>8.2883360700703221</v>
      </c>
      <c r="AO834">
        <f>$AH834*tbl_Data_old[[#This Row],[2031 ]]</f>
        <v>10.050651577373635</v>
      </c>
      <c r="AP834">
        <f>$AH834*tbl_Data_old[[#This Row],[2032 ]]</f>
        <v>11.899383124569326</v>
      </c>
      <c r="AQ834">
        <f>$AH834*tbl_Data_old[[#This Row],[2033 ]]</f>
        <v>13.832789725230109</v>
      </c>
      <c r="AR834">
        <f>$AH834*tbl_Data_old[[#This Row],[2034 ]]</f>
        <v>15.846537049558393</v>
      </c>
      <c r="AS834">
        <f>SUM(tbl_Data_old[[#This Row],[Adjusted 2025]:[Adjusted 2034]])</f>
        <v>78.516815989574866</v>
      </c>
      <c r="AT834" s="3">
        <f>AVERAGEIFS('3. Incentive Adjustment'!F:F,'3. Incentive Adjustment'!A:A,tbl_Data_old[[#This Row],[Trimmed Sector]],'3. Incentive Adjustment'!B:B,tbl_Data_old[[#This Row],[Trimmed Measure Name]])</f>
        <v>0</v>
      </c>
      <c r="AU834" s="3">
        <f>IFERROR(VLOOKUP(tbl_Data_old[[#This Row],[All_Meas_Name_Append]],'IRA Tax Credits'!$A$3:$D$46,4,0),0)</f>
        <v>0</v>
      </c>
      <c r="AV834" s="4">
        <f>tbl_Data_old[[#This Row],[Adj. per unit Incentive ($)]]/tbl_Data_old[[#This Row],[kWh Savings]]*tbl_Data_old[[#This Row],[Sum of Annuals]]</f>
        <v>0</v>
      </c>
      <c r="AW834" s="4" t="str">
        <f>IFERROR(VLOOKUP(tbl_Data_old[[#This Row],[All_Programs]],'1. Set Program Names'!$B$2:$D$15,3,0)*tbl_Data_old[[#This Row],[Sum of Annuals]],"")</f>
        <v/>
      </c>
      <c r="AX834" s="4">
        <f>tbl_Data_old[[#This Row],[per unit IRA tax ($)]]/tbl_Data_old[[#This Row],[kWh Savings]]*tbl_Data_old[[#This Row],[Sum of Annuals]]</f>
        <v>0</v>
      </c>
      <c r="AY834" s="4">
        <f>tbl_Data_old[[#This Row],[Avoided Costs ($/unit)]]/tbl_Data_old[[#This Row],[kWh Savings]]*tbl_Data_old[[#This Row],[Sum of Annuals]]</f>
        <v>32.669661687394779</v>
      </c>
      <c r="AZ834" s="4">
        <f>tbl_Data_old[[#This Row],[Lost Revenue ($/unit)]]/tbl_Data_old[[#This Row],[kWh Savings]]*tbl_Data_old[[#This Row],[Sum of Annuals]]</f>
        <v>79.798069384184657</v>
      </c>
      <c r="BA834" s="4">
        <f>tbl_Data_old[[#This Row],[Incremental Cost ($/unit)]]/tbl_Data_old[[#This Row],[kWh Savings]]*tbl_Data_old[[#This Row],[Sum of Annuals]]</f>
        <v>29.235747912784799</v>
      </c>
      <c r="BB834">
        <f>ROUNDUP(tbl_Data_old[[#This Row],[Adjusted 2025]]/$L834,0)</f>
        <v>1</v>
      </c>
      <c r="BC834">
        <f>ROUNDUP(tbl_Data_old[[#This Row],[Adjusted 2026]]/$L834,0)</f>
        <v>1</v>
      </c>
      <c r="BD834">
        <f>ROUNDUP(tbl_Data_old[[#This Row],[Adjusted 2027]]/$L834,0)</f>
        <v>1</v>
      </c>
      <c r="BE834">
        <f>ROUNDUP(tbl_Data_old[[#This Row],[Adjusted 2028]]/$L834,0)</f>
        <v>1</v>
      </c>
      <c r="BF834">
        <f>ROUNDUP(tbl_Data_old[[#This Row],[Adjusted 2029]]/$L834,0)</f>
        <v>1</v>
      </c>
      <c r="BG834">
        <f>ROUNDUP(tbl_Data_old[[#This Row],[Adjusted 2030]]/$L834,0)</f>
        <v>1</v>
      </c>
      <c r="BH834">
        <f>ROUNDUP(tbl_Data_old[[#This Row],[Adjusted 2031]]/$L834,0)</f>
        <v>1</v>
      </c>
      <c r="BI834">
        <f>ROUNDUP(tbl_Data_old[[#This Row],[Adjusted 2032]]/$L834,0)</f>
        <v>1</v>
      </c>
      <c r="BJ834">
        <f>ROUNDUP(tbl_Data_old[[#This Row],[Adjusted 2033]]/$L834,0)</f>
        <v>1</v>
      </c>
      <c r="BK834">
        <f>ROUNDUP(tbl_Data_old[[#This Row],[Adjusted 2034]]/$L834,0)</f>
        <v>1</v>
      </c>
      <c r="BL834" s="3">
        <f t="shared" si="56"/>
        <v>0</v>
      </c>
      <c r="BM834" s="3">
        <f t="shared" si="56"/>
        <v>0</v>
      </c>
      <c r="BN834" s="3">
        <f t="shared" si="56"/>
        <v>0</v>
      </c>
      <c r="BO834" s="3">
        <f t="shared" si="56"/>
        <v>0</v>
      </c>
      <c r="BP834" s="3">
        <f t="shared" si="56"/>
        <v>0</v>
      </c>
      <c r="BQ834" s="3">
        <f t="shared" si="55"/>
        <v>0</v>
      </c>
      <c r="BR834" s="3">
        <f t="shared" si="55"/>
        <v>0</v>
      </c>
      <c r="BS834" s="3">
        <f t="shared" si="55"/>
        <v>0</v>
      </c>
      <c r="BT834" s="3">
        <f t="shared" si="55"/>
        <v>0</v>
      </c>
      <c r="BU834" s="3">
        <f t="shared" si="55"/>
        <v>0</v>
      </c>
      <c r="BV834" t="e">
        <f>VLOOKUP($H834,'1. Set Program Names'!$B$2:$D$15,3,0)*V834</f>
        <v>#N/A</v>
      </c>
      <c r="BW834" t="e">
        <f>VLOOKUP($H834,'1. Set Program Names'!$B$2:$D$15,3,0)*W834</f>
        <v>#N/A</v>
      </c>
      <c r="BX834" t="e">
        <f>VLOOKUP($H834,'1. Set Program Names'!$B$2:$D$15,3,0)*X834</f>
        <v>#N/A</v>
      </c>
      <c r="BY834" t="e">
        <f>VLOOKUP($H834,'1. Set Program Names'!$B$2:$D$15,3,0)*Y834</f>
        <v>#N/A</v>
      </c>
      <c r="BZ834" t="e">
        <f>VLOOKUP($H834,'1. Set Program Names'!$B$2:$D$15,3,0)*Z834</f>
        <v>#N/A</v>
      </c>
      <c r="CA834" t="e">
        <f>VLOOKUP($H834,'1. Set Program Names'!$B$2:$D$15,3,0)*AA834</f>
        <v>#N/A</v>
      </c>
      <c r="CB834" t="e">
        <f>VLOOKUP($H834,'1. Set Program Names'!$B$2:$D$15,3,0)*AB834</f>
        <v>#N/A</v>
      </c>
      <c r="CC834" t="e">
        <f>VLOOKUP($H834,'1. Set Program Names'!$B$2:$D$15,3,0)*AC834</f>
        <v>#N/A</v>
      </c>
      <c r="CD834" t="e">
        <f>VLOOKUP($H834,'1. Set Program Names'!$B$2:$D$15,3,0)*AD834</f>
        <v>#N/A</v>
      </c>
      <c r="CE834" t="e">
        <f>VLOOKUP($H834,'1. Set Program Names'!$B$2:$D$15,3,0)*AE834</f>
        <v>#N/A</v>
      </c>
    </row>
    <row r="835" spans="1:83" x14ac:dyDescent="0.25">
      <c r="A835" s="20" t="s">
        <v>117</v>
      </c>
      <c r="B835" s="20" t="s">
        <v>88</v>
      </c>
      <c r="C835" s="20" t="s">
        <v>176</v>
      </c>
      <c r="D835" s="20" t="s">
        <v>90</v>
      </c>
      <c r="E835" s="20" t="s">
        <v>91</v>
      </c>
      <c r="F835" s="20" t="s">
        <v>90</v>
      </c>
      <c r="G835" s="20" t="s">
        <v>92</v>
      </c>
      <c r="H835" s="20" t="s">
        <v>268</v>
      </c>
      <c r="I835" s="20" t="s">
        <v>193</v>
      </c>
      <c r="J835" s="20" t="s">
        <v>191</v>
      </c>
      <c r="K835" s="20" t="s">
        <v>98</v>
      </c>
      <c r="L835" s="20">
        <v>12009.57</v>
      </c>
      <c r="M835" s="20">
        <v>1.41674258810918</v>
      </c>
      <c r="N835" s="20">
        <v>1.38428653564094</v>
      </c>
      <c r="O835" s="20">
        <v>2450</v>
      </c>
      <c r="P835" s="20">
        <v>34.250530181900103</v>
      </c>
      <c r="Q835" s="20">
        <v>12.00957</v>
      </c>
      <c r="R835" s="20">
        <v>4997.0007566682498</v>
      </c>
      <c r="S835" s="20">
        <v>12205.544609214199</v>
      </c>
      <c r="T835" s="20">
        <v>14</v>
      </c>
      <c r="U835" s="20">
        <v>0.999999999999999</v>
      </c>
      <c r="V835" s="20">
        <v>1.67590217174394</v>
      </c>
      <c r="W835" s="20">
        <v>3.58352450007304</v>
      </c>
      <c r="X835" s="20">
        <v>5.6934531514666604</v>
      </c>
      <c r="Y835" s="20">
        <v>8.0039788997284997</v>
      </c>
      <c r="Z835" s="20">
        <v>10.4885082999104</v>
      </c>
      <c r="AA835" s="20">
        <v>13.1352200883571</v>
      </c>
      <c r="AB835" s="20">
        <v>15.9346093737619</v>
      </c>
      <c r="AC835" s="20">
        <v>18.872552153093999</v>
      </c>
      <c r="AD835" s="20">
        <v>21.9463280795682</v>
      </c>
      <c r="AE835" s="20">
        <v>25.148897966787001</v>
      </c>
      <c r="AF835" t="str">
        <f t="shared" si="57"/>
        <v>NonResidential</v>
      </c>
      <c r="AG835" t="str">
        <f>tbl_Data_old[[#This Row],[All_Meas_Name_Append]]</f>
        <v>Synchronous Belt on 75hp ODP Motor</v>
      </c>
      <c r="AH835">
        <f>AVERAGEIFS('3. Incentive Adjustment'!G:G,'3. Incentive Adjustment'!A:A,tbl_Data_old[[#This Row],[Trimmed Sector]],'3. Incentive Adjustment'!B:B,tbl_Data_old[[#This Row],[Trimmed Measure Name]])</f>
        <v>0.99250334293493969</v>
      </c>
      <c r="AI835">
        <f>$AH835*tbl_Data_old[[#This Row],[2025 ]]</f>
        <v>1.6633385078877858</v>
      </c>
      <c r="AJ835">
        <f>$AH835*tbl_Data_old[[#This Row],[2026 ]]</f>
        <v>3.5566600458117508</v>
      </c>
      <c r="AK835">
        <f>$AH835*tbl_Data_old[[#This Row],[2027 ]]</f>
        <v>5.6507712856741277</v>
      </c>
      <c r="AL835">
        <f>$AH835*tbl_Data_old[[#This Row],[2028 ]]</f>
        <v>7.9439758147612567</v>
      </c>
      <c r="AM835">
        <f>$AH835*tbl_Data_old[[#This Row],[2029 ]]</f>
        <v>10.409879550061934</v>
      </c>
      <c r="AN835">
        <f>$AH835*tbl_Data_old[[#This Row],[2030 ]]</f>
        <v>13.036749847880595</v>
      </c>
      <c r="AO835">
        <f>$AH835*tbl_Data_old[[#This Row],[2031 ]]</f>
        <v>15.815153071821111</v>
      </c>
      <c r="AP835">
        <f>$AH835*tbl_Data_old[[#This Row],[2032 ]]</f>
        <v>18.731071101659786</v>
      </c>
      <c r="AQ835">
        <f>$AH835*tbl_Data_old[[#This Row],[2033 ]]</f>
        <v>21.781803984118373</v>
      </c>
      <c r="AR835">
        <f>$AH835*tbl_Data_old[[#This Row],[2034 ]]</f>
        <v>24.960365303165805</v>
      </c>
      <c r="AS835">
        <f>SUM(tbl_Data_old[[#This Row],[Adjusted 2025]:[Adjusted 2034]])</f>
        <v>123.5497685128425</v>
      </c>
      <c r="AT835" s="3">
        <f>AVERAGEIFS('3. Incentive Adjustment'!F:F,'3. Incentive Adjustment'!A:A,tbl_Data_old[[#This Row],[Trimmed Sector]],'3. Incentive Adjustment'!B:B,tbl_Data_old[[#This Row],[Trimmed Measure Name]])</f>
        <v>0</v>
      </c>
      <c r="AU835" s="3">
        <f>IFERROR(VLOOKUP(tbl_Data_old[[#This Row],[All_Meas_Name_Append]],'IRA Tax Credits'!$A$3:$D$46,4,0),0)</f>
        <v>0</v>
      </c>
      <c r="AV835" s="4">
        <f>tbl_Data_old[[#This Row],[Adj. per unit Incentive ($)]]/tbl_Data_old[[#This Row],[kWh Savings]]*tbl_Data_old[[#This Row],[Sum of Annuals]]</f>
        <v>0</v>
      </c>
      <c r="AW835" s="4" t="str">
        <f>IFERROR(VLOOKUP(tbl_Data_old[[#This Row],[All_Programs]],'1. Set Program Names'!$B$2:$D$15,3,0)*tbl_Data_old[[#This Row],[Sum of Annuals]],"")</f>
        <v/>
      </c>
      <c r="AX835" s="4">
        <f>tbl_Data_old[[#This Row],[per unit IRA tax ($)]]/tbl_Data_old[[#This Row],[kWh Savings]]*tbl_Data_old[[#This Row],[Sum of Annuals]]</f>
        <v>0</v>
      </c>
      <c r="AY835" s="4">
        <f>tbl_Data_old[[#This Row],[Avoided Costs ($/unit)]]/tbl_Data_old[[#This Row],[kWh Savings]]*tbl_Data_old[[#This Row],[Sum of Annuals]]</f>
        <v>51.407193325394758</v>
      </c>
      <c r="AZ835" s="4">
        <f>tbl_Data_old[[#This Row],[Lost Revenue ($/unit)]]/tbl_Data_old[[#This Row],[kWh Savings]]*tbl_Data_old[[#This Row],[Sum of Annuals]]</f>
        <v>125.56587879845715</v>
      </c>
      <c r="BA835" s="4">
        <f>tbl_Data_old[[#This Row],[Incremental Cost ($/unit)]]/tbl_Data_old[[#This Row],[kWh Savings]]*tbl_Data_old[[#This Row],[Sum of Annuals]]</f>
        <v>25.204643701353515</v>
      </c>
      <c r="BB835">
        <f>ROUNDUP(tbl_Data_old[[#This Row],[Adjusted 2025]]/$L835,0)</f>
        <v>1</v>
      </c>
      <c r="BC835">
        <f>ROUNDUP(tbl_Data_old[[#This Row],[Adjusted 2026]]/$L835,0)</f>
        <v>1</v>
      </c>
      <c r="BD835">
        <f>ROUNDUP(tbl_Data_old[[#This Row],[Adjusted 2027]]/$L835,0)</f>
        <v>1</v>
      </c>
      <c r="BE835">
        <f>ROUNDUP(tbl_Data_old[[#This Row],[Adjusted 2028]]/$L835,0)</f>
        <v>1</v>
      </c>
      <c r="BF835">
        <f>ROUNDUP(tbl_Data_old[[#This Row],[Adjusted 2029]]/$L835,0)</f>
        <v>1</v>
      </c>
      <c r="BG835">
        <f>ROUNDUP(tbl_Data_old[[#This Row],[Adjusted 2030]]/$L835,0)</f>
        <v>1</v>
      </c>
      <c r="BH835">
        <f>ROUNDUP(tbl_Data_old[[#This Row],[Adjusted 2031]]/$L835,0)</f>
        <v>1</v>
      </c>
      <c r="BI835">
        <f>ROUNDUP(tbl_Data_old[[#This Row],[Adjusted 2032]]/$L835,0)</f>
        <v>1</v>
      </c>
      <c r="BJ835">
        <f>ROUNDUP(tbl_Data_old[[#This Row],[Adjusted 2033]]/$L835,0)</f>
        <v>1</v>
      </c>
      <c r="BK835">
        <f>ROUNDUP(tbl_Data_old[[#This Row],[Adjusted 2034]]/$L835,0)</f>
        <v>1</v>
      </c>
      <c r="BL835" s="3">
        <f t="shared" si="56"/>
        <v>0</v>
      </c>
      <c r="BM835" s="3">
        <f t="shared" si="56"/>
        <v>0</v>
      </c>
      <c r="BN835" s="3">
        <f t="shared" si="56"/>
        <v>0</v>
      </c>
      <c r="BO835" s="3">
        <f t="shared" si="56"/>
        <v>0</v>
      </c>
      <c r="BP835" s="3">
        <f t="shared" si="56"/>
        <v>0</v>
      </c>
      <c r="BQ835" s="3">
        <f t="shared" si="55"/>
        <v>0</v>
      </c>
      <c r="BR835" s="3">
        <f t="shared" si="55"/>
        <v>0</v>
      </c>
      <c r="BS835" s="3">
        <f t="shared" si="55"/>
        <v>0</v>
      </c>
      <c r="BT835" s="3">
        <f t="shared" si="55"/>
        <v>0</v>
      </c>
      <c r="BU835" s="3">
        <f t="shared" si="55"/>
        <v>0</v>
      </c>
      <c r="BV835" t="e">
        <f>VLOOKUP($H835,'1. Set Program Names'!$B$2:$D$15,3,0)*V835</f>
        <v>#N/A</v>
      </c>
      <c r="BW835" t="e">
        <f>VLOOKUP($H835,'1. Set Program Names'!$B$2:$D$15,3,0)*W835</f>
        <v>#N/A</v>
      </c>
      <c r="BX835" t="e">
        <f>VLOOKUP($H835,'1. Set Program Names'!$B$2:$D$15,3,0)*X835</f>
        <v>#N/A</v>
      </c>
      <c r="BY835" t="e">
        <f>VLOOKUP($H835,'1. Set Program Names'!$B$2:$D$15,3,0)*Y835</f>
        <v>#N/A</v>
      </c>
      <c r="BZ835" t="e">
        <f>VLOOKUP($H835,'1. Set Program Names'!$B$2:$D$15,3,0)*Z835</f>
        <v>#N/A</v>
      </c>
      <c r="CA835" t="e">
        <f>VLOOKUP($H835,'1. Set Program Names'!$B$2:$D$15,3,0)*AA835</f>
        <v>#N/A</v>
      </c>
      <c r="CB835" t="e">
        <f>VLOOKUP($H835,'1. Set Program Names'!$B$2:$D$15,3,0)*AB835</f>
        <v>#N/A</v>
      </c>
      <c r="CC835" t="e">
        <f>VLOOKUP($H835,'1. Set Program Names'!$B$2:$D$15,3,0)*AC835</f>
        <v>#N/A</v>
      </c>
      <c r="CD835" t="e">
        <f>VLOOKUP($H835,'1. Set Program Names'!$B$2:$D$15,3,0)*AD835</f>
        <v>#N/A</v>
      </c>
      <c r="CE835" t="e">
        <f>VLOOKUP($H835,'1. Set Program Names'!$B$2:$D$15,3,0)*AE835</f>
        <v>#N/A</v>
      </c>
    </row>
  </sheetData>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D7A-0F64-4502-926B-16B064369387}">
  <sheetPr>
    <tabColor theme="1"/>
  </sheetPr>
  <dimension ref="A1:C42"/>
  <sheetViews>
    <sheetView workbookViewId="0">
      <selection activeCell="C5" sqref="C5"/>
    </sheetView>
  </sheetViews>
  <sheetFormatPr defaultRowHeight="15" x14ac:dyDescent="0.25"/>
  <cols>
    <col min="1" max="1" width="21" customWidth="1"/>
    <col min="2" max="2" width="62" customWidth="1"/>
  </cols>
  <sheetData>
    <row r="1" spans="1:3" x14ac:dyDescent="0.25">
      <c r="A1" s="8" t="s">
        <v>0</v>
      </c>
      <c r="B1" s="8" t="s">
        <v>198</v>
      </c>
      <c r="C1" s="8" t="s">
        <v>400</v>
      </c>
    </row>
    <row r="2" spans="1:3" x14ac:dyDescent="0.25">
      <c r="A2" s="8" t="s">
        <v>5</v>
      </c>
      <c r="B2" s="8" t="s">
        <v>99</v>
      </c>
      <c r="C2" s="8">
        <v>15</v>
      </c>
    </row>
    <row r="3" spans="1:3" x14ac:dyDescent="0.25">
      <c r="A3" s="8" t="s">
        <v>5</v>
      </c>
      <c r="B3" s="8" t="s">
        <v>96</v>
      </c>
      <c r="C3" s="8">
        <v>2</v>
      </c>
    </row>
    <row r="4" spans="1:3" x14ac:dyDescent="0.25">
      <c r="A4" s="8" t="s">
        <v>5</v>
      </c>
      <c r="B4" s="8" t="s">
        <v>297</v>
      </c>
      <c r="C4" s="8">
        <v>5</v>
      </c>
    </row>
    <row r="5" spans="1:3" x14ac:dyDescent="0.25">
      <c r="A5" s="8" t="s">
        <v>5</v>
      </c>
      <c r="B5" s="8" t="s">
        <v>93</v>
      </c>
      <c r="C5" s="8">
        <v>2</v>
      </c>
    </row>
    <row r="6" spans="1:3" x14ac:dyDescent="0.25">
      <c r="A6" s="8" t="s">
        <v>5</v>
      </c>
      <c r="B6" s="8" t="s">
        <v>107</v>
      </c>
      <c r="C6" s="8">
        <v>2</v>
      </c>
    </row>
    <row r="7" spans="1:3" x14ac:dyDescent="0.25">
      <c r="A7" s="8" t="s">
        <v>5</v>
      </c>
      <c r="B7" s="8" t="s">
        <v>109</v>
      </c>
      <c r="C7" s="8">
        <v>2</v>
      </c>
    </row>
    <row r="8" spans="1:3" x14ac:dyDescent="0.25">
      <c r="A8" s="8" t="s">
        <v>5</v>
      </c>
      <c r="B8" s="8" t="s">
        <v>110</v>
      </c>
      <c r="C8" s="8">
        <v>2</v>
      </c>
    </row>
    <row r="9" spans="1:3" x14ac:dyDescent="0.25">
      <c r="A9" s="49" t="s">
        <v>5</v>
      </c>
      <c r="B9" s="49" t="s">
        <v>299</v>
      </c>
      <c r="C9" s="49">
        <v>2</v>
      </c>
    </row>
    <row r="10" spans="1:3" x14ac:dyDescent="0.25">
      <c r="A10" s="8" t="s">
        <v>7</v>
      </c>
      <c r="B10" s="8" t="s">
        <v>93</v>
      </c>
      <c r="C10" s="8">
        <v>1.5</v>
      </c>
    </row>
    <row r="11" spans="1:3" x14ac:dyDescent="0.25">
      <c r="A11" s="8" t="s">
        <v>7</v>
      </c>
      <c r="B11" s="8" t="s">
        <v>118</v>
      </c>
      <c r="C11" s="8">
        <v>1.5</v>
      </c>
    </row>
    <row r="12" spans="1:3" x14ac:dyDescent="0.25">
      <c r="A12" s="8" t="s">
        <v>7</v>
      </c>
      <c r="B12" s="8" t="s">
        <v>96</v>
      </c>
      <c r="C12" s="8">
        <v>1.5</v>
      </c>
    </row>
    <row r="13" spans="1:3" x14ac:dyDescent="0.25">
      <c r="A13" s="8" t="s">
        <v>7</v>
      </c>
      <c r="B13" s="8" t="s">
        <v>99</v>
      </c>
      <c r="C13" s="8">
        <v>10</v>
      </c>
    </row>
    <row r="14" spans="1:3" x14ac:dyDescent="0.25">
      <c r="A14" s="8" t="s">
        <v>7</v>
      </c>
      <c r="B14" s="8" t="s">
        <v>100</v>
      </c>
      <c r="C14" s="8">
        <v>5</v>
      </c>
    </row>
    <row r="15" spans="1:3" x14ac:dyDescent="0.25">
      <c r="A15" s="8" t="s">
        <v>7</v>
      </c>
      <c r="B15" s="8" t="s">
        <v>103</v>
      </c>
      <c r="C15" s="8">
        <v>5</v>
      </c>
    </row>
    <row r="16" spans="1:3" x14ac:dyDescent="0.25">
      <c r="A16" s="8" t="s">
        <v>7</v>
      </c>
      <c r="B16" s="8" t="s">
        <v>296</v>
      </c>
      <c r="C16" s="8">
        <v>1.5</v>
      </c>
    </row>
    <row r="17" spans="1:3" x14ac:dyDescent="0.25">
      <c r="A17" s="8" t="s">
        <v>7</v>
      </c>
      <c r="B17" s="8" t="s">
        <v>297</v>
      </c>
      <c r="C17" s="8">
        <v>1.5</v>
      </c>
    </row>
    <row r="18" spans="1:3" x14ac:dyDescent="0.25">
      <c r="A18" s="8" t="s">
        <v>7</v>
      </c>
      <c r="B18" s="8" t="s">
        <v>107</v>
      </c>
      <c r="C18" s="8">
        <v>1.5</v>
      </c>
    </row>
    <row r="19" spans="1:3" x14ac:dyDescent="0.25">
      <c r="A19" s="8" t="s">
        <v>7</v>
      </c>
      <c r="B19" s="8" t="s">
        <v>109</v>
      </c>
      <c r="C19" s="8">
        <v>1.5</v>
      </c>
    </row>
    <row r="20" spans="1:3" x14ac:dyDescent="0.25">
      <c r="A20" s="8" t="s">
        <v>7</v>
      </c>
      <c r="B20" s="8" t="s">
        <v>110</v>
      </c>
      <c r="C20" s="8">
        <v>1.5</v>
      </c>
    </row>
    <row r="21" spans="1:3" x14ac:dyDescent="0.25">
      <c r="A21" s="8" t="s">
        <v>7</v>
      </c>
      <c r="B21" s="8" t="s">
        <v>299</v>
      </c>
      <c r="C21" s="8">
        <v>1.5</v>
      </c>
    </row>
    <row r="22" spans="1:3" x14ac:dyDescent="0.25">
      <c r="A22" s="49" t="s">
        <v>7</v>
      </c>
      <c r="B22" s="49" t="s">
        <v>112</v>
      </c>
      <c r="C22" s="49">
        <v>1</v>
      </c>
    </row>
    <row r="23" spans="1:3" x14ac:dyDescent="0.25">
      <c r="A23" s="8" t="s">
        <v>14</v>
      </c>
      <c r="B23" s="8" t="s">
        <v>163</v>
      </c>
      <c r="C23" s="8">
        <v>30</v>
      </c>
    </row>
    <row r="24" spans="1:3" x14ac:dyDescent="0.25">
      <c r="A24" s="8" t="s">
        <v>16</v>
      </c>
      <c r="B24" s="8" t="s">
        <v>163</v>
      </c>
      <c r="C24" s="8">
        <v>30</v>
      </c>
    </row>
    <row r="25" spans="1:3" x14ac:dyDescent="0.25">
      <c r="A25" s="8" t="s">
        <v>18</v>
      </c>
      <c r="B25" s="49" t="s">
        <v>163</v>
      </c>
      <c r="C25" s="49">
        <v>30</v>
      </c>
    </row>
    <row r="26" spans="1:3" x14ac:dyDescent="0.25">
      <c r="A26" s="60" t="s">
        <v>14</v>
      </c>
      <c r="B26" s="8" t="s">
        <v>157</v>
      </c>
      <c r="C26" s="8">
        <v>10</v>
      </c>
    </row>
    <row r="27" spans="1:3" x14ac:dyDescent="0.25">
      <c r="A27" s="60" t="s">
        <v>14</v>
      </c>
      <c r="B27" s="8" t="s">
        <v>160</v>
      </c>
      <c r="C27" s="8">
        <v>15</v>
      </c>
    </row>
    <row r="28" spans="1:3" x14ac:dyDescent="0.25">
      <c r="A28" s="60" t="s">
        <v>14</v>
      </c>
      <c r="B28" s="8" t="s">
        <v>162</v>
      </c>
      <c r="C28" s="8">
        <v>15</v>
      </c>
    </row>
    <row r="29" spans="1:3" x14ac:dyDescent="0.25">
      <c r="A29" s="60" t="s">
        <v>14</v>
      </c>
      <c r="B29" s="8" t="s">
        <v>164</v>
      </c>
      <c r="C29" s="8">
        <v>2</v>
      </c>
    </row>
    <row r="30" spans="1:3" x14ac:dyDescent="0.25">
      <c r="A30" s="60" t="s">
        <v>16</v>
      </c>
      <c r="B30" s="8" t="s">
        <v>157</v>
      </c>
      <c r="C30" s="8">
        <v>10</v>
      </c>
    </row>
    <row r="31" spans="1:3" x14ac:dyDescent="0.25">
      <c r="A31" s="60" t="s">
        <v>16</v>
      </c>
      <c r="B31" s="8" t="s">
        <v>160</v>
      </c>
      <c r="C31" s="8">
        <v>15</v>
      </c>
    </row>
    <row r="32" spans="1:3" x14ac:dyDescent="0.25">
      <c r="A32" s="60" t="s">
        <v>16</v>
      </c>
      <c r="B32" s="8" t="s">
        <v>162</v>
      </c>
      <c r="C32" s="8">
        <v>15</v>
      </c>
    </row>
    <row r="33" spans="1:3" x14ac:dyDescent="0.25">
      <c r="A33" s="60" t="s">
        <v>16</v>
      </c>
      <c r="B33" s="8" t="s">
        <v>164</v>
      </c>
      <c r="C33" s="8">
        <v>2</v>
      </c>
    </row>
    <row r="34" spans="1:3" x14ac:dyDescent="0.25">
      <c r="A34" s="60" t="s">
        <v>18</v>
      </c>
      <c r="B34" s="8" t="s">
        <v>157</v>
      </c>
      <c r="C34" s="8">
        <v>5</v>
      </c>
    </row>
    <row r="35" spans="1:3" x14ac:dyDescent="0.25">
      <c r="A35" s="60" t="s">
        <v>18</v>
      </c>
      <c r="B35" s="8" t="s">
        <v>160</v>
      </c>
      <c r="C35" s="8">
        <v>10</v>
      </c>
    </row>
    <row r="36" spans="1:3" x14ac:dyDescent="0.25">
      <c r="A36" s="60" t="s">
        <v>18</v>
      </c>
      <c r="B36" s="8" t="s">
        <v>162</v>
      </c>
      <c r="C36" s="8">
        <v>10</v>
      </c>
    </row>
    <row r="37" spans="1:3" x14ac:dyDescent="0.25">
      <c r="A37" s="70" t="s">
        <v>18</v>
      </c>
      <c r="B37" s="49" t="s">
        <v>164</v>
      </c>
      <c r="C37" s="49">
        <v>2</v>
      </c>
    </row>
    <row r="38" spans="1:3" x14ac:dyDescent="0.25">
      <c r="A38" s="70" t="s">
        <v>18</v>
      </c>
      <c r="B38" s="49" t="s">
        <v>148</v>
      </c>
      <c r="C38" s="49">
        <v>0.2</v>
      </c>
    </row>
    <row r="39" spans="1:3" x14ac:dyDescent="0.25">
      <c r="A39" s="70" t="s">
        <v>18</v>
      </c>
      <c r="B39" s="49" t="s">
        <v>149</v>
      </c>
      <c r="C39" s="49">
        <v>0.2</v>
      </c>
    </row>
    <row r="40" spans="1:3" x14ac:dyDescent="0.25">
      <c r="A40" s="8" t="s">
        <v>14</v>
      </c>
      <c r="B40" s="49" t="s">
        <v>128</v>
      </c>
      <c r="C40" s="49">
        <v>0.5</v>
      </c>
    </row>
    <row r="41" spans="1:3" x14ac:dyDescent="0.25">
      <c r="A41" s="8" t="s">
        <v>14</v>
      </c>
      <c r="B41" s="49" t="s">
        <v>155</v>
      </c>
      <c r="C41" s="49">
        <v>0.5</v>
      </c>
    </row>
    <row r="42" spans="1:3" x14ac:dyDescent="0.25">
      <c r="A42" s="8" t="s">
        <v>14</v>
      </c>
      <c r="B42" s="8" t="s">
        <v>154</v>
      </c>
      <c r="C42" s="8">
        <v>20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D1989-F7C2-4CCE-8F25-32FE32448E0E}">
  <sheetPr>
    <tabColor theme="1"/>
  </sheetPr>
  <dimension ref="A1:U169"/>
  <sheetViews>
    <sheetView workbookViewId="0">
      <selection activeCell="G29" sqref="G29"/>
    </sheetView>
  </sheetViews>
  <sheetFormatPr defaultRowHeight="15" x14ac:dyDescent="0.25"/>
  <cols>
    <col min="1" max="1" width="44.140625" customWidth="1"/>
    <col min="10" max="10" width="27.5703125" customWidth="1"/>
    <col min="13" max="13" width="33.28515625" customWidth="1"/>
    <col min="14" max="14" width="16.85546875" customWidth="1"/>
  </cols>
  <sheetData>
    <row r="1" spans="1:21" x14ac:dyDescent="0.25">
      <c r="A1" s="71" t="s">
        <v>32</v>
      </c>
      <c r="B1" s="71" t="s">
        <v>35</v>
      </c>
      <c r="C1" s="71" t="s">
        <v>36</v>
      </c>
      <c r="D1" s="71" t="s">
        <v>37</v>
      </c>
      <c r="E1" s="71" t="s">
        <v>38</v>
      </c>
      <c r="F1" s="71" t="s">
        <v>39</v>
      </c>
      <c r="G1" s="71" t="s">
        <v>40</v>
      </c>
      <c r="H1" s="71" t="s">
        <v>41</v>
      </c>
      <c r="I1" s="71" t="s">
        <v>42</v>
      </c>
      <c r="J1" s="2" t="s">
        <v>411</v>
      </c>
      <c r="K1" s="2" t="s">
        <v>412</v>
      </c>
      <c r="M1" t="s">
        <v>198</v>
      </c>
      <c r="N1" t="s">
        <v>197</v>
      </c>
      <c r="O1" t="s">
        <v>401</v>
      </c>
      <c r="P1" t="s">
        <v>402</v>
      </c>
      <c r="Q1" t="s">
        <v>403</v>
      </c>
      <c r="R1" t="s">
        <v>405</v>
      </c>
      <c r="S1" t="s">
        <v>407</v>
      </c>
      <c r="T1" t="s">
        <v>404</v>
      </c>
      <c r="U1" t="s">
        <v>408</v>
      </c>
    </row>
    <row r="2" spans="1:21" x14ac:dyDescent="0.25">
      <c r="A2" s="71" t="s">
        <v>157</v>
      </c>
      <c r="B2" s="71">
        <f t="shared" ref="B2:B7" si="0">AVERAGEIFS(O:O,$M:$M,$A2)</f>
        <v>562.52000000000032</v>
      </c>
      <c r="C2" s="71">
        <f t="shared" ref="C2:D7" si="1">C13/$B13*$B2</f>
        <v>0</v>
      </c>
      <c r="D2" s="71">
        <f t="shared" si="1"/>
        <v>2.7796637938074218E-2</v>
      </c>
      <c r="E2" s="71">
        <f t="shared" ref="E2:E7" si="2">AVERAGEIFS(P:P,$M:$M,$A2)</f>
        <v>169</v>
      </c>
      <c r="F2" s="71">
        <f t="shared" ref="F2:F7" si="3">AVERAGEIFS(S:S,$M:$M,$A2)</f>
        <v>53.285725702774094</v>
      </c>
      <c r="G2" s="71"/>
      <c r="H2" s="71">
        <f t="shared" ref="H2:I7" si="4">AVERAGEIFS(Q:Q,$M:$M,$A2)</f>
        <v>275.37363005821356</v>
      </c>
      <c r="I2" s="71">
        <f t="shared" si="4"/>
        <v>610.96426176974103</v>
      </c>
      <c r="J2" s="72">
        <f t="shared" ref="J2:J7" si="5">H2/B2</f>
        <v>0.48953571438920113</v>
      </c>
      <c r="K2" s="73">
        <f t="shared" ref="K2:K7" si="6">J2/J13-1</f>
        <v>0</v>
      </c>
      <c r="M2" t="s">
        <v>167</v>
      </c>
      <c r="N2" t="s">
        <v>122</v>
      </c>
      <c r="O2">
        <v>151.66</v>
      </c>
      <c r="P2">
        <v>56.6</v>
      </c>
      <c r="Q2">
        <v>70.630750262860616</v>
      </c>
      <c r="R2">
        <f t="shared" ref="R2:R33" si="7">O2*T2</f>
        <v>171.41744415542863</v>
      </c>
      <c r="S2">
        <f t="shared" ref="S2:S33" si="8">O2*U2</f>
        <v>25.402483751835891</v>
      </c>
      <c r="T2">
        <v>1.1302745889188226</v>
      </c>
      <c r="U2">
        <v>0.16749626633150397</v>
      </c>
    </row>
    <row r="3" spans="1:21" x14ac:dyDescent="0.25">
      <c r="A3" s="71" t="s">
        <v>160</v>
      </c>
      <c r="B3" s="71">
        <f t="shared" si="0"/>
        <v>1059.6621428571407</v>
      </c>
      <c r="C3" s="71">
        <f t="shared" si="1"/>
        <v>0.13879011985330975</v>
      </c>
      <c r="D3" s="71">
        <f t="shared" si="1"/>
        <v>0.14661252282673942</v>
      </c>
      <c r="E3" s="71">
        <f t="shared" si="2"/>
        <v>179</v>
      </c>
      <c r="F3" s="71">
        <f t="shared" si="3"/>
        <v>5.0437849584490522</v>
      </c>
      <c r="G3" s="71"/>
      <c r="H3" s="71">
        <f t="shared" si="4"/>
        <v>417.01467834907817</v>
      </c>
      <c r="I3" s="71">
        <f t="shared" si="4"/>
        <v>1150.9203207638036</v>
      </c>
      <c r="J3" s="72">
        <f t="shared" si="5"/>
        <v>0.39353550672735355</v>
      </c>
      <c r="K3" s="73">
        <f t="shared" si="6"/>
        <v>-5.6265101210204005E-2</v>
      </c>
      <c r="M3" t="s">
        <v>167</v>
      </c>
      <c r="N3" t="s">
        <v>122</v>
      </c>
      <c r="O3">
        <v>151.66</v>
      </c>
      <c r="P3">
        <v>56.6</v>
      </c>
      <c r="Q3">
        <v>70.630750262860616</v>
      </c>
      <c r="R3">
        <f t="shared" si="7"/>
        <v>171.41744415542863</v>
      </c>
      <c r="S3">
        <f t="shared" si="8"/>
        <v>25.402483751835891</v>
      </c>
      <c r="T3">
        <v>1.1302745889188226</v>
      </c>
      <c r="U3">
        <v>0.16749626633150397</v>
      </c>
    </row>
    <row r="4" spans="1:21" x14ac:dyDescent="0.25">
      <c r="A4" s="71" t="s">
        <v>162</v>
      </c>
      <c r="B4" s="71">
        <f t="shared" si="0"/>
        <v>632.51142857142861</v>
      </c>
      <c r="C4" s="71">
        <f t="shared" si="1"/>
        <v>7.5636667797052567E-2</v>
      </c>
      <c r="D4" s="71">
        <f t="shared" si="1"/>
        <v>7.2066360150851286E-2</v>
      </c>
      <c r="E4" s="71">
        <f t="shared" si="2"/>
        <v>179</v>
      </c>
      <c r="F4" s="71">
        <f t="shared" si="3"/>
        <v>51.895440493260928</v>
      </c>
      <c r="G4" s="71"/>
      <c r="H4" s="71">
        <f t="shared" si="4"/>
        <v>248.91572427603518</v>
      </c>
      <c r="I4" s="71">
        <f t="shared" si="4"/>
        <v>686.98335706831222</v>
      </c>
      <c r="J4" s="72">
        <f t="shared" si="5"/>
        <v>0.3935355363273495</v>
      </c>
      <c r="K4" s="73">
        <f t="shared" si="6"/>
        <v>-1.9115658402786506E-2</v>
      </c>
      <c r="M4" t="s">
        <v>167</v>
      </c>
      <c r="N4" t="s">
        <v>122</v>
      </c>
      <c r="O4">
        <v>151.66</v>
      </c>
      <c r="P4">
        <v>56.6</v>
      </c>
      <c r="Q4">
        <v>70.630750262860616</v>
      </c>
      <c r="R4">
        <f t="shared" si="7"/>
        <v>171.41744415542863</v>
      </c>
      <c r="S4">
        <f t="shared" si="8"/>
        <v>25.402483751835891</v>
      </c>
      <c r="T4">
        <v>1.1302745889188226</v>
      </c>
      <c r="U4">
        <v>0.16749626633150397</v>
      </c>
    </row>
    <row r="5" spans="1:21" x14ac:dyDescent="0.25">
      <c r="A5" s="71" t="s">
        <v>163</v>
      </c>
      <c r="B5" s="71">
        <f t="shared" si="0"/>
        <v>217.06142857142831</v>
      </c>
      <c r="C5" s="71">
        <f t="shared" si="1"/>
        <v>3.4743730880075478E-2</v>
      </c>
      <c r="D5" s="71">
        <f t="shared" si="1"/>
        <v>3.4497784431073229E-2</v>
      </c>
      <c r="E5" s="71">
        <f t="shared" si="2"/>
        <v>109.07999999999996</v>
      </c>
      <c r="F5" s="71">
        <f t="shared" si="3"/>
        <v>64.428955263702662</v>
      </c>
      <c r="G5" s="71"/>
      <c r="H5" s="71">
        <f t="shared" si="4"/>
        <v>85.561030664747506</v>
      </c>
      <c r="I5" s="71">
        <f t="shared" si="4"/>
        <v>235.75477399173039</v>
      </c>
      <c r="J5" s="72">
        <f t="shared" si="5"/>
        <v>0.39417887935162083</v>
      </c>
      <c r="K5" s="73">
        <f t="shared" si="6"/>
        <v>-0.10673015886389348</v>
      </c>
      <c r="M5" t="s">
        <v>167</v>
      </c>
      <c r="N5" t="s">
        <v>122</v>
      </c>
      <c r="O5">
        <v>151.66</v>
      </c>
      <c r="P5">
        <v>56.6</v>
      </c>
      <c r="Q5">
        <v>70.630750262860616</v>
      </c>
      <c r="R5">
        <f t="shared" si="7"/>
        <v>171.41744415542863</v>
      </c>
      <c r="S5">
        <f t="shared" si="8"/>
        <v>25.402483751835891</v>
      </c>
      <c r="T5">
        <v>1.1302745889188226</v>
      </c>
      <c r="U5">
        <v>0.16749626633150397</v>
      </c>
    </row>
    <row r="6" spans="1:21" x14ac:dyDescent="0.25">
      <c r="A6" s="71" t="s">
        <v>164</v>
      </c>
      <c r="B6" s="71">
        <f t="shared" si="0"/>
        <v>612.05999999999972</v>
      </c>
      <c r="C6" s="71">
        <f t="shared" si="1"/>
        <v>0</v>
      </c>
      <c r="D6" s="71">
        <f t="shared" si="1"/>
        <v>3.0244631686656035E-2</v>
      </c>
      <c r="E6" s="71">
        <f t="shared" si="2"/>
        <v>255</v>
      </c>
      <c r="F6" s="71">
        <f t="shared" si="3"/>
        <v>129.09500333079711</v>
      </c>
      <c r="G6" s="71"/>
      <c r="H6" s="71">
        <f t="shared" si="4"/>
        <v>299.62522934905462</v>
      </c>
      <c r="I6" s="71">
        <f t="shared" si="4"/>
        <v>664.77065003695441</v>
      </c>
      <c r="J6" s="72">
        <f t="shared" si="5"/>
        <v>0.48953571438920163</v>
      </c>
      <c r="K6" s="73">
        <f t="shared" si="6"/>
        <v>0</v>
      </c>
      <c r="M6" t="s">
        <v>167</v>
      </c>
      <c r="N6" t="s">
        <v>122</v>
      </c>
      <c r="O6">
        <v>151.66</v>
      </c>
      <c r="P6">
        <v>56.6</v>
      </c>
      <c r="Q6">
        <v>70.455842824736166</v>
      </c>
      <c r="R6">
        <f t="shared" si="7"/>
        <v>171.41744415542863</v>
      </c>
      <c r="S6">
        <f t="shared" si="8"/>
        <v>25.402483751835891</v>
      </c>
      <c r="T6">
        <v>1.1302745889188226</v>
      </c>
      <c r="U6">
        <v>0.16749626633150397</v>
      </c>
    </row>
    <row r="7" spans="1:21" x14ac:dyDescent="0.25">
      <c r="A7" s="71" t="s">
        <v>167</v>
      </c>
      <c r="B7" s="71">
        <f t="shared" si="0"/>
        <v>151.65999999999994</v>
      </c>
      <c r="C7" s="71">
        <f t="shared" si="1"/>
        <v>2.2013191527321094E-2</v>
      </c>
      <c r="D7" s="71">
        <f t="shared" si="1"/>
        <v>1.952960139549019E-2</v>
      </c>
      <c r="E7" s="71">
        <f t="shared" si="2"/>
        <v>56.59999999999998</v>
      </c>
      <c r="F7" s="71">
        <f t="shared" si="3"/>
        <v>25.402483751835906</v>
      </c>
      <c r="G7" s="71"/>
      <c r="H7" s="71">
        <f t="shared" si="4"/>
        <v>70.56447857633529</v>
      </c>
      <c r="I7" s="71">
        <f t="shared" si="4"/>
        <v>171.41744415542868</v>
      </c>
      <c r="J7" s="72">
        <f t="shared" si="5"/>
        <v>0.46528075020661558</v>
      </c>
      <c r="K7" s="73">
        <f t="shared" si="6"/>
        <v>0</v>
      </c>
      <c r="M7" t="s">
        <v>167</v>
      </c>
      <c r="N7" t="s">
        <v>122</v>
      </c>
      <c r="O7">
        <v>151.66</v>
      </c>
      <c r="P7">
        <v>56.6</v>
      </c>
      <c r="Q7">
        <v>70.455842824736166</v>
      </c>
      <c r="R7">
        <f t="shared" si="7"/>
        <v>171.41744415542863</v>
      </c>
      <c r="S7">
        <f t="shared" si="8"/>
        <v>25.402483751835891</v>
      </c>
      <c r="T7">
        <v>1.1302745889188226</v>
      </c>
      <c r="U7">
        <v>0.16749626633150397</v>
      </c>
    </row>
    <row r="8" spans="1:21" x14ac:dyDescent="0.25">
      <c r="M8" t="s">
        <v>167</v>
      </c>
      <c r="N8" t="s">
        <v>122</v>
      </c>
      <c r="O8">
        <v>151.66</v>
      </c>
      <c r="P8">
        <v>56.6</v>
      </c>
      <c r="Q8">
        <v>70.630750262860616</v>
      </c>
      <c r="R8">
        <f t="shared" si="7"/>
        <v>171.41744415542863</v>
      </c>
      <c r="S8">
        <f t="shared" si="8"/>
        <v>25.402483751835891</v>
      </c>
      <c r="T8">
        <v>1.1302745889188226</v>
      </c>
      <c r="U8">
        <v>0.16749626633150397</v>
      </c>
    </row>
    <row r="9" spans="1:21" x14ac:dyDescent="0.25">
      <c r="M9" t="s">
        <v>167</v>
      </c>
      <c r="N9" t="s">
        <v>122</v>
      </c>
      <c r="O9">
        <v>151.66</v>
      </c>
      <c r="P9">
        <v>56.6</v>
      </c>
      <c r="Q9">
        <v>70.630750262860616</v>
      </c>
      <c r="R9">
        <f t="shared" si="7"/>
        <v>171.41744415542863</v>
      </c>
      <c r="S9">
        <f t="shared" si="8"/>
        <v>25.402483751835891</v>
      </c>
      <c r="T9">
        <v>1.1302745889188226</v>
      </c>
      <c r="U9">
        <v>0.16749626633150397</v>
      </c>
    </row>
    <row r="10" spans="1:21" x14ac:dyDescent="0.25">
      <c r="M10" t="s">
        <v>167</v>
      </c>
      <c r="N10" t="s">
        <v>122</v>
      </c>
      <c r="O10">
        <v>151.66</v>
      </c>
      <c r="P10">
        <v>56.6</v>
      </c>
      <c r="Q10">
        <v>70.630750262860616</v>
      </c>
      <c r="R10">
        <f t="shared" si="7"/>
        <v>171.41744415542863</v>
      </c>
      <c r="S10">
        <f t="shared" si="8"/>
        <v>25.402483751835891</v>
      </c>
      <c r="T10">
        <v>1.1302745889188226</v>
      </c>
      <c r="U10">
        <v>0.16749626633150397</v>
      </c>
    </row>
    <row r="11" spans="1:21" x14ac:dyDescent="0.25">
      <c r="M11" t="s">
        <v>167</v>
      </c>
      <c r="N11" t="s">
        <v>122</v>
      </c>
      <c r="O11">
        <v>151.66</v>
      </c>
      <c r="P11">
        <v>56.6</v>
      </c>
      <c r="Q11">
        <v>70.630750262860616</v>
      </c>
      <c r="R11">
        <f t="shared" si="7"/>
        <v>171.41744415542863</v>
      </c>
      <c r="S11">
        <f t="shared" si="8"/>
        <v>25.402483751835891</v>
      </c>
      <c r="T11">
        <v>1.1302745889188226</v>
      </c>
      <c r="U11">
        <v>0.16749626633150397</v>
      </c>
    </row>
    <row r="12" spans="1:21" x14ac:dyDescent="0.25">
      <c r="A12" s="27" t="s">
        <v>406</v>
      </c>
      <c r="B12" s="27" t="s">
        <v>35</v>
      </c>
      <c r="C12" s="27" t="s">
        <v>36</v>
      </c>
      <c r="D12" s="27" t="s">
        <v>37</v>
      </c>
      <c r="E12" s="27" t="s">
        <v>38</v>
      </c>
      <c r="F12" s="27" t="s">
        <v>39</v>
      </c>
      <c r="G12" s="27" t="s">
        <v>40</v>
      </c>
      <c r="H12" s="27" t="s">
        <v>41</v>
      </c>
      <c r="I12" s="27" t="s">
        <v>42</v>
      </c>
      <c r="J12" s="2" t="s">
        <v>411</v>
      </c>
      <c r="M12" t="s">
        <v>167</v>
      </c>
      <c r="N12" t="s">
        <v>122</v>
      </c>
      <c r="O12">
        <v>151.66</v>
      </c>
      <c r="P12">
        <v>56.6</v>
      </c>
      <c r="Q12">
        <v>70.630750262860616</v>
      </c>
      <c r="R12">
        <f t="shared" si="7"/>
        <v>171.41744415542863</v>
      </c>
      <c r="S12">
        <f t="shared" si="8"/>
        <v>25.402483751835891</v>
      </c>
      <c r="T12">
        <v>1.1302745889188226</v>
      </c>
      <c r="U12">
        <v>0.16749626633150397</v>
      </c>
    </row>
    <row r="13" spans="1:21" x14ac:dyDescent="0.25">
      <c r="A13" t="s">
        <v>157</v>
      </c>
      <c r="B13">
        <v>562.52</v>
      </c>
      <c r="C13">
        <v>0</v>
      </c>
      <c r="D13">
        <v>2.7796637938074201E-2</v>
      </c>
      <c r="E13">
        <v>169</v>
      </c>
      <c r="F13">
        <v>53.285725702774101</v>
      </c>
      <c r="G13">
        <v>20.025540405413601</v>
      </c>
      <c r="H13">
        <v>275.373630058213</v>
      </c>
      <c r="I13">
        <v>610.96426176974103</v>
      </c>
      <c r="J13" s="47">
        <f t="shared" ref="J13:J18" si="9">H13/B13</f>
        <v>0.4895357143892004</v>
      </c>
      <c r="M13" t="s">
        <v>167</v>
      </c>
      <c r="N13" t="s">
        <v>122</v>
      </c>
      <c r="O13">
        <v>151.66</v>
      </c>
      <c r="P13">
        <v>56.6</v>
      </c>
      <c r="Q13">
        <v>70.630750262860616</v>
      </c>
      <c r="R13">
        <f t="shared" si="7"/>
        <v>171.41744415542863</v>
      </c>
      <c r="S13">
        <f t="shared" si="8"/>
        <v>25.402483751835891</v>
      </c>
      <c r="T13">
        <v>1.1302745889188226</v>
      </c>
      <c r="U13">
        <v>0.16749626633150397</v>
      </c>
    </row>
    <row r="14" spans="1:21" x14ac:dyDescent="0.25">
      <c r="A14" t="s">
        <v>160</v>
      </c>
      <c r="B14">
        <v>698.53499999999997</v>
      </c>
      <c r="C14">
        <v>9.14911955902553E-2</v>
      </c>
      <c r="D14">
        <v>9.6647765821509996E-2</v>
      </c>
      <c r="E14">
        <v>179</v>
      </c>
      <c r="F14">
        <v>35.4245718525491</v>
      </c>
      <c r="G14">
        <v>24.867632914555301</v>
      </c>
      <c r="H14">
        <v>291.28765455670799</v>
      </c>
      <c r="I14">
        <v>758.69288308917999</v>
      </c>
      <c r="J14" s="47">
        <f t="shared" si="9"/>
        <v>0.41699793790820505</v>
      </c>
      <c r="M14" t="s">
        <v>167</v>
      </c>
      <c r="N14" t="s">
        <v>122</v>
      </c>
      <c r="O14">
        <v>151.66</v>
      </c>
      <c r="P14">
        <v>56.6</v>
      </c>
      <c r="Q14">
        <v>70.455842824736166</v>
      </c>
      <c r="R14">
        <f t="shared" si="7"/>
        <v>171.41744415542863</v>
      </c>
      <c r="S14">
        <f t="shared" si="8"/>
        <v>25.402483751835891</v>
      </c>
      <c r="T14">
        <v>1.1302745889188226</v>
      </c>
      <c r="U14">
        <v>0.16749626633150397</v>
      </c>
    </row>
    <row r="15" spans="1:21" x14ac:dyDescent="0.25">
      <c r="A15" t="s">
        <v>162</v>
      </c>
      <c r="B15">
        <v>638.46285714285602</v>
      </c>
      <c r="C15">
        <v>7.6348348575361394E-2</v>
      </c>
      <c r="D15">
        <v>7.27444471789533E-2</v>
      </c>
      <c r="E15">
        <v>179</v>
      </c>
      <c r="F15">
        <v>51.129983050636802</v>
      </c>
      <c r="G15">
        <v>22.729082953619599</v>
      </c>
      <c r="H15">
        <v>256.15438258671003</v>
      </c>
      <c r="I15">
        <v>693.44732308484095</v>
      </c>
      <c r="J15" s="47">
        <f t="shared" si="9"/>
        <v>0.40120483082290798</v>
      </c>
      <c r="M15" t="s">
        <v>167</v>
      </c>
      <c r="N15" t="s">
        <v>122</v>
      </c>
      <c r="O15">
        <v>151.66</v>
      </c>
      <c r="P15">
        <v>56.6</v>
      </c>
      <c r="Q15">
        <v>70.455842824736166</v>
      </c>
      <c r="R15">
        <f t="shared" si="7"/>
        <v>171.41744415542863</v>
      </c>
      <c r="S15">
        <f t="shared" si="8"/>
        <v>25.402483751835891</v>
      </c>
      <c r="T15">
        <v>1.1302745889188226</v>
      </c>
      <c r="U15">
        <v>0.16749626633150397</v>
      </c>
    </row>
    <row r="16" spans="1:21" x14ac:dyDescent="0.25">
      <c r="A16" t="s">
        <v>163</v>
      </c>
      <c r="B16">
        <v>336.08</v>
      </c>
      <c r="C16">
        <v>5.3794325187228403E-2</v>
      </c>
      <c r="D16">
        <v>5.3413522005729602E-2</v>
      </c>
      <c r="E16">
        <v>109.08</v>
      </c>
      <c r="F16">
        <v>41.915763754167898</v>
      </c>
      <c r="G16">
        <v>11.9643454800743</v>
      </c>
      <c r="H16">
        <v>148.30416484676499</v>
      </c>
      <c r="I16">
        <v>365.02323312162099</v>
      </c>
      <c r="J16" s="47">
        <f t="shared" si="9"/>
        <v>0.44127637719223101</v>
      </c>
      <c r="M16" t="s">
        <v>167</v>
      </c>
      <c r="N16" t="s">
        <v>122</v>
      </c>
      <c r="O16">
        <v>151.66</v>
      </c>
      <c r="P16">
        <v>56.6</v>
      </c>
      <c r="Q16">
        <v>70.630750262860616</v>
      </c>
      <c r="R16">
        <f t="shared" si="7"/>
        <v>171.41744415542863</v>
      </c>
      <c r="S16">
        <f t="shared" si="8"/>
        <v>25.402483751835891</v>
      </c>
      <c r="T16">
        <v>1.1302745889188226</v>
      </c>
      <c r="U16">
        <v>0.16749626633150397</v>
      </c>
    </row>
    <row r="17" spans="1:21" x14ac:dyDescent="0.25">
      <c r="A17" t="s">
        <v>164</v>
      </c>
      <c r="B17">
        <v>612.05999999999904</v>
      </c>
      <c r="C17">
        <v>0</v>
      </c>
      <c r="D17">
        <v>3.0244631686656E-2</v>
      </c>
      <c r="E17">
        <v>255</v>
      </c>
      <c r="F17">
        <v>129.095003330796</v>
      </c>
      <c r="G17">
        <v>21.789149293425101</v>
      </c>
      <c r="H17">
        <v>299.625229349054</v>
      </c>
      <c r="I17">
        <v>664.77065003695395</v>
      </c>
      <c r="J17" s="47">
        <f t="shared" si="9"/>
        <v>0.48953571438920118</v>
      </c>
      <c r="M17" t="s">
        <v>167</v>
      </c>
      <c r="N17" t="s">
        <v>122</v>
      </c>
      <c r="O17">
        <v>151.66</v>
      </c>
      <c r="P17">
        <v>56.6</v>
      </c>
      <c r="Q17">
        <v>70.630750262860616</v>
      </c>
      <c r="R17">
        <f t="shared" si="7"/>
        <v>171.41744415542863</v>
      </c>
      <c r="S17">
        <f t="shared" si="8"/>
        <v>25.402483751835891</v>
      </c>
      <c r="T17">
        <v>1.1302745889188226</v>
      </c>
      <c r="U17">
        <v>0.16749626633150397</v>
      </c>
    </row>
    <row r="18" spans="1:21" x14ac:dyDescent="0.25">
      <c r="A18" t="s">
        <v>167</v>
      </c>
      <c r="B18">
        <v>151.66</v>
      </c>
      <c r="C18">
        <v>2.2013191527321101E-2</v>
      </c>
      <c r="D18">
        <v>1.95296013954902E-2</v>
      </c>
      <c r="E18">
        <v>56.6</v>
      </c>
      <c r="F18">
        <v>25.402483751835899</v>
      </c>
      <c r="G18">
        <v>5.3990497366938701</v>
      </c>
      <c r="H18">
        <v>70.564478576335205</v>
      </c>
      <c r="I18">
        <v>171.417444155428</v>
      </c>
      <c r="J18" s="47">
        <f t="shared" si="9"/>
        <v>0.46528075020661486</v>
      </c>
      <c r="M18" t="s">
        <v>167</v>
      </c>
      <c r="N18" t="s">
        <v>122</v>
      </c>
      <c r="O18">
        <v>151.66</v>
      </c>
      <c r="P18">
        <v>56.6</v>
      </c>
      <c r="Q18">
        <v>70.455842824736166</v>
      </c>
      <c r="R18">
        <f t="shared" si="7"/>
        <v>171.41744415542863</v>
      </c>
      <c r="S18">
        <f t="shared" si="8"/>
        <v>25.402483751835891</v>
      </c>
      <c r="T18">
        <v>1.1302745889188226</v>
      </c>
      <c r="U18">
        <v>0.16749626633150397</v>
      </c>
    </row>
    <row r="19" spans="1:21" x14ac:dyDescent="0.25">
      <c r="M19" t="s">
        <v>167</v>
      </c>
      <c r="N19" t="s">
        <v>122</v>
      </c>
      <c r="O19">
        <v>151.66</v>
      </c>
      <c r="P19">
        <v>56.6</v>
      </c>
      <c r="Q19">
        <v>70.455842824736166</v>
      </c>
      <c r="R19">
        <f t="shared" si="7"/>
        <v>171.41744415542863</v>
      </c>
      <c r="S19">
        <f t="shared" si="8"/>
        <v>25.402483751835891</v>
      </c>
      <c r="T19">
        <v>1.1302745889188226</v>
      </c>
      <c r="U19">
        <v>0.16749626633150397</v>
      </c>
    </row>
    <row r="20" spans="1:21" x14ac:dyDescent="0.25">
      <c r="M20" t="s">
        <v>167</v>
      </c>
      <c r="N20" t="s">
        <v>122</v>
      </c>
      <c r="O20">
        <v>151.66</v>
      </c>
      <c r="P20">
        <v>56.6</v>
      </c>
      <c r="Q20">
        <v>70.455842824736166</v>
      </c>
      <c r="R20">
        <f t="shared" si="7"/>
        <v>171.41744415542863</v>
      </c>
      <c r="S20">
        <f t="shared" si="8"/>
        <v>25.402483751835891</v>
      </c>
      <c r="T20">
        <v>1.1302745889188226</v>
      </c>
      <c r="U20">
        <v>0.16749626633150397</v>
      </c>
    </row>
    <row r="21" spans="1:21" x14ac:dyDescent="0.25">
      <c r="M21" t="s">
        <v>167</v>
      </c>
      <c r="N21" t="s">
        <v>122</v>
      </c>
      <c r="O21">
        <v>151.66</v>
      </c>
      <c r="P21">
        <v>56.6</v>
      </c>
      <c r="Q21">
        <v>70.455842824736166</v>
      </c>
      <c r="R21">
        <f t="shared" si="7"/>
        <v>171.41744415542863</v>
      </c>
      <c r="S21">
        <f t="shared" si="8"/>
        <v>25.402483751835891</v>
      </c>
      <c r="T21">
        <v>1.1302745889188226</v>
      </c>
      <c r="U21">
        <v>0.16749626633150397</v>
      </c>
    </row>
    <row r="22" spans="1:21" x14ac:dyDescent="0.25">
      <c r="M22" t="s">
        <v>167</v>
      </c>
      <c r="N22" t="s">
        <v>122</v>
      </c>
      <c r="O22">
        <v>151.66</v>
      </c>
      <c r="P22">
        <v>56.6</v>
      </c>
      <c r="Q22">
        <v>70.752391280252567</v>
      </c>
      <c r="R22">
        <f t="shared" si="7"/>
        <v>171.41744415542863</v>
      </c>
      <c r="S22">
        <f t="shared" si="8"/>
        <v>25.402483751835891</v>
      </c>
      <c r="T22">
        <v>1.1302745889188226</v>
      </c>
      <c r="U22">
        <v>0.16749626633150397</v>
      </c>
    </row>
    <row r="23" spans="1:21" x14ac:dyDescent="0.25">
      <c r="M23" t="s">
        <v>167</v>
      </c>
      <c r="N23" t="s">
        <v>122</v>
      </c>
      <c r="O23">
        <v>151.66</v>
      </c>
      <c r="P23">
        <v>56.6</v>
      </c>
      <c r="Q23">
        <v>70.752391280252567</v>
      </c>
      <c r="R23">
        <f t="shared" si="7"/>
        <v>171.41744415542863</v>
      </c>
      <c r="S23">
        <f t="shared" si="8"/>
        <v>25.402483751835891</v>
      </c>
      <c r="T23">
        <v>1.1302745889188226</v>
      </c>
      <c r="U23">
        <v>0.16749626633150397</v>
      </c>
    </row>
    <row r="24" spans="1:21" x14ac:dyDescent="0.25">
      <c r="M24" t="s">
        <v>167</v>
      </c>
      <c r="N24" t="s">
        <v>122</v>
      </c>
      <c r="O24">
        <v>151.66</v>
      </c>
      <c r="P24">
        <v>56.6</v>
      </c>
      <c r="Q24">
        <v>70.630750262860616</v>
      </c>
      <c r="R24">
        <f t="shared" si="7"/>
        <v>171.41744415542863</v>
      </c>
      <c r="S24">
        <f t="shared" si="8"/>
        <v>25.402483751835891</v>
      </c>
      <c r="T24">
        <v>1.1302745889188226</v>
      </c>
      <c r="U24">
        <v>0.16749626633150397</v>
      </c>
    </row>
    <row r="25" spans="1:21" x14ac:dyDescent="0.25">
      <c r="M25" t="s">
        <v>167</v>
      </c>
      <c r="N25" t="s">
        <v>122</v>
      </c>
      <c r="O25">
        <v>151.66</v>
      </c>
      <c r="P25">
        <v>56.6</v>
      </c>
      <c r="Q25">
        <v>70.630750262860616</v>
      </c>
      <c r="R25">
        <f t="shared" si="7"/>
        <v>171.41744415542863</v>
      </c>
      <c r="S25">
        <f t="shared" si="8"/>
        <v>25.402483751835891</v>
      </c>
      <c r="T25">
        <v>1.1302745889188226</v>
      </c>
      <c r="U25">
        <v>0.16749626633150397</v>
      </c>
    </row>
    <row r="26" spans="1:21" x14ac:dyDescent="0.25">
      <c r="M26" t="s">
        <v>167</v>
      </c>
      <c r="N26" t="s">
        <v>122</v>
      </c>
      <c r="O26">
        <v>151.66</v>
      </c>
      <c r="P26">
        <v>56.6</v>
      </c>
      <c r="Q26">
        <v>70.455842824736166</v>
      </c>
      <c r="R26">
        <f t="shared" si="7"/>
        <v>171.41744415542863</v>
      </c>
      <c r="S26">
        <f t="shared" si="8"/>
        <v>25.402483751835891</v>
      </c>
      <c r="T26">
        <v>1.1302745889188226</v>
      </c>
      <c r="U26">
        <v>0.16749626633150397</v>
      </c>
    </row>
    <row r="27" spans="1:21" x14ac:dyDescent="0.25">
      <c r="M27" t="s">
        <v>167</v>
      </c>
      <c r="N27" t="s">
        <v>122</v>
      </c>
      <c r="O27">
        <v>151.66</v>
      </c>
      <c r="P27">
        <v>56.6</v>
      </c>
      <c r="Q27">
        <v>70.455842824736166</v>
      </c>
      <c r="R27">
        <f t="shared" si="7"/>
        <v>171.41744415542863</v>
      </c>
      <c r="S27">
        <f t="shared" si="8"/>
        <v>25.402483751835891</v>
      </c>
      <c r="T27">
        <v>1.1302745889188226</v>
      </c>
      <c r="U27">
        <v>0.16749626633150397</v>
      </c>
    </row>
    <row r="28" spans="1:21" x14ac:dyDescent="0.25">
      <c r="M28" t="s">
        <v>167</v>
      </c>
      <c r="N28" t="s">
        <v>122</v>
      </c>
      <c r="O28">
        <v>151.66</v>
      </c>
      <c r="P28">
        <v>56.6</v>
      </c>
      <c r="Q28">
        <v>70.455842824736166</v>
      </c>
      <c r="R28">
        <f t="shared" si="7"/>
        <v>171.41744415542863</v>
      </c>
      <c r="S28">
        <f t="shared" si="8"/>
        <v>25.402483751835891</v>
      </c>
      <c r="T28">
        <v>1.1302745889188226</v>
      </c>
      <c r="U28">
        <v>0.16749626633150397</v>
      </c>
    </row>
    <row r="29" spans="1:21" x14ac:dyDescent="0.25">
      <c r="M29" t="s">
        <v>167</v>
      </c>
      <c r="N29" t="s">
        <v>122</v>
      </c>
      <c r="O29">
        <v>151.66</v>
      </c>
      <c r="P29">
        <v>56.6</v>
      </c>
      <c r="Q29">
        <v>70.455842824736166</v>
      </c>
      <c r="R29">
        <f t="shared" si="7"/>
        <v>171.41744415542863</v>
      </c>
      <c r="S29">
        <f t="shared" si="8"/>
        <v>25.402483751835891</v>
      </c>
      <c r="T29">
        <v>1.1302745889188226</v>
      </c>
      <c r="U29">
        <v>0.16749626633150397</v>
      </c>
    </row>
    <row r="30" spans="1:21" x14ac:dyDescent="0.25">
      <c r="M30" t="s">
        <v>157</v>
      </c>
      <c r="N30" t="s">
        <v>122</v>
      </c>
      <c r="O30">
        <v>562.52</v>
      </c>
      <c r="P30">
        <v>169</v>
      </c>
      <c r="Q30">
        <v>276.09104097913388</v>
      </c>
      <c r="R30">
        <f t="shared" si="7"/>
        <v>610.96426176974103</v>
      </c>
      <c r="S30">
        <f t="shared" si="8"/>
        <v>53.28572570277413</v>
      </c>
      <c r="T30">
        <v>1.0861200699881624</v>
      </c>
      <c r="U30">
        <v>9.4726810962764224E-2</v>
      </c>
    </row>
    <row r="31" spans="1:21" x14ac:dyDescent="0.25">
      <c r="M31" t="s">
        <v>157</v>
      </c>
      <c r="N31" t="s">
        <v>122</v>
      </c>
      <c r="O31">
        <v>562.52</v>
      </c>
      <c r="P31">
        <v>169</v>
      </c>
      <c r="Q31">
        <v>276.09104097913388</v>
      </c>
      <c r="R31">
        <f t="shared" si="7"/>
        <v>610.96426176974103</v>
      </c>
      <c r="S31">
        <f t="shared" si="8"/>
        <v>53.28572570277413</v>
      </c>
      <c r="T31">
        <v>1.0861200699881624</v>
      </c>
      <c r="U31">
        <v>9.4726810962764224E-2</v>
      </c>
    </row>
    <row r="32" spans="1:21" x14ac:dyDescent="0.25">
      <c r="M32" t="s">
        <v>157</v>
      </c>
      <c r="N32" t="s">
        <v>122</v>
      </c>
      <c r="O32">
        <v>562.52</v>
      </c>
      <c r="P32">
        <v>169</v>
      </c>
      <c r="Q32">
        <v>274.302129288164</v>
      </c>
      <c r="R32">
        <f t="shared" si="7"/>
        <v>610.96426176974103</v>
      </c>
      <c r="S32">
        <f t="shared" si="8"/>
        <v>53.28572570277413</v>
      </c>
      <c r="T32">
        <v>1.0861200699881624</v>
      </c>
      <c r="U32">
        <v>9.4726810962764224E-2</v>
      </c>
    </row>
    <row r="33" spans="13:21" x14ac:dyDescent="0.25">
      <c r="M33" t="s">
        <v>157</v>
      </c>
      <c r="N33" t="s">
        <v>122</v>
      </c>
      <c r="O33">
        <v>562.52</v>
      </c>
      <c r="P33">
        <v>169</v>
      </c>
      <c r="Q33">
        <v>274.302129288164</v>
      </c>
      <c r="R33">
        <f t="shared" si="7"/>
        <v>610.96426176974103</v>
      </c>
      <c r="S33">
        <f t="shared" si="8"/>
        <v>53.28572570277413</v>
      </c>
      <c r="T33">
        <v>1.0861200699881624</v>
      </c>
      <c r="U33">
        <v>9.4726810962764224E-2</v>
      </c>
    </row>
    <row r="34" spans="13:21" x14ac:dyDescent="0.25">
      <c r="M34" t="s">
        <v>157</v>
      </c>
      <c r="N34" t="s">
        <v>122</v>
      </c>
      <c r="O34">
        <v>562.52</v>
      </c>
      <c r="P34">
        <v>169</v>
      </c>
      <c r="Q34">
        <v>277.29103378075416</v>
      </c>
      <c r="R34">
        <f t="shared" ref="R34:R65" si="10">O34*T34</f>
        <v>610.96426176974103</v>
      </c>
      <c r="S34">
        <f t="shared" ref="S34:S65" si="11">O34*U34</f>
        <v>53.28572570277413</v>
      </c>
      <c r="T34">
        <v>1.0861200699881624</v>
      </c>
      <c r="U34">
        <v>9.4726810962764224E-2</v>
      </c>
    </row>
    <row r="35" spans="13:21" x14ac:dyDescent="0.25">
      <c r="M35" t="s">
        <v>157</v>
      </c>
      <c r="N35" t="s">
        <v>122</v>
      </c>
      <c r="O35">
        <v>562.52</v>
      </c>
      <c r="P35">
        <v>169</v>
      </c>
      <c r="Q35">
        <v>277.29103378075416</v>
      </c>
      <c r="R35">
        <f t="shared" si="10"/>
        <v>610.96426176974103</v>
      </c>
      <c r="S35">
        <f t="shared" si="11"/>
        <v>53.28572570277413</v>
      </c>
      <c r="T35">
        <v>1.0861200699881624</v>
      </c>
      <c r="U35">
        <v>9.4726810962764224E-2</v>
      </c>
    </row>
    <row r="36" spans="13:21" x14ac:dyDescent="0.25">
      <c r="M36" t="s">
        <v>157</v>
      </c>
      <c r="N36" t="s">
        <v>122</v>
      </c>
      <c r="O36">
        <v>562.52</v>
      </c>
      <c r="P36">
        <v>169</v>
      </c>
      <c r="Q36">
        <v>275.07440807359785</v>
      </c>
      <c r="R36">
        <f t="shared" si="10"/>
        <v>610.96426176974103</v>
      </c>
      <c r="S36">
        <f t="shared" si="11"/>
        <v>53.28572570277413</v>
      </c>
      <c r="T36">
        <v>1.0861200699881624</v>
      </c>
      <c r="U36">
        <v>9.4726810962764224E-2</v>
      </c>
    </row>
    <row r="37" spans="13:21" x14ac:dyDescent="0.25">
      <c r="M37" t="s">
        <v>157</v>
      </c>
      <c r="N37" t="s">
        <v>122</v>
      </c>
      <c r="O37">
        <v>562.52</v>
      </c>
      <c r="P37">
        <v>169</v>
      </c>
      <c r="Q37">
        <v>275.07440807359785</v>
      </c>
      <c r="R37">
        <f t="shared" si="10"/>
        <v>610.96426176974103</v>
      </c>
      <c r="S37">
        <f t="shared" si="11"/>
        <v>53.28572570277413</v>
      </c>
      <c r="T37">
        <v>1.0861200699881624</v>
      </c>
      <c r="U37">
        <v>9.4726810962764224E-2</v>
      </c>
    </row>
    <row r="38" spans="13:21" x14ac:dyDescent="0.25">
      <c r="M38" t="s">
        <v>157</v>
      </c>
      <c r="N38" t="s">
        <v>122</v>
      </c>
      <c r="O38">
        <v>562.52</v>
      </c>
      <c r="P38">
        <v>169</v>
      </c>
      <c r="Q38">
        <v>275.17970194935452</v>
      </c>
      <c r="R38">
        <f t="shared" si="10"/>
        <v>610.96426176974103</v>
      </c>
      <c r="S38">
        <f t="shared" si="11"/>
        <v>53.28572570277413</v>
      </c>
      <c r="T38">
        <v>1.0861200699881624</v>
      </c>
      <c r="U38">
        <v>9.4726810962764224E-2</v>
      </c>
    </row>
    <row r="39" spans="13:21" x14ac:dyDescent="0.25">
      <c r="M39" t="s">
        <v>157</v>
      </c>
      <c r="N39" t="s">
        <v>122</v>
      </c>
      <c r="O39">
        <v>562.52</v>
      </c>
      <c r="P39">
        <v>169</v>
      </c>
      <c r="Q39">
        <v>275.17970194935452</v>
      </c>
      <c r="R39">
        <f t="shared" si="10"/>
        <v>610.96426176974103</v>
      </c>
      <c r="S39">
        <f t="shared" si="11"/>
        <v>53.28572570277413</v>
      </c>
      <c r="T39">
        <v>1.0861200699881624</v>
      </c>
      <c r="U39">
        <v>9.4726810962764224E-2</v>
      </c>
    </row>
    <row r="40" spans="13:21" x14ac:dyDescent="0.25">
      <c r="M40" t="s">
        <v>157</v>
      </c>
      <c r="N40" t="s">
        <v>122</v>
      </c>
      <c r="O40">
        <v>562.52</v>
      </c>
      <c r="P40">
        <v>169</v>
      </c>
      <c r="Q40">
        <v>274.302129288164</v>
      </c>
      <c r="R40">
        <f t="shared" si="10"/>
        <v>610.96426176974103</v>
      </c>
      <c r="S40">
        <f t="shared" si="11"/>
        <v>53.28572570277413</v>
      </c>
      <c r="T40">
        <v>1.0861200699881624</v>
      </c>
      <c r="U40">
        <v>9.4726810962764224E-2</v>
      </c>
    </row>
    <row r="41" spans="13:21" x14ac:dyDescent="0.25">
      <c r="M41" t="s">
        <v>157</v>
      </c>
      <c r="N41" t="s">
        <v>122</v>
      </c>
      <c r="O41">
        <v>562.52</v>
      </c>
      <c r="P41">
        <v>169</v>
      </c>
      <c r="Q41">
        <v>274.302129288164</v>
      </c>
      <c r="R41">
        <f t="shared" si="10"/>
        <v>610.96426176974103</v>
      </c>
      <c r="S41">
        <f t="shared" si="11"/>
        <v>53.28572570277413</v>
      </c>
      <c r="T41">
        <v>1.0861200699881624</v>
      </c>
      <c r="U41">
        <v>9.4726810962764224E-2</v>
      </c>
    </row>
    <row r="42" spans="13:21" x14ac:dyDescent="0.25">
      <c r="M42" t="s">
        <v>157</v>
      </c>
      <c r="N42" t="s">
        <v>122</v>
      </c>
      <c r="O42">
        <v>562.52</v>
      </c>
      <c r="P42">
        <v>169</v>
      </c>
      <c r="Q42">
        <v>267.70501248925746</v>
      </c>
      <c r="R42">
        <f t="shared" si="10"/>
        <v>610.96426176974103</v>
      </c>
      <c r="S42">
        <f t="shared" si="11"/>
        <v>53.28572570277413</v>
      </c>
      <c r="T42">
        <v>1.0861200699881624</v>
      </c>
      <c r="U42">
        <v>9.4726810962764224E-2</v>
      </c>
    </row>
    <row r="43" spans="13:21" x14ac:dyDescent="0.25">
      <c r="M43" t="s">
        <v>157</v>
      </c>
      <c r="N43" t="s">
        <v>122</v>
      </c>
      <c r="O43">
        <v>562.52</v>
      </c>
      <c r="P43">
        <v>169</v>
      </c>
      <c r="Q43">
        <v>267.70501248925746</v>
      </c>
      <c r="R43">
        <f t="shared" si="10"/>
        <v>610.96426176974103</v>
      </c>
      <c r="S43">
        <f t="shared" si="11"/>
        <v>53.28572570277413</v>
      </c>
      <c r="T43">
        <v>1.0861200699881624</v>
      </c>
      <c r="U43">
        <v>9.4726810962764224E-2</v>
      </c>
    </row>
    <row r="44" spans="13:21" x14ac:dyDescent="0.25">
      <c r="M44" t="s">
        <v>157</v>
      </c>
      <c r="N44" t="s">
        <v>122</v>
      </c>
      <c r="O44">
        <v>562.52</v>
      </c>
      <c r="P44">
        <v>169</v>
      </c>
      <c r="Q44">
        <v>278.5904329838279</v>
      </c>
      <c r="R44">
        <f t="shared" si="10"/>
        <v>610.96426176974103</v>
      </c>
      <c r="S44">
        <f t="shared" si="11"/>
        <v>53.28572570277413</v>
      </c>
      <c r="T44">
        <v>1.0861200699881624</v>
      </c>
      <c r="U44">
        <v>9.4726810962764224E-2</v>
      </c>
    </row>
    <row r="45" spans="13:21" x14ac:dyDescent="0.25">
      <c r="M45" t="s">
        <v>157</v>
      </c>
      <c r="N45" t="s">
        <v>122</v>
      </c>
      <c r="O45">
        <v>562.52</v>
      </c>
      <c r="P45">
        <v>169</v>
      </c>
      <c r="Q45">
        <v>278.5904329838279</v>
      </c>
      <c r="R45">
        <f t="shared" si="10"/>
        <v>610.96426176974103</v>
      </c>
      <c r="S45">
        <f t="shared" si="11"/>
        <v>53.28572570277413</v>
      </c>
      <c r="T45">
        <v>1.0861200699881624</v>
      </c>
      <c r="U45">
        <v>9.4726810962764224E-2</v>
      </c>
    </row>
    <row r="46" spans="13:21" x14ac:dyDescent="0.25">
      <c r="M46" t="s">
        <v>157</v>
      </c>
      <c r="N46" t="s">
        <v>122</v>
      </c>
      <c r="O46">
        <v>562.52</v>
      </c>
      <c r="P46">
        <v>169</v>
      </c>
      <c r="Q46">
        <v>277.29103378075416</v>
      </c>
      <c r="R46">
        <f t="shared" si="10"/>
        <v>610.96426176974103</v>
      </c>
      <c r="S46">
        <f t="shared" si="11"/>
        <v>53.28572570277413</v>
      </c>
      <c r="T46">
        <v>1.0861200699881624</v>
      </c>
      <c r="U46">
        <v>9.4726810962764224E-2</v>
      </c>
    </row>
    <row r="47" spans="13:21" x14ac:dyDescent="0.25">
      <c r="M47" t="s">
        <v>157</v>
      </c>
      <c r="N47" t="s">
        <v>122</v>
      </c>
      <c r="O47">
        <v>562.52</v>
      </c>
      <c r="P47">
        <v>169</v>
      </c>
      <c r="Q47">
        <v>277.29103378075416</v>
      </c>
      <c r="R47">
        <f t="shared" si="10"/>
        <v>610.96426176974103</v>
      </c>
      <c r="S47">
        <f t="shared" si="11"/>
        <v>53.28572570277413</v>
      </c>
      <c r="T47">
        <v>1.0861200699881624</v>
      </c>
      <c r="U47">
        <v>9.4726810962764224E-2</v>
      </c>
    </row>
    <row r="48" spans="13:21" x14ac:dyDescent="0.25">
      <c r="M48" t="s">
        <v>157</v>
      </c>
      <c r="N48" t="s">
        <v>122</v>
      </c>
      <c r="O48">
        <v>562.52</v>
      </c>
      <c r="P48">
        <v>169</v>
      </c>
      <c r="Q48">
        <v>277.29103378075416</v>
      </c>
      <c r="R48">
        <f t="shared" si="10"/>
        <v>610.96426176974103</v>
      </c>
      <c r="S48">
        <f t="shared" si="11"/>
        <v>53.28572570277413</v>
      </c>
      <c r="T48">
        <v>1.0861200699881624</v>
      </c>
      <c r="U48">
        <v>9.4726810962764224E-2</v>
      </c>
    </row>
    <row r="49" spans="13:21" x14ac:dyDescent="0.25">
      <c r="M49" t="s">
        <v>157</v>
      </c>
      <c r="N49" t="s">
        <v>122</v>
      </c>
      <c r="O49">
        <v>562.52</v>
      </c>
      <c r="P49">
        <v>169</v>
      </c>
      <c r="Q49">
        <v>277.29103378075416</v>
      </c>
      <c r="R49">
        <f t="shared" si="10"/>
        <v>610.96426176974103</v>
      </c>
      <c r="S49">
        <f t="shared" si="11"/>
        <v>53.28572570277413</v>
      </c>
      <c r="T49">
        <v>1.0861200699881624</v>
      </c>
      <c r="U49">
        <v>9.4726810962764224E-2</v>
      </c>
    </row>
    <row r="50" spans="13:21" x14ac:dyDescent="0.25">
      <c r="M50" t="s">
        <v>157</v>
      </c>
      <c r="N50" t="s">
        <v>122</v>
      </c>
      <c r="O50">
        <v>562.52</v>
      </c>
      <c r="P50">
        <v>169</v>
      </c>
      <c r="Q50">
        <v>277.54170976474353</v>
      </c>
      <c r="R50">
        <f t="shared" si="10"/>
        <v>610.96426176974103</v>
      </c>
      <c r="S50">
        <f t="shared" si="11"/>
        <v>53.28572570277413</v>
      </c>
      <c r="T50">
        <v>1.0861200699881624</v>
      </c>
      <c r="U50">
        <v>9.4726810962764224E-2</v>
      </c>
    </row>
    <row r="51" spans="13:21" x14ac:dyDescent="0.25">
      <c r="M51" t="s">
        <v>157</v>
      </c>
      <c r="N51" t="s">
        <v>122</v>
      </c>
      <c r="O51">
        <v>562.52</v>
      </c>
      <c r="P51">
        <v>169</v>
      </c>
      <c r="Q51">
        <v>277.54170976474353</v>
      </c>
      <c r="R51">
        <f t="shared" si="10"/>
        <v>610.96426176974103</v>
      </c>
      <c r="S51">
        <f t="shared" si="11"/>
        <v>53.28572570277413</v>
      </c>
      <c r="T51">
        <v>1.0861200699881624</v>
      </c>
      <c r="U51">
        <v>9.4726810962764224E-2</v>
      </c>
    </row>
    <row r="52" spans="13:21" x14ac:dyDescent="0.25">
      <c r="M52" t="s">
        <v>157</v>
      </c>
      <c r="N52" t="s">
        <v>122</v>
      </c>
      <c r="O52">
        <v>562.52</v>
      </c>
      <c r="P52">
        <v>169</v>
      </c>
      <c r="Q52">
        <v>275.49168705440786</v>
      </c>
      <c r="R52">
        <f t="shared" si="10"/>
        <v>610.96426176974103</v>
      </c>
      <c r="S52">
        <f t="shared" si="11"/>
        <v>53.28572570277413</v>
      </c>
      <c r="T52">
        <v>1.0861200699881624</v>
      </c>
      <c r="U52">
        <v>9.4726810962764224E-2</v>
      </c>
    </row>
    <row r="53" spans="13:21" x14ac:dyDescent="0.25">
      <c r="M53" t="s">
        <v>157</v>
      </c>
      <c r="N53" t="s">
        <v>122</v>
      </c>
      <c r="O53">
        <v>562.52</v>
      </c>
      <c r="P53">
        <v>169</v>
      </c>
      <c r="Q53">
        <v>275.49168705440786</v>
      </c>
      <c r="R53">
        <f t="shared" si="10"/>
        <v>610.96426176974103</v>
      </c>
      <c r="S53">
        <f t="shared" si="11"/>
        <v>53.28572570277413</v>
      </c>
      <c r="T53">
        <v>1.0861200699881624</v>
      </c>
      <c r="U53">
        <v>9.4726810962764224E-2</v>
      </c>
    </row>
    <row r="54" spans="13:21" x14ac:dyDescent="0.25">
      <c r="M54" t="s">
        <v>157</v>
      </c>
      <c r="N54" t="s">
        <v>122</v>
      </c>
      <c r="O54">
        <v>562.52</v>
      </c>
      <c r="P54">
        <v>169</v>
      </c>
      <c r="Q54">
        <v>273.02105820311806</v>
      </c>
      <c r="R54">
        <f t="shared" si="10"/>
        <v>610.96426176974103</v>
      </c>
      <c r="S54">
        <f t="shared" si="11"/>
        <v>53.28572570277413</v>
      </c>
      <c r="T54">
        <v>1.0861200699881624</v>
      </c>
      <c r="U54">
        <v>9.4726810962764224E-2</v>
      </c>
    </row>
    <row r="55" spans="13:21" x14ac:dyDescent="0.25">
      <c r="M55" t="s">
        <v>157</v>
      </c>
      <c r="N55" t="s">
        <v>122</v>
      </c>
      <c r="O55">
        <v>562.52</v>
      </c>
      <c r="P55">
        <v>169</v>
      </c>
      <c r="Q55">
        <v>273.02105820311806</v>
      </c>
      <c r="R55">
        <f t="shared" si="10"/>
        <v>610.96426176974103</v>
      </c>
      <c r="S55">
        <f t="shared" si="11"/>
        <v>53.28572570277413</v>
      </c>
      <c r="T55">
        <v>1.0861200699881624</v>
      </c>
      <c r="U55">
        <v>9.4726810962764224E-2</v>
      </c>
    </row>
    <row r="56" spans="13:21" x14ac:dyDescent="0.25">
      <c r="M56" t="s">
        <v>157</v>
      </c>
      <c r="N56" t="s">
        <v>122</v>
      </c>
      <c r="O56">
        <v>562.52</v>
      </c>
      <c r="P56">
        <v>169</v>
      </c>
      <c r="Q56">
        <v>276.0584093989587</v>
      </c>
      <c r="R56">
        <f t="shared" si="10"/>
        <v>610.96426176974103</v>
      </c>
      <c r="S56">
        <f t="shared" si="11"/>
        <v>53.28572570277413</v>
      </c>
      <c r="T56">
        <v>1.0861200699881624</v>
      </c>
      <c r="U56">
        <v>9.4726810962764224E-2</v>
      </c>
    </row>
    <row r="57" spans="13:21" x14ac:dyDescent="0.25">
      <c r="M57" t="s">
        <v>157</v>
      </c>
      <c r="N57" t="s">
        <v>122</v>
      </c>
      <c r="O57">
        <v>562.52</v>
      </c>
      <c r="P57">
        <v>169</v>
      </c>
      <c r="Q57">
        <v>276.0584093989587</v>
      </c>
      <c r="R57">
        <f t="shared" si="10"/>
        <v>610.96426176974103</v>
      </c>
      <c r="S57">
        <f t="shared" si="11"/>
        <v>53.28572570277413</v>
      </c>
      <c r="T57">
        <v>1.0861200699881624</v>
      </c>
      <c r="U57">
        <v>9.4726810962764224E-2</v>
      </c>
    </row>
    <row r="58" spans="13:21" x14ac:dyDescent="0.25">
      <c r="M58" t="s">
        <v>160</v>
      </c>
      <c r="N58" t="s">
        <v>122</v>
      </c>
      <c r="O58">
        <v>680.6</v>
      </c>
      <c r="P58">
        <v>179</v>
      </c>
      <c r="Q58">
        <v>298.94454697551271</v>
      </c>
      <c r="R58">
        <f t="shared" si="10"/>
        <v>739.21331963394312</v>
      </c>
      <c r="S58">
        <f t="shared" si="11"/>
        <v>38.995848882365209</v>
      </c>
      <c r="T58">
        <v>1.0861200699881621</v>
      </c>
      <c r="U58">
        <v>5.7296281049610945E-2</v>
      </c>
    </row>
    <row r="59" spans="13:21" x14ac:dyDescent="0.25">
      <c r="M59" t="s">
        <v>160</v>
      </c>
      <c r="N59" t="s">
        <v>122</v>
      </c>
      <c r="O59">
        <v>680.6</v>
      </c>
      <c r="P59">
        <v>179</v>
      </c>
      <c r="Q59">
        <v>298.94454697551271</v>
      </c>
      <c r="R59">
        <f t="shared" si="10"/>
        <v>739.21331963394312</v>
      </c>
      <c r="S59">
        <f t="shared" si="11"/>
        <v>38.995848882365209</v>
      </c>
      <c r="T59">
        <v>1.0861200699881621</v>
      </c>
      <c r="U59">
        <v>5.7296281049610945E-2</v>
      </c>
    </row>
    <row r="60" spans="13:21" x14ac:dyDescent="0.25">
      <c r="M60" t="s">
        <v>160</v>
      </c>
      <c r="N60" t="s">
        <v>122</v>
      </c>
      <c r="O60">
        <v>922.87</v>
      </c>
      <c r="P60">
        <v>179</v>
      </c>
      <c r="Q60">
        <v>321.23469255400585</v>
      </c>
      <c r="R60">
        <f t="shared" si="10"/>
        <v>1002.3476289899754</v>
      </c>
      <c r="S60">
        <f t="shared" si="11"/>
        <v>0</v>
      </c>
      <c r="T60">
        <v>1.0861200699881624</v>
      </c>
      <c r="U60">
        <v>0</v>
      </c>
    </row>
    <row r="61" spans="13:21" x14ac:dyDescent="0.25">
      <c r="M61" t="s">
        <v>160</v>
      </c>
      <c r="N61" t="s">
        <v>122</v>
      </c>
      <c r="O61">
        <v>922.87</v>
      </c>
      <c r="P61">
        <v>179</v>
      </c>
      <c r="Q61">
        <v>321.23469255400585</v>
      </c>
      <c r="R61">
        <f t="shared" si="10"/>
        <v>1002.3476289899754</v>
      </c>
      <c r="S61">
        <f t="shared" si="11"/>
        <v>0</v>
      </c>
      <c r="T61">
        <v>1.0861200699881624</v>
      </c>
      <c r="U61">
        <v>0</v>
      </c>
    </row>
    <row r="62" spans="13:21" x14ac:dyDescent="0.25">
      <c r="M62" t="s">
        <v>160</v>
      </c>
      <c r="N62" t="s">
        <v>122</v>
      </c>
      <c r="O62">
        <v>964.15</v>
      </c>
      <c r="P62">
        <v>179</v>
      </c>
      <c r="Q62">
        <v>345.74156045802431</v>
      </c>
      <c r="R62">
        <f t="shared" si="10"/>
        <v>1047.1826654790866</v>
      </c>
      <c r="S62">
        <f t="shared" si="11"/>
        <v>0</v>
      </c>
      <c r="T62">
        <v>1.0861200699881624</v>
      </c>
      <c r="U62">
        <v>0</v>
      </c>
    </row>
    <row r="63" spans="13:21" x14ac:dyDescent="0.25">
      <c r="M63" t="s">
        <v>160</v>
      </c>
      <c r="N63" t="s">
        <v>122</v>
      </c>
      <c r="O63">
        <v>964.15</v>
      </c>
      <c r="P63">
        <v>179</v>
      </c>
      <c r="Q63">
        <v>345.74156045802431</v>
      </c>
      <c r="R63">
        <f t="shared" si="10"/>
        <v>1047.1826654790866</v>
      </c>
      <c r="S63">
        <f t="shared" si="11"/>
        <v>0</v>
      </c>
      <c r="T63">
        <v>1.0861200699881624</v>
      </c>
      <c r="U63">
        <v>0</v>
      </c>
    </row>
    <row r="64" spans="13:21" x14ac:dyDescent="0.25">
      <c r="M64" t="s">
        <v>160</v>
      </c>
      <c r="N64" t="s">
        <v>122</v>
      </c>
      <c r="O64">
        <v>1780.19999999999</v>
      </c>
      <c r="P64">
        <v>179</v>
      </c>
      <c r="Q64">
        <v>782.03596933612391</v>
      </c>
      <c r="R64">
        <f t="shared" si="10"/>
        <v>1933.5109485929158</v>
      </c>
      <c r="S64">
        <f t="shared" si="11"/>
        <v>0</v>
      </c>
      <c r="T64">
        <v>1.0861200699881624</v>
      </c>
      <c r="U64">
        <v>0</v>
      </c>
    </row>
    <row r="65" spans="13:21" x14ac:dyDescent="0.25">
      <c r="M65" t="s">
        <v>160</v>
      </c>
      <c r="N65" t="s">
        <v>122</v>
      </c>
      <c r="O65">
        <v>1780.19999999999</v>
      </c>
      <c r="P65">
        <v>179</v>
      </c>
      <c r="Q65">
        <v>782.03596933612391</v>
      </c>
      <c r="R65">
        <f t="shared" si="10"/>
        <v>1933.5109485929158</v>
      </c>
      <c r="S65">
        <f t="shared" si="11"/>
        <v>0</v>
      </c>
      <c r="T65">
        <v>1.0861200699881624</v>
      </c>
      <c r="U65">
        <v>0</v>
      </c>
    </row>
    <row r="66" spans="13:21" x14ac:dyDescent="0.25">
      <c r="M66" t="s">
        <v>160</v>
      </c>
      <c r="N66" t="s">
        <v>122</v>
      </c>
      <c r="O66">
        <v>873.59</v>
      </c>
      <c r="P66">
        <v>179</v>
      </c>
      <c r="Q66">
        <v>320.91799323592363</v>
      </c>
      <c r="R66">
        <f t="shared" ref="R66:R97" si="12">O66*T66</f>
        <v>948.82363194095876</v>
      </c>
      <c r="S66">
        <f t="shared" ref="S66:S97" si="13">O66*U66</f>
        <v>0</v>
      </c>
      <c r="T66">
        <v>1.0861200699881624</v>
      </c>
      <c r="U66">
        <v>0</v>
      </c>
    </row>
    <row r="67" spans="13:21" x14ac:dyDescent="0.25">
      <c r="M67" t="s">
        <v>160</v>
      </c>
      <c r="N67" t="s">
        <v>122</v>
      </c>
      <c r="O67">
        <v>873.59</v>
      </c>
      <c r="P67">
        <v>179</v>
      </c>
      <c r="Q67">
        <v>320.91799323592363</v>
      </c>
      <c r="R67">
        <f t="shared" si="12"/>
        <v>948.82363194095876</v>
      </c>
      <c r="S67">
        <f t="shared" si="13"/>
        <v>0</v>
      </c>
      <c r="T67">
        <v>1.0861200699881624</v>
      </c>
      <c r="U67">
        <v>0</v>
      </c>
    </row>
    <row r="68" spans="13:21" x14ac:dyDescent="0.25">
      <c r="M68" t="s">
        <v>160</v>
      </c>
      <c r="N68" t="s">
        <v>122</v>
      </c>
      <c r="O68">
        <v>1478.34</v>
      </c>
      <c r="P68">
        <v>179</v>
      </c>
      <c r="Q68">
        <v>514.58395590959617</v>
      </c>
      <c r="R68">
        <f t="shared" si="12"/>
        <v>1605.6547442662995</v>
      </c>
      <c r="S68">
        <f t="shared" si="13"/>
        <v>0</v>
      </c>
      <c r="T68">
        <v>1.0861200699881621</v>
      </c>
      <c r="U68">
        <v>0</v>
      </c>
    </row>
    <row r="69" spans="13:21" x14ac:dyDescent="0.25">
      <c r="M69" t="s">
        <v>160</v>
      </c>
      <c r="N69" t="s">
        <v>122</v>
      </c>
      <c r="O69">
        <v>1478.34</v>
      </c>
      <c r="P69">
        <v>179</v>
      </c>
      <c r="Q69">
        <v>514.58395590959617</v>
      </c>
      <c r="R69">
        <f t="shared" si="12"/>
        <v>1605.6547442662995</v>
      </c>
      <c r="S69">
        <f t="shared" si="13"/>
        <v>0</v>
      </c>
      <c r="T69">
        <v>1.0861200699881621</v>
      </c>
      <c r="U69">
        <v>0</v>
      </c>
    </row>
    <row r="70" spans="13:21" x14ac:dyDescent="0.25">
      <c r="M70" t="s">
        <v>160</v>
      </c>
      <c r="N70" t="s">
        <v>122</v>
      </c>
      <c r="O70">
        <v>895.78</v>
      </c>
      <c r="P70">
        <v>179</v>
      </c>
      <c r="Q70">
        <v>312.86856548990136</v>
      </c>
      <c r="R70">
        <f t="shared" si="12"/>
        <v>972.92463629399583</v>
      </c>
      <c r="S70">
        <f t="shared" si="13"/>
        <v>0</v>
      </c>
      <c r="T70">
        <v>1.0861200699881621</v>
      </c>
      <c r="U70">
        <v>0</v>
      </c>
    </row>
    <row r="71" spans="13:21" x14ac:dyDescent="0.25">
      <c r="M71" t="s">
        <v>160</v>
      </c>
      <c r="N71" t="s">
        <v>122</v>
      </c>
      <c r="O71">
        <v>895.78</v>
      </c>
      <c r="P71">
        <v>179</v>
      </c>
      <c r="Q71">
        <v>312.86856548990136</v>
      </c>
      <c r="R71">
        <f t="shared" si="12"/>
        <v>972.92463629399583</v>
      </c>
      <c r="S71">
        <f t="shared" si="13"/>
        <v>0</v>
      </c>
      <c r="T71">
        <v>1.0861200699881621</v>
      </c>
      <c r="U71">
        <v>0</v>
      </c>
    </row>
    <row r="72" spans="13:21" x14ac:dyDescent="0.25">
      <c r="M72" t="s">
        <v>160</v>
      </c>
      <c r="N72" t="s">
        <v>122</v>
      </c>
      <c r="O72">
        <v>1249.23999999999</v>
      </c>
      <c r="P72">
        <v>179</v>
      </c>
      <c r="Q72">
        <v>537.23052429426821</v>
      </c>
      <c r="R72">
        <f t="shared" si="12"/>
        <v>1356.8246362320015</v>
      </c>
      <c r="S72">
        <f t="shared" si="13"/>
        <v>0</v>
      </c>
      <c r="T72">
        <v>1.0861200699881626</v>
      </c>
      <c r="U72">
        <v>0</v>
      </c>
    </row>
    <row r="73" spans="13:21" x14ac:dyDescent="0.25">
      <c r="M73" t="s">
        <v>160</v>
      </c>
      <c r="N73" t="s">
        <v>122</v>
      </c>
      <c r="O73">
        <v>1249.23999999999</v>
      </c>
      <c r="P73">
        <v>179</v>
      </c>
      <c r="Q73">
        <v>537.23052429426821</v>
      </c>
      <c r="R73">
        <f t="shared" si="12"/>
        <v>1356.8246362320015</v>
      </c>
      <c r="S73">
        <f t="shared" si="13"/>
        <v>0</v>
      </c>
      <c r="T73">
        <v>1.0861200699881626</v>
      </c>
      <c r="U73">
        <v>0</v>
      </c>
    </row>
    <row r="74" spans="13:21" x14ac:dyDescent="0.25">
      <c r="M74" t="s">
        <v>160</v>
      </c>
      <c r="N74" t="s">
        <v>122</v>
      </c>
      <c r="O74">
        <v>1059.6099999999999</v>
      </c>
      <c r="P74">
        <v>179</v>
      </c>
      <c r="Q74">
        <v>379.97325610841375</v>
      </c>
      <c r="R74">
        <f t="shared" si="12"/>
        <v>1150.8636873601565</v>
      </c>
      <c r="S74">
        <f t="shared" si="13"/>
        <v>0</v>
      </c>
      <c r="T74">
        <v>1.0861200699881624</v>
      </c>
      <c r="U74">
        <v>0</v>
      </c>
    </row>
    <row r="75" spans="13:21" x14ac:dyDescent="0.25">
      <c r="M75" t="s">
        <v>160</v>
      </c>
      <c r="N75" t="s">
        <v>122</v>
      </c>
      <c r="O75">
        <v>1059.6099999999999</v>
      </c>
      <c r="P75">
        <v>179</v>
      </c>
      <c r="Q75">
        <v>379.97325610841375</v>
      </c>
      <c r="R75">
        <f t="shared" si="12"/>
        <v>1150.8636873601565</v>
      </c>
      <c r="S75">
        <f t="shared" si="13"/>
        <v>0</v>
      </c>
      <c r="T75">
        <v>1.0861200699881624</v>
      </c>
      <c r="U75">
        <v>0</v>
      </c>
    </row>
    <row r="76" spans="13:21" x14ac:dyDescent="0.25">
      <c r="M76" t="s">
        <v>160</v>
      </c>
      <c r="N76" t="s">
        <v>122</v>
      </c>
      <c r="O76">
        <v>964.92</v>
      </c>
      <c r="P76">
        <v>179</v>
      </c>
      <c r="Q76">
        <v>346.01768035799074</v>
      </c>
      <c r="R76">
        <f t="shared" si="12"/>
        <v>1048.0189779329774</v>
      </c>
      <c r="S76">
        <f t="shared" si="13"/>
        <v>0</v>
      </c>
      <c r="T76">
        <v>1.0861200699881621</v>
      </c>
      <c r="U76">
        <v>0</v>
      </c>
    </row>
    <row r="77" spans="13:21" x14ac:dyDescent="0.25">
      <c r="M77" t="s">
        <v>160</v>
      </c>
      <c r="N77" t="s">
        <v>122</v>
      </c>
      <c r="O77">
        <v>964.92</v>
      </c>
      <c r="P77">
        <v>179</v>
      </c>
      <c r="Q77">
        <v>346.01768035799074</v>
      </c>
      <c r="R77">
        <f t="shared" si="12"/>
        <v>1048.0189779329774</v>
      </c>
      <c r="S77">
        <f t="shared" si="13"/>
        <v>0</v>
      </c>
      <c r="T77">
        <v>1.0861200699881621</v>
      </c>
      <c r="U77">
        <v>0</v>
      </c>
    </row>
    <row r="78" spans="13:21" x14ac:dyDescent="0.25">
      <c r="M78" t="s">
        <v>160</v>
      </c>
      <c r="N78" t="s">
        <v>122</v>
      </c>
      <c r="O78">
        <v>1361.71999999999</v>
      </c>
      <c r="P78">
        <v>179</v>
      </c>
      <c r="Q78">
        <v>604.41903488725882</v>
      </c>
      <c r="R78">
        <f t="shared" si="12"/>
        <v>1478.9914217042692</v>
      </c>
      <c r="S78">
        <f t="shared" si="13"/>
        <v>0</v>
      </c>
      <c r="T78">
        <v>1.0861200699881621</v>
      </c>
      <c r="U78">
        <v>0</v>
      </c>
    </row>
    <row r="79" spans="13:21" x14ac:dyDescent="0.25">
      <c r="M79" t="s">
        <v>160</v>
      </c>
      <c r="N79" t="s">
        <v>122</v>
      </c>
      <c r="O79">
        <v>1361.71999999999</v>
      </c>
      <c r="P79">
        <v>179</v>
      </c>
      <c r="Q79">
        <v>604.41903488725882</v>
      </c>
      <c r="R79">
        <f t="shared" si="12"/>
        <v>1478.9914217042692</v>
      </c>
      <c r="S79">
        <f t="shared" si="13"/>
        <v>0</v>
      </c>
      <c r="T79">
        <v>1.0861200699881621</v>
      </c>
      <c r="U79">
        <v>0</v>
      </c>
    </row>
    <row r="80" spans="13:21" x14ac:dyDescent="0.25">
      <c r="M80" t="s">
        <v>160</v>
      </c>
      <c r="N80" t="s">
        <v>122</v>
      </c>
      <c r="O80">
        <v>946.33999999999901</v>
      </c>
      <c r="P80">
        <v>179</v>
      </c>
      <c r="Q80">
        <v>415.69582806198497</v>
      </c>
      <c r="R80">
        <f t="shared" si="12"/>
        <v>1027.8388670325962</v>
      </c>
      <c r="S80">
        <f t="shared" si="13"/>
        <v>0</v>
      </c>
      <c r="T80">
        <v>1.0861200699881621</v>
      </c>
      <c r="U80">
        <v>0</v>
      </c>
    </row>
    <row r="81" spans="13:21" x14ac:dyDescent="0.25">
      <c r="M81" t="s">
        <v>160</v>
      </c>
      <c r="N81" t="s">
        <v>122</v>
      </c>
      <c r="O81">
        <v>946.33999999999901</v>
      </c>
      <c r="P81">
        <v>179</v>
      </c>
      <c r="Q81">
        <v>415.69582806198497</v>
      </c>
      <c r="R81">
        <f t="shared" si="12"/>
        <v>1027.8388670325962</v>
      </c>
      <c r="S81">
        <f t="shared" si="13"/>
        <v>0</v>
      </c>
      <c r="T81">
        <v>1.0861200699881621</v>
      </c>
      <c r="U81">
        <v>0</v>
      </c>
    </row>
    <row r="82" spans="13:21" x14ac:dyDescent="0.25">
      <c r="M82" t="s">
        <v>160</v>
      </c>
      <c r="N82" t="s">
        <v>122</v>
      </c>
      <c r="O82">
        <v>716.47</v>
      </c>
      <c r="P82">
        <v>179</v>
      </c>
      <c r="Q82">
        <v>283.63076213790464</v>
      </c>
      <c r="R82">
        <f t="shared" si="12"/>
        <v>778.17244654441868</v>
      </c>
      <c r="S82">
        <f t="shared" si="13"/>
        <v>31.617140535921521</v>
      </c>
      <c r="T82">
        <v>1.0861200699881624</v>
      </c>
      <c r="U82">
        <v>4.4129050115038343E-2</v>
      </c>
    </row>
    <row r="83" spans="13:21" x14ac:dyDescent="0.25">
      <c r="M83" t="s">
        <v>160</v>
      </c>
      <c r="N83" t="s">
        <v>122</v>
      </c>
      <c r="O83">
        <v>716.47</v>
      </c>
      <c r="P83">
        <v>179</v>
      </c>
      <c r="Q83">
        <v>283.63076213790464</v>
      </c>
      <c r="R83">
        <f t="shared" si="12"/>
        <v>778.17244654441868</v>
      </c>
      <c r="S83">
        <f t="shared" si="13"/>
        <v>31.617140535921521</v>
      </c>
      <c r="T83">
        <v>1.0861200699881624</v>
      </c>
      <c r="U83">
        <v>4.4129050115038343E-2</v>
      </c>
    </row>
    <row r="84" spans="13:21" x14ac:dyDescent="0.25">
      <c r="M84" t="s">
        <v>160</v>
      </c>
      <c r="N84" t="s">
        <v>122</v>
      </c>
      <c r="O84">
        <v>941.43999999999903</v>
      </c>
      <c r="P84">
        <v>179</v>
      </c>
      <c r="Q84">
        <v>374.91112708018392</v>
      </c>
      <c r="R84">
        <f t="shared" si="12"/>
        <v>1022.5168786896543</v>
      </c>
      <c r="S84">
        <f t="shared" si="13"/>
        <v>0</v>
      </c>
      <c r="T84">
        <v>1.0861200699881621</v>
      </c>
      <c r="U84">
        <v>0</v>
      </c>
    </row>
    <row r="85" spans="13:21" x14ac:dyDescent="0.25">
      <c r="M85" t="s">
        <v>160</v>
      </c>
      <c r="N85" t="s">
        <v>122</v>
      </c>
      <c r="O85">
        <v>941.43999999999903</v>
      </c>
      <c r="P85">
        <v>179</v>
      </c>
      <c r="Q85">
        <v>374.91112708018392</v>
      </c>
      <c r="R85">
        <f t="shared" si="12"/>
        <v>1022.5168786896543</v>
      </c>
      <c r="S85">
        <f t="shared" si="13"/>
        <v>0</v>
      </c>
      <c r="T85">
        <v>1.0861200699881621</v>
      </c>
      <c r="U85">
        <v>0</v>
      </c>
    </row>
    <row r="86" spans="13:21" x14ac:dyDescent="0.25">
      <c r="M86" t="s">
        <v>163</v>
      </c>
      <c r="N86" t="s">
        <v>122</v>
      </c>
      <c r="O86">
        <v>150.19999999999999</v>
      </c>
      <c r="P86">
        <v>109.08</v>
      </c>
      <c r="Q86">
        <v>65.973363143876</v>
      </c>
      <c r="R86">
        <f t="shared" si="12"/>
        <v>163.13523451222198</v>
      </c>
      <c r="S86">
        <f t="shared" si="13"/>
        <v>78.182815900868704</v>
      </c>
      <c r="T86">
        <v>1.0861200699881624</v>
      </c>
      <c r="U86">
        <v>0.52052473968620983</v>
      </c>
    </row>
    <row r="87" spans="13:21" x14ac:dyDescent="0.25">
      <c r="M87" t="s">
        <v>163</v>
      </c>
      <c r="N87" t="s">
        <v>122</v>
      </c>
      <c r="O87">
        <v>150.19999999999999</v>
      </c>
      <c r="P87">
        <v>109.08</v>
      </c>
      <c r="Q87">
        <v>65.973363143876</v>
      </c>
      <c r="R87">
        <f t="shared" si="12"/>
        <v>163.13523451222198</v>
      </c>
      <c r="S87">
        <f t="shared" si="13"/>
        <v>78.182815900868704</v>
      </c>
      <c r="T87">
        <v>1.0861200699881624</v>
      </c>
      <c r="U87">
        <v>0.52052473968620983</v>
      </c>
    </row>
    <row r="88" spans="13:21" x14ac:dyDescent="0.25">
      <c r="M88" t="s">
        <v>163</v>
      </c>
      <c r="N88" t="s">
        <v>122</v>
      </c>
      <c r="O88">
        <v>180.81</v>
      </c>
      <c r="P88">
        <v>109.08</v>
      </c>
      <c r="Q88">
        <v>62.936756813733034</v>
      </c>
      <c r="R88">
        <f t="shared" si="12"/>
        <v>196.38136985455964</v>
      </c>
      <c r="S88">
        <f t="shared" si="13"/>
        <v>71.88612611874882</v>
      </c>
      <c r="T88">
        <v>1.0861200699881624</v>
      </c>
      <c r="U88">
        <v>0.39757826513328254</v>
      </c>
    </row>
    <row r="89" spans="13:21" x14ac:dyDescent="0.25">
      <c r="M89" t="s">
        <v>163</v>
      </c>
      <c r="N89" t="s">
        <v>122</v>
      </c>
      <c r="O89">
        <v>180.81</v>
      </c>
      <c r="P89">
        <v>109.08</v>
      </c>
      <c r="Q89">
        <v>62.936756813733034</v>
      </c>
      <c r="R89">
        <f t="shared" si="12"/>
        <v>196.38136985455964</v>
      </c>
      <c r="S89">
        <f t="shared" si="13"/>
        <v>71.88612611874882</v>
      </c>
      <c r="T89">
        <v>1.0861200699881624</v>
      </c>
      <c r="U89">
        <v>0.39757826513328254</v>
      </c>
    </row>
    <row r="90" spans="13:21" x14ac:dyDescent="0.25">
      <c r="M90" t="s">
        <v>163</v>
      </c>
      <c r="N90" t="s">
        <v>122</v>
      </c>
      <c r="O90">
        <v>204.09</v>
      </c>
      <c r="P90">
        <v>109.08</v>
      </c>
      <c r="Q90">
        <v>73.186117382023724</v>
      </c>
      <c r="R90">
        <f t="shared" si="12"/>
        <v>221.66624508388406</v>
      </c>
      <c r="S90">
        <f t="shared" si="13"/>
        <v>67.097268290334867</v>
      </c>
      <c r="T90">
        <v>1.0861200699881624</v>
      </c>
      <c r="U90">
        <v>0.32876313533409213</v>
      </c>
    </row>
    <row r="91" spans="13:21" x14ac:dyDescent="0.25">
      <c r="M91" t="s">
        <v>163</v>
      </c>
      <c r="N91" t="s">
        <v>122</v>
      </c>
      <c r="O91">
        <v>204.09</v>
      </c>
      <c r="P91">
        <v>109.08</v>
      </c>
      <c r="Q91">
        <v>73.186117382023724</v>
      </c>
      <c r="R91">
        <f t="shared" si="12"/>
        <v>221.66624508388406</v>
      </c>
      <c r="S91">
        <f t="shared" si="13"/>
        <v>67.097268290334867</v>
      </c>
      <c r="T91">
        <v>1.0861200699881624</v>
      </c>
      <c r="U91">
        <v>0.32876313533409213</v>
      </c>
    </row>
    <row r="92" spans="13:21" x14ac:dyDescent="0.25">
      <c r="M92" t="s">
        <v>163</v>
      </c>
      <c r="N92" t="s">
        <v>122</v>
      </c>
      <c r="O92">
        <v>380.84</v>
      </c>
      <c r="P92">
        <v>109.08</v>
      </c>
      <c r="Q92">
        <v>167.30175180427543</v>
      </c>
      <c r="R92">
        <f t="shared" si="12"/>
        <v>413.6379674542917</v>
      </c>
      <c r="S92">
        <f t="shared" si="13"/>
        <v>30.738564631736651</v>
      </c>
      <c r="T92">
        <v>1.0861200699881624</v>
      </c>
      <c r="U92">
        <v>8.0712542358304412E-2</v>
      </c>
    </row>
    <row r="93" spans="13:21" x14ac:dyDescent="0.25">
      <c r="M93" t="s">
        <v>163</v>
      </c>
      <c r="N93" t="s">
        <v>122</v>
      </c>
      <c r="O93">
        <v>380.84</v>
      </c>
      <c r="P93">
        <v>109.08</v>
      </c>
      <c r="Q93">
        <v>167.30175180427543</v>
      </c>
      <c r="R93">
        <f t="shared" si="12"/>
        <v>413.6379674542917</v>
      </c>
      <c r="S93">
        <f t="shared" si="13"/>
        <v>30.738564631736651</v>
      </c>
      <c r="T93">
        <v>1.0861200699881624</v>
      </c>
      <c r="U93">
        <v>8.0712542358304412E-2</v>
      </c>
    </row>
    <row r="94" spans="13:21" x14ac:dyDescent="0.25">
      <c r="M94" t="s">
        <v>163</v>
      </c>
      <c r="N94" t="s">
        <v>122</v>
      </c>
      <c r="O94">
        <v>180.99</v>
      </c>
      <c r="P94">
        <v>109.08</v>
      </c>
      <c r="Q94">
        <v>66.487651639521758</v>
      </c>
      <c r="R94">
        <f t="shared" si="12"/>
        <v>196.5768714671575</v>
      </c>
      <c r="S94">
        <f t="shared" si="13"/>
        <v>71.849098867498199</v>
      </c>
      <c r="T94">
        <v>1.0861200699881624</v>
      </c>
      <c r="U94">
        <v>0.39697827983589257</v>
      </c>
    </row>
    <row r="95" spans="13:21" x14ac:dyDescent="0.25">
      <c r="M95" t="s">
        <v>163</v>
      </c>
      <c r="N95" t="s">
        <v>122</v>
      </c>
      <c r="O95">
        <v>180.99</v>
      </c>
      <c r="P95">
        <v>109.08</v>
      </c>
      <c r="Q95">
        <v>66.487651639521758</v>
      </c>
      <c r="R95">
        <f t="shared" si="12"/>
        <v>196.5768714671575</v>
      </c>
      <c r="S95">
        <f t="shared" si="13"/>
        <v>71.849098867498199</v>
      </c>
      <c r="T95">
        <v>1.0861200699881624</v>
      </c>
      <c r="U95">
        <v>0.39697827983589257</v>
      </c>
    </row>
    <row r="96" spans="13:21" x14ac:dyDescent="0.25">
      <c r="M96" t="s">
        <v>163</v>
      </c>
      <c r="N96" t="s">
        <v>122</v>
      </c>
      <c r="O96">
        <v>306.27999999999997</v>
      </c>
      <c r="P96">
        <v>109.08</v>
      </c>
      <c r="Q96">
        <v>106.61064032360019</v>
      </c>
      <c r="R96">
        <f t="shared" si="12"/>
        <v>332.65685503597433</v>
      </c>
      <c r="S96">
        <f t="shared" si="13"/>
        <v>46.076074927550422</v>
      </c>
      <c r="T96">
        <v>1.0861200699881624</v>
      </c>
      <c r="U96">
        <v>0.15043775279989038</v>
      </c>
    </row>
    <row r="97" spans="13:21" x14ac:dyDescent="0.25">
      <c r="M97" t="s">
        <v>163</v>
      </c>
      <c r="N97" t="s">
        <v>122</v>
      </c>
      <c r="O97">
        <v>306.27999999999997</v>
      </c>
      <c r="P97">
        <v>109.08</v>
      </c>
      <c r="Q97">
        <v>106.61064032360019</v>
      </c>
      <c r="R97">
        <f t="shared" si="12"/>
        <v>332.65685503597433</v>
      </c>
      <c r="S97">
        <f t="shared" si="13"/>
        <v>46.076074927550422</v>
      </c>
      <c r="T97">
        <v>1.0861200699881624</v>
      </c>
      <c r="U97">
        <v>0.15043775279989038</v>
      </c>
    </row>
    <row r="98" spans="13:21" x14ac:dyDescent="0.25">
      <c r="M98" t="s">
        <v>163</v>
      </c>
      <c r="N98" t="s">
        <v>122</v>
      </c>
      <c r="O98">
        <v>177.52</v>
      </c>
      <c r="P98">
        <v>109.08</v>
      </c>
      <c r="Q98">
        <v>62.002308318747126</v>
      </c>
      <c r="R98">
        <f t="shared" ref="R98:R129" si="14">O98*T98</f>
        <v>192.8080348242986</v>
      </c>
      <c r="S98">
        <f t="shared" ref="S98:S129" si="15">O98*U98</f>
        <v>72.562901988829665</v>
      </c>
      <c r="T98">
        <v>1.0861200699881624</v>
      </c>
      <c r="U98">
        <v>0.40875902427236177</v>
      </c>
    </row>
    <row r="99" spans="13:21" x14ac:dyDescent="0.25">
      <c r="M99" t="s">
        <v>163</v>
      </c>
      <c r="N99" t="s">
        <v>122</v>
      </c>
      <c r="O99">
        <v>177.52</v>
      </c>
      <c r="P99">
        <v>109.08</v>
      </c>
      <c r="Q99">
        <v>62.002308318747126</v>
      </c>
      <c r="R99">
        <f t="shared" si="14"/>
        <v>192.8080348242986</v>
      </c>
      <c r="S99">
        <f t="shared" si="15"/>
        <v>72.562901988829665</v>
      </c>
      <c r="T99">
        <v>1.0861200699881624</v>
      </c>
      <c r="U99">
        <v>0.40875902427236177</v>
      </c>
    </row>
    <row r="100" spans="13:21" x14ac:dyDescent="0.25">
      <c r="M100" t="s">
        <v>163</v>
      </c>
      <c r="N100" t="s">
        <v>122</v>
      </c>
      <c r="O100">
        <v>239.11999999999901</v>
      </c>
      <c r="P100">
        <v>109.08</v>
      </c>
      <c r="Q100">
        <v>102.83257257952508</v>
      </c>
      <c r="R100">
        <f t="shared" si="14"/>
        <v>259.71303113556826</v>
      </c>
      <c r="S100">
        <f t="shared" si="15"/>
        <v>59.891353783060993</v>
      </c>
      <c r="T100">
        <v>1.0861200699881621</v>
      </c>
      <c r="U100">
        <v>0.25046568159527116</v>
      </c>
    </row>
    <row r="101" spans="13:21" x14ac:dyDescent="0.25">
      <c r="M101" t="s">
        <v>163</v>
      </c>
      <c r="N101" t="s">
        <v>122</v>
      </c>
      <c r="O101">
        <v>239.11999999999901</v>
      </c>
      <c r="P101">
        <v>109.08</v>
      </c>
      <c r="Q101">
        <v>102.83257257952508</v>
      </c>
      <c r="R101">
        <f t="shared" si="14"/>
        <v>259.71303113556826</v>
      </c>
      <c r="S101">
        <f t="shared" si="15"/>
        <v>59.891353783060993</v>
      </c>
      <c r="T101">
        <v>1.0861200699881621</v>
      </c>
      <c r="U101">
        <v>0.25046568159527116</v>
      </c>
    </row>
    <row r="102" spans="13:21" x14ac:dyDescent="0.25">
      <c r="M102" t="s">
        <v>163</v>
      </c>
      <c r="N102" t="s">
        <v>122</v>
      </c>
      <c r="O102">
        <v>224.29999999999899</v>
      </c>
      <c r="P102">
        <v>109.08</v>
      </c>
      <c r="Q102">
        <v>80.433368262961665</v>
      </c>
      <c r="R102">
        <f t="shared" si="14"/>
        <v>243.61673169834373</v>
      </c>
      <c r="S102">
        <f t="shared" si="15"/>
        <v>62.939930802695635</v>
      </c>
      <c r="T102">
        <v>1.0861200699881624</v>
      </c>
      <c r="U102">
        <v>0.28060602230359305</v>
      </c>
    </row>
    <row r="103" spans="13:21" x14ac:dyDescent="0.25">
      <c r="M103" t="s">
        <v>163</v>
      </c>
      <c r="N103" t="s">
        <v>122</v>
      </c>
      <c r="O103">
        <v>224.29999999999899</v>
      </c>
      <c r="P103">
        <v>109.08</v>
      </c>
      <c r="Q103">
        <v>80.433368262961665</v>
      </c>
      <c r="R103">
        <f t="shared" si="14"/>
        <v>243.61673169834373</v>
      </c>
      <c r="S103">
        <f t="shared" si="15"/>
        <v>62.939930802695635</v>
      </c>
      <c r="T103">
        <v>1.0861200699881624</v>
      </c>
      <c r="U103">
        <v>0.28060602230359305</v>
      </c>
    </row>
    <row r="104" spans="13:21" x14ac:dyDescent="0.25">
      <c r="M104" t="s">
        <v>163</v>
      </c>
      <c r="N104" t="s">
        <v>122</v>
      </c>
      <c r="O104">
        <v>184.7</v>
      </c>
      <c r="P104">
        <v>109.08</v>
      </c>
      <c r="Q104">
        <v>66.232916264686068</v>
      </c>
      <c r="R104">
        <f t="shared" si="14"/>
        <v>200.60637692681357</v>
      </c>
      <c r="S104">
        <f t="shared" si="15"/>
        <v>71.085926077832582</v>
      </c>
      <c r="T104">
        <v>1.0861200699881624</v>
      </c>
      <c r="U104">
        <v>0.38487236642031719</v>
      </c>
    </row>
    <row r="105" spans="13:21" x14ac:dyDescent="0.25">
      <c r="M105" t="s">
        <v>163</v>
      </c>
      <c r="N105" t="s">
        <v>122</v>
      </c>
      <c r="O105">
        <v>184.7</v>
      </c>
      <c r="P105">
        <v>109.08</v>
      </c>
      <c r="Q105">
        <v>66.232916264686068</v>
      </c>
      <c r="R105">
        <f t="shared" si="14"/>
        <v>200.60637692681357</v>
      </c>
      <c r="S105">
        <f t="shared" si="15"/>
        <v>71.085926077832582</v>
      </c>
      <c r="T105">
        <v>1.0861200699881624</v>
      </c>
      <c r="U105">
        <v>0.38487236642031719</v>
      </c>
    </row>
    <row r="106" spans="13:21" x14ac:dyDescent="0.25">
      <c r="M106" t="s">
        <v>163</v>
      </c>
      <c r="N106" t="s">
        <v>122</v>
      </c>
      <c r="O106">
        <v>291.32</v>
      </c>
      <c r="P106">
        <v>109.08</v>
      </c>
      <c r="Q106">
        <v>129.30657788925589</v>
      </c>
      <c r="R106">
        <f t="shared" si="14"/>
        <v>316.40849878895148</v>
      </c>
      <c r="S106">
        <f t="shared" si="15"/>
        <v>49.153450920379996</v>
      </c>
      <c r="T106">
        <v>1.0861200699881624</v>
      </c>
      <c r="U106">
        <v>0.16872666112996018</v>
      </c>
    </row>
    <row r="107" spans="13:21" x14ac:dyDescent="0.25">
      <c r="M107" t="s">
        <v>163</v>
      </c>
      <c r="N107" t="s">
        <v>122</v>
      </c>
      <c r="O107">
        <v>291.32</v>
      </c>
      <c r="P107">
        <v>109.08</v>
      </c>
      <c r="Q107">
        <v>129.30657788925589</v>
      </c>
      <c r="R107">
        <f t="shared" si="14"/>
        <v>316.40849878895148</v>
      </c>
      <c r="S107">
        <f t="shared" si="15"/>
        <v>49.153450920379996</v>
      </c>
      <c r="T107">
        <v>1.0861200699881624</v>
      </c>
      <c r="U107">
        <v>0.16872666112996018</v>
      </c>
    </row>
    <row r="108" spans="13:21" x14ac:dyDescent="0.25">
      <c r="M108" t="s">
        <v>163</v>
      </c>
      <c r="N108" t="s">
        <v>122</v>
      </c>
      <c r="O108">
        <v>202.45</v>
      </c>
      <c r="P108">
        <v>109.08</v>
      </c>
      <c r="Q108">
        <v>88.929581747732257</v>
      </c>
      <c r="R108">
        <f t="shared" si="14"/>
        <v>219.8850081691034</v>
      </c>
      <c r="S108">
        <f t="shared" si="15"/>
        <v>67.434627690618328</v>
      </c>
      <c r="T108">
        <v>1.0861200699881621</v>
      </c>
      <c r="U108">
        <v>0.33309275223817403</v>
      </c>
    </row>
    <row r="109" spans="13:21" x14ac:dyDescent="0.25">
      <c r="M109" t="s">
        <v>163</v>
      </c>
      <c r="N109" t="s">
        <v>122</v>
      </c>
      <c r="O109">
        <v>202.45</v>
      </c>
      <c r="P109">
        <v>109.08</v>
      </c>
      <c r="Q109">
        <v>88.929581747732257</v>
      </c>
      <c r="R109">
        <f t="shared" si="14"/>
        <v>219.8850081691034</v>
      </c>
      <c r="S109">
        <f t="shared" si="15"/>
        <v>67.434627690618328</v>
      </c>
      <c r="T109">
        <v>1.0861200699881621</v>
      </c>
      <c r="U109">
        <v>0.33309275223817403</v>
      </c>
    </row>
    <row r="110" spans="13:21" x14ac:dyDescent="0.25">
      <c r="M110" t="s">
        <v>163</v>
      </c>
      <c r="N110" t="s">
        <v>122</v>
      </c>
      <c r="O110">
        <v>133.91999999999999</v>
      </c>
      <c r="P110">
        <v>109.08</v>
      </c>
      <c r="Q110">
        <v>53.015243716426617</v>
      </c>
      <c r="R110">
        <f t="shared" si="14"/>
        <v>145.45319977281468</v>
      </c>
      <c r="S110">
        <f t="shared" si="15"/>
        <v>81.531725069536208</v>
      </c>
      <c r="T110">
        <v>1.0861200699881624</v>
      </c>
      <c r="U110">
        <v>0.60880917763990605</v>
      </c>
    </row>
    <row r="111" spans="13:21" x14ac:dyDescent="0.25">
      <c r="M111" t="s">
        <v>163</v>
      </c>
      <c r="N111" t="s">
        <v>122</v>
      </c>
      <c r="O111">
        <v>133.91999999999999</v>
      </c>
      <c r="P111">
        <v>109.08</v>
      </c>
      <c r="Q111">
        <v>53.015243716426617</v>
      </c>
      <c r="R111">
        <f t="shared" si="14"/>
        <v>145.45319977281468</v>
      </c>
      <c r="S111">
        <f t="shared" si="15"/>
        <v>81.531725069536208</v>
      </c>
      <c r="T111">
        <v>1.0861200699881624</v>
      </c>
      <c r="U111">
        <v>0.60880917763990605</v>
      </c>
    </row>
    <row r="112" spans="13:21" x14ac:dyDescent="0.25">
      <c r="M112" t="s">
        <v>163</v>
      </c>
      <c r="N112" t="s">
        <v>122</v>
      </c>
      <c r="O112">
        <v>182.32</v>
      </c>
      <c r="P112">
        <v>109.08</v>
      </c>
      <c r="Q112">
        <v>72.60557942010027</v>
      </c>
      <c r="R112">
        <f t="shared" si="14"/>
        <v>198.02141116024174</v>
      </c>
      <c r="S112">
        <f t="shared" si="15"/>
        <v>71.575508622146373</v>
      </c>
      <c r="T112">
        <v>1.0861200699881624</v>
      </c>
      <c r="U112">
        <v>0.39258177173182524</v>
      </c>
    </row>
    <row r="113" spans="13:21" x14ac:dyDescent="0.25">
      <c r="M113" t="s">
        <v>163</v>
      </c>
      <c r="N113" t="s">
        <v>122</v>
      </c>
      <c r="O113">
        <v>182.32</v>
      </c>
      <c r="P113">
        <v>109.08</v>
      </c>
      <c r="Q113">
        <v>72.60557942010027</v>
      </c>
      <c r="R113">
        <f t="shared" si="14"/>
        <v>198.02141116024174</v>
      </c>
      <c r="S113">
        <f t="shared" si="15"/>
        <v>71.575508622146373</v>
      </c>
      <c r="T113">
        <v>1.0861200699881624</v>
      </c>
      <c r="U113">
        <v>0.39258177173182524</v>
      </c>
    </row>
    <row r="114" spans="13:21" x14ac:dyDescent="0.25">
      <c r="M114" t="s">
        <v>164</v>
      </c>
      <c r="N114" t="s">
        <v>122</v>
      </c>
      <c r="O114">
        <v>612.05999999999995</v>
      </c>
      <c r="P114">
        <v>255</v>
      </c>
      <c r="Q114">
        <v>300.40582120047054</v>
      </c>
      <c r="R114">
        <f t="shared" si="14"/>
        <v>664.77065003695441</v>
      </c>
      <c r="S114">
        <f t="shared" si="15"/>
        <v>129.09500333079703</v>
      </c>
      <c r="T114">
        <v>1.0861200699881621</v>
      </c>
      <c r="U114">
        <v>0.21091886960558939</v>
      </c>
    </row>
    <row r="115" spans="13:21" x14ac:dyDescent="0.25">
      <c r="M115" t="s">
        <v>164</v>
      </c>
      <c r="N115" t="s">
        <v>122</v>
      </c>
      <c r="O115">
        <v>612.05999999999995</v>
      </c>
      <c r="P115">
        <v>255</v>
      </c>
      <c r="Q115">
        <v>300.40582120047054</v>
      </c>
      <c r="R115">
        <f t="shared" si="14"/>
        <v>664.77065003695441</v>
      </c>
      <c r="S115">
        <f t="shared" si="15"/>
        <v>129.09500333079703</v>
      </c>
      <c r="T115">
        <v>1.0861200699881621</v>
      </c>
      <c r="U115">
        <v>0.21091886960558939</v>
      </c>
    </row>
    <row r="116" spans="13:21" x14ac:dyDescent="0.25">
      <c r="M116" t="s">
        <v>164</v>
      </c>
      <c r="N116" t="s">
        <v>122</v>
      </c>
      <c r="O116">
        <v>612.05999999999995</v>
      </c>
      <c r="P116">
        <v>255</v>
      </c>
      <c r="Q116">
        <v>298.45936367082703</v>
      </c>
      <c r="R116">
        <f t="shared" si="14"/>
        <v>664.77065003695441</v>
      </c>
      <c r="S116">
        <f t="shared" si="15"/>
        <v>129.09500333079703</v>
      </c>
      <c r="T116">
        <v>1.0861200699881621</v>
      </c>
      <c r="U116">
        <v>0.21091886960558939</v>
      </c>
    </row>
    <row r="117" spans="13:21" x14ac:dyDescent="0.25">
      <c r="M117" t="s">
        <v>164</v>
      </c>
      <c r="N117" t="s">
        <v>122</v>
      </c>
      <c r="O117">
        <v>612.05999999999995</v>
      </c>
      <c r="P117">
        <v>255</v>
      </c>
      <c r="Q117">
        <v>298.45936367082703</v>
      </c>
      <c r="R117">
        <f t="shared" si="14"/>
        <v>664.77065003695441</v>
      </c>
      <c r="S117">
        <f t="shared" si="15"/>
        <v>129.09500333079703</v>
      </c>
      <c r="T117">
        <v>1.0861200699881621</v>
      </c>
      <c r="U117">
        <v>0.21091886960558939</v>
      </c>
    </row>
    <row r="118" spans="13:21" x14ac:dyDescent="0.25">
      <c r="M118" t="s">
        <v>164</v>
      </c>
      <c r="N118" t="s">
        <v>122</v>
      </c>
      <c r="O118">
        <v>612.05999999999995</v>
      </c>
      <c r="P118">
        <v>255</v>
      </c>
      <c r="Q118">
        <v>301.71149494391022</v>
      </c>
      <c r="R118">
        <f t="shared" si="14"/>
        <v>664.77065003695441</v>
      </c>
      <c r="S118">
        <f t="shared" si="15"/>
        <v>129.09500333079703</v>
      </c>
      <c r="T118">
        <v>1.0861200699881621</v>
      </c>
      <c r="U118">
        <v>0.21091886960558939</v>
      </c>
    </row>
    <row r="119" spans="13:21" x14ac:dyDescent="0.25">
      <c r="M119" t="s">
        <v>164</v>
      </c>
      <c r="N119" t="s">
        <v>122</v>
      </c>
      <c r="O119">
        <v>612.05999999999995</v>
      </c>
      <c r="P119">
        <v>255</v>
      </c>
      <c r="Q119">
        <v>301.71149494391022</v>
      </c>
      <c r="R119">
        <f t="shared" si="14"/>
        <v>664.77065003695441</v>
      </c>
      <c r="S119">
        <f t="shared" si="15"/>
        <v>129.09500333079703</v>
      </c>
      <c r="T119">
        <v>1.0861200699881621</v>
      </c>
      <c r="U119">
        <v>0.21091886960558939</v>
      </c>
    </row>
    <row r="120" spans="13:21" x14ac:dyDescent="0.25">
      <c r="M120" t="s">
        <v>164</v>
      </c>
      <c r="N120" t="s">
        <v>122</v>
      </c>
      <c r="O120">
        <v>612.05999999999995</v>
      </c>
      <c r="P120">
        <v>255</v>
      </c>
      <c r="Q120">
        <v>299.29965548874048</v>
      </c>
      <c r="R120">
        <f t="shared" si="14"/>
        <v>664.77065003695441</v>
      </c>
      <c r="S120">
        <f t="shared" si="15"/>
        <v>129.09500333079703</v>
      </c>
      <c r="T120">
        <v>1.0861200699881621</v>
      </c>
      <c r="U120">
        <v>0.21091886960558939</v>
      </c>
    </row>
    <row r="121" spans="13:21" x14ac:dyDescent="0.25">
      <c r="M121" t="s">
        <v>164</v>
      </c>
      <c r="N121" t="s">
        <v>122</v>
      </c>
      <c r="O121">
        <v>612.05999999999995</v>
      </c>
      <c r="P121">
        <v>255</v>
      </c>
      <c r="Q121">
        <v>299.29965548874048</v>
      </c>
      <c r="R121">
        <f t="shared" si="14"/>
        <v>664.77065003695441</v>
      </c>
      <c r="S121">
        <f t="shared" si="15"/>
        <v>129.09500333079703</v>
      </c>
      <c r="T121">
        <v>1.0861200699881621</v>
      </c>
      <c r="U121">
        <v>0.21091886960558939</v>
      </c>
    </row>
    <row r="122" spans="13:21" x14ac:dyDescent="0.25">
      <c r="M122" t="s">
        <v>164</v>
      </c>
      <c r="N122" t="s">
        <v>122</v>
      </c>
      <c r="O122">
        <v>612.05999999999995</v>
      </c>
      <c r="P122">
        <v>255</v>
      </c>
      <c r="Q122">
        <v>299.41422238342091</v>
      </c>
      <c r="R122">
        <f t="shared" si="14"/>
        <v>664.77065003695441</v>
      </c>
      <c r="S122">
        <f t="shared" si="15"/>
        <v>129.09500333079703</v>
      </c>
      <c r="T122">
        <v>1.0861200699881621</v>
      </c>
      <c r="U122">
        <v>0.21091886960558939</v>
      </c>
    </row>
    <row r="123" spans="13:21" x14ac:dyDescent="0.25">
      <c r="M123" t="s">
        <v>164</v>
      </c>
      <c r="N123" t="s">
        <v>122</v>
      </c>
      <c r="O123">
        <v>612.05999999999995</v>
      </c>
      <c r="P123">
        <v>255</v>
      </c>
      <c r="Q123">
        <v>299.41422238342091</v>
      </c>
      <c r="R123">
        <f t="shared" si="14"/>
        <v>664.77065003695441</v>
      </c>
      <c r="S123">
        <f t="shared" si="15"/>
        <v>129.09500333079703</v>
      </c>
      <c r="T123">
        <v>1.0861200699881621</v>
      </c>
      <c r="U123">
        <v>0.21091886960558939</v>
      </c>
    </row>
    <row r="124" spans="13:21" x14ac:dyDescent="0.25">
      <c r="M124" t="s">
        <v>164</v>
      </c>
      <c r="N124" t="s">
        <v>122</v>
      </c>
      <c r="O124">
        <v>612.05999999999995</v>
      </c>
      <c r="P124">
        <v>255</v>
      </c>
      <c r="Q124">
        <v>298.45936367082703</v>
      </c>
      <c r="R124">
        <f t="shared" si="14"/>
        <v>664.77065003695441</v>
      </c>
      <c r="S124">
        <f t="shared" si="15"/>
        <v>129.09500333079703</v>
      </c>
      <c r="T124">
        <v>1.0861200699881621</v>
      </c>
      <c r="U124">
        <v>0.21091886960558939</v>
      </c>
    </row>
    <row r="125" spans="13:21" x14ac:dyDescent="0.25">
      <c r="M125" t="s">
        <v>164</v>
      </c>
      <c r="N125" t="s">
        <v>122</v>
      </c>
      <c r="O125">
        <v>612.05999999999995</v>
      </c>
      <c r="P125">
        <v>255</v>
      </c>
      <c r="Q125">
        <v>298.45936367082703</v>
      </c>
      <c r="R125">
        <f t="shared" si="14"/>
        <v>664.77065003695441</v>
      </c>
      <c r="S125">
        <f t="shared" si="15"/>
        <v>129.09500333079703</v>
      </c>
      <c r="T125">
        <v>1.0861200699881621</v>
      </c>
      <c r="U125">
        <v>0.21091886960558939</v>
      </c>
    </row>
    <row r="126" spans="13:21" x14ac:dyDescent="0.25">
      <c r="M126" t="s">
        <v>164</v>
      </c>
      <c r="N126" t="s">
        <v>122</v>
      </c>
      <c r="O126">
        <v>612.05999999999995</v>
      </c>
      <c r="P126">
        <v>255</v>
      </c>
      <c r="Q126">
        <v>291.28125212290212</v>
      </c>
      <c r="R126">
        <f t="shared" si="14"/>
        <v>664.77065003695441</v>
      </c>
      <c r="S126">
        <f t="shared" si="15"/>
        <v>129.09500333079703</v>
      </c>
      <c r="T126">
        <v>1.0861200699881621</v>
      </c>
      <c r="U126">
        <v>0.21091886960558939</v>
      </c>
    </row>
    <row r="127" spans="13:21" x14ac:dyDescent="0.25">
      <c r="M127" t="s">
        <v>164</v>
      </c>
      <c r="N127" t="s">
        <v>122</v>
      </c>
      <c r="O127">
        <v>612.05999999999995</v>
      </c>
      <c r="P127">
        <v>255</v>
      </c>
      <c r="Q127">
        <v>291.28125212290212</v>
      </c>
      <c r="R127">
        <f t="shared" si="14"/>
        <v>664.77065003695441</v>
      </c>
      <c r="S127">
        <f t="shared" si="15"/>
        <v>129.09500333079703</v>
      </c>
      <c r="T127">
        <v>1.0861200699881621</v>
      </c>
      <c r="U127">
        <v>0.21091886960558939</v>
      </c>
    </row>
    <row r="128" spans="13:21" x14ac:dyDescent="0.25">
      <c r="M128" t="s">
        <v>164</v>
      </c>
      <c r="N128" t="s">
        <v>122</v>
      </c>
      <c r="O128">
        <v>612.05999999999995</v>
      </c>
      <c r="P128">
        <v>255</v>
      </c>
      <c r="Q128">
        <v>303.12532960975909</v>
      </c>
      <c r="R128">
        <f t="shared" si="14"/>
        <v>664.77065003695441</v>
      </c>
      <c r="S128">
        <f t="shared" si="15"/>
        <v>129.09500333079703</v>
      </c>
      <c r="T128">
        <v>1.0861200699881621</v>
      </c>
      <c r="U128">
        <v>0.21091886960558939</v>
      </c>
    </row>
    <row r="129" spans="13:21" x14ac:dyDescent="0.25">
      <c r="M129" t="s">
        <v>164</v>
      </c>
      <c r="N129" t="s">
        <v>122</v>
      </c>
      <c r="O129">
        <v>612.05999999999995</v>
      </c>
      <c r="P129">
        <v>255</v>
      </c>
      <c r="Q129">
        <v>303.12532960975909</v>
      </c>
      <c r="R129">
        <f t="shared" si="14"/>
        <v>664.77065003695441</v>
      </c>
      <c r="S129">
        <f t="shared" si="15"/>
        <v>129.09500333079703</v>
      </c>
      <c r="T129">
        <v>1.0861200699881621</v>
      </c>
      <c r="U129">
        <v>0.21091886960558939</v>
      </c>
    </row>
    <row r="130" spans="13:21" x14ac:dyDescent="0.25">
      <c r="M130" t="s">
        <v>164</v>
      </c>
      <c r="N130" t="s">
        <v>122</v>
      </c>
      <c r="O130">
        <v>612.05999999999995</v>
      </c>
      <c r="P130">
        <v>255</v>
      </c>
      <c r="Q130">
        <v>301.71149494391022</v>
      </c>
      <c r="R130">
        <f t="shared" ref="R130:R161" si="16">O130*T130</f>
        <v>664.77065003695441</v>
      </c>
      <c r="S130">
        <f t="shared" ref="S130:S161" si="17">O130*U130</f>
        <v>129.09500333079703</v>
      </c>
      <c r="T130">
        <v>1.0861200699881621</v>
      </c>
      <c r="U130">
        <v>0.21091886960558939</v>
      </c>
    </row>
    <row r="131" spans="13:21" x14ac:dyDescent="0.25">
      <c r="M131" t="s">
        <v>164</v>
      </c>
      <c r="N131" t="s">
        <v>122</v>
      </c>
      <c r="O131">
        <v>612.05999999999995</v>
      </c>
      <c r="P131">
        <v>255</v>
      </c>
      <c r="Q131">
        <v>301.71149494391022</v>
      </c>
      <c r="R131">
        <f t="shared" si="16"/>
        <v>664.77065003695441</v>
      </c>
      <c r="S131">
        <f t="shared" si="17"/>
        <v>129.09500333079703</v>
      </c>
      <c r="T131">
        <v>1.0861200699881621</v>
      </c>
      <c r="U131">
        <v>0.21091886960558939</v>
      </c>
    </row>
    <row r="132" spans="13:21" x14ac:dyDescent="0.25">
      <c r="M132" t="s">
        <v>164</v>
      </c>
      <c r="N132" t="s">
        <v>122</v>
      </c>
      <c r="O132">
        <v>612.05999999999995</v>
      </c>
      <c r="P132">
        <v>255</v>
      </c>
      <c r="Q132">
        <v>301.71149494391022</v>
      </c>
      <c r="R132">
        <f t="shared" si="16"/>
        <v>664.77065003695441</v>
      </c>
      <c r="S132">
        <f t="shared" si="17"/>
        <v>129.09500333079703</v>
      </c>
      <c r="T132">
        <v>1.0861200699881621</v>
      </c>
      <c r="U132">
        <v>0.21091886960558939</v>
      </c>
    </row>
    <row r="133" spans="13:21" x14ac:dyDescent="0.25">
      <c r="M133" t="s">
        <v>164</v>
      </c>
      <c r="N133" t="s">
        <v>122</v>
      </c>
      <c r="O133">
        <v>612.05999999999995</v>
      </c>
      <c r="P133">
        <v>255</v>
      </c>
      <c r="Q133">
        <v>301.71149494391022</v>
      </c>
      <c r="R133">
        <f t="shared" si="16"/>
        <v>664.77065003695441</v>
      </c>
      <c r="S133">
        <f t="shared" si="17"/>
        <v>129.09500333079703</v>
      </c>
      <c r="T133">
        <v>1.0861200699881621</v>
      </c>
      <c r="U133">
        <v>0.21091886960558939</v>
      </c>
    </row>
    <row r="134" spans="13:21" x14ac:dyDescent="0.25">
      <c r="M134" t="s">
        <v>164</v>
      </c>
      <c r="N134" t="s">
        <v>122</v>
      </c>
      <c r="O134">
        <v>612.05999999999995</v>
      </c>
      <c r="P134">
        <v>255</v>
      </c>
      <c r="Q134">
        <v>301.98424745539523</v>
      </c>
      <c r="R134">
        <f t="shared" si="16"/>
        <v>664.77065003695441</v>
      </c>
      <c r="S134">
        <f t="shared" si="17"/>
        <v>129.09500333079703</v>
      </c>
      <c r="T134">
        <v>1.0861200699881621</v>
      </c>
      <c r="U134">
        <v>0.21091886960558939</v>
      </c>
    </row>
    <row r="135" spans="13:21" x14ac:dyDescent="0.25">
      <c r="M135" t="s">
        <v>164</v>
      </c>
      <c r="N135" t="s">
        <v>122</v>
      </c>
      <c r="O135">
        <v>612.05999999999995</v>
      </c>
      <c r="P135">
        <v>255</v>
      </c>
      <c r="Q135">
        <v>301.98424745539523</v>
      </c>
      <c r="R135">
        <f t="shared" si="16"/>
        <v>664.77065003695441</v>
      </c>
      <c r="S135">
        <f t="shared" si="17"/>
        <v>129.09500333079703</v>
      </c>
      <c r="T135">
        <v>1.0861200699881621</v>
      </c>
      <c r="U135">
        <v>0.21091886960558939</v>
      </c>
    </row>
    <row r="136" spans="13:21" x14ac:dyDescent="0.25">
      <c r="M136" t="s">
        <v>164</v>
      </c>
      <c r="N136" t="s">
        <v>122</v>
      </c>
      <c r="O136">
        <v>612.05999999999995</v>
      </c>
      <c r="P136">
        <v>255</v>
      </c>
      <c r="Q136">
        <v>299.75368338640556</v>
      </c>
      <c r="R136">
        <f t="shared" si="16"/>
        <v>664.77065003695441</v>
      </c>
      <c r="S136">
        <f t="shared" si="17"/>
        <v>129.09500333079703</v>
      </c>
      <c r="T136">
        <v>1.0861200699881621</v>
      </c>
      <c r="U136">
        <v>0.21091886960558939</v>
      </c>
    </row>
    <row r="137" spans="13:21" x14ac:dyDescent="0.25">
      <c r="M137" t="s">
        <v>164</v>
      </c>
      <c r="N137" t="s">
        <v>122</v>
      </c>
      <c r="O137">
        <v>612.05999999999995</v>
      </c>
      <c r="P137">
        <v>255</v>
      </c>
      <c r="Q137">
        <v>299.75368338640556</v>
      </c>
      <c r="R137">
        <f t="shared" si="16"/>
        <v>664.77065003695441</v>
      </c>
      <c r="S137">
        <f t="shared" si="17"/>
        <v>129.09500333079703</v>
      </c>
      <c r="T137">
        <v>1.0861200699881621</v>
      </c>
      <c r="U137">
        <v>0.21091886960558939</v>
      </c>
    </row>
    <row r="138" spans="13:21" x14ac:dyDescent="0.25">
      <c r="M138" t="s">
        <v>164</v>
      </c>
      <c r="N138" t="s">
        <v>122</v>
      </c>
      <c r="O138">
        <v>612.05999999999995</v>
      </c>
      <c r="P138">
        <v>255</v>
      </c>
      <c r="Q138">
        <v>297.06547124333429</v>
      </c>
      <c r="R138">
        <f t="shared" si="16"/>
        <v>664.77065003695441</v>
      </c>
      <c r="S138">
        <f t="shared" si="17"/>
        <v>129.09500333079703</v>
      </c>
      <c r="T138">
        <v>1.0861200699881621</v>
      </c>
      <c r="U138">
        <v>0.21091886960558939</v>
      </c>
    </row>
    <row r="139" spans="13:21" x14ac:dyDescent="0.25">
      <c r="M139" t="s">
        <v>164</v>
      </c>
      <c r="N139" t="s">
        <v>122</v>
      </c>
      <c r="O139">
        <v>612.05999999999995</v>
      </c>
      <c r="P139">
        <v>255</v>
      </c>
      <c r="Q139">
        <v>297.06547124333429</v>
      </c>
      <c r="R139">
        <f t="shared" si="16"/>
        <v>664.77065003695441</v>
      </c>
      <c r="S139">
        <f t="shared" si="17"/>
        <v>129.09500333079703</v>
      </c>
      <c r="T139">
        <v>1.0861200699881621</v>
      </c>
      <c r="U139">
        <v>0.21091886960558939</v>
      </c>
    </row>
    <row r="140" spans="13:21" x14ac:dyDescent="0.25">
      <c r="M140" t="s">
        <v>164</v>
      </c>
      <c r="N140" t="s">
        <v>122</v>
      </c>
      <c r="O140">
        <v>612.05999999999995</v>
      </c>
      <c r="P140">
        <v>255</v>
      </c>
      <c r="Q140">
        <v>300.37031582295151</v>
      </c>
      <c r="R140">
        <f t="shared" si="16"/>
        <v>664.77065003695441</v>
      </c>
      <c r="S140">
        <f t="shared" si="17"/>
        <v>129.09500333079703</v>
      </c>
      <c r="T140">
        <v>1.0861200699881621</v>
      </c>
      <c r="U140">
        <v>0.21091886960558939</v>
      </c>
    </row>
    <row r="141" spans="13:21" x14ac:dyDescent="0.25">
      <c r="M141" t="s">
        <v>164</v>
      </c>
      <c r="N141" t="s">
        <v>122</v>
      </c>
      <c r="O141">
        <v>612.05999999999995</v>
      </c>
      <c r="P141">
        <v>255</v>
      </c>
      <c r="Q141">
        <v>300.37031582295151</v>
      </c>
      <c r="R141">
        <f t="shared" si="16"/>
        <v>664.77065003695441</v>
      </c>
      <c r="S141">
        <f t="shared" si="17"/>
        <v>129.09500333079703</v>
      </c>
      <c r="T141">
        <v>1.0861200699881621</v>
      </c>
      <c r="U141">
        <v>0.21091886960558939</v>
      </c>
    </row>
    <row r="142" spans="13:21" x14ac:dyDescent="0.25">
      <c r="M142" t="s">
        <v>162</v>
      </c>
      <c r="N142" t="s">
        <v>122</v>
      </c>
      <c r="O142">
        <v>406.25</v>
      </c>
      <c r="P142">
        <v>179</v>
      </c>
      <c r="Q142">
        <v>178.43993859653546</v>
      </c>
      <c r="R142">
        <f t="shared" si="16"/>
        <v>441.23627843269094</v>
      </c>
      <c r="S142">
        <f t="shared" si="17"/>
        <v>95.431550996856984</v>
      </c>
      <c r="T142">
        <v>1.0861200699881624</v>
      </c>
      <c r="U142">
        <v>0.23490843322303256</v>
      </c>
    </row>
    <row r="143" spans="13:21" x14ac:dyDescent="0.25">
      <c r="M143" t="s">
        <v>162</v>
      </c>
      <c r="N143" t="s">
        <v>122</v>
      </c>
      <c r="O143">
        <v>406.25</v>
      </c>
      <c r="P143">
        <v>179</v>
      </c>
      <c r="Q143">
        <v>178.43993859653546</v>
      </c>
      <c r="R143">
        <f t="shared" si="16"/>
        <v>441.23627843269094</v>
      </c>
      <c r="S143">
        <f t="shared" si="17"/>
        <v>95.431550996856984</v>
      </c>
      <c r="T143">
        <v>1.0861200699881624</v>
      </c>
      <c r="U143">
        <v>0.23490843322303256</v>
      </c>
    </row>
    <row r="144" spans="13:21" x14ac:dyDescent="0.25">
      <c r="M144" t="s">
        <v>162</v>
      </c>
      <c r="N144" t="s">
        <v>122</v>
      </c>
      <c r="O144">
        <v>550.86</v>
      </c>
      <c r="P144">
        <v>179</v>
      </c>
      <c r="Q144">
        <v>191.7446040507327</v>
      </c>
      <c r="R144">
        <f t="shared" si="16"/>
        <v>598.30010175367897</v>
      </c>
      <c r="S144">
        <f t="shared" si="17"/>
        <v>65.684268756008947</v>
      </c>
      <c r="T144">
        <v>1.0861200699881621</v>
      </c>
      <c r="U144">
        <v>0.11923949598084621</v>
      </c>
    </row>
    <row r="145" spans="13:21" x14ac:dyDescent="0.25">
      <c r="M145" t="s">
        <v>162</v>
      </c>
      <c r="N145" t="s">
        <v>122</v>
      </c>
      <c r="O145">
        <v>550.86</v>
      </c>
      <c r="P145">
        <v>179</v>
      </c>
      <c r="Q145">
        <v>191.7446040507327</v>
      </c>
      <c r="R145">
        <f t="shared" si="16"/>
        <v>598.30010175367897</v>
      </c>
      <c r="S145">
        <f t="shared" si="17"/>
        <v>65.684268756008947</v>
      </c>
      <c r="T145">
        <v>1.0861200699881621</v>
      </c>
      <c r="U145">
        <v>0.11923949598084621</v>
      </c>
    </row>
    <row r="146" spans="13:21" x14ac:dyDescent="0.25">
      <c r="M146" t="s">
        <v>162</v>
      </c>
      <c r="N146" t="s">
        <v>122</v>
      </c>
      <c r="O146">
        <v>575.5</v>
      </c>
      <c r="P146">
        <v>179</v>
      </c>
      <c r="Q146">
        <v>206.37273042949019</v>
      </c>
      <c r="R146">
        <f t="shared" si="16"/>
        <v>625.06210027818747</v>
      </c>
      <c r="S146">
        <f t="shared" si="17"/>
        <v>60.615649473701389</v>
      </c>
      <c r="T146">
        <v>1.0861200699881624</v>
      </c>
      <c r="U146">
        <v>0.10532693218714403</v>
      </c>
    </row>
    <row r="147" spans="13:21" x14ac:dyDescent="0.25">
      <c r="M147" t="s">
        <v>162</v>
      </c>
      <c r="N147" t="s">
        <v>122</v>
      </c>
      <c r="O147">
        <v>575.5</v>
      </c>
      <c r="P147">
        <v>179</v>
      </c>
      <c r="Q147">
        <v>206.37273042949019</v>
      </c>
      <c r="R147">
        <f t="shared" si="16"/>
        <v>625.06210027818747</v>
      </c>
      <c r="S147">
        <f t="shared" si="17"/>
        <v>60.615649473701389</v>
      </c>
      <c r="T147">
        <v>1.0861200699881624</v>
      </c>
      <c r="U147">
        <v>0.10532693218714403</v>
      </c>
    </row>
    <row r="148" spans="13:21" x14ac:dyDescent="0.25">
      <c r="M148" t="s">
        <v>162</v>
      </c>
      <c r="N148" t="s">
        <v>122</v>
      </c>
      <c r="O148">
        <v>1062.5999999999999</v>
      </c>
      <c r="P148">
        <v>179</v>
      </c>
      <c r="Q148">
        <v>466.79666386730139</v>
      </c>
      <c r="R148">
        <f t="shared" si="16"/>
        <v>1154.1111863694209</v>
      </c>
      <c r="S148">
        <f t="shared" si="17"/>
        <v>0</v>
      </c>
      <c r="T148">
        <v>1.0861200699881621</v>
      </c>
      <c r="U148">
        <v>0</v>
      </c>
    </row>
    <row r="149" spans="13:21" x14ac:dyDescent="0.25">
      <c r="M149" t="s">
        <v>162</v>
      </c>
      <c r="N149" t="s">
        <v>122</v>
      </c>
      <c r="O149">
        <v>1062.5999999999999</v>
      </c>
      <c r="P149">
        <v>179</v>
      </c>
      <c r="Q149">
        <v>466.79666386730139</v>
      </c>
      <c r="R149">
        <f t="shared" si="16"/>
        <v>1154.1111863694209</v>
      </c>
      <c r="S149">
        <f t="shared" si="17"/>
        <v>0</v>
      </c>
      <c r="T149">
        <v>1.0861200699881621</v>
      </c>
      <c r="U149">
        <v>0</v>
      </c>
    </row>
    <row r="150" spans="13:21" x14ac:dyDescent="0.25">
      <c r="M150" t="s">
        <v>162</v>
      </c>
      <c r="N150" t="s">
        <v>122</v>
      </c>
      <c r="O150">
        <v>521.44000000000005</v>
      </c>
      <c r="P150">
        <v>179</v>
      </c>
      <c r="Q150">
        <v>191.55379341904097</v>
      </c>
      <c r="R150">
        <f t="shared" si="16"/>
        <v>566.3464492946274</v>
      </c>
      <c r="S150">
        <f t="shared" si="17"/>
        <v>71.736167265971943</v>
      </c>
      <c r="T150">
        <v>1.0861200699881624</v>
      </c>
      <c r="U150">
        <v>0.13757319589209102</v>
      </c>
    </row>
    <row r="151" spans="13:21" x14ac:dyDescent="0.25">
      <c r="M151" t="s">
        <v>162</v>
      </c>
      <c r="N151" t="s">
        <v>122</v>
      </c>
      <c r="O151">
        <v>521.44000000000005</v>
      </c>
      <c r="P151">
        <v>179</v>
      </c>
      <c r="Q151">
        <v>191.55379341904097</v>
      </c>
      <c r="R151">
        <f t="shared" si="16"/>
        <v>566.3464492946274</v>
      </c>
      <c r="S151">
        <f t="shared" si="17"/>
        <v>71.736167265971943</v>
      </c>
      <c r="T151">
        <v>1.0861200699881624</v>
      </c>
      <c r="U151">
        <v>0.13757319589209102</v>
      </c>
    </row>
    <row r="152" spans="13:21" x14ac:dyDescent="0.25">
      <c r="M152" t="s">
        <v>162</v>
      </c>
      <c r="N152" t="s">
        <v>122</v>
      </c>
      <c r="O152">
        <v>882.41999999999905</v>
      </c>
      <c r="P152">
        <v>179</v>
      </c>
      <c r="Q152">
        <v>307.15476438014622</v>
      </c>
      <c r="R152">
        <f t="shared" si="16"/>
        <v>958.41407215895322</v>
      </c>
      <c r="S152">
        <f t="shared" si="17"/>
        <v>0</v>
      </c>
      <c r="T152">
        <v>1.0861200699881624</v>
      </c>
      <c r="U152">
        <v>0</v>
      </c>
    </row>
    <row r="153" spans="13:21" x14ac:dyDescent="0.25">
      <c r="M153" t="s">
        <v>162</v>
      </c>
      <c r="N153" t="s">
        <v>122</v>
      </c>
      <c r="O153">
        <v>882.41999999999905</v>
      </c>
      <c r="P153">
        <v>179</v>
      </c>
      <c r="Q153">
        <v>307.15476438014622</v>
      </c>
      <c r="R153">
        <f t="shared" si="16"/>
        <v>958.41407215895322</v>
      </c>
      <c r="S153">
        <f t="shared" si="17"/>
        <v>0</v>
      </c>
      <c r="T153">
        <v>1.0861200699881624</v>
      </c>
      <c r="U153">
        <v>0</v>
      </c>
    </row>
    <row r="154" spans="13:21" x14ac:dyDescent="0.25">
      <c r="M154" t="s">
        <v>162</v>
      </c>
      <c r="N154" t="s">
        <v>122</v>
      </c>
      <c r="O154">
        <v>534.69000000000005</v>
      </c>
      <c r="P154">
        <v>179</v>
      </c>
      <c r="Q154">
        <v>186.75086883140432</v>
      </c>
      <c r="R154">
        <f t="shared" si="16"/>
        <v>580.73754022197056</v>
      </c>
      <c r="S154">
        <f t="shared" si="17"/>
        <v>69.010550160023271</v>
      </c>
      <c r="T154">
        <v>1.0861200699881624</v>
      </c>
      <c r="U154">
        <v>0.12906646872023653</v>
      </c>
    </row>
    <row r="155" spans="13:21" x14ac:dyDescent="0.25">
      <c r="M155" t="s">
        <v>162</v>
      </c>
      <c r="N155" t="s">
        <v>122</v>
      </c>
      <c r="O155">
        <v>534.69000000000005</v>
      </c>
      <c r="P155">
        <v>179</v>
      </c>
      <c r="Q155">
        <v>186.75086883140432</v>
      </c>
      <c r="R155">
        <f t="shared" si="16"/>
        <v>580.73754022197056</v>
      </c>
      <c r="S155">
        <f t="shared" si="17"/>
        <v>69.010550160023271</v>
      </c>
      <c r="T155">
        <v>1.0861200699881624</v>
      </c>
      <c r="U155">
        <v>0.12906646872023653</v>
      </c>
    </row>
    <row r="156" spans="13:21" x14ac:dyDescent="0.25">
      <c r="M156" t="s">
        <v>162</v>
      </c>
      <c r="N156" t="s">
        <v>122</v>
      </c>
      <c r="O156">
        <v>745.67</v>
      </c>
      <c r="P156">
        <v>179</v>
      </c>
      <c r="Q156">
        <v>320.67231680902796</v>
      </c>
      <c r="R156">
        <f t="shared" si="16"/>
        <v>809.88715258807292</v>
      </c>
      <c r="S156">
        <f t="shared" si="17"/>
        <v>25.610497555264857</v>
      </c>
      <c r="T156">
        <v>1.0861200699881624</v>
      </c>
      <c r="U156">
        <v>3.4345618779439778E-2</v>
      </c>
    </row>
    <row r="157" spans="13:21" x14ac:dyDescent="0.25">
      <c r="M157" t="s">
        <v>162</v>
      </c>
      <c r="N157" t="s">
        <v>122</v>
      </c>
      <c r="O157">
        <v>745.67</v>
      </c>
      <c r="P157">
        <v>179</v>
      </c>
      <c r="Q157">
        <v>320.67231680902796</v>
      </c>
      <c r="R157">
        <f t="shared" si="16"/>
        <v>809.88715258807292</v>
      </c>
      <c r="S157">
        <f t="shared" si="17"/>
        <v>25.610497555264857</v>
      </c>
      <c r="T157">
        <v>1.0861200699881624</v>
      </c>
      <c r="U157">
        <v>3.4345618779439778E-2</v>
      </c>
    </row>
    <row r="158" spans="13:21" x14ac:dyDescent="0.25">
      <c r="M158" t="s">
        <v>162</v>
      </c>
      <c r="N158" t="s">
        <v>122</v>
      </c>
      <c r="O158">
        <v>632.48</v>
      </c>
      <c r="P158">
        <v>179</v>
      </c>
      <c r="Q158">
        <v>226.80560302700948</v>
      </c>
      <c r="R158">
        <f t="shared" si="16"/>
        <v>686.94922186611291</v>
      </c>
      <c r="S158">
        <f t="shared" si="17"/>
        <v>48.894467383365168</v>
      </c>
      <c r="T158">
        <v>1.0861200699881624</v>
      </c>
      <c r="U158">
        <v>7.7305950201374221E-2</v>
      </c>
    </row>
    <row r="159" spans="13:21" x14ac:dyDescent="0.25">
      <c r="M159" t="s">
        <v>162</v>
      </c>
      <c r="N159" t="s">
        <v>122</v>
      </c>
      <c r="O159">
        <v>632.48</v>
      </c>
      <c r="P159">
        <v>179</v>
      </c>
      <c r="Q159">
        <v>226.80560302700948</v>
      </c>
      <c r="R159">
        <f t="shared" si="16"/>
        <v>686.94922186611291</v>
      </c>
      <c r="S159">
        <f t="shared" si="17"/>
        <v>48.894467383365168</v>
      </c>
      <c r="T159">
        <v>1.0861200699881624</v>
      </c>
      <c r="U159">
        <v>7.7305950201374221E-2</v>
      </c>
    </row>
    <row r="160" spans="13:21" x14ac:dyDescent="0.25">
      <c r="M160" t="s">
        <v>162</v>
      </c>
      <c r="N160" t="s">
        <v>122</v>
      </c>
      <c r="O160">
        <v>575.95999999999901</v>
      </c>
      <c r="P160">
        <v>179</v>
      </c>
      <c r="Q160">
        <v>206.53768517492435</v>
      </c>
      <c r="R160">
        <f t="shared" si="16"/>
        <v>625.56171551038074</v>
      </c>
      <c r="S160">
        <f t="shared" si="17"/>
        <v>60.521024276061127</v>
      </c>
      <c r="T160">
        <v>1.0861200699881621</v>
      </c>
      <c r="U160">
        <v>0.1050785198209272</v>
      </c>
    </row>
    <row r="161" spans="13:21" x14ac:dyDescent="0.25">
      <c r="M161" t="s">
        <v>162</v>
      </c>
      <c r="N161" t="s">
        <v>122</v>
      </c>
      <c r="O161">
        <v>575.95999999999901</v>
      </c>
      <c r="P161">
        <v>179</v>
      </c>
      <c r="Q161">
        <v>206.53768517492435</v>
      </c>
      <c r="R161">
        <f t="shared" si="16"/>
        <v>625.56171551038074</v>
      </c>
      <c r="S161">
        <f t="shared" si="17"/>
        <v>60.521024276061127</v>
      </c>
      <c r="T161">
        <v>1.0861200699881621</v>
      </c>
      <c r="U161">
        <v>0.1050785198209272</v>
      </c>
    </row>
    <row r="162" spans="13:21" x14ac:dyDescent="0.25">
      <c r="M162" t="s">
        <v>162</v>
      </c>
      <c r="N162" t="s">
        <v>122</v>
      </c>
      <c r="O162">
        <v>812.81</v>
      </c>
      <c r="P162">
        <v>179</v>
      </c>
      <c r="Q162">
        <v>360.77742542278622</v>
      </c>
      <c r="R162">
        <f t="shared" ref="R162:R169" si="18">O162*T162</f>
        <v>882.80925408707799</v>
      </c>
      <c r="S162">
        <f t="shared" ref="S162:S169" si="19">O162*U162</f>
        <v>11.799332838782362</v>
      </c>
      <c r="T162">
        <v>1.0861200699881621</v>
      </c>
      <c r="U162">
        <v>1.4516717115663394E-2</v>
      </c>
    </row>
    <row r="163" spans="13:21" x14ac:dyDescent="0.25">
      <c r="M163" t="s">
        <v>162</v>
      </c>
      <c r="N163" t="s">
        <v>122</v>
      </c>
      <c r="O163">
        <v>812.81</v>
      </c>
      <c r="P163">
        <v>179</v>
      </c>
      <c r="Q163">
        <v>360.77742542278622</v>
      </c>
      <c r="R163">
        <f t="shared" si="18"/>
        <v>882.80925408707799</v>
      </c>
      <c r="S163">
        <f t="shared" si="19"/>
        <v>11.799332838782362</v>
      </c>
      <c r="T163">
        <v>1.0861200699881621</v>
      </c>
      <c r="U163">
        <v>1.4516717115663394E-2</v>
      </c>
    </row>
    <row r="164" spans="13:21" x14ac:dyDescent="0.25">
      <c r="M164" t="s">
        <v>162</v>
      </c>
      <c r="N164" t="s">
        <v>122</v>
      </c>
      <c r="O164">
        <v>564.87</v>
      </c>
      <c r="P164">
        <v>179</v>
      </c>
      <c r="Q164">
        <v>248.12868778385533</v>
      </c>
      <c r="R164">
        <f t="shared" si="18"/>
        <v>613.51664393421322</v>
      </c>
      <c r="S164">
        <f t="shared" si="19"/>
        <v>62.802314367002097</v>
      </c>
      <c r="T164">
        <v>1.0861200699881624</v>
      </c>
      <c r="U164">
        <v>0.11118011996920016</v>
      </c>
    </row>
    <row r="165" spans="13:21" x14ac:dyDescent="0.25">
      <c r="M165" t="s">
        <v>162</v>
      </c>
      <c r="N165" t="s">
        <v>122</v>
      </c>
      <c r="O165">
        <v>564.87</v>
      </c>
      <c r="P165">
        <v>179</v>
      </c>
      <c r="Q165">
        <v>248.12868778385533</v>
      </c>
      <c r="R165">
        <f t="shared" si="18"/>
        <v>613.51664393421322</v>
      </c>
      <c r="S165">
        <f t="shared" si="19"/>
        <v>62.802314367002097</v>
      </c>
      <c r="T165">
        <v>1.0861200699881624</v>
      </c>
      <c r="U165">
        <v>0.11118011996920016</v>
      </c>
    </row>
    <row r="166" spans="13:21" x14ac:dyDescent="0.25">
      <c r="M166" t="s">
        <v>162</v>
      </c>
      <c r="N166" t="s">
        <v>122</v>
      </c>
      <c r="O166">
        <v>427.66</v>
      </c>
      <c r="P166">
        <v>179</v>
      </c>
      <c r="Q166">
        <v>169.29882861235819</v>
      </c>
      <c r="R166">
        <f t="shared" si="18"/>
        <v>464.49010913113756</v>
      </c>
      <c r="S166">
        <f t="shared" si="19"/>
        <v>91.027365167546719</v>
      </c>
      <c r="T166">
        <v>1.0861200699881624</v>
      </c>
      <c r="U166">
        <v>0.21284984606357085</v>
      </c>
    </row>
    <row r="167" spans="13:21" x14ac:dyDescent="0.25">
      <c r="M167" t="s">
        <v>162</v>
      </c>
      <c r="N167" t="s">
        <v>122</v>
      </c>
      <c r="O167">
        <v>427.66</v>
      </c>
      <c r="P167">
        <v>179</v>
      </c>
      <c r="Q167">
        <v>169.29882861235819</v>
      </c>
      <c r="R167">
        <f t="shared" si="18"/>
        <v>464.49010913113756</v>
      </c>
      <c r="S167">
        <f t="shared" si="19"/>
        <v>91.027365167546719</v>
      </c>
      <c r="T167">
        <v>1.0861200699881624</v>
      </c>
      <c r="U167">
        <v>0.21284984606357085</v>
      </c>
    </row>
    <row r="168" spans="13:21" x14ac:dyDescent="0.25">
      <c r="M168" t="s">
        <v>162</v>
      </c>
      <c r="N168" t="s">
        <v>122</v>
      </c>
      <c r="O168">
        <v>561.94999999999902</v>
      </c>
      <c r="P168">
        <v>179</v>
      </c>
      <c r="Q168">
        <v>223.78622945987973</v>
      </c>
      <c r="R168">
        <f t="shared" si="18"/>
        <v>610.34517332984672</v>
      </c>
      <c r="S168">
        <f t="shared" si="19"/>
        <v>63.402978665067977</v>
      </c>
      <c r="T168">
        <v>1.0861200699881624</v>
      </c>
      <c r="U168">
        <v>0.11282672598108032</v>
      </c>
    </row>
    <row r="169" spans="13:21" x14ac:dyDescent="0.25">
      <c r="M169" t="s">
        <v>162</v>
      </c>
      <c r="N169" t="s">
        <v>122</v>
      </c>
      <c r="O169">
        <v>561.94999999999902</v>
      </c>
      <c r="P169">
        <v>179</v>
      </c>
      <c r="Q169">
        <v>223.78622945987973</v>
      </c>
      <c r="R169">
        <f t="shared" si="18"/>
        <v>610.34517332984672</v>
      </c>
      <c r="S169">
        <f t="shared" si="19"/>
        <v>63.402978665067977</v>
      </c>
      <c r="T169">
        <v>1.0861200699881624</v>
      </c>
      <c r="U169">
        <v>0.11282672598108032</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1. Set Program Names</vt:lpstr>
      <vt:lpstr>2. Program Allocation Output</vt:lpstr>
      <vt:lpstr>3. Incentive Adjustment</vt:lpstr>
      <vt:lpstr>View for Selected Program</vt:lpstr>
      <vt:lpstr>Program Metrics</vt:lpstr>
      <vt:lpstr>For Review&amp;Discussion</vt:lpstr>
      <vt:lpstr>2. Program Output_Original</vt:lpstr>
      <vt:lpstr>Participation Adjustment</vt:lpstr>
      <vt:lpstr>Per Unit Values for lighting</vt:lpstr>
      <vt:lpstr>IRA Tax Credits</vt:lpstr>
      <vt:lpstr>'2. Program Output_Original'!Adoption_Scen</vt:lpstr>
      <vt:lpstr>Adoption_Scen</vt:lpstr>
      <vt:lpstr>'2. Program Output_Original'!All_Programs</vt:lpstr>
      <vt:lpstr>All_Programs</vt:lpstr>
      <vt:lpstr>'2. Program Output_Original'!Avoided_Cost</vt:lpstr>
      <vt:lpstr>Avoided_Cost</vt:lpstr>
      <vt:lpstr>'2. Program Output_Original'!CustomerBase</vt:lpstr>
      <vt:lpstr>CustomerBase</vt:lpstr>
      <vt:lpstr>'2. Program Output_Original'!Incentive_Scenario</vt:lpstr>
      <vt:lpstr>Incentive_Scenario</vt:lpstr>
      <vt:lpstr>'2. Program Output_Original'!MeasureName</vt:lpstr>
      <vt:lpstr>MeasureName</vt:lpstr>
      <vt:lpstr>'2. Program Output_Original'!UniqueMeasureName</vt:lpstr>
      <vt:lpstr>UniqueMeasureName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2024-05-26T19:53:19Z</dcterms:created>
  <dcterms:modified xsi:type="dcterms:W3CDTF">2024-05-26T19:53:29Z</dcterms:modified>
  <cp:category/>
  <cp:contentStatus/>
</cp:coreProperties>
</file>